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7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9.xml" ContentType="application/vnd.openxmlformats-officedocument.spreadsheetml.comments+xml"/>
  <Override PartName="/xl/comments20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omments11.xml" ContentType="application/vnd.openxmlformats-officedocument.spreadsheetml.comments+xml"/>
  <Override PartName="/xl/comments17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uida_v3" sheetId="1" state="visible" r:id="rId3"/>
    <sheet name="Cruscotto" sheetId="2" state="visible" r:id="rId4"/>
    <sheet name="Gruppo" sheetId="3" state="visible" r:id="rId5"/>
    <sheet name="Startup" sheetId="4" state="visible" r:id="rId6"/>
    <sheet name="Advisory" sheetId="5" state="visible" r:id="rId7"/>
    <sheet name="Tesoreria" sheetId="6" state="visible" r:id="rId8"/>
    <sheet name="Grafici" sheetId="7" state="visible" r:id="rId9"/>
    <sheet name="Confronto_Scenari" sheetId="8" state="visible" r:id="rId10"/>
    <sheet name="Ipotesi" sheetId="9" state="visible" r:id="rId11"/>
    <sheet name="Parametri_v3" sheetId="10" state="visible" r:id="rId12"/>
    <sheet name="Finanziamenti" sheetId="11" state="visible" r:id="rId13"/>
    <sheet name="Piano_SS" sheetId="12" state="visible" r:id="rId14"/>
    <sheet name="Requisiti" sheetId="13" state="visible" r:id="rId15"/>
    <sheet name="Cap_Table" sheetId="14" state="visible" r:id="rId16"/>
    <sheet name="Controlli" sheetId="15" state="visible" r:id="rId17"/>
    <sheet name="Fonti_Modifiche" sheetId="16" state="visible" r:id="rId18"/>
    <sheet name="V2_Riferimento" sheetId="17" state="visible" r:id="rId19"/>
    <sheet name="Motore_Operativo" sheetId="18" state="visible" r:id="rId20"/>
    <sheet name="Motore_Startup" sheetId="19" state="visible" r:id="rId21"/>
    <sheet name="Motore_Advisory" sheetId="20" state="visible" r:id="rId22"/>
    <sheet name="Test_v3" sheetId="21" state="visible" r:id="rId23"/>
  </sheets>
  <definedNames>
    <definedName function="false" hidden="false" localSheetId="4" name="_xlnm.Print_Area" vbProcedure="false">Advisory!$A$1:$G$45</definedName>
    <definedName function="false" hidden="false" localSheetId="4" name="_xlnm.Print_Titles" vbProcedure="false">Advisory!$1:$4</definedName>
    <definedName function="false" hidden="false" localSheetId="13" name="_xlnm.Print_Area" vbProcedure="false">Cap_Table!$A$1:$F$18</definedName>
    <definedName function="false" hidden="false" localSheetId="7" name="_xlnm.Print_Area" vbProcedure="false">Confronto_Scenari!$A$1:$G$94</definedName>
    <definedName function="false" hidden="false" localSheetId="7" name="_xlnm.Print_Titles" vbProcedure="false">Confronto_Scenari!$1:$4</definedName>
    <definedName function="false" hidden="false" localSheetId="14" name="_xlnm.Print_Area" vbProcedure="false">Controlli!$A$1:$C$21</definedName>
    <definedName function="false" hidden="false" localSheetId="14" name="_xlnm.Print_Titles" vbProcedure="false">Controlli!$1:$4</definedName>
    <definedName function="false" hidden="false" localSheetId="1" name="_xlnm.Print_Area" vbProcedure="false">Cruscotto!$A$1:$E$25</definedName>
    <definedName function="false" hidden="false" localSheetId="1" name="_xlnm.Print_Titles" vbProcedure="false">Cruscotto!$1:$4</definedName>
    <definedName function="false" hidden="false" localSheetId="10" name="_xlnm.Print_Area" vbProcedure="false">Finanziamenti!$A$1:$G$21</definedName>
    <definedName function="false" hidden="false" localSheetId="10" name="_xlnm.Print_Titles" vbProcedure="false">Finanziamenti!$1:$4</definedName>
    <definedName function="false" hidden="false" localSheetId="15" name="_xlnm.Print_Area" vbProcedure="false">Fonti_Modifiche!$A$1:$C$24</definedName>
    <definedName function="false" hidden="false" localSheetId="15" name="_xlnm.Print_Titles" vbProcedure="false">Fonti_Modifiche!$1:$4</definedName>
    <definedName function="false" hidden="false" localSheetId="6" name="_xlnm.Print_Area" vbProcedure="false">Grafici!$A$1:$L$34</definedName>
    <definedName function="false" hidden="false" localSheetId="2" name="_xlnm.Print_Area" vbProcedure="false">Gruppo!$A$1:$G$37</definedName>
    <definedName function="false" hidden="false" localSheetId="2" name="_xlnm.Print_Titles" vbProcedure="false">Gruppo!$1:$4</definedName>
    <definedName function="false" hidden="false" localSheetId="0" name="_xlnm.Print_Area" vbProcedure="false">Guida_v3!$A$1:$B$22</definedName>
    <definedName function="false" hidden="false" localSheetId="0" name="_xlnm.Print_Titles" vbProcedure="false">Guida_v3!$1:$4</definedName>
    <definedName function="false" hidden="false" localSheetId="19" name="_xlnm.Print_Area" vbProcedure="false">Motore_Advisory!$A$1:$O$16</definedName>
    <definedName function="false" hidden="false" localSheetId="19" name="_xlnm.Print_Titles" vbProcedure="false">Motore_Advisory!$1:$4</definedName>
    <definedName function="false" hidden="true" localSheetId="19" name="_xlnm._FilterDatabase" vbProcedure="false">Motore_Advisory!$A$4:$BU$544</definedName>
    <definedName function="false" hidden="false" localSheetId="17" name="_xlnm.Print_Area" vbProcedure="false">Motore_Operativo!$A$1:$O$16</definedName>
    <definedName function="false" hidden="false" localSheetId="17" name="_xlnm.Print_Titles" vbProcedure="false">Motore_Operativo!$1:$4</definedName>
    <definedName function="false" hidden="true" localSheetId="17" name="_xlnm._FilterDatabase" vbProcedure="false">Motore_Operativo!$A$4:$CM$544</definedName>
    <definedName function="false" hidden="false" localSheetId="18" name="_xlnm.Print_Area" vbProcedure="false">Motore_Startup!$A$1:$O$16</definedName>
    <definedName function="false" hidden="false" localSheetId="18" name="_xlnm.Print_Titles" vbProcedure="false">Motore_Startup!$1:$4</definedName>
    <definedName function="false" hidden="true" localSheetId="18" name="_xlnm._FilterDatabase" vbProcedure="false">Motore_Startup!$A$4:$CH$544</definedName>
    <definedName function="false" hidden="false" localSheetId="9" name="_xlnm.Print_Area" vbProcedure="false">Parametri_v3!$A$1:$D$63</definedName>
    <definedName function="false" hidden="false" localSheetId="9" name="_xlnm.Print_Titles" vbProcedure="false">Parametri_v3!$1:$4</definedName>
    <definedName function="false" hidden="false" localSheetId="11" name="_xlnm.Print_Area" vbProcedure="false">Piano_SS!$A$1:$G$16</definedName>
    <definedName function="false" hidden="false" localSheetId="11" name="_xlnm.Print_Titles" vbProcedure="false">Piano_SS!$1:$4</definedName>
    <definedName function="false" hidden="false" localSheetId="12" name="_xlnm.Print_Area" vbProcedure="false">Requisiti!$A$1:$G$29</definedName>
    <definedName function="false" hidden="false" localSheetId="12" name="_xlnm.Print_Titles" vbProcedure="false">Requisiti!$1:$4</definedName>
    <definedName function="false" hidden="false" localSheetId="3" name="_xlnm.Print_Area" vbProcedure="false">Startup!$A$1:$G$45</definedName>
    <definedName function="false" hidden="false" localSheetId="3" name="_xlnm.Print_Titles" vbProcedure="false">Startup!$1:$4</definedName>
    <definedName function="false" hidden="false" localSheetId="5" name="_xlnm.Print_Area" vbProcedure="false">Tesoreria!$A$1:$M$64</definedName>
    <definedName function="false" hidden="false" localSheetId="5" name="_xlnm.Print_Titles" vbProcedure="false">Tesoreria!$1:$4</definedName>
    <definedName function="false" hidden="true" localSheetId="5" name="_xlnm._FilterDatabase" vbProcedure="false">Tesoreria!$A$4:$M$64</definedName>
    <definedName function="false" hidden="false" localSheetId="20" name="_xlnm.Print_Area" vbProcedure="false">Test_v3!$A$1:$C$66</definedName>
    <definedName function="false" hidden="false" localSheetId="20" name="_xlnm.Print_Titles" vbProcedure="false">Test_v3!$1:$4</definedName>
    <definedName function="false" hidden="false" localSheetId="16" name="_xlnm.Print_Area" vbProcedure="false">V2_Riferimento!$A$1:$G$10</definedName>
    <definedName function="false" hidden="false" localSheetId="16" name="_xlnm.Print_Titles" vbProcedure="false">V2_Riferimento!$1:$4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5" authorId="0">
      <text>
        <r>
          <rPr>
            <sz val="10"/>
            <rFont val="Arial"/>
            <family val="2"/>
          </rPr>
          <t xml:space="preserve">Nuova ipotesi v3: CAC pilota 5.000 euro al posto dello zero della v2. Da validare; include marketing SaaS e quota del personale commerciale dedicata all'acquisizione.</t>
        </r>
      </text>
    </comment>
    <comment ref="E43" authorId="0">
      <text>
        <r>
          <rPr>
            <sz val="10"/>
            <rFont val="Arial"/>
            <family val="2"/>
          </rPr>
          <t xml:space="preserve">v3.1: 5 FTE (v3: 6). Ridimensionato sui clienti consentiti dal CAC; da validare con il piano assunzioni.</t>
        </r>
      </text>
    </comment>
    <comment ref="F43" authorId="0">
      <text>
        <r>
          <rPr>
            <sz val="10"/>
            <rFont val="Arial"/>
            <family val="2"/>
          </rPr>
          <t xml:space="preserve">v3.1: 6 FTE (v3: 9). Ridimensionato sui clienti consentiti dal CAC; da validare con il piano assunzioni.</t>
        </r>
      </text>
    </comment>
    <comment ref="F44" authorId="0">
      <text>
        <r>
          <rPr>
            <sz val="10"/>
            <rFont val="Arial"/>
            <family val="2"/>
          </rPr>
          <t xml:space="preserve">v3.1: 5 FTE (v3: 6). Il 70% del costo entra nel budget di acquisizione SaaS.</t>
        </r>
      </text>
    </comment>
    <comment ref="G43" authorId="0">
      <text>
        <r>
          <rPr>
            <sz val="10"/>
            <rFont val="Arial"/>
            <family val="2"/>
          </rPr>
          <t xml:space="preserve">v3.1: 7 FTE (v3: 12). Ridimensionato sui clienti consentiti dal CAC; da validare con il piano assunzioni.</t>
        </r>
      </text>
    </comment>
    <comment ref="G44" authorId="0">
      <text>
        <r>
          <rPr>
            <sz val="10"/>
            <rFont val="Arial"/>
            <family val="2"/>
          </rPr>
          <t xml:space="preserve">v3.1: 6 FTE (v3: 9). Il 70% del costo entra nel budget di acquisizione SaaS.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Ipotesi calendario v3; mantenere primo giorno di gennaio.</t>
        </r>
      </text>
    </comment>
    <comment ref="C6" authorId="0">
      <text>
        <r>
          <rPr>
            <sz val="10"/>
            <rFont val="Arial"/>
            <family val="2"/>
          </rPr>
          <t xml:space="preserve">Default 0: scenario finanziato da ipotesi. Non esiste evidenza di impegni nella proposta.</t>
        </r>
      </text>
    </comment>
    <comment ref="C7" authorId="0">
      <text>
        <r>
          <rPr>
            <sz val="10"/>
            <rFont val="Arial"/>
            <family val="2"/>
          </rPr>
          <t xml:space="preserve">Nuova ipotesi operativa, da confermare con consulente del lavoro.</t>
        </r>
      </text>
    </comment>
    <comment ref="C8" authorId="0">
      <text>
        <r>
          <rPr>
            <sz val="10"/>
            <rFont val="Arial"/>
            <family val="2"/>
          </rPr>
          <t xml:space="preserve">Nuova ipotesi di capacità; esclude tempo non vendibile.</t>
        </r>
      </text>
    </comment>
    <comment ref="C9" authorId="0">
      <text>
        <r>
          <rPr>
            <sz val="10"/>
            <rFont val="Arial"/>
            <family val="2"/>
          </rPr>
          <t xml:space="preserve">0,5 giorni aggiuntivi per giorno d'aula.</t>
        </r>
      </text>
    </comment>
    <comment ref="C10" authorId="0">
      <text>
        <r>
          <rPr>
            <sz val="10"/>
            <rFont val="Arial"/>
            <family val="2"/>
          </rPr>
          <t xml:space="preserve">Non presumere lavoro gratuito o disponibilità non documentata.</t>
        </r>
      </text>
    </comment>
    <comment ref="C11" authorId="0">
      <text>
        <r>
          <rPr>
            <sz val="10"/>
            <rFont val="Arial"/>
            <family val="2"/>
          </rPr>
          <t xml:space="preserve">Applicato al tempo residuo dopo R&amp;S.</t>
        </r>
      </text>
    </comment>
    <comment ref="C12" authorId="0">
      <text>
        <r>
          <rPr>
            <sz val="10"/>
            <rFont val="Arial"/>
            <family val="2"/>
          </rPr>
          <t xml:space="preserve">Riprende la v2, da provare con timesheet; non attestata.</t>
        </r>
      </text>
    </comment>
    <comment ref="C13" authorId="0">
      <text>
        <r>
          <rPr>
            <sz val="10"/>
            <rFont val="Arial"/>
            <family val="2"/>
          </rPr>
          <t xml:space="preserve">Riprende la v2, da provare.</t>
        </r>
      </text>
    </comment>
    <comment ref="C14" authorId="0">
      <text>
        <r>
          <rPr>
            <sz val="10"/>
            <rFont val="Arial"/>
            <family val="2"/>
          </rPr>
          <t xml:space="preserve">Riprende la v2; riduce anche capacità tecnica vendibile.</t>
        </r>
      </text>
    </comment>
    <comment ref="C15" authorId="0">
      <text>
        <r>
          <rPr>
            <sz val="10"/>
            <rFont val="Arial"/>
            <family val="2"/>
          </rPr>
          <t xml:space="preserve">Allocazione di lavoro: marketing della piattaforma secondo v2.</t>
        </r>
      </text>
    </comment>
    <comment ref="C16" authorId="0">
      <text>
        <r>
          <rPr>
            <sz val="10"/>
            <rFont val="Arial"/>
            <family val="2"/>
          </rPr>
          <t xml:space="preserve">Nuova allocazione; il resto è costo di supporto SaaS.</t>
        </r>
      </text>
    </comment>
    <comment ref="C17" authorId="0">
      <text>
        <r>
          <rPr>
            <sz val="10"/>
            <rFont val="Arial"/>
            <family val="2"/>
          </rPr>
          <t xml:space="preserve">Nuova ipotesi, non benchmark: validare sul CRM.</t>
        </r>
      </text>
    </comment>
    <comment ref="C18" authorId="0">
      <text>
        <r>
          <rPr>
            <sz val="10"/>
            <rFont val="Arial"/>
            <family val="2"/>
          </rPr>
          <t xml:space="preserve">Nuova ipotesi, da validare.</t>
        </r>
      </text>
    </comment>
    <comment ref="C19" authorId="0">
      <text>
        <r>
          <rPr>
            <sz val="10"/>
            <rFont val="Arial"/>
            <family val="2"/>
          </rPr>
          <t xml:space="preserve">Nuova ipotesi, da validare.</t>
        </r>
      </text>
    </comment>
    <comment ref="C20" authorId="0">
      <text>
        <r>
          <rPr>
            <sz val="10"/>
            <rFont val="Arial"/>
            <family val="2"/>
          </rPr>
          <t xml:space="preserve">Nuova ipotesi, da validare.</t>
        </r>
      </text>
    </comment>
    <comment ref="C21" authorId="0">
      <text>
        <r>
          <rPr>
            <sz val="10"/>
            <rFont val="Arial"/>
            <family val="2"/>
          </rPr>
          <t xml:space="preserve">Budget e lead producono acquisizioni dopo questo ritardo.</t>
        </r>
      </text>
    </comment>
    <comment ref="C22" authorId="0">
      <text>
        <r>
          <rPr>
            <sz val="10"/>
            <rFont val="Arial"/>
            <family val="2"/>
          </rPr>
          <t xml:space="preserve">Capacità parametrica, non evidenza operativa.</t>
        </r>
      </text>
    </comment>
    <comment ref="C23" authorId="0">
      <text>
        <r>
          <rPr>
            <sz val="10"/>
            <rFont val="Arial"/>
            <family val="2"/>
          </rPr>
          <t xml:space="preserve">Limite aggiuntivo; rivedere con complessità degli utenti.</t>
        </r>
      </text>
    </comment>
    <comment ref="C24" authorId="0">
      <text>
        <r>
          <rPr>
            <sz val="10"/>
            <rFont val="Arial"/>
            <family val="2"/>
          </rPr>
          <t xml:space="preserve">Proposta: luglio 2027. Verificare domanda/contratto e date ammissibili.</t>
        </r>
      </text>
    </comment>
    <comment ref="C25" authorId="0">
      <text>
        <r>
          <rPr>
            <sz val="10"/>
            <rFont val="Arial"/>
            <family val="2"/>
          </rPr>
          <t xml:space="preserve">Piano 24 mesi; fonte Invitalia. Eventuali proroghe non automatiche.</t>
        </r>
      </text>
    </comment>
    <comment ref="C26" authorId="0">
      <text>
        <r>
          <rPr>
            <sz val="10"/>
            <rFont val="Arial"/>
            <family val="2"/>
          </rPr>
          <t xml:space="preserve">Ipotesi di piano da validare; esenzioni/reverse charge non modellati.</t>
        </r>
      </text>
    </comment>
    <comment ref="C27" authorId="0">
      <text>
        <r>
          <rPr>
            <sz val="10"/>
            <rFont val="Arial"/>
            <family val="2"/>
          </rPr>
          <t xml:space="preserve">Nuova proxy: assicurazioni/esenzioni richiedono dettaglio.</t>
        </r>
      </text>
    </comment>
    <comment ref="C28" authorId="0">
      <text>
        <r>
          <rPr>
            <sz val="10"/>
            <rFont val="Arial"/>
            <family val="2"/>
          </rPr>
          <t xml:space="preserve">Esclude canone, trattato separatamente; nuova proxy da validare.</t>
        </r>
      </text>
    </comment>
    <comment ref="C29" authorId="0">
      <text>
        <r>
          <rPr>
            <sz val="10"/>
            <rFont val="Arial"/>
            <family val="2"/>
          </rPr>
          <t xml:space="preserve">Unico parametro speculare per le due società.</t>
        </r>
      </text>
    </comment>
    <comment ref="C30" authorId="0">
      <text>
        <r>
          <rPr>
            <sz val="10"/>
            <rFont val="Arial"/>
            <family val="2"/>
          </rPr>
          <t xml:space="preserve">Buffer proposto, non finanziamento automatico.</t>
        </r>
      </text>
    </comment>
    <comment ref="C31" authorId="0">
      <text>
        <r>
          <rPr>
            <sz val="10"/>
            <rFont val="Arial"/>
            <family val="2"/>
          </rPr>
          <t xml:space="preserve">Buffer proposto prima di distribuire dividendi.</t>
        </r>
      </text>
    </comment>
    <comment ref="C32" authorId="0">
      <text>
        <r>
          <rPr>
            <sz val="10"/>
            <rFont val="Arial"/>
            <family val="2"/>
          </rPr>
          <t xml:space="preserve">Proxy: non aggiunge costo. Differisce cassa e crea fondo; ricalcolare con dati paghe.</t>
        </r>
      </text>
    </comment>
    <comment ref="C33" authorId="0">
      <text>
        <r>
          <rPr>
            <sz val="10"/>
            <rFont val="Arial"/>
            <family val="2"/>
          </rPr>
          <t xml:space="preserve">Ipotesi giugno, dopo approvazione del bilancio.</t>
        </r>
      </text>
    </comment>
    <comment ref="C34" authorId="0">
      <text>
        <r>
          <rPr>
            <sz val="10"/>
            <rFont val="Arial"/>
            <family val="2"/>
          </rPr>
          <t xml:space="preserve">Parametro gestionale da validare con statuto/commercialista.</t>
        </r>
      </text>
    </comment>
    <comment ref="C35" authorId="0">
      <text>
        <r>
          <rPr>
            <sz val="10"/>
            <rFont val="Arial"/>
            <family val="2"/>
          </rPr>
          <t xml:space="preserve">Parametro da validare; limita distribuibilità, non altera patrimonio totale.</t>
        </r>
      </text>
    </comment>
    <comment ref="C36" authorId="0">
      <text>
        <r>
          <rPr>
            <sz val="10"/>
            <rFont val="Arial"/>
            <family val="2"/>
          </rPr>
          <t xml:space="preserve">Nuova ipotesi; parte residua degli apporti trattata come riserva di capitale.</t>
        </r>
      </text>
    </comment>
    <comment ref="C37" authorId="0">
      <text>
        <r>
          <rPr>
            <sz val="10"/>
            <rFont val="Arial"/>
            <family val="2"/>
          </rPr>
          <t xml:space="preserve">Fonte Invitalia; calendario contrattuale esatto da validare.</t>
        </r>
      </text>
    </comment>
    <comment ref="C38" authorId="0">
      <text>
        <r>
          <rPr>
            <sz val="10"/>
            <rFont val="Arial"/>
            <family val="2"/>
          </rPr>
          <t xml:space="preserve">Ipotesi semestrale, da verificare nel contratto.</t>
        </r>
      </text>
    </comment>
    <comment ref="C39" authorId="0">
      <text>
        <r>
          <rPr>
            <sz val="10"/>
            <rFont val="Arial"/>
            <family val="2"/>
          </rPr>
          <t xml:space="preserve">Zero: costi non documentati. Inserire il preventivo della banca.</t>
        </r>
      </text>
    </comment>
    <comment ref="C40" authorId="0">
      <text>
        <r>
          <rPr>
            <sz val="10"/>
            <rFont val="Arial"/>
            <family val="2"/>
          </rPr>
          <t xml:space="preserve">Ipotesi v2 mantenuta, subordinata ai requisiti fiscali effettivi.</t>
        </r>
      </text>
    </comment>
    <comment ref="C41" authorId="0">
      <text>
        <r>
          <rPr>
            <sz val="10"/>
            <rFont val="Arial"/>
            <family val="2"/>
          </rPr>
          <t xml:space="preserve">Parametro fiscale da validare.</t>
        </r>
      </text>
    </comment>
    <comment ref="C42" authorId="0">
      <text>
        <r>
          <rPr>
            <sz val="10"/>
            <rFont val="Arial"/>
            <family val="2"/>
          </rPr>
          <t xml:space="preserve">Parametro gestionale da validare; separazione delle due categorie.</t>
        </r>
      </text>
    </comment>
    <comment ref="C43" authorId="0">
      <text>
        <r>
          <rPr>
            <sz val="10"/>
            <rFont val="Arial"/>
            <family val="2"/>
          </rPr>
          <t xml:space="preserve">Calendario proposto, non scadenzario fiscale ufficiale.</t>
        </r>
      </text>
    </comment>
    <comment ref="C44" authorId="0">
      <text>
        <r>
          <rPr>
            <sz val="10"/>
            <rFont val="Arial"/>
            <family val="2"/>
          </rPr>
          <t xml:space="preserve">Calendario proposto, da aggiornare con commercialista.</t>
        </r>
      </text>
    </comment>
    <comment ref="C45" authorId="0">
      <text>
        <r>
          <rPr>
            <sz val="10"/>
            <rFont val="Arial"/>
            <family val="2"/>
          </rPr>
          <t xml:space="preserve">Proxy di acconti storici; complemento pagato nel mese indicato in C44 (novembre).</t>
        </r>
      </text>
    </comment>
    <comment ref="C46" authorId="0">
      <text>
        <r>
          <rPr>
            <sz val="10"/>
            <rFont val="Arial"/>
            <family val="2"/>
          </rPr>
          <t xml:space="preserve">Lasciare vuoto finché non classificata; nessun falso 0% di consulenza.</t>
        </r>
      </text>
    </comment>
    <comment ref="C47" authorId="0">
      <text>
        <r>
          <rPr>
            <sz val="10"/>
            <rFont val="Arial"/>
            <family val="2"/>
          </rPr>
          <t xml:space="preserve">Lasciare vuoto finché non classificata.</t>
        </r>
      </text>
    </comment>
    <comment ref="C48" authorId="0">
      <text>
        <r>
          <rPr>
            <sz val="10"/>
            <rFont val="Arial"/>
            <family val="2"/>
          </rPr>
          <t xml:space="preserve">Richiede verifica professionale e documenti; non cambia con la sola formula.</t>
        </r>
      </text>
    </comment>
    <comment ref="C49" authorId="0">
      <text>
        <r>
          <rPr>
            <sz val="10"/>
            <rFont val="Arial"/>
            <family val="2"/>
          </rPr>
          <t xml:space="preserve">Proiezioni di ore non sono prova del requisito.</t>
        </r>
      </text>
    </comment>
    <comment ref="C50" authorId="0">
      <text>
        <r>
          <rPr>
            <sz val="10"/>
            <rFont val="Arial"/>
            <family val="2"/>
          </rPr>
          <t xml:space="preserve">Non documentata; ipotesi da sostituire.</t>
        </r>
      </text>
    </comment>
    <comment ref="C51" authorId="0">
      <text>
        <r>
          <rPr>
            <sz val="10"/>
            <rFont val="Arial"/>
            <family val="2"/>
          </rPr>
          <t xml:space="preserve">Non documentata; determina finestre, non la sola colonna anno.</t>
        </r>
      </text>
    </comment>
    <comment ref="C52" authorId="0">
      <text>
        <r>
          <rPr>
            <sz val="10"/>
            <rFont val="Arial"/>
            <family val="2"/>
          </rPr>
          <t xml:space="preserve">Non si attiva automaticamente con crescita prevista; fonte MIMIT.</t>
        </r>
      </text>
    </comment>
    <comment ref="C53" authorId="0">
      <text>
        <r>
          <rPr>
            <sz val="10"/>
            <rFont val="Arial"/>
            <family val="2"/>
          </rPr>
          <t xml:space="preserve">Da ricostruire civilisticamente; nessuna capitalizzazione sviluppo presunta.</t>
        </r>
      </text>
    </comment>
    <comment ref="C54" authorId="0">
      <text>
        <r>
          <rPr>
            <sz val="10"/>
            <rFont val="Arial"/>
            <family val="2"/>
          </rPr>
          <t xml:space="preserve">Proxy zero: da compilare con commercialista.</t>
        </r>
      </text>
    </comment>
    <comment ref="C55" authorId="0">
      <text>
        <r>
          <rPr>
            <sz val="10"/>
            <rFont val="Arial"/>
            <family val="2"/>
          </rPr>
          <t xml:space="preserve">La base resta gestionale semplificata, non dichiarazione fiscale.</t>
        </r>
      </text>
    </comment>
    <comment ref="C56" authorId="0">
      <text>
        <r>
          <rPr>
            <sz val="10"/>
            <rFont val="Arial"/>
            <family val="2"/>
          </rPr>
          <t xml:space="preserve">Da compilare con commercialista.</t>
        </r>
      </text>
    </comment>
    <comment ref="C57" authorId="0">
      <text>
        <r>
          <rPr>
            <sz val="10"/>
            <rFont val="Arial"/>
            <family val="2"/>
          </rPr>
          <t xml:space="preserve">La base resta gestionale semplificata.</t>
        </r>
      </text>
    </comment>
    <comment ref="C58" authorId="0">
      <text>
        <r>
          <rPr>
            <sz val="10"/>
            <rFont val="Arial"/>
            <family val="2"/>
          </rPr>
          <t xml:space="preserve">Per calcolo margine lordo effettivo; criterio da verificare.</t>
        </r>
      </text>
    </comment>
    <comment ref="C59" authorId="0">
      <text>
        <r>
          <rPr>
            <sz val="10"/>
            <rFont val="Arial"/>
            <family val="2"/>
          </rPr>
          <t xml:space="preserve">Collegamento dinamico a Ipotesi!C88.</t>
        </r>
      </text>
    </comment>
    <comment ref="C60" authorId="0">
      <text>
        <r>
          <rPr>
            <sz val="10"/>
            <rFont val="Arial"/>
            <family val="2"/>
          </rPr>
          <t xml:space="preserve">Divisa nei 12 mesi, limitata al fondo maturato. Nessun esborso non maturato.</t>
        </r>
      </text>
    </comment>
    <comment ref="C61" authorId="0">
      <text>
        <r>
          <rPr>
            <sz val="10"/>
            <rFont val="Arial"/>
            <family val="2"/>
          </rPr>
          <t xml:space="preserve">Inserire uscite previste se turn-over/riduzione organico.</t>
        </r>
      </text>
    </comment>
    <comment ref="C62" authorId="0">
      <text>
        <r>
          <rPr>
            <sz val="10"/>
            <rFont val="Arial"/>
            <family val="2"/>
          </rPr>
          <t xml:space="preserve">P&amp;L gestionale: quota non rimborsabile riconosciuta ai SAL simulati. OIC/trattamento fiscale da validare.</t>
        </r>
      </text>
    </comment>
    <comment ref="C63" authorId="0">
      <text>
        <r>
          <rPr>
            <sz val="10"/>
            <rFont val="Arial"/>
            <family val="2"/>
          </rPr>
          <t xml:space="preserve">v3.1: spostata a dicembre 2032 (fuori orizzonte) per evitare il rimborso integrale forzato a fine piano. Sostituire con la scadenza contrattuale reale.</t>
        </r>
      </text>
    </comment>
    <comment ref="C64" authorId="0">
      <text>
        <r>
          <rPr>
            <sz val="10"/>
            <rFont val="Arial"/>
            <family val="2"/>
          </rPr>
          <t xml:space="preserve">v3.1: 1 = ipotesi del piano. Mettere 0 se la sede non è in Abruzzo, Basilicata, Calabria, Campania, Molise, Puglia, Sardegna, Sicilia o cratere sismico. Usato in Motore_Startup!CD.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0" authorId="0">
      <text>
        <r>
          <rPr>
            <sz val="10"/>
            <rFont val="Arial"/>
            <family val="2"/>
          </rPr>
          <t xml:space="preserve">v3.1: data da confermare con delibera bancaria; per una società neocostituita serve di norma garanzia (Fondo di Garanzia PMI o soci). Senza fido vedere scenario 8.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C6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C7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C8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C9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C10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D5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D6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D7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D8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D9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D10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E5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E6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E7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E8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E9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E10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F5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F6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F7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F8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F9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F10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G5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G6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G7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G8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G9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  <comment ref="G10" authorId="0">
      <text>
        <r>
          <rPr>
            <sz val="10"/>
            <rFont val="Arial"/>
            <family val="2"/>
          </rPr>
          <t xml:space="preserve">Snapshot V2, commit 7995f9c. https://github.com/Lorenzo-MFC/Lorenzo-MFC/pull/25</t>
        </r>
      </text>
    </comment>
  </commentList>
</comments>
</file>

<file path=xl/comments2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V4" authorId="0">
      <text>
        <r>
          <rPr>
            <sz val="10"/>
            <rFont val="Arial"/>
            <family val="2"/>
          </rPr>
          <t xml:space="preserve">v3.1: conta i mesi precedenti consecutivi con cassa &gt;= buffer Advisory (Parametri_v3!C31). AY distribuisce solo se i 12 mesi precedenti (o tutti, se meno di 12) sono sopra il buffer.</t>
        </r>
      </text>
    </comment>
  </commentList>
</comments>
</file>

<file path=xl/sharedStrings.xml><?xml version="1.0" encoding="utf-8"?>
<sst xmlns="http://schemas.openxmlformats.org/spreadsheetml/2006/main" count="1737" uniqueCount="1016">
  <si>
    <t xml:space="preserve">LexShield | Modello finanziario v3.1</t>
  </si>
  <si>
    <t xml:space="preserve">Versione v3.1, 7 ottobre 2026: 13 correzioni sulla v3 del 6 ottobre, elencate in Fonti_Modifiche dalla riga 26. Originali non modificati.</t>
  </si>
  <si>
    <t xml:space="preserve">Argomento</t>
  </si>
  <si>
    <t xml:space="preserve">Istruzioni</t>
  </si>
  <si>
    <t xml:space="preserve">Scopo</t>
  </si>
  <si>
    <t xml:space="preserve">Modello gestionale mensile 2027–2031 per due società. La v3 corregge dipendenze, capacità, liquidità e controlli; non valida contratti, mercato o qualifiche giuridiche.</t>
  </si>
  <si>
    <t xml:space="preserve">Partenza</t>
  </si>
  <si>
    <t xml:space="preserve">Aprire Cruscotto. Scegliere scenario in Ipotesi!C5. Tutti i nove scenari sono ricalcolati dalle stesse ipotesi.</t>
  </si>
  <si>
    <t xml:space="preserve">Input da confermare</t>
  </si>
  <si>
    <t xml:space="preserve">Compilare le celle gialle di Parametri_v3, verificare Finanziamenti e Piano_SS. Le due quote consulenziali sono intenzionalmente vuote.</t>
  </si>
  <si>
    <t xml:space="preserve">Colori</t>
  </si>
  <si>
    <t xml:space="preserve">Blu: input; nero: formule; verde: collegamenti diretti. I valori V2_Riferimento sono snapshot storici, non motore.</t>
  </si>
  <si>
    <t xml:space="preserve">Crescita SaaS</t>
  </si>
  <si>
    <t xml:space="preserve">Clienti nuovi limitati da obiettivo, budget/CAC ritardato, funnel e capacità sviluppatori/supporto. Churn mensile derivato dal tasso annuo. Pricing annuo applicato a tutti i clienti: ipotesi di rinnovo semplificata.</t>
  </si>
  <si>
    <t xml:space="preserve">Ricavi servizi</t>
  </si>
  <si>
    <t xml:space="preserve">Giornate vendute limitate da capacità. Preparazione formazione esplicita, R&amp;S sottratta dalla capacità tecnica. Nessun contributo gratuito dei soci presunto.</t>
  </si>
  <si>
    <t xml:space="preserve">Finanziamenti</t>
  </si>
  <si>
    <t xml:space="preserve">Default include fonti pianificate non confermate. Parametri_v3!C6=1 esclude le fonti esterne con status 0; gli apporti iniziali restano input separati. Scenari 6–9 stressano indisponibilità delle fonti.</t>
  </si>
  <si>
    <t xml:space="preserve">Cassa e patrimonio</t>
  </si>
  <si>
    <t xml:space="preserve">Saldo negativo = deficit non finanziato. I periodi successivi sono condizionati a nuova copertura. Scadenza fido proposta a dicembre 2031, modificabile in Parametri_v3!C63.</t>
  </si>
  <si>
    <t xml:space="preserve">IVA e imposte</t>
  </si>
  <si>
    <t xml:space="preserve">IVA a 22% e quote imponibili sono ipotesi da validare. Incassi/pagamenti lordi, compensazione IVA e imposte gestionali con acconti storici; nessuna dichiarazione fiscale prodotta. IRAP e rettifiche fiscali restano semplificate.</t>
  </si>
  <si>
    <t xml:space="preserve">TFR</t>
  </si>
  <si>
    <t xml:space="preserve">Quota del costo all-in già presente, non costo aggiuntivo. Accumulo del fondo e liquidazioni separati: parametrizzazione da sostituire con dati paghe.</t>
  </si>
  <si>
    <t xml:space="preserve">Smart&amp;Start</t>
  </si>
  <si>
    <t xml:space="preserve">Budget 500 mila allocato a cinque categorie, spese pagate stimate, tetti e date. Contributo escluso sul circolante; quota non rimborsabile proiettata ai SAL nel CE gestionale, da validare contabilmente.</t>
  </si>
  <si>
    <t xml:space="preserve">Ultima quota e rate</t>
  </si>
  <si>
    <t xml:space="preserve">Il modello usa l'ultima erogazione simulata; a fine calendario SAL assume chiusa la quota disponibile. Ritardi istruttori/residui non rendicontati richiedono modificare le date: non sono una delibera.</t>
  </si>
  <si>
    <t xml:space="preserve">Dividendi</t>
  </si>
  <si>
    <t xml:space="preserve">Solo su utili pregressi cumulati disponibili dopo riserva, limitati dalla cassa. Imposta personale e reinvestimento separati; la startup non distribuisce utili.</t>
  </si>
  <si>
    <t xml:space="preserve">Requisiti</t>
  </si>
  <si>
    <t xml:space="preserve">Rapporto R&amp;S su MAX(costo, valore produzione). Status sempre NON ATTESTATO DAL MODELLO; classificazione attività e percorsi di permanenza richiedono validazione professionale.</t>
  </si>
  <si>
    <t xml:space="preserve">Motori</t>
  </si>
  <si>
    <t xml:space="preserve">Motore_Operativo, Motore_Advisory e Motore_Startup contengono 60 righe mensili per ciascuno dei nove scenari. Filtrare Scenario; non sovrascrivere formule.</t>
  </si>
  <si>
    <t xml:space="preserve">Avvertenza</t>
  </si>
  <si>
    <t xml:space="preserve">FTE annuali distribuiti uniformemente; sopravvivenza applicata dall'avvio, non una ristrutturazione a metà attività. Crediti/debiti a lag medio; insoluti e costi di ristrutturazione non modellati.</t>
  </si>
  <si>
    <t xml:space="preserve">Controlli</t>
  </si>
  <si>
    <t xml:space="preserve">Quadrature SP, IC, capitale, budget SS e fonti; negatività cassa/PN e requisiti non documentati sono rischi da affrontare, non errori da azzerare.</t>
  </si>
  <si>
    <t xml:space="preserve">Conservazione</t>
  </si>
  <si>
    <t xml:space="preserve">Originali intatti, hash SHA-256 registrati in Fonti_Modifiche. Nessun commit, commento o pubblicazione su GitHub.</t>
  </si>
  <si>
    <t xml:space="preserve">Novità v3.1</t>
  </si>
  <si>
    <t xml:space="preserve">Leve per scenario su CAC (Ipotesi riga 27), FTE fatturabili e costi fissi (righe 125-126); dividendi bloccati dopo deficit; R&amp;S al netto del supporto clienti; flag fondo perduto (Parametri_v3!C64); scadenza fido 12/2032; organico startup 2029-2031 ridotto.</t>
  </si>
  <si>
    <t xml:space="preserve">Decisioni e liquidità | scenario selezionato</t>
  </si>
  <si>
    <t xml:space="preserve">Non confondere assenza di errori di formula con sostenibilità economica.</t>
  </si>
  <si>
    <t xml:space="preserve">Indicatore</t>
  </si>
  <si>
    <t xml:space="preserve">Valore (€ ove applicabile)</t>
  </si>
  <si>
    <t xml:space="preserve">Lettura</t>
  </si>
  <si>
    <t xml:space="preserve">Scenario selezionato</t>
  </si>
  <si>
    <t xml:space="preserve">Modificare Ipotesi!C5 da 1 a 9.</t>
  </si>
  <si>
    <t xml:space="preserve">Regime finanziamenti</t>
  </si>
  <si>
    <t xml:space="preserve">Le erogazioni non sono garanzie di disponibilità.</t>
  </si>
  <si>
    <t xml:space="preserve">Ricavi gruppo 2031</t>
  </si>
  <si>
    <t xml:space="preserve">Derivati da capacità, budget acquisizione e churn.</t>
  </si>
  <si>
    <t xml:space="preserve">EBITDA gruppo 2031</t>
  </si>
  <si>
    <t xml:space="preserve">Esclusi contributi SS.</t>
  </si>
  <si>
    <t xml:space="preserve">Minimo mensile cassa startup</t>
  </si>
  <si>
    <t xml:space="preserve">Include utilizzo fido massimo disponibile nello scenario.</t>
  </si>
  <si>
    <t xml:space="preserve">Minimo mensile cassa Advisory</t>
  </si>
  <si>
    <t xml:space="preserve">Non compensare automaticamente con cassa startup.</t>
  </si>
  <si>
    <t xml:space="preserve">Picco capitale aggiuntivo startup</t>
  </si>
  <si>
    <t xml:space="preserve">Incluso buffer proposto; fabbisogno NON finanziato.</t>
  </si>
  <si>
    <t xml:space="preserve">Picco capitale aggiuntivo Advisory</t>
  </si>
  <si>
    <t xml:space="preserve">Separato; non sommare i picchi come simultanei senza controllare i mesi.</t>
  </si>
  <si>
    <t xml:space="preserve">Patrimonio startup 2031</t>
  </si>
  <si>
    <t xml:space="preserve">Pro forma condizionato, con perdite e riserve.</t>
  </si>
  <si>
    <t xml:space="preserve">Clienti SaaS 2031</t>
  </si>
  <si>
    <t xml:space="preserve">Valori attesi, anche frazionari.</t>
  </si>
  <si>
    <t xml:space="preserve">Rapporto R&amp;S 2031</t>
  </si>
  <si>
    <t xml:space="preserve">Denominatore corretto gestionale; ammissibilità non attestata.</t>
  </si>
  <si>
    <t xml:space="preserve">Esito finanziario</t>
  </si>
  <si>
    <t xml:space="preserve">L'esito non valida mercato, status o concessioni.</t>
  </si>
  <si>
    <t xml:space="preserve">Esito tecnico</t>
  </si>
  <si>
    <t xml:space="preserve">Controllo contabile automatico, non certificazione.</t>
  </si>
  <si>
    <t xml:space="preserve">Primo mese con deficit di cassa</t>
  </si>
  <si>
    <t xml:space="preserve">Prima cassa negativa in una delle società; vedere Tesoreria.</t>
  </si>
  <si>
    <t xml:space="preserve">Picco gap simultaneo di gruppo</t>
  </si>
  <si>
    <t xml:space="preserve">Somma dei fabbisogni nello stesso mese, con buffer separati.</t>
  </si>
  <si>
    <t xml:space="preserve">Anno</t>
  </si>
  <si>
    <t xml:space="preserve">Ricavi gruppo</t>
  </si>
  <si>
    <t xml:space="preserve">EBITDA gruppo</t>
  </si>
  <si>
    <t xml:space="preserve">Cassa startup</t>
  </si>
  <si>
    <t xml:space="preserve">Cassa Advisory</t>
  </si>
  <si>
    <t xml:space="preserve">Minimo cassa startup escluso rimborso finale fido</t>
  </si>
  <si>
    <t xml:space="preserve">Utile se la scadenza fido (Parametri_v3!C63) cade nel 2031.</t>
  </si>
  <si>
    <t xml:space="preserve">Gruppo | aggregato gestionale delle due società</t>
  </si>
  <si>
    <t xml:space="preserve">Ricavi e partite reciproche eliminati; non è un bilancio consolidato civilistico.</t>
  </si>
  <si>
    <t xml:space="preserve">Unità</t>
  </si>
  <si>
    <t xml:space="preserve">Ricavi tecnici esterni</t>
  </si>
  <si>
    <t xml:space="preserve">€</t>
  </si>
  <si>
    <t xml:space="preserve">Ricavi SaaS</t>
  </si>
  <si>
    <t xml:space="preserve">Ricavi consulenza</t>
  </si>
  <si>
    <t xml:space="preserve">Ricavi formazione</t>
  </si>
  <si>
    <t xml:space="preserve">Ricavi esterni di gruppo</t>
  </si>
  <si>
    <t xml:space="preserve">EBITDA di gruppo senza contributi</t>
  </si>
  <si>
    <t xml:space="preserve">Margine EBITDA</t>
  </si>
  <si>
    <t xml:space="preserve">%</t>
  </si>
  <si>
    <t xml:space="preserve">Utile netto aggregato</t>
  </si>
  <si>
    <t xml:space="preserve">Clienti SaaS finali</t>
  </si>
  <si>
    <t xml:space="preserve">clienti</t>
  </si>
  <si>
    <t xml:space="preserve">ARR SaaS</t>
  </si>
  <si>
    <t xml:space="preserve">Nuovi clienti nell'anno</t>
  </si>
  <si>
    <t xml:space="preserve">Clienti persi nell'anno</t>
  </si>
  <si>
    <t xml:space="preserve">Budget acquisizione SaaS</t>
  </si>
  <si>
    <t xml:space="preserve">CAC corrente (budget anno / nuovi anno; ciclo da considerare)</t>
  </si>
  <si>
    <t xml:space="preserve">Margine lordo SaaS da costi</t>
  </si>
  <si>
    <t xml:space="preserve">Obiettivo margine lordo SaaS</t>
  </si>
  <si>
    <t xml:space="preserve">Organico medio gruppo (FTE)</t>
  </si>
  <si>
    <t xml:space="preserve">FTE</t>
  </si>
  <si>
    <t xml:space="preserve">Cassa S a fine anno</t>
  </si>
  <si>
    <t xml:space="preserve">Cassa A a fine anno</t>
  </si>
  <si>
    <t xml:space="preserve">Cassa totale a fine anno</t>
  </si>
  <si>
    <t xml:space="preserve">Cassa minima startup</t>
  </si>
  <si>
    <t xml:space="preserve">Cassa minima Advisory</t>
  </si>
  <si>
    <t xml:space="preserve">Fabbisogno massimo startup con buffer</t>
  </si>
  <si>
    <t xml:space="preserve">Fabbisogno massimo Advisory con buffer</t>
  </si>
  <si>
    <t xml:space="preserve">Patrimonio netto aggregato</t>
  </si>
  <si>
    <t xml:space="preserve">Debito finanziario totale</t>
  </si>
  <si>
    <t xml:space="preserve">Dividendi netti trattenuti dai soci</t>
  </si>
  <si>
    <t xml:space="preserve">Imposta dividendi pagata dai soci</t>
  </si>
  <si>
    <t xml:space="preserve">Scarto saldi IC</t>
  </si>
  <si>
    <t xml:space="preserve">Ricavi SaaS obiettivo V2 (solo confronto)</t>
  </si>
  <si>
    <t xml:space="preserve">Startup | riepilogo annuale selezionato</t>
  </si>
  <si>
    <t xml:space="preserve">Conto economico gestionale, posizione patrimoniale e picco del fabbisogno mensile.</t>
  </si>
  <si>
    <t xml:space="preserve">Ricavi esterni</t>
  </si>
  <si>
    <t xml:space="preserve">Canone infragruppo (ricavo S / costo A)</t>
  </si>
  <si>
    <t xml:space="preserve">Ricavi conto economico</t>
  </si>
  <si>
    <t xml:space="preserve">Costi operativi</t>
  </si>
  <si>
    <t xml:space="preserve">EBITDA senza contributi</t>
  </si>
  <si>
    <t xml:space="preserve">Ammortamenti</t>
  </si>
  <si>
    <t xml:space="preserve">EBIT</t>
  </si>
  <si>
    <t xml:space="preserve">Contributo SS gestionale</t>
  </si>
  <si>
    <t xml:space="preserve">Interessi e commissioni</t>
  </si>
  <si>
    <t xml:space="preserve">Risultato ante imposte</t>
  </si>
  <si>
    <t xml:space="preserve">Imposte CE</t>
  </si>
  <si>
    <t xml:space="preserve">Utile netto</t>
  </si>
  <si>
    <t xml:space="preserve">Cassa teorica a fine anno / deficit</t>
  </si>
  <si>
    <t xml:space="preserve">Minimo mensile di cassa nell'anno</t>
  </si>
  <si>
    <t xml:space="preserve">Massimo fabbisogno per buffer nell'anno</t>
  </si>
  <si>
    <t xml:space="preserve">Fido utilizzato a fine anno</t>
  </si>
  <si>
    <t xml:space="preserve">SS erogato nell'anno</t>
  </si>
  <si>
    <t xml:space="preserve">SS rimborsato nell'anno</t>
  </si>
  <si>
    <t xml:space="preserve">Debito SS residuo</t>
  </si>
  <si>
    <t xml:space="preserve">Apporti iniziali</t>
  </si>
  <si>
    <t xml:space="preserve">Round incassati</t>
  </si>
  <si>
    <t xml:space="preserve">Dividendi lordi distribuiti</t>
  </si>
  <si>
    <t xml:space="preserve">Dividendi reinvestiti dai soci</t>
  </si>
  <si>
    <t xml:space="preserve">Crediti esterni IVA inclusa</t>
  </si>
  <si>
    <t xml:space="preserve">Saldo infragruppo</t>
  </si>
  <si>
    <t xml:space="preserve">Debiti fornitori esterni</t>
  </si>
  <si>
    <t xml:space="preserve">Saldo IVA (debito + / credito -)</t>
  </si>
  <si>
    <t xml:space="preserve">Saldo imposte (debito + / credito -)</t>
  </si>
  <si>
    <t xml:space="preserve">Fondo TFR</t>
  </si>
  <si>
    <t xml:space="preserve">Immobilizzazioni nette</t>
  </si>
  <si>
    <t xml:space="preserve">Patrimonio netto</t>
  </si>
  <si>
    <t xml:space="preserve">Totale attività teoriche</t>
  </si>
  <si>
    <t xml:space="preserve">Passività e patrimonio netto</t>
  </si>
  <si>
    <t xml:space="preserve">Quadratura SP fine anno</t>
  </si>
  <si>
    <t xml:space="preserve">Investimenti pagati ex IVA</t>
  </si>
  <si>
    <t xml:space="preserve">Imposte effettivamente pagate</t>
  </si>
  <si>
    <t xml:space="preserve">IVA versata</t>
  </si>
  <si>
    <t xml:space="preserve">Contributo SS gestionale dell'anno</t>
  </si>
  <si>
    <t xml:space="preserve">Advisory | riepilogo annuale selezionato</t>
  </si>
  <si>
    <t xml:space="preserve">Patrimonio e cassa autonomi: non sono liberamente trasferibili tra le società.</t>
  </si>
  <si>
    <t xml:space="preserve">Fido residuo fine anno</t>
  </si>
  <si>
    <t xml:space="preserve">Tesoreria mensile | scenario selezionato</t>
  </si>
  <si>
    <t xml:space="preserve">Posizioni separate e fabbisogno simultaneo: non sommare picchi che si verificano in mesi diversi.</t>
  </si>
  <si>
    <t xml:space="preserve">Mese</t>
  </si>
  <si>
    <t xml:space="preserve">Cassa iniziale S</t>
  </si>
  <si>
    <t xml:space="preserve">Flusso operativo S incl. capex</t>
  </si>
  <si>
    <t xml:space="preserve">Fonti S ex fido</t>
  </si>
  <si>
    <t xml:space="preserve">Rimborso SS</t>
  </si>
  <si>
    <t xml:space="preserve">Fido netto</t>
  </si>
  <si>
    <t xml:space="preserve">Cassa finale S</t>
  </si>
  <si>
    <t xml:space="preserve">Gap S per buffer</t>
  </si>
  <si>
    <t xml:space="preserve">Cassa finale A</t>
  </si>
  <si>
    <t xml:space="preserve">Gap A per buffer</t>
  </si>
  <si>
    <t xml:space="preserve">Cassa gruppo</t>
  </si>
  <si>
    <t xml:space="preserve">Gap simultaneo S+A</t>
  </si>
  <si>
    <t xml:space="preserve">Deficit 0/1</t>
  </si>
  <si>
    <t xml:space="preserve">Liquidità mensile per società</t>
  </si>
  <si>
    <t xml:space="preserve">Importi in euro. I saldi negativi indicano deficit non finanziati; i fondi previsti restano condizionati.</t>
  </si>
  <si>
    <t xml:space="preserve">Nove scenari | confronto live</t>
  </si>
  <si>
    <t xml:space="preserve">Importi in euro salvo clienti. Tutte le celle dipendono dalle formule dei motori; nessuno snapshot manuale.</t>
  </si>
  <si>
    <t xml:space="preserve">Scenario</t>
  </si>
  <si>
    <t xml:space="preserve">Prudente</t>
  </si>
  <si>
    <t xml:space="preserve">Cassa finale startup</t>
  </si>
  <si>
    <t xml:space="preserve">Minimo mensile startup</t>
  </si>
  <si>
    <t xml:space="preserve">Fabbisogno startup con buffer</t>
  </si>
  <si>
    <t xml:space="preserve">Minimo mensile Advisory</t>
  </si>
  <si>
    <t xml:space="preserve">Fabbisogno Advisory con buffer</t>
  </si>
  <si>
    <t xml:space="preserve">Patrimonio netto startup</t>
  </si>
  <si>
    <t xml:space="preserve">Base</t>
  </si>
  <si>
    <t xml:space="preserve">Ottimistico</t>
  </si>
  <si>
    <t xml:space="preserve">Worst case</t>
  </si>
  <si>
    <t xml:space="preserve">Sopravvivenza</t>
  </si>
  <si>
    <t xml:space="preserve">Senza Smart&amp;Start</t>
  </si>
  <si>
    <t xml:space="preserve">Senza round</t>
  </si>
  <si>
    <t xml:space="preserve">Senza banca</t>
  </si>
  <si>
    <t xml:space="preserve">Senza fonti esterne</t>
  </si>
  <si>
    <t xml:space="preserve">Ipotesi — struttura a due società: LexShield AI S.r.l. (startup) e LexShield Advisory S.r.l. (consulenza)</t>
  </si>
  <si>
    <t xml:space="preserve">Celle blu = input modificabili · celle gialle = ipotesi chiave · nero = formule · verde = collegamenti ad altri fogli. Importi in euro.</t>
  </si>
  <si>
    <t xml:space="preserve">Scenario attivo: 1 Prudente, 2 Base, 3 Ottimistico, 4 Worst, 5 Sopravvivenza, 6 No SS, 7 No round, 8 No banca, 9 No esterni</t>
  </si>
  <si>
    <t xml:space="preserve">indice</t>
  </si>
  <si>
    <t xml:space="preserve">Usare un indice da 1 a 9; Cruscotto e riepiloghi seguono questa scelta.</t>
  </si>
  <si>
    <t xml:space="preserve">Leve per scenario</t>
  </si>
  <si>
    <t xml:space="preserve">Volumi servizi (giornate di consulenza, test, formazione)</t>
  </si>
  <si>
    <t xml:space="preserve">x</t>
  </si>
  <si>
    <t xml:space="preserve">Worst case: -45% di giornate vendute.</t>
  </si>
  <si>
    <t xml:space="preserve">Clienti piattaforma SaaS</t>
  </si>
  <si>
    <t xml:space="preserve">Worst case: adozione della piattaforma al 35% del piano.</t>
  </si>
  <si>
    <t xml:space="preserve">Prezzi (tariffe e abbonamenti)</t>
  </si>
  <si>
    <t xml:space="preserve">Worst case: sconti del 10%.</t>
  </si>
  <si>
    <t xml:space="preserve">Organico non fondatori (FTE, entrambe le società)</t>
  </si>
  <si>
    <t xml:space="preserve">Piano di sopravvivenza: organico al 30% (con due società serve un taglio più forte che nel modello unico).</t>
  </si>
  <si>
    <t xml:space="preserve">Budget marketing</t>
  </si>
  <si>
    <t xml:space="preserve">Piano di sopravvivenza: marketing al 20%.</t>
  </si>
  <si>
    <t xml:space="preserve">Compensi del CEO (stipendio startup e compenso da amministratore di Advisory)</t>
  </si>
  <si>
    <t xml:space="preserve">Piano di sopravvivenza: -40%.</t>
  </si>
  <si>
    <t xml:space="preserve">Giorni medi di incasso clienti (DSO)</t>
  </si>
  <si>
    <t xml:space="preserve">giorni</t>
  </si>
  <si>
    <t xml:space="preserve">Worst case: clienti che pagano a 120 giorni.</t>
  </si>
  <si>
    <t xml:space="preserve">Ritardo erogazioni Smart&amp;Start</t>
  </si>
  <si>
    <t xml:space="preserve">anni</t>
  </si>
  <si>
    <t xml:space="preserve">Worst case: un anno di ritardo.</t>
  </si>
  <si>
    <t xml:space="preserve">Ritardo dei round di investimento</t>
  </si>
  <si>
    <t xml:space="preserve">Worst case: pre-seed nel 2029.</t>
  </si>
  <si>
    <t xml:space="preserve">Round seed raccolto</t>
  </si>
  <si>
    <t xml:space="preserve">quota</t>
  </si>
  <si>
    <t xml:space="preserve">Worst case: il seed non si chiude.</t>
  </si>
  <si>
    <t xml:space="preserve">Volumi servizi (giornate di consulenza, test, formazione): valore attivo</t>
  </si>
  <si>
    <t xml:space="preserve">Clienti piattaforma SaaS: valore attivo</t>
  </si>
  <si>
    <t xml:space="preserve">Prezzi (tariffe e abbonamenti): valore attivo</t>
  </si>
  <si>
    <t xml:space="preserve">Organico non fondatori (FTE, entrambe le società): valore attivo</t>
  </si>
  <si>
    <t xml:space="preserve">Budget marketing: valore attivo</t>
  </si>
  <si>
    <t xml:space="preserve">Compensi del CEO (stipendio startup e compenso da amministratore di Advisory): valore attivo</t>
  </si>
  <si>
    <t xml:space="preserve">Giorni medi di incasso clienti (DSO): valore attivo</t>
  </si>
  <si>
    <t xml:space="preserve">Ritardo erogazioni Smart&amp;Start: valore attivo</t>
  </si>
  <si>
    <t xml:space="preserve">Ritardo dei round di investimento: valore attivo</t>
  </si>
  <si>
    <t xml:space="preserve">Round seed raccolto: valore attivo</t>
  </si>
  <si>
    <t xml:space="preserve">Moltiplicatore CAC (budget/CAC)</t>
  </si>
  <si>
    <t xml:space="preserve">v3.1: leva CAC per scenario; valori proposti da validare. Usata in Motore_Operativo!BA.</t>
  </si>
  <si>
    <t xml:space="preserve">Voce</t>
  </si>
  <si>
    <t xml:space="preserve">Note / fonte</t>
  </si>
  <si>
    <t xml:space="preserve">LexShield AI S.r.l. (startup innovativa) — ricavi tecnologici</t>
  </si>
  <si>
    <t xml:space="preserve">Servizi tecnici di sicurezza AI: giornate (base)</t>
  </si>
  <si>
    <t xml:space="preserve">Red teaming, test di prompt injection, audit dei modelli con strumenti proprietari del laboratorio.</t>
  </si>
  <si>
    <t xml:space="preserve">Servizi tecnici: tariffa media</t>
  </si>
  <si>
    <t xml:space="preserve">€/giorno</t>
  </si>
  <si>
    <t xml:space="preserve">Piattaforma: clienti a fine anno (base)</t>
  </si>
  <si>
    <t xml:space="preserve">n.</t>
  </si>
  <si>
    <t xml:space="preserve">Prima versione anticipata al 2027 con 5 clienti pilota.</t>
  </si>
  <si>
    <t xml:space="preserve">Piattaforma: ricavo medio annuo per cliente</t>
  </si>
  <si>
    <t xml:space="preserve">€/anno</t>
  </si>
  <si>
    <t xml:space="preserve">Prezzo pilota nel 2027.</t>
  </si>
  <si>
    <t xml:space="preserve">Piattaforma: churn annuo</t>
  </si>
  <si>
    <t xml:space="preserve">CAC acquisizione SaaS (budget marketing + personale acquisizione)</t>
  </si>
  <si>
    <t xml:space="preserve">€/cliente</t>
  </si>
  <si>
    <t xml:space="preserve">Obiettivo margine lordo SaaS (solo confronto, non costo imposto)</t>
  </si>
  <si>
    <t xml:space="preserve">Ora confrontato con il margine derivato dai costi, non utilizzato per inventare profitti.</t>
  </si>
  <si>
    <t xml:space="preserve">Canone infragruppo per piattaforma e metodologia</t>
  </si>
  <si>
    <t xml:space="preserve">% ricavi Advisory</t>
  </si>
  <si>
    <t xml:space="preserve">Pagato da LexShield Advisory alla startup a valore di mercato (contratto di licenza). Da validare con il commercialista.</t>
  </si>
  <si>
    <t xml:space="preserve">LexShield AI S.r.l. — organico (FTE medi nell'anno)</t>
  </si>
  <si>
    <t xml:space="preserve">CEO (socio manager)</t>
  </si>
  <si>
    <t xml:space="preserve">CTO</t>
  </si>
  <si>
    <t xml:space="preserve">Security engineer / AI red teamer</t>
  </si>
  <si>
    <t xml:space="preserve">Sviluppatori piattaforma</t>
  </si>
  <si>
    <t xml:space="preserve">Anticipato a 1 FTE nel 2027 per la prima versione della piattaforma.</t>
  </si>
  <si>
    <t xml:space="preserve">Commerciali e customer success</t>
  </si>
  <si>
    <t xml:space="preserve">Amministrazione</t>
  </si>
  <si>
    <t xml:space="preserve">LexShield Advisory S.r.l. (consulenza e formazione) — ricavi e organico</t>
  </si>
  <si>
    <t xml:space="preserve">Consulenza di conformità: giornate (base)</t>
  </si>
  <si>
    <t xml:space="preserve">Consulenza: tariffa media</t>
  </si>
  <si>
    <t xml:space="preserve">Formazione: giornate d'aula (base)</t>
  </si>
  <si>
    <t xml:space="preserve">giornate</t>
  </si>
  <si>
    <t xml:space="preserve">Formazione: prezzo per giornata</t>
  </si>
  <si>
    <t xml:space="preserve">€/giornata</t>
  </si>
  <si>
    <t xml:space="preserve">Consulenti di conformità</t>
  </si>
  <si>
    <t xml:space="preserve">1,5 FTE nel 2027: i fondatori non lavorano più per la consulenza, che diventa autonoma.</t>
  </si>
  <si>
    <t xml:space="preserve">Responsabile operativo della consulenza</t>
  </si>
  <si>
    <t xml:space="preserve">Gestisce Advisory dal 2028; il socio avvocato non può avere deleghe operative.</t>
  </si>
  <si>
    <t xml:space="preserve">Compenso amministratore (CEO)</t>
  </si>
  <si>
    <t xml:space="preserve">Il CEO è amministratore di entrambe le società.</t>
  </si>
  <si>
    <t xml:space="preserve">Costi del personale — costo aziendale per FTE (2027) e compensi</t>
  </si>
  <si>
    <t xml:space="preserve">CEO — stipendio nella startup</t>
  </si>
  <si>
    <t xml:space="preserve">€/FTE</t>
  </si>
  <si>
    <t xml:space="preserve">Security engineer</t>
  </si>
  <si>
    <t xml:space="preserve">Sviluppatore</t>
  </si>
  <si>
    <t xml:space="preserve">Commerciale / customer success</t>
  </si>
  <si>
    <t xml:space="preserve">Consulente di conformità</t>
  </si>
  <si>
    <t xml:space="preserve">Responsabile operativo consulenza</t>
  </si>
  <si>
    <t xml:space="preserve">Crescita annua costo del lavoro</t>
  </si>
  <si>
    <t xml:space="preserve">Provvigioni commerciali</t>
  </si>
  <si>
    <t xml:space="preserve">% ricavi esterni</t>
  </si>
  <si>
    <t xml:space="preserve">Compenso professionale totale del socio avvocato (a fattura)</t>
  </si>
  <si>
    <t xml:space="preserve">Quota del compenso a carico della startup</t>
  </si>
  <si>
    <t xml:space="preserve">Il resto lo paga Advisory (metodologia legale, formazione). I pareri legali restano allo studio dell'avvocato.</t>
  </si>
  <si>
    <t xml:space="preserve">Altri costi operativi</t>
  </si>
  <si>
    <t xml:space="preserve">Startup — software e cloud, quota fissa</t>
  </si>
  <si>
    <t xml:space="preserve">Startup — hosting della piattaforma</t>
  </si>
  <si>
    <t xml:space="preserve">% ricavi SaaS</t>
  </si>
  <si>
    <t xml:space="preserve">Startup — uffici e laboratorio</t>
  </si>
  <si>
    <t xml:space="preserve">Startup — marketing della piattaforma</t>
  </si>
  <si>
    <t xml:space="preserve">Startup — assicurazioni (cyber, responsabilità prodotto)</t>
  </si>
  <si>
    <t xml:space="preserve">Startup — certificazioni ISO 27001 / 42001</t>
  </si>
  <si>
    <t xml:space="preserve">Startup — consulenze esterne (commercialista, notaio, bandi)</t>
  </si>
  <si>
    <t xml:space="preserve">Startup — investimenti (hardware, laboratorio)</t>
  </si>
  <si>
    <t xml:space="preserve">Advisory — uffici (subaffitto o coworking)</t>
  </si>
  <si>
    <t xml:space="preserve">Advisory — eventi, associazioni, contenuti</t>
  </si>
  <si>
    <t xml:space="preserve">Advisory — responsabilità professionale</t>
  </si>
  <si>
    <t xml:space="preserve">Massimali da rivedere dopo il D.Lgs. 160/2026.</t>
  </si>
  <si>
    <t xml:space="preserve">Advisory — commercialista e consulenze</t>
  </si>
  <si>
    <t xml:space="preserve">Advisory — investimenti (computer)</t>
  </si>
  <si>
    <t xml:space="preserve">Formazione del personale</t>
  </si>
  <si>
    <t xml:space="preserve">Viaggi e trasferte</t>
  </si>
  <si>
    <t xml:space="preserve">Altre spese generali</t>
  </si>
  <si>
    <t xml:space="preserve">% ricavi</t>
  </si>
  <si>
    <t xml:space="preserve">Anni di ammortamento</t>
  </si>
  <si>
    <t xml:space="preserve">Capitale circolante, imposte, dividendi</t>
  </si>
  <si>
    <t xml:space="preserve">Giorni medi di pagamento fornitori (DPO)</t>
  </si>
  <si>
    <t xml:space="preserve">Aliquota IRES</t>
  </si>
  <si>
    <t xml:space="preserve">Aliquota IRAP (semplificata, su EBIT positivo)</t>
  </si>
  <si>
    <t xml:space="preserve">Advisory — quota dell'utile distribuita ai soci</t>
  </si>
  <si>
    <t xml:space="preserve">Dividendi nel mese parametrico, su utili precedenti, riserve e cassa disponibile.</t>
  </si>
  <si>
    <t xml:space="preserve">Imposta sui dividendi per i soci persone fisiche</t>
  </si>
  <si>
    <t xml:space="preserve">Quota dei dividendi netti reinvestita dai soci nella startup</t>
  </si>
  <si>
    <t xml:space="preserve">Versamenti in conto capitale dei fondatori: non cambiano le quote.</t>
  </si>
  <si>
    <t xml:space="preserve">Finanziamento</t>
  </si>
  <si>
    <t xml:space="preserve">Capitale dei fondatori nella startup (2027)</t>
  </si>
  <si>
    <t xml:space="preserve">Copre il 20% di cofinanziamento Smart&amp;Start (100.000 €).</t>
  </si>
  <si>
    <t xml:space="preserve">Capitale dei fondatori in Advisory (2027)</t>
  </si>
  <si>
    <t xml:space="preserve">Totale versato dai soci: 150.000 €, come nel piano originale.</t>
  </si>
  <si>
    <t xml:space="preserve">Smart&amp;Start — spese del piano d'impresa (startup)</t>
  </si>
  <si>
    <t xml:space="preserve">Smart&amp;Start — mutuo a tasso zero</t>
  </si>
  <si>
    <t xml:space="preserve">% spese</t>
  </si>
  <si>
    <t xml:space="preserve">Smart&amp;Start — quota a fondo perduto (Mezzogiorno)</t>
  </si>
  <si>
    <t xml:space="preserve">% mutuo</t>
  </si>
  <si>
    <t xml:space="preserve">Riparto SAL per anno (derivato dalle date)</t>
  </si>
  <si>
    <t xml:space="preserve">Date e quote modificabili soltanto nel foglio Finanziamenti.</t>
  </si>
  <si>
    <t xml:space="preserve">Quota finanziamento effettivamente simulata per anno</t>
  </si>
  <si>
    <t xml:space="preserve">Primo anno rimborso SS (indicativo, non driver)</t>
  </si>
  <si>
    <t xml:space="preserve">anno</t>
  </si>
  <si>
    <t xml:space="preserve">Smart&amp;Start — primo anno di rimborso effettivo</t>
  </si>
  <si>
    <t xml:space="preserve">Il motore usa l'ultima erogazione effettivamente simulata e il lag in mesi.</t>
  </si>
  <si>
    <t xml:space="preserve">Smart&amp;Start — durata rimborso</t>
  </si>
  <si>
    <t xml:space="preserve">Startup — linea di credito bancaria di riserva (massimo)</t>
  </si>
  <si>
    <t xml:space="preserve">Linea ipotizzata, non deliberata; stato e inclusione in Finanziamenti.</t>
  </si>
  <si>
    <t xml:space="preserve">Startup — tasso sulla linea di credito</t>
  </si>
  <si>
    <t xml:space="preserve">Round pre-seed — importo</t>
  </si>
  <si>
    <t xml:space="preserve">Round pre-seed — valutazione pre-money</t>
  </si>
  <si>
    <t xml:space="preserve">Round pre-seed — anno</t>
  </si>
  <si>
    <t xml:space="preserve">Anno derivato dalla data in Finanziamenti!D8: modificare quella data.</t>
  </si>
  <si>
    <t xml:space="preserve">Round seed — importo</t>
  </si>
  <si>
    <t xml:space="preserve">Round seed — valutazione pre-money</t>
  </si>
  <si>
    <t xml:space="preserve">Round seed — anno</t>
  </si>
  <si>
    <t xml:space="preserve">Anno derivato dalla data in Finanziamenti!D9: modificare quella data.</t>
  </si>
  <si>
    <t xml:space="preserve">Round pre-seed — anno effettivo</t>
  </si>
  <si>
    <t xml:space="preserve">Round seed — anno effettivo</t>
  </si>
  <si>
    <t xml:space="preserve">Round seed — importo effettivo</t>
  </si>
  <si>
    <t xml:space="preserve">Importo seed corretto per disponibilità e scenario: vedere Cap_Table!C18.</t>
  </si>
  <si>
    <t xml:space="preserve">Piano di stock option (ESOP), creato prima del pre-seed</t>
  </si>
  <si>
    <t xml:space="preserve">% capitale</t>
  </si>
  <si>
    <t xml:space="preserve">Quota costitutiva CEO (startup)</t>
  </si>
  <si>
    <t xml:space="preserve">Quota costitutiva socio avvocato (startup)</t>
  </si>
  <si>
    <t xml:space="preserve">Quota riservata al CTO (startup, vesting 4 anni)</t>
  </si>
  <si>
    <t xml:space="preserve">Moltiplicatore FTE fatturabili (security engineer, consulenti)</t>
  </si>
  <si>
    <t xml:space="preserve">v3.1: sostituisce il moltiplicatore FTE per chi fattura; Sopravvivenza = volumi (0,55).</t>
  </si>
  <si>
    <t xml:space="preserve">Moltiplicatore costi fissi (affitti, certificazioni, software fisso)</t>
  </si>
  <si>
    <t xml:space="preserve">v3.1: taglio costi fissi in Sopravvivenza; 0,6 proposto da validare.</t>
  </si>
  <si>
    <t xml:space="preserve">Parametri nuovi e assunzioni da validare</t>
  </si>
  <si>
    <t xml:space="preserve">Blu = input; giallo = nuove ipotesi critiche. Nessuna previsione equivale a finanziamento deliberato.</t>
  </si>
  <si>
    <t xml:space="preserve">Parametro</t>
  </si>
  <si>
    <t xml:space="preserve">Valore</t>
  </si>
  <si>
    <t xml:space="preserve">Provenienza / motivazione</t>
  </si>
  <si>
    <t xml:space="preserve">Inizio piano</t>
  </si>
  <si>
    <t xml:space="preserve">data</t>
  </si>
  <si>
    <t xml:space="preserve">Ipotesi calendario v3; mantenere primo giorno di gennaio.</t>
  </si>
  <si>
    <t xml:space="preserve">Solo fonti ESTERNE confermate (0 no, 1 sì)</t>
  </si>
  <si>
    <t xml:space="preserve">flag</t>
  </si>
  <si>
    <t xml:space="preserve">Default 0: scenario finanziato da ipotesi. Non esiste evidenza di impegni nella proposta.</t>
  </si>
  <si>
    <t xml:space="preserve">Giornate lavorabili annue per FTE</t>
  </si>
  <si>
    <t xml:space="preserve">Nuova ipotesi operativa, da confermare con consulente del lavoro.</t>
  </si>
  <si>
    <t xml:space="preserve">Utilizzo fatturabile consulenti Advisory</t>
  </si>
  <si>
    <t xml:space="preserve">Nuova ipotesi di capacità; esclude tempo non vendibile.</t>
  </si>
  <si>
    <t xml:space="preserve">Preparazione per giornata di formazione</t>
  </si>
  <si>
    <t xml:space="preserve">0,5 giorni aggiuntivi per giorno d'aula.</t>
  </si>
  <si>
    <t xml:space="preserve">Giornate annue aggiuntive del socio per Advisory</t>
  </si>
  <si>
    <t xml:space="preserve">Non presumere lavoro gratuito o disponibilità non documentata.</t>
  </si>
  <si>
    <t xml:space="preserve">Utilizzo tecnico fatturabile security engineer</t>
  </si>
  <si>
    <t xml:space="preserve">Applicato al tempo residuo dopo R&amp;S.</t>
  </si>
  <si>
    <t xml:space="preserve">Quota R&amp;S del personale sviluppatore</t>
  </si>
  <si>
    <t xml:space="preserve">Riprende la v2, da provare con timesheet; non attestata.</t>
  </si>
  <si>
    <t xml:space="preserve">Quota R&amp;S CTO</t>
  </si>
  <si>
    <t xml:space="preserve">Riprende la v2, da provare.</t>
  </si>
  <si>
    <t xml:space="preserve">Quota R&amp;S security engineer</t>
  </si>
  <si>
    <t xml:space="preserve">Riprende la v2; riduce anche capacità tecnica vendibile.</t>
  </si>
  <si>
    <t xml:space="preserve">Quota marketing startup dedicata a SaaS</t>
  </si>
  <si>
    <t xml:space="preserve">Allocazione di lavoro: marketing della piattaforma secondo v2.</t>
  </si>
  <si>
    <t xml:space="preserve">Quota sales/CS dedicata ad acquisizione SaaS</t>
  </si>
  <si>
    <t xml:space="preserve">Nuova allocazione; il resto è costo di supporto SaaS.</t>
  </si>
  <si>
    <t xml:space="preserve">Lead mensili per FTE acquisizione</t>
  </si>
  <si>
    <t xml:space="preserve">Nuova ipotesi, non benchmark: validare sul CRM.</t>
  </si>
  <si>
    <t xml:space="preserve">Conversione lead → incontro</t>
  </si>
  <si>
    <t xml:space="preserve">Nuova ipotesi, da validare.</t>
  </si>
  <si>
    <t xml:space="preserve">Conversione incontro → proposta</t>
  </si>
  <si>
    <t xml:space="preserve">Conversione proposta → contratto</t>
  </si>
  <si>
    <t xml:space="preserve">Ciclo commerciale in mesi</t>
  </si>
  <si>
    <t xml:space="preserve">mesi</t>
  </si>
  <si>
    <t xml:space="preserve">Budget e lead producono acquisizioni dopo questo ritardo.</t>
  </si>
  <si>
    <t xml:space="preserve">Clienti supportabili per FTE sviluppatore</t>
  </si>
  <si>
    <t xml:space="preserve">Capacità parametrica, non evidenza operativa.</t>
  </si>
  <si>
    <t xml:space="preserve">Clienti supportabili per FTE customer success</t>
  </si>
  <si>
    <t xml:space="preserve">Limite aggiuntivo; rivedere con complessità degli utenti.</t>
  </si>
  <si>
    <t xml:space="preserve">Inizio spese programma SS</t>
  </si>
  <si>
    <t xml:space="preserve">Proposta: luglio 2027. Verificare domanda/contratto e date ammissibili.</t>
  </si>
  <si>
    <t xml:space="preserve">Durata programma SS</t>
  </si>
  <si>
    <t xml:space="preserve">Piano 24 mesi; fonte Invitalia. Eventuali proroghe non automatiche.</t>
  </si>
  <si>
    <t xml:space="preserve">Aliquota IVA gestionale su voci imponibili</t>
  </si>
  <si>
    <t xml:space="preserve">Ipotesi di piano da validare; esenzioni/reverse charge non modellati.</t>
  </si>
  <si>
    <t xml:space="preserve">Quota costi esterni startup soggetta a IVA</t>
  </si>
  <si>
    <t xml:space="preserve">Nuova proxy: assicurazioni/esenzioni richiedono dettaglio.</t>
  </si>
  <si>
    <t xml:space="preserve">Quota costi esterni Advisory soggetta a IVA</t>
  </si>
  <si>
    <t xml:space="preserve">Esclude canone, trattato separatamente; nuova proxy da validare.</t>
  </si>
  <si>
    <t xml:space="preserve">Giorni pagamento/incasso infragruppo</t>
  </si>
  <si>
    <t xml:space="preserve">Unico parametro speculare per le due società.</t>
  </si>
  <si>
    <t xml:space="preserve">Cassa minima desiderata startup</t>
  </si>
  <si>
    <t xml:space="preserve">euro</t>
  </si>
  <si>
    <t xml:space="preserve">Buffer proposto, non finanziamento automatico.</t>
  </si>
  <si>
    <t xml:space="preserve">Cassa minima desiderata Advisory</t>
  </si>
  <si>
    <t xml:space="preserve">Buffer proposto prima di distribuire dividendi.</t>
  </si>
  <si>
    <t xml:space="preserve">Quota TFR già inclusa nel costo aziendale</t>
  </si>
  <si>
    <t xml:space="preserve">Proxy: non aggiunge costo. Differisce cassa e crea fondo; ricalcolare con dati paghe.</t>
  </si>
  <si>
    <t xml:space="preserve">Mese distribuzione dividendi Advisory</t>
  </si>
  <si>
    <t xml:space="preserve">mese</t>
  </si>
  <si>
    <t xml:space="preserve">Ipotesi giugno, dopo approvazione del bilancio.</t>
  </si>
  <si>
    <t xml:space="preserve">Accantonamento a riserva su utili precedenti</t>
  </si>
  <si>
    <t xml:space="preserve">Parametro gestionale da validare con statuto/commercialista.</t>
  </si>
  <si>
    <t xml:space="preserve">Tetto riserva rispetto al capitale sociale</t>
  </si>
  <si>
    <t xml:space="preserve">Parametro da validare; limita distribuibilità, non altera patrimonio totale.</t>
  </si>
  <si>
    <t xml:space="preserve">Capitale sociale nominale Advisory</t>
  </si>
  <si>
    <t xml:space="preserve">Nuova ipotesi; parte residua degli apporti trattata come riserva di capitale.</t>
  </si>
  <si>
    <t xml:space="preserve">Mesi da ultima erogazione SS a prima rata</t>
  </si>
  <si>
    <t xml:space="preserve">Fonte Invitalia; calendario contrattuale esatto da validare.</t>
  </si>
  <si>
    <t xml:space="preserve">Periodicità rate SS</t>
  </si>
  <si>
    <t xml:space="preserve">Ipotesi semestrale, da verificare nel contratto.</t>
  </si>
  <si>
    <t xml:space="preserve">Quota commissioni annue su fido accordato</t>
  </si>
  <si>
    <t xml:space="preserve">Zero: costi non documentati. Inserire il preventivo della banca.</t>
  </si>
  <si>
    <t xml:space="preserve">Perdite iniziali a utilizzo integrale: abilitazione</t>
  </si>
  <si>
    <t xml:space="preserve">Ipotesi v2 mantenuta, subordinata ai requisiti fiscali effettivi.</t>
  </si>
  <si>
    <t xml:space="preserve">Anni iniziali per perdite a utilizzo integrale</t>
  </si>
  <si>
    <t xml:space="preserve">Parametro fiscale da validare.</t>
  </si>
  <si>
    <t xml:space="preserve">Limite utilizzo perdite successive</t>
  </si>
  <si>
    <t xml:space="preserve">Parametro gestionale da validare; separazione delle due categorie.</t>
  </si>
  <si>
    <t xml:space="preserve">Mese saldo imposte e primo acconto</t>
  </si>
  <si>
    <t xml:space="preserve">Calendario proposto, non scadenzario fiscale ufficiale.</t>
  </si>
  <si>
    <t xml:space="preserve">Mese secondo acconto imposte</t>
  </si>
  <si>
    <t xml:space="preserve">Calendario proposto, da aggiornare con commercialista.</t>
  </si>
  <si>
    <t xml:space="preserve">Quota primo acconto su imposta anno precedente</t>
  </si>
  <si>
    <t xml:space="preserve">Proxy di acconti storici; complemento pagato nel mese indicato in C44 (novembre).</t>
  </si>
  <si>
    <t xml:space="preserve">Quota consulenziale servizi tecnici: se validata</t>
  </si>
  <si>
    <t xml:space="preserve">Lasciare vuoto finché non classificata; nessun falso 0% di consulenza.</t>
  </si>
  <si>
    <t xml:space="preserve">Quota consulenziale canone/metodologia: se validata</t>
  </si>
  <si>
    <t xml:space="preserve">Lasciare vuoto finché non classificata.</t>
  </si>
  <si>
    <t xml:space="preserve">Qualificazione attività validata (0/1)</t>
  </si>
  <si>
    <t xml:space="preserve">Richiede verifica professionale e documenti; non cambia con la sola formula.</t>
  </si>
  <si>
    <t xml:space="preserve">Spese R&amp;S documentate e validate (0/1)</t>
  </si>
  <si>
    <t xml:space="preserve">Proiezioni di ore non sono prova del requisito.</t>
  </si>
  <si>
    <t xml:space="preserve">Data costituzione</t>
  </si>
  <si>
    <t xml:space="preserve">Non documentata; ipotesi da sostituire.</t>
  </si>
  <si>
    <t xml:space="preserve">Data iscrizione sezione speciale</t>
  </si>
  <si>
    <t xml:space="preserve">Non documentata; determina finestre, non la sola colonna anno.</t>
  </si>
  <si>
    <t xml:space="preserve">Percorso alternativo permanenza documentato (0/1)</t>
  </si>
  <si>
    <t xml:space="preserve">Non si attiva automaticamente con crescita prevista; fonte MIMIT.</t>
  </si>
  <si>
    <t xml:space="preserve">Altre componenti annue valore produzione startup</t>
  </si>
  <si>
    <t xml:space="preserve">Da ricostruire civilisticamente; nessuna capitalizzazione sviluppo presunta.</t>
  </si>
  <si>
    <t xml:space="preserve">Rettifiche annue imponibile IRES startup</t>
  </si>
  <si>
    <t xml:space="preserve">Proxy zero: da compilare con commercialista.</t>
  </si>
  <si>
    <t xml:space="preserve">Rettifiche annue base IRAP startup</t>
  </si>
  <si>
    <t xml:space="preserve">La base resta gestionale semplificata, non dichiarazione fiscale.</t>
  </si>
  <si>
    <t xml:space="preserve">Rettifiche annue imponibile IRES Advisory</t>
  </si>
  <si>
    <t xml:space="preserve">Da compilare con commercialista.</t>
  </si>
  <si>
    <t xml:space="preserve">Rettifiche annue base IRAP Advisory</t>
  </si>
  <si>
    <t xml:space="preserve">La base resta gestionale semplificata.</t>
  </si>
  <si>
    <t xml:space="preserve">Quota software fisso attribuita al SaaS</t>
  </si>
  <si>
    <t xml:space="preserve">Per calcolo margine lordo effettivo; criterio da verificare.</t>
  </si>
  <si>
    <t xml:space="preserve">Durata vita utile investimenti (mesi)</t>
  </si>
  <si>
    <t xml:space="preserve">Collegamento dinamico a Ipotesi!C88.</t>
  </si>
  <si>
    <t xml:space="preserve">Liquidazione TFR startup per anno</t>
  </si>
  <si>
    <t xml:space="preserve">Divisa nei 12 mesi, limitata al fondo maturato. Nessun esborso non maturato.</t>
  </si>
  <si>
    <t xml:space="preserve">Liquidazione TFR Advisory per anno</t>
  </si>
  <si>
    <t xml:space="preserve">Inserire uscite previste se turn-over/riduzione organico.</t>
  </si>
  <si>
    <t xml:space="preserve">Regime contributo SS validato (0/1)</t>
  </si>
  <si>
    <t xml:space="preserve">P&amp;L gestionale: quota non rimborsabile riconosciuta ai SAL simulati. OIC/trattamento fiscale da validare.</t>
  </si>
  <si>
    <t xml:space="preserve">Mese scadenza fido / rimborso integrale</t>
  </si>
  <si>
    <t xml:space="preserve">v3.1: spostata a dicembre 2032 (fuori orizzonte) per evitare il rimborso integrale forzato a fine piano. Sostituire con la scadenza contrattuale reale.</t>
  </si>
  <si>
    <t xml:space="preserve">Fondo perduto 30% Smart&amp;Start applicabile (sede nel Mezzogiorno/cratere) 0/1</t>
  </si>
  <si>
    <t xml:space="preserve">v3.1: 1 = ipotesi del piano. Mettere 0 se la sede non è in Abruzzo, Basilicata, Calabria, Campania, Molise, Puglia, Sardegna, Sicilia o cratere sismico. Usato in Motore_Startup!CD.</t>
  </si>
  <si>
    <t xml:space="preserve">Fonti, stato di conferma e date</t>
  </si>
  <si>
    <t xml:space="preserve">Status 0 = ipotesi; 1 = confermato dall'utente. Il modello non verifica delibere o contratti.</t>
  </si>
  <si>
    <t xml:space="preserve">Fonte</t>
  </si>
  <si>
    <t xml:space="preserve">Società</t>
  </si>
  <si>
    <t xml:space="preserve">Importo / tetto</t>
  </si>
  <si>
    <t xml:space="preserve">Data prevista</t>
  </si>
  <si>
    <t xml:space="preserve">Confermato 0/1</t>
  </si>
  <si>
    <t xml:space="preserve">Incluso 0/1</t>
  </si>
  <si>
    <t xml:space="preserve">Nota</t>
  </si>
  <si>
    <t xml:space="preserve">Apporto iniziale soci</t>
  </si>
  <si>
    <t xml:space="preserve">Startup</t>
  </si>
  <si>
    <t xml:space="preserve">IPOTESI NON DELIBERATA. Importi dalla v2; mesi proposti per rendere visibile il rischio di liquidità.</t>
  </si>
  <si>
    <t xml:space="preserve">Advisory</t>
  </si>
  <si>
    <t xml:space="preserve">Pre-seed</t>
  </si>
  <si>
    <t xml:space="preserve">Seed</t>
  </si>
  <si>
    <t xml:space="preserve">Linea bancaria</t>
  </si>
  <si>
    <t xml:space="preserve">Smart&amp;Start massimo richiesto</t>
  </si>
  <si>
    <t xml:space="preserve">Richiesta SAL</t>
  </si>
  <si>
    <t xml:space="preserve">Note</t>
  </si>
  <si>
    <t xml:space="preserve">Quota tetto SS</t>
  </si>
  <si>
    <t xml:space="preserve">Prima data possibile</t>
  </si>
  <si>
    <t xml:space="preserve">SAL 1</t>
  </si>
  <si>
    <t xml:space="preserve">SAL 1: collegato a spese pagate stimate</t>
  </si>
  <si>
    <t xml:space="preserve">SAL 2</t>
  </si>
  <si>
    <t xml:space="preserve">SAL 3</t>
  </si>
  <si>
    <t xml:space="preserve">Saldo: programma ipotizzato luglio 2027–giugno 2029</t>
  </si>
  <si>
    <t xml:space="preserve">Ritardi scenario espressi in anni sono applicati alle date con EDATE. Le fonti escluse non diluiscono la cap table.</t>
  </si>
  <si>
    <t xml:space="preserve">Budget Smart&amp;Start | riconciliazione gestionale</t>
  </si>
  <si>
    <t xml:space="preserve">Allocazione proposta, non rendicontazione né approvazione di ammissibilità. Personale fondatore escluso dal paniere proposto.</t>
  </si>
  <si>
    <t xml:space="preserve">Categoria</t>
  </si>
  <si>
    <t xml:space="preserve">Costo effettivo di riferimento</t>
  </si>
  <si>
    <t xml:space="preserve">Massimale proposto</t>
  </si>
  <si>
    <t xml:space="preserve">Quota ammissibile stimata</t>
  </si>
  <si>
    <t xml:space="preserve">Circolante 0/1</t>
  </si>
  <si>
    <t xml:space="preserve">Stato</t>
  </si>
  <si>
    <t xml:space="preserve">Personale tecnico non fondatore</t>
  </si>
  <si>
    <t xml:space="preserve">Sviluppatori + quota R&amp;S security, netto quota TFR</t>
  </si>
  <si>
    <t xml:space="preserve">DA VALIDARE</t>
  </si>
  <si>
    <t xml:space="preserve">Allocazione proposta v3, non spesa approvata. https://www.invitalia.it/incentivi-e-strumenti/smartstart-italia/faq</t>
  </si>
  <si>
    <t xml:space="preserve">Software / cloud</t>
  </si>
  <si>
    <t xml:space="preserve">Quota pagata costi software startup</t>
  </si>
  <si>
    <t xml:space="preserve">Hardware / laboratorio</t>
  </si>
  <si>
    <t xml:space="preserve">Investimenti startup pagati</t>
  </si>
  <si>
    <t xml:space="preserve">Servizi specialistici esterni</t>
  </si>
  <si>
    <t xml:space="preserve">Certificazioni + consulenze esterne, pagate</t>
  </si>
  <si>
    <t xml:space="preserve">Capitale circolante</t>
  </si>
  <si>
    <t xml:space="preserve">Affitto laboratorio pagato, separato dalle categorie sopra</t>
  </si>
  <si>
    <t xml:space="preserve">Totale budget proposto</t>
  </si>
  <si>
    <t xml:space="preserve">Scarto da piano v2 (deve essere zero)</t>
  </si>
  <si>
    <t xml:space="preserve">Le erogazioni non superano spese pagate stimate × aliquota. Il contributo non rimborsabile esclude la quota circolante.</t>
  </si>
  <si>
    <t xml:space="preserve">Requisiti e rischi | proiezioni non attestazioni</t>
  </si>
  <si>
    <t xml:space="preserve">R&amp;S sul maggiore tra costo e valore della produzione. Qualificazione delle attività e documentazione restano da validare.</t>
  </si>
  <si>
    <t xml:space="preserve">Controllo</t>
  </si>
  <si>
    <t xml:space="preserve">Spese R&amp;S stimate</t>
  </si>
  <si>
    <t xml:space="preserve">Costi produzione gestionali</t>
  </si>
  <si>
    <t xml:space="preserve">Valore produzione gestionale</t>
  </si>
  <si>
    <t xml:space="preserve">Denominatore: maggiore costo / valore</t>
  </si>
  <si>
    <t xml:space="preserve">Percentuale R&amp;S stimata</t>
  </si>
  <si>
    <t xml:space="preserve">Test numerico 15%</t>
  </si>
  <si>
    <t xml:space="preserve">Test numerico 25%</t>
  </si>
  <si>
    <t xml:space="preserve">Attestazione R&amp;S</t>
  </si>
  <si>
    <t xml:space="preserve">Quota consulenza startup</t>
  </si>
  <si>
    <t xml:space="preserve">Classificazione attività</t>
  </si>
  <si>
    <t xml:space="preserve">Crescita ricavi rispetto anno precedente</t>
  </si>
  <si>
    <t xml:space="preserve">Percorso alternativo documentato</t>
  </si>
  <si>
    <t xml:space="preserve">Esito complessivo status</t>
  </si>
  <si>
    <t xml:space="preserve">Quota SaaS sui ricavi esterni startup</t>
  </si>
  <si>
    <t xml:space="preserve">Prevalenza servizi tecnici sui ricavi esterni startup</t>
  </si>
  <si>
    <t xml:space="preserve">Il 25% non è l'unica via oltre il terzo anno. Le verifiche temporali richiedono iscrizione, bilanci ed evidenze; i test qui sono proiezioni.</t>
  </si>
  <si>
    <t xml:space="preserve">https://www.mimit.gov.it/images/stories/images/Circolare-startup-innovative-2025_nf.pdf</t>
  </si>
  <si>
    <t xml:space="preserve">https://www.mimit.gov.it/it/startup-innovative</t>
  </si>
  <si>
    <t xml:space="preserve">Cap table startup v3 | diluizione condizionata ai round simulati</t>
  </si>
  <si>
    <t xml:space="preserve">Socio</t>
  </si>
  <si>
    <t xml:space="preserve">Costituzione</t>
  </si>
  <si>
    <t xml:space="preserve">Dopo creazione ESOP</t>
  </si>
  <si>
    <t xml:space="preserve">Dopo pre-seed</t>
  </si>
  <si>
    <t xml:space="preserve">Dopo seed</t>
  </si>
  <si>
    <t xml:space="preserve">Socio avvocato</t>
  </si>
  <si>
    <t xml:space="preserve">CTO (vesting)</t>
  </si>
  <si>
    <t xml:space="preserve">Piano ESOP</t>
  </si>
  <si>
    <t xml:space="preserve">Investitori pre-seed</t>
  </si>
  <si>
    <t xml:space="preserve">Investitori seed</t>
  </si>
  <si>
    <t xml:space="preserve">Totale</t>
  </si>
  <si>
    <t xml:space="preserve">Quota complessiva fondatori (CEO + avvocato + CTO)</t>
  </si>
  <si>
    <t xml:space="preserve">Advisory: quote non documentate nella proposta. Definire cap table separata, vesting e opzione di acquisto prima dell'investimento.</t>
  </si>
  <si>
    <t xml:space="preserve">Pre-seed effettivamente simulato</t>
  </si>
  <si>
    <t xml:space="preserve">Seed effettivamente simulato</t>
  </si>
  <si>
    <t xml:space="preserve">Controlli del modello e segnali di rischio</t>
  </si>
  <si>
    <t xml:space="preserve">OK tecnico non significa impresa finanziata o requisiti giuridici attestati.</t>
  </si>
  <si>
    <t xml:space="preserve">Esito / importo</t>
  </si>
  <si>
    <t xml:space="preserve">Criterio</t>
  </si>
  <si>
    <t xml:space="preserve">Quadratura patrimoniale startup (tutti gli scenari)</t>
  </si>
  <si>
    <t xml:space="preserve">Atteso &lt;0,01 euro; non misura sostenibilità.</t>
  </si>
  <si>
    <t xml:space="preserve">Quadratura patrimoniale Advisory (tutti gli scenari)</t>
  </si>
  <si>
    <t xml:space="preserve">Atteso &lt;0,01 euro.</t>
  </si>
  <si>
    <t xml:space="preserve">Scarto infragruppo scenario selezionato</t>
  </si>
  <si>
    <t xml:space="preserve">Atteso zero; stesso incasso/pagamento.</t>
  </si>
  <si>
    <t xml:space="preserve">Cap table: scarto massimo da 100%</t>
  </si>
  <si>
    <t xml:space="preserve">Atteso zero.</t>
  </si>
  <si>
    <t xml:space="preserve">Scarto allocazione piano SS</t>
  </si>
  <si>
    <t xml:space="preserve">Atteso zero, non valida ammissibilità.</t>
  </si>
  <si>
    <t xml:space="preserve">Quote SAL</t>
  </si>
  <si>
    <t xml:space="preserve">Atteso 1.</t>
  </si>
  <si>
    <t xml:space="preserve">Minimo cassa startup selezionata</t>
  </si>
  <si>
    <t xml:space="preserve">Negativo = piano non finanziato.</t>
  </si>
  <si>
    <t xml:space="preserve">Minimo cassa Advisory selezionata</t>
  </si>
  <si>
    <t xml:space="preserve">Minimo patrimonio startup</t>
  </si>
  <si>
    <t xml:space="preserve">Negativo = verifica societaria urgente.</t>
  </si>
  <si>
    <t xml:space="preserve">Minimo patrimonio Advisory</t>
  </si>
  <si>
    <t xml:space="preserve">Numero ipotesi fonti esterne non confermate</t>
  </si>
  <si>
    <t xml:space="preserve">Status dichiarato, nessuna verifica automatica.</t>
  </si>
  <si>
    <t xml:space="preserve">Classificazione consulenza</t>
  </si>
  <si>
    <t xml:space="preserve">Nessun falso zero per input vuoti.</t>
  </si>
  <si>
    <t xml:space="preserve">Documentazione R&amp;S</t>
  </si>
  <si>
    <t xml:space="preserve">Le percentuali sono proiezioni.</t>
  </si>
  <si>
    <t xml:space="preserve">Validazione contabile contributo</t>
  </si>
  <si>
    <t xml:space="preserve">P&amp;L gestionale, non bilancio OIC certificato.</t>
  </si>
  <si>
    <t xml:space="preserve">Controllo inizio orizzonte</t>
  </si>
  <si>
    <t xml:space="preserve">L'orizzonte annuale e le ipotesi restano 2027–2031.</t>
  </si>
  <si>
    <t xml:space="preserve">CAC pilota strettamente positivo</t>
  </si>
  <si>
    <t xml:space="preserve">CAC &lt;=0 produce zero acquisizioni, non clienti gratuiti.</t>
  </si>
  <si>
    <t xml:space="preserve">Classificazione input: completezza</t>
  </si>
  <si>
    <t xml:space="preserve">Valori vuoti non diventano verifica positiva.</t>
  </si>
  <si>
    <t xml:space="preserve">Fondo perduto Smart&amp;Start</t>
  </si>
  <si>
    <t xml:space="preserve">30% solo per sede nel Mezzogiorno o cratere sismico.</t>
  </si>
  <si>
    <t xml:space="preserve">Prevalenza servizi tecnici startup (anni a rischio)</t>
  </si>
  <si>
    <t xml:space="preserve">Atteso 0; &gt;0 = rischio perdita status (L. 193/2024).</t>
  </si>
  <si>
    <t xml:space="preserve">Fonti, modifiche e limiti della v3</t>
  </si>
  <si>
    <t xml:space="preserve">Le ipotesi operative aggiunte sono proposte di pianificazione, non benchmark di mercato.</t>
  </si>
  <si>
    <t xml:space="preserve">Ambito</t>
  </si>
  <si>
    <t xml:space="preserve">Fonte / cambiamento</t>
  </si>
  <si>
    <t xml:space="preserve">Modello origine</t>
  </si>
  <si>
    <t xml:space="preserve">https://github.com/Lorenzo-MFC/Lorenzo-MFC/pull/25 | commit 7995f9cbc1fb00ef12667d48a082cac4d434f5e5</t>
  </si>
  <si>
    <t xml:space="preserve">V2 letta, non modificata</t>
  </si>
  <si>
    <t xml:space="preserve">Requisiti R&amp;S</t>
  </si>
  <si>
    <t xml:space="preserve">Regola verificata nella revisione; proiezioni v3 non attestazioni</t>
  </si>
  <si>
    <t xml:space="preserve">Percorsi alternativi</t>
  </si>
  <si>
    <t xml:space="preserve">Verifica documentale e temporale da eseguire</t>
  </si>
  <si>
    <t xml:space="preserve">https://www.invitalia.it/incentivi-e-strumenti/smartstart-italia/faq</t>
  </si>
  <si>
    <t xml:space="preserve">Esclusione circolante dalla restituzione parziale; SAL da validare</t>
  </si>
  <si>
    <t xml:space="preserve">https://www.invitalia.it/incentivi-e-strumenti/smartstart-italia/agevolazioni</t>
  </si>
  <si>
    <t xml:space="preserve">10 anni e 12 mesi dopo ultima quota; calendario proposto da confermare</t>
  </si>
  <si>
    <t xml:space="preserve">SaaS</t>
  </si>
  <si>
    <t xml:space="preserve">Churn, CAC, budget, conversioni, ritardi e capacità sono ora collegati</t>
  </si>
  <si>
    <t xml:space="preserve">Nuove ipotesi operative in giallo</t>
  </si>
  <si>
    <t xml:space="preserve">Servizi</t>
  </si>
  <si>
    <t xml:space="preserve">Domanda limitata da FTE, utilizzo, preparazione, R&amp;S</t>
  </si>
  <si>
    <t xml:space="preserve">Contabilità</t>
  </si>
  <si>
    <t xml:space="preserve">Movimenti lordi IVA, TFR, immobilizzazioni, crediti/debiti, patrimonio e finanziamenti</t>
  </si>
  <si>
    <t xml:space="preserve">Gestionale; rettifiche fiscali/contabili da validare</t>
  </si>
  <si>
    <t xml:space="preserve">Intercompany</t>
  </si>
  <si>
    <t xml:space="preserve">Stesso calendario pagamenti e incassi, saldi speculari</t>
  </si>
  <si>
    <t xml:space="preserve">Eliminazione verificabile</t>
  </si>
  <si>
    <t xml:space="preserve">Vincoli cumulati utili/riserve e buffer di liquidità</t>
  </si>
  <si>
    <t xml:space="preserve">Non sostituisce delibera</t>
  </si>
  <si>
    <t xml:space="preserve">Scenari</t>
  </si>
  <si>
    <t xml:space="preserve">Nove scenari live, inclusi no SS, no round, no banca e no esterni</t>
  </si>
  <si>
    <t xml:space="preserve">Nessun copia/incolla di risultati</t>
  </si>
  <si>
    <t xml:space="preserve">Limiti</t>
  </si>
  <si>
    <t xml:space="preserve">Nessuna concessione, contratto cliente, preventivo paghe/assicurazioni o classificazione professionale è stato inventato</t>
  </si>
  <si>
    <t xml:space="preserve">Richiede documenti reali</t>
  </si>
  <si>
    <t xml:space="preserve">Modello_Finanziario_LexShield_AI.pdf</t>
  </si>
  <si>
    <t xml:space="preserve">4cf47b12e12043b7ecbcbec01fb81478213b1deb01284aa39d8e46021f6b7fa1</t>
  </si>
  <si>
    <t xml:space="preserve">SHA-256 originale prima della v3</t>
  </si>
  <si>
    <t xml:space="preserve">Modello_Finanziario_LexShield_AI.xlsx</t>
  </si>
  <si>
    <t xml:space="preserve">6771204b50b52c45c804e9097fd28172c20786e11e7a6b189947729b6132731f</t>
  </si>
  <si>
    <t xml:space="preserve">Modello_Finanziario_LexShield_v2_consulenza_separata.pdf</t>
  </si>
  <si>
    <t xml:space="preserve">bbdd69756751549febd17dd20269097cedae3c8f4ff2450e252e73206ae5a41a</t>
  </si>
  <si>
    <t xml:space="preserve">README.md</t>
  </si>
  <si>
    <t xml:space="preserve">af365bd4e09e00a7d0373750db017d61611d2040a0628fd1d592bc1809fea7e6</t>
  </si>
  <si>
    <t xml:space="preserve">Modello_Finanziario_LexShield_v2_consulenza_separata.xlsx</t>
  </si>
  <si>
    <t xml:space="preserve">6148e3eebc9037d6663a59a7ac41c3db2335904a2fb6d61ebec2aae7a6cbe0a0</t>
  </si>
  <si>
    <t xml:space="preserve">Versione v3.1</t>
  </si>
  <si>
    <t xml:space="preserve">Correzioni applicate il 7 ottobre 2026 sulla v3 (SHA-256 6bb0db75f1d54f20e542e7985a41ea76830b7a86f4504346c961822b4ac9e8a8)</t>
  </si>
  <si>
    <t xml:space="preserve">Riga per riga sotto</t>
  </si>
  <si>
    <t xml:space="preserve">1 Organico</t>
  </si>
  <si>
    <t xml:space="preserve">Ipotesi!E43:G43 6/9/12 -&gt; 5/6/7; F44:G44 6/9 -&gt; 5/6</t>
  </si>
  <si>
    <t xml:space="preserve">Proposta da validare</t>
  </si>
  <si>
    <t xml:space="preserve">2 Leva CAC</t>
  </si>
  <si>
    <t xml:space="preserve">Ipotesi!C27:K27 nuova; Motore_Operativo!BA divide per CAC x leva</t>
  </si>
  <si>
    <t xml:space="preserve">Valori leva da validare</t>
  </si>
  <si>
    <t xml:space="preserve">3 Sopravvivenza</t>
  </si>
  <si>
    <t xml:space="preserve">Ipotesi righe 125-126; Motore_Operativo!O,S usano FTE fatturabili; BN,BO,BQ,BV,CL costi fissi x leva</t>
  </si>
  <si>
    <t xml:space="preserve">Altri scenari invariati (leve = 1)</t>
  </si>
  <si>
    <t xml:space="preserve">4 Scadenza fido</t>
  </si>
  <si>
    <t xml:space="preserve">Parametri_v3!C63 01/12/2031 -&gt; 01/12/2032</t>
  </si>
  <si>
    <t xml:space="preserve">Sostituire con data contrattuale</t>
  </si>
  <si>
    <t xml:space="preserve">5 Data fido</t>
  </si>
  <si>
    <t xml:space="preserve">Finanziamenti!D10 non modificata: commento aggiunto</t>
  </si>
  <si>
    <t xml:space="preserve">Serve delibera bancaria</t>
  </si>
  <si>
    <t xml:space="preserve">6 Dividendi</t>
  </si>
  <si>
    <t xml:space="preserve">Motore_Advisory!AY: zero se cassa sotto buffer nei 12 mesi precedenti</t>
  </si>
  <si>
    <t xml:space="preserve">Nessun riferimento circolare</t>
  </si>
  <si>
    <t xml:space="preserve">7 R&amp;S</t>
  </si>
  <si>
    <t xml:space="preserve">Motore_Operativo!CG: quota sviluppatori al netto di clienti medi/(FTE x Parametri_v3!C22)</t>
  </si>
  <si>
    <t xml:space="preserve">Proiezione, non attestazione</t>
  </si>
  <si>
    <t xml:space="preserve">8 Prevalenza servizi</t>
  </si>
  <si>
    <t xml:space="preserve">Requisiti riga 22 e Controlli riga 23 nuove</t>
  </si>
  <si>
    <t xml:space="preserve">Classificazione professionale richiesta</t>
  </si>
  <si>
    <t xml:space="preserve">9 Fondo perduto</t>
  </si>
  <si>
    <t xml:space="preserve">Parametri_v3!C64 nuovo flag usato in Motore_Startup!CD; Controlli riga 22</t>
  </si>
  <si>
    <t xml:space="preserve">Confermare sede</t>
  </si>
  <si>
    <t xml:space="preserve">10 Etichette fido</t>
  </si>
  <si>
    <t xml:space="preserve">Startup!A21 e Motore_Startup!BG4: Fido utilizzato</t>
  </si>
  <si>
    <t xml:space="preserve">Solo testo</t>
  </si>
  <si>
    <t xml:space="preserve">11 Testo acconti</t>
  </si>
  <si>
    <t xml:space="preserve">Parametri_v3!D45 e commento C45</t>
  </si>
  <si>
    <t xml:space="preserve">12 Cruscotto</t>
  </si>
  <si>
    <t xml:space="preserve">Cruscotto riga 27: minimo cassa escluso rimborso finale fido</t>
  </si>
  <si>
    <t xml:space="preserve">13 Test</t>
  </si>
  <si>
    <t xml:space="preserve">Test_v3 dalla riga 68: verifiche v3.1</t>
  </si>
  <si>
    <t xml:space="preserve">Esiti registrati</t>
  </si>
  <si>
    <t xml:space="preserve">V2 | riferimento storico immutabile</t>
  </si>
  <si>
    <t xml:space="preserve">Valori memorizzati della versione precedente: non sono risultati della v3.</t>
  </si>
  <si>
    <t xml:space="preserve">Indicatore storico</t>
  </si>
  <si>
    <t xml:space="preserve">Ricavi gruppo v2</t>
  </si>
  <si>
    <t xml:space="preserve">Ricavi SaaS v2</t>
  </si>
  <si>
    <t xml:space="preserve">EBITDA gruppo v2</t>
  </si>
  <si>
    <t xml:space="preserve">Cassa startup fine anno v2</t>
  </si>
  <si>
    <t xml:space="preserve">Cassa Advisory fine anno v2</t>
  </si>
  <si>
    <t xml:space="preserve">Organico gruppo v2</t>
  </si>
  <si>
    <t xml:space="preserve">Motore operativo mensile | tutti gli scenari</t>
  </si>
  <si>
    <t xml:space="preserve">Importi in euro salvo date, quantità, FTE e percentuali. 60 mesi per scenario; filtrare la prima colonna. Saldi negativi: deficit non finanziato.</t>
  </si>
  <si>
    <t xml:space="preserve">Mese indice</t>
  </si>
  <si>
    <t xml:space="preserve">Data</t>
  </si>
  <si>
    <t xml:space="preserve">Indice anno</t>
  </si>
  <si>
    <t xml:space="preserve">Moltiplicatore volumi</t>
  </si>
  <si>
    <t xml:space="preserve">Moltiplicatore prezzi</t>
  </si>
  <si>
    <t xml:space="preserve">Moltiplicatore FTE</t>
  </si>
  <si>
    <t xml:space="preserve">Moltiplicatore marketing</t>
  </si>
  <si>
    <t xml:space="preserve">Moltiplicatore CEO</t>
  </si>
  <si>
    <t xml:space="preserve">DSO giorni</t>
  </si>
  <si>
    <t xml:space="preserve">FTE CEO</t>
  </si>
  <si>
    <t xml:space="preserve">FTE CTO</t>
  </si>
  <si>
    <t xml:space="preserve">FTE security</t>
  </si>
  <si>
    <t xml:space="preserve">FTE sviluppatori</t>
  </si>
  <si>
    <t xml:space="preserve">FTE sales/CS</t>
  </si>
  <si>
    <t xml:space="preserve">FTE amministrazione S</t>
  </si>
  <si>
    <t xml:space="preserve">FTE consulenti A</t>
  </si>
  <si>
    <t xml:space="preserve">FTE manager A</t>
  </si>
  <si>
    <t xml:space="preserve">FTE amministrazione A</t>
  </si>
  <si>
    <t xml:space="preserve">Costo CEO</t>
  </si>
  <si>
    <t xml:space="preserve">Costo CTO</t>
  </si>
  <si>
    <t xml:space="preserve">Costo security</t>
  </si>
  <si>
    <t xml:space="preserve">Costo sviluppatori</t>
  </si>
  <si>
    <t xml:space="preserve">Costo sales/CS</t>
  </si>
  <si>
    <t xml:space="preserve">Costo amm S</t>
  </si>
  <si>
    <t xml:space="preserve">Personale S totale</t>
  </si>
  <si>
    <t xml:space="preserve">Personale A totale</t>
  </si>
  <si>
    <t xml:space="preserve">Domanda giorni consulenza</t>
  </si>
  <si>
    <t xml:space="preserve">Domanda giorni formazione</t>
  </si>
  <si>
    <t xml:space="preserve">Capacità giorni A</t>
  </si>
  <si>
    <t xml:space="preserve">Carico incluso preparazione</t>
  </si>
  <si>
    <t xml:space="preserve">Copertura domanda A</t>
  </si>
  <si>
    <t xml:space="preserve">Giorni consulenza erogati</t>
  </si>
  <si>
    <t xml:space="preserve">Giorni aula erogati</t>
  </si>
  <si>
    <t xml:space="preserve">Ricavi Advisory</t>
  </si>
  <si>
    <t xml:space="preserve">Domanda giorni tecnici</t>
  </si>
  <si>
    <t xml:space="preserve">Capacità giorni tecnici</t>
  </si>
  <si>
    <t xml:space="preserve">Giorni tecnici erogati</t>
  </si>
  <si>
    <t xml:space="preserve">Ricavi tecnici</t>
  </si>
  <si>
    <t xml:space="preserve">Marketing S</t>
  </si>
  <si>
    <t xml:space="preserve">Marketing A</t>
  </si>
  <si>
    <t xml:space="preserve">Lead generati</t>
  </si>
  <si>
    <t xml:space="preserve">Clienti apertura</t>
  </si>
  <si>
    <t xml:space="preserve">Clienti persi</t>
  </si>
  <si>
    <t xml:space="preserve">Obiettivo clienti anno</t>
  </si>
  <si>
    <t xml:space="preserve">Nuovi desiderati mese</t>
  </si>
  <si>
    <t xml:space="preserve">Capacità clienti attivi</t>
  </si>
  <si>
    <t xml:space="preserve">Nuovi da budget/CAC</t>
  </si>
  <si>
    <t xml:space="preserve">Nuovi da funnel ritardato</t>
  </si>
  <si>
    <t xml:space="preserve">Nuovi clienti sostenibili</t>
  </si>
  <si>
    <t xml:space="preserve">Clienti chiusura</t>
  </si>
  <si>
    <t xml:space="preserve">Clienti medi</t>
  </si>
  <si>
    <t xml:space="preserve">ARR uscita</t>
  </si>
  <si>
    <t xml:space="preserve">Canone IC</t>
  </si>
  <si>
    <t xml:space="preserve">Ricavi Startup</t>
  </si>
  <si>
    <t xml:space="preserve">Compenso socio S</t>
  </si>
  <si>
    <t xml:space="preserve">Compenso socio A</t>
  </si>
  <si>
    <t xml:space="preserve">Provvigioni S</t>
  </si>
  <si>
    <t xml:space="preserve">Provvigioni A</t>
  </si>
  <si>
    <t xml:space="preserve">Software / cloud S</t>
  </si>
  <si>
    <t xml:space="preserve">Affitti S</t>
  </si>
  <si>
    <t xml:space="preserve">Assicurazioni S</t>
  </si>
  <si>
    <t xml:space="preserve">Certificazioni S</t>
  </si>
  <si>
    <t xml:space="preserve">Consulenze esterne S</t>
  </si>
  <si>
    <t xml:space="preserve">Formazione/trasferte S</t>
  </si>
  <si>
    <t xml:space="preserve">Altri costi S</t>
  </si>
  <si>
    <t xml:space="preserve">Compenso amministratore A</t>
  </si>
  <si>
    <t xml:space="preserve">Affitti A</t>
  </si>
  <si>
    <t xml:space="preserve">Assicurazioni A</t>
  </si>
  <si>
    <t xml:space="preserve">Consulenze esterne A</t>
  </si>
  <si>
    <t xml:space="preserve">Formazione/trasferte A</t>
  </si>
  <si>
    <t xml:space="preserve">Altri costi A</t>
  </si>
  <si>
    <t xml:space="preserve">Opex S</t>
  </si>
  <si>
    <t xml:space="preserve">Opex A</t>
  </si>
  <si>
    <t xml:space="preserve">EBITDA S</t>
  </si>
  <si>
    <t xml:space="preserve">EBITDA A</t>
  </si>
  <si>
    <t xml:space="preserve">Investimenti S</t>
  </si>
  <si>
    <t xml:space="preserve">Investimenti A</t>
  </si>
  <si>
    <t xml:space="preserve">R&amp;S stimata S</t>
  </si>
  <si>
    <t xml:space="preserve">TFR maturato S</t>
  </si>
  <si>
    <t xml:space="preserve">TFR maturato A</t>
  </si>
  <si>
    <t xml:space="preserve">Costi fornitori S ex IVA</t>
  </si>
  <si>
    <t xml:space="preserve">Costi fornitori A ex IC/IVA</t>
  </si>
  <si>
    <t xml:space="preserve">Costi diretti SaaS</t>
  </si>
  <si>
    <t xml:space="preserve">Margine lordo SaaS</t>
  </si>
  <si>
    <t xml:space="preserve">Startup | conto economico, tesoreria e patrimonio mensili</t>
  </si>
  <si>
    <t xml:space="preserve">Ricavo/costo IC</t>
  </si>
  <si>
    <t xml:space="preserve">Ricavi CE</t>
  </si>
  <si>
    <t xml:space="preserve">Investimenti</t>
  </si>
  <si>
    <t xml:space="preserve">Interessi/commissioni</t>
  </si>
  <si>
    <t xml:space="preserve">Reddito IRES YTD</t>
  </si>
  <si>
    <t xml:space="preserve">Perdite integrali inizio anno</t>
  </si>
  <si>
    <t xml:space="preserve">Perdite limitate inizio anno</t>
  </si>
  <si>
    <t xml:space="preserve">Perdite integrali usate YTD</t>
  </si>
  <si>
    <t xml:space="preserve">Perdite limitate usate YTD</t>
  </si>
  <si>
    <t xml:space="preserve">IRES cumulata anno</t>
  </si>
  <si>
    <t xml:space="preserve">IRAP cumulata anno</t>
  </si>
  <si>
    <t xml:space="preserve">Imposte CE mese</t>
  </si>
  <si>
    <t xml:space="preserve">Perdite integrali fine anno</t>
  </si>
  <si>
    <t xml:space="preserve">Perdite limitate fine anno</t>
  </si>
  <si>
    <t xml:space="preserve">Fatture esterne IVA inclusa</t>
  </si>
  <si>
    <t xml:space="preserve">Incassi esterni</t>
  </si>
  <si>
    <t xml:space="preserve">Crediti esterni</t>
  </si>
  <si>
    <t xml:space="preserve">Fattura canone IVA inclusa</t>
  </si>
  <si>
    <t xml:space="preserve">Pagamento IC unico</t>
  </si>
  <si>
    <t xml:space="preserve">Saldo IC</t>
  </si>
  <si>
    <t xml:space="preserve">Fatture fornitori IVA inclusa</t>
  </si>
  <si>
    <t xml:space="preserve">Pagamenti fornitori</t>
  </si>
  <si>
    <t xml:space="preserve">Debiti fornitori</t>
  </si>
  <si>
    <t xml:space="preserve">IVA netta del mese</t>
  </si>
  <si>
    <t xml:space="preserve">Versamento IVA</t>
  </si>
  <si>
    <t xml:space="preserve">Saldo IVA debito+/credito-</t>
  </si>
  <si>
    <t xml:space="preserve">Imposte CE anno precedente</t>
  </si>
  <si>
    <t xml:space="preserve">Acconti anno precedente</t>
  </si>
  <si>
    <t xml:space="preserve">Acconti programmati</t>
  </si>
  <si>
    <t xml:space="preserve">Imposte pagate nette crediti</t>
  </si>
  <si>
    <t xml:space="preserve">Debito+/credito- tributario</t>
  </si>
  <si>
    <t xml:space="preserve">Costo personale pagato</t>
  </si>
  <si>
    <t xml:space="preserve">TFR accantonato</t>
  </si>
  <si>
    <t xml:space="preserve">TFR liquidato</t>
  </si>
  <si>
    <t xml:space="preserve">Apporto iniziale</t>
  </si>
  <si>
    <t xml:space="preserve">Round equity</t>
  </si>
  <si>
    <t xml:space="preserve">Dividendi lordi</t>
  </si>
  <si>
    <t xml:space="preserve">Reinvestimento dividendi</t>
  </si>
  <si>
    <t xml:space="preserve">SS erogato totale</t>
  </si>
  <si>
    <t xml:space="preserve">SS rimborso</t>
  </si>
  <si>
    <t xml:space="preserve">SS debito residuo</t>
  </si>
  <si>
    <t xml:space="preserve">Cassa prima fido/dividendi</t>
  </si>
  <si>
    <t xml:space="preserve">Prelievo fido</t>
  </si>
  <si>
    <t xml:space="preserve">Rimborso fido</t>
  </si>
  <si>
    <t xml:space="preserve">Fido utilizzato</t>
  </si>
  <si>
    <t xml:space="preserve">Cassa teorica / deficit</t>
  </si>
  <si>
    <t xml:space="preserve">Capitale aggiuntivo per buffer</t>
  </si>
  <si>
    <t xml:space="preserve">Cespite costo lordo</t>
  </si>
  <si>
    <t xml:space="preserve">Fondo ammortamento</t>
  </si>
  <si>
    <t xml:space="preserve">Utile cumulato</t>
  </si>
  <si>
    <t xml:space="preserve">Apporti cumulati</t>
  </si>
  <si>
    <t xml:space="preserve">Dividendi cumulati</t>
  </si>
  <si>
    <t xml:space="preserve">Riserva indisponibile proposta</t>
  </si>
  <si>
    <t xml:space="preserve">Attività (cassa teorica)</t>
  </si>
  <si>
    <t xml:space="preserve">Passività e PN</t>
  </si>
  <si>
    <t xml:space="preserve">Scarto patrimoniale</t>
  </si>
  <si>
    <t xml:space="preserve">Scarto continuità cassa</t>
  </si>
  <si>
    <t xml:space="preserve">SS personale cum</t>
  </si>
  <si>
    <t xml:space="preserve">SS software cum</t>
  </si>
  <si>
    <t xml:space="preserve">SS hardware cum</t>
  </si>
  <si>
    <t xml:space="preserve">SS servizi cum</t>
  </si>
  <si>
    <t xml:space="preserve">SS circolante cum</t>
  </si>
  <si>
    <t xml:space="preserve">SS spese cum</t>
  </si>
  <si>
    <t xml:space="preserve">SS base non circolante cum</t>
  </si>
  <si>
    <t xml:space="preserve">SS erogato cum</t>
  </si>
  <si>
    <t xml:space="preserve">SS contributo cum</t>
  </si>
  <si>
    <t xml:space="preserve">Ultima data erogazione SS</t>
  </si>
  <si>
    <t xml:space="preserve">Data ultima quota completata</t>
  </si>
  <si>
    <t xml:space="preserve">SS tetto effettivo</t>
  </si>
  <si>
    <t xml:space="preserve">Fido disponibile</t>
  </si>
  <si>
    <t xml:space="preserve">Advisory | conto economico, tesoreria e patrimonio mensili</t>
  </si>
  <si>
    <t xml:space="preserve">Fido residuo</t>
  </si>
  <si>
    <t xml:space="preserve">Mesi consecutivi sopra buffer</t>
  </si>
  <si>
    <t xml:space="preserve">VERIFICA TECNICA V3 | 6 ottobre 2026</t>
  </si>
  <si>
    <t xml:space="preserve">Test eseguiti sulla versione consegnata. Le sensibilità sono copie locali; non sono scenari aggiuntivi del piano.</t>
  </si>
  <si>
    <t xml:space="preserve">Risultati registrati, non un attestato di sostenibilità né un test automatico delle modifiche future.</t>
  </si>
  <si>
    <t xml:space="preserve">Test</t>
  </si>
  <si>
    <t xml:space="preserve">Esito</t>
  </si>
  <si>
    <t xml:space="preserve">Dettaglio</t>
  </si>
  <si>
    <t xml:space="preserve">Formule: errori/cache</t>
  </si>
  <si>
    <t xml:space="preserve">SUPERATO</t>
  </si>
  <si>
    <t xml:space="preserve">0 errori; 0 cache mancanti</t>
  </si>
  <si>
    <t xml:space="preserve">Scenario 1: SP e IC</t>
  </si>
  <si>
    <t xml:space="preserve">scarto max 0.000000001397</t>
  </si>
  <si>
    <t xml:space="preserve">Scenario 1: SS ammissibilità aritmetica</t>
  </si>
  <si>
    <t xml:space="preserve">Contributo &lt;= base non circolante × aliquote; non certifica ammissibilità</t>
  </si>
  <si>
    <t xml:space="preserve">Scenario 1: debito SS non negativo</t>
  </si>
  <si>
    <t xml:space="preserve">Saldo mai sotto zero</t>
  </si>
  <si>
    <t xml:space="preserve">Scenario 1: dividendi e cassa</t>
  </si>
  <si>
    <t xml:space="preserve">Ogni dividendo lascia buffer minimo</t>
  </si>
  <si>
    <t xml:space="preserve">Scenario 2: SP e IC</t>
  </si>
  <si>
    <t xml:space="preserve">scarto max 0.000000000000</t>
  </si>
  <si>
    <t xml:space="preserve">Scenario 2: SS ammissibilità aritmetica</t>
  </si>
  <si>
    <t xml:space="preserve">Scenario 2: debito SS non negativo</t>
  </si>
  <si>
    <t xml:space="preserve">Scenario 2: dividendi e cassa</t>
  </si>
  <si>
    <t xml:space="preserve">Scenario 3: SP e IC</t>
  </si>
  <si>
    <t xml:space="preserve">scarto max 0.000000001339</t>
  </si>
  <si>
    <t xml:space="preserve">Scenario 3: SS ammissibilità aritmetica</t>
  </si>
  <si>
    <t xml:space="preserve">Scenario 3: debito SS non negativo</t>
  </si>
  <si>
    <t xml:space="preserve">Scenario 3: dividendi e cassa</t>
  </si>
  <si>
    <t xml:space="preserve">Scenario 4: SP e IC</t>
  </si>
  <si>
    <t xml:space="preserve">scarto max 0.000000000035</t>
  </si>
  <si>
    <t xml:space="preserve">Scenario 4: SS ammissibilità aritmetica</t>
  </si>
  <si>
    <t xml:space="preserve">Scenario 4: debito SS non negativo</t>
  </si>
  <si>
    <t xml:space="preserve">Scenario 4: dividendi e cassa</t>
  </si>
  <si>
    <t xml:space="preserve">Scenario 5: SP e IC</t>
  </si>
  <si>
    <t xml:space="preserve">scarto max 0.000000000262</t>
  </si>
  <si>
    <t xml:space="preserve">Scenario 5: SS ammissibilità aritmetica</t>
  </si>
  <si>
    <t xml:space="preserve">Scenario 5: debito SS non negativo</t>
  </si>
  <si>
    <t xml:space="preserve">Scenario 5: dividendi e cassa</t>
  </si>
  <si>
    <t xml:space="preserve">Scenario 6: SP e IC</t>
  </si>
  <si>
    <t xml:space="preserve">scarto max 0.000000000273</t>
  </si>
  <si>
    <t xml:space="preserve">Scenario 6: SS ammissibilità aritmetica</t>
  </si>
  <si>
    <t xml:space="preserve">Scenario 6: debito SS non negativo</t>
  </si>
  <si>
    <t xml:space="preserve">Scenario 6: dividendi e cassa</t>
  </si>
  <si>
    <t xml:space="preserve">Scenario 6: SS escluso</t>
  </si>
  <si>
    <t xml:space="preserve">Erogazioni zero</t>
  </si>
  <si>
    <t xml:space="preserve">Scenario 7: SP e IC</t>
  </si>
  <si>
    <t xml:space="preserve">scarto max 0.000000000349</t>
  </si>
  <si>
    <t xml:space="preserve">Scenario 7: SS ammissibilità aritmetica</t>
  </si>
  <si>
    <t xml:space="preserve">Scenario 7: debito SS non negativo</t>
  </si>
  <si>
    <t xml:space="preserve">Scenario 7: dividendi e cassa</t>
  </si>
  <si>
    <t xml:space="preserve">Scenario 7: equity escluso</t>
  </si>
  <si>
    <t xml:space="preserve">Round zero</t>
  </si>
  <si>
    <t xml:space="preserve">Scenario 8: SP e IC</t>
  </si>
  <si>
    <t xml:space="preserve">scarto max 0.000000000028</t>
  </si>
  <si>
    <t xml:space="preserve">Scenario 8: SS ammissibilità aritmetica</t>
  </si>
  <si>
    <t xml:space="preserve">Scenario 8: debito SS non negativo</t>
  </si>
  <si>
    <t xml:space="preserve">Scenario 8: dividendi e cassa</t>
  </si>
  <si>
    <t xml:space="preserve">Scenario 8: banca esclusa</t>
  </si>
  <si>
    <t xml:space="preserve">Prelievi zero</t>
  </si>
  <si>
    <t xml:space="preserve">Scenario 9: SP e IC</t>
  </si>
  <si>
    <t xml:space="preserve">Scenario 9: SS ammissibilità aritmetica</t>
  </si>
  <si>
    <t xml:space="preserve">Scenario 9: debito SS non negativo</t>
  </si>
  <si>
    <t xml:space="preserve">Scenario 9: dividendi e cassa</t>
  </si>
  <si>
    <t xml:space="preserve">Scenario 9: SS escluso</t>
  </si>
  <si>
    <t xml:space="preserve">Scenario 9: equity escluso</t>
  </si>
  <si>
    <t xml:space="preserve">Scenario 9: banca esclusa</t>
  </si>
  <si>
    <t xml:space="preserve">CAC_x10: formule</t>
  </si>
  <si>
    <t xml:space="preserve">Ricalcolo senza errori</t>
  </si>
  <si>
    <t xml:space="preserve">CAC_x10: SP</t>
  </si>
  <si>
    <t xml:space="preserve">Quadratura di tutti gli scenari &lt;0,01</t>
  </si>
  <si>
    <t xml:space="preserve">CAC_x10: clienti diminuiscono</t>
  </si>
  <si>
    <t xml:space="preserve">245.70 -&gt; 24.64</t>
  </si>
  <si>
    <t xml:space="preserve">Churn_40pct: formule</t>
  </si>
  <si>
    <t xml:space="preserve">Churn_40pct: SP</t>
  </si>
  <si>
    <t xml:space="preserve">Churn_40pct: clienti diminuiscono</t>
  </si>
  <si>
    <t xml:space="preserve">245.70 -&gt; 151.71</t>
  </si>
  <si>
    <t xml:space="preserve">Capacita_dimezzata: formule</t>
  </si>
  <si>
    <t xml:space="preserve">Capacita_dimezzata: SP</t>
  </si>
  <si>
    <t xml:space="preserve">Capacita_dimezzata: ricavi diminuiscono</t>
  </si>
  <si>
    <t xml:space="preserve">3710479.51 -&gt; 2546096.03</t>
  </si>
  <si>
    <t xml:space="preserve">Solo_confermati: formule</t>
  </si>
  <si>
    <t xml:space="preserve">Solo_confermati: SP</t>
  </si>
  <si>
    <t xml:space="preserve">Solo_confermati: niente round</t>
  </si>
  <si>
    <t xml:space="preserve">Zero equity, status fonti ancora 0</t>
  </si>
  <si>
    <t xml:space="preserve">Solo_confermati: niente SS</t>
  </si>
  <si>
    <t xml:space="preserve">Zero SS</t>
  </si>
  <si>
    <t xml:space="preserve">Solo_confermati: cap table coerente</t>
  </si>
  <si>
    <t xml:space="preserve">Nessuna quota attribuita a round non incassati</t>
  </si>
  <si>
    <t xml:space="preserve">Ricavi_zero: formule</t>
  </si>
  <si>
    <t xml:space="preserve">Ricavi_zero: SP</t>
  </si>
  <si>
    <t xml:space="preserve">Ricavi_zero: ricavi azzerati</t>
  </si>
  <si>
    <t xml:space="preserve">Nessun ricavo generato senza domanda</t>
  </si>
  <si>
    <t xml:space="preserve">Ricavi_zero: dividendi zero</t>
  </si>
  <si>
    <t xml:space="preserve">Nessun utile fittizio distribuibile</t>
  </si>
  <si>
    <t xml:space="preserve">Originali: integrità SHA-256</t>
  </si>
  <si>
    <t xml:space="preserve">Tutti i cinque originali invariati</t>
  </si>
  <si>
    <t xml:space="preserve">Test v3.1 | 7 ottobre 2026</t>
  </si>
  <si>
    <t xml:space="preserve">v3.1 Formule: errori</t>
  </si>
  <si>
    <t xml:space="preserve">0 errori dopo ricalcolo</t>
  </si>
  <si>
    <t xml:space="preserve">v3.1 Ricalcolo indipendente</t>
  </si>
  <si>
    <t xml:space="preserve">Cache rimossa e ricalcolo completo LibreOffice: 135.125 valori identici</t>
  </si>
  <si>
    <t xml:space="preserve">v3.1 Scenario 1: SP</t>
  </si>
  <si>
    <t xml:space="preserve">scarto max 0.000000000364</t>
  </si>
  <si>
    <t xml:space="preserve">v3.1 Scenario 1: dividendi dopo 12 mesi senza deficit</t>
  </si>
  <si>
    <t xml:space="preserve">0 distribuzioni controllate</t>
  </si>
  <si>
    <t xml:space="preserve">v3.1 Scenario 2: SP</t>
  </si>
  <si>
    <t xml:space="preserve">v3.1 Scenario 2: dividendi dopo 12 mesi senza deficit</t>
  </si>
  <si>
    <t xml:space="preserve">2 distribuzioni controllate</t>
  </si>
  <si>
    <t xml:space="preserve">v3.1 Scenario 3: SP</t>
  </si>
  <si>
    <t xml:space="preserve">v3.1 Scenario 3: dividendi dopo 12 mesi senza deficit</t>
  </si>
  <si>
    <t xml:space="preserve">v3.1 Scenario 4: SP</t>
  </si>
  <si>
    <t xml:space="preserve">v3.1 Scenario 4: dividendi dopo 12 mesi senza deficit</t>
  </si>
  <si>
    <t xml:space="preserve">v3.1 Scenario 5: SP</t>
  </si>
  <si>
    <t xml:space="preserve">scarto max 0.000000000211</t>
  </si>
  <si>
    <t xml:space="preserve">v3.1 Scenario 5: dividendi dopo 12 mesi senza deficit</t>
  </si>
  <si>
    <t xml:space="preserve">v3.1 Scenario 6: SP</t>
  </si>
  <si>
    <t xml:space="preserve">scarto max 0.000000000103</t>
  </si>
  <si>
    <t xml:space="preserve">v3.1 Scenario 6: dividendi dopo 12 mesi senza deficit</t>
  </si>
  <si>
    <t xml:space="preserve">v3.1 Scenario 7: SP</t>
  </si>
  <si>
    <t xml:space="preserve">scarto max 0.000000000437</t>
  </si>
  <si>
    <t xml:space="preserve">v3.1 Scenario 7: dividendi dopo 12 mesi senza deficit</t>
  </si>
  <si>
    <t xml:space="preserve">v3.1 Scenario 8: SP</t>
  </si>
  <si>
    <t xml:space="preserve">v3.1 Scenario 8: dividendi dopo 12 mesi senza deficit</t>
  </si>
  <si>
    <t xml:space="preserve">v3.1 Scenario 9: SP</t>
  </si>
  <si>
    <t xml:space="preserve">v3.1 Scenario 9: dividendi dopo 12 mesi senza deficit</t>
  </si>
  <si>
    <t xml:space="preserve">v3.1 Ottimistico distinto dal Base</t>
  </si>
  <si>
    <t xml:space="preserve">clienti 2031 270.0 contro 228.9</t>
  </si>
  <si>
    <t xml:space="preserve">v3.1 Base: R&amp;S &gt;= 15% ogni anno</t>
  </si>
  <si>
    <t xml:space="preserve">25.3% / 25.9% / 22.5% / 19.4% / 17.4%</t>
  </si>
  <si>
    <t xml:space="preserve">v3.1 Base: cassa startup 2030-2031</t>
  </si>
  <si>
    <t xml:space="preserve">minimi 25,000 / -73,139 / -73,079 / 28,722 / 25,000</t>
  </si>
  <si>
    <t xml:space="preserve">v3.1 Base: deficit pre-round 2028-2029</t>
  </si>
  <si>
    <t xml:space="preserve">DA RISOLVERE</t>
  </si>
  <si>
    <t xml:space="preserve">prima di pre-seed (06/2028) e seed (06/2029): anticipare i round o aumentare apporti</t>
  </si>
  <si>
    <t xml:space="preserve">v3.1 Nessun rimborso forzato del fido nel piano</t>
  </si>
  <si>
    <t xml:space="preserve">scadenza 12/2032; utilizzo fine 2031 111,879</t>
  </si>
  <si>
    <t xml:space="preserve">v3.1 Criterio dividendi</t>
  </si>
  <si>
    <t xml:space="preserve">AGGIORNATO</t>
  </si>
  <si>
    <t xml:space="preserve">Righe A9-A44 v3 controllavano solo il mese di pagamento; v3.1 controlla i 12 mesi precedenti (Motore_Advisory!BV)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</si>
</sst>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#,##0.0;\(#,##0.0\);\-"/>
    <numFmt numFmtId="167" formatCode="0.0%;\(0.0%\);\-"/>
    <numFmt numFmtId="168" formatCode="mmm\-yy"/>
    <numFmt numFmtId="169" formatCode="0"/>
    <numFmt numFmtId="170" formatCode="0.00\x"/>
    <numFmt numFmtId="171" formatCode="0%"/>
    <numFmt numFmtId="172" formatCode="&quot;€ &quot;#,##0;&quot;(€ &quot;#,##0\);\-"/>
    <numFmt numFmtId="173" formatCode="dd/mm/yyyy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F3864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true" indent="1" shrinkToFit="false"/>
      <protection locked="true" hidden="false"/>
    </xf>
    <xf numFmtId="166" fontId="5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9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1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8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8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18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3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3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88888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Cassa mensile: startup e Advisory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Tesoreria!G4</c:f>
              <c:strCache>
                <c:ptCount val="1"/>
                <c:pt idx="0">
                  <c:v>Cassa finale S</c:v>
                </c:pt>
              </c:strCache>
            </c:strRef>
          </c:tx>
          <c:spPr>
            <a:solidFill>
              <a:srgbClr val="1f3864"/>
            </a:solidFill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Tesoreria!$A$5:$A$64</c:f>
              <c:numCache>
                <c:formatCode>mmm\-yy</c:formatCode>
                <c:ptCount val="60"/>
                <c:pt idx="0">
                  <c:v>Jan-27</c:v>
                </c:pt>
                <c:pt idx="1">
                  <c:v>Feb-27</c:v>
                </c:pt>
                <c:pt idx="2">
                  <c:v>Mar-27</c:v>
                </c:pt>
                <c:pt idx="3">
                  <c:v>Apr-27</c:v>
                </c:pt>
                <c:pt idx="4">
                  <c:v>May-27</c:v>
                </c:pt>
                <c:pt idx="5">
                  <c:v>Jun-27</c:v>
                </c:pt>
                <c:pt idx="6">
                  <c:v>Jul-27</c:v>
                </c:pt>
                <c:pt idx="7">
                  <c:v>Aug-27</c:v>
                </c:pt>
                <c:pt idx="8">
                  <c:v>Sep-27</c:v>
                </c:pt>
                <c:pt idx="9">
                  <c:v>Oct-27</c:v>
                </c:pt>
                <c:pt idx="10">
                  <c:v>Nov-27</c:v>
                </c:pt>
                <c:pt idx="11">
                  <c:v>Dec-27</c:v>
                </c:pt>
                <c:pt idx="12">
                  <c:v>Jan-28</c:v>
                </c:pt>
                <c:pt idx="13">
                  <c:v>Feb-28</c:v>
                </c:pt>
                <c:pt idx="14">
                  <c:v>Mar-28</c:v>
                </c:pt>
                <c:pt idx="15">
                  <c:v>Apr-28</c:v>
                </c:pt>
                <c:pt idx="16">
                  <c:v>May-28</c:v>
                </c:pt>
                <c:pt idx="17">
                  <c:v>Jun-28</c:v>
                </c:pt>
                <c:pt idx="18">
                  <c:v>Jul-28</c:v>
                </c:pt>
                <c:pt idx="19">
                  <c:v>Aug-28</c:v>
                </c:pt>
                <c:pt idx="20">
                  <c:v>Sep-28</c:v>
                </c:pt>
                <c:pt idx="21">
                  <c:v>Oct-28</c:v>
                </c:pt>
                <c:pt idx="22">
                  <c:v>Nov-28</c:v>
                </c:pt>
                <c:pt idx="23">
                  <c:v>Dec-28</c:v>
                </c:pt>
                <c:pt idx="24">
                  <c:v>Jan-29</c:v>
                </c:pt>
                <c:pt idx="25">
                  <c:v>Feb-29</c:v>
                </c:pt>
                <c:pt idx="26">
                  <c:v>Mar-29</c:v>
                </c:pt>
                <c:pt idx="27">
                  <c:v>Apr-29</c:v>
                </c:pt>
                <c:pt idx="28">
                  <c:v>May-29</c:v>
                </c:pt>
                <c:pt idx="29">
                  <c:v>Jun-29</c:v>
                </c:pt>
                <c:pt idx="30">
                  <c:v>Jul-29</c:v>
                </c:pt>
                <c:pt idx="31">
                  <c:v>Aug-29</c:v>
                </c:pt>
                <c:pt idx="32">
                  <c:v>Sep-29</c:v>
                </c:pt>
                <c:pt idx="33">
                  <c:v>Oct-29</c:v>
                </c:pt>
                <c:pt idx="34">
                  <c:v>Nov-29</c:v>
                </c:pt>
                <c:pt idx="35">
                  <c:v>Dec-29</c:v>
                </c:pt>
                <c:pt idx="36">
                  <c:v>Jan-30</c:v>
                </c:pt>
                <c:pt idx="37">
                  <c:v>Feb-30</c:v>
                </c:pt>
                <c:pt idx="38">
                  <c:v>Mar-30</c:v>
                </c:pt>
                <c:pt idx="39">
                  <c:v>Apr-30</c:v>
                </c:pt>
                <c:pt idx="40">
                  <c:v>May-30</c:v>
                </c:pt>
                <c:pt idx="41">
                  <c:v>Jun-30</c:v>
                </c:pt>
                <c:pt idx="42">
                  <c:v>Jul-30</c:v>
                </c:pt>
                <c:pt idx="43">
                  <c:v>Aug-30</c:v>
                </c:pt>
                <c:pt idx="44">
                  <c:v>Sep-30</c:v>
                </c:pt>
                <c:pt idx="45">
                  <c:v>Oct-30</c:v>
                </c:pt>
                <c:pt idx="46">
                  <c:v>Nov-30</c:v>
                </c:pt>
                <c:pt idx="47">
                  <c:v>Dec-30</c:v>
                </c:pt>
                <c:pt idx="48">
                  <c:v>Jan-31</c:v>
                </c:pt>
                <c:pt idx="49">
                  <c:v>Feb-31</c:v>
                </c:pt>
                <c:pt idx="50">
                  <c:v>Mar-31</c:v>
                </c:pt>
                <c:pt idx="51">
                  <c:v>Apr-31</c:v>
                </c:pt>
                <c:pt idx="52">
                  <c:v>May-31</c:v>
                </c:pt>
                <c:pt idx="53">
                  <c:v>Jun-31</c:v>
                </c:pt>
                <c:pt idx="54">
                  <c:v>Jul-31</c:v>
                </c:pt>
                <c:pt idx="55">
                  <c:v>Aug-31</c:v>
                </c:pt>
                <c:pt idx="56">
                  <c:v>Sep-31</c:v>
                </c:pt>
                <c:pt idx="57">
                  <c:v>Oct-31</c:v>
                </c:pt>
                <c:pt idx="58">
                  <c:v>Nov-31</c:v>
                </c:pt>
                <c:pt idx="59">
                  <c:v>Dec-31</c:v>
                </c:pt>
              </c:numCache>
            </c:numRef>
          </c:cat>
          <c:val>
            <c:numRef>
              <c:f>Tesoreria!$G$5:$G$64</c:f>
              <c:numCache>
                <c:formatCode>#,##0;\(#,##0\);\-</c:formatCode>
                <c:ptCount val="60"/>
                <c:pt idx="0">
                  <c:v>110945.833333333</c:v>
                </c:pt>
                <c:pt idx="1">
                  <c:v>93869.350877193</c:v>
                </c:pt>
                <c:pt idx="2">
                  <c:v>65134.6906535088</c:v>
                </c:pt>
                <c:pt idx="3">
                  <c:v>45550.0304298246</c:v>
                </c:pt>
                <c:pt idx="4">
                  <c:v>25965.3702061404</c:v>
                </c:pt>
                <c:pt idx="5">
                  <c:v>25000</c:v>
                </c:pt>
                <c:pt idx="6">
                  <c:v>25000</c:v>
                </c:pt>
                <c:pt idx="7">
                  <c:v>25000</c:v>
                </c:pt>
                <c:pt idx="8">
                  <c:v>25000</c:v>
                </c:pt>
                <c:pt idx="9">
                  <c:v>25000</c:v>
                </c:pt>
                <c:pt idx="10">
                  <c:v>25000</c:v>
                </c:pt>
                <c:pt idx="11">
                  <c:v>25000</c:v>
                </c:pt>
                <c:pt idx="12">
                  <c:v>25000</c:v>
                </c:pt>
                <c:pt idx="13">
                  <c:v>25000</c:v>
                </c:pt>
                <c:pt idx="14">
                  <c:v>-10619.7336630349</c:v>
                </c:pt>
                <c:pt idx="15">
                  <c:v>-42007.1887468814</c:v>
                </c:pt>
                <c:pt idx="16">
                  <c:v>-73138.7599314124</c:v>
                </c:pt>
                <c:pt idx="17">
                  <c:v>45878.4534458748</c:v>
                </c:pt>
                <c:pt idx="18">
                  <c:v>25000</c:v>
                </c:pt>
                <c:pt idx="19">
                  <c:v>25000</c:v>
                </c:pt>
                <c:pt idx="20">
                  <c:v>25000</c:v>
                </c:pt>
                <c:pt idx="21">
                  <c:v>25000</c:v>
                </c:pt>
                <c:pt idx="22">
                  <c:v>25000</c:v>
                </c:pt>
                <c:pt idx="23">
                  <c:v>40136.7903633169</c:v>
                </c:pt>
                <c:pt idx="24">
                  <c:v>25000</c:v>
                </c:pt>
                <c:pt idx="25">
                  <c:v>25000</c:v>
                </c:pt>
                <c:pt idx="26">
                  <c:v>25000</c:v>
                </c:pt>
                <c:pt idx="27">
                  <c:v>-21246.8364094931</c:v>
                </c:pt>
                <c:pt idx="28">
                  <c:v>-73078.562618631</c:v>
                </c:pt>
                <c:pt idx="29">
                  <c:v>713931.747051004</c:v>
                </c:pt>
                <c:pt idx="30">
                  <c:v>663926.636014923</c:v>
                </c:pt>
                <c:pt idx="31">
                  <c:v>616251.939215859</c:v>
                </c:pt>
                <c:pt idx="32">
                  <c:v>570887.285079188</c:v>
                </c:pt>
                <c:pt idx="33">
                  <c:v>527812.480110668</c:v>
                </c:pt>
                <c:pt idx="34">
                  <c:v>487007.507339725</c:v>
                </c:pt>
                <c:pt idx="35">
                  <c:v>448452.524776355</c:v>
                </c:pt>
                <c:pt idx="36">
                  <c:v>390021.750787763</c:v>
                </c:pt>
                <c:pt idx="37">
                  <c:v>333684.242693251</c:v>
                </c:pt>
                <c:pt idx="38">
                  <c:v>263216.534673961</c:v>
                </c:pt>
                <c:pt idx="39">
                  <c:v>227495.208676997</c:v>
                </c:pt>
                <c:pt idx="40">
                  <c:v>193586.321329584</c:v>
                </c:pt>
                <c:pt idx="41">
                  <c:v>183744.606570289</c:v>
                </c:pt>
                <c:pt idx="42">
                  <c:v>153569.321743949</c:v>
                </c:pt>
                <c:pt idx="43">
                  <c:v>126044.671707166</c:v>
                </c:pt>
                <c:pt idx="44">
                  <c:v>101147.485641828</c:v>
                </c:pt>
                <c:pt idx="45">
                  <c:v>78854.7952800978</c:v>
                </c:pt>
                <c:pt idx="46">
                  <c:v>59143.8331338027</c:v>
                </c:pt>
                <c:pt idx="47">
                  <c:v>28722.3808950936</c:v>
                </c:pt>
                <c:pt idx="48">
                  <c:v>25000</c:v>
                </c:pt>
                <c:pt idx="49">
                  <c:v>25000</c:v>
                </c:pt>
                <c:pt idx="50">
                  <c:v>25000</c:v>
                </c:pt>
                <c:pt idx="51">
                  <c:v>25000</c:v>
                </c:pt>
                <c:pt idx="52">
                  <c:v>25000</c:v>
                </c:pt>
                <c:pt idx="53">
                  <c:v>25000</c:v>
                </c:pt>
                <c:pt idx="54">
                  <c:v>25000</c:v>
                </c:pt>
                <c:pt idx="55">
                  <c:v>25000</c:v>
                </c:pt>
                <c:pt idx="56">
                  <c:v>25000</c:v>
                </c:pt>
                <c:pt idx="57">
                  <c:v>25000</c:v>
                </c:pt>
                <c:pt idx="58">
                  <c:v>25000</c:v>
                </c:pt>
                <c:pt idx="59">
                  <c:v>25000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Tesoreria!I4</c:f>
              <c:strCache>
                <c:ptCount val="1"/>
                <c:pt idx="0">
                  <c:v>Cassa finale A</c:v>
                </c:pt>
              </c:strCache>
            </c:strRef>
          </c:tx>
          <c:spPr>
            <a:solidFill>
              <a:srgbClr val="888888"/>
            </a:solidFill>
            <a:ln w="21960">
              <a:solidFill>
                <a:srgbClr val="88888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Tesoreria!$A$5:$A$64</c:f>
              <c:numCache>
                <c:formatCode>mmm\-yy</c:formatCode>
                <c:ptCount val="60"/>
                <c:pt idx="0">
                  <c:v>Jan-27</c:v>
                </c:pt>
                <c:pt idx="1">
                  <c:v>Feb-27</c:v>
                </c:pt>
                <c:pt idx="2">
                  <c:v>Mar-27</c:v>
                </c:pt>
                <c:pt idx="3">
                  <c:v>Apr-27</c:v>
                </c:pt>
                <c:pt idx="4">
                  <c:v>May-27</c:v>
                </c:pt>
                <c:pt idx="5">
                  <c:v>Jun-27</c:v>
                </c:pt>
                <c:pt idx="6">
                  <c:v>Jul-27</c:v>
                </c:pt>
                <c:pt idx="7">
                  <c:v>Aug-27</c:v>
                </c:pt>
                <c:pt idx="8">
                  <c:v>Sep-27</c:v>
                </c:pt>
                <c:pt idx="9">
                  <c:v>Oct-27</c:v>
                </c:pt>
                <c:pt idx="10">
                  <c:v>Nov-27</c:v>
                </c:pt>
                <c:pt idx="11">
                  <c:v>Dec-27</c:v>
                </c:pt>
                <c:pt idx="12">
                  <c:v>Jan-28</c:v>
                </c:pt>
                <c:pt idx="13">
                  <c:v>Feb-28</c:v>
                </c:pt>
                <c:pt idx="14">
                  <c:v>Mar-28</c:v>
                </c:pt>
                <c:pt idx="15">
                  <c:v>Apr-28</c:v>
                </c:pt>
                <c:pt idx="16">
                  <c:v>May-28</c:v>
                </c:pt>
                <c:pt idx="17">
                  <c:v>Jun-28</c:v>
                </c:pt>
                <c:pt idx="18">
                  <c:v>Jul-28</c:v>
                </c:pt>
                <c:pt idx="19">
                  <c:v>Aug-28</c:v>
                </c:pt>
                <c:pt idx="20">
                  <c:v>Sep-28</c:v>
                </c:pt>
                <c:pt idx="21">
                  <c:v>Oct-28</c:v>
                </c:pt>
                <c:pt idx="22">
                  <c:v>Nov-28</c:v>
                </c:pt>
                <c:pt idx="23">
                  <c:v>Dec-28</c:v>
                </c:pt>
                <c:pt idx="24">
                  <c:v>Jan-29</c:v>
                </c:pt>
                <c:pt idx="25">
                  <c:v>Feb-29</c:v>
                </c:pt>
                <c:pt idx="26">
                  <c:v>Mar-29</c:v>
                </c:pt>
                <c:pt idx="27">
                  <c:v>Apr-29</c:v>
                </c:pt>
                <c:pt idx="28">
                  <c:v>May-29</c:v>
                </c:pt>
                <c:pt idx="29">
                  <c:v>Jun-29</c:v>
                </c:pt>
                <c:pt idx="30">
                  <c:v>Jul-29</c:v>
                </c:pt>
                <c:pt idx="31">
                  <c:v>Aug-29</c:v>
                </c:pt>
                <c:pt idx="32">
                  <c:v>Sep-29</c:v>
                </c:pt>
                <c:pt idx="33">
                  <c:v>Oct-29</c:v>
                </c:pt>
                <c:pt idx="34">
                  <c:v>Nov-29</c:v>
                </c:pt>
                <c:pt idx="35">
                  <c:v>Dec-29</c:v>
                </c:pt>
                <c:pt idx="36">
                  <c:v>Jan-30</c:v>
                </c:pt>
                <c:pt idx="37">
                  <c:v>Feb-30</c:v>
                </c:pt>
                <c:pt idx="38">
                  <c:v>Mar-30</c:v>
                </c:pt>
                <c:pt idx="39">
                  <c:v>Apr-30</c:v>
                </c:pt>
                <c:pt idx="40">
                  <c:v>May-30</c:v>
                </c:pt>
                <c:pt idx="41">
                  <c:v>Jun-30</c:v>
                </c:pt>
                <c:pt idx="42">
                  <c:v>Jul-30</c:v>
                </c:pt>
                <c:pt idx="43">
                  <c:v>Aug-30</c:v>
                </c:pt>
                <c:pt idx="44">
                  <c:v>Sep-30</c:v>
                </c:pt>
                <c:pt idx="45">
                  <c:v>Oct-30</c:v>
                </c:pt>
                <c:pt idx="46">
                  <c:v>Nov-30</c:v>
                </c:pt>
                <c:pt idx="47">
                  <c:v>Dec-30</c:v>
                </c:pt>
                <c:pt idx="48">
                  <c:v>Jan-31</c:v>
                </c:pt>
                <c:pt idx="49">
                  <c:v>Feb-31</c:v>
                </c:pt>
                <c:pt idx="50">
                  <c:v>Mar-31</c:v>
                </c:pt>
                <c:pt idx="51">
                  <c:v>Apr-31</c:v>
                </c:pt>
                <c:pt idx="52">
                  <c:v>May-31</c:v>
                </c:pt>
                <c:pt idx="53">
                  <c:v>Jun-31</c:v>
                </c:pt>
                <c:pt idx="54">
                  <c:v>Jul-31</c:v>
                </c:pt>
                <c:pt idx="55">
                  <c:v>Aug-31</c:v>
                </c:pt>
                <c:pt idx="56">
                  <c:v>Sep-31</c:v>
                </c:pt>
                <c:pt idx="57">
                  <c:v>Oct-31</c:v>
                </c:pt>
                <c:pt idx="58">
                  <c:v>Nov-31</c:v>
                </c:pt>
                <c:pt idx="59">
                  <c:v>Dec-31</c:v>
                </c:pt>
              </c:numCache>
            </c:numRef>
          </c:cat>
          <c:val>
            <c:numRef>
              <c:f>Tesoreria!$I$5:$I$64</c:f>
              <c:numCache>
                <c:formatCode>#,##0;\(#,##0\);\-</c:formatCode>
                <c:ptCount val="60"/>
                <c:pt idx="0">
                  <c:v>14707.5</c:v>
                </c:pt>
                <c:pt idx="1">
                  <c:v>5205.48140350877</c:v>
                </c:pt>
                <c:pt idx="2">
                  <c:v>-10462.8519298246</c:v>
                </c:pt>
                <c:pt idx="3">
                  <c:v>-6354.34315789474</c:v>
                </c:pt>
                <c:pt idx="4">
                  <c:v>-2245.83438596491</c:v>
                </c:pt>
                <c:pt idx="5">
                  <c:v>1862.67438596491</c:v>
                </c:pt>
                <c:pt idx="6">
                  <c:v>5971.18315789473</c:v>
                </c:pt>
                <c:pt idx="7">
                  <c:v>10079.6919298246</c:v>
                </c:pt>
                <c:pt idx="8">
                  <c:v>14188.2007017544</c:v>
                </c:pt>
                <c:pt idx="9">
                  <c:v>18296.7094736842</c:v>
                </c:pt>
                <c:pt idx="10">
                  <c:v>22405.218245614</c:v>
                </c:pt>
                <c:pt idx="11">
                  <c:v>26513.7270175439</c:v>
                </c:pt>
                <c:pt idx="12">
                  <c:v>20239.6524561403</c:v>
                </c:pt>
                <c:pt idx="13">
                  <c:v>9068.6809043736</c:v>
                </c:pt>
                <c:pt idx="14">
                  <c:v>-7134.09084012849</c:v>
                </c:pt>
                <c:pt idx="15">
                  <c:v>-1656.61548801582</c:v>
                </c:pt>
                <c:pt idx="16">
                  <c:v>3820.85986409685</c:v>
                </c:pt>
                <c:pt idx="17">
                  <c:v>-9688.90209957994</c:v>
                </c:pt>
                <c:pt idx="18">
                  <c:v>-4211.42674746727</c:v>
                </c:pt>
                <c:pt idx="19">
                  <c:v>1266.0486046454</c:v>
                </c:pt>
                <c:pt idx="20">
                  <c:v>6743.52395675808</c:v>
                </c:pt>
                <c:pt idx="21">
                  <c:v>12220.9993088708</c:v>
                </c:pt>
                <c:pt idx="22">
                  <c:v>9561.08723993079</c:v>
                </c:pt>
                <c:pt idx="23">
                  <c:v>15038.5625920435</c:v>
                </c:pt>
                <c:pt idx="24">
                  <c:v>11536.2619024895</c:v>
                </c:pt>
                <c:pt idx="25">
                  <c:v>475.523466456609</c:v>
                </c:pt>
                <c:pt idx="26">
                  <c:v>-16783.0800399988</c:v>
                </c:pt>
                <c:pt idx="27">
                  <c:v>-1688.77274833214</c:v>
                </c:pt>
                <c:pt idx="28">
                  <c:v>13405.5345433345</c:v>
                </c:pt>
                <c:pt idx="29">
                  <c:v>18919.9141329997</c:v>
                </c:pt>
                <c:pt idx="30">
                  <c:v>34014.2214246664</c:v>
                </c:pt>
                <c:pt idx="31">
                  <c:v>49108.528716333</c:v>
                </c:pt>
                <c:pt idx="32">
                  <c:v>64202.8360079997</c:v>
                </c:pt>
                <c:pt idx="33">
                  <c:v>79297.1432996664</c:v>
                </c:pt>
                <c:pt idx="34">
                  <c:v>84473.3477040091</c:v>
                </c:pt>
                <c:pt idx="35">
                  <c:v>99567.6549956758</c:v>
                </c:pt>
                <c:pt idx="36">
                  <c:v>106365.931956092</c:v>
                </c:pt>
                <c:pt idx="37">
                  <c:v>104570.347583176</c:v>
                </c:pt>
                <c:pt idx="38">
                  <c:v>96971.7912102592</c:v>
                </c:pt>
                <c:pt idx="39">
                  <c:v>125658.068170676</c:v>
                </c:pt>
                <c:pt idx="40">
                  <c:v>154344.345131092</c:v>
                </c:pt>
                <c:pt idx="41">
                  <c:v>73892.8964176045</c:v>
                </c:pt>
                <c:pt idx="42">
                  <c:v>102579.173378021</c:v>
                </c:pt>
                <c:pt idx="43">
                  <c:v>131265.450338438</c:v>
                </c:pt>
                <c:pt idx="44">
                  <c:v>159951.727298854</c:v>
                </c:pt>
                <c:pt idx="45">
                  <c:v>188638.004259271</c:v>
                </c:pt>
                <c:pt idx="46">
                  <c:v>189316.284969688</c:v>
                </c:pt>
                <c:pt idx="47">
                  <c:v>218002.561930104</c:v>
                </c:pt>
                <c:pt idx="48">
                  <c:v>236680.779948979</c:v>
                </c:pt>
                <c:pt idx="49">
                  <c:v>247822.899301188</c:v>
                </c:pt>
                <c:pt idx="50">
                  <c:v>254332.950653396</c:v>
                </c:pt>
                <c:pt idx="51">
                  <c:v>292217.335338938</c:v>
                </c:pt>
                <c:pt idx="52">
                  <c:v>330101.720024479</c:v>
                </c:pt>
                <c:pt idx="53">
                  <c:v>169280.370179127</c:v>
                </c:pt>
                <c:pt idx="54">
                  <c:v>207164.754864668</c:v>
                </c:pt>
                <c:pt idx="55">
                  <c:v>245049.13955021</c:v>
                </c:pt>
                <c:pt idx="56">
                  <c:v>282933.524235752</c:v>
                </c:pt>
                <c:pt idx="57">
                  <c:v>320817.908921294</c:v>
                </c:pt>
                <c:pt idx="58">
                  <c:v>304012.410882535</c:v>
                </c:pt>
                <c:pt idx="59">
                  <c:v>341896.795568077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6804268"/>
        <c:axId val="69446149"/>
      </c:lineChart>
      <c:dateAx>
        <c:axId val="168042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46149"/>
        <c:crosses val="autoZero"/>
        <c:auto val="1"/>
        <c:lblOffset val="100"/>
        <c:majorUnit val="6"/>
        <c:majorTimeUnit val="months"/>
        <c:noMultiLvlLbl val="0"/>
      </c:dateAx>
      <c:valAx>
        <c:axId val="694461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Euro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8042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0</xdr:rowOff>
    </xdr:from>
    <xdr:to>
      <xdr:col>11</xdr:col>
      <xdr:colOff>772560</xdr:colOff>
      <xdr:row>30</xdr:row>
      <xdr:rowOff>83880</xdr:rowOff>
    </xdr:to>
    <xdr:graphicFrame>
      <xdr:nvGraphicFramePr>
        <xdr:cNvPr id="0" name="Chart 1"/>
        <xdr:cNvGraphicFramePr/>
      </xdr:nvGraphicFramePr>
      <xdr:xfrm>
        <a:off x="0" y="952560"/>
        <a:ext cx="10076760" cy="503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1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2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3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4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9"/>
    <col collapsed="false" customWidth="true" hidden="false" outlineLevel="0" max="2" min="2" style="1" width="125"/>
    <col collapsed="false" customWidth="true" hidden="false" outlineLevel="0" max="9" min="3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42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A4" s="4" t="s">
        <v>2</v>
      </c>
      <c r="B4" s="4" t="s">
        <v>3</v>
      </c>
    </row>
    <row r="5" customFormat="false" ht="61.5" hidden="false" customHeight="true" outlineLevel="0" collapsed="false">
      <c r="A5" s="5" t="s">
        <v>4</v>
      </c>
      <c r="B5" s="6" t="s">
        <v>5</v>
      </c>
    </row>
    <row r="6" customFormat="false" ht="61.5" hidden="false" customHeight="true" outlineLevel="0" collapsed="false">
      <c r="A6" s="5" t="s">
        <v>6</v>
      </c>
      <c r="B6" s="6" t="s">
        <v>7</v>
      </c>
    </row>
    <row r="7" customFormat="false" ht="61.5" hidden="false" customHeight="true" outlineLevel="0" collapsed="false">
      <c r="A7" s="5" t="s">
        <v>8</v>
      </c>
      <c r="B7" s="6" t="s">
        <v>9</v>
      </c>
    </row>
    <row r="8" customFormat="false" ht="61.5" hidden="false" customHeight="true" outlineLevel="0" collapsed="false">
      <c r="A8" s="5" t="s">
        <v>10</v>
      </c>
      <c r="B8" s="6" t="s">
        <v>11</v>
      </c>
    </row>
    <row r="9" customFormat="false" ht="61.5" hidden="false" customHeight="true" outlineLevel="0" collapsed="false">
      <c r="A9" s="5" t="s">
        <v>12</v>
      </c>
      <c r="B9" s="6" t="s">
        <v>13</v>
      </c>
    </row>
    <row r="10" customFormat="false" ht="61.5" hidden="false" customHeight="true" outlineLevel="0" collapsed="false">
      <c r="A10" s="5" t="s">
        <v>14</v>
      </c>
      <c r="B10" s="6" t="s">
        <v>15</v>
      </c>
    </row>
    <row r="11" customFormat="false" ht="61.5" hidden="false" customHeight="true" outlineLevel="0" collapsed="false">
      <c r="A11" s="5" t="s">
        <v>16</v>
      </c>
      <c r="B11" s="6" t="s">
        <v>17</v>
      </c>
    </row>
    <row r="12" customFormat="false" ht="61.5" hidden="false" customHeight="true" outlineLevel="0" collapsed="false">
      <c r="A12" s="5" t="s">
        <v>18</v>
      </c>
      <c r="B12" s="6" t="s">
        <v>19</v>
      </c>
    </row>
    <row r="13" customFormat="false" ht="61.5" hidden="false" customHeight="true" outlineLevel="0" collapsed="false">
      <c r="A13" s="5" t="s">
        <v>20</v>
      </c>
      <c r="B13" s="6" t="s">
        <v>21</v>
      </c>
    </row>
    <row r="14" customFormat="false" ht="61.5" hidden="false" customHeight="true" outlineLevel="0" collapsed="false">
      <c r="A14" s="5" t="s">
        <v>22</v>
      </c>
      <c r="B14" s="6" t="s">
        <v>23</v>
      </c>
    </row>
    <row r="15" customFormat="false" ht="61.5" hidden="false" customHeight="true" outlineLevel="0" collapsed="false">
      <c r="A15" s="5" t="s">
        <v>24</v>
      </c>
      <c r="B15" s="6" t="s">
        <v>25</v>
      </c>
    </row>
    <row r="16" customFormat="false" ht="61.5" hidden="false" customHeight="true" outlineLevel="0" collapsed="false">
      <c r="A16" s="5" t="s">
        <v>26</v>
      </c>
      <c r="B16" s="6" t="s">
        <v>27</v>
      </c>
    </row>
    <row r="17" customFormat="false" ht="61.5" hidden="false" customHeight="true" outlineLevel="0" collapsed="false">
      <c r="A17" s="5" t="s">
        <v>28</v>
      </c>
      <c r="B17" s="6" t="s">
        <v>29</v>
      </c>
    </row>
    <row r="18" customFormat="false" ht="61.5" hidden="false" customHeight="true" outlineLevel="0" collapsed="false">
      <c r="A18" s="5" t="s">
        <v>30</v>
      </c>
      <c r="B18" s="6" t="s">
        <v>31</v>
      </c>
    </row>
    <row r="19" customFormat="false" ht="61.5" hidden="false" customHeight="true" outlineLevel="0" collapsed="false">
      <c r="A19" s="5" t="s">
        <v>32</v>
      </c>
      <c r="B19" s="6" t="s">
        <v>33</v>
      </c>
    </row>
    <row r="20" customFormat="false" ht="61.5" hidden="false" customHeight="true" outlineLevel="0" collapsed="false">
      <c r="A20" s="5" t="s">
        <v>34</v>
      </c>
      <c r="B20" s="6" t="s">
        <v>35</v>
      </c>
    </row>
    <row r="21" customFormat="false" ht="61.5" hidden="false" customHeight="true" outlineLevel="0" collapsed="false">
      <c r="A21" s="5" t="s">
        <v>36</v>
      </c>
      <c r="B21" s="6" t="s">
        <v>37</v>
      </c>
    </row>
    <row r="22" customFormat="false" ht="61.5" hidden="false" customHeight="true" outlineLevel="0" collapsed="false">
      <c r="A22" s="5" t="s">
        <v>38</v>
      </c>
      <c r="B22" s="6" t="s">
        <v>39</v>
      </c>
    </row>
    <row r="23" customFormat="false" ht="28.35" hidden="false" customHeight="false" outlineLevel="0" collapsed="false">
      <c r="A23" s="5" t="s">
        <v>40</v>
      </c>
      <c r="B23" s="6" t="s">
        <v>41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&amp;CLexShield v3 | Proiezioni condizionate, non bilanci certificati&amp;RPagina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7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28"/>
    <col collapsed="false" customWidth="true" hidden="false" outlineLevel="0" max="9" min="3" style="1" width="24"/>
  </cols>
  <sheetData>
    <row r="1" customFormat="false" ht="30" hidden="false" customHeight="true" outlineLevel="0" collapsed="false">
      <c r="A1" s="2" t="s">
        <v>42</v>
      </c>
      <c r="B1" s="2"/>
      <c r="C1" s="2"/>
      <c r="D1" s="2"/>
      <c r="E1" s="2"/>
    </row>
    <row r="2" customFormat="false" ht="42" hidden="false" customHeight="true" outlineLevel="0" collapsed="false">
      <c r="A2" s="3" t="s">
        <v>43</v>
      </c>
      <c r="B2" s="3"/>
      <c r="C2" s="3"/>
      <c r="D2" s="3"/>
      <c r="E2" s="3"/>
    </row>
    <row r="4" customFormat="false" ht="31.5" hidden="false" customHeight="true" outlineLevel="0" collapsed="false">
      <c r="A4" s="4" t="s">
        <v>44</v>
      </c>
      <c r="B4" s="4" t="s">
        <v>45</v>
      </c>
      <c r="C4" s="7" t="s">
        <v>46</v>
      </c>
      <c r="D4" s="7"/>
      <c r="E4" s="7"/>
    </row>
    <row r="5" customFormat="false" ht="36" hidden="false" customHeight="true" outlineLevel="0" collapsed="false">
      <c r="A5" s="5" t="s">
        <v>47</v>
      </c>
      <c r="B5" s="8" t="str">
        <f aca="false">INDEX(Ipotesi!$C$6:$K$6,1,Ipotesi!$C$5)</f>
        <v>Base</v>
      </c>
      <c r="C5" s="9" t="s">
        <v>48</v>
      </c>
      <c r="D5" s="9"/>
      <c r="E5" s="9"/>
    </row>
    <row r="6" customFormat="false" ht="36" hidden="false" customHeight="true" outlineLevel="0" collapsed="false">
      <c r="A6" s="5" t="s">
        <v>49</v>
      </c>
      <c r="B6" s="8" t="str">
        <f aca="false">IF(Parametri_v3!C6=1,"SOLO ESTERNI CONFERMATI","FONTI ESTERNE IPOTIZZATE")</f>
        <v>FONTI ESTERNE IPOTIZZATE</v>
      </c>
      <c r="C6" s="9" t="s">
        <v>50</v>
      </c>
      <c r="D6" s="9"/>
      <c r="E6" s="9"/>
    </row>
    <row r="7" customFormat="false" ht="36" hidden="false" customHeight="true" outlineLevel="0" collapsed="false">
      <c r="A7" s="5" t="s">
        <v>51</v>
      </c>
      <c r="B7" s="8" t="n">
        <f aca="false">Gruppo!G9</f>
        <v>3651225.25392839</v>
      </c>
      <c r="C7" s="9" t="s">
        <v>52</v>
      </c>
      <c r="D7" s="9"/>
      <c r="E7" s="9"/>
    </row>
    <row r="8" customFormat="false" ht="36" hidden="false" customHeight="true" outlineLevel="0" collapsed="false">
      <c r="A8" s="5" t="s">
        <v>53</v>
      </c>
      <c r="B8" s="8" t="n">
        <f aca="false">Gruppo!G10</f>
        <v>446595.611398411</v>
      </c>
      <c r="C8" s="9" t="s">
        <v>54</v>
      </c>
      <c r="D8" s="9"/>
      <c r="E8" s="9"/>
    </row>
    <row r="9" customFormat="false" ht="36" hidden="false" customHeight="true" outlineLevel="0" collapsed="false">
      <c r="A9" s="5" t="s">
        <v>55</v>
      </c>
      <c r="B9" s="8" t="n">
        <f aca="false">MIN(Startup!C19:G19)</f>
        <v>-73138.7599314124</v>
      </c>
      <c r="C9" s="9" t="s">
        <v>56</v>
      </c>
      <c r="D9" s="9"/>
      <c r="E9" s="9"/>
    </row>
    <row r="10" customFormat="false" ht="36" hidden="false" customHeight="true" outlineLevel="0" collapsed="false">
      <c r="A10" s="5" t="s">
        <v>57</v>
      </c>
      <c r="B10" s="8" t="n">
        <f aca="false">MIN(Advisory!C19:G19)</f>
        <v>-16783.0800399988</v>
      </c>
      <c r="C10" s="9" t="s">
        <v>58</v>
      </c>
      <c r="D10" s="9"/>
      <c r="E10" s="9"/>
    </row>
    <row r="11" customFormat="false" ht="36" hidden="false" customHeight="true" outlineLevel="0" collapsed="false">
      <c r="A11" s="5" t="s">
        <v>59</v>
      </c>
      <c r="B11" s="8" t="n">
        <f aca="false">MAX(Startup!C20:G20)</f>
        <v>98138.7599314124</v>
      </c>
      <c r="C11" s="9" t="s">
        <v>60</v>
      </c>
      <c r="D11" s="9"/>
      <c r="E11" s="9"/>
    </row>
    <row r="12" customFormat="false" ht="36" hidden="false" customHeight="true" outlineLevel="0" collapsed="false">
      <c r="A12" s="5" t="s">
        <v>61</v>
      </c>
      <c r="B12" s="8" t="n">
        <f aca="false">MAX(Advisory!C20:G20)</f>
        <v>26783.0800399988</v>
      </c>
      <c r="C12" s="9" t="s">
        <v>62</v>
      </c>
      <c r="D12" s="9"/>
      <c r="E12" s="9"/>
    </row>
    <row r="13" customFormat="false" ht="36" hidden="false" customHeight="true" outlineLevel="0" collapsed="false">
      <c r="A13" s="5" t="s">
        <v>63</v>
      </c>
      <c r="B13" s="8" t="n">
        <f aca="false">Startup!G37</f>
        <v>88867.7624496373</v>
      </c>
      <c r="C13" s="9" t="s">
        <v>64</v>
      </c>
      <c r="D13" s="9"/>
      <c r="E13" s="9"/>
    </row>
    <row r="14" customFormat="false" ht="36" hidden="false" customHeight="true" outlineLevel="0" collapsed="false">
      <c r="A14" s="5" t="s">
        <v>65</v>
      </c>
      <c r="B14" s="10" t="n">
        <f aca="false">Gruppo!G14</f>
        <v>228.899667702702</v>
      </c>
      <c r="C14" s="9" t="s">
        <v>66</v>
      </c>
      <c r="D14" s="9"/>
      <c r="E14" s="9"/>
    </row>
    <row r="15" customFormat="false" ht="36" hidden="false" customHeight="true" outlineLevel="0" collapsed="false">
      <c r="A15" s="5" t="s">
        <v>67</v>
      </c>
      <c r="B15" s="11" t="n">
        <f aca="false">Requisiti!G9</f>
        <v>0.173947446256422</v>
      </c>
      <c r="C15" s="9" t="s">
        <v>68</v>
      </c>
      <c r="D15" s="9"/>
      <c r="E15" s="9"/>
    </row>
    <row r="16" customFormat="false" ht="36" hidden="false" customHeight="true" outlineLevel="0" collapsed="false">
      <c r="A16" s="5" t="s">
        <v>69</v>
      </c>
      <c r="B16" s="8" t="str">
        <f aca="false">IF(OR(MIN(Startup!C19:G19)&lt;0,MIN(Advisory!C19:G19)&lt;0),"DEFICIT: PIANO NON FINANZIATO","CASSA NON NEGATIVA NELLO SCENARIO")</f>
        <v>DEFICIT: PIANO NON FINANZIATO</v>
      </c>
      <c r="C16" s="9" t="s">
        <v>70</v>
      </c>
      <c r="D16" s="9"/>
      <c r="E16" s="9"/>
    </row>
    <row r="17" customFormat="false" ht="36" hidden="false" customHeight="true" outlineLevel="0" collapsed="false">
      <c r="A17" s="5" t="s">
        <v>71</v>
      </c>
      <c r="B17" s="8" t="str">
        <f aca="false">IF(MAX(Controlli!B5:B9)&lt;0.01,"QUADRATURE OK","VERIFICARE QUADRATURE")</f>
        <v>QUADRATURE OK</v>
      </c>
      <c r="C17" s="9" t="s">
        <v>72</v>
      </c>
      <c r="D17" s="9"/>
      <c r="E17" s="9"/>
    </row>
    <row r="18" customFormat="false" ht="36" hidden="false" customHeight="true" outlineLevel="0" collapsed="false">
      <c r="A18" s="5" t="s">
        <v>73</v>
      </c>
      <c r="B18" s="12" t="n">
        <f aca="false">IFERROR(INDEX(Tesoreria!A5:A64,MATCH(1,Tesoreria!M5:M64,0)),"NESSUNO")</f>
        <v>46447</v>
      </c>
      <c r="C18" s="9" t="s">
        <v>74</v>
      </c>
      <c r="D18" s="9"/>
      <c r="E18" s="9"/>
    </row>
    <row r="19" customFormat="false" ht="36" hidden="false" customHeight="true" outlineLevel="0" collapsed="false">
      <c r="A19" s="5" t="s">
        <v>75</v>
      </c>
      <c r="B19" s="8" t="n">
        <f aca="false">MAX(Tesoreria!L5:L64)</f>
        <v>104317.900067316</v>
      </c>
      <c r="C19" s="9" t="s">
        <v>76</v>
      </c>
      <c r="D19" s="9"/>
      <c r="E19" s="9"/>
    </row>
    <row r="20" customFormat="false" ht="31.5" hidden="false" customHeight="true" outlineLevel="0" collapsed="false">
      <c r="A20" s="4" t="s">
        <v>77</v>
      </c>
      <c r="B20" s="4" t="s">
        <v>78</v>
      </c>
      <c r="C20" s="4" t="s">
        <v>79</v>
      </c>
      <c r="D20" s="4" t="s">
        <v>80</v>
      </c>
      <c r="E20" s="4" t="s">
        <v>81</v>
      </c>
    </row>
    <row r="21" customFormat="false" ht="22.5" hidden="false" customHeight="true" outlineLevel="0" collapsed="false">
      <c r="A21" s="13" t="n">
        <v>2027</v>
      </c>
      <c r="B21" s="14" t="n">
        <f aca="false">Gruppo!C9</f>
        <v>288276.315789474</v>
      </c>
      <c r="C21" s="14" t="n">
        <f aca="false">Gruppo!C10</f>
        <v>-171028.842105263</v>
      </c>
      <c r="D21" s="14" t="n">
        <f aca="false">Gruppo!C24</f>
        <v>25000</v>
      </c>
      <c r="E21" s="14" t="n">
        <f aca="false">Gruppo!C25</f>
        <v>26513.7270175439</v>
      </c>
    </row>
    <row r="22" customFormat="false" ht="22.5" hidden="false" customHeight="true" outlineLevel="0" collapsed="false">
      <c r="A22" s="13" t="n">
        <v>2028</v>
      </c>
      <c r="B22" s="14" t="n">
        <f aca="false">Gruppo!D9</f>
        <v>732688.608191163</v>
      </c>
      <c r="C22" s="14" t="n">
        <f aca="false">Gruppo!D10</f>
        <v>-263199.149068276</v>
      </c>
      <c r="D22" s="14" t="n">
        <f aca="false">Gruppo!D24</f>
        <v>40136.7903633169</v>
      </c>
      <c r="E22" s="14" t="n">
        <f aca="false">Gruppo!D25</f>
        <v>15038.5625920435</v>
      </c>
    </row>
    <row r="23" customFormat="false" ht="22.5" hidden="false" customHeight="true" outlineLevel="0" collapsed="false">
      <c r="A23" s="13" t="n">
        <v>2029</v>
      </c>
      <c r="B23" s="14" t="n">
        <f aca="false">Gruppo!E9</f>
        <v>1533406.24850492</v>
      </c>
      <c r="C23" s="14" t="n">
        <f aca="false">Gruppo!E10</f>
        <v>-350161.376285769</v>
      </c>
      <c r="D23" s="14" t="n">
        <f aca="false">Gruppo!E24</f>
        <v>448452.524776355</v>
      </c>
      <c r="E23" s="14" t="n">
        <f aca="false">Gruppo!E25</f>
        <v>99567.6549956758</v>
      </c>
    </row>
    <row r="24" customFormat="false" ht="22.5" hidden="false" customHeight="true" outlineLevel="0" collapsed="false">
      <c r="A24" s="13" t="n">
        <v>2030</v>
      </c>
      <c r="B24" s="14" t="n">
        <f aca="false">Gruppo!F9</f>
        <v>2580413.92167546</v>
      </c>
      <c r="C24" s="14" t="n">
        <f aca="false">Gruppo!F10</f>
        <v>52824.1846408969</v>
      </c>
      <c r="D24" s="14" t="n">
        <f aca="false">Gruppo!F24</f>
        <v>28722.3808950936</v>
      </c>
      <c r="E24" s="14" t="n">
        <f aca="false">Gruppo!F25</f>
        <v>218002.561930104</v>
      </c>
    </row>
    <row r="25" customFormat="false" ht="22.5" hidden="false" customHeight="true" outlineLevel="0" collapsed="false">
      <c r="A25" s="13" t="n">
        <v>2031</v>
      </c>
      <c r="B25" s="14" t="n">
        <f aca="false">Gruppo!G9</f>
        <v>3651225.25392839</v>
      </c>
      <c r="C25" s="14" t="n">
        <f aca="false">Gruppo!G10</f>
        <v>446595.611398411</v>
      </c>
      <c r="D25" s="14" t="n">
        <f aca="false">Gruppo!G24</f>
        <v>25000</v>
      </c>
      <c r="E25" s="14" t="n">
        <f aca="false">Gruppo!G25</f>
        <v>341896.795568077</v>
      </c>
    </row>
    <row r="27" customFormat="false" ht="15" hidden="false" customHeight="true" outlineLevel="0" collapsed="false">
      <c r="A27" s="5" t="s">
        <v>82</v>
      </c>
      <c r="B27" s="8" t="n">
        <f aca="false">MIN(INDEX(Motore_Startup!$BH$5:$BH$544,(Ipotesi!$C$5-1)*60+1):INDEX(Motore_Startup!$BH$5:$BH$544,(Ipotesi!$C$5-1)*60+60))+INDEX(Motore_Startup!$BF$5:$BF$544,(Ipotesi!$C$5-1)*60+60)</f>
        <v>-73138.7599314124</v>
      </c>
      <c r="C27" s="9" t="s">
        <v>83</v>
      </c>
      <c r="D27" s="9"/>
      <c r="E27" s="9"/>
    </row>
  </sheetData>
  <mergeCells count="19">
    <mergeCell ref="A1:E1"/>
    <mergeCell ref="A2:E2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7:E27"/>
  </mergeCell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&amp;CLexShield v3 | Proiezioni condizionate, non bilanci certificati&amp;RPagina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9"/>
    <col collapsed="false" customWidth="true" hidden="false" outlineLevel="0" max="2" min="2" style="1" width="12"/>
    <col collapsed="false" customWidth="true" hidden="false" outlineLevel="0" max="7" min="3" style="1" width="21"/>
    <col collapsed="false" customWidth="true" hidden="false" outlineLevel="0" max="9" min="8" style="1" width="18"/>
  </cols>
  <sheetData>
    <row r="1" customFormat="false" ht="30" hidden="false" customHeight="true" outlineLevel="0" collapsed="false">
      <c r="A1" s="2" t="s">
        <v>84</v>
      </c>
      <c r="B1" s="2"/>
      <c r="C1" s="2"/>
      <c r="D1" s="2"/>
      <c r="E1" s="2"/>
      <c r="F1" s="2"/>
      <c r="G1" s="2"/>
      <c r="H1" s="2"/>
    </row>
    <row r="2" customFormat="false" ht="42" hidden="false" customHeight="true" outlineLevel="0" collapsed="false">
      <c r="A2" s="3" t="s">
        <v>85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A4" s="4" t="s">
        <v>44</v>
      </c>
      <c r="B4" s="4" t="s">
        <v>86</v>
      </c>
      <c r="C4" s="4" t="n">
        <v>2027</v>
      </c>
      <c r="D4" s="4" t="n">
        <v>2028</v>
      </c>
      <c r="E4" s="4" t="n">
        <v>2029</v>
      </c>
      <c r="F4" s="4" t="n">
        <v>2030</v>
      </c>
      <c r="G4" s="4" t="n">
        <v>2031</v>
      </c>
    </row>
    <row r="5" customFormat="false" ht="27.75" hidden="false" customHeight="true" outlineLevel="0" collapsed="false">
      <c r="A5" s="6" t="s">
        <v>87</v>
      </c>
      <c r="B5" s="1" t="s">
        <v>88</v>
      </c>
      <c r="C5" s="15" t="n">
        <f aca="false">SUM(INDEX(Motore_Operativo!$AQ$5:$AQ$544,(Ipotesi!$C$5-1)*60+0*12+1):INDEX(Motore_Operativo!$AQ$5:$AQ$544,((Ipotesi!$C$5-1)*60+0*12+1)+11))</f>
        <v>90000</v>
      </c>
      <c r="D5" s="15" t="n">
        <f aca="false">SUM(INDEX(Motore_Operativo!$AQ$5:$AQ$544,(Ipotesi!$C$5-1)*60+1*12+1):INDEX(Motore_Operativo!$AQ$5:$AQ$544,((Ipotesi!$C$5-1)*60+1*12+1)+11))</f>
        <v>256500</v>
      </c>
      <c r="E5" s="15" t="n">
        <f aca="false">SUM(INDEX(Motore_Operativo!$AQ$5:$AQ$544,(Ipotesi!$C$5-1)*60+2*12+1):INDEX(Motore_Operativo!$AQ$5:$AQ$544,((Ipotesi!$C$5-1)*60+2*12+1)+11))</f>
        <v>500000</v>
      </c>
      <c r="F5" s="15" t="n">
        <f aca="false">SUM(INDEX(Motore_Operativo!$AQ$5:$AQ$544,(Ipotesi!$C$5-1)*60+3*12+1):INDEX(Motore_Operativo!$AQ$5:$AQ$544,((Ipotesi!$C$5-1)*60+3*12+1)+11))</f>
        <v>777000</v>
      </c>
      <c r="G5" s="15" t="n">
        <f aca="false">SUM(INDEX(Motore_Operativo!$AQ$5:$AQ$544,(Ipotesi!$C$5-1)*60+4*12+1):INDEX(Motore_Operativo!$AQ$5:$AQ$544,((Ipotesi!$C$5-1)*60+4*12+1)+11))</f>
        <v>1078000</v>
      </c>
    </row>
    <row r="6" customFormat="false" ht="27.75" hidden="false" customHeight="true" outlineLevel="0" collapsed="false">
      <c r="A6" s="6" t="s">
        <v>89</v>
      </c>
      <c r="B6" s="1" t="s">
        <v>88</v>
      </c>
      <c r="C6" s="15" t="n">
        <f aca="false">SUM(INDEX(Motore_Operativo!$BF$5:$BF$544,(Ipotesi!$C$5-1)*60+0*12+1):INDEX(Motore_Operativo!$BF$5:$BF$544,((Ipotesi!$C$5-1)*60+0*12+1)+11))</f>
        <v>3750</v>
      </c>
      <c r="D6" s="15" t="n">
        <f aca="false">SUM(INDEX(Motore_Operativo!$BF$5:$BF$544,(Ipotesi!$C$5-1)*60+1*12+1):INDEX(Motore_Operativo!$BF$5:$BF$544,((Ipotesi!$C$5-1)*60+1*12+1)+11))</f>
        <v>68413.9603038391</v>
      </c>
      <c r="E6" s="15" t="n">
        <f aca="false">SUM(INDEX(Motore_Operativo!$BF$5:$BF$544,(Ipotesi!$C$5-1)*60+2*12+1):INDEX(Motore_Operativo!$BF$5:$BF$544,((Ipotesi!$C$5-1)*60+2*12+1)+11))</f>
        <v>307406.24850492</v>
      </c>
      <c r="F6" s="15" t="n">
        <f aca="false">SUM(INDEX(Motore_Operativo!$BF$5:$BF$544,(Ipotesi!$C$5-1)*60+3*12+1):INDEX(Motore_Operativo!$BF$5:$BF$544,((Ipotesi!$C$5-1)*60+3*12+1)+11))</f>
        <v>720513.921675462</v>
      </c>
      <c r="G6" s="15" t="n">
        <f aca="false">SUM(INDEX(Motore_Operativo!$BF$5:$BF$544,(Ipotesi!$C$5-1)*60+4*12+1):INDEX(Motore_Operativo!$BF$5:$BF$544,((Ipotesi!$C$5-1)*60+4*12+1)+11))</f>
        <v>1181725.25392839</v>
      </c>
    </row>
    <row r="7" customFormat="false" ht="27.75" hidden="false" customHeight="true" outlineLevel="0" collapsed="false">
      <c r="A7" s="6" t="s">
        <v>90</v>
      </c>
      <c r="B7" s="1" t="s">
        <v>88</v>
      </c>
      <c r="C7" s="15" t="n">
        <f aca="false">SUM(INDEX(Motore_Operativo!$AK$5:$AK$544,(Ipotesi!$C$5-1)*60+0*12+1):INDEX(Motore_Operativo!$AK$5:$AK$544,((Ipotesi!$C$5-1)*60+0*12+1)+11))</f>
        <v>145894.736842105</v>
      </c>
      <c r="D7" s="15" t="n">
        <f aca="false">SUM(INDEX(Motore_Operativo!$AK$5:$AK$544,(Ipotesi!$C$5-1)*60+1*12+1):INDEX(Motore_Operativo!$AK$5:$AK$544,((Ipotesi!$C$5-1)*60+1*12+1)+11))</f>
        <v>312338.028169014</v>
      </c>
      <c r="E7" s="15" t="n">
        <f aca="false">SUM(INDEX(Motore_Operativo!$AK$5:$AK$544,(Ipotesi!$C$5-1)*60+2*12+1):INDEX(Motore_Operativo!$AK$5:$AK$544,((Ipotesi!$C$5-1)*60+2*12+1)+11))</f>
        <v>561000</v>
      </c>
      <c r="F7" s="15" t="n">
        <f aca="false">SUM(INDEX(Motore_Operativo!$AK$5:$AK$544,(Ipotesi!$C$5-1)*60+3*12+1):INDEX(Motore_Operativo!$AK$5:$AK$544,((Ipotesi!$C$5-1)*60+3*12+1)+11))</f>
        <v>837900</v>
      </c>
      <c r="G7" s="15" t="n">
        <f aca="false">SUM(INDEX(Motore_Operativo!$AK$5:$AK$544,(Ipotesi!$C$5-1)*60+4*12+1):INDEX(Motore_Operativo!$AK$5:$AK$544,((Ipotesi!$C$5-1)*60+4*12+1)+11))</f>
        <v>1092500</v>
      </c>
    </row>
    <row r="8" customFormat="false" ht="27.75" hidden="false" customHeight="true" outlineLevel="0" collapsed="false">
      <c r="A8" s="6" t="s">
        <v>91</v>
      </c>
      <c r="B8" s="1" t="s">
        <v>88</v>
      </c>
      <c r="C8" s="15" t="n">
        <f aca="false">SUM(INDEX(Motore_Operativo!$AL$5:$AL$544,(Ipotesi!$C$5-1)*60+0*12+1):INDEX(Motore_Operativo!$AL$5:$AL$544,((Ipotesi!$C$5-1)*60+0*12+1)+11))</f>
        <v>48631.5789473684</v>
      </c>
      <c r="D8" s="15" t="n">
        <f aca="false">SUM(INDEX(Motore_Operativo!$AL$5:$AL$544,(Ipotesi!$C$5-1)*60+1*12+1):INDEX(Motore_Operativo!$AL$5:$AL$544,((Ipotesi!$C$5-1)*60+1*12+1)+11))</f>
        <v>95436.6197183098</v>
      </c>
      <c r="E8" s="15" t="n">
        <f aca="false">SUM(INDEX(Motore_Operativo!$AL$5:$AL$544,(Ipotesi!$C$5-1)*60+2*12+1):INDEX(Motore_Operativo!$AL$5:$AL$544,((Ipotesi!$C$5-1)*60+2*12+1)+11))</f>
        <v>165000</v>
      </c>
      <c r="F8" s="15" t="n">
        <f aca="false">SUM(INDEX(Motore_Operativo!$AL$5:$AL$544,(Ipotesi!$C$5-1)*60+3*12+1):INDEX(Motore_Operativo!$AL$5:$AL$544,((Ipotesi!$C$5-1)*60+3*12+1)+11))</f>
        <v>245000</v>
      </c>
      <c r="G8" s="15" t="n">
        <f aca="false">SUM(INDEX(Motore_Operativo!$AL$5:$AL$544,(Ipotesi!$C$5-1)*60+4*12+1):INDEX(Motore_Operativo!$AL$5:$AL$544,((Ipotesi!$C$5-1)*60+4*12+1)+11))</f>
        <v>299000</v>
      </c>
    </row>
    <row r="9" customFormat="false" ht="27.75" hidden="false" customHeight="true" outlineLevel="0" collapsed="false">
      <c r="A9" s="5" t="s">
        <v>92</v>
      </c>
      <c r="B9" s="1" t="s">
        <v>88</v>
      </c>
      <c r="C9" s="15" t="n">
        <f aca="false">SUM(C5:C8)</f>
        <v>288276.315789474</v>
      </c>
      <c r="D9" s="15" t="n">
        <f aca="false">SUM(D5:D8)</f>
        <v>732688.608191163</v>
      </c>
      <c r="E9" s="15" t="n">
        <f aca="false">SUM(E5:E8)</f>
        <v>1533406.24850492</v>
      </c>
      <c r="F9" s="15" t="n">
        <f aca="false">SUM(F5:F8)</f>
        <v>2580413.92167546</v>
      </c>
      <c r="G9" s="15" t="n">
        <f aca="false">SUM(G5:G8)</f>
        <v>3651225.25392839</v>
      </c>
    </row>
    <row r="10" customFormat="false" ht="27.75" hidden="false" customHeight="true" outlineLevel="0" collapsed="false">
      <c r="A10" s="5" t="s">
        <v>93</v>
      </c>
      <c r="B10" s="1" t="s">
        <v>88</v>
      </c>
      <c r="C10" s="15" t="n">
        <f aca="false">Startup!C9+Advisory!C9</f>
        <v>-171028.842105263</v>
      </c>
      <c r="D10" s="15" t="n">
        <f aca="false">Startup!D9+Advisory!D9</f>
        <v>-263199.149068276</v>
      </c>
      <c r="E10" s="15" t="n">
        <f aca="false">Startup!E9+Advisory!E9</f>
        <v>-350161.376285769</v>
      </c>
      <c r="F10" s="15" t="n">
        <f aca="false">Startup!F9+Advisory!F9</f>
        <v>52824.1846408969</v>
      </c>
      <c r="G10" s="15" t="n">
        <f aca="false">Startup!G9+Advisory!G9</f>
        <v>446595.611398411</v>
      </c>
    </row>
    <row r="11" customFormat="false" ht="27.75" hidden="false" customHeight="true" outlineLevel="0" collapsed="false">
      <c r="A11" s="6" t="s">
        <v>94</v>
      </c>
      <c r="B11" s="1" t="s">
        <v>95</v>
      </c>
      <c r="C11" s="16" t="n">
        <f aca="false">IF(C9=0,0,C10/C9)</f>
        <v>-0.593280934775663</v>
      </c>
      <c r="D11" s="16" t="n">
        <f aca="false">IF(D9=0,0,D10/D9)</f>
        <v>-0.359223749524444</v>
      </c>
      <c r="E11" s="16" t="n">
        <f aca="false">IF(E9=0,0,E10/E9)</f>
        <v>-0.228355255906371</v>
      </c>
      <c r="F11" s="16" t="n">
        <f aca="false">IF(F9=0,0,F10/F9)</f>
        <v>0.0204712058779307</v>
      </c>
      <c r="G11" s="16" t="n">
        <f aca="false">IF(G9=0,0,G10/G9)</f>
        <v>0.122313902961181</v>
      </c>
    </row>
    <row r="12" customFormat="false" ht="27.75" hidden="false" customHeight="true" outlineLevel="0" collapsed="false">
      <c r="A12" s="5" t="s">
        <v>96</v>
      </c>
      <c r="B12" s="1" t="s">
        <v>88</v>
      </c>
      <c r="C12" s="15" t="n">
        <f aca="false">Startup!C16+Advisory!C16</f>
        <v>-176453.469504302</v>
      </c>
      <c r="D12" s="15" t="n">
        <f aca="false">Startup!D16+Advisory!D16</f>
        <v>-246208.034732615</v>
      </c>
      <c r="E12" s="15" t="n">
        <f aca="false">Startup!E16+Advisory!E16</f>
        <v>-386461.099004995</v>
      </c>
      <c r="F12" s="15" t="n">
        <f aca="false">Startup!F16+Advisory!F16</f>
        <v>-72172.8421218254</v>
      </c>
      <c r="G12" s="15" t="n">
        <f aca="false">Startup!G16+Advisory!G16</f>
        <v>278317.867563126</v>
      </c>
    </row>
    <row r="13" customFormat="false" ht="27.75" hidden="false" customHeight="true" outlineLevel="0" collapsed="false"/>
    <row r="14" customFormat="false" ht="27.75" hidden="false" customHeight="true" outlineLevel="0" collapsed="false">
      <c r="A14" s="6" t="s">
        <v>97</v>
      </c>
      <c r="B14" s="1" t="s">
        <v>98</v>
      </c>
      <c r="C14" s="17" t="n">
        <f aca="false">INDEX(Motore_Operativo!$BD$5:$BD$544,((Ipotesi!$C$5-1)*60+0*12+1)+11)</f>
        <v>5</v>
      </c>
      <c r="D14" s="17" t="n">
        <f aca="false">INDEX(Motore_Operativo!$BD$5:$BD$544,((Ipotesi!$C$5-1)*60+1*12+1)+11)</f>
        <v>32.6393699684432</v>
      </c>
      <c r="E14" s="17" t="n">
        <f aca="false">INDEX(Motore_Operativo!$BD$5:$BD$544,((Ipotesi!$C$5-1)*60+2*12+1)+11)</f>
        <v>88.253796635745</v>
      </c>
      <c r="F14" s="17" t="n">
        <f aca="false">INDEX(Motore_Operativo!$BD$5:$BD$544,((Ipotesi!$C$5-1)*60+3*12+1)+11)</f>
        <v>154.906003497615</v>
      </c>
      <c r="G14" s="17" t="n">
        <f aca="false">INDEX(Motore_Operativo!$BD$5:$BD$544,((Ipotesi!$C$5-1)*60+4*12+1)+11)</f>
        <v>228.899667702702</v>
      </c>
    </row>
    <row r="15" customFormat="false" ht="27.75" hidden="false" customHeight="true" outlineLevel="0" collapsed="false">
      <c r="A15" s="6" t="s">
        <v>99</v>
      </c>
      <c r="B15" s="1" t="s">
        <v>88</v>
      </c>
      <c r="C15" s="15" t="n">
        <f aca="false">INDEX(Motore_Operativo!$BG$5:$BG$544,((Ipotesi!$C$5-1)*60+0*12+1)+11)</f>
        <v>10000</v>
      </c>
      <c r="D15" s="15" t="n">
        <f aca="false">INDEX(Motore_Operativo!$BG$5:$BG$544,((Ipotesi!$C$5-1)*60+1*12+1)+11)</f>
        <v>130557.479873773</v>
      </c>
      <c r="E15" s="15" t="n">
        <f aca="false">INDEX(Motore_Operativo!$BG$5:$BG$544,((Ipotesi!$C$5-1)*60+2*12+1)+11)</f>
        <v>485395.881496597</v>
      </c>
      <c r="F15" s="15" t="n">
        <f aca="false">INDEX(Motore_Operativo!$BG$5:$BG$544,((Ipotesi!$C$5-1)*60+3*12+1)+11)</f>
        <v>929436.020985689</v>
      </c>
      <c r="G15" s="15" t="n">
        <f aca="false">INDEX(Motore_Operativo!$BG$5:$BG$544,((Ipotesi!$C$5-1)*60+4*12+1)+11)</f>
        <v>1419177.93975675</v>
      </c>
    </row>
    <row r="16" customFormat="false" ht="27.75" hidden="false" customHeight="true" outlineLevel="0" collapsed="false">
      <c r="A16" s="6" t="s">
        <v>100</v>
      </c>
      <c r="B16" s="1" t="s">
        <v>98</v>
      </c>
      <c r="C16" s="17" t="n">
        <f aca="false">SUM(INDEX(Motore_Operativo!$BC$5:$BC$544,(Ipotesi!$C$5-1)*60+0*12+1):INDEX(Motore_Operativo!$BC$5:$BC$544,((Ipotesi!$C$5-1)*60+0*12+1)+11))</f>
        <v>5</v>
      </c>
      <c r="D16" s="17" t="n">
        <f aca="false">SUM(INDEX(Motore_Operativo!$BC$5:$BC$544,(Ipotesi!$C$5-1)*60+1*12+1):INDEX(Motore_Operativo!$BC$5:$BC$544,((Ipotesi!$C$5-1)*60+1*12+1)+11))</f>
        <v>29.3127083333333</v>
      </c>
      <c r="E16" s="17" t="n">
        <f aca="false">SUM(INDEX(Motore_Operativo!$BC$5:$BC$544,(Ipotesi!$C$5-1)*60+2*12+1):INDEX(Motore_Operativo!$BC$5:$BC$544,((Ipotesi!$C$5-1)*60+2*12+1)+11))</f>
        <v>61.234385</v>
      </c>
      <c r="F16" s="17" t="n">
        <f aca="false">SUM(INDEX(Motore_Operativo!$BC$5:$BC$544,(Ipotesi!$C$5-1)*60+3*12+1):INDEX(Motore_Operativo!$BC$5:$BC$544,((Ipotesi!$C$5-1)*60+3*12+1)+11))</f>
        <v>78.9577878125</v>
      </c>
      <c r="G16" s="17" t="n">
        <f aca="false">SUM(INDEX(Motore_Operativo!$BC$5:$BC$544,(Ipotesi!$C$5-1)*60+4*12+1):INDEX(Motore_Operativo!$BC$5:$BC$544,((Ipotesi!$C$5-1)*60+4*12+1)+11))</f>
        <v>93.6641537603846</v>
      </c>
    </row>
    <row r="17" customFormat="false" ht="27.75" hidden="false" customHeight="true" outlineLevel="0" collapsed="false">
      <c r="A17" s="6" t="s">
        <v>101</v>
      </c>
      <c r="B17" s="1" t="s">
        <v>98</v>
      </c>
      <c r="C17" s="17" t="n">
        <f aca="false">SUM(INDEX(Motore_Operativo!$AW$5:$AW$544,(Ipotesi!$C$5-1)*60+0*12+1):INDEX(Motore_Operativo!$AW$5:$AW$544,((Ipotesi!$C$5-1)*60+0*12+1)+11))</f>
        <v>0</v>
      </c>
      <c r="D17" s="17" t="n">
        <f aca="false">SUM(INDEX(Motore_Operativo!$AW$5:$AW$544,(Ipotesi!$C$5-1)*60+1*12+1):INDEX(Motore_Operativo!$AW$5:$AW$544,((Ipotesi!$C$5-1)*60+1*12+1)+11))</f>
        <v>1.67333836489015</v>
      </c>
      <c r="E17" s="17" t="n">
        <f aca="false">SUM(INDEX(Motore_Operativo!$AW$5:$AW$544,(Ipotesi!$C$5-1)*60+2*12+1):INDEX(Motore_Operativo!$AW$5:$AW$544,((Ipotesi!$C$5-1)*60+2*12+1)+11))</f>
        <v>5.61995833269824</v>
      </c>
      <c r="F17" s="17" t="n">
        <f aca="false">SUM(INDEX(Motore_Operativo!$AW$5:$AW$544,(Ipotesi!$C$5-1)*60+3*12+1):INDEX(Motore_Operativo!$AW$5:$AW$544,((Ipotesi!$C$5-1)*60+3*12+1)+11))</f>
        <v>12.3055809506302</v>
      </c>
      <c r="G17" s="17" t="n">
        <f aca="false">SUM(INDEX(Motore_Operativo!$AW$5:$AW$544,(Ipotesi!$C$5-1)*60+4*12+1):INDEX(Motore_Operativo!$AW$5:$AW$544,((Ipotesi!$C$5-1)*60+4*12+1)+11))</f>
        <v>19.6704895552978</v>
      </c>
    </row>
    <row r="18" customFormat="false" ht="27.75" hidden="false" customHeight="true" outlineLevel="0" collapsed="false">
      <c r="A18" s="6" t="s">
        <v>102</v>
      </c>
      <c r="B18" s="1" t="s">
        <v>88</v>
      </c>
      <c r="C18" s="15" t="n">
        <f aca="false">SUM(INDEX(Motore_Operativo!$AT$5:$AT$544,(Ipotesi!$C$5-1)*60+0*12+1):INDEX(Motore_Operativo!$AT$5:$AT$544,((Ipotesi!$C$5-1)*60+0*12+1)+11))</f>
        <v>40750</v>
      </c>
      <c r="D18" s="15" t="n">
        <f aca="false">SUM(INDEX(Motore_Operativo!$AT$5:$AT$544,(Ipotesi!$C$5-1)*60+1*12+1):INDEX(Motore_Operativo!$AT$5:$AT$544,((Ipotesi!$C$5-1)*60+1*12+1)+11))</f>
        <v>103667.5</v>
      </c>
      <c r="E18" s="15" t="n">
        <f aca="false">SUM(INDEX(Motore_Operativo!$AT$5:$AT$544,(Ipotesi!$C$5-1)*60+2*12+1):INDEX(Motore_Operativo!$AT$5:$AT$544,((Ipotesi!$C$5-1)*60+2*12+1)+11))</f>
        <v>373673.4</v>
      </c>
      <c r="F18" s="15" t="n">
        <f aca="false">SUM(INDEX(Motore_Operativo!$AT$5:$AT$544,(Ipotesi!$C$5-1)*60+3*12+1):INDEX(Motore_Operativo!$AT$5:$AT$544,((Ipotesi!$C$5-1)*60+3*12+1)+11))</f>
        <v>507104.5025</v>
      </c>
      <c r="G18" s="15" t="n">
        <f aca="false">SUM(INDEX(Motore_Operativo!$AT$5:$AT$544,(Ipotesi!$C$5-1)*60+4*12+1):INDEX(Motore_Operativo!$AT$5:$AT$544,((Ipotesi!$C$5-1)*60+4*12+1)+11))</f>
        <v>642721.16509</v>
      </c>
    </row>
    <row r="19" customFormat="false" ht="27.75" hidden="false" customHeight="true" outlineLevel="0" collapsed="false">
      <c r="A19" s="6" t="s">
        <v>103</v>
      </c>
      <c r="B19" s="1" t="s">
        <v>88</v>
      </c>
      <c r="C19" s="15" t="n">
        <f aca="false">IF(C16=0,0,C18/C16)</f>
        <v>8150</v>
      </c>
      <c r="D19" s="15" t="n">
        <f aca="false">IF(D16=0,0,D18/D16)</f>
        <v>3536.60599427154</v>
      </c>
      <c r="E19" s="15" t="n">
        <f aca="false">IF(E16=0,0,E18/E16)</f>
        <v>6102.34592868043</v>
      </c>
      <c r="F19" s="15" t="n">
        <f aca="false">IF(F16=0,0,F18/F16)</f>
        <v>6422.47606663214</v>
      </c>
      <c r="G19" s="15" t="n">
        <f aca="false">IF(G16=0,0,G18/G16)</f>
        <v>6861.97589244478</v>
      </c>
    </row>
    <row r="20" customFormat="false" ht="27.75" hidden="false" customHeight="true" outlineLevel="0" collapsed="false">
      <c r="A20" s="6" t="s">
        <v>104</v>
      </c>
      <c r="B20" s="1" t="s">
        <v>95</v>
      </c>
      <c r="C20" s="16" t="n">
        <f aca="false">IF(C6=0,0,1-SUM(INDEX(Motore_Operativo!$CL$5:$CL$544,(Ipotesi!$C$5-1)*60+0*12+1):INDEX(Motore_Operativo!$CL$5:$CL$544,((Ipotesi!$C$5-1)*60+0*12+1)+11))/C6)</f>
        <v>-4.88</v>
      </c>
      <c r="D20" s="16" t="n">
        <f aca="false">IF(D6=0,0,1-SUM(INDEX(Motore_Operativo!$CL$5:$CL$544,(Ipotesi!$C$5-1)*60+1*12+1):INDEX(Motore_Operativo!$CL$5:$CL$544,((Ipotesi!$C$5-1)*60+1*12+1)+11))/D6)</f>
        <v>0.395874516827411</v>
      </c>
      <c r="E20" s="16" t="n">
        <f aca="false">IF(E6=0,0,1-SUM(INDEX(Motore_Operativo!$CL$5:$CL$544,(Ipotesi!$C$5-1)*60+2*12+1):INDEX(Motore_Operativo!$CL$5:$CL$544,((Ipotesi!$C$5-1)*60+2*12+1)+11))/E6)</f>
        <v>0.684843426730661</v>
      </c>
      <c r="F20" s="16" t="n">
        <f aca="false">IF(F6=0,0,1-SUM(INDEX(Motore_Operativo!$CL$5:$CL$544,(Ipotesi!$C$5-1)*60+3*12+1):INDEX(Motore_Operativo!$CL$5:$CL$544,((Ipotesi!$C$5-1)*60+3*12+1)+11))/F6)</f>
        <v>0.796811439959963</v>
      </c>
      <c r="G20" s="16" t="n">
        <f aca="false">IF(G6=0,0,1-SUM(INDEX(Motore_Operativo!$CL$5:$CL$544,(Ipotesi!$C$5-1)*60+4*12+1):INDEX(Motore_Operativo!$CL$5:$CL$544,((Ipotesi!$C$5-1)*60+4*12+1)+11))/G6)</f>
        <v>0.830159985785974</v>
      </c>
    </row>
    <row r="21" customFormat="false" ht="27.75" hidden="false" customHeight="true" outlineLevel="0" collapsed="false">
      <c r="A21" s="6" t="s">
        <v>105</v>
      </c>
      <c r="B21" s="1" t="s">
        <v>95</v>
      </c>
      <c r="C21" s="16" t="n">
        <f aca="false">Ipotesi!$C$36</f>
        <v>0.8</v>
      </c>
      <c r="D21" s="16" t="n">
        <f aca="false">Ipotesi!$C$36</f>
        <v>0.8</v>
      </c>
      <c r="E21" s="16" t="n">
        <f aca="false">Ipotesi!$C$36</f>
        <v>0.8</v>
      </c>
      <c r="F21" s="16" t="n">
        <f aca="false">Ipotesi!$C$36</f>
        <v>0.8</v>
      </c>
      <c r="G21" s="16" t="n">
        <f aca="false">Ipotesi!$C$36</f>
        <v>0.8</v>
      </c>
    </row>
    <row r="22" customFormat="false" ht="27.75" hidden="false" customHeight="true" outlineLevel="0" collapsed="false"/>
    <row r="23" customFormat="false" ht="27.75" hidden="false" customHeight="true" outlineLevel="0" collapsed="false">
      <c r="A23" s="6" t="s">
        <v>106</v>
      </c>
      <c r="B23" s="1" t="s">
        <v>107</v>
      </c>
      <c r="C23" s="17" t="n">
        <f aca="false">AVERAGE(INDEX(Motore_Operativo!$M$5:$M$544,(Ipotesi!$C$5-1)*60+0*12+1):INDEX(Motore_Operativo!$M$5:$M$544,((Ipotesi!$C$5-1)*60+0*12+1)+11))+AVERAGE(INDEX(Motore_Operativo!$N$5:$N$544,(Ipotesi!$C$5-1)*60+0*12+1):INDEX(Motore_Operativo!$N$5:$N$544,((Ipotesi!$C$5-1)*60+0*12+1)+11))+AVERAGE(INDEX(Motore_Operativo!$O$5:$O$544,(Ipotesi!$C$5-1)*60+0*12+1):INDEX(Motore_Operativo!$O$5:$O$544,((Ipotesi!$C$5-1)*60+0*12+1)+11))+AVERAGE(INDEX(Motore_Operativo!$P$5:$P$544,(Ipotesi!$C$5-1)*60+0*12+1):INDEX(Motore_Operativo!$P$5:$P$544,((Ipotesi!$C$5-1)*60+0*12+1)+11))+AVERAGE(INDEX(Motore_Operativo!$Q$5:$Q$544,(Ipotesi!$C$5-1)*60+0*12+1):INDEX(Motore_Operativo!$Q$5:$Q$544,((Ipotesi!$C$5-1)*60+0*12+1)+11))+AVERAGE(INDEX(Motore_Operativo!$R$5:$R$544,(Ipotesi!$C$5-1)*60+0*12+1):INDEX(Motore_Operativo!$R$5:$R$544,((Ipotesi!$C$5-1)*60+0*12+1)+11))+AVERAGE(INDEX(Motore_Operativo!$S$5:$S$544,(Ipotesi!$C$5-1)*60+0*12+1):INDEX(Motore_Operativo!$S$5:$S$544,((Ipotesi!$C$5-1)*60+0*12+1)+11))+AVERAGE(INDEX(Motore_Operativo!$T$5:$T$544,(Ipotesi!$C$5-1)*60+0*12+1):INDEX(Motore_Operativo!$T$5:$T$544,((Ipotesi!$C$5-1)*60+0*12+1)+11))+AVERAGE(INDEX(Motore_Operativo!$U$5:$U$544,(Ipotesi!$C$5-1)*60+0*12+1):INDEX(Motore_Operativo!$U$5:$U$544,((Ipotesi!$C$5-1)*60+0*12+1)+11))</f>
        <v>5.75</v>
      </c>
      <c r="D23" s="17" t="n">
        <f aca="false">AVERAGE(INDEX(Motore_Operativo!$M$5:$M$544,(Ipotesi!$C$5-1)*60+1*12+1):INDEX(Motore_Operativo!$M$5:$M$544,((Ipotesi!$C$5-1)*60+1*12+1)+11))+AVERAGE(INDEX(Motore_Operativo!$N$5:$N$544,(Ipotesi!$C$5-1)*60+1*12+1):INDEX(Motore_Operativo!$N$5:$N$544,((Ipotesi!$C$5-1)*60+1*12+1)+11))+AVERAGE(INDEX(Motore_Operativo!$O$5:$O$544,(Ipotesi!$C$5-1)*60+1*12+1):INDEX(Motore_Operativo!$O$5:$O$544,((Ipotesi!$C$5-1)*60+1*12+1)+11))+AVERAGE(INDEX(Motore_Operativo!$P$5:$P$544,(Ipotesi!$C$5-1)*60+1*12+1):INDEX(Motore_Operativo!$P$5:$P$544,((Ipotesi!$C$5-1)*60+1*12+1)+11))+AVERAGE(INDEX(Motore_Operativo!$Q$5:$Q$544,(Ipotesi!$C$5-1)*60+1*12+1):INDEX(Motore_Operativo!$Q$5:$Q$544,((Ipotesi!$C$5-1)*60+1*12+1)+11))+AVERAGE(INDEX(Motore_Operativo!$R$5:$R$544,(Ipotesi!$C$5-1)*60+1*12+1):INDEX(Motore_Operativo!$R$5:$R$544,((Ipotesi!$C$5-1)*60+1*12+1)+11))+AVERAGE(INDEX(Motore_Operativo!$S$5:$S$544,(Ipotesi!$C$5-1)*60+1*12+1):INDEX(Motore_Operativo!$S$5:$S$544,((Ipotesi!$C$5-1)*60+1*12+1)+11))+AVERAGE(INDEX(Motore_Operativo!$T$5:$T$544,(Ipotesi!$C$5-1)*60+1*12+1):INDEX(Motore_Operativo!$T$5:$T$544,((Ipotesi!$C$5-1)*60+1*12+1)+11))+AVERAGE(INDEX(Motore_Operativo!$U$5:$U$544,(Ipotesi!$C$5-1)*60+1*12+1):INDEX(Motore_Operativo!$U$5:$U$544,((Ipotesi!$C$5-1)*60+1*12+1)+11))</f>
        <v>13</v>
      </c>
      <c r="E23" s="17" t="n">
        <f aca="false">AVERAGE(INDEX(Motore_Operativo!$M$5:$M$544,(Ipotesi!$C$5-1)*60+2*12+1):INDEX(Motore_Operativo!$M$5:$M$544,((Ipotesi!$C$5-1)*60+2*12+1)+11))+AVERAGE(INDEX(Motore_Operativo!$N$5:$N$544,(Ipotesi!$C$5-1)*60+2*12+1):INDEX(Motore_Operativo!$N$5:$N$544,((Ipotesi!$C$5-1)*60+2*12+1)+11))+AVERAGE(INDEX(Motore_Operativo!$O$5:$O$544,(Ipotesi!$C$5-1)*60+2*12+1):INDEX(Motore_Operativo!$O$5:$O$544,((Ipotesi!$C$5-1)*60+2*12+1)+11))+AVERAGE(INDEX(Motore_Operativo!$P$5:$P$544,(Ipotesi!$C$5-1)*60+2*12+1):INDEX(Motore_Operativo!$P$5:$P$544,((Ipotesi!$C$5-1)*60+2*12+1)+11))+AVERAGE(INDEX(Motore_Operativo!$Q$5:$Q$544,(Ipotesi!$C$5-1)*60+2*12+1):INDEX(Motore_Operativo!$Q$5:$Q$544,((Ipotesi!$C$5-1)*60+2*12+1)+11))+AVERAGE(INDEX(Motore_Operativo!$R$5:$R$544,(Ipotesi!$C$5-1)*60+2*12+1):INDEX(Motore_Operativo!$R$5:$R$544,((Ipotesi!$C$5-1)*60+2*12+1)+11))+AVERAGE(INDEX(Motore_Operativo!$S$5:$S$544,(Ipotesi!$C$5-1)*60+2*12+1):INDEX(Motore_Operativo!$S$5:$S$544,((Ipotesi!$C$5-1)*60+2*12+1)+11))+AVERAGE(INDEX(Motore_Operativo!$T$5:$T$544,(Ipotesi!$C$5-1)*60+2*12+1):INDEX(Motore_Operativo!$T$5:$T$544,((Ipotesi!$C$5-1)*60+2*12+1)+11))+AVERAGE(INDEX(Motore_Operativo!$U$5:$U$544,(Ipotesi!$C$5-1)*60+2*12+1):INDEX(Motore_Operativo!$U$5:$U$544,((Ipotesi!$C$5-1)*60+2*12+1)+11))</f>
        <v>23</v>
      </c>
      <c r="F23" s="17" t="n">
        <f aca="false">AVERAGE(INDEX(Motore_Operativo!$M$5:$M$544,(Ipotesi!$C$5-1)*60+3*12+1):INDEX(Motore_Operativo!$M$5:$M$544,((Ipotesi!$C$5-1)*60+3*12+1)+11))+AVERAGE(INDEX(Motore_Operativo!$N$5:$N$544,(Ipotesi!$C$5-1)*60+3*12+1):INDEX(Motore_Operativo!$N$5:$N$544,((Ipotesi!$C$5-1)*60+3*12+1)+11))+AVERAGE(INDEX(Motore_Operativo!$O$5:$O$544,(Ipotesi!$C$5-1)*60+3*12+1):INDEX(Motore_Operativo!$O$5:$O$544,((Ipotesi!$C$5-1)*60+3*12+1)+11))+AVERAGE(INDEX(Motore_Operativo!$P$5:$P$544,(Ipotesi!$C$5-1)*60+3*12+1):INDEX(Motore_Operativo!$P$5:$P$544,((Ipotesi!$C$5-1)*60+3*12+1)+11))+AVERAGE(INDEX(Motore_Operativo!$Q$5:$Q$544,(Ipotesi!$C$5-1)*60+3*12+1):INDEX(Motore_Operativo!$Q$5:$Q$544,((Ipotesi!$C$5-1)*60+3*12+1)+11))+AVERAGE(INDEX(Motore_Operativo!$R$5:$R$544,(Ipotesi!$C$5-1)*60+3*12+1):INDEX(Motore_Operativo!$R$5:$R$544,((Ipotesi!$C$5-1)*60+3*12+1)+11))+AVERAGE(INDEX(Motore_Operativo!$S$5:$S$544,(Ipotesi!$C$5-1)*60+3*12+1):INDEX(Motore_Operativo!$S$5:$S$544,((Ipotesi!$C$5-1)*60+3*12+1)+11))+AVERAGE(INDEX(Motore_Operativo!$T$5:$T$544,(Ipotesi!$C$5-1)*60+3*12+1):INDEX(Motore_Operativo!$T$5:$T$544,((Ipotesi!$C$5-1)*60+3*12+1)+11))+AVERAGE(INDEX(Motore_Operativo!$U$5:$U$544,(Ipotesi!$C$5-1)*60+3*12+1):INDEX(Motore_Operativo!$U$5:$U$544,((Ipotesi!$C$5-1)*60+3*12+1)+11))</f>
        <v>29.5</v>
      </c>
      <c r="G23" s="17" t="n">
        <f aca="false">AVERAGE(INDEX(Motore_Operativo!$M$5:$M$544,(Ipotesi!$C$5-1)*60+4*12+1):INDEX(Motore_Operativo!$M$5:$M$544,((Ipotesi!$C$5-1)*60+4*12+1)+11))+AVERAGE(INDEX(Motore_Operativo!$N$5:$N$544,(Ipotesi!$C$5-1)*60+4*12+1):INDEX(Motore_Operativo!$N$5:$N$544,((Ipotesi!$C$5-1)*60+4*12+1)+11))+AVERAGE(INDEX(Motore_Operativo!$O$5:$O$544,(Ipotesi!$C$5-1)*60+4*12+1):INDEX(Motore_Operativo!$O$5:$O$544,((Ipotesi!$C$5-1)*60+4*12+1)+11))+AVERAGE(INDEX(Motore_Operativo!$P$5:$P$544,(Ipotesi!$C$5-1)*60+4*12+1):INDEX(Motore_Operativo!$P$5:$P$544,((Ipotesi!$C$5-1)*60+4*12+1)+11))+AVERAGE(INDEX(Motore_Operativo!$Q$5:$Q$544,(Ipotesi!$C$5-1)*60+4*12+1):INDEX(Motore_Operativo!$Q$5:$Q$544,((Ipotesi!$C$5-1)*60+4*12+1)+11))+AVERAGE(INDEX(Motore_Operativo!$R$5:$R$544,(Ipotesi!$C$5-1)*60+4*12+1):INDEX(Motore_Operativo!$R$5:$R$544,((Ipotesi!$C$5-1)*60+4*12+1)+11))+AVERAGE(INDEX(Motore_Operativo!$S$5:$S$544,(Ipotesi!$C$5-1)*60+4*12+1):INDEX(Motore_Operativo!$S$5:$S$544,((Ipotesi!$C$5-1)*60+4*12+1)+11))+AVERAGE(INDEX(Motore_Operativo!$T$5:$T$544,(Ipotesi!$C$5-1)*60+4*12+1):INDEX(Motore_Operativo!$T$5:$T$544,((Ipotesi!$C$5-1)*60+4*12+1)+11))+AVERAGE(INDEX(Motore_Operativo!$U$5:$U$544,(Ipotesi!$C$5-1)*60+4*12+1):INDEX(Motore_Operativo!$U$5:$U$544,((Ipotesi!$C$5-1)*60+4*12+1)+11))</f>
        <v>36.5</v>
      </c>
    </row>
    <row r="24" customFormat="false" ht="27.75" hidden="false" customHeight="true" outlineLevel="0" collapsed="false">
      <c r="A24" s="6" t="s">
        <v>108</v>
      </c>
      <c r="B24" s="1" t="s">
        <v>88</v>
      </c>
      <c r="C24" s="15" t="n">
        <f aca="false">Startup!C18</f>
        <v>25000</v>
      </c>
      <c r="D24" s="15" t="n">
        <f aca="false">Startup!D18</f>
        <v>40136.7903633169</v>
      </c>
      <c r="E24" s="15" t="n">
        <f aca="false">Startup!E18</f>
        <v>448452.524776355</v>
      </c>
      <c r="F24" s="15" t="n">
        <f aca="false">Startup!F18</f>
        <v>28722.3808950936</v>
      </c>
      <c r="G24" s="15" t="n">
        <f aca="false">Startup!G18</f>
        <v>25000</v>
      </c>
    </row>
    <row r="25" customFormat="false" ht="27.75" hidden="false" customHeight="true" outlineLevel="0" collapsed="false">
      <c r="A25" s="6" t="s">
        <v>109</v>
      </c>
      <c r="B25" s="1" t="s">
        <v>88</v>
      </c>
      <c r="C25" s="15" t="n">
        <f aca="false">Advisory!C18</f>
        <v>26513.7270175439</v>
      </c>
      <c r="D25" s="15" t="n">
        <f aca="false">Advisory!D18</f>
        <v>15038.5625920435</v>
      </c>
      <c r="E25" s="15" t="n">
        <f aca="false">Advisory!E18</f>
        <v>99567.6549956758</v>
      </c>
      <c r="F25" s="15" t="n">
        <f aca="false">Advisory!F18</f>
        <v>218002.561930104</v>
      </c>
      <c r="G25" s="15" t="n">
        <f aca="false">Advisory!G18</f>
        <v>341896.795568077</v>
      </c>
    </row>
    <row r="26" customFormat="false" ht="27.75" hidden="false" customHeight="true" outlineLevel="0" collapsed="false">
      <c r="A26" s="5" t="s">
        <v>110</v>
      </c>
      <c r="B26" s="1" t="s">
        <v>88</v>
      </c>
      <c r="C26" s="15" t="n">
        <f aca="false">C24+C25</f>
        <v>51513.7270175438</v>
      </c>
      <c r="D26" s="15" t="n">
        <f aca="false">D24+D25</f>
        <v>55175.3529553604</v>
      </c>
      <c r="E26" s="15" t="n">
        <f aca="false">E24+E25</f>
        <v>548020.179772031</v>
      </c>
      <c r="F26" s="15" t="n">
        <f aca="false">F24+F25</f>
        <v>246724.942825198</v>
      </c>
      <c r="G26" s="15" t="n">
        <f aca="false">G24+G25</f>
        <v>366896.795568077</v>
      </c>
    </row>
    <row r="27" customFormat="false" ht="27.75" hidden="false" customHeight="true" outlineLevel="0" collapsed="false">
      <c r="A27" s="6" t="s">
        <v>111</v>
      </c>
      <c r="B27" s="1" t="s">
        <v>88</v>
      </c>
      <c r="C27" s="15" t="n">
        <f aca="false">Startup!C19</f>
        <v>25000</v>
      </c>
      <c r="D27" s="15" t="n">
        <f aca="false">Startup!D19</f>
        <v>-73138.7599314124</v>
      </c>
      <c r="E27" s="15" t="n">
        <f aca="false">Startup!E19</f>
        <v>-73078.562618631</v>
      </c>
      <c r="F27" s="15" t="n">
        <f aca="false">Startup!F19</f>
        <v>28722.3808950936</v>
      </c>
      <c r="G27" s="15" t="n">
        <f aca="false">Startup!G19</f>
        <v>25000</v>
      </c>
    </row>
    <row r="28" customFormat="false" ht="27.75" hidden="false" customHeight="true" outlineLevel="0" collapsed="false">
      <c r="A28" s="6" t="s">
        <v>112</v>
      </c>
      <c r="B28" s="1" t="s">
        <v>88</v>
      </c>
      <c r="C28" s="15" t="n">
        <f aca="false">Advisory!C19</f>
        <v>-10462.8519298246</v>
      </c>
      <c r="D28" s="15" t="n">
        <f aca="false">Advisory!D19</f>
        <v>-9688.90209957994</v>
      </c>
      <c r="E28" s="15" t="n">
        <f aca="false">Advisory!E19</f>
        <v>-16783.0800399988</v>
      </c>
      <c r="F28" s="15" t="n">
        <f aca="false">Advisory!F19</f>
        <v>73892.8964176045</v>
      </c>
      <c r="G28" s="15" t="n">
        <f aca="false">Advisory!G19</f>
        <v>169280.370179127</v>
      </c>
    </row>
    <row r="29" customFormat="false" ht="27.75" hidden="false" customHeight="true" outlineLevel="0" collapsed="false">
      <c r="A29" s="5" t="s">
        <v>113</v>
      </c>
      <c r="B29" s="1" t="s">
        <v>88</v>
      </c>
      <c r="C29" s="15" t="n">
        <f aca="false">Startup!C20</f>
        <v>0</v>
      </c>
      <c r="D29" s="15" t="n">
        <f aca="false">Startup!D20</f>
        <v>98138.7599314124</v>
      </c>
      <c r="E29" s="15" t="n">
        <f aca="false">Startup!E20</f>
        <v>98078.562618631</v>
      </c>
      <c r="F29" s="15" t="n">
        <f aca="false">Startup!F20</f>
        <v>0</v>
      </c>
      <c r="G29" s="15" t="n">
        <f aca="false">Startup!G20</f>
        <v>0</v>
      </c>
    </row>
    <row r="30" customFormat="false" ht="27.75" hidden="false" customHeight="true" outlineLevel="0" collapsed="false">
      <c r="A30" s="5" t="s">
        <v>114</v>
      </c>
      <c r="B30" s="1" t="s">
        <v>88</v>
      </c>
      <c r="C30" s="15" t="n">
        <f aca="false">Advisory!C20</f>
        <v>20462.8519298246</v>
      </c>
      <c r="D30" s="15" t="n">
        <f aca="false">Advisory!D20</f>
        <v>19688.9020995799</v>
      </c>
      <c r="E30" s="15" t="n">
        <f aca="false">Advisory!E20</f>
        <v>26783.0800399988</v>
      </c>
      <c r="F30" s="15" t="n">
        <f aca="false">Advisory!F20</f>
        <v>0</v>
      </c>
      <c r="G30" s="15" t="n">
        <f aca="false">Advisory!G20</f>
        <v>0</v>
      </c>
    </row>
    <row r="31" customFormat="false" ht="27.75" hidden="false" customHeight="true" outlineLevel="0" collapsed="false"/>
    <row r="32" customFormat="false" ht="27.75" hidden="false" customHeight="true" outlineLevel="0" collapsed="false">
      <c r="A32" s="5" t="s">
        <v>115</v>
      </c>
      <c r="B32" s="1" t="s">
        <v>88</v>
      </c>
      <c r="C32" s="15" t="n">
        <f aca="false">Startup!C37+Advisory!C37</f>
        <v>-26453.469504302</v>
      </c>
      <c r="D32" s="15" t="n">
        <f aca="false">Startup!D37+Advisory!D37</f>
        <v>27338.4957630827</v>
      </c>
      <c r="E32" s="15" t="n">
        <f aca="false">Startup!E37+Advisory!E37</f>
        <v>540877.396758088</v>
      </c>
      <c r="F32" s="15" t="n">
        <f aca="false">Startup!F37+Advisory!F37</f>
        <v>444095.66502793</v>
      </c>
      <c r="G32" s="15" t="n">
        <f aca="false">Startup!G37+Advisory!G37</f>
        <v>674360.923805984</v>
      </c>
    </row>
    <row r="33" customFormat="false" ht="27.75" hidden="false" customHeight="true" outlineLevel="0" collapsed="false">
      <c r="A33" s="6" t="s">
        <v>116</v>
      </c>
      <c r="B33" s="1" t="s">
        <v>88</v>
      </c>
      <c r="C33" s="15" t="n">
        <f aca="false">Startup!C21+Startup!C24</f>
        <v>122180.437686563</v>
      </c>
      <c r="D33" s="15" t="n">
        <f aca="false">Startup!D21+Startup!D24</f>
        <v>176155.048525607</v>
      </c>
      <c r="E33" s="15" t="n">
        <f aca="false">Startup!E21+Startup!E24</f>
        <v>265392.996883967</v>
      </c>
      <c r="F33" s="15" t="n">
        <f aca="false">Startup!F21+Startup!F24</f>
        <v>238853.69719557</v>
      </c>
      <c r="G33" s="15" t="n">
        <f aca="false">Startup!G21+Startup!G24</f>
        <v>324193.400653765</v>
      </c>
    </row>
    <row r="34" customFormat="false" ht="27.75" hidden="false" customHeight="true" outlineLevel="0" collapsed="false">
      <c r="A34" s="6" t="s">
        <v>117</v>
      </c>
      <c r="B34" s="1" t="s">
        <v>88</v>
      </c>
      <c r="C34" s="15" t="n">
        <f aca="false">Advisory!C27*(1-Ipotesi!$C$95)*(1-Ipotesi!$C$96)</f>
        <v>0</v>
      </c>
      <c r="D34" s="15" t="n">
        <f aca="false">Advisory!D27*(1-Ipotesi!$C$95)*(1-Ipotesi!$C$96)</f>
        <v>0</v>
      </c>
      <c r="E34" s="15" t="n">
        <f aca="false">Advisory!E27*(1-Ipotesi!$C$95)*(1-Ipotesi!$C$96)</f>
        <v>0</v>
      </c>
      <c r="F34" s="15" t="n">
        <f aca="false">Advisory!F27*(1-Ipotesi!$C$95)*(1-Ipotesi!$C$96)</f>
        <v>8926.75407361111</v>
      </c>
      <c r="G34" s="15" t="n">
        <f aca="false">Advisory!G27*(1-Ipotesi!$C$95)*(1-Ipotesi!$C$96)</f>
        <v>17430.8482847808</v>
      </c>
    </row>
    <row r="35" customFormat="false" ht="27.75" hidden="false" customHeight="true" outlineLevel="0" collapsed="false">
      <c r="A35" s="6" t="s">
        <v>118</v>
      </c>
      <c r="B35" s="1" t="s">
        <v>88</v>
      </c>
      <c r="C35" s="15" t="n">
        <f aca="false">Advisory!C27*Ipotesi!$C$95</f>
        <v>0</v>
      </c>
      <c r="D35" s="15" t="n">
        <f aca="false">Advisory!D27*Ipotesi!$C$95</f>
        <v>0</v>
      </c>
      <c r="E35" s="15" t="n">
        <f aca="false">Advisory!E27*Ipotesi!$C$95</f>
        <v>0</v>
      </c>
      <c r="F35" s="15" t="n">
        <f aca="false">Advisory!F27*Ipotesi!$C$95</f>
        <v>15682.1355347222</v>
      </c>
      <c r="G35" s="15" t="n">
        <f aca="false">Advisory!G27*Ipotesi!$C$95</f>
        <v>30621.7605002906</v>
      </c>
    </row>
    <row r="36" customFormat="false" ht="27.75" hidden="false" customHeight="true" outlineLevel="0" collapsed="false">
      <c r="A36" s="6" t="s">
        <v>119</v>
      </c>
      <c r="B36" s="1" t="s">
        <v>88</v>
      </c>
      <c r="C36" s="15" t="n">
        <f aca="false">Startup!C31-Advisory!C31</f>
        <v>0</v>
      </c>
      <c r="D36" s="15" t="n">
        <f aca="false">Startup!D31-Advisory!D31</f>
        <v>0</v>
      </c>
      <c r="E36" s="15" t="n">
        <f aca="false">Startup!E31-Advisory!E31</f>
        <v>0</v>
      </c>
      <c r="F36" s="15" t="n">
        <f aca="false">Startup!F31-Advisory!F31</f>
        <v>0</v>
      </c>
      <c r="G36" s="15" t="n">
        <f aca="false">Startup!G31-Advisory!G31</f>
        <v>0</v>
      </c>
    </row>
    <row r="37" customFormat="false" ht="27.75" hidden="false" customHeight="true" outlineLevel="0" collapsed="false">
      <c r="A37" s="6" t="s">
        <v>120</v>
      </c>
      <c r="B37" s="1" t="s">
        <v>88</v>
      </c>
      <c r="C37" s="15" t="n">
        <f aca="false">V2_Riferimento!C6</f>
        <v>5000</v>
      </c>
      <c r="D37" s="15" t="n">
        <f aca="false">V2_Riferimento!D6</f>
        <v>80000</v>
      </c>
      <c r="E37" s="15" t="n">
        <f aca="false">V2_Riferimento!E6</f>
        <v>453750</v>
      </c>
      <c r="F37" s="15" t="n">
        <f aca="false">V2_Riferimento!F6</f>
        <v>1320000</v>
      </c>
      <c r="G37" s="15" t="n">
        <f aca="false">V2_Riferimento!G6</f>
        <v>2697000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&amp;CLexShield v3 | Proiezioni condizionate, non bilanci certificati&amp;RPagina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9"/>
    <col collapsed="false" customWidth="true" hidden="false" outlineLevel="0" max="2" min="2" style="1" width="12"/>
    <col collapsed="false" customWidth="true" hidden="false" outlineLevel="0" max="7" min="3" style="1" width="21"/>
    <col collapsed="false" customWidth="true" hidden="false" outlineLevel="0" max="9" min="8" style="1" width="18"/>
  </cols>
  <sheetData>
    <row r="1" customFormat="false" ht="30" hidden="false" customHeight="true" outlineLevel="0" collapsed="false">
      <c r="A1" s="2" t="s">
        <v>121</v>
      </c>
      <c r="B1" s="2"/>
      <c r="C1" s="2"/>
      <c r="D1" s="2"/>
      <c r="E1" s="2"/>
      <c r="F1" s="2"/>
      <c r="G1" s="2"/>
      <c r="H1" s="2"/>
    </row>
    <row r="2" customFormat="false" ht="42" hidden="false" customHeight="true" outlineLevel="0" collapsed="false">
      <c r="A2" s="3" t="s">
        <v>122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A4" s="4" t="s">
        <v>44</v>
      </c>
      <c r="B4" s="4" t="s">
        <v>86</v>
      </c>
      <c r="C4" s="4" t="n">
        <v>2027</v>
      </c>
      <c r="D4" s="4" t="n">
        <v>2028</v>
      </c>
      <c r="E4" s="4" t="n">
        <v>2029</v>
      </c>
      <c r="F4" s="4" t="n">
        <v>2030</v>
      </c>
      <c r="G4" s="4" t="n">
        <v>2031</v>
      </c>
    </row>
    <row r="5" customFormat="false" ht="27.75" hidden="false" customHeight="true" outlineLevel="0" collapsed="false">
      <c r="A5" s="6" t="s">
        <v>123</v>
      </c>
      <c r="B5" s="6" t="s">
        <v>88</v>
      </c>
      <c r="C5" s="15" t="n">
        <f aca="false">SUM(INDEX(Motore_Startup!$F$5:$F$544,(Ipotesi!$C$5-1)*60+0*12+1):INDEX(Motore_Startup!$F$5:$F$544,((Ipotesi!$C$5-1)*60+0*12+1)+11))</f>
        <v>93750</v>
      </c>
      <c r="D5" s="15" t="n">
        <f aca="false">SUM(INDEX(Motore_Startup!$F$5:$F$544,(Ipotesi!$C$5-1)*60+1*12+1):INDEX(Motore_Startup!$F$5:$F$544,((Ipotesi!$C$5-1)*60+1*12+1)+11))</f>
        <v>324913.960303839</v>
      </c>
      <c r="E5" s="15" t="n">
        <f aca="false">SUM(INDEX(Motore_Startup!$F$5:$F$544,(Ipotesi!$C$5-1)*60+2*12+1):INDEX(Motore_Startup!$F$5:$F$544,((Ipotesi!$C$5-1)*60+2*12+1)+11))</f>
        <v>807406.24850492</v>
      </c>
      <c r="F5" s="15" t="n">
        <f aca="false">SUM(INDEX(Motore_Startup!$F$5:$F$544,(Ipotesi!$C$5-1)*60+3*12+1):INDEX(Motore_Startup!$F$5:$F$544,((Ipotesi!$C$5-1)*60+3*12+1)+11))</f>
        <v>1497513.92167546</v>
      </c>
      <c r="G5" s="15" t="n">
        <f aca="false">SUM(INDEX(Motore_Startup!$F$5:$F$544,(Ipotesi!$C$5-1)*60+4*12+1):INDEX(Motore_Startup!$F$5:$F$544,((Ipotesi!$C$5-1)*60+4*12+1)+11))</f>
        <v>2259725.25392839</v>
      </c>
    </row>
    <row r="6" customFormat="false" ht="27.75" hidden="false" customHeight="true" outlineLevel="0" collapsed="false">
      <c r="A6" s="6" t="s">
        <v>124</v>
      </c>
      <c r="B6" s="6" t="s">
        <v>88</v>
      </c>
      <c r="C6" s="15" t="n">
        <f aca="false">SUM(INDEX(Motore_Startup!$G$5:$G$544,(Ipotesi!$C$5-1)*60+0*12+1):INDEX(Motore_Startup!$G$5:$G$544,((Ipotesi!$C$5-1)*60+0*12+1)+11))</f>
        <v>19452.6315789474</v>
      </c>
      <c r="D6" s="15" t="n">
        <f aca="false">SUM(INDEX(Motore_Startup!$G$5:$G$544,(Ipotesi!$C$5-1)*60+1*12+1):INDEX(Motore_Startup!$G$5:$G$544,((Ipotesi!$C$5-1)*60+1*12+1)+11))</f>
        <v>40777.4647887324</v>
      </c>
      <c r="E6" s="15" t="n">
        <f aca="false">SUM(INDEX(Motore_Startup!$G$5:$G$544,(Ipotesi!$C$5-1)*60+2*12+1):INDEX(Motore_Startup!$G$5:$G$544,((Ipotesi!$C$5-1)*60+2*12+1)+11))</f>
        <v>72600</v>
      </c>
      <c r="F6" s="15" t="n">
        <f aca="false">SUM(INDEX(Motore_Startup!$G$5:$G$544,(Ipotesi!$C$5-1)*60+3*12+1):INDEX(Motore_Startup!$G$5:$G$544,((Ipotesi!$C$5-1)*60+3*12+1)+11))</f>
        <v>108290</v>
      </c>
      <c r="G6" s="15" t="n">
        <f aca="false">SUM(INDEX(Motore_Startup!$G$5:$G$544,(Ipotesi!$C$5-1)*60+4*12+1):INDEX(Motore_Startup!$G$5:$G$544,((Ipotesi!$C$5-1)*60+4*12+1)+11))</f>
        <v>139150</v>
      </c>
    </row>
    <row r="7" customFormat="false" ht="27.75" hidden="false" customHeight="true" outlineLevel="0" collapsed="false">
      <c r="A7" s="5" t="s">
        <v>125</v>
      </c>
      <c r="B7" s="6" t="s">
        <v>88</v>
      </c>
      <c r="C7" s="15" t="n">
        <f aca="false">SUM(INDEX(Motore_Startup!$H$5:$H$544,(Ipotesi!$C$5-1)*60+0*12+1):INDEX(Motore_Startup!$H$5:$H$544,((Ipotesi!$C$5-1)*60+0*12+1)+11))</f>
        <v>113202.631578947</v>
      </c>
      <c r="D7" s="15" t="n">
        <f aca="false">SUM(INDEX(Motore_Startup!$H$5:$H$544,(Ipotesi!$C$5-1)*60+1*12+1):INDEX(Motore_Startup!$H$5:$H$544,((Ipotesi!$C$5-1)*60+1*12+1)+11))</f>
        <v>365691.425092572</v>
      </c>
      <c r="E7" s="15" t="n">
        <f aca="false">SUM(INDEX(Motore_Startup!$H$5:$H$544,(Ipotesi!$C$5-1)*60+2*12+1):INDEX(Motore_Startup!$H$5:$H$544,((Ipotesi!$C$5-1)*60+2*12+1)+11))</f>
        <v>880006.24850492</v>
      </c>
      <c r="F7" s="15" t="n">
        <f aca="false">SUM(INDEX(Motore_Startup!$H$5:$H$544,(Ipotesi!$C$5-1)*60+3*12+1):INDEX(Motore_Startup!$H$5:$H$544,((Ipotesi!$C$5-1)*60+3*12+1)+11))</f>
        <v>1605803.92167546</v>
      </c>
      <c r="G7" s="15" t="n">
        <f aca="false">SUM(INDEX(Motore_Startup!$H$5:$H$544,(Ipotesi!$C$5-1)*60+4*12+1):INDEX(Motore_Startup!$H$5:$H$544,((Ipotesi!$C$5-1)*60+4*12+1)+11))</f>
        <v>2398875.25392839</v>
      </c>
    </row>
    <row r="8" customFormat="false" ht="27.75" hidden="false" customHeight="true" outlineLevel="0" collapsed="false">
      <c r="A8" s="6" t="s">
        <v>126</v>
      </c>
      <c r="B8" s="6" t="s">
        <v>88</v>
      </c>
      <c r="C8" s="15" t="n">
        <f aca="false">SUM(INDEX(Motore_Startup!$I$5:$I$544,(Ipotesi!$C$5-1)*60+0*12+1):INDEX(Motore_Startup!$I$5:$I$544,((Ipotesi!$C$5-1)*60+0*12+1)+11))</f>
        <v>333383.578947368</v>
      </c>
      <c r="D8" s="15" t="n">
        <f aca="false">SUM(INDEX(Motore_Startup!$I$5:$I$544,(Ipotesi!$C$5-1)*60+1*12+1):INDEX(Motore_Startup!$I$5:$I$544,((Ipotesi!$C$5-1)*60+1*12+1)+11))</f>
        <v>690041.2783862</v>
      </c>
      <c r="E8" s="15" t="n">
        <f aca="false">SUM(INDEX(Motore_Startup!$I$5:$I$544,(Ipotesi!$C$5-1)*60+2*12+1):INDEX(Motore_Startup!$I$5:$I$544,((Ipotesi!$C$5-1)*60+2*12+1)+11))</f>
        <v>1401048.87479069</v>
      </c>
      <c r="F8" s="15" t="n">
        <f aca="false">SUM(INDEX(Motore_Startup!$I$5:$I$544,(Ipotesi!$C$5-1)*60+3*12+1):INDEX(Motore_Startup!$I$5:$I$544,((Ipotesi!$C$5-1)*60+3*12+1)+11))</f>
        <v>1884917.65653456</v>
      </c>
      <c r="G8" s="15" t="n">
        <f aca="false">SUM(INDEX(Motore_Startup!$I$5:$I$544,(Ipotesi!$C$5-1)*60+4*12+1):INDEX(Motore_Startup!$I$5:$I$544,((Ipotesi!$C$5-1)*60+4*12+1)+11))</f>
        <v>2388273.97539997</v>
      </c>
    </row>
    <row r="9" customFormat="false" ht="27.75" hidden="false" customHeight="true" outlineLevel="0" collapsed="false">
      <c r="A9" s="5" t="s">
        <v>127</v>
      </c>
      <c r="B9" s="6" t="s">
        <v>88</v>
      </c>
      <c r="C9" s="15" t="n">
        <f aca="false">SUM(INDEX(Motore_Startup!$J$5:$J$544,(Ipotesi!$C$5-1)*60+0*12+1):INDEX(Motore_Startup!$J$5:$J$544,((Ipotesi!$C$5-1)*60+0*12+1)+11))</f>
        <v>-220180.947368421</v>
      </c>
      <c r="D9" s="15" t="n">
        <f aca="false">SUM(INDEX(Motore_Startup!$J$5:$J$544,(Ipotesi!$C$5-1)*60+1*12+1):INDEX(Motore_Startup!$J$5:$J$544,((Ipotesi!$C$5-1)*60+1*12+1)+11))</f>
        <v>-324349.853293628</v>
      </c>
      <c r="E9" s="15" t="n">
        <f aca="false">SUM(INDEX(Motore_Startup!$J$5:$J$544,(Ipotesi!$C$5-1)*60+2*12+1):INDEX(Motore_Startup!$J$5:$J$544,((Ipotesi!$C$5-1)*60+2*12+1)+11))</f>
        <v>-521042.626285769</v>
      </c>
      <c r="F9" s="15" t="n">
        <f aca="false">SUM(INDEX(Motore_Startup!$J$5:$J$544,(Ipotesi!$C$5-1)*60+3*12+1):INDEX(Motore_Startup!$J$5:$J$544,((Ipotesi!$C$5-1)*60+3*12+1)+11))</f>
        <v>-279113.734859103</v>
      </c>
      <c r="G9" s="15" t="n">
        <f aca="false">SUM(INDEX(Motore_Startup!$J$5:$J$544,(Ipotesi!$C$5-1)*60+4*12+1):INDEX(Motore_Startup!$J$5:$J$544,((Ipotesi!$C$5-1)*60+4*12+1)+11))</f>
        <v>10601.2785284114</v>
      </c>
    </row>
    <row r="10" customFormat="false" ht="27.75" hidden="false" customHeight="true" outlineLevel="0" collapsed="false">
      <c r="A10" s="6" t="s">
        <v>128</v>
      </c>
      <c r="B10" s="6" t="s">
        <v>88</v>
      </c>
      <c r="C10" s="15" t="n">
        <f aca="false">SUM(INDEX(Motore_Startup!$L$5:$L$544,(Ipotesi!$C$5-1)*60+0*12+1):INDEX(Motore_Startup!$L$5:$L$544,((Ipotesi!$C$5-1)*60+0*12+1)+11))</f>
        <v>3611.11111111111</v>
      </c>
      <c r="D10" s="15" t="n">
        <f aca="false">SUM(INDEX(Motore_Startup!$L$5:$L$544,(Ipotesi!$C$5-1)*60+1*12+1):INDEX(Motore_Startup!$L$5:$L$544,((Ipotesi!$C$5-1)*60+1*12+1)+11))</f>
        <v>11180.5555555556</v>
      </c>
      <c r="E10" s="15" t="n">
        <f aca="false">SUM(INDEX(Motore_Startup!$L$5:$L$544,(Ipotesi!$C$5-1)*60+2*12+1):INDEX(Motore_Startup!$L$5:$L$544,((Ipotesi!$C$5-1)*60+2*12+1)+11))</f>
        <v>20416.6666666667</v>
      </c>
      <c r="F10" s="15" t="n">
        <f aca="false">SUM(INDEX(Motore_Startup!$L$5:$L$544,(Ipotesi!$C$5-1)*60+3*12+1):INDEX(Motore_Startup!$L$5:$L$544,((Ipotesi!$C$5-1)*60+3*12+1)+11))</f>
        <v>28611.1111111111</v>
      </c>
      <c r="G10" s="15" t="n">
        <f aca="false">SUM(INDEX(Motore_Startup!$L$5:$L$544,(Ipotesi!$C$5-1)*60+4*12+1):INDEX(Motore_Startup!$L$5:$L$544,((Ipotesi!$C$5-1)*60+4*12+1)+11))</f>
        <v>36180.5555555556</v>
      </c>
    </row>
    <row r="11" customFormat="false" ht="27.75" hidden="false" customHeight="true" outlineLevel="0" collapsed="false">
      <c r="A11" s="6" t="s">
        <v>129</v>
      </c>
      <c r="B11" s="6" t="s">
        <v>88</v>
      </c>
      <c r="C11" s="15" t="n">
        <f aca="false">SUM(INDEX(Motore_Startup!$M$5:$M$544,(Ipotesi!$C$5-1)*60+0*12+1):INDEX(Motore_Startup!$M$5:$M$544,((Ipotesi!$C$5-1)*60+0*12+1)+11))</f>
        <v>-223792.058479532</v>
      </c>
      <c r="D11" s="15" t="n">
        <f aca="false">SUM(INDEX(Motore_Startup!$M$5:$M$544,(Ipotesi!$C$5-1)*60+1*12+1):INDEX(Motore_Startup!$M$5:$M$544,((Ipotesi!$C$5-1)*60+1*12+1)+11))</f>
        <v>-335530.408849184</v>
      </c>
      <c r="E11" s="15" t="n">
        <f aca="false">SUM(INDEX(Motore_Startup!$M$5:$M$544,(Ipotesi!$C$5-1)*60+2*12+1):INDEX(Motore_Startup!$M$5:$M$544,((Ipotesi!$C$5-1)*60+2*12+1)+11))</f>
        <v>-541459.292952436</v>
      </c>
      <c r="F11" s="15" t="n">
        <f aca="false">SUM(INDEX(Motore_Startup!$M$5:$M$544,(Ipotesi!$C$5-1)*60+3*12+1):INDEX(Motore_Startup!$M$5:$M$544,((Ipotesi!$C$5-1)*60+3*12+1)+11))</f>
        <v>-307724.845970214</v>
      </c>
      <c r="G11" s="15" t="n">
        <f aca="false">SUM(INDEX(Motore_Startup!$M$5:$M$544,(Ipotesi!$C$5-1)*60+4*12+1):INDEX(Motore_Startup!$M$5:$M$544,((Ipotesi!$C$5-1)*60+4*12+1)+11))</f>
        <v>-25579.2770271442</v>
      </c>
    </row>
    <row r="12" customFormat="false" ht="27.75" hidden="false" customHeight="true" outlineLevel="0" collapsed="false">
      <c r="A12" s="6" t="s">
        <v>130</v>
      </c>
      <c r="B12" s="6" t="s">
        <v>88</v>
      </c>
      <c r="C12" s="15" t="n">
        <f aca="false">SUM(INDEX(Motore_Startup!$N$5:$N$544,(Ipotesi!$C$5-1)*60+0*12+1):INDEX(Motore_Startup!$N$5:$N$544,((Ipotesi!$C$5-1)*60+0*12+1)+11))</f>
        <v>14322.6666666667</v>
      </c>
      <c r="D12" s="15" t="n">
        <f aca="false">SUM(INDEX(Motore_Startup!$N$5:$N$544,(Ipotesi!$C$5-1)*60+1*12+1):INDEX(Motore_Startup!$N$5:$N$544,((Ipotesi!$C$5-1)*60+1*12+1)+11))</f>
        <v>52143.7827014505</v>
      </c>
      <c r="E12" s="15" t="n">
        <f aca="false">SUM(INDEX(Motore_Startup!$N$5:$N$544,(Ipotesi!$C$5-1)*60+2*12+1):INDEX(Motore_Startup!$N$5:$N$544,((Ipotesi!$C$5-1)*60+2*12+1)+11))</f>
        <v>36987.6921535829</v>
      </c>
      <c r="F12" s="15" t="n">
        <f aca="false">SUM(INDEX(Motore_Startup!$N$5:$N$544,(Ipotesi!$C$5-1)*60+3*12+1):INDEX(Motore_Startup!$N$5:$N$544,((Ipotesi!$C$5-1)*60+3*12+1)+11))</f>
        <v>0</v>
      </c>
      <c r="G12" s="15" t="n">
        <f aca="false">SUM(INDEX(Motore_Startup!$N$5:$N$544,(Ipotesi!$C$5-1)*60+4*12+1):INDEX(Motore_Startup!$N$5:$N$544,((Ipotesi!$C$5-1)*60+4*12+1)+11))</f>
        <v>0</v>
      </c>
    </row>
    <row r="13" customFormat="false" ht="27.75" hidden="false" customHeight="true" outlineLevel="0" collapsed="false">
      <c r="A13" s="6" t="s">
        <v>131</v>
      </c>
      <c r="B13" s="6" t="s">
        <v>88</v>
      </c>
      <c r="C13" s="15" t="n">
        <f aca="false">SUM(INDEX(Motore_Startup!$O$5:$O$544,(Ipotesi!$C$5-1)*60+0*12+1):INDEX(Motore_Startup!$O$5:$O$544,((Ipotesi!$C$5-1)*60+0*12+1)+11))</f>
        <v>2032.20391950676</v>
      </c>
      <c r="D13" s="15" t="n">
        <f aca="false">SUM(INDEX(Motore_Startup!$O$5:$O$544,(Ipotesi!$C$5-1)*60+1*12+1):INDEX(Motore_Startup!$O$5:$O$544,((Ipotesi!$C$5-1)*60+1*12+1)+11))</f>
        <v>5539.16355358345</v>
      </c>
      <c r="E13" s="15" t="n">
        <f aca="false">SUM(INDEX(Motore_Startup!$O$5:$O$544,(Ipotesi!$C$5-1)*60+2*12+1):INDEX(Motore_Startup!$O$5:$O$544,((Ipotesi!$C$5-1)*60+2*12+1)+11))</f>
        <v>2621.31001169758</v>
      </c>
      <c r="F13" s="15" t="n">
        <f aca="false">SUM(INDEX(Motore_Startup!$O$5:$O$544,(Ipotesi!$C$5-1)*60+3*12+1):INDEX(Motore_Startup!$O$5:$O$544,((Ipotesi!$C$5-1)*60+3*12+1)+11))</f>
        <v>0</v>
      </c>
      <c r="G13" s="15" t="n">
        <f aca="false">SUM(INDEX(Motore_Startup!$O$5:$O$544,(Ipotesi!$C$5-1)*60+4*12+1):INDEX(Motore_Startup!$O$5:$O$544,((Ipotesi!$C$5-1)*60+4*12+1)+11))</f>
        <v>5738.22774233326</v>
      </c>
    </row>
    <row r="14" customFormat="false" ht="27.75" hidden="false" customHeight="true" outlineLevel="0" collapsed="false">
      <c r="A14" s="6" t="s">
        <v>132</v>
      </c>
      <c r="B14" s="6" t="s">
        <v>88</v>
      </c>
      <c r="C14" s="15" t="n">
        <f aca="false">SUM(INDEX(Motore_Startup!$P$5:$P$544,(Ipotesi!$C$5-1)*60+0*12+1):INDEX(Motore_Startup!$P$5:$P$544,((Ipotesi!$C$5-1)*60+0*12+1)+11))</f>
        <v>-211501.595732372</v>
      </c>
      <c r="D14" s="15" t="n">
        <f aca="false">SUM(INDEX(Motore_Startup!$P$5:$P$544,(Ipotesi!$C$5-1)*60+1*12+1):INDEX(Motore_Startup!$P$5:$P$544,((Ipotesi!$C$5-1)*60+1*12+1)+11))</f>
        <v>-288925.789701316</v>
      </c>
      <c r="E14" s="15" t="n">
        <f aca="false">SUM(INDEX(Motore_Startup!$P$5:$P$544,(Ipotesi!$C$5-1)*60+2*12+1):INDEX(Motore_Startup!$P$5:$P$544,((Ipotesi!$C$5-1)*60+2*12+1)+11))</f>
        <v>-507092.91081055</v>
      </c>
      <c r="F14" s="15" t="n">
        <f aca="false">SUM(INDEX(Motore_Startup!$P$5:$P$544,(Ipotesi!$C$5-1)*60+3*12+1):INDEX(Motore_Startup!$P$5:$P$544,((Ipotesi!$C$5-1)*60+3*12+1)+11))</f>
        <v>-307724.845970214</v>
      </c>
      <c r="G14" s="15" t="n">
        <f aca="false">SUM(INDEX(Motore_Startup!$P$5:$P$544,(Ipotesi!$C$5-1)*60+4*12+1):INDEX(Motore_Startup!$P$5:$P$544,((Ipotesi!$C$5-1)*60+4*12+1)+11))</f>
        <v>-31317.5047694774</v>
      </c>
    </row>
    <row r="15" customFormat="false" ht="27.75" hidden="false" customHeight="true" outlineLevel="0" collapsed="false">
      <c r="A15" s="6" t="s">
        <v>133</v>
      </c>
      <c r="B15" s="6" t="s">
        <v>88</v>
      </c>
      <c r="C15" s="15" t="n">
        <f aca="false">SUM(INDEX(Motore_Startup!$X$5:$X$544,(Ipotesi!$C$5-1)*60+0*12+1):INDEX(Motore_Startup!$X$5:$X$544,((Ipotesi!$C$5-1)*60+0*12+1)+11))</f>
        <v>0</v>
      </c>
      <c r="D15" s="15" t="n">
        <f aca="false">SUM(INDEX(Motore_Startup!$X$5:$X$544,(Ipotesi!$C$5-1)*60+1*12+1):INDEX(Motore_Startup!$X$5:$X$544,((Ipotesi!$C$5-1)*60+1*12+1)+11))</f>
        <v>0</v>
      </c>
      <c r="E15" s="15" t="n">
        <f aca="false">SUM(INDEX(Motore_Startup!$X$5:$X$544,(Ipotesi!$C$5-1)*60+2*12+1):INDEX(Motore_Startup!$X$5:$X$544,((Ipotesi!$C$5-1)*60+2*12+1)+11))</f>
        <v>0</v>
      </c>
      <c r="F15" s="15" t="n">
        <f aca="false">SUM(INDEX(Motore_Startup!$X$5:$X$544,(Ipotesi!$C$5-1)*60+3*12+1):INDEX(Motore_Startup!$X$5:$X$544,((Ipotesi!$C$5-1)*60+3*12+1)+11))</f>
        <v>0</v>
      </c>
      <c r="G15" s="15" t="n">
        <f aca="false">SUM(INDEX(Motore_Startup!$X$5:$X$544,(Ipotesi!$C$5-1)*60+4*12+1):INDEX(Motore_Startup!$X$5:$X$544,((Ipotesi!$C$5-1)*60+4*12+1)+11))</f>
        <v>0</v>
      </c>
    </row>
    <row r="16" customFormat="false" ht="27.75" hidden="false" customHeight="true" outlineLevel="0" collapsed="false">
      <c r="A16" s="5" t="s">
        <v>134</v>
      </c>
      <c r="B16" s="6" t="s">
        <v>88</v>
      </c>
      <c r="C16" s="15" t="n">
        <f aca="false">SUM(INDEX(Motore_Startup!$Y$5:$Y$544,(Ipotesi!$C$5-1)*60+0*12+1):INDEX(Motore_Startup!$Y$5:$Y$544,((Ipotesi!$C$5-1)*60+0*12+1)+11))</f>
        <v>-211501.595732372</v>
      </c>
      <c r="D16" s="15" t="n">
        <f aca="false">SUM(INDEX(Motore_Startup!$Y$5:$Y$544,(Ipotesi!$C$5-1)*60+1*12+1):INDEX(Motore_Startup!$Y$5:$Y$544,((Ipotesi!$C$5-1)*60+1*12+1)+11))</f>
        <v>-288925.789701316</v>
      </c>
      <c r="E16" s="15" t="n">
        <f aca="false">SUM(INDEX(Motore_Startup!$Y$5:$Y$544,(Ipotesi!$C$5-1)*60+2*12+1):INDEX(Motore_Startup!$Y$5:$Y$544,((Ipotesi!$C$5-1)*60+2*12+1)+11))</f>
        <v>-507092.91081055</v>
      </c>
      <c r="F16" s="15" t="n">
        <f aca="false">SUM(INDEX(Motore_Startup!$Y$5:$Y$544,(Ipotesi!$C$5-1)*60+3*12+1):INDEX(Motore_Startup!$Y$5:$Y$544,((Ipotesi!$C$5-1)*60+3*12+1)+11))</f>
        <v>-307724.845970214</v>
      </c>
      <c r="G16" s="15" t="n">
        <f aca="false">SUM(INDEX(Motore_Startup!$Y$5:$Y$544,(Ipotesi!$C$5-1)*60+4*12+1):INDEX(Motore_Startup!$Y$5:$Y$544,((Ipotesi!$C$5-1)*60+4*12+1)+11))</f>
        <v>-31317.5047694774</v>
      </c>
    </row>
    <row r="17" customFormat="false" ht="27.75" hidden="false" customHeight="true" outlineLevel="0" collapsed="false"/>
    <row r="18" customFormat="false" ht="27.75" hidden="false" customHeight="true" outlineLevel="0" collapsed="false">
      <c r="A18" s="5" t="s">
        <v>135</v>
      </c>
      <c r="B18" s="6" t="s">
        <v>88</v>
      </c>
      <c r="C18" s="15" t="n">
        <f aca="false">INDEX(Motore_Startup!$BH$5:$BH$544,((Ipotesi!$C$5-1)*60+0*12+1)+11)</f>
        <v>25000</v>
      </c>
      <c r="D18" s="15" t="n">
        <f aca="false">INDEX(Motore_Startup!$BH$5:$BH$544,((Ipotesi!$C$5-1)*60+1*12+1)+11)</f>
        <v>40136.7903633169</v>
      </c>
      <c r="E18" s="15" t="n">
        <f aca="false">INDEX(Motore_Startup!$BH$5:$BH$544,((Ipotesi!$C$5-1)*60+2*12+1)+11)</f>
        <v>448452.524776355</v>
      </c>
      <c r="F18" s="15" t="n">
        <f aca="false">INDEX(Motore_Startup!$BH$5:$BH$544,((Ipotesi!$C$5-1)*60+3*12+1)+11)</f>
        <v>28722.3808950936</v>
      </c>
      <c r="G18" s="15" t="n">
        <f aca="false">INDEX(Motore_Startup!$BH$5:$BH$544,((Ipotesi!$C$5-1)*60+4*12+1)+11)</f>
        <v>25000</v>
      </c>
    </row>
    <row r="19" customFormat="false" ht="27.75" hidden="false" customHeight="true" outlineLevel="0" collapsed="false">
      <c r="A19" s="6" t="s">
        <v>136</v>
      </c>
      <c r="B19" s="6" t="s">
        <v>88</v>
      </c>
      <c r="C19" s="15" t="n">
        <f aca="false">MIN(INDEX(Motore_Startup!$BH$5:$BH$544,(Ipotesi!$C$5-1)*60+0*12+1):INDEX(Motore_Startup!$BH$5:$BH$544,((Ipotesi!$C$5-1)*60+0*12+1)+11))</f>
        <v>25000</v>
      </c>
      <c r="D19" s="15" t="n">
        <f aca="false">MIN(INDEX(Motore_Startup!$BH$5:$BH$544,(Ipotesi!$C$5-1)*60+1*12+1):INDEX(Motore_Startup!$BH$5:$BH$544,((Ipotesi!$C$5-1)*60+1*12+1)+11))</f>
        <v>-73138.7599314124</v>
      </c>
      <c r="E19" s="15" t="n">
        <f aca="false">MIN(INDEX(Motore_Startup!$BH$5:$BH$544,(Ipotesi!$C$5-1)*60+2*12+1):INDEX(Motore_Startup!$BH$5:$BH$544,((Ipotesi!$C$5-1)*60+2*12+1)+11))</f>
        <v>-73078.562618631</v>
      </c>
      <c r="F19" s="15" t="n">
        <f aca="false">MIN(INDEX(Motore_Startup!$BH$5:$BH$544,(Ipotesi!$C$5-1)*60+3*12+1):INDEX(Motore_Startup!$BH$5:$BH$544,((Ipotesi!$C$5-1)*60+3*12+1)+11))</f>
        <v>28722.3808950936</v>
      </c>
      <c r="G19" s="15" t="n">
        <f aca="false">MIN(INDEX(Motore_Startup!$BH$5:$BH$544,(Ipotesi!$C$5-1)*60+4*12+1):INDEX(Motore_Startup!$BH$5:$BH$544,((Ipotesi!$C$5-1)*60+4*12+1)+11))</f>
        <v>25000</v>
      </c>
    </row>
    <row r="20" customFormat="false" ht="27.75" hidden="false" customHeight="true" outlineLevel="0" collapsed="false">
      <c r="A20" s="5" t="s">
        <v>137</v>
      </c>
      <c r="B20" s="6" t="s">
        <v>88</v>
      </c>
      <c r="C20" s="15" t="n">
        <f aca="false">MAX(INDEX(Motore_Startup!$BI$5:$BI$544,(Ipotesi!$C$5-1)*60+0*12+1):INDEX(Motore_Startup!$BI$5:$BI$544,((Ipotesi!$C$5-1)*60+0*12+1)+11))</f>
        <v>0</v>
      </c>
      <c r="D20" s="15" t="n">
        <f aca="false">MAX(INDEX(Motore_Startup!$BI$5:$BI$544,(Ipotesi!$C$5-1)*60+1*12+1):INDEX(Motore_Startup!$BI$5:$BI$544,((Ipotesi!$C$5-1)*60+1*12+1)+11))</f>
        <v>98138.7599314124</v>
      </c>
      <c r="E20" s="15" t="n">
        <f aca="false">MAX(INDEX(Motore_Startup!$BI$5:$BI$544,(Ipotesi!$C$5-1)*60+2*12+1):INDEX(Motore_Startup!$BI$5:$BI$544,((Ipotesi!$C$5-1)*60+2*12+1)+11))</f>
        <v>98078.562618631</v>
      </c>
      <c r="F20" s="15" t="n">
        <f aca="false">MAX(INDEX(Motore_Startup!$BI$5:$BI$544,(Ipotesi!$C$5-1)*60+3*12+1):INDEX(Motore_Startup!$BI$5:$BI$544,((Ipotesi!$C$5-1)*60+3*12+1)+11))</f>
        <v>0</v>
      </c>
      <c r="G20" s="15" t="n">
        <f aca="false">MAX(INDEX(Motore_Startup!$BI$5:$BI$544,(Ipotesi!$C$5-1)*60+4*12+1):INDEX(Motore_Startup!$BI$5:$BI$544,((Ipotesi!$C$5-1)*60+4*12+1)+11))</f>
        <v>0</v>
      </c>
    </row>
    <row r="21" customFormat="false" ht="27.75" hidden="false" customHeight="true" outlineLevel="0" collapsed="false">
      <c r="A21" s="6" t="s">
        <v>138</v>
      </c>
      <c r="B21" s="6" t="s">
        <v>88</v>
      </c>
      <c r="C21" s="15" t="n">
        <f aca="false">INDEX(Motore_Startup!$BG$5:$BG$544,((Ipotesi!$C$5-1)*60+0*12+1)+11)</f>
        <v>83960.8821310078</v>
      </c>
      <c r="D21" s="15" t="n">
        <f aca="false">INDEX(Motore_Startup!$BG$5:$BG$544,((Ipotesi!$C$5-1)*60+1*12+1)+11)</f>
        <v>0</v>
      </c>
      <c r="E21" s="15" t="n">
        <f aca="false">INDEX(Motore_Startup!$BG$5:$BG$544,((Ipotesi!$C$5-1)*60+2*12+1)+11)</f>
        <v>0</v>
      </c>
      <c r="F21" s="15" t="n">
        <f aca="false">INDEX(Motore_Startup!$BG$5:$BG$544,((Ipotesi!$C$5-1)*60+3*12+1)+11)</f>
        <v>0</v>
      </c>
      <c r="G21" s="15" t="n">
        <f aca="false">INDEX(Motore_Startup!$BG$5:$BG$544,((Ipotesi!$C$5-1)*60+4*12+1)+11)</f>
        <v>111879.003146592</v>
      </c>
    </row>
    <row r="22" customFormat="false" ht="27.75" hidden="false" customHeight="true" outlineLevel="0" collapsed="false">
      <c r="A22" s="6" t="s">
        <v>139</v>
      </c>
      <c r="B22" s="6" t="s">
        <v>88</v>
      </c>
      <c r="C22" s="15" t="n">
        <f aca="false">SUM(INDEX(Motore_Startup!$BA$5:$BA$544,(Ipotesi!$C$5-1)*60+0*12+1):INDEX(Motore_Startup!$BA$5:$BA$544,((Ipotesi!$C$5-1)*60+0*12+1)+11))</f>
        <v>52542.2222222222</v>
      </c>
      <c r="D22" s="15" t="n">
        <f aca="false">SUM(INDEX(Motore_Startup!$BA$5:$BA$544,(Ipotesi!$C$5-1)*60+1*12+1):INDEX(Motore_Startup!$BA$5:$BA$544,((Ipotesi!$C$5-1)*60+1*12+1)+11))</f>
        <v>190079.275671502</v>
      </c>
      <c r="E22" s="15" t="n">
        <f aca="false">SUM(INDEX(Motore_Startup!$BA$5:$BA$544,(Ipotesi!$C$5-1)*60+2*12+1):INDEX(Motore_Startup!$BA$5:$BA$544,((Ipotesi!$C$5-1)*60+2*12+1)+11))</f>
        <v>126225.640511943</v>
      </c>
      <c r="F22" s="15" t="n">
        <f aca="false">SUM(INDEX(Motore_Startup!$BA$5:$BA$544,(Ipotesi!$C$5-1)*60+3*12+1):INDEX(Motore_Startup!$BA$5:$BA$544,((Ipotesi!$C$5-1)*60+3*12+1)+11))</f>
        <v>0</v>
      </c>
      <c r="G22" s="15" t="n">
        <f aca="false">SUM(INDEX(Motore_Startup!$BA$5:$BA$544,(Ipotesi!$C$5-1)*60+4*12+1):INDEX(Motore_Startup!$BA$5:$BA$544,((Ipotesi!$C$5-1)*60+4*12+1)+11))</f>
        <v>0</v>
      </c>
    </row>
    <row r="23" customFormat="false" ht="27.75" hidden="false" customHeight="true" outlineLevel="0" collapsed="false">
      <c r="A23" s="6" t="s">
        <v>140</v>
      </c>
      <c r="B23" s="6" t="s">
        <v>88</v>
      </c>
      <c r="C23" s="15" t="n">
        <f aca="false">SUM(INDEX(Motore_Startup!$BB$5:$BB$544,(Ipotesi!$C$5-1)*60+0*12+1):INDEX(Motore_Startup!$BB$5:$BB$544,((Ipotesi!$C$5-1)*60+0*12+1)+11))</f>
        <v>0</v>
      </c>
      <c r="D23" s="15" t="n">
        <f aca="false">SUM(INDEX(Motore_Startup!$BB$5:$BB$544,(Ipotesi!$C$5-1)*60+1*12+1):INDEX(Motore_Startup!$BB$5:$BB$544,((Ipotesi!$C$5-1)*60+1*12+1)+11))</f>
        <v>0</v>
      </c>
      <c r="E23" s="15" t="n">
        <f aca="false">SUM(INDEX(Motore_Startup!$BB$5:$BB$544,(Ipotesi!$C$5-1)*60+2*12+1):INDEX(Motore_Startup!$BB$5:$BB$544,((Ipotesi!$C$5-1)*60+2*12+1)+11))</f>
        <v>0</v>
      </c>
      <c r="F23" s="15" t="n">
        <f aca="false">SUM(INDEX(Motore_Startup!$BB$5:$BB$544,(Ipotesi!$C$5-1)*60+3*12+1):INDEX(Motore_Startup!$BB$5:$BB$544,((Ipotesi!$C$5-1)*60+3*12+1)+11))</f>
        <v>26539.2996883967</v>
      </c>
      <c r="G23" s="15" t="n">
        <f aca="false">SUM(INDEX(Motore_Startup!$BB$5:$BB$544,(Ipotesi!$C$5-1)*60+4*12+1):INDEX(Motore_Startup!$BB$5:$BB$544,((Ipotesi!$C$5-1)*60+4*12+1)+11))</f>
        <v>26539.2996883967</v>
      </c>
    </row>
    <row r="24" customFormat="false" ht="27.75" hidden="false" customHeight="true" outlineLevel="0" collapsed="false">
      <c r="A24" s="6" t="s">
        <v>141</v>
      </c>
      <c r="B24" s="6" t="s">
        <v>88</v>
      </c>
      <c r="C24" s="15" t="n">
        <f aca="false">INDEX(Motore_Startup!$BC$5:$BC$544,((Ipotesi!$C$5-1)*60+0*12+1)+11)</f>
        <v>38219.5555555556</v>
      </c>
      <c r="D24" s="15" t="n">
        <f aca="false">INDEX(Motore_Startup!$BC$5:$BC$544,((Ipotesi!$C$5-1)*60+1*12+1)+11)</f>
        <v>176155.048525607</v>
      </c>
      <c r="E24" s="15" t="n">
        <f aca="false">INDEX(Motore_Startup!$BC$5:$BC$544,((Ipotesi!$C$5-1)*60+2*12+1)+11)</f>
        <v>265392.996883967</v>
      </c>
      <c r="F24" s="15" t="n">
        <f aca="false">INDEX(Motore_Startup!$BC$5:$BC$544,((Ipotesi!$C$5-1)*60+3*12+1)+11)</f>
        <v>238853.69719557</v>
      </c>
      <c r="G24" s="15" t="n">
        <f aca="false">INDEX(Motore_Startup!$BC$5:$BC$544,((Ipotesi!$C$5-1)*60+4*12+1)+11)</f>
        <v>212314.397507174</v>
      </c>
    </row>
    <row r="25" customFormat="false" ht="27.75" hidden="false" customHeight="true" outlineLevel="0" collapsed="false">
      <c r="A25" s="6" t="s">
        <v>142</v>
      </c>
      <c r="B25" s="6" t="s">
        <v>88</v>
      </c>
      <c r="C25" s="15" t="n">
        <f aca="false">SUM(INDEX(Motore_Startup!$AW$5:$AW$544,(Ipotesi!$C$5-1)*60+0*12+1):INDEX(Motore_Startup!$AW$5:$AW$544,((Ipotesi!$C$5-1)*60+0*12+1)+11))</f>
        <v>130000</v>
      </c>
      <c r="D25" s="15" t="n">
        <f aca="false">SUM(INDEX(Motore_Startup!$AW$5:$AW$544,(Ipotesi!$C$5-1)*60+1*12+1):INDEX(Motore_Startup!$AW$5:$AW$544,((Ipotesi!$C$5-1)*60+1*12+1)+11))</f>
        <v>0</v>
      </c>
      <c r="E25" s="15" t="n">
        <f aca="false">SUM(INDEX(Motore_Startup!$AW$5:$AW$544,(Ipotesi!$C$5-1)*60+2*12+1):INDEX(Motore_Startup!$AW$5:$AW$544,((Ipotesi!$C$5-1)*60+2*12+1)+11))</f>
        <v>0</v>
      </c>
      <c r="F25" s="15" t="n">
        <f aca="false">SUM(INDEX(Motore_Startup!$AW$5:$AW$544,(Ipotesi!$C$5-1)*60+3*12+1):INDEX(Motore_Startup!$AW$5:$AW$544,((Ipotesi!$C$5-1)*60+3*12+1)+11))</f>
        <v>0</v>
      </c>
      <c r="G25" s="15" t="n">
        <f aca="false">SUM(INDEX(Motore_Startup!$AW$5:$AW$544,(Ipotesi!$C$5-1)*60+4*12+1):INDEX(Motore_Startup!$AW$5:$AW$544,((Ipotesi!$C$5-1)*60+4*12+1)+11))</f>
        <v>0</v>
      </c>
    </row>
    <row r="26" customFormat="false" ht="27.75" hidden="false" customHeight="true" outlineLevel="0" collapsed="false">
      <c r="A26" s="6" t="s">
        <v>143</v>
      </c>
      <c r="B26" s="6" t="s">
        <v>88</v>
      </c>
      <c r="C26" s="15" t="n">
        <f aca="false">SUM(INDEX(Motore_Startup!$AX$5:$AX$544,(Ipotesi!$C$5-1)*60+0*12+1):INDEX(Motore_Startup!$AX$5:$AX$544,((Ipotesi!$C$5-1)*60+0*12+1)+11))</f>
        <v>0</v>
      </c>
      <c r="D26" s="15" t="n">
        <f aca="false">SUM(INDEX(Motore_Startup!$AX$5:$AX$544,(Ipotesi!$C$5-1)*60+1*12+1):INDEX(Motore_Startup!$AX$5:$AX$544,((Ipotesi!$C$5-1)*60+1*12+1)+11))</f>
        <v>300000</v>
      </c>
      <c r="E26" s="15" t="n">
        <f aca="false">SUM(INDEX(Motore_Startup!$AX$5:$AX$544,(Ipotesi!$C$5-1)*60+2*12+1):INDEX(Motore_Startup!$AX$5:$AX$544,((Ipotesi!$C$5-1)*60+2*12+1)+11))</f>
        <v>900000</v>
      </c>
      <c r="F26" s="15" t="n">
        <f aca="false">SUM(INDEX(Motore_Startup!$AX$5:$AX$544,(Ipotesi!$C$5-1)*60+3*12+1):INDEX(Motore_Startup!$AX$5:$AX$544,((Ipotesi!$C$5-1)*60+3*12+1)+11))</f>
        <v>0</v>
      </c>
      <c r="G26" s="15" t="n">
        <f aca="false">SUM(INDEX(Motore_Startup!$AX$5:$AX$544,(Ipotesi!$C$5-1)*60+4*12+1):INDEX(Motore_Startup!$AX$5:$AX$544,((Ipotesi!$C$5-1)*60+4*12+1)+11))</f>
        <v>0</v>
      </c>
    </row>
    <row r="27" customFormat="false" ht="27.75" hidden="false" customHeight="true" outlineLevel="0" collapsed="false">
      <c r="A27" s="6" t="s">
        <v>144</v>
      </c>
      <c r="B27" s="6" t="s">
        <v>88</v>
      </c>
      <c r="C27" s="15" t="n">
        <f aca="false">SUM(INDEX(Motore_Startup!$AY$5:$AY$544,(Ipotesi!$C$5-1)*60+0*12+1):INDEX(Motore_Startup!$AY$5:$AY$544,((Ipotesi!$C$5-1)*60+0*12+1)+11))</f>
        <v>0</v>
      </c>
      <c r="D27" s="15" t="n">
        <f aca="false">SUM(INDEX(Motore_Startup!$AY$5:$AY$544,(Ipotesi!$C$5-1)*60+1*12+1):INDEX(Motore_Startup!$AY$5:$AY$544,((Ipotesi!$C$5-1)*60+1*12+1)+11))</f>
        <v>0</v>
      </c>
      <c r="E27" s="15" t="n">
        <f aca="false">SUM(INDEX(Motore_Startup!$AY$5:$AY$544,(Ipotesi!$C$5-1)*60+2*12+1):INDEX(Motore_Startup!$AY$5:$AY$544,((Ipotesi!$C$5-1)*60+2*12+1)+11))</f>
        <v>0</v>
      </c>
      <c r="F27" s="15" t="n">
        <f aca="false">SUM(INDEX(Motore_Startup!$AY$5:$AY$544,(Ipotesi!$C$5-1)*60+3*12+1):INDEX(Motore_Startup!$AY$5:$AY$544,((Ipotesi!$C$5-1)*60+3*12+1)+11))</f>
        <v>0</v>
      </c>
      <c r="G27" s="15" t="n">
        <f aca="false">SUM(INDEX(Motore_Startup!$AY$5:$AY$544,(Ipotesi!$C$5-1)*60+4*12+1):INDEX(Motore_Startup!$AY$5:$AY$544,((Ipotesi!$C$5-1)*60+4*12+1)+11))</f>
        <v>0</v>
      </c>
    </row>
    <row r="28" customFormat="false" ht="27.75" hidden="false" customHeight="true" outlineLevel="0" collapsed="false">
      <c r="A28" s="6" t="s">
        <v>145</v>
      </c>
      <c r="B28" s="6" t="s">
        <v>88</v>
      </c>
      <c r="C28" s="15" t="n">
        <f aca="false">SUM(INDEX(Motore_Startup!$AZ$5:$AZ$544,(Ipotesi!$C$5-1)*60+0*12+1):INDEX(Motore_Startup!$AZ$5:$AZ$544,((Ipotesi!$C$5-1)*60+0*12+1)+11))</f>
        <v>0</v>
      </c>
      <c r="D28" s="15" t="n">
        <f aca="false">SUM(INDEX(Motore_Startup!$AZ$5:$AZ$544,(Ipotesi!$C$5-1)*60+1*12+1):INDEX(Motore_Startup!$AZ$5:$AZ$544,((Ipotesi!$C$5-1)*60+1*12+1)+11))</f>
        <v>0</v>
      </c>
      <c r="E28" s="15" t="n">
        <f aca="false">SUM(INDEX(Motore_Startup!$AZ$5:$AZ$544,(Ipotesi!$C$5-1)*60+2*12+1):INDEX(Motore_Startup!$AZ$5:$AZ$544,((Ipotesi!$C$5-1)*60+2*12+1)+11))</f>
        <v>0</v>
      </c>
      <c r="F28" s="15" t="n">
        <f aca="false">SUM(INDEX(Motore_Startup!$AZ$5:$AZ$544,(Ipotesi!$C$5-1)*60+3*12+1):INDEX(Motore_Startup!$AZ$5:$AZ$544,((Ipotesi!$C$5-1)*60+3*12+1)+11))</f>
        <v>35707.0162944445</v>
      </c>
      <c r="G28" s="15" t="n">
        <f aca="false">SUM(INDEX(Motore_Startup!$AZ$5:$AZ$544,(Ipotesi!$C$5-1)*60+4*12+1):INDEX(Motore_Startup!$AZ$5:$AZ$544,((Ipotesi!$C$5-1)*60+4*12+1)+11))</f>
        <v>69723.3931391231</v>
      </c>
    </row>
    <row r="29" customFormat="false" ht="27.75" hidden="false" customHeight="true" outlineLevel="0" collapsed="false"/>
    <row r="30" customFormat="false" ht="27.75" hidden="false" customHeight="true" outlineLevel="0" collapsed="false">
      <c r="A30" s="6" t="s">
        <v>146</v>
      </c>
      <c r="B30" s="6" t="s">
        <v>88</v>
      </c>
      <c r="C30" s="15" t="n">
        <f aca="false">INDEX(Motore_Startup!$AD$5:$AD$544,((Ipotesi!$C$5-1)*60+0*12+1)+11)</f>
        <v>29991.6666666667</v>
      </c>
      <c r="D30" s="15" t="n">
        <f aca="false">INDEX(Motore_Startup!$AD$5:$AD$544,((Ipotesi!$C$5-1)*60+1*12+1)+11)</f>
        <v>113239.529246472</v>
      </c>
      <c r="E30" s="15" t="n">
        <f aca="false">INDEX(Motore_Startup!$AD$5:$AD$544,((Ipotesi!$C$5-1)*60+2*12+1)+11)</f>
        <v>286626.996602451</v>
      </c>
      <c r="F30" s="15" t="n">
        <f aca="false">INDEX(Motore_Startup!$AD$5:$AD$544,((Ipotesi!$C$5-1)*60+3*12+1)+11)</f>
        <v>504631.674047441</v>
      </c>
      <c r="G30" s="15" t="n">
        <f aca="false">INDEX(Motore_Startup!$AD$5:$AD$544,((Ipotesi!$C$5-1)*60+4*12+1)+11)</f>
        <v>743698.4818055</v>
      </c>
    </row>
    <row r="31" customFormat="false" ht="27.75" hidden="false" customHeight="true" outlineLevel="0" collapsed="false">
      <c r="A31" s="6" t="s">
        <v>147</v>
      </c>
      <c r="B31" s="6" t="s">
        <v>88</v>
      </c>
      <c r="C31" s="15" t="n">
        <f aca="false">INDEX(Motore_Startup!$AG$5:$AG$544,((Ipotesi!$C$5-1)*60+0*12+1)+11)</f>
        <v>1977.68421052632</v>
      </c>
      <c r="D31" s="15" t="n">
        <f aca="false">INDEX(Motore_Startup!$AG$5:$AG$544,((Ipotesi!$C$5-1)*60+1*12+1)+11)</f>
        <v>4145.70892018779</v>
      </c>
      <c r="E31" s="15" t="n">
        <f aca="false">INDEX(Motore_Startup!$AG$5:$AG$544,((Ipotesi!$C$5-1)*60+2*12+1)+11)</f>
        <v>7381</v>
      </c>
      <c r="F31" s="15" t="n">
        <f aca="false">INDEX(Motore_Startup!$AG$5:$AG$544,((Ipotesi!$C$5-1)*60+3*12+1)+11)</f>
        <v>11009.4833333333</v>
      </c>
      <c r="G31" s="15" t="n">
        <f aca="false">INDEX(Motore_Startup!$AG$5:$AG$544,((Ipotesi!$C$5-1)*60+4*12+1)+11)</f>
        <v>14146.9166666667</v>
      </c>
    </row>
    <row r="32" customFormat="false" ht="27.75" hidden="false" customHeight="true" outlineLevel="0" collapsed="false">
      <c r="A32" s="6" t="s">
        <v>148</v>
      </c>
      <c r="B32" s="6" t="s">
        <v>88</v>
      </c>
      <c r="C32" s="15" t="n">
        <f aca="false">INDEX(Motore_Startup!$AJ$5:$AJ$544,((Ipotesi!$C$5-1)*60+0*12+1)+11)</f>
        <v>23562.5481276803</v>
      </c>
      <c r="D32" s="15" t="n">
        <f aca="false">INDEX(Motore_Startup!$AJ$5:$AJ$544,((Ipotesi!$C$5-1)*60+1*12+1)+11)</f>
        <v>43547.5682836218</v>
      </c>
      <c r="E32" s="15" t="n">
        <f aca="false">INDEX(Motore_Startup!$AJ$5:$AJ$544,((Ipotesi!$C$5-1)*60+2*12+1)+11)</f>
        <v>104937.841342549</v>
      </c>
      <c r="F32" s="15" t="n">
        <f aca="false">INDEX(Motore_Startup!$AJ$5:$AJ$544,((Ipotesi!$C$5-1)*60+3*12+1)+11)</f>
        <v>148703.051267369</v>
      </c>
      <c r="G32" s="15" t="n">
        <f aca="false">INDEX(Motore_Startup!$AJ$5:$AJ$544,((Ipotesi!$C$5-1)*60+4*12+1)+11)</f>
        <v>194334.473247013</v>
      </c>
    </row>
    <row r="33" customFormat="false" ht="27.75" hidden="false" customHeight="true" outlineLevel="0" collapsed="false">
      <c r="A33" s="6" t="s">
        <v>149</v>
      </c>
      <c r="B33" s="6" t="s">
        <v>88</v>
      </c>
      <c r="C33" s="15" t="n">
        <f aca="false">INDEX(Motore_Startup!$AM$5:$AM$544,((Ipotesi!$C$5-1)*60+0*12+1)+11)</f>
        <v>-1633.15031578947</v>
      </c>
      <c r="D33" s="15" t="n">
        <f aca="false">INDEX(Motore_Startup!$AM$5:$AM$544,((Ipotesi!$C$5-1)*60+1*12+1)+11)</f>
        <v>3847.63048777002</v>
      </c>
      <c r="E33" s="15" t="n">
        <f aca="false">INDEX(Motore_Startup!$AM$5:$AM$544,((Ipotesi!$C$5-1)*60+2*12+1)+11)</f>
        <v>10269.9460631964</v>
      </c>
      <c r="F33" s="15" t="n">
        <f aca="false">INDEX(Motore_Startup!$AM$5:$AM$544,((Ipotesi!$C$5-1)*60+3*12+1)+11)</f>
        <v>20469.9209134937</v>
      </c>
      <c r="G33" s="15" t="n">
        <f aca="false">INDEX(Motore_Startup!$AM$5:$AM$544,((Ipotesi!$C$5-1)*60+4*12+1)+11)</f>
        <v>31707.814754253</v>
      </c>
    </row>
    <row r="34" customFormat="false" ht="27.75" hidden="false" customHeight="true" outlineLevel="0" collapsed="false">
      <c r="A34" s="6" t="s">
        <v>150</v>
      </c>
      <c r="B34" s="6" t="s">
        <v>88</v>
      </c>
      <c r="C34" s="15" t="n">
        <f aca="false">INDEX(Motore_Startup!$AR$5:$AR$544,((Ipotesi!$C$5-1)*60+0*12+1)+11)</f>
        <v>0</v>
      </c>
      <c r="D34" s="15" t="n">
        <f aca="false">INDEX(Motore_Startup!$AR$5:$AR$544,((Ipotesi!$C$5-1)*60+1*12+1)+11)</f>
        <v>0</v>
      </c>
      <c r="E34" s="15" t="n">
        <f aca="false">INDEX(Motore_Startup!$AR$5:$AR$544,((Ipotesi!$C$5-1)*60+2*12+1)+11)</f>
        <v>0</v>
      </c>
      <c r="F34" s="15" t="n">
        <f aca="false">INDEX(Motore_Startup!$AR$5:$AR$544,((Ipotesi!$C$5-1)*60+3*12+1)+11)</f>
        <v>0</v>
      </c>
      <c r="G34" s="15" t="n">
        <f aca="false">INDEX(Motore_Startup!$AR$5:$AR$544,((Ipotesi!$C$5-1)*60+4*12+1)+11)</f>
        <v>0</v>
      </c>
    </row>
    <row r="35" customFormat="false" ht="27.75" hidden="false" customHeight="true" outlineLevel="0" collapsed="false">
      <c r="A35" s="6" t="s">
        <v>151</v>
      </c>
      <c r="B35" s="6" t="s">
        <v>88</v>
      </c>
      <c r="C35" s="15" t="n">
        <f aca="false">INDEX(Motore_Startup!$AV$5:$AV$544,((Ipotesi!$C$5-1)*60+0*12+1)+11)</f>
        <v>10750</v>
      </c>
      <c r="D35" s="15" t="n">
        <f aca="false">INDEX(Motore_Startup!$AV$5:$AV$544,((Ipotesi!$C$5-1)*60+1*12+1)+11)</f>
        <v>34607.5</v>
      </c>
      <c r="E35" s="15" t="n">
        <f aca="false">INDEX(Motore_Startup!$AV$5:$AV$544,((Ipotesi!$C$5-1)*60+2*12+1)+11)</f>
        <v>79171.7</v>
      </c>
      <c r="F35" s="15" t="n">
        <f aca="false">INDEX(Motore_Startup!$AV$5:$AV$544,((Ipotesi!$C$5-1)*60+3*12+1)+11)</f>
        <v>137055.550375</v>
      </c>
      <c r="G35" s="15" t="n">
        <f aca="false">INDEX(Motore_Startup!$AV$5:$AV$544,((Ipotesi!$C$5-1)*60+4*12+1)+11)</f>
        <v>208741.9473675</v>
      </c>
    </row>
    <row r="36" customFormat="false" ht="27.75" hidden="false" customHeight="true" outlineLevel="0" collapsed="false">
      <c r="A36" s="6" t="s">
        <v>152</v>
      </c>
      <c r="B36" s="6" t="s">
        <v>88</v>
      </c>
      <c r="C36" s="15" t="n">
        <f aca="false">INDEX(Motore_Startup!$BL$5:$BL$544,((Ipotesi!$C$5-1)*60+0*12+1)+11)</f>
        <v>16388.8888888889</v>
      </c>
      <c r="D36" s="15" t="n">
        <f aca="false">INDEX(Motore_Startup!$BL$5:$BL$544,((Ipotesi!$C$5-1)*60+1*12+1)+11)</f>
        <v>30208.3333333333</v>
      </c>
      <c r="E36" s="15" t="n">
        <f aca="false">INDEX(Motore_Startup!$BL$5:$BL$544,((Ipotesi!$C$5-1)*60+2*12+1)+11)</f>
        <v>39791.6666666667</v>
      </c>
      <c r="F36" s="15" t="n">
        <f aca="false">INDEX(Motore_Startup!$BL$5:$BL$544,((Ipotesi!$C$5-1)*60+3*12+1)+11)</f>
        <v>51180.5555555555</v>
      </c>
      <c r="G36" s="15" t="n">
        <f aca="false">INDEX(Motore_Startup!$BL$5:$BL$544,((Ipotesi!$C$5-1)*60+4*12+1)+11)</f>
        <v>64999.9999999999</v>
      </c>
    </row>
    <row r="37" customFormat="false" ht="27.75" hidden="false" customHeight="true" outlineLevel="0" collapsed="false">
      <c r="A37" s="5" t="s">
        <v>153</v>
      </c>
      <c r="B37" s="6" t="s">
        <v>88</v>
      </c>
      <c r="C37" s="15" t="n">
        <f aca="false">INDEX(Motore_Startup!$BQ$5:$BQ$544,((Ipotesi!$C$5-1)*60+0*12+1)+11)</f>
        <v>-81501.5957323722</v>
      </c>
      <c r="D37" s="15" t="n">
        <f aca="false">INDEX(Motore_Startup!$BQ$5:$BQ$544,((Ipotesi!$C$5-1)*60+1*12+1)+11)</f>
        <v>-70427.3854336885</v>
      </c>
      <c r="E37" s="15" t="n">
        <f aca="false">INDEX(Motore_Startup!$BQ$5:$BQ$544,((Ipotesi!$C$5-1)*60+2*12+1)+11)</f>
        <v>322479.703755761</v>
      </c>
      <c r="F37" s="15" t="n">
        <f aca="false">INDEX(Motore_Startup!$BQ$5:$BQ$544,((Ipotesi!$C$5-1)*60+3*12+1)+11)</f>
        <v>50461.8740799918</v>
      </c>
      <c r="G37" s="15" t="n">
        <f aca="false">INDEX(Motore_Startup!$BQ$5:$BQ$544,((Ipotesi!$C$5-1)*60+4*12+1)+11)</f>
        <v>88867.7624496373</v>
      </c>
    </row>
    <row r="38" customFormat="false" ht="27.75" hidden="false" customHeight="true" outlineLevel="0" collapsed="false">
      <c r="A38" s="6" t="s">
        <v>154</v>
      </c>
      <c r="B38" s="6" t="s">
        <v>88</v>
      </c>
      <c r="C38" s="15" t="n">
        <f aca="false">INDEX(Motore_Startup!$BR$5:$BR$544,((Ipotesi!$C$5-1)*60+0*12+1)+11)</f>
        <v>74991.3900818713</v>
      </c>
      <c r="D38" s="15" t="n">
        <f aca="false">INDEX(Motore_Startup!$BR$5:$BR$544,((Ipotesi!$C$5-1)*60+1*12+1)+11)</f>
        <v>187730.36186331</v>
      </c>
      <c r="E38" s="15" t="n">
        <f aca="false">INDEX(Motore_Startup!$BR$5:$BR$544,((Ipotesi!$C$5-1)*60+2*12+1)+11)</f>
        <v>782252.188045473</v>
      </c>
      <c r="F38" s="15" t="n">
        <f aca="false">INDEX(Motore_Startup!$BR$5:$BR$544,((Ipotesi!$C$5-1)*60+3*12+1)+11)</f>
        <v>595544.093831423</v>
      </c>
      <c r="G38" s="15" t="n">
        <f aca="false">INDEX(Motore_Startup!$BR$5:$BR$544,((Ipotesi!$C$5-1)*60+4*12+1)+11)</f>
        <v>847845.398472167</v>
      </c>
    </row>
    <row r="39" customFormat="false" ht="27.75" hidden="false" customHeight="true" outlineLevel="0" collapsed="false">
      <c r="A39" s="6" t="s">
        <v>155</v>
      </c>
      <c r="B39" s="6" t="s">
        <v>88</v>
      </c>
      <c r="C39" s="15" t="n">
        <f aca="false">INDEX(Motore_Startup!$BS$5:$BS$544,((Ipotesi!$C$5-1)*60+0*12+1)+11)</f>
        <v>74991.3900818714</v>
      </c>
      <c r="D39" s="15" t="n">
        <f aca="false">INDEX(Motore_Startup!$BS$5:$BS$544,((Ipotesi!$C$5-1)*60+1*12+1)+11)</f>
        <v>187730.36186331</v>
      </c>
      <c r="E39" s="15" t="n">
        <f aca="false">INDEX(Motore_Startup!$BS$5:$BS$544,((Ipotesi!$C$5-1)*60+2*12+1)+11)</f>
        <v>782252.188045474</v>
      </c>
      <c r="F39" s="15" t="n">
        <f aca="false">INDEX(Motore_Startup!$BS$5:$BS$544,((Ipotesi!$C$5-1)*60+3*12+1)+11)</f>
        <v>595544.093831425</v>
      </c>
      <c r="G39" s="15" t="n">
        <f aca="false">INDEX(Motore_Startup!$BS$5:$BS$544,((Ipotesi!$C$5-1)*60+4*12+1)+11)</f>
        <v>847845.398472168</v>
      </c>
    </row>
    <row r="40" customFormat="false" ht="27.75" hidden="false" customHeight="true" outlineLevel="0" collapsed="false">
      <c r="A40" s="5" t="s">
        <v>156</v>
      </c>
      <c r="B40" s="6" t="s">
        <v>88</v>
      </c>
      <c r="C40" s="15" t="n">
        <f aca="false">INDEX(Motore_Startup!$BT$5:$BT$544,((Ipotesi!$C$5-1)*60+0*12+1)+11)</f>
        <v>0</v>
      </c>
      <c r="D40" s="15" t="n">
        <f aca="false">INDEX(Motore_Startup!$BT$5:$BT$544,((Ipotesi!$C$5-1)*60+1*12+1)+11)</f>
        <v>0</v>
      </c>
      <c r="E40" s="15" t="n">
        <f aca="false">INDEX(Motore_Startup!$BT$5:$BT$544,((Ipotesi!$C$5-1)*60+2*12+1)+11)</f>
        <v>0</v>
      </c>
      <c r="F40" s="15" t="n">
        <f aca="false">INDEX(Motore_Startup!$BT$5:$BT$544,((Ipotesi!$C$5-1)*60+3*12+1)+11)</f>
        <v>0</v>
      </c>
      <c r="G40" s="15" t="n">
        <f aca="false">INDEX(Motore_Startup!$BT$5:$BT$544,((Ipotesi!$C$5-1)*60+4*12+1)+11)</f>
        <v>0</v>
      </c>
    </row>
    <row r="41" customFormat="false" ht="27.75" hidden="false" customHeight="true" outlineLevel="0" collapsed="false"/>
    <row r="42" customFormat="false" ht="27.75" hidden="false" customHeight="true" outlineLevel="0" collapsed="false">
      <c r="A42" s="6" t="s">
        <v>157</v>
      </c>
      <c r="B42" s="6" t="s">
        <v>88</v>
      </c>
      <c r="C42" s="15" t="n">
        <f aca="false">SUM(INDEX(Motore_Startup!$K$5:$K$544,(Ipotesi!$C$5-1)*60+0*12+1):INDEX(Motore_Startup!$K$5:$K$544,((Ipotesi!$C$5-1)*60+0*12+1)+11))</f>
        <v>20000</v>
      </c>
      <c r="D42" s="15" t="n">
        <f aca="false">SUM(INDEX(Motore_Startup!$K$5:$K$544,(Ipotesi!$C$5-1)*60+1*12+1):INDEX(Motore_Startup!$K$5:$K$544,((Ipotesi!$C$5-1)*60+1*12+1)+11))</f>
        <v>25000</v>
      </c>
      <c r="E42" s="15" t="n">
        <f aca="false">SUM(INDEX(Motore_Startup!$K$5:$K$544,(Ipotesi!$C$5-1)*60+2*12+1):INDEX(Motore_Startup!$K$5:$K$544,((Ipotesi!$C$5-1)*60+2*12+1)+11))</f>
        <v>30000</v>
      </c>
      <c r="F42" s="15" t="n">
        <f aca="false">SUM(INDEX(Motore_Startup!$K$5:$K$544,(Ipotesi!$C$5-1)*60+3*12+1):INDEX(Motore_Startup!$K$5:$K$544,((Ipotesi!$C$5-1)*60+3*12+1)+11))</f>
        <v>40000</v>
      </c>
      <c r="G42" s="15" t="n">
        <f aca="false">SUM(INDEX(Motore_Startup!$K$5:$K$544,(Ipotesi!$C$5-1)*60+4*12+1):INDEX(Motore_Startup!$K$5:$K$544,((Ipotesi!$C$5-1)*60+4*12+1)+11))</f>
        <v>50000</v>
      </c>
    </row>
    <row r="43" customFormat="false" ht="27.75" hidden="false" customHeight="true" outlineLevel="0" collapsed="false">
      <c r="A43" s="6" t="s">
        <v>158</v>
      </c>
      <c r="B43" s="6" t="s">
        <v>88</v>
      </c>
      <c r="C43" s="15" t="n">
        <f aca="false">SUM(INDEX(Motore_Startup!$AQ$5:$AQ$544,(Ipotesi!$C$5-1)*60+0*12+1):INDEX(Motore_Startup!$AQ$5:$AQ$544,((Ipotesi!$C$5-1)*60+0*12+1)+11))</f>
        <v>0</v>
      </c>
      <c r="D43" s="15" t="n">
        <f aca="false">SUM(INDEX(Motore_Startup!$AQ$5:$AQ$544,(Ipotesi!$C$5-1)*60+1*12+1):INDEX(Motore_Startup!$AQ$5:$AQ$544,((Ipotesi!$C$5-1)*60+1*12+1)+11))</f>
        <v>0</v>
      </c>
      <c r="E43" s="15" t="n">
        <f aca="false">SUM(INDEX(Motore_Startup!$AQ$5:$AQ$544,(Ipotesi!$C$5-1)*60+2*12+1):INDEX(Motore_Startup!$AQ$5:$AQ$544,((Ipotesi!$C$5-1)*60+2*12+1)+11))</f>
        <v>0</v>
      </c>
      <c r="F43" s="15" t="n">
        <f aca="false">SUM(INDEX(Motore_Startup!$AQ$5:$AQ$544,(Ipotesi!$C$5-1)*60+3*12+1):INDEX(Motore_Startup!$AQ$5:$AQ$544,((Ipotesi!$C$5-1)*60+3*12+1)+11))</f>
        <v>0</v>
      </c>
      <c r="G43" s="15" t="n">
        <f aca="false">SUM(INDEX(Motore_Startup!$AQ$5:$AQ$544,(Ipotesi!$C$5-1)*60+4*12+1):INDEX(Motore_Startup!$AQ$5:$AQ$544,((Ipotesi!$C$5-1)*60+4*12+1)+11))</f>
        <v>0</v>
      </c>
    </row>
    <row r="44" customFormat="false" ht="27.75" hidden="false" customHeight="true" outlineLevel="0" collapsed="false">
      <c r="A44" s="6" t="s">
        <v>159</v>
      </c>
      <c r="B44" s="6" t="s">
        <v>88</v>
      </c>
      <c r="C44" s="15" t="n">
        <f aca="false">SUM(INDEX(Motore_Startup!$AL$5:$AL$544,(Ipotesi!$C$5-1)*60+0*12+1):INDEX(Motore_Startup!$AL$5:$AL$544,((Ipotesi!$C$5-1)*60+0*12+1)+11))</f>
        <v>0</v>
      </c>
      <c r="D44" s="15" t="n">
        <f aca="false">SUM(INDEX(Motore_Startup!$AL$5:$AL$544,(Ipotesi!$C$5-1)*60+1*12+1):INDEX(Motore_Startup!$AL$5:$AL$544,((Ipotesi!$C$5-1)*60+1*12+1)+11))</f>
        <v>29660.6636585869</v>
      </c>
      <c r="E44" s="15" t="n">
        <f aca="false">SUM(INDEX(Motore_Startup!$AL$5:$AL$544,(Ipotesi!$C$5-1)*60+2*12+1):INDEX(Motore_Startup!$AL$5:$AL$544,((Ipotesi!$C$5-1)*60+2*12+1)+11))</f>
        <v>85253.0275097972</v>
      </c>
      <c r="F44" s="15" t="n">
        <f aca="false">SUM(INDEX(Motore_Startup!$AL$5:$AL$544,(Ipotesi!$C$5-1)*60+3*12+1):INDEX(Motore_Startup!$AL$5:$AL$544,((Ipotesi!$C$5-1)*60+3*12+1)+11))</f>
        <v>198282.886548841</v>
      </c>
      <c r="G44" s="15" t="n">
        <f aca="false">SUM(INDEX(Motore_Startup!$AL$5:$AL$544,(Ipotesi!$C$5-1)*60+4*12+1):INDEX(Motore_Startup!$AL$5:$AL$544,((Ipotesi!$C$5-1)*60+4*12+1)+11))</f>
        <v>327014.55337564</v>
      </c>
    </row>
    <row r="45" customFormat="false" ht="27.75" hidden="false" customHeight="true" outlineLevel="0" collapsed="false">
      <c r="A45" s="6" t="s">
        <v>160</v>
      </c>
      <c r="B45" s="6" t="s">
        <v>88</v>
      </c>
      <c r="C45" s="15" t="n">
        <f aca="false">SUM(INDEX(Motore_Startup!$N$5:$N$544,(Ipotesi!$C$5-1)*60+0*12+1):INDEX(Motore_Startup!$N$5:$N$544,((Ipotesi!$C$5-1)*60+0*12+1)+11))</f>
        <v>14322.6666666667</v>
      </c>
      <c r="D45" s="15" t="n">
        <f aca="false">SUM(INDEX(Motore_Startup!$N$5:$N$544,(Ipotesi!$C$5-1)*60+1*12+1):INDEX(Motore_Startup!$N$5:$N$544,((Ipotesi!$C$5-1)*60+1*12+1)+11))</f>
        <v>52143.7827014505</v>
      </c>
      <c r="E45" s="15" t="n">
        <f aca="false">SUM(INDEX(Motore_Startup!$N$5:$N$544,(Ipotesi!$C$5-1)*60+2*12+1):INDEX(Motore_Startup!$N$5:$N$544,((Ipotesi!$C$5-1)*60+2*12+1)+11))</f>
        <v>36987.6921535829</v>
      </c>
      <c r="F45" s="15" t="n">
        <f aca="false">SUM(INDEX(Motore_Startup!$N$5:$N$544,(Ipotesi!$C$5-1)*60+3*12+1):INDEX(Motore_Startup!$N$5:$N$544,((Ipotesi!$C$5-1)*60+3*12+1)+11))</f>
        <v>0</v>
      </c>
      <c r="G45" s="15" t="n">
        <f aca="false">SUM(INDEX(Motore_Startup!$N$5:$N$544,(Ipotesi!$C$5-1)*60+4*12+1):INDEX(Motore_Startup!$N$5:$N$544,((Ipotesi!$C$5-1)*60+4*12+1)+11))</f>
        <v>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&amp;CLexShield v3 | Proiezioni condizionate, non bilanci certificati&amp;RPagina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9"/>
    <col collapsed="false" customWidth="true" hidden="false" outlineLevel="0" max="2" min="2" style="1" width="12"/>
    <col collapsed="false" customWidth="true" hidden="false" outlineLevel="0" max="7" min="3" style="1" width="21"/>
    <col collapsed="false" customWidth="true" hidden="false" outlineLevel="0" max="9" min="8" style="1" width="18"/>
  </cols>
  <sheetData>
    <row r="1" customFormat="false" ht="30" hidden="false" customHeight="true" outlineLevel="0" collapsed="false">
      <c r="A1" s="2" t="s">
        <v>161</v>
      </c>
      <c r="B1" s="2"/>
      <c r="C1" s="2"/>
      <c r="D1" s="2"/>
      <c r="E1" s="2"/>
      <c r="F1" s="2"/>
      <c r="G1" s="2"/>
      <c r="H1" s="2"/>
    </row>
    <row r="2" customFormat="false" ht="42" hidden="false" customHeight="true" outlineLevel="0" collapsed="false">
      <c r="A2" s="3" t="s">
        <v>162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A4" s="4" t="s">
        <v>44</v>
      </c>
      <c r="B4" s="4" t="s">
        <v>86</v>
      </c>
      <c r="C4" s="4" t="n">
        <v>2027</v>
      </c>
      <c r="D4" s="4" t="n">
        <v>2028</v>
      </c>
      <c r="E4" s="4" t="n">
        <v>2029</v>
      </c>
      <c r="F4" s="4" t="n">
        <v>2030</v>
      </c>
      <c r="G4" s="4" t="n">
        <v>2031</v>
      </c>
    </row>
    <row r="5" customFormat="false" ht="27.75" hidden="false" customHeight="true" outlineLevel="0" collapsed="false">
      <c r="A5" s="6" t="s">
        <v>123</v>
      </c>
      <c r="B5" s="6" t="s">
        <v>88</v>
      </c>
      <c r="C5" s="15" t="n">
        <f aca="false">SUM(INDEX(Motore_Advisory!$F$5:$F$544,(Ipotesi!$C$5-1)*60+0*12+1):INDEX(Motore_Advisory!$F$5:$F$544,((Ipotesi!$C$5-1)*60+0*12+1)+11))</f>
        <v>194526.315789474</v>
      </c>
      <c r="D5" s="15" t="n">
        <f aca="false">SUM(INDEX(Motore_Advisory!$F$5:$F$544,(Ipotesi!$C$5-1)*60+1*12+1):INDEX(Motore_Advisory!$F$5:$F$544,((Ipotesi!$C$5-1)*60+1*12+1)+11))</f>
        <v>407774.647887324</v>
      </c>
      <c r="E5" s="15" t="n">
        <f aca="false">SUM(INDEX(Motore_Advisory!$F$5:$F$544,(Ipotesi!$C$5-1)*60+2*12+1):INDEX(Motore_Advisory!$F$5:$F$544,((Ipotesi!$C$5-1)*60+2*12+1)+11))</f>
        <v>726000</v>
      </c>
      <c r="F5" s="15" t="n">
        <f aca="false">SUM(INDEX(Motore_Advisory!$F$5:$F$544,(Ipotesi!$C$5-1)*60+3*12+1):INDEX(Motore_Advisory!$F$5:$F$544,((Ipotesi!$C$5-1)*60+3*12+1)+11))</f>
        <v>1082900</v>
      </c>
      <c r="G5" s="15" t="n">
        <f aca="false">SUM(INDEX(Motore_Advisory!$F$5:$F$544,(Ipotesi!$C$5-1)*60+4*12+1):INDEX(Motore_Advisory!$F$5:$F$544,((Ipotesi!$C$5-1)*60+4*12+1)+11))</f>
        <v>1391500</v>
      </c>
    </row>
    <row r="6" customFormat="false" ht="27.75" hidden="false" customHeight="true" outlineLevel="0" collapsed="false">
      <c r="A6" s="6" t="s">
        <v>124</v>
      </c>
      <c r="B6" s="6" t="s">
        <v>88</v>
      </c>
      <c r="C6" s="15" t="n">
        <f aca="false">SUM(INDEX(Motore_Advisory!$G$5:$G$544,(Ipotesi!$C$5-1)*60+0*12+1):INDEX(Motore_Advisory!$G$5:$G$544,((Ipotesi!$C$5-1)*60+0*12+1)+11))</f>
        <v>19452.6315789474</v>
      </c>
      <c r="D6" s="15" t="n">
        <f aca="false">SUM(INDEX(Motore_Advisory!$G$5:$G$544,(Ipotesi!$C$5-1)*60+1*12+1):INDEX(Motore_Advisory!$G$5:$G$544,((Ipotesi!$C$5-1)*60+1*12+1)+11))</f>
        <v>40777.4647887324</v>
      </c>
      <c r="E6" s="15" t="n">
        <f aca="false">SUM(INDEX(Motore_Advisory!$G$5:$G$544,(Ipotesi!$C$5-1)*60+2*12+1):INDEX(Motore_Advisory!$G$5:$G$544,((Ipotesi!$C$5-1)*60+2*12+1)+11))</f>
        <v>72600</v>
      </c>
      <c r="F6" s="15" t="n">
        <f aca="false">SUM(INDEX(Motore_Advisory!$G$5:$G$544,(Ipotesi!$C$5-1)*60+3*12+1):INDEX(Motore_Advisory!$G$5:$G$544,((Ipotesi!$C$5-1)*60+3*12+1)+11))</f>
        <v>108290</v>
      </c>
      <c r="G6" s="15" t="n">
        <f aca="false">SUM(INDEX(Motore_Advisory!$G$5:$G$544,(Ipotesi!$C$5-1)*60+4*12+1):INDEX(Motore_Advisory!$G$5:$G$544,((Ipotesi!$C$5-1)*60+4*12+1)+11))</f>
        <v>139150</v>
      </c>
    </row>
    <row r="7" customFormat="false" ht="27.75" hidden="false" customHeight="true" outlineLevel="0" collapsed="false">
      <c r="A7" s="5" t="s">
        <v>125</v>
      </c>
      <c r="B7" s="6" t="s">
        <v>88</v>
      </c>
      <c r="C7" s="15" t="n">
        <f aca="false">SUM(INDEX(Motore_Advisory!$H$5:$H$544,(Ipotesi!$C$5-1)*60+0*12+1):INDEX(Motore_Advisory!$H$5:$H$544,((Ipotesi!$C$5-1)*60+0*12+1)+11))</f>
        <v>194526.315789474</v>
      </c>
      <c r="D7" s="15" t="n">
        <f aca="false">SUM(INDEX(Motore_Advisory!$H$5:$H$544,(Ipotesi!$C$5-1)*60+1*12+1):INDEX(Motore_Advisory!$H$5:$H$544,((Ipotesi!$C$5-1)*60+1*12+1)+11))</f>
        <v>407774.647887324</v>
      </c>
      <c r="E7" s="15" t="n">
        <f aca="false">SUM(INDEX(Motore_Advisory!$H$5:$H$544,(Ipotesi!$C$5-1)*60+2*12+1):INDEX(Motore_Advisory!$H$5:$H$544,((Ipotesi!$C$5-1)*60+2*12+1)+11))</f>
        <v>726000</v>
      </c>
      <c r="F7" s="15" t="n">
        <f aca="false">SUM(INDEX(Motore_Advisory!$H$5:$H$544,(Ipotesi!$C$5-1)*60+3*12+1):INDEX(Motore_Advisory!$H$5:$H$544,((Ipotesi!$C$5-1)*60+3*12+1)+11))</f>
        <v>1082900</v>
      </c>
      <c r="G7" s="15" t="n">
        <f aca="false">SUM(INDEX(Motore_Advisory!$H$5:$H$544,(Ipotesi!$C$5-1)*60+4*12+1):INDEX(Motore_Advisory!$H$5:$H$544,((Ipotesi!$C$5-1)*60+4*12+1)+11))</f>
        <v>1391500</v>
      </c>
    </row>
    <row r="8" customFormat="false" ht="27.75" hidden="false" customHeight="true" outlineLevel="0" collapsed="false">
      <c r="A8" s="6" t="s">
        <v>126</v>
      </c>
      <c r="B8" s="6" t="s">
        <v>88</v>
      </c>
      <c r="C8" s="15" t="n">
        <f aca="false">SUM(INDEX(Motore_Advisory!$I$5:$I$544,(Ipotesi!$C$5-1)*60+0*12+1):INDEX(Motore_Advisory!$I$5:$I$544,((Ipotesi!$C$5-1)*60+0*12+1)+11))</f>
        <v>145374.210526316</v>
      </c>
      <c r="D8" s="15" t="n">
        <f aca="false">SUM(INDEX(Motore_Advisory!$I$5:$I$544,(Ipotesi!$C$5-1)*60+1*12+1):INDEX(Motore_Advisory!$I$5:$I$544,((Ipotesi!$C$5-1)*60+1*12+1)+11))</f>
        <v>346623.943661972</v>
      </c>
      <c r="E8" s="15" t="n">
        <f aca="false">SUM(INDEX(Motore_Advisory!$I$5:$I$544,(Ipotesi!$C$5-1)*60+2*12+1):INDEX(Motore_Advisory!$I$5:$I$544,((Ipotesi!$C$5-1)*60+2*12+1)+11))</f>
        <v>555118.75</v>
      </c>
      <c r="F8" s="15" t="n">
        <f aca="false">SUM(INDEX(Motore_Advisory!$I$5:$I$544,(Ipotesi!$C$5-1)*60+3*12+1):INDEX(Motore_Advisory!$I$5:$I$544,((Ipotesi!$C$5-1)*60+3*12+1)+11))</f>
        <v>750962.0805</v>
      </c>
      <c r="G8" s="15" t="n">
        <f aca="false">SUM(INDEX(Motore_Advisory!$I$5:$I$544,(Ipotesi!$C$5-1)*60+4*12+1):INDEX(Motore_Advisory!$I$5:$I$544,((Ipotesi!$C$5-1)*60+4*12+1)+11))</f>
        <v>955505.66713</v>
      </c>
    </row>
    <row r="9" customFormat="false" ht="27.75" hidden="false" customHeight="true" outlineLevel="0" collapsed="false">
      <c r="A9" s="5" t="s">
        <v>127</v>
      </c>
      <c r="B9" s="6" t="s">
        <v>88</v>
      </c>
      <c r="C9" s="15" t="n">
        <f aca="false">SUM(INDEX(Motore_Advisory!$J$5:$J$544,(Ipotesi!$C$5-1)*60+0*12+1):INDEX(Motore_Advisory!$J$5:$J$544,((Ipotesi!$C$5-1)*60+0*12+1)+11))</f>
        <v>49152.1052631579</v>
      </c>
      <c r="D9" s="15" t="n">
        <f aca="false">SUM(INDEX(Motore_Advisory!$J$5:$J$544,(Ipotesi!$C$5-1)*60+1*12+1):INDEX(Motore_Advisory!$J$5:$J$544,((Ipotesi!$C$5-1)*60+1*12+1)+11))</f>
        <v>61150.7042253521</v>
      </c>
      <c r="E9" s="15" t="n">
        <f aca="false">SUM(INDEX(Motore_Advisory!$J$5:$J$544,(Ipotesi!$C$5-1)*60+2*12+1):INDEX(Motore_Advisory!$J$5:$J$544,((Ipotesi!$C$5-1)*60+2*12+1)+11))</f>
        <v>170881.25</v>
      </c>
      <c r="F9" s="15" t="n">
        <f aca="false">SUM(INDEX(Motore_Advisory!$J$5:$J$544,(Ipotesi!$C$5-1)*60+3*12+1):INDEX(Motore_Advisory!$J$5:$J$544,((Ipotesi!$C$5-1)*60+3*12+1)+11))</f>
        <v>331937.9195</v>
      </c>
      <c r="G9" s="15" t="n">
        <f aca="false">SUM(INDEX(Motore_Advisory!$J$5:$J$544,(Ipotesi!$C$5-1)*60+4*12+1):INDEX(Motore_Advisory!$J$5:$J$544,((Ipotesi!$C$5-1)*60+4*12+1)+11))</f>
        <v>435994.33287</v>
      </c>
    </row>
    <row r="10" customFormat="false" ht="27.75" hidden="false" customHeight="true" outlineLevel="0" collapsed="false">
      <c r="A10" s="6" t="s">
        <v>128</v>
      </c>
      <c r="B10" s="6" t="s">
        <v>88</v>
      </c>
      <c r="C10" s="15" t="n">
        <f aca="false">SUM(INDEX(Motore_Advisory!$L$5:$L$544,(Ipotesi!$C$5-1)*60+0*12+1):INDEX(Motore_Advisory!$L$5:$L$544,((Ipotesi!$C$5-1)*60+0*12+1)+11))</f>
        <v>541.666666666667</v>
      </c>
      <c r="D10" s="15" t="n">
        <f aca="false">SUM(INDEX(Motore_Advisory!$L$5:$L$544,(Ipotesi!$C$5-1)*60+1*12+1):INDEX(Motore_Advisory!$L$5:$L$544,((Ipotesi!$C$5-1)*60+1*12+1)+11))</f>
        <v>1902.77777777778</v>
      </c>
      <c r="E10" s="15" t="n">
        <f aca="false">SUM(INDEX(Motore_Advisory!$L$5:$L$544,(Ipotesi!$C$5-1)*60+2*12+1):INDEX(Motore_Advisory!$L$5:$L$544,((Ipotesi!$C$5-1)*60+2*12+1)+11))</f>
        <v>3569.44444444444</v>
      </c>
      <c r="F10" s="15" t="n">
        <f aca="false">SUM(INDEX(Motore_Advisory!$L$5:$L$544,(Ipotesi!$C$5-1)*60+3*12+1):INDEX(Motore_Advisory!$L$5:$L$544,((Ipotesi!$C$5-1)*60+3*12+1)+11))</f>
        <v>5236.11111111111</v>
      </c>
      <c r="G10" s="15" t="n">
        <f aca="false">SUM(INDEX(Motore_Advisory!$L$5:$L$544,(Ipotesi!$C$5-1)*60+4*12+1):INDEX(Motore_Advisory!$L$5:$L$544,((Ipotesi!$C$5-1)*60+4*12+1)+11))</f>
        <v>6541.66666666667</v>
      </c>
    </row>
    <row r="11" customFormat="false" ht="27.75" hidden="false" customHeight="true" outlineLevel="0" collapsed="false">
      <c r="A11" s="6" t="s">
        <v>129</v>
      </c>
      <c r="B11" s="6" t="s">
        <v>88</v>
      </c>
      <c r="C11" s="15" t="n">
        <f aca="false">SUM(INDEX(Motore_Advisory!$M$5:$M$544,(Ipotesi!$C$5-1)*60+0*12+1):INDEX(Motore_Advisory!$M$5:$M$544,((Ipotesi!$C$5-1)*60+0*12+1)+11))</f>
        <v>48610.4385964912</v>
      </c>
      <c r="D11" s="15" t="n">
        <f aca="false">SUM(INDEX(Motore_Advisory!$M$5:$M$544,(Ipotesi!$C$5-1)*60+1*12+1):INDEX(Motore_Advisory!$M$5:$M$544,((Ipotesi!$C$5-1)*60+1*12+1)+11))</f>
        <v>59247.9264475743</v>
      </c>
      <c r="E11" s="15" t="n">
        <f aca="false">SUM(INDEX(Motore_Advisory!$M$5:$M$544,(Ipotesi!$C$5-1)*60+2*12+1):INDEX(Motore_Advisory!$M$5:$M$544,((Ipotesi!$C$5-1)*60+2*12+1)+11))</f>
        <v>167311.805555556</v>
      </c>
      <c r="F11" s="15" t="n">
        <f aca="false">SUM(INDEX(Motore_Advisory!$M$5:$M$544,(Ipotesi!$C$5-1)*60+3*12+1):INDEX(Motore_Advisory!$M$5:$M$544,((Ipotesi!$C$5-1)*60+3*12+1)+11))</f>
        <v>326701.808388889</v>
      </c>
      <c r="G11" s="15" t="n">
        <f aca="false">SUM(INDEX(Motore_Advisory!$M$5:$M$544,(Ipotesi!$C$5-1)*60+4*12+1):INDEX(Motore_Advisory!$M$5:$M$544,((Ipotesi!$C$5-1)*60+4*12+1)+11))</f>
        <v>429452.666203333</v>
      </c>
    </row>
    <row r="12" customFormat="false" ht="27.75" hidden="false" customHeight="true" outlineLevel="0" collapsed="false">
      <c r="A12" s="6" t="s">
        <v>130</v>
      </c>
      <c r="B12" s="6" t="s">
        <v>88</v>
      </c>
      <c r="C12" s="15" t="n">
        <f aca="false">SUM(INDEX(Motore_Advisory!$N$5:$N$544,(Ipotesi!$C$5-1)*60+0*12+1):INDEX(Motore_Advisory!$N$5:$N$544,((Ipotesi!$C$5-1)*60+0*12+1)+11))</f>
        <v>0</v>
      </c>
      <c r="D12" s="15" t="n">
        <f aca="false">SUM(INDEX(Motore_Advisory!$N$5:$N$544,(Ipotesi!$C$5-1)*60+1*12+1):INDEX(Motore_Advisory!$N$5:$N$544,((Ipotesi!$C$5-1)*60+1*12+1)+11))</f>
        <v>0</v>
      </c>
      <c r="E12" s="15" t="n">
        <f aca="false">SUM(INDEX(Motore_Advisory!$N$5:$N$544,(Ipotesi!$C$5-1)*60+2*12+1):INDEX(Motore_Advisory!$N$5:$N$544,((Ipotesi!$C$5-1)*60+2*12+1)+11))</f>
        <v>0</v>
      </c>
      <c r="F12" s="15" t="n">
        <f aca="false">SUM(INDEX(Motore_Advisory!$N$5:$N$544,(Ipotesi!$C$5-1)*60+3*12+1):INDEX(Motore_Advisory!$N$5:$N$544,((Ipotesi!$C$5-1)*60+3*12+1)+11))</f>
        <v>0</v>
      </c>
      <c r="G12" s="15" t="n">
        <f aca="false">SUM(INDEX(Motore_Advisory!$N$5:$N$544,(Ipotesi!$C$5-1)*60+4*12+1):INDEX(Motore_Advisory!$N$5:$N$544,((Ipotesi!$C$5-1)*60+4*12+1)+11))</f>
        <v>0</v>
      </c>
    </row>
    <row r="13" customFormat="false" ht="27.75" hidden="false" customHeight="true" outlineLevel="0" collapsed="false">
      <c r="A13" s="6" t="s">
        <v>131</v>
      </c>
      <c r="B13" s="6" t="s">
        <v>88</v>
      </c>
      <c r="C13" s="15" t="n">
        <f aca="false">SUM(INDEX(Motore_Advisory!$O$5:$O$544,(Ipotesi!$C$5-1)*60+0*12+1):INDEX(Motore_Advisory!$O$5:$O$544,((Ipotesi!$C$5-1)*60+0*12+1)+11))</f>
        <v>0</v>
      </c>
      <c r="D13" s="15" t="n">
        <f aca="false">SUM(INDEX(Motore_Advisory!$O$5:$O$544,(Ipotesi!$C$5-1)*60+1*12+1):INDEX(Motore_Advisory!$O$5:$O$544,((Ipotesi!$C$5-1)*60+1*12+1)+11))</f>
        <v>0</v>
      </c>
      <c r="E13" s="15" t="n">
        <f aca="false">SUM(INDEX(Motore_Advisory!$O$5:$O$544,(Ipotesi!$C$5-1)*60+2*12+1):INDEX(Motore_Advisory!$O$5:$O$544,((Ipotesi!$C$5-1)*60+2*12+1)+11))</f>
        <v>0</v>
      </c>
      <c r="F13" s="15" t="n">
        <f aca="false">SUM(INDEX(Motore_Advisory!$O$5:$O$544,(Ipotesi!$C$5-1)*60+3*12+1):INDEX(Motore_Advisory!$O$5:$O$544,((Ipotesi!$C$5-1)*60+3*12+1)+11))</f>
        <v>0</v>
      </c>
      <c r="G13" s="15" t="n">
        <f aca="false">SUM(INDEX(Motore_Advisory!$O$5:$O$544,(Ipotesi!$C$5-1)*60+4*12+1):INDEX(Motore_Advisory!$O$5:$O$544,((Ipotesi!$C$5-1)*60+4*12+1)+11))</f>
        <v>0</v>
      </c>
    </row>
    <row r="14" customFormat="false" ht="27.75" hidden="false" customHeight="true" outlineLevel="0" collapsed="false">
      <c r="A14" s="6" t="s">
        <v>132</v>
      </c>
      <c r="B14" s="6" t="s">
        <v>88</v>
      </c>
      <c r="C14" s="15" t="n">
        <f aca="false">SUM(INDEX(Motore_Advisory!$P$5:$P$544,(Ipotesi!$C$5-1)*60+0*12+1):INDEX(Motore_Advisory!$P$5:$P$544,((Ipotesi!$C$5-1)*60+0*12+1)+11))</f>
        <v>48610.4385964912</v>
      </c>
      <c r="D14" s="15" t="n">
        <f aca="false">SUM(INDEX(Motore_Advisory!$P$5:$P$544,(Ipotesi!$C$5-1)*60+1*12+1):INDEX(Motore_Advisory!$P$5:$P$544,((Ipotesi!$C$5-1)*60+1*12+1)+11))</f>
        <v>59247.9264475743</v>
      </c>
      <c r="E14" s="15" t="n">
        <f aca="false">SUM(INDEX(Motore_Advisory!$P$5:$P$544,(Ipotesi!$C$5-1)*60+2*12+1):INDEX(Motore_Advisory!$P$5:$P$544,((Ipotesi!$C$5-1)*60+2*12+1)+11))</f>
        <v>167311.805555556</v>
      </c>
      <c r="F14" s="15" t="n">
        <f aca="false">SUM(INDEX(Motore_Advisory!$P$5:$P$544,(Ipotesi!$C$5-1)*60+3*12+1):INDEX(Motore_Advisory!$P$5:$P$544,((Ipotesi!$C$5-1)*60+3*12+1)+11))</f>
        <v>326701.808388889</v>
      </c>
      <c r="G14" s="15" t="n">
        <f aca="false">SUM(INDEX(Motore_Advisory!$P$5:$P$544,(Ipotesi!$C$5-1)*60+4*12+1):INDEX(Motore_Advisory!$P$5:$P$544,((Ipotesi!$C$5-1)*60+4*12+1)+11))</f>
        <v>429452.666203333</v>
      </c>
    </row>
    <row r="15" customFormat="false" ht="27.75" hidden="false" customHeight="true" outlineLevel="0" collapsed="false">
      <c r="A15" s="6" t="s">
        <v>133</v>
      </c>
      <c r="B15" s="6" t="s">
        <v>88</v>
      </c>
      <c r="C15" s="15" t="n">
        <f aca="false">SUM(INDEX(Motore_Advisory!$X$5:$X$544,(Ipotesi!$C$5-1)*60+0*12+1):INDEX(Motore_Advisory!$X$5:$X$544,((Ipotesi!$C$5-1)*60+0*12+1)+11))</f>
        <v>13562.3123684211</v>
      </c>
      <c r="D15" s="15" t="n">
        <f aca="false">SUM(INDEX(Motore_Advisory!$X$5:$X$544,(Ipotesi!$C$5-1)*60+1*12+1):INDEX(Motore_Advisory!$X$5:$X$544,((Ipotesi!$C$5-1)*60+1*12+1)+11))</f>
        <v>16530.1714788732</v>
      </c>
      <c r="E15" s="15" t="n">
        <f aca="false">SUM(INDEX(Motore_Advisory!$X$5:$X$544,(Ipotesi!$C$5-1)*60+2*12+1):INDEX(Motore_Advisory!$X$5:$X$544,((Ipotesi!$C$5-1)*60+2*12+1)+11))</f>
        <v>46679.99375</v>
      </c>
      <c r="F15" s="15" t="n">
        <f aca="false">SUM(INDEX(Motore_Advisory!$X$5:$X$544,(Ipotesi!$C$5-1)*60+3*12+1):INDEX(Motore_Advisory!$X$5:$X$544,((Ipotesi!$C$5-1)*60+3*12+1)+11))</f>
        <v>91149.8045405</v>
      </c>
      <c r="G15" s="15" t="n">
        <f aca="false">SUM(INDEX(Motore_Advisory!$X$5:$X$544,(Ipotesi!$C$5-1)*60+4*12+1):INDEX(Motore_Advisory!$X$5:$X$544,((Ipotesi!$C$5-1)*60+4*12+1)+11))</f>
        <v>119817.29387073</v>
      </c>
    </row>
    <row r="16" customFormat="false" ht="27.75" hidden="false" customHeight="true" outlineLevel="0" collapsed="false">
      <c r="A16" s="5" t="s">
        <v>134</v>
      </c>
      <c r="B16" s="6" t="s">
        <v>88</v>
      </c>
      <c r="C16" s="15" t="n">
        <f aca="false">SUM(INDEX(Motore_Advisory!$Y$5:$Y$544,(Ipotesi!$C$5-1)*60+0*12+1):INDEX(Motore_Advisory!$Y$5:$Y$544,((Ipotesi!$C$5-1)*60+0*12+1)+11))</f>
        <v>35048.1262280702</v>
      </c>
      <c r="D16" s="15" t="n">
        <f aca="false">SUM(INDEX(Motore_Advisory!$Y$5:$Y$544,(Ipotesi!$C$5-1)*60+1*12+1):INDEX(Motore_Advisory!$Y$5:$Y$544,((Ipotesi!$C$5-1)*60+1*12+1)+11))</f>
        <v>42717.7549687011</v>
      </c>
      <c r="E16" s="15" t="n">
        <f aca="false">SUM(INDEX(Motore_Advisory!$Y$5:$Y$544,(Ipotesi!$C$5-1)*60+2*12+1):INDEX(Motore_Advisory!$Y$5:$Y$544,((Ipotesi!$C$5-1)*60+2*12+1)+11))</f>
        <v>120631.811805556</v>
      </c>
      <c r="F16" s="15" t="n">
        <f aca="false">SUM(INDEX(Motore_Advisory!$Y$5:$Y$544,(Ipotesi!$C$5-1)*60+3*12+1):INDEX(Motore_Advisory!$Y$5:$Y$544,((Ipotesi!$C$5-1)*60+3*12+1)+11))</f>
        <v>235552.003848389</v>
      </c>
      <c r="G16" s="15" t="n">
        <f aca="false">SUM(INDEX(Motore_Advisory!$Y$5:$Y$544,(Ipotesi!$C$5-1)*60+4*12+1):INDEX(Motore_Advisory!$Y$5:$Y$544,((Ipotesi!$C$5-1)*60+4*12+1)+11))</f>
        <v>309635.372332603</v>
      </c>
    </row>
    <row r="17" customFormat="false" ht="27.75" hidden="false" customHeight="true" outlineLevel="0" collapsed="false"/>
    <row r="18" customFormat="false" ht="27.75" hidden="false" customHeight="true" outlineLevel="0" collapsed="false">
      <c r="A18" s="5" t="s">
        <v>135</v>
      </c>
      <c r="B18" s="6" t="s">
        <v>88</v>
      </c>
      <c r="C18" s="15" t="n">
        <f aca="false">INDEX(Motore_Advisory!$BH$5:$BH$544,((Ipotesi!$C$5-1)*60+0*12+1)+11)</f>
        <v>26513.7270175439</v>
      </c>
      <c r="D18" s="15" t="n">
        <f aca="false">INDEX(Motore_Advisory!$BH$5:$BH$544,((Ipotesi!$C$5-1)*60+1*12+1)+11)</f>
        <v>15038.5625920435</v>
      </c>
      <c r="E18" s="15" t="n">
        <f aca="false">INDEX(Motore_Advisory!$BH$5:$BH$544,((Ipotesi!$C$5-1)*60+2*12+1)+11)</f>
        <v>99567.6549956758</v>
      </c>
      <c r="F18" s="15" t="n">
        <f aca="false">INDEX(Motore_Advisory!$BH$5:$BH$544,((Ipotesi!$C$5-1)*60+3*12+1)+11)</f>
        <v>218002.561930104</v>
      </c>
      <c r="G18" s="15" t="n">
        <f aca="false">INDEX(Motore_Advisory!$BH$5:$BH$544,((Ipotesi!$C$5-1)*60+4*12+1)+11)</f>
        <v>341896.795568077</v>
      </c>
    </row>
    <row r="19" customFormat="false" ht="27.75" hidden="false" customHeight="true" outlineLevel="0" collapsed="false">
      <c r="A19" s="6" t="s">
        <v>136</v>
      </c>
      <c r="B19" s="6" t="s">
        <v>88</v>
      </c>
      <c r="C19" s="15" t="n">
        <f aca="false">MIN(INDEX(Motore_Advisory!$BH$5:$BH$544,(Ipotesi!$C$5-1)*60+0*12+1):INDEX(Motore_Advisory!$BH$5:$BH$544,((Ipotesi!$C$5-1)*60+0*12+1)+11))</f>
        <v>-10462.8519298246</v>
      </c>
      <c r="D19" s="15" t="n">
        <f aca="false">MIN(INDEX(Motore_Advisory!$BH$5:$BH$544,(Ipotesi!$C$5-1)*60+1*12+1):INDEX(Motore_Advisory!$BH$5:$BH$544,((Ipotesi!$C$5-1)*60+1*12+1)+11))</f>
        <v>-9688.90209957994</v>
      </c>
      <c r="E19" s="15" t="n">
        <f aca="false">MIN(INDEX(Motore_Advisory!$BH$5:$BH$544,(Ipotesi!$C$5-1)*60+2*12+1):INDEX(Motore_Advisory!$BH$5:$BH$544,((Ipotesi!$C$5-1)*60+2*12+1)+11))</f>
        <v>-16783.0800399988</v>
      </c>
      <c r="F19" s="15" t="n">
        <f aca="false">MIN(INDEX(Motore_Advisory!$BH$5:$BH$544,(Ipotesi!$C$5-1)*60+3*12+1):INDEX(Motore_Advisory!$BH$5:$BH$544,((Ipotesi!$C$5-1)*60+3*12+1)+11))</f>
        <v>73892.8964176045</v>
      </c>
      <c r="G19" s="15" t="n">
        <f aca="false">MIN(INDEX(Motore_Advisory!$BH$5:$BH$544,(Ipotesi!$C$5-1)*60+4*12+1):INDEX(Motore_Advisory!$BH$5:$BH$544,((Ipotesi!$C$5-1)*60+4*12+1)+11))</f>
        <v>169280.370179127</v>
      </c>
    </row>
    <row r="20" customFormat="false" ht="27.75" hidden="false" customHeight="true" outlineLevel="0" collapsed="false">
      <c r="A20" s="5" t="s">
        <v>137</v>
      </c>
      <c r="B20" s="6" t="s">
        <v>88</v>
      </c>
      <c r="C20" s="15" t="n">
        <f aca="false">MAX(INDEX(Motore_Advisory!$BI$5:$BI$544,(Ipotesi!$C$5-1)*60+0*12+1):INDEX(Motore_Advisory!$BI$5:$BI$544,((Ipotesi!$C$5-1)*60+0*12+1)+11))</f>
        <v>20462.8519298246</v>
      </c>
      <c r="D20" s="15" t="n">
        <f aca="false">MAX(INDEX(Motore_Advisory!$BI$5:$BI$544,(Ipotesi!$C$5-1)*60+1*12+1):INDEX(Motore_Advisory!$BI$5:$BI$544,((Ipotesi!$C$5-1)*60+1*12+1)+11))</f>
        <v>19688.9020995799</v>
      </c>
      <c r="E20" s="15" t="n">
        <f aca="false">MAX(INDEX(Motore_Advisory!$BI$5:$BI$544,(Ipotesi!$C$5-1)*60+2*12+1):INDEX(Motore_Advisory!$BI$5:$BI$544,((Ipotesi!$C$5-1)*60+2*12+1)+11))</f>
        <v>26783.0800399988</v>
      </c>
      <c r="F20" s="15" t="n">
        <f aca="false">MAX(INDEX(Motore_Advisory!$BI$5:$BI$544,(Ipotesi!$C$5-1)*60+3*12+1):INDEX(Motore_Advisory!$BI$5:$BI$544,((Ipotesi!$C$5-1)*60+3*12+1)+11))</f>
        <v>0</v>
      </c>
      <c r="G20" s="15" t="n">
        <f aca="false">MAX(INDEX(Motore_Advisory!$BI$5:$BI$544,(Ipotesi!$C$5-1)*60+4*12+1):INDEX(Motore_Advisory!$BI$5:$BI$544,((Ipotesi!$C$5-1)*60+4*12+1)+11))</f>
        <v>0</v>
      </c>
    </row>
    <row r="21" customFormat="false" ht="27.75" hidden="false" customHeight="true" outlineLevel="0" collapsed="false">
      <c r="A21" s="6" t="s">
        <v>163</v>
      </c>
      <c r="B21" s="6" t="s">
        <v>88</v>
      </c>
      <c r="C21" s="15" t="n">
        <f aca="false">INDEX(Motore_Advisory!$BG$5:$BG$544,((Ipotesi!$C$5-1)*60+0*12+1)+11)</f>
        <v>0</v>
      </c>
      <c r="D21" s="15" t="n">
        <f aca="false">INDEX(Motore_Advisory!$BG$5:$BG$544,((Ipotesi!$C$5-1)*60+1*12+1)+11)</f>
        <v>0</v>
      </c>
      <c r="E21" s="15" t="n">
        <f aca="false">INDEX(Motore_Advisory!$BG$5:$BG$544,((Ipotesi!$C$5-1)*60+2*12+1)+11)</f>
        <v>0</v>
      </c>
      <c r="F21" s="15" t="n">
        <f aca="false">INDEX(Motore_Advisory!$BG$5:$BG$544,((Ipotesi!$C$5-1)*60+3*12+1)+11)</f>
        <v>0</v>
      </c>
      <c r="G21" s="15" t="n">
        <f aca="false">INDEX(Motore_Advisory!$BG$5:$BG$544,((Ipotesi!$C$5-1)*60+4*12+1)+11)</f>
        <v>0</v>
      </c>
    </row>
    <row r="22" customFormat="false" ht="27.75" hidden="false" customHeight="true" outlineLevel="0" collapsed="false">
      <c r="A22" s="6" t="s">
        <v>139</v>
      </c>
      <c r="B22" s="6" t="s">
        <v>88</v>
      </c>
      <c r="C22" s="15" t="n">
        <f aca="false">SUM(INDEX(Motore_Advisory!$BA$5:$BA$544,(Ipotesi!$C$5-1)*60+0*12+1):INDEX(Motore_Advisory!$BA$5:$BA$544,((Ipotesi!$C$5-1)*60+0*12+1)+11))</f>
        <v>0</v>
      </c>
      <c r="D22" s="15" t="n">
        <f aca="false">SUM(INDEX(Motore_Advisory!$BA$5:$BA$544,(Ipotesi!$C$5-1)*60+1*12+1):INDEX(Motore_Advisory!$BA$5:$BA$544,((Ipotesi!$C$5-1)*60+1*12+1)+11))</f>
        <v>0</v>
      </c>
      <c r="E22" s="15" t="n">
        <f aca="false">SUM(INDEX(Motore_Advisory!$BA$5:$BA$544,(Ipotesi!$C$5-1)*60+2*12+1):INDEX(Motore_Advisory!$BA$5:$BA$544,((Ipotesi!$C$5-1)*60+2*12+1)+11))</f>
        <v>0</v>
      </c>
      <c r="F22" s="15" t="n">
        <f aca="false">SUM(INDEX(Motore_Advisory!$BA$5:$BA$544,(Ipotesi!$C$5-1)*60+3*12+1):INDEX(Motore_Advisory!$BA$5:$BA$544,((Ipotesi!$C$5-1)*60+3*12+1)+11))</f>
        <v>0</v>
      </c>
      <c r="G22" s="15" t="n">
        <f aca="false">SUM(INDEX(Motore_Advisory!$BA$5:$BA$544,(Ipotesi!$C$5-1)*60+4*12+1):INDEX(Motore_Advisory!$BA$5:$BA$544,((Ipotesi!$C$5-1)*60+4*12+1)+11))</f>
        <v>0</v>
      </c>
    </row>
    <row r="23" customFormat="false" ht="27.75" hidden="false" customHeight="true" outlineLevel="0" collapsed="false">
      <c r="A23" s="6" t="s">
        <v>140</v>
      </c>
      <c r="B23" s="6" t="s">
        <v>88</v>
      </c>
      <c r="C23" s="15" t="n">
        <f aca="false">SUM(INDEX(Motore_Advisory!$BB$5:$BB$544,(Ipotesi!$C$5-1)*60+0*12+1):INDEX(Motore_Advisory!$BB$5:$BB$544,((Ipotesi!$C$5-1)*60+0*12+1)+11))</f>
        <v>0</v>
      </c>
      <c r="D23" s="15" t="n">
        <f aca="false">SUM(INDEX(Motore_Advisory!$BB$5:$BB$544,(Ipotesi!$C$5-1)*60+1*12+1):INDEX(Motore_Advisory!$BB$5:$BB$544,((Ipotesi!$C$5-1)*60+1*12+1)+11))</f>
        <v>0</v>
      </c>
      <c r="E23" s="15" t="n">
        <f aca="false">SUM(INDEX(Motore_Advisory!$BB$5:$BB$544,(Ipotesi!$C$5-1)*60+2*12+1):INDEX(Motore_Advisory!$BB$5:$BB$544,((Ipotesi!$C$5-1)*60+2*12+1)+11))</f>
        <v>0</v>
      </c>
      <c r="F23" s="15" t="n">
        <f aca="false">SUM(INDEX(Motore_Advisory!$BB$5:$BB$544,(Ipotesi!$C$5-1)*60+3*12+1):INDEX(Motore_Advisory!$BB$5:$BB$544,((Ipotesi!$C$5-1)*60+3*12+1)+11))</f>
        <v>0</v>
      </c>
      <c r="G23" s="15" t="n">
        <f aca="false">SUM(INDEX(Motore_Advisory!$BB$5:$BB$544,(Ipotesi!$C$5-1)*60+4*12+1):INDEX(Motore_Advisory!$BB$5:$BB$544,((Ipotesi!$C$5-1)*60+4*12+1)+11))</f>
        <v>0</v>
      </c>
    </row>
    <row r="24" customFormat="false" ht="27.75" hidden="false" customHeight="true" outlineLevel="0" collapsed="false">
      <c r="A24" s="6" t="s">
        <v>141</v>
      </c>
      <c r="B24" s="6" t="s">
        <v>88</v>
      </c>
      <c r="C24" s="15" t="n">
        <f aca="false">INDEX(Motore_Advisory!$BC$5:$BC$544,((Ipotesi!$C$5-1)*60+0*12+1)+11)</f>
        <v>0</v>
      </c>
      <c r="D24" s="15" t="n">
        <f aca="false">INDEX(Motore_Advisory!$BC$5:$BC$544,((Ipotesi!$C$5-1)*60+1*12+1)+11)</f>
        <v>0</v>
      </c>
      <c r="E24" s="15" t="n">
        <f aca="false">INDEX(Motore_Advisory!$BC$5:$BC$544,((Ipotesi!$C$5-1)*60+2*12+1)+11)</f>
        <v>0</v>
      </c>
      <c r="F24" s="15" t="n">
        <f aca="false">INDEX(Motore_Advisory!$BC$5:$BC$544,((Ipotesi!$C$5-1)*60+3*12+1)+11)</f>
        <v>0</v>
      </c>
      <c r="G24" s="15" t="n">
        <f aca="false">INDEX(Motore_Advisory!$BC$5:$BC$544,((Ipotesi!$C$5-1)*60+4*12+1)+11)</f>
        <v>0</v>
      </c>
    </row>
    <row r="25" customFormat="false" ht="27.75" hidden="false" customHeight="true" outlineLevel="0" collapsed="false">
      <c r="A25" s="6" t="s">
        <v>142</v>
      </c>
      <c r="B25" s="6" t="s">
        <v>88</v>
      </c>
      <c r="C25" s="15" t="n">
        <f aca="false">SUM(INDEX(Motore_Advisory!$AW$5:$AW$544,(Ipotesi!$C$5-1)*60+0*12+1):INDEX(Motore_Advisory!$AW$5:$AW$544,((Ipotesi!$C$5-1)*60+0*12+1)+11))</f>
        <v>20000</v>
      </c>
      <c r="D25" s="15" t="n">
        <f aca="false">SUM(INDEX(Motore_Advisory!$AW$5:$AW$544,(Ipotesi!$C$5-1)*60+1*12+1):INDEX(Motore_Advisory!$AW$5:$AW$544,((Ipotesi!$C$5-1)*60+1*12+1)+11))</f>
        <v>0</v>
      </c>
      <c r="E25" s="15" t="n">
        <f aca="false">SUM(INDEX(Motore_Advisory!$AW$5:$AW$544,(Ipotesi!$C$5-1)*60+2*12+1):INDEX(Motore_Advisory!$AW$5:$AW$544,((Ipotesi!$C$5-1)*60+2*12+1)+11))</f>
        <v>0</v>
      </c>
      <c r="F25" s="15" t="n">
        <f aca="false">SUM(INDEX(Motore_Advisory!$AW$5:$AW$544,(Ipotesi!$C$5-1)*60+3*12+1):INDEX(Motore_Advisory!$AW$5:$AW$544,((Ipotesi!$C$5-1)*60+3*12+1)+11))</f>
        <v>0</v>
      </c>
      <c r="G25" s="15" t="n">
        <f aca="false">SUM(INDEX(Motore_Advisory!$AW$5:$AW$544,(Ipotesi!$C$5-1)*60+4*12+1):INDEX(Motore_Advisory!$AW$5:$AW$544,((Ipotesi!$C$5-1)*60+4*12+1)+11))</f>
        <v>0</v>
      </c>
    </row>
    <row r="26" customFormat="false" ht="27.75" hidden="false" customHeight="true" outlineLevel="0" collapsed="false">
      <c r="A26" s="6" t="s">
        <v>143</v>
      </c>
      <c r="B26" s="6" t="s">
        <v>88</v>
      </c>
      <c r="C26" s="15" t="n">
        <f aca="false">SUM(INDEX(Motore_Advisory!$AX$5:$AX$544,(Ipotesi!$C$5-1)*60+0*12+1):INDEX(Motore_Advisory!$AX$5:$AX$544,((Ipotesi!$C$5-1)*60+0*12+1)+11))</f>
        <v>0</v>
      </c>
      <c r="D26" s="15" t="n">
        <f aca="false">SUM(INDEX(Motore_Advisory!$AX$5:$AX$544,(Ipotesi!$C$5-1)*60+1*12+1):INDEX(Motore_Advisory!$AX$5:$AX$544,((Ipotesi!$C$5-1)*60+1*12+1)+11))</f>
        <v>0</v>
      </c>
      <c r="E26" s="15" t="n">
        <f aca="false">SUM(INDEX(Motore_Advisory!$AX$5:$AX$544,(Ipotesi!$C$5-1)*60+2*12+1):INDEX(Motore_Advisory!$AX$5:$AX$544,((Ipotesi!$C$5-1)*60+2*12+1)+11))</f>
        <v>0</v>
      </c>
      <c r="F26" s="15" t="n">
        <f aca="false">SUM(INDEX(Motore_Advisory!$AX$5:$AX$544,(Ipotesi!$C$5-1)*60+3*12+1):INDEX(Motore_Advisory!$AX$5:$AX$544,((Ipotesi!$C$5-1)*60+3*12+1)+11))</f>
        <v>0</v>
      </c>
      <c r="G26" s="15" t="n">
        <f aca="false">SUM(INDEX(Motore_Advisory!$AX$5:$AX$544,(Ipotesi!$C$5-1)*60+4*12+1):INDEX(Motore_Advisory!$AX$5:$AX$544,((Ipotesi!$C$5-1)*60+4*12+1)+11))</f>
        <v>0</v>
      </c>
    </row>
    <row r="27" customFormat="false" ht="27.75" hidden="false" customHeight="true" outlineLevel="0" collapsed="false">
      <c r="A27" s="6" t="s">
        <v>144</v>
      </c>
      <c r="B27" s="6" t="s">
        <v>88</v>
      </c>
      <c r="C27" s="15" t="n">
        <f aca="false">SUM(INDEX(Motore_Advisory!$AY$5:$AY$544,(Ipotesi!$C$5-1)*60+0*12+1):INDEX(Motore_Advisory!$AY$5:$AY$544,((Ipotesi!$C$5-1)*60+0*12+1)+11))</f>
        <v>0</v>
      </c>
      <c r="D27" s="15" t="n">
        <f aca="false">SUM(INDEX(Motore_Advisory!$AY$5:$AY$544,(Ipotesi!$C$5-1)*60+1*12+1):INDEX(Motore_Advisory!$AY$5:$AY$544,((Ipotesi!$C$5-1)*60+1*12+1)+11))</f>
        <v>0</v>
      </c>
      <c r="E27" s="15" t="n">
        <f aca="false">SUM(INDEX(Motore_Advisory!$AY$5:$AY$544,(Ipotesi!$C$5-1)*60+2*12+1):INDEX(Motore_Advisory!$AY$5:$AY$544,((Ipotesi!$C$5-1)*60+2*12+1)+11))</f>
        <v>0</v>
      </c>
      <c r="F27" s="15" t="n">
        <f aca="false">SUM(INDEX(Motore_Advisory!$AY$5:$AY$544,(Ipotesi!$C$5-1)*60+3*12+1):INDEX(Motore_Advisory!$AY$5:$AY$544,((Ipotesi!$C$5-1)*60+3*12+1)+11))</f>
        <v>60315.9059027778</v>
      </c>
      <c r="G27" s="15" t="n">
        <f aca="false">SUM(INDEX(Motore_Advisory!$AY$5:$AY$544,(Ipotesi!$C$5-1)*60+4*12+1):INDEX(Motore_Advisory!$AY$5:$AY$544,((Ipotesi!$C$5-1)*60+4*12+1)+11))</f>
        <v>117776.001924194</v>
      </c>
    </row>
    <row r="28" customFormat="false" ht="27.75" hidden="false" customHeight="true" outlineLevel="0" collapsed="false">
      <c r="A28" s="6" t="s">
        <v>145</v>
      </c>
      <c r="B28" s="6" t="s">
        <v>88</v>
      </c>
      <c r="C28" s="15" t="n">
        <f aca="false">SUM(INDEX(Motore_Advisory!$AZ$5:$AZ$544,(Ipotesi!$C$5-1)*60+0*12+1):INDEX(Motore_Advisory!$AZ$5:$AZ$544,((Ipotesi!$C$5-1)*60+0*12+1)+11))</f>
        <v>0</v>
      </c>
      <c r="D28" s="15" t="n">
        <f aca="false">SUM(INDEX(Motore_Advisory!$AZ$5:$AZ$544,(Ipotesi!$C$5-1)*60+1*12+1):INDEX(Motore_Advisory!$AZ$5:$AZ$544,((Ipotesi!$C$5-1)*60+1*12+1)+11))</f>
        <v>0</v>
      </c>
      <c r="E28" s="15" t="n">
        <f aca="false">SUM(INDEX(Motore_Advisory!$AZ$5:$AZ$544,(Ipotesi!$C$5-1)*60+2*12+1):INDEX(Motore_Advisory!$AZ$5:$AZ$544,((Ipotesi!$C$5-1)*60+2*12+1)+11))</f>
        <v>0</v>
      </c>
      <c r="F28" s="15" t="n">
        <f aca="false">SUM(INDEX(Motore_Advisory!$AZ$5:$AZ$544,(Ipotesi!$C$5-1)*60+3*12+1):INDEX(Motore_Advisory!$AZ$5:$AZ$544,((Ipotesi!$C$5-1)*60+3*12+1)+11))</f>
        <v>0</v>
      </c>
      <c r="G28" s="15" t="n">
        <f aca="false">SUM(INDEX(Motore_Advisory!$AZ$5:$AZ$544,(Ipotesi!$C$5-1)*60+4*12+1):INDEX(Motore_Advisory!$AZ$5:$AZ$544,((Ipotesi!$C$5-1)*60+4*12+1)+11))</f>
        <v>0</v>
      </c>
    </row>
    <row r="29" customFormat="false" ht="27.75" hidden="false" customHeight="true" outlineLevel="0" collapsed="false"/>
    <row r="30" customFormat="false" ht="27.75" hidden="false" customHeight="true" outlineLevel="0" collapsed="false">
      <c r="A30" s="6" t="s">
        <v>146</v>
      </c>
      <c r="B30" s="6" t="s">
        <v>88</v>
      </c>
      <c r="C30" s="15" t="n">
        <f aca="false">INDEX(Motore_Advisory!$AD$5:$AD$544,((Ipotesi!$C$5-1)*60+0*12+1)+11)</f>
        <v>59330.5263157895</v>
      </c>
      <c r="D30" s="15" t="n">
        <f aca="false">INDEX(Motore_Advisory!$AD$5:$AD$544,((Ipotesi!$C$5-1)*60+1*12+1)+11)</f>
        <v>124371.267605634</v>
      </c>
      <c r="E30" s="15" t="n">
        <f aca="false">INDEX(Motore_Advisory!$AD$5:$AD$544,((Ipotesi!$C$5-1)*60+2*12+1)+11)</f>
        <v>221430</v>
      </c>
      <c r="F30" s="15" t="n">
        <f aca="false">INDEX(Motore_Advisory!$AD$5:$AD$544,((Ipotesi!$C$5-1)*60+3*12+1)+11)</f>
        <v>330284.5</v>
      </c>
      <c r="G30" s="15" t="n">
        <f aca="false">INDEX(Motore_Advisory!$AD$5:$AD$544,((Ipotesi!$C$5-1)*60+4*12+1)+11)</f>
        <v>424407.5</v>
      </c>
    </row>
    <row r="31" customFormat="false" ht="27.75" hidden="false" customHeight="true" outlineLevel="0" collapsed="false">
      <c r="A31" s="6" t="s">
        <v>147</v>
      </c>
      <c r="B31" s="6" t="s">
        <v>88</v>
      </c>
      <c r="C31" s="15" t="n">
        <f aca="false">INDEX(Motore_Advisory!$AG$5:$AG$544,((Ipotesi!$C$5-1)*60+0*12+1)+11)</f>
        <v>1977.68421052632</v>
      </c>
      <c r="D31" s="15" t="n">
        <f aca="false">INDEX(Motore_Advisory!$AG$5:$AG$544,((Ipotesi!$C$5-1)*60+1*12+1)+11)</f>
        <v>4145.70892018779</v>
      </c>
      <c r="E31" s="15" t="n">
        <f aca="false">INDEX(Motore_Advisory!$AG$5:$AG$544,((Ipotesi!$C$5-1)*60+2*12+1)+11)</f>
        <v>7381</v>
      </c>
      <c r="F31" s="15" t="n">
        <f aca="false">INDEX(Motore_Advisory!$AG$5:$AG$544,((Ipotesi!$C$5-1)*60+3*12+1)+11)</f>
        <v>11009.4833333333</v>
      </c>
      <c r="G31" s="15" t="n">
        <f aca="false">INDEX(Motore_Advisory!$AG$5:$AG$544,((Ipotesi!$C$5-1)*60+4*12+1)+11)</f>
        <v>14146.9166666667</v>
      </c>
    </row>
    <row r="32" customFormat="false" ht="27.75" hidden="false" customHeight="true" outlineLevel="0" collapsed="false">
      <c r="A32" s="6" t="s">
        <v>148</v>
      </c>
      <c r="B32" s="6" t="s">
        <v>88</v>
      </c>
      <c r="C32" s="15" t="n">
        <f aca="false">INDEX(Motore_Advisory!$AJ$5:$AJ$544,((Ipotesi!$C$5-1)*60+0*12+1)+11)</f>
        <v>12332.6294736842</v>
      </c>
      <c r="D32" s="15" t="n">
        <f aca="false">INDEX(Motore_Advisory!$AJ$5:$AJ$544,((Ipotesi!$C$5-1)*60+1*12+1)+11)</f>
        <v>22396.2298591549</v>
      </c>
      <c r="E32" s="15" t="n">
        <f aca="false">INDEX(Motore_Advisory!$AJ$5:$AJ$544,((Ipotesi!$C$5-1)*60+2*12+1)+11)</f>
        <v>34791.96</v>
      </c>
      <c r="F32" s="15" t="n">
        <f aca="false">INDEX(Motore_Advisory!$AJ$5:$AJ$544,((Ipotesi!$C$5-1)*60+3*12+1)+11)</f>
        <v>46397.904</v>
      </c>
      <c r="G32" s="15" t="n">
        <f aca="false">INDEX(Motore_Advisory!$AJ$5:$AJ$544,((Ipotesi!$C$5-1)*60+4*12+1)+11)</f>
        <v>55662.04</v>
      </c>
    </row>
    <row r="33" customFormat="false" ht="27.75" hidden="false" customHeight="true" outlineLevel="0" collapsed="false">
      <c r="A33" s="6" t="s">
        <v>149</v>
      </c>
      <c r="B33" s="6" t="s">
        <v>88</v>
      </c>
      <c r="C33" s="15" t="n">
        <f aca="false">INDEX(Motore_Advisory!$AM$5:$AM$544,((Ipotesi!$C$5-1)*60+0*12+1)+11)</f>
        <v>2231.83438596491</v>
      </c>
      <c r="D33" s="15" t="n">
        <f aca="false">INDEX(Motore_Advisory!$AM$5:$AM$544,((Ipotesi!$C$5-1)*60+1*12+1)+11)</f>
        <v>4960.70666666667</v>
      </c>
      <c r="E33" s="15" t="n">
        <f aca="false">INDEX(Motore_Advisory!$AM$5:$AM$544,((Ipotesi!$C$5-1)*60+2*12+1)+11)</f>
        <v>9283.85333333333</v>
      </c>
      <c r="F33" s="15" t="n">
        <f aca="false">INDEX(Motore_Advisory!$AM$5:$AM$544,((Ipotesi!$C$5-1)*60+3*12+1)+11)</f>
        <v>14249.2313333333</v>
      </c>
      <c r="G33" s="15" t="n">
        <f aca="false">INDEX(Motore_Advisory!$AM$5:$AM$544,((Ipotesi!$C$5-1)*60+4*12+1)+11)</f>
        <v>18647.8966666667</v>
      </c>
    </row>
    <row r="34" customFormat="false" ht="27.75" hidden="false" customHeight="true" outlineLevel="0" collapsed="false">
      <c r="A34" s="6" t="s">
        <v>150</v>
      </c>
      <c r="B34" s="6" t="s">
        <v>88</v>
      </c>
      <c r="C34" s="15" t="n">
        <f aca="false">INDEX(Motore_Advisory!$AR$5:$AR$544,((Ipotesi!$C$5-1)*60+0*12+1)+11)</f>
        <v>13562.3123684211</v>
      </c>
      <c r="D34" s="15" t="n">
        <f aca="false">INDEX(Motore_Advisory!$AR$5:$AR$544,((Ipotesi!$C$5-1)*60+1*12+1)+11)</f>
        <v>2967.85911045218</v>
      </c>
      <c r="E34" s="15" t="n">
        <f aca="false">INDEX(Motore_Advisory!$AR$5:$AR$544,((Ipotesi!$C$5-1)*60+2*12+1)+11)</f>
        <v>30149.8222711268</v>
      </c>
      <c r="F34" s="15" t="n">
        <f aca="false">INDEX(Motore_Advisory!$AR$5:$AR$544,((Ipotesi!$C$5-1)*60+3*12+1)+11)</f>
        <v>44469.8107905</v>
      </c>
      <c r="G34" s="15" t="n">
        <f aca="false">INDEX(Motore_Advisory!$AR$5:$AR$544,((Ipotesi!$C$5-1)*60+4*12+1)+11)</f>
        <v>28667.48933023</v>
      </c>
    </row>
    <row r="35" customFormat="false" ht="27.75" hidden="false" customHeight="true" outlineLevel="0" collapsed="false">
      <c r="A35" s="6" t="s">
        <v>151</v>
      </c>
      <c r="B35" s="6" t="s">
        <v>88</v>
      </c>
      <c r="C35" s="15" t="n">
        <f aca="false">INDEX(Motore_Advisory!$AV$5:$AV$544,((Ipotesi!$C$5-1)*60+0*12+1)+11)</f>
        <v>3150</v>
      </c>
      <c r="D35" s="15" t="n">
        <f aca="false">INDEX(Motore_Advisory!$AV$5:$AV$544,((Ipotesi!$C$5-1)*60+1*12+1)+11)</f>
        <v>12729</v>
      </c>
      <c r="E35" s="15" t="n">
        <f aca="false">INDEX(Motore_Advisory!$AV$5:$AV$544,((Ipotesi!$C$5-1)*60+2*12+1)+11)</f>
        <v>27979.4375</v>
      </c>
      <c r="F35" s="15" t="n">
        <f aca="false">INDEX(Motore_Advisory!$AV$5:$AV$544,((Ipotesi!$C$5-1)*60+3*12+1)+11)</f>
        <v>48276.841525</v>
      </c>
      <c r="G35" s="15" t="n">
        <f aca="false">INDEX(Motore_Advisory!$AV$5:$AV$544,((Ipotesi!$C$5-1)*60+4*12+1)+11)</f>
        <v>74895.1248815</v>
      </c>
    </row>
    <row r="36" customFormat="false" ht="27.75" hidden="false" customHeight="true" outlineLevel="0" collapsed="false">
      <c r="A36" s="6" t="s">
        <v>152</v>
      </c>
      <c r="B36" s="6" t="s">
        <v>88</v>
      </c>
      <c r="C36" s="15" t="n">
        <f aca="false">INDEX(Motore_Advisory!$BL$5:$BL$544,((Ipotesi!$C$5-1)*60+0*12+1)+11)</f>
        <v>2458.33333333333</v>
      </c>
      <c r="D36" s="15" t="n">
        <f aca="false">INDEX(Motore_Advisory!$BL$5:$BL$544,((Ipotesi!$C$5-1)*60+1*12+1)+11)</f>
        <v>5555.55555555556</v>
      </c>
      <c r="E36" s="15" t="n">
        <f aca="false">INDEX(Motore_Advisory!$BL$5:$BL$544,((Ipotesi!$C$5-1)*60+2*12+1)+11)</f>
        <v>6986.11111111111</v>
      </c>
      <c r="F36" s="15" t="n">
        <f aca="false">INDEX(Motore_Advisory!$BL$5:$BL$544,((Ipotesi!$C$5-1)*60+3*12+1)+11)</f>
        <v>9750</v>
      </c>
      <c r="G36" s="15" t="n">
        <f aca="false">INDEX(Motore_Advisory!$BL$5:$BL$544,((Ipotesi!$C$5-1)*60+4*12+1)+11)</f>
        <v>11208.3333333334</v>
      </c>
    </row>
    <row r="37" customFormat="false" ht="27.75" hidden="false" customHeight="true" outlineLevel="0" collapsed="false">
      <c r="A37" s="5" t="s">
        <v>153</v>
      </c>
      <c r="B37" s="6" t="s">
        <v>88</v>
      </c>
      <c r="C37" s="15" t="n">
        <f aca="false">INDEX(Motore_Advisory!$BQ$5:$BQ$544,((Ipotesi!$C$5-1)*60+0*12+1)+11)</f>
        <v>55048.1262280702</v>
      </c>
      <c r="D37" s="15" t="n">
        <f aca="false">INDEX(Motore_Advisory!$BQ$5:$BQ$544,((Ipotesi!$C$5-1)*60+1*12+1)+11)</f>
        <v>97765.8811967713</v>
      </c>
      <c r="E37" s="15" t="n">
        <f aca="false">INDEX(Motore_Advisory!$BQ$5:$BQ$544,((Ipotesi!$C$5-1)*60+2*12+1)+11)</f>
        <v>218397.693002327</v>
      </c>
      <c r="F37" s="15" t="n">
        <f aca="false">INDEX(Motore_Advisory!$BQ$5:$BQ$544,((Ipotesi!$C$5-1)*60+3*12+1)+11)</f>
        <v>393633.790947938</v>
      </c>
      <c r="G37" s="15" t="n">
        <f aca="false">INDEX(Motore_Advisory!$BQ$5:$BQ$544,((Ipotesi!$C$5-1)*60+4*12+1)+11)</f>
        <v>585493.161356347</v>
      </c>
    </row>
    <row r="38" customFormat="false" ht="27.75" hidden="false" customHeight="true" outlineLevel="0" collapsed="false">
      <c r="A38" s="6" t="s">
        <v>154</v>
      </c>
      <c r="B38" s="6" t="s">
        <v>88</v>
      </c>
      <c r="C38" s="15" t="n">
        <f aca="false">INDEX(Motore_Advisory!$BR$5:$BR$544,((Ipotesi!$C$5-1)*60+0*12+1)+11)</f>
        <v>88302.5866666666</v>
      </c>
      <c r="D38" s="15" t="n">
        <f aca="false">INDEX(Motore_Advisory!$BR$5:$BR$544,((Ipotesi!$C$5-1)*60+1*12+1)+11)</f>
        <v>144965.385753233</v>
      </c>
      <c r="E38" s="15" t="n">
        <f aca="false">INDEX(Motore_Advisory!$BR$5:$BR$544,((Ipotesi!$C$5-1)*60+2*12+1)+11)</f>
        <v>327983.766106787</v>
      </c>
      <c r="F38" s="15" t="n">
        <f aca="false">INDEX(Motore_Advisory!$BR$5:$BR$544,((Ipotesi!$C$5-1)*60+3*12+1)+11)</f>
        <v>558037.061930104</v>
      </c>
      <c r="G38" s="15" t="n">
        <f aca="false">INDEX(Motore_Advisory!$BR$5:$BR$544,((Ipotesi!$C$5-1)*60+4*12+1)+11)</f>
        <v>777512.628901411</v>
      </c>
    </row>
    <row r="39" customFormat="false" ht="27.75" hidden="false" customHeight="true" outlineLevel="0" collapsed="false">
      <c r="A39" s="6" t="s">
        <v>155</v>
      </c>
      <c r="B39" s="6" t="s">
        <v>88</v>
      </c>
      <c r="C39" s="15" t="n">
        <f aca="false">INDEX(Motore_Advisory!$BS$5:$BS$544,((Ipotesi!$C$5-1)*60+0*12+1)+11)</f>
        <v>88302.5866666667</v>
      </c>
      <c r="D39" s="15" t="n">
        <f aca="false">INDEX(Motore_Advisory!$BS$5:$BS$544,((Ipotesi!$C$5-1)*60+1*12+1)+11)</f>
        <v>144965.385753233</v>
      </c>
      <c r="E39" s="15" t="n">
        <f aca="false">INDEX(Motore_Advisory!$BS$5:$BS$544,((Ipotesi!$C$5-1)*60+2*12+1)+11)</f>
        <v>327983.766106787</v>
      </c>
      <c r="F39" s="15" t="n">
        <f aca="false">INDEX(Motore_Advisory!$BS$5:$BS$544,((Ipotesi!$C$5-1)*60+3*12+1)+11)</f>
        <v>558037.061930105</v>
      </c>
      <c r="G39" s="15" t="n">
        <f aca="false">INDEX(Motore_Advisory!$BS$5:$BS$544,((Ipotesi!$C$5-1)*60+4*12+1)+11)</f>
        <v>777512.62890141</v>
      </c>
    </row>
    <row r="40" customFormat="false" ht="27.75" hidden="false" customHeight="true" outlineLevel="0" collapsed="false">
      <c r="A40" s="5" t="s">
        <v>156</v>
      </c>
      <c r="B40" s="6" t="s">
        <v>88</v>
      </c>
      <c r="C40" s="15" t="n">
        <f aca="false">INDEX(Motore_Advisory!$BT$5:$BT$544,((Ipotesi!$C$5-1)*60+0*12+1)+11)</f>
        <v>0</v>
      </c>
      <c r="D40" s="15" t="n">
        <f aca="false">INDEX(Motore_Advisory!$BT$5:$BT$544,((Ipotesi!$C$5-1)*60+1*12+1)+11)</f>
        <v>0</v>
      </c>
      <c r="E40" s="15" t="n">
        <f aca="false">INDEX(Motore_Advisory!$BT$5:$BT$544,((Ipotesi!$C$5-1)*60+2*12+1)+11)</f>
        <v>0</v>
      </c>
      <c r="F40" s="15" t="n">
        <f aca="false">INDEX(Motore_Advisory!$BT$5:$BT$544,((Ipotesi!$C$5-1)*60+3*12+1)+11)</f>
        <v>0</v>
      </c>
      <c r="G40" s="15" t="n">
        <f aca="false">INDEX(Motore_Advisory!$BT$5:$BT$544,((Ipotesi!$C$5-1)*60+4*12+1)+11)</f>
        <v>0</v>
      </c>
    </row>
    <row r="41" customFormat="false" ht="27.75" hidden="false" customHeight="true" outlineLevel="0" collapsed="false"/>
    <row r="42" customFormat="false" ht="27.75" hidden="false" customHeight="true" outlineLevel="0" collapsed="false">
      <c r="A42" s="6" t="s">
        <v>157</v>
      </c>
      <c r="B42" s="6" t="s">
        <v>88</v>
      </c>
      <c r="C42" s="15" t="n">
        <f aca="false">SUM(INDEX(Motore_Advisory!$K$5:$K$544,(Ipotesi!$C$5-1)*60+0*12+1):INDEX(Motore_Advisory!$K$5:$K$544,((Ipotesi!$C$5-1)*60+0*12+1)+11))</f>
        <v>3000</v>
      </c>
      <c r="D42" s="15" t="n">
        <f aca="false">SUM(INDEX(Motore_Advisory!$K$5:$K$544,(Ipotesi!$C$5-1)*60+1*12+1):INDEX(Motore_Advisory!$K$5:$K$544,((Ipotesi!$C$5-1)*60+1*12+1)+11))</f>
        <v>5000</v>
      </c>
      <c r="E42" s="15" t="n">
        <f aca="false">SUM(INDEX(Motore_Advisory!$K$5:$K$544,(Ipotesi!$C$5-1)*60+2*12+1):INDEX(Motore_Advisory!$K$5:$K$544,((Ipotesi!$C$5-1)*60+2*12+1)+11))</f>
        <v>5000</v>
      </c>
      <c r="F42" s="15" t="n">
        <f aca="false">SUM(INDEX(Motore_Advisory!$K$5:$K$544,(Ipotesi!$C$5-1)*60+3*12+1):INDEX(Motore_Advisory!$K$5:$K$544,((Ipotesi!$C$5-1)*60+3*12+1)+11))</f>
        <v>8000</v>
      </c>
      <c r="G42" s="15" t="n">
        <f aca="false">SUM(INDEX(Motore_Advisory!$K$5:$K$544,(Ipotesi!$C$5-1)*60+4*12+1):INDEX(Motore_Advisory!$K$5:$K$544,((Ipotesi!$C$5-1)*60+4*12+1)+11))</f>
        <v>8000</v>
      </c>
    </row>
    <row r="43" customFormat="false" ht="27.75" hidden="false" customHeight="true" outlineLevel="0" collapsed="false">
      <c r="A43" s="6" t="s">
        <v>158</v>
      </c>
      <c r="B43" s="6" t="s">
        <v>88</v>
      </c>
      <c r="C43" s="15" t="n">
        <f aca="false">SUM(INDEX(Motore_Advisory!$AQ$5:$AQ$544,(Ipotesi!$C$5-1)*60+0*12+1):INDEX(Motore_Advisory!$AQ$5:$AQ$544,((Ipotesi!$C$5-1)*60+0*12+1)+11))</f>
        <v>0</v>
      </c>
      <c r="D43" s="15" t="n">
        <f aca="false">SUM(INDEX(Motore_Advisory!$AQ$5:$AQ$544,(Ipotesi!$C$5-1)*60+1*12+1):INDEX(Motore_Advisory!$AQ$5:$AQ$544,((Ipotesi!$C$5-1)*60+1*12+1)+11))</f>
        <v>27124.6247368421</v>
      </c>
      <c r="E43" s="15" t="n">
        <f aca="false">SUM(INDEX(Motore_Advisory!$AQ$5:$AQ$544,(Ipotesi!$C$5-1)*60+2*12+1):INDEX(Motore_Advisory!$AQ$5:$AQ$544,((Ipotesi!$C$5-1)*60+2*12+1)+11))</f>
        <v>19498.0305893254</v>
      </c>
      <c r="F43" s="15" t="n">
        <f aca="false">SUM(INDEX(Motore_Advisory!$AQ$5:$AQ$544,(Ipotesi!$C$5-1)*60+3*12+1):INDEX(Motore_Advisory!$AQ$5:$AQ$544,((Ipotesi!$C$5-1)*60+3*12+1)+11))</f>
        <v>76829.8160211268</v>
      </c>
      <c r="G43" s="15" t="n">
        <f aca="false">SUM(INDEX(Motore_Advisory!$AQ$5:$AQ$544,(Ipotesi!$C$5-1)*60+4*12+1):INDEX(Motore_Advisory!$AQ$5:$AQ$544,((Ipotesi!$C$5-1)*60+4*12+1)+11))</f>
        <v>135619.615331</v>
      </c>
    </row>
    <row r="44" customFormat="false" ht="27.75" hidden="false" customHeight="true" outlineLevel="0" collapsed="false">
      <c r="A44" s="6" t="s">
        <v>159</v>
      </c>
      <c r="B44" s="6" t="s">
        <v>88</v>
      </c>
      <c r="C44" s="15" t="n">
        <f aca="false">SUM(INDEX(Motore_Advisory!$AL$5:$AL$544,(Ipotesi!$C$5-1)*60+0*12+1):INDEX(Motore_Advisory!$AL$5:$AL$544,((Ipotesi!$C$5-1)*60+0*12+1)+11))</f>
        <v>24550.178245614</v>
      </c>
      <c r="D44" s="15" t="n">
        <f aca="false">SUM(INDEX(Motore_Advisory!$AL$5:$AL$544,(Ipotesi!$C$5-1)*60+1*12+1):INDEX(Motore_Advisory!$AL$5:$AL$544,((Ipotesi!$C$5-1)*60+1*12+1)+11))</f>
        <v>56799.6077192982</v>
      </c>
      <c r="E44" s="15" t="n">
        <f aca="false">SUM(INDEX(Motore_Advisory!$AL$5:$AL$544,(Ipotesi!$C$5-1)*60+2*12+1):INDEX(Motore_Advisory!$AL$5:$AL$544,((Ipotesi!$C$5-1)*60+2*12+1)+11))</f>
        <v>107083.093333333</v>
      </c>
      <c r="F44" s="15" t="n">
        <f aca="false">SUM(INDEX(Motore_Advisory!$AL$5:$AL$544,(Ipotesi!$C$5-1)*60+3*12+1):INDEX(Motore_Advisory!$AL$5:$AL$544,((Ipotesi!$C$5-1)*60+3*12+1)+11))</f>
        <v>166025.398</v>
      </c>
      <c r="G44" s="15" t="n">
        <f aca="false">SUM(INDEX(Motore_Advisory!$AL$5:$AL$544,(Ipotesi!$C$5-1)*60+4*12+1):INDEX(Motore_Advisory!$AL$5:$AL$544,((Ipotesi!$C$5-1)*60+4*12+1)+11))</f>
        <v>219376.094666667</v>
      </c>
    </row>
    <row r="45" customFormat="false" ht="27.75" hidden="false" customHeight="true" outlineLevel="0" collapsed="false">
      <c r="A45" s="6" t="s">
        <v>160</v>
      </c>
      <c r="B45" s="6" t="s">
        <v>88</v>
      </c>
      <c r="C45" s="15" t="n">
        <f aca="false">SUM(INDEX(Motore_Advisory!$N$5:$N$544,(Ipotesi!$C$5-1)*60+0*12+1):INDEX(Motore_Advisory!$N$5:$N$544,((Ipotesi!$C$5-1)*60+0*12+1)+11))</f>
        <v>0</v>
      </c>
      <c r="D45" s="15" t="n">
        <f aca="false">SUM(INDEX(Motore_Advisory!$N$5:$N$544,(Ipotesi!$C$5-1)*60+1*12+1):INDEX(Motore_Advisory!$N$5:$N$544,((Ipotesi!$C$5-1)*60+1*12+1)+11))</f>
        <v>0</v>
      </c>
      <c r="E45" s="15" t="n">
        <f aca="false">SUM(INDEX(Motore_Advisory!$N$5:$N$544,(Ipotesi!$C$5-1)*60+2*12+1):INDEX(Motore_Advisory!$N$5:$N$544,((Ipotesi!$C$5-1)*60+2*12+1)+11))</f>
        <v>0</v>
      </c>
      <c r="F45" s="15" t="n">
        <f aca="false">SUM(INDEX(Motore_Advisory!$N$5:$N$544,(Ipotesi!$C$5-1)*60+3*12+1):INDEX(Motore_Advisory!$N$5:$N$544,((Ipotesi!$C$5-1)*60+3*12+1)+11))</f>
        <v>0</v>
      </c>
      <c r="G45" s="15" t="n">
        <f aca="false">SUM(INDEX(Motore_Advisory!$N$5:$N$544,(Ipotesi!$C$5-1)*60+4*12+1):INDEX(Motore_Advisory!$N$5:$N$544,((Ipotesi!$C$5-1)*60+4*12+1)+11))</f>
        <v>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&amp;CLexShield v3 | Proiezioni condizionate, non bilanci certificati&amp;RPagina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13" min="2" style="1" width="20"/>
  </cols>
  <sheetData>
    <row r="1" customFormat="false" ht="30" hidden="false" customHeight="true" outlineLevel="0" collapsed="false">
      <c r="A1" s="2" t="s">
        <v>164</v>
      </c>
      <c r="B1" s="2"/>
      <c r="C1" s="2"/>
      <c r="D1" s="2"/>
      <c r="E1" s="2"/>
      <c r="F1" s="2"/>
      <c r="G1" s="2"/>
      <c r="H1" s="2"/>
    </row>
    <row r="2" customFormat="false" ht="42" hidden="false" customHeight="true" outlineLevel="0" collapsed="false">
      <c r="A2" s="3" t="s">
        <v>165</v>
      </c>
      <c r="B2" s="3"/>
      <c r="C2" s="3"/>
      <c r="D2" s="3"/>
      <c r="E2" s="3"/>
      <c r="F2" s="3"/>
      <c r="G2" s="3"/>
      <c r="H2" s="3"/>
    </row>
    <row r="4" customFormat="false" ht="66" hidden="false" customHeight="true" outlineLevel="0" collapsed="false">
      <c r="A4" s="4" t="s">
        <v>166</v>
      </c>
      <c r="B4" s="4" t="s">
        <v>167</v>
      </c>
      <c r="C4" s="4" t="s">
        <v>168</v>
      </c>
      <c r="D4" s="4" t="s">
        <v>169</v>
      </c>
      <c r="E4" s="4" t="s">
        <v>170</v>
      </c>
      <c r="F4" s="4" t="s">
        <v>171</v>
      </c>
      <c r="G4" s="4" t="s">
        <v>172</v>
      </c>
      <c r="H4" s="4" t="s">
        <v>173</v>
      </c>
      <c r="I4" s="4" t="s">
        <v>174</v>
      </c>
      <c r="J4" s="4" t="s">
        <v>175</v>
      </c>
      <c r="K4" s="4" t="s">
        <v>176</v>
      </c>
      <c r="L4" s="4" t="s">
        <v>177</v>
      </c>
      <c r="M4" s="4" t="s">
        <v>178</v>
      </c>
    </row>
    <row r="5" customFormat="false" ht="15" hidden="false" customHeight="true" outlineLevel="0" collapsed="false">
      <c r="A5" s="18" t="n">
        <f aca="false">INDEX(Motore_Startup!$C$5:$C$544,(Ipotesi!$C$5-1)*60+1)</f>
        <v>46388</v>
      </c>
      <c r="B5" s="15" t="n">
        <f aca="false">0</f>
        <v>0</v>
      </c>
      <c r="C5" s="15" t="n">
        <f aca="false">INDEX(Motore_Startup!$BD$5:$BD$544,(Ipotesi!$C$5-1)*60+1)-(0)-(INDEX(Motore_Startup!$AW$5:$AW$544,(Ipotesi!$C$5-1)*60+1)+INDEX(Motore_Startup!$AX$5:$AX$544,(Ipotesi!$C$5-1)*60+1)+INDEX(Motore_Startup!$AZ$5:$AZ$544,(Ipotesi!$C$5-1)*60+1)+INDEX(Motore_Startup!$BA$5:$BA$544,(Ipotesi!$C$5-1)*60+1))+INDEX(Motore_Startup!$BB$5:$BB$544,(Ipotesi!$C$5-1)*60+1)</f>
        <v>-19054.1666666667</v>
      </c>
      <c r="D5" s="15" t="n">
        <f aca="false">INDEX(Motore_Startup!$AW$5:$AW$544,(Ipotesi!$C$5-1)*60+1)+INDEX(Motore_Startup!$AX$5:$AX$544,(Ipotesi!$C$5-1)*60+1)+INDEX(Motore_Startup!$AZ$5:$AZ$544,(Ipotesi!$C$5-1)*60+1)+INDEX(Motore_Startup!$BA$5:$BA$544,(Ipotesi!$C$5-1)*60+1)</f>
        <v>130000</v>
      </c>
      <c r="E5" s="15" t="n">
        <f aca="false">INDEX(Motore_Startup!$BB$5:$BB$544,(Ipotesi!$C$5-1)*60+1)</f>
        <v>0</v>
      </c>
      <c r="F5" s="15" t="n">
        <f aca="false">INDEX(Motore_Startup!$BE$5:$BE$544,(Ipotesi!$C$5-1)*60+1)-INDEX(Motore_Startup!$BF$5:$BF$544,(Ipotesi!$C$5-1)*60+1)</f>
        <v>0</v>
      </c>
      <c r="G5" s="15" t="n">
        <f aca="false">INDEX(Motore_Startup!$BH$5:$BH$544,(Ipotesi!$C$5-1)*60+1)</f>
        <v>110945.833333333</v>
      </c>
      <c r="H5" s="15" t="n">
        <f aca="false">INDEX(Motore_Startup!$BI$5:$BI$544,(Ipotesi!$C$5-1)*60+1)</f>
        <v>0</v>
      </c>
      <c r="I5" s="15" t="n">
        <f aca="false">INDEX(Motore_Advisory!$BH$5:$BH$544,(Ipotesi!$C$5-1)*60+1)</f>
        <v>14707.5</v>
      </c>
      <c r="J5" s="15" t="n">
        <f aca="false">INDEX(Motore_Advisory!$BI$5:$BI$544,(Ipotesi!$C$5-1)*60+1)</f>
        <v>0</v>
      </c>
      <c r="K5" s="15" t="n">
        <f aca="false">G5+I5</f>
        <v>125653.333333333</v>
      </c>
      <c r="L5" s="15" t="n">
        <f aca="false">H5+J5</f>
        <v>0</v>
      </c>
      <c r="M5" s="15" t="n">
        <f aca="false">IF(OR(G5&lt;0,I5&lt;0),1,0)</f>
        <v>0</v>
      </c>
    </row>
    <row r="6" customFormat="false" ht="15" hidden="false" customHeight="true" outlineLevel="0" collapsed="false">
      <c r="A6" s="18" t="n">
        <f aca="false">INDEX(Motore_Startup!$C$5:$C$544,(Ipotesi!$C$5-1)*60+2)</f>
        <v>46419</v>
      </c>
      <c r="B6" s="15" t="n">
        <f aca="false">INDEX(Motore_Startup!$BH$5:$BH$544,(Ipotesi!$C$5-1)*60+1)</f>
        <v>110945.833333333</v>
      </c>
      <c r="C6" s="15" t="n">
        <f aca="false">INDEX(Motore_Startup!$BD$5:$BD$544,(Ipotesi!$C$5-1)*60+2)-(INDEX(Motore_Startup!$BH$5:$BH$544,(Ipotesi!$C$5-1)*60+1))-(INDEX(Motore_Startup!$AW$5:$AW$544,(Ipotesi!$C$5-1)*60+2)+INDEX(Motore_Startup!$AX$5:$AX$544,(Ipotesi!$C$5-1)*60+2)+INDEX(Motore_Startup!$AZ$5:$AZ$544,(Ipotesi!$C$5-1)*60+2)+INDEX(Motore_Startup!$BA$5:$BA$544,(Ipotesi!$C$5-1)*60+2))+INDEX(Motore_Startup!$BB$5:$BB$544,(Ipotesi!$C$5-1)*60+2)</f>
        <v>-17076.4824561403</v>
      </c>
      <c r="D6" s="15" t="n">
        <f aca="false">INDEX(Motore_Startup!$AW$5:$AW$544,(Ipotesi!$C$5-1)*60+2)+INDEX(Motore_Startup!$AX$5:$AX$544,(Ipotesi!$C$5-1)*60+2)+INDEX(Motore_Startup!$AZ$5:$AZ$544,(Ipotesi!$C$5-1)*60+2)+INDEX(Motore_Startup!$BA$5:$BA$544,(Ipotesi!$C$5-1)*60+2)</f>
        <v>0</v>
      </c>
      <c r="E6" s="15" t="n">
        <f aca="false">INDEX(Motore_Startup!$BB$5:$BB$544,(Ipotesi!$C$5-1)*60+2)</f>
        <v>0</v>
      </c>
      <c r="F6" s="15" t="n">
        <f aca="false">INDEX(Motore_Startup!$BE$5:$BE$544,(Ipotesi!$C$5-1)*60+2)-INDEX(Motore_Startup!$BF$5:$BF$544,(Ipotesi!$C$5-1)*60+2)</f>
        <v>0</v>
      </c>
      <c r="G6" s="15" t="n">
        <f aca="false">INDEX(Motore_Startup!$BH$5:$BH$544,(Ipotesi!$C$5-1)*60+2)</f>
        <v>93869.350877193</v>
      </c>
      <c r="H6" s="15" t="n">
        <f aca="false">INDEX(Motore_Startup!$BI$5:$BI$544,(Ipotesi!$C$5-1)*60+2)</f>
        <v>0</v>
      </c>
      <c r="I6" s="15" t="n">
        <f aca="false">INDEX(Motore_Advisory!$BH$5:$BH$544,(Ipotesi!$C$5-1)*60+2)</f>
        <v>5205.48140350877</v>
      </c>
      <c r="J6" s="15" t="n">
        <f aca="false">INDEX(Motore_Advisory!$BI$5:$BI$544,(Ipotesi!$C$5-1)*60+2)</f>
        <v>4794.51859649123</v>
      </c>
      <c r="K6" s="15" t="n">
        <f aca="false">G6+I6</f>
        <v>99074.8322807018</v>
      </c>
      <c r="L6" s="15" t="n">
        <f aca="false">H6+J6</f>
        <v>4794.51859649123</v>
      </c>
      <c r="M6" s="15" t="n">
        <f aca="false">IF(OR(G6&lt;0,I6&lt;0),1,0)</f>
        <v>0</v>
      </c>
    </row>
    <row r="7" customFormat="false" ht="15" hidden="false" customHeight="true" outlineLevel="0" collapsed="false">
      <c r="A7" s="18" t="n">
        <f aca="false">INDEX(Motore_Startup!$C$5:$C$544,(Ipotesi!$C$5-1)*60+3)</f>
        <v>46447</v>
      </c>
      <c r="B7" s="15" t="n">
        <f aca="false">INDEX(Motore_Startup!$BH$5:$BH$544,(Ipotesi!$C$5-1)*60+2)</f>
        <v>93869.350877193</v>
      </c>
      <c r="C7" s="15" t="n">
        <f aca="false">INDEX(Motore_Startup!$BD$5:$BD$544,(Ipotesi!$C$5-1)*60+3)-(INDEX(Motore_Startup!$BH$5:$BH$544,(Ipotesi!$C$5-1)*60+2))-(INDEX(Motore_Startup!$AW$5:$AW$544,(Ipotesi!$C$5-1)*60+3)+INDEX(Motore_Startup!$AX$5:$AX$544,(Ipotesi!$C$5-1)*60+3)+INDEX(Motore_Startup!$AZ$5:$AZ$544,(Ipotesi!$C$5-1)*60+3)+INDEX(Motore_Startup!$BA$5:$BA$544,(Ipotesi!$C$5-1)*60+3))+INDEX(Motore_Startup!$BB$5:$BB$544,(Ipotesi!$C$5-1)*60+3)</f>
        <v>-28734.6602236842</v>
      </c>
      <c r="D7" s="15" t="n">
        <f aca="false">INDEX(Motore_Startup!$AW$5:$AW$544,(Ipotesi!$C$5-1)*60+3)+INDEX(Motore_Startup!$AX$5:$AX$544,(Ipotesi!$C$5-1)*60+3)+INDEX(Motore_Startup!$AZ$5:$AZ$544,(Ipotesi!$C$5-1)*60+3)+INDEX(Motore_Startup!$BA$5:$BA$544,(Ipotesi!$C$5-1)*60+3)</f>
        <v>0</v>
      </c>
      <c r="E7" s="15" t="n">
        <f aca="false">INDEX(Motore_Startup!$BB$5:$BB$544,(Ipotesi!$C$5-1)*60+3)</f>
        <v>0</v>
      </c>
      <c r="F7" s="15" t="n">
        <f aca="false">INDEX(Motore_Startup!$BE$5:$BE$544,(Ipotesi!$C$5-1)*60+3)-INDEX(Motore_Startup!$BF$5:$BF$544,(Ipotesi!$C$5-1)*60+3)</f>
        <v>0</v>
      </c>
      <c r="G7" s="15" t="n">
        <f aca="false">INDEX(Motore_Startup!$BH$5:$BH$544,(Ipotesi!$C$5-1)*60+3)</f>
        <v>65134.6906535088</v>
      </c>
      <c r="H7" s="15" t="n">
        <f aca="false">INDEX(Motore_Startup!$BI$5:$BI$544,(Ipotesi!$C$5-1)*60+3)</f>
        <v>0</v>
      </c>
      <c r="I7" s="15" t="n">
        <f aca="false">INDEX(Motore_Advisory!$BH$5:$BH$544,(Ipotesi!$C$5-1)*60+3)</f>
        <v>-10462.8519298246</v>
      </c>
      <c r="J7" s="15" t="n">
        <f aca="false">INDEX(Motore_Advisory!$BI$5:$BI$544,(Ipotesi!$C$5-1)*60+3)</f>
        <v>20462.8519298246</v>
      </c>
      <c r="K7" s="15" t="n">
        <f aca="false">G7+I7</f>
        <v>54671.8387236842</v>
      </c>
      <c r="L7" s="15" t="n">
        <f aca="false">H7+J7</f>
        <v>20462.8519298246</v>
      </c>
      <c r="M7" s="15" t="n">
        <f aca="false">IF(OR(G7&lt;0,I7&lt;0),1,0)</f>
        <v>1</v>
      </c>
    </row>
    <row r="8" customFormat="false" ht="15" hidden="false" customHeight="true" outlineLevel="0" collapsed="false">
      <c r="A8" s="18" t="n">
        <f aca="false">INDEX(Motore_Startup!$C$5:$C$544,(Ipotesi!$C$5-1)*60+4)</f>
        <v>46478</v>
      </c>
      <c r="B8" s="15" t="n">
        <f aca="false">INDEX(Motore_Startup!$BH$5:$BH$544,(Ipotesi!$C$5-1)*60+3)</f>
        <v>65134.6906535088</v>
      </c>
      <c r="C8" s="15" t="n">
        <f aca="false">INDEX(Motore_Startup!$BD$5:$BD$544,(Ipotesi!$C$5-1)*60+4)-(INDEX(Motore_Startup!$BH$5:$BH$544,(Ipotesi!$C$5-1)*60+3))-(INDEX(Motore_Startup!$AW$5:$AW$544,(Ipotesi!$C$5-1)*60+4)+INDEX(Motore_Startup!$AX$5:$AX$544,(Ipotesi!$C$5-1)*60+4)+INDEX(Motore_Startup!$AZ$5:$AZ$544,(Ipotesi!$C$5-1)*60+4)+INDEX(Motore_Startup!$BA$5:$BA$544,(Ipotesi!$C$5-1)*60+4))+INDEX(Motore_Startup!$BB$5:$BB$544,(Ipotesi!$C$5-1)*60+4)</f>
        <v>-19584.6602236842</v>
      </c>
      <c r="D8" s="15" t="n">
        <f aca="false">INDEX(Motore_Startup!$AW$5:$AW$544,(Ipotesi!$C$5-1)*60+4)+INDEX(Motore_Startup!$AX$5:$AX$544,(Ipotesi!$C$5-1)*60+4)+INDEX(Motore_Startup!$AZ$5:$AZ$544,(Ipotesi!$C$5-1)*60+4)+INDEX(Motore_Startup!$BA$5:$BA$544,(Ipotesi!$C$5-1)*60+4)</f>
        <v>0</v>
      </c>
      <c r="E8" s="15" t="n">
        <f aca="false">INDEX(Motore_Startup!$BB$5:$BB$544,(Ipotesi!$C$5-1)*60+4)</f>
        <v>0</v>
      </c>
      <c r="F8" s="15" t="n">
        <f aca="false">INDEX(Motore_Startup!$BE$5:$BE$544,(Ipotesi!$C$5-1)*60+4)-INDEX(Motore_Startup!$BF$5:$BF$544,(Ipotesi!$C$5-1)*60+4)</f>
        <v>0</v>
      </c>
      <c r="G8" s="15" t="n">
        <f aca="false">INDEX(Motore_Startup!$BH$5:$BH$544,(Ipotesi!$C$5-1)*60+4)</f>
        <v>45550.0304298246</v>
      </c>
      <c r="H8" s="15" t="n">
        <f aca="false">INDEX(Motore_Startup!$BI$5:$BI$544,(Ipotesi!$C$5-1)*60+4)</f>
        <v>0</v>
      </c>
      <c r="I8" s="15" t="n">
        <f aca="false">INDEX(Motore_Advisory!$BH$5:$BH$544,(Ipotesi!$C$5-1)*60+4)</f>
        <v>-6354.34315789474</v>
      </c>
      <c r="J8" s="15" t="n">
        <f aca="false">INDEX(Motore_Advisory!$BI$5:$BI$544,(Ipotesi!$C$5-1)*60+4)</f>
        <v>16354.3431578947</v>
      </c>
      <c r="K8" s="15" t="n">
        <f aca="false">G8+I8</f>
        <v>39195.6872719298</v>
      </c>
      <c r="L8" s="15" t="n">
        <f aca="false">H8+J8</f>
        <v>16354.3431578947</v>
      </c>
      <c r="M8" s="15" t="n">
        <f aca="false">IF(OR(G8&lt;0,I8&lt;0),1,0)</f>
        <v>1</v>
      </c>
    </row>
    <row r="9" customFormat="false" ht="15" hidden="false" customHeight="true" outlineLevel="0" collapsed="false">
      <c r="A9" s="18" t="n">
        <f aca="false">INDEX(Motore_Startup!$C$5:$C$544,(Ipotesi!$C$5-1)*60+5)</f>
        <v>46508</v>
      </c>
      <c r="B9" s="15" t="n">
        <f aca="false">INDEX(Motore_Startup!$BH$5:$BH$544,(Ipotesi!$C$5-1)*60+4)</f>
        <v>45550.0304298246</v>
      </c>
      <c r="C9" s="15" t="n">
        <f aca="false">INDEX(Motore_Startup!$BD$5:$BD$544,(Ipotesi!$C$5-1)*60+5)-(INDEX(Motore_Startup!$BH$5:$BH$544,(Ipotesi!$C$5-1)*60+4))-(INDEX(Motore_Startup!$AW$5:$AW$544,(Ipotesi!$C$5-1)*60+5)+INDEX(Motore_Startup!$AX$5:$AX$544,(Ipotesi!$C$5-1)*60+5)+INDEX(Motore_Startup!$AZ$5:$AZ$544,(Ipotesi!$C$5-1)*60+5)+INDEX(Motore_Startup!$BA$5:$BA$544,(Ipotesi!$C$5-1)*60+5))+INDEX(Motore_Startup!$BB$5:$BB$544,(Ipotesi!$C$5-1)*60+5)</f>
        <v>-19584.6602236842</v>
      </c>
      <c r="D9" s="15" t="n">
        <f aca="false">INDEX(Motore_Startup!$AW$5:$AW$544,(Ipotesi!$C$5-1)*60+5)+INDEX(Motore_Startup!$AX$5:$AX$544,(Ipotesi!$C$5-1)*60+5)+INDEX(Motore_Startup!$AZ$5:$AZ$544,(Ipotesi!$C$5-1)*60+5)+INDEX(Motore_Startup!$BA$5:$BA$544,(Ipotesi!$C$5-1)*60+5)</f>
        <v>0</v>
      </c>
      <c r="E9" s="15" t="n">
        <f aca="false">INDEX(Motore_Startup!$BB$5:$BB$544,(Ipotesi!$C$5-1)*60+5)</f>
        <v>0</v>
      </c>
      <c r="F9" s="15" t="n">
        <f aca="false">INDEX(Motore_Startup!$BE$5:$BE$544,(Ipotesi!$C$5-1)*60+5)-INDEX(Motore_Startup!$BF$5:$BF$544,(Ipotesi!$C$5-1)*60+5)</f>
        <v>0</v>
      </c>
      <c r="G9" s="15" t="n">
        <f aca="false">INDEX(Motore_Startup!$BH$5:$BH$544,(Ipotesi!$C$5-1)*60+5)</f>
        <v>25965.3702061404</v>
      </c>
      <c r="H9" s="15" t="n">
        <f aca="false">INDEX(Motore_Startup!$BI$5:$BI$544,(Ipotesi!$C$5-1)*60+5)</f>
        <v>0</v>
      </c>
      <c r="I9" s="15" t="n">
        <f aca="false">INDEX(Motore_Advisory!$BH$5:$BH$544,(Ipotesi!$C$5-1)*60+5)</f>
        <v>-2245.83438596491</v>
      </c>
      <c r="J9" s="15" t="n">
        <f aca="false">INDEX(Motore_Advisory!$BI$5:$BI$544,(Ipotesi!$C$5-1)*60+5)</f>
        <v>12245.8343859649</v>
      </c>
      <c r="K9" s="15" t="n">
        <f aca="false">G9+I9</f>
        <v>23719.5358201754</v>
      </c>
      <c r="L9" s="15" t="n">
        <f aca="false">H9+J9</f>
        <v>12245.8343859649</v>
      </c>
      <c r="M9" s="15" t="n">
        <f aca="false">IF(OR(G9&lt;0,I9&lt;0),1,0)</f>
        <v>1</v>
      </c>
    </row>
    <row r="10" customFormat="false" ht="15" hidden="false" customHeight="true" outlineLevel="0" collapsed="false">
      <c r="A10" s="18" t="n">
        <f aca="false">INDEX(Motore_Startup!$C$5:$C$544,(Ipotesi!$C$5-1)*60+6)</f>
        <v>46539</v>
      </c>
      <c r="B10" s="15" t="n">
        <f aca="false">INDEX(Motore_Startup!$BH$5:$BH$544,(Ipotesi!$C$5-1)*60+5)</f>
        <v>25965.3702061404</v>
      </c>
      <c r="C10" s="15" t="n">
        <f aca="false">INDEX(Motore_Startup!$BD$5:$BD$544,(Ipotesi!$C$5-1)*60+6)-(INDEX(Motore_Startup!$BH$5:$BH$544,(Ipotesi!$C$5-1)*60+5))-(INDEX(Motore_Startup!$AW$5:$AW$544,(Ipotesi!$C$5-1)*60+6)+INDEX(Motore_Startup!$AX$5:$AX$544,(Ipotesi!$C$5-1)*60+6)+INDEX(Motore_Startup!$AZ$5:$AZ$544,(Ipotesi!$C$5-1)*60+6)+INDEX(Motore_Startup!$BA$5:$BA$544,(Ipotesi!$C$5-1)*60+6))+INDEX(Motore_Startup!$BB$5:$BB$544,(Ipotesi!$C$5-1)*60+6)</f>
        <v>-19592.3537422027</v>
      </c>
      <c r="D10" s="15" t="n">
        <f aca="false">INDEX(Motore_Startup!$AW$5:$AW$544,(Ipotesi!$C$5-1)*60+6)+INDEX(Motore_Startup!$AX$5:$AX$544,(Ipotesi!$C$5-1)*60+6)+INDEX(Motore_Startup!$AZ$5:$AZ$544,(Ipotesi!$C$5-1)*60+6)+INDEX(Motore_Startup!$BA$5:$BA$544,(Ipotesi!$C$5-1)*60+6)</f>
        <v>0</v>
      </c>
      <c r="E10" s="15" t="n">
        <f aca="false">INDEX(Motore_Startup!$BB$5:$BB$544,(Ipotesi!$C$5-1)*60+6)</f>
        <v>0</v>
      </c>
      <c r="F10" s="15" t="n">
        <f aca="false">INDEX(Motore_Startup!$BE$5:$BE$544,(Ipotesi!$C$5-1)*60+6)-INDEX(Motore_Startup!$BF$5:$BF$544,(Ipotesi!$C$5-1)*60+6)</f>
        <v>18626.9835360624</v>
      </c>
      <c r="G10" s="15" t="n">
        <f aca="false">INDEX(Motore_Startup!$BH$5:$BH$544,(Ipotesi!$C$5-1)*60+6)</f>
        <v>25000</v>
      </c>
      <c r="H10" s="15" t="n">
        <f aca="false">INDEX(Motore_Startup!$BI$5:$BI$544,(Ipotesi!$C$5-1)*60+6)</f>
        <v>0</v>
      </c>
      <c r="I10" s="15" t="n">
        <f aca="false">INDEX(Motore_Advisory!$BH$5:$BH$544,(Ipotesi!$C$5-1)*60+6)</f>
        <v>1862.67438596491</v>
      </c>
      <c r="J10" s="15" t="n">
        <f aca="false">INDEX(Motore_Advisory!$BI$5:$BI$544,(Ipotesi!$C$5-1)*60+6)</f>
        <v>8137.32561403509</v>
      </c>
      <c r="K10" s="15" t="n">
        <f aca="false">G10+I10</f>
        <v>26862.6743859649</v>
      </c>
      <c r="L10" s="15" t="n">
        <f aca="false">H10+J10</f>
        <v>8137.32561403509</v>
      </c>
      <c r="M10" s="15" t="n">
        <f aca="false">IF(OR(G10&lt;0,I10&lt;0),1,0)</f>
        <v>0</v>
      </c>
    </row>
    <row r="11" customFormat="false" ht="15" hidden="false" customHeight="true" outlineLevel="0" collapsed="false">
      <c r="A11" s="18" t="n">
        <f aca="false">INDEX(Motore_Startup!$C$5:$C$544,(Ipotesi!$C$5-1)*60+7)</f>
        <v>46569</v>
      </c>
      <c r="B11" s="15" t="n">
        <f aca="false">INDEX(Motore_Startup!$BH$5:$BH$544,(Ipotesi!$C$5-1)*60+6)</f>
        <v>25000</v>
      </c>
      <c r="C11" s="15" t="n">
        <f aca="false">INDEX(Motore_Startup!$BD$5:$BD$544,(Ipotesi!$C$5-1)*60+7)-(INDEX(Motore_Startup!$BH$5:$BH$544,(Ipotesi!$C$5-1)*60+6))-(INDEX(Motore_Startup!$AW$5:$AW$544,(Ipotesi!$C$5-1)*60+7)+INDEX(Motore_Startup!$AX$5:$AX$544,(Ipotesi!$C$5-1)*60+7)+INDEX(Motore_Startup!$AZ$5:$AZ$544,(Ipotesi!$C$5-1)*60+7)+INDEX(Motore_Startup!$BA$5:$BA$544,(Ipotesi!$C$5-1)*60+7))+INDEX(Motore_Startup!$BB$5:$BB$544,(Ipotesi!$C$5-1)*60+7)</f>
        <v>-19644.3942154386</v>
      </c>
      <c r="D11" s="15" t="n">
        <f aca="false">INDEX(Motore_Startup!$AW$5:$AW$544,(Ipotesi!$C$5-1)*60+7)+INDEX(Motore_Startup!$AX$5:$AX$544,(Ipotesi!$C$5-1)*60+7)+INDEX(Motore_Startup!$AZ$5:$AZ$544,(Ipotesi!$C$5-1)*60+7)+INDEX(Motore_Startup!$BA$5:$BA$544,(Ipotesi!$C$5-1)*60+7)</f>
        <v>0</v>
      </c>
      <c r="E11" s="15" t="n">
        <f aca="false">INDEX(Motore_Startup!$BB$5:$BB$544,(Ipotesi!$C$5-1)*60+7)</f>
        <v>0</v>
      </c>
      <c r="F11" s="15" t="n">
        <f aca="false">INDEX(Motore_Startup!$BE$5:$BE$544,(Ipotesi!$C$5-1)*60+7)-INDEX(Motore_Startup!$BF$5:$BF$544,(Ipotesi!$C$5-1)*60+7)</f>
        <v>19644.3942154386</v>
      </c>
      <c r="G11" s="15" t="n">
        <f aca="false">INDEX(Motore_Startup!$BH$5:$BH$544,(Ipotesi!$C$5-1)*60+7)</f>
        <v>25000</v>
      </c>
      <c r="H11" s="15" t="n">
        <f aca="false">INDEX(Motore_Startup!$BI$5:$BI$544,(Ipotesi!$C$5-1)*60+7)</f>
        <v>0</v>
      </c>
      <c r="I11" s="15" t="n">
        <f aca="false">INDEX(Motore_Advisory!$BH$5:$BH$544,(Ipotesi!$C$5-1)*60+7)</f>
        <v>5971.18315789473</v>
      </c>
      <c r="J11" s="15" t="n">
        <f aca="false">INDEX(Motore_Advisory!$BI$5:$BI$544,(Ipotesi!$C$5-1)*60+7)</f>
        <v>4028.81684210527</v>
      </c>
      <c r="K11" s="15" t="n">
        <f aca="false">G11+I11</f>
        <v>30971.1831578947</v>
      </c>
      <c r="L11" s="15" t="n">
        <f aca="false">H11+J11</f>
        <v>4028.81684210527</v>
      </c>
      <c r="M11" s="15" t="n">
        <f aca="false">IF(OR(G11&lt;0,I11&lt;0),1,0)</f>
        <v>0</v>
      </c>
    </row>
    <row r="12" customFormat="false" ht="15" hidden="false" customHeight="true" outlineLevel="0" collapsed="false">
      <c r="A12" s="18" t="n">
        <f aca="false">INDEX(Motore_Startup!$C$5:$C$544,(Ipotesi!$C$5-1)*60+8)</f>
        <v>46600</v>
      </c>
      <c r="B12" s="15" t="n">
        <f aca="false">INDEX(Motore_Startup!$BH$5:$BH$544,(Ipotesi!$C$5-1)*60+7)</f>
        <v>25000</v>
      </c>
      <c r="C12" s="15" t="n">
        <f aca="false">INDEX(Motore_Startup!$BD$5:$BD$544,(Ipotesi!$C$5-1)*60+8)-(INDEX(Motore_Startup!$BH$5:$BH$544,(Ipotesi!$C$5-1)*60+7))-(INDEX(Motore_Startup!$AW$5:$AW$544,(Ipotesi!$C$5-1)*60+8)+INDEX(Motore_Startup!$AX$5:$AX$544,(Ipotesi!$C$5-1)*60+8)+INDEX(Motore_Startup!$AZ$5:$AZ$544,(Ipotesi!$C$5-1)*60+8)+INDEX(Motore_Startup!$BA$5:$BA$544,(Ipotesi!$C$5-1)*60+8))+INDEX(Motore_Startup!$BB$5:$BB$544,(Ipotesi!$C$5-1)*60+8)</f>
        <v>-19645.0402605899</v>
      </c>
      <c r="D12" s="15" t="n">
        <f aca="false">INDEX(Motore_Startup!$AW$5:$AW$544,(Ipotesi!$C$5-1)*60+8)+INDEX(Motore_Startup!$AX$5:$AX$544,(Ipotesi!$C$5-1)*60+8)+INDEX(Motore_Startup!$AZ$5:$AZ$544,(Ipotesi!$C$5-1)*60+8)+INDEX(Motore_Startup!$BA$5:$BA$544,(Ipotesi!$C$5-1)*60+8)</f>
        <v>0</v>
      </c>
      <c r="E12" s="15" t="n">
        <f aca="false">INDEX(Motore_Startup!$BB$5:$BB$544,(Ipotesi!$C$5-1)*60+8)</f>
        <v>0</v>
      </c>
      <c r="F12" s="15" t="n">
        <f aca="false">INDEX(Motore_Startup!$BE$5:$BE$544,(Ipotesi!$C$5-1)*60+8)-INDEX(Motore_Startup!$BF$5:$BF$544,(Ipotesi!$C$5-1)*60+8)</f>
        <v>19645.0402605899</v>
      </c>
      <c r="G12" s="15" t="n">
        <f aca="false">INDEX(Motore_Startup!$BH$5:$BH$544,(Ipotesi!$C$5-1)*60+8)</f>
        <v>25000</v>
      </c>
      <c r="H12" s="15" t="n">
        <f aca="false">INDEX(Motore_Startup!$BI$5:$BI$544,(Ipotesi!$C$5-1)*60+8)</f>
        <v>0</v>
      </c>
      <c r="I12" s="15" t="n">
        <f aca="false">INDEX(Motore_Advisory!$BH$5:$BH$544,(Ipotesi!$C$5-1)*60+8)</f>
        <v>10079.6919298246</v>
      </c>
      <c r="J12" s="15" t="n">
        <f aca="false">INDEX(Motore_Advisory!$BI$5:$BI$544,(Ipotesi!$C$5-1)*60+8)</f>
        <v>0</v>
      </c>
      <c r="K12" s="15" t="n">
        <f aca="false">G12+I12</f>
        <v>35079.6919298246</v>
      </c>
      <c r="L12" s="15" t="n">
        <f aca="false">H12+J12</f>
        <v>0</v>
      </c>
      <c r="M12" s="15" t="n">
        <f aca="false">IF(OR(G12&lt;0,I12&lt;0),1,0)</f>
        <v>0</v>
      </c>
    </row>
    <row r="13" customFormat="false" ht="15" hidden="false" customHeight="true" outlineLevel="0" collapsed="false">
      <c r="A13" s="18" t="n">
        <f aca="false">INDEX(Motore_Startup!$C$5:$C$544,(Ipotesi!$C$5-1)*60+9)</f>
        <v>46631</v>
      </c>
      <c r="B13" s="15" t="n">
        <f aca="false">INDEX(Motore_Startup!$BH$5:$BH$544,(Ipotesi!$C$5-1)*60+8)</f>
        <v>25000</v>
      </c>
      <c r="C13" s="15" t="n">
        <f aca="false">INDEX(Motore_Startup!$BD$5:$BD$544,(Ipotesi!$C$5-1)*60+9)-(INDEX(Motore_Startup!$BH$5:$BH$544,(Ipotesi!$C$5-1)*60+8))-(INDEX(Motore_Startup!$AW$5:$AW$544,(Ipotesi!$C$5-1)*60+9)+INDEX(Motore_Startup!$AX$5:$AX$544,(Ipotesi!$C$5-1)*60+9)+INDEX(Motore_Startup!$AZ$5:$AZ$544,(Ipotesi!$C$5-1)*60+9)+INDEX(Motore_Startup!$BA$5:$BA$544,(Ipotesi!$C$5-1)*60+9))+INDEX(Motore_Startup!$BB$5:$BB$544,(Ipotesi!$C$5-1)*60+9)</f>
        <v>-19645.6895359669</v>
      </c>
      <c r="D13" s="15" t="n">
        <f aca="false">INDEX(Motore_Startup!$AW$5:$AW$544,(Ipotesi!$C$5-1)*60+9)+INDEX(Motore_Startup!$AX$5:$AX$544,(Ipotesi!$C$5-1)*60+9)+INDEX(Motore_Startup!$AZ$5:$AZ$544,(Ipotesi!$C$5-1)*60+9)+INDEX(Motore_Startup!$BA$5:$BA$544,(Ipotesi!$C$5-1)*60+9)</f>
        <v>0</v>
      </c>
      <c r="E13" s="15" t="n">
        <f aca="false">INDEX(Motore_Startup!$BB$5:$BB$544,(Ipotesi!$C$5-1)*60+9)</f>
        <v>0</v>
      </c>
      <c r="F13" s="15" t="n">
        <f aca="false">INDEX(Motore_Startup!$BE$5:$BE$544,(Ipotesi!$C$5-1)*60+9)-INDEX(Motore_Startup!$BF$5:$BF$544,(Ipotesi!$C$5-1)*60+9)</f>
        <v>19645.6895359669</v>
      </c>
      <c r="G13" s="15" t="n">
        <f aca="false">INDEX(Motore_Startup!$BH$5:$BH$544,(Ipotesi!$C$5-1)*60+9)</f>
        <v>25000</v>
      </c>
      <c r="H13" s="15" t="n">
        <f aca="false">INDEX(Motore_Startup!$BI$5:$BI$544,(Ipotesi!$C$5-1)*60+9)</f>
        <v>0</v>
      </c>
      <c r="I13" s="15" t="n">
        <f aca="false">INDEX(Motore_Advisory!$BH$5:$BH$544,(Ipotesi!$C$5-1)*60+9)</f>
        <v>14188.2007017544</v>
      </c>
      <c r="J13" s="15" t="n">
        <f aca="false">INDEX(Motore_Advisory!$BI$5:$BI$544,(Ipotesi!$C$5-1)*60+9)</f>
        <v>0</v>
      </c>
      <c r="K13" s="15" t="n">
        <f aca="false">G13+I13</f>
        <v>39188.2007017544</v>
      </c>
      <c r="L13" s="15" t="n">
        <f aca="false">H13+J13</f>
        <v>0</v>
      </c>
      <c r="M13" s="15" t="n">
        <f aca="false">IF(OR(G13&lt;0,I13&lt;0),1,0)</f>
        <v>0</v>
      </c>
    </row>
    <row r="14" customFormat="false" ht="15" hidden="false" customHeight="true" outlineLevel="0" collapsed="false">
      <c r="A14" s="18" t="n">
        <f aca="false">INDEX(Motore_Startup!$C$5:$C$544,(Ipotesi!$C$5-1)*60+10)</f>
        <v>46661</v>
      </c>
      <c r="B14" s="15" t="n">
        <f aca="false">INDEX(Motore_Startup!$BH$5:$BH$544,(Ipotesi!$C$5-1)*60+9)</f>
        <v>25000</v>
      </c>
      <c r="C14" s="15" t="n">
        <f aca="false">INDEX(Motore_Startup!$BD$5:$BD$544,(Ipotesi!$C$5-1)*60+10)-(INDEX(Motore_Startup!$BH$5:$BH$544,(Ipotesi!$C$5-1)*60+9))-(INDEX(Motore_Startup!$AW$5:$AW$544,(Ipotesi!$C$5-1)*60+10)+INDEX(Motore_Startup!$AX$5:$AX$544,(Ipotesi!$C$5-1)*60+10)+INDEX(Motore_Startup!$AZ$5:$AZ$544,(Ipotesi!$C$5-1)*60+10)+INDEX(Motore_Startup!$BA$5:$BA$544,(Ipotesi!$C$5-1)*60+10))+INDEX(Motore_Startup!$BB$5:$BB$544,(Ipotesi!$C$5-1)*60+10)</f>
        <v>-19646.3420577208</v>
      </c>
      <c r="D14" s="15" t="n">
        <f aca="false">INDEX(Motore_Startup!$AW$5:$AW$544,(Ipotesi!$C$5-1)*60+10)+INDEX(Motore_Startup!$AX$5:$AX$544,(Ipotesi!$C$5-1)*60+10)+INDEX(Motore_Startup!$AZ$5:$AZ$544,(Ipotesi!$C$5-1)*60+10)+INDEX(Motore_Startup!$BA$5:$BA$544,(Ipotesi!$C$5-1)*60+10)</f>
        <v>0</v>
      </c>
      <c r="E14" s="15" t="n">
        <f aca="false">INDEX(Motore_Startup!$BB$5:$BB$544,(Ipotesi!$C$5-1)*60+10)</f>
        <v>0</v>
      </c>
      <c r="F14" s="15" t="n">
        <f aca="false">INDEX(Motore_Startup!$BE$5:$BE$544,(Ipotesi!$C$5-1)*60+10)-INDEX(Motore_Startup!$BF$5:$BF$544,(Ipotesi!$C$5-1)*60+10)</f>
        <v>19646.3420577208</v>
      </c>
      <c r="G14" s="15" t="n">
        <f aca="false">INDEX(Motore_Startup!$BH$5:$BH$544,(Ipotesi!$C$5-1)*60+10)</f>
        <v>25000</v>
      </c>
      <c r="H14" s="15" t="n">
        <f aca="false">INDEX(Motore_Startup!$BI$5:$BI$544,(Ipotesi!$C$5-1)*60+10)</f>
        <v>0</v>
      </c>
      <c r="I14" s="15" t="n">
        <f aca="false">INDEX(Motore_Advisory!$BH$5:$BH$544,(Ipotesi!$C$5-1)*60+10)</f>
        <v>18296.7094736842</v>
      </c>
      <c r="J14" s="15" t="n">
        <f aca="false">INDEX(Motore_Advisory!$BI$5:$BI$544,(Ipotesi!$C$5-1)*60+10)</f>
        <v>0</v>
      </c>
      <c r="K14" s="15" t="n">
        <f aca="false">G14+I14</f>
        <v>43296.7094736842</v>
      </c>
      <c r="L14" s="15" t="n">
        <f aca="false">H14+J14</f>
        <v>0</v>
      </c>
      <c r="M14" s="15" t="n">
        <f aca="false">IF(OR(G14&lt;0,I14&lt;0),1,0)</f>
        <v>0</v>
      </c>
    </row>
    <row r="15" customFormat="false" ht="15" hidden="false" customHeight="true" outlineLevel="0" collapsed="false">
      <c r="A15" s="18" t="n">
        <f aca="false">INDEX(Motore_Startup!$C$5:$C$544,(Ipotesi!$C$5-1)*60+11)</f>
        <v>46692</v>
      </c>
      <c r="B15" s="15" t="n">
        <f aca="false">INDEX(Motore_Startup!$BH$5:$BH$544,(Ipotesi!$C$5-1)*60+10)</f>
        <v>25000</v>
      </c>
      <c r="C15" s="15" t="n">
        <f aca="false">INDEX(Motore_Startup!$BD$5:$BD$544,(Ipotesi!$C$5-1)*60+11)-(INDEX(Motore_Startup!$BH$5:$BH$544,(Ipotesi!$C$5-1)*60+10))-(INDEX(Motore_Startup!$AW$5:$AW$544,(Ipotesi!$C$5-1)*60+11)+INDEX(Motore_Startup!$AX$5:$AX$544,(Ipotesi!$C$5-1)*60+11)+INDEX(Motore_Startup!$AZ$5:$AZ$544,(Ipotesi!$C$5-1)*60+11)+INDEX(Motore_Startup!$BA$5:$BA$544,(Ipotesi!$C$5-1)*60+11))+INDEX(Motore_Startup!$BB$5:$BB$544,(Ipotesi!$C$5-1)*60+11)</f>
        <v>-19646.9978420835</v>
      </c>
      <c r="D15" s="15" t="n">
        <f aca="false">INDEX(Motore_Startup!$AW$5:$AW$544,(Ipotesi!$C$5-1)*60+11)+INDEX(Motore_Startup!$AX$5:$AX$544,(Ipotesi!$C$5-1)*60+11)+INDEX(Motore_Startup!$AZ$5:$AZ$544,(Ipotesi!$C$5-1)*60+11)+INDEX(Motore_Startup!$BA$5:$BA$544,(Ipotesi!$C$5-1)*60+11)</f>
        <v>0</v>
      </c>
      <c r="E15" s="15" t="n">
        <f aca="false">INDEX(Motore_Startup!$BB$5:$BB$544,(Ipotesi!$C$5-1)*60+11)</f>
        <v>0</v>
      </c>
      <c r="F15" s="15" t="n">
        <f aca="false">INDEX(Motore_Startup!$BE$5:$BE$544,(Ipotesi!$C$5-1)*60+11)-INDEX(Motore_Startup!$BF$5:$BF$544,(Ipotesi!$C$5-1)*60+11)</f>
        <v>19646.9978420835</v>
      </c>
      <c r="G15" s="15" t="n">
        <f aca="false">INDEX(Motore_Startup!$BH$5:$BH$544,(Ipotesi!$C$5-1)*60+11)</f>
        <v>25000</v>
      </c>
      <c r="H15" s="15" t="n">
        <f aca="false">INDEX(Motore_Startup!$BI$5:$BI$544,(Ipotesi!$C$5-1)*60+11)</f>
        <v>0</v>
      </c>
      <c r="I15" s="15" t="n">
        <f aca="false">INDEX(Motore_Advisory!$BH$5:$BH$544,(Ipotesi!$C$5-1)*60+11)</f>
        <v>22405.218245614</v>
      </c>
      <c r="J15" s="15" t="n">
        <f aca="false">INDEX(Motore_Advisory!$BI$5:$BI$544,(Ipotesi!$C$5-1)*60+11)</f>
        <v>0</v>
      </c>
      <c r="K15" s="15" t="n">
        <f aca="false">G15+I15</f>
        <v>47405.218245614</v>
      </c>
      <c r="L15" s="15" t="n">
        <f aca="false">H15+J15</f>
        <v>0</v>
      </c>
      <c r="M15" s="15" t="n">
        <f aca="false">IF(OR(G15&lt;0,I15&lt;0),1,0)</f>
        <v>0</v>
      </c>
    </row>
    <row r="16" customFormat="false" ht="15" hidden="false" customHeight="true" outlineLevel="0" collapsed="false">
      <c r="A16" s="18" t="n">
        <f aca="false">INDEX(Motore_Startup!$C$5:$C$544,(Ipotesi!$C$5-1)*60+12)</f>
        <v>46722</v>
      </c>
      <c r="B16" s="15" t="n">
        <f aca="false">INDEX(Motore_Startup!$BH$5:$BH$544,(Ipotesi!$C$5-1)*60+11)</f>
        <v>25000</v>
      </c>
      <c r="C16" s="15" t="n">
        <f aca="false">INDEX(Motore_Startup!$BD$5:$BD$544,(Ipotesi!$C$5-1)*60+12)-(INDEX(Motore_Startup!$BH$5:$BH$544,(Ipotesi!$C$5-1)*60+11))-(INDEX(Motore_Startup!$AW$5:$AW$544,(Ipotesi!$C$5-1)*60+12)+INDEX(Motore_Startup!$AX$5:$AX$544,(Ipotesi!$C$5-1)*60+12)+INDEX(Motore_Startup!$AZ$5:$AZ$544,(Ipotesi!$C$5-1)*60+12)+INDEX(Motore_Startup!$BA$5:$BA$544,(Ipotesi!$C$5-1)*60+12))+INDEX(Motore_Startup!$BB$5:$BB$544,(Ipotesi!$C$5-1)*60+12)</f>
        <v>-19647.656905368</v>
      </c>
      <c r="D16" s="15" t="n">
        <f aca="false">INDEX(Motore_Startup!$AW$5:$AW$544,(Ipotesi!$C$5-1)*60+12)+INDEX(Motore_Startup!$AX$5:$AX$544,(Ipotesi!$C$5-1)*60+12)+INDEX(Motore_Startup!$AZ$5:$AZ$544,(Ipotesi!$C$5-1)*60+12)+INDEX(Motore_Startup!$BA$5:$BA$544,(Ipotesi!$C$5-1)*60+12)</f>
        <v>52542.2222222222</v>
      </c>
      <c r="E16" s="15" t="n">
        <f aca="false">INDEX(Motore_Startup!$BB$5:$BB$544,(Ipotesi!$C$5-1)*60+12)</f>
        <v>0</v>
      </c>
      <c r="F16" s="15" t="n">
        <f aca="false">INDEX(Motore_Startup!$BE$5:$BE$544,(Ipotesi!$C$5-1)*60+12)-INDEX(Motore_Startup!$BF$5:$BF$544,(Ipotesi!$C$5-1)*60+12)</f>
        <v>-32894.5653168543</v>
      </c>
      <c r="G16" s="15" t="n">
        <f aca="false">INDEX(Motore_Startup!$BH$5:$BH$544,(Ipotesi!$C$5-1)*60+12)</f>
        <v>25000</v>
      </c>
      <c r="H16" s="15" t="n">
        <f aca="false">INDEX(Motore_Startup!$BI$5:$BI$544,(Ipotesi!$C$5-1)*60+12)</f>
        <v>0</v>
      </c>
      <c r="I16" s="15" t="n">
        <f aca="false">INDEX(Motore_Advisory!$BH$5:$BH$544,(Ipotesi!$C$5-1)*60+12)</f>
        <v>26513.7270175439</v>
      </c>
      <c r="J16" s="15" t="n">
        <f aca="false">INDEX(Motore_Advisory!$BI$5:$BI$544,(Ipotesi!$C$5-1)*60+12)</f>
        <v>0</v>
      </c>
      <c r="K16" s="15" t="n">
        <f aca="false">G16+I16</f>
        <v>51513.7270175438</v>
      </c>
      <c r="L16" s="15" t="n">
        <f aca="false">H16+J16</f>
        <v>0</v>
      </c>
      <c r="M16" s="15" t="n">
        <f aca="false">IF(OR(G16&lt;0,I16&lt;0),1,0)</f>
        <v>0</v>
      </c>
    </row>
    <row r="17" customFormat="false" ht="15" hidden="false" customHeight="true" outlineLevel="0" collapsed="false">
      <c r="A17" s="18" t="n">
        <f aca="false">INDEX(Motore_Startup!$C$5:$C$544,(Ipotesi!$C$5-1)*60+13)</f>
        <v>46753</v>
      </c>
      <c r="B17" s="15" t="n">
        <f aca="false">INDEX(Motore_Startup!$BH$5:$BH$544,(Ipotesi!$C$5-1)*60+12)</f>
        <v>25000</v>
      </c>
      <c r="C17" s="15" t="n">
        <f aca="false">INDEX(Motore_Startup!$BD$5:$BD$544,(Ipotesi!$C$5-1)*60+13)-(INDEX(Motore_Startup!$BH$5:$BH$544,(Ipotesi!$C$5-1)*60+12))-(INDEX(Motore_Startup!$AW$5:$AW$544,(Ipotesi!$C$5-1)*60+13)+INDEX(Motore_Startup!$AX$5:$AX$544,(Ipotesi!$C$5-1)*60+13)+INDEX(Motore_Startup!$AZ$5:$AZ$544,(Ipotesi!$C$5-1)*60+13)+INDEX(Motore_Startup!$BA$5:$BA$544,(Ipotesi!$C$5-1)*60+13))+INDEX(Motore_Startup!$BB$5:$BB$544,(Ipotesi!$C$5-1)*60+13)</f>
        <v>-40647.4831528578</v>
      </c>
      <c r="D17" s="15" t="n">
        <f aca="false">INDEX(Motore_Startup!$AW$5:$AW$544,(Ipotesi!$C$5-1)*60+13)+INDEX(Motore_Startup!$AX$5:$AX$544,(Ipotesi!$C$5-1)*60+13)+INDEX(Motore_Startup!$AZ$5:$AZ$544,(Ipotesi!$C$5-1)*60+13)+INDEX(Motore_Startup!$BA$5:$BA$544,(Ipotesi!$C$5-1)*60+13)</f>
        <v>15096.1111111111</v>
      </c>
      <c r="E17" s="15" t="n">
        <f aca="false">INDEX(Motore_Startup!$BB$5:$BB$544,(Ipotesi!$C$5-1)*60+13)</f>
        <v>0</v>
      </c>
      <c r="F17" s="15" t="n">
        <f aca="false">INDEX(Motore_Startup!$BE$5:$BE$544,(Ipotesi!$C$5-1)*60+13)-INDEX(Motore_Startup!$BF$5:$BF$544,(Ipotesi!$C$5-1)*60+13)</f>
        <v>25551.3720417466</v>
      </c>
      <c r="G17" s="15" t="n">
        <f aca="false">INDEX(Motore_Startup!$BH$5:$BH$544,(Ipotesi!$C$5-1)*60+13)</f>
        <v>25000</v>
      </c>
      <c r="H17" s="15" t="n">
        <f aca="false">INDEX(Motore_Startup!$BI$5:$BI$544,(Ipotesi!$C$5-1)*60+13)</f>
        <v>0</v>
      </c>
      <c r="I17" s="15" t="n">
        <f aca="false">INDEX(Motore_Advisory!$BH$5:$BH$544,(Ipotesi!$C$5-1)*60+13)</f>
        <v>20239.6524561403</v>
      </c>
      <c r="J17" s="15" t="n">
        <f aca="false">INDEX(Motore_Advisory!$BI$5:$BI$544,(Ipotesi!$C$5-1)*60+13)</f>
        <v>0</v>
      </c>
      <c r="K17" s="15" t="n">
        <f aca="false">G17+I17</f>
        <v>45239.6524561403</v>
      </c>
      <c r="L17" s="15" t="n">
        <f aca="false">H17+J17</f>
        <v>0</v>
      </c>
      <c r="M17" s="15" t="n">
        <f aca="false">IF(OR(G17&lt;0,I17&lt;0),1,0)</f>
        <v>0</v>
      </c>
    </row>
    <row r="18" customFormat="false" ht="15" hidden="false" customHeight="true" outlineLevel="0" collapsed="false">
      <c r="A18" s="18" t="n">
        <f aca="false">INDEX(Motore_Startup!$C$5:$C$544,(Ipotesi!$C$5-1)*60+14)</f>
        <v>46784</v>
      </c>
      <c r="B18" s="15" t="n">
        <f aca="false">INDEX(Motore_Startup!$BH$5:$BH$544,(Ipotesi!$C$5-1)*60+13)</f>
        <v>25000</v>
      </c>
      <c r="C18" s="15" t="n">
        <f aca="false">INDEX(Motore_Startup!$BD$5:$BD$544,(Ipotesi!$C$5-1)*60+14)-(INDEX(Motore_Startup!$BH$5:$BH$544,(Ipotesi!$C$5-1)*60+13))-(INDEX(Motore_Startup!$AW$5:$AW$544,(Ipotesi!$C$5-1)*60+14)+INDEX(Motore_Startup!$AX$5:$AX$544,(Ipotesi!$C$5-1)*60+14)+INDEX(Motore_Startup!$AZ$5:$AZ$544,(Ipotesi!$C$5-1)*60+14)+INDEX(Motore_Startup!$BA$5:$BA$544,(Ipotesi!$C$5-1)*60+14))+INDEX(Motore_Startup!$BB$5:$BB$544,(Ipotesi!$C$5-1)*60+14)</f>
        <v>-39058.1302808687</v>
      </c>
      <c r="D18" s="15" t="n">
        <f aca="false">INDEX(Motore_Startup!$AW$5:$AW$544,(Ipotesi!$C$5-1)*60+14)+INDEX(Motore_Startup!$AX$5:$AX$544,(Ipotesi!$C$5-1)*60+14)+INDEX(Motore_Startup!$AZ$5:$AZ$544,(Ipotesi!$C$5-1)*60+14)+INDEX(Motore_Startup!$BA$5:$BA$544,(Ipotesi!$C$5-1)*60+14)</f>
        <v>12361.6666666667</v>
      </c>
      <c r="E18" s="15" t="n">
        <f aca="false">INDEX(Motore_Startup!$BB$5:$BB$544,(Ipotesi!$C$5-1)*60+14)</f>
        <v>0</v>
      </c>
      <c r="F18" s="15" t="n">
        <f aca="false">INDEX(Motore_Startup!$BE$5:$BE$544,(Ipotesi!$C$5-1)*60+14)-INDEX(Motore_Startup!$BF$5:$BF$544,(Ipotesi!$C$5-1)*60+14)</f>
        <v>26696.463614202</v>
      </c>
      <c r="G18" s="15" t="n">
        <f aca="false">INDEX(Motore_Startup!$BH$5:$BH$544,(Ipotesi!$C$5-1)*60+14)</f>
        <v>25000</v>
      </c>
      <c r="H18" s="15" t="n">
        <f aca="false">INDEX(Motore_Startup!$BI$5:$BI$544,(Ipotesi!$C$5-1)*60+14)</f>
        <v>0</v>
      </c>
      <c r="I18" s="15" t="n">
        <f aca="false">INDEX(Motore_Advisory!$BH$5:$BH$544,(Ipotesi!$C$5-1)*60+14)</f>
        <v>9068.6809043736</v>
      </c>
      <c r="J18" s="15" t="n">
        <f aca="false">INDEX(Motore_Advisory!$BI$5:$BI$544,(Ipotesi!$C$5-1)*60+14)</f>
        <v>931.319095626399</v>
      </c>
      <c r="K18" s="15" t="n">
        <f aca="false">G18+I18</f>
        <v>34068.6809043736</v>
      </c>
      <c r="L18" s="15" t="n">
        <f aca="false">H18+J18</f>
        <v>931.319095626399</v>
      </c>
      <c r="M18" s="15" t="n">
        <f aca="false">IF(OR(G18&lt;0,I18&lt;0),1,0)</f>
        <v>0</v>
      </c>
    </row>
    <row r="19" customFormat="false" ht="15" hidden="false" customHeight="true" outlineLevel="0" collapsed="false">
      <c r="A19" s="18" t="n">
        <f aca="false">INDEX(Motore_Startup!$C$5:$C$544,(Ipotesi!$C$5-1)*60+15)</f>
        <v>46813</v>
      </c>
      <c r="B19" s="15" t="n">
        <f aca="false">INDEX(Motore_Startup!$BH$5:$BH$544,(Ipotesi!$C$5-1)*60+14)</f>
        <v>25000</v>
      </c>
      <c r="C19" s="15" t="n">
        <f aca="false">INDEX(Motore_Startup!$BD$5:$BD$544,(Ipotesi!$C$5-1)*60+15)-(INDEX(Motore_Startup!$BH$5:$BH$544,(Ipotesi!$C$5-1)*60+14))-(INDEX(Motore_Startup!$AW$5:$AW$544,(Ipotesi!$C$5-1)*60+15)+INDEX(Motore_Startup!$AX$5:$AX$544,(Ipotesi!$C$5-1)*60+15)+INDEX(Motore_Startup!$AZ$5:$AZ$544,(Ipotesi!$C$5-1)*60+15)+INDEX(Motore_Startup!$BA$5:$BA$544,(Ipotesi!$C$5-1)*60+15))+INDEX(Motore_Startup!$BB$5:$BB$544,(Ipotesi!$C$5-1)*60+15)</f>
        <v>-49411.0158760785</v>
      </c>
      <c r="D19" s="15" t="n">
        <f aca="false">INDEX(Motore_Startup!$AW$5:$AW$544,(Ipotesi!$C$5-1)*60+15)+INDEX(Motore_Startup!$AX$5:$AX$544,(Ipotesi!$C$5-1)*60+15)+INDEX(Motore_Startup!$AZ$5:$AZ$544,(Ipotesi!$C$5-1)*60+15)+INDEX(Motore_Startup!$BA$5:$BA$544,(Ipotesi!$C$5-1)*60+15)</f>
        <v>0</v>
      </c>
      <c r="E19" s="15" t="n">
        <f aca="false">INDEX(Motore_Startup!$BB$5:$BB$544,(Ipotesi!$C$5-1)*60+15)</f>
        <v>0</v>
      </c>
      <c r="F19" s="15" t="n">
        <f aca="false">INDEX(Motore_Startup!$BE$5:$BE$544,(Ipotesi!$C$5-1)*60+15)-INDEX(Motore_Startup!$BF$5:$BF$544,(Ipotesi!$C$5-1)*60+15)</f>
        <v>13791.2822130436</v>
      </c>
      <c r="G19" s="15" t="n">
        <f aca="false">INDEX(Motore_Startup!$BH$5:$BH$544,(Ipotesi!$C$5-1)*60+15)</f>
        <v>-10619.7336630349</v>
      </c>
      <c r="H19" s="15" t="n">
        <f aca="false">INDEX(Motore_Startup!$BI$5:$BI$544,(Ipotesi!$C$5-1)*60+15)</f>
        <v>35619.7336630349</v>
      </c>
      <c r="I19" s="15" t="n">
        <f aca="false">INDEX(Motore_Advisory!$BH$5:$BH$544,(Ipotesi!$C$5-1)*60+15)</f>
        <v>-7134.09084012849</v>
      </c>
      <c r="J19" s="15" t="n">
        <f aca="false">INDEX(Motore_Advisory!$BI$5:$BI$544,(Ipotesi!$C$5-1)*60+15)</f>
        <v>17134.0908401285</v>
      </c>
      <c r="K19" s="15" t="n">
        <f aca="false">G19+I19</f>
        <v>-17753.8245031634</v>
      </c>
      <c r="L19" s="15" t="n">
        <f aca="false">H19+J19</f>
        <v>52753.8245031634</v>
      </c>
      <c r="M19" s="15" t="n">
        <f aca="false">IF(OR(G19&lt;0,I19&lt;0),1,0)</f>
        <v>1</v>
      </c>
    </row>
    <row r="20" customFormat="false" ht="15" hidden="false" customHeight="true" outlineLevel="0" collapsed="false">
      <c r="A20" s="18" t="n">
        <f aca="false">INDEX(Motore_Startup!$C$5:$C$544,(Ipotesi!$C$5-1)*60+16)</f>
        <v>46844</v>
      </c>
      <c r="B20" s="15" t="n">
        <f aca="false">INDEX(Motore_Startup!$BH$5:$BH$544,(Ipotesi!$C$5-1)*60+15)</f>
        <v>-10619.7336630349</v>
      </c>
      <c r="C20" s="15" t="n">
        <f aca="false">INDEX(Motore_Startup!$BD$5:$BD$544,(Ipotesi!$C$5-1)*60+16)-(INDEX(Motore_Startup!$BH$5:$BH$544,(Ipotesi!$C$5-1)*60+15))-(INDEX(Motore_Startup!$AW$5:$AW$544,(Ipotesi!$C$5-1)*60+16)+INDEX(Motore_Startup!$AX$5:$AX$544,(Ipotesi!$C$5-1)*60+16)+INDEX(Motore_Startup!$AZ$5:$AZ$544,(Ipotesi!$C$5-1)*60+16)+INDEX(Motore_Startup!$BA$5:$BA$544,(Ipotesi!$C$5-1)*60+16))+INDEX(Motore_Startup!$BB$5:$BB$544,(Ipotesi!$C$5-1)*60+16)</f>
        <v>-31387.4550838465</v>
      </c>
      <c r="D20" s="15" t="n">
        <f aca="false">INDEX(Motore_Startup!$AW$5:$AW$544,(Ipotesi!$C$5-1)*60+16)+INDEX(Motore_Startup!$AX$5:$AX$544,(Ipotesi!$C$5-1)*60+16)+INDEX(Motore_Startup!$AZ$5:$AZ$544,(Ipotesi!$C$5-1)*60+16)+INDEX(Motore_Startup!$BA$5:$BA$544,(Ipotesi!$C$5-1)*60+16)</f>
        <v>0</v>
      </c>
      <c r="E20" s="15" t="n">
        <f aca="false">INDEX(Motore_Startup!$BB$5:$BB$544,(Ipotesi!$C$5-1)*60+16)</f>
        <v>0</v>
      </c>
      <c r="F20" s="15" t="n">
        <f aca="false">INDEX(Motore_Startup!$BE$5:$BE$544,(Ipotesi!$C$5-1)*60+16)-INDEX(Motore_Startup!$BF$5:$BF$544,(Ipotesi!$C$5-1)*60+16)</f>
        <v>0</v>
      </c>
      <c r="G20" s="15" t="n">
        <f aca="false">INDEX(Motore_Startup!$BH$5:$BH$544,(Ipotesi!$C$5-1)*60+16)</f>
        <v>-42007.1887468814</v>
      </c>
      <c r="H20" s="15" t="n">
        <f aca="false">INDEX(Motore_Startup!$BI$5:$BI$544,(Ipotesi!$C$5-1)*60+16)</f>
        <v>67007.1887468814</v>
      </c>
      <c r="I20" s="15" t="n">
        <f aca="false">INDEX(Motore_Advisory!$BH$5:$BH$544,(Ipotesi!$C$5-1)*60+16)</f>
        <v>-1656.61548801582</v>
      </c>
      <c r="J20" s="15" t="n">
        <f aca="false">INDEX(Motore_Advisory!$BI$5:$BI$544,(Ipotesi!$C$5-1)*60+16)</f>
        <v>11656.6154880158</v>
      </c>
      <c r="K20" s="15" t="n">
        <f aca="false">G20+I20</f>
        <v>-43663.8042348972</v>
      </c>
      <c r="L20" s="15" t="n">
        <f aca="false">H20+J20</f>
        <v>78663.8042348972</v>
      </c>
      <c r="M20" s="15" t="n">
        <f aca="false">IF(OR(G20&lt;0,I20&lt;0),1,0)</f>
        <v>1</v>
      </c>
    </row>
    <row r="21" customFormat="false" ht="15" hidden="false" customHeight="true" outlineLevel="0" collapsed="false">
      <c r="A21" s="18" t="n">
        <f aca="false">INDEX(Motore_Startup!$C$5:$C$544,(Ipotesi!$C$5-1)*60+17)</f>
        <v>46874</v>
      </c>
      <c r="B21" s="15" t="n">
        <f aca="false">INDEX(Motore_Startup!$BH$5:$BH$544,(Ipotesi!$C$5-1)*60+16)</f>
        <v>-42007.1887468814</v>
      </c>
      <c r="C21" s="15" t="n">
        <f aca="false">INDEX(Motore_Startup!$BD$5:$BD$544,(Ipotesi!$C$5-1)*60+17)-(INDEX(Motore_Startup!$BH$5:$BH$544,(Ipotesi!$C$5-1)*60+16))-(INDEX(Motore_Startup!$AW$5:$AW$544,(Ipotesi!$C$5-1)*60+17)+INDEX(Motore_Startup!$AX$5:$AX$544,(Ipotesi!$C$5-1)*60+17)+INDEX(Motore_Startup!$AZ$5:$AZ$544,(Ipotesi!$C$5-1)*60+17)+INDEX(Motore_Startup!$BA$5:$BA$544,(Ipotesi!$C$5-1)*60+17))+INDEX(Motore_Startup!$BB$5:$BB$544,(Ipotesi!$C$5-1)*60+17)</f>
        <v>-31131.571184531</v>
      </c>
      <c r="D21" s="15" t="n">
        <f aca="false">INDEX(Motore_Startup!$AW$5:$AW$544,(Ipotesi!$C$5-1)*60+17)+INDEX(Motore_Startup!$AX$5:$AX$544,(Ipotesi!$C$5-1)*60+17)+INDEX(Motore_Startup!$AZ$5:$AZ$544,(Ipotesi!$C$5-1)*60+17)+INDEX(Motore_Startup!$BA$5:$BA$544,(Ipotesi!$C$5-1)*60+17)</f>
        <v>0</v>
      </c>
      <c r="E21" s="15" t="n">
        <f aca="false">INDEX(Motore_Startup!$BB$5:$BB$544,(Ipotesi!$C$5-1)*60+17)</f>
        <v>0</v>
      </c>
      <c r="F21" s="15" t="n">
        <f aca="false">INDEX(Motore_Startup!$BE$5:$BE$544,(Ipotesi!$C$5-1)*60+17)-INDEX(Motore_Startup!$BF$5:$BF$544,(Ipotesi!$C$5-1)*60+17)</f>
        <v>0</v>
      </c>
      <c r="G21" s="15" t="n">
        <f aca="false">INDEX(Motore_Startup!$BH$5:$BH$544,(Ipotesi!$C$5-1)*60+17)</f>
        <v>-73138.7599314124</v>
      </c>
      <c r="H21" s="15" t="n">
        <f aca="false">INDEX(Motore_Startup!$BI$5:$BI$544,(Ipotesi!$C$5-1)*60+17)</f>
        <v>98138.7599314124</v>
      </c>
      <c r="I21" s="15" t="n">
        <f aca="false">INDEX(Motore_Advisory!$BH$5:$BH$544,(Ipotesi!$C$5-1)*60+17)</f>
        <v>3820.85986409685</v>
      </c>
      <c r="J21" s="15" t="n">
        <f aca="false">INDEX(Motore_Advisory!$BI$5:$BI$544,(Ipotesi!$C$5-1)*60+17)</f>
        <v>6179.14013590315</v>
      </c>
      <c r="K21" s="15" t="n">
        <f aca="false">G21+I21</f>
        <v>-69317.9000673155</v>
      </c>
      <c r="L21" s="15" t="n">
        <f aca="false">H21+J21</f>
        <v>104317.900067316</v>
      </c>
      <c r="M21" s="15" t="n">
        <f aca="false">IF(OR(G21&lt;0,I21&lt;0),1,0)</f>
        <v>1</v>
      </c>
    </row>
    <row r="22" customFormat="false" ht="15" hidden="false" customHeight="true" outlineLevel="0" collapsed="false">
      <c r="A22" s="18" t="n">
        <f aca="false">INDEX(Motore_Startup!$C$5:$C$544,(Ipotesi!$C$5-1)*60+18)</f>
        <v>46905</v>
      </c>
      <c r="B22" s="15" t="n">
        <f aca="false">INDEX(Motore_Startup!$BH$5:$BH$544,(Ipotesi!$C$5-1)*60+17)</f>
        <v>-73138.7599314124</v>
      </c>
      <c r="C22" s="15" t="n">
        <f aca="false">INDEX(Motore_Startup!$BD$5:$BD$544,(Ipotesi!$C$5-1)*60+18)-(INDEX(Motore_Startup!$BH$5:$BH$544,(Ipotesi!$C$5-1)*60+17))-(INDEX(Motore_Startup!$AW$5:$AW$544,(Ipotesi!$C$5-1)*60+18)+INDEX(Motore_Startup!$AX$5:$AX$544,(Ipotesi!$C$5-1)*60+18)+INDEX(Motore_Startup!$AZ$5:$AZ$544,(Ipotesi!$C$5-1)*60+18)+INDEX(Motore_Startup!$BA$5:$BA$544,(Ipotesi!$C$5-1)*60+18))+INDEX(Motore_Startup!$BB$5:$BB$544,(Ipotesi!$C$5-1)*60+18)</f>
        <v>-30982.7866227129</v>
      </c>
      <c r="D22" s="15" t="n">
        <f aca="false">INDEX(Motore_Startup!$AW$5:$AW$544,(Ipotesi!$C$5-1)*60+18)+INDEX(Motore_Startup!$AX$5:$AX$544,(Ipotesi!$C$5-1)*60+18)+INDEX(Motore_Startup!$AZ$5:$AZ$544,(Ipotesi!$C$5-1)*60+18)+INDEX(Motore_Startup!$BA$5:$BA$544,(Ipotesi!$C$5-1)*60+18)</f>
        <v>300000</v>
      </c>
      <c r="E22" s="15" t="n">
        <f aca="false">INDEX(Motore_Startup!$BB$5:$BB$544,(Ipotesi!$C$5-1)*60+18)</f>
        <v>0</v>
      </c>
      <c r="F22" s="15" t="n">
        <f aca="false">INDEX(Motore_Startup!$BE$5:$BE$544,(Ipotesi!$C$5-1)*60+18)-INDEX(Motore_Startup!$BF$5:$BF$544,(Ipotesi!$C$5-1)*60+18)</f>
        <v>-150000</v>
      </c>
      <c r="G22" s="15" t="n">
        <f aca="false">INDEX(Motore_Startup!$BH$5:$BH$544,(Ipotesi!$C$5-1)*60+18)</f>
        <v>45878.4534458748</v>
      </c>
      <c r="H22" s="15" t="n">
        <f aca="false">INDEX(Motore_Startup!$BI$5:$BI$544,(Ipotesi!$C$5-1)*60+18)</f>
        <v>0</v>
      </c>
      <c r="I22" s="15" t="n">
        <f aca="false">INDEX(Motore_Advisory!$BH$5:$BH$544,(Ipotesi!$C$5-1)*60+18)</f>
        <v>-9688.90209957994</v>
      </c>
      <c r="J22" s="15" t="n">
        <f aca="false">INDEX(Motore_Advisory!$BI$5:$BI$544,(Ipotesi!$C$5-1)*60+18)</f>
        <v>19688.9020995799</v>
      </c>
      <c r="K22" s="15" t="n">
        <f aca="false">G22+I22</f>
        <v>36189.5513462948</v>
      </c>
      <c r="L22" s="15" t="n">
        <f aca="false">H22+J22</f>
        <v>19688.9020995799</v>
      </c>
      <c r="M22" s="15" t="n">
        <f aca="false">IF(OR(G22&lt;0,I22&lt;0),1,0)</f>
        <v>1</v>
      </c>
    </row>
    <row r="23" customFormat="false" ht="15" hidden="false" customHeight="true" outlineLevel="0" collapsed="false">
      <c r="A23" s="18" t="n">
        <f aca="false">INDEX(Motore_Startup!$C$5:$C$544,(Ipotesi!$C$5-1)*60+19)</f>
        <v>46935</v>
      </c>
      <c r="B23" s="15" t="n">
        <f aca="false">INDEX(Motore_Startup!$BH$5:$BH$544,(Ipotesi!$C$5-1)*60+18)</f>
        <v>45878.4534458748</v>
      </c>
      <c r="C23" s="15" t="n">
        <f aca="false">INDEX(Motore_Startup!$BD$5:$BD$544,(Ipotesi!$C$5-1)*60+19)-(INDEX(Motore_Startup!$BH$5:$BH$544,(Ipotesi!$C$5-1)*60+18))-(INDEX(Motore_Startup!$AW$5:$AW$544,(Ipotesi!$C$5-1)*60+19)+INDEX(Motore_Startup!$AX$5:$AX$544,(Ipotesi!$C$5-1)*60+19)+INDEX(Motore_Startup!$AZ$5:$AZ$544,(Ipotesi!$C$5-1)*60+19)+INDEX(Motore_Startup!$BA$5:$BA$544,(Ipotesi!$C$5-1)*60+19))+INDEX(Motore_Startup!$BB$5:$BB$544,(Ipotesi!$C$5-1)*60+19)</f>
        <v>-29778.341011678</v>
      </c>
      <c r="D23" s="15" t="n">
        <f aca="false">INDEX(Motore_Startup!$AW$5:$AW$544,(Ipotesi!$C$5-1)*60+19)+INDEX(Motore_Startup!$AX$5:$AX$544,(Ipotesi!$C$5-1)*60+19)+INDEX(Motore_Startup!$AZ$5:$AZ$544,(Ipotesi!$C$5-1)*60+19)+INDEX(Motore_Startup!$BA$5:$BA$544,(Ipotesi!$C$5-1)*60+19)</f>
        <v>0</v>
      </c>
      <c r="E23" s="15" t="n">
        <f aca="false">INDEX(Motore_Startup!$BB$5:$BB$544,(Ipotesi!$C$5-1)*60+19)</f>
        <v>0</v>
      </c>
      <c r="F23" s="15" t="n">
        <f aca="false">INDEX(Motore_Startup!$BE$5:$BE$544,(Ipotesi!$C$5-1)*60+19)-INDEX(Motore_Startup!$BF$5:$BF$544,(Ipotesi!$C$5-1)*60+19)</f>
        <v>8899.88756580324</v>
      </c>
      <c r="G23" s="15" t="n">
        <f aca="false">INDEX(Motore_Startup!$BH$5:$BH$544,(Ipotesi!$C$5-1)*60+19)</f>
        <v>25000</v>
      </c>
      <c r="H23" s="15" t="n">
        <f aca="false">INDEX(Motore_Startup!$BI$5:$BI$544,(Ipotesi!$C$5-1)*60+19)</f>
        <v>0</v>
      </c>
      <c r="I23" s="15" t="n">
        <f aca="false">INDEX(Motore_Advisory!$BH$5:$BH$544,(Ipotesi!$C$5-1)*60+19)</f>
        <v>-4211.42674746727</v>
      </c>
      <c r="J23" s="15" t="n">
        <f aca="false">INDEX(Motore_Advisory!$BI$5:$BI$544,(Ipotesi!$C$5-1)*60+19)</f>
        <v>14211.4267474673</v>
      </c>
      <c r="K23" s="15" t="n">
        <f aca="false">G23+I23</f>
        <v>20788.5732525327</v>
      </c>
      <c r="L23" s="15" t="n">
        <f aca="false">H23+J23</f>
        <v>14211.4267474673</v>
      </c>
      <c r="M23" s="15" t="n">
        <f aca="false">IF(OR(G23&lt;0,I23&lt;0),1,0)</f>
        <v>1</v>
      </c>
    </row>
    <row r="24" customFormat="false" ht="15" hidden="false" customHeight="true" outlineLevel="0" collapsed="false">
      <c r="A24" s="18" t="n">
        <f aca="false">INDEX(Motore_Startup!$C$5:$C$544,(Ipotesi!$C$5-1)*60+20)</f>
        <v>46966</v>
      </c>
      <c r="B24" s="15" t="n">
        <f aca="false">INDEX(Motore_Startup!$BH$5:$BH$544,(Ipotesi!$C$5-1)*60+19)</f>
        <v>25000</v>
      </c>
      <c r="C24" s="15" t="n">
        <f aca="false">INDEX(Motore_Startup!$BD$5:$BD$544,(Ipotesi!$C$5-1)*60+20)-(INDEX(Motore_Startup!$BH$5:$BH$544,(Ipotesi!$C$5-1)*60+19))-(INDEX(Motore_Startup!$AW$5:$AW$544,(Ipotesi!$C$5-1)*60+20)+INDEX(Motore_Startup!$AX$5:$AX$544,(Ipotesi!$C$5-1)*60+20)+INDEX(Motore_Startup!$AZ$5:$AZ$544,(Ipotesi!$C$5-1)*60+20)+INDEX(Motore_Startup!$BA$5:$BA$544,(Ipotesi!$C$5-1)*60+20))+INDEX(Motore_Startup!$BB$5:$BB$544,(Ipotesi!$C$5-1)*60+20)</f>
        <v>-29017.0000640928</v>
      </c>
      <c r="D24" s="15" t="n">
        <f aca="false">INDEX(Motore_Startup!$AW$5:$AW$544,(Ipotesi!$C$5-1)*60+20)+INDEX(Motore_Startup!$AX$5:$AX$544,(Ipotesi!$C$5-1)*60+20)+INDEX(Motore_Startup!$AZ$5:$AZ$544,(Ipotesi!$C$5-1)*60+20)+INDEX(Motore_Startup!$BA$5:$BA$544,(Ipotesi!$C$5-1)*60+20)</f>
        <v>0</v>
      </c>
      <c r="E24" s="15" t="n">
        <f aca="false">INDEX(Motore_Startup!$BB$5:$BB$544,(Ipotesi!$C$5-1)*60+20)</f>
        <v>0</v>
      </c>
      <c r="F24" s="15" t="n">
        <f aca="false">INDEX(Motore_Startup!$BE$5:$BE$544,(Ipotesi!$C$5-1)*60+20)-INDEX(Motore_Startup!$BF$5:$BF$544,(Ipotesi!$C$5-1)*60+20)</f>
        <v>29017.0000640928</v>
      </c>
      <c r="G24" s="15" t="n">
        <f aca="false">INDEX(Motore_Startup!$BH$5:$BH$544,(Ipotesi!$C$5-1)*60+20)</f>
        <v>25000</v>
      </c>
      <c r="H24" s="15" t="n">
        <f aca="false">INDEX(Motore_Startup!$BI$5:$BI$544,(Ipotesi!$C$5-1)*60+20)</f>
        <v>0</v>
      </c>
      <c r="I24" s="15" t="n">
        <f aca="false">INDEX(Motore_Advisory!$BH$5:$BH$544,(Ipotesi!$C$5-1)*60+20)</f>
        <v>1266.0486046454</v>
      </c>
      <c r="J24" s="15" t="n">
        <f aca="false">INDEX(Motore_Advisory!$BI$5:$BI$544,(Ipotesi!$C$5-1)*60+20)</f>
        <v>8733.9513953546</v>
      </c>
      <c r="K24" s="15" t="n">
        <f aca="false">G24+I24</f>
        <v>26266.0486046454</v>
      </c>
      <c r="L24" s="15" t="n">
        <f aca="false">H24+J24</f>
        <v>8733.9513953546</v>
      </c>
      <c r="M24" s="15" t="n">
        <f aca="false">IF(OR(G24&lt;0,I24&lt;0),1,0)</f>
        <v>0</v>
      </c>
    </row>
    <row r="25" customFormat="false" ht="15" hidden="false" customHeight="true" outlineLevel="0" collapsed="false">
      <c r="A25" s="18" t="n">
        <f aca="false">INDEX(Motore_Startup!$C$5:$C$544,(Ipotesi!$C$5-1)*60+21)</f>
        <v>46997</v>
      </c>
      <c r="B25" s="15" t="n">
        <f aca="false">INDEX(Motore_Startup!$BH$5:$BH$544,(Ipotesi!$C$5-1)*60+20)</f>
        <v>25000</v>
      </c>
      <c r="C25" s="15" t="n">
        <f aca="false">INDEX(Motore_Startup!$BD$5:$BD$544,(Ipotesi!$C$5-1)*60+21)-(INDEX(Motore_Startup!$BH$5:$BH$544,(Ipotesi!$C$5-1)*60+20))-(INDEX(Motore_Startup!$AW$5:$AW$544,(Ipotesi!$C$5-1)*60+21)+INDEX(Motore_Startup!$AX$5:$AX$544,(Ipotesi!$C$5-1)*60+21)+INDEX(Motore_Startup!$AZ$5:$AZ$544,(Ipotesi!$C$5-1)*60+21)+INDEX(Motore_Startup!$BA$5:$BA$544,(Ipotesi!$C$5-1)*60+21))+INDEX(Motore_Startup!$BB$5:$BB$544,(Ipotesi!$C$5-1)*60+21)</f>
        <v>-28363.2890221399</v>
      </c>
      <c r="D25" s="15" t="n">
        <f aca="false">INDEX(Motore_Startup!$AW$5:$AW$544,(Ipotesi!$C$5-1)*60+21)+INDEX(Motore_Startup!$AX$5:$AX$544,(Ipotesi!$C$5-1)*60+21)+INDEX(Motore_Startup!$AZ$5:$AZ$544,(Ipotesi!$C$5-1)*60+21)+INDEX(Motore_Startup!$BA$5:$BA$544,(Ipotesi!$C$5-1)*60+21)</f>
        <v>0</v>
      </c>
      <c r="E25" s="15" t="n">
        <f aca="false">INDEX(Motore_Startup!$BB$5:$BB$544,(Ipotesi!$C$5-1)*60+21)</f>
        <v>0</v>
      </c>
      <c r="F25" s="15" t="n">
        <f aca="false">INDEX(Motore_Startup!$BE$5:$BE$544,(Ipotesi!$C$5-1)*60+21)-INDEX(Motore_Startup!$BF$5:$BF$544,(Ipotesi!$C$5-1)*60+21)</f>
        <v>28363.2890221399</v>
      </c>
      <c r="G25" s="15" t="n">
        <f aca="false">INDEX(Motore_Startup!$BH$5:$BH$544,(Ipotesi!$C$5-1)*60+21)</f>
        <v>25000</v>
      </c>
      <c r="H25" s="15" t="n">
        <f aca="false">INDEX(Motore_Startup!$BI$5:$BI$544,(Ipotesi!$C$5-1)*60+21)</f>
        <v>0</v>
      </c>
      <c r="I25" s="15" t="n">
        <f aca="false">INDEX(Motore_Advisory!$BH$5:$BH$544,(Ipotesi!$C$5-1)*60+21)</f>
        <v>6743.52395675808</v>
      </c>
      <c r="J25" s="15" t="n">
        <f aca="false">INDEX(Motore_Advisory!$BI$5:$BI$544,(Ipotesi!$C$5-1)*60+21)</f>
        <v>3256.47604324192</v>
      </c>
      <c r="K25" s="15" t="n">
        <f aca="false">G25+I25</f>
        <v>31743.5239567581</v>
      </c>
      <c r="L25" s="15" t="n">
        <f aca="false">H25+J25</f>
        <v>3256.47604324192</v>
      </c>
      <c r="M25" s="15" t="n">
        <f aca="false">IF(OR(G25&lt;0,I25&lt;0),1,0)</f>
        <v>0</v>
      </c>
    </row>
    <row r="26" customFormat="false" ht="15" hidden="false" customHeight="true" outlineLevel="0" collapsed="false">
      <c r="A26" s="18" t="n">
        <f aca="false">INDEX(Motore_Startup!$C$5:$C$544,(Ipotesi!$C$5-1)*60+22)</f>
        <v>47027</v>
      </c>
      <c r="B26" s="15" t="n">
        <f aca="false">INDEX(Motore_Startup!$BH$5:$BH$544,(Ipotesi!$C$5-1)*60+21)</f>
        <v>25000</v>
      </c>
      <c r="C26" s="15" t="n">
        <f aca="false">INDEX(Motore_Startup!$BD$5:$BD$544,(Ipotesi!$C$5-1)*60+22)-(INDEX(Motore_Startup!$BH$5:$BH$544,(Ipotesi!$C$5-1)*60+21))-(INDEX(Motore_Startup!$AW$5:$AW$544,(Ipotesi!$C$5-1)*60+22)+INDEX(Motore_Startup!$AX$5:$AX$544,(Ipotesi!$C$5-1)*60+22)+INDEX(Motore_Startup!$AZ$5:$AZ$544,(Ipotesi!$C$5-1)*60+22)+INDEX(Motore_Startup!$BA$5:$BA$544,(Ipotesi!$C$5-1)*60+22))+INDEX(Motore_Startup!$BB$5:$BB$544,(Ipotesi!$C$5-1)*60+22)</f>
        <v>-27713.292189211</v>
      </c>
      <c r="D26" s="15" t="n">
        <f aca="false">INDEX(Motore_Startup!$AW$5:$AW$544,(Ipotesi!$C$5-1)*60+22)+INDEX(Motore_Startup!$AX$5:$AX$544,(Ipotesi!$C$5-1)*60+22)+INDEX(Motore_Startup!$AZ$5:$AZ$544,(Ipotesi!$C$5-1)*60+22)+INDEX(Motore_Startup!$BA$5:$BA$544,(Ipotesi!$C$5-1)*60+22)</f>
        <v>0</v>
      </c>
      <c r="E26" s="15" t="n">
        <f aca="false">INDEX(Motore_Startup!$BB$5:$BB$544,(Ipotesi!$C$5-1)*60+22)</f>
        <v>0</v>
      </c>
      <c r="F26" s="15" t="n">
        <f aca="false">INDEX(Motore_Startup!$BE$5:$BE$544,(Ipotesi!$C$5-1)*60+22)-INDEX(Motore_Startup!$BF$5:$BF$544,(Ipotesi!$C$5-1)*60+22)</f>
        <v>27713.292189211</v>
      </c>
      <c r="G26" s="15" t="n">
        <f aca="false">INDEX(Motore_Startup!$BH$5:$BH$544,(Ipotesi!$C$5-1)*60+22)</f>
        <v>25000</v>
      </c>
      <c r="H26" s="15" t="n">
        <f aca="false">INDEX(Motore_Startup!$BI$5:$BI$544,(Ipotesi!$C$5-1)*60+22)</f>
        <v>0</v>
      </c>
      <c r="I26" s="15" t="n">
        <f aca="false">INDEX(Motore_Advisory!$BH$5:$BH$544,(Ipotesi!$C$5-1)*60+22)</f>
        <v>12220.9993088708</v>
      </c>
      <c r="J26" s="15" t="n">
        <f aca="false">INDEX(Motore_Advisory!$BI$5:$BI$544,(Ipotesi!$C$5-1)*60+22)</f>
        <v>0</v>
      </c>
      <c r="K26" s="15" t="n">
        <f aca="false">G26+I26</f>
        <v>37220.9993088708</v>
      </c>
      <c r="L26" s="15" t="n">
        <f aca="false">H26+J26</f>
        <v>0</v>
      </c>
      <c r="M26" s="15" t="n">
        <f aca="false">IF(OR(G26&lt;0,I26&lt;0),1,0)</f>
        <v>0</v>
      </c>
    </row>
    <row r="27" customFormat="false" ht="15" hidden="false" customHeight="true" outlineLevel="0" collapsed="false">
      <c r="A27" s="18" t="n">
        <f aca="false">INDEX(Motore_Startup!$C$5:$C$544,(Ipotesi!$C$5-1)*60+23)</f>
        <v>47058</v>
      </c>
      <c r="B27" s="15" t="n">
        <f aca="false">INDEX(Motore_Startup!$BH$5:$BH$544,(Ipotesi!$C$5-1)*60+22)</f>
        <v>25000</v>
      </c>
      <c r="C27" s="15" t="n">
        <f aca="false">INDEX(Motore_Startup!$BD$5:$BD$544,(Ipotesi!$C$5-1)*60+23)-(INDEX(Motore_Startup!$BH$5:$BH$544,(Ipotesi!$C$5-1)*60+22))-(INDEX(Motore_Startup!$AW$5:$AW$544,(Ipotesi!$C$5-1)*60+23)+INDEX(Motore_Startup!$AX$5:$AX$544,(Ipotesi!$C$5-1)*60+23)+INDEX(Motore_Startup!$AZ$5:$AZ$544,(Ipotesi!$C$5-1)*60+23)+INDEX(Motore_Startup!$BA$5:$BA$544,(Ipotesi!$C$5-1)*60+23))+INDEX(Motore_Startup!$BB$5:$BB$544,(Ipotesi!$C$5-1)*60+23)</f>
        <v>-27066.9670957427</v>
      </c>
      <c r="D27" s="15" t="n">
        <f aca="false">INDEX(Motore_Startup!$AW$5:$AW$544,(Ipotesi!$C$5-1)*60+23)+INDEX(Motore_Startup!$AX$5:$AX$544,(Ipotesi!$C$5-1)*60+23)+INDEX(Motore_Startup!$AZ$5:$AZ$544,(Ipotesi!$C$5-1)*60+23)+INDEX(Motore_Startup!$BA$5:$BA$544,(Ipotesi!$C$5-1)*60+23)</f>
        <v>0</v>
      </c>
      <c r="E27" s="15" t="n">
        <f aca="false">INDEX(Motore_Startup!$BB$5:$BB$544,(Ipotesi!$C$5-1)*60+23)</f>
        <v>0</v>
      </c>
      <c r="F27" s="15" t="n">
        <f aca="false">INDEX(Motore_Startup!$BE$5:$BE$544,(Ipotesi!$C$5-1)*60+23)-INDEX(Motore_Startup!$BF$5:$BF$544,(Ipotesi!$C$5-1)*60+23)</f>
        <v>27066.9670957427</v>
      </c>
      <c r="G27" s="15" t="n">
        <f aca="false">INDEX(Motore_Startup!$BH$5:$BH$544,(Ipotesi!$C$5-1)*60+23)</f>
        <v>25000</v>
      </c>
      <c r="H27" s="15" t="n">
        <f aca="false">INDEX(Motore_Startup!$BI$5:$BI$544,(Ipotesi!$C$5-1)*60+23)</f>
        <v>0</v>
      </c>
      <c r="I27" s="15" t="n">
        <f aca="false">INDEX(Motore_Advisory!$BH$5:$BH$544,(Ipotesi!$C$5-1)*60+23)</f>
        <v>9561.08723993079</v>
      </c>
      <c r="J27" s="15" t="n">
        <f aca="false">INDEX(Motore_Advisory!$BI$5:$BI$544,(Ipotesi!$C$5-1)*60+23)</f>
        <v>438.912760069208</v>
      </c>
      <c r="K27" s="15" t="n">
        <f aca="false">G27+I27</f>
        <v>34561.0872399308</v>
      </c>
      <c r="L27" s="15" t="n">
        <f aca="false">H27+J27</f>
        <v>438.912760069208</v>
      </c>
      <c r="M27" s="15" t="n">
        <f aca="false">IF(OR(G27&lt;0,I27&lt;0),1,0)</f>
        <v>0</v>
      </c>
    </row>
    <row r="28" customFormat="false" ht="15" hidden="false" customHeight="true" outlineLevel="0" collapsed="false">
      <c r="A28" s="18" t="n">
        <f aca="false">INDEX(Motore_Startup!$C$5:$C$544,(Ipotesi!$C$5-1)*60+24)</f>
        <v>47088</v>
      </c>
      <c r="B28" s="15" t="n">
        <f aca="false">INDEX(Motore_Startup!$BH$5:$BH$544,(Ipotesi!$C$5-1)*60+23)</f>
        <v>25000</v>
      </c>
      <c r="C28" s="15" t="n">
        <f aca="false">INDEX(Motore_Startup!$BD$5:$BD$544,(Ipotesi!$C$5-1)*60+24)-(INDEX(Motore_Startup!$BH$5:$BH$544,(Ipotesi!$C$5-1)*60+23))-(INDEX(Motore_Startup!$AW$5:$AW$544,(Ipotesi!$C$5-1)*60+24)+INDEX(Motore_Startup!$AX$5:$AX$544,(Ipotesi!$C$5-1)*60+24)+INDEX(Motore_Startup!$AZ$5:$AZ$544,(Ipotesi!$C$5-1)*60+24)+INDEX(Motore_Startup!$BA$5:$BA$544,(Ipotesi!$C$5-1)*60+24))+INDEX(Motore_Startup!$BB$5:$BB$544,(Ipotesi!$C$5-1)*60+24)</f>
        <v>-26424.2715934175</v>
      </c>
      <c r="D28" s="15" t="n">
        <f aca="false">INDEX(Motore_Startup!$AW$5:$AW$544,(Ipotesi!$C$5-1)*60+24)+INDEX(Motore_Startup!$AX$5:$AX$544,(Ipotesi!$C$5-1)*60+24)+INDEX(Motore_Startup!$AZ$5:$AZ$544,(Ipotesi!$C$5-1)*60+24)+INDEX(Motore_Startup!$BA$5:$BA$544,(Ipotesi!$C$5-1)*60+24)</f>
        <v>162621.497893724</v>
      </c>
      <c r="E28" s="15" t="n">
        <f aca="false">INDEX(Motore_Startup!$BB$5:$BB$544,(Ipotesi!$C$5-1)*60+24)</f>
        <v>0</v>
      </c>
      <c r="F28" s="15" t="n">
        <f aca="false">INDEX(Motore_Startup!$BE$5:$BE$544,(Ipotesi!$C$5-1)*60+24)-INDEX(Motore_Startup!$BF$5:$BF$544,(Ipotesi!$C$5-1)*60+24)</f>
        <v>-121060.43593699</v>
      </c>
      <c r="G28" s="15" t="n">
        <f aca="false">INDEX(Motore_Startup!$BH$5:$BH$544,(Ipotesi!$C$5-1)*60+24)</f>
        <v>40136.7903633169</v>
      </c>
      <c r="H28" s="15" t="n">
        <f aca="false">INDEX(Motore_Startup!$BI$5:$BI$544,(Ipotesi!$C$5-1)*60+24)</f>
        <v>0</v>
      </c>
      <c r="I28" s="15" t="n">
        <f aca="false">INDEX(Motore_Advisory!$BH$5:$BH$544,(Ipotesi!$C$5-1)*60+24)</f>
        <v>15038.5625920435</v>
      </c>
      <c r="J28" s="15" t="n">
        <f aca="false">INDEX(Motore_Advisory!$BI$5:$BI$544,(Ipotesi!$C$5-1)*60+24)</f>
        <v>0</v>
      </c>
      <c r="K28" s="15" t="n">
        <f aca="false">G28+I28</f>
        <v>55175.3529553604</v>
      </c>
      <c r="L28" s="15" t="n">
        <f aca="false">H28+J28</f>
        <v>0</v>
      </c>
      <c r="M28" s="15" t="n">
        <f aca="false">IF(OR(G28&lt;0,I28&lt;0),1,0)</f>
        <v>0</v>
      </c>
    </row>
    <row r="29" customFormat="false" ht="15" hidden="false" customHeight="true" outlineLevel="0" collapsed="false">
      <c r="A29" s="18" t="n">
        <f aca="false">INDEX(Motore_Startup!$C$5:$C$544,(Ipotesi!$C$5-1)*60+25)</f>
        <v>47119</v>
      </c>
      <c r="B29" s="15" t="n">
        <f aca="false">INDEX(Motore_Startup!$BH$5:$BH$544,(Ipotesi!$C$5-1)*60+24)</f>
        <v>40136.7903633169</v>
      </c>
      <c r="C29" s="15" t="n">
        <f aca="false">INDEX(Motore_Startup!$BD$5:$BD$544,(Ipotesi!$C$5-1)*60+25)-(INDEX(Motore_Startup!$BH$5:$BH$544,(Ipotesi!$C$5-1)*60+24))-(INDEX(Motore_Startup!$AW$5:$AW$544,(Ipotesi!$C$5-1)*60+25)+INDEX(Motore_Startup!$AX$5:$AX$544,(Ipotesi!$C$5-1)*60+25)+INDEX(Motore_Startup!$AZ$5:$AZ$544,(Ipotesi!$C$5-1)*60+25)+INDEX(Motore_Startup!$BA$5:$BA$544,(Ipotesi!$C$5-1)*60+25))+INDEX(Motore_Startup!$BB$5:$BB$544,(Ipotesi!$C$5-1)*60+25)</f>
        <v>-58341.6819811193</v>
      </c>
      <c r="D29" s="15" t="n">
        <f aca="false">INDEX(Motore_Startup!$AW$5:$AW$544,(Ipotesi!$C$5-1)*60+25)+INDEX(Motore_Startup!$AX$5:$AX$544,(Ipotesi!$C$5-1)*60+25)+INDEX(Motore_Startup!$AZ$5:$AZ$544,(Ipotesi!$C$5-1)*60+25)+INDEX(Motore_Startup!$BA$5:$BA$544,(Ipotesi!$C$5-1)*60+25)</f>
        <v>24900.1246246778</v>
      </c>
      <c r="E29" s="15" t="n">
        <f aca="false">INDEX(Motore_Startup!$BB$5:$BB$544,(Ipotesi!$C$5-1)*60+25)</f>
        <v>0</v>
      </c>
      <c r="F29" s="15" t="n">
        <f aca="false">INDEX(Motore_Startup!$BE$5:$BE$544,(Ipotesi!$C$5-1)*60+25)-INDEX(Motore_Startup!$BF$5:$BF$544,(Ipotesi!$C$5-1)*60+25)</f>
        <v>18304.7669931246</v>
      </c>
      <c r="G29" s="15" t="n">
        <f aca="false">INDEX(Motore_Startup!$BH$5:$BH$544,(Ipotesi!$C$5-1)*60+25)</f>
        <v>25000</v>
      </c>
      <c r="H29" s="15" t="n">
        <f aca="false">INDEX(Motore_Startup!$BI$5:$BI$544,(Ipotesi!$C$5-1)*60+25)</f>
        <v>0</v>
      </c>
      <c r="I29" s="15" t="n">
        <f aca="false">INDEX(Motore_Advisory!$BH$5:$BH$544,(Ipotesi!$C$5-1)*60+25)</f>
        <v>11536.2619024895</v>
      </c>
      <c r="J29" s="15" t="n">
        <f aca="false">INDEX(Motore_Advisory!$BI$5:$BI$544,(Ipotesi!$C$5-1)*60+25)</f>
        <v>0</v>
      </c>
      <c r="K29" s="15" t="n">
        <f aca="false">G29+I29</f>
        <v>36536.2619024895</v>
      </c>
      <c r="L29" s="15" t="n">
        <f aca="false">H29+J29</f>
        <v>0</v>
      </c>
      <c r="M29" s="15" t="n">
        <f aca="false">IF(OR(G29&lt;0,I29&lt;0),1,0)</f>
        <v>0</v>
      </c>
    </row>
    <row r="30" customFormat="false" ht="15" hidden="false" customHeight="true" outlineLevel="0" collapsed="false">
      <c r="A30" s="18" t="n">
        <f aca="false">INDEX(Motore_Startup!$C$5:$C$544,(Ipotesi!$C$5-1)*60+26)</f>
        <v>47150</v>
      </c>
      <c r="B30" s="15" t="n">
        <f aca="false">INDEX(Motore_Startup!$BH$5:$BH$544,(Ipotesi!$C$5-1)*60+25)</f>
        <v>25000</v>
      </c>
      <c r="C30" s="15" t="n">
        <f aca="false">INDEX(Motore_Startup!$BD$5:$BD$544,(Ipotesi!$C$5-1)*60+26)-(INDEX(Motore_Startup!$BH$5:$BH$544,(Ipotesi!$C$5-1)*60+25))-(INDEX(Motore_Startup!$AW$5:$AW$544,(Ipotesi!$C$5-1)*60+26)+INDEX(Motore_Startup!$AX$5:$AX$544,(Ipotesi!$C$5-1)*60+26)+INDEX(Motore_Startup!$AZ$5:$AZ$544,(Ipotesi!$C$5-1)*60+26)+INDEX(Motore_Startup!$BA$5:$BA$544,(Ipotesi!$C$5-1)*60+26))+INDEX(Motore_Startup!$BB$5:$BB$544,(Ipotesi!$C$5-1)*60+26)</f>
        <v>-56055.4969808687</v>
      </c>
      <c r="D30" s="15" t="n">
        <f aca="false">INDEX(Motore_Startup!$AW$5:$AW$544,(Ipotesi!$C$5-1)*60+26)+INDEX(Motore_Startup!$AX$5:$AX$544,(Ipotesi!$C$5-1)*60+26)+INDEX(Motore_Startup!$AZ$5:$AZ$544,(Ipotesi!$C$5-1)*60+26)+INDEX(Motore_Startup!$BA$5:$BA$544,(Ipotesi!$C$5-1)*60+26)</f>
        <v>12478.3774815982</v>
      </c>
      <c r="E30" s="15" t="n">
        <f aca="false">INDEX(Motore_Startup!$BB$5:$BB$544,(Ipotesi!$C$5-1)*60+26)</f>
        <v>0</v>
      </c>
      <c r="F30" s="15" t="n">
        <f aca="false">INDEX(Motore_Startup!$BE$5:$BE$544,(Ipotesi!$C$5-1)*60+26)-INDEX(Motore_Startup!$BF$5:$BF$544,(Ipotesi!$C$5-1)*60+26)</f>
        <v>43577.1194992706</v>
      </c>
      <c r="G30" s="15" t="n">
        <f aca="false">INDEX(Motore_Startup!$BH$5:$BH$544,(Ipotesi!$C$5-1)*60+26)</f>
        <v>25000</v>
      </c>
      <c r="H30" s="15" t="n">
        <f aca="false">INDEX(Motore_Startup!$BI$5:$BI$544,(Ipotesi!$C$5-1)*60+26)</f>
        <v>0</v>
      </c>
      <c r="I30" s="15" t="n">
        <f aca="false">INDEX(Motore_Advisory!$BH$5:$BH$544,(Ipotesi!$C$5-1)*60+26)</f>
        <v>475.523466456609</v>
      </c>
      <c r="J30" s="15" t="n">
        <f aca="false">INDEX(Motore_Advisory!$BI$5:$BI$544,(Ipotesi!$C$5-1)*60+26)</f>
        <v>9524.47653354339</v>
      </c>
      <c r="K30" s="15" t="n">
        <f aca="false">G30+I30</f>
        <v>25475.5234664566</v>
      </c>
      <c r="L30" s="15" t="n">
        <f aca="false">H30+J30</f>
        <v>9524.47653354339</v>
      </c>
      <c r="M30" s="15" t="n">
        <f aca="false">IF(OR(G30&lt;0,I30&lt;0),1,0)</f>
        <v>0</v>
      </c>
    </row>
    <row r="31" customFormat="false" ht="15" hidden="false" customHeight="true" outlineLevel="0" collapsed="false">
      <c r="A31" s="18" t="n">
        <f aca="false">INDEX(Motore_Startup!$C$5:$C$544,(Ipotesi!$C$5-1)*60+27)</f>
        <v>47178</v>
      </c>
      <c r="B31" s="15" t="n">
        <f aca="false">INDEX(Motore_Startup!$BH$5:$BH$544,(Ipotesi!$C$5-1)*60+26)</f>
        <v>25000</v>
      </c>
      <c r="C31" s="15" t="n">
        <f aca="false">INDEX(Motore_Startup!$BD$5:$BD$544,(Ipotesi!$C$5-1)*60+27)-(INDEX(Motore_Startup!$BH$5:$BH$544,(Ipotesi!$C$5-1)*60+26))-(INDEX(Motore_Startup!$AW$5:$AW$544,(Ipotesi!$C$5-1)*60+27)+INDEX(Motore_Startup!$AX$5:$AX$544,(Ipotesi!$C$5-1)*60+27)+INDEX(Motore_Startup!$AZ$5:$AZ$544,(Ipotesi!$C$5-1)*60+27)+INDEX(Motore_Startup!$BA$5:$BA$544,(Ipotesi!$C$5-1)*60+27))+INDEX(Motore_Startup!$BB$5:$BB$544,(Ipotesi!$C$5-1)*60+27)</f>
        <v>-82193.4623616003</v>
      </c>
      <c r="D31" s="15" t="n">
        <f aca="false">INDEX(Motore_Startup!$AW$5:$AW$544,(Ipotesi!$C$5-1)*60+27)+INDEX(Motore_Startup!$AX$5:$AX$544,(Ipotesi!$C$5-1)*60+27)+INDEX(Motore_Startup!$AZ$5:$AZ$544,(Ipotesi!$C$5-1)*60+27)+INDEX(Motore_Startup!$BA$5:$BA$544,(Ipotesi!$C$5-1)*60+27)</f>
        <v>0</v>
      </c>
      <c r="E31" s="15" t="n">
        <f aca="false">INDEX(Motore_Startup!$BB$5:$BB$544,(Ipotesi!$C$5-1)*60+27)</f>
        <v>0</v>
      </c>
      <c r="F31" s="15" t="n">
        <f aca="false">INDEX(Motore_Startup!$BE$5:$BE$544,(Ipotesi!$C$5-1)*60+27)-INDEX(Motore_Startup!$BF$5:$BF$544,(Ipotesi!$C$5-1)*60+27)</f>
        <v>82193.4623616003</v>
      </c>
      <c r="G31" s="15" t="n">
        <f aca="false">INDEX(Motore_Startup!$BH$5:$BH$544,(Ipotesi!$C$5-1)*60+27)</f>
        <v>25000</v>
      </c>
      <c r="H31" s="15" t="n">
        <f aca="false">INDEX(Motore_Startup!$BI$5:$BI$544,(Ipotesi!$C$5-1)*60+27)</f>
        <v>0</v>
      </c>
      <c r="I31" s="15" t="n">
        <f aca="false">INDEX(Motore_Advisory!$BH$5:$BH$544,(Ipotesi!$C$5-1)*60+27)</f>
        <v>-16783.0800399988</v>
      </c>
      <c r="J31" s="15" t="n">
        <f aca="false">INDEX(Motore_Advisory!$BI$5:$BI$544,(Ipotesi!$C$5-1)*60+27)</f>
        <v>26783.0800399988</v>
      </c>
      <c r="K31" s="15" t="n">
        <f aca="false">G31+I31</f>
        <v>8216.91996000119</v>
      </c>
      <c r="L31" s="15" t="n">
        <f aca="false">H31+J31</f>
        <v>26783.0800399988</v>
      </c>
      <c r="M31" s="15" t="n">
        <f aca="false">IF(OR(G31&lt;0,I31&lt;0),1,0)</f>
        <v>1</v>
      </c>
    </row>
    <row r="32" customFormat="false" ht="15" hidden="false" customHeight="true" outlineLevel="0" collapsed="false">
      <c r="A32" s="18" t="n">
        <f aca="false">INDEX(Motore_Startup!$C$5:$C$544,(Ipotesi!$C$5-1)*60+28)</f>
        <v>47209</v>
      </c>
      <c r="B32" s="15" t="n">
        <f aca="false">INDEX(Motore_Startup!$BH$5:$BH$544,(Ipotesi!$C$5-1)*60+27)</f>
        <v>25000</v>
      </c>
      <c r="C32" s="15" t="n">
        <f aca="false">INDEX(Motore_Startup!$BD$5:$BD$544,(Ipotesi!$C$5-1)*60+28)-(INDEX(Motore_Startup!$BH$5:$BH$544,(Ipotesi!$C$5-1)*60+27))-(INDEX(Motore_Startup!$AW$5:$AW$544,(Ipotesi!$C$5-1)*60+28)+INDEX(Motore_Startup!$AX$5:$AX$544,(Ipotesi!$C$5-1)*60+28)+INDEX(Motore_Startup!$AZ$5:$AZ$544,(Ipotesi!$C$5-1)*60+28)+INDEX(Motore_Startup!$BA$5:$BA$544,(Ipotesi!$C$5-1)*60+28))+INDEX(Motore_Startup!$BB$5:$BB$544,(Ipotesi!$C$5-1)*60+28)</f>
        <v>-52171.4875554976</v>
      </c>
      <c r="D32" s="15" t="n">
        <f aca="false">INDEX(Motore_Startup!$AW$5:$AW$544,(Ipotesi!$C$5-1)*60+28)+INDEX(Motore_Startup!$AX$5:$AX$544,(Ipotesi!$C$5-1)*60+28)+INDEX(Motore_Startup!$AZ$5:$AZ$544,(Ipotesi!$C$5-1)*60+28)+INDEX(Motore_Startup!$BA$5:$BA$544,(Ipotesi!$C$5-1)*60+28)</f>
        <v>0</v>
      </c>
      <c r="E32" s="15" t="n">
        <f aca="false">INDEX(Motore_Startup!$BB$5:$BB$544,(Ipotesi!$C$5-1)*60+28)</f>
        <v>0</v>
      </c>
      <c r="F32" s="15" t="n">
        <f aca="false">INDEX(Motore_Startup!$BE$5:$BE$544,(Ipotesi!$C$5-1)*60+28)-INDEX(Motore_Startup!$BF$5:$BF$544,(Ipotesi!$C$5-1)*60+28)</f>
        <v>5924.6511460045</v>
      </c>
      <c r="G32" s="15" t="n">
        <f aca="false">INDEX(Motore_Startup!$BH$5:$BH$544,(Ipotesi!$C$5-1)*60+28)</f>
        <v>-21246.8364094931</v>
      </c>
      <c r="H32" s="15" t="n">
        <f aca="false">INDEX(Motore_Startup!$BI$5:$BI$544,(Ipotesi!$C$5-1)*60+28)</f>
        <v>46246.8364094931</v>
      </c>
      <c r="I32" s="15" t="n">
        <f aca="false">INDEX(Motore_Advisory!$BH$5:$BH$544,(Ipotesi!$C$5-1)*60+28)</f>
        <v>-1688.77274833214</v>
      </c>
      <c r="J32" s="15" t="n">
        <f aca="false">INDEX(Motore_Advisory!$BI$5:$BI$544,(Ipotesi!$C$5-1)*60+28)</f>
        <v>11688.7727483321</v>
      </c>
      <c r="K32" s="15" t="n">
        <f aca="false">G32+I32</f>
        <v>-22935.6091578252</v>
      </c>
      <c r="L32" s="15" t="n">
        <f aca="false">H32+J32</f>
        <v>57935.6091578252</v>
      </c>
      <c r="M32" s="15" t="n">
        <f aca="false">IF(OR(G32&lt;0,I32&lt;0),1,0)</f>
        <v>1</v>
      </c>
    </row>
    <row r="33" customFormat="false" ht="15" hidden="false" customHeight="true" outlineLevel="0" collapsed="false">
      <c r="A33" s="18" t="n">
        <f aca="false">INDEX(Motore_Startup!$C$5:$C$544,(Ipotesi!$C$5-1)*60+29)</f>
        <v>47239</v>
      </c>
      <c r="B33" s="15" t="n">
        <f aca="false">INDEX(Motore_Startup!$BH$5:$BH$544,(Ipotesi!$C$5-1)*60+28)</f>
        <v>-21246.8364094931</v>
      </c>
      <c r="C33" s="15" t="n">
        <f aca="false">INDEX(Motore_Startup!$BD$5:$BD$544,(Ipotesi!$C$5-1)*60+29)-(INDEX(Motore_Startup!$BH$5:$BH$544,(Ipotesi!$C$5-1)*60+28))-(INDEX(Motore_Startup!$AW$5:$AW$544,(Ipotesi!$C$5-1)*60+29)+INDEX(Motore_Startup!$AX$5:$AX$544,(Ipotesi!$C$5-1)*60+29)+INDEX(Motore_Startup!$AZ$5:$AZ$544,(Ipotesi!$C$5-1)*60+29)+INDEX(Motore_Startup!$BA$5:$BA$544,(Ipotesi!$C$5-1)*60+29))+INDEX(Motore_Startup!$BB$5:$BB$544,(Ipotesi!$C$5-1)*60+29)</f>
        <v>-51831.7262091379</v>
      </c>
      <c r="D33" s="15" t="n">
        <f aca="false">INDEX(Motore_Startup!$AW$5:$AW$544,(Ipotesi!$C$5-1)*60+29)+INDEX(Motore_Startup!$AX$5:$AX$544,(Ipotesi!$C$5-1)*60+29)+INDEX(Motore_Startup!$AZ$5:$AZ$544,(Ipotesi!$C$5-1)*60+29)+INDEX(Motore_Startup!$BA$5:$BA$544,(Ipotesi!$C$5-1)*60+29)</f>
        <v>0</v>
      </c>
      <c r="E33" s="15" t="n">
        <f aca="false">INDEX(Motore_Startup!$BB$5:$BB$544,(Ipotesi!$C$5-1)*60+29)</f>
        <v>0</v>
      </c>
      <c r="F33" s="15" t="n">
        <f aca="false">INDEX(Motore_Startup!$BE$5:$BE$544,(Ipotesi!$C$5-1)*60+29)-INDEX(Motore_Startup!$BF$5:$BF$544,(Ipotesi!$C$5-1)*60+29)</f>
        <v>0</v>
      </c>
      <c r="G33" s="15" t="n">
        <f aca="false">INDEX(Motore_Startup!$BH$5:$BH$544,(Ipotesi!$C$5-1)*60+29)</f>
        <v>-73078.562618631</v>
      </c>
      <c r="H33" s="15" t="n">
        <f aca="false">INDEX(Motore_Startup!$BI$5:$BI$544,(Ipotesi!$C$5-1)*60+29)</f>
        <v>98078.562618631</v>
      </c>
      <c r="I33" s="15" t="n">
        <f aca="false">INDEX(Motore_Advisory!$BH$5:$BH$544,(Ipotesi!$C$5-1)*60+29)</f>
        <v>13405.5345433345</v>
      </c>
      <c r="J33" s="15" t="n">
        <f aca="false">INDEX(Motore_Advisory!$BI$5:$BI$544,(Ipotesi!$C$5-1)*60+29)</f>
        <v>0</v>
      </c>
      <c r="K33" s="15" t="n">
        <f aca="false">G33+I33</f>
        <v>-59673.0280752965</v>
      </c>
      <c r="L33" s="15" t="n">
        <f aca="false">H33+J33</f>
        <v>98078.562618631</v>
      </c>
      <c r="M33" s="15" t="n">
        <f aca="false">IF(OR(G33&lt;0,I33&lt;0),1,0)</f>
        <v>1</v>
      </c>
    </row>
    <row r="34" customFormat="false" ht="15" hidden="false" customHeight="true" outlineLevel="0" collapsed="false">
      <c r="A34" s="18" t="n">
        <f aca="false">INDEX(Motore_Startup!$C$5:$C$544,(Ipotesi!$C$5-1)*60+30)</f>
        <v>47270</v>
      </c>
      <c r="B34" s="15" t="n">
        <f aca="false">INDEX(Motore_Startup!$BH$5:$BH$544,(Ipotesi!$C$5-1)*60+29)</f>
        <v>-73078.562618631</v>
      </c>
      <c r="C34" s="15" t="n">
        <f aca="false">INDEX(Motore_Startup!$BD$5:$BD$544,(Ipotesi!$C$5-1)*60+30)-(INDEX(Motore_Startup!$BH$5:$BH$544,(Ipotesi!$C$5-1)*60+29))-(INDEX(Motore_Startup!$AW$5:$AW$544,(Ipotesi!$C$5-1)*60+30)+INDEX(Motore_Startup!$AX$5:$AX$544,(Ipotesi!$C$5-1)*60+30)+INDEX(Motore_Startup!$AZ$5:$AZ$544,(Ipotesi!$C$5-1)*60+30)+INDEX(Motore_Startup!$BA$5:$BA$544,(Ipotesi!$C$5-1)*60+30))+INDEX(Motore_Startup!$BB$5:$BB$544,(Ipotesi!$C$5-1)*60+30)</f>
        <v>-51836.8287360324</v>
      </c>
      <c r="D34" s="15" t="n">
        <f aca="false">INDEX(Motore_Startup!$AW$5:$AW$544,(Ipotesi!$C$5-1)*60+30)+INDEX(Motore_Startup!$AX$5:$AX$544,(Ipotesi!$C$5-1)*60+30)+INDEX(Motore_Startup!$AZ$5:$AZ$544,(Ipotesi!$C$5-1)*60+30)+INDEX(Motore_Startup!$BA$5:$BA$544,(Ipotesi!$C$5-1)*60+30)</f>
        <v>988847.138405667</v>
      </c>
      <c r="E34" s="15" t="n">
        <f aca="false">INDEX(Motore_Startup!$BB$5:$BB$544,(Ipotesi!$C$5-1)*60+30)</f>
        <v>0</v>
      </c>
      <c r="F34" s="15" t="n">
        <f aca="false">INDEX(Motore_Startup!$BE$5:$BE$544,(Ipotesi!$C$5-1)*60+30)-INDEX(Motore_Startup!$BF$5:$BF$544,(Ipotesi!$C$5-1)*60+30)</f>
        <v>-150000</v>
      </c>
      <c r="G34" s="15" t="n">
        <f aca="false">INDEX(Motore_Startup!$BH$5:$BH$544,(Ipotesi!$C$5-1)*60+30)</f>
        <v>713931.747051004</v>
      </c>
      <c r="H34" s="15" t="n">
        <f aca="false">INDEX(Motore_Startup!$BI$5:$BI$544,(Ipotesi!$C$5-1)*60+30)</f>
        <v>0</v>
      </c>
      <c r="I34" s="15" t="n">
        <f aca="false">INDEX(Motore_Advisory!$BH$5:$BH$544,(Ipotesi!$C$5-1)*60+30)</f>
        <v>18919.9141329997</v>
      </c>
      <c r="J34" s="15" t="n">
        <f aca="false">INDEX(Motore_Advisory!$BI$5:$BI$544,(Ipotesi!$C$5-1)*60+30)</f>
        <v>0</v>
      </c>
      <c r="K34" s="15" t="n">
        <f aca="false">G34+I34</f>
        <v>732851.661184003</v>
      </c>
      <c r="L34" s="15" t="n">
        <f aca="false">H34+J34</f>
        <v>0</v>
      </c>
      <c r="M34" s="15" t="n">
        <f aca="false">IF(OR(G34&lt;0,I34&lt;0),1,0)</f>
        <v>0</v>
      </c>
    </row>
    <row r="35" customFormat="false" ht="15" hidden="false" customHeight="true" outlineLevel="0" collapsed="false">
      <c r="A35" s="18" t="n">
        <f aca="false">INDEX(Motore_Startup!$C$5:$C$544,(Ipotesi!$C$5-1)*60+31)</f>
        <v>47300</v>
      </c>
      <c r="B35" s="15" t="n">
        <f aca="false">INDEX(Motore_Startup!$BH$5:$BH$544,(Ipotesi!$C$5-1)*60+30)</f>
        <v>713931.747051004</v>
      </c>
      <c r="C35" s="15" t="n">
        <f aca="false">INDEX(Motore_Startup!$BD$5:$BD$544,(Ipotesi!$C$5-1)*60+31)-(INDEX(Motore_Startup!$BH$5:$BH$544,(Ipotesi!$C$5-1)*60+30))-(INDEX(Motore_Startup!$AW$5:$AW$544,(Ipotesi!$C$5-1)*60+31)+INDEX(Motore_Startup!$AX$5:$AX$544,(Ipotesi!$C$5-1)*60+31)+INDEX(Motore_Startup!$AZ$5:$AZ$544,(Ipotesi!$C$5-1)*60+31)+INDEX(Motore_Startup!$BA$5:$BA$544,(Ipotesi!$C$5-1)*60+31))+INDEX(Motore_Startup!$BB$5:$BB$544,(Ipotesi!$C$5-1)*60+31)</f>
        <v>-50005.111036081</v>
      </c>
      <c r="D35" s="15" t="n">
        <f aca="false">INDEX(Motore_Startup!$AW$5:$AW$544,(Ipotesi!$C$5-1)*60+31)+INDEX(Motore_Startup!$AX$5:$AX$544,(Ipotesi!$C$5-1)*60+31)+INDEX(Motore_Startup!$AZ$5:$AZ$544,(Ipotesi!$C$5-1)*60+31)+INDEX(Motore_Startup!$BA$5:$BA$544,(Ipotesi!$C$5-1)*60+31)</f>
        <v>0</v>
      </c>
      <c r="E35" s="15" t="n">
        <f aca="false">INDEX(Motore_Startup!$BB$5:$BB$544,(Ipotesi!$C$5-1)*60+31)</f>
        <v>0</v>
      </c>
      <c r="F35" s="15" t="n">
        <f aca="false">INDEX(Motore_Startup!$BE$5:$BE$544,(Ipotesi!$C$5-1)*60+31)-INDEX(Motore_Startup!$BF$5:$BF$544,(Ipotesi!$C$5-1)*60+31)</f>
        <v>0</v>
      </c>
      <c r="G35" s="15" t="n">
        <f aca="false">INDEX(Motore_Startup!$BH$5:$BH$544,(Ipotesi!$C$5-1)*60+31)</f>
        <v>663926.636014923</v>
      </c>
      <c r="H35" s="15" t="n">
        <f aca="false">INDEX(Motore_Startup!$BI$5:$BI$544,(Ipotesi!$C$5-1)*60+31)</f>
        <v>0</v>
      </c>
      <c r="I35" s="15" t="n">
        <f aca="false">INDEX(Motore_Advisory!$BH$5:$BH$544,(Ipotesi!$C$5-1)*60+31)</f>
        <v>34014.2214246664</v>
      </c>
      <c r="J35" s="15" t="n">
        <f aca="false">INDEX(Motore_Advisory!$BI$5:$BI$544,(Ipotesi!$C$5-1)*60+31)</f>
        <v>0</v>
      </c>
      <c r="K35" s="15" t="n">
        <f aca="false">G35+I35</f>
        <v>697940.857439589</v>
      </c>
      <c r="L35" s="15" t="n">
        <f aca="false">H35+J35</f>
        <v>0</v>
      </c>
      <c r="M35" s="15" t="n">
        <f aca="false">IF(OR(G35&lt;0,I35&lt;0),1,0)</f>
        <v>0</v>
      </c>
    </row>
    <row r="36" customFormat="false" ht="15" hidden="false" customHeight="true" outlineLevel="0" collapsed="false">
      <c r="A36" s="18" t="n">
        <f aca="false">INDEX(Motore_Startup!$C$5:$C$544,(Ipotesi!$C$5-1)*60+32)</f>
        <v>47331</v>
      </c>
      <c r="B36" s="15" t="n">
        <f aca="false">INDEX(Motore_Startup!$BH$5:$BH$544,(Ipotesi!$C$5-1)*60+31)</f>
        <v>663926.636014923</v>
      </c>
      <c r="C36" s="15" t="n">
        <f aca="false">INDEX(Motore_Startup!$BD$5:$BD$544,(Ipotesi!$C$5-1)*60+32)-(INDEX(Motore_Startup!$BH$5:$BH$544,(Ipotesi!$C$5-1)*60+31))-(INDEX(Motore_Startup!$AW$5:$AW$544,(Ipotesi!$C$5-1)*60+32)+INDEX(Motore_Startup!$AX$5:$AX$544,(Ipotesi!$C$5-1)*60+32)+INDEX(Motore_Startup!$AZ$5:$AZ$544,(Ipotesi!$C$5-1)*60+32)+INDEX(Motore_Startup!$BA$5:$BA$544,(Ipotesi!$C$5-1)*60+32))+INDEX(Motore_Startup!$BB$5:$BB$544,(Ipotesi!$C$5-1)*60+32)</f>
        <v>-47674.6967990641</v>
      </c>
      <c r="D36" s="15" t="n">
        <f aca="false">INDEX(Motore_Startup!$AW$5:$AW$544,(Ipotesi!$C$5-1)*60+32)+INDEX(Motore_Startup!$AX$5:$AX$544,(Ipotesi!$C$5-1)*60+32)+INDEX(Motore_Startup!$AZ$5:$AZ$544,(Ipotesi!$C$5-1)*60+32)+INDEX(Motore_Startup!$BA$5:$BA$544,(Ipotesi!$C$5-1)*60+32)</f>
        <v>0</v>
      </c>
      <c r="E36" s="15" t="n">
        <f aca="false">INDEX(Motore_Startup!$BB$5:$BB$544,(Ipotesi!$C$5-1)*60+32)</f>
        <v>0</v>
      </c>
      <c r="F36" s="15" t="n">
        <f aca="false">INDEX(Motore_Startup!$BE$5:$BE$544,(Ipotesi!$C$5-1)*60+32)-INDEX(Motore_Startup!$BF$5:$BF$544,(Ipotesi!$C$5-1)*60+32)</f>
        <v>0</v>
      </c>
      <c r="G36" s="15" t="n">
        <f aca="false">INDEX(Motore_Startup!$BH$5:$BH$544,(Ipotesi!$C$5-1)*60+32)</f>
        <v>616251.939215859</v>
      </c>
      <c r="H36" s="15" t="n">
        <f aca="false">INDEX(Motore_Startup!$BI$5:$BI$544,(Ipotesi!$C$5-1)*60+32)</f>
        <v>0</v>
      </c>
      <c r="I36" s="15" t="n">
        <f aca="false">INDEX(Motore_Advisory!$BH$5:$BH$544,(Ipotesi!$C$5-1)*60+32)</f>
        <v>49108.528716333</v>
      </c>
      <c r="J36" s="15" t="n">
        <f aca="false">INDEX(Motore_Advisory!$BI$5:$BI$544,(Ipotesi!$C$5-1)*60+32)</f>
        <v>0</v>
      </c>
      <c r="K36" s="15" t="n">
        <f aca="false">G36+I36</f>
        <v>665360.467932192</v>
      </c>
      <c r="L36" s="15" t="n">
        <f aca="false">H36+J36</f>
        <v>0</v>
      </c>
      <c r="M36" s="15" t="n">
        <f aca="false">IF(OR(G36&lt;0,I36&lt;0),1,0)</f>
        <v>0</v>
      </c>
    </row>
    <row r="37" customFormat="false" ht="15" hidden="false" customHeight="true" outlineLevel="0" collapsed="false">
      <c r="A37" s="18" t="n">
        <f aca="false">INDEX(Motore_Startup!$C$5:$C$544,(Ipotesi!$C$5-1)*60+33)</f>
        <v>47362</v>
      </c>
      <c r="B37" s="15" t="n">
        <f aca="false">INDEX(Motore_Startup!$BH$5:$BH$544,(Ipotesi!$C$5-1)*60+32)</f>
        <v>616251.939215859</v>
      </c>
      <c r="C37" s="15" t="n">
        <f aca="false">INDEX(Motore_Startup!$BD$5:$BD$544,(Ipotesi!$C$5-1)*60+33)-(INDEX(Motore_Startup!$BH$5:$BH$544,(Ipotesi!$C$5-1)*60+32))-(INDEX(Motore_Startup!$AW$5:$AW$544,(Ipotesi!$C$5-1)*60+33)+INDEX(Motore_Startup!$AX$5:$AX$544,(Ipotesi!$C$5-1)*60+33)+INDEX(Motore_Startup!$AZ$5:$AZ$544,(Ipotesi!$C$5-1)*60+33)+INDEX(Motore_Startup!$BA$5:$BA$544,(Ipotesi!$C$5-1)*60+33))+INDEX(Motore_Startup!$BB$5:$BB$544,(Ipotesi!$C$5-1)*60+33)</f>
        <v>-45364.6541366704</v>
      </c>
      <c r="D37" s="15" t="n">
        <f aca="false">INDEX(Motore_Startup!$AW$5:$AW$544,(Ipotesi!$C$5-1)*60+33)+INDEX(Motore_Startup!$AX$5:$AX$544,(Ipotesi!$C$5-1)*60+33)+INDEX(Motore_Startup!$AZ$5:$AZ$544,(Ipotesi!$C$5-1)*60+33)+INDEX(Motore_Startup!$BA$5:$BA$544,(Ipotesi!$C$5-1)*60+33)</f>
        <v>0</v>
      </c>
      <c r="E37" s="15" t="n">
        <f aca="false">INDEX(Motore_Startup!$BB$5:$BB$544,(Ipotesi!$C$5-1)*60+33)</f>
        <v>0</v>
      </c>
      <c r="F37" s="15" t="n">
        <f aca="false">INDEX(Motore_Startup!$BE$5:$BE$544,(Ipotesi!$C$5-1)*60+33)-INDEX(Motore_Startup!$BF$5:$BF$544,(Ipotesi!$C$5-1)*60+33)</f>
        <v>0</v>
      </c>
      <c r="G37" s="15" t="n">
        <f aca="false">INDEX(Motore_Startup!$BH$5:$BH$544,(Ipotesi!$C$5-1)*60+33)</f>
        <v>570887.285079188</v>
      </c>
      <c r="H37" s="15" t="n">
        <f aca="false">INDEX(Motore_Startup!$BI$5:$BI$544,(Ipotesi!$C$5-1)*60+33)</f>
        <v>0</v>
      </c>
      <c r="I37" s="15" t="n">
        <f aca="false">INDEX(Motore_Advisory!$BH$5:$BH$544,(Ipotesi!$C$5-1)*60+33)</f>
        <v>64202.8360079997</v>
      </c>
      <c r="J37" s="15" t="n">
        <f aca="false">INDEX(Motore_Advisory!$BI$5:$BI$544,(Ipotesi!$C$5-1)*60+33)</f>
        <v>0</v>
      </c>
      <c r="K37" s="15" t="n">
        <f aca="false">G37+I37</f>
        <v>635090.121087188</v>
      </c>
      <c r="L37" s="15" t="n">
        <f aca="false">H37+J37</f>
        <v>0</v>
      </c>
      <c r="M37" s="15" t="n">
        <f aca="false">IF(OR(G37&lt;0,I37&lt;0),1,0)</f>
        <v>0</v>
      </c>
    </row>
    <row r="38" customFormat="false" ht="15" hidden="false" customHeight="true" outlineLevel="0" collapsed="false">
      <c r="A38" s="18" t="n">
        <f aca="false">INDEX(Motore_Startup!$C$5:$C$544,(Ipotesi!$C$5-1)*60+34)</f>
        <v>47392</v>
      </c>
      <c r="B38" s="15" t="n">
        <f aca="false">INDEX(Motore_Startup!$BH$5:$BH$544,(Ipotesi!$C$5-1)*60+33)</f>
        <v>570887.285079188</v>
      </c>
      <c r="C38" s="15" t="n">
        <f aca="false">INDEX(Motore_Startup!$BD$5:$BD$544,(Ipotesi!$C$5-1)*60+34)-(INDEX(Motore_Startup!$BH$5:$BH$544,(Ipotesi!$C$5-1)*60+33))-(INDEX(Motore_Startup!$AW$5:$AW$544,(Ipotesi!$C$5-1)*60+34)+INDEX(Motore_Startup!$AX$5:$AX$544,(Ipotesi!$C$5-1)*60+34)+INDEX(Motore_Startup!$AZ$5:$AZ$544,(Ipotesi!$C$5-1)*60+34)+INDEX(Motore_Startup!$BA$5:$BA$544,(Ipotesi!$C$5-1)*60+34))+INDEX(Motore_Startup!$BB$5:$BB$544,(Ipotesi!$C$5-1)*60+34)</f>
        <v>-43074.8049685202</v>
      </c>
      <c r="D38" s="15" t="n">
        <f aca="false">INDEX(Motore_Startup!$AW$5:$AW$544,(Ipotesi!$C$5-1)*60+34)+INDEX(Motore_Startup!$AX$5:$AX$544,(Ipotesi!$C$5-1)*60+34)+INDEX(Motore_Startup!$AZ$5:$AZ$544,(Ipotesi!$C$5-1)*60+34)+INDEX(Motore_Startup!$BA$5:$BA$544,(Ipotesi!$C$5-1)*60+34)</f>
        <v>0</v>
      </c>
      <c r="E38" s="15" t="n">
        <f aca="false">INDEX(Motore_Startup!$BB$5:$BB$544,(Ipotesi!$C$5-1)*60+34)</f>
        <v>0</v>
      </c>
      <c r="F38" s="15" t="n">
        <f aca="false">INDEX(Motore_Startup!$BE$5:$BE$544,(Ipotesi!$C$5-1)*60+34)-INDEX(Motore_Startup!$BF$5:$BF$544,(Ipotesi!$C$5-1)*60+34)</f>
        <v>0</v>
      </c>
      <c r="G38" s="15" t="n">
        <f aca="false">INDEX(Motore_Startup!$BH$5:$BH$544,(Ipotesi!$C$5-1)*60+34)</f>
        <v>527812.480110668</v>
      </c>
      <c r="H38" s="15" t="n">
        <f aca="false">INDEX(Motore_Startup!$BI$5:$BI$544,(Ipotesi!$C$5-1)*60+34)</f>
        <v>0</v>
      </c>
      <c r="I38" s="15" t="n">
        <f aca="false">INDEX(Motore_Advisory!$BH$5:$BH$544,(Ipotesi!$C$5-1)*60+34)</f>
        <v>79297.1432996664</v>
      </c>
      <c r="J38" s="15" t="n">
        <f aca="false">INDEX(Motore_Advisory!$BI$5:$BI$544,(Ipotesi!$C$5-1)*60+34)</f>
        <v>0</v>
      </c>
      <c r="K38" s="15" t="n">
        <f aca="false">G38+I38</f>
        <v>607109.623410334</v>
      </c>
      <c r="L38" s="15" t="n">
        <f aca="false">H38+J38</f>
        <v>0</v>
      </c>
      <c r="M38" s="15" t="n">
        <f aca="false">IF(OR(G38&lt;0,I38&lt;0),1,0)</f>
        <v>0</v>
      </c>
    </row>
    <row r="39" customFormat="false" ht="15" hidden="false" customHeight="true" outlineLevel="0" collapsed="false">
      <c r="A39" s="18" t="n">
        <f aca="false">INDEX(Motore_Startup!$C$5:$C$544,(Ipotesi!$C$5-1)*60+35)</f>
        <v>47423</v>
      </c>
      <c r="B39" s="15" t="n">
        <f aca="false">INDEX(Motore_Startup!$BH$5:$BH$544,(Ipotesi!$C$5-1)*60+34)</f>
        <v>527812.480110668</v>
      </c>
      <c r="C39" s="15" t="n">
        <f aca="false">INDEX(Motore_Startup!$BD$5:$BD$544,(Ipotesi!$C$5-1)*60+35)-(INDEX(Motore_Startup!$BH$5:$BH$544,(Ipotesi!$C$5-1)*60+34))-(INDEX(Motore_Startup!$AW$5:$AW$544,(Ipotesi!$C$5-1)*60+35)+INDEX(Motore_Startup!$AX$5:$AX$544,(Ipotesi!$C$5-1)*60+35)+INDEX(Motore_Startup!$AZ$5:$AZ$544,(Ipotesi!$C$5-1)*60+35)+INDEX(Motore_Startup!$BA$5:$BA$544,(Ipotesi!$C$5-1)*60+35))+INDEX(Motore_Startup!$BB$5:$BB$544,(Ipotesi!$C$5-1)*60+35)</f>
        <v>-40804.9727709431</v>
      </c>
      <c r="D39" s="15" t="n">
        <f aca="false">INDEX(Motore_Startup!$AW$5:$AW$544,(Ipotesi!$C$5-1)*60+35)+INDEX(Motore_Startup!$AX$5:$AX$544,(Ipotesi!$C$5-1)*60+35)+INDEX(Motore_Startup!$AZ$5:$AZ$544,(Ipotesi!$C$5-1)*60+35)+INDEX(Motore_Startup!$BA$5:$BA$544,(Ipotesi!$C$5-1)*60+35)</f>
        <v>0</v>
      </c>
      <c r="E39" s="15" t="n">
        <f aca="false">INDEX(Motore_Startup!$BB$5:$BB$544,(Ipotesi!$C$5-1)*60+35)</f>
        <v>0</v>
      </c>
      <c r="F39" s="15" t="n">
        <f aca="false">INDEX(Motore_Startup!$BE$5:$BE$544,(Ipotesi!$C$5-1)*60+35)-INDEX(Motore_Startup!$BF$5:$BF$544,(Ipotesi!$C$5-1)*60+35)</f>
        <v>0</v>
      </c>
      <c r="G39" s="15" t="n">
        <f aca="false">INDEX(Motore_Startup!$BH$5:$BH$544,(Ipotesi!$C$5-1)*60+35)</f>
        <v>487007.507339725</v>
      </c>
      <c r="H39" s="15" t="n">
        <f aca="false">INDEX(Motore_Startup!$BI$5:$BI$544,(Ipotesi!$C$5-1)*60+35)</f>
        <v>0</v>
      </c>
      <c r="I39" s="15" t="n">
        <f aca="false">INDEX(Motore_Advisory!$BH$5:$BH$544,(Ipotesi!$C$5-1)*60+35)</f>
        <v>84473.3477040091</v>
      </c>
      <c r="J39" s="15" t="n">
        <f aca="false">INDEX(Motore_Advisory!$BI$5:$BI$544,(Ipotesi!$C$5-1)*60+35)</f>
        <v>0</v>
      </c>
      <c r="K39" s="15" t="n">
        <f aca="false">G39+I39</f>
        <v>571480.855043734</v>
      </c>
      <c r="L39" s="15" t="n">
        <f aca="false">H39+J39</f>
        <v>0</v>
      </c>
      <c r="M39" s="15" t="n">
        <f aca="false">IF(OR(G39&lt;0,I39&lt;0),1,0)</f>
        <v>0</v>
      </c>
    </row>
    <row r="40" customFormat="false" ht="15" hidden="false" customHeight="true" outlineLevel="0" collapsed="false">
      <c r="A40" s="18" t="n">
        <f aca="false">INDEX(Motore_Startup!$C$5:$C$544,(Ipotesi!$C$5-1)*60+36)</f>
        <v>47453</v>
      </c>
      <c r="B40" s="15" t="n">
        <f aca="false">INDEX(Motore_Startup!$BH$5:$BH$544,(Ipotesi!$C$5-1)*60+35)</f>
        <v>487007.507339725</v>
      </c>
      <c r="C40" s="15" t="n">
        <f aca="false">INDEX(Motore_Startup!$BD$5:$BD$544,(Ipotesi!$C$5-1)*60+36)-(INDEX(Motore_Startup!$BH$5:$BH$544,(Ipotesi!$C$5-1)*60+35))-(INDEX(Motore_Startup!$AW$5:$AW$544,(Ipotesi!$C$5-1)*60+36)+INDEX(Motore_Startup!$AX$5:$AX$544,(Ipotesi!$C$5-1)*60+36)+INDEX(Motore_Startup!$AZ$5:$AZ$544,(Ipotesi!$C$5-1)*60+36)+INDEX(Motore_Startup!$BA$5:$BA$544,(Ipotesi!$C$5-1)*60+36))+INDEX(Motore_Startup!$BB$5:$BB$544,(Ipotesi!$C$5-1)*60+36)</f>
        <v>-38554.9825633696</v>
      </c>
      <c r="D40" s="15" t="n">
        <f aca="false">INDEX(Motore_Startup!$AW$5:$AW$544,(Ipotesi!$C$5-1)*60+36)+INDEX(Motore_Startup!$AX$5:$AX$544,(Ipotesi!$C$5-1)*60+36)+INDEX(Motore_Startup!$AZ$5:$AZ$544,(Ipotesi!$C$5-1)*60+36)+INDEX(Motore_Startup!$BA$5:$BA$544,(Ipotesi!$C$5-1)*60+36)</f>
        <v>0</v>
      </c>
      <c r="E40" s="15" t="n">
        <f aca="false">INDEX(Motore_Startup!$BB$5:$BB$544,(Ipotesi!$C$5-1)*60+36)</f>
        <v>0</v>
      </c>
      <c r="F40" s="15" t="n">
        <f aca="false">INDEX(Motore_Startup!$BE$5:$BE$544,(Ipotesi!$C$5-1)*60+36)-INDEX(Motore_Startup!$BF$5:$BF$544,(Ipotesi!$C$5-1)*60+36)</f>
        <v>0</v>
      </c>
      <c r="G40" s="15" t="n">
        <f aca="false">INDEX(Motore_Startup!$BH$5:$BH$544,(Ipotesi!$C$5-1)*60+36)</f>
        <v>448452.524776355</v>
      </c>
      <c r="H40" s="15" t="n">
        <f aca="false">INDEX(Motore_Startup!$BI$5:$BI$544,(Ipotesi!$C$5-1)*60+36)</f>
        <v>0</v>
      </c>
      <c r="I40" s="15" t="n">
        <f aca="false">INDEX(Motore_Advisory!$BH$5:$BH$544,(Ipotesi!$C$5-1)*60+36)</f>
        <v>99567.6549956758</v>
      </c>
      <c r="J40" s="15" t="n">
        <f aca="false">INDEX(Motore_Advisory!$BI$5:$BI$544,(Ipotesi!$C$5-1)*60+36)</f>
        <v>0</v>
      </c>
      <c r="K40" s="15" t="n">
        <f aca="false">G40+I40</f>
        <v>548020.179772031</v>
      </c>
      <c r="L40" s="15" t="n">
        <f aca="false">H40+J40</f>
        <v>0</v>
      </c>
      <c r="M40" s="15" t="n">
        <f aca="false">IF(OR(G40&lt;0,I40&lt;0),1,0)</f>
        <v>0</v>
      </c>
    </row>
    <row r="41" customFormat="false" ht="15" hidden="false" customHeight="true" outlineLevel="0" collapsed="false">
      <c r="A41" s="18" t="n">
        <f aca="false">INDEX(Motore_Startup!$C$5:$C$544,(Ipotesi!$C$5-1)*60+37)</f>
        <v>47484</v>
      </c>
      <c r="B41" s="15" t="n">
        <f aca="false">INDEX(Motore_Startup!$BH$5:$BH$544,(Ipotesi!$C$5-1)*60+36)</f>
        <v>448452.524776355</v>
      </c>
      <c r="C41" s="15" t="n">
        <f aca="false">INDEX(Motore_Startup!$BD$5:$BD$544,(Ipotesi!$C$5-1)*60+37)-(INDEX(Motore_Startup!$BH$5:$BH$544,(Ipotesi!$C$5-1)*60+36))-(INDEX(Motore_Startup!$AW$5:$AW$544,(Ipotesi!$C$5-1)*60+37)+INDEX(Motore_Startup!$AX$5:$AX$544,(Ipotesi!$C$5-1)*60+37)+INDEX(Motore_Startup!$AZ$5:$AZ$544,(Ipotesi!$C$5-1)*60+37)+INDEX(Motore_Startup!$BA$5:$BA$544,(Ipotesi!$C$5-1)*60+37))+INDEX(Motore_Startup!$BB$5:$BB$544,(Ipotesi!$C$5-1)*60+37)</f>
        <v>-58430.7739885923</v>
      </c>
      <c r="D41" s="15" t="n">
        <f aca="false">INDEX(Motore_Startup!$AW$5:$AW$544,(Ipotesi!$C$5-1)*60+37)+INDEX(Motore_Startup!$AX$5:$AX$544,(Ipotesi!$C$5-1)*60+37)+INDEX(Motore_Startup!$AZ$5:$AZ$544,(Ipotesi!$C$5-1)*60+37)+INDEX(Motore_Startup!$BA$5:$BA$544,(Ipotesi!$C$5-1)*60+37)</f>
        <v>0</v>
      </c>
      <c r="E41" s="15" t="n">
        <f aca="false">INDEX(Motore_Startup!$BB$5:$BB$544,(Ipotesi!$C$5-1)*60+37)</f>
        <v>0</v>
      </c>
      <c r="F41" s="15" t="n">
        <f aca="false">INDEX(Motore_Startup!$BE$5:$BE$544,(Ipotesi!$C$5-1)*60+37)-INDEX(Motore_Startup!$BF$5:$BF$544,(Ipotesi!$C$5-1)*60+37)</f>
        <v>0</v>
      </c>
      <c r="G41" s="15" t="n">
        <f aca="false">INDEX(Motore_Startup!$BH$5:$BH$544,(Ipotesi!$C$5-1)*60+37)</f>
        <v>390021.750787763</v>
      </c>
      <c r="H41" s="15" t="n">
        <f aca="false">INDEX(Motore_Startup!$BI$5:$BI$544,(Ipotesi!$C$5-1)*60+37)</f>
        <v>0</v>
      </c>
      <c r="I41" s="15" t="n">
        <f aca="false">INDEX(Motore_Advisory!$BH$5:$BH$544,(Ipotesi!$C$5-1)*60+37)</f>
        <v>106365.931956092</v>
      </c>
      <c r="J41" s="15" t="n">
        <f aca="false">INDEX(Motore_Advisory!$BI$5:$BI$544,(Ipotesi!$C$5-1)*60+37)</f>
        <v>0</v>
      </c>
      <c r="K41" s="15" t="n">
        <f aca="false">G41+I41</f>
        <v>496387.682743856</v>
      </c>
      <c r="L41" s="15" t="n">
        <f aca="false">H41+J41</f>
        <v>0</v>
      </c>
      <c r="M41" s="15" t="n">
        <f aca="false">IF(OR(G41&lt;0,I41&lt;0),1,0)</f>
        <v>0</v>
      </c>
    </row>
    <row r="42" customFormat="false" ht="15" hidden="false" customHeight="true" outlineLevel="0" collapsed="false">
      <c r="A42" s="18" t="n">
        <f aca="false">INDEX(Motore_Startup!$C$5:$C$544,(Ipotesi!$C$5-1)*60+38)</f>
        <v>47515</v>
      </c>
      <c r="B42" s="15" t="n">
        <f aca="false">INDEX(Motore_Startup!$BH$5:$BH$544,(Ipotesi!$C$5-1)*60+37)</f>
        <v>390021.750787763</v>
      </c>
      <c r="C42" s="15" t="n">
        <f aca="false">INDEX(Motore_Startup!$BD$5:$BD$544,(Ipotesi!$C$5-1)*60+38)-(INDEX(Motore_Startup!$BH$5:$BH$544,(Ipotesi!$C$5-1)*60+37))-(INDEX(Motore_Startup!$AW$5:$AW$544,(Ipotesi!$C$5-1)*60+38)+INDEX(Motore_Startup!$AX$5:$AX$544,(Ipotesi!$C$5-1)*60+38)+INDEX(Motore_Startup!$AZ$5:$AZ$544,(Ipotesi!$C$5-1)*60+38)+INDEX(Motore_Startup!$BA$5:$BA$544,(Ipotesi!$C$5-1)*60+38))+INDEX(Motore_Startup!$BB$5:$BB$544,(Ipotesi!$C$5-1)*60+38)</f>
        <v>-56337.5080945117</v>
      </c>
      <c r="D42" s="15" t="n">
        <f aca="false">INDEX(Motore_Startup!$AW$5:$AW$544,(Ipotesi!$C$5-1)*60+38)+INDEX(Motore_Startup!$AX$5:$AX$544,(Ipotesi!$C$5-1)*60+38)+INDEX(Motore_Startup!$AZ$5:$AZ$544,(Ipotesi!$C$5-1)*60+38)+INDEX(Motore_Startup!$BA$5:$BA$544,(Ipotesi!$C$5-1)*60+38)</f>
        <v>0</v>
      </c>
      <c r="E42" s="15" t="n">
        <f aca="false">INDEX(Motore_Startup!$BB$5:$BB$544,(Ipotesi!$C$5-1)*60+38)</f>
        <v>0</v>
      </c>
      <c r="F42" s="15" t="n">
        <f aca="false">INDEX(Motore_Startup!$BE$5:$BE$544,(Ipotesi!$C$5-1)*60+38)-INDEX(Motore_Startup!$BF$5:$BF$544,(Ipotesi!$C$5-1)*60+38)</f>
        <v>0</v>
      </c>
      <c r="G42" s="15" t="n">
        <f aca="false">INDEX(Motore_Startup!$BH$5:$BH$544,(Ipotesi!$C$5-1)*60+38)</f>
        <v>333684.242693251</v>
      </c>
      <c r="H42" s="15" t="n">
        <f aca="false">INDEX(Motore_Startup!$BI$5:$BI$544,(Ipotesi!$C$5-1)*60+38)</f>
        <v>0</v>
      </c>
      <c r="I42" s="15" t="n">
        <f aca="false">INDEX(Motore_Advisory!$BH$5:$BH$544,(Ipotesi!$C$5-1)*60+38)</f>
        <v>104570.347583176</v>
      </c>
      <c r="J42" s="15" t="n">
        <f aca="false">INDEX(Motore_Advisory!$BI$5:$BI$544,(Ipotesi!$C$5-1)*60+38)</f>
        <v>0</v>
      </c>
      <c r="K42" s="15" t="n">
        <f aca="false">G42+I42</f>
        <v>438254.590276427</v>
      </c>
      <c r="L42" s="15" t="n">
        <f aca="false">H42+J42</f>
        <v>0</v>
      </c>
      <c r="M42" s="15" t="n">
        <f aca="false">IF(OR(G42&lt;0,I42&lt;0),1,0)</f>
        <v>0</v>
      </c>
    </row>
    <row r="43" customFormat="false" ht="15" hidden="false" customHeight="true" outlineLevel="0" collapsed="false">
      <c r="A43" s="18" t="n">
        <f aca="false">INDEX(Motore_Startup!$C$5:$C$544,(Ipotesi!$C$5-1)*60+39)</f>
        <v>47543</v>
      </c>
      <c r="B43" s="15" t="n">
        <f aca="false">INDEX(Motore_Startup!$BH$5:$BH$544,(Ipotesi!$C$5-1)*60+38)</f>
        <v>333684.242693251</v>
      </c>
      <c r="C43" s="15" t="n">
        <f aca="false">INDEX(Motore_Startup!$BD$5:$BD$544,(Ipotesi!$C$5-1)*60+39)-(INDEX(Motore_Startup!$BH$5:$BH$544,(Ipotesi!$C$5-1)*60+38))-(INDEX(Motore_Startup!$AW$5:$AW$544,(Ipotesi!$C$5-1)*60+39)+INDEX(Motore_Startup!$AX$5:$AX$544,(Ipotesi!$C$5-1)*60+39)+INDEX(Motore_Startup!$AZ$5:$AZ$544,(Ipotesi!$C$5-1)*60+39)+INDEX(Motore_Startup!$BA$5:$BA$544,(Ipotesi!$C$5-1)*60+39))+INDEX(Motore_Startup!$BB$5:$BB$544,(Ipotesi!$C$5-1)*60+39)</f>
        <v>-70467.7080192905</v>
      </c>
      <c r="D43" s="15" t="n">
        <f aca="false">INDEX(Motore_Startup!$AW$5:$AW$544,(Ipotesi!$C$5-1)*60+39)+INDEX(Motore_Startup!$AX$5:$AX$544,(Ipotesi!$C$5-1)*60+39)+INDEX(Motore_Startup!$AZ$5:$AZ$544,(Ipotesi!$C$5-1)*60+39)+INDEX(Motore_Startup!$BA$5:$BA$544,(Ipotesi!$C$5-1)*60+39)</f>
        <v>0</v>
      </c>
      <c r="E43" s="15" t="n">
        <f aca="false">INDEX(Motore_Startup!$BB$5:$BB$544,(Ipotesi!$C$5-1)*60+39)</f>
        <v>0</v>
      </c>
      <c r="F43" s="15" t="n">
        <f aca="false">INDEX(Motore_Startup!$BE$5:$BE$544,(Ipotesi!$C$5-1)*60+39)-INDEX(Motore_Startup!$BF$5:$BF$544,(Ipotesi!$C$5-1)*60+39)</f>
        <v>0</v>
      </c>
      <c r="G43" s="15" t="n">
        <f aca="false">INDEX(Motore_Startup!$BH$5:$BH$544,(Ipotesi!$C$5-1)*60+39)</f>
        <v>263216.534673961</v>
      </c>
      <c r="H43" s="15" t="n">
        <f aca="false">INDEX(Motore_Startup!$BI$5:$BI$544,(Ipotesi!$C$5-1)*60+39)</f>
        <v>0</v>
      </c>
      <c r="I43" s="15" t="n">
        <f aca="false">INDEX(Motore_Advisory!$BH$5:$BH$544,(Ipotesi!$C$5-1)*60+39)</f>
        <v>96971.7912102592</v>
      </c>
      <c r="J43" s="15" t="n">
        <f aca="false">INDEX(Motore_Advisory!$BI$5:$BI$544,(Ipotesi!$C$5-1)*60+39)</f>
        <v>0</v>
      </c>
      <c r="K43" s="15" t="n">
        <f aca="false">G43+I43</f>
        <v>360188.32588422</v>
      </c>
      <c r="L43" s="15" t="n">
        <f aca="false">H43+J43</f>
        <v>0</v>
      </c>
      <c r="M43" s="15" t="n">
        <f aca="false">IF(OR(G43&lt;0,I43&lt;0),1,0)</f>
        <v>0</v>
      </c>
    </row>
    <row r="44" customFormat="false" ht="15" hidden="false" customHeight="true" outlineLevel="0" collapsed="false">
      <c r="A44" s="18" t="n">
        <f aca="false">INDEX(Motore_Startup!$C$5:$C$544,(Ipotesi!$C$5-1)*60+40)</f>
        <v>47574</v>
      </c>
      <c r="B44" s="15" t="n">
        <f aca="false">INDEX(Motore_Startup!$BH$5:$BH$544,(Ipotesi!$C$5-1)*60+39)</f>
        <v>263216.534673961</v>
      </c>
      <c r="C44" s="15" t="n">
        <f aca="false">INDEX(Motore_Startup!$BD$5:$BD$544,(Ipotesi!$C$5-1)*60+40)-(INDEX(Motore_Startup!$BH$5:$BH$544,(Ipotesi!$C$5-1)*60+39))-(INDEX(Motore_Startup!$AW$5:$AW$544,(Ipotesi!$C$5-1)*60+40)+INDEX(Motore_Startup!$AX$5:$AX$544,(Ipotesi!$C$5-1)*60+40)+INDEX(Motore_Startup!$AZ$5:$AZ$544,(Ipotesi!$C$5-1)*60+40)+INDEX(Motore_Startup!$BA$5:$BA$544,(Ipotesi!$C$5-1)*60+40))+INDEX(Motore_Startup!$BB$5:$BB$544,(Ipotesi!$C$5-1)*60+40)</f>
        <v>-35721.3259969643</v>
      </c>
      <c r="D44" s="15" t="n">
        <f aca="false">INDEX(Motore_Startup!$AW$5:$AW$544,(Ipotesi!$C$5-1)*60+40)+INDEX(Motore_Startup!$AX$5:$AX$544,(Ipotesi!$C$5-1)*60+40)+INDEX(Motore_Startup!$AZ$5:$AZ$544,(Ipotesi!$C$5-1)*60+40)+INDEX(Motore_Startup!$BA$5:$BA$544,(Ipotesi!$C$5-1)*60+40)</f>
        <v>0</v>
      </c>
      <c r="E44" s="15" t="n">
        <f aca="false">INDEX(Motore_Startup!$BB$5:$BB$544,(Ipotesi!$C$5-1)*60+40)</f>
        <v>0</v>
      </c>
      <c r="F44" s="15" t="n">
        <f aca="false">INDEX(Motore_Startup!$BE$5:$BE$544,(Ipotesi!$C$5-1)*60+40)-INDEX(Motore_Startup!$BF$5:$BF$544,(Ipotesi!$C$5-1)*60+40)</f>
        <v>0</v>
      </c>
      <c r="G44" s="15" t="n">
        <f aca="false">INDEX(Motore_Startup!$BH$5:$BH$544,(Ipotesi!$C$5-1)*60+40)</f>
        <v>227495.208676997</v>
      </c>
      <c r="H44" s="15" t="n">
        <f aca="false">INDEX(Motore_Startup!$BI$5:$BI$544,(Ipotesi!$C$5-1)*60+40)</f>
        <v>0</v>
      </c>
      <c r="I44" s="15" t="n">
        <f aca="false">INDEX(Motore_Advisory!$BH$5:$BH$544,(Ipotesi!$C$5-1)*60+40)</f>
        <v>125658.068170676</v>
      </c>
      <c r="J44" s="15" t="n">
        <f aca="false">INDEX(Motore_Advisory!$BI$5:$BI$544,(Ipotesi!$C$5-1)*60+40)</f>
        <v>0</v>
      </c>
      <c r="K44" s="15" t="n">
        <f aca="false">G44+I44</f>
        <v>353153.276847672</v>
      </c>
      <c r="L44" s="15" t="n">
        <f aca="false">H44+J44</f>
        <v>0</v>
      </c>
      <c r="M44" s="15" t="n">
        <f aca="false">IF(OR(G44&lt;0,I44&lt;0),1,0)</f>
        <v>0</v>
      </c>
    </row>
    <row r="45" customFormat="false" ht="15" hidden="false" customHeight="true" outlineLevel="0" collapsed="false">
      <c r="A45" s="18" t="n">
        <f aca="false">INDEX(Motore_Startup!$C$5:$C$544,(Ipotesi!$C$5-1)*60+41)</f>
        <v>47604</v>
      </c>
      <c r="B45" s="15" t="n">
        <f aca="false">INDEX(Motore_Startup!$BH$5:$BH$544,(Ipotesi!$C$5-1)*60+40)</f>
        <v>227495.208676997</v>
      </c>
      <c r="C45" s="15" t="n">
        <f aca="false">INDEX(Motore_Startup!$BD$5:$BD$544,(Ipotesi!$C$5-1)*60+41)-(INDEX(Motore_Startup!$BH$5:$BH$544,(Ipotesi!$C$5-1)*60+40))-(INDEX(Motore_Startup!$AW$5:$AW$544,(Ipotesi!$C$5-1)*60+41)+INDEX(Motore_Startup!$AX$5:$AX$544,(Ipotesi!$C$5-1)*60+41)+INDEX(Motore_Startup!$AZ$5:$AZ$544,(Ipotesi!$C$5-1)*60+41)+INDEX(Motore_Startup!$BA$5:$BA$544,(Ipotesi!$C$5-1)*60+41))+INDEX(Motore_Startup!$BB$5:$BB$544,(Ipotesi!$C$5-1)*60+41)</f>
        <v>-33908.887347413</v>
      </c>
      <c r="D45" s="15" t="n">
        <f aca="false">INDEX(Motore_Startup!$AW$5:$AW$544,(Ipotesi!$C$5-1)*60+41)+INDEX(Motore_Startup!$AX$5:$AX$544,(Ipotesi!$C$5-1)*60+41)+INDEX(Motore_Startup!$AZ$5:$AZ$544,(Ipotesi!$C$5-1)*60+41)+INDEX(Motore_Startup!$BA$5:$BA$544,(Ipotesi!$C$5-1)*60+41)</f>
        <v>0</v>
      </c>
      <c r="E45" s="15" t="n">
        <f aca="false">INDEX(Motore_Startup!$BB$5:$BB$544,(Ipotesi!$C$5-1)*60+41)</f>
        <v>0</v>
      </c>
      <c r="F45" s="15" t="n">
        <f aca="false">INDEX(Motore_Startup!$BE$5:$BE$544,(Ipotesi!$C$5-1)*60+41)-INDEX(Motore_Startup!$BF$5:$BF$544,(Ipotesi!$C$5-1)*60+41)</f>
        <v>0</v>
      </c>
      <c r="G45" s="15" t="n">
        <f aca="false">INDEX(Motore_Startup!$BH$5:$BH$544,(Ipotesi!$C$5-1)*60+41)</f>
        <v>193586.321329584</v>
      </c>
      <c r="H45" s="15" t="n">
        <f aca="false">INDEX(Motore_Startup!$BI$5:$BI$544,(Ipotesi!$C$5-1)*60+41)</f>
        <v>0</v>
      </c>
      <c r="I45" s="15" t="n">
        <f aca="false">INDEX(Motore_Advisory!$BH$5:$BH$544,(Ipotesi!$C$5-1)*60+41)</f>
        <v>154344.345131092</v>
      </c>
      <c r="J45" s="15" t="n">
        <f aca="false">INDEX(Motore_Advisory!$BI$5:$BI$544,(Ipotesi!$C$5-1)*60+41)</f>
        <v>0</v>
      </c>
      <c r="K45" s="15" t="n">
        <f aca="false">G45+I45</f>
        <v>347930.666460676</v>
      </c>
      <c r="L45" s="15" t="n">
        <f aca="false">H45+J45</f>
        <v>0</v>
      </c>
      <c r="M45" s="15" t="n">
        <f aca="false">IF(OR(G45&lt;0,I45&lt;0),1,0)</f>
        <v>0</v>
      </c>
    </row>
    <row r="46" customFormat="false" ht="15" hidden="false" customHeight="true" outlineLevel="0" collapsed="false">
      <c r="A46" s="18" t="n">
        <f aca="false">INDEX(Motore_Startup!$C$5:$C$544,(Ipotesi!$C$5-1)*60+42)</f>
        <v>47635</v>
      </c>
      <c r="B46" s="15" t="n">
        <f aca="false">INDEX(Motore_Startup!$BH$5:$BH$544,(Ipotesi!$C$5-1)*60+41)</f>
        <v>193586.321329584</v>
      </c>
      <c r="C46" s="15" t="n">
        <f aca="false">INDEX(Motore_Startup!$BD$5:$BD$544,(Ipotesi!$C$5-1)*60+42)-(INDEX(Motore_Startup!$BH$5:$BH$544,(Ipotesi!$C$5-1)*60+41))-(INDEX(Motore_Startup!$AW$5:$AW$544,(Ipotesi!$C$5-1)*60+42)+INDEX(Motore_Startup!$AX$5:$AX$544,(Ipotesi!$C$5-1)*60+42)+INDEX(Motore_Startup!$AZ$5:$AZ$544,(Ipotesi!$C$5-1)*60+42)+INDEX(Motore_Startup!$BA$5:$BA$544,(Ipotesi!$C$5-1)*60+42))+INDEX(Motore_Startup!$BB$5:$BB$544,(Ipotesi!$C$5-1)*60+42)</f>
        <v>-32279.0812095403</v>
      </c>
      <c r="D46" s="15" t="n">
        <f aca="false">INDEX(Motore_Startup!$AW$5:$AW$544,(Ipotesi!$C$5-1)*60+42)+INDEX(Motore_Startup!$AX$5:$AX$544,(Ipotesi!$C$5-1)*60+42)+INDEX(Motore_Startup!$AZ$5:$AZ$544,(Ipotesi!$C$5-1)*60+42)+INDEX(Motore_Startup!$BA$5:$BA$544,(Ipotesi!$C$5-1)*60+42)</f>
        <v>35707.0162944445</v>
      </c>
      <c r="E46" s="15" t="n">
        <f aca="false">INDEX(Motore_Startup!$BB$5:$BB$544,(Ipotesi!$C$5-1)*60+42)</f>
        <v>13269.6498441983</v>
      </c>
      <c r="F46" s="15" t="n">
        <f aca="false">INDEX(Motore_Startup!$BE$5:$BE$544,(Ipotesi!$C$5-1)*60+42)-INDEX(Motore_Startup!$BF$5:$BF$544,(Ipotesi!$C$5-1)*60+42)</f>
        <v>0</v>
      </c>
      <c r="G46" s="15" t="n">
        <f aca="false">INDEX(Motore_Startup!$BH$5:$BH$544,(Ipotesi!$C$5-1)*60+42)</f>
        <v>183744.606570289</v>
      </c>
      <c r="H46" s="15" t="n">
        <f aca="false">INDEX(Motore_Startup!$BI$5:$BI$544,(Ipotesi!$C$5-1)*60+42)</f>
        <v>0</v>
      </c>
      <c r="I46" s="15" t="n">
        <f aca="false">INDEX(Motore_Advisory!$BH$5:$BH$544,(Ipotesi!$C$5-1)*60+42)</f>
        <v>73892.8964176045</v>
      </c>
      <c r="J46" s="15" t="n">
        <f aca="false">INDEX(Motore_Advisory!$BI$5:$BI$544,(Ipotesi!$C$5-1)*60+42)</f>
        <v>0</v>
      </c>
      <c r="K46" s="15" t="n">
        <f aca="false">G46+I46</f>
        <v>257637.502987894</v>
      </c>
      <c r="L46" s="15" t="n">
        <f aca="false">H46+J46</f>
        <v>0</v>
      </c>
      <c r="M46" s="15" t="n">
        <f aca="false">IF(OR(G46&lt;0,I46&lt;0),1,0)</f>
        <v>0</v>
      </c>
    </row>
    <row r="47" customFormat="false" ht="15" hidden="false" customHeight="true" outlineLevel="0" collapsed="false">
      <c r="A47" s="18" t="n">
        <f aca="false">INDEX(Motore_Startup!$C$5:$C$544,(Ipotesi!$C$5-1)*60+43)</f>
        <v>47665</v>
      </c>
      <c r="B47" s="15" t="n">
        <f aca="false">INDEX(Motore_Startup!$BH$5:$BH$544,(Ipotesi!$C$5-1)*60+42)</f>
        <v>183744.606570289</v>
      </c>
      <c r="C47" s="15" t="n">
        <f aca="false">INDEX(Motore_Startup!$BD$5:$BD$544,(Ipotesi!$C$5-1)*60+43)-(INDEX(Motore_Startup!$BH$5:$BH$544,(Ipotesi!$C$5-1)*60+42))-(INDEX(Motore_Startup!$AW$5:$AW$544,(Ipotesi!$C$5-1)*60+43)+INDEX(Motore_Startup!$AX$5:$AX$544,(Ipotesi!$C$5-1)*60+43)+INDEX(Motore_Startup!$AZ$5:$AZ$544,(Ipotesi!$C$5-1)*60+43)+INDEX(Motore_Startup!$BA$5:$BA$544,(Ipotesi!$C$5-1)*60+43))+INDEX(Motore_Startup!$BB$5:$BB$544,(Ipotesi!$C$5-1)*60+43)</f>
        <v>-30175.2848263407</v>
      </c>
      <c r="D47" s="15" t="n">
        <f aca="false">INDEX(Motore_Startup!$AW$5:$AW$544,(Ipotesi!$C$5-1)*60+43)+INDEX(Motore_Startup!$AX$5:$AX$544,(Ipotesi!$C$5-1)*60+43)+INDEX(Motore_Startup!$AZ$5:$AZ$544,(Ipotesi!$C$5-1)*60+43)+INDEX(Motore_Startup!$BA$5:$BA$544,(Ipotesi!$C$5-1)*60+43)</f>
        <v>0</v>
      </c>
      <c r="E47" s="15" t="n">
        <f aca="false">INDEX(Motore_Startup!$BB$5:$BB$544,(Ipotesi!$C$5-1)*60+43)</f>
        <v>0</v>
      </c>
      <c r="F47" s="15" t="n">
        <f aca="false">INDEX(Motore_Startup!$BE$5:$BE$544,(Ipotesi!$C$5-1)*60+43)-INDEX(Motore_Startup!$BF$5:$BF$544,(Ipotesi!$C$5-1)*60+43)</f>
        <v>0</v>
      </c>
      <c r="G47" s="15" t="n">
        <f aca="false">INDEX(Motore_Startup!$BH$5:$BH$544,(Ipotesi!$C$5-1)*60+43)</f>
        <v>153569.321743949</v>
      </c>
      <c r="H47" s="15" t="n">
        <f aca="false">INDEX(Motore_Startup!$BI$5:$BI$544,(Ipotesi!$C$5-1)*60+43)</f>
        <v>0</v>
      </c>
      <c r="I47" s="15" t="n">
        <f aca="false">INDEX(Motore_Advisory!$BH$5:$BH$544,(Ipotesi!$C$5-1)*60+43)</f>
        <v>102579.173378021</v>
      </c>
      <c r="J47" s="15" t="n">
        <f aca="false">INDEX(Motore_Advisory!$BI$5:$BI$544,(Ipotesi!$C$5-1)*60+43)</f>
        <v>0</v>
      </c>
      <c r="K47" s="15" t="n">
        <f aca="false">G47+I47</f>
        <v>256148.49512197</v>
      </c>
      <c r="L47" s="15" t="n">
        <f aca="false">H47+J47</f>
        <v>0</v>
      </c>
      <c r="M47" s="15" t="n">
        <f aca="false">IF(OR(G47&lt;0,I47&lt;0),1,0)</f>
        <v>0</v>
      </c>
    </row>
    <row r="48" customFormat="false" ht="15" hidden="false" customHeight="true" outlineLevel="0" collapsed="false">
      <c r="A48" s="18" t="n">
        <f aca="false">INDEX(Motore_Startup!$C$5:$C$544,(Ipotesi!$C$5-1)*60+44)</f>
        <v>47696</v>
      </c>
      <c r="B48" s="15" t="n">
        <f aca="false">INDEX(Motore_Startup!$BH$5:$BH$544,(Ipotesi!$C$5-1)*60+43)</f>
        <v>153569.321743949</v>
      </c>
      <c r="C48" s="15" t="n">
        <f aca="false">INDEX(Motore_Startup!$BD$5:$BD$544,(Ipotesi!$C$5-1)*60+44)-(INDEX(Motore_Startup!$BH$5:$BH$544,(Ipotesi!$C$5-1)*60+43))-(INDEX(Motore_Startup!$AW$5:$AW$544,(Ipotesi!$C$5-1)*60+44)+INDEX(Motore_Startup!$AX$5:$AX$544,(Ipotesi!$C$5-1)*60+44)+INDEX(Motore_Startup!$AZ$5:$AZ$544,(Ipotesi!$C$5-1)*60+44)+INDEX(Motore_Startup!$BA$5:$BA$544,(Ipotesi!$C$5-1)*60+44))+INDEX(Motore_Startup!$BB$5:$BB$544,(Ipotesi!$C$5-1)*60+44)</f>
        <v>-27524.6500367828</v>
      </c>
      <c r="D48" s="15" t="n">
        <f aca="false">INDEX(Motore_Startup!$AW$5:$AW$544,(Ipotesi!$C$5-1)*60+44)+INDEX(Motore_Startup!$AX$5:$AX$544,(Ipotesi!$C$5-1)*60+44)+INDEX(Motore_Startup!$AZ$5:$AZ$544,(Ipotesi!$C$5-1)*60+44)+INDEX(Motore_Startup!$BA$5:$BA$544,(Ipotesi!$C$5-1)*60+44)</f>
        <v>0</v>
      </c>
      <c r="E48" s="15" t="n">
        <f aca="false">INDEX(Motore_Startup!$BB$5:$BB$544,(Ipotesi!$C$5-1)*60+44)</f>
        <v>0</v>
      </c>
      <c r="F48" s="15" t="n">
        <f aca="false">INDEX(Motore_Startup!$BE$5:$BE$544,(Ipotesi!$C$5-1)*60+44)-INDEX(Motore_Startup!$BF$5:$BF$544,(Ipotesi!$C$5-1)*60+44)</f>
        <v>0</v>
      </c>
      <c r="G48" s="15" t="n">
        <f aca="false">INDEX(Motore_Startup!$BH$5:$BH$544,(Ipotesi!$C$5-1)*60+44)</f>
        <v>126044.671707166</v>
      </c>
      <c r="H48" s="15" t="n">
        <f aca="false">INDEX(Motore_Startup!$BI$5:$BI$544,(Ipotesi!$C$5-1)*60+44)</f>
        <v>0</v>
      </c>
      <c r="I48" s="15" t="n">
        <f aca="false">INDEX(Motore_Advisory!$BH$5:$BH$544,(Ipotesi!$C$5-1)*60+44)</f>
        <v>131265.450338438</v>
      </c>
      <c r="J48" s="15" t="n">
        <f aca="false">INDEX(Motore_Advisory!$BI$5:$BI$544,(Ipotesi!$C$5-1)*60+44)</f>
        <v>0</v>
      </c>
      <c r="K48" s="15" t="n">
        <f aca="false">G48+I48</f>
        <v>257310.122045604</v>
      </c>
      <c r="L48" s="15" t="n">
        <f aca="false">H48+J48</f>
        <v>0</v>
      </c>
      <c r="M48" s="15" t="n">
        <f aca="false">IF(OR(G48&lt;0,I48&lt;0),1,0)</f>
        <v>0</v>
      </c>
    </row>
    <row r="49" customFormat="false" ht="15" hidden="false" customHeight="true" outlineLevel="0" collapsed="false">
      <c r="A49" s="18" t="n">
        <f aca="false">INDEX(Motore_Startup!$C$5:$C$544,(Ipotesi!$C$5-1)*60+45)</f>
        <v>47727</v>
      </c>
      <c r="B49" s="15" t="n">
        <f aca="false">INDEX(Motore_Startup!$BH$5:$BH$544,(Ipotesi!$C$5-1)*60+44)</f>
        <v>126044.671707166</v>
      </c>
      <c r="C49" s="15" t="n">
        <f aca="false">INDEX(Motore_Startup!$BD$5:$BD$544,(Ipotesi!$C$5-1)*60+45)-(INDEX(Motore_Startup!$BH$5:$BH$544,(Ipotesi!$C$5-1)*60+44))-(INDEX(Motore_Startup!$AW$5:$AW$544,(Ipotesi!$C$5-1)*60+45)+INDEX(Motore_Startup!$AX$5:$AX$544,(Ipotesi!$C$5-1)*60+45)+INDEX(Motore_Startup!$AZ$5:$AZ$544,(Ipotesi!$C$5-1)*60+45)+INDEX(Motore_Startup!$BA$5:$BA$544,(Ipotesi!$C$5-1)*60+45))+INDEX(Motore_Startup!$BB$5:$BB$544,(Ipotesi!$C$5-1)*60+45)</f>
        <v>-24897.1860653384</v>
      </c>
      <c r="D49" s="15" t="n">
        <f aca="false">INDEX(Motore_Startup!$AW$5:$AW$544,(Ipotesi!$C$5-1)*60+45)+INDEX(Motore_Startup!$AX$5:$AX$544,(Ipotesi!$C$5-1)*60+45)+INDEX(Motore_Startup!$AZ$5:$AZ$544,(Ipotesi!$C$5-1)*60+45)+INDEX(Motore_Startup!$BA$5:$BA$544,(Ipotesi!$C$5-1)*60+45)</f>
        <v>0</v>
      </c>
      <c r="E49" s="15" t="n">
        <f aca="false">INDEX(Motore_Startup!$BB$5:$BB$544,(Ipotesi!$C$5-1)*60+45)</f>
        <v>0</v>
      </c>
      <c r="F49" s="15" t="n">
        <f aca="false">INDEX(Motore_Startup!$BE$5:$BE$544,(Ipotesi!$C$5-1)*60+45)-INDEX(Motore_Startup!$BF$5:$BF$544,(Ipotesi!$C$5-1)*60+45)</f>
        <v>0</v>
      </c>
      <c r="G49" s="15" t="n">
        <f aca="false">INDEX(Motore_Startup!$BH$5:$BH$544,(Ipotesi!$C$5-1)*60+45)</f>
        <v>101147.485641828</v>
      </c>
      <c r="H49" s="15" t="n">
        <f aca="false">INDEX(Motore_Startup!$BI$5:$BI$544,(Ipotesi!$C$5-1)*60+45)</f>
        <v>0</v>
      </c>
      <c r="I49" s="15" t="n">
        <f aca="false">INDEX(Motore_Advisory!$BH$5:$BH$544,(Ipotesi!$C$5-1)*60+45)</f>
        <v>159951.727298854</v>
      </c>
      <c r="J49" s="15" t="n">
        <f aca="false">INDEX(Motore_Advisory!$BI$5:$BI$544,(Ipotesi!$C$5-1)*60+45)</f>
        <v>0</v>
      </c>
      <c r="K49" s="15" t="n">
        <f aca="false">G49+I49</f>
        <v>261099.212940682</v>
      </c>
      <c r="L49" s="15" t="n">
        <f aca="false">H49+J49</f>
        <v>0</v>
      </c>
      <c r="M49" s="15" t="n">
        <f aca="false">IF(OR(G49&lt;0,I49&lt;0),1,0)</f>
        <v>0</v>
      </c>
    </row>
    <row r="50" customFormat="false" ht="15" hidden="false" customHeight="true" outlineLevel="0" collapsed="false">
      <c r="A50" s="18" t="n">
        <f aca="false">INDEX(Motore_Startup!$C$5:$C$544,(Ipotesi!$C$5-1)*60+46)</f>
        <v>47757</v>
      </c>
      <c r="B50" s="15" t="n">
        <f aca="false">INDEX(Motore_Startup!$BH$5:$BH$544,(Ipotesi!$C$5-1)*60+45)</f>
        <v>101147.485641828</v>
      </c>
      <c r="C50" s="15" t="n">
        <f aca="false">INDEX(Motore_Startup!$BD$5:$BD$544,(Ipotesi!$C$5-1)*60+46)-(INDEX(Motore_Startup!$BH$5:$BH$544,(Ipotesi!$C$5-1)*60+45))-(INDEX(Motore_Startup!$AW$5:$AW$544,(Ipotesi!$C$5-1)*60+46)+INDEX(Motore_Startup!$AX$5:$AX$544,(Ipotesi!$C$5-1)*60+46)+INDEX(Motore_Startup!$AZ$5:$AZ$544,(Ipotesi!$C$5-1)*60+46)+INDEX(Motore_Startup!$BA$5:$BA$544,(Ipotesi!$C$5-1)*60+46))+INDEX(Motore_Startup!$BB$5:$BB$544,(Ipotesi!$C$5-1)*60+46)</f>
        <v>-22292.6903617297</v>
      </c>
      <c r="D50" s="15" t="n">
        <f aca="false">INDEX(Motore_Startup!$AW$5:$AW$544,(Ipotesi!$C$5-1)*60+46)+INDEX(Motore_Startup!$AX$5:$AX$544,(Ipotesi!$C$5-1)*60+46)+INDEX(Motore_Startup!$AZ$5:$AZ$544,(Ipotesi!$C$5-1)*60+46)+INDEX(Motore_Startup!$BA$5:$BA$544,(Ipotesi!$C$5-1)*60+46)</f>
        <v>0</v>
      </c>
      <c r="E50" s="15" t="n">
        <f aca="false">INDEX(Motore_Startup!$BB$5:$BB$544,(Ipotesi!$C$5-1)*60+46)</f>
        <v>0</v>
      </c>
      <c r="F50" s="15" t="n">
        <f aca="false">INDEX(Motore_Startup!$BE$5:$BE$544,(Ipotesi!$C$5-1)*60+46)-INDEX(Motore_Startup!$BF$5:$BF$544,(Ipotesi!$C$5-1)*60+46)</f>
        <v>0</v>
      </c>
      <c r="G50" s="15" t="n">
        <f aca="false">INDEX(Motore_Startup!$BH$5:$BH$544,(Ipotesi!$C$5-1)*60+46)</f>
        <v>78854.7952800978</v>
      </c>
      <c r="H50" s="15" t="n">
        <f aca="false">INDEX(Motore_Startup!$BI$5:$BI$544,(Ipotesi!$C$5-1)*60+46)</f>
        <v>0</v>
      </c>
      <c r="I50" s="15" t="n">
        <f aca="false">INDEX(Motore_Advisory!$BH$5:$BH$544,(Ipotesi!$C$5-1)*60+46)</f>
        <v>188638.004259271</v>
      </c>
      <c r="J50" s="15" t="n">
        <f aca="false">INDEX(Motore_Advisory!$BI$5:$BI$544,(Ipotesi!$C$5-1)*60+46)</f>
        <v>0</v>
      </c>
      <c r="K50" s="15" t="n">
        <f aca="false">G50+I50</f>
        <v>267492.799539369</v>
      </c>
      <c r="L50" s="15" t="n">
        <f aca="false">H50+J50</f>
        <v>0</v>
      </c>
      <c r="M50" s="15" t="n">
        <f aca="false">IF(OR(G50&lt;0,I50&lt;0),1,0)</f>
        <v>0</v>
      </c>
    </row>
    <row r="51" customFormat="false" ht="15" hidden="false" customHeight="true" outlineLevel="0" collapsed="false">
      <c r="A51" s="18" t="n">
        <f aca="false">INDEX(Motore_Startup!$C$5:$C$544,(Ipotesi!$C$5-1)*60+47)</f>
        <v>47788</v>
      </c>
      <c r="B51" s="15" t="n">
        <f aca="false">INDEX(Motore_Startup!$BH$5:$BH$544,(Ipotesi!$C$5-1)*60+46)</f>
        <v>78854.7952800978</v>
      </c>
      <c r="C51" s="15" t="n">
        <f aca="false">INDEX(Motore_Startup!$BD$5:$BD$544,(Ipotesi!$C$5-1)*60+47)-(INDEX(Motore_Startup!$BH$5:$BH$544,(Ipotesi!$C$5-1)*60+46))-(INDEX(Motore_Startup!$AW$5:$AW$544,(Ipotesi!$C$5-1)*60+47)+INDEX(Motore_Startup!$AX$5:$AX$544,(Ipotesi!$C$5-1)*60+47)+INDEX(Motore_Startup!$AZ$5:$AZ$544,(Ipotesi!$C$5-1)*60+47)+INDEX(Motore_Startup!$BA$5:$BA$544,(Ipotesi!$C$5-1)*60+47))+INDEX(Motore_Startup!$BB$5:$BB$544,(Ipotesi!$C$5-1)*60+47)</f>
        <v>-19710.9621462952</v>
      </c>
      <c r="D51" s="15" t="n">
        <f aca="false">INDEX(Motore_Startup!$AW$5:$AW$544,(Ipotesi!$C$5-1)*60+47)+INDEX(Motore_Startup!$AX$5:$AX$544,(Ipotesi!$C$5-1)*60+47)+INDEX(Motore_Startup!$AZ$5:$AZ$544,(Ipotesi!$C$5-1)*60+47)+INDEX(Motore_Startup!$BA$5:$BA$544,(Ipotesi!$C$5-1)*60+47)</f>
        <v>0</v>
      </c>
      <c r="E51" s="15" t="n">
        <f aca="false">INDEX(Motore_Startup!$BB$5:$BB$544,(Ipotesi!$C$5-1)*60+47)</f>
        <v>0</v>
      </c>
      <c r="F51" s="15" t="n">
        <f aca="false">INDEX(Motore_Startup!$BE$5:$BE$544,(Ipotesi!$C$5-1)*60+47)-INDEX(Motore_Startup!$BF$5:$BF$544,(Ipotesi!$C$5-1)*60+47)</f>
        <v>0</v>
      </c>
      <c r="G51" s="15" t="n">
        <f aca="false">INDEX(Motore_Startup!$BH$5:$BH$544,(Ipotesi!$C$5-1)*60+47)</f>
        <v>59143.8331338027</v>
      </c>
      <c r="H51" s="15" t="n">
        <f aca="false">INDEX(Motore_Startup!$BI$5:$BI$544,(Ipotesi!$C$5-1)*60+47)</f>
        <v>0</v>
      </c>
      <c r="I51" s="15" t="n">
        <f aca="false">INDEX(Motore_Advisory!$BH$5:$BH$544,(Ipotesi!$C$5-1)*60+47)</f>
        <v>189316.284969688</v>
      </c>
      <c r="J51" s="15" t="n">
        <f aca="false">INDEX(Motore_Advisory!$BI$5:$BI$544,(Ipotesi!$C$5-1)*60+47)</f>
        <v>0</v>
      </c>
      <c r="K51" s="15" t="n">
        <f aca="false">G51+I51</f>
        <v>248460.11810349</v>
      </c>
      <c r="L51" s="15" t="n">
        <f aca="false">H51+J51</f>
        <v>0</v>
      </c>
      <c r="M51" s="15" t="n">
        <f aca="false">IF(OR(G51&lt;0,I51&lt;0),1,0)</f>
        <v>0</v>
      </c>
    </row>
    <row r="52" customFormat="false" ht="15" hidden="false" customHeight="true" outlineLevel="0" collapsed="false">
      <c r="A52" s="18" t="n">
        <f aca="false">INDEX(Motore_Startup!$C$5:$C$544,(Ipotesi!$C$5-1)*60+48)</f>
        <v>47818</v>
      </c>
      <c r="B52" s="15" t="n">
        <f aca="false">INDEX(Motore_Startup!$BH$5:$BH$544,(Ipotesi!$C$5-1)*60+47)</f>
        <v>59143.8331338027</v>
      </c>
      <c r="C52" s="15" t="n">
        <f aca="false">INDEX(Motore_Startup!$BD$5:$BD$544,(Ipotesi!$C$5-1)*60+48)-(INDEX(Motore_Startup!$BH$5:$BH$544,(Ipotesi!$C$5-1)*60+47))-(INDEX(Motore_Startup!$AW$5:$AW$544,(Ipotesi!$C$5-1)*60+48)+INDEX(Motore_Startup!$AX$5:$AX$544,(Ipotesi!$C$5-1)*60+48)+INDEX(Motore_Startup!$AZ$5:$AZ$544,(Ipotesi!$C$5-1)*60+48)+INDEX(Motore_Startup!$BA$5:$BA$544,(Ipotesi!$C$5-1)*60+48))+INDEX(Motore_Startup!$BB$5:$BB$544,(Ipotesi!$C$5-1)*60+48)</f>
        <v>-17151.8023945107</v>
      </c>
      <c r="D52" s="15" t="n">
        <f aca="false">INDEX(Motore_Startup!$AW$5:$AW$544,(Ipotesi!$C$5-1)*60+48)+INDEX(Motore_Startup!$AX$5:$AX$544,(Ipotesi!$C$5-1)*60+48)+INDEX(Motore_Startup!$AZ$5:$AZ$544,(Ipotesi!$C$5-1)*60+48)+INDEX(Motore_Startup!$BA$5:$BA$544,(Ipotesi!$C$5-1)*60+48)</f>
        <v>0</v>
      </c>
      <c r="E52" s="15" t="n">
        <f aca="false">INDEX(Motore_Startup!$BB$5:$BB$544,(Ipotesi!$C$5-1)*60+48)</f>
        <v>13269.6498441983</v>
      </c>
      <c r="F52" s="15" t="n">
        <f aca="false">INDEX(Motore_Startup!$BE$5:$BE$544,(Ipotesi!$C$5-1)*60+48)-INDEX(Motore_Startup!$BF$5:$BF$544,(Ipotesi!$C$5-1)*60+48)</f>
        <v>0</v>
      </c>
      <c r="G52" s="15" t="n">
        <f aca="false">INDEX(Motore_Startup!$BH$5:$BH$544,(Ipotesi!$C$5-1)*60+48)</f>
        <v>28722.3808950936</v>
      </c>
      <c r="H52" s="15" t="n">
        <f aca="false">INDEX(Motore_Startup!$BI$5:$BI$544,(Ipotesi!$C$5-1)*60+48)</f>
        <v>0</v>
      </c>
      <c r="I52" s="15" t="n">
        <f aca="false">INDEX(Motore_Advisory!$BH$5:$BH$544,(Ipotesi!$C$5-1)*60+48)</f>
        <v>218002.561930104</v>
      </c>
      <c r="J52" s="15" t="n">
        <f aca="false">INDEX(Motore_Advisory!$BI$5:$BI$544,(Ipotesi!$C$5-1)*60+48)</f>
        <v>0</v>
      </c>
      <c r="K52" s="15" t="n">
        <f aca="false">G52+I52</f>
        <v>246724.942825198</v>
      </c>
      <c r="L52" s="15" t="n">
        <f aca="false">H52+J52</f>
        <v>0</v>
      </c>
      <c r="M52" s="15" t="n">
        <f aca="false">IF(OR(G52&lt;0,I52&lt;0),1,0)</f>
        <v>0</v>
      </c>
    </row>
    <row r="53" customFormat="false" ht="15" hidden="false" customHeight="true" outlineLevel="0" collapsed="false">
      <c r="A53" s="18" t="n">
        <f aca="false">INDEX(Motore_Startup!$C$5:$C$544,(Ipotesi!$C$5-1)*60+49)</f>
        <v>47849</v>
      </c>
      <c r="B53" s="15" t="n">
        <f aca="false">INDEX(Motore_Startup!$BH$5:$BH$544,(Ipotesi!$C$5-1)*60+48)</f>
        <v>28722.3808950936</v>
      </c>
      <c r="C53" s="15" t="n">
        <f aca="false">INDEX(Motore_Startup!$BD$5:$BD$544,(Ipotesi!$C$5-1)*60+49)-(INDEX(Motore_Startup!$BH$5:$BH$544,(Ipotesi!$C$5-1)*60+48))-(INDEX(Motore_Startup!$AW$5:$AW$544,(Ipotesi!$C$5-1)*60+49)+INDEX(Motore_Startup!$AX$5:$AX$544,(Ipotesi!$C$5-1)*60+49)+INDEX(Motore_Startup!$AZ$5:$AZ$544,(Ipotesi!$C$5-1)*60+49)+INDEX(Motore_Startup!$BA$5:$BA$544,(Ipotesi!$C$5-1)*60+49))+INDEX(Motore_Startup!$BB$5:$BB$544,(Ipotesi!$C$5-1)*60+49)</f>
        <v>-37485.712632689</v>
      </c>
      <c r="D53" s="15" t="n">
        <f aca="false">INDEX(Motore_Startup!$AW$5:$AW$544,(Ipotesi!$C$5-1)*60+49)+INDEX(Motore_Startup!$AX$5:$AX$544,(Ipotesi!$C$5-1)*60+49)+INDEX(Motore_Startup!$AZ$5:$AZ$544,(Ipotesi!$C$5-1)*60+49)+INDEX(Motore_Startup!$BA$5:$BA$544,(Ipotesi!$C$5-1)*60+49)</f>
        <v>0</v>
      </c>
      <c r="E53" s="15" t="n">
        <f aca="false">INDEX(Motore_Startup!$BB$5:$BB$544,(Ipotesi!$C$5-1)*60+49)</f>
        <v>0</v>
      </c>
      <c r="F53" s="15" t="n">
        <f aca="false">INDEX(Motore_Startup!$BE$5:$BE$544,(Ipotesi!$C$5-1)*60+49)-INDEX(Motore_Startup!$BF$5:$BF$544,(Ipotesi!$C$5-1)*60+49)</f>
        <v>33763.3317375954</v>
      </c>
      <c r="G53" s="15" t="n">
        <f aca="false">INDEX(Motore_Startup!$BH$5:$BH$544,(Ipotesi!$C$5-1)*60+49)</f>
        <v>25000</v>
      </c>
      <c r="H53" s="15" t="n">
        <f aca="false">INDEX(Motore_Startup!$BI$5:$BI$544,(Ipotesi!$C$5-1)*60+49)</f>
        <v>0</v>
      </c>
      <c r="I53" s="15" t="n">
        <f aca="false">INDEX(Motore_Advisory!$BH$5:$BH$544,(Ipotesi!$C$5-1)*60+49)</f>
        <v>236680.779948979</v>
      </c>
      <c r="J53" s="15" t="n">
        <f aca="false">INDEX(Motore_Advisory!$BI$5:$BI$544,(Ipotesi!$C$5-1)*60+49)</f>
        <v>0</v>
      </c>
      <c r="K53" s="15" t="n">
        <f aca="false">G53+I53</f>
        <v>261680.779948979</v>
      </c>
      <c r="L53" s="15" t="n">
        <f aca="false">H53+J53</f>
        <v>0</v>
      </c>
      <c r="M53" s="15" t="n">
        <f aca="false">IF(OR(G53&lt;0,I53&lt;0),1,0)</f>
        <v>0</v>
      </c>
    </row>
    <row r="54" customFormat="false" ht="15" hidden="false" customHeight="true" outlineLevel="0" collapsed="false">
      <c r="A54" s="18" t="n">
        <f aca="false">INDEX(Motore_Startup!$C$5:$C$544,(Ipotesi!$C$5-1)*60+50)</f>
        <v>47880</v>
      </c>
      <c r="B54" s="15" t="n">
        <f aca="false">INDEX(Motore_Startup!$BH$5:$BH$544,(Ipotesi!$C$5-1)*60+49)</f>
        <v>25000</v>
      </c>
      <c r="C54" s="15" t="n">
        <f aca="false">INDEX(Motore_Startup!$BD$5:$BD$544,(Ipotesi!$C$5-1)*60+50)-(INDEX(Motore_Startup!$BH$5:$BH$544,(Ipotesi!$C$5-1)*60+49))-(INDEX(Motore_Startup!$AW$5:$AW$544,(Ipotesi!$C$5-1)*60+50)+INDEX(Motore_Startup!$AX$5:$AX$544,(Ipotesi!$C$5-1)*60+50)+INDEX(Motore_Startup!$AZ$5:$AZ$544,(Ipotesi!$C$5-1)*60+50)+INDEX(Motore_Startup!$BA$5:$BA$544,(Ipotesi!$C$5-1)*60+50))+INDEX(Motore_Startup!$BB$5:$BB$544,(Ipotesi!$C$5-1)*60+50)</f>
        <v>-35849.7432172131</v>
      </c>
      <c r="D54" s="15" t="n">
        <f aca="false">INDEX(Motore_Startup!$AW$5:$AW$544,(Ipotesi!$C$5-1)*60+50)+INDEX(Motore_Startup!$AX$5:$AX$544,(Ipotesi!$C$5-1)*60+50)+INDEX(Motore_Startup!$AZ$5:$AZ$544,(Ipotesi!$C$5-1)*60+50)+INDEX(Motore_Startup!$BA$5:$BA$544,(Ipotesi!$C$5-1)*60+50)</f>
        <v>0</v>
      </c>
      <c r="E54" s="15" t="n">
        <f aca="false">INDEX(Motore_Startup!$BB$5:$BB$544,(Ipotesi!$C$5-1)*60+50)</f>
        <v>0</v>
      </c>
      <c r="F54" s="15" t="n">
        <f aca="false">INDEX(Motore_Startup!$BE$5:$BE$544,(Ipotesi!$C$5-1)*60+50)-INDEX(Motore_Startup!$BF$5:$BF$544,(Ipotesi!$C$5-1)*60+50)</f>
        <v>35849.7432172131</v>
      </c>
      <c r="G54" s="15" t="n">
        <f aca="false">INDEX(Motore_Startup!$BH$5:$BH$544,(Ipotesi!$C$5-1)*60+50)</f>
        <v>25000</v>
      </c>
      <c r="H54" s="15" t="n">
        <f aca="false">INDEX(Motore_Startup!$BI$5:$BI$544,(Ipotesi!$C$5-1)*60+50)</f>
        <v>0</v>
      </c>
      <c r="I54" s="15" t="n">
        <f aca="false">INDEX(Motore_Advisory!$BH$5:$BH$544,(Ipotesi!$C$5-1)*60+50)</f>
        <v>247822.899301188</v>
      </c>
      <c r="J54" s="15" t="n">
        <f aca="false">INDEX(Motore_Advisory!$BI$5:$BI$544,(Ipotesi!$C$5-1)*60+50)</f>
        <v>0</v>
      </c>
      <c r="K54" s="15" t="n">
        <f aca="false">G54+I54</f>
        <v>272822.899301188</v>
      </c>
      <c r="L54" s="15" t="n">
        <f aca="false">H54+J54</f>
        <v>0</v>
      </c>
      <c r="M54" s="15" t="n">
        <f aca="false">IF(OR(G54&lt;0,I54&lt;0),1,0)</f>
        <v>0</v>
      </c>
    </row>
    <row r="55" customFormat="false" ht="15" hidden="false" customHeight="true" outlineLevel="0" collapsed="false">
      <c r="A55" s="18" t="n">
        <f aca="false">INDEX(Motore_Startup!$C$5:$C$544,(Ipotesi!$C$5-1)*60+51)</f>
        <v>47908</v>
      </c>
      <c r="B55" s="15" t="n">
        <f aca="false">INDEX(Motore_Startup!$BH$5:$BH$544,(Ipotesi!$C$5-1)*60+50)</f>
        <v>25000</v>
      </c>
      <c r="C55" s="15" t="n">
        <f aca="false">INDEX(Motore_Startup!$BD$5:$BD$544,(Ipotesi!$C$5-1)*60+51)-(INDEX(Motore_Startup!$BH$5:$BH$544,(Ipotesi!$C$5-1)*60+50))-(INDEX(Motore_Startup!$AW$5:$AW$544,(Ipotesi!$C$5-1)*60+51)+INDEX(Motore_Startup!$AX$5:$AX$544,(Ipotesi!$C$5-1)*60+51)+INDEX(Motore_Startup!$AZ$5:$AZ$544,(Ipotesi!$C$5-1)*60+51)+INDEX(Motore_Startup!$BA$5:$BA$544,(Ipotesi!$C$5-1)*60+51))+INDEX(Motore_Startup!$BB$5:$BB$544,(Ipotesi!$C$5-1)*60+51)</f>
        <v>-50011.5817579484</v>
      </c>
      <c r="D55" s="15" t="n">
        <f aca="false">INDEX(Motore_Startup!$AW$5:$AW$544,(Ipotesi!$C$5-1)*60+51)+INDEX(Motore_Startup!$AX$5:$AX$544,(Ipotesi!$C$5-1)*60+51)+INDEX(Motore_Startup!$AZ$5:$AZ$544,(Ipotesi!$C$5-1)*60+51)+INDEX(Motore_Startup!$BA$5:$BA$544,(Ipotesi!$C$5-1)*60+51)</f>
        <v>0</v>
      </c>
      <c r="E55" s="15" t="n">
        <f aca="false">INDEX(Motore_Startup!$BB$5:$BB$544,(Ipotesi!$C$5-1)*60+51)</f>
        <v>0</v>
      </c>
      <c r="F55" s="15" t="n">
        <f aca="false">INDEX(Motore_Startup!$BE$5:$BE$544,(Ipotesi!$C$5-1)*60+51)-INDEX(Motore_Startup!$BF$5:$BF$544,(Ipotesi!$C$5-1)*60+51)</f>
        <v>50011.5817579484</v>
      </c>
      <c r="G55" s="15" t="n">
        <f aca="false">INDEX(Motore_Startup!$BH$5:$BH$544,(Ipotesi!$C$5-1)*60+51)</f>
        <v>25000</v>
      </c>
      <c r="H55" s="15" t="n">
        <f aca="false">INDEX(Motore_Startup!$BI$5:$BI$544,(Ipotesi!$C$5-1)*60+51)</f>
        <v>0</v>
      </c>
      <c r="I55" s="15" t="n">
        <f aca="false">INDEX(Motore_Advisory!$BH$5:$BH$544,(Ipotesi!$C$5-1)*60+51)</f>
        <v>254332.950653396</v>
      </c>
      <c r="J55" s="15" t="n">
        <f aca="false">INDEX(Motore_Advisory!$BI$5:$BI$544,(Ipotesi!$C$5-1)*60+51)</f>
        <v>0</v>
      </c>
      <c r="K55" s="15" t="n">
        <f aca="false">G55+I55</f>
        <v>279332.950653396</v>
      </c>
      <c r="L55" s="15" t="n">
        <f aca="false">H55+J55</f>
        <v>0</v>
      </c>
      <c r="M55" s="15" t="n">
        <f aca="false">IF(OR(G55&lt;0,I55&lt;0),1,0)</f>
        <v>0</v>
      </c>
    </row>
    <row r="56" customFormat="false" ht="15" hidden="false" customHeight="true" outlineLevel="0" collapsed="false">
      <c r="A56" s="18" t="n">
        <f aca="false">INDEX(Motore_Startup!$C$5:$C$544,(Ipotesi!$C$5-1)*60+52)</f>
        <v>47939</v>
      </c>
      <c r="B56" s="15" t="n">
        <f aca="false">INDEX(Motore_Startup!$BH$5:$BH$544,(Ipotesi!$C$5-1)*60+51)</f>
        <v>25000</v>
      </c>
      <c r="C56" s="15" t="n">
        <f aca="false">INDEX(Motore_Startup!$BD$5:$BD$544,(Ipotesi!$C$5-1)*60+52)-(INDEX(Motore_Startup!$BH$5:$BH$544,(Ipotesi!$C$5-1)*60+51))-(INDEX(Motore_Startup!$AW$5:$AW$544,(Ipotesi!$C$5-1)*60+52)+INDEX(Motore_Startup!$AX$5:$AX$544,(Ipotesi!$C$5-1)*60+52)+INDEX(Motore_Startup!$AZ$5:$AZ$544,(Ipotesi!$C$5-1)*60+52)+INDEX(Motore_Startup!$BA$5:$BA$544,(Ipotesi!$C$5-1)*60+52))+INDEX(Motore_Startup!$BB$5:$BB$544,(Ipotesi!$C$5-1)*60+52)</f>
        <v>-14086.2550999089</v>
      </c>
      <c r="D56" s="15" t="n">
        <f aca="false">INDEX(Motore_Startup!$AW$5:$AW$544,(Ipotesi!$C$5-1)*60+52)+INDEX(Motore_Startup!$AX$5:$AX$544,(Ipotesi!$C$5-1)*60+52)+INDEX(Motore_Startup!$AZ$5:$AZ$544,(Ipotesi!$C$5-1)*60+52)+INDEX(Motore_Startup!$BA$5:$BA$544,(Ipotesi!$C$5-1)*60+52)</f>
        <v>0</v>
      </c>
      <c r="E56" s="15" t="n">
        <f aca="false">INDEX(Motore_Startup!$BB$5:$BB$544,(Ipotesi!$C$5-1)*60+52)</f>
        <v>0</v>
      </c>
      <c r="F56" s="15" t="n">
        <f aca="false">INDEX(Motore_Startup!$BE$5:$BE$544,(Ipotesi!$C$5-1)*60+52)-INDEX(Motore_Startup!$BF$5:$BF$544,(Ipotesi!$C$5-1)*60+52)</f>
        <v>14086.2550999089</v>
      </c>
      <c r="G56" s="15" t="n">
        <f aca="false">INDEX(Motore_Startup!$BH$5:$BH$544,(Ipotesi!$C$5-1)*60+52)</f>
        <v>25000</v>
      </c>
      <c r="H56" s="15" t="n">
        <f aca="false">INDEX(Motore_Startup!$BI$5:$BI$544,(Ipotesi!$C$5-1)*60+52)</f>
        <v>0</v>
      </c>
      <c r="I56" s="15" t="n">
        <f aca="false">INDEX(Motore_Advisory!$BH$5:$BH$544,(Ipotesi!$C$5-1)*60+52)</f>
        <v>292217.335338938</v>
      </c>
      <c r="J56" s="15" t="n">
        <f aca="false">INDEX(Motore_Advisory!$BI$5:$BI$544,(Ipotesi!$C$5-1)*60+52)</f>
        <v>0</v>
      </c>
      <c r="K56" s="15" t="n">
        <f aca="false">G56+I56</f>
        <v>317217.335338938</v>
      </c>
      <c r="L56" s="15" t="n">
        <f aca="false">H56+J56</f>
        <v>0</v>
      </c>
      <c r="M56" s="15" t="n">
        <f aca="false">IF(OR(G56&lt;0,I56&lt;0),1,0)</f>
        <v>0</v>
      </c>
    </row>
    <row r="57" customFormat="false" ht="15" hidden="false" customHeight="true" outlineLevel="0" collapsed="false">
      <c r="A57" s="18" t="n">
        <f aca="false">INDEX(Motore_Startup!$C$5:$C$544,(Ipotesi!$C$5-1)*60+53)</f>
        <v>47969</v>
      </c>
      <c r="B57" s="15" t="n">
        <f aca="false">INDEX(Motore_Startup!$BH$5:$BH$544,(Ipotesi!$C$5-1)*60+52)</f>
        <v>25000</v>
      </c>
      <c r="C57" s="15" t="n">
        <f aca="false">INDEX(Motore_Startup!$BD$5:$BD$544,(Ipotesi!$C$5-1)*60+53)-(INDEX(Motore_Startup!$BH$5:$BH$544,(Ipotesi!$C$5-1)*60+52))-(INDEX(Motore_Startup!$AW$5:$AW$544,(Ipotesi!$C$5-1)*60+53)+INDEX(Motore_Startup!$AX$5:$AX$544,(Ipotesi!$C$5-1)*60+53)+INDEX(Motore_Startup!$AZ$5:$AZ$544,(Ipotesi!$C$5-1)*60+53)+INDEX(Motore_Startup!$BA$5:$BA$544,(Ipotesi!$C$5-1)*60+53))+INDEX(Motore_Startup!$BB$5:$BB$544,(Ipotesi!$C$5-1)*60+53)</f>
        <v>-11953.8813716672</v>
      </c>
      <c r="D57" s="15" t="n">
        <f aca="false">INDEX(Motore_Startup!$AW$5:$AW$544,(Ipotesi!$C$5-1)*60+53)+INDEX(Motore_Startup!$AX$5:$AX$544,(Ipotesi!$C$5-1)*60+53)+INDEX(Motore_Startup!$AZ$5:$AZ$544,(Ipotesi!$C$5-1)*60+53)+INDEX(Motore_Startup!$BA$5:$BA$544,(Ipotesi!$C$5-1)*60+53)</f>
        <v>0</v>
      </c>
      <c r="E57" s="15" t="n">
        <f aca="false">INDEX(Motore_Startup!$BB$5:$BB$544,(Ipotesi!$C$5-1)*60+53)</f>
        <v>0</v>
      </c>
      <c r="F57" s="15" t="n">
        <f aca="false">INDEX(Motore_Startup!$BE$5:$BE$544,(Ipotesi!$C$5-1)*60+53)-INDEX(Motore_Startup!$BF$5:$BF$544,(Ipotesi!$C$5-1)*60+53)</f>
        <v>11953.8813716672</v>
      </c>
      <c r="G57" s="15" t="n">
        <f aca="false">INDEX(Motore_Startup!$BH$5:$BH$544,(Ipotesi!$C$5-1)*60+53)</f>
        <v>25000</v>
      </c>
      <c r="H57" s="15" t="n">
        <f aca="false">INDEX(Motore_Startup!$BI$5:$BI$544,(Ipotesi!$C$5-1)*60+53)</f>
        <v>0</v>
      </c>
      <c r="I57" s="15" t="n">
        <f aca="false">INDEX(Motore_Advisory!$BH$5:$BH$544,(Ipotesi!$C$5-1)*60+53)</f>
        <v>330101.720024479</v>
      </c>
      <c r="J57" s="15" t="n">
        <f aca="false">INDEX(Motore_Advisory!$BI$5:$BI$544,(Ipotesi!$C$5-1)*60+53)</f>
        <v>0</v>
      </c>
      <c r="K57" s="15" t="n">
        <f aca="false">G57+I57</f>
        <v>355101.720024479</v>
      </c>
      <c r="L57" s="15" t="n">
        <f aca="false">H57+J57</f>
        <v>0</v>
      </c>
      <c r="M57" s="15" t="n">
        <f aca="false">IF(OR(G57&lt;0,I57&lt;0),1,0)</f>
        <v>0</v>
      </c>
    </row>
    <row r="58" customFormat="false" ht="15" hidden="false" customHeight="true" outlineLevel="0" collapsed="false">
      <c r="A58" s="18" t="n">
        <f aca="false">INDEX(Motore_Startup!$C$5:$C$544,(Ipotesi!$C$5-1)*60+54)</f>
        <v>48000</v>
      </c>
      <c r="B58" s="15" t="n">
        <f aca="false">INDEX(Motore_Startup!$BH$5:$BH$544,(Ipotesi!$C$5-1)*60+53)</f>
        <v>25000</v>
      </c>
      <c r="C58" s="15" t="n">
        <f aca="false">INDEX(Motore_Startup!$BD$5:$BD$544,(Ipotesi!$C$5-1)*60+54)-(INDEX(Motore_Startup!$BH$5:$BH$544,(Ipotesi!$C$5-1)*60+53))-(INDEX(Motore_Startup!$AW$5:$AW$544,(Ipotesi!$C$5-1)*60+54)+INDEX(Motore_Startup!$AX$5:$AX$544,(Ipotesi!$C$5-1)*60+54)+INDEX(Motore_Startup!$AZ$5:$AZ$544,(Ipotesi!$C$5-1)*60+54)+INDEX(Motore_Startup!$BA$5:$BA$544,(Ipotesi!$C$5-1)*60+54))+INDEX(Motore_Startup!$BB$5:$BB$544,(Ipotesi!$C$5-1)*60+54)</f>
        <v>-9991.79862914727</v>
      </c>
      <c r="D58" s="15" t="n">
        <f aca="false">INDEX(Motore_Startup!$AW$5:$AW$544,(Ipotesi!$C$5-1)*60+54)+INDEX(Motore_Startup!$AX$5:$AX$544,(Ipotesi!$C$5-1)*60+54)+INDEX(Motore_Startup!$AZ$5:$AZ$544,(Ipotesi!$C$5-1)*60+54)+INDEX(Motore_Startup!$BA$5:$BA$544,(Ipotesi!$C$5-1)*60+54)</f>
        <v>69723.3931391231</v>
      </c>
      <c r="E58" s="15" t="n">
        <f aca="false">INDEX(Motore_Startup!$BB$5:$BB$544,(Ipotesi!$C$5-1)*60+54)</f>
        <v>13269.6498441983</v>
      </c>
      <c r="F58" s="15" t="n">
        <f aca="false">INDEX(Motore_Startup!$BE$5:$BE$544,(Ipotesi!$C$5-1)*60+54)-INDEX(Motore_Startup!$BF$5:$BF$544,(Ipotesi!$C$5-1)*60+54)</f>
        <v>-46461.9446657775</v>
      </c>
      <c r="G58" s="15" t="n">
        <f aca="false">INDEX(Motore_Startup!$BH$5:$BH$544,(Ipotesi!$C$5-1)*60+54)</f>
        <v>25000</v>
      </c>
      <c r="H58" s="15" t="n">
        <f aca="false">INDEX(Motore_Startup!$BI$5:$BI$544,(Ipotesi!$C$5-1)*60+54)</f>
        <v>0</v>
      </c>
      <c r="I58" s="15" t="n">
        <f aca="false">INDEX(Motore_Advisory!$BH$5:$BH$544,(Ipotesi!$C$5-1)*60+54)</f>
        <v>169280.370179127</v>
      </c>
      <c r="J58" s="15" t="n">
        <f aca="false">INDEX(Motore_Advisory!$BI$5:$BI$544,(Ipotesi!$C$5-1)*60+54)</f>
        <v>0</v>
      </c>
      <c r="K58" s="15" t="n">
        <f aca="false">G58+I58</f>
        <v>194280.370179127</v>
      </c>
      <c r="L58" s="15" t="n">
        <f aca="false">H58+J58</f>
        <v>0</v>
      </c>
      <c r="M58" s="15" t="n">
        <f aca="false">IF(OR(G58&lt;0,I58&lt;0),1,0)</f>
        <v>0</v>
      </c>
    </row>
    <row r="59" customFormat="false" ht="15" hidden="false" customHeight="true" outlineLevel="0" collapsed="false">
      <c r="A59" s="18" t="n">
        <f aca="false">INDEX(Motore_Startup!$C$5:$C$544,(Ipotesi!$C$5-1)*60+55)</f>
        <v>48030</v>
      </c>
      <c r="B59" s="15" t="n">
        <f aca="false">INDEX(Motore_Startup!$BH$5:$BH$544,(Ipotesi!$C$5-1)*60+54)</f>
        <v>25000</v>
      </c>
      <c r="C59" s="15" t="n">
        <f aca="false">INDEX(Motore_Startup!$BD$5:$BD$544,(Ipotesi!$C$5-1)*60+55)-(INDEX(Motore_Startup!$BH$5:$BH$544,(Ipotesi!$C$5-1)*60+54))-(INDEX(Motore_Startup!$AW$5:$AW$544,(Ipotesi!$C$5-1)*60+55)+INDEX(Motore_Startup!$AX$5:$AX$544,(Ipotesi!$C$5-1)*60+55)+INDEX(Motore_Startup!$AZ$5:$AZ$544,(Ipotesi!$C$5-1)*60+55)+INDEX(Motore_Startup!$BA$5:$BA$544,(Ipotesi!$C$5-1)*60+55))+INDEX(Motore_Startup!$BB$5:$BB$544,(Ipotesi!$C$5-1)*60+55)</f>
        <v>-7281.97958120024</v>
      </c>
      <c r="D59" s="15" t="n">
        <f aca="false">INDEX(Motore_Startup!$AW$5:$AW$544,(Ipotesi!$C$5-1)*60+55)+INDEX(Motore_Startup!$AX$5:$AX$544,(Ipotesi!$C$5-1)*60+55)+INDEX(Motore_Startup!$AZ$5:$AZ$544,(Ipotesi!$C$5-1)*60+55)+INDEX(Motore_Startup!$BA$5:$BA$544,(Ipotesi!$C$5-1)*60+55)</f>
        <v>0</v>
      </c>
      <c r="E59" s="15" t="n">
        <f aca="false">INDEX(Motore_Startup!$BB$5:$BB$544,(Ipotesi!$C$5-1)*60+55)</f>
        <v>0</v>
      </c>
      <c r="F59" s="15" t="n">
        <f aca="false">INDEX(Motore_Startup!$BE$5:$BE$544,(Ipotesi!$C$5-1)*60+55)-INDEX(Motore_Startup!$BF$5:$BF$544,(Ipotesi!$C$5-1)*60+55)</f>
        <v>7281.97958120024</v>
      </c>
      <c r="G59" s="15" t="n">
        <f aca="false">INDEX(Motore_Startup!$BH$5:$BH$544,(Ipotesi!$C$5-1)*60+55)</f>
        <v>25000</v>
      </c>
      <c r="H59" s="15" t="n">
        <f aca="false">INDEX(Motore_Startup!$BI$5:$BI$544,(Ipotesi!$C$5-1)*60+55)</f>
        <v>0</v>
      </c>
      <c r="I59" s="15" t="n">
        <f aca="false">INDEX(Motore_Advisory!$BH$5:$BH$544,(Ipotesi!$C$5-1)*60+55)</f>
        <v>207164.754864668</v>
      </c>
      <c r="J59" s="15" t="n">
        <f aca="false">INDEX(Motore_Advisory!$BI$5:$BI$544,(Ipotesi!$C$5-1)*60+55)</f>
        <v>0</v>
      </c>
      <c r="K59" s="15" t="n">
        <f aca="false">G59+I59</f>
        <v>232164.754864668</v>
      </c>
      <c r="L59" s="15" t="n">
        <f aca="false">H59+J59</f>
        <v>0</v>
      </c>
      <c r="M59" s="15" t="n">
        <f aca="false">IF(OR(G59&lt;0,I59&lt;0),1,0)</f>
        <v>0</v>
      </c>
    </row>
    <row r="60" customFormat="false" ht="15" hidden="false" customHeight="true" outlineLevel="0" collapsed="false">
      <c r="A60" s="18" t="n">
        <f aca="false">INDEX(Motore_Startup!$C$5:$C$544,(Ipotesi!$C$5-1)*60+56)</f>
        <v>48061</v>
      </c>
      <c r="B60" s="15" t="n">
        <f aca="false">INDEX(Motore_Startup!$BH$5:$BH$544,(Ipotesi!$C$5-1)*60+55)</f>
        <v>25000</v>
      </c>
      <c r="C60" s="15" t="n">
        <f aca="false">INDEX(Motore_Startup!$BD$5:$BD$544,(Ipotesi!$C$5-1)*60+56)-(INDEX(Motore_Startup!$BH$5:$BH$544,(Ipotesi!$C$5-1)*60+55))-(INDEX(Motore_Startup!$AW$5:$AW$544,(Ipotesi!$C$5-1)*60+56)+INDEX(Motore_Startup!$AX$5:$AX$544,(Ipotesi!$C$5-1)*60+56)+INDEX(Motore_Startup!$AZ$5:$AZ$544,(Ipotesi!$C$5-1)*60+56)+INDEX(Motore_Startup!$BA$5:$BA$544,(Ipotesi!$C$5-1)*60+56))+INDEX(Motore_Startup!$BB$5:$BB$544,(Ipotesi!$C$5-1)*60+56)</f>
        <v>-4314.56512210269</v>
      </c>
      <c r="D60" s="15" t="n">
        <f aca="false">INDEX(Motore_Startup!$AW$5:$AW$544,(Ipotesi!$C$5-1)*60+56)+INDEX(Motore_Startup!$AX$5:$AX$544,(Ipotesi!$C$5-1)*60+56)+INDEX(Motore_Startup!$AZ$5:$AZ$544,(Ipotesi!$C$5-1)*60+56)+INDEX(Motore_Startup!$BA$5:$BA$544,(Ipotesi!$C$5-1)*60+56)</f>
        <v>0</v>
      </c>
      <c r="E60" s="15" t="n">
        <f aca="false">INDEX(Motore_Startup!$BB$5:$BB$544,(Ipotesi!$C$5-1)*60+56)</f>
        <v>0</v>
      </c>
      <c r="F60" s="15" t="n">
        <f aca="false">INDEX(Motore_Startup!$BE$5:$BE$544,(Ipotesi!$C$5-1)*60+56)-INDEX(Motore_Startup!$BF$5:$BF$544,(Ipotesi!$C$5-1)*60+56)</f>
        <v>4314.56512210269</v>
      </c>
      <c r="G60" s="15" t="n">
        <f aca="false">INDEX(Motore_Startup!$BH$5:$BH$544,(Ipotesi!$C$5-1)*60+56)</f>
        <v>25000</v>
      </c>
      <c r="H60" s="15" t="n">
        <f aca="false">INDEX(Motore_Startup!$BI$5:$BI$544,(Ipotesi!$C$5-1)*60+56)</f>
        <v>0</v>
      </c>
      <c r="I60" s="15" t="n">
        <f aca="false">INDEX(Motore_Advisory!$BH$5:$BH$544,(Ipotesi!$C$5-1)*60+56)</f>
        <v>245049.13955021</v>
      </c>
      <c r="J60" s="15" t="n">
        <f aca="false">INDEX(Motore_Advisory!$BI$5:$BI$544,(Ipotesi!$C$5-1)*60+56)</f>
        <v>0</v>
      </c>
      <c r="K60" s="15" t="n">
        <f aca="false">G60+I60</f>
        <v>270049.13955021</v>
      </c>
      <c r="L60" s="15" t="n">
        <f aca="false">H60+J60</f>
        <v>0</v>
      </c>
      <c r="M60" s="15" t="n">
        <f aca="false">IF(OR(G60&lt;0,I60&lt;0),1,0)</f>
        <v>0</v>
      </c>
    </row>
    <row r="61" customFormat="false" ht="15" hidden="false" customHeight="true" outlineLevel="0" collapsed="false">
      <c r="A61" s="18" t="n">
        <f aca="false">INDEX(Motore_Startup!$C$5:$C$544,(Ipotesi!$C$5-1)*60+57)</f>
        <v>48092</v>
      </c>
      <c r="B61" s="15" t="n">
        <f aca="false">INDEX(Motore_Startup!$BH$5:$BH$544,(Ipotesi!$C$5-1)*60+56)</f>
        <v>25000</v>
      </c>
      <c r="C61" s="15" t="n">
        <f aca="false">INDEX(Motore_Startup!$BD$5:$BD$544,(Ipotesi!$C$5-1)*60+57)-(INDEX(Motore_Startup!$BH$5:$BH$544,(Ipotesi!$C$5-1)*60+56))-(INDEX(Motore_Startup!$AW$5:$AW$544,(Ipotesi!$C$5-1)*60+57)+INDEX(Motore_Startup!$AX$5:$AX$544,(Ipotesi!$C$5-1)*60+57)+INDEX(Motore_Startup!$AZ$5:$AZ$544,(Ipotesi!$C$5-1)*60+57)+INDEX(Motore_Startup!$BA$5:$BA$544,(Ipotesi!$C$5-1)*60+57))+INDEX(Motore_Startup!$BB$5:$BB$544,(Ipotesi!$C$5-1)*60+57)</f>
        <v>-1358.5718546149</v>
      </c>
      <c r="D61" s="15" t="n">
        <f aca="false">INDEX(Motore_Startup!$AW$5:$AW$544,(Ipotesi!$C$5-1)*60+57)+INDEX(Motore_Startup!$AX$5:$AX$544,(Ipotesi!$C$5-1)*60+57)+INDEX(Motore_Startup!$AZ$5:$AZ$544,(Ipotesi!$C$5-1)*60+57)+INDEX(Motore_Startup!$BA$5:$BA$544,(Ipotesi!$C$5-1)*60+57)</f>
        <v>0</v>
      </c>
      <c r="E61" s="15" t="n">
        <f aca="false">INDEX(Motore_Startup!$BB$5:$BB$544,(Ipotesi!$C$5-1)*60+57)</f>
        <v>0</v>
      </c>
      <c r="F61" s="15" t="n">
        <f aca="false">INDEX(Motore_Startup!$BE$5:$BE$544,(Ipotesi!$C$5-1)*60+57)-INDEX(Motore_Startup!$BF$5:$BF$544,(Ipotesi!$C$5-1)*60+57)</f>
        <v>1358.5718546149</v>
      </c>
      <c r="G61" s="15" t="n">
        <f aca="false">INDEX(Motore_Startup!$BH$5:$BH$544,(Ipotesi!$C$5-1)*60+57)</f>
        <v>25000</v>
      </c>
      <c r="H61" s="15" t="n">
        <f aca="false">INDEX(Motore_Startup!$BI$5:$BI$544,(Ipotesi!$C$5-1)*60+57)</f>
        <v>0</v>
      </c>
      <c r="I61" s="15" t="n">
        <f aca="false">INDEX(Motore_Advisory!$BH$5:$BH$544,(Ipotesi!$C$5-1)*60+57)</f>
        <v>282933.524235752</v>
      </c>
      <c r="J61" s="15" t="n">
        <f aca="false">INDEX(Motore_Advisory!$BI$5:$BI$544,(Ipotesi!$C$5-1)*60+57)</f>
        <v>0</v>
      </c>
      <c r="K61" s="15" t="n">
        <f aca="false">G61+I61</f>
        <v>307933.524235752</v>
      </c>
      <c r="L61" s="15" t="n">
        <f aca="false">H61+J61</f>
        <v>0</v>
      </c>
      <c r="M61" s="15" t="n">
        <f aca="false">IF(OR(G61&lt;0,I61&lt;0),1,0)</f>
        <v>0</v>
      </c>
    </row>
    <row r="62" customFormat="false" ht="15" hidden="false" customHeight="true" outlineLevel="0" collapsed="false">
      <c r="A62" s="18" t="n">
        <f aca="false">INDEX(Motore_Startup!$C$5:$C$544,(Ipotesi!$C$5-1)*60+58)</f>
        <v>48122</v>
      </c>
      <c r="B62" s="15" t="n">
        <f aca="false">INDEX(Motore_Startup!$BH$5:$BH$544,(Ipotesi!$C$5-1)*60+57)</f>
        <v>25000</v>
      </c>
      <c r="C62" s="15" t="n">
        <f aca="false">INDEX(Motore_Startup!$BD$5:$BD$544,(Ipotesi!$C$5-1)*60+58)-(INDEX(Motore_Startup!$BH$5:$BH$544,(Ipotesi!$C$5-1)*60+57))-(INDEX(Motore_Startup!$AW$5:$AW$544,(Ipotesi!$C$5-1)*60+58)+INDEX(Motore_Startup!$AX$5:$AX$544,(Ipotesi!$C$5-1)*60+58)+INDEX(Motore_Startup!$AZ$5:$AZ$544,(Ipotesi!$C$5-1)*60+58)+INDEX(Motore_Startup!$BA$5:$BA$544,(Ipotesi!$C$5-1)*60+58))+INDEX(Motore_Startup!$BB$5:$BB$544,(Ipotesi!$C$5-1)*60+58)</f>
        <v>1586.17265483266</v>
      </c>
      <c r="D62" s="15" t="n">
        <f aca="false">INDEX(Motore_Startup!$AW$5:$AW$544,(Ipotesi!$C$5-1)*60+58)+INDEX(Motore_Startup!$AX$5:$AX$544,(Ipotesi!$C$5-1)*60+58)+INDEX(Motore_Startup!$AZ$5:$AZ$544,(Ipotesi!$C$5-1)*60+58)+INDEX(Motore_Startup!$BA$5:$BA$544,(Ipotesi!$C$5-1)*60+58)</f>
        <v>0</v>
      </c>
      <c r="E62" s="15" t="n">
        <f aca="false">INDEX(Motore_Startup!$BB$5:$BB$544,(Ipotesi!$C$5-1)*60+58)</f>
        <v>0</v>
      </c>
      <c r="F62" s="15" t="n">
        <f aca="false">INDEX(Motore_Startup!$BE$5:$BE$544,(Ipotesi!$C$5-1)*60+58)-INDEX(Motore_Startup!$BF$5:$BF$544,(Ipotesi!$C$5-1)*60+58)</f>
        <v>-1586.17265483266</v>
      </c>
      <c r="G62" s="15" t="n">
        <f aca="false">INDEX(Motore_Startup!$BH$5:$BH$544,(Ipotesi!$C$5-1)*60+58)</f>
        <v>25000</v>
      </c>
      <c r="H62" s="15" t="n">
        <f aca="false">INDEX(Motore_Startup!$BI$5:$BI$544,(Ipotesi!$C$5-1)*60+58)</f>
        <v>0</v>
      </c>
      <c r="I62" s="15" t="n">
        <f aca="false">INDEX(Motore_Advisory!$BH$5:$BH$544,(Ipotesi!$C$5-1)*60+58)</f>
        <v>320817.908921294</v>
      </c>
      <c r="J62" s="15" t="n">
        <f aca="false">INDEX(Motore_Advisory!$BI$5:$BI$544,(Ipotesi!$C$5-1)*60+58)</f>
        <v>0</v>
      </c>
      <c r="K62" s="15" t="n">
        <f aca="false">G62+I62</f>
        <v>345817.908921294</v>
      </c>
      <c r="L62" s="15" t="n">
        <f aca="false">H62+J62</f>
        <v>0</v>
      </c>
      <c r="M62" s="15" t="n">
        <f aca="false">IF(OR(G62&lt;0,I62&lt;0),1,0)</f>
        <v>0</v>
      </c>
    </row>
    <row r="63" customFormat="false" ht="15" hidden="false" customHeight="true" outlineLevel="0" collapsed="false">
      <c r="A63" s="18" t="n">
        <f aca="false">INDEX(Motore_Startup!$C$5:$C$544,(Ipotesi!$C$5-1)*60+59)</f>
        <v>48153</v>
      </c>
      <c r="B63" s="15" t="n">
        <f aca="false">INDEX(Motore_Startup!$BH$5:$BH$544,(Ipotesi!$C$5-1)*60+58)</f>
        <v>25000</v>
      </c>
      <c r="C63" s="15" t="n">
        <f aca="false">INDEX(Motore_Startup!$BD$5:$BD$544,(Ipotesi!$C$5-1)*60+59)-(INDEX(Motore_Startup!$BH$5:$BH$544,(Ipotesi!$C$5-1)*60+58))-(INDEX(Motore_Startup!$AW$5:$AW$544,(Ipotesi!$C$5-1)*60+59)+INDEX(Motore_Startup!$AX$5:$AX$544,(Ipotesi!$C$5-1)*60+59)+INDEX(Motore_Startup!$AZ$5:$AZ$544,(Ipotesi!$C$5-1)*60+59)+INDEX(Motore_Startup!$BA$5:$BA$544,(Ipotesi!$C$5-1)*60+59))+INDEX(Motore_Startup!$BB$5:$BB$544,(Ipotesi!$C$5-1)*60+59)</f>
        <v>4519.83969543176</v>
      </c>
      <c r="D63" s="15" t="n">
        <f aca="false">INDEX(Motore_Startup!$AW$5:$AW$544,(Ipotesi!$C$5-1)*60+59)+INDEX(Motore_Startup!$AX$5:$AX$544,(Ipotesi!$C$5-1)*60+59)+INDEX(Motore_Startup!$AZ$5:$AZ$544,(Ipotesi!$C$5-1)*60+59)+INDEX(Motore_Startup!$BA$5:$BA$544,(Ipotesi!$C$5-1)*60+59)</f>
        <v>0</v>
      </c>
      <c r="E63" s="15" t="n">
        <f aca="false">INDEX(Motore_Startup!$BB$5:$BB$544,(Ipotesi!$C$5-1)*60+59)</f>
        <v>0</v>
      </c>
      <c r="F63" s="15" t="n">
        <f aca="false">INDEX(Motore_Startup!$BE$5:$BE$544,(Ipotesi!$C$5-1)*60+59)-INDEX(Motore_Startup!$BF$5:$BF$544,(Ipotesi!$C$5-1)*60+59)</f>
        <v>-4519.83969543176</v>
      </c>
      <c r="G63" s="15" t="n">
        <f aca="false">INDEX(Motore_Startup!$BH$5:$BH$544,(Ipotesi!$C$5-1)*60+59)</f>
        <v>25000</v>
      </c>
      <c r="H63" s="15" t="n">
        <f aca="false">INDEX(Motore_Startup!$BI$5:$BI$544,(Ipotesi!$C$5-1)*60+59)</f>
        <v>0</v>
      </c>
      <c r="I63" s="15" t="n">
        <f aca="false">INDEX(Motore_Advisory!$BH$5:$BH$544,(Ipotesi!$C$5-1)*60+59)</f>
        <v>304012.410882535</v>
      </c>
      <c r="J63" s="15" t="n">
        <f aca="false">INDEX(Motore_Advisory!$BI$5:$BI$544,(Ipotesi!$C$5-1)*60+59)</f>
        <v>0</v>
      </c>
      <c r="K63" s="15" t="n">
        <f aca="false">G63+I63</f>
        <v>329012.410882535</v>
      </c>
      <c r="L63" s="15" t="n">
        <f aca="false">H63+J63</f>
        <v>0</v>
      </c>
      <c r="M63" s="15" t="n">
        <f aca="false">IF(OR(G63&lt;0,I63&lt;0),1,0)</f>
        <v>0</v>
      </c>
    </row>
    <row r="64" customFormat="false" ht="15" hidden="false" customHeight="true" outlineLevel="0" collapsed="false">
      <c r="A64" s="18" t="n">
        <f aca="false">INDEX(Motore_Startup!$C$5:$C$544,(Ipotesi!$C$5-1)*60+60)</f>
        <v>48183</v>
      </c>
      <c r="B64" s="15" t="n">
        <f aca="false">INDEX(Motore_Startup!$BH$5:$BH$544,(Ipotesi!$C$5-1)*60+59)</f>
        <v>25000</v>
      </c>
      <c r="C64" s="15" t="n">
        <f aca="false">INDEX(Motore_Startup!$BD$5:$BD$544,(Ipotesi!$C$5-1)*60+60)-(INDEX(Motore_Startup!$BH$5:$BH$544,(Ipotesi!$C$5-1)*60+59))-(INDEX(Motore_Startup!$AW$5:$AW$544,(Ipotesi!$C$5-1)*60+60)+INDEX(Motore_Startup!$AX$5:$AX$544,(Ipotesi!$C$5-1)*60+60)+INDEX(Motore_Startup!$AZ$5:$AZ$544,(Ipotesi!$C$5-1)*60+60)+INDEX(Motore_Startup!$BA$5:$BA$544,(Ipotesi!$C$5-1)*60+60))+INDEX(Motore_Startup!$BB$5:$BB$544,(Ipotesi!$C$5-1)*60+60)</f>
        <v>7442.59942381561</v>
      </c>
      <c r="D64" s="15" t="n">
        <f aca="false">INDEX(Motore_Startup!$AW$5:$AW$544,(Ipotesi!$C$5-1)*60+60)+INDEX(Motore_Startup!$AX$5:$AX$544,(Ipotesi!$C$5-1)*60+60)+INDEX(Motore_Startup!$AZ$5:$AZ$544,(Ipotesi!$C$5-1)*60+60)+INDEX(Motore_Startup!$BA$5:$BA$544,(Ipotesi!$C$5-1)*60+60)</f>
        <v>0</v>
      </c>
      <c r="E64" s="15" t="n">
        <f aca="false">INDEX(Motore_Startup!$BB$5:$BB$544,(Ipotesi!$C$5-1)*60+60)</f>
        <v>13269.6498441983</v>
      </c>
      <c r="F64" s="15" t="n">
        <f aca="false">INDEX(Motore_Startup!$BE$5:$BE$544,(Ipotesi!$C$5-1)*60+60)-INDEX(Motore_Startup!$BF$5:$BF$544,(Ipotesi!$C$5-1)*60+60)</f>
        <v>5827.05042038274</v>
      </c>
      <c r="G64" s="15" t="n">
        <f aca="false">INDEX(Motore_Startup!$BH$5:$BH$544,(Ipotesi!$C$5-1)*60+60)</f>
        <v>25000</v>
      </c>
      <c r="H64" s="15" t="n">
        <f aca="false">INDEX(Motore_Startup!$BI$5:$BI$544,(Ipotesi!$C$5-1)*60+60)</f>
        <v>0</v>
      </c>
      <c r="I64" s="15" t="n">
        <f aca="false">INDEX(Motore_Advisory!$BH$5:$BH$544,(Ipotesi!$C$5-1)*60+60)</f>
        <v>341896.795568077</v>
      </c>
      <c r="J64" s="15" t="n">
        <f aca="false">INDEX(Motore_Advisory!$BI$5:$BI$544,(Ipotesi!$C$5-1)*60+60)</f>
        <v>0</v>
      </c>
      <c r="K64" s="15" t="n">
        <f aca="false">G64+I64</f>
        <v>366896.795568077</v>
      </c>
      <c r="L64" s="15" t="n">
        <f aca="false">H64+J64</f>
        <v>0</v>
      </c>
      <c r="M64" s="15" t="n">
        <f aca="false">IF(OR(G64&lt;0,I64&lt;0),1,0)</f>
        <v>0</v>
      </c>
    </row>
  </sheetData>
  <autoFilter ref="A4:M64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&amp;CLexShield v3 | Proiezioni condizionate, non bilanci certificati&amp;RPagina &amp;P /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12"/>
  </cols>
  <sheetData>
    <row r="1" customFormat="false" ht="30" hidden="false" customHeight="true" outlineLevel="0" collapsed="false">
      <c r="A1" s="19" t="s">
        <v>179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customFormat="false" ht="15" hidden="false" customHeight="true" outlineLevel="0" collapsed="false">
      <c r="A2" s="20" t="s">
        <v>180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customFormat="false" ht="15" hidden="false" customHeight="false" outlineLevel="0" collapsed="false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</sheetData>
  <mergeCells count="2">
    <mergeCell ref="A1:L1"/>
    <mergeCell ref="A2:L3"/>
  </mergeCell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&amp;CLexShield v3 | scenario selezionato in Ipotesi!C5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9"/>
    <col collapsed="false" customWidth="true" hidden="false" outlineLevel="0" max="2" min="2" style="1" width="42"/>
    <col collapsed="false" customWidth="true" hidden="false" outlineLevel="0" max="7" min="3" style="1" width="21"/>
    <col collapsed="false" customWidth="true" hidden="false" outlineLevel="0" max="9" min="8" style="1" width="18"/>
  </cols>
  <sheetData>
    <row r="1" customFormat="false" ht="30" hidden="false" customHeight="true" outlineLevel="0" collapsed="false">
      <c r="A1" s="2" t="s">
        <v>181</v>
      </c>
      <c r="B1" s="2"/>
      <c r="C1" s="2"/>
      <c r="D1" s="2"/>
      <c r="E1" s="2"/>
      <c r="F1" s="2"/>
      <c r="G1" s="2"/>
      <c r="H1" s="2"/>
    </row>
    <row r="2" customFormat="false" ht="42" hidden="false" customHeight="true" outlineLevel="0" collapsed="false">
      <c r="A2" s="3" t="s">
        <v>182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A4" s="4" t="s">
        <v>183</v>
      </c>
      <c r="B4" s="4" t="s">
        <v>44</v>
      </c>
      <c r="C4" s="4" t="n">
        <v>2027</v>
      </c>
      <c r="D4" s="4" t="n">
        <v>2028</v>
      </c>
      <c r="E4" s="4" t="n">
        <v>2029</v>
      </c>
      <c r="F4" s="4" t="n">
        <v>2030</v>
      </c>
      <c r="G4" s="4" t="n">
        <v>2031</v>
      </c>
    </row>
    <row r="5" customFormat="false" ht="27.75" hidden="false" customHeight="true" outlineLevel="0" collapsed="false">
      <c r="A5" s="5" t="s">
        <v>184</v>
      </c>
      <c r="B5" s="6" t="s">
        <v>123</v>
      </c>
      <c r="C5" s="15" t="n">
        <f aca="false">SUM(Motore_Startup!F5:F16)+SUM(Motore_Advisory!F5:F16)</f>
        <v>219750</v>
      </c>
      <c r="D5" s="15" t="n">
        <f aca="false">SUM(Motore_Startup!F17:F28)+SUM(Motore_Advisory!F17:F28)</f>
        <v>588832.512795585</v>
      </c>
      <c r="E5" s="15" t="n">
        <f aca="false">SUM(Motore_Startup!F29:F40)+SUM(Motore_Advisory!F29:F40)</f>
        <v>1192809.34099187</v>
      </c>
      <c r="F5" s="15" t="n">
        <f aca="false">SUM(Motore_Startup!F41:F52)+SUM(Motore_Advisory!F41:F52)</f>
        <v>1980154.14498725</v>
      </c>
      <c r="G5" s="15" t="n">
        <f aca="false">SUM(Motore_Startup!F53:F64)+SUM(Motore_Advisory!F53:F64)</f>
        <v>2807346.11047998</v>
      </c>
    </row>
    <row r="6" customFormat="false" ht="27.75" hidden="false" customHeight="true" outlineLevel="0" collapsed="false">
      <c r="A6" s="5" t="s">
        <v>184</v>
      </c>
      <c r="B6" s="6" t="s">
        <v>79</v>
      </c>
      <c r="C6" s="15" t="n">
        <f aca="false">SUM(Motore_Startup!J5:J16)+SUM(Motore_Advisory!J5:J16)</f>
        <v>-235190</v>
      </c>
      <c r="D6" s="15" t="n">
        <f aca="false">SUM(Motore_Startup!J17:J28)+SUM(Motore_Advisory!J17:J28)</f>
        <v>-396301.538995797</v>
      </c>
      <c r="E6" s="15" t="n">
        <f aca="false">SUM(Motore_Startup!J29:J40)+SUM(Motore_Advisory!J29:J40)</f>
        <v>-663238.716746988</v>
      </c>
      <c r="F6" s="15" t="n">
        <f aca="false">SUM(Motore_Startup!J41:J52)+SUM(Motore_Advisory!J41:J52)</f>
        <v>-498508.773310969</v>
      </c>
      <c r="G6" s="15" t="n">
        <f aca="false">SUM(Motore_Startup!J53:J64)+SUM(Motore_Advisory!J53:J64)</f>
        <v>-327486.82696722</v>
      </c>
    </row>
    <row r="7" customFormat="false" ht="27.75" hidden="false" customHeight="true" outlineLevel="0" collapsed="false">
      <c r="A7" s="5" t="s">
        <v>184</v>
      </c>
      <c r="B7" s="6" t="s">
        <v>185</v>
      </c>
      <c r="C7" s="15" t="n">
        <f aca="false">Motore_Startup!BH16</f>
        <v>25000</v>
      </c>
      <c r="D7" s="15" t="n">
        <f aca="false">Motore_Startup!BH28</f>
        <v>25000</v>
      </c>
      <c r="E7" s="15" t="n">
        <f aca="false">Motore_Startup!BH40</f>
        <v>188805.10419488</v>
      </c>
      <c r="F7" s="15" t="n">
        <f aca="false">Motore_Startup!BH52</f>
        <v>-421638.182288278</v>
      </c>
      <c r="G7" s="15" t="n">
        <f aca="false">Motore_Startup!BH64</f>
        <v>-1049964.65200019</v>
      </c>
    </row>
    <row r="8" customFormat="false" ht="27.75" hidden="false" customHeight="true" outlineLevel="0" collapsed="false">
      <c r="A8" s="5" t="s">
        <v>184</v>
      </c>
      <c r="B8" s="6" t="s">
        <v>186</v>
      </c>
      <c r="C8" s="15" t="n">
        <f aca="false">MIN(Motore_Startup!BH5:BH16)</f>
        <v>25000</v>
      </c>
      <c r="D8" s="15" t="n">
        <f aca="false">MIN(Motore_Startup!BH17:BH28)</f>
        <v>-114582.276479185</v>
      </c>
      <c r="E8" s="15" t="n">
        <f aca="false">MIN(Motore_Startup!BH29:BH40)</f>
        <v>-215059.562178267</v>
      </c>
      <c r="F8" s="15" t="n">
        <f aca="false">MIN(Motore_Startup!BH41:BH52)</f>
        <v>-421638.182288278</v>
      </c>
      <c r="G8" s="15" t="n">
        <f aca="false">MIN(Motore_Startup!BH53:BH64)</f>
        <v>-1049964.65200019</v>
      </c>
    </row>
    <row r="9" customFormat="false" ht="27.75" hidden="false" customHeight="true" outlineLevel="0" collapsed="false">
      <c r="A9" s="5" t="s">
        <v>184</v>
      </c>
      <c r="B9" s="6" t="s">
        <v>187</v>
      </c>
      <c r="C9" s="15" t="n">
        <f aca="false">MAX(Motore_Startup!BI5:BI16)</f>
        <v>0</v>
      </c>
      <c r="D9" s="15" t="n">
        <f aca="false">MAX(Motore_Startup!BI17:BI28)</f>
        <v>139582.276479185</v>
      </c>
      <c r="E9" s="15" t="n">
        <f aca="false">MAX(Motore_Startup!BI29:BI40)</f>
        <v>240059.562178267</v>
      </c>
      <c r="F9" s="15" t="n">
        <f aca="false">MAX(Motore_Startup!BI41:BI52)</f>
        <v>446638.182288278</v>
      </c>
      <c r="G9" s="15" t="n">
        <f aca="false">MAX(Motore_Startup!BI53:BI64)</f>
        <v>1074964.65200019</v>
      </c>
    </row>
    <row r="10" customFormat="false" ht="27.75" hidden="false" customHeight="true" outlineLevel="0" collapsed="false">
      <c r="A10" s="5" t="s">
        <v>184</v>
      </c>
      <c r="B10" s="6" t="s">
        <v>188</v>
      </c>
      <c r="C10" s="15" t="n">
        <f aca="false">MIN(Motore_Advisory!BH5:BH16)</f>
        <v>-7904.66666666667</v>
      </c>
      <c r="D10" s="15" t="n">
        <f aca="false">MIN(Motore_Advisory!BH17:BH28)</f>
        <v>-41360.4833333333</v>
      </c>
      <c r="E10" s="15" t="n">
        <f aca="false">MIN(Motore_Advisory!BH29:BH40)</f>
        <v>-72161.6747916666</v>
      </c>
      <c r="F10" s="15" t="n">
        <f aca="false">MIN(Motore_Advisory!BH41:BH52)</f>
        <v>-46795.7332854166</v>
      </c>
      <c r="G10" s="15" t="n">
        <f aca="false">MIN(Motore_Advisory!BH53:BH64)</f>
        <v>11697.0192482917</v>
      </c>
    </row>
    <row r="11" customFormat="false" ht="27.75" hidden="false" customHeight="true" outlineLevel="0" collapsed="false">
      <c r="A11" s="5" t="s">
        <v>184</v>
      </c>
      <c r="B11" s="6" t="s">
        <v>189</v>
      </c>
      <c r="C11" s="15" t="n">
        <f aca="false">MAX(Motore_Advisory!BI5:BI16)</f>
        <v>17904.6666666667</v>
      </c>
      <c r="D11" s="15" t="n">
        <f aca="false">MAX(Motore_Advisory!BI17:BI28)</f>
        <v>51360.4833333333</v>
      </c>
      <c r="E11" s="15" t="n">
        <f aca="false">MAX(Motore_Advisory!BI29:BI40)</f>
        <v>82161.6747916666</v>
      </c>
      <c r="F11" s="15" t="n">
        <f aca="false">MAX(Motore_Advisory!BI41:BI52)</f>
        <v>56795.7332854166</v>
      </c>
      <c r="G11" s="15" t="n">
        <f aca="false">MAX(Motore_Advisory!BI53:BI64)</f>
        <v>0</v>
      </c>
    </row>
    <row r="12" customFormat="false" ht="27.75" hidden="false" customHeight="true" outlineLevel="0" collapsed="false">
      <c r="A12" s="5" t="s">
        <v>184</v>
      </c>
      <c r="B12" s="6" t="s">
        <v>190</v>
      </c>
      <c r="C12" s="15" t="n">
        <f aca="false">Motore_Startup!BQ16</f>
        <v>-108763.405147745</v>
      </c>
      <c r="D12" s="15" t="n">
        <f aca="false">Motore_Startup!BQ28</f>
        <v>-186450.017652123</v>
      </c>
      <c r="E12" s="15" t="n">
        <f aca="false">Motore_Startup!BQ40</f>
        <v>2377.25664933794</v>
      </c>
      <c r="F12" s="15" t="n">
        <f aca="false">Motore_Startup!BQ52</f>
        <v>-649500.12867314</v>
      </c>
      <c r="G12" s="15" t="n">
        <f aca="false">Motore_Startup!BQ64</f>
        <v>-1165946.84406592</v>
      </c>
    </row>
    <row r="13" customFormat="false" ht="27.75" hidden="false" customHeight="true" outlineLevel="0" collapsed="false">
      <c r="A13" s="5" t="s">
        <v>184</v>
      </c>
      <c r="B13" s="6" t="s">
        <v>97</v>
      </c>
      <c r="C13" s="17" t="n">
        <f aca="false">Motore_Operativo!BD16</f>
        <v>3</v>
      </c>
      <c r="D13" s="17" t="n">
        <f aca="false">Motore_Operativo!BD28</f>
        <v>21</v>
      </c>
      <c r="E13" s="17" t="n">
        <f aca="false">Motore_Operativo!BD40</f>
        <v>67.9653030534551</v>
      </c>
      <c r="F13" s="17" t="n">
        <f aca="false">Motore_Operativo!BD52</f>
        <v>124.066761519313</v>
      </c>
      <c r="G13" s="17" t="n">
        <f aca="false">Motore_Operativo!BD64</f>
        <v>186.230305829755</v>
      </c>
    </row>
    <row r="14" customFormat="false" ht="27.75" hidden="false" customHeight="true" outlineLevel="0" collapsed="false"/>
    <row r="15" customFormat="false" ht="27.75" hidden="false" customHeight="true" outlineLevel="0" collapsed="false">
      <c r="A15" s="5" t="s">
        <v>191</v>
      </c>
      <c r="B15" s="6" t="s">
        <v>123</v>
      </c>
      <c r="C15" s="15" t="n">
        <f aca="false">SUM(Motore_Startup!F65:F76)+SUM(Motore_Advisory!F65:F76)</f>
        <v>288276.315789474</v>
      </c>
      <c r="D15" s="15" t="n">
        <f aca="false">SUM(Motore_Startup!F77:F88)+SUM(Motore_Advisory!F77:F88)</f>
        <v>732688.608191163</v>
      </c>
      <c r="E15" s="15" t="n">
        <f aca="false">SUM(Motore_Startup!F89:F100)+SUM(Motore_Advisory!F89:F100)</f>
        <v>1533406.24850492</v>
      </c>
      <c r="F15" s="15" t="n">
        <f aca="false">SUM(Motore_Startup!F101:F112)+SUM(Motore_Advisory!F101:F112)</f>
        <v>2580413.92167546</v>
      </c>
      <c r="G15" s="15" t="n">
        <f aca="false">SUM(Motore_Startup!F113:F124)+SUM(Motore_Advisory!F113:F124)</f>
        <v>3651225.25392839</v>
      </c>
    </row>
    <row r="16" customFormat="false" ht="27.75" hidden="false" customHeight="true" outlineLevel="0" collapsed="false">
      <c r="A16" s="5" t="s">
        <v>191</v>
      </c>
      <c r="B16" s="6" t="s">
        <v>79</v>
      </c>
      <c r="C16" s="15" t="n">
        <f aca="false">SUM(Motore_Startup!J65:J76)+SUM(Motore_Advisory!J65:J76)</f>
        <v>-171028.842105263</v>
      </c>
      <c r="D16" s="15" t="n">
        <f aca="false">SUM(Motore_Startup!J77:J88)+SUM(Motore_Advisory!J77:J88)</f>
        <v>-263199.149068276</v>
      </c>
      <c r="E16" s="15" t="n">
        <f aca="false">SUM(Motore_Startup!J89:J100)+SUM(Motore_Advisory!J89:J100)</f>
        <v>-350161.376285769</v>
      </c>
      <c r="F16" s="15" t="n">
        <f aca="false">SUM(Motore_Startup!J101:J112)+SUM(Motore_Advisory!J101:J112)</f>
        <v>52824.1846408969</v>
      </c>
      <c r="G16" s="15" t="n">
        <f aca="false">SUM(Motore_Startup!J113:J124)+SUM(Motore_Advisory!J113:J124)</f>
        <v>446595.611398411</v>
      </c>
    </row>
    <row r="17" customFormat="false" ht="27.75" hidden="false" customHeight="true" outlineLevel="0" collapsed="false">
      <c r="A17" s="5" t="s">
        <v>191</v>
      </c>
      <c r="B17" s="6" t="s">
        <v>185</v>
      </c>
      <c r="C17" s="15" t="n">
        <f aca="false">Motore_Startup!BH76</f>
        <v>25000</v>
      </c>
      <c r="D17" s="15" t="n">
        <f aca="false">Motore_Startup!BH88</f>
        <v>40136.7903633169</v>
      </c>
      <c r="E17" s="15" t="n">
        <f aca="false">Motore_Startup!BH100</f>
        <v>448452.524776355</v>
      </c>
      <c r="F17" s="15" t="n">
        <f aca="false">Motore_Startup!BH112</f>
        <v>28722.3808950936</v>
      </c>
      <c r="G17" s="15" t="n">
        <f aca="false">Motore_Startup!BH124</f>
        <v>25000</v>
      </c>
    </row>
    <row r="18" customFormat="false" ht="27.75" hidden="false" customHeight="true" outlineLevel="0" collapsed="false">
      <c r="A18" s="5" t="s">
        <v>191</v>
      </c>
      <c r="B18" s="6" t="s">
        <v>186</v>
      </c>
      <c r="C18" s="15" t="n">
        <f aca="false">MIN(Motore_Startup!BH65:BH76)</f>
        <v>25000</v>
      </c>
      <c r="D18" s="15" t="n">
        <f aca="false">MIN(Motore_Startup!BH77:BH88)</f>
        <v>-73138.7599314124</v>
      </c>
      <c r="E18" s="15" t="n">
        <f aca="false">MIN(Motore_Startup!BH89:BH100)</f>
        <v>-73078.562618631</v>
      </c>
      <c r="F18" s="15" t="n">
        <f aca="false">MIN(Motore_Startup!BH101:BH112)</f>
        <v>28722.3808950936</v>
      </c>
      <c r="G18" s="15" t="n">
        <f aca="false">MIN(Motore_Startup!BH113:BH124)</f>
        <v>25000</v>
      </c>
    </row>
    <row r="19" customFormat="false" ht="27.75" hidden="false" customHeight="true" outlineLevel="0" collapsed="false">
      <c r="A19" s="5" t="s">
        <v>191</v>
      </c>
      <c r="B19" s="6" t="s">
        <v>187</v>
      </c>
      <c r="C19" s="15" t="n">
        <f aca="false">MAX(Motore_Startup!BI65:BI76)</f>
        <v>0</v>
      </c>
      <c r="D19" s="15" t="n">
        <f aca="false">MAX(Motore_Startup!BI77:BI88)</f>
        <v>98138.7599314124</v>
      </c>
      <c r="E19" s="15" t="n">
        <f aca="false">MAX(Motore_Startup!BI89:BI100)</f>
        <v>98078.562618631</v>
      </c>
      <c r="F19" s="15" t="n">
        <f aca="false">MAX(Motore_Startup!BI101:BI112)</f>
        <v>0</v>
      </c>
      <c r="G19" s="15" t="n">
        <f aca="false">MAX(Motore_Startup!BI113:BI124)</f>
        <v>0</v>
      </c>
    </row>
    <row r="20" customFormat="false" ht="27.75" hidden="false" customHeight="true" outlineLevel="0" collapsed="false">
      <c r="A20" s="5" t="s">
        <v>191</v>
      </c>
      <c r="B20" s="6" t="s">
        <v>188</v>
      </c>
      <c r="C20" s="15" t="n">
        <f aca="false">MIN(Motore_Advisory!BH65:BH76)</f>
        <v>-10462.8519298246</v>
      </c>
      <c r="D20" s="15" t="n">
        <f aca="false">MIN(Motore_Advisory!BH77:BH88)</f>
        <v>-9688.90209957994</v>
      </c>
      <c r="E20" s="15" t="n">
        <f aca="false">MIN(Motore_Advisory!BH89:BH100)</f>
        <v>-16783.0800399988</v>
      </c>
      <c r="F20" s="15" t="n">
        <f aca="false">MIN(Motore_Advisory!BH101:BH112)</f>
        <v>73892.8964176045</v>
      </c>
      <c r="G20" s="15" t="n">
        <f aca="false">MIN(Motore_Advisory!BH113:BH124)</f>
        <v>169280.370179127</v>
      </c>
    </row>
    <row r="21" customFormat="false" ht="27.75" hidden="false" customHeight="true" outlineLevel="0" collapsed="false">
      <c r="A21" s="5" t="s">
        <v>191</v>
      </c>
      <c r="B21" s="6" t="s">
        <v>189</v>
      </c>
      <c r="C21" s="15" t="n">
        <f aca="false">MAX(Motore_Advisory!BI65:BI76)</f>
        <v>20462.8519298246</v>
      </c>
      <c r="D21" s="15" t="n">
        <f aca="false">MAX(Motore_Advisory!BI77:BI88)</f>
        <v>19688.9020995799</v>
      </c>
      <c r="E21" s="15" t="n">
        <f aca="false">MAX(Motore_Advisory!BI89:BI100)</f>
        <v>26783.0800399988</v>
      </c>
      <c r="F21" s="15" t="n">
        <f aca="false">MAX(Motore_Advisory!BI101:BI112)</f>
        <v>0</v>
      </c>
      <c r="G21" s="15" t="n">
        <f aca="false">MAX(Motore_Advisory!BI113:BI124)</f>
        <v>0</v>
      </c>
    </row>
    <row r="22" customFormat="false" ht="27.75" hidden="false" customHeight="true" outlineLevel="0" collapsed="false">
      <c r="A22" s="5" t="s">
        <v>191</v>
      </c>
      <c r="B22" s="6" t="s">
        <v>190</v>
      </c>
      <c r="C22" s="15" t="n">
        <f aca="false">Motore_Startup!BQ76</f>
        <v>-81501.5957323722</v>
      </c>
      <c r="D22" s="15" t="n">
        <f aca="false">Motore_Startup!BQ88</f>
        <v>-70427.3854336885</v>
      </c>
      <c r="E22" s="15" t="n">
        <f aca="false">Motore_Startup!BQ100</f>
        <v>322479.703755761</v>
      </c>
      <c r="F22" s="15" t="n">
        <f aca="false">Motore_Startup!BQ112</f>
        <v>50461.8740799918</v>
      </c>
      <c r="G22" s="15" t="n">
        <f aca="false">Motore_Startup!BQ124</f>
        <v>88867.7624496373</v>
      </c>
    </row>
    <row r="23" customFormat="false" ht="27.75" hidden="false" customHeight="true" outlineLevel="0" collapsed="false">
      <c r="A23" s="5" t="s">
        <v>191</v>
      </c>
      <c r="B23" s="6" t="s">
        <v>97</v>
      </c>
      <c r="C23" s="17" t="n">
        <f aca="false">Motore_Operativo!BD76</f>
        <v>5</v>
      </c>
      <c r="D23" s="17" t="n">
        <f aca="false">Motore_Operativo!BD88</f>
        <v>32.6393699684432</v>
      </c>
      <c r="E23" s="17" t="n">
        <f aca="false">Motore_Operativo!BD100</f>
        <v>88.253796635745</v>
      </c>
      <c r="F23" s="17" t="n">
        <f aca="false">Motore_Operativo!BD112</f>
        <v>154.906003497615</v>
      </c>
      <c r="G23" s="17" t="n">
        <f aca="false">Motore_Operativo!BD124</f>
        <v>228.899667702702</v>
      </c>
    </row>
    <row r="24" customFormat="false" ht="27.75" hidden="false" customHeight="true" outlineLevel="0" collapsed="false"/>
    <row r="25" customFormat="false" ht="27.75" hidden="false" customHeight="true" outlineLevel="0" collapsed="false">
      <c r="A25" s="5" t="s">
        <v>192</v>
      </c>
      <c r="B25" s="6" t="s">
        <v>123</v>
      </c>
      <c r="C25" s="15" t="n">
        <f aca="false">SUM(Motore_Startup!F125:F136)+SUM(Motore_Advisory!F125:F136)</f>
        <v>310656.315789474</v>
      </c>
      <c r="D25" s="15" t="n">
        <f aca="false">SUM(Motore_Startup!F137:F148)+SUM(Motore_Advisory!F137:F148)</f>
        <v>787707.910060678</v>
      </c>
      <c r="E25" s="15" t="n">
        <f aca="false">SUM(Motore_Startup!F149:F160)+SUM(Motore_Advisory!F149:F160)</f>
        <v>1666712.12284309</v>
      </c>
      <c r="F25" s="15" t="n">
        <f aca="false">SUM(Motore_Startup!F161:F172)+SUM(Motore_Advisory!F161:F172)</f>
        <v>2826399.36317514</v>
      </c>
      <c r="G25" s="15" t="n">
        <f aca="false">SUM(Motore_Startup!F173:F184)+SUM(Motore_Advisory!F173:F184)</f>
        <v>4080293.93894485</v>
      </c>
    </row>
    <row r="26" customFormat="false" ht="27.75" hidden="false" customHeight="true" outlineLevel="0" collapsed="false">
      <c r="A26" s="5" t="s">
        <v>192</v>
      </c>
      <c r="B26" s="6" t="s">
        <v>79</v>
      </c>
      <c r="C26" s="15" t="n">
        <f aca="false">SUM(Motore_Startup!J125:J136)+SUM(Motore_Advisory!J125:J136)</f>
        <v>-150111.642105263</v>
      </c>
      <c r="D26" s="15" t="n">
        <f aca="false">SUM(Motore_Startup!J137:J148)+SUM(Motore_Advisory!J137:J148)</f>
        <v>-212994.549460493</v>
      </c>
      <c r="E26" s="15" t="n">
        <f aca="false">SUM(Motore_Startup!J149:J160)+SUM(Motore_Advisory!J149:J160)</f>
        <v>-231166.324354947</v>
      </c>
      <c r="F26" s="15" t="n">
        <f aca="false">SUM(Motore_Startup!J161:J172)+SUM(Motore_Advisory!J161:J172)</f>
        <v>269478.864330617</v>
      </c>
      <c r="G26" s="15" t="n">
        <f aca="false">SUM(Motore_Startup!J173:J184)+SUM(Motore_Advisory!J173:J184)</f>
        <v>826652.884860393</v>
      </c>
    </row>
    <row r="27" customFormat="false" ht="27.75" hidden="false" customHeight="true" outlineLevel="0" collapsed="false">
      <c r="A27" s="5" t="s">
        <v>192</v>
      </c>
      <c r="B27" s="6" t="s">
        <v>185</v>
      </c>
      <c r="C27" s="15" t="n">
        <f aca="false">Motore_Startup!BH136</f>
        <v>25000</v>
      </c>
      <c r="D27" s="15" t="n">
        <f aca="false">Motore_Startup!BH148</f>
        <v>95906.0590856177</v>
      </c>
      <c r="E27" s="15" t="n">
        <f aca="false">Motore_Startup!BH160</f>
        <v>599339.369062146</v>
      </c>
      <c r="F27" s="15" t="n">
        <f aca="false">Motore_Startup!BH172</f>
        <v>364952.173256656</v>
      </c>
      <c r="G27" s="15" t="n">
        <f aca="false">Motore_Startup!BH184</f>
        <v>552333.503273562</v>
      </c>
    </row>
    <row r="28" customFormat="false" ht="27.75" hidden="false" customHeight="true" outlineLevel="0" collapsed="false">
      <c r="A28" s="5" t="s">
        <v>192</v>
      </c>
      <c r="B28" s="6" t="s">
        <v>186</v>
      </c>
      <c r="C28" s="15" t="n">
        <f aca="false">MIN(Motore_Startup!BH125:BH136)</f>
        <v>25000</v>
      </c>
      <c r="D28" s="15" t="n">
        <f aca="false">MIN(Motore_Startup!BH137:BH148)</f>
        <v>-46717.8299915168</v>
      </c>
      <c r="E28" s="15" t="n">
        <f aca="false">MIN(Motore_Startup!BH149:BH160)</f>
        <v>11255.6257698921</v>
      </c>
      <c r="F28" s="15" t="n">
        <f aca="false">MIN(Motore_Startup!BH161:BH172)</f>
        <v>364952.173256656</v>
      </c>
      <c r="G28" s="15" t="n">
        <f aca="false">MIN(Motore_Startup!BH173:BH184)</f>
        <v>303867.878514998</v>
      </c>
    </row>
    <row r="29" customFormat="false" ht="27.75" hidden="false" customHeight="true" outlineLevel="0" collapsed="false">
      <c r="A29" s="5" t="s">
        <v>192</v>
      </c>
      <c r="B29" s="6" t="s">
        <v>187</v>
      </c>
      <c r="C29" s="15" t="n">
        <f aca="false">MAX(Motore_Startup!BI125:BI136)</f>
        <v>0</v>
      </c>
      <c r="D29" s="15" t="n">
        <f aca="false">MAX(Motore_Startup!BI137:BI148)</f>
        <v>71717.8299915168</v>
      </c>
      <c r="E29" s="15" t="n">
        <f aca="false">MAX(Motore_Startup!BI149:BI160)</f>
        <v>13744.3742301079</v>
      </c>
      <c r="F29" s="15" t="n">
        <f aca="false">MAX(Motore_Startup!BI161:BI172)</f>
        <v>0</v>
      </c>
      <c r="G29" s="15" t="n">
        <f aca="false">MAX(Motore_Startup!BI173:BI184)</f>
        <v>0</v>
      </c>
    </row>
    <row r="30" customFormat="false" ht="27.75" hidden="false" customHeight="true" outlineLevel="0" collapsed="false">
      <c r="A30" s="5" t="s">
        <v>192</v>
      </c>
      <c r="B30" s="6" t="s">
        <v>188</v>
      </c>
      <c r="C30" s="15" t="n">
        <f aca="false">MIN(Motore_Advisory!BH125:BH136)</f>
        <v>-10462.8519298246</v>
      </c>
      <c r="D30" s="15" t="n">
        <f aca="false">MIN(Motore_Advisory!BH137:BH148)</f>
        <v>-9688.90209957992</v>
      </c>
      <c r="E30" s="15" t="n">
        <f aca="false">MIN(Motore_Advisory!BH149:BH160)</f>
        <v>-16783.0800399987</v>
      </c>
      <c r="F30" s="15" t="n">
        <f aca="false">MIN(Motore_Advisory!BH161:BH172)</f>
        <v>73892.8964176045</v>
      </c>
      <c r="G30" s="15" t="n">
        <f aca="false">MIN(Motore_Advisory!BH173:BH184)</f>
        <v>179472.477251591</v>
      </c>
    </row>
    <row r="31" customFormat="false" ht="27.75" hidden="false" customHeight="true" outlineLevel="0" collapsed="false">
      <c r="A31" s="5" t="s">
        <v>192</v>
      </c>
      <c r="B31" s="6" t="s">
        <v>189</v>
      </c>
      <c r="C31" s="15" t="n">
        <f aca="false">MAX(Motore_Advisory!BI125:BI136)</f>
        <v>20462.8519298246</v>
      </c>
      <c r="D31" s="15" t="n">
        <f aca="false">MAX(Motore_Advisory!BI137:BI148)</f>
        <v>19688.9020995799</v>
      </c>
      <c r="E31" s="15" t="n">
        <f aca="false">MAX(Motore_Advisory!BI149:BI160)</f>
        <v>26783.0800399987</v>
      </c>
      <c r="F31" s="15" t="n">
        <f aca="false">MAX(Motore_Advisory!BI161:BI172)</f>
        <v>0</v>
      </c>
      <c r="G31" s="15" t="n">
        <f aca="false">MAX(Motore_Advisory!BI173:BI184)</f>
        <v>0</v>
      </c>
    </row>
    <row r="32" customFormat="false" ht="27.75" hidden="false" customHeight="true" outlineLevel="0" collapsed="false">
      <c r="A32" s="5" t="s">
        <v>192</v>
      </c>
      <c r="B32" s="6" t="s">
        <v>190</v>
      </c>
      <c r="C32" s="15" t="n">
        <f aca="false">Motore_Startup!BQ136</f>
        <v>-60279.8556119405</v>
      </c>
      <c r="D32" s="15" t="n">
        <f aca="false">Motore_Startup!BQ148</f>
        <v>2449.15003512992</v>
      </c>
      <c r="E32" s="15" t="n">
        <f aca="false">Motore_Startup!BQ160</f>
        <v>515678.116412512</v>
      </c>
      <c r="F32" s="15" t="n">
        <f aca="false">Motore_Startup!BQ172</f>
        <v>460314.966426462</v>
      </c>
      <c r="G32" s="15" t="n">
        <f aca="false">Motore_Startup!BQ184</f>
        <v>816757.552922073</v>
      </c>
    </row>
    <row r="33" customFormat="false" ht="27.75" hidden="false" customHeight="true" outlineLevel="0" collapsed="false">
      <c r="A33" s="5" t="s">
        <v>192</v>
      </c>
      <c r="B33" s="6" t="s">
        <v>97</v>
      </c>
      <c r="C33" s="17" t="n">
        <f aca="false">Motore_Operativo!BD136</f>
        <v>7</v>
      </c>
      <c r="D33" s="17" t="n">
        <f aca="false">Motore_Operativo!BD148</f>
        <v>41.1927433760617</v>
      </c>
      <c r="E33" s="17" t="n">
        <f aca="false">Motore_Operativo!BD160</f>
        <v>110.671423618638</v>
      </c>
      <c r="F33" s="17" t="n">
        <f aca="false">Motore_Operativo!BD172</f>
        <v>193.95126441358</v>
      </c>
      <c r="G33" s="17" t="n">
        <f aca="false">Motore_Operativo!BD184</f>
        <v>270</v>
      </c>
    </row>
    <row r="34" customFormat="false" ht="27.75" hidden="false" customHeight="true" outlineLevel="0" collapsed="false"/>
    <row r="35" customFormat="false" ht="27.75" hidden="false" customHeight="true" outlineLevel="0" collapsed="false">
      <c r="A35" s="5" t="s">
        <v>193</v>
      </c>
      <c r="B35" s="6" t="s">
        <v>123</v>
      </c>
      <c r="C35" s="15" t="n">
        <f aca="false">SUM(Motore_Startup!F185:F196)+SUM(Motore_Advisory!F185:F196)</f>
        <v>144900</v>
      </c>
      <c r="D35" s="15" t="n">
        <f aca="false">SUM(Motore_Startup!F197:F208)+SUM(Motore_Advisory!F197:F208)</f>
        <v>384410.454399338</v>
      </c>
      <c r="E35" s="15" t="n">
        <f aca="false">SUM(Motore_Startup!F209:F220)+SUM(Motore_Advisory!F209:F220)</f>
        <v>769563.594904582</v>
      </c>
      <c r="F35" s="15" t="n">
        <f aca="false">SUM(Motore_Startup!F221:F232)+SUM(Motore_Advisory!F221:F232)</f>
        <v>1318227.30520763</v>
      </c>
      <c r="G35" s="15" t="n">
        <f aca="false">SUM(Motore_Startup!F233:F244)+SUM(Motore_Advisory!F233:F244)</f>
        <v>1936192.56006862</v>
      </c>
    </row>
    <row r="36" customFormat="false" ht="27.75" hidden="false" customHeight="true" outlineLevel="0" collapsed="false">
      <c r="A36" s="5" t="s">
        <v>193</v>
      </c>
      <c r="B36" s="6" t="s">
        <v>79</v>
      </c>
      <c r="C36" s="15" t="n">
        <f aca="false">SUM(Motore_Startup!J185:J196)+SUM(Motore_Advisory!J185:J196)</f>
        <v>-305324</v>
      </c>
      <c r="D36" s="15" t="n">
        <f aca="false">SUM(Motore_Startup!J197:J208)+SUM(Motore_Advisory!J197:J208)</f>
        <v>-586565.559216569</v>
      </c>
      <c r="E36" s="15" t="n">
        <f aca="false">SUM(Motore_Startup!J209:J220)+SUM(Motore_Advisory!J209:J220)</f>
        <v>-1052980.97838206</v>
      </c>
      <c r="F36" s="15" t="n">
        <f aca="false">SUM(Motore_Startup!J221:J232)+SUM(Motore_Advisory!J221:J232)</f>
        <v>-1105313.33052144</v>
      </c>
      <c r="G36" s="15" t="n">
        <f aca="false">SUM(Motore_Startup!J233:J244)+SUM(Motore_Advisory!J233:J244)</f>
        <v>-1125992.18282099</v>
      </c>
    </row>
    <row r="37" customFormat="false" ht="27.75" hidden="false" customHeight="true" outlineLevel="0" collapsed="false">
      <c r="A37" s="5" t="s">
        <v>193</v>
      </c>
      <c r="B37" s="6" t="s">
        <v>185</v>
      </c>
      <c r="C37" s="15" t="n">
        <f aca="false">Motore_Startup!BH196</f>
        <v>-17680.2766848881</v>
      </c>
      <c r="D37" s="15" t="n">
        <f aca="false">Motore_Startup!BH208</f>
        <v>-484309.880212864</v>
      </c>
      <c r="E37" s="15" t="n">
        <f aca="false">Motore_Startup!BH220</f>
        <v>-983115.115137512</v>
      </c>
      <c r="F37" s="15" t="n">
        <f aca="false">Motore_Startup!BH232</f>
        <v>-1978058.24156866</v>
      </c>
      <c r="G37" s="15" t="n">
        <f aca="false">Motore_Startup!BH244</f>
        <v>-3118705.21374843</v>
      </c>
    </row>
    <row r="38" customFormat="false" ht="27.75" hidden="false" customHeight="true" outlineLevel="0" collapsed="false">
      <c r="A38" s="5" t="s">
        <v>193</v>
      </c>
      <c r="B38" s="6" t="s">
        <v>186</v>
      </c>
      <c r="C38" s="15" t="n">
        <f aca="false">MIN(Motore_Startup!BH185:BH196)</f>
        <v>-17680.2766848881</v>
      </c>
      <c r="D38" s="15" t="n">
        <f aca="false">MIN(Motore_Startup!BH197:BH208)</f>
        <v>-521695.340915635</v>
      </c>
      <c r="E38" s="15" t="n">
        <f aca="false">MIN(Motore_Startup!BH209:BH220)</f>
        <v>-1106035.90159031</v>
      </c>
      <c r="F38" s="15" t="n">
        <f aca="false">MIN(Motore_Startup!BH221:BH232)</f>
        <v>-1978058.24156866</v>
      </c>
      <c r="G38" s="15" t="n">
        <f aca="false">MIN(Motore_Startup!BH233:BH244)</f>
        <v>-3118705.21374843</v>
      </c>
    </row>
    <row r="39" customFormat="false" ht="27.75" hidden="false" customHeight="true" outlineLevel="0" collapsed="false">
      <c r="A39" s="5" t="s">
        <v>193</v>
      </c>
      <c r="B39" s="6" t="s">
        <v>187</v>
      </c>
      <c r="C39" s="15" t="n">
        <f aca="false">MAX(Motore_Startup!BI185:BI196)</f>
        <v>42680.2766848881</v>
      </c>
      <c r="D39" s="15" t="n">
        <f aca="false">MAX(Motore_Startup!BI197:BI208)</f>
        <v>546695.340915635</v>
      </c>
      <c r="E39" s="15" t="n">
        <f aca="false">MAX(Motore_Startup!BI209:BI220)</f>
        <v>1131035.90159031</v>
      </c>
      <c r="F39" s="15" t="n">
        <f aca="false">MAX(Motore_Startup!BI221:BI232)</f>
        <v>2003058.24156866</v>
      </c>
      <c r="G39" s="15" t="n">
        <f aca="false">MAX(Motore_Startup!BI233:BI244)</f>
        <v>3143705.21374843</v>
      </c>
    </row>
    <row r="40" customFormat="false" ht="27.75" hidden="false" customHeight="true" outlineLevel="0" collapsed="false">
      <c r="A40" s="5" t="s">
        <v>193</v>
      </c>
      <c r="B40" s="6" t="s">
        <v>188</v>
      </c>
      <c r="C40" s="15" t="n">
        <f aca="false">MIN(Motore_Advisory!BH185:BH196)</f>
        <v>-38244.5466666666</v>
      </c>
      <c r="D40" s="15" t="n">
        <f aca="false">MIN(Motore_Advisory!BH197:BH208)</f>
        <v>-161998.701333333</v>
      </c>
      <c r="E40" s="15" t="n">
        <f aca="false">MIN(Motore_Advisory!BH209:BH220)</f>
        <v>-312221.583966666</v>
      </c>
      <c r="F40" s="15" t="n">
        <f aca="false">MIN(Motore_Advisory!BH221:BH232)</f>
        <v>-468553.467641666</v>
      </c>
      <c r="G40" s="15" t="n">
        <f aca="false">MIN(Motore_Advisory!BH233:BH244)</f>
        <v>-651349.493681833</v>
      </c>
    </row>
    <row r="41" customFormat="false" ht="27.75" hidden="false" customHeight="true" outlineLevel="0" collapsed="false">
      <c r="A41" s="5" t="s">
        <v>193</v>
      </c>
      <c r="B41" s="6" t="s">
        <v>189</v>
      </c>
      <c r="C41" s="15" t="n">
        <f aca="false">MAX(Motore_Advisory!BI185:BI196)</f>
        <v>48244.5466666666</v>
      </c>
      <c r="D41" s="15" t="n">
        <f aca="false">MAX(Motore_Advisory!BI197:BI208)</f>
        <v>171998.701333333</v>
      </c>
      <c r="E41" s="15" t="n">
        <f aca="false">MAX(Motore_Advisory!BI209:BI220)</f>
        <v>322221.583966666</v>
      </c>
      <c r="F41" s="15" t="n">
        <f aca="false">MAX(Motore_Advisory!BI221:BI232)</f>
        <v>478553.467641666</v>
      </c>
      <c r="G41" s="15" t="n">
        <f aca="false">MAX(Motore_Advisory!BI233:BI244)</f>
        <v>661349.493681833</v>
      </c>
    </row>
    <row r="42" customFormat="false" ht="27.75" hidden="false" customHeight="true" outlineLevel="0" collapsed="false">
      <c r="A42" s="5" t="s">
        <v>193</v>
      </c>
      <c r="B42" s="6" t="s">
        <v>190</v>
      </c>
      <c r="C42" s="15" t="n">
        <f aca="false">Motore_Startup!BQ196</f>
        <v>-150952.661629333</v>
      </c>
      <c r="D42" s="15" t="n">
        <f aca="false">Motore_Startup!BQ208</f>
        <v>-649891.251966456</v>
      </c>
      <c r="E42" s="15" t="n">
        <f aca="false">Motore_Startup!BQ220</f>
        <v>-1266169.7446533</v>
      </c>
      <c r="F42" s="15" t="n">
        <f aca="false">Motore_Startup!BQ232</f>
        <v>-2263651.53929667</v>
      </c>
      <c r="G42" s="15" t="n">
        <f aca="false">Motore_Startup!BQ244</f>
        <v>-3280544.31054321</v>
      </c>
    </row>
    <row r="43" customFormat="false" ht="27.75" hidden="false" customHeight="true" outlineLevel="0" collapsed="false">
      <c r="A43" s="5" t="s">
        <v>193</v>
      </c>
      <c r="B43" s="6" t="s">
        <v>97</v>
      </c>
      <c r="C43" s="17" t="n">
        <f aca="false">Motore_Operativo!BD196</f>
        <v>2</v>
      </c>
      <c r="D43" s="17" t="n">
        <f aca="false">Motore_Operativo!BD208</f>
        <v>12</v>
      </c>
      <c r="E43" s="17" t="n">
        <f aca="false">Motore_Operativo!BD220</f>
        <v>46</v>
      </c>
      <c r="F43" s="17" t="n">
        <f aca="false">Motore_Operativo!BD232</f>
        <v>99.4596819426495</v>
      </c>
      <c r="G43" s="17" t="n">
        <f aca="false">Motore_Operativo!BD244</f>
        <v>158.34776340596</v>
      </c>
    </row>
    <row r="44" customFormat="false" ht="27.75" hidden="false" customHeight="true" outlineLevel="0" collapsed="false"/>
    <row r="45" customFormat="false" ht="27.75" hidden="false" customHeight="true" outlineLevel="0" collapsed="false">
      <c r="A45" s="5" t="s">
        <v>194</v>
      </c>
      <c r="B45" s="6" t="s">
        <v>123</v>
      </c>
      <c r="C45" s="15" t="n">
        <f aca="false">SUM(Motore_Startup!F245:F256)+SUM(Motore_Advisory!F245:F256)</f>
        <v>141597.954200405</v>
      </c>
      <c r="D45" s="15" t="n">
        <f aca="false">SUM(Motore_Startup!F257:F268)+SUM(Motore_Advisory!F257:F268)</f>
        <v>341035.507440557</v>
      </c>
      <c r="E45" s="15" t="n">
        <f aca="false">SUM(Motore_Startup!F269:F280)+SUM(Motore_Advisory!F269:F280)</f>
        <v>659185.508408233</v>
      </c>
      <c r="F45" s="15" t="n">
        <f aca="false">SUM(Motore_Startup!F281:F292)+SUM(Motore_Advisory!F281:F292)</f>
        <v>1040207.85159058</v>
      </c>
      <c r="G45" s="15" t="n">
        <f aca="false">SUM(Motore_Startup!F293:F304)+SUM(Motore_Advisory!F293:F304)</f>
        <v>1416371.6611935</v>
      </c>
    </row>
    <row r="46" customFormat="false" ht="27.75" hidden="false" customHeight="true" outlineLevel="0" collapsed="false">
      <c r="A46" s="5" t="s">
        <v>194</v>
      </c>
      <c r="B46" s="6" t="s">
        <v>79</v>
      </c>
      <c r="C46" s="15" t="n">
        <f aca="false">SUM(Motore_Startup!J245:J256)+SUM(Motore_Advisory!J245:J256)</f>
        <v>-137559.888861336</v>
      </c>
      <c r="D46" s="15" t="n">
        <f aca="false">SUM(Motore_Startup!J257:J268)+SUM(Motore_Advisory!J257:J268)</f>
        <v>-185493.732896895</v>
      </c>
      <c r="E46" s="15" t="n">
        <f aca="false">SUM(Motore_Startup!J269:J280)+SUM(Motore_Advisory!J269:J280)</f>
        <v>-215536.272768919</v>
      </c>
      <c r="F46" s="15" t="n">
        <f aca="false">SUM(Motore_Startup!J281:J292)+SUM(Motore_Advisory!J281:J292)</f>
        <v>-108695.466782103</v>
      </c>
      <c r="G46" s="15" t="n">
        <f aca="false">SUM(Motore_Startup!J293:J304)+SUM(Motore_Advisory!J293:J304)</f>
        <v>-11055.95626509</v>
      </c>
    </row>
    <row r="47" customFormat="false" ht="27.75" hidden="false" customHeight="true" outlineLevel="0" collapsed="false">
      <c r="A47" s="5" t="s">
        <v>194</v>
      </c>
      <c r="B47" s="6" t="s">
        <v>185</v>
      </c>
      <c r="C47" s="15" t="n">
        <f aca="false">Motore_Startup!BH256</f>
        <v>25000</v>
      </c>
      <c r="D47" s="15" t="n">
        <f aca="false">Motore_Startup!BH268</f>
        <v>-85650.0191167729</v>
      </c>
      <c r="E47" s="15" t="n">
        <f aca="false">Motore_Startup!BH280</f>
        <v>22342.8546520192</v>
      </c>
      <c r="F47" s="15" t="n">
        <f aca="false">Motore_Startup!BH292</f>
        <v>-236188.133277468</v>
      </c>
      <c r="G47" s="15" t="n">
        <f aca="false">Motore_Startup!BH304</f>
        <v>-541211.959652911</v>
      </c>
    </row>
    <row r="48" customFormat="false" ht="27.75" hidden="false" customHeight="true" outlineLevel="0" collapsed="false">
      <c r="A48" s="5" t="s">
        <v>194</v>
      </c>
      <c r="B48" s="6" t="s">
        <v>186</v>
      </c>
      <c r="C48" s="15" t="n">
        <f aca="false">MIN(Motore_Startup!BH245:BH256)</f>
        <v>25000</v>
      </c>
      <c r="D48" s="15" t="n">
        <f aca="false">MIN(Motore_Startup!BH257:BH268)</f>
        <v>-117436.150296359</v>
      </c>
      <c r="E48" s="15" t="n">
        <f aca="false">MIN(Motore_Startup!BH269:BH280)</f>
        <v>-222585.826231054</v>
      </c>
      <c r="F48" s="15" t="n">
        <f aca="false">MIN(Motore_Startup!BH281:BH292)</f>
        <v>-236188.133277468</v>
      </c>
      <c r="G48" s="15" t="n">
        <f aca="false">MIN(Motore_Startup!BH293:BH304)</f>
        <v>-541211.959652911</v>
      </c>
    </row>
    <row r="49" customFormat="false" ht="27.75" hidden="false" customHeight="true" outlineLevel="0" collapsed="false">
      <c r="A49" s="5" t="s">
        <v>194</v>
      </c>
      <c r="B49" s="6" t="s">
        <v>187</v>
      </c>
      <c r="C49" s="15" t="n">
        <f aca="false">MAX(Motore_Startup!BI245:BI256)</f>
        <v>0</v>
      </c>
      <c r="D49" s="15" t="n">
        <f aca="false">MAX(Motore_Startup!BI257:BI268)</f>
        <v>142436.150296359</v>
      </c>
      <c r="E49" s="15" t="n">
        <f aca="false">MAX(Motore_Startup!BI269:BI280)</f>
        <v>247585.826231054</v>
      </c>
      <c r="F49" s="15" t="n">
        <f aca="false">MAX(Motore_Startup!BI281:BI292)</f>
        <v>261188.133277468</v>
      </c>
      <c r="G49" s="15" t="n">
        <f aca="false">MAX(Motore_Startup!BI293:BI304)</f>
        <v>566211.959652911</v>
      </c>
    </row>
    <row r="50" customFormat="false" ht="27.75" hidden="false" customHeight="true" outlineLevel="0" collapsed="false">
      <c r="A50" s="5" t="s">
        <v>194</v>
      </c>
      <c r="B50" s="6" t="s">
        <v>188</v>
      </c>
      <c r="C50" s="15" t="n">
        <f aca="false">MIN(Motore_Advisory!BH245:BH256)</f>
        <v>-6702.21170526316</v>
      </c>
      <c r="D50" s="15" t="n">
        <f aca="false">MIN(Motore_Advisory!BH257:BH268)</f>
        <v>-33347.7751548307</v>
      </c>
      <c r="E50" s="15" t="n">
        <f aca="false">MIN(Motore_Advisory!BH269:BH280)</f>
        <v>-60116.9112812577</v>
      </c>
      <c r="F50" s="15" t="n">
        <f aca="false">MIN(Motore_Advisory!BH281:BH292)</f>
        <v>-43540.1602804739</v>
      </c>
      <c r="G50" s="15" t="n">
        <f aca="false">MIN(Motore_Advisory!BH293:BH304)</f>
        <v>17565.9580550252</v>
      </c>
    </row>
    <row r="51" customFormat="false" ht="27.75" hidden="false" customHeight="true" outlineLevel="0" collapsed="false">
      <c r="A51" s="5" t="s">
        <v>194</v>
      </c>
      <c r="B51" s="6" t="s">
        <v>189</v>
      </c>
      <c r="C51" s="15" t="n">
        <f aca="false">MAX(Motore_Advisory!BI245:BI256)</f>
        <v>16702.2117052632</v>
      </c>
      <c r="D51" s="15" t="n">
        <f aca="false">MAX(Motore_Advisory!BI257:BI268)</f>
        <v>43347.7751548307</v>
      </c>
      <c r="E51" s="15" t="n">
        <f aca="false">MAX(Motore_Advisory!BI269:BI280)</f>
        <v>70116.9112812577</v>
      </c>
      <c r="F51" s="15" t="n">
        <f aca="false">MAX(Motore_Advisory!BI281:BI292)</f>
        <v>53540.1602804739</v>
      </c>
      <c r="G51" s="15" t="n">
        <f aca="false">MAX(Motore_Advisory!BI293:BI304)</f>
        <v>0</v>
      </c>
    </row>
    <row r="52" customFormat="false" ht="27.75" hidden="false" customHeight="true" outlineLevel="0" collapsed="false">
      <c r="A52" s="5" t="s">
        <v>194</v>
      </c>
      <c r="B52" s="6" t="s">
        <v>190</v>
      </c>
      <c r="C52" s="15" t="n">
        <f aca="false">Motore_Startup!BQ256</f>
        <v>-17912.4000538256</v>
      </c>
      <c r="D52" s="15" t="n">
        <f aca="false">Motore_Startup!BQ268</f>
        <v>-222929.606711621</v>
      </c>
      <c r="E52" s="15" t="n">
        <f aca="false">Motore_Startup!BQ280</f>
        <v>-184541.770829915</v>
      </c>
      <c r="F52" s="15" t="n">
        <f aca="false">Motore_Startup!BQ292</f>
        <v>-436155.565612272</v>
      </c>
      <c r="G52" s="15" t="n">
        <f aca="false">Motore_Startup!BQ304</f>
        <v>-663082.494748917</v>
      </c>
    </row>
    <row r="53" customFormat="false" ht="27.75" hidden="false" customHeight="true" outlineLevel="0" collapsed="false">
      <c r="A53" s="5" t="s">
        <v>194</v>
      </c>
      <c r="B53" s="6" t="s">
        <v>97</v>
      </c>
      <c r="C53" s="17" t="n">
        <f aca="false">Motore_Operativo!BD256</f>
        <v>1.12211538461538</v>
      </c>
      <c r="D53" s="17" t="n">
        <f aca="false">Motore_Operativo!BD268</f>
        <v>6.33536187004659</v>
      </c>
      <c r="E53" s="17" t="n">
        <f aca="false">Motore_Operativo!BD280</f>
        <v>16.4210280865216</v>
      </c>
      <c r="F53" s="17" t="n">
        <f aca="false">Motore_Operativo!BD292</f>
        <v>28.3814506541628</v>
      </c>
      <c r="G53" s="17" t="n">
        <f aca="false">Motore_Operativo!BD304</f>
        <v>41.599880300239</v>
      </c>
    </row>
    <row r="54" customFormat="false" ht="27.75" hidden="false" customHeight="true" outlineLevel="0" collapsed="false"/>
    <row r="55" customFormat="false" ht="27.75" hidden="false" customHeight="true" outlineLevel="0" collapsed="false">
      <c r="A55" s="5" t="s">
        <v>195</v>
      </c>
      <c r="B55" s="6" t="s">
        <v>123</v>
      </c>
      <c r="C55" s="15" t="n">
        <f aca="false">SUM(Motore_Startup!F305:F316)+SUM(Motore_Advisory!F305:F316)</f>
        <v>288276.315789474</v>
      </c>
      <c r="D55" s="15" t="n">
        <f aca="false">SUM(Motore_Startup!F317:F328)+SUM(Motore_Advisory!F317:F328)</f>
        <v>732688.608191163</v>
      </c>
      <c r="E55" s="15" t="n">
        <f aca="false">SUM(Motore_Startup!F329:F340)+SUM(Motore_Advisory!F329:F340)</f>
        <v>1533406.24850492</v>
      </c>
      <c r="F55" s="15" t="n">
        <f aca="false">SUM(Motore_Startup!F341:F352)+SUM(Motore_Advisory!F341:F352)</f>
        <v>2580413.92167546</v>
      </c>
      <c r="G55" s="15" t="n">
        <f aca="false">SUM(Motore_Startup!F353:F364)+SUM(Motore_Advisory!F353:F364)</f>
        <v>3651225.25392839</v>
      </c>
    </row>
    <row r="56" customFormat="false" ht="27.75" hidden="false" customHeight="true" outlineLevel="0" collapsed="false">
      <c r="A56" s="5" t="s">
        <v>195</v>
      </c>
      <c r="B56" s="6" t="s">
        <v>79</v>
      </c>
      <c r="C56" s="15" t="n">
        <f aca="false">SUM(Motore_Startup!J305:J316)+SUM(Motore_Advisory!J305:J316)</f>
        <v>-171028.842105263</v>
      </c>
      <c r="D56" s="15" t="n">
        <f aca="false">SUM(Motore_Startup!J317:J328)+SUM(Motore_Advisory!J317:J328)</f>
        <v>-263199.149068276</v>
      </c>
      <c r="E56" s="15" t="n">
        <f aca="false">SUM(Motore_Startup!J329:J340)+SUM(Motore_Advisory!J329:J340)</f>
        <v>-350161.376285769</v>
      </c>
      <c r="F56" s="15" t="n">
        <f aca="false">SUM(Motore_Startup!J341:J352)+SUM(Motore_Advisory!J341:J352)</f>
        <v>52824.1846408969</v>
      </c>
      <c r="G56" s="15" t="n">
        <f aca="false">SUM(Motore_Startup!J353:J364)+SUM(Motore_Advisory!J353:J364)</f>
        <v>446595.611398411</v>
      </c>
    </row>
    <row r="57" customFormat="false" ht="27.75" hidden="false" customHeight="true" outlineLevel="0" collapsed="false">
      <c r="A57" s="5" t="s">
        <v>195</v>
      </c>
      <c r="B57" s="6" t="s">
        <v>185</v>
      </c>
      <c r="C57" s="15" t="n">
        <f aca="false">Motore_Startup!BH316</f>
        <v>25000</v>
      </c>
      <c r="D57" s="15" t="n">
        <f aca="false">Motore_Startup!BH328</f>
        <v>-54960.3808224725</v>
      </c>
      <c r="E57" s="15" t="n">
        <f aca="false">Motore_Startup!BH340</f>
        <v>75251.0230903207</v>
      </c>
      <c r="F57" s="15" t="n">
        <f aca="false">Motore_Startup!BH352</f>
        <v>-174980.253928548</v>
      </c>
      <c r="G57" s="15" t="n">
        <f aca="false">Motore_Startup!BH364</f>
        <v>-267304.110539503</v>
      </c>
    </row>
    <row r="58" customFormat="false" ht="27.75" hidden="false" customHeight="true" outlineLevel="0" collapsed="false">
      <c r="A58" s="5" t="s">
        <v>195</v>
      </c>
      <c r="B58" s="6" t="s">
        <v>186</v>
      </c>
      <c r="C58" s="15" t="n">
        <f aca="false">MIN(Motore_Startup!BH305:BH316)</f>
        <v>25000</v>
      </c>
      <c r="D58" s="15" t="n">
        <f aca="false">MIN(Motore_Startup!BH317:BH328)</f>
        <v>-153672.866182725</v>
      </c>
      <c r="E58" s="15" t="n">
        <f aca="false">MIN(Motore_Startup!BH329:BH340)</f>
        <v>-357432.925898999</v>
      </c>
      <c r="F58" s="15" t="n">
        <f aca="false">MIN(Motore_Startup!BH341:BH352)</f>
        <v>-174980.253928548</v>
      </c>
      <c r="G58" s="15" t="n">
        <f aca="false">MIN(Motore_Startup!BH353:BH364)</f>
        <v>-326333.868131886</v>
      </c>
    </row>
    <row r="59" customFormat="false" ht="27.75" hidden="false" customHeight="true" outlineLevel="0" collapsed="false">
      <c r="A59" s="5" t="s">
        <v>195</v>
      </c>
      <c r="B59" s="6" t="s">
        <v>187</v>
      </c>
      <c r="C59" s="15" t="n">
        <f aca="false">MAX(Motore_Startup!BI305:BI316)</f>
        <v>0</v>
      </c>
      <c r="D59" s="15" t="n">
        <f aca="false">MAX(Motore_Startup!BI317:BI328)</f>
        <v>178672.866182725</v>
      </c>
      <c r="E59" s="15" t="n">
        <f aca="false">MAX(Motore_Startup!BI329:BI340)</f>
        <v>382432.925898999</v>
      </c>
      <c r="F59" s="15" t="n">
        <f aca="false">MAX(Motore_Startup!BI341:BI352)</f>
        <v>199980.253928548</v>
      </c>
      <c r="G59" s="15" t="n">
        <f aca="false">MAX(Motore_Startup!BI353:BI364)</f>
        <v>351333.868131886</v>
      </c>
    </row>
    <row r="60" customFormat="false" ht="27.75" hidden="false" customHeight="true" outlineLevel="0" collapsed="false">
      <c r="A60" s="5" t="s">
        <v>195</v>
      </c>
      <c r="B60" s="6" t="s">
        <v>188</v>
      </c>
      <c r="C60" s="15" t="n">
        <f aca="false">MIN(Motore_Advisory!BH305:BH316)</f>
        <v>-10462.8519298246</v>
      </c>
      <c r="D60" s="15" t="n">
        <f aca="false">MIN(Motore_Advisory!BH317:BH328)</f>
        <v>-9688.90209957994</v>
      </c>
      <c r="E60" s="15" t="n">
        <f aca="false">MIN(Motore_Advisory!BH329:BH340)</f>
        <v>-16783.0800399988</v>
      </c>
      <c r="F60" s="15" t="n">
        <f aca="false">MIN(Motore_Advisory!BH341:BH352)</f>
        <v>73892.8964176045</v>
      </c>
      <c r="G60" s="15" t="n">
        <f aca="false">MIN(Motore_Advisory!BH353:BH364)</f>
        <v>169280.370179127</v>
      </c>
    </row>
    <row r="61" customFormat="false" ht="27.75" hidden="false" customHeight="true" outlineLevel="0" collapsed="false">
      <c r="A61" s="5" t="s">
        <v>195</v>
      </c>
      <c r="B61" s="6" t="s">
        <v>189</v>
      </c>
      <c r="C61" s="15" t="n">
        <f aca="false">MAX(Motore_Advisory!BI305:BI316)</f>
        <v>20462.8519298246</v>
      </c>
      <c r="D61" s="15" t="n">
        <f aca="false">MAX(Motore_Advisory!BI317:BI328)</f>
        <v>19688.9020995799</v>
      </c>
      <c r="E61" s="15" t="n">
        <f aca="false">MAX(Motore_Advisory!BI329:BI340)</f>
        <v>26783.0800399988</v>
      </c>
      <c r="F61" s="15" t="n">
        <f aca="false">MAX(Motore_Advisory!BI341:BI352)</f>
        <v>0</v>
      </c>
      <c r="G61" s="15" t="n">
        <f aca="false">MAX(Motore_Advisory!BI353:BI364)</f>
        <v>0</v>
      </c>
    </row>
    <row r="62" customFormat="false" ht="27.75" hidden="false" customHeight="true" outlineLevel="0" collapsed="false">
      <c r="A62" s="5" t="s">
        <v>195</v>
      </c>
      <c r="B62" s="6" t="s">
        <v>190</v>
      </c>
      <c r="C62" s="15" t="n">
        <f aca="false">Motore_Startup!BQ316</f>
        <v>-95824.2623990389</v>
      </c>
      <c r="D62" s="15" t="n">
        <f aca="false">Motore_Startup!BQ328</f>
        <v>-139369.508093871</v>
      </c>
      <c r="E62" s="15" t="n">
        <f aca="false">Motore_Startup!BQ340</f>
        <v>214671.198953693</v>
      </c>
      <c r="F62" s="15" t="n">
        <f aca="false">Motore_Startup!BQ352</f>
        <v>-64387.0635480806</v>
      </c>
      <c r="G62" s="15" t="n">
        <f aca="false">Motore_Startup!BQ364</f>
        <v>-29242.9474361017</v>
      </c>
    </row>
    <row r="63" customFormat="false" ht="27.75" hidden="false" customHeight="true" outlineLevel="0" collapsed="false">
      <c r="A63" s="5" t="s">
        <v>195</v>
      </c>
      <c r="B63" s="6" t="s">
        <v>97</v>
      </c>
      <c r="C63" s="17" t="n">
        <f aca="false">Motore_Operativo!BD316</f>
        <v>5</v>
      </c>
      <c r="D63" s="17" t="n">
        <f aca="false">Motore_Operativo!BD328</f>
        <v>32.6393699684432</v>
      </c>
      <c r="E63" s="17" t="n">
        <f aca="false">Motore_Operativo!BD340</f>
        <v>88.253796635745</v>
      </c>
      <c r="F63" s="17" t="n">
        <f aca="false">Motore_Operativo!BD352</f>
        <v>154.906003497615</v>
      </c>
      <c r="G63" s="17" t="n">
        <f aca="false">Motore_Operativo!BD364</f>
        <v>228.899667702702</v>
      </c>
    </row>
    <row r="64" customFormat="false" ht="27.75" hidden="false" customHeight="true" outlineLevel="0" collapsed="false"/>
    <row r="65" customFormat="false" ht="27.75" hidden="false" customHeight="true" outlineLevel="0" collapsed="false">
      <c r="A65" s="5" t="s">
        <v>196</v>
      </c>
      <c r="B65" s="6" t="s">
        <v>123</v>
      </c>
      <c r="C65" s="15" t="n">
        <f aca="false">SUM(Motore_Startup!F365:F376)+SUM(Motore_Advisory!F365:F376)</f>
        <v>288276.315789474</v>
      </c>
      <c r="D65" s="15" t="n">
        <f aca="false">SUM(Motore_Startup!F377:F388)+SUM(Motore_Advisory!F377:F388)</f>
        <v>732688.608191163</v>
      </c>
      <c r="E65" s="15" t="n">
        <f aca="false">SUM(Motore_Startup!F389:F400)+SUM(Motore_Advisory!F389:F400)</f>
        <v>1533406.24850492</v>
      </c>
      <c r="F65" s="15" t="n">
        <f aca="false">SUM(Motore_Startup!F401:F412)+SUM(Motore_Advisory!F401:F412)</f>
        <v>2580413.92167546</v>
      </c>
      <c r="G65" s="15" t="n">
        <f aca="false">SUM(Motore_Startup!F413:F424)+SUM(Motore_Advisory!F413:F424)</f>
        <v>3651225.25392839</v>
      </c>
    </row>
    <row r="66" customFormat="false" ht="27.75" hidden="false" customHeight="true" outlineLevel="0" collapsed="false">
      <c r="A66" s="5" t="s">
        <v>196</v>
      </c>
      <c r="B66" s="6" t="s">
        <v>79</v>
      </c>
      <c r="C66" s="15" t="n">
        <f aca="false">SUM(Motore_Startup!J365:J376)+SUM(Motore_Advisory!J365:J376)</f>
        <v>-171028.842105263</v>
      </c>
      <c r="D66" s="15" t="n">
        <f aca="false">SUM(Motore_Startup!J377:J388)+SUM(Motore_Advisory!J377:J388)</f>
        <v>-263199.149068276</v>
      </c>
      <c r="E66" s="15" t="n">
        <f aca="false">SUM(Motore_Startup!J389:J400)+SUM(Motore_Advisory!J389:J400)</f>
        <v>-350161.376285769</v>
      </c>
      <c r="F66" s="15" t="n">
        <f aca="false">SUM(Motore_Startup!J401:J412)+SUM(Motore_Advisory!J401:J412)</f>
        <v>52824.1846408969</v>
      </c>
      <c r="G66" s="15" t="n">
        <f aca="false">SUM(Motore_Startup!J413:J424)+SUM(Motore_Advisory!J413:J424)</f>
        <v>446595.611398411</v>
      </c>
    </row>
    <row r="67" customFormat="false" ht="27.75" hidden="false" customHeight="true" outlineLevel="0" collapsed="false">
      <c r="A67" s="5" t="s">
        <v>196</v>
      </c>
      <c r="B67" s="6" t="s">
        <v>185</v>
      </c>
      <c r="C67" s="15" t="n">
        <f aca="false">Motore_Startup!BH376</f>
        <v>25000</v>
      </c>
      <c r="D67" s="15" t="n">
        <f aca="false">Motore_Startup!BH388</f>
        <v>-112722.455353553</v>
      </c>
      <c r="E67" s="15" t="n">
        <f aca="false">Motore_Startup!BH400</f>
        <v>-610785.410928817</v>
      </c>
      <c r="F67" s="15" t="n">
        <f aca="false">Motore_Startup!BH412</f>
        <v>-1039515.55481008</v>
      </c>
      <c r="G67" s="15" t="n">
        <f aca="false">Motore_Startup!BH424</f>
        <v>-1158378.71110943</v>
      </c>
    </row>
    <row r="68" customFormat="false" ht="27.75" hidden="false" customHeight="true" outlineLevel="0" collapsed="false">
      <c r="A68" s="5" t="s">
        <v>196</v>
      </c>
      <c r="B68" s="6" t="s">
        <v>186</v>
      </c>
      <c r="C68" s="15" t="n">
        <f aca="false">MIN(Motore_Startup!BH365:BH376)</f>
        <v>25000</v>
      </c>
      <c r="D68" s="15" t="n">
        <f aca="false">MIN(Motore_Startup!BH377:BH388)</f>
        <v>-248774.983833545</v>
      </c>
      <c r="E68" s="15" t="n">
        <f aca="false">MIN(Motore_Startup!BH389:BH400)</f>
        <v>-610785.410928817</v>
      </c>
      <c r="F68" s="15" t="n">
        <f aca="false">MIN(Motore_Startup!BH401:BH412)</f>
        <v>-1039515.55481008</v>
      </c>
      <c r="G68" s="15" t="n">
        <f aca="false">MIN(Motore_Startup!BH413:BH424)</f>
        <v>-1190869.16901342</v>
      </c>
    </row>
    <row r="69" customFormat="false" ht="27.75" hidden="false" customHeight="true" outlineLevel="0" collapsed="false">
      <c r="A69" s="5" t="s">
        <v>196</v>
      </c>
      <c r="B69" s="6" t="s">
        <v>187</v>
      </c>
      <c r="C69" s="15" t="n">
        <f aca="false">MAX(Motore_Startup!BI365:BI376)</f>
        <v>0</v>
      </c>
      <c r="D69" s="15" t="n">
        <f aca="false">MAX(Motore_Startup!BI377:BI388)</f>
        <v>273774.983833545</v>
      </c>
      <c r="E69" s="15" t="n">
        <f aca="false">MAX(Motore_Startup!BI389:BI400)</f>
        <v>635785.410928817</v>
      </c>
      <c r="F69" s="15" t="n">
        <f aca="false">MAX(Motore_Startup!BI401:BI412)</f>
        <v>1064515.55481008</v>
      </c>
      <c r="G69" s="15" t="n">
        <f aca="false">MAX(Motore_Startup!BI413:BI424)</f>
        <v>1215869.16901342</v>
      </c>
    </row>
    <row r="70" customFormat="false" ht="27.75" hidden="false" customHeight="true" outlineLevel="0" collapsed="false">
      <c r="A70" s="5" t="s">
        <v>196</v>
      </c>
      <c r="B70" s="6" t="s">
        <v>188</v>
      </c>
      <c r="C70" s="15" t="n">
        <f aca="false">MIN(Motore_Advisory!BH365:BH376)</f>
        <v>-10462.8519298246</v>
      </c>
      <c r="D70" s="15" t="n">
        <f aca="false">MIN(Motore_Advisory!BH377:BH388)</f>
        <v>-9688.90209957994</v>
      </c>
      <c r="E70" s="15" t="n">
        <f aca="false">MIN(Motore_Advisory!BH389:BH400)</f>
        <v>-16783.0800399988</v>
      </c>
      <c r="F70" s="15" t="n">
        <f aca="false">MIN(Motore_Advisory!BH401:BH412)</f>
        <v>73892.8964176045</v>
      </c>
      <c r="G70" s="15" t="n">
        <f aca="false">MIN(Motore_Advisory!BH413:BH424)</f>
        <v>169280.370179127</v>
      </c>
    </row>
    <row r="71" customFormat="false" ht="27.75" hidden="false" customHeight="true" outlineLevel="0" collapsed="false">
      <c r="A71" s="5" t="s">
        <v>196</v>
      </c>
      <c r="B71" s="6" t="s">
        <v>189</v>
      </c>
      <c r="C71" s="15" t="n">
        <f aca="false">MAX(Motore_Advisory!BI365:BI376)</f>
        <v>20462.8519298246</v>
      </c>
      <c r="D71" s="15" t="n">
        <f aca="false">MAX(Motore_Advisory!BI377:BI388)</f>
        <v>19688.9020995799</v>
      </c>
      <c r="E71" s="15" t="n">
        <f aca="false">MAX(Motore_Advisory!BI389:BI400)</f>
        <v>26783.0800399988</v>
      </c>
      <c r="F71" s="15" t="n">
        <f aca="false">MAX(Motore_Advisory!BI401:BI412)</f>
        <v>0</v>
      </c>
      <c r="G71" s="15" t="n">
        <f aca="false">MAX(Motore_Advisory!BI413:BI424)</f>
        <v>0</v>
      </c>
    </row>
    <row r="72" customFormat="false" ht="27.75" hidden="false" customHeight="true" outlineLevel="0" collapsed="false">
      <c r="A72" s="5" t="s">
        <v>196</v>
      </c>
      <c r="B72" s="6" t="s">
        <v>190</v>
      </c>
      <c r="C72" s="15" t="n">
        <f aca="false">Motore_Startup!BQ376</f>
        <v>-81501.5957323722</v>
      </c>
      <c r="D72" s="15" t="n">
        <f aca="false">Motore_Startup!BQ388</f>
        <v>-373286.631150559</v>
      </c>
      <c r="E72" s="15" t="n">
        <f aca="false">Motore_Startup!BQ400</f>
        <v>-886758.231949411</v>
      </c>
      <c r="F72" s="15" t="n">
        <f aca="false">Motore_Startup!BQ412</f>
        <v>-1167776.06162518</v>
      </c>
      <c r="G72" s="15" t="n">
        <f aca="false">Motore_Startup!BQ424</f>
        <v>-1132631.9455132</v>
      </c>
    </row>
    <row r="73" customFormat="false" ht="27.75" hidden="false" customHeight="true" outlineLevel="0" collapsed="false">
      <c r="A73" s="5" t="s">
        <v>196</v>
      </c>
      <c r="B73" s="6" t="s">
        <v>97</v>
      </c>
      <c r="C73" s="17" t="n">
        <f aca="false">Motore_Operativo!BD376</f>
        <v>5</v>
      </c>
      <c r="D73" s="17" t="n">
        <f aca="false">Motore_Operativo!BD388</f>
        <v>32.6393699684432</v>
      </c>
      <c r="E73" s="17" t="n">
        <f aca="false">Motore_Operativo!BD400</f>
        <v>88.253796635745</v>
      </c>
      <c r="F73" s="17" t="n">
        <f aca="false">Motore_Operativo!BD412</f>
        <v>154.906003497615</v>
      </c>
      <c r="G73" s="17" t="n">
        <f aca="false">Motore_Operativo!BD424</f>
        <v>228.899667702702</v>
      </c>
    </row>
    <row r="74" customFormat="false" ht="27.75" hidden="false" customHeight="true" outlineLevel="0" collapsed="false"/>
    <row r="75" customFormat="false" ht="27.75" hidden="false" customHeight="true" outlineLevel="0" collapsed="false">
      <c r="A75" s="5" t="s">
        <v>197</v>
      </c>
      <c r="B75" s="6" t="s">
        <v>123</v>
      </c>
      <c r="C75" s="15" t="n">
        <f aca="false">SUM(Motore_Startup!F425:F436)+SUM(Motore_Advisory!F425:F436)</f>
        <v>288276.315789474</v>
      </c>
      <c r="D75" s="15" t="n">
        <f aca="false">SUM(Motore_Startup!F437:F448)+SUM(Motore_Advisory!F437:F448)</f>
        <v>732688.608191163</v>
      </c>
      <c r="E75" s="15" t="n">
        <f aca="false">SUM(Motore_Startup!F449:F460)+SUM(Motore_Advisory!F449:F460)</f>
        <v>1533406.24850492</v>
      </c>
      <c r="F75" s="15" t="n">
        <f aca="false">SUM(Motore_Startup!F461:F472)+SUM(Motore_Advisory!F461:F472)</f>
        <v>2580413.92167546</v>
      </c>
      <c r="G75" s="15" t="n">
        <f aca="false">SUM(Motore_Startup!F473:F484)+SUM(Motore_Advisory!F473:F484)</f>
        <v>3651225.25392839</v>
      </c>
    </row>
    <row r="76" customFormat="false" ht="27.75" hidden="false" customHeight="true" outlineLevel="0" collapsed="false">
      <c r="A76" s="5" t="s">
        <v>197</v>
      </c>
      <c r="B76" s="6" t="s">
        <v>79</v>
      </c>
      <c r="C76" s="15" t="n">
        <f aca="false">SUM(Motore_Startup!J425:J436)+SUM(Motore_Advisory!J425:J436)</f>
        <v>-171028.842105263</v>
      </c>
      <c r="D76" s="15" t="n">
        <f aca="false">SUM(Motore_Startup!J437:J448)+SUM(Motore_Advisory!J437:J448)</f>
        <v>-263199.149068276</v>
      </c>
      <c r="E76" s="15" t="n">
        <f aca="false">SUM(Motore_Startup!J449:J460)+SUM(Motore_Advisory!J449:J460)</f>
        <v>-350161.376285769</v>
      </c>
      <c r="F76" s="15" t="n">
        <f aca="false">SUM(Motore_Startup!J461:J472)+SUM(Motore_Advisory!J461:J472)</f>
        <v>52824.1846408969</v>
      </c>
      <c r="G76" s="15" t="n">
        <f aca="false">SUM(Motore_Startup!J473:J484)+SUM(Motore_Advisory!J473:J484)</f>
        <v>446595.611398411</v>
      </c>
    </row>
    <row r="77" customFormat="false" ht="27.75" hidden="false" customHeight="true" outlineLevel="0" collapsed="false">
      <c r="A77" s="5" t="s">
        <v>197</v>
      </c>
      <c r="B77" s="6" t="s">
        <v>185</v>
      </c>
      <c r="C77" s="15" t="n">
        <f aca="false">Motore_Startup!BH436</f>
        <v>-56928.6782115009</v>
      </c>
      <c r="D77" s="15" t="n">
        <f aca="false">Motore_Startup!BH448</f>
        <v>47708.1578364072</v>
      </c>
      <c r="E77" s="15" t="n">
        <f aca="false">Motore_Startup!BH460</f>
        <v>458645.202261143</v>
      </c>
      <c r="F77" s="15" t="n">
        <f aca="false">Motore_Startup!BH472</f>
        <v>38915.0583798814</v>
      </c>
      <c r="G77" s="15" t="n">
        <f aca="false">Motore_Startup!BH484</f>
        <v>-70948.0979194705</v>
      </c>
    </row>
    <row r="78" customFormat="false" ht="27.75" hidden="false" customHeight="true" outlineLevel="0" collapsed="false">
      <c r="A78" s="5" t="s">
        <v>197</v>
      </c>
      <c r="B78" s="6" t="s">
        <v>186</v>
      </c>
      <c r="C78" s="15" t="n">
        <f aca="false">MIN(Motore_Startup!BH425:BH436)</f>
        <v>-90407.5207655945</v>
      </c>
      <c r="D78" s="15" t="n">
        <f aca="false">MIN(Motore_Startup!BH437:BH448)</f>
        <v>-217958.146741452</v>
      </c>
      <c r="E78" s="15" t="n">
        <f aca="false">MIN(Motore_Startup!BH449:BH460)</f>
        <v>-213635.885133843</v>
      </c>
      <c r="F78" s="15" t="n">
        <f aca="false">MIN(Motore_Startup!BH461:BH472)</f>
        <v>38915.0583798814</v>
      </c>
      <c r="G78" s="15" t="n">
        <f aca="false">MIN(Motore_Startup!BH473:BH484)</f>
        <v>-108688.555823456</v>
      </c>
    </row>
    <row r="79" customFormat="false" ht="27.75" hidden="false" customHeight="true" outlineLevel="0" collapsed="false">
      <c r="A79" s="5" t="s">
        <v>197</v>
      </c>
      <c r="B79" s="6" t="s">
        <v>187</v>
      </c>
      <c r="C79" s="15" t="n">
        <f aca="false">MAX(Motore_Startup!BI425:BI436)</f>
        <v>115407.520765595</v>
      </c>
      <c r="D79" s="15" t="n">
        <f aca="false">MAX(Motore_Startup!BI437:BI448)</f>
        <v>242958.146741452</v>
      </c>
      <c r="E79" s="15" t="n">
        <f aca="false">MAX(Motore_Startup!BI449:BI460)</f>
        <v>238635.885133843</v>
      </c>
      <c r="F79" s="15" t="n">
        <f aca="false">MAX(Motore_Startup!BI461:BI472)</f>
        <v>0</v>
      </c>
      <c r="G79" s="15" t="n">
        <f aca="false">MAX(Motore_Startup!BI473:BI484)</f>
        <v>133688.555823456</v>
      </c>
    </row>
    <row r="80" customFormat="false" ht="27.75" hidden="false" customHeight="true" outlineLevel="0" collapsed="false">
      <c r="A80" s="5" t="s">
        <v>197</v>
      </c>
      <c r="B80" s="6" t="s">
        <v>188</v>
      </c>
      <c r="C80" s="15" t="n">
        <f aca="false">MIN(Motore_Advisory!BH425:BH436)</f>
        <v>-10462.8519298246</v>
      </c>
      <c r="D80" s="15" t="n">
        <f aca="false">MIN(Motore_Advisory!BH437:BH448)</f>
        <v>-9688.90209957994</v>
      </c>
      <c r="E80" s="15" t="n">
        <f aca="false">MIN(Motore_Advisory!BH449:BH460)</f>
        <v>-16783.0800399988</v>
      </c>
      <c r="F80" s="15" t="n">
        <f aca="false">MIN(Motore_Advisory!BH461:BH472)</f>
        <v>73892.8964176045</v>
      </c>
      <c r="G80" s="15" t="n">
        <f aca="false">MIN(Motore_Advisory!BH473:BH484)</f>
        <v>169280.370179127</v>
      </c>
    </row>
    <row r="81" customFormat="false" ht="27.75" hidden="false" customHeight="true" outlineLevel="0" collapsed="false">
      <c r="A81" s="5" t="s">
        <v>197</v>
      </c>
      <c r="B81" s="6" t="s">
        <v>189</v>
      </c>
      <c r="C81" s="15" t="n">
        <f aca="false">MAX(Motore_Advisory!BI425:BI436)</f>
        <v>20462.8519298246</v>
      </c>
      <c r="D81" s="15" t="n">
        <f aca="false">MAX(Motore_Advisory!BI437:BI448)</f>
        <v>19688.9020995799</v>
      </c>
      <c r="E81" s="15" t="n">
        <f aca="false">MAX(Motore_Advisory!BI449:BI460)</f>
        <v>26783.0800399988</v>
      </c>
      <c r="F81" s="15" t="n">
        <f aca="false">MAX(Motore_Advisory!BI461:BI472)</f>
        <v>0</v>
      </c>
      <c r="G81" s="15" t="n">
        <f aca="false">MAX(Motore_Advisory!BI473:BI484)</f>
        <v>0</v>
      </c>
    </row>
    <row r="82" customFormat="false" ht="27.75" hidden="false" customHeight="true" outlineLevel="0" collapsed="false">
      <c r="A82" s="5" t="s">
        <v>197</v>
      </c>
      <c r="B82" s="6" t="s">
        <v>190</v>
      </c>
      <c r="C82" s="15" t="n">
        <f aca="false">Motore_Startup!BQ436</f>
        <v>-79469.3918128655</v>
      </c>
      <c r="D82" s="15" t="n">
        <f aca="false">Motore_Startup!BQ448</f>
        <v>-62856.0179605984</v>
      </c>
      <c r="E82" s="15" t="n">
        <f aca="false">Motore_Startup!BQ460</f>
        <v>332672.381240549</v>
      </c>
      <c r="F82" s="15" t="n">
        <f aca="false">Motore_Startup!BQ472</f>
        <v>60654.5515647796</v>
      </c>
      <c r="G82" s="15" t="n">
        <f aca="false">Motore_Startup!BQ484</f>
        <v>104798.667676758</v>
      </c>
    </row>
    <row r="83" customFormat="false" ht="27.75" hidden="false" customHeight="true" outlineLevel="0" collapsed="false">
      <c r="A83" s="5" t="s">
        <v>197</v>
      </c>
      <c r="B83" s="6" t="s">
        <v>97</v>
      </c>
      <c r="C83" s="17" t="n">
        <f aca="false">Motore_Operativo!BD436</f>
        <v>5</v>
      </c>
      <c r="D83" s="17" t="n">
        <f aca="false">Motore_Operativo!BD448</f>
        <v>32.6393699684432</v>
      </c>
      <c r="E83" s="17" t="n">
        <f aca="false">Motore_Operativo!BD460</f>
        <v>88.253796635745</v>
      </c>
      <c r="F83" s="17" t="n">
        <f aca="false">Motore_Operativo!BD472</f>
        <v>154.906003497615</v>
      </c>
      <c r="G83" s="17" t="n">
        <f aca="false">Motore_Operativo!BD484</f>
        <v>228.899667702702</v>
      </c>
    </row>
    <row r="84" customFormat="false" ht="27.75" hidden="false" customHeight="true" outlineLevel="0" collapsed="false"/>
    <row r="85" customFormat="false" ht="27.75" hidden="false" customHeight="true" outlineLevel="0" collapsed="false">
      <c r="A85" s="5" t="s">
        <v>198</v>
      </c>
      <c r="B85" s="6" t="s">
        <v>123</v>
      </c>
      <c r="C85" s="15" t="n">
        <f aca="false">SUM(Motore_Startup!F485:F496)+SUM(Motore_Advisory!F485:F496)</f>
        <v>288276.315789474</v>
      </c>
      <c r="D85" s="15" t="n">
        <f aca="false">SUM(Motore_Startup!F497:F508)+SUM(Motore_Advisory!F497:F508)</f>
        <v>732688.608191163</v>
      </c>
      <c r="E85" s="15" t="n">
        <f aca="false">SUM(Motore_Startup!F509:F520)+SUM(Motore_Advisory!F509:F520)</f>
        <v>1533406.24850492</v>
      </c>
      <c r="F85" s="15" t="n">
        <f aca="false">SUM(Motore_Startup!F521:F532)+SUM(Motore_Advisory!F521:F532)</f>
        <v>2580413.92167546</v>
      </c>
      <c r="G85" s="15" t="n">
        <f aca="false">SUM(Motore_Startup!F533:F544)+SUM(Motore_Advisory!F533:F544)</f>
        <v>3651225.25392839</v>
      </c>
    </row>
    <row r="86" customFormat="false" ht="27.75" hidden="false" customHeight="true" outlineLevel="0" collapsed="false">
      <c r="A86" s="5" t="s">
        <v>198</v>
      </c>
      <c r="B86" s="6" t="s">
        <v>79</v>
      </c>
      <c r="C86" s="15" t="n">
        <f aca="false">SUM(Motore_Startup!J485:J496)+SUM(Motore_Advisory!J485:J496)</f>
        <v>-171028.842105263</v>
      </c>
      <c r="D86" s="15" t="n">
        <f aca="false">SUM(Motore_Startup!J497:J508)+SUM(Motore_Advisory!J497:J508)</f>
        <v>-263199.149068276</v>
      </c>
      <c r="E86" s="15" t="n">
        <f aca="false">SUM(Motore_Startup!J509:J520)+SUM(Motore_Advisory!J509:J520)</f>
        <v>-350161.376285769</v>
      </c>
      <c r="F86" s="15" t="n">
        <f aca="false">SUM(Motore_Startup!J521:J532)+SUM(Motore_Advisory!J521:J532)</f>
        <v>52824.1846408969</v>
      </c>
      <c r="G86" s="15" t="n">
        <f aca="false">SUM(Motore_Startup!J533:J544)+SUM(Motore_Advisory!J533:J544)</f>
        <v>446595.611398411</v>
      </c>
    </row>
    <row r="87" customFormat="false" ht="27.75" hidden="false" customHeight="true" outlineLevel="0" collapsed="false">
      <c r="A87" s="5" t="s">
        <v>198</v>
      </c>
      <c r="B87" s="6" t="s">
        <v>185</v>
      </c>
      <c r="C87" s="15" t="n">
        <f aca="false">Motore_Startup!BH496</f>
        <v>-109470.900433723</v>
      </c>
      <c r="D87" s="15" t="n">
        <f aca="false">Motore_Startup!BH508</f>
        <v>-494913.340057317</v>
      </c>
      <c r="E87" s="15" t="n">
        <f aca="false">Motore_Startup!BH520</f>
        <v>-1110201.93614452</v>
      </c>
      <c r="F87" s="15" t="n">
        <f aca="false">Motore_Startup!BH532</f>
        <v>-1503392.78033739</v>
      </c>
      <c r="G87" s="15" t="n">
        <f aca="false">Motore_Startup!BH544</f>
        <v>-1586716.63694834</v>
      </c>
    </row>
    <row r="88" customFormat="false" ht="27.75" hidden="false" customHeight="true" outlineLevel="0" collapsed="false">
      <c r="A88" s="5" t="s">
        <v>198</v>
      </c>
      <c r="B88" s="6" t="s">
        <v>186</v>
      </c>
      <c r="C88" s="15" t="n">
        <f aca="false">MIN(Motore_Startup!BH485:BH496)</f>
        <v>-109470.900433723</v>
      </c>
      <c r="D88" s="15" t="n">
        <f aca="false">MIN(Motore_Startup!BH497:BH508)</f>
        <v>-494913.340057317</v>
      </c>
      <c r="E88" s="15" t="n">
        <f aca="false">MIN(Motore_Startup!BH509:BH520)</f>
        <v>-1110201.93614452</v>
      </c>
      <c r="F88" s="15" t="n">
        <f aca="false">MIN(Motore_Startup!BH521:BH532)</f>
        <v>-1503392.78033739</v>
      </c>
      <c r="G88" s="15" t="n">
        <f aca="false">MIN(Motore_Startup!BH533:BH544)</f>
        <v>-1650996.39454073</v>
      </c>
    </row>
    <row r="89" customFormat="false" ht="27.75" hidden="false" customHeight="true" outlineLevel="0" collapsed="false">
      <c r="A89" s="5" t="s">
        <v>198</v>
      </c>
      <c r="B89" s="6" t="s">
        <v>187</v>
      </c>
      <c r="C89" s="15" t="n">
        <f aca="false">MAX(Motore_Startup!BI485:BI496)</f>
        <v>134470.900433723</v>
      </c>
      <c r="D89" s="15" t="n">
        <f aca="false">MAX(Motore_Startup!BI497:BI508)</f>
        <v>519913.340057317</v>
      </c>
      <c r="E89" s="15" t="n">
        <f aca="false">MAX(Motore_Startup!BI509:BI520)</f>
        <v>1135201.93614452</v>
      </c>
      <c r="F89" s="15" t="n">
        <f aca="false">MAX(Motore_Startup!BI521:BI532)</f>
        <v>1528392.78033739</v>
      </c>
      <c r="G89" s="15" t="n">
        <f aca="false">MAX(Motore_Startup!BI533:BI544)</f>
        <v>1675996.39454073</v>
      </c>
    </row>
    <row r="90" customFormat="false" ht="27.75" hidden="false" customHeight="true" outlineLevel="0" collapsed="false">
      <c r="A90" s="5" t="s">
        <v>198</v>
      </c>
      <c r="B90" s="6" t="s">
        <v>188</v>
      </c>
      <c r="C90" s="15" t="n">
        <f aca="false">MIN(Motore_Advisory!BH485:BH496)</f>
        <v>-10462.8519298246</v>
      </c>
      <c r="D90" s="15" t="n">
        <f aca="false">MIN(Motore_Advisory!BH497:BH508)</f>
        <v>-9688.90209957994</v>
      </c>
      <c r="E90" s="15" t="n">
        <f aca="false">MIN(Motore_Advisory!BH509:BH520)</f>
        <v>-16783.0800399988</v>
      </c>
      <c r="F90" s="15" t="n">
        <f aca="false">MIN(Motore_Advisory!BH521:BH532)</f>
        <v>73892.8964176045</v>
      </c>
      <c r="G90" s="15" t="n">
        <f aca="false">MIN(Motore_Advisory!BH533:BH544)</f>
        <v>169280.370179127</v>
      </c>
    </row>
    <row r="91" customFormat="false" ht="27.75" hidden="false" customHeight="true" outlineLevel="0" collapsed="false">
      <c r="A91" s="5" t="s">
        <v>198</v>
      </c>
      <c r="B91" s="6" t="s">
        <v>189</v>
      </c>
      <c r="C91" s="15" t="n">
        <f aca="false">MAX(Motore_Advisory!BI485:BI496)</f>
        <v>20462.8519298246</v>
      </c>
      <c r="D91" s="15" t="n">
        <f aca="false">MAX(Motore_Advisory!BI497:BI508)</f>
        <v>19688.9020995799</v>
      </c>
      <c r="E91" s="15" t="n">
        <f aca="false">MAX(Motore_Advisory!BI509:BI520)</f>
        <v>26783.0800399988</v>
      </c>
      <c r="F91" s="15" t="n">
        <f aca="false">MAX(Motore_Advisory!BI521:BI532)</f>
        <v>0</v>
      </c>
      <c r="G91" s="15" t="n">
        <f aca="false">MAX(Motore_Advisory!BI533:BI544)</f>
        <v>0</v>
      </c>
    </row>
    <row r="92" customFormat="false" ht="27.75" hidden="false" customHeight="true" outlineLevel="0" collapsed="false">
      <c r="A92" s="5" t="s">
        <v>198</v>
      </c>
      <c r="B92" s="6" t="s">
        <v>190</v>
      </c>
      <c r="C92" s="15" t="n">
        <f aca="false">Motore_Startup!BQ496</f>
        <v>-93792.0584795321</v>
      </c>
      <c r="D92" s="15" t="n">
        <f aca="false">Motore_Startup!BQ508</f>
        <v>-429322.467328716</v>
      </c>
      <c r="E92" s="15" t="n">
        <f aca="false">Motore_Startup!BQ520</f>
        <v>-970781.760281151</v>
      </c>
      <c r="F92" s="15" t="n">
        <f aca="false">Motore_Startup!BQ532</f>
        <v>-1242799.58995692</v>
      </c>
      <c r="G92" s="15" t="n">
        <f aca="false">Motore_Startup!BQ544</f>
        <v>-1198655.47384494</v>
      </c>
    </row>
    <row r="93" customFormat="false" ht="27.75" hidden="false" customHeight="true" outlineLevel="0" collapsed="false">
      <c r="A93" s="5" t="s">
        <v>198</v>
      </c>
      <c r="B93" s="6" t="s">
        <v>97</v>
      </c>
      <c r="C93" s="17" t="n">
        <f aca="false">Motore_Operativo!BD496</f>
        <v>5</v>
      </c>
      <c r="D93" s="17" t="n">
        <f aca="false">Motore_Operativo!BD508</f>
        <v>32.6393699684432</v>
      </c>
      <c r="E93" s="17" t="n">
        <f aca="false">Motore_Operativo!BD520</f>
        <v>88.253796635745</v>
      </c>
      <c r="F93" s="17" t="n">
        <f aca="false">Motore_Operativo!BD532</f>
        <v>154.906003497615</v>
      </c>
      <c r="G93" s="17" t="n">
        <f aca="false">Motore_Operativo!BD544</f>
        <v>228.899667702702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&amp;CLexShield v3 | Proiezioni condizionate, non bilanci certificati&amp;RPagina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11" min="2" style="1" width="16"/>
    <col collapsed="false" customWidth="true" hidden="false" outlineLevel="0" max="13" min="13" style="1" width="68"/>
  </cols>
  <sheetData>
    <row r="1" customFormat="false" ht="17.25" hidden="false" customHeight="true" outlineLevel="0" collapsed="false">
      <c r="A1" s="21" t="s">
        <v>199</v>
      </c>
    </row>
    <row r="2" customFormat="false" ht="15" hidden="false" customHeight="true" outlineLevel="0" collapsed="false">
      <c r="A2" s="22" t="s">
        <v>200</v>
      </c>
    </row>
    <row r="4" customFormat="false" ht="15" hidden="false" customHeight="true" outlineLevel="0" collapsed="false">
      <c r="A4" s="23" t="s">
        <v>183</v>
      </c>
      <c r="B4" s="24"/>
      <c r="C4" s="24"/>
      <c r="D4" s="24"/>
      <c r="E4" s="24"/>
      <c r="F4" s="24"/>
      <c r="G4" s="24"/>
      <c r="H4" s="24"/>
    </row>
    <row r="5" customFormat="false" ht="15" hidden="false" customHeight="true" outlineLevel="0" collapsed="false">
      <c r="A5" s="25" t="s">
        <v>201</v>
      </c>
      <c r="B5" s="25" t="s">
        <v>202</v>
      </c>
      <c r="C5" s="26" t="n">
        <v>2</v>
      </c>
      <c r="H5" s="27" t="s">
        <v>203</v>
      </c>
    </row>
    <row r="6" customFormat="false" ht="27.75" hidden="false" customHeight="true" outlineLevel="0" collapsed="false">
      <c r="A6" s="28" t="s">
        <v>204</v>
      </c>
      <c r="C6" s="5" t="s">
        <v>184</v>
      </c>
      <c r="D6" s="5" t="s">
        <v>191</v>
      </c>
      <c r="E6" s="5" t="s">
        <v>192</v>
      </c>
      <c r="F6" s="5" t="s">
        <v>193</v>
      </c>
      <c r="G6" s="5" t="s">
        <v>194</v>
      </c>
      <c r="H6" s="5" t="s">
        <v>195</v>
      </c>
      <c r="I6" s="5" t="s">
        <v>196</v>
      </c>
      <c r="J6" s="5" t="s">
        <v>197</v>
      </c>
      <c r="K6" s="5" t="s">
        <v>198</v>
      </c>
    </row>
    <row r="7" customFormat="false" ht="15" hidden="false" customHeight="true" outlineLevel="0" collapsed="false">
      <c r="A7" s="1" t="s">
        <v>205</v>
      </c>
      <c r="B7" s="1" t="s">
        <v>206</v>
      </c>
      <c r="C7" s="29" t="n">
        <v>0.75</v>
      </c>
      <c r="D7" s="29" t="n">
        <v>1</v>
      </c>
      <c r="E7" s="29" t="n">
        <v>1.25</v>
      </c>
      <c r="F7" s="29" t="n">
        <v>0.55</v>
      </c>
      <c r="G7" s="29" t="n">
        <v>0.55</v>
      </c>
      <c r="H7" s="30" t="n">
        <v>1</v>
      </c>
      <c r="I7" s="30" t="n">
        <v>1</v>
      </c>
      <c r="J7" s="30" t="n">
        <v>1</v>
      </c>
      <c r="K7" s="30" t="n">
        <v>1</v>
      </c>
      <c r="M7" s="1" t="s">
        <v>207</v>
      </c>
    </row>
    <row r="8" customFormat="false" ht="15" hidden="false" customHeight="true" outlineLevel="0" collapsed="false">
      <c r="A8" s="1" t="s">
        <v>208</v>
      </c>
      <c r="B8" s="1" t="s">
        <v>206</v>
      </c>
      <c r="C8" s="29" t="n">
        <v>0.6</v>
      </c>
      <c r="D8" s="29" t="n">
        <v>1</v>
      </c>
      <c r="E8" s="29" t="n">
        <v>1.4</v>
      </c>
      <c r="F8" s="29" t="n">
        <v>0.35</v>
      </c>
      <c r="G8" s="29" t="n">
        <v>0.35</v>
      </c>
      <c r="H8" s="30" t="n">
        <v>1</v>
      </c>
      <c r="I8" s="30" t="n">
        <v>1</v>
      </c>
      <c r="J8" s="30" t="n">
        <v>1</v>
      </c>
      <c r="K8" s="30" t="n">
        <v>1</v>
      </c>
      <c r="M8" s="1" t="s">
        <v>209</v>
      </c>
    </row>
    <row r="9" customFormat="false" ht="15" hidden="false" customHeight="true" outlineLevel="0" collapsed="false">
      <c r="A9" s="1" t="s">
        <v>210</v>
      </c>
      <c r="B9" s="1" t="s">
        <v>206</v>
      </c>
      <c r="C9" s="29" t="n">
        <v>1</v>
      </c>
      <c r="D9" s="29" t="n">
        <v>1</v>
      </c>
      <c r="E9" s="29" t="n">
        <v>1</v>
      </c>
      <c r="F9" s="29" t="n">
        <v>0.9</v>
      </c>
      <c r="G9" s="29" t="n">
        <v>0.9</v>
      </c>
      <c r="H9" s="30" t="n">
        <v>1</v>
      </c>
      <c r="I9" s="30" t="n">
        <v>1</v>
      </c>
      <c r="J9" s="30" t="n">
        <v>1</v>
      </c>
      <c r="K9" s="30" t="n">
        <v>1</v>
      </c>
      <c r="M9" s="1" t="s">
        <v>211</v>
      </c>
    </row>
    <row r="10" customFormat="false" ht="15" hidden="false" customHeight="true" outlineLevel="0" collapsed="false">
      <c r="A10" s="1" t="s">
        <v>212</v>
      </c>
      <c r="B10" s="1" t="s">
        <v>206</v>
      </c>
      <c r="C10" s="29" t="n">
        <v>1</v>
      </c>
      <c r="D10" s="29" t="n">
        <v>1</v>
      </c>
      <c r="E10" s="29" t="n">
        <v>1</v>
      </c>
      <c r="F10" s="29" t="n">
        <v>1</v>
      </c>
      <c r="G10" s="29" t="n">
        <v>0.3</v>
      </c>
      <c r="H10" s="30" t="n">
        <v>1</v>
      </c>
      <c r="I10" s="30" t="n">
        <v>1</v>
      </c>
      <c r="J10" s="30" t="n">
        <v>1</v>
      </c>
      <c r="K10" s="30" t="n">
        <v>1</v>
      </c>
      <c r="M10" s="1" t="s">
        <v>213</v>
      </c>
    </row>
    <row r="11" customFormat="false" ht="15" hidden="false" customHeight="true" outlineLevel="0" collapsed="false">
      <c r="A11" s="1" t="s">
        <v>214</v>
      </c>
      <c r="B11" s="1" t="s">
        <v>206</v>
      </c>
      <c r="C11" s="29" t="n">
        <v>1</v>
      </c>
      <c r="D11" s="29" t="n">
        <v>1</v>
      </c>
      <c r="E11" s="29" t="n">
        <v>1</v>
      </c>
      <c r="F11" s="29" t="n">
        <v>1</v>
      </c>
      <c r="G11" s="29" t="n">
        <v>0.2</v>
      </c>
      <c r="H11" s="30" t="n">
        <v>1</v>
      </c>
      <c r="I11" s="30" t="n">
        <v>1</v>
      </c>
      <c r="J11" s="30" t="n">
        <v>1</v>
      </c>
      <c r="K11" s="30" t="n">
        <v>1</v>
      </c>
      <c r="M11" s="1" t="s">
        <v>215</v>
      </c>
    </row>
    <row r="12" customFormat="false" ht="15" hidden="false" customHeight="true" outlineLevel="0" collapsed="false">
      <c r="A12" s="1" t="s">
        <v>216</v>
      </c>
      <c r="B12" s="1" t="s">
        <v>206</v>
      </c>
      <c r="C12" s="29" t="n">
        <v>1</v>
      </c>
      <c r="D12" s="29" t="n">
        <v>1</v>
      </c>
      <c r="E12" s="29" t="n">
        <v>1</v>
      </c>
      <c r="F12" s="29" t="n">
        <v>1</v>
      </c>
      <c r="G12" s="29" t="n">
        <v>0.6</v>
      </c>
      <c r="H12" s="30" t="n">
        <v>1</v>
      </c>
      <c r="I12" s="30" t="n">
        <v>1</v>
      </c>
      <c r="J12" s="30" t="n">
        <v>1</v>
      </c>
      <c r="K12" s="30" t="n">
        <v>1</v>
      </c>
      <c r="M12" s="1" t="s">
        <v>217</v>
      </c>
    </row>
    <row r="13" customFormat="false" ht="15" hidden="false" customHeight="true" outlineLevel="0" collapsed="false">
      <c r="A13" s="1" t="s">
        <v>218</v>
      </c>
      <c r="B13" s="1" t="s">
        <v>219</v>
      </c>
      <c r="C13" s="31" t="n">
        <v>90</v>
      </c>
      <c r="D13" s="31" t="n">
        <v>90</v>
      </c>
      <c r="E13" s="31" t="n">
        <v>90</v>
      </c>
      <c r="F13" s="31" t="n">
        <v>120</v>
      </c>
      <c r="G13" s="31" t="n">
        <v>120</v>
      </c>
      <c r="H13" s="32" t="n">
        <v>90</v>
      </c>
      <c r="I13" s="32" t="n">
        <v>90</v>
      </c>
      <c r="J13" s="32" t="n">
        <v>90</v>
      </c>
      <c r="K13" s="32" t="n">
        <v>90</v>
      </c>
      <c r="M13" s="1" t="s">
        <v>220</v>
      </c>
    </row>
    <row r="14" customFormat="false" ht="15" hidden="false" customHeight="true" outlineLevel="0" collapsed="false">
      <c r="A14" s="1" t="s">
        <v>221</v>
      </c>
      <c r="B14" s="1" t="s">
        <v>222</v>
      </c>
      <c r="C14" s="31" t="n">
        <v>0</v>
      </c>
      <c r="D14" s="31" t="n">
        <v>0</v>
      </c>
      <c r="E14" s="31" t="n">
        <v>0</v>
      </c>
      <c r="F14" s="31" t="n">
        <v>1</v>
      </c>
      <c r="G14" s="31" t="n">
        <v>1</v>
      </c>
      <c r="H14" s="32" t="n">
        <v>0</v>
      </c>
      <c r="I14" s="32" t="n">
        <v>0</v>
      </c>
      <c r="J14" s="32" t="n">
        <v>0</v>
      </c>
      <c r="K14" s="32" t="n">
        <v>0</v>
      </c>
      <c r="M14" s="1" t="s">
        <v>223</v>
      </c>
    </row>
    <row r="15" customFormat="false" ht="15" hidden="false" customHeight="true" outlineLevel="0" collapsed="false">
      <c r="A15" s="1" t="s">
        <v>224</v>
      </c>
      <c r="B15" s="1" t="s">
        <v>222</v>
      </c>
      <c r="C15" s="31" t="n">
        <v>0</v>
      </c>
      <c r="D15" s="31" t="n">
        <v>0</v>
      </c>
      <c r="E15" s="31" t="n">
        <v>0</v>
      </c>
      <c r="F15" s="31" t="n">
        <v>1</v>
      </c>
      <c r="G15" s="31" t="n">
        <v>1</v>
      </c>
      <c r="H15" s="32" t="n">
        <v>0</v>
      </c>
      <c r="I15" s="32" t="n">
        <v>0</v>
      </c>
      <c r="J15" s="32" t="n">
        <v>0</v>
      </c>
      <c r="K15" s="32" t="n">
        <v>0</v>
      </c>
      <c r="M15" s="1" t="s">
        <v>225</v>
      </c>
    </row>
    <row r="16" customFormat="false" ht="15" hidden="false" customHeight="true" outlineLevel="0" collapsed="false">
      <c r="A16" s="1" t="s">
        <v>226</v>
      </c>
      <c r="B16" s="1" t="s">
        <v>227</v>
      </c>
      <c r="C16" s="33" t="n">
        <v>1</v>
      </c>
      <c r="D16" s="33" t="n">
        <v>1</v>
      </c>
      <c r="E16" s="33" t="n">
        <v>1</v>
      </c>
      <c r="F16" s="33" t="n">
        <v>0</v>
      </c>
      <c r="G16" s="33" t="n">
        <v>0</v>
      </c>
      <c r="H16" s="34" t="n">
        <v>1</v>
      </c>
      <c r="I16" s="34" t="n">
        <v>1</v>
      </c>
      <c r="J16" s="34" t="n">
        <v>1</v>
      </c>
      <c r="K16" s="34" t="n">
        <v>1</v>
      </c>
      <c r="M16" s="1" t="s">
        <v>228</v>
      </c>
    </row>
    <row r="17" customFormat="false" ht="15" hidden="false" customHeight="true" outlineLevel="0" collapsed="false">
      <c r="A17" s="25" t="s">
        <v>229</v>
      </c>
      <c r="B17" s="25" t="s">
        <v>206</v>
      </c>
      <c r="C17" s="35" t="n">
        <f aca="false">INDEX($C$7:$K$7,1,$C$5)</f>
        <v>1</v>
      </c>
    </row>
    <row r="18" customFormat="false" ht="15" hidden="false" customHeight="true" outlineLevel="0" collapsed="false">
      <c r="A18" s="25" t="s">
        <v>230</v>
      </c>
      <c r="B18" s="25" t="s">
        <v>206</v>
      </c>
      <c r="C18" s="35" t="n">
        <f aca="false">INDEX($C$8:$K$8,1,$C$5)</f>
        <v>1</v>
      </c>
    </row>
    <row r="19" customFormat="false" ht="15" hidden="false" customHeight="true" outlineLevel="0" collapsed="false">
      <c r="A19" s="25" t="s">
        <v>231</v>
      </c>
      <c r="B19" s="25" t="s">
        <v>206</v>
      </c>
      <c r="C19" s="35" t="n">
        <f aca="false">INDEX($C$9:$K$9,1,$C$5)</f>
        <v>1</v>
      </c>
    </row>
    <row r="20" customFormat="false" ht="15" hidden="false" customHeight="true" outlineLevel="0" collapsed="false">
      <c r="A20" s="25" t="s">
        <v>232</v>
      </c>
      <c r="B20" s="25" t="s">
        <v>206</v>
      </c>
      <c r="C20" s="35" t="n">
        <f aca="false">INDEX($C$10:$K$10,1,$C$5)</f>
        <v>1</v>
      </c>
    </row>
    <row r="21" customFormat="false" ht="15" hidden="false" customHeight="true" outlineLevel="0" collapsed="false">
      <c r="A21" s="25" t="s">
        <v>233</v>
      </c>
      <c r="B21" s="25" t="s">
        <v>206</v>
      </c>
      <c r="C21" s="35" t="n">
        <f aca="false">INDEX($C$11:$K$11,1,$C$5)</f>
        <v>1</v>
      </c>
    </row>
    <row r="22" customFormat="false" ht="15" hidden="false" customHeight="true" outlineLevel="0" collapsed="false">
      <c r="A22" s="25" t="s">
        <v>234</v>
      </c>
      <c r="B22" s="25" t="s">
        <v>206</v>
      </c>
      <c r="C22" s="35" t="n">
        <f aca="false">INDEX($C$12:$K$12,1,$C$5)</f>
        <v>1</v>
      </c>
    </row>
    <row r="23" customFormat="false" ht="15" hidden="false" customHeight="true" outlineLevel="0" collapsed="false">
      <c r="A23" s="25" t="s">
        <v>235</v>
      </c>
      <c r="B23" s="25" t="s">
        <v>219</v>
      </c>
      <c r="C23" s="35" t="n">
        <f aca="false">INDEX($C$13:$K$13,1,$C$5)</f>
        <v>90</v>
      </c>
    </row>
    <row r="24" customFormat="false" ht="15" hidden="false" customHeight="true" outlineLevel="0" collapsed="false">
      <c r="A24" s="25" t="s">
        <v>236</v>
      </c>
      <c r="B24" s="25" t="s">
        <v>222</v>
      </c>
      <c r="C24" s="35" t="n">
        <f aca="false">INDEX($C$14:$K$14,1,$C$5)</f>
        <v>0</v>
      </c>
    </row>
    <row r="25" customFormat="false" ht="15" hidden="false" customHeight="true" outlineLevel="0" collapsed="false">
      <c r="A25" s="25" t="s">
        <v>237</v>
      </c>
      <c r="B25" s="25" t="s">
        <v>222</v>
      </c>
      <c r="C25" s="35" t="n">
        <f aca="false">INDEX($C$15:$K$15,1,$C$5)</f>
        <v>0</v>
      </c>
    </row>
    <row r="26" customFormat="false" ht="15" hidden="false" customHeight="true" outlineLevel="0" collapsed="false">
      <c r="A26" s="25" t="s">
        <v>238</v>
      </c>
      <c r="B26" s="25" t="s">
        <v>227</v>
      </c>
      <c r="C26" s="36" t="n">
        <f aca="false">INDEX($C$16:$K$16,1,$C$5)</f>
        <v>1</v>
      </c>
    </row>
    <row r="27" customFormat="false" ht="15" hidden="false" customHeight="false" outlineLevel="0" collapsed="false">
      <c r="A27" s="1" t="s">
        <v>239</v>
      </c>
      <c r="B27" s="1" t="s">
        <v>206</v>
      </c>
      <c r="C27" s="33" t="n">
        <v>1.2</v>
      </c>
      <c r="D27" s="33" t="n">
        <v>1</v>
      </c>
      <c r="E27" s="33" t="n">
        <v>0.8</v>
      </c>
      <c r="F27" s="33" t="n">
        <v>1.3</v>
      </c>
      <c r="G27" s="33" t="n">
        <v>1.3</v>
      </c>
      <c r="H27" s="34" t="n">
        <v>1</v>
      </c>
      <c r="I27" s="34" t="n">
        <v>1</v>
      </c>
      <c r="J27" s="34" t="n">
        <v>1</v>
      </c>
      <c r="K27" s="34" t="n">
        <v>1</v>
      </c>
      <c r="M27" s="1" t="s">
        <v>240</v>
      </c>
    </row>
    <row r="28" customFormat="false" ht="15" hidden="false" customHeight="true" outlineLevel="0" collapsed="false">
      <c r="A28" s="37" t="s">
        <v>241</v>
      </c>
      <c r="B28" s="38" t="s">
        <v>86</v>
      </c>
      <c r="C28" s="39" t="n">
        <v>2027</v>
      </c>
      <c r="D28" s="39" t="n">
        <v>2028</v>
      </c>
      <c r="E28" s="39" t="n">
        <v>2029</v>
      </c>
      <c r="F28" s="39" t="n">
        <v>2030</v>
      </c>
      <c r="G28" s="39" t="n">
        <v>2031</v>
      </c>
      <c r="H28" s="38" t="s">
        <v>242</v>
      </c>
    </row>
    <row r="29" customFormat="false" ht="15" hidden="false" customHeight="true" outlineLevel="0" collapsed="false">
      <c r="A29" s="23" t="s">
        <v>243</v>
      </c>
      <c r="B29" s="24"/>
      <c r="C29" s="24"/>
      <c r="D29" s="24"/>
      <c r="E29" s="24"/>
      <c r="F29" s="24"/>
      <c r="G29" s="24"/>
      <c r="H29" s="24"/>
    </row>
    <row r="30" customFormat="false" ht="15" hidden="false" customHeight="true" outlineLevel="0" collapsed="false">
      <c r="A30" s="25" t="s">
        <v>244</v>
      </c>
      <c r="B30" s="25" t="s">
        <v>219</v>
      </c>
      <c r="C30" s="40" t="n">
        <v>100</v>
      </c>
      <c r="D30" s="40" t="n">
        <v>270</v>
      </c>
      <c r="E30" s="40" t="n">
        <v>500</v>
      </c>
      <c r="F30" s="40" t="n">
        <v>740</v>
      </c>
      <c r="G30" s="40" t="n">
        <v>980</v>
      </c>
      <c r="H30" s="27" t="s">
        <v>245</v>
      </c>
    </row>
    <row r="31" customFormat="false" ht="15" hidden="false" customHeight="true" outlineLevel="0" collapsed="false">
      <c r="A31" s="25" t="s">
        <v>246</v>
      </c>
      <c r="B31" s="25" t="s">
        <v>247</v>
      </c>
      <c r="C31" s="41" t="n">
        <v>900</v>
      </c>
      <c r="D31" s="41" t="n">
        <v>950</v>
      </c>
      <c r="E31" s="41" t="n">
        <v>1000</v>
      </c>
      <c r="F31" s="41" t="n">
        <v>1050</v>
      </c>
      <c r="G31" s="41" t="n">
        <v>1100</v>
      </c>
    </row>
    <row r="32" customFormat="false" ht="15" hidden="false" customHeight="true" outlineLevel="0" collapsed="false">
      <c r="A32" s="25" t="s">
        <v>248</v>
      </c>
      <c r="B32" s="25" t="s">
        <v>249</v>
      </c>
      <c r="C32" s="40" t="n">
        <v>5</v>
      </c>
      <c r="D32" s="40" t="n">
        <v>35</v>
      </c>
      <c r="E32" s="40" t="n">
        <v>130</v>
      </c>
      <c r="F32" s="40" t="n">
        <v>310</v>
      </c>
      <c r="G32" s="40" t="n">
        <v>560</v>
      </c>
      <c r="H32" s="27" t="s">
        <v>250</v>
      </c>
    </row>
    <row r="33" customFormat="false" ht="15" hidden="false" customHeight="true" outlineLevel="0" collapsed="false">
      <c r="A33" s="25" t="s">
        <v>251</v>
      </c>
      <c r="B33" s="25" t="s">
        <v>252</v>
      </c>
      <c r="C33" s="41" t="n">
        <v>2000</v>
      </c>
      <c r="D33" s="41" t="n">
        <v>4000</v>
      </c>
      <c r="E33" s="41" t="n">
        <v>5500</v>
      </c>
      <c r="F33" s="41" t="n">
        <v>6000</v>
      </c>
      <c r="G33" s="41" t="n">
        <v>6200</v>
      </c>
      <c r="H33" s="27" t="s">
        <v>253</v>
      </c>
    </row>
    <row r="34" customFormat="false" ht="15" hidden="false" customHeight="true" outlineLevel="0" collapsed="false">
      <c r="A34" s="25" t="s">
        <v>254</v>
      </c>
      <c r="B34" s="25" t="s">
        <v>95</v>
      </c>
      <c r="C34" s="42" t="n">
        <v>0</v>
      </c>
      <c r="D34" s="42" t="n">
        <v>0.1</v>
      </c>
      <c r="E34" s="42" t="n">
        <v>0.1</v>
      </c>
      <c r="F34" s="42" t="n">
        <v>0.1</v>
      </c>
      <c r="G34" s="42" t="n">
        <v>0.1</v>
      </c>
    </row>
    <row r="35" customFormat="false" ht="15" hidden="false" customHeight="true" outlineLevel="0" collapsed="false">
      <c r="A35" s="25" t="s">
        <v>255</v>
      </c>
      <c r="B35" s="25" t="s">
        <v>256</v>
      </c>
      <c r="C35" s="43" t="n">
        <v>5000</v>
      </c>
      <c r="D35" s="41" t="n">
        <v>3000</v>
      </c>
      <c r="E35" s="41" t="n">
        <v>5000</v>
      </c>
      <c r="F35" s="41" t="n">
        <v>6000</v>
      </c>
      <c r="G35" s="41" t="n">
        <v>6500</v>
      </c>
    </row>
    <row r="36" customFormat="false" ht="15" hidden="false" customHeight="true" outlineLevel="0" collapsed="false">
      <c r="A36" s="25" t="s">
        <v>257</v>
      </c>
      <c r="B36" s="25" t="s">
        <v>95</v>
      </c>
      <c r="C36" s="42" t="n">
        <v>0.8</v>
      </c>
      <c r="H36" s="1" t="s">
        <v>258</v>
      </c>
    </row>
    <row r="37" customFormat="false" ht="15" hidden="false" customHeight="true" outlineLevel="0" collapsed="false">
      <c r="A37" s="25" t="s">
        <v>259</v>
      </c>
      <c r="B37" s="25" t="s">
        <v>260</v>
      </c>
      <c r="C37" s="44" t="n">
        <v>0.1</v>
      </c>
      <c r="D37" s="44" t="n">
        <v>0.1</v>
      </c>
      <c r="E37" s="44" t="n">
        <v>0.1</v>
      </c>
      <c r="F37" s="44" t="n">
        <v>0.1</v>
      </c>
      <c r="G37" s="44" t="n">
        <v>0.1</v>
      </c>
      <c r="H37" s="27" t="s">
        <v>261</v>
      </c>
    </row>
    <row r="39" customFormat="false" ht="15" hidden="false" customHeight="true" outlineLevel="0" collapsed="false">
      <c r="A39" s="23" t="s">
        <v>262</v>
      </c>
      <c r="B39" s="24"/>
      <c r="C39" s="24"/>
      <c r="D39" s="24"/>
      <c r="E39" s="24"/>
      <c r="F39" s="24"/>
      <c r="G39" s="24"/>
      <c r="H39" s="24"/>
    </row>
    <row r="40" customFormat="false" ht="15" hidden="false" customHeight="true" outlineLevel="0" collapsed="false">
      <c r="A40" s="25" t="s">
        <v>263</v>
      </c>
      <c r="B40" s="25" t="s">
        <v>107</v>
      </c>
      <c r="C40" s="45" t="n">
        <v>1</v>
      </c>
      <c r="D40" s="45" t="n">
        <v>1</v>
      </c>
      <c r="E40" s="45" t="n">
        <v>1</v>
      </c>
      <c r="F40" s="45" t="n">
        <v>1</v>
      </c>
      <c r="G40" s="45" t="n">
        <v>1</v>
      </c>
    </row>
    <row r="41" customFormat="false" ht="15" hidden="false" customHeight="true" outlineLevel="0" collapsed="false">
      <c r="A41" s="25" t="s">
        <v>264</v>
      </c>
      <c r="B41" s="25" t="s">
        <v>107</v>
      </c>
      <c r="C41" s="46" t="n">
        <v>0.75</v>
      </c>
      <c r="D41" s="46" t="n">
        <v>1</v>
      </c>
      <c r="E41" s="46" t="n">
        <v>1</v>
      </c>
      <c r="F41" s="46" t="n">
        <v>1</v>
      </c>
      <c r="G41" s="46" t="n">
        <v>1</v>
      </c>
    </row>
    <row r="42" customFormat="false" ht="15" hidden="false" customHeight="true" outlineLevel="0" collapsed="false">
      <c r="A42" s="25" t="s">
        <v>265</v>
      </c>
      <c r="B42" s="25" t="s">
        <v>107</v>
      </c>
      <c r="C42" s="45" t="n">
        <v>1</v>
      </c>
      <c r="D42" s="45" t="n">
        <v>2.5</v>
      </c>
      <c r="E42" s="45" t="n">
        <v>4.5</v>
      </c>
      <c r="F42" s="45" t="n">
        <v>6.5</v>
      </c>
      <c r="G42" s="45" t="n">
        <v>8.5</v>
      </c>
    </row>
    <row r="43" customFormat="false" ht="15" hidden="false" customHeight="true" outlineLevel="0" collapsed="false">
      <c r="A43" s="25" t="s">
        <v>266</v>
      </c>
      <c r="B43" s="25" t="s">
        <v>107</v>
      </c>
      <c r="C43" s="45" t="n">
        <v>1</v>
      </c>
      <c r="D43" s="45" t="n">
        <v>2.5</v>
      </c>
      <c r="E43" s="45" t="n">
        <v>5</v>
      </c>
      <c r="F43" s="45" t="n">
        <v>6</v>
      </c>
      <c r="G43" s="45" t="n">
        <v>7</v>
      </c>
      <c r="H43" s="27" t="s">
        <v>267</v>
      </c>
    </row>
    <row r="44" customFormat="false" ht="15" hidden="false" customHeight="true" outlineLevel="0" collapsed="false">
      <c r="A44" s="25" t="s">
        <v>268</v>
      </c>
      <c r="B44" s="25" t="s">
        <v>107</v>
      </c>
      <c r="C44" s="45" t="n">
        <v>0.5</v>
      </c>
      <c r="D44" s="45" t="n">
        <v>1.5</v>
      </c>
      <c r="E44" s="45" t="n">
        <v>4</v>
      </c>
      <c r="F44" s="45" t="n">
        <v>5</v>
      </c>
      <c r="G44" s="45" t="n">
        <v>6</v>
      </c>
    </row>
    <row r="45" customFormat="false" ht="15" hidden="false" customHeight="true" outlineLevel="0" collapsed="false">
      <c r="A45" s="25" t="s">
        <v>269</v>
      </c>
      <c r="B45" s="25" t="s">
        <v>107</v>
      </c>
      <c r="C45" s="45" t="n">
        <v>0</v>
      </c>
      <c r="D45" s="45" t="n">
        <v>0.5</v>
      </c>
      <c r="E45" s="45" t="n">
        <v>1</v>
      </c>
      <c r="F45" s="45" t="n">
        <v>1.5</v>
      </c>
      <c r="G45" s="45" t="n">
        <v>2</v>
      </c>
    </row>
    <row r="47" customFormat="false" ht="15" hidden="false" customHeight="true" outlineLevel="0" collapsed="false">
      <c r="A47" s="23" t="s">
        <v>270</v>
      </c>
      <c r="B47" s="24"/>
      <c r="C47" s="24"/>
      <c r="D47" s="24"/>
      <c r="E47" s="24"/>
      <c r="F47" s="24"/>
      <c r="G47" s="24"/>
      <c r="H47" s="24"/>
    </row>
    <row r="48" customFormat="false" ht="15" hidden="false" customHeight="true" outlineLevel="0" collapsed="false">
      <c r="A48" s="25" t="s">
        <v>271</v>
      </c>
      <c r="B48" s="25" t="s">
        <v>219</v>
      </c>
      <c r="C48" s="40" t="n">
        <v>200</v>
      </c>
      <c r="D48" s="40" t="n">
        <v>450</v>
      </c>
      <c r="E48" s="40" t="n">
        <v>720</v>
      </c>
      <c r="F48" s="40" t="n">
        <v>950</v>
      </c>
      <c r="G48" s="40" t="n">
        <v>1150</v>
      </c>
    </row>
    <row r="49" customFormat="false" ht="15" hidden="false" customHeight="true" outlineLevel="0" collapsed="false">
      <c r="A49" s="25" t="s">
        <v>272</v>
      </c>
      <c r="B49" s="25" t="s">
        <v>247</v>
      </c>
      <c r="C49" s="41" t="n">
        <v>750</v>
      </c>
      <c r="D49" s="41" t="n">
        <v>800</v>
      </c>
      <c r="E49" s="41" t="n">
        <v>850</v>
      </c>
      <c r="F49" s="41" t="n">
        <v>900</v>
      </c>
      <c r="G49" s="41" t="n">
        <v>950</v>
      </c>
    </row>
    <row r="50" customFormat="false" ht="15" hidden="false" customHeight="true" outlineLevel="0" collapsed="false">
      <c r="A50" s="25" t="s">
        <v>273</v>
      </c>
      <c r="B50" s="25" t="s">
        <v>274</v>
      </c>
      <c r="C50" s="40" t="n">
        <v>25</v>
      </c>
      <c r="D50" s="40" t="n">
        <v>55</v>
      </c>
      <c r="E50" s="40" t="n">
        <v>80</v>
      </c>
      <c r="F50" s="40" t="n">
        <v>100</v>
      </c>
      <c r="G50" s="40" t="n">
        <v>115</v>
      </c>
    </row>
    <row r="51" customFormat="false" ht="15" hidden="false" customHeight="true" outlineLevel="0" collapsed="false">
      <c r="A51" s="25" t="s">
        <v>275</v>
      </c>
      <c r="B51" s="25" t="s">
        <v>276</v>
      </c>
      <c r="C51" s="41" t="n">
        <v>2000</v>
      </c>
      <c r="D51" s="41" t="n">
        <v>2000</v>
      </c>
      <c r="E51" s="41" t="n">
        <v>2250</v>
      </c>
      <c r="F51" s="41" t="n">
        <v>2500</v>
      </c>
      <c r="G51" s="41" t="n">
        <v>2600</v>
      </c>
    </row>
    <row r="52" customFormat="false" ht="15" hidden="false" customHeight="true" outlineLevel="0" collapsed="false">
      <c r="A52" s="25" t="s">
        <v>277</v>
      </c>
      <c r="B52" s="25" t="s">
        <v>107</v>
      </c>
      <c r="C52" s="45" t="n">
        <v>1.5</v>
      </c>
      <c r="D52" s="45" t="n">
        <v>3</v>
      </c>
      <c r="E52" s="45" t="n">
        <v>5</v>
      </c>
      <c r="F52" s="45" t="n">
        <v>7</v>
      </c>
      <c r="G52" s="45" t="n">
        <v>9</v>
      </c>
      <c r="H52" s="27" t="s">
        <v>278</v>
      </c>
    </row>
    <row r="53" customFormat="false" ht="15" hidden="false" customHeight="true" outlineLevel="0" collapsed="false">
      <c r="A53" s="25" t="s">
        <v>279</v>
      </c>
      <c r="B53" s="25" t="s">
        <v>107</v>
      </c>
      <c r="C53" s="45" t="n">
        <v>0</v>
      </c>
      <c r="D53" s="45" t="n">
        <v>1</v>
      </c>
      <c r="E53" s="45" t="n">
        <v>1</v>
      </c>
      <c r="F53" s="45" t="n">
        <v>1</v>
      </c>
      <c r="G53" s="45" t="n">
        <v>1</v>
      </c>
      <c r="H53" s="27" t="s">
        <v>280</v>
      </c>
    </row>
    <row r="54" customFormat="false" ht="15" hidden="false" customHeight="true" outlineLevel="0" collapsed="false">
      <c r="A54" s="25" t="s">
        <v>269</v>
      </c>
      <c r="B54" s="25" t="s">
        <v>107</v>
      </c>
      <c r="C54" s="45" t="n">
        <v>0</v>
      </c>
      <c r="D54" s="45" t="n">
        <v>0</v>
      </c>
      <c r="E54" s="45" t="n">
        <v>0.5</v>
      </c>
      <c r="F54" s="45" t="n">
        <v>0.5</v>
      </c>
      <c r="G54" s="45" t="n">
        <v>1</v>
      </c>
    </row>
    <row r="55" customFormat="false" ht="15" hidden="false" customHeight="true" outlineLevel="0" collapsed="false">
      <c r="A55" s="25" t="s">
        <v>281</v>
      </c>
      <c r="B55" s="25" t="s">
        <v>252</v>
      </c>
      <c r="C55" s="41" t="n">
        <v>6000</v>
      </c>
      <c r="D55" s="41" t="n">
        <v>12000</v>
      </c>
      <c r="E55" s="41" t="n">
        <v>18000</v>
      </c>
      <c r="F55" s="41" t="n">
        <v>24000</v>
      </c>
      <c r="G55" s="41" t="n">
        <v>24000</v>
      </c>
      <c r="H55" s="27" t="s">
        <v>282</v>
      </c>
    </row>
    <row r="57" customFormat="false" ht="15" hidden="false" customHeight="true" outlineLevel="0" collapsed="false">
      <c r="A57" s="23" t="s">
        <v>283</v>
      </c>
      <c r="B57" s="24"/>
      <c r="C57" s="24"/>
      <c r="D57" s="24"/>
      <c r="E57" s="24"/>
      <c r="F57" s="24"/>
      <c r="G57" s="24"/>
      <c r="H57" s="24"/>
    </row>
    <row r="58" customFormat="false" ht="15" hidden="false" customHeight="true" outlineLevel="0" collapsed="false">
      <c r="A58" s="25" t="s">
        <v>284</v>
      </c>
      <c r="B58" s="25" t="s">
        <v>252</v>
      </c>
      <c r="C58" s="43" t="n">
        <v>40000</v>
      </c>
      <c r="D58" s="43" t="n">
        <v>60000</v>
      </c>
      <c r="E58" s="43" t="n">
        <v>85000</v>
      </c>
      <c r="F58" s="43" t="n">
        <v>95000</v>
      </c>
      <c r="G58" s="43" t="n">
        <v>100000</v>
      </c>
    </row>
    <row r="59" customFormat="false" ht="15" hidden="false" customHeight="true" outlineLevel="0" collapsed="false">
      <c r="A59" s="25" t="s">
        <v>264</v>
      </c>
      <c r="B59" s="25" t="s">
        <v>285</v>
      </c>
      <c r="C59" s="41" t="n">
        <v>70000</v>
      </c>
    </row>
    <row r="60" customFormat="false" ht="15" hidden="false" customHeight="true" outlineLevel="0" collapsed="false">
      <c r="A60" s="25" t="s">
        <v>286</v>
      </c>
      <c r="B60" s="25" t="s">
        <v>285</v>
      </c>
      <c r="C60" s="41" t="n">
        <v>50000</v>
      </c>
    </row>
    <row r="61" customFormat="false" ht="15" hidden="false" customHeight="true" outlineLevel="0" collapsed="false">
      <c r="A61" s="25" t="s">
        <v>287</v>
      </c>
      <c r="B61" s="25" t="s">
        <v>285</v>
      </c>
      <c r="C61" s="41" t="n">
        <v>50000</v>
      </c>
    </row>
    <row r="62" customFormat="false" ht="15" hidden="false" customHeight="true" outlineLevel="0" collapsed="false">
      <c r="A62" s="25" t="s">
        <v>288</v>
      </c>
      <c r="B62" s="25" t="s">
        <v>285</v>
      </c>
      <c r="C62" s="41" t="n">
        <v>45000</v>
      </c>
    </row>
    <row r="63" customFormat="false" ht="15" hidden="false" customHeight="true" outlineLevel="0" collapsed="false">
      <c r="A63" s="25" t="s">
        <v>269</v>
      </c>
      <c r="B63" s="25" t="s">
        <v>285</v>
      </c>
      <c r="C63" s="41" t="n">
        <v>35000</v>
      </c>
    </row>
    <row r="64" customFormat="false" ht="15" hidden="false" customHeight="true" outlineLevel="0" collapsed="false">
      <c r="A64" s="25" t="s">
        <v>289</v>
      </c>
      <c r="B64" s="25" t="s">
        <v>285</v>
      </c>
      <c r="C64" s="41" t="n">
        <v>42000</v>
      </c>
    </row>
    <row r="65" customFormat="false" ht="15" hidden="false" customHeight="true" outlineLevel="0" collapsed="false">
      <c r="A65" s="25" t="s">
        <v>290</v>
      </c>
      <c r="B65" s="25" t="s">
        <v>285</v>
      </c>
      <c r="C65" s="41" t="n">
        <v>60000</v>
      </c>
    </row>
    <row r="66" customFormat="false" ht="15" hidden="false" customHeight="true" outlineLevel="0" collapsed="false">
      <c r="A66" s="25" t="s">
        <v>291</v>
      </c>
      <c r="B66" s="25" t="s">
        <v>95</v>
      </c>
      <c r="C66" s="42" t="n">
        <v>0.03</v>
      </c>
    </row>
    <row r="67" customFormat="false" ht="15" hidden="false" customHeight="true" outlineLevel="0" collapsed="false">
      <c r="A67" s="25" t="s">
        <v>292</v>
      </c>
      <c r="B67" s="25" t="s">
        <v>293</v>
      </c>
      <c r="C67" s="42" t="n">
        <v>0.03</v>
      </c>
    </row>
    <row r="68" customFormat="false" ht="15" hidden="false" customHeight="true" outlineLevel="0" collapsed="false">
      <c r="A68" s="25" t="s">
        <v>294</v>
      </c>
      <c r="B68" s="25" t="s">
        <v>252</v>
      </c>
      <c r="C68" s="43" t="n">
        <v>30000</v>
      </c>
      <c r="D68" s="43" t="n">
        <v>48000</v>
      </c>
      <c r="E68" s="43" t="n">
        <v>72000</v>
      </c>
      <c r="F68" s="43" t="n">
        <v>90000</v>
      </c>
      <c r="G68" s="43" t="n">
        <v>100000</v>
      </c>
    </row>
    <row r="69" customFormat="false" ht="15" hidden="false" customHeight="true" outlineLevel="0" collapsed="false">
      <c r="A69" s="25" t="s">
        <v>295</v>
      </c>
      <c r="B69" s="25" t="s">
        <v>95</v>
      </c>
      <c r="C69" s="42" t="n">
        <v>0.4</v>
      </c>
      <c r="H69" s="27" t="s">
        <v>296</v>
      </c>
    </row>
    <row r="71" customFormat="false" ht="15" hidden="false" customHeight="true" outlineLevel="0" collapsed="false">
      <c r="A71" s="23" t="s">
        <v>297</v>
      </c>
      <c r="B71" s="24"/>
      <c r="C71" s="24"/>
      <c r="D71" s="24"/>
      <c r="E71" s="24"/>
      <c r="F71" s="24"/>
      <c r="G71" s="24"/>
      <c r="H71" s="24"/>
    </row>
    <row r="72" customFormat="false" ht="15" hidden="false" customHeight="true" outlineLevel="0" collapsed="false">
      <c r="A72" s="25" t="s">
        <v>298</v>
      </c>
      <c r="B72" s="25" t="s">
        <v>252</v>
      </c>
      <c r="C72" s="41" t="n">
        <v>15000</v>
      </c>
      <c r="D72" s="41" t="n">
        <v>15000</v>
      </c>
      <c r="E72" s="41" t="n">
        <v>15000</v>
      </c>
      <c r="F72" s="41" t="n">
        <v>15000</v>
      </c>
      <c r="G72" s="41" t="n">
        <v>15000</v>
      </c>
    </row>
    <row r="73" customFormat="false" ht="15" hidden="false" customHeight="true" outlineLevel="0" collapsed="false">
      <c r="A73" s="25" t="s">
        <v>299</v>
      </c>
      <c r="B73" s="25" t="s">
        <v>300</v>
      </c>
      <c r="C73" s="42" t="n">
        <v>0.08</v>
      </c>
    </row>
    <row r="74" customFormat="false" ht="15" hidden="false" customHeight="true" outlineLevel="0" collapsed="false">
      <c r="A74" s="25" t="s">
        <v>301</v>
      </c>
      <c r="B74" s="25" t="s">
        <v>252</v>
      </c>
      <c r="C74" s="41" t="n">
        <v>12000</v>
      </c>
      <c r="D74" s="41" t="n">
        <v>22000</v>
      </c>
      <c r="E74" s="41" t="n">
        <v>35000</v>
      </c>
      <c r="F74" s="41" t="n">
        <v>50000</v>
      </c>
      <c r="G74" s="41" t="n">
        <v>65000</v>
      </c>
    </row>
    <row r="75" customFormat="false" ht="15" hidden="false" customHeight="true" outlineLevel="0" collapsed="false">
      <c r="A75" s="25" t="s">
        <v>302</v>
      </c>
      <c r="B75" s="25" t="s">
        <v>252</v>
      </c>
      <c r="C75" s="43" t="n">
        <v>25000</v>
      </c>
      <c r="D75" s="43" t="n">
        <v>55000</v>
      </c>
      <c r="E75" s="43" t="n">
        <v>240000</v>
      </c>
      <c r="F75" s="43" t="n">
        <v>335000</v>
      </c>
      <c r="G75" s="43" t="n">
        <v>430000</v>
      </c>
    </row>
    <row r="76" customFormat="false" ht="15" hidden="false" customHeight="true" outlineLevel="0" collapsed="false">
      <c r="A76" s="25" t="s">
        <v>303</v>
      </c>
      <c r="B76" s="25" t="s">
        <v>252</v>
      </c>
      <c r="C76" s="41" t="n">
        <v>6000</v>
      </c>
      <c r="D76" s="41" t="n">
        <v>9000</v>
      </c>
      <c r="E76" s="41" t="n">
        <v>13000</v>
      </c>
      <c r="F76" s="41" t="n">
        <v>18000</v>
      </c>
      <c r="G76" s="41" t="n">
        <v>23000</v>
      </c>
    </row>
    <row r="77" customFormat="false" ht="15" hidden="false" customHeight="true" outlineLevel="0" collapsed="false">
      <c r="A77" s="25" t="s">
        <v>304</v>
      </c>
      <c r="B77" s="25" t="s">
        <v>252</v>
      </c>
      <c r="C77" s="41" t="n">
        <v>15000</v>
      </c>
      <c r="D77" s="41" t="n">
        <v>20000</v>
      </c>
      <c r="E77" s="41" t="n">
        <v>25000</v>
      </c>
      <c r="F77" s="41" t="n">
        <v>25000</v>
      </c>
      <c r="G77" s="41" t="n">
        <v>30000</v>
      </c>
    </row>
    <row r="78" customFormat="false" ht="15" hidden="false" customHeight="true" outlineLevel="0" collapsed="false">
      <c r="A78" s="25" t="s">
        <v>305</v>
      </c>
      <c r="B78" s="25" t="s">
        <v>252</v>
      </c>
      <c r="C78" s="41" t="n">
        <v>12000</v>
      </c>
      <c r="D78" s="41" t="n">
        <v>15000</v>
      </c>
      <c r="E78" s="41" t="n">
        <v>20000</v>
      </c>
      <c r="F78" s="41" t="n">
        <v>24000</v>
      </c>
      <c r="G78" s="41" t="n">
        <v>28000</v>
      </c>
    </row>
    <row r="79" customFormat="false" ht="15" hidden="false" customHeight="true" outlineLevel="0" collapsed="false">
      <c r="A79" s="25" t="s">
        <v>306</v>
      </c>
      <c r="B79" s="25" t="s">
        <v>252</v>
      </c>
      <c r="C79" s="41" t="n">
        <v>20000</v>
      </c>
      <c r="D79" s="41" t="n">
        <v>25000</v>
      </c>
      <c r="E79" s="41" t="n">
        <v>30000</v>
      </c>
      <c r="F79" s="41" t="n">
        <v>40000</v>
      </c>
      <c r="G79" s="41" t="n">
        <v>50000</v>
      </c>
    </row>
    <row r="80" customFormat="false" ht="15" hidden="false" customHeight="true" outlineLevel="0" collapsed="false">
      <c r="A80" s="25" t="s">
        <v>307</v>
      </c>
      <c r="B80" s="25" t="s">
        <v>252</v>
      </c>
      <c r="C80" s="41" t="n">
        <v>6000</v>
      </c>
      <c r="D80" s="41" t="n">
        <v>10000</v>
      </c>
      <c r="E80" s="41" t="n">
        <v>15000</v>
      </c>
      <c r="F80" s="41" t="n">
        <v>20000</v>
      </c>
      <c r="G80" s="41" t="n">
        <v>25000</v>
      </c>
    </row>
    <row r="81" customFormat="false" ht="15" hidden="false" customHeight="true" outlineLevel="0" collapsed="false">
      <c r="A81" s="25" t="s">
        <v>308</v>
      </c>
      <c r="B81" s="25" t="s">
        <v>252</v>
      </c>
      <c r="C81" s="41" t="n">
        <v>5000</v>
      </c>
      <c r="D81" s="41" t="n">
        <v>10000</v>
      </c>
      <c r="E81" s="41" t="n">
        <v>15000</v>
      </c>
      <c r="F81" s="41" t="n">
        <v>20000</v>
      </c>
      <c r="G81" s="41" t="n">
        <v>25000</v>
      </c>
    </row>
    <row r="82" customFormat="false" ht="15" hidden="false" customHeight="true" outlineLevel="0" collapsed="false">
      <c r="A82" s="25" t="s">
        <v>309</v>
      </c>
      <c r="B82" s="25" t="s">
        <v>252</v>
      </c>
      <c r="C82" s="41" t="n">
        <v>5000</v>
      </c>
      <c r="D82" s="41" t="n">
        <v>8000</v>
      </c>
      <c r="E82" s="41" t="n">
        <v>12000</v>
      </c>
      <c r="F82" s="41" t="n">
        <v>15000</v>
      </c>
      <c r="G82" s="41" t="n">
        <v>18000</v>
      </c>
      <c r="H82" s="27" t="s">
        <v>310</v>
      </c>
    </row>
    <row r="83" customFormat="false" ht="15" hidden="false" customHeight="true" outlineLevel="0" collapsed="false">
      <c r="A83" s="25" t="s">
        <v>311</v>
      </c>
      <c r="B83" s="25" t="s">
        <v>252</v>
      </c>
      <c r="C83" s="41" t="n">
        <v>6000</v>
      </c>
      <c r="D83" s="41" t="n">
        <v>7000</v>
      </c>
      <c r="E83" s="41" t="n">
        <v>8000</v>
      </c>
      <c r="F83" s="41" t="n">
        <v>9000</v>
      </c>
      <c r="G83" s="41" t="n">
        <v>10000</v>
      </c>
    </row>
    <row r="84" customFormat="false" ht="15" hidden="false" customHeight="true" outlineLevel="0" collapsed="false">
      <c r="A84" s="25" t="s">
        <v>312</v>
      </c>
      <c r="B84" s="25" t="s">
        <v>252</v>
      </c>
      <c r="C84" s="41" t="n">
        <v>3000</v>
      </c>
      <c r="D84" s="41" t="n">
        <v>5000</v>
      </c>
      <c r="E84" s="41" t="n">
        <v>5000</v>
      </c>
      <c r="F84" s="41" t="n">
        <v>8000</v>
      </c>
      <c r="G84" s="41" t="n">
        <v>8000</v>
      </c>
    </row>
    <row r="85" customFormat="false" ht="15" hidden="false" customHeight="true" outlineLevel="0" collapsed="false">
      <c r="A85" s="25" t="s">
        <v>313</v>
      </c>
      <c r="B85" s="25" t="s">
        <v>285</v>
      </c>
      <c r="C85" s="41" t="n">
        <v>1500</v>
      </c>
    </row>
    <row r="86" customFormat="false" ht="15" hidden="false" customHeight="true" outlineLevel="0" collapsed="false">
      <c r="A86" s="25" t="s">
        <v>314</v>
      </c>
      <c r="B86" s="25" t="s">
        <v>285</v>
      </c>
      <c r="C86" s="41" t="n">
        <v>2000</v>
      </c>
    </row>
    <row r="87" customFormat="false" ht="15" hidden="false" customHeight="true" outlineLevel="0" collapsed="false">
      <c r="A87" s="25" t="s">
        <v>315</v>
      </c>
      <c r="B87" s="25" t="s">
        <v>316</v>
      </c>
      <c r="C87" s="42" t="n">
        <v>0.03</v>
      </c>
    </row>
    <row r="88" customFormat="false" ht="15" hidden="false" customHeight="true" outlineLevel="0" collapsed="false">
      <c r="A88" s="25" t="s">
        <v>317</v>
      </c>
      <c r="B88" s="25" t="s">
        <v>222</v>
      </c>
      <c r="C88" s="31" t="n">
        <v>3</v>
      </c>
    </row>
    <row r="90" customFormat="false" ht="15" hidden="false" customHeight="true" outlineLevel="0" collapsed="false">
      <c r="A90" s="23" t="s">
        <v>318</v>
      </c>
      <c r="B90" s="24"/>
      <c r="C90" s="24"/>
      <c r="D90" s="24"/>
      <c r="E90" s="24"/>
      <c r="F90" s="24"/>
      <c r="G90" s="24"/>
      <c r="H90" s="24"/>
    </row>
    <row r="91" customFormat="false" ht="15" hidden="false" customHeight="true" outlineLevel="0" collapsed="false">
      <c r="A91" s="25" t="s">
        <v>319</v>
      </c>
      <c r="B91" s="25" t="s">
        <v>219</v>
      </c>
      <c r="C91" s="31" t="n">
        <v>60</v>
      </c>
    </row>
    <row r="92" customFormat="false" ht="15" hidden="false" customHeight="true" outlineLevel="0" collapsed="false">
      <c r="A92" s="25" t="s">
        <v>320</v>
      </c>
      <c r="B92" s="25" t="s">
        <v>95</v>
      </c>
      <c r="C92" s="42" t="n">
        <v>0.24</v>
      </c>
    </row>
    <row r="93" customFormat="false" ht="15" hidden="false" customHeight="true" outlineLevel="0" collapsed="false">
      <c r="A93" s="25" t="s">
        <v>321</v>
      </c>
      <c r="B93" s="25" t="s">
        <v>95</v>
      </c>
      <c r="C93" s="42" t="n">
        <v>0.039</v>
      </c>
    </row>
    <row r="94" customFormat="false" ht="15" hidden="false" customHeight="true" outlineLevel="0" collapsed="false">
      <c r="A94" s="25" t="s">
        <v>322</v>
      </c>
      <c r="B94" s="25" t="s">
        <v>95</v>
      </c>
      <c r="C94" s="44" t="n">
        <v>0.5</v>
      </c>
      <c r="H94" s="27" t="s">
        <v>323</v>
      </c>
    </row>
    <row r="95" customFormat="false" ht="15" hidden="false" customHeight="true" outlineLevel="0" collapsed="false">
      <c r="A95" s="25" t="s">
        <v>324</v>
      </c>
      <c r="B95" s="25" t="s">
        <v>95</v>
      </c>
      <c r="C95" s="42" t="n">
        <v>0.26</v>
      </c>
    </row>
    <row r="96" customFormat="false" ht="15" hidden="false" customHeight="true" outlineLevel="0" collapsed="false">
      <c r="A96" s="25" t="s">
        <v>325</v>
      </c>
      <c r="B96" s="25" t="s">
        <v>95</v>
      </c>
      <c r="C96" s="44" t="n">
        <v>0.8</v>
      </c>
      <c r="H96" s="27" t="s">
        <v>326</v>
      </c>
    </row>
    <row r="98" customFormat="false" ht="15" hidden="false" customHeight="true" outlineLevel="0" collapsed="false">
      <c r="A98" s="23" t="s">
        <v>327</v>
      </c>
      <c r="B98" s="24"/>
      <c r="C98" s="24"/>
      <c r="D98" s="24"/>
      <c r="E98" s="24"/>
      <c r="F98" s="24"/>
      <c r="G98" s="24"/>
      <c r="H98" s="24"/>
    </row>
    <row r="99" customFormat="false" ht="15" hidden="false" customHeight="true" outlineLevel="0" collapsed="false">
      <c r="A99" s="25" t="s">
        <v>328</v>
      </c>
      <c r="B99" s="25" t="s">
        <v>88</v>
      </c>
      <c r="C99" s="43" t="n">
        <v>130000</v>
      </c>
      <c r="H99" s="27" t="s">
        <v>329</v>
      </c>
    </row>
    <row r="100" customFormat="false" ht="15" hidden="false" customHeight="true" outlineLevel="0" collapsed="false">
      <c r="A100" s="25" t="s">
        <v>330</v>
      </c>
      <c r="B100" s="25" t="s">
        <v>88</v>
      </c>
      <c r="C100" s="43" t="n">
        <v>20000</v>
      </c>
      <c r="H100" s="27" t="s">
        <v>331</v>
      </c>
    </row>
    <row r="101" customFormat="false" ht="15" hidden="false" customHeight="true" outlineLevel="0" collapsed="false">
      <c r="A101" s="25" t="s">
        <v>332</v>
      </c>
      <c r="B101" s="25" t="s">
        <v>88</v>
      </c>
      <c r="C101" s="43" t="n">
        <v>500000</v>
      </c>
    </row>
    <row r="102" customFormat="false" ht="15" hidden="false" customHeight="true" outlineLevel="0" collapsed="false">
      <c r="A102" s="25" t="s">
        <v>333</v>
      </c>
      <c r="B102" s="25" t="s">
        <v>334</v>
      </c>
      <c r="C102" s="44" t="n">
        <v>0.8</v>
      </c>
    </row>
    <row r="103" customFormat="false" ht="15" hidden="false" customHeight="true" outlineLevel="0" collapsed="false">
      <c r="A103" s="25" t="s">
        <v>335</v>
      </c>
      <c r="B103" s="25" t="s">
        <v>336</v>
      </c>
      <c r="C103" s="44" t="n">
        <v>0.3</v>
      </c>
    </row>
    <row r="104" customFormat="false" ht="15" hidden="false" customHeight="true" outlineLevel="0" collapsed="false">
      <c r="A104" s="25" t="s">
        <v>337</v>
      </c>
      <c r="B104" s="25" t="s">
        <v>336</v>
      </c>
      <c r="C104" s="36" t="n">
        <f aca="false">SUMIFS(Finanziamenti!$C$15:$C$17,Finanziamenti!$D$15:$D$17,"&gt;="&amp;DATE(2027,1,1),Finanziamenti!$D$15:$D$17,"&lt;"&amp;DATE(2028,1,1))</f>
        <v>0.2</v>
      </c>
      <c r="D104" s="36" t="n">
        <f aca="false">SUMIFS(Finanziamenti!$C$15:$C$17,Finanziamenti!$D$15:$D$17,"&gt;="&amp;DATE(2028,1,1),Finanziamenti!$D$15:$D$17,"&lt;"&amp;DATE(2029,1,1))</f>
        <v>0.5</v>
      </c>
      <c r="E104" s="36" t="n">
        <f aca="false">SUMIFS(Finanziamenti!$C$15:$C$17,Finanziamenti!$D$15:$D$17,"&gt;="&amp;DATE(2029,1,1),Finanziamenti!$D$15:$D$17,"&lt;"&amp;DATE(2030,1,1))</f>
        <v>0.3</v>
      </c>
      <c r="F104" s="36" t="n">
        <f aca="false">SUMIFS(Finanziamenti!$C$15:$C$17,Finanziamenti!$D$15:$D$17,"&gt;="&amp;DATE(2030,1,1),Finanziamenti!$D$15:$D$17,"&lt;"&amp;DATE(2031,1,1))</f>
        <v>0</v>
      </c>
      <c r="G104" s="36" t="n">
        <f aca="false">SUMIFS(Finanziamenti!$C$15:$C$17,Finanziamenti!$D$15:$D$17,"&gt;="&amp;DATE(2031,1,1),Finanziamenti!$D$15:$D$17,"&lt;"&amp;DATE(2032,1,1))</f>
        <v>0</v>
      </c>
      <c r="H104" s="27" t="s">
        <v>338</v>
      </c>
    </row>
    <row r="105" customFormat="false" ht="15" hidden="false" customHeight="true" outlineLevel="0" collapsed="false">
      <c r="A105" s="25" t="s">
        <v>339</v>
      </c>
      <c r="B105" s="25" t="s">
        <v>336</v>
      </c>
      <c r="C105" s="36" t="n">
        <f aca="false">IF(Finanziamenti!$C$11=0,0,SUM(INDEX(Motore_Startup!$BA$5:$BA$544,(Ipotesi!$C$5-1)*60+0*12+1):INDEX(Motore_Startup!$BA$5:$BA$544,((Ipotesi!$C$5-1)*60+0*12+1)+11))/Finanziamenti!$C$11)</f>
        <v>0.131355555555556</v>
      </c>
      <c r="D105" s="36" t="n">
        <f aca="false">IF(Finanziamenti!$C$11=0,0,SUM(INDEX(Motore_Startup!$BA$5:$BA$544,(Ipotesi!$C$5-1)*60+1*12+1):INDEX(Motore_Startup!$BA$5:$BA$544,((Ipotesi!$C$5-1)*60+1*12+1)+11))/Finanziamenti!$C$11)</f>
        <v>0.475198189178755</v>
      </c>
      <c r="E105" s="36" t="n">
        <f aca="false">IF(Finanziamenti!$C$11=0,0,SUM(INDEX(Motore_Startup!$BA$5:$BA$544,(Ipotesi!$C$5-1)*60+2*12+1):INDEX(Motore_Startup!$BA$5:$BA$544,((Ipotesi!$C$5-1)*60+2*12+1)+11))/Finanziamenti!$C$11)</f>
        <v>0.315564101279857</v>
      </c>
      <c r="F105" s="36" t="n">
        <f aca="false">IF(Finanziamenti!$C$11=0,0,SUM(INDEX(Motore_Startup!$BA$5:$BA$544,(Ipotesi!$C$5-1)*60+3*12+1):INDEX(Motore_Startup!$BA$5:$BA$544,((Ipotesi!$C$5-1)*60+3*12+1)+11))/Finanziamenti!$C$11)</f>
        <v>0</v>
      </c>
      <c r="G105" s="36" t="n">
        <f aca="false">IF(Finanziamenti!$C$11=0,0,SUM(INDEX(Motore_Startup!$BA$5:$BA$544,(Ipotesi!$C$5-1)*60+4*12+1):INDEX(Motore_Startup!$BA$5:$BA$544,((Ipotesi!$C$5-1)*60+4*12+1)+11))/Finanziamenti!$C$11)</f>
        <v>0</v>
      </c>
    </row>
    <row r="106" customFormat="false" ht="15" hidden="false" customHeight="true" outlineLevel="0" collapsed="false">
      <c r="A106" s="25" t="s">
        <v>340</v>
      </c>
      <c r="B106" s="25" t="s">
        <v>341</v>
      </c>
      <c r="C106" s="47" t="n">
        <f aca="false">YEAR(EDATE(Finanziamenti!D17,Parametri_v3!C37))</f>
        <v>2030</v>
      </c>
    </row>
    <row r="107" customFormat="false" ht="15" hidden="false" customHeight="true" outlineLevel="0" collapsed="false">
      <c r="A107" s="25" t="s">
        <v>342</v>
      </c>
      <c r="B107" s="25" t="s">
        <v>341</v>
      </c>
      <c r="C107" s="48" t="n">
        <f aca="false">C106+C24</f>
        <v>2030</v>
      </c>
      <c r="H107" s="1" t="s">
        <v>343</v>
      </c>
    </row>
    <row r="108" customFormat="false" ht="15" hidden="false" customHeight="true" outlineLevel="0" collapsed="false">
      <c r="A108" s="25" t="s">
        <v>344</v>
      </c>
      <c r="B108" s="25" t="s">
        <v>222</v>
      </c>
      <c r="C108" s="31" t="n">
        <v>10</v>
      </c>
    </row>
    <row r="109" customFormat="false" ht="15" hidden="false" customHeight="true" outlineLevel="0" collapsed="false">
      <c r="A109" s="25" t="s">
        <v>345</v>
      </c>
      <c r="B109" s="25" t="s">
        <v>88</v>
      </c>
      <c r="C109" s="43" t="n">
        <v>150000</v>
      </c>
      <c r="H109" s="27" t="s">
        <v>346</v>
      </c>
    </row>
    <row r="110" customFormat="false" ht="15" hidden="false" customHeight="true" outlineLevel="0" collapsed="false">
      <c r="A110" s="25" t="s">
        <v>347</v>
      </c>
      <c r="B110" s="25" t="s">
        <v>95</v>
      </c>
      <c r="C110" s="42" t="n">
        <v>0.06</v>
      </c>
    </row>
    <row r="111" customFormat="false" ht="15" hidden="false" customHeight="true" outlineLevel="0" collapsed="false">
      <c r="A111" s="25" t="s">
        <v>348</v>
      </c>
      <c r="B111" s="25" t="s">
        <v>88</v>
      </c>
      <c r="C111" s="43" t="n">
        <v>300000</v>
      </c>
    </row>
    <row r="112" customFormat="false" ht="15" hidden="false" customHeight="true" outlineLevel="0" collapsed="false">
      <c r="A112" s="25" t="s">
        <v>349</v>
      </c>
      <c r="B112" s="25" t="s">
        <v>88</v>
      </c>
      <c r="C112" s="43" t="n">
        <v>1500000</v>
      </c>
    </row>
    <row r="113" customFormat="false" ht="15" hidden="false" customHeight="true" outlineLevel="0" collapsed="false">
      <c r="A113" s="25" t="s">
        <v>350</v>
      </c>
      <c r="B113" s="25" t="s">
        <v>341</v>
      </c>
      <c r="C113" s="47" t="n">
        <f aca="false">YEAR(Finanziamenti!D8)</f>
        <v>2028</v>
      </c>
      <c r="H113" s="1" t="s">
        <v>351</v>
      </c>
    </row>
    <row r="114" customFormat="false" ht="15" hidden="false" customHeight="true" outlineLevel="0" collapsed="false">
      <c r="A114" s="25" t="s">
        <v>352</v>
      </c>
      <c r="B114" s="25" t="s">
        <v>88</v>
      </c>
      <c r="C114" s="43" t="n">
        <v>900000</v>
      </c>
    </row>
    <row r="115" customFormat="false" ht="15" hidden="false" customHeight="true" outlineLevel="0" collapsed="false">
      <c r="A115" s="25" t="s">
        <v>353</v>
      </c>
      <c r="B115" s="25" t="s">
        <v>88</v>
      </c>
      <c r="C115" s="43" t="n">
        <v>4500000</v>
      </c>
    </row>
    <row r="116" customFormat="false" ht="15" hidden="false" customHeight="true" outlineLevel="0" collapsed="false">
      <c r="A116" s="25" t="s">
        <v>354</v>
      </c>
      <c r="B116" s="25" t="s">
        <v>341</v>
      </c>
      <c r="C116" s="47" t="n">
        <f aca="false">YEAR(Finanziamenti!D9)</f>
        <v>2029</v>
      </c>
      <c r="H116" s="1" t="s">
        <v>355</v>
      </c>
    </row>
    <row r="117" customFormat="false" ht="15" hidden="false" customHeight="true" outlineLevel="0" collapsed="false">
      <c r="A117" s="25" t="s">
        <v>356</v>
      </c>
      <c r="B117" s="25" t="s">
        <v>341</v>
      </c>
      <c r="C117" s="49" t="n">
        <f aca="false">C113+C25</f>
        <v>2028</v>
      </c>
    </row>
    <row r="118" customFormat="false" ht="15" hidden="false" customHeight="true" outlineLevel="0" collapsed="false">
      <c r="A118" s="25" t="s">
        <v>357</v>
      </c>
      <c r="B118" s="25" t="s">
        <v>341</v>
      </c>
      <c r="C118" s="49" t="n">
        <f aca="false">C116+C25</f>
        <v>2029</v>
      </c>
    </row>
    <row r="119" customFormat="false" ht="15" hidden="false" customHeight="true" outlineLevel="0" collapsed="false">
      <c r="A119" s="25" t="s">
        <v>358</v>
      </c>
      <c r="B119" s="25" t="s">
        <v>88</v>
      </c>
      <c r="C119" s="50" t="n">
        <f aca="false">Cap_Table!C18</f>
        <v>900000</v>
      </c>
      <c r="H119" s="1" t="s">
        <v>359</v>
      </c>
    </row>
    <row r="120" customFormat="false" ht="15" hidden="false" customHeight="true" outlineLevel="0" collapsed="false">
      <c r="A120" s="25" t="s">
        <v>360</v>
      </c>
      <c r="B120" s="25" t="s">
        <v>361</v>
      </c>
      <c r="C120" s="42" t="n">
        <v>0.1</v>
      </c>
    </row>
    <row r="121" customFormat="false" ht="15" hidden="false" customHeight="true" outlineLevel="0" collapsed="false">
      <c r="A121" s="25" t="s">
        <v>362</v>
      </c>
      <c r="B121" s="25" t="s">
        <v>95</v>
      </c>
      <c r="C121" s="44" t="n">
        <v>0.425</v>
      </c>
    </row>
    <row r="122" customFormat="false" ht="15" hidden="false" customHeight="true" outlineLevel="0" collapsed="false">
      <c r="A122" s="25" t="s">
        <v>363</v>
      </c>
      <c r="B122" s="25" t="s">
        <v>95</v>
      </c>
      <c r="C122" s="44" t="n">
        <v>0.425</v>
      </c>
    </row>
    <row r="123" customFormat="false" ht="15" hidden="false" customHeight="true" outlineLevel="0" collapsed="false">
      <c r="A123" s="25" t="s">
        <v>364</v>
      </c>
      <c r="B123" s="25" t="s">
        <v>95</v>
      </c>
      <c r="C123" s="51" t="n">
        <f aca="false">1-C121-C122</f>
        <v>0.15</v>
      </c>
    </row>
    <row r="125" customFormat="false" ht="15" hidden="false" customHeight="false" outlineLevel="0" collapsed="false">
      <c r="A125" s="1" t="s">
        <v>365</v>
      </c>
      <c r="B125" s="1" t="s">
        <v>206</v>
      </c>
      <c r="C125" s="33" t="n">
        <v>1</v>
      </c>
      <c r="D125" s="33" t="n">
        <v>1</v>
      </c>
      <c r="E125" s="33" t="n">
        <v>1</v>
      </c>
      <c r="F125" s="33" t="n">
        <v>1</v>
      </c>
      <c r="G125" s="33" t="n">
        <v>0.55</v>
      </c>
      <c r="H125" s="34" t="n">
        <v>1</v>
      </c>
      <c r="I125" s="34" t="n">
        <v>1</v>
      </c>
      <c r="J125" s="34" t="n">
        <v>1</v>
      </c>
      <c r="K125" s="34" t="n">
        <v>1</v>
      </c>
      <c r="M125" s="1" t="s">
        <v>366</v>
      </c>
    </row>
    <row r="126" customFormat="false" ht="15" hidden="false" customHeight="false" outlineLevel="0" collapsed="false">
      <c r="A126" s="1" t="s">
        <v>367</v>
      </c>
      <c r="B126" s="1" t="s">
        <v>206</v>
      </c>
      <c r="C126" s="33" t="n">
        <v>1</v>
      </c>
      <c r="D126" s="33" t="n">
        <v>1</v>
      </c>
      <c r="E126" s="33" t="n">
        <v>1</v>
      </c>
      <c r="F126" s="33" t="n">
        <v>1</v>
      </c>
      <c r="G126" s="33" t="n">
        <v>0.6</v>
      </c>
      <c r="H126" s="34" t="n">
        <v>1</v>
      </c>
      <c r="I126" s="34" t="n">
        <v>1</v>
      </c>
      <c r="J126" s="34" t="n">
        <v>1</v>
      </c>
      <c r="K126" s="34" t="n">
        <v>1</v>
      </c>
      <c r="M126" s="1" t="s">
        <v>368</v>
      </c>
    </row>
  </sheetData>
  <dataValidations count="5">
    <dataValidation allowBlank="false" error="Usare un valore nell'intervallo ammesso." errorStyle="stop" errorTitle="Valore non valido" operator="between" showDropDown="false" showErrorMessage="true" showInputMessage="false" sqref="C34:G34" type="decimal">
      <formula1>0</formula1>
      <formula2>1</formula2>
    </dataValidation>
    <dataValidation allowBlank="false" error="Usare un valore nell'intervallo ammesso." errorStyle="stop" errorTitle="Valore non valido" operator="between" showDropDown="false" showErrorMessage="true" showInputMessage="false" sqref="C5" type="whole">
      <formula1>1</formula1>
      <formula2>9</formula2>
    </dataValidation>
    <dataValidation allowBlank="false" error="Usare un valore nell'intervallo ammesso." errorStyle="stop" errorTitle="Valore non valido" operator="between" showDropDown="false" showErrorMessage="true" showInputMessage="false" sqref="C7:K16 C27:K27 C125:K126" type="decimal">
      <formula1>0</formula1>
      <formula2>1000</formula2>
    </dataValidation>
    <dataValidation allowBlank="false" error="Usare un valore nell'intervallo ammesso." errorStyle="stop" errorTitle="Valore non valido" operator="between" showDropDown="false" showErrorMessage="true" showInputMessage="false" sqref="C35:G35" type="decimal">
      <formula1>1</formula1>
      <formula2>1000000</formula2>
    </dataValidation>
    <dataValidation allowBlank="false" error="Usare un valore nell'intervallo ammesso." errorStyle="stop" errorTitle="Valore non valido" operator="between" showDropDown="false" showErrorMessage="true" showInputMessage="false" sqref="C88" type="whole">
      <formula1>1</formula1>
      <formula2>20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9"/>
    <col collapsed="false" customWidth="true" hidden="false" outlineLevel="0" max="3" min="2" style="1" width="18"/>
    <col collapsed="false" customWidth="true" hidden="false" outlineLevel="0" max="4" min="4" style="1" width="96"/>
    <col collapsed="false" customWidth="true" hidden="false" outlineLevel="0" max="9" min="5" style="1" width="18"/>
  </cols>
  <sheetData>
    <row r="1" customFormat="false" ht="30" hidden="false" customHeight="true" outlineLevel="0" collapsed="false">
      <c r="A1" s="2" t="s">
        <v>369</v>
      </c>
      <c r="B1" s="2"/>
      <c r="C1" s="2"/>
      <c r="D1" s="2"/>
      <c r="E1" s="2"/>
      <c r="F1" s="2"/>
      <c r="G1" s="2"/>
      <c r="H1" s="2"/>
    </row>
    <row r="2" customFormat="false" ht="42" hidden="false" customHeight="true" outlineLevel="0" collapsed="false">
      <c r="A2" s="3" t="s">
        <v>370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A4" s="4" t="s">
        <v>371</v>
      </c>
      <c r="B4" s="4" t="s">
        <v>86</v>
      </c>
      <c r="C4" s="4" t="s">
        <v>372</v>
      </c>
      <c r="D4" s="4" t="s">
        <v>373</v>
      </c>
    </row>
    <row r="5" customFormat="false" ht="33.75" hidden="false" customHeight="true" outlineLevel="0" collapsed="false">
      <c r="A5" s="6" t="s">
        <v>374</v>
      </c>
      <c r="B5" s="6" t="s">
        <v>375</v>
      </c>
      <c r="C5" s="52" t="n">
        <v>46388</v>
      </c>
      <c r="D5" s="6" t="s">
        <v>376</v>
      </c>
    </row>
    <row r="6" customFormat="false" ht="33.75" hidden="false" customHeight="true" outlineLevel="0" collapsed="false">
      <c r="A6" s="6" t="s">
        <v>377</v>
      </c>
      <c r="B6" s="6" t="s">
        <v>378</v>
      </c>
      <c r="C6" s="53" t="n">
        <v>0</v>
      </c>
      <c r="D6" s="6" t="s">
        <v>379</v>
      </c>
    </row>
    <row r="7" customFormat="false" ht="33.75" hidden="false" customHeight="true" outlineLevel="0" collapsed="false">
      <c r="A7" s="6" t="s">
        <v>380</v>
      </c>
      <c r="B7" s="6" t="s">
        <v>219</v>
      </c>
      <c r="C7" s="53" t="n">
        <v>220</v>
      </c>
      <c r="D7" s="6" t="s">
        <v>381</v>
      </c>
    </row>
    <row r="8" customFormat="false" ht="33.75" hidden="false" customHeight="true" outlineLevel="0" collapsed="false">
      <c r="A8" s="6" t="s">
        <v>382</v>
      </c>
      <c r="B8" s="6" t="s">
        <v>95</v>
      </c>
      <c r="C8" s="54" t="n">
        <v>0.7</v>
      </c>
      <c r="D8" s="6" t="s">
        <v>383</v>
      </c>
    </row>
    <row r="9" customFormat="false" ht="33.75" hidden="false" customHeight="true" outlineLevel="0" collapsed="false">
      <c r="A9" s="6" t="s">
        <v>384</v>
      </c>
      <c r="B9" s="6" t="s">
        <v>219</v>
      </c>
      <c r="C9" s="53" t="n">
        <v>0.5</v>
      </c>
      <c r="D9" s="6" t="s">
        <v>385</v>
      </c>
    </row>
    <row r="10" customFormat="false" ht="33.75" hidden="false" customHeight="true" outlineLevel="0" collapsed="false">
      <c r="A10" s="6" t="s">
        <v>386</v>
      </c>
      <c r="B10" s="6" t="s">
        <v>219</v>
      </c>
      <c r="C10" s="53" t="n">
        <v>0</v>
      </c>
      <c r="D10" s="6" t="s">
        <v>387</v>
      </c>
    </row>
    <row r="11" customFormat="false" ht="33.75" hidden="false" customHeight="true" outlineLevel="0" collapsed="false">
      <c r="A11" s="6" t="s">
        <v>388</v>
      </c>
      <c r="B11" s="6" t="s">
        <v>95</v>
      </c>
      <c r="C11" s="54" t="n">
        <v>0.7</v>
      </c>
      <c r="D11" s="6" t="s">
        <v>389</v>
      </c>
    </row>
    <row r="12" customFormat="false" ht="33.75" hidden="false" customHeight="true" outlineLevel="0" collapsed="false">
      <c r="A12" s="6" t="s">
        <v>390</v>
      </c>
      <c r="B12" s="6" t="s">
        <v>95</v>
      </c>
      <c r="C12" s="54" t="n">
        <v>1</v>
      </c>
      <c r="D12" s="6" t="s">
        <v>391</v>
      </c>
    </row>
    <row r="13" customFormat="false" ht="33.75" hidden="false" customHeight="true" outlineLevel="0" collapsed="false">
      <c r="A13" s="6" t="s">
        <v>392</v>
      </c>
      <c r="B13" s="6" t="s">
        <v>95</v>
      </c>
      <c r="C13" s="54" t="n">
        <v>0.5</v>
      </c>
      <c r="D13" s="6" t="s">
        <v>393</v>
      </c>
    </row>
    <row r="14" customFormat="false" ht="33.75" hidden="false" customHeight="true" outlineLevel="0" collapsed="false">
      <c r="A14" s="6" t="s">
        <v>394</v>
      </c>
      <c r="B14" s="6" t="s">
        <v>95</v>
      </c>
      <c r="C14" s="54" t="n">
        <v>0.2</v>
      </c>
      <c r="D14" s="6" t="s">
        <v>395</v>
      </c>
    </row>
    <row r="15" customFormat="false" ht="33.75" hidden="false" customHeight="true" outlineLevel="0" collapsed="false">
      <c r="A15" s="6" t="s">
        <v>396</v>
      </c>
      <c r="B15" s="6" t="s">
        <v>95</v>
      </c>
      <c r="C15" s="54" t="n">
        <v>1</v>
      </c>
      <c r="D15" s="6" t="s">
        <v>397</v>
      </c>
    </row>
    <row r="16" customFormat="false" ht="33.75" hidden="false" customHeight="true" outlineLevel="0" collapsed="false">
      <c r="A16" s="6" t="s">
        <v>398</v>
      </c>
      <c r="B16" s="6" t="s">
        <v>95</v>
      </c>
      <c r="C16" s="54" t="n">
        <v>0.7</v>
      </c>
      <c r="D16" s="6" t="s">
        <v>399</v>
      </c>
    </row>
    <row r="17" customFormat="false" ht="33.75" hidden="false" customHeight="true" outlineLevel="0" collapsed="false">
      <c r="A17" s="6" t="s">
        <v>400</v>
      </c>
      <c r="B17" s="6" t="s">
        <v>249</v>
      </c>
      <c r="C17" s="53" t="n">
        <v>100</v>
      </c>
      <c r="D17" s="6" t="s">
        <v>401</v>
      </c>
    </row>
    <row r="18" customFormat="false" ht="33.75" hidden="false" customHeight="true" outlineLevel="0" collapsed="false">
      <c r="A18" s="6" t="s">
        <v>402</v>
      </c>
      <c r="B18" s="6" t="s">
        <v>95</v>
      </c>
      <c r="C18" s="54" t="n">
        <v>0.25</v>
      </c>
      <c r="D18" s="6" t="s">
        <v>403</v>
      </c>
    </row>
    <row r="19" customFormat="false" ht="33.75" hidden="false" customHeight="true" outlineLevel="0" collapsed="false">
      <c r="A19" s="6" t="s">
        <v>404</v>
      </c>
      <c r="B19" s="6" t="s">
        <v>95</v>
      </c>
      <c r="C19" s="54" t="n">
        <v>0.5</v>
      </c>
      <c r="D19" s="6" t="s">
        <v>403</v>
      </c>
    </row>
    <row r="20" customFormat="false" ht="33.75" hidden="false" customHeight="true" outlineLevel="0" collapsed="false">
      <c r="A20" s="6" t="s">
        <v>405</v>
      </c>
      <c r="B20" s="6" t="s">
        <v>95</v>
      </c>
      <c r="C20" s="54" t="n">
        <v>0.3</v>
      </c>
      <c r="D20" s="6" t="s">
        <v>403</v>
      </c>
    </row>
    <row r="21" customFormat="false" ht="33.75" hidden="false" customHeight="true" outlineLevel="0" collapsed="false">
      <c r="A21" s="6" t="s">
        <v>406</v>
      </c>
      <c r="B21" s="6" t="s">
        <v>407</v>
      </c>
      <c r="C21" s="53" t="n">
        <v>3</v>
      </c>
      <c r="D21" s="6" t="s">
        <v>408</v>
      </c>
    </row>
    <row r="22" customFormat="false" ht="33.75" hidden="false" customHeight="true" outlineLevel="0" collapsed="false">
      <c r="A22" s="6" t="s">
        <v>409</v>
      </c>
      <c r="B22" s="6" t="s">
        <v>249</v>
      </c>
      <c r="C22" s="53" t="n">
        <v>100</v>
      </c>
      <c r="D22" s="6" t="s">
        <v>410</v>
      </c>
    </row>
    <row r="23" customFormat="false" ht="33.75" hidden="false" customHeight="true" outlineLevel="0" collapsed="false">
      <c r="A23" s="6" t="s">
        <v>411</v>
      </c>
      <c r="B23" s="6" t="s">
        <v>249</v>
      </c>
      <c r="C23" s="53" t="n">
        <v>150</v>
      </c>
      <c r="D23" s="6" t="s">
        <v>412</v>
      </c>
    </row>
    <row r="24" customFormat="false" ht="33.75" hidden="false" customHeight="true" outlineLevel="0" collapsed="false">
      <c r="A24" s="6" t="s">
        <v>413</v>
      </c>
      <c r="B24" s="6" t="s">
        <v>375</v>
      </c>
      <c r="C24" s="52" t="n">
        <v>46569</v>
      </c>
      <c r="D24" s="6" t="s">
        <v>414</v>
      </c>
    </row>
    <row r="25" customFormat="false" ht="33.75" hidden="false" customHeight="true" outlineLevel="0" collapsed="false">
      <c r="A25" s="6" t="s">
        <v>415</v>
      </c>
      <c r="B25" s="6" t="s">
        <v>407</v>
      </c>
      <c r="C25" s="53" t="n">
        <v>24</v>
      </c>
      <c r="D25" s="6" t="s">
        <v>416</v>
      </c>
    </row>
    <row r="26" customFormat="false" ht="33.75" hidden="false" customHeight="true" outlineLevel="0" collapsed="false">
      <c r="A26" s="6" t="s">
        <v>417</v>
      </c>
      <c r="B26" s="6" t="s">
        <v>95</v>
      </c>
      <c r="C26" s="54" t="n">
        <v>0.22</v>
      </c>
      <c r="D26" s="6" t="s">
        <v>418</v>
      </c>
    </row>
    <row r="27" customFormat="false" ht="33.75" hidden="false" customHeight="true" outlineLevel="0" collapsed="false">
      <c r="A27" s="6" t="s">
        <v>419</v>
      </c>
      <c r="B27" s="6" t="s">
        <v>95</v>
      </c>
      <c r="C27" s="54" t="n">
        <v>0.85</v>
      </c>
      <c r="D27" s="6" t="s">
        <v>420</v>
      </c>
    </row>
    <row r="28" customFormat="false" ht="33.75" hidden="false" customHeight="true" outlineLevel="0" collapsed="false">
      <c r="A28" s="6" t="s">
        <v>421</v>
      </c>
      <c r="B28" s="6" t="s">
        <v>95</v>
      </c>
      <c r="C28" s="54" t="n">
        <v>0.8</v>
      </c>
      <c r="D28" s="6" t="s">
        <v>422</v>
      </c>
    </row>
    <row r="29" customFormat="false" ht="33.75" hidden="false" customHeight="true" outlineLevel="0" collapsed="false">
      <c r="A29" s="6" t="s">
        <v>423</v>
      </c>
      <c r="B29" s="6" t="s">
        <v>219</v>
      </c>
      <c r="C29" s="53" t="n">
        <v>30</v>
      </c>
      <c r="D29" s="6" t="s">
        <v>424</v>
      </c>
    </row>
    <row r="30" customFormat="false" ht="33.75" hidden="false" customHeight="true" outlineLevel="0" collapsed="false">
      <c r="A30" s="6" t="s">
        <v>425</v>
      </c>
      <c r="B30" s="6" t="s">
        <v>426</v>
      </c>
      <c r="C30" s="53" t="n">
        <v>25000</v>
      </c>
      <c r="D30" s="6" t="s">
        <v>427</v>
      </c>
    </row>
    <row r="31" customFormat="false" ht="33.75" hidden="false" customHeight="true" outlineLevel="0" collapsed="false">
      <c r="A31" s="6" t="s">
        <v>428</v>
      </c>
      <c r="B31" s="6" t="s">
        <v>426</v>
      </c>
      <c r="C31" s="53" t="n">
        <v>10000</v>
      </c>
      <c r="D31" s="6" t="s">
        <v>429</v>
      </c>
    </row>
    <row r="32" customFormat="false" ht="33.75" hidden="false" customHeight="true" outlineLevel="0" collapsed="false">
      <c r="A32" s="6" t="s">
        <v>430</v>
      </c>
      <c r="B32" s="6" t="s">
        <v>95</v>
      </c>
      <c r="C32" s="54" t="n">
        <v>0.05</v>
      </c>
      <c r="D32" s="6" t="s">
        <v>431</v>
      </c>
    </row>
    <row r="33" customFormat="false" ht="33.75" hidden="false" customHeight="true" outlineLevel="0" collapsed="false">
      <c r="A33" s="6" t="s">
        <v>432</v>
      </c>
      <c r="B33" s="6" t="s">
        <v>433</v>
      </c>
      <c r="C33" s="53" t="n">
        <v>6</v>
      </c>
      <c r="D33" s="6" t="s">
        <v>434</v>
      </c>
    </row>
    <row r="34" customFormat="false" ht="33.75" hidden="false" customHeight="true" outlineLevel="0" collapsed="false">
      <c r="A34" s="6" t="s">
        <v>435</v>
      </c>
      <c r="B34" s="6" t="s">
        <v>95</v>
      </c>
      <c r="C34" s="54" t="n">
        <v>0.05</v>
      </c>
      <c r="D34" s="6" t="s">
        <v>436</v>
      </c>
    </row>
    <row r="35" customFormat="false" ht="33.75" hidden="false" customHeight="true" outlineLevel="0" collapsed="false">
      <c r="A35" s="6" t="s">
        <v>437</v>
      </c>
      <c r="B35" s="6" t="s">
        <v>95</v>
      </c>
      <c r="C35" s="54" t="n">
        <v>0.2</v>
      </c>
      <c r="D35" s="6" t="s">
        <v>438</v>
      </c>
    </row>
    <row r="36" customFormat="false" ht="33.75" hidden="false" customHeight="true" outlineLevel="0" collapsed="false">
      <c r="A36" s="6" t="s">
        <v>439</v>
      </c>
      <c r="B36" s="6" t="s">
        <v>426</v>
      </c>
      <c r="C36" s="53" t="n">
        <v>10000</v>
      </c>
      <c r="D36" s="6" t="s">
        <v>440</v>
      </c>
    </row>
    <row r="37" customFormat="false" ht="33.75" hidden="false" customHeight="true" outlineLevel="0" collapsed="false">
      <c r="A37" s="6" t="s">
        <v>441</v>
      </c>
      <c r="B37" s="6" t="s">
        <v>407</v>
      </c>
      <c r="C37" s="53" t="n">
        <v>12</v>
      </c>
      <c r="D37" s="6" t="s">
        <v>442</v>
      </c>
    </row>
    <row r="38" customFormat="false" ht="33.75" hidden="false" customHeight="true" outlineLevel="0" collapsed="false">
      <c r="A38" s="6" t="s">
        <v>443</v>
      </c>
      <c r="B38" s="6" t="s">
        <v>407</v>
      </c>
      <c r="C38" s="53" t="n">
        <v>6</v>
      </c>
      <c r="D38" s="6" t="s">
        <v>444</v>
      </c>
    </row>
    <row r="39" customFormat="false" ht="33.75" hidden="false" customHeight="true" outlineLevel="0" collapsed="false">
      <c r="A39" s="6" t="s">
        <v>445</v>
      </c>
      <c r="B39" s="6" t="s">
        <v>95</v>
      </c>
      <c r="C39" s="54" t="n">
        <v>0</v>
      </c>
      <c r="D39" s="6" t="s">
        <v>446</v>
      </c>
    </row>
    <row r="40" customFormat="false" ht="33.75" hidden="false" customHeight="true" outlineLevel="0" collapsed="false">
      <c r="A40" s="6" t="s">
        <v>447</v>
      </c>
      <c r="B40" s="6" t="s">
        <v>378</v>
      </c>
      <c r="C40" s="53" t="n">
        <v>1</v>
      </c>
      <c r="D40" s="6" t="s">
        <v>448</v>
      </c>
    </row>
    <row r="41" customFormat="false" ht="33.75" hidden="false" customHeight="true" outlineLevel="0" collapsed="false">
      <c r="A41" s="6" t="s">
        <v>449</v>
      </c>
      <c r="B41" s="6" t="s">
        <v>222</v>
      </c>
      <c r="C41" s="53" t="n">
        <v>3</v>
      </c>
      <c r="D41" s="6" t="s">
        <v>450</v>
      </c>
    </row>
    <row r="42" customFormat="false" ht="33.75" hidden="false" customHeight="true" outlineLevel="0" collapsed="false">
      <c r="A42" s="6" t="s">
        <v>451</v>
      </c>
      <c r="B42" s="6" t="s">
        <v>95</v>
      </c>
      <c r="C42" s="54" t="n">
        <v>0.8</v>
      </c>
      <c r="D42" s="6" t="s">
        <v>452</v>
      </c>
    </row>
    <row r="43" customFormat="false" ht="33.75" hidden="false" customHeight="true" outlineLevel="0" collapsed="false">
      <c r="A43" s="6" t="s">
        <v>453</v>
      </c>
      <c r="B43" s="6" t="s">
        <v>433</v>
      </c>
      <c r="C43" s="53" t="n">
        <v>6</v>
      </c>
      <c r="D43" s="6" t="s">
        <v>454</v>
      </c>
    </row>
    <row r="44" customFormat="false" ht="33.75" hidden="false" customHeight="true" outlineLevel="0" collapsed="false">
      <c r="A44" s="6" t="s">
        <v>455</v>
      </c>
      <c r="B44" s="6" t="s">
        <v>433</v>
      </c>
      <c r="C44" s="53" t="n">
        <v>11</v>
      </c>
      <c r="D44" s="6" t="s">
        <v>456</v>
      </c>
    </row>
    <row r="45" customFormat="false" ht="33.75" hidden="false" customHeight="true" outlineLevel="0" collapsed="false">
      <c r="A45" s="6" t="s">
        <v>457</v>
      </c>
      <c r="B45" s="6" t="s">
        <v>95</v>
      </c>
      <c r="C45" s="54" t="n">
        <v>0.4</v>
      </c>
      <c r="D45" s="6" t="s">
        <v>458</v>
      </c>
    </row>
    <row r="46" customFormat="false" ht="33.75" hidden="false" customHeight="true" outlineLevel="0" collapsed="false">
      <c r="A46" s="6" t="s">
        <v>459</v>
      </c>
      <c r="B46" s="6" t="s">
        <v>95</v>
      </c>
      <c r="C46" s="54"/>
      <c r="D46" s="6" t="s">
        <v>460</v>
      </c>
    </row>
    <row r="47" customFormat="false" ht="33.75" hidden="false" customHeight="true" outlineLevel="0" collapsed="false">
      <c r="A47" s="6" t="s">
        <v>461</v>
      </c>
      <c r="B47" s="6" t="s">
        <v>95</v>
      </c>
      <c r="C47" s="54"/>
      <c r="D47" s="6" t="s">
        <v>462</v>
      </c>
    </row>
    <row r="48" customFormat="false" ht="33.75" hidden="false" customHeight="true" outlineLevel="0" collapsed="false">
      <c r="A48" s="6" t="s">
        <v>463</v>
      </c>
      <c r="B48" s="6" t="s">
        <v>378</v>
      </c>
      <c r="C48" s="53" t="n">
        <v>0</v>
      </c>
      <c r="D48" s="6" t="s">
        <v>464</v>
      </c>
    </row>
    <row r="49" customFormat="false" ht="33.75" hidden="false" customHeight="true" outlineLevel="0" collapsed="false">
      <c r="A49" s="6" t="s">
        <v>465</v>
      </c>
      <c r="B49" s="6" t="s">
        <v>378</v>
      </c>
      <c r="C49" s="53" t="n">
        <v>0</v>
      </c>
      <c r="D49" s="6" t="s">
        <v>466</v>
      </c>
    </row>
    <row r="50" customFormat="false" ht="33.75" hidden="false" customHeight="true" outlineLevel="0" collapsed="false">
      <c r="A50" s="6" t="s">
        <v>467</v>
      </c>
      <c r="B50" s="6" t="s">
        <v>375</v>
      </c>
      <c r="C50" s="52" t="n">
        <v>46388</v>
      </c>
      <c r="D50" s="6" t="s">
        <v>468</v>
      </c>
    </row>
    <row r="51" customFormat="false" ht="33.75" hidden="false" customHeight="true" outlineLevel="0" collapsed="false">
      <c r="A51" s="6" t="s">
        <v>469</v>
      </c>
      <c r="B51" s="6" t="s">
        <v>375</v>
      </c>
      <c r="C51" s="52" t="n">
        <v>46388</v>
      </c>
      <c r="D51" s="6" t="s">
        <v>470</v>
      </c>
    </row>
    <row r="52" customFormat="false" ht="33.75" hidden="false" customHeight="true" outlineLevel="0" collapsed="false">
      <c r="A52" s="6" t="s">
        <v>471</v>
      </c>
      <c r="B52" s="6" t="s">
        <v>378</v>
      </c>
      <c r="C52" s="53" t="n">
        <v>0</v>
      </c>
      <c r="D52" s="6" t="s">
        <v>472</v>
      </c>
    </row>
    <row r="53" customFormat="false" ht="33.75" hidden="false" customHeight="true" outlineLevel="0" collapsed="false">
      <c r="A53" s="6" t="s">
        <v>473</v>
      </c>
      <c r="B53" s="6" t="s">
        <v>426</v>
      </c>
      <c r="C53" s="53" t="n">
        <v>0</v>
      </c>
      <c r="D53" s="6" t="s">
        <v>474</v>
      </c>
    </row>
    <row r="54" customFormat="false" ht="33.75" hidden="false" customHeight="true" outlineLevel="0" collapsed="false">
      <c r="A54" s="6" t="s">
        <v>475</v>
      </c>
      <c r="B54" s="6" t="s">
        <v>426</v>
      </c>
      <c r="C54" s="53" t="n">
        <v>0</v>
      </c>
      <c r="D54" s="6" t="s">
        <v>476</v>
      </c>
    </row>
    <row r="55" customFormat="false" ht="33.75" hidden="false" customHeight="true" outlineLevel="0" collapsed="false">
      <c r="A55" s="6" t="s">
        <v>477</v>
      </c>
      <c r="B55" s="6" t="s">
        <v>426</v>
      </c>
      <c r="C55" s="53" t="n">
        <v>0</v>
      </c>
      <c r="D55" s="6" t="s">
        <v>478</v>
      </c>
    </row>
    <row r="56" customFormat="false" ht="33.75" hidden="false" customHeight="true" outlineLevel="0" collapsed="false">
      <c r="A56" s="6" t="s">
        <v>479</v>
      </c>
      <c r="B56" s="6" t="s">
        <v>426</v>
      </c>
      <c r="C56" s="53" t="n">
        <v>0</v>
      </c>
      <c r="D56" s="6" t="s">
        <v>480</v>
      </c>
    </row>
    <row r="57" customFormat="false" ht="33.75" hidden="false" customHeight="true" outlineLevel="0" collapsed="false">
      <c r="A57" s="6" t="s">
        <v>481</v>
      </c>
      <c r="B57" s="6" t="s">
        <v>426</v>
      </c>
      <c r="C57" s="53" t="n">
        <v>0</v>
      </c>
      <c r="D57" s="6" t="s">
        <v>482</v>
      </c>
    </row>
    <row r="58" customFormat="false" ht="33.75" hidden="false" customHeight="true" outlineLevel="0" collapsed="false">
      <c r="A58" s="6" t="s">
        <v>483</v>
      </c>
      <c r="B58" s="6" t="s">
        <v>95</v>
      </c>
      <c r="C58" s="54" t="n">
        <v>1</v>
      </c>
      <c r="D58" s="6" t="s">
        <v>484</v>
      </c>
    </row>
    <row r="59" customFormat="false" ht="33.75" hidden="false" customHeight="true" outlineLevel="0" collapsed="false">
      <c r="A59" s="6" t="s">
        <v>485</v>
      </c>
      <c r="B59" s="6" t="s">
        <v>407</v>
      </c>
      <c r="C59" s="55" t="n">
        <f aca="false">Ipotesi!C88*12</f>
        <v>36</v>
      </c>
      <c r="D59" s="6" t="s">
        <v>486</v>
      </c>
    </row>
    <row r="60" customFormat="false" ht="33.75" hidden="false" customHeight="true" outlineLevel="0" collapsed="false">
      <c r="A60" s="6" t="s">
        <v>487</v>
      </c>
      <c r="B60" s="6" t="s">
        <v>426</v>
      </c>
      <c r="C60" s="53" t="n">
        <v>0</v>
      </c>
      <c r="D60" s="6" t="s">
        <v>488</v>
      </c>
    </row>
    <row r="61" customFormat="false" ht="33.75" hidden="false" customHeight="true" outlineLevel="0" collapsed="false">
      <c r="A61" s="6" t="s">
        <v>489</v>
      </c>
      <c r="B61" s="6" t="s">
        <v>426</v>
      </c>
      <c r="C61" s="53" t="n">
        <v>0</v>
      </c>
      <c r="D61" s="6" t="s">
        <v>490</v>
      </c>
    </row>
    <row r="62" customFormat="false" ht="33.75" hidden="false" customHeight="true" outlineLevel="0" collapsed="false">
      <c r="A62" s="6" t="s">
        <v>491</v>
      </c>
      <c r="B62" s="6" t="s">
        <v>378</v>
      </c>
      <c r="C62" s="53" t="n">
        <v>0</v>
      </c>
      <c r="D62" s="6" t="s">
        <v>492</v>
      </c>
    </row>
    <row r="63" customFormat="false" ht="33.75" hidden="false" customHeight="true" outlineLevel="0" collapsed="false">
      <c r="A63" s="6" t="s">
        <v>493</v>
      </c>
      <c r="B63" s="6" t="s">
        <v>375</v>
      </c>
      <c r="C63" s="52" t="n">
        <v>48549</v>
      </c>
      <c r="D63" s="6" t="s">
        <v>494</v>
      </c>
    </row>
    <row r="64" customFormat="false" ht="28.35" hidden="false" customHeight="false" outlineLevel="0" collapsed="false">
      <c r="A64" s="6" t="s">
        <v>495</v>
      </c>
      <c r="B64" s="6" t="s">
        <v>378</v>
      </c>
      <c r="C64" s="53" t="n">
        <v>1</v>
      </c>
      <c r="D64" s="6" t="s">
        <v>496</v>
      </c>
    </row>
  </sheetData>
  <mergeCells count="2">
    <mergeCell ref="A1:H1"/>
    <mergeCell ref="A2:H2"/>
  </mergeCells>
  <dataValidations count="11">
    <dataValidation allowBlank="false" error="Usare un valore nell'intervallo ammesso." errorStyle="stop" errorTitle="Valore non valido" operator="between" showDropDown="false" showErrorMessage="true" showInputMessage="false" sqref="C8 C11:C16 C18:C20 C26:C28 C32 C34:C35 C39 C42 C45:C47 C58" type="decimal">
      <formula1>0</formula1>
      <formula2>1</formula2>
    </dataValidation>
    <dataValidation allowBlank="false" error="Usare un valore nell'intervallo ammesso." errorStyle="stop" errorTitle="Valore non valido" operator="between" showDropDown="false" showErrorMessage="true" showInputMessage="false" sqref="C6 C40 C48:C49 C52 C62 C64" type="whole">
      <formula1>0</formula1>
      <formula2>1</formula2>
    </dataValidation>
    <dataValidation allowBlank="false" error="Usare un valore nell'intervallo ammesso." errorStyle="stop" errorTitle="Valore non valido" operator="between" showDropDown="false" showErrorMessage="true" showInputMessage="false" sqref="C7 C10 C17 C22:C23 C29:C31 C36 C60:C61" type="decimal">
      <formula1>0</formula1>
      <formula2>10000000</formula2>
    </dataValidation>
    <dataValidation allowBlank="false" error="Usare un valore nell'intervallo ammesso." errorStyle="stop" errorTitle="Valore non valido" operator="between" showDropDown="false" showErrorMessage="true" showInputMessage="false" sqref="C21" type="whole">
      <formula1>0</formula1>
      <formula2>120</formula2>
    </dataValidation>
    <dataValidation allowBlank="false" error="Usare un valore nell'intervallo ammesso." errorStyle="stop" errorTitle="Valore non valido" operator="between" showDropDown="false" showErrorMessage="true" showInputMessage="false" sqref="C25 C37:C38 C41" type="whole">
      <formula1>1</formula1>
      <formula2>120</formula2>
    </dataValidation>
    <dataValidation allowBlank="false" error="Usare un valore nell'intervallo ammesso." errorStyle="stop" errorTitle="Valore non valido" operator="between" showDropDown="false" showErrorMessage="true" showInputMessage="false" sqref="C33 C43:C44" type="whole">
      <formula1>1</formula1>
      <formula2>12</formula2>
    </dataValidation>
    <dataValidation allowBlank="false" error="Usare un valore nell'intervallo ammesso." errorStyle="stop" errorTitle="Valore non valido" operator="between" showDropDown="false" showErrorMessage="true" showInputMessage="false" sqref="C53" type="decimal">
      <formula1>-10000000</formula1>
      <formula2>10000000</formula2>
    </dataValidation>
    <dataValidation allowBlank="false" error="Usare un valore nell'intervallo ammesso." errorStyle="stop" errorTitle="Valore non valido" operator="between" showDropDown="false" showErrorMessage="true" showInputMessage="false" sqref="C54" type="decimal">
      <formula1>-10000000</formula1>
      <formula2>10000000</formula2>
    </dataValidation>
    <dataValidation allowBlank="false" error="Usare un valore nell'intervallo ammesso." errorStyle="stop" errorTitle="Valore non valido" operator="between" showDropDown="false" showErrorMessage="true" showInputMessage="false" sqref="C55" type="decimal">
      <formula1>-10000000</formula1>
      <formula2>10000000</formula2>
    </dataValidation>
    <dataValidation allowBlank="false" error="Usare un valore nell'intervallo ammesso." errorStyle="stop" errorTitle="Valore non valido" operator="between" showDropDown="false" showErrorMessage="true" showInputMessage="false" sqref="C56" type="decimal">
      <formula1>-10000000</formula1>
      <formula2>10000000</formula2>
    </dataValidation>
    <dataValidation allowBlank="false" error="Usare un valore nell'intervallo ammesso." errorStyle="stop" errorTitle="Valore non valido" operator="between" showDropDown="false" showErrorMessage="true" showInputMessage="false" sqref="C57" type="decimal">
      <formula1>-10000000</formula1>
      <formula2>10000000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&amp;CLexShield v3 | Proiezioni condizionate, non bilanci certificati&amp;RPagina &amp;P / &amp;N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9"/>
    <col collapsed="false" customWidth="true" hidden="false" outlineLevel="0" max="6" min="2" style="1" width="18"/>
    <col collapsed="false" customWidth="true" hidden="false" outlineLevel="0" max="7" min="7" style="1" width="72"/>
    <col collapsed="false" customWidth="true" hidden="false" outlineLevel="0" max="9" min="8" style="1" width="18"/>
  </cols>
  <sheetData>
    <row r="1" customFormat="false" ht="30" hidden="false" customHeight="true" outlineLevel="0" collapsed="false">
      <c r="A1" s="2" t="s">
        <v>497</v>
      </c>
      <c r="B1" s="2"/>
      <c r="C1" s="2"/>
      <c r="D1" s="2"/>
      <c r="E1" s="2"/>
      <c r="F1" s="2"/>
      <c r="G1" s="2"/>
      <c r="H1" s="2"/>
    </row>
    <row r="2" customFormat="false" ht="42" hidden="false" customHeight="true" outlineLevel="0" collapsed="false">
      <c r="A2" s="3" t="s">
        <v>498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A4" s="4" t="s">
        <v>499</v>
      </c>
      <c r="B4" s="4" t="s">
        <v>500</v>
      </c>
      <c r="C4" s="4" t="s">
        <v>501</v>
      </c>
      <c r="D4" s="4" t="s">
        <v>502</v>
      </c>
      <c r="E4" s="4" t="s">
        <v>503</v>
      </c>
      <c r="F4" s="4" t="s">
        <v>504</v>
      </c>
      <c r="G4" s="4" t="s">
        <v>505</v>
      </c>
    </row>
    <row r="6" customFormat="false" ht="42" hidden="false" customHeight="true" outlineLevel="0" collapsed="false">
      <c r="A6" s="6" t="s">
        <v>506</v>
      </c>
      <c r="B6" s="6" t="s">
        <v>507</v>
      </c>
      <c r="C6" s="15" t="n">
        <f aca="false">Ipotesi!C99</f>
        <v>130000</v>
      </c>
      <c r="D6" s="56" t="n">
        <v>46388</v>
      </c>
      <c r="E6" s="57" t="n">
        <v>0</v>
      </c>
      <c r="F6" s="57" t="n">
        <v>1</v>
      </c>
      <c r="G6" s="6" t="s">
        <v>508</v>
      </c>
    </row>
    <row r="7" customFormat="false" ht="42" hidden="false" customHeight="true" outlineLevel="0" collapsed="false">
      <c r="A7" s="6" t="s">
        <v>506</v>
      </c>
      <c r="B7" s="6" t="s">
        <v>509</v>
      </c>
      <c r="C7" s="15" t="n">
        <f aca="false">Ipotesi!C100</f>
        <v>20000</v>
      </c>
      <c r="D7" s="56" t="n">
        <v>46388</v>
      </c>
      <c r="E7" s="57" t="n">
        <v>0</v>
      </c>
      <c r="F7" s="57" t="n">
        <v>1</v>
      </c>
      <c r="G7" s="6" t="s">
        <v>508</v>
      </c>
    </row>
    <row r="8" customFormat="false" ht="42" hidden="false" customHeight="true" outlineLevel="0" collapsed="false">
      <c r="A8" s="6" t="s">
        <v>510</v>
      </c>
      <c r="B8" s="6" t="s">
        <v>507</v>
      </c>
      <c r="C8" s="15" t="n">
        <f aca="false">Ipotesi!C111</f>
        <v>300000</v>
      </c>
      <c r="D8" s="56" t="n">
        <v>46905</v>
      </c>
      <c r="E8" s="57" t="n">
        <v>0</v>
      </c>
      <c r="F8" s="57" t="n">
        <v>1</v>
      </c>
      <c r="G8" s="6" t="s">
        <v>508</v>
      </c>
    </row>
    <row r="9" customFormat="false" ht="42" hidden="false" customHeight="true" outlineLevel="0" collapsed="false">
      <c r="A9" s="6" t="s">
        <v>511</v>
      </c>
      <c r="B9" s="6" t="s">
        <v>507</v>
      </c>
      <c r="C9" s="15" t="n">
        <f aca="false">Ipotesi!C114</f>
        <v>900000</v>
      </c>
      <c r="D9" s="56" t="n">
        <v>47270</v>
      </c>
      <c r="E9" s="57" t="n">
        <v>0</v>
      </c>
      <c r="F9" s="57" t="n">
        <v>1</v>
      </c>
      <c r="G9" s="6" t="s">
        <v>508</v>
      </c>
    </row>
    <row r="10" customFormat="false" ht="42" hidden="false" customHeight="true" outlineLevel="0" collapsed="false">
      <c r="A10" s="6" t="s">
        <v>512</v>
      </c>
      <c r="B10" s="6" t="s">
        <v>507</v>
      </c>
      <c r="C10" s="15" t="n">
        <f aca="false">Ipotesi!C109</f>
        <v>150000</v>
      </c>
      <c r="D10" s="56" t="n">
        <v>46388</v>
      </c>
      <c r="E10" s="57" t="n">
        <v>0</v>
      </c>
      <c r="F10" s="57" t="n">
        <v>1</v>
      </c>
      <c r="G10" s="6" t="s">
        <v>508</v>
      </c>
    </row>
    <row r="11" customFormat="false" ht="42" hidden="false" customHeight="true" outlineLevel="0" collapsed="false">
      <c r="A11" s="6" t="s">
        <v>513</v>
      </c>
      <c r="B11" s="6" t="s">
        <v>507</v>
      </c>
      <c r="C11" s="15" t="n">
        <f aca="false">Ipotesi!C101*Ipotesi!C102</f>
        <v>400000</v>
      </c>
      <c r="D11" s="58" t="n">
        <f aca="false">D15</f>
        <v>46722</v>
      </c>
      <c r="E11" s="57" t="n">
        <v>0</v>
      </c>
      <c r="F11" s="57" t="n">
        <v>1</v>
      </c>
      <c r="G11" s="6" t="s">
        <v>508</v>
      </c>
    </row>
    <row r="14" customFormat="false" ht="31.5" hidden="false" customHeight="true" outlineLevel="0" collapsed="false">
      <c r="A14" s="4" t="s">
        <v>514</v>
      </c>
      <c r="B14" s="4" t="s">
        <v>515</v>
      </c>
      <c r="C14" s="4" t="s">
        <v>516</v>
      </c>
      <c r="D14" s="4" t="s">
        <v>517</v>
      </c>
    </row>
    <row r="15" customFormat="false" ht="41.25" hidden="false" customHeight="true" outlineLevel="0" collapsed="false">
      <c r="A15" s="6" t="s">
        <v>518</v>
      </c>
      <c r="B15" s="6" t="s">
        <v>519</v>
      </c>
      <c r="C15" s="59" t="n">
        <v>0.2</v>
      </c>
      <c r="D15" s="56" t="n">
        <v>46722</v>
      </c>
    </row>
    <row r="16" customFormat="false" ht="15" hidden="false" customHeight="true" outlineLevel="0" collapsed="false">
      <c r="A16" s="6" t="s">
        <v>520</v>
      </c>
      <c r="B16" s="6" t="s">
        <v>520</v>
      </c>
      <c r="C16" s="59" t="n">
        <v>0.5</v>
      </c>
      <c r="D16" s="56" t="n">
        <v>47088</v>
      </c>
    </row>
    <row r="17" customFormat="false" ht="41.25" hidden="false" customHeight="true" outlineLevel="0" collapsed="false">
      <c r="A17" s="6" t="s">
        <v>521</v>
      </c>
      <c r="B17" s="6" t="s">
        <v>522</v>
      </c>
      <c r="C17" s="59" t="n">
        <v>0.3</v>
      </c>
      <c r="D17" s="56" t="n">
        <v>47270</v>
      </c>
    </row>
    <row r="20" customFormat="false" ht="15" hidden="false" customHeight="true" outlineLevel="0" collapsed="false">
      <c r="A20" s="20" t="s">
        <v>523</v>
      </c>
      <c r="B20" s="20"/>
      <c r="C20" s="20"/>
      <c r="D20" s="20"/>
      <c r="E20" s="20"/>
      <c r="F20" s="20"/>
      <c r="G20" s="20"/>
    </row>
    <row r="21" customFormat="false" ht="15" hidden="false" customHeight="true" outlineLevel="0" collapsed="false">
      <c r="A21" s="20"/>
      <c r="B21" s="20"/>
      <c r="C21" s="20"/>
      <c r="D21" s="20"/>
      <c r="E21" s="20"/>
      <c r="F21" s="20"/>
      <c r="G21" s="20"/>
    </row>
  </sheetData>
  <mergeCells count="3">
    <mergeCell ref="A1:H1"/>
    <mergeCell ref="A2:H2"/>
    <mergeCell ref="A20:G21"/>
  </mergeCells>
  <dataValidations count="2">
    <dataValidation allowBlank="false" error="Usare un valore nell'intervallo ammesso." errorStyle="stop" errorTitle="Valore non valido" operator="between" showDropDown="false" showErrorMessage="true" showInputMessage="false" sqref="C15:C17" type="decimal">
      <formula1>0</formula1>
      <formula2>1</formula2>
    </dataValidation>
    <dataValidation allowBlank="false" error="Usare un valore nell'intervallo ammesso." errorStyle="stop" errorTitle="Valore non valido" operator="between" showDropDown="false" showErrorMessage="true" showInputMessage="false" sqref="E6:F11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&amp;CLexShield v3 | Proiezioni condizionate, non bilanci certificati&amp;RPagina &amp;P / &amp;N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9"/>
    <col collapsed="false" customWidth="true" hidden="false" outlineLevel="0" max="2" min="2" style="1" width="43"/>
    <col collapsed="false" customWidth="true" hidden="false" outlineLevel="0" max="6" min="3" style="1" width="18"/>
    <col collapsed="false" customWidth="true" hidden="false" outlineLevel="0" max="7" min="7" style="1" width="74"/>
    <col collapsed="false" customWidth="true" hidden="false" outlineLevel="0" max="9" min="8" style="1" width="18"/>
  </cols>
  <sheetData>
    <row r="1" customFormat="false" ht="30" hidden="false" customHeight="true" outlineLevel="0" collapsed="false">
      <c r="A1" s="2" t="s">
        <v>524</v>
      </c>
      <c r="B1" s="2"/>
      <c r="C1" s="2"/>
      <c r="D1" s="2"/>
      <c r="E1" s="2"/>
      <c r="F1" s="2"/>
      <c r="G1" s="2"/>
      <c r="H1" s="2"/>
    </row>
    <row r="2" customFormat="false" ht="42" hidden="false" customHeight="true" outlineLevel="0" collapsed="false">
      <c r="A2" s="3" t="s">
        <v>525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A4" s="4" t="s">
        <v>526</v>
      </c>
      <c r="B4" s="4" t="s">
        <v>527</v>
      </c>
      <c r="C4" s="4" t="s">
        <v>528</v>
      </c>
      <c r="D4" s="4" t="s">
        <v>529</v>
      </c>
      <c r="E4" s="4" t="s">
        <v>530</v>
      </c>
      <c r="F4" s="4" t="s">
        <v>531</v>
      </c>
      <c r="G4" s="4" t="s">
        <v>505</v>
      </c>
    </row>
    <row r="6" customFormat="false" ht="54.75" hidden="false" customHeight="true" outlineLevel="0" collapsed="false">
      <c r="A6" s="6" t="s">
        <v>532</v>
      </c>
      <c r="B6" s="6" t="s">
        <v>533</v>
      </c>
      <c r="C6" s="57" t="n">
        <v>300000</v>
      </c>
      <c r="D6" s="59" t="n">
        <v>1</v>
      </c>
      <c r="E6" s="57" t="n">
        <v>0</v>
      </c>
      <c r="F6" s="6" t="s">
        <v>534</v>
      </c>
      <c r="G6" s="6" t="s">
        <v>535</v>
      </c>
    </row>
    <row r="7" customFormat="false" ht="54.75" hidden="false" customHeight="true" outlineLevel="0" collapsed="false">
      <c r="A7" s="6" t="s">
        <v>536</v>
      </c>
      <c r="B7" s="6" t="s">
        <v>537</v>
      </c>
      <c r="C7" s="57" t="n">
        <v>80000</v>
      </c>
      <c r="D7" s="59" t="n">
        <v>1</v>
      </c>
      <c r="E7" s="57" t="n">
        <v>0</v>
      </c>
      <c r="F7" s="6" t="s">
        <v>534</v>
      </c>
      <c r="G7" s="6" t="s">
        <v>535</v>
      </c>
    </row>
    <row r="8" customFormat="false" ht="54.75" hidden="false" customHeight="true" outlineLevel="0" collapsed="false">
      <c r="A8" s="6" t="s">
        <v>538</v>
      </c>
      <c r="B8" s="6" t="s">
        <v>539</v>
      </c>
      <c r="C8" s="57" t="n">
        <v>50000</v>
      </c>
      <c r="D8" s="59" t="n">
        <v>1</v>
      </c>
      <c r="E8" s="57" t="n">
        <v>0</v>
      </c>
      <c r="F8" s="6" t="s">
        <v>534</v>
      </c>
      <c r="G8" s="6" t="s">
        <v>535</v>
      </c>
    </row>
    <row r="9" customFormat="false" ht="54.75" hidden="false" customHeight="true" outlineLevel="0" collapsed="false">
      <c r="A9" s="6" t="s">
        <v>540</v>
      </c>
      <c r="B9" s="6" t="s">
        <v>541</v>
      </c>
      <c r="C9" s="57" t="n">
        <v>40000</v>
      </c>
      <c r="D9" s="59" t="n">
        <v>1</v>
      </c>
      <c r="E9" s="57" t="n">
        <v>0</v>
      </c>
      <c r="F9" s="6" t="s">
        <v>534</v>
      </c>
      <c r="G9" s="6" t="s">
        <v>535</v>
      </c>
    </row>
    <row r="10" customFormat="false" ht="54.75" hidden="false" customHeight="true" outlineLevel="0" collapsed="false">
      <c r="A10" s="6" t="s">
        <v>542</v>
      </c>
      <c r="B10" s="6" t="s">
        <v>543</v>
      </c>
      <c r="C10" s="57" t="n">
        <v>30000</v>
      </c>
      <c r="D10" s="59" t="n">
        <v>1</v>
      </c>
      <c r="E10" s="57" t="n">
        <v>1</v>
      </c>
      <c r="F10" s="6" t="s">
        <v>534</v>
      </c>
      <c r="G10" s="6" t="s">
        <v>535</v>
      </c>
    </row>
    <row r="12" customFormat="false" ht="15" hidden="false" customHeight="true" outlineLevel="0" collapsed="false">
      <c r="A12" s="6" t="s">
        <v>544</v>
      </c>
      <c r="C12" s="15" t="n">
        <f aca="false">SUM(C6:C10)</f>
        <v>500000</v>
      </c>
    </row>
    <row r="13" customFormat="false" ht="15" hidden="false" customHeight="true" outlineLevel="0" collapsed="false">
      <c r="A13" s="6" t="s">
        <v>545</v>
      </c>
      <c r="C13" s="15" t="n">
        <f aca="false">C12-Ipotesi!C101</f>
        <v>0</v>
      </c>
    </row>
    <row r="15" customFormat="false" ht="15" hidden="false" customHeight="true" outlineLevel="0" collapsed="false">
      <c r="A15" s="60" t="s">
        <v>546</v>
      </c>
      <c r="B15" s="60"/>
      <c r="C15" s="60"/>
      <c r="D15" s="60"/>
      <c r="E15" s="60"/>
      <c r="F15" s="60"/>
      <c r="G15" s="60"/>
    </row>
    <row r="16" customFormat="false" ht="15" hidden="false" customHeight="true" outlineLevel="0" collapsed="false">
      <c r="A16" s="60"/>
      <c r="B16" s="60"/>
      <c r="C16" s="60"/>
      <c r="D16" s="60"/>
      <c r="E16" s="60"/>
      <c r="F16" s="60"/>
      <c r="G16" s="60"/>
    </row>
  </sheetData>
  <mergeCells count="3">
    <mergeCell ref="A1:H1"/>
    <mergeCell ref="A2:H2"/>
    <mergeCell ref="A15:G16"/>
  </mergeCells>
  <dataValidations count="3">
    <dataValidation allowBlank="false" error="Usare un valore nell'intervallo ammesso." errorStyle="stop" errorTitle="Valore non valido" operator="between" showDropDown="false" showErrorMessage="true" showInputMessage="false" sqref="D6:D10" type="decimal">
      <formula1>0</formula1>
      <formula2>1</formula2>
    </dataValidation>
    <dataValidation allowBlank="false" error="Usare un valore nell'intervallo ammesso." errorStyle="stop" errorTitle="Valore non valido" operator="between" showDropDown="false" showErrorMessage="true" showInputMessage="false" sqref="E6:E10" type="whole">
      <formula1>0</formula1>
      <formula2>1</formula2>
    </dataValidation>
    <dataValidation allowBlank="false" error="Usare un valore nell'intervallo ammesso." errorStyle="stop" errorTitle="Valore non valido" operator="between" showDropDown="false" showErrorMessage="true" showInputMessage="false" sqref="C6:C10" type="decimal">
      <formula1>0</formula1>
      <formula2>10000000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&amp;CLexShield v3 | Proiezioni condizionate, non bilanci certificati&amp;RPagina 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9"/>
    <col collapsed="false" customWidth="true" hidden="false" outlineLevel="0" max="2" min="2" style="1" width="12"/>
    <col collapsed="false" customWidth="true" hidden="false" outlineLevel="0" max="7" min="3" style="1" width="21"/>
    <col collapsed="false" customWidth="true" hidden="false" outlineLevel="0" max="9" min="8" style="1" width="18"/>
  </cols>
  <sheetData>
    <row r="1" customFormat="false" ht="30" hidden="false" customHeight="true" outlineLevel="0" collapsed="false">
      <c r="A1" s="2" t="s">
        <v>547</v>
      </c>
      <c r="B1" s="2"/>
      <c r="C1" s="2"/>
      <c r="D1" s="2"/>
      <c r="E1" s="2"/>
      <c r="F1" s="2"/>
      <c r="G1" s="2"/>
      <c r="H1" s="2"/>
    </row>
    <row r="2" customFormat="false" ht="42" hidden="false" customHeight="true" outlineLevel="0" collapsed="false">
      <c r="A2" s="3" t="s">
        <v>548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A4" s="4" t="s">
        <v>549</v>
      </c>
      <c r="B4" s="4" t="s">
        <v>86</v>
      </c>
      <c r="C4" s="4" t="n">
        <v>2027</v>
      </c>
      <c r="D4" s="4" t="n">
        <v>2028</v>
      </c>
      <c r="E4" s="4" t="n">
        <v>2029</v>
      </c>
      <c r="F4" s="4" t="n">
        <v>2030</v>
      </c>
      <c r="G4" s="4" t="n">
        <v>2031</v>
      </c>
    </row>
    <row r="5" customFormat="false" ht="27.75" hidden="false" customHeight="true" outlineLevel="0" collapsed="false">
      <c r="A5" s="6" t="s">
        <v>550</v>
      </c>
      <c r="C5" s="15" t="n">
        <f aca="false">SUM(INDEX(Motore_Operativo!$CG$5:$CG$544,(Ipotesi!$C$5-1)*60+0*12+1):INDEX(Motore_Operativo!$CG$5:$CG$544,((Ipotesi!$C$5-1)*60+0*12+1)+11))</f>
        <v>85312.5</v>
      </c>
      <c r="D5" s="15" t="n">
        <f aca="false">SUM(INDEX(Motore_Operativo!$CG$5:$CG$544,(Ipotesi!$C$5-1)*60+1*12+1):INDEX(Motore_Operativo!$CG$5:$CG$544,((Ipotesi!$C$5-1)*60+1*12+1)+11))</f>
        <v>181741.702610881</v>
      </c>
      <c r="E5" s="15" t="n">
        <f aca="false">SUM(INDEX(Motore_Operativo!$CG$5:$CG$544,(Ipotesi!$C$5-1)*60+2*12+1):INDEX(Motore_Operativo!$CG$5:$CG$544,((Ipotesi!$C$5-1)*60+2*12+1)+11))</f>
        <v>320449.06463283</v>
      </c>
      <c r="F5" s="15" t="n">
        <f aca="false">SUM(INDEX(Motore_Operativo!$CG$5:$CG$544,(Ipotesi!$C$5-1)*60+3*12+1):INDEX(Motore_Operativo!$CG$5:$CG$544,((Ipotesi!$C$5-1)*60+3*12+1)+11))</f>
        <v>371480.381992445</v>
      </c>
      <c r="G5" s="15" t="n">
        <f aca="false">SUM(INDEX(Motore_Operativo!$CG$5:$CG$544,(Ipotesi!$C$5-1)*60+4*12+1):INDEX(Motore_Operativo!$CG$5:$CG$544,((Ipotesi!$C$5-1)*60+4*12+1)+11))</f>
        <v>421727.674224526</v>
      </c>
    </row>
    <row r="6" customFormat="false" ht="27.75" hidden="false" customHeight="true" outlineLevel="0" collapsed="false">
      <c r="A6" s="6" t="s">
        <v>551</v>
      </c>
      <c r="C6" s="15" t="n">
        <f aca="false">Startup!C8+Startup!C10</f>
        <v>336994.69005848</v>
      </c>
      <c r="D6" s="15" t="n">
        <f aca="false">Startup!D8+Startup!D10</f>
        <v>701221.833941755</v>
      </c>
      <c r="E6" s="15" t="n">
        <f aca="false">Startup!E8+Startup!E10</f>
        <v>1421465.54145736</v>
      </c>
      <c r="F6" s="15" t="n">
        <f aca="false">Startup!F8+Startup!F10</f>
        <v>1913528.76764568</v>
      </c>
      <c r="G6" s="15" t="n">
        <f aca="false">Startup!G8+Startup!G10</f>
        <v>2424454.53095553</v>
      </c>
    </row>
    <row r="7" customFormat="false" ht="27.75" hidden="false" customHeight="true" outlineLevel="0" collapsed="false">
      <c r="A7" s="6" t="s">
        <v>552</v>
      </c>
      <c r="C7" s="15" t="n">
        <f aca="false">Startup!C7+Startup!C12+Parametri_v3!$C$53</f>
        <v>127525.298245614</v>
      </c>
      <c r="D7" s="15" t="n">
        <f aca="false">Startup!D7+Startup!D12+Parametri_v3!$C$53</f>
        <v>417835.207794022</v>
      </c>
      <c r="E7" s="15" t="n">
        <f aca="false">Startup!E7+Startup!E12+Parametri_v3!$C$53</f>
        <v>916993.940658503</v>
      </c>
      <c r="F7" s="15" t="n">
        <f aca="false">Startup!F7+Startup!F12+Parametri_v3!$C$53</f>
        <v>1605803.92167546</v>
      </c>
      <c r="G7" s="15" t="n">
        <f aca="false">Startup!G7+Startup!G12+Parametri_v3!$C$53</f>
        <v>2398875.25392839</v>
      </c>
    </row>
    <row r="8" customFormat="false" ht="27.75" hidden="false" customHeight="true" outlineLevel="0" collapsed="false">
      <c r="A8" s="6" t="s">
        <v>553</v>
      </c>
      <c r="C8" s="15" t="n">
        <f aca="false">MAX(C6,C7)</f>
        <v>336994.69005848</v>
      </c>
      <c r="D8" s="15" t="n">
        <f aca="false">MAX(D6,D7)</f>
        <v>701221.833941755</v>
      </c>
      <c r="E8" s="15" t="n">
        <f aca="false">MAX(E6,E7)</f>
        <v>1421465.54145736</v>
      </c>
      <c r="F8" s="15" t="n">
        <f aca="false">MAX(F6,F7)</f>
        <v>1913528.76764568</v>
      </c>
      <c r="G8" s="15" t="n">
        <f aca="false">MAX(G6,G7)</f>
        <v>2424454.53095553</v>
      </c>
    </row>
    <row r="9" customFormat="false" ht="27.75" hidden="false" customHeight="true" outlineLevel="0" collapsed="false">
      <c r="A9" s="6" t="s">
        <v>554</v>
      </c>
      <c r="C9" s="16" t="n">
        <f aca="false">IF(C8=0,0,C5/C8)</f>
        <v>0.253156807857108</v>
      </c>
      <c r="D9" s="16" t="n">
        <f aca="false">IF(D8=0,0,D5/D8)</f>
        <v>0.259178613405778</v>
      </c>
      <c r="E9" s="16" t="n">
        <f aca="false">IF(E8=0,0,E5/E8)</f>
        <v>0.225435689636409</v>
      </c>
      <c r="F9" s="16" t="n">
        <f aca="false">IF(F8=0,0,F5/F8)</f>
        <v>0.194133680284043</v>
      </c>
      <c r="G9" s="16" t="n">
        <f aca="false">IF(G8=0,0,G5/G8)</f>
        <v>0.173947446256422</v>
      </c>
    </row>
    <row r="10" customFormat="false" ht="27.75" hidden="false" customHeight="true" outlineLevel="0" collapsed="false">
      <c r="A10" s="6" t="s">
        <v>555</v>
      </c>
      <c r="C10" s="61" t="str">
        <f aca="false">IF(C9&gt;=0.15,"PROIEZIONE &gt;=15%","PROIEZIONE &lt;15%")</f>
        <v>PROIEZIONE &gt;=15%</v>
      </c>
      <c r="D10" s="61" t="str">
        <f aca="false">IF(D9&gt;=0.15,"PROIEZIONE &gt;=15%","PROIEZIONE &lt;15%")</f>
        <v>PROIEZIONE &gt;=15%</v>
      </c>
      <c r="E10" s="61" t="str">
        <f aca="false">IF(E9&gt;=0.15,"PROIEZIONE &gt;=15%","PROIEZIONE &lt;15%")</f>
        <v>PROIEZIONE &gt;=15%</v>
      </c>
      <c r="F10" s="61" t="str">
        <f aca="false">IF(F9&gt;=0.15,"PROIEZIONE &gt;=15%","PROIEZIONE &lt;15%")</f>
        <v>PROIEZIONE &gt;=15%</v>
      </c>
      <c r="G10" s="61" t="str">
        <f aca="false">IF(G9&gt;=0.15,"PROIEZIONE &gt;=15%","PROIEZIONE &lt;15%")</f>
        <v>PROIEZIONE &gt;=15%</v>
      </c>
    </row>
    <row r="11" customFormat="false" ht="27.75" hidden="false" customHeight="true" outlineLevel="0" collapsed="false">
      <c r="A11" s="6" t="s">
        <v>556</v>
      </c>
      <c r="C11" s="61" t="str">
        <f aca="false">IF(C9&gt;=0.25,"PROIEZIONE &gt;=25%","PROIEZIONE &lt;25%")</f>
        <v>PROIEZIONE &gt;=25%</v>
      </c>
      <c r="D11" s="61" t="str">
        <f aca="false">IF(D9&gt;=0.25,"PROIEZIONE &gt;=25%","PROIEZIONE &lt;25%")</f>
        <v>PROIEZIONE &gt;=25%</v>
      </c>
      <c r="E11" s="61" t="str">
        <f aca="false">IF(E9&gt;=0.25,"PROIEZIONE &gt;=25%","PROIEZIONE &lt;25%")</f>
        <v>PROIEZIONE &lt;25%</v>
      </c>
      <c r="F11" s="61" t="str">
        <f aca="false">IF(F9&gt;=0.25,"PROIEZIONE &gt;=25%","PROIEZIONE &lt;25%")</f>
        <v>PROIEZIONE &lt;25%</v>
      </c>
      <c r="G11" s="61" t="str">
        <f aca="false">IF(G9&gt;=0.25,"PROIEZIONE &gt;=25%","PROIEZIONE &lt;25%")</f>
        <v>PROIEZIONE &lt;25%</v>
      </c>
    </row>
    <row r="12" customFormat="false" ht="27.75" hidden="false" customHeight="true" outlineLevel="0" collapsed="false">
      <c r="A12" s="6" t="s">
        <v>557</v>
      </c>
      <c r="C12" s="61" t="str">
        <f aca="false">IF(Parametri_v3!$C$49=1,"VALIDAZIONE DICHIARATA","NON DOCUMENTATA")</f>
        <v>NON DOCUMENTATA</v>
      </c>
      <c r="D12" s="61" t="str">
        <f aca="false">IF(Parametri_v3!$C$49=1,"VALIDAZIONE DICHIARATA","NON DOCUMENTATA")</f>
        <v>NON DOCUMENTATA</v>
      </c>
      <c r="E12" s="61" t="str">
        <f aca="false">IF(Parametri_v3!$C$49=1,"VALIDAZIONE DICHIARATA","NON DOCUMENTATA")</f>
        <v>NON DOCUMENTATA</v>
      </c>
      <c r="F12" s="61" t="str">
        <f aca="false">IF(Parametri_v3!$C$49=1,"VALIDAZIONE DICHIARATA","NON DOCUMENTATA")</f>
        <v>NON DOCUMENTATA</v>
      </c>
      <c r="G12" s="61" t="str">
        <f aca="false">IF(Parametri_v3!$C$49=1,"VALIDAZIONE DICHIARATA","NON DOCUMENTATA")</f>
        <v>NON DOCUMENTATA</v>
      </c>
    </row>
    <row r="13" customFormat="false" ht="27.75" hidden="false" customHeight="true" outlineLevel="0" collapsed="false"/>
    <row r="14" customFormat="false" ht="27.75" hidden="false" customHeight="true" outlineLevel="0" collapsed="false">
      <c r="A14" s="6" t="s">
        <v>558</v>
      </c>
      <c r="C14" s="62" t="str">
        <f aca="false">IF(AND(ISNUMBER(Parametri_v3!$C$46),ISNUMBER(Parametri_v3!$C$47),Parametri_v3!$C$48=1),IF(Startup!C7=0,0,(Gruppo!C5*Parametri_v3!$C$46+Startup!C6*Parametri_v3!$C$47)/Startup!C7),"DA CLASSIFICARE")</f>
        <v>DA CLASSIFICARE</v>
      </c>
      <c r="D14" s="62" t="str">
        <f aca="false">IF(AND(ISNUMBER(Parametri_v3!$C$46),ISNUMBER(Parametri_v3!$C$47),Parametri_v3!$C$48=1),IF(Startup!D7=0,0,(Gruppo!D5*Parametri_v3!$C$46+Startup!D6*Parametri_v3!$C$47)/Startup!D7),"DA CLASSIFICARE")</f>
        <v>DA CLASSIFICARE</v>
      </c>
      <c r="E14" s="62" t="str">
        <f aca="false">IF(AND(ISNUMBER(Parametri_v3!$C$46),ISNUMBER(Parametri_v3!$C$47),Parametri_v3!$C$48=1),IF(Startup!E7=0,0,(Gruppo!E5*Parametri_v3!$C$46+Startup!E6*Parametri_v3!$C$47)/Startup!E7),"DA CLASSIFICARE")</f>
        <v>DA CLASSIFICARE</v>
      </c>
      <c r="F14" s="62" t="str">
        <f aca="false">IF(AND(ISNUMBER(Parametri_v3!$C$46),ISNUMBER(Parametri_v3!$C$47),Parametri_v3!$C$48=1),IF(Startup!F7=0,0,(Gruppo!F5*Parametri_v3!$C$46+Startup!F6*Parametri_v3!$C$47)/Startup!F7),"DA CLASSIFICARE")</f>
        <v>DA CLASSIFICARE</v>
      </c>
      <c r="G14" s="62" t="str">
        <f aca="false">IF(AND(ISNUMBER(Parametri_v3!$C$46),ISNUMBER(Parametri_v3!$C$47),Parametri_v3!$C$48=1),IF(Startup!G7=0,0,(Gruppo!G5*Parametri_v3!$C$46+Startup!G6*Parametri_v3!$C$47)/Startup!G7),"DA CLASSIFICARE")</f>
        <v>DA CLASSIFICARE</v>
      </c>
    </row>
    <row r="15" customFormat="false" ht="27.75" hidden="false" customHeight="true" outlineLevel="0" collapsed="false">
      <c r="A15" s="6" t="s">
        <v>559</v>
      </c>
      <c r="C15" s="61" t="str">
        <f aca="false">IF(Parametri_v3!$C$48=1,"VALIDAZIONE DICHIARATA","DA VALIDARE")</f>
        <v>DA VALIDARE</v>
      </c>
      <c r="D15" s="61" t="str">
        <f aca="false">IF(Parametri_v3!$C$48=1,"VALIDAZIONE DICHIARATA","DA VALIDARE")</f>
        <v>DA VALIDARE</v>
      </c>
      <c r="E15" s="61" t="str">
        <f aca="false">IF(Parametri_v3!$C$48=1,"VALIDAZIONE DICHIARATA","DA VALIDARE")</f>
        <v>DA VALIDARE</v>
      </c>
      <c r="F15" s="61" t="str">
        <f aca="false">IF(Parametri_v3!$C$48=1,"VALIDAZIONE DICHIARATA","DA VALIDARE")</f>
        <v>DA VALIDARE</v>
      </c>
      <c r="G15" s="61" t="str">
        <f aca="false">IF(Parametri_v3!$C$48=1,"VALIDAZIONE DICHIARATA","DA VALIDARE")</f>
        <v>DA VALIDARE</v>
      </c>
    </row>
    <row r="16" customFormat="false" ht="27.75" hidden="false" customHeight="true" outlineLevel="0" collapsed="false"/>
    <row r="17" customFormat="false" ht="27.75" hidden="false" customHeight="true" outlineLevel="0" collapsed="false">
      <c r="A17" s="6" t="s">
        <v>560</v>
      </c>
      <c r="C17" s="16" t="str">
        <f aca="false">"N/D"</f>
        <v>N/D</v>
      </c>
      <c r="D17" s="16" t="n">
        <f aca="false">IF(Startup!C7=0,"N/D",Startup!D7/Startup!C7-1)</f>
        <v>2.23041452298341</v>
      </c>
      <c r="E17" s="16" t="n">
        <f aca="false">IF(Startup!D7=0,"N/D",Startup!E7/Startup!D7-1)</f>
        <v>1.40641750974105</v>
      </c>
      <c r="F17" s="16" t="n">
        <f aca="false">IF(Startup!E7=0,"N/D",Startup!F7/Startup!E7-1)</f>
        <v>0.824764226849105</v>
      </c>
      <c r="G17" s="16" t="n">
        <f aca="false">IF(Startup!F7=0,"N/D",Startup!G7/Startup!F7-1)</f>
        <v>0.49387806415708</v>
      </c>
    </row>
    <row r="18" customFormat="false" ht="27.75" hidden="false" customHeight="true" outlineLevel="0" collapsed="false">
      <c r="A18" s="6" t="s">
        <v>561</v>
      </c>
      <c r="C18" s="61" t="str">
        <f aca="false">IF(Parametri_v3!$C$52=1,"DOCUMENTATO: VERIFICARE DATE","NON DOCUMENTATO")</f>
        <v>NON DOCUMENTATO</v>
      </c>
      <c r="D18" s="61" t="str">
        <f aca="false">IF(Parametri_v3!$C$52=1,"DOCUMENTATO: VERIFICARE DATE","NON DOCUMENTATO")</f>
        <v>NON DOCUMENTATO</v>
      </c>
      <c r="E18" s="61" t="str">
        <f aca="false">IF(Parametri_v3!$C$52=1,"DOCUMENTATO: VERIFICARE DATE","NON DOCUMENTATO")</f>
        <v>NON DOCUMENTATO</v>
      </c>
      <c r="F18" s="61" t="str">
        <f aca="false">IF(Parametri_v3!$C$52=1,"DOCUMENTATO: VERIFICARE DATE","NON DOCUMENTATO")</f>
        <v>NON DOCUMENTATO</v>
      </c>
      <c r="G18" s="61" t="str">
        <f aca="false">IF(Parametri_v3!$C$52=1,"DOCUMENTATO: VERIFICARE DATE","NON DOCUMENTATO")</f>
        <v>NON DOCUMENTATO</v>
      </c>
    </row>
    <row r="19" customFormat="false" ht="27.75" hidden="false" customHeight="true" outlineLevel="0" collapsed="false">
      <c r="A19" s="6" t="s">
        <v>562</v>
      </c>
      <c r="C19" s="61" t="str">
        <f aca="false">"NON ATTESTATO DAL MODELLO"</f>
        <v>NON ATTESTATO DAL MODELLO</v>
      </c>
      <c r="D19" s="61" t="str">
        <f aca="false">"NON ATTESTATO DAL MODELLO"</f>
        <v>NON ATTESTATO DAL MODELLO</v>
      </c>
      <c r="E19" s="61" t="str">
        <f aca="false">"NON ATTESTATO DAL MODELLO"</f>
        <v>NON ATTESTATO DAL MODELLO</v>
      </c>
      <c r="F19" s="61" t="str">
        <f aca="false">"NON ATTESTATO DAL MODELLO"</f>
        <v>NON ATTESTATO DAL MODELLO</v>
      </c>
      <c r="G19" s="61" t="str">
        <f aca="false">"NON ATTESTATO DAL MODELLO"</f>
        <v>NON ATTESTATO DAL MODELLO</v>
      </c>
    </row>
    <row r="20" customFormat="false" ht="27.75" hidden="false" customHeight="true" outlineLevel="0" collapsed="false"/>
    <row r="21" customFormat="false" ht="27.75" hidden="false" customHeight="true" outlineLevel="0" collapsed="false">
      <c r="A21" s="6" t="s">
        <v>563</v>
      </c>
      <c r="C21" s="16" t="n">
        <f aca="false">IF(Startup!C5=0,0,Gruppo!C6/Startup!C5)</f>
        <v>0.04</v>
      </c>
      <c r="D21" s="16" t="n">
        <f aca="false">IF(Startup!D5=0,0,Gruppo!D6/Startup!D5)</f>
        <v>0.210560236438787</v>
      </c>
      <c r="E21" s="16" t="n">
        <f aca="false">IF(Startup!E5=0,0,Gruppo!E6/Startup!E5)</f>
        <v>0.380733056096787</v>
      </c>
      <c r="F21" s="16" t="n">
        <f aca="false">IF(Startup!F5=0,0,Gruppo!F6/Startup!F5)</f>
        <v>0.481140049014923</v>
      </c>
      <c r="G21" s="16" t="n">
        <f aca="false">IF(Startup!G5=0,0,Gruppo!G6/Startup!G5)</f>
        <v>0.522950855142249</v>
      </c>
    </row>
    <row r="22" customFormat="false" ht="27.75" hidden="false" customHeight="true" outlineLevel="0" collapsed="false">
      <c r="A22" s="6" t="s">
        <v>564</v>
      </c>
      <c r="C22" s="16" t="str">
        <f aca="false">IF(Startup!C5=0,"N/D",IF(Gruppo!C5/Startup!C5&gt;0.5,"RISCHIO PREVALENZA CONSULENZA","SERVIZI NON PREVALENTI"))</f>
        <v>RISCHIO PREVALENZA CONSULENZA</v>
      </c>
      <c r="D22" s="16" t="str">
        <f aca="false">IF(Startup!D5=0,"N/D",IF(Gruppo!D5/Startup!D5&gt;0.5,"RISCHIO PREVALENZA CONSULENZA","SERVIZI NON PREVALENTI"))</f>
        <v>RISCHIO PREVALENZA CONSULENZA</v>
      </c>
      <c r="E22" s="16" t="str">
        <f aca="false">IF(Startup!E5=0,"N/D",IF(Gruppo!E5/Startup!E5&gt;0.5,"RISCHIO PREVALENZA CONSULENZA","SERVIZI NON PREVALENTI"))</f>
        <v>RISCHIO PREVALENZA CONSULENZA</v>
      </c>
      <c r="F22" s="16" t="str">
        <f aca="false">IF(Startup!F5=0,"N/D",IF(Gruppo!F5/Startup!F5&gt;0.5,"RISCHIO PREVALENZA CONSULENZA","SERVIZI NON PREVALENTI"))</f>
        <v>RISCHIO PREVALENZA CONSULENZA</v>
      </c>
      <c r="G22" s="16" t="str">
        <f aca="false">IF(Startup!G5=0,"N/D",IF(Gruppo!G5/Startup!G5&gt;0.5,"RISCHIO PREVALENZA CONSULENZA","SERVIZI NON PREVALENTI"))</f>
        <v>SERVIZI NON PREVALENTI</v>
      </c>
    </row>
    <row r="23" customFormat="false" ht="27.75" hidden="false" customHeight="true" outlineLevel="0" collapsed="false"/>
    <row r="24" customFormat="false" ht="27.75" hidden="false" customHeight="true" outlineLevel="0" collapsed="false">
      <c r="A24" s="20" t="s">
        <v>565</v>
      </c>
      <c r="B24" s="20"/>
      <c r="C24" s="20"/>
      <c r="D24" s="20"/>
      <c r="E24" s="20"/>
      <c r="F24" s="20"/>
      <c r="G24" s="20"/>
    </row>
    <row r="25" customFormat="false" ht="27.75" hidden="false" customHeight="true" outlineLevel="0" collapsed="false">
      <c r="A25" s="20"/>
      <c r="B25" s="20"/>
      <c r="C25" s="20"/>
      <c r="D25" s="20"/>
      <c r="E25" s="20"/>
      <c r="F25" s="20"/>
      <c r="G25" s="20"/>
    </row>
    <row r="26" customFormat="false" ht="27.75" hidden="false" customHeight="true" outlineLevel="0" collapsed="false">
      <c r="A26" s="20"/>
      <c r="B26" s="20"/>
      <c r="C26" s="20"/>
      <c r="D26" s="20"/>
      <c r="E26" s="20"/>
      <c r="F26" s="20"/>
      <c r="G26" s="20"/>
    </row>
    <row r="27" customFormat="false" ht="27.75" hidden="false" customHeight="true" outlineLevel="0" collapsed="false"/>
    <row r="28" customFormat="false" ht="27.75" hidden="false" customHeight="true" outlineLevel="0" collapsed="false">
      <c r="A28" s="1" t="s">
        <v>566</v>
      </c>
    </row>
    <row r="29" customFormat="false" ht="27.75" hidden="false" customHeight="true" outlineLevel="0" collapsed="false">
      <c r="A29" s="1" t="s">
        <v>567</v>
      </c>
    </row>
  </sheetData>
  <mergeCells count="3">
    <mergeCell ref="A1:H1"/>
    <mergeCell ref="A2:H2"/>
    <mergeCell ref="A24:G26"/>
  </mergeCell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&amp;CLexShield v3 | Proiezioni condizionate, non bilanci certificati&amp;RPagina 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6" min="3" style="1" width="18"/>
    <col collapsed="false" customWidth="true" hidden="false" outlineLevel="0" max="7" min="7" style="1" width="14"/>
    <col collapsed="false" customWidth="true" hidden="false" outlineLevel="0" max="8" min="8" style="1" width="60"/>
  </cols>
  <sheetData>
    <row r="1" customFormat="false" ht="17.25" hidden="false" customHeight="true" outlineLevel="0" collapsed="false">
      <c r="A1" s="21" t="s">
        <v>568</v>
      </c>
    </row>
    <row r="3" customFormat="false" ht="15" hidden="false" customHeight="true" outlineLevel="0" collapsed="false">
      <c r="A3" s="63" t="s">
        <v>569</v>
      </c>
      <c r="B3" s="63"/>
      <c r="C3" s="63" t="s">
        <v>570</v>
      </c>
      <c r="D3" s="63" t="s">
        <v>571</v>
      </c>
      <c r="E3" s="63" t="s">
        <v>572</v>
      </c>
      <c r="F3" s="63" t="s">
        <v>573</v>
      </c>
    </row>
    <row r="4" customFormat="false" ht="15" hidden="false" customHeight="true" outlineLevel="0" collapsed="false">
      <c r="A4" s="25" t="s">
        <v>263</v>
      </c>
      <c r="C4" s="64" t="n">
        <f aca="false">Ipotesi!$C$121</f>
        <v>0.425</v>
      </c>
      <c r="D4" s="64" t="n">
        <f aca="false">C4*(1-Ipotesi!$C$120)</f>
        <v>0.3825</v>
      </c>
      <c r="E4" s="36" t="n">
        <f aca="false">D4*(1-$C$17/(Ipotesi!$C$112+$C$17))</f>
        <v>0.31875</v>
      </c>
      <c r="F4" s="36" t="n">
        <f aca="false">E4*(1-$C$18/(Ipotesi!$C$115+$C$18))</f>
        <v>0.265625</v>
      </c>
    </row>
    <row r="5" customFormat="false" ht="15" hidden="false" customHeight="true" outlineLevel="0" collapsed="false">
      <c r="A5" s="25" t="s">
        <v>574</v>
      </c>
      <c r="C5" s="64" t="n">
        <f aca="false">Ipotesi!$C$122</f>
        <v>0.425</v>
      </c>
      <c r="D5" s="64" t="n">
        <f aca="false">C5*(1-Ipotesi!$C$120)</f>
        <v>0.3825</v>
      </c>
      <c r="E5" s="36" t="n">
        <f aca="false">D5*(1-$C$17/(Ipotesi!$C$112+$C$17))</f>
        <v>0.31875</v>
      </c>
      <c r="F5" s="36" t="n">
        <f aca="false">E5*(1-$C$18/(Ipotesi!$C$115+$C$18))</f>
        <v>0.265625</v>
      </c>
    </row>
    <row r="6" customFormat="false" ht="15" hidden="false" customHeight="true" outlineLevel="0" collapsed="false">
      <c r="A6" s="25" t="s">
        <v>575</v>
      </c>
      <c r="C6" s="64" t="n">
        <f aca="false">Ipotesi!$C$123</f>
        <v>0.15</v>
      </c>
      <c r="D6" s="64" t="n">
        <f aca="false">C6*(1-Ipotesi!$C$120)</f>
        <v>0.135</v>
      </c>
      <c r="E6" s="36" t="n">
        <f aca="false">D6*(1-$C$17/(Ipotesi!$C$112+$C$17))</f>
        <v>0.1125</v>
      </c>
      <c r="F6" s="36" t="n">
        <f aca="false">E6*(1-$C$18/(Ipotesi!$C$115+$C$18))</f>
        <v>0.09375</v>
      </c>
    </row>
    <row r="7" customFormat="false" ht="15" hidden="false" customHeight="true" outlineLevel="0" collapsed="false">
      <c r="A7" s="25" t="s">
        <v>576</v>
      </c>
      <c r="C7" s="51" t="n">
        <f aca="false">0</f>
        <v>0</v>
      </c>
      <c r="D7" s="64" t="n">
        <f aca="false">Ipotesi!$C$120</f>
        <v>0.1</v>
      </c>
      <c r="E7" s="36" t="n">
        <f aca="false">D7*(1-$C$17/(Ipotesi!$C$112+$C$17))</f>
        <v>0.0833333333333333</v>
      </c>
      <c r="F7" s="36" t="n">
        <f aca="false">E7*(1-$C$18/(Ipotesi!$C$115+$C$18))</f>
        <v>0.0694444444444445</v>
      </c>
    </row>
    <row r="8" customFormat="false" ht="15" hidden="false" customHeight="true" outlineLevel="0" collapsed="false">
      <c r="A8" s="25" t="s">
        <v>577</v>
      </c>
      <c r="C8" s="51" t="n">
        <f aca="false">0</f>
        <v>0</v>
      </c>
      <c r="D8" s="51" t="n">
        <f aca="false">0</f>
        <v>0</v>
      </c>
      <c r="E8" s="36" t="n">
        <f aca="false">$C$17/(Ipotesi!$C$112+$C$17)</f>
        <v>0.166666666666667</v>
      </c>
      <c r="F8" s="36" t="n">
        <f aca="false">E8*(1-$C$18/(Ipotesi!$C$115+$C$18))</f>
        <v>0.138888888888889</v>
      </c>
    </row>
    <row r="9" customFormat="false" ht="15" hidden="false" customHeight="true" outlineLevel="0" collapsed="false">
      <c r="A9" s="25" t="s">
        <v>578</v>
      </c>
      <c r="C9" s="51" t="n">
        <f aca="false">0</f>
        <v>0</v>
      </c>
      <c r="D9" s="51" t="n">
        <f aca="false">0</f>
        <v>0</v>
      </c>
      <c r="E9" s="51" t="n">
        <f aca="false">0</f>
        <v>0</v>
      </c>
      <c r="F9" s="36" t="n">
        <f aca="false">$C$18/(Ipotesi!$C$115+$C$18)</f>
        <v>0.166666666666667</v>
      </c>
    </row>
    <row r="10" customFormat="false" ht="15" hidden="false" customHeight="true" outlineLevel="0" collapsed="false">
      <c r="A10" s="28" t="s">
        <v>579</v>
      </c>
      <c r="C10" s="65" t="n">
        <f aca="false">SUM(C4:C9)</f>
        <v>1</v>
      </c>
      <c r="D10" s="65" t="n">
        <f aca="false">SUM(D4:D9)</f>
        <v>1</v>
      </c>
      <c r="E10" s="65" t="n">
        <f aca="false">SUM(E4:E9)</f>
        <v>1</v>
      </c>
      <c r="F10" s="65" t="n">
        <f aca="false">SUM(F4:F9)</f>
        <v>1</v>
      </c>
    </row>
    <row r="12" customFormat="false" ht="15" hidden="false" customHeight="true" outlineLevel="0" collapsed="false">
      <c r="A12" s="28" t="s">
        <v>580</v>
      </c>
      <c r="C12" s="66" t="n">
        <f aca="false">C4+C5+C6</f>
        <v>1</v>
      </c>
      <c r="D12" s="66" t="n">
        <f aca="false">D4+D5+D6</f>
        <v>0.9</v>
      </c>
      <c r="E12" s="66" t="n">
        <f aca="false">E4+E5+E6</f>
        <v>0.75</v>
      </c>
      <c r="F12" s="66" t="n">
        <f aca="false">F4+F5+F6</f>
        <v>0.625</v>
      </c>
    </row>
    <row r="14" customFormat="false" ht="15" hidden="false" customHeight="true" outlineLevel="0" collapsed="false">
      <c r="A14" s="27" t="s">
        <v>581</v>
      </c>
    </row>
    <row r="17" customFormat="false" ht="15" hidden="false" customHeight="true" outlineLevel="0" collapsed="false">
      <c r="A17" s="6" t="s">
        <v>582</v>
      </c>
      <c r="C17" s="67" t="n">
        <f aca="false">IF(AND(Ipotesi!$C$5&lt;&gt;7,Ipotesi!$C$5&lt;&gt;9,Finanziamenti!$F$8=1,OR(Parametri_v3!$C$6=0,Finanziamenti!$E$8=1),EDATE(Finanziamenti!$D$8,Ipotesi!$C$25*12)&gt;=Parametri_v3!$C$5,EDATE(Finanziamenti!$D$8,Ipotesi!$C$25*12)&lt;EDATE(Parametri_v3!$C$5,60)),Finanziamenti!C8,0)</f>
        <v>300000</v>
      </c>
    </row>
    <row r="18" customFormat="false" ht="15" hidden="false" customHeight="true" outlineLevel="0" collapsed="false">
      <c r="A18" s="6" t="s">
        <v>583</v>
      </c>
      <c r="C18" s="67" t="n">
        <f aca="false">IF(AND(Ipotesi!$C$5&lt;&gt;7,Ipotesi!$C$5&lt;&gt;9,Finanziamenti!$F$9=1,OR(Parametri_v3!$C$6=0,Finanziamenti!$E$9=1),EDATE(Finanziamenti!$D$9,Ipotesi!$C$25*12)&gt;=Parametri_v3!$C$5,EDATE(Finanziamenti!$D$9,Ipotesi!$C$25*12)&lt;EDATE(Parametri_v3!$C$5,60)),Finanziamenti!C9*Ipotesi!$C$26,0)</f>
        <v>900000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9"/>
    <col collapsed="false" customWidth="true" hidden="false" outlineLevel="0" max="2" min="2" style="1" width="28"/>
    <col collapsed="false" customWidth="true" hidden="false" outlineLevel="0" max="3" min="3" style="1" width="85"/>
    <col collapsed="false" customWidth="true" hidden="false" outlineLevel="0" max="9" min="4" style="1" width="18"/>
  </cols>
  <sheetData>
    <row r="1" customFormat="false" ht="30" hidden="false" customHeight="true" outlineLevel="0" collapsed="false">
      <c r="A1" s="2" t="s">
        <v>584</v>
      </c>
      <c r="B1" s="2"/>
      <c r="C1" s="2"/>
      <c r="D1" s="2"/>
      <c r="E1" s="2"/>
      <c r="F1" s="2"/>
      <c r="G1" s="2"/>
      <c r="H1" s="2"/>
    </row>
    <row r="2" customFormat="false" ht="42" hidden="false" customHeight="true" outlineLevel="0" collapsed="false">
      <c r="A2" s="3" t="s">
        <v>585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A4" s="4" t="s">
        <v>549</v>
      </c>
      <c r="B4" s="4" t="s">
        <v>586</v>
      </c>
      <c r="C4" s="4" t="s">
        <v>587</v>
      </c>
    </row>
    <row r="5" customFormat="false" ht="33.75" hidden="false" customHeight="true" outlineLevel="0" collapsed="false">
      <c r="A5" s="6" t="s">
        <v>588</v>
      </c>
      <c r="B5" s="15" t="n">
        <f aca="false">MAX(MAX(Motore_Startup!BT5:BT544),-MIN(Motore_Startup!BT5:BT544))</f>
        <v>4.36557456851006E-010</v>
      </c>
      <c r="C5" s="6" t="s">
        <v>589</v>
      </c>
    </row>
    <row r="6" customFormat="false" ht="33.75" hidden="false" customHeight="true" outlineLevel="0" collapsed="false">
      <c r="A6" s="6" t="s">
        <v>590</v>
      </c>
      <c r="B6" s="15" t="n">
        <f aca="false">MAX(MAX(Motore_Advisory!BT5:BT544),-MIN(Motore_Advisory!BT5:BT544))</f>
        <v>-0</v>
      </c>
      <c r="C6" s="6" t="s">
        <v>591</v>
      </c>
    </row>
    <row r="7" customFormat="false" ht="33.75" hidden="false" customHeight="true" outlineLevel="0" collapsed="false">
      <c r="A7" s="6" t="s">
        <v>592</v>
      </c>
      <c r="B7" s="15" t="n">
        <f aca="false">MAX(ABS(Gruppo!C36),ABS(Gruppo!D36),ABS(Gruppo!E36),ABS(Gruppo!F36),ABS(Gruppo!G36))</f>
        <v>0</v>
      </c>
      <c r="C7" s="6" t="s">
        <v>593</v>
      </c>
    </row>
    <row r="8" customFormat="false" ht="33.75" hidden="false" customHeight="true" outlineLevel="0" collapsed="false">
      <c r="A8" s="6" t="s">
        <v>594</v>
      </c>
      <c r="B8" s="15" t="n">
        <f aca="false">MAX(ABS(Cap_Table!C10-1),ABS(Cap_Table!D10-1),ABS(Cap_Table!E10-1),ABS(Cap_Table!F10-1))</f>
        <v>0</v>
      </c>
      <c r="C8" s="6" t="s">
        <v>595</v>
      </c>
    </row>
    <row r="9" customFormat="false" ht="33.75" hidden="false" customHeight="true" outlineLevel="0" collapsed="false">
      <c r="A9" s="6" t="s">
        <v>596</v>
      </c>
      <c r="B9" s="15" t="n">
        <f aca="false">ABS(Piano_SS!C13)</f>
        <v>0</v>
      </c>
      <c r="C9" s="6" t="s">
        <v>597</v>
      </c>
    </row>
    <row r="10" customFormat="false" ht="33.75" hidden="false" customHeight="true" outlineLevel="0" collapsed="false">
      <c r="A10" s="6" t="s">
        <v>598</v>
      </c>
      <c r="B10" s="15" t="n">
        <f aca="false">SUM(Finanziamenti!C15:C17)</f>
        <v>1</v>
      </c>
      <c r="C10" s="6" t="s">
        <v>599</v>
      </c>
    </row>
    <row r="11" customFormat="false" ht="33.75" hidden="false" customHeight="true" outlineLevel="0" collapsed="false">
      <c r="A11" s="6" t="s">
        <v>600</v>
      </c>
      <c r="B11" s="15" t="n">
        <f aca="false">MIN(Startup!C19:G19)</f>
        <v>-73138.7599314124</v>
      </c>
      <c r="C11" s="6" t="s">
        <v>601</v>
      </c>
    </row>
    <row r="12" customFormat="false" ht="33.75" hidden="false" customHeight="true" outlineLevel="0" collapsed="false">
      <c r="A12" s="6" t="s">
        <v>602</v>
      </c>
      <c r="B12" s="15" t="n">
        <f aca="false">MIN(Advisory!C19:G19)</f>
        <v>-16783.0800399988</v>
      </c>
      <c r="C12" s="6" t="s">
        <v>601</v>
      </c>
    </row>
    <row r="13" customFormat="false" ht="33.75" hidden="false" customHeight="true" outlineLevel="0" collapsed="false">
      <c r="A13" s="6" t="s">
        <v>603</v>
      </c>
      <c r="B13" s="15" t="n">
        <f aca="false">MIN(Startup!C37:G37)</f>
        <v>-81501.5957323722</v>
      </c>
      <c r="C13" s="6" t="s">
        <v>604</v>
      </c>
    </row>
    <row r="14" customFormat="false" ht="33.75" hidden="false" customHeight="true" outlineLevel="0" collapsed="false">
      <c r="A14" s="6" t="s">
        <v>605</v>
      </c>
      <c r="B14" s="15" t="n">
        <f aca="false">MIN(Advisory!C37:G37)</f>
        <v>55048.1262280702</v>
      </c>
      <c r="C14" s="6" t="s">
        <v>604</v>
      </c>
    </row>
    <row r="15" customFormat="false" ht="33.75" hidden="false" customHeight="true" outlineLevel="0" collapsed="false">
      <c r="A15" s="6" t="s">
        <v>606</v>
      </c>
      <c r="B15" s="15" t="n">
        <f aca="false">COUNTIF(Finanziamenti!E8:E11,0)</f>
        <v>4</v>
      </c>
      <c r="C15" s="6" t="s">
        <v>607</v>
      </c>
    </row>
    <row r="16" customFormat="false" ht="33.75" hidden="false" customHeight="true" outlineLevel="0" collapsed="false">
      <c r="A16" s="6" t="s">
        <v>608</v>
      </c>
      <c r="B16" s="61" t="str">
        <f aca="false">IF(Parametri_v3!C48=1,"VALIDAZIONE DICHIARATA","DA VALIDARE")</f>
        <v>DA VALIDARE</v>
      </c>
      <c r="C16" s="6" t="s">
        <v>609</v>
      </c>
    </row>
    <row r="17" customFormat="false" ht="33.75" hidden="false" customHeight="true" outlineLevel="0" collapsed="false">
      <c r="A17" s="6" t="s">
        <v>610</v>
      </c>
      <c r="B17" s="61" t="str">
        <f aca="false">IF(Parametri_v3!C49=1,"VALIDAZIONE DICHIARATA","DA VALIDARE")</f>
        <v>DA VALIDARE</v>
      </c>
      <c r="C17" s="6" t="s">
        <v>611</v>
      </c>
    </row>
    <row r="18" customFormat="false" ht="33.75" hidden="false" customHeight="true" outlineLevel="0" collapsed="false">
      <c r="A18" s="6" t="s">
        <v>612</v>
      </c>
      <c r="B18" s="61" t="str">
        <f aca="false">IF(Parametri_v3!C62=1,"VALIDAZIONE DICHIARATA","DA VALIDARE")</f>
        <v>DA VALIDARE</v>
      </c>
      <c r="C18" s="6" t="s">
        <v>613</v>
      </c>
    </row>
    <row r="19" customFormat="false" ht="33.75" hidden="false" customHeight="true" outlineLevel="0" collapsed="false">
      <c r="A19" s="6" t="s">
        <v>614</v>
      </c>
      <c r="B19" s="15" t="str">
        <f aca="false">IF(AND(MONTH(Parametri_v3!C5)=1,DAY(Parametri_v3!C5)=1,YEAR(Parametri_v3!C5)=2027),"OK","MANTENERE 01/01/2027")</f>
        <v>OK</v>
      </c>
      <c r="C19" s="6" t="s">
        <v>615</v>
      </c>
    </row>
    <row r="20" customFormat="false" ht="33.75" hidden="false" customHeight="true" outlineLevel="0" collapsed="false">
      <c r="A20" s="6" t="s">
        <v>616</v>
      </c>
      <c r="B20" s="15" t="str">
        <f aca="false">IF(AND(MIN(Ipotesi!C35:G35)&gt;0,MIN(Ipotesi!C27:K27)&gt;0),"OK","CAC DA CORREGGERE")</f>
        <v>OK</v>
      </c>
      <c r="C20" s="6" t="s">
        <v>617</v>
      </c>
    </row>
    <row r="21" customFormat="false" ht="33.75" hidden="false" customHeight="true" outlineLevel="0" collapsed="false">
      <c r="A21" s="6" t="s">
        <v>618</v>
      </c>
      <c r="B21" s="15" t="str">
        <f aca="false">IF(AND(ISNUMBER(Parametri_v3!C46),ISNUMBER(Parametri_v3!C47)),"INSERITA","MANCANTE")</f>
        <v>MANCANTE</v>
      </c>
      <c r="C21" s="6" t="s">
        <v>619</v>
      </c>
    </row>
    <row r="22" customFormat="false" ht="15" hidden="false" customHeight="false" outlineLevel="0" collapsed="false">
      <c r="A22" s="6" t="s">
        <v>620</v>
      </c>
      <c r="B22" s="61" t="str">
        <f aca="false">IF(Parametri_v3!C64=1,"INCLUSO: VERIFICARE SEDE","ESCLUSO")</f>
        <v>INCLUSO: VERIFICARE SEDE</v>
      </c>
      <c r="C22" s="6" t="s">
        <v>621</v>
      </c>
    </row>
    <row r="23" customFormat="false" ht="15" hidden="false" customHeight="false" outlineLevel="0" collapsed="false">
      <c r="A23" s="6" t="s">
        <v>622</v>
      </c>
      <c r="B23" s="61" t="n">
        <f aca="false">COUNTIF(Requisiti!C22:G22,"RISCHIO PREVALENZA CONSULENZA")</f>
        <v>4</v>
      </c>
      <c r="C23" s="6" t="s">
        <v>623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&amp;CLexShield v3 | Proiezioni condizionate, non bilanci certificati&amp;RPagina &amp;P /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9"/>
    <col collapsed="false" customWidth="true" hidden="false" outlineLevel="0" max="2" min="2" style="1" width="100"/>
    <col collapsed="false" customWidth="true" hidden="false" outlineLevel="0" max="3" min="3" style="1" width="68"/>
    <col collapsed="false" customWidth="true" hidden="false" outlineLevel="0" max="9" min="4" style="1" width="18"/>
  </cols>
  <sheetData>
    <row r="1" customFormat="false" ht="30" hidden="false" customHeight="true" outlineLevel="0" collapsed="false">
      <c r="A1" s="2" t="s">
        <v>624</v>
      </c>
      <c r="B1" s="2"/>
      <c r="C1" s="2"/>
      <c r="D1" s="2"/>
      <c r="E1" s="2"/>
      <c r="F1" s="2"/>
      <c r="G1" s="2"/>
      <c r="H1" s="2"/>
    </row>
    <row r="2" customFormat="false" ht="42" hidden="false" customHeight="true" outlineLevel="0" collapsed="false">
      <c r="A2" s="3" t="s">
        <v>625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A4" s="4" t="s">
        <v>626</v>
      </c>
      <c r="B4" s="4" t="s">
        <v>627</v>
      </c>
      <c r="C4" s="4" t="s">
        <v>531</v>
      </c>
    </row>
    <row r="5" customFormat="false" ht="51.75" hidden="false" customHeight="true" outlineLevel="0" collapsed="false">
      <c r="A5" s="5" t="s">
        <v>628</v>
      </c>
      <c r="B5" s="6" t="s">
        <v>629</v>
      </c>
      <c r="C5" s="6" t="s">
        <v>630</v>
      </c>
    </row>
    <row r="6" customFormat="false" ht="51.75" hidden="false" customHeight="true" outlineLevel="0" collapsed="false">
      <c r="A6" s="5" t="s">
        <v>631</v>
      </c>
      <c r="B6" s="6" t="s">
        <v>566</v>
      </c>
      <c r="C6" s="6" t="s">
        <v>632</v>
      </c>
    </row>
    <row r="7" customFormat="false" ht="51.75" hidden="false" customHeight="true" outlineLevel="0" collapsed="false">
      <c r="A7" s="5" t="s">
        <v>633</v>
      </c>
      <c r="B7" s="6" t="s">
        <v>567</v>
      </c>
      <c r="C7" s="6" t="s">
        <v>634</v>
      </c>
    </row>
    <row r="8" customFormat="false" ht="51.75" hidden="false" customHeight="true" outlineLevel="0" collapsed="false">
      <c r="A8" s="5" t="s">
        <v>24</v>
      </c>
      <c r="B8" s="6" t="s">
        <v>635</v>
      </c>
      <c r="C8" s="6" t="s">
        <v>636</v>
      </c>
    </row>
    <row r="9" customFormat="false" ht="51.75" hidden="false" customHeight="true" outlineLevel="0" collapsed="false">
      <c r="A9" s="5" t="s">
        <v>170</v>
      </c>
      <c r="B9" s="6" t="s">
        <v>637</v>
      </c>
      <c r="C9" s="6" t="s">
        <v>638</v>
      </c>
    </row>
    <row r="10" customFormat="false" ht="51.75" hidden="false" customHeight="true" outlineLevel="0" collapsed="false">
      <c r="A10" s="5" t="s">
        <v>639</v>
      </c>
      <c r="B10" s="6" t="s">
        <v>640</v>
      </c>
      <c r="C10" s="6" t="s">
        <v>641</v>
      </c>
    </row>
    <row r="11" customFormat="false" ht="51.75" hidden="false" customHeight="true" outlineLevel="0" collapsed="false">
      <c r="A11" s="5" t="s">
        <v>642</v>
      </c>
      <c r="B11" s="6" t="s">
        <v>643</v>
      </c>
      <c r="C11" s="6" t="s">
        <v>641</v>
      </c>
    </row>
    <row r="12" customFormat="false" ht="51.75" hidden="false" customHeight="true" outlineLevel="0" collapsed="false">
      <c r="A12" s="5" t="s">
        <v>644</v>
      </c>
      <c r="B12" s="6" t="s">
        <v>645</v>
      </c>
      <c r="C12" s="6" t="s">
        <v>646</v>
      </c>
    </row>
    <row r="13" customFormat="false" ht="51.75" hidden="false" customHeight="true" outlineLevel="0" collapsed="false">
      <c r="A13" s="5" t="s">
        <v>647</v>
      </c>
      <c r="B13" s="6" t="s">
        <v>648</v>
      </c>
      <c r="C13" s="6" t="s">
        <v>649</v>
      </c>
    </row>
    <row r="14" customFormat="false" ht="51.75" hidden="false" customHeight="true" outlineLevel="0" collapsed="false">
      <c r="A14" s="5" t="s">
        <v>28</v>
      </c>
      <c r="B14" s="6" t="s">
        <v>650</v>
      </c>
      <c r="C14" s="6" t="s">
        <v>651</v>
      </c>
    </row>
    <row r="15" customFormat="false" ht="51.75" hidden="false" customHeight="true" outlineLevel="0" collapsed="false">
      <c r="A15" s="5" t="s">
        <v>652</v>
      </c>
      <c r="B15" s="6" t="s">
        <v>653</v>
      </c>
      <c r="C15" s="6" t="s">
        <v>654</v>
      </c>
    </row>
    <row r="16" customFormat="false" ht="51.75" hidden="false" customHeight="true" outlineLevel="0" collapsed="false">
      <c r="A16" s="5" t="s">
        <v>655</v>
      </c>
      <c r="B16" s="6" t="s">
        <v>656</v>
      </c>
      <c r="C16" s="6" t="s">
        <v>657</v>
      </c>
    </row>
    <row r="20" customFormat="false" ht="15" hidden="false" customHeight="true" outlineLevel="0" collapsed="false">
      <c r="A20" s="6" t="s">
        <v>658</v>
      </c>
      <c r="B20" s="6" t="s">
        <v>659</v>
      </c>
      <c r="C20" s="6" t="s">
        <v>660</v>
      </c>
    </row>
    <row r="21" customFormat="false" ht="15" hidden="false" customHeight="true" outlineLevel="0" collapsed="false">
      <c r="A21" s="6" t="s">
        <v>661</v>
      </c>
      <c r="B21" s="6" t="s">
        <v>662</v>
      </c>
      <c r="C21" s="6" t="s">
        <v>660</v>
      </c>
    </row>
    <row r="22" customFormat="false" ht="27.75" hidden="false" customHeight="true" outlineLevel="0" collapsed="false">
      <c r="A22" s="6" t="s">
        <v>663</v>
      </c>
      <c r="B22" s="6" t="s">
        <v>664</v>
      </c>
      <c r="C22" s="6" t="s">
        <v>660</v>
      </c>
    </row>
    <row r="23" customFormat="false" ht="15" hidden="false" customHeight="true" outlineLevel="0" collapsed="false">
      <c r="A23" s="6" t="s">
        <v>665</v>
      </c>
      <c r="B23" s="6" t="s">
        <v>666</v>
      </c>
      <c r="C23" s="6" t="s">
        <v>660</v>
      </c>
    </row>
    <row r="24" customFormat="false" ht="27.75" hidden="false" customHeight="true" outlineLevel="0" collapsed="false">
      <c r="A24" s="6" t="s">
        <v>667</v>
      </c>
      <c r="B24" s="6" t="s">
        <v>668</v>
      </c>
      <c r="C24" s="6" t="s">
        <v>660</v>
      </c>
    </row>
    <row r="26" customFormat="false" ht="28.35" hidden="false" customHeight="false" outlineLevel="0" collapsed="false">
      <c r="A26" s="5" t="s">
        <v>669</v>
      </c>
      <c r="B26" s="6" t="s">
        <v>670</v>
      </c>
      <c r="C26" s="6" t="s">
        <v>671</v>
      </c>
    </row>
    <row r="27" customFormat="false" ht="15" hidden="false" customHeight="false" outlineLevel="0" collapsed="false">
      <c r="A27" s="5" t="s">
        <v>672</v>
      </c>
      <c r="B27" s="6" t="s">
        <v>673</v>
      </c>
      <c r="C27" s="6" t="s">
        <v>674</v>
      </c>
    </row>
    <row r="28" customFormat="false" ht="15" hidden="false" customHeight="false" outlineLevel="0" collapsed="false">
      <c r="A28" s="5" t="s">
        <v>675</v>
      </c>
      <c r="B28" s="6" t="s">
        <v>676</v>
      </c>
      <c r="C28" s="6" t="s">
        <v>677</v>
      </c>
    </row>
    <row r="29" customFormat="false" ht="15" hidden="false" customHeight="false" outlineLevel="0" collapsed="false">
      <c r="A29" s="5" t="s">
        <v>678</v>
      </c>
      <c r="B29" s="6" t="s">
        <v>679</v>
      </c>
      <c r="C29" s="6" t="s">
        <v>680</v>
      </c>
    </row>
    <row r="30" customFormat="false" ht="15" hidden="false" customHeight="false" outlineLevel="0" collapsed="false">
      <c r="A30" s="5" t="s">
        <v>681</v>
      </c>
      <c r="B30" s="6" t="s">
        <v>682</v>
      </c>
      <c r="C30" s="6" t="s">
        <v>683</v>
      </c>
    </row>
    <row r="31" customFormat="false" ht="15" hidden="false" customHeight="false" outlineLevel="0" collapsed="false">
      <c r="A31" s="5" t="s">
        <v>684</v>
      </c>
      <c r="B31" s="6" t="s">
        <v>685</v>
      </c>
      <c r="C31" s="6" t="s">
        <v>686</v>
      </c>
    </row>
    <row r="32" customFormat="false" ht="15" hidden="false" customHeight="false" outlineLevel="0" collapsed="false">
      <c r="A32" s="5" t="s">
        <v>687</v>
      </c>
      <c r="B32" s="6" t="s">
        <v>688</v>
      </c>
      <c r="C32" s="6" t="s">
        <v>689</v>
      </c>
    </row>
    <row r="33" customFormat="false" ht="15" hidden="false" customHeight="false" outlineLevel="0" collapsed="false">
      <c r="A33" s="5" t="s">
        <v>690</v>
      </c>
      <c r="B33" s="6" t="s">
        <v>691</v>
      </c>
      <c r="C33" s="6" t="s">
        <v>692</v>
      </c>
    </row>
    <row r="34" customFormat="false" ht="15" hidden="false" customHeight="false" outlineLevel="0" collapsed="false">
      <c r="A34" s="5" t="s">
        <v>693</v>
      </c>
      <c r="B34" s="6" t="s">
        <v>694</v>
      </c>
      <c r="C34" s="6" t="s">
        <v>695</v>
      </c>
    </row>
    <row r="35" customFormat="false" ht="15" hidden="false" customHeight="false" outlineLevel="0" collapsed="false">
      <c r="A35" s="5" t="s">
        <v>696</v>
      </c>
      <c r="B35" s="6" t="s">
        <v>697</v>
      </c>
      <c r="C35" s="6" t="s">
        <v>698</v>
      </c>
    </row>
    <row r="36" customFormat="false" ht="15" hidden="false" customHeight="false" outlineLevel="0" collapsed="false">
      <c r="A36" s="5" t="s">
        <v>699</v>
      </c>
      <c r="B36" s="6" t="s">
        <v>700</v>
      </c>
      <c r="C36" s="6" t="s">
        <v>701</v>
      </c>
    </row>
    <row r="37" customFormat="false" ht="15" hidden="false" customHeight="false" outlineLevel="0" collapsed="false">
      <c r="A37" s="5" t="s">
        <v>702</v>
      </c>
      <c r="B37" s="6" t="s">
        <v>703</v>
      </c>
      <c r="C37" s="6" t="s">
        <v>701</v>
      </c>
    </row>
    <row r="38" customFormat="false" ht="15" hidden="false" customHeight="false" outlineLevel="0" collapsed="false">
      <c r="A38" s="5" t="s">
        <v>704</v>
      </c>
      <c r="B38" s="6" t="s">
        <v>705</v>
      </c>
      <c r="C38" s="6" t="s">
        <v>44</v>
      </c>
    </row>
    <row r="39" customFormat="false" ht="15" hidden="false" customHeight="false" outlineLevel="0" collapsed="false">
      <c r="A39" s="5" t="s">
        <v>706</v>
      </c>
      <c r="B39" s="6" t="s">
        <v>707</v>
      </c>
      <c r="C39" s="6" t="s">
        <v>708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&amp;CLexShield v3 | Proiezioni condizionate, non bilanci certificati&amp;RPagina &amp;P /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9"/>
    <col collapsed="false" customWidth="true" hidden="false" outlineLevel="0" max="2" min="2" style="1" width="12"/>
    <col collapsed="false" customWidth="true" hidden="false" outlineLevel="0" max="7" min="3" style="1" width="21"/>
    <col collapsed="false" customWidth="true" hidden="false" outlineLevel="0" max="9" min="8" style="1" width="18"/>
  </cols>
  <sheetData>
    <row r="1" customFormat="false" ht="30" hidden="false" customHeight="true" outlineLevel="0" collapsed="false">
      <c r="A1" s="2" t="s">
        <v>709</v>
      </c>
      <c r="B1" s="2"/>
      <c r="C1" s="2"/>
      <c r="D1" s="2"/>
      <c r="E1" s="2"/>
      <c r="F1" s="2"/>
      <c r="G1" s="2"/>
      <c r="H1" s="2"/>
    </row>
    <row r="2" customFormat="false" ht="42" hidden="false" customHeight="true" outlineLevel="0" collapsed="false">
      <c r="A2" s="3" t="s">
        <v>710</v>
      </c>
      <c r="B2" s="3"/>
      <c r="C2" s="3"/>
      <c r="D2" s="3"/>
      <c r="E2" s="3"/>
      <c r="F2" s="3"/>
      <c r="G2" s="3"/>
      <c r="H2" s="3"/>
    </row>
    <row r="4" customFormat="false" ht="31.5" hidden="false" customHeight="true" outlineLevel="0" collapsed="false">
      <c r="A4" s="4" t="s">
        <v>711</v>
      </c>
      <c r="B4" s="4" t="s">
        <v>86</v>
      </c>
      <c r="C4" s="4" t="n">
        <v>2027</v>
      </c>
      <c r="D4" s="4" t="n">
        <v>2028</v>
      </c>
      <c r="E4" s="4" t="n">
        <v>2029</v>
      </c>
      <c r="F4" s="4" t="n">
        <v>2030</v>
      </c>
      <c r="G4" s="4" t="n">
        <v>2031</v>
      </c>
    </row>
    <row r="5" customFormat="false" ht="27.75" hidden="false" customHeight="true" outlineLevel="0" collapsed="false">
      <c r="A5" s="6" t="s">
        <v>712</v>
      </c>
      <c r="C5" s="57" t="n">
        <v>295000</v>
      </c>
      <c r="D5" s="57" t="n">
        <v>806500</v>
      </c>
      <c r="E5" s="57" t="n">
        <v>1745750</v>
      </c>
      <c r="F5" s="57" t="n">
        <v>3202000</v>
      </c>
      <c r="G5" s="57" t="n">
        <v>5166500</v>
      </c>
    </row>
    <row r="6" customFormat="false" ht="27.75" hidden="false" customHeight="true" outlineLevel="0" collapsed="false">
      <c r="A6" s="6" t="s">
        <v>713</v>
      </c>
      <c r="C6" s="57" t="n">
        <v>5000</v>
      </c>
      <c r="D6" s="57" t="n">
        <v>80000</v>
      </c>
      <c r="E6" s="57" t="n">
        <v>453750</v>
      </c>
      <c r="F6" s="57" t="n">
        <v>1320000</v>
      </c>
      <c r="G6" s="57" t="n">
        <v>2697000</v>
      </c>
    </row>
    <row r="7" customFormat="false" ht="27.75" hidden="false" customHeight="true" outlineLevel="0" collapsed="false">
      <c r="A7" s="6" t="s">
        <v>714</v>
      </c>
      <c r="C7" s="57" t="n">
        <v>-164825</v>
      </c>
      <c r="D7" s="57" t="n">
        <v>-194930</v>
      </c>
      <c r="E7" s="57" t="n">
        <v>-219008.75</v>
      </c>
      <c r="F7" s="57" t="n">
        <v>362008.147</v>
      </c>
      <c r="G7" s="57" t="n">
        <v>1288411.00117</v>
      </c>
    </row>
    <row r="8" customFormat="false" ht="27.75" hidden="false" customHeight="true" outlineLevel="0" collapsed="false">
      <c r="A8" s="6" t="s">
        <v>715</v>
      </c>
      <c r="C8" s="57" t="n">
        <v>0</v>
      </c>
      <c r="D8" s="57" t="n">
        <v>87817.8378356164</v>
      </c>
      <c r="E8" s="57" t="n">
        <v>548465.631496256</v>
      </c>
      <c r="F8" s="57" t="n">
        <v>325614.865096301</v>
      </c>
      <c r="G8" s="57" t="n">
        <v>781783.121422969</v>
      </c>
    </row>
    <row r="9" customFormat="false" ht="27.75" hidden="false" customHeight="true" outlineLevel="0" collapsed="false">
      <c r="A9" s="6" t="s">
        <v>716</v>
      </c>
      <c r="C9" s="57" t="n">
        <v>20402.6130136986</v>
      </c>
      <c r="D9" s="57" t="n">
        <v>25769.0717123288</v>
      </c>
      <c r="E9" s="57" t="n">
        <v>81558.4313641553</v>
      </c>
      <c r="F9" s="57" t="n">
        <v>185185.616570801</v>
      </c>
      <c r="G9" s="57" t="n">
        <v>310915.122836897</v>
      </c>
    </row>
    <row r="10" customFormat="false" ht="27.75" hidden="false" customHeight="true" outlineLevel="0" collapsed="false">
      <c r="A10" s="6" t="s">
        <v>717</v>
      </c>
      <c r="C10" s="57" t="n">
        <v>5.75</v>
      </c>
      <c r="D10" s="57" t="n">
        <v>13</v>
      </c>
      <c r="E10" s="57" t="n">
        <v>24</v>
      </c>
      <c r="F10" s="57" t="n">
        <v>33.5</v>
      </c>
      <c r="G10" s="57" t="n">
        <v>44.5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&amp;CLexShield v3 | Proiezioni condizionate, non bilanci certificati&amp;RPagina &amp;P / &amp;N</oddFooter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M54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1" min="1" style="1" width="18"/>
  </cols>
  <sheetData>
    <row r="1" customFormat="false" ht="30" hidden="false" customHeight="true" outlineLevel="0" collapsed="false">
      <c r="A1" s="2" t="s">
        <v>718</v>
      </c>
      <c r="B1" s="2"/>
      <c r="C1" s="2"/>
      <c r="D1" s="2"/>
      <c r="E1" s="2"/>
      <c r="F1" s="2"/>
      <c r="G1" s="2"/>
      <c r="H1" s="2"/>
    </row>
    <row r="2" customFormat="false" ht="42" hidden="false" customHeight="true" outlineLevel="0" collapsed="false">
      <c r="A2" s="3" t="s">
        <v>719</v>
      </c>
      <c r="B2" s="3"/>
      <c r="C2" s="3"/>
      <c r="D2" s="3"/>
      <c r="E2" s="3"/>
      <c r="F2" s="3"/>
      <c r="G2" s="3"/>
      <c r="H2" s="3"/>
    </row>
    <row r="4" customFormat="false" ht="64.5" hidden="false" customHeight="true" outlineLevel="0" collapsed="false">
      <c r="A4" s="4" t="s">
        <v>183</v>
      </c>
      <c r="B4" s="4" t="s">
        <v>720</v>
      </c>
      <c r="C4" s="4" t="s">
        <v>721</v>
      </c>
      <c r="D4" s="4" t="s">
        <v>77</v>
      </c>
      <c r="E4" s="4" t="s">
        <v>166</v>
      </c>
      <c r="F4" s="4" t="s">
        <v>722</v>
      </c>
      <c r="G4" s="4" t="s">
        <v>723</v>
      </c>
      <c r="H4" s="4" t="s">
        <v>724</v>
      </c>
      <c r="I4" s="4" t="s">
        <v>725</v>
      </c>
      <c r="J4" s="4" t="s">
        <v>726</v>
      </c>
      <c r="K4" s="4" t="s">
        <v>727</v>
      </c>
      <c r="L4" s="4" t="s">
        <v>728</v>
      </c>
      <c r="M4" s="4" t="s">
        <v>729</v>
      </c>
      <c r="N4" s="4" t="s">
        <v>730</v>
      </c>
      <c r="O4" s="4" t="s">
        <v>731</v>
      </c>
      <c r="P4" s="4" t="s">
        <v>732</v>
      </c>
      <c r="Q4" s="4" t="s">
        <v>733</v>
      </c>
      <c r="R4" s="4" t="s">
        <v>734</v>
      </c>
      <c r="S4" s="4" t="s">
        <v>735</v>
      </c>
      <c r="T4" s="4" t="s">
        <v>736</v>
      </c>
      <c r="U4" s="4" t="s">
        <v>737</v>
      </c>
      <c r="V4" s="4" t="s">
        <v>738</v>
      </c>
      <c r="W4" s="4" t="s">
        <v>739</v>
      </c>
      <c r="X4" s="4" t="s">
        <v>740</v>
      </c>
      <c r="Y4" s="4" t="s">
        <v>741</v>
      </c>
      <c r="Z4" s="4" t="s">
        <v>742</v>
      </c>
      <c r="AA4" s="4" t="s">
        <v>743</v>
      </c>
      <c r="AB4" s="4" t="s">
        <v>744</v>
      </c>
      <c r="AC4" s="4" t="s">
        <v>745</v>
      </c>
      <c r="AD4" s="4" t="s">
        <v>746</v>
      </c>
      <c r="AE4" s="4" t="s">
        <v>747</v>
      </c>
      <c r="AF4" s="4" t="s">
        <v>748</v>
      </c>
      <c r="AG4" s="4" t="s">
        <v>749</v>
      </c>
      <c r="AH4" s="4" t="s">
        <v>750</v>
      </c>
      <c r="AI4" s="4" t="s">
        <v>751</v>
      </c>
      <c r="AJ4" s="4" t="s">
        <v>752</v>
      </c>
      <c r="AK4" s="4" t="s">
        <v>90</v>
      </c>
      <c r="AL4" s="4" t="s">
        <v>91</v>
      </c>
      <c r="AM4" s="4" t="s">
        <v>753</v>
      </c>
      <c r="AN4" s="4" t="s">
        <v>754</v>
      </c>
      <c r="AO4" s="4" t="s">
        <v>755</v>
      </c>
      <c r="AP4" s="4" t="s">
        <v>756</v>
      </c>
      <c r="AQ4" s="4" t="s">
        <v>757</v>
      </c>
      <c r="AR4" s="4" t="s">
        <v>758</v>
      </c>
      <c r="AS4" s="4" t="s">
        <v>759</v>
      </c>
      <c r="AT4" s="4" t="s">
        <v>102</v>
      </c>
      <c r="AU4" s="4" t="s">
        <v>760</v>
      </c>
      <c r="AV4" s="4" t="s">
        <v>761</v>
      </c>
      <c r="AW4" s="4" t="s">
        <v>762</v>
      </c>
      <c r="AX4" s="4" t="s">
        <v>763</v>
      </c>
      <c r="AY4" s="4" t="s">
        <v>764</v>
      </c>
      <c r="AZ4" s="4" t="s">
        <v>765</v>
      </c>
      <c r="BA4" s="4" t="s">
        <v>766</v>
      </c>
      <c r="BB4" s="4" t="s">
        <v>767</v>
      </c>
      <c r="BC4" s="4" t="s">
        <v>768</v>
      </c>
      <c r="BD4" s="4" t="s">
        <v>769</v>
      </c>
      <c r="BE4" s="4" t="s">
        <v>770</v>
      </c>
      <c r="BF4" s="4" t="s">
        <v>89</v>
      </c>
      <c r="BG4" s="4" t="s">
        <v>771</v>
      </c>
      <c r="BH4" s="4" t="s">
        <v>772</v>
      </c>
      <c r="BI4" s="4" t="s">
        <v>773</v>
      </c>
      <c r="BJ4" s="4" t="s">
        <v>774</v>
      </c>
      <c r="BK4" s="4" t="s">
        <v>775</v>
      </c>
      <c r="BL4" s="4" t="s">
        <v>776</v>
      </c>
      <c r="BM4" s="4" t="s">
        <v>777</v>
      </c>
      <c r="BN4" s="4" t="s">
        <v>778</v>
      </c>
      <c r="BO4" s="4" t="s">
        <v>779</v>
      </c>
      <c r="BP4" s="4" t="s">
        <v>780</v>
      </c>
      <c r="BQ4" s="4" t="s">
        <v>781</v>
      </c>
      <c r="BR4" s="4" t="s">
        <v>782</v>
      </c>
      <c r="BS4" s="4" t="s">
        <v>783</v>
      </c>
      <c r="BT4" s="4" t="s">
        <v>784</v>
      </c>
      <c r="BU4" s="4" t="s">
        <v>785</v>
      </c>
      <c r="BV4" s="4" t="s">
        <v>786</v>
      </c>
      <c r="BW4" s="4" t="s">
        <v>787</v>
      </c>
      <c r="BX4" s="4" t="s">
        <v>788</v>
      </c>
      <c r="BY4" s="4" t="s">
        <v>789</v>
      </c>
      <c r="BZ4" s="4" t="s">
        <v>790</v>
      </c>
      <c r="CA4" s="4" t="s">
        <v>791</v>
      </c>
      <c r="CB4" s="4" t="s">
        <v>792</v>
      </c>
      <c r="CC4" s="4" t="s">
        <v>793</v>
      </c>
      <c r="CD4" s="4" t="s">
        <v>794</v>
      </c>
      <c r="CE4" s="4" t="s">
        <v>795</v>
      </c>
      <c r="CF4" s="4" t="s">
        <v>796</v>
      </c>
      <c r="CG4" s="4" t="s">
        <v>797</v>
      </c>
      <c r="CH4" s="4" t="s">
        <v>798</v>
      </c>
      <c r="CI4" s="4" t="s">
        <v>799</v>
      </c>
      <c r="CJ4" s="4" t="s">
        <v>800</v>
      </c>
      <c r="CK4" s="4" t="s">
        <v>801</v>
      </c>
      <c r="CL4" s="4" t="s">
        <v>802</v>
      </c>
      <c r="CM4" s="4" t="s">
        <v>803</v>
      </c>
    </row>
    <row r="5" customFormat="false" ht="18" hidden="false" customHeight="true" outlineLevel="0" collapsed="false">
      <c r="A5" s="68" t="n">
        <f aca="false">1</f>
        <v>1</v>
      </c>
      <c r="B5" s="68" t="n">
        <f aca="false">1</f>
        <v>1</v>
      </c>
      <c r="C5" s="18" t="n">
        <f aca="false">EDATE(Parametri_v3!$C$5,1-1)</f>
        <v>46388</v>
      </c>
      <c r="D5" s="68" t="n">
        <f aca="false">YEAR(C5)</f>
        <v>2027</v>
      </c>
      <c r="E5" s="68" t="n">
        <f aca="false">MONTH(C5)</f>
        <v>1</v>
      </c>
      <c r="F5" s="68" t="n">
        <f aca="false">INT((1-1)/12)+1</f>
        <v>1</v>
      </c>
      <c r="G5" s="15" t="n">
        <f aca="false">Ipotesi!C7</f>
        <v>0.75</v>
      </c>
      <c r="H5" s="15" t="n">
        <f aca="false">Ipotesi!C9</f>
        <v>1</v>
      </c>
      <c r="I5" s="15" t="n">
        <f aca="false">Ipotesi!C10</f>
        <v>1</v>
      </c>
      <c r="J5" s="15" t="n">
        <f aca="false">Ipotesi!C11</f>
        <v>1</v>
      </c>
      <c r="K5" s="15" t="n">
        <f aca="false">Ipotesi!C12</f>
        <v>1</v>
      </c>
      <c r="L5" s="15" t="n">
        <f aca="false">Ipotesi!C13</f>
        <v>90</v>
      </c>
      <c r="M5" s="17" t="n">
        <f aca="false">INDEX(Ipotesi!$C$40:$G$40,1,F5)</f>
        <v>1</v>
      </c>
      <c r="N5" s="17" t="n">
        <f aca="false">INDEX(Ipotesi!$C$41:$G$41,1,F5)</f>
        <v>0.75</v>
      </c>
      <c r="O5" s="17" t="n">
        <f aca="false">INDEX(Ipotesi!$C$42:$G$42,1,F5)*Ipotesi!C125</f>
        <v>1</v>
      </c>
      <c r="P5" s="17" t="n">
        <f aca="false">INDEX(Ipotesi!$C$43:$G$43,1,F5)*I5</f>
        <v>1</v>
      </c>
      <c r="Q5" s="17" t="n">
        <f aca="false">INDEX(Ipotesi!$C$44:$G$44,1,F5)*I5</f>
        <v>0.5</v>
      </c>
      <c r="R5" s="17" t="n">
        <f aca="false">INDEX(Ipotesi!$C$45:$G$45,1,F5)*I5</f>
        <v>0</v>
      </c>
      <c r="S5" s="17" t="n">
        <f aca="false">INDEX(Ipotesi!$C$52:$G$52,1,F5)*Ipotesi!C125</f>
        <v>1.5</v>
      </c>
      <c r="T5" s="17" t="n">
        <f aca="false">INDEX(Ipotesi!$C$53:$G$53,1,F5)*I5</f>
        <v>0</v>
      </c>
      <c r="U5" s="17" t="n">
        <f aca="false">INDEX(Ipotesi!$C$54:$G$54,1,F5)*I5</f>
        <v>0</v>
      </c>
      <c r="V5" s="15" t="n">
        <f aca="false">M5*INDEX(Ipotesi!$C$58:$G$58,1,F5)*K5/12</f>
        <v>3333.33333333333</v>
      </c>
      <c r="W5" s="15" t="n">
        <f aca="false">N5*Ipotesi!$C$59*(1+Ipotesi!$C$66)^(F5-1)/12</f>
        <v>4375</v>
      </c>
      <c r="X5" s="15" t="n">
        <f aca="false">O5*Ipotesi!$C$60*(1+Ipotesi!$C$66)^(F5-1)/12</f>
        <v>4166.66666666667</v>
      </c>
      <c r="Y5" s="15" t="n">
        <f aca="false">P5*Ipotesi!$C$61*(1+Ipotesi!$C$66)^(F5-1)/12</f>
        <v>4166.66666666667</v>
      </c>
      <c r="Z5" s="15" t="n">
        <f aca="false">Q5*Ipotesi!$C$62*(1+Ipotesi!$C$66)^(F5-1)/12</f>
        <v>1875</v>
      </c>
      <c r="AA5" s="15" t="n">
        <f aca="false">R5*Ipotesi!$C$63*(1+Ipotesi!$C$66)^(F5-1)/12</f>
        <v>0</v>
      </c>
      <c r="AB5" s="15" t="n">
        <f aca="false">SUM(V5:AA5)</f>
        <v>17916.6666666667</v>
      </c>
      <c r="AC5" s="15" t="n">
        <f aca="false">(S5*Ipotesi!$C$64+T5*Ipotesi!$C$65+U5*Ipotesi!$C$63)*(1+Ipotesi!$C$66)^(F5-1)/12</f>
        <v>5250</v>
      </c>
      <c r="AD5" s="15" t="n">
        <f aca="false">INDEX(Ipotesi!$C$48:$G$48,1,F5)*G5/12</f>
        <v>12.5</v>
      </c>
      <c r="AE5" s="15" t="n">
        <f aca="false">INDEX(Ipotesi!$C$50:$G$50,1,F5)*G5/12</f>
        <v>1.5625</v>
      </c>
      <c r="AF5" s="15" t="n">
        <f aca="false">(S5*Parametri_v3!$C$7*Parametri_v3!$C$8+Parametri_v3!$C$10)/12</f>
        <v>19.25</v>
      </c>
      <c r="AG5" s="15" t="n">
        <f aca="false">AD5+AE5*(1+Parametri_v3!$C$9)</f>
        <v>14.84375</v>
      </c>
      <c r="AH5" s="16" t="n">
        <f aca="false">IF(AG5=0,1,MIN(1,AF5/AG5))</f>
        <v>1</v>
      </c>
      <c r="AI5" s="15" t="n">
        <f aca="false">AD5*AH5</f>
        <v>12.5</v>
      </c>
      <c r="AJ5" s="15" t="n">
        <f aca="false">AE5*AH5</f>
        <v>1.5625</v>
      </c>
      <c r="AK5" s="15" t="n">
        <f aca="false">AI5*INDEX(Ipotesi!$C$49:$G$49,1,F5)*H5</f>
        <v>9375</v>
      </c>
      <c r="AL5" s="15" t="n">
        <f aca="false">AJ5*INDEX(Ipotesi!$C$51:$G$51,1,F5)*H5</f>
        <v>3125</v>
      </c>
      <c r="AM5" s="15" t="n">
        <f aca="false">AK5+AL5</f>
        <v>12500</v>
      </c>
      <c r="AN5" s="15" t="n">
        <f aca="false">INDEX(Ipotesi!$C$30:$G$30,1,F5)*G5/12</f>
        <v>6.25</v>
      </c>
      <c r="AO5" s="15" t="n">
        <f aca="false">O5*Parametri_v3!$C$7*Parametri_v3!$C$11*(1-Parametri_v3!$C$14)/12</f>
        <v>10.2666666666667</v>
      </c>
      <c r="AP5" s="15" t="n">
        <f aca="false">MIN(AN5,AO5)</f>
        <v>6.25</v>
      </c>
      <c r="AQ5" s="15" t="n">
        <f aca="false">AP5*INDEX(Ipotesi!$C$31:$G$31,1,F5)*H5</f>
        <v>5625</v>
      </c>
      <c r="AR5" s="15" t="n">
        <f aca="false">INDEX(Ipotesi!$C$75:$G$75,1,F5)*J5/12</f>
        <v>2083.33333333333</v>
      </c>
      <c r="AS5" s="15" t="n">
        <f aca="false">INDEX(Ipotesi!$C$81:$G$81,1,F5)*J5/12</f>
        <v>416.666666666667</v>
      </c>
      <c r="AT5" s="15" t="n">
        <f aca="false">AR5*Parametri_v3!$C$15+Z5*Parametri_v3!$C$16</f>
        <v>3395.83333333333</v>
      </c>
      <c r="AU5" s="15" t="n">
        <f aca="false">Q5*Parametri_v3!$C$16*Parametri_v3!$C$17</f>
        <v>35</v>
      </c>
      <c r="AV5" s="17" t="n">
        <f aca="false">0</f>
        <v>0</v>
      </c>
      <c r="AW5" s="17" t="n">
        <f aca="false">AV5*(1-(1-INDEX(Ipotesi!$C$34:$G$34,1,F5))^(1/12))</f>
        <v>0</v>
      </c>
      <c r="AX5" s="15" t="n">
        <f aca="false">ROUND(INDEX(Ipotesi!$C$32:$G$32,1,F5)*Ipotesi!C8,0)</f>
        <v>3</v>
      </c>
      <c r="AY5" s="15" t="n">
        <f aca="false">MAX(0,(AX5-(AV5-AW5))/(13-E5))</f>
        <v>0.25</v>
      </c>
      <c r="AZ5" s="15" t="n">
        <f aca="false">MIN(P5*Parametri_v3!$C$22,Q5*(1-Parametri_v3!$C$16)*Parametri_v3!$C$23)</f>
        <v>22.5</v>
      </c>
      <c r="BA5" s="15" t="n">
        <f aca="false">IF(OR(INDEX(Ipotesi!$C$35:$G$35,1,F5)&lt;=0,1-Parametri_v3!$C$21&lt;1),0,INDEX($AT$5:$AT$64,MAX(1,1-Parametri_v3!$C$21))/(INDEX(Ipotesi!$C$35:$G$35,1,F5)*Ipotesi!C27))</f>
        <v>0</v>
      </c>
      <c r="BB5" s="15" t="n">
        <f aca="false">IF(1-Parametri_v3!$C$21&lt;1,0,INDEX($AU$5:$AU$64,MAX(1,1-Parametri_v3!$C$21)))*Parametri_v3!$C$18*Parametri_v3!$C$19*Parametri_v3!$C$20</f>
        <v>0</v>
      </c>
      <c r="BC5" s="17" t="n">
        <f aca="false">MAX(0,MIN(AY5,BA5,BB5,MAX(0,AZ5-(AV5-AW5))))</f>
        <v>0</v>
      </c>
      <c r="BD5" s="17" t="n">
        <f aca="false">AV5-AW5+BC5</f>
        <v>0</v>
      </c>
      <c r="BE5" s="17" t="n">
        <f aca="false">(AV5+BD5)/2</f>
        <v>0</v>
      </c>
      <c r="BF5" s="15" t="n">
        <f aca="false">BE5*INDEX(Ipotesi!$C$33:$G$33,1,F5)*H5/12</f>
        <v>0</v>
      </c>
      <c r="BG5" s="15" t="n">
        <f aca="false">BD5*INDEX(Ipotesi!$C$33:$G$33,1,F5)*H5</f>
        <v>0</v>
      </c>
      <c r="BH5" s="15" t="n">
        <f aca="false">AM5*INDEX(Ipotesi!$C$37:$G$37,1,F5)</f>
        <v>1250</v>
      </c>
      <c r="BI5" s="15" t="n">
        <f aca="false">AQ5+BF5+BH5</f>
        <v>6875</v>
      </c>
      <c r="BJ5" s="15" t="n">
        <f aca="false">INDEX(Ipotesi!$C$68:$G$68,1,F5)*Ipotesi!$C$69/12</f>
        <v>1000</v>
      </c>
      <c r="BK5" s="15" t="n">
        <f aca="false">INDEX(Ipotesi!$C$68:$G$68,1,F5)*(1-Ipotesi!$C$69)/12</f>
        <v>1500</v>
      </c>
      <c r="BL5" s="15" t="n">
        <f aca="false">(AQ5+BF5)*Ipotesi!$C$67</f>
        <v>168.75</v>
      </c>
      <c r="BM5" s="15" t="n">
        <f aca="false">AM5*Ipotesi!$C$67</f>
        <v>375</v>
      </c>
      <c r="BN5" s="15" t="n">
        <f aca="false">INDEX(Ipotesi!$C$72:$G$72,1,F5)/12*Ipotesi!C126+BF5*Ipotesi!$C$73</f>
        <v>1250</v>
      </c>
      <c r="BO5" s="15" t="n">
        <f aca="false">INDEX(Ipotesi!$C$74:$G$74,1,F5)/12*Ipotesi!C126</f>
        <v>1000</v>
      </c>
      <c r="BP5" s="15" t="n">
        <f aca="false">INDEX(Ipotesi!$C$76:$G$76,1,F5)/12</f>
        <v>500</v>
      </c>
      <c r="BQ5" s="15" t="n">
        <f aca="false">INDEX(Ipotesi!$C$77:$G$77,1,F5)/12*Ipotesi!C126</f>
        <v>1250</v>
      </c>
      <c r="BR5" s="15" t="n">
        <f aca="false">INDEX(Ipotesi!$C$78:$G$78,1,F5)/12</f>
        <v>1000</v>
      </c>
      <c r="BS5" s="15" t="n">
        <f aca="false">SUM(M5:R5)*(Ipotesi!$C$85+Ipotesi!$C$86)/12</f>
        <v>1239.58333333333</v>
      </c>
      <c r="BT5" s="15" t="n">
        <f aca="false">BI5*Ipotesi!$C$87</f>
        <v>206.25</v>
      </c>
      <c r="BU5" s="15" t="n">
        <f aca="false">INDEX(Ipotesi!$C$55:$G$55,1,F5)*K5/12</f>
        <v>500</v>
      </c>
      <c r="BV5" s="15" t="n">
        <f aca="false">INDEX(Ipotesi!$C$80:$G$80,1,F5)/12*Ipotesi!C126</f>
        <v>500</v>
      </c>
      <c r="BW5" s="15" t="n">
        <f aca="false">INDEX(Ipotesi!$C$82:$G$82,1,F5)/12</f>
        <v>416.666666666667</v>
      </c>
      <c r="BX5" s="15" t="n">
        <f aca="false">INDEX(Ipotesi!$C$83:$G$83,1,F5)/12</f>
        <v>500</v>
      </c>
      <c r="BY5" s="15" t="n">
        <f aca="false">SUM(S5:U5)*(Ipotesi!$C$85+Ipotesi!$C$86)/12</f>
        <v>437.5</v>
      </c>
      <c r="BZ5" s="15" t="n">
        <f aca="false">AM5*Ipotesi!$C$87</f>
        <v>375</v>
      </c>
      <c r="CA5" s="15" t="n">
        <f aca="false">AB5+BJ5+BL5+BN5+BO5+AR5+BP5+BQ5+BR5+BS5+BT5</f>
        <v>27614.5833333333</v>
      </c>
      <c r="CB5" s="15" t="n">
        <f aca="false">AC5+BK5+BM5+BH5+BU5+BV5+AS5+BW5+BX5+BY5+BZ5</f>
        <v>11520.8333333333</v>
      </c>
      <c r="CC5" s="15" t="n">
        <f aca="false">BI5-CA5</f>
        <v>-20739.5833333333</v>
      </c>
      <c r="CD5" s="15" t="n">
        <f aca="false">AM5-CB5</f>
        <v>979.166666666668</v>
      </c>
      <c r="CE5" s="15" t="n">
        <f aca="false">INDEX(Ipotesi!$C$79:$G$79,1,F5)/12</f>
        <v>1666.66666666667</v>
      </c>
      <c r="CF5" s="15" t="n">
        <f aca="false">INDEX(Ipotesi!$C$84:$G$84,1,F5)/12</f>
        <v>250</v>
      </c>
      <c r="CG5" s="15" t="n">
        <f aca="false">Y5*MAX(0,Parametri_v3!$C$12-IF(P5=0,0,MIN(1,BE5/(P5*Parametri_v3!$C$22))))+W5*Parametri_v3!$C$13+X5*Parametri_v3!$C$14</f>
        <v>7187.5</v>
      </c>
      <c r="CH5" s="15" t="n">
        <f aca="false">AB5*Parametri_v3!$C$32</f>
        <v>895.833333333334</v>
      </c>
      <c r="CI5" s="15" t="n">
        <f aca="false">AC5*Parametri_v3!$C$32</f>
        <v>262.5</v>
      </c>
      <c r="CJ5" s="15" t="n">
        <f aca="false">CA5-AB5</f>
        <v>9697.91666666666</v>
      </c>
      <c r="CK5" s="15" t="n">
        <f aca="false">CB5-AC5-BH5</f>
        <v>5020.83333333333</v>
      </c>
      <c r="CL5" s="15" t="n">
        <f aca="false">BF5*Ipotesi!$C$73+INDEX(Ipotesi!$C$72:$G$72,1,F5)/12*Ipotesi!C126*Parametri_v3!$C$58+Z5*(1-Parametri_v3!$C$16)</f>
        <v>1812.5</v>
      </c>
      <c r="CM5" s="16" t="n">
        <f aca="false">IF(BF5=0,0,1-CL5/BF5)</f>
        <v>0</v>
      </c>
    </row>
    <row r="6" customFormat="false" ht="18" hidden="false" customHeight="true" outlineLevel="0" collapsed="false">
      <c r="A6" s="68" t="n">
        <f aca="false">1</f>
        <v>1</v>
      </c>
      <c r="B6" s="68" t="n">
        <f aca="false">2</f>
        <v>2</v>
      </c>
      <c r="C6" s="18" t="n">
        <f aca="false">EDATE(Parametri_v3!$C$5,2-1)</f>
        <v>46419</v>
      </c>
      <c r="D6" s="68" t="n">
        <f aca="false">YEAR(C6)</f>
        <v>2027</v>
      </c>
      <c r="E6" s="68" t="n">
        <f aca="false">MONTH(C6)</f>
        <v>2</v>
      </c>
      <c r="F6" s="68" t="n">
        <f aca="false">INT((2-1)/12)+1</f>
        <v>1</v>
      </c>
      <c r="G6" s="15" t="n">
        <f aca="false">Ipotesi!C7</f>
        <v>0.75</v>
      </c>
      <c r="H6" s="15" t="n">
        <f aca="false">Ipotesi!C9</f>
        <v>1</v>
      </c>
      <c r="I6" s="15" t="n">
        <f aca="false">Ipotesi!C10</f>
        <v>1</v>
      </c>
      <c r="J6" s="15" t="n">
        <f aca="false">Ipotesi!C11</f>
        <v>1</v>
      </c>
      <c r="K6" s="15" t="n">
        <f aca="false">Ipotesi!C12</f>
        <v>1</v>
      </c>
      <c r="L6" s="15" t="n">
        <f aca="false">Ipotesi!C13</f>
        <v>90</v>
      </c>
      <c r="M6" s="17" t="n">
        <f aca="false">INDEX(Ipotesi!$C$40:$G$40,1,F6)</f>
        <v>1</v>
      </c>
      <c r="N6" s="17" t="n">
        <f aca="false">INDEX(Ipotesi!$C$41:$G$41,1,F6)</f>
        <v>0.75</v>
      </c>
      <c r="O6" s="17" t="n">
        <f aca="false">INDEX(Ipotesi!$C$42:$G$42,1,F6)*Ipotesi!C125</f>
        <v>1</v>
      </c>
      <c r="P6" s="17" t="n">
        <f aca="false">INDEX(Ipotesi!$C$43:$G$43,1,F6)*I6</f>
        <v>1</v>
      </c>
      <c r="Q6" s="17" t="n">
        <f aca="false">INDEX(Ipotesi!$C$44:$G$44,1,F6)*I6</f>
        <v>0.5</v>
      </c>
      <c r="R6" s="17" t="n">
        <f aca="false">INDEX(Ipotesi!$C$45:$G$45,1,F6)*I6</f>
        <v>0</v>
      </c>
      <c r="S6" s="17" t="n">
        <f aca="false">INDEX(Ipotesi!$C$52:$G$52,1,F6)*Ipotesi!C125</f>
        <v>1.5</v>
      </c>
      <c r="T6" s="17" t="n">
        <f aca="false">INDEX(Ipotesi!$C$53:$G$53,1,F6)*I6</f>
        <v>0</v>
      </c>
      <c r="U6" s="17" t="n">
        <f aca="false">INDEX(Ipotesi!$C$54:$G$54,1,F6)*I6</f>
        <v>0</v>
      </c>
      <c r="V6" s="15" t="n">
        <f aca="false">M6*INDEX(Ipotesi!$C$58:$G$58,1,F6)*K6/12</f>
        <v>3333.33333333333</v>
      </c>
      <c r="W6" s="15" t="n">
        <f aca="false">N6*Ipotesi!$C$59*(1+Ipotesi!$C$66)^(F6-1)/12</f>
        <v>4375</v>
      </c>
      <c r="X6" s="15" t="n">
        <f aca="false">O6*Ipotesi!$C$60*(1+Ipotesi!$C$66)^(F6-1)/12</f>
        <v>4166.66666666667</v>
      </c>
      <c r="Y6" s="15" t="n">
        <f aca="false">P6*Ipotesi!$C$61*(1+Ipotesi!$C$66)^(F6-1)/12</f>
        <v>4166.66666666667</v>
      </c>
      <c r="Z6" s="15" t="n">
        <f aca="false">Q6*Ipotesi!$C$62*(1+Ipotesi!$C$66)^(F6-1)/12</f>
        <v>1875</v>
      </c>
      <c r="AA6" s="15" t="n">
        <f aca="false">R6*Ipotesi!$C$63*(1+Ipotesi!$C$66)^(F6-1)/12</f>
        <v>0</v>
      </c>
      <c r="AB6" s="15" t="n">
        <f aca="false">SUM(V6:AA6)</f>
        <v>17916.6666666667</v>
      </c>
      <c r="AC6" s="15" t="n">
        <f aca="false">(S6*Ipotesi!$C$64+T6*Ipotesi!$C$65+U6*Ipotesi!$C$63)*(1+Ipotesi!$C$66)^(F6-1)/12</f>
        <v>5250</v>
      </c>
      <c r="AD6" s="15" t="n">
        <f aca="false">INDEX(Ipotesi!$C$48:$G$48,1,F6)*G6/12</f>
        <v>12.5</v>
      </c>
      <c r="AE6" s="15" t="n">
        <f aca="false">INDEX(Ipotesi!$C$50:$G$50,1,F6)*G6/12</f>
        <v>1.5625</v>
      </c>
      <c r="AF6" s="15" t="n">
        <f aca="false">(S6*Parametri_v3!$C$7*Parametri_v3!$C$8+Parametri_v3!$C$10)/12</f>
        <v>19.25</v>
      </c>
      <c r="AG6" s="15" t="n">
        <f aca="false">AD6+AE6*(1+Parametri_v3!$C$9)</f>
        <v>14.84375</v>
      </c>
      <c r="AH6" s="16" t="n">
        <f aca="false">IF(AG6=0,1,MIN(1,AF6/AG6))</f>
        <v>1</v>
      </c>
      <c r="AI6" s="15" t="n">
        <f aca="false">AD6*AH6</f>
        <v>12.5</v>
      </c>
      <c r="AJ6" s="15" t="n">
        <f aca="false">AE6*AH6</f>
        <v>1.5625</v>
      </c>
      <c r="AK6" s="15" t="n">
        <f aca="false">AI6*INDEX(Ipotesi!$C$49:$G$49,1,F6)*H6</f>
        <v>9375</v>
      </c>
      <c r="AL6" s="15" t="n">
        <f aca="false">AJ6*INDEX(Ipotesi!$C$51:$G$51,1,F6)*H6</f>
        <v>3125</v>
      </c>
      <c r="AM6" s="15" t="n">
        <f aca="false">AK6+AL6</f>
        <v>12500</v>
      </c>
      <c r="AN6" s="15" t="n">
        <f aca="false">INDEX(Ipotesi!$C$30:$G$30,1,F6)*G6/12</f>
        <v>6.25</v>
      </c>
      <c r="AO6" s="15" t="n">
        <f aca="false">O6*Parametri_v3!$C$7*Parametri_v3!$C$11*(1-Parametri_v3!$C$14)/12</f>
        <v>10.2666666666667</v>
      </c>
      <c r="AP6" s="15" t="n">
        <f aca="false">MIN(AN6,AO6)</f>
        <v>6.25</v>
      </c>
      <c r="AQ6" s="15" t="n">
        <f aca="false">AP6*INDEX(Ipotesi!$C$31:$G$31,1,F6)*H6</f>
        <v>5625</v>
      </c>
      <c r="AR6" s="15" t="n">
        <f aca="false">INDEX(Ipotesi!$C$75:$G$75,1,F6)*J6/12</f>
        <v>2083.33333333333</v>
      </c>
      <c r="AS6" s="15" t="n">
        <f aca="false">INDEX(Ipotesi!$C$81:$G$81,1,F6)*J6/12</f>
        <v>416.666666666667</v>
      </c>
      <c r="AT6" s="15" t="n">
        <f aca="false">AR6*Parametri_v3!$C$15+Z6*Parametri_v3!$C$16</f>
        <v>3395.83333333333</v>
      </c>
      <c r="AU6" s="15" t="n">
        <f aca="false">Q6*Parametri_v3!$C$16*Parametri_v3!$C$17</f>
        <v>35</v>
      </c>
      <c r="AV6" s="17" t="n">
        <f aca="false">BD5</f>
        <v>0</v>
      </c>
      <c r="AW6" s="17" t="n">
        <f aca="false">AV6*(1-(1-INDEX(Ipotesi!$C$34:$G$34,1,F6))^(1/12))</f>
        <v>0</v>
      </c>
      <c r="AX6" s="15" t="n">
        <f aca="false">ROUND(INDEX(Ipotesi!$C$32:$G$32,1,F6)*Ipotesi!C8,0)</f>
        <v>3</v>
      </c>
      <c r="AY6" s="15" t="n">
        <f aca="false">MAX(0,(AX6-(AV6-AW6))/(13-E6))</f>
        <v>0.272727272727273</v>
      </c>
      <c r="AZ6" s="15" t="n">
        <f aca="false">MIN(P6*Parametri_v3!$C$22,Q6*(1-Parametri_v3!$C$16)*Parametri_v3!$C$23)</f>
        <v>22.5</v>
      </c>
      <c r="BA6" s="15" t="n">
        <f aca="false">IF(OR(INDEX(Ipotesi!$C$35:$G$35,1,F6)&lt;=0,2-Parametri_v3!$C$21&lt;1),0,INDEX($AT$5:$AT$64,MAX(1,2-Parametri_v3!$C$21))/(INDEX(Ipotesi!$C$35:$G$35,1,F6)*Ipotesi!C27))</f>
        <v>0</v>
      </c>
      <c r="BB6" s="15" t="n">
        <f aca="false">IF(2-Parametri_v3!$C$21&lt;1,0,INDEX($AU$5:$AU$64,MAX(1,2-Parametri_v3!$C$21)))*Parametri_v3!$C$18*Parametri_v3!$C$19*Parametri_v3!$C$20</f>
        <v>0</v>
      </c>
      <c r="BC6" s="17" t="n">
        <f aca="false">MAX(0,MIN(AY6,BA6,BB6,MAX(0,AZ6-(AV6-AW6))))</f>
        <v>0</v>
      </c>
      <c r="BD6" s="17" t="n">
        <f aca="false">AV6-AW6+BC6</f>
        <v>0</v>
      </c>
      <c r="BE6" s="17" t="n">
        <f aca="false">(AV6+BD6)/2</f>
        <v>0</v>
      </c>
      <c r="BF6" s="15" t="n">
        <f aca="false">BE6*INDEX(Ipotesi!$C$33:$G$33,1,F6)*H6/12</f>
        <v>0</v>
      </c>
      <c r="BG6" s="15" t="n">
        <f aca="false">BD6*INDEX(Ipotesi!$C$33:$G$33,1,F6)*H6</f>
        <v>0</v>
      </c>
      <c r="BH6" s="15" t="n">
        <f aca="false">AM6*INDEX(Ipotesi!$C$37:$G$37,1,F6)</f>
        <v>1250</v>
      </c>
      <c r="BI6" s="15" t="n">
        <f aca="false">AQ6+BF6+BH6</f>
        <v>6875</v>
      </c>
      <c r="BJ6" s="15" t="n">
        <f aca="false">INDEX(Ipotesi!$C$68:$G$68,1,F6)*Ipotesi!$C$69/12</f>
        <v>1000</v>
      </c>
      <c r="BK6" s="15" t="n">
        <f aca="false">INDEX(Ipotesi!$C$68:$G$68,1,F6)*(1-Ipotesi!$C$69)/12</f>
        <v>1500</v>
      </c>
      <c r="BL6" s="15" t="n">
        <f aca="false">(AQ6+BF6)*Ipotesi!$C$67</f>
        <v>168.75</v>
      </c>
      <c r="BM6" s="15" t="n">
        <f aca="false">AM6*Ipotesi!$C$67</f>
        <v>375</v>
      </c>
      <c r="BN6" s="15" t="n">
        <f aca="false">INDEX(Ipotesi!$C$72:$G$72,1,F6)/12*Ipotesi!C126+BF6*Ipotesi!$C$73</f>
        <v>1250</v>
      </c>
      <c r="BO6" s="15" t="n">
        <f aca="false">INDEX(Ipotesi!$C$74:$G$74,1,F6)/12*Ipotesi!C126</f>
        <v>1000</v>
      </c>
      <c r="BP6" s="15" t="n">
        <f aca="false">INDEX(Ipotesi!$C$76:$G$76,1,F6)/12</f>
        <v>500</v>
      </c>
      <c r="BQ6" s="15" t="n">
        <f aca="false">INDEX(Ipotesi!$C$77:$G$77,1,F6)/12*Ipotesi!C126</f>
        <v>1250</v>
      </c>
      <c r="BR6" s="15" t="n">
        <f aca="false">INDEX(Ipotesi!$C$78:$G$78,1,F6)/12</f>
        <v>1000</v>
      </c>
      <c r="BS6" s="15" t="n">
        <f aca="false">SUM(M6:R6)*(Ipotesi!$C$85+Ipotesi!$C$86)/12</f>
        <v>1239.58333333333</v>
      </c>
      <c r="BT6" s="15" t="n">
        <f aca="false">BI6*Ipotesi!$C$87</f>
        <v>206.25</v>
      </c>
      <c r="BU6" s="15" t="n">
        <f aca="false">INDEX(Ipotesi!$C$55:$G$55,1,F6)*K6/12</f>
        <v>500</v>
      </c>
      <c r="BV6" s="15" t="n">
        <f aca="false">INDEX(Ipotesi!$C$80:$G$80,1,F6)/12*Ipotesi!C126</f>
        <v>500</v>
      </c>
      <c r="BW6" s="15" t="n">
        <f aca="false">INDEX(Ipotesi!$C$82:$G$82,1,F6)/12</f>
        <v>416.666666666667</v>
      </c>
      <c r="BX6" s="15" t="n">
        <f aca="false">INDEX(Ipotesi!$C$83:$G$83,1,F6)/12</f>
        <v>500</v>
      </c>
      <c r="BY6" s="15" t="n">
        <f aca="false">SUM(S6:U6)*(Ipotesi!$C$85+Ipotesi!$C$86)/12</f>
        <v>437.5</v>
      </c>
      <c r="BZ6" s="15" t="n">
        <f aca="false">AM6*Ipotesi!$C$87</f>
        <v>375</v>
      </c>
      <c r="CA6" s="15" t="n">
        <f aca="false">AB6+BJ6+BL6+BN6+BO6+AR6+BP6+BQ6+BR6+BS6+BT6</f>
        <v>27614.5833333333</v>
      </c>
      <c r="CB6" s="15" t="n">
        <f aca="false">AC6+BK6+BM6+BH6+BU6+BV6+AS6+BW6+BX6+BY6+BZ6</f>
        <v>11520.8333333333</v>
      </c>
      <c r="CC6" s="15" t="n">
        <f aca="false">BI6-CA6</f>
        <v>-20739.5833333333</v>
      </c>
      <c r="CD6" s="15" t="n">
        <f aca="false">AM6-CB6</f>
        <v>979.166666666668</v>
      </c>
      <c r="CE6" s="15" t="n">
        <f aca="false">INDEX(Ipotesi!$C$79:$G$79,1,F6)/12</f>
        <v>1666.66666666667</v>
      </c>
      <c r="CF6" s="15" t="n">
        <f aca="false">INDEX(Ipotesi!$C$84:$G$84,1,F6)/12</f>
        <v>250</v>
      </c>
      <c r="CG6" s="15" t="n">
        <f aca="false">Y6*MAX(0,Parametri_v3!$C$12-IF(P6=0,0,MIN(1,BE6/(P6*Parametri_v3!$C$22))))+W6*Parametri_v3!$C$13+X6*Parametri_v3!$C$14</f>
        <v>7187.5</v>
      </c>
      <c r="CH6" s="15" t="n">
        <f aca="false">AB6*Parametri_v3!$C$32</f>
        <v>895.833333333334</v>
      </c>
      <c r="CI6" s="15" t="n">
        <f aca="false">AC6*Parametri_v3!$C$32</f>
        <v>262.5</v>
      </c>
      <c r="CJ6" s="15" t="n">
        <f aca="false">CA6-AB6</f>
        <v>9697.91666666666</v>
      </c>
      <c r="CK6" s="15" t="n">
        <f aca="false">CB6-AC6-BH6</f>
        <v>5020.83333333333</v>
      </c>
      <c r="CL6" s="15" t="n">
        <f aca="false">BF6*Ipotesi!$C$73+INDEX(Ipotesi!$C$72:$G$72,1,F6)/12*Ipotesi!C126*Parametri_v3!$C$58+Z6*(1-Parametri_v3!$C$16)</f>
        <v>1812.5</v>
      </c>
      <c r="CM6" s="16" t="n">
        <f aca="false">IF(BF6=0,0,1-CL6/BF6)</f>
        <v>0</v>
      </c>
    </row>
    <row r="7" customFormat="false" ht="18" hidden="false" customHeight="true" outlineLevel="0" collapsed="false">
      <c r="A7" s="68" t="n">
        <f aca="false">1</f>
        <v>1</v>
      </c>
      <c r="B7" s="68" t="n">
        <f aca="false">3</f>
        <v>3</v>
      </c>
      <c r="C7" s="18" t="n">
        <f aca="false">EDATE(Parametri_v3!$C$5,3-1)</f>
        <v>46447</v>
      </c>
      <c r="D7" s="68" t="n">
        <f aca="false">YEAR(C7)</f>
        <v>2027</v>
      </c>
      <c r="E7" s="68" t="n">
        <f aca="false">MONTH(C7)</f>
        <v>3</v>
      </c>
      <c r="F7" s="68" t="n">
        <f aca="false">INT((3-1)/12)+1</f>
        <v>1</v>
      </c>
      <c r="G7" s="15" t="n">
        <f aca="false">Ipotesi!C7</f>
        <v>0.75</v>
      </c>
      <c r="H7" s="15" t="n">
        <f aca="false">Ipotesi!C9</f>
        <v>1</v>
      </c>
      <c r="I7" s="15" t="n">
        <f aca="false">Ipotesi!C10</f>
        <v>1</v>
      </c>
      <c r="J7" s="15" t="n">
        <f aca="false">Ipotesi!C11</f>
        <v>1</v>
      </c>
      <c r="K7" s="15" t="n">
        <f aca="false">Ipotesi!C12</f>
        <v>1</v>
      </c>
      <c r="L7" s="15" t="n">
        <f aca="false">Ipotesi!C13</f>
        <v>90</v>
      </c>
      <c r="M7" s="17" t="n">
        <f aca="false">INDEX(Ipotesi!$C$40:$G$40,1,F7)</f>
        <v>1</v>
      </c>
      <c r="N7" s="17" t="n">
        <f aca="false">INDEX(Ipotesi!$C$41:$G$41,1,F7)</f>
        <v>0.75</v>
      </c>
      <c r="O7" s="17" t="n">
        <f aca="false">INDEX(Ipotesi!$C$42:$G$42,1,F7)*Ipotesi!C125</f>
        <v>1</v>
      </c>
      <c r="P7" s="17" t="n">
        <f aca="false">INDEX(Ipotesi!$C$43:$G$43,1,F7)*I7</f>
        <v>1</v>
      </c>
      <c r="Q7" s="17" t="n">
        <f aca="false">INDEX(Ipotesi!$C$44:$G$44,1,F7)*I7</f>
        <v>0.5</v>
      </c>
      <c r="R7" s="17" t="n">
        <f aca="false">INDEX(Ipotesi!$C$45:$G$45,1,F7)*I7</f>
        <v>0</v>
      </c>
      <c r="S7" s="17" t="n">
        <f aca="false">INDEX(Ipotesi!$C$52:$G$52,1,F7)*Ipotesi!C125</f>
        <v>1.5</v>
      </c>
      <c r="T7" s="17" t="n">
        <f aca="false">INDEX(Ipotesi!$C$53:$G$53,1,F7)*I7</f>
        <v>0</v>
      </c>
      <c r="U7" s="17" t="n">
        <f aca="false">INDEX(Ipotesi!$C$54:$G$54,1,F7)*I7</f>
        <v>0</v>
      </c>
      <c r="V7" s="15" t="n">
        <f aca="false">M7*INDEX(Ipotesi!$C$58:$G$58,1,F7)*K7/12</f>
        <v>3333.33333333333</v>
      </c>
      <c r="W7" s="15" t="n">
        <f aca="false">N7*Ipotesi!$C$59*(1+Ipotesi!$C$66)^(F7-1)/12</f>
        <v>4375</v>
      </c>
      <c r="X7" s="15" t="n">
        <f aca="false">O7*Ipotesi!$C$60*(1+Ipotesi!$C$66)^(F7-1)/12</f>
        <v>4166.66666666667</v>
      </c>
      <c r="Y7" s="15" t="n">
        <f aca="false">P7*Ipotesi!$C$61*(1+Ipotesi!$C$66)^(F7-1)/12</f>
        <v>4166.66666666667</v>
      </c>
      <c r="Z7" s="15" t="n">
        <f aca="false">Q7*Ipotesi!$C$62*(1+Ipotesi!$C$66)^(F7-1)/12</f>
        <v>1875</v>
      </c>
      <c r="AA7" s="15" t="n">
        <f aca="false">R7*Ipotesi!$C$63*(1+Ipotesi!$C$66)^(F7-1)/12</f>
        <v>0</v>
      </c>
      <c r="AB7" s="15" t="n">
        <f aca="false">SUM(V7:AA7)</f>
        <v>17916.6666666667</v>
      </c>
      <c r="AC7" s="15" t="n">
        <f aca="false">(S7*Ipotesi!$C$64+T7*Ipotesi!$C$65+U7*Ipotesi!$C$63)*(1+Ipotesi!$C$66)^(F7-1)/12</f>
        <v>5250</v>
      </c>
      <c r="AD7" s="15" t="n">
        <f aca="false">INDEX(Ipotesi!$C$48:$G$48,1,F7)*G7/12</f>
        <v>12.5</v>
      </c>
      <c r="AE7" s="15" t="n">
        <f aca="false">INDEX(Ipotesi!$C$50:$G$50,1,F7)*G7/12</f>
        <v>1.5625</v>
      </c>
      <c r="AF7" s="15" t="n">
        <f aca="false">(S7*Parametri_v3!$C$7*Parametri_v3!$C$8+Parametri_v3!$C$10)/12</f>
        <v>19.25</v>
      </c>
      <c r="AG7" s="15" t="n">
        <f aca="false">AD7+AE7*(1+Parametri_v3!$C$9)</f>
        <v>14.84375</v>
      </c>
      <c r="AH7" s="16" t="n">
        <f aca="false">IF(AG7=0,1,MIN(1,AF7/AG7))</f>
        <v>1</v>
      </c>
      <c r="AI7" s="15" t="n">
        <f aca="false">AD7*AH7</f>
        <v>12.5</v>
      </c>
      <c r="AJ7" s="15" t="n">
        <f aca="false">AE7*AH7</f>
        <v>1.5625</v>
      </c>
      <c r="AK7" s="15" t="n">
        <f aca="false">AI7*INDEX(Ipotesi!$C$49:$G$49,1,F7)*H7</f>
        <v>9375</v>
      </c>
      <c r="AL7" s="15" t="n">
        <f aca="false">AJ7*INDEX(Ipotesi!$C$51:$G$51,1,F7)*H7</f>
        <v>3125</v>
      </c>
      <c r="AM7" s="15" t="n">
        <f aca="false">AK7+AL7</f>
        <v>12500</v>
      </c>
      <c r="AN7" s="15" t="n">
        <f aca="false">INDEX(Ipotesi!$C$30:$G$30,1,F7)*G7/12</f>
        <v>6.25</v>
      </c>
      <c r="AO7" s="15" t="n">
        <f aca="false">O7*Parametri_v3!$C$7*Parametri_v3!$C$11*(1-Parametri_v3!$C$14)/12</f>
        <v>10.2666666666667</v>
      </c>
      <c r="AP7" s="15" t="n">
        <f aca="false">MIN(AN7,AO7)</f>
        <v>6.25</v>
      </c>
      <c r="AQ7" s="15" t="n">
        <f aca="false">AP7*INDEX(Ipotesi!$C$31:$G$31,1,F7)*H7</f>
        <v>5625</v>
      </c>
      <c r="AR7" s="15" t="n">
        <f aca="false">INDEX(Ipotesi!$C$75:$G$75,1,F7)*J7/12</f>
        <v>2083.33333333333</v>
      </c>
      <c r="AS7" s="15" t="n">
        <f aca="false">INDEX(Ipotesi!$C$81:$G$81,1,F7)*J7/12</f>
        <v>416.666666666667</v>
      </c>
      <c r="AT7" s="15" t="n">
        <f aca="false">AR7*Parametri_v3!$C$15+Z7*Parametri_v3!$C$16</f>
        <v>3395.83333333333</v>
      </c>
      <c r="AU7" s="15" t="n">
        <f aca="false">Q7*Parametri_v3!$C$16*Parametri_v3!$C$17</f>
        <v>35</v>
      </c>
      <c r="AV7" s="17" t="n">
        <f aca="false">BD6</f>
        <v>0</v>
      </c>
      <c r="AW7" s="17" t="n">
        <f aca="false">AV7*(1-(1-INDEX(Ipotesi!$C$34:$G$34,1,F7))^(1/12))</f>
        <v>0</v>
      </c>
      <c r="AX7" s="15" t="n">
        <f aca="false">ROUND(INDEX(Ipotesi!$C$32:$G$32,1,F7)*Ipotesi!C8,0)</f>
        <v>3</v>
      </c>
      <c r="AY7" s="15" t="n">
        <f aca="false">MAX(0,(AX7-(AV7-AW7))/(13-E7))</f>
        <v>0.3</v>
      </c>
      <c r="AZ7" s="15" t="n">
        <f aca="false">MIN(P7*Parametri_v3!$C$22,Q7*(1-Parametri_v3!$C$16)*Parametri_v3!$C$23)</f>
        <v>22.5</v>
      </c>
      <c r="BA7" s="15" t="n">
        <f aca="false">IF(OR(INDEX(Ipotesi!$C$35:$G$35,1,F7)&lt;=0,3-Parametri_v3!$C$21&lt;1),0,INDEX($AT$5:$AT$64,MAX(1,3-Parametri_v3!$C$21))/(INDEX(Ipotesi!$C$35:$G$35,1,F7)*Ipotesi!C27))</f>
        <v>0</v>
      </c>
      <c r="BB7" s="15" t="n">
        <f aca="false">IF(3-Parametri_v3!$C$21&lt;1,0,INDEX($AU$5:$AU$64,MAX(1,3-Parametri_v3!$C$21)))*Parametri_v3!$C$18*Parametri_v3!$C$19*Parametri_v3!$C$20</f>
        <v>0</v>
      </c>
      <c r="BC7" s="17" t="n">
        <f aca="false">MAX(0,MIN(AY7,BA7,BB7,MAX(0,AZ7-(AV7-AW7))))</f>
        <v>0</v>
      </c>
      <c r="BD7" s="17" t="n">
        <f aca="false">AV7-AW7+BC7</f>
        <v>0</v>
      </c>
      <c r="BE7" s="17" t="n">
        <f aca="false">(AV7+BD7)/2</f>
        <v>0</v>
      </c>
      <c r="BF7" s="15" t="n">
        <f aca="false">BE7*INDEX(Ipotesi!$C$33:$G$33,1,F7)*H7/12</f>
        <v>0</v>
      </c>
      <c r="BG7" s="15" t="n">
        <f aca="false">BD7*INDEX(Ipotesi!$C$33:$G$33,1,F7)*H7</f>
        <v>0</v>
      </c>
      <c r="BH7" s="15" t="n">
        <f aca="false">AM7*INDEX(Ipotesi!$C$37:$G$37,1,F7)</f>
        <v>1250</v>
      </c>
      <c r="BI7" s="15" t="n">
        <f aca="false">AQ7+BF7+BH7</f>
        <v>6875</v>
      </c>
      <c r="BJ7" s="15" t="n">
        <f aca="false">INDEX(Ipotesi!$C$68:$G$68,1,F7)*Ipotesi!$C$69/12</f>
        <v>1000</v>
      </c>
      <c r="BK7" s="15" t="n">
        <f aca="false">INDEX(Ipotesi!$C$68:$G$68,1,F7)*(1-Ipotesi!$C$69)/12</f>
        <v>1500</v>
      </c>
      <c r="BL7" s="15" t="n">
        <f aca="false">(AQ7+BF7)*Ipotesi!$C$67</f>
        <v>168.75</v>
      </c>
      <c r="BM7" s="15" t="n">
        <f aca="false">AM7*Ipotesi!$C$67</f>
        <v>375</v>
      </c>
      <c r="BN7" s="15" t="n">
        <f aca="false">INDEX(Ipotesi!$C$72:$G$72,1,F7)/12*Ipotesi!C126+BF7*Ipotesi!$C$73</f>
        <v>1250</v>
      </c>
      <c r="BO7" s="15" t="n">
        <f aca="false">INDEX(Ipotesi!$C$74:$G$74,1,F7)/12*Ipotesi!C126</f>
        <v>1000</v>
      </c>
      <c r="BP7" s="15" t="n">
        <f aca="false">INDEX(Ipotesi!$C$76:$G$76,1,F7)/12</f>
        <v>500</v>
      </c>
      <c r="BQ7" s="15" t="n">
        <f aca="false">INDEX(Ipotesi!$C$77:$G$77,1,F7)/12*Ipotesi!C126</f>
        <v>1250</v>
      </c>
      <c r="BR7" s="15" t="n">
        <f aca="false">INDEX(Ipotesi!$C$78:$G$78,1,F7)/12</f>
        <v>1000</v>
      </c>
      <c r="BS7" s="15" t="n">
        <f aca="false">SUM(M7:R7)*(Ipotesi!$C$85+Ipotesi!$C$86)/12</f>
        <v>1239.58333333333</v>
      </c>
      <c r="BT7" s="15" t="n">
        <f aca="false">BI7*Ipotesi!$C$87</f>
        <v>206.25</v>
      </c>
      <c r="BU7" s="15" t="n">
        <f aca="false">INDEX(Ipotesi!$C$55:$G$55,1,F7)*K7/12</f>
        <v>500</v>
      </c>
      <c r="BV7" s="15" t="n">
        <f aca="false">INDEX(Ipotesi!$C$80:$G$80,1,F7)/12*Ipotesi!C126</f>
        <v>500</v>
      </c>
      <c r="BW7" s="15" t="n">
        <f aca="false">INDEX(Ipotesi!$C$82:$G$82,1,F7)/12</f>
        <v>416.666666666667</v>
      </c>
      <c r="BX7" s="15" t="n">
        <f aca="false">INDEX(Ipotesi!$C$83:$G$83,1,F7)/12</f>
        <v>500</v>
      </c>
      <c r="BY7" s="15" t="n">
        <f aca="false">SUM(S7:U7)*(Ipotesi!$C$85+Ipotesi!$C$86)/12</f>
        <v>437.5</v>
      </c>
      <c r="BZ7" s="15" t="n">
        <f aca="false">AM7*Ipotesi!$C$87</f>
        <v>375</v>
      </c>
      <c r="CA7" s="15" t="n">
        <f aca="false">AB7+BJ7+BL7+BN7+BO7+AR7+BP7+BQ7+BR7+BS7+BT7</f>
        <v>27614.5833333333</v>
      </c>
      <c r="CB7" s="15" t="n">
        <f aca="false">AC7+BK7+BM7+BH7+BU7+BV7+AS7+BW7+BX7+BY7+BZ7</f>
        <v>11520.8333333333</v>
      </c>
      <c r="CC7" s="15" t="n">
        <f aca="false">BI7-CA7</f>
        <v>-20739.5833333333</v>
      </c>
      <c r="CD7" s="15" t="n">
        <f aca="false">AM7-CB7</f>
        <v>979.166666666668</v>
      </c>
      <c r="CE7" s="15" t="n">
        <f aca="false">INDEX(Ipotesi!$C$79:$G$79,1,F7)/12</f>
        <v>1666.66666666667</v>
      </c>
      <c r="CF7" s="15" t="n">
        <f aca="false">INDEX(Ipotesi!$C$84:$G$84,1,F7)/12</f>
        <v>250</v>
      </c>
      <c r="CG7" s="15" t="n">
        <f aca="false">Y7*MAX(0,Parametri_v3!$C$12-IF(P7=0,0,MIN(1,BE7/(P7*Parametri_v3!$C$22))))+W7*Parametri_v3!$C$13+X7*Parametri_v3!$C$14</f>
        <v>7187.5</v>
      </c>
      <c r="CH7" s="15" t="n">
        <f aca="false">AB7*Parametri_v3!$C$32</f>
        <v>895.833333333334</v>
      </c>
      <c r="CI7" s="15" t="n">
        <f aca="false">AC7*Parametri_v3!$C$32</f>
        <v>262.5</v>
      </c>
      <c r="CJ7" s="15" t="n">
        <f aca="false">CA7-AB7</f>
        <v>9697.91666666666</v>
      </c>
      <c r="CK7" s="15" t="n">
        <f aca="false">CB7-AC7-BH7</f>
        <v>5020.83333333333</v>
      </c>
      <c r="CL7" s="15" t="n">
        <f aca="false">BF7*Ipotesi!$C$73+INDEX(Ipotesi!$C$72:$G$72,1,F7)/12*Ipotesi!C126*Parametri_v3!$C$58+Z7*(1-Parametri_v3!$C$16)</f>
        <v>1812.5</v>
      </c>
      <c r="CM7" s="16" t="n">
        <f aca="false">IF(BF7=0,0,1-CL7/BF7)</f>
        <v>0</v>
      </c>
    </row>
    <row r="8" customFormat="false" ht="18" hidden="false" customHeight="true" outlineLevel="0" collapsed="false">
      <c r="A8" s="68" t="n">
        <f aca="false">1</f>
        <v>1</v>
      </c>
      <c r="B8" s="68" t="n">
        <f aca="false">4</f>
        <v>4</v>
      </c>
      <c r="C8" s="18" t="n">
        <f aca="false">EDATE(Parametri_v3!$C$5,4-1)</f>
        <v>46478</v>
      </c>
      <c r="D8" s="68" t="n">
        <f aca="false">YEAR(C8)</f>
        <v>2027</v>
      </c>
      <c r="E8" s="68" t="n">
        <f aca="false">MONTH(C8)</f>
        <v>4</v>
      </c>
      <c r="F8" s="68" t="n">
        <f aca="false">INT((4-1)/12)+1</f>
        <v>1</v>
      </c>
      <c r="G8" s="15" t="n">
        <f aca="false">Ipotesi!C7</f>
        <v>0.75</v>
      </c>
      <c r="H8" s="15" t="n">
        <f aca="false">Ipotesi!C9</f>
        <v>1</v>
      </c>
      <c r="I8" s="15" t="n">
        <f aca="false">Ipotesi!C10</f>
        <v>1</v>
      </c>
      <c r="J8" s="15" t="n">
        <f aca="false">Ipotesi!C11</f>
        <v>1</v>
      </c>
      <c r="K8" s="15" t="n">
        <f aca="false">Ipotesi!C12</f>
        <v>1</v>
      </c>
      <c r="L8" s="15" t="n">
        <f aca="false">Ipotesi!C13</f>
        <v>90</v>
      </c>
      <c r="M8" s="17" t="n">
        <f aca="false">INDEX(Ipotesi!$C$40:$G$40,1,F8)</f>
        <v>1</v>
      </c>
      <c r="N8" s="17" t="n">
        <f aca="false">INDEX(Ipotesi!$C$41:$G$41,1,F8)</f>
        <v>0.75</v>
      </c>
      <c r="O8" s="17" t="n">
        <f aca="false">INDEX(Ipotesi!$C$42:$G$42,1,F8)*Ipotesi!C125</f>
        <v>1</v>
      </c>
      <c r="P8" s="17" t="n">
        <f aca="false">INDEX(Ipotesi!$C$43:$G$43,1,F8)*I8</f>
        <v>1</v>
      </c>
      <c r="Q8" s="17" t="n">
        <f aca="false">INDEX(Ipotesi!$C$44:$G$44,1,F8)*I8</f>
        <v>0.5</v>
      </c>
      <c r="R8" s="17" t="n">
        <f aca="false">INDEX(Ipotesi!$C$45:$G$45,1,F8)*I8</f>
        <v>0</v>
      </c>
      <c r="S8" s="17" t="n">
        <f aca="false">INDEX(Ipotesi!$C$52:$G$52,1,F8)*Ipotesi!C125</f>
        <v>1.5</v>
      </c>
      <c r="T8" s="17" t="n">
        <f aca="false">INDEX(Ipotesi!$C$53:$G$53,1,F8)*I8</f>
        <v>0</v>
      </c>
      <c r="U8" s="17" t="n">
        <f aca="false">INDEX(Ipotesi!$C$54:$G$54,1,F8)*I8</f>
        <v>0</v>
      </c>
      <c r="V8" s="15" t="n">
        <f aca="false">M8*INDEX(Ipotesi!$C$58:$G$58,1,F8)*K8/12</f>
        <v>3333.33333333333</v>
      </c>
      <c r="W8" s="15" t="n">
        <f aca="false">N8*Ipotesi!$C$59*(1+Ipotesi!$C$66)^(F8-1)/12</f>
        <v>4375</v>
      </c>
      <c r="X8" s="15" t="n">
        <f aca="false">O8*Ipotesi!$C$60*(1+Ipotesi!$C$66)^(F8-1)/12</f>
        <v>4166.66666666667</v>
      </c>
      <c r="Y8" s="15" t="n">
        <f aca="false">P8*Ipotesi!$C$61*(1+Ipotesi!$C$66)^(F8-1)/12</f>
        <v>4166.66666666667</v>
      </c>
      <c r="Z8" s="15" t="n">
        <f aca="false">Q8*Ipotesi!$C$62*(1+Ipotesi!$C$66)^(F8-1)/12</f>
        <v>1875</v>
      </c>
      <c r="AA8" s="15" t="n">
        <f aca="false">R8*Ipotesi!$C$63*(1+Ipotesi!$C$66)^(F8-1)/12</f>
        <v>0</v>
      </c>
      <c r="AB8" s="15" t="n">
        <f aca="false">SUM(V8:AA8)</f>
        <v>17916.6666666667</v>
      </c>
      <c r="AC8" s="15" t="n">
        <f aca="false">(S8*Ipotesi!$C$64+T8*Ipotesi!$C$65+U8*Ipotesi!$C$63)*(1+Ipotesi!$C$66)^(F8-1)/12</f>
        <v>5250</v>
      </c>
      <c r="AD8" s="15" t="n">
        <f aca="false">INDEX(Ipotesi!$C$48:$G$48,1,F8)*G8/12</f>
        <v>12.5</v>
      </c>
      <c r="AE8" s="15" t="n">
        <f aca="false">INDEX(Ipotesi!$C$50:$G$50,1,F8)*G8/12</f>
        <v>1.5625</v>
      </c>
      <c r="AF8" s="15" t="n">
        <f aca="false">(S8*Parametri_v3!$C$7*Parametri_v3!$C$8+Parametri_v3!$C$10)/12</f>
        <v>19.25</v>
      </c>
      <c r="AG8" s="15" t="n">
        <f aca="false">AD8+AE8*(1+Parametri_v3!$C$9)</f>
        <v>14.84375</v>
      </c>
      <c r="AH8" s="16" t="n">
        <f aca="false">IF(AG8=0,1,MIN(1,AF8/AG8))</f>
        <v>1</v>
      </c>
      <c r="AI8" s="15" t="n">
        <f aca="false">AD8*AH8</f>
        <v>12.5</v>
      </c>
      <c r="AJ8" s="15" t="n">
        <f aca="false">AE8*AH8</f>
        <v>1.5625</v>
      </c>
      <c r="AK8" s="15" t="n">
        <f aca="false">AI8*INDEX(Ipotesi!$C$49:$G$49,1,F8)*H8</f>
        <v>9375</v>
      </c>
      <c r="AL8" s="15" t="n">
        <f aca="false">AJ8*INDEX(Ipotesi!$C$51:$G$51,1,F8)*H8</f>
        <v>3125</v>
      </c>
      <c r="AM8" s="15" t="n">
        <f aca="false">AK8+AL8</f>
        <v>12500</v>
      </c>
      <c r="AN8" s="15" t="n">
        <f aca="false">INDEX(Ipotesi!$C$30:$G$30,1,F8)*G8/12</f>
        <v>6.25</v>
      </c>
      <c r="AO8" s="15" t="n">
        <f aca="false">O8*Parametri_v3!$C$7*Parametri_v3!$C$11*(1-Parametri_v3!$C$14)/12</f>
        <v>10.2666666666667</v>
      </c>
      <c r="AP8" s="15" t="n">
        <f aca="false">MIN(AN8,AO8)</f>
        <v>6.25</v>
      </c>
      <c r="AQ8" s="15" t="n">
        <f aca="false">AP8*INDEX(Ipotesi!$C$31:$G$31,1,F8)*H8</f>
        <v>5625</v>
      </c>
      <c r="AR8" s="15" t="n">
        <f aca="false">INDEX(Ipotesi!$C$75:$G$75,1,F8)*J8/12</f>
        <v>2083.33333333333</v>
      </c>
      <c r="AS8" s="15" t="n">
        <f aca="false">INDEX(Ipotesi!$C$81:$G$81,1,F8)*J8/12</f>
        <v>416.666666666667</v>
      </c>
      <c r="AT8" s="15" t="n">
        <f aca="false">AR8*Parametri_v3!$C$15+Z8*Parametri_v3!$C$16</f>
        <v>3395.83333333333</v>
      </c>
      <c r="AU8" s="15" t="n">
        <f aca="false">Q8*Parametri_v3!$C$16*Parametri_v3!$C$17</f>
        <v>35</v>
      </c>
      <c r="AV8" s="17" t="n">
        <f aca="false">BD7</f>
        <v>0</v>
      </c>
      <c r="AW8" s="17" t="n">
        <f aca="false">AV8*(1-(1-INDEX(Ipotesi!$C$34:$G$34,1,F8))^(1/12))</f>
        <v>0</v>
      </c>
      <c r="AX8" s="15" t="n">
        <f aca="false">ROUND(INDEX(Ipotesi!$C$32:$G$32,1,F8)*Ipotesi!C8,0)</f>
        <v>3</v>
      </c>
      <c r="AY8" s="15" t="n">
        <f aca="false">MAX(0,(AX8-(AV8-AW8))/(13-E8))</f>
        <v>0.333333333333333</v>
      </c>
      <c r="AZ8" s="15" t="n">
        <f aca="false">MIN(P8*Parametri_v3!$C$22,Q8*(1-Parametri_v3!$C$16)*Parametri_v3!$C$23)</f>
        <v>22.5</v>
      </c>
      <c r="BA8" s="15" t="n">
        <f aca="false">IF(OR(INDEX(Ipotesi!$C$35:$G$35,1,F8)&lt;=0,4-Parametri_v3!$C$21&lt;1),0,INDEX($AT$5:$AT$64,MAX(1,4-Parametri_v3!$C$21))/(INDEX(Ipotesi!$C$35:$G$35,1,F8)*Ipotesi!C27))</f>
        <v>0.565972222222222</v>
      </c>
      <c r="BB8" s="15" t="n">
        <f aca="false">IF(4-Parametri_v3!$C$21&lt;1,0,INDEX($AU$5:$AU$64,MAX(1,4-Parametri_v3!$C$21)))*Parametri_v3!$C$18*Parametri_v3!$C$19*Parametri_v3!$C$20</f>
        <v>1.3125</v>
      </c>
      <c r="BC8" s="17" t="n">
        <f aca="false">MAX(0,MIN(AY8,BA8,BB8,MAX(0,AZ8-(AV8-AW8))))</f>
        <v>0.333333333333333</v>
      </c>
      <c r="BD8" s="17" t="n">
        <f aca="false">AV8-AW8+BC8</f>
        <v>0.333333333333333</v>
      </c>
      <c r="BE8" s="17" t="n">
        <f aca="false">(AV8+BD8)/2</f>
        <v>0.166666666666667</v>
      </c>
      <c r="BF8" s="15" t="n">
        <f aca="false">BE8*INDEX(Ipotesi!$C$33:$G$33,1,F8)*H8/12</f>
        <v>27.7777777777778</v>
      </c>
      <c r="BG8" s="15" t="n">
        <f aca="false">BD8*INDEX(Ipotesi!$C$33:$G$33,1,F8)*H8</f>
        <v>666.666666666667</v>
      </c>
      <c r="BH8" s="15" t="n">
        <f aca="false">AM8*INDEX(Ipotesi!$C$37:$G$37,1,F8)</f>
        <v>1250</v>
      </c>
      <c r="BI8" s="15" t="n">
        <f aca="false">AQ8+BF8+BH8</f>
        <v>6902.77777777778</v>
      </c>
      <c r="BJ8" s="15" t="n">
        <f aca="false">INDEX(Ipotesi!$C$68:$G$68,1,F8)*Ipotesi!$C$69/12</f>
        <v>1000</v>
      </c>
      <c r="BK8" s="15" t="n">
        <f aca="false">INDEX(Ipotesi!$C$68:$G$68,1,F8)*(1-Ipotesi!$C$69)/12</f>
        <v>1500</v>
      </c>
      <c r="BL8" s="15" t="n">
        <f aca="false">(AQ8+BF8)*Ipotesi!$C$67</f>
        <v>169.583333333333</v>
      </c>
      <c r="BM8" s="15" t="n">
        <f aca="false">AM8*Ipotesi!$C$67</f>
        <v>375</v>
      </c>
      <c r="BN8" s="15" t="n">
        <f aca="false">INDEX(Ipotesi!$C$72:$G$72,1,F8)/12*Ipotesi!C126+BF8*Ipotesi!$C$73</f>
        <v>1252.22222222222</v>
      </c>
      <c r="BO8" s="15" t="n">
        <f aca="false">INDEX(Ipotesi!$C$74:$G$74,1,F8)/12*Ipotesi!C126</f>
        <v>1000</v>
      </c>
      <c r="BP8" s="15" t="n">
        <f aca="false">INDEX(Ipotesi!$C$76:$G$76,1,F8)/12</f>
        <v>500</v>
      </c>
      <c r="BQ8" s="15" t="n">
        <f aca="false">INDEX(Ipotesi!$C$77:$G$77,1,F8)/12*Ipotesi!C126</f>
        <v>1250</v>
      </c>
      <c r="BR8" s="15" t="n">
        <f aca="false">INDEX(Ipotesi!$C$78:$G$78,1,F8)/12</f>
        <v>1000</v>
      </c>
      <c r="BS8" s="15" t="n">
        <f aca="false">SUM(M8:R8)*(Ipotesi!$C$85+Ipotesi!$C$86)/12</f>
        <v>1239.58333333333</v>
      </c>
      <c r="BT8" s="15" t="n">
        <f aca="false">BI8*Ipotesi!$C$87</f>
        <v>207.083333333333</v>
      </c>
      <c r="BU8" s="15" t="n">
        <f aca="false">INDEX(Ipotesi!$C$55:$G$55,1,F8)*K8/12</f>
        <v>500</v>
      </c>
      <c r="BV8" s="15" t="n">
        <f aca="false">INDEX(Ipotesi!$C$80:$G$80,1,F8)/12*Ipotesi!C126</f>
        <v>500</v>
      </c>
      <c r="BW8" s="15" t="n">
        <f aca="false">INDEX(Ipotesi!$C$82:$G$82,1,F8)/12</f>
        <v>416.666666666667</v>
      </c>
      <c r="BX8" s="15" t="n">
        <f aca="false">INDEX(Ipotesi!$C$83:$G$83,1,F8)/12</f>
        <v>500</v>
      </c>
      <c r="BY8" s="15" t="n">
        <f aca="false">SUM(S8:U8)*(Ipotesi!$C$85+Ipotesi!$C$86)/12</f>
        <v>437.5</v>
      </c>
      <c r="BZ8" s="15" t="n">
        <f aca="false">AM8*Ipotesi!$C$87</f>
        <v>375</v>
      </c>
      <c r="CA8" s="15" t="n">
        <f aca="false">AB8+BJ8+BL8+BN8+BO8+AR8+BP8+BQ8+BR8+BS8+BT8</f>
        <v>27618.4722222222</v>
      </c>
      <c r="CB8" s="15" t="n">
        <f aca="false">AC8+BK8+BM8+BH8+BU8+BV8+AS8+BW8+BX8+BY8+BZ8</f>
        <v>11520.8333333333</v>
      </c>
      <c r="CC8" s="15" t="n">
        <f aca="false">BI8-CA8</f>
        <v>-20715.6944444444</v>
      </c>
      <c r="CD8" s="15" t="n">
        <f aca="false">AM8-CB8</f>
        <v>979.166666666668</v>
      </c>
      <c r="CE8" s="15" t="n">
        <f aca="false">INDEX(Ipotesi!$C$79:$G$79,1,F8)/12</f>
        <v>1666.66666666667</v>
      </c>
      <c r="CF8" s="15" t="n">
        <f aca="false">INDEX(Ipotesi!$C$84:$G$84,1,F8)/12</f>
        <v>250</v>
      </c>
      <c r="CG8" s="15" t="n">
        <f aca="false">Y8*MAX(0,Parametri_v3!$C$12-IF(P8=0,0,MIN(1,BE8/(P8*Parametri_v3!$C$22))))+W8*Parametri_v3!$C$13+X8*Parametri_v3!$C$14</f>
        <v>7180.55555555556</v>
      </c>
      <c r="CH8" s="15" t="n">
        <f aca="false">AB8*Parametri_v3!$C$32</f>
        <v>895.833333333334</v>
      </c>
      <c r="CI8" s="15" t="n">
        <f aca="false">AC8*Parametri_v3!$C$32</f>
        <v>262.5</v>
      </c>
      <c r="CJ8" s="15" t="n">
        <f aca="false">CA8-AB8</f>
        <v>9701.80555555555</v>
      </c>
      <c r="CK8" s="15" t="n">
        <f aca="false">CB8-AC8-BH8</f>
        <v>5020.83333333333</v>
      </c>
      <c r="CL8" s="15" t="n">
        <f aca="false">BF8*Ipotesi!$C$73+INDEX(Ipotesi!$C$72:$G$72,1,F8)/12*Ipotesi!C126*Parametri_v3!$C$58+Z8*(1-Parametri_v3!$C$16)</f>
        <v>1814.72222222222</v>
      </c>
      <c r="CM8" s="16" t="n">
        <f aca="false">IF(BF8=0,0,1-CL8/BF8)</f>
        <v>-64.33</v>
      </c>
    </row>
    <row r="9" customFormat="false" ht="18" hidden="false" customHeight="true" outlineLevel="0" collapsed="false">
      <c r="A9" s="68" t="n">
        <f aca="false">1</f>
        <v>1</v>
      </c>
      <c r="B9" s="68" t="n">
        <f aca="false">5</f>
        <v>5</v>
      </c>
      <c r="C9" s="18" t="n">
        <f aca="false">EDATE(Parametri_v3!$C$5,5-1)</f>
        <v>46508</v>
      </c>
      <c r="D9" s="68" t="n">
        <f aca="false">YEAR(C9)</f>
        <v>2027</v>
      </c>
      <c r="E9" s="68" t="n">
        <f aca="false">MONTH(C9)</f>
        <v>5</v>
      </c>
      <c r="F9" s="68" t="n">
        <f aca="false">INT((5-1)/12)+1</f>
        <v>1</v>
      </c>
      <c r="G9" s="15" t="n">
        <f aca="false">Ipotesi!C7</f>
        <v>0.75</v>
      </c>
      <c r="H9" s="15" t="n">
        <f aca="false">Ipotesi!C9</f>
        <v>1</v>
      </c>
      <c r="I9" s="15" t="n">
        <f aca="false">Ipotesi!C10</f>
        <v>1</v>
      </c>
      <c r="J9" s="15" t="n">
        <f aca="false">Ipotesi!C11</f>
        <v>1</v>
      </c>
      <c r="K9" s="15" t="n">
        <f aca="false">Ipotesi!C12</f>
        <v>1</v>
      </c>
      <c r="L9" s="15" t="n">
        <f aca="false">Ipotesi!C13</f>
        <v>90</v>
      </c>
      <c r="M9" s="17" t="n">
        <f aca="false">INDEX(Ipotesi!$C$40:$G$40,1,F9)</f>
        <v>1</v>
      </c>
      <c r="N9" s="17" t="n">
        <f aca="false">INDEX(Ipotesi!$C$41:$G$41,1,F9)</f>
        <v>0.75</v>
      </c>
      <c r="O9" s="17" t="n">
        <f aca="false">INDEX(Ipotesi!$C$42:$G$42,1,F9)*Ipotesi!C125</f>
        <v>1</v>
      </c>
      <c r="P9" s="17" t="n">
        <f aca="false">INDEX(Ipotesi!$C$43:$G$43,1,F9)*I9</f>
        <v>1</v>
      </c>
      <c r="Q9" s="17" t="n">
        <f aca="false">INDEX(Ipotesi!$C$44:$G$44,1,F9)*I9</f>
        <v>0.5</v>
      </c>
      <c r="R9" s="17" t="n">
        <f aca="false">INDEX(Ipotesi!$C$45:$G$45,1,F9)*I9</f>
        <v>0</v>
      </c>
      <c r="S9" s="17" t="n">
        <f aca="false">INDEX(Ipotesi!$C$52:$G$52,1,F9)*Ipotesi!C125</f>
        <v>1.5</v>
      </c>
      <c r="T9" s="17" t="n">
        <f aca="false">INDEX(Ipotesi!$C$53:$G$53,1,F9)*I9</f>
        <v>0</v>
      </c>
      <c r="U9" s="17" t="n">
        <f aca="false">INDEX(Ipotesi!$C$54:$G$54,1,F9)*I9</f>
        <v>0</v>
      </c>
      <c r="V9" s="15" t="n">
        <f aca="false">M9*INDEX(Ipotesi!$C$58:$G$58,1,F9)*K9/12</f>
        <v>3333.33333333333</v>
      </c>
      <c r="W9" s="15" t="n">
        <f aca="false">N9*Ipotesi!$C$59*(1+Ipotesi!$C$66)^(F9-1)/12</f>
        <v>4375</v>
      </c>
      <c r="X9" s="15" t="n">
        <f aca="false">O9*Ipotesi!$C$60*(1+Ipotesi!$C$66)^(F9-1)/12</f>
        <v>4166.66666666667</v>
      </c>
      <c r="Y9" s="15" t="n">
        <f aca="false">P9*Ipotesi!$C$61*(1+Ipotesi!$C$66)^(F9-1)/12</f>
        <v>4166.66666666667</v>
      </c>
      <c r="Z9" s="15" t="n">
        <f aca="false">Q9*Ipotesi!$C$62*(1+Ipotesi!$C$66)^(F9-1)/12</f>
        <v>1875</v>
      </c>
      <c r="AA9" s="15" t="n">
        <f aca="false">R9*Ipotesi!$C$63*(1+Ipotesi!$C$66)^(F9-1)/12</f>
        <v>0</v>
      </c>
      <c r="AB9" s="15" t="n">
        <f aca="false">SUM(V9:AA9)</f>
        <v>17916.6666666667</v>
      </c>
      <c r="AC9" s="15" t="n">
        <f aca="false">(S9*Ipotesi!$C$64+T9*Ipotesi!$C$65+U9*Ipotesi!$C$63)*(1+Ipotesi!$C$66)^(F9-1)/12</f>
        <v>5250</v>
      </c>
      <c r="AD9" s="15" t="n">
        <f aca="false">INDEX(Ipotesi!$C$48:$G$48,1,F9)*G9/12</f>
        <v>12.5</v>
      </c>
      <c r="AE9" s="15" t="n">
        <f aca="false">INDEX(Ipotesi!$C$50:$G$50,1,F9)*G9/12</f>
        <v>1.5625</v>
      </c>
      <c r="AF9" s="15" t="n">
        <f aca="false">(S9*Parametri_v3!$C$7*Parametri_v3!$C$8+Parametri_v3!$C$10)/12</f>
        <v>19.25</v>
      </c>
      <c r="AG9" s="15" t="n">
        <f aca="false">AD9+AE9*(1+Parametri_v3!$C$9)</f>
        <v>14.84375</v>
      </c>
      <c r="AH9" s="16" t="n">
        <f aca="false">IF(AG9=0,1,MIN(1,AF9/AG9))</f>
        <v>1</v>
      </c>
      <c r="AI9" s="15" t="n">
        <f aca="false">AD9*AH9</f>
        <v>12.5</v>
      </c>
      <c r="AJ9" s="15" t="n">
        <f aca="false">AE9*AH9</f>
        <v>1.5625</v>
      </c>
      <c r="AK9" s="15" t="n">
        <f aca="false">AI9*INDEX(Ipotesi!$C$49:$G$49,1,F9)*H9</f>
        <v>9375</v>
      </c>
      <c r="AL9" s="15" t="n">
        <f aca="false">AJ9*INDEX(Ipotesi!$C$51:$G$51,1,F9)*H9</f>
        <v>3125</v>
      </c>
      <c r="AM9" s="15" t="n">
        <f aca="false">AK9+AL9</f>
        <v>12500</v>
      </c>
      <c r="AN9" s="15" t="n">
        <f aca="false">INDEX(Ipotesi!$C$30:$G$30,1,F9)*G9/12</f>
        <v>6.25</v>
      </c>
      <c r="AO9" s="15" t="n">
        <f aca="false">O9*Parametri_v3!$C$7*Parametri_v3!$C$11*(1-Parametri_v3!$C$14)/12</f>
        <v>10.2666666666667</v>
      </c>
      <c r="AP9" s="15" t="n">
        <f aca="false">MIN(AN9,AO9)</f>
        <v>6.25</v>
      </c>
      <c r="AQ9" s="15" t="n">
        <f aca="false">AP9*INDEX(Ipotesi!$C$31:$G$31,1,F9)*H9</f>
        <v>5625</v>
      </c>
      <c r="AR9" s="15" t="n">
        <f aca="false">INDEX(Ipotesi!$C$75:$G$75,1,F9)*J9/12</f>
        <v>2083.33333333333</v>
      </c>
      <c r="AS9" s="15" t="n">
        <f aca="false">INDEX(Ipotesi!$C$81:$G$81,1,F9)*J9/12</f>
        <v>416.666666666667</v>
      </c>
      <c r="AT9" s="15" t="n">
        <f aca="false">AR9*Parametri_v3!$C$15+Z9*Parametri_v3!$C$16</f>
        <v>3395.83333333333</v>
      </c>
      <c r="AU9" s="15" t="n">
        <f aca="false">Q9*Parametri_v3!$C$16*Parametri_v3!$C$17</f>
        <v>35</v>
      </c>
      <c r="AV9" s="17" t="n">
        <f aca="false">BD8</f>
        <v>0.333333333333333</v>
      </c>
      <c r="AW9" s="17" t="n">
        <f aca="false">AV9*(1-(1-INDEX(Ipotesi!$C$34:$G$34,1,F9))^(1/12))</f>
        <v>0</v>
      </c>
      <c r="AX9" s="15" t="n">
        <f aca="false">ROUND(INDEX(Ipotesi!$C$32:$G$32,1,F9)*Ipotesi!C8,0)</f>
        <v>3</v>
      </c>
      <c r="AY9" s="15" t="n">
        <f aca="false">MAX(0,(AX9-(AV9-AW9))/(13-E9))</f>
        <v>0.333333333333333</v>
      </c>
      <c r="AZ9" s="15" t="n">
        <f aca="false">MIN(P9*Parametri_v3!$C$22,Q9*(1-Parametri_v3!$C$16)*Parametri_v3!$C$23)</f>
        <v>22.5</v>
      </c>
      <c r="BA9" s="15" t="n">
        <f aca="false">IF(OR(INDEX(Ipotesi!$C$35:$G$35,1,F9)&lt;=0,5-Parametri_v3!$C$21&lt;1),0,INDEX($AT$5:$AT$64,MAX(1,5-Parametri_v3!$C$21))/(INDEX(Ipotesi!$C$35:$G$35,1,F9)*Ipotesi!C27))</f>
        <v>0.565972222222222</v>
      </c>
      <c r="BB9" s="15" t="n">
        <f aca="false">IF(5-Parametri_v3!$C$21&lt;1,0,INDEX($AU$5:$AU$64,MAX(1,5-Parametri_v3!$C$21)))*Parametri_v3!$C$18*Parametri_v3!$C$19*Parametri_v3!$C$20</f>
        <v>1.3125</v>
      </c>
      <c r="BC9" s="17" t="n">
        <f aca="false">MAX(0,MIN(AY9,BA9,BB9,MAX(0,AZ9-(AV9-AW9))))</f>
        <v>0.333333333333333</v>
      </c>
      <c r="BD9" s="17" t="n">
        <f aca="false">AV9-AW9+BC9</f>
        <v>0.666666666666667</v>
      </c>
      <c r="BE9" s="17" t="n">
        <f aca="false">(AV9+BD9)/2</f>
        <v>0.5</v>
      </c>
      <c r="BF9" s="15" t="n">
        <f aca="false">BE9*INDEX(Ipotesi!$C$33:$G$33,1,F9)*H9/12</f>
        <v>83.3333333333333</v>
      </c>
      <c r="BG9" s="15" t="n">
        <f aca="false">BD9*INDEX(Ipotesi!$C$33:$G$33,1,F9)*H9</f>
        <v>1333.33333333333</v>
      </c>
      <c r="BH9" s="15" t="n">
        <f aca="false">AM9*INDEX(Ipotesi!$C$37:$G$37,1,F9)</f>
        <v>1250</v>
      </c>
      <c r="BI9" s="15" t="n">
        <f aca="false">AQ9+BF9+BH9</f>
        <v>6958.33333333333</v>
      </c>
      <c r="BJ9" s="15" t="n">
        <f aca="false">INDEX(Ipotesi!$C$68:$G$68,1,F9)*Ipotesi!$C$69/12</f>
        <v>1000</v>
      </c>
      <c r="BK9" s="15" t="n">
        <f aca="false">INDEX(Ipotesi!$C$68:$G$68,1,F9)*(1-Ipotesi!$C$69)/12</f>
        <v>1500</v>
      </c>
      <c r="BL9" s="15" t="n">
        <f aca="false">(AQ9+BF9)*Ipotesi!$C$67</f>
        <v>171.25</v>
      </c>
      <c r="BM9" s="15" t="n">
        <f aca="false">AM9*Ipotesi!$C$67</f>
        <v>375</v>
      </c>
      <c r="BN9" s="15" t="n">
        <f aca="false">INDEX(Ipotesi!$C$72:$G$72,1,F9)/12*Ipotesi!C126+BF9*Ipotesi!$C$73</f>
        <v>1256.66666666667</v>
      </c>
      <c r="BO9" s="15" t="n">
        <f aca="false">INDEX(Ipotesi!$C$74:$G$74,1,F9)/12*Ipotesi!C126</f>
        <v>1000</v>
      </c>
      <c r="BP9" s="15" t="n">
        <f aca="false">INDEX(Ipotesi!$C$76:$G$76,1,F9)/12</f>
        <v>500</v>
      </c>
      <c r="BQ9" s="15" t="n">
        <f aca="false">INDEX(Ipotesi!$C$77:$G$77,1,F9)/12*Ipotesi!C126</f>
        <v>1250</v>
      </c>
      <c r="BR9" s="15" t="n">
        <f aca="false">INDEX(Ipotesi!$C$78:$G$78,1,F9)/12</f>
        <v>1000</v>
      </c>
      <c r="BS9" s="15" t="n">
        <f aca="false">SUM(M9:R9)*(Ipotesi!$C$85+Ipotesi!$C$86)/12</f>
        <v>1239.58333333333</v>
      </c>
      <c r="BT9" s="15" t="n">
        <f aca="false">BI9*Ipotesi!$C$87</f>
        <v>208.75</v>
      </c>
      <c r="BU9" s="15" t="n">
        <f aca="false">INDEX(Ipotesi!$C$55:$G$55,1,F9)*K9/12</f>
        <v>500</v>
      </c>
      <c r="BV9" s="15" t="n">
        <f aca="false">INDEX(Ipotesi!$C$80:$G$80,1,F9)/12*Ipotesi!C126</f>
        <v>500</v>
      </c>
      <c r="BW9" s="15" t="n">
        <f aca="false">INDEX(Ipotesi!$C$82:$G$82,1,F9)/12</f>
        <v>416.666666666667</v>
      </c>
      <c r="BX9" s="15" t="n">
        <f aca="false">INDEX(Ipotesi!$C$83:$G$83,1,F9)/12</f>
        <v>500</v>
      </c>
      <c r="BY9" s="15" t="n">
        <f aca="false">SUM(S9:U9)*(Ipotesi!$C$85+Ipotesi!$C$86)/12</f>
        <v>437.5</v>
      </c>
      <c r="BZ9" s="15" t="n">
        <f aca="false">AM9*Ipotesi!$C$87</f>
        <v>375</v>
      </c>
      <c r="CA9" s="15" t="n">
        <f aca="false">AB9+BJ9+BL9+BN9+BO9+AR9+BP9+BQ9+BR9+BS9+BT9</f>
        <v>27626.25</v>
      </c>
      <c r="CB9" s="15" t="n">
        <f aca="false">AC9+BK9+BM9+BH9+BU9+BV9+AS9+BW9+BX9+BY9+BZ9</f>
        <v>11520.8333333333</v>
      </c>
      <c r="CC9" s="15" t="n">
        <f aca="false">BI9-CA9</f>
        <v>-20667.9166666667</v>
      </c>
      <c r="CD9" s="15" t="n">
        <f aca="false">AM9-CB9</f>
        <v>979.166666666668</v>
      </c>
      <c r="CE9" s="15" t="n">
        <f aca="false">INDEX(Ipotesi!$C$79:$G$79,1,F9)/12</f>
        <v>1666.66666666667</v>
      </c>
      <c r="CF9" s="15" t="n">
        <f aca="false">INDEX(Ipotesi!$C$84:$G$84,1,F9)/12</f>
        <v>250</v>
      </c>
      <c r="CG9" s="15" t="n">
        <f aca="false">Y9*MAX(0,Parametri_v3!$C$12-IF(P9=0,0,MIN(1,BE9/(P9*Parametri_v3!$C$22))))+W9*Parametri_v3!$C$13+X9*Parametri_v3!$C$14</f>
        <v>7166.66666666667</v>
      </c>
      <c r="CH9" s="15" t="n">
        <f aca="false">AB9*Parametri_v3!$C$32</f>
        <v>895.833333333334</v>
      </c>
      <c r="CI9" s="15" t="n">
        <f aca="false">AC9*Parametri_v3!$C$32</f>
        <v>262.5</v>
      </c>
      <c r="CJ9" s="15" t="n">
        <f aca="false">CA9-AB9</f>
        <v>9709.58333333333</v>
      </c>
      <c r="CK9" s="15" t="n">
        <f aca="false">CB9-AC9-BH9</f>
        <v>5020.83333333333</v>
      </c>
      <c r="CL9" s="15" t="n">
        <f aca="false">BF9*Ipotesi!$C$73+INDEX(Ipotesi!$C$72:$G$72,1,F9)/12*Ipotesi!C126*Parametri_v3!$C$58+Z9*(1-Parametri_v3!$C$16)</f>
        <v>1819.16666666667</v>
      </c>
      <c r="CM9" s="16" t="n">
        <f aca="false">IF(BF9=0,0,1-CL9/BF9)</f>
        <v>-20.83</v>
      </c>
    </row>
    <row r="10" customFormat="false" ht="18" hidden="false" customHeight="true" outlineLevel="0" collapsed="false">
      <c r="A10" s="68" t="n">
        <f aca="false">1</f>
        <v>1</v>
      </c>
      <c r="B10" s="68" t="n">
        <f aca="false">6</f>
        <v>6</v>
      </c>
      <c r="C10" s="18" t="n">
        <f aca="false">EDATE(Parametri_v3!$C$5,6-1)</f>
        <v>46539</v>
      </c>
      <c r="D10" s="68" t="n">
        <f aca="false">YEAR(C10)</f>
        <v>2027</v>
      </c>
      <c r="E10" s="68" t="n">
        <f aca="false">MONTH(C10)</f>
        <v>6</v>
      </c>
      <c r="F10" s="68" t="n">
        <f aca="false">INT((6-1)/12)+1</f>
        <v>1</v>
      </c>
      <c r="G10" s="15" t="n">
        <f aca="false">Ipotesi!C7</f>
        <v>0.75</v>
      </c>
      <c r="H10" s="15" t="n">
        <f aca="false">Ipotesi!C9</f>
        <v>1</v>
      </c>
      <c r="I10" s="15" t="n">
        <f aca="false">Ipotesi!C10</f>
        <v>1</v>
      </c>
      <c r="J10" s="15" t="n">
        <f aca="false">Ipotesi!C11</f>
        <v>1</v>
      </c>
      <c r="K10" s="15" t="n">
        <f aca="false">Ipotesi!C12</f>
        <v>1</v>
      </c>
      <c r="L10" s="15" t="n">
        <f aca="false">Ipotesi!C13</f>
        <v>90</v>
      </c>
      <c r="M10" s="17" t="n">
        <f aca="false">INDEX(Ipotesi!$C$40:$G$40,1,F10)</f>
        <v>1</v>
      </c>
      <c r="N10" s="17" t="n">
        <f aca="false">INDEX(Ipotesi!$C$41:$G$41,1,F10)</f>
        <v>0.75</v>
      </c>
      <c r="O10" s="17" t="n">
        <f aca="false">INDEX(Ipotesi!$C$42:$G$42,1,F10)*Ipotesi!C125</f>
        <v>1</v>
      </c>
      <c r="P10" s="17" t="n">
        <f aca="false">INDEX(Ipotesi!$C$43:$G$43,1,F10)*I10</f>
        <v>1</v>
      </c>
      <c r="Q10" s="17" t="n">
        <f aca="false">INDEX(Ipotesi!$C$44:$G$44,1,F10)*I10</f>
        <v>0.5</v>
      </c>
      <c r="R10" s="17" t="n">
        <f aca="false">INDEX(Ipotesi!$C$45:$G$45,1,F10)*I10</f>
        <v>0</v>
      </c>
      <c r="S10" s="17" t="n">
        <f aca="false">INDEX(Ipotesi!$C$52:$G$52,1,F10)*Ipotesi!C125</f>
        <v>1.5</v>
      </c>
      <c r="T10" s="17" t="n">
        <f aca="false">INDEX(Ipotesi!$C$53:$G$53,1,F10)*I10</f>
        <v>0</v>
      </c>
      <c r="U10" s="17" t="n">
        <f aca="false">INDEX(Ipotesi!$C$54:$G$54,1,F10)*I10</f>
        <v>0</v>
      </c>
      <c r="V10" s="15" t="n">
        <f aca="false">M10*INDEX(Ipotesi!$C$58:$G$58,1,F10)*K10/12</f>
        <v>3333.33333333333</v>
      </c>
      <c r="W10" s="15" t="n">
        <f aca="false">N10*Ipotesi!$C$59*(1+Ipotesi!$C$66)^(F10-1)/12</f>
        <v>4375</v>
      </c>
      <c r="X10" s="15" t="n">
        <f aca="false">O10*Ipotesi!$C$60*(1+Ipotesi!$C$66)^(F10-1)/12</f>
        <v>4166.66666666667</v>
      </c>
      <c r="Y10" s="15" t="n">
        <f aca="false">P10*Ipotesi!$C$61*(1+Ipotesi!$C$66)^(F10-1)/12</f>
        <v>4166.66666666667</v>
      </c>
      <c r="Z10" s="15" t="n">
        <f aca="false">Q10*Ipotesi!$C$62*(1+Ipotesi!$C$66)^(F10-1)/12</f>
        <v>1875</v>
      </c>
      <c r="AA10" s="15" t="n">
        <f aca="false">R10*Ipotesi!$C$63*(1+Ipotesi!$C$66)^(F10-1)/12</f>
        <v>0</v>
      </c>
      <c r="AB10" s="15" t="n">
        <f aca="false">SUM(V10:AA10)</f>
        <v>17916.6666666667</v>
      </c>
      <c r="AC10" s="15" t="n">
        <f aca="false">(S10*Ipotesi!$C$64+T10*Ipotesi!$C$65+U10*Ipotesi!$C$63)*(1+Ipotesi!$C$66)^(F10-1)/12</f>
        <v>5250</v>
      </c>
      <c r="AD10" s="15" t="n">
        <f aca="false">INDEX(Ipotesi!$C$48:$G$48,1,F10)*G10/12</f>
        <v>12.5</v>
      </c>
      <c r="AE10" s="15" t="n">
        <f aca="false">INDEX(Ipotesi!$C$50:$G$50,1,F10)*G10/12</f>
        <v>1.5625</v>
      </c>
      <c r="AF10" s="15" t="n">
        <f aca="false">(S10*Parametri_v3!$C$7*Parametri_v3!$C$8+Parametri_v3!$C$10)/12</f>
        <v>19.25</v>
      </c>
      <c r="AG10" s="15" t="n">
        <f aca="false">AD10+AE10*(1+Parametri_v3!$C$9)</f>
        <v>14.84375</v>
      </c>
      <c r="AH10" s="16" t="n">
        <f aca="false">IF(AG10=0,1,MIN(1,AF10/AG10))</f>
        <v>1</v>
      </c>
      <c r="AI10" s="15" t="n">
        <f aca="false">AD10*AH10</f>
        <v>12.5</v>
      </c>
      <c r="AJ10" s="15" t="n">
        <f aca="false">AE10*AH10</f>
        <v>1.5625</v>
      </c>
      <c r="AK10" s="15" t="n">
        <f aca="false">AI10*INDEX(Ipotesi!$C$49:$G$49,1,F10)*H10</f>
        <v>9375</v>
      </c>
      <c r="AL10" s="15" t="n">
        <f aca="false">AJ10*INDEX(Ipotesi!$C$51:$G$51,1,F10)*H10</f>
        <v>3125</v>
      </c>
      <c r="AM10" s="15" t="n">
        <f aca="false">AK10+AL10</f>
        <v>12500</v>
      </c>
      <c r="AN10" s="15" t="n">
        <f aca="false">INDEX(Ipotesi!$C$30:$G$30,1,F10)*G10/12</f>
        <v>6.25</v>
      </c>
      <c r="AO10" s="15" t="n">
        <f aca="false">O10*Parametri_v3!$C$7*Parametri_v3!$C$11*(1-Parametri_v3!$C$14)/12</f>
        <v>10.2666666666667</v>
      </c>
      <c r="AP10" s="15" t="n">
        <f aca="false">MIN(AN10,AO10)</f>
        <v>6.25</v>
      </c>
      <c r="AQ10" s="15" t="n">
        <f aca="false">AP10*INDEX(Ipotesi!$C$31:$G$31,1,F10)*H10</f>
        <v>5625</v>
      </c>
      <c r="AR10" s="15" t="n">
        <f aca="false">INDEX(Ipotesi!$C$75:$G$75,1,F10)*J10/12</f>
        <v>2083.33333333333</v>
      </c>
      <c r="AS10" s="15" t="n">
        <f aca="false">INDEX(Ipotesi!$C$81:$G$81,1,F10)*J10/12</f>
        <v>416.666666666667</v>
      </c>
      <c r="AT10" s="15" t="n">
        <f aca="false">AR10*Parametri_v3!$C$15+Z10*Parametri_v3!$C$16</f>
        <v>3395.83333333333</v>
      </c>
      <c r="AU10" s="15" t="n">
        <f aca="false">Q10*Parametri_v3!$C$16*Parametri_v3!$C$17</f>
        <v>35</v>
      </c>
      <c r="AV10" s="17" t="n">
        <f aca="false">BD9</f>
        <v>0.666666666666667</v>
      </c>
      <c r="AW10" s="17" t="n">
        <f aca="false">AV10*(1-(1-INDEX(Ipotesi!$C$34:$G$34,1,F10))^(1/12))</f>
        <v>0</v>
      </c>
      <c r="AX10" s="15" t="n">
        <f aca="false">ROUND(INDEX(Ipotesi!$C$32:$G$32,1,F10)*Ipotesi!C8,0)</f>
        <v>3</v>
      </c>
      <c r="AY10" s="15" t="n">
        <f aca="false">MAX(0,(AX10-(AV10-AW10))/(13-E10))</f>
        <v>0.333333333333333</v>
      </c>
      <c r="AZ10" s="15" t="n">
        <f aca="false">MIN(P10*Parametri_v3!$C$22,Q10*(1-Parametri_v3!$C$16)*Parametri_v3!$C$23)</f>
        <v>22.5</v>
      </c>
      <c r="BA10" s="15" t="n">
        <f aca="false">IF(OR(INDEX(Ipotesi!$C$35:$G$35,1,F10)&lt;=0,6-Parametri_v3!$C$21&lt;1),0,INDEX($AT$5:$AT$64,MAX(1,6-Parametri_v3!$C$21))/(INDEX(Ipotesi!$C$35:$G$35,1,F10)*Ipotesi!C27))</f>
        <v>0.565972222222222</v>
      </c>
      <c r="BB10" s="15" t="n">
        <f aca="false">IF(6-Parametri_v3!$C$21&lt;1,0,INDEX($AU$5:$AU$64,MAX(1,6-Parametri_v3!$C$21)))*Parametri_v3!$C$18*Parametri_v3!$C$19*Parametri_v3!$C$20</f>
        <v>1.3125</v>
      </c>
      <c r="BC10" s="17" t="n">
        <f aca="false">MAX(0,MIN(AY10,BA10,BB10,MAX(0,AZ10-(AV10-AW10))))</f>
        <v>0.333333333333333</v>
      </c>
      <c r="BD10" s="17" t="n">
        <f aca="false">AV10-AW10+BC10</f>
        <v>1</v>
      </c>
      <c r="BE10" s="17" t="n">
        <f aca="false">(AV10+BD10)/2</f>
        <v>0.833333333333333</v>
      </c>
      <c r="BF10" s="15" t="n">
        <f aca="false">BE10*INDEX(Ipotesi!$C$33:$G$33,1,F10)*H10/12</f>
        <v>138.888888888889</v>
      </c>
      <c r="BG10" s="15" t="n">
        <f aca="false">BD10*INDEX(Ipotesi!$C$33:$G$33,1,F10)*H10</f>
        <v>2000</v>
      </c>
      <c r="BH10" s="15" t="n">
        <f aca="false">AM10*INDEX(Ipotesi!$C$37:$G$37,1,F10)</f>
        <v>1250</v>
      </c>
      <c r="BI10" s="15" t="n">
        <f aca="false">AQ10+BF10+BH10</f>
        <v>7013.88888888889</v>
      </c>
      <c r="BJ10" s="15" t="n">
        <f aca="false">INDEX(Ipotesi!$C$68:$G$68,1,F10)*Ipotesi!$C$69/12</f>
        <v>1000</v>
      </c>
      <c r="BK10" s="15" t="n">
        <f aca="false">INDEX(Ipotesi!$C$68:$G$68,1,F10)*(1-Ipotesi!$C$69)/12</f>
        <v>1500</v>
      </c>
      <c r="BL10" s="15" t="n">
        <f aca="false">(AQ10+BF10)*Ipotesi!$C$67</f>
        <v>172.916666666667</v>
      </c>
      <c r="BM10" s="15" t="n">
        <f aca="false">AM10*Ipotesi!$C$67</f>
        <v>375</v>
      </c>
      <c r="BN10" s="15" t="n">
        <f aca="false">INDEX(Ipotesi!$C$72:$G$72,1,F10)/12*Ipotesi!C126+BF10*Ipotesi!$C$73</f>
        <v>1261.11111111111</v>
      </c>
      <c r="BO10" s="15" t="n">
        <f aca="false">INDEX(Ipotesi!$C$74:$G$74,1,F10)/12*Ipotesi!C126</f>
        <v>1000</v>
      </c>
      <c r="BP10" s="15" t="n">
        <f aca="false">INDEX(Ipotesi!$C$76:$G$76,1,F10)/12</f>
        <v>500</v>
      </c>
      <c r="BQ10" s="15" t="n">
        <f aca="false">INDEX(Ipotesi!$C$77:$G$77,1,F10)/12*Ipotesi!C126</f>
        <v>1250</v>
      </c>
      <c r="BR10" s="15" t="n">
        <f aca="false">INDEX(Ipotesi!$C$78:$G$78,1,F10)/12</f>
        <v>1000</v>
      </c>
      <c r="BS10" s="15" t="n">
        <f aca="false">SUM(M10:R10)*(Ipotesi!$C$85+Ipotesi!$C$86)/12</f>
        <v>1239.58333333333</v>
      </c>
      <c r="BT10" s="15" t="n">
        <f aca="false">BI10*Ipotesi!$C$87</f>
        <v>210.416666666667</v>
      </c>
      <c r="BU10" s="15" t="n">
        <f aca="false">INDEX(Ipotesi!$C$55:$G$55,1,F10)*K10/12</f>
        <v>500</v>
      </c>
      <c r="BV10" s="15" t="n">
        <f aca="false">INDEX(Ipotesi!$C$80:$G$80,1,F10)/12*Ipotesi!C126</f>
        <v>500</v>
      </c>
      <c r="BW10" s="15" t="n">
        <f aca="false">INDEX(Ipotesi!$C$82:$G$82,1,F10)/12</f>
        <v>416.666666666667</v>
      </c>
      <c r="BX10" s="15" t="n">
        <f aca="false">INDEX(Ipotesi!$C$83:$G$83,1,F10)/12</f>
        <v>500</v>
      </c>
      <c r="BY10" s="15" t="n">
        <f aca="false">SUM(S10:U10)*(Ipotesi!$C$85+Ipotesi!$C$86)/12</f>
        <v>437.5</v>
      </c>
      <c r="BZ10" s="15" t="n">
        <f aca="false">AM10*Ipotesi!$C$87</f>
        <v>375</v>
      </c>
      <c r="CA10" s="15" t="n">
        <f aca="false">AB10+BJ10+BL10+BN10+BO10+AR10+BP10+BQ10+BR10+BS10+BT10</f>
        <v>27634.0277777778</v>
      </c>
      <c r="CB10" s="15" t="n">
        <f aca="false">AC10+BK10+BM10+BH10+BU10+BV10+AS10+BW10+BX10+BY10+BZ10</f>
        <v>11520.8333333333</v>
      </c>
      <c r="CC10" s="15" t="n">
        <f aca="false">BI10-CA10</f>
        <v>-20620.1388888889</v>
      </c>
      <c r="CD10" s="15" t="n">
        <f aca="false">AM10-CB10</f>
        <v>979.166666666668</v>
      </c>
      <c r="CE10" s="15" t="n">
        <f aca="false">INDEX(Ipotesi!$C$79:$G$79,1,F10)/12</f>
        <v>1666.66666666667</v>
      </c>
      <c r="CF10" s="15" t="n">
        <f aca="false">INDEX(Ipotesi!$C$84:$G$84,1,F10)/12</f>
        <v>250</v>
      </c>
      <c r="CG10" s="15" t="n">
        <f aca="false">Y10*MAX(0,Parametri_v3!$C$12-IF(P10=0,0,MIN(1,BE10/(P10*Parametri_v3!$C$22))))+W10*Parametri_v3!$C$13+X10*Parametri_v3!$C$14</f>
        <v>7152.77777777778</v>
      </c>
      <c r="CH10" s="15" t="n">
        <f aca="false">AB10*Parametri_v3!$C$32</f>
        <v>895.833333333334</v>
      </c>
      <c r="CI10" s="15" t="n">
        <f aca="false">AC10*Parametri_v3!$C$32</f>
        <v>262.5</v>
      </c>
      <c r="CJ10" s="15" t="n">
        <f aca="false">CA10-AB10</f>
        <v>9717.36111111111</v>
      </c>
      <c r="CK10" s="15" t="n">
        <f aca="false">CB10-AC10-BH10</f>
        <v>5020.83333333333</v>
      </c>
      <c r="CL10" s="15" t="n">
        <f aca="false">BF10*Ipotesi!$C$73+INDEX(Ipotesi!$C$72:$G$72,1,F10)/12*Ipotesi!C126*Parametri_v3!$C$58+Z10*(1-Parametri_v3!$C$16)</f>
        <v>1823.61111111111</v>
      </c>
      <c r="CM10" s="16" t="n">
        <f aca="false">IF(BF10=0,0,1-CL10/BF10)</f>
        <v>-12.13</v>
      </c>
    </row>
    <row r="11" customFormat="false" ht="18" hidden="false" customHeight="true" outlineLevel="0" collapsed="false">
      <c r="A11" s="68" t="n">
        <f aca="false">1</f>
        <v>1</v>
      </c>
      <c r="B11" s="68" t="n">
        <f aca="false">7</f>
        <v>7</v>
      </c>
      <c r="C11" s="18" t="n">
        <f aca="false">EDATE(Parametri_v3!$C$5,7-1)</f>
        <v>46569</v>
      </c>
      <c r="D11" s="68" t="n">
        <f aca="false">YEAR(C11)</f>
        <v>2027</v>
      </c>
      <c r="E11" s="68" t="n">
        <f aca="false">MONTH(C11)</f>
        <v>7</v>
      </c>
      <c r="F11" s="68" t="n">
        <f aca="false">INT((7-1)/12)+1</f>
        <v>1</v>
      </c>
      <c r="G11" s="15" t="n">
        <f aca="false">Ipotesi!C7</f>
        <v>0.75</v>
      </c>
      <c r="H11" s="15" t="n">
        <f aca="false">Ipotesi!C9</f>
        <v>1</v>
      </c>
      <c r="I11" s="15" t="n">
        <f aca="false">Ipotesi!C10</f>
        <v>1</v>
      </c>
      <c r="J11" s="15" t="n">
        <f aca="false">Ipotesi!C11</f>
        <v>1</v>
      </c>
      <c r="K11" s="15" t="n">
        <f aca="false">Ipotesi!C12</f>
        <v>1</v>
      </c>
      <c r="L11" s="15" t="n">
        <f aca="false">Ipotesi!C13</f>
        <v>90</v>
      </c>
      <c r="M11" s="17" t="n">
        <f aca="false">INDEX(Ipotesi!$C$40:$G$40,1,F11)</f>
        <v>1</v>
      </c>
      <c r="N11" s="17" t="n">
        <f aca="false">INDEX(Ipotesi!$C$41:$G$41,1,F11)</f>
        <v>0.75</v>
      </c>
      <c r="O11" s="17" t="n">
        <f aca="false">INDEX(Ipotesi!$C$42:$G$42,1,F11)*Ipotesi!C125</f>
        <v>1</v>
      </c>
      <c r="P11" s="17" t="n">
        <f aca="false">INDEX(Ipotesi!$C$43:$G$43,1,F11)*I11</f>
        <v>1</v>
      </c>
      <c r="Q11" s="17" t="n">
        <f aca="false">INDEX(Ipotesi!$C$44:$G$44,1,F11)*I11</f>
        <v>0.5</v>
      </c>
      <c r="R11" s="17" t="n">
        <f aca="false">INDEX(Ipotesi!$C$45:$G$45,1,F11)*I11</f>
        <v>0</v>
      </c>
      <c r="S11" s="17" t="n">
        <f aca="false">INDEX(Ipotesi!$C$52:$G$52,1,F11)*Ipotesi!C125</f>
        <v>1.5</v>
      </c>
      <c r="T11" s="17" t="n">
        <f aca="false">INDEX(Ipotesi!$C$53:$G$53,1,F11)*I11</f>
        <v>0</v>
      </c>
      <c r="U11" s="17" t="n">
        <f aca="false">INDEX(Ipotesi!$C$54:$G$54,1,F11)*I11</f>
        <v>0</v>
      </c>
      <c r="V11" s="15" t="n">
        <f aca="false">M11*INDEX(Ipotesi!$C$58:$G$58,1,F11)*K11/12</f>
        <v>3333.33333333333</v>
      </c>
      <c r="W11" s="15" t="n">
        <f aca="false">N11*Ipotesi!$C$59*(1+Ipotesi!$C$66)^(F11-1)/12</f>
        <v>4375</v>
      </c>
      <c r="X11" s="15" t="n">
        <f aca="false">O11*Ipotesi!$C$60*(1+Ipotesi!$C$66)^(F11-1)/12</f>
        <v>4166.66666666667</v>
      </c>
      <c r="Y11" s="15" t="n">
        <f aca="false">P11*Ipotesi!$C$61*(1+Ipotesi!$C$66)^(F11-1)/12</f>
        <v>4166.66666666667</v>
      </c>
      <c r="Z11" s="15" t="n">
        <f aca="false">Q11*Ipotesi!$C$62*(1+Ipotesi!$C$66)^(F11-1)/12</f>
        <v>1875</v>
      </c>
      <c r="AA11" s="15" t="n">
        <f aca="false">R11*Ipotesi!$C$63*(1+Ipotesi!$C$66)^(F11-1)/12</f>
        <v>0</v>
      </c>
      <c r="AB11" s="15" t="n">
        <f aca="false">SUM(V11:AA11)</f>
        <v>17916.6666666667</v>
      </c>
      <c r="AC11" s="15" t="n">
        <f aca="false">(S11*Ipotesi!$C$64+T11*Ipotesi!$C$65+U11*Ipotesi!$C$63)*(1+Ipotesi!$C$66)^(F11-1)/12</f>
        <v>5250</v>
      </c>
      <c r="AD11" s="15" t="n">
        <f aca="false">INDEX(Ipotesi!$C$48:$G$48,1,F11)*G11/12</f>
        <v>12.5</v>
      </c>
      <c r="AE11" s="15" t="n">
        <f aca="false">INDEX(Ipotesi!$C$50:$G$50,1,F11)*G11/12</f>
        <v>1.5625</v>
      </c>
      <c r="AF11" s="15" t="n">
        <f aca="false">(S11*Parametri_v3!$C$7*Parametri_v3!$C$8+Parametri_v3!$C$10)/12</f>
        <v>19.25</v>
      </c>
      <c r="AG11" s="15" t="n">
        <f aca="false">AD11+AE11*(1+Parametri_v3!$C$9)</f>
        <v>14.84375</v>
      </c>
      <c r="AH11" s="16" t="n">
        <f aca="false">IF(AG11=0,1,MIN(1,AF11/AG11))</f>
        <v>1</v>
      </c>
      <c r="AI11" s="15" t="n">
        <f aca="false">AD11*AH11</f>
        <v>12.5</v>
      </c>
      <c r="AJ11" s="15" t="n">
        <f aca="false">AE11*AH11</f>
        <v>1.5625</v>
      </c>
      <c r="AK11" s="15" t="n">
        <f aca="false">AI11*INDEX(Ipotesi!$C$49:$G$49,1,F11)*H11</f>
        <v>9375</v>
      </c>
      <c r="AL11" s="15" t="n">
        <f aca="false">AJ11*INDEX(Ipotesi!$C$51:$G$51,1,F11)*H11</f>
        <v>3125</v>
      </c>
      <c r="AM11" s="15" t="n">
        <f aca="false">AK11+AL11</f>
        <v>12500</v>
      </c>
      <c r="AN11" s="15" t="n">
        <f aca="false">INDEX(Ipotesi!$C$30:$G$30,1,F11)*G11/12</f>
        <v>6.25</v>
      </c>
      <c r="AO11" s="15" t="n">
        <f aca="false">O11*Parametri_v3!$C$7*Parametri_v3!$C$11*(1-Parametri_v3!$C$14)/12</f>
        <v>10.2666666666667</v>
      </c>
      <c r="AP11" s="15" t="n">
        <f aca="false">MIN(AN11,AO11)</f>
        <v>6.25</v>
      </c>
      <c r="AQ11" s="15" t="n">
        <f aca="false">AP11*INDEX(Ipotesi!$C$31:$G$31,1,F11)*H11</f>
        <v>5625</v>
      </c>
      <c r="AR11" s="15" t="n">
        <f aca="false">INDEX(Ipotesi!$C$75:$G$75,1,F11)*J11/12</f>
        <v>2083.33333333333</v>
      </c>
      <c r="AS11" s="15" t="n">
        <f aca="false">INDEX(Ipotesi!$C$81:$G$81,1,F11)*J11/12</f>
        <v>416.666666666667</v>
      </c>
      <c r="AT11" s="15" t="n">
        <f aca="false">AR11*Parametri_v3!$C$15+Z11*Parametri_v3!$C$16</f>
        <v>3395.83333333333</v>
      </c>
      <c r="AU11" s="15" t="n">
        <f aca="false">Q11*Parametri_v3!$C$16*Parametri_v3!$C$17</f>
        <v>35</v>
      </c>
      <c r="AV11" s="17" t="n">
        <f aca="false">BD10</f>
        <v>1</v>
      </c>
      <c r="AW11" s="17" t="n">
        <f aca="false">AV11*(1-(1-INDEX(Ipotesi!$C$34:$G$34,1,F11))^(1/12))</f>
        <v>0</v>
      </c>
      <c r="AX11" s="15" t="n">
        <f aca="false">ROUND(INDEX(Ipotesi!$C$32:$G$32,1,F11)*Ipotesi!C8,0)</f>
        <v>3</v>
      </c>
      <c r="AY11" s="15" t="n">
        <f aca="false">MAX(0,(AX11-(AV11-AW11))/(13-E11))</f>
        <v>0.333333333333333</v>
      </c>
      <c r="AZ11" s="15" t="n">
        <f aca="false">MIN(P11*Parametri_v3!$C$22,Q11*(1-Parametri_v3!$C$16)*Parametri_v3!$C$23)</f>
        <v>22.5</v>
      </c>
      <c r="BA11" s="15" t="n">
        <f aca="false">IF(OR(INDEX(Ipotesi!$C$35:$G$35,1,F11)&lt;=0,7-Parametri_v3!$C$21&lt;1),0,INDEX($AT$5:$AT$64,MAX(1,7-Parametri_v3!$C$21))/(INDEX(Ipotesi!$C$35:$G$35,1,F11)*Ipotesi!C27))</f>
        <v>0.565972222222222</v>
      </c>
      <c r="BB11" s="15" t="n">
        <f aca="false">IF(7-Parametri_v3!$C$21&lt;1,0,INDEX($AU$5:$AU$64,MAX(1,7-Parametri_v3!$C$21)))*Parametri_v3!$C$18*Parametri_v3!$C$19*Parametri_v3!$C$20</f>
        <v>1.3125</v>
      </c>
      <c r="BC11" s="17" t="n">
        <f aca="false">MAX(0,MIN(AY11,BA11,BB11,MAX(0,AZ11-(AV11-AW11))))</f>
        <v>0.333333333333333</v>
      </c>
      <c r="BD11" s="17" t="n">
        <f aca="false">AV11-AW11+BC11</f>
        <v>1.33333333333333</v>
      </c>
      <c r="BE11" s="17" t="n">
        <f aca="false">(AV11+BD11)/2</f>
        <v>1.16666666666667</v>
      </c>
      <c r="BF11" s="15" t="n">
        <f aca="false">BE11*INDEX(Ipotesi!$C$33:$G$33,1,F11)*H11/12</f>
        <v>194.444444444444</v>
      </c>
      <c r="BG11" s="15" t="n">
        <f aca="false">BD11*INDEX(Ipotesi!$C$33:$G$33,1,F11)*H11</f>
        <v>2666.66666666667</v>
      </c>
      <c r="BH11" s="15" t="n">
        <f aca="false">AM11*INDEX(Ipotesi!$C$37:$G$37,1,F11)</f>
        <v>1250</v>
      </c>
      <c r="BI11" s="15" t="n">
        <f aca="false">AQ11+BF11+BH11</f>
        <v>7069.44444444444</v>
      </c>
      <c r="BJ11" s="15" t="n">
        <f aca="false">INDEX(Ipotesi!$C$68:$G$68,1,F11)*Ipotesi!$C$69/12</f>
        <v>1000</v>
      </c>
      <c r="BK11" s="15" t="n">
        <f aca="false">INDEX(Ipotesi!$C$68:$G$68,1,F11)*(1-Ipotesi!$C$69)/12</f>
        <v>1500</v>
      </c>
      <c r="BL11" s="15" t="n">
        <f aca="false">(AQ11+BF11)*Ipotesi!$C$67</f>
        <v>174.583333333333</v>
      </c>
      <c r="BM11" s="15" t="n">
        <f aca="false">AM11*Ipotesi!$C$67</f>
        <v>375</v>
      </c>
      <c r="BN11" s="15" t="n">
        <f aca="false">INDEX(Ipotesi!$C$72:$G$72,1,F11)/12*Ipotesi!C126+BF11*Ipotesi!$C$73</f>
        <v>1265.55555555556</v>
      </c>
      <c r="BO11" s="15" t="n">
        <f aca="false">INDEX(Ipotesi!$C$74:$G$74,1,F11)/12*Ipotesi!C126</f>
        <v>1000</v>
      </c>
      <c r="BP11" s="15" t="n">
        <f aca="false">INDEX(Ipotesi!$C$76:$G$76,1,F11)/12</f>
        <v>500</v>
      </c>
      <c r="BQ11" s="15" t="n">
        <f aca="false">INDEX(Ipotesi!$C$77:$G$77,1,F11)/12*Ipotesi!C126</f>
        <v>1250</v>
      </c>
      <c r="BR11" s="15" t="n">
        <f aca="false">INDEX(Ipotesi!$C$78:$G$78,1,F11)/12</f>
        <v>1000</v>
      </c>
      <c r="BS11" s="15" t="n">
        <f aca="false">SUM(M11:R11)*(Ipotesi!$C$85+Ipotesi!$C$86)/12</f>
        <v>1239.58333333333</v>
      </c>
      <c r="BT11" s="15" t="n">
        <f aca="false">BI11*Ipotesi!$C$87</f>
        <v>212.083333333333</v>
      </c>
      <c r="BU11" s="15" t="n">
        <f aca="false">INDEX(Ipotesi!$C$55:$G$55,1,F11)*K11/12</f>
        <v>500</v>
      </c>
      <c r="BV11" s="15" t="n">
        <f aca="false">INDEX(Ipotesi!$C$80:$G$80,1,F11)/12*Ipotesi!C126</f>
        <v>500</v>
      </c>
      <c r="BW11" s="15" t="n">
        <f aca="false">INDEX(Ipotesi!$C$82:$G$82,1,F11)/12</f>
        <v>416.666666666667</v>
      </c>
      <c r="BX11" s="15" t="n">
        <f aca="false">INDEX(Ipotesi!$C$83:$G$83,1,F11)/12</f>
        <v>500</v>
      </c>
      <c r="BY11" s="15" t="n">
        <f aca="false">SUM(S11:U11)*(Ipotesi!$C$85+Ipotesi!$C$86)/12</f>
        <v>437.5</v>
      </c>
      <c r="BZ11" s="15" t="n">
        <f aca="false">AM11*Ipotesi!$C$87</f>
        <v>375</v>
      </c>
      <c r="CA11" s="15" t="n">
        <f aca="false">AB11+BJ11+BL11+BN11+BO11+AR11+BP11+BQ11+BR11+BS11+BT11</f>
        <v>27641.8055555556</v>
      </c>
      <c r="CB11" s="15" t="n">
        <f aca="false">AC11+BK11+BM11+BH11+BU11+BV11+AS11+BW11+BX11+BY11+BZ11</f>
        <v>11520.8333333333</v>
      </c>
      <c r="CC11" s="15" t="n">
        <f aca="false">BI11-CA11</f>
        <v>-20572.3611111111</v>
      </c>
      <c r="CD11" s="15" t="n">
        <f aca="false">AM11-CB11</f>
        <v>979.166666666668</v>
      </c>
      <c r="CE11" s="15" t="n">
        <f aca="false">INDEX(Ipotesi!$C$79:$G$79,1,F11)/12</f>
        <v>1666.66666666667</v>
      </c>
      <c r="CF11" s="15" t="n">
        <f aca="false">INDEX(Ipotesi!$C$84:$G$84,1,F11)/12</f>
        <v>250</v>
      </c>
      <c r="CG11" s="15" t="n">
        <f aca="false">Y11*MAX(0,Parametri_v3!$C$12-IF(P11=0,0,MIN(1,BE11/(P11*Parametri_v3!$C$22))))+W11*Parametri_v3!$C$13+X11*Parametri_v3!$C$14</f>
        <v>7138.88888888889</v>
      </c>
      <c r="CH11" s="15" t="n">
        <f aca="false">AB11*Parametri_v3!$C$32</f>
        <v>895.833333333334</v>
      </c>
      <c r="CI11" s="15" t="n">
        <f aca="false">AC11*Parametri_v3!$C$32</f>
        <v>262.5</v>
      </c>
      <c r="CJ11" s="15" t="n">
        <f aca="false">CA11-AB11</f>
        <v>9725.13888888888</v>
      </c>
      <c r="CK11" s="15" t="n">
        <f aca="false">CB11-AC11-BH11</f>
        <v>5020.83333333333</v>
      </c>
      <c r="CL11" s="15" t="n">
        <f aca="false">BF11*Ipotesi!$C$73+INDEX(Ipotesi!$C$72:$G$72,1,F11)/12*Ipotesi!C126*Parametri_v3!$C$58+Z11*(1-Parametri_v3!$C$16)</f>
        <v>1828.05555555556</v>
      </c>
      <c r="CM11" s="16" t="n">
        <f aca="false">IF(BF11=0,0,1-CL11/BF11)</f>
        <v>-8.40142857142857</v>
      </c>
    </row>
    <row r="12" customFormat="false" ht="18" hidden="false" customHeight="true" outlineLevel="0" collapsed="false">
      <c r="A12" s="68" t="n">
        <f aca="false">1</f>
        <v>1</v>
      </c>
      <c r="B12" s="68" t="n">
        <f aca="false">8</f>
        <v>8</v>
      </c>
      <c r="C12" s="18" t="n">
        <f aca="false">EDATE(Parametri_v3!$C$5,8-1)</f>
        <v>46600</v>
      </c>
      <c r="D12" s="68" t="n">
        <f aca="false">YEAR(C12)</f>
        <v>2027</v>
      </c>
      <c r="E12" s="68" t="n">
        <f aca="false">MONTH(C12)</f>
        <v>8</v>
      </c>
      <c r="F12" s="68" t="n">
        <f aca="false">INT((8-1)/12)+1</f>
        <v>1</v>
      </c>
      <c r="G12" s="15" t="n">
        <f aca="false">Ipotesi!C7</f>
        <v>0.75</v>
      </c>
      <c r="H12" s="15" t="n">
        <f aca="false">Ipotesi!C9</f>
        <v>1</v>
      </c>
      <c r="I12" s="15" t="n">
        <f aca="false">Ipotesi!C10</f>
        <v>1</v>
      </c>
      <c r="J12" s="15" t="n">
        <f aca="false">Ipotesi!C11</f>
        <v>1</v>
      </c>
      <c r="K12" s="15" t="n">
        <f aca="false">Ipotesi!C12</f>
        <v>1</v>
      </c>
      <c r="L12" s="15" t="n">
        <f aca="false">Ipotesi!C13</f>
        <v>90</v>
      </c>
      <c r="M12" s="17" t="n">
        <f aca="false">INDEX(Ipotesi!$C$40:$G$40,1,F12)</f>
        <v>1</v>
      </c>
      <c r="N12" s="17" t="n">
        <f aca="false">INDEX(Ipotesi!$C$41:$G$41,1,F12)</f>
        <v>0.75</v>
      </c>
      <c r="O12" s="17" t="n">
        <f aca="false">INDEX(Ipotesi!$C$42:$G$42,1,F12)*Ipotesi!C125</f>
        <v>1</v>
      </c>
      <c r="P12" s="17" t="n">
        <f aca="false">INDEX(Ipotesi!$C$43:$G$43,1,F12)*I12</f>
        <v>1</v>
      </c>
      <c r="Q12" s="17" t="n">
        <f aca="false">INDEX(Ipotesi!$C$44:$G$44,1,F12)*I12</f>
        <v>0.5</v>
      </c>
      <c r="R12" s="17" t="n">
        <f aca="false">INDEX(Ipotesi!$C$45:$G$45,1,F12)*I12</f>
        <v>0</v>
      </c>
      <c r="S12" s="17" t="n">
        <f aca="false">INDEX(Ipotesi!$C$52:$G$52,1,F12)*Ipotesi!C125</f>
        <v>1.5</v>
      </c>
      <c r="T12" s="17" t="n">
        <f aca="false">INDEX(Ipotesi!$C$53:$G$53,1,F12)*I12</f>
        <v>0</v>
      </c>
      <c r="U12" s="17" t="n">
        <f aca="false">INDEX(Ipotesi!$C$54:$G$54,1,F12)*I12</f>
        <v>0</v>
      </c>
      <c r="V12" s="15" t="n">
        <f aca="false">M12*INDEX(Ipotesi!$C$58:$G$58,1,F12)*K12/12</f>
        <v>3333.33333333333</v>
      </c>
      <c r="W12" s="15" t="n">
        <f aca="false">N12*Ipotesi!$C$59*(1+Ipotesi!$C$66)^(F12-1)/12</f>
        <v>4375</v>
      </c>
      <c r="X12" s="15" t="n">
        <f aca="false">O12*Ipotesi!$C$60*(1+Ipotesi!$C$66)^(F12-1)/12</f>
        <v>4166.66666666667</v>
      </c>
      <c r="Y12" s="15" t="n">
        <f aca="false">P12*Ipotesi!$C$61*(1+Ipotesi!$C$66)^(F12-1)/12</f>
        <v>4166.66666666667</v>
      </c>
      <c r="Z12" s="15" t="n">
        <f aca="false">Q12*Ipotesi!$C$62*(1+Ipotesi!$C$66)^(F12-1)/12</f>
        <v>1875</v>
      </c>
      <c r="AA12" s="15" t="n">
        <f aca="false">R12*Ipotesi!$C$63*(1+Ipotesi!$C$66)^(F12-1)/12</f>
        <v>0</v>
      </c>
      <c r="AB12" s="15" t="n">
        <f aca="false">SUM(V12:AA12)</f>
        <v>17916.6666666667</v>
      </c>
      <c r="AC12" s="15" t="n">
        <f aca="false">(S12*Ipotesi!$C$64+T12*Ipotesi!$C$65+U12*Ipotesi!$C$63)*(1+Ipotesi!$C$66)^(F12-1)/12</f>
        <v>5250</v>
      </c>
      <c r="AD12" s="15" t="n">
        <f aca="false">INDEX(Ipotesi!$C$48:$G$48,1,F12)*G12/12</f>
        <v>12.5</v>
      </c>
      <c r="AE12" s="15" t="n">
        <f aca="false">INDEX(Ipotesi!$C$50:$G$50,1,F12)*G12/12</f>
        <v>1.5625</v>
      </c>
      <c r="AF12" s="15" t="n">
        <f aca="false">(S12*Parametri_v3!$C$7*Parametri_v3!$C$8+Parametri_v3!$C$10)/12</f>
        <v>19.25</v>
      </c>
      <c r="AG12" s="15" t="n">
        <f aca="false">AD12+AE12*(1+Parametri_v3!$C$9)</f>
        <v>14.84375</v>
      </c>
      <c r="AH12" s="16" t="n">
        <f aca="false">IF(AG12=0,1,MIN(1,AF12/AG12))</f>
        <v>1</v>
      </c>
      <c r="AI12" s="15" t="n">
        <f aca="false">AD12*AH12</f>
        <v>12.5</v>
      </c>
      <c r="AJ12" s="15" t="n">
        <f aca="false">AE12*AH12</f>
        <v>1.5625</v>
      </c>
      <c r="AK12" s="15" t="n">
        <f aca="false">AI12*INDEX(Ipotesi!$C$49:$G$49,1,F12)*H12</f>
        <v>9375</v>
      </c>
      <c r="AL12" s="15" t="n">
        <f aca="false">AJ12*INDEX(Ipotesi!$C$51:$G$51,1,F12)*H12</f>
        <v>3125</v>
      </c>
      <c r="AM12" s="15" t="n">
        <f aca="false">AK12+AL12</f>
        <v>12500</v>
      </c>
      <c r="AN12" s="15" t="n">
        <f aca="false">INDEX(Ipotesi!$C$30:$G$30,1,F12)*G12/12</f>
        <v>6.25</v>
      </c>
      <c r="AO12" s="15" t="n">
        <f aca="false">O12*Parametri_v3!$C$7*Parametri_v3!$C$11*(1-Parametri_v3!$C$14)/12</f>
        <v>10.2666666666667</v>
      </c>
      <c r="AP12" s="15" t="n">
        <f aca="false">MIN(AN12,AO12)</f>
        <v>6.25</v>
      </c>
      <c r="AQ12" s="15" t="n">
        <f aca="false">AP12*INDEX(Ipotesi!$C$31:$G$31,1,F12)*H12</f>
        <v>5625</v>
      </c>
      <c r="AR12" s="15" t="n">
        <f aca="false">INDEX(Ipotesi!$C$75:$G$75,1,F12)*J12/12</f>
        <v>2083.33333333333</v>
      </c>
      <c r="AS12" s="15" t="n">
        <f aca="false">INDEX(Ipotesi!$C$81:$G$81,1,F12)*J12/12</f>
        <v>416.666666666667</v>
      </c>
      <c r="AT12" s="15" t="n">
        <f aca="false">AR12*Parametri_v3!$C$15+Z12*Parametri_v3!$C$16</f>
        <v>3395.83333333333</v>
      </c>
      <c r="AU12" s="15" t="n">
        <f aca="false">Q12*Parametri_v3!$C$16*Parametri_v3!$C$17</f>
        <v>35</v>
      </c>
      <c r="AV12" s="17" t="n">
        <f aca="false">BD11</f>
        <v>1.33333333333333</v>
      </c>
      <c r="AW12" s="17" t="n">
        <f aca="false">AV12*(1-(1-INDEX(Ipotesi!$C$34:$G$34,1,F12))^(1/12))</f>
        <v>0</v>
      </c>
      <c r="AX12" s="15" t="n">
        <f aca="false">ROUND(INDEX(Ipotesi!$C$32:$G$32,1,F12)*Ipotesi!C8,0)</f>
        <v>3</v>
      </c>
      <c r="AY12" s="15" t="n">
        <f aca="false">MAX(0,(AX12-(AV12-AW12))/(13-E12))</f>
        <v>0.333333333333333</v>
      </c>
      <c r="AZ12" s="15" t="n">
        <f aca="false">MIN(P12*Parametri_v3!$C$22,Q12*(1-Parametri_v3!$C$16)*Parametri_v3!$C$23)</f>
        <v>22.5</v>
      </c>
      <c r="BA12" s="15" t="n">
        <f aca="false">IF(OR(INDEX(Ipotesi!$C$35:$G$35,1,F12)&lt;=0,8-Parametri_v3!$C$21&lt;1),0,INDEX($AT$5:$AT$64,MAX(1,8-Parametri_v3!$C$21))/(INDEX(Ipotesi!$C$35:$G$35,1,F12)*Ipotesi!C27))</f>
        <v>0.565972222222222</v>
      </c>
      <c r="BB12" s="15" t="n">
        <f aca="false">IF(8-Parametri_v3!$C$21&lt;1,0,INDEX($AU$5:$AU$64,MAX(1,8-Parametri_v3!$C$21)))*Parametri_v3!$C$18*Parametri_v3!$C$19*Parametri_v3!$C$20</f>
        <v>1.3125</v>
      </c>
      <c r="BC12" s="17" t="n">
        <f aca="false">MAX(0,MIN(AY12,BA12,BB12,MAX(0,AZ12-(AV12-AW12))))</f>
        <v>0.333333333333333</v>
      </c>
      <c r="BD12" s="17" t="n">
        <f aca="false">AV12-AW12+BC12</f>
        <v>1.66666666666667</v>
      </c>
      <c r="BE12" s="17" t="n">
        <f aca="false">(AV12+BD12)/2</f>
        <v>1.5</v>
      </c>
      <c r="BF12" s="15" t="n">
        <f aca="false">BE12*INDEX(Ipotesi!$C$33:$G$33,1,F12)*H12/12</f>
        <v>250</v>
      </c>
      <c r="BG12" s="15" t="n">
        <f aca="false">BD12*INDEX(Ipotesi!$C$33:$G$33,1,F12)*H12</f>
        <v>3333.33333333333</v>
      </c>
      <c r="BH12" s="15" t="n">
        <f aca="false">AM12*INDEX(Ipotesi!$C$37:$G$37,1,F12)</f>
        <v>1250</v>
      </c>
      <c r="BI12" s="15" t="n">
        <f aca="false">AQ12+BF12+BH12</f>
        <v>7125</v>
      </c>
      <c r="BJ12" s="15" t="n">
        <f aca="false">INDEX(Ipotesi!$C$68:$G$68,1,F12)*Ipotesi!$C$69/12</f>
        <v>1000</v>
      </c>
      <c r="BK12" s="15" t="n">
        <f aca="false">INDEX(Ipotesi!$C$68:$G$68,1,F12)*(1-Ipotesi!$C$69)/12</f>
        <v>1500</v>
      </c>
      <c r="BL12" s="15" t="n">
        <f aca="false">(AQ12+BF12)*Ipotesi!$C$67</f>
        <v>176.25</v>
      </c>
      <c r="BM12" s="15" t="n">
        <f aca="false">AM12*Ipotesi!$C$67</f>
        <v>375</v>
      </c>
      <c r="BN12" s="15" t="n">
        <f aca="false">INDEX(Ipotesi!$C$72:$G$72,1,F12)/12*Ipotesi!C126+BF12*Ipotesi!$C$73</f>
        <v>1270</v>
      </c>
      <c r="BO12" s="15" t="n">
        <f aca="false">INDEX(Ipotesi!$C$74:$G$74,1,F12)/12*Ipotesi!C126</f>
        <v>1000</v>
      </c>
      <c r="BP12" s="15" t="n">
        <f aca="false">INDEX(Ipotesi!$C$76:$G$76,1,F12)/12</f>
        <v>500</v>
      </c>
      <c r="BQ12" s="15" t="n">
        <f aca="false">INDEX(Ipotesi!$C$77:$G$77,1,F12)/12*Ipotesi!C126</f>
        <v>1250</v>
      </c>
      <c r="BR12" s="15" t="n">
        <f aca="false">INDEX(Ipotesi!$C$78:$G$78,1,F12)/12</f>
        <v>1000</v>
      </c>
      <c r="BS12" s="15" t="n">
        <f aca="false">SUM(M12:R12)*(Ipotesi!$C$85+Ipotesi!$C$86)/12</f>
        <v>1239.58333333333</v>
      </c>
      <c r="BT12" s="15" t="n">
        <f aca="false">BI12*Ipotesi!$C$87</f>
        <v>213.75</v>
      </c>
      <c r="BU12" s="15" t="n">
        <f aca="false">INDEX(Ipotesi!$C$55:$G$55,1,F12)*K12/12</f>
        <v>500</v>
      </c>
      <c r="BV12" s="15" t="n">
        <f aca="false">INDEX(Ipotesi!$C$80:$G$80,1,F12)/12*Ipotesi!C126</f>
        <v>500</v>
      </c>
      <c r="BW12" s="15" t="n">
        <f aca="false">INDEX(Ipotesi!$C$82:$G$82,1,F12)/12</f>
        <v>416.666666666667</v>
      </c>
      <c r="BX12" s="15" t="n">
        <f aca="false">INDEX(Ipotesi!$C$83:$G$83,1,F12)/12</f>
        <v>500</v>
      </c>
      <c r="BY12" s="15" t="n">
        <f aca="false">SUM(S12:U12)*(Ipotesi!$C$85+Ipotesi!$C$86)/12</f>
        <v>437.5</v>
      </c>
      <c r="BZ12" s="15" t="n">
        <f aca="false">AM12*Ipotesi!$C$87</f>
        <v>375</v>
      </c>
      <c r="CA12" s="15" t="n">
        <f aca="false">AB12+BJ12+BL12+BN12+BO12+AR12+BP12+BQ12+BR12+BS12+BT12</f>
        <v>27649.5833333333</v>
      </c>
      <c r="CB12" s="15" t="n">
        <f aca="false">AC12+BK12+BM12+BH12+BU12+BV12+AS12+BW12+BX12+BY12+BZ12</f>
        <v>11520.8333333333</v>
      </c>
      <c r="CC12" s="15" t="n">
        <f aca="false">BI12-CA12</f>
        <v>-20524.5833333333</v>
      </c>
      <c r="CD12" s="15" t="n">
        <f aca="false">AM12-CB12</f>
        <v>979.166666666668</v>
      </c>
      <c r="CE12" s="15" t="n">
        <f aca="false">INDEX(Ipotesi!$C$79:$G$79,1,F12)/12</f>
        <v>1666.66666666667</v>
      </c>
      <c r="CF12" s="15" t="n">
        <f aca="false">INDEX(Ipotesi!$C$84:$G$84,1,F12)/12</f>
        <v>250</v>
      </c>
      <c r="CG12" s="15" t="n">
        <f aca="false">Y12*MAX(0,Parametri_v3!$C$12-IF(P12=0,0,MIN(1,BE12/(P12*Parametri_v3!$C$22))))+W12*Parametri_v3!$C$13+X12*Parametri_v3!$C$14</f>
        <v>7125</v>
      </c>
      <c r="CH12" s="15" t="n">
        <f aca="false">AB12*Parametri_v3!$C$32</f>
        <v>895.833333333334</v>
      </c>
      <c r="CI12" s="15" t="n">
        <f aca="false">AC12*Parametri_v3!$C$32</f>
        <v>262.5</v>
      </c>
      <c r="CJ12" s="15" t="n">
        <f aca="false">CA12-AB12</f>
        <v>9732.91666666666</v>
      </c>
      <c r="CK12" s="15" t="n">
        <f aca="false">CB12-AC12-BH12</f>
        <v>5020.83333333333</v>
      </c>
      <c r="CL12" s="15" t="n">
        <f aca="false">BF12*Ipotesi!$C$73+INDEX(Ipotesi!$C$72:$G$72,1,F12)/12*Ipotesi!C126*Parametri_v3!$C$58+Z12*(1-Parametri_v3!$C$16)</f>
        <v>1832.5</v>
      </c>
      <c r="CM12" s="16" t="n">
        <f aca="false">IF(BF12=0,0,1-CL12/BF12)</f>
        <v>-6.33</v>
      </c>
    </row>
    <row r="13" customFormat="false" ht="18" hidden="false" customHeight="true" outlineLevel="0" collapsed="false">
      <c r="A13" s="68" t="n">
        <f aca="false">1</f>
        <v>1</v>
      </c>
      <c r="B13" s="68" t="n">
        <f aca="false">9</f>
        <v>9</v>
      </c>
      <c r="C13" s="18" t="n">
        <f aca="false">EDATE(Parametri_v3!$C$5,9-1)</f>
        <v>46631</v>
      </c>
      <c r="D13" s="68" t="n">
        <f aca="false">YEAR(C13)</f>
        <v>2027</v>
      </c>
      <c r="E13" s="68" t="n">
        <f aca="false">MONTH(C13)</f>
        <v>9</v>
      </c>
      <c r="F13" s="68" t="n">
        <f aca="false">INT((9-1)/12)+1</f>
        <v>1</v>
      </c>
      <c r="G13" s="15" t="n">
        <f aca="false">Ipotesi!C7</f>
        <v>0.75</v>
      </c>
      <c r="H13" s="15" t="n">
        <f aca="false">Ipotesi!C9</f>
        <v>1</v>
      </c>
      <c r="I13" s="15" t="n">
        <f aca="false">Ipotesi!C10</f>
        <v>1</v>
      </c>
      <c r="J13" s="15" t="n">
        <f aca="false">Ipotesi!C11</f>
        <v>1</v>
      </c>
      <c r="K13" s="15" t="n">
        <f aca="false">Ipotesi!C12</f>
        <v>1</v>
      </c>
      <c r="L13" s="15" t="n">
        <f aca="false">Ipotesi!C13</f>
        <v>90</v>
      </c>
      <c r="M13" s="17" t="n">
        <f aca="false">INDEX(Ipotesi!$C$40:$G$40,1,F13)</f>
        <v>1</v>
      </c>
      <c r="N13" s="17" t="n">
        <f aca="false">INDEX(Ipotesi!$C$41:$G$41,1,F13)</f>
        <v>0.75</v>
      </c>
      <c r="O13" s="17" t="n">
        <f aca="false">INDEX(Ipotesi!$C$42:$G$42,1,F13)*Ipotesi!C125</f>
        <v>1</v>
      </c>
      <c r="P13" s="17" t="n">
        <f aca="false">INDEX(Ipotesi!$C$43:$G$43,1,F13)*I13</f>
        <v>1</v>
      </c>
      <c r="Q13" s="17" t="n">
        <f aca="false">INDEX(Ipotesi!$C$44:$G$44,1,F13)*I13</f>
        <v>0.5</v>
      </c>
      <c r="R13" s="17" t="n">
        <f aca="false">INDEX(Ipotesi!$C$45:$G$45,1,F13)*I13</f>
        <v>0</v>
      </c>
      <c r="S13" s="17" t="n">
        <f aca="false">INDEX(Ipotesi!$C$52:$G$52,1,F13)*Ipotesi!C125</f>
        <v>1.5</v>
      </c>
      <c r="T13" s="17" t="n">
        <f aca="false">INDEX(Ipotesi!$C$53:$G$53,1,F13)*I13</f>
        <v>0</v>
      </c>
      <c r="U13" s="17" t="n">
        <f aca="false">INDEX(Ipotesi!$C$54:$G$54,1,F13)*I13</f>
        <v>0</v>
      </c>
      <c r="V13" s="15" t="n">
        <f aca="false">M13*INDEX(Ipotesi!$C$58:$G$58,1,F13)*K13/12</f>
        <v>3333.33333333333</v>
      </c>
      <c r="W13" s="15" t="n">
        <f aca="false">N13*Ipotesi!$C$59*(1+Ipotesi!$C$66)^(F13-1)/12</f>
        <v>4375</v>
      </c>
      <c r="X13" s="15" t="n">
        <f aca="false">O13*Ipotesi!$C$60*(1+Ipotesi!$C$66)^(F13-1)/12</f>
        <v>4166.66666666667</v>
      </c>
      <c r="Y13" s="15" t="n">
        <f aca="false">P13*Ipotesi!$C$61*(1+Ipotesi!$C$66)^(F13-1)/12</f>
        <v>4166.66666666667</v>
      </c>
      <c r="Z13" s="15" t="n">
        <f aca="false">Q13*Ipotesi!$C$62*(1+Ipotesi!$C$66)^(F13-1)/12</f>
        <v>1875</v>
      </c>
      <c r="AA13" s="15" t="n">
        <f aca="false">R13*Ipotesi!$C$63*(1+Ipotesi!$C$66)^(F13-1)/12</f>
        <v>0</v>
      </c>
      <c r="AB13" s="15" t="n">
        <f aca="false">SUM(V13:AA13)</f>
        <v>17916.6666666667</v>
      </c>
      <c r="AC13" s="15" t="n">
        <f aca="false">(S13*Ipotesi!$C$64+T13*Ipotesi!$C$65+U13*Ipotesi!$C$63)*(1+Ipotesi!$C$66)^(F13-1)/12</f>
        <v>5250</v>
      </c>
      <c r="AD13" s="15" t="n">
        <f aca="false">INDEX(Ipotesi!$C$48:$G$48,1,F13)*G13/12</f>
        <v>12.5</v>
      </c>
      <c r="AE13" s="15" t="n">
        <f aca="false">INDEX(Ipotesi!$C$50:$G$50,1,F13)*G13/12</f>
        <v>1.5625</v>
      </c>
      <c r="AF13" s="15" t="n">
        <f aca="false">(S13*Parametri_v3!$C$7*Parametri_v3!$C$8+Parametri_v3!$C$10)/12</f>
        <v>19.25</v>
      </c>
      <c r="AG13" s="15" t="n">
        <f aca="false">AD13+AE13*(1+Parametri_v3!$C$9)</f>
        <v>14.84375</v>
      </c>
      <c r="AH13" s="16" t="n">
        <f aca="false">IF(AG13=0,1,MIN(1,AF13/AG13))</f>
        <v>1</v>
      </c>
      <c r="AI13" s="15" t="n">
        <f aca="false">AD13*AH13</f>
        <v>12.5</v>
      </c>
      <c r="AJ13" s="15" t="n">
        <f aca="false">AE13*AH13</f>
        <v>1.5625</v>
      </c>
      <c r="AK13" s="15" t="n">
        <f aca="false">AI13*INDEX(Ipotesi!$C$49:$G$49,1,F13)*H13</f>
        <v>9375</v>
      </c>
      <c r="AL13" s="15" t="n">
        <f aca="false">AJ13*INDEX(Ipotesi!$C$51:$G$51,1,F13)*H13</f>
        <v>3125</v>
      </c>
      <c r="AM13" s="15" t="n">
        <f aca="false">AK13+AL13</f>
        <v>12500</v>
      </c>
      <c r="AN13" s="15" t="n">
        <f aca="false">INDEX(Ipotesi!$C$30:$G$30,1,F13)*G13/12</f>
        <v>6.25</v>
      </c>
      <c r="AO13" s="15" t="n">
        <f aca="false">O13*Parametri_v3!$C$7*Parametri_v3!$C$11*(1-Parametri_v3!$C$14)/12</f>
        <v>10.2666666666667</v>
      </c>
      <c r="AP13" s="15" t="n">
        <f aca="false">MIN(AN13,AO13)</f>
        <v>6.25</v>
      </c>
      <c r="AQ13" s="15" t="n">
        <f aca="false">AP13*INDEX(Ipotesi!$C$31:$G$31,1,F13)*H13</f>
        <v>5625</v>
      </c>
      <c r="AR13" s="15" t="n">
        <f aca="false">INDEX(Ipotesi!$C$75:$G$75,1,F13)*J13/12</f>
        <v>2083.33333333333</v>
      </c>
      <c r="AS13" s="15" t="n">
        <f aca="false">INDEX(Ipotesi!$C$81:$G$81,1,F13)*J13/12</f>
        <v>416.666666666667</v>
      </c>
      <c r="AT13" s="15" t="n">
        <f aca="false">AR13*Parametri_v3!$C$15+Z13*Parametri_v3!$C$16</f>
        <v>3395.83333333333</v>
      </c>
      <c r="AU13" s="15" t="n">
        <f aca="false">Q13*Parametri_v3!$C$16*Parametri_v3!$C$17</f>
        <v>35</v>
      </c>
      <c r="AV13" s="17" t="n">
        <f aca="false">BD12</f>
        <v>1.66666666666667</v>
      </c>
      <c r="AW13" s="17" t="n">
        <f aca="false">AV13*(1-(1-INDEX(Ipotesi!$C$34:$G$34,1,F13))^(1/12))</f>
        <v>0</v>
      </c>
      <c r="AX13" s="15" t="n">
        <f aca="false">ROUND(INDEX(Ipotesi!$C$32:$G$32,1,F13)*Ipotesi!C8,0)</f>
        <v>3</v>
      </c>
      <c r="AY13" s="15" t="n">
        <f aca="false">MAX(0,(AX13-(AV13-AW13))/(13-E13))</f>
        <v>0.333333333333333</v>
      </c>
      <c r="AZ13" s="15" t="n">
        <f aca="false">MIN(P13*Parametri_v3!$C$22,Q13*(1-Parametri_v3!$C$16)*Parametri_v3!$C$23)</f>
        <v>22.5</v>
      </c>
      <c r="BA13" s="15" t="n">
        <f aca="false">IF(OR(INDEX(Ipotesi!$C$35:$G$35,1,F13)&lt;=0,9-Parametri_v3!$C$21&lt;1),0,INDEX($AT$5:$AT$64,MAX(1,9-Parametri_v3!$C$21))/(INDEX(Ipotesi!$C$35:$G$35,1,F13)*Ipotesi!C27))</f>
        <v>0.565972222222222</v>
      </c>
      <c r="BB13" s="15" t="n">
        <f aca="false">IF(9-Parametri_v3!$C$21&lt;1,0,INDEX($AU$5:$AU$64,MAX(1,9-Parametri_v3!$C$21)))*Parametri_v3!$C$18*Parametri_v3!$C$19*Parametri_v3!$C$20</f>
        <v>1.3125</v>
      </c>
      <c r="BC13" s="17" t="n">
        <f aca="false">MAX(0,MIN(AY13,BA13,BB13,MAX(0,AZ13-(AV13-AW13))))</f>
        <v>0.333333333333333</v>
      </c>
      <c r="BD13" s="17" t="n">
        <f aca="false">AV13-AW13+BC13</f>
        <v>2</v>
      </c>
      <c r="BE13" s="17" t="n">
        <f aca="false">(AV13+BD13)/2</f>
        <v>1.83333333333333</v>
      </c>
      <c r="BF13" s="15" t="n">
        <f aca="false">BE13*INDEX(Ipotesi!$C$33:$G$33,1,F13)*H13/12</f>
        <v>305.555555555556</v>
      </c>
      <c r="BG13" s="15" t="n">
        <f aca="false">BD13*INDEX(Ipotesi!$C$33:$G$33,1,F13)*H13</f>
        <v>4000</v>
      </c>
      <c r="BH13" s="15" t="n">
        <f aca="false">AM13*INDEX(Ipotesi!$C$37:$G$37,1,F13)</f>
        <v>1250</v>
      </c>
      <c r="BI13" s="15" t="n">
        <f aca="false">AQ13+BF13+BH13</f>
        <v>7180.55555555556</v>
      </c>
      <c r="BJ13" s="15" t="n">
        <f aca="false">INDEX(Ipotesi!$C$68:$G$68,1,F13)*Ipotesi!$C$69/12</f>
        <v>1000</v>
      </c>
      <c r="BK13" s="15" t="n">
        <f aca="false">INDEX(Ipotesi!$C$68:$G$68,1,F13)*(1-Ipotesi!$C$69)/12</f>
        <v>1500</v>
      </c>
      <c r="BL13" s="15" t="n">
        <f aca="false">(AQ13+BF13)*Ipotesi!$C$67</f>
        <v>177.916666666667</v>
      </c>
      <c r="BM13" s="15" t="n">
        <f aca="false">AM13*Ipotesi!$C$67</f>
        <v>375</v>
      </c>
      <c r="BN13" s="15" t="n">
        <f aca="false">INDEX(Ipotesi!$C$72:$G$72,1,F13)/12*Ipotesi!C126+BF13*Ipotesi!$C$73</f>
        <v>1274.44444444444</v>
      </c>
      <c r="BO13" s="15" t="n">
        <f aca="false">INDEX(Ipotesi!$C$74:$G$74,1,F13)/12*Ipotesi!C126</f>
        <v>1000</v>
      </c>
      <c r="BP13" s="15" t="n">
        <f aca="false">INDEX(Ipotesi!$C$76:$G$76,1,F13)/12</f>
        <v>500</v>
      </c>
      <c r="BQ13" s="15" t="n">
        <f aca="false">INDEX(Ipotesi!$C$77:$G$77,1,F13)/12*Ipotesi!C126</f>
        <v>1250</v>
      </c>
      <c r="BR13" s="15" t="n">
        <f aca="false">INDEX(Ipotesi!$C$78:$G$78,1,F13)/12</f>
        <v>1000</v>
      </c>
      <c r="BS13" s="15" t="n">
        <f aca="false">SUM(M13:R13)*(Ipotesi!$C$85+Ipotesi!$C$86)/12</f>
        <v>1239.58333333333</v>
      </c>
      <c r="BT13" s="15" t="n">
        <f aca="false">BI13*Ipotesi!$C$87</f>
        <v>215.416666666667</v>
      </c>
      <c r="BU13" s="15" t="n">
        <f aca="false">INDEX(Ipotesi!$C$55:$G$55,1,F13)*K13/12</f>
        <v>500</v>
      </c>
      <c r="BV13" s="15" t="n">
        <f aca="false">INDEX(Ipotesi!$C$80:$G$80,1,F13)/12*Ipotesi!C126</f>
        <v>500</v>
      </c>
      <c r="BW13" s="15" t="n">
        <f aca="false">INDEX(Ipotesi!$C$82:$G$82,1,F13)/12</f>
        <v>416.666666666667</v>
      </c>
      <c r="BX13" s="15" t="n">
        <f aca="false">INDEX(Ipotesi!$C$83:$G$83,1,F13)/12</f>
        <v>500</v>
      </c>
      <c r="BY13" s="15" t="n">
        <f aca="false">SUM(S13:U13)*(Ipotesi!$C$85+Ipotesi!$C$86)/12</f>
        <v>437.5</v>
      </c>
      <c r="BZ13" s="15" t="n">
        <f aca="false">AM13*Ipotesi!$C$87</f>
        <v>375</v>
      </c>
      <c r="CA13" s="15" t="n">
        <f aca="false">AB13+BJ13+BL13+BN13+BO13+AR13+BP13+BQ13+BR13+BS13+BT13</f>
        <v>27657.3611111111</v>
      </c>
      <c r="CB13" s="15" t="n">
        <f aca="false">AC13+BK13+BM13+BH13+BU13+BV13+AS13+BW13+BX13+BY13+BZ13</f>
        <v>11520.8333333333</v>
      </c>
      <c r="CC13" s="15" t="n">
        <f aca="false">BI13-CA13</f>
        <v>-20476.8055555556</v>
      </c>
      <c r="CD13" s="15" t="n">
        <f aca="false">AM13-CB13</f>
        <v>979.166666666668</v>
      </c>
      <c r="CE13" s="15" t="n">
        <f aca="false">INDEX(Ipotesi!$C$79:$G$79,1,F13)/12</f>
        <v>1666.66666666667</v>
      </c>
      <c r="CF13" s="15" t="n">
        <f aca="false">INDEX(Ipotesi!$C$84:$G$84,1,F13)/12</f>
        <v>250</v>
      </c>
      <c r="CG13" s="15" t="n">
        <f aca="false">Y13*MAX(0,Parametri_v3!$C$12-IF(P13=0,0,MIN(1,BE13/(P13*Parametri_v3!$C$22))))+W13*Parametri_v3!$C$13+X13*Parametri_v3!$C$14</f>
        <v>7111.11111111111</v>
      </c>
      <c r="CH13" s="15" t="n">
        <f aca="false">AB13*Parametri_v3!$C$32</f>
        <v>895.833333333334</v>
      </c>
      <c r="CI13" s="15" t="n">
        <f aca="false">AC13*Parametri_v3!$C$32</f>
        <v>262.5</v>
      </c>
      <c r="CJ13" s="15" t="n">
        <f aca="false">CA13-AB13</f>
        <v>9740.69444444445</v>
      </c>
      <c r="CK13" s="15" t="n">
        <f aca="false">CB13-AC13-BH13</f>
        <v>5020.83333333333</v>
      </c>
      <c r="CL13" s="15" t="n">
        <f aca="false">BF13*Ipotesi!$C$73+INDEX(Ipotesi!$C$72:$G$72,1,F13)/12*Ipotesi!C126*Parametri_v3!$C$58+Z13*(1-Parametri_v3!$C$16)</f>
        <v>1836.94444444444</v>
      </c>
      <c r="CM13" s="16" t="n">
        <f aca="false">IF(BF13=0,0,1-CL13/BF13)</f>
        <v>-5.01181818181818</v>
      </c>
    </row>
    <row r="14" customFormat="false" ht="18" hidden="false" customHeight="true" outlineLevel="0" collapsed="false">
      <c r="A14" s="68" t="n">
        <f aca="false">1</f>
        <v>1</v>
      </c>
      <c r="B14" s="68" t="n">
        <f aca="false">10</f>
        <v>10</v>
      </c>
      <c r="C14" s="18" t="n">
        <f aca="false">EDATE(Parametri_v3!$C$5,10-1)</f>
        <v>46661</v>
      </c>
      <c r="D14" s="68" t="n">
        <f aca="false">YEAR(C14)</f>
        <v>2027</v>
      </c>
      <c r="E14" s="68" t="n">
        <f aca="false">MONTH(C14)</f>
        <v>10</v>
      </c>
      <c r="F14" s="68" t="n">
        <f aca="false">INT((10-1)/12)+1</f>
        <v>1</v>
      </c>
      <c r="G14" s="15" t="n">
        <f aca="false">Ipotesi!C7</f>
        <v>0.75</v>
      </c>
      <c r="H14" s="15" t="n">
        <f aca="false">Ipotesi!C9</f>
        <v>1</v>
      </c>
      <c r="I14" s="15" t="n">
        <f aca="false">Ipotesi!C10</f>
        <v>1</v>
      </c>
      <c r="J14" s="15" t="n">
        <f aca="false">Ipotesi!C11</f>
        <v>1</v>
      </c>
      <c r="K14" s="15" t="n">
        <f aca="false">Ipotesi!C12</f>
        <v>1</v>
      </c>
      <c r="L14" s="15" t="n">
        <f aca="false">Ipotesi!C13</f>
        <v>90</v>
      </c>
      <c r="M14" s="17" t="n">
        <f aca="false">INDEX(Ipotesi!$C$40:$G$40,1,F14)</f>
        <v>1</v>
      </c>
      <c r="N14" s="17" t="n">
        <f aca="false">INDEX(Ipotesi!$C$41:$G$41,1,F14)</f>
        <v>0.75</v>
      </c>
      <c r="O14" s="17" t="n">
        <f aca="false">INDEX(Ipotesi!$C$42:$G$42,1,F14)*Ipotesi!C125</f>
        <v>1</v>
      </c>
      <c r="P14" s="17" t="n">
        <f aca="false">INDEX(Ipotesi!$C$43:$G$43,1,F14)*I14</f>
        <v>1</v>
      </c>
      <c r="Q14" s="17" t="n">
        <f aca="false">INDEX(Ipotesi!$C$44:$G$44,1,F14)*I14</f>
        <v>0.5</v>
      </c>
      <c r="R14" s="17" t="n">
        <f aca="false">INDEX(Ipotesi!$C$45:$G$45,1,F14)*I14</f>
        <v>0</v>
      </c>
      <c r="S14" s="17" t="n">
        <f aca="false">INDEX(Ipotesi!$C$52:$G$52,1,F14)*Ipotesi!C125</f>
        <v>1.5</v>
      </c>
      <c r="T14" s="17" t="n">
        <f aca="false">INDEX(Ipotesi!$C$53:$G$53,1,F14)*I14</f>
        <v>0</v>
      </c>
      <c r="U14" s="17" t="n">
        <f aca="false">INDEX(Ipotesi!$C$54:$G$54,1,F14)*I14</f>
        <v>0</v>
      </c>
      <c r="V14" s="15" t="n">
        <f aca="false">M14*INDEX(Ipotesi!$C$58:$G$58,1,F14)*K14/12</f>
        <v>3333.33333333333</v>
      </c>
      <c r="W14" s="15" t="n">
        <f aca="false">N14*Ipotesi!$C$59*(1+Ipotesi!$C$66)^(F14-1)/12</f>
        <v>4375</v>
      </c>
      <c r="X14" s="15" t="n">
        <f aca="false">O14*Ipotesi!$C$60*(1+Ipotesi!$C$66)^(F14-1)/12</f>
        <v>4166.66666666667</v>
      </c>
      <c r="Y14" s="15" t="n">
        <f aca="false">P14*Ipotesi!$C$61*(1+Ipotesi!$C$66)^(F14-1)/12</f>
        <v>4166.66666666667</v>
      </c>
      <c r="Z14" s="15" t="n">
        <f aca="false">Q14*Ipotesi!$C$62*(1+Ipotesi!$C$66)^(F14-1)/12</f>
        <v>1875</v>
      </c>
      <c r="AA14" s="15" t="n">
        <f aca="false">R14*Ipotesi!$C$63*(1+Ipotesi!$C$66)^(F14-1)/12</f>
        <v>0</v>
      </c>
      <c r="AB14" s="15" t="n">
        <f aca="false">SUM(V14:AA14)</f>
        <v>17916.6666666667</v>
      </c>
      <c r="AC14" s="15" t="n">
        <f aca="false">(S14*Ipotesi!$C$64+T14*Ipotesi!$C$65+U14*Ipotesi!$C$63)*(1+Ipotesi!$C$66)^(F14-1)/12</f>
        <v>5250</v>
      </c>
      <c r="AD14" s="15" t="n">
        <f aca="false">INDEX(Ipotesi!$C$48:$G$48,1,F14)*G14/12</f>
        <v>12.5</v>
      </c>
      <c r="AE14" s="15" t="n">
        <f aca="false">INDEX(Ipotesi!$C$50:$G$50,1,F14)*G14/12</f>
        <v>1.5625</v>
      </c>
      <c r="AF14" s="15" t="n">
        <f aca="false">(S14*Parametri_v3!$C$7*Parametri_v3!$C$8+Parametri_v3!$C$10)/12</f>
        <v>19.25</v>
      </c>
      <c r="AG14" s="15" t="n">
        <f aca="false">AD14+AE14*(1+Parametri_v3!$C$9)</f>
        <v>14.84375</v>
      </c>
      <c r="AH14" s="16" t="n">
        <f aca="false">IF(AG14=0,1,MIN(1,AF14/AG14))</f>
        <v>1</v>
      </c>
      <c r="AI14" s="15" t="n">
        <f aca="false">AD14*AH14</f>
        <v>12.5</v>
      </c>
      <c r="AJ14" s="15" t="n">
        <f aca="false">AE14*AH14</f>
        <v>1.5625</v>
      </c>
      <c r="AK14" s="15" t="n">
        <f aca="false">AI14*INDEX(Ipotesi!$C$49:$G$49,1,F14)*H14</f>
        <v>9375</v>
      </c>
      <c r="AL14" s="15" t="n">
        <f aca="false">AJ14*INDEX(Ipotesi!$C$51:$G$51,1,F14)*H14</f>
        <v>3125</v>
      </c>
      <c r="AM14" s="15" t="n">
        <f aca="false">AK14+AL14</f>
        <v>12500</v>
      </c>
      <c r="AN14" s="15" t="n">
        <f aca="false">INDEX(Ipotesi!$C$30:$G$30,1,F14)*G14/12</f>
        <v>6.25</v>
      </c>
      <c r="AO14" s="15" t="n">
        <f aca="false">O14*Parametri_v3!$C$7*Parametri_v3!$C$11*(1-Parametri_v3!$C$14)/12</f>
        <v>10.2666666666667</v>
      </c>
      <c r="AP14" s="15" t="n">
        <f aca="false">MIN(AN14,AO14)</f>
        <v>6.25</v>
      </c>
      <c r="AQ14" s="15" t="n">
        <f aca="false">AP14*INDEX(Ipotesi!$C$31:$G$31,1,F14)*H14</f>
        <v>5625</v>
      </c>
      <c r="AR14" s="15" t="n">
        <f aca="false">INDEX(Ipotesi!$C$75:$G$75,1,F14)*J14/12</f>
        <v>2083.33333333333</v>
      </c>
      <c r="AS14" s="15" t="n">
        <f aca="false">INDEX(Ipotesi!$C$81:$G$81,1,F14)*J14/12</f>
        <v>416.666666666667</v>
      </c>
      <c r="AT14" s="15" t="n">
        <f aca="false">AR14*Parametri_v3!$C$15+Z14*Parametri_v3!$C$16</f>
        <v>3395.83333333333</v>
      </c>
      <c r="AU14" s="15" t="n">
        <f aca="false">Q14*Parametri_v3!$C$16*Parametri_v3!$C$17</f>
        <v>35</v>
      </c>
      <c r="AV14" s="17" t="n">
        <f aca="false">BD13</f>
        <v>2</v>
      </c>
      <c r="AW14" s="17" t="n">
        <f aca="false">AV14*(1-(1-INDEX(Ipotesi!$C$34:$G$34,1,F14))^(1/12))</f>
        <v>0</v>
      </c>
      <c r="AX14" s="15" t="n">
        <f aca="false">ROUND(INDEX(Ipotesi!$C$32:$G$32,1,F14)*Ipotesi!C8,0)</f>
        <v>3</v>
      </c>
      <c r="AY14" s="15" t="n">
        <f aca="false">MAX(0,(AX14-(AV14-AW14))/(13-E14))</f>
        <v>0.333333333333333</v>
      </c>
      <c r="AZ14" s="15" t="n">
        <f aca="false">MIN(P14*Parametri_v3!$C$22,Q14*(1-Parametri_v3!$C$16)*Parametri_v3!$C$23)</f>
        <v>22.5</v>
      </c>
      <c r="BA14" s="15" t="n">
        <f aca="false">IF(OR(INDEX(Ipotesi!$C$35:$G$35,1,F14)&lt;=0,10-Parametri_v3!$C$21&lt;1),0,INDEX($AT$5:$AT$64,MAX(1,10-Parametri_v3!$C$21))/(INDEX(Ipotesi!$C$35:$G$35,1,F14)*Ipotesi!C27))</f>
        <v>0.565972222222222</v>
      </c>
      <c r="BB14" s="15" t="n">
        <f aca="false">IF(10-Parametri_v3!$C$21&lt;1,0,INDEX($AU$5:$AU$64,MAX(1,10-Parametri_v3!$C$21)))*Parametri_v3!$C$18*Parametri_v3!$C$19*Parametri_v3!$C$20</f>
        <v>1.3125</v>
      </c>
      <c r="BC14" s="17" t="n">
        <f aca="false">MAX(0,MIN(AY14,BA14,BB14,MAX(0,AZ14-(AV14-AW14))))</f>
        <v>0.333333333333333</v>
      </c>
      <c r="BD14" s="17" t="n">
        <f aca="false">AV14-AW14+BC14</f>
        <v>2.33333333333333</v>
      </c>
      <c r="BE14" s="17" t="n">
        <f aca="false">(AV14+BD14)/2</f>
        <v>2.16666666666667</v>
      </c>
      <c r="BF14" s="15" t="n">
        <f aca="false">BE14*INDEX(Ipotesi!$C$33:$G$33,1,F14)*H14/12</f>
        <v>361.111111111111</v>
      </c>
      <c r="BG14" s="15" t="n">
        <f aca="false">BD14*INDEX(Ipotesi!$C$33:$G$33,1,F14)*H14</f>
        <v>4666.66666666667</v>
      </c>
      <c r="BH14" s="15" t="n">
        <f aca="false">AM14*INDEX(Ipotesi!$C$37:$G$37,1,F14)</f>
        <v>1250</v>
      </c>
      <c r="BI14" s="15" t="n">
        <f aca="false">AQ14+BF14+BH14</f>
        <v>7236.11111111111</v>
      </c>
      <c r="BJ14" s="15" t="n">
        <f aca="false">INDEX(Ipotesi!$C$68:$G$68,1,F14)*Ipotesi!$C$69/12</f>
        <v>1000</v>
      </c>
      <c r="BK14" s="15" t="n">
        <f aca="false">INDEX(Ipotesi!$C$68:$G$68,1,F14)*(1-Ipotesi!$C$69)/12</f>
        <v>1500</v>
      </c>
      <c r="BL14" s="15" t="n">
        <f aca="false">(AQ14+BF14)*Ipotesi!$C$67</f>
        <v>179.583333333333</v>
      </c>
      <c r="BM14" s="15" t="n">
        <f aca="false">AM14*Ipotesi!$C$67</f>
        <v>375</v>
      </c>
      <c r="BN14" s="15" t="n">
        <f aca="false">INDEX(Ipotesi!$C$72:$G$72,1,F14)/12*Ipotesi!C126+BF14*Ipotesi!$C$73</f>
        <v>1278.88888888889</v>
      </c>
      <c r="BO14" s="15" t="n">
        <f aca="false">INDEX(Ipotesi!$C$74:$G$74,1,F14)/12*Ipotesi!C126</f>
        <v>1000</v>
      </c>
      <c r="BP14" s="15" t="n">
        <f aca="false">INDEX(Ipotesi!$C$76:$G$76,1,F14)/12</f>
        <v>500</v>
      </c>
      <c r="BQ14" s="15" t="n">
        <f aca="false">INDEX(Ipotesi!$C$77:$G$77,1,F14)/12*Ipotesi!C126</f>
        <v>1250</v>
      </c>
      <c r="BR14" s="15" t="n">
        <f aca="false">INDEX(Ipotesi!$C$78:$G$78,1,F14)/12</f>
        <v>1000</v>
      </c>
      <c r="BS14" s="15" t="n">
        <f aca="false">SUM(M14:R14)*(Ipotesi!$C$85+Ipotesi!$C$86)/12</f>
        <v>1239.58333333333</v>
      </c>
      <c r="BT14" s="15" t="n">
        <f aca="false">BI14*Ipotesi!$C$87</f>
        <v>217.083333333333</v>
      </c>
      <c r="BU14" s="15" t="n">
        <f aca="false">INDEX(Ipotesi!$C$55:$G$55,1,F14)*K14/12</f>
        <v>500</v>
      </c>
      <c r="BV14" s="15" t="n">
        <f aca="false">INDEX(Ipotesi!$C$80:$G$80,1,F14)/12*Ipotesi!C126</f>
        <v>500</v>
      </c>
      <c r="BW14" s="15" t="n">
        <f aca="false">INDEX(Ipotesi!$C$82:$G$82,1,F14)/12</f>
        <v>416.666666666667</v>
      </c>
      <c r="BX14" s="15" t="n">
        <f aca="false">INDEX(Ipotesi!$C$83:$G$83,1,F14)/12</f>
        <v>500</v>
      </c>
      <c r="BY14" s="15" t="n">
        <f aca="false">SUM(S14:U14)*(Ipotesi!$C$85+Ipotesi!$C$86)/12</f>
        <v>437.5</v>
      </c>
      <c r="BZ14" s="15" t="n">
        <f aca="false">AM14*Ipotesi!$C$87</f>
        <v>375</v>
      </c>
      <c r="CA14" s="15" t="n">
        <f aca="false">AB14+BJ14+BL14+BN14+BO14+AR14+BP14+BQ14+BR14+BS14+BT14</f>
        <v>27665.1388888889</v>
      </c>
      <c r="CB14" s="15" t="n">
        <f aca="false">AC14+BK14+BM14+BH14+BU14+BV14+AS14+BW14+BX14+BY14+BZ14</f>
        <v>11520.8333333333</v>
      </c>
      <c r="CC14" s="15" t="n">
        <f aca="false">BI14-CA14</f>
        <v>-20429.0277777778</v>
      </c>
      <c r="CD14" s="15" t="n">
        <f aca="false">AM14-CB14</f>
        <v>979.166666666668</v>
      </c>
      <c r="CE14" s="15" t="n">
        <f aca="false">INDEX(Ipotesi!$C$79:$G$79,1,F14)/12</f>
        <v>1666.66666666667</v>
      </c>
      <c r="CF14" s="15" t="n">
        <f aca="false">INDEX(Ipotesi!$C$84:$G$84,1,F14)/12</f>
        <v>250</v>
      </c>
      <c r="CG14" s="15" t="n">
        <f aca="false">Y14*MAX(0,Parametri_v3!$C$12-IF(P14=0,0,MIN(1,BE14/(P14*Parametri_v3!$C$22))))+W14*Parametri_v3!$C$13+X14*Parametri_v3!$C$14</f>
        <v>7097.22222222222</v>
      </c>
      <c r="CH14" s="15" t="n">
        <f aca="false">AB14*Parametri_v3!$C$32</f>
        <v>895.833333333334</v>
      </c>
      <c r="CI14" s="15" t="n">
        <f aca="false">AC14*Parametri_v3!$C$32</f>
        <v>262.5</v>
      </c>
      <c r="CJ14" s="15" t="n">
        <f aca="false">CA14-AB14</f>
        <v>9748.47222222222</v>
      </c>
      <c r="CK14" s="15" t="n">
        <f aca="false">CB14-AC14-BH14</f>
        <v>5020.83333333333</v>
      </c>
      <c r="CL14" s="15" t="n">
        <f aca="false">BF14*Ipotesi!$C$73+INDEX(Ipotesi!$C$72:$G$72,1,F14)/12*Ipotesi!C126*Parametri_v3!$C$58+Z14*(1-Parametri_v3!$C$16)</f>
        <v>1841.38888888889</v>
      </c>
      <c r="CM14" s="16" t="n">
        <f aca="false">IF(BF14=0,0,1-CL14/BF14)</f>
        <v>-4.09923076923077</v>
      </c>
    </row>
    <row r="15" customFormat="false" ht="18" hidden="false" customHeight="true" outlineLevel="0" collapsed="false">
      <c r="A15" s="68" t="n">
        <f aca="false">1</f>
        <v>1</v>
      </c>
      <c r="B15" s="68" t="n">
        <f aca="false">11</f>
        <v>11</v>
      </c>
      <c r="C15" s="18" t="n">
        <f aca="false">EDATE(Parametri_v3!$C$5,11-1)</f>
        <v>46692</v>
      </c>
      <c r="D15" s="68" t="n">
        <f aca="false">YEAR(C15)</f>
        <v>2027</v>
      </c>
      <c r="E15" s="68" t="n">
        <f aca="false">MONTH(C15)</f>
        <v>11</v>
      </c>
      <c r="F15" s="68" t="n">
        <f aca="false">INT((11-1)/12)+1</f>
        <v>1</v>
      </c>
      <c r="G15" s="15" t="n">
        <f aca="false">Ipotesi!C7</f>
        <v>0.75</v>
      </c>
      <c r="H15" s="15" t="n">
        <f aca="false">Ipotesi!C9</f>
        <v>1</v>
      </c>
      <c r="I15" s="15" t="n">
        <f aca="false">Ipotesi!C10</f>
        <v>1</v>
      </c>
      <c r="J15" s="15" t="n">
        <f aca="false">Ipotesi!C11</f>
        <v>1</v>
      </c>
      <c r="K15" s="15" t="n">
        <f aca="false">Ipotesi!C12</f>
        <v>1</v>
      </c>
      <c r="L15" s="15" t="n">
        <f aca="false">Ipotesi!C13</f>
        <v>90</v>
      </c>
      <c r="M15" s="17" t="n">
        <f aca="false">INDEX(Ipotesi!$C$40:$G$40,1,F15)</f>
        <v>1</v>
      </c>
      <c r="N15" s="17" t="n">
        <f aca="false">INDEX(Ipotesi!$C$41:$G$41,1,F15)</f>
        <v>0.75</v>
      </c>
      <c r="O15" s="17" t="n">
        <f aca="false">INDEX(Ipotesi!$C$42:$G$42,1,F15)*Ipotesi!C125</f>
        <v>1</v>
      </c>
      <c r="P15" s="17" t="n">
        <f aca="false">INDEX(Ipotesi!$C$43:$G$43,1,F15)*I15</f>
        <v>1</v>
      </c>
      <c r="Q15" s="17" t="n">
        <f aca="false">INDEX(Ipotesi!$C$44:$G$44,1,F15)*I15</f>
        <v>0.5</v>
      </c>
      <c r="R15" s="17" t="n">
        <f aca="false">INDEX(Ipotesi!$C$45:$G$45,1,F15)*I15</f>
        <v>0</v>
      </c>
      <c r="S15" s="17" t="n">
        <f aca="false">INDEX(Ipotesi!$C$52:$G$52,1,F15)*Ipotesi!C125</f>
        <v>1.5</v>
      </c>
      <c r="T15" s="17" t="n">
        <f aca="false">INDEX(Ipotesi!$C$53:$G$53,1,F15)*I15</f>
        <v>0</v>
      </c>
      <c r="U15" s="17" t="n">
        <f aca="false">INDEX(Ipotesi!$C$54:$G$54,1,F15)*I15</f>
        <v>0</v>
      </c>
      <c r="V15" s="15" t="n">
        <f aca="false">M15*INDEX(Ipotesi!$C$58:$G$58,1,F15)*K15/12</f>
        <v>3333.33333333333</v>
      </c>
      <c r="W15" s="15" t="n">
        <f aca="false">N15*Ipotesi!$C$59*(1+Ipotesi!$C$66)^(F15-1)/12</f>
        <v>4375</v>
      </c>
      <c r="X15" s="15" t="n">
        <f aca="false">O15*Ipotesi!$C$60*(1+Ipotesi!$C$66)^(F15-1)/12</f>
        <v>4166.66666666667</v>
      </c>
      <c r="Y15" s="15" t="n">
        <f aca="false">P15*Ipotesi!$C$61*(1+Ipotesi!$C$66)^(F15-1)/12</f>
        <v>4166.66666666667</v>
      </c>
      <c r="Z15" s="15" t="n">
        <f aca="false">Q15*Ipotesi!$C$62*(1+Ipotesi!$C$66)^(F15-1)/12</f>
        <v>1875</v>
      </c>
      <c r="AA15" s="15" t="n">
        <f aca="false">R15*Ipotesi!$C$63*(1+Ipotesi!$C$66)^(F15-1)/12</f>
        <v>0</v>
      </c>
      <c r="AB15" s="15" t="n">
        <f aca="false">SUM(V15:AA15)</f>
        <v>17916.6666666667</v>
      </c>
      <c r="AC15" s="15" t="n">
        <f aca="false">(S15*Ipotesi!$C$64+T15*Ipotesi!$C$65+U15*Ipotesi!$C$63)*(1+Ipotesi!$C$66)^(F15-1)/12</f>
        <v>5250</v>
      </c>
      <c r="AD15" s="15" t="n">
        <f aca="false">INDEX(Ipotesi!$C$48:$G$48,1,F15)*G15/12</f>
        <v>12.5</v>
      </c>
      <c r="AE15" s="15" t="n">
        <f aca="false">INDEX(Ipotesi!$C$50:$G$50,1,F15)*G15/12</f>
        <v>1.5625</v>
      </c>
      <c r="AF15" s="15" t="n">
        <f aca="false">(S15*Parametri_v3!$C$7*Parametri_v3!$C$8+Parametri_v3!$C$10)/12</f>
        <v>19.25</v>
      </c>
      <c r="AG15" s="15" t="n">
        <f aca="false">AD15+AE15*(1+Parametri_v3!$C$9)</f>
        <v>14.84375</v>
      </c>
      <c r="AH15" s="16" t="n">
        <f aca="false">IF(AG15=0,1,MIN(1,AF15/AG15))</f>
        <v>1</v>
      </c>
      <c r="AI15" s="15" t="n">
        <f aca="false">AD15*AH15</f>
        <v>12.5</v>
      </c>
      <c r="AJ15" s="15" t="n">
        <f aca="false">AE15*AH15</f>
        <v>1.5625</v>
      </c>
      <c r="AK15" s="15" t="n">
        <f aca="false">AI15*INDEX(Ipotesi!$C$49:$G$49,1,F15)*H15</f>
        <v>9375</v>
      </c>
      <c r="AL15" s="15" t="n">
        <f aca="false">AJ15*INDEX(Ipotesi!$C$51:$G$51,1,F15)*H15</f>
        <v>3125</v>
      </c>
      <c r="AM15" s="15" t="n">
        <f aca="false">AK15+AL15</f>
        <v>12500</v>
      </c>
      <c r="AN15" s="15" t="n">
        <f aca="false">INDEX(Ipotesi!$C$30:$G$30,1,F15)*G15/12</f>
        <v>6.25</v>
      </c>
      <c r="AO15" s="15" t="n">
        <f aca="false">O15*Parametri_v3!$C$7*Parametri_v3!$C$11*(1-Parametri_v3!$C$14)/12</f>
        <v>10.2666666666667</v>
      </c>
      <c r="AP15" s="15" t="n">
        <f aca="false">MIN(AN15,AO15)</f>
        <v>6.25</v>
      </c>
      <c r="AQ15" s="15" t="n">
        <f aca="false">AP15*INDEX(Ipotesi!$C$31:$G$31,1,F15)*H15</f>
        <v>5625</v>
      </c>
      <c r="AR15" s="15" t="n">
        <f aca="false">INDEX(Ipotesi!$C$75:$G$75,1,F15)*J15/12</f>
        <v>2083.33333333333</v>
      </c>
      <c r="AS15" s="15" t="n">
        <f aca="false">INDEX(Ipotesi!$C$81:$G$81,1,F15)*J15/12</f>
        <v>416.666666666667</v>
      </c>
      <c r="AT15" s="15" t="n">
        <f aca="false">AR15*Parametri_v3!$C$15+Z15*Parametri_v3!$C$16</f>
        <v>3395.83333333333</v>
      </c>
      <c r="AU15" s="15" t="n">
        <f aca="false">Q15*Parametri_v3!$C$16*Parametri_v3!$C$17</f>
        <v>35</v>
      </c>
      <c r="AV15" s="17" t="n">
        <f aca="false">BD14</f>
        <v>2.33333333333333</v>
      </c>
      <c r="AW15" s="17" t="n">
        <f aca="false">AV15*(1-(1-INDEX(Ipotesi!$C$34:$G$34,1,F15))^(1/12))</f>
        <v>0</v>
      </c>
      <c r="AX15" s="15" t="n">
        <f aca="false">ROUND(INDEX(Ipotesi!$C$32:$G$32,1,F15)*Ipotesi!C8,0)</f>
        <v>3</v>
      </c>
      <c r="AY15" s="15" t="n">
        <f aca="false">MAX(0,(AX15-(AV15-AW15))/(13-E15))</f>
        <v>0.333333333333333</v>
      </c>
      <c r="AZ15" s="15" t="n">
        <f aca="false">MIN(P15*Parametri_v3!$C$22,Q15*(1-Parametri_v3!$C$16)*Parametri_v3!$C$23)</f>
        <v>22.5</v>
      </c>
      <c r="BA15" s="15" t="n">
        <f aca="false">IF(OR(INDEX(Ipotesi!$C$35:$G$35,1,F15)&lt;=0,11-Parametri_v3!$C$21&lt;1),0,INDEX($AT$5:$AT$64,MAX(1,11-Parametri_v3!$C$21))/(INDEX(Ipotesi!$C$35:$G$35,1,F15)*Ipotesi!C27))</f>
        <v>0.565972222222222</v>
      </c>
      <c r="BB15" s="15" t="n">
        <f aca="false">IF(11-Parametri_v3!$C$21&lt;1,0,INDEX($AU$5:$AU$64,MAX(1,11-Parametri_v3!$C$21)))*Parametri_v3!$C$18*Parametri_v3!$C$19*Parametri_v3!$C$20</f>
        <v>1.3125</v>
      </c>
      <c r="BC15" s="17" t="n">
        <f aca="false">MAX(0,MIN(AY15,BA15,BB15,MAX(0,AZ15-(AV15-AW15))))</f>
        <v>0.333333333333333</v>
      </c>
      <c r="BD15" s="17" t="n">
        <f aca="false">AV15-AW15+BC15</f>
        <v>2.66666666666667</v>
      </c>
      <c r="BE15" s="17" t="n">
        <f aca="false">(AV15+BD15)/2</f>
        <v>2.5</v>
      </c>
      <c r="BF15" s="15" t="n">
        <f aca="false">BE15*INDEX(Ipotesi!$C$33:$G$33,1,F15)*H15/12</f>
        <v>416.666666666667</v>
      </c>
      <c r="BG15" s="15" t="n">
        <f aca="false">BD15*INDEX(Ipotesi!$C$33:$G$33,1,F15)*H15</f>
        <v>5333.33333333333</v>
      </c>
      <c r="BH15" s="15" t="n">
        <f aca="false">AM15*INDEX(Ipotesi!$C$37:$G$37,1,F15)</f>
        <v>1250</v>
      </c>
      <c r="BI15" s="15" t="n">
        <f aca="false">AQ15+BF15+BH15</f>
        <v>7291.66666666667</v>
      </c>
      <c r="BJ15" s="15" t="n">
        <f aca="false">INDEX(Ipotesi!$C$68:$G$68,1,F15)*Ipotesi!$C$69/12</f>
        <v>1000</v>
      </c>
      <c r="BK15" s="15" t="n">
        <f aca="false">INDEX(Ipotesi!$C$68:$G$68,1,F15)*(1-Ipotesi!$C$69)/12</f>
        <v>1500</v>
      </c>
      <c r="BL15" s="15" t="n">
        <f aca="false">(AQ15+BF15)*Ipotesi!$C$67</f>
        <v>181.25</v>
      </c>
      <c r="BM15" s="15" t="n">
        <f aca="false">AM15*Ipotesi!$C$67</f>
        <v>375</v>
      </c>
      <c r="BN15" s="15" t="n">
        <f aca="false">INDEX(Ipotesi!$C$72:$G$72,1,F15)/12*Ipotesi!C126+BF15*Ipotesi!$C$73</f>
        <v>1283.33333333333</v>
      </c>
      <c r="BO15" s="15" t="n">
        <f aca="false">INDEX(Ipotesi!$C$74:$G$74,1,F15)/12*Ipotesi!C126</f>
        <v>1000</v>
      </c>
      <c r="BP15" s="15" t="n">
        <f aca="false">INDEX(Ipotesi!$C$76:$G$76,1,F15)/12</f>
        <v>500</v>
      </c>
      <c r="BQ15" s="15" t="n">
        <f aca="false">INDEX(Ipotesi!$C$77:$G$77,1,F15)/12*Ipotesi!C126</f>
        <v>1250</v>
      </c>
      <c r="BR15" s="15" t="n">
        <f aca="false">INDEX(Ipotesi!$C$78:$G$78,1,F15)/12</f>
        <v>1000</v>
      </c>
      <c r="BS15" s="15" t="n">
        <f aca="false">SUM(M15:R15)*(Ipotesi!$C$85+Ipotesi!$C$86)/12</f>
        <v>1239.58333333333</v>
      </c>
      <c r="BT15" s="15" t="n">
        <f aca="false">BI15*Ipotesi!$C$87</f>
        <v>218.75</v>
      </c>
      <c r="BU15" s="15" t="n">
        <f aca="false">INDEX(Ipotesi!$C$55:$G$55,1,F15)*K15/12</f>
        <v>500</v>
      </c>
      <c r="BV15" s="15" t="n">
        <f aca="false">INDEX(Ipotesi!$C$80:$G$80,1,F15)/12*Ipotesi!C126</f>
        <v>500</v>
      </c>
      <c r="BW15" s="15" t="n">
        <f aca="false">INDEX(Ipotesi!$C$82:$G$82,1,F15)/12</f>
        <v>416.666666666667</v>
      </c>
      <c r="BX15" s="15" t="n">
        <f aca="false">INDEX(Ipotesi!$C$83:$G$83,1,F15)/12</f>
        <v>500</v>
      </c>
      <c r="BY15" s="15" t="n">
        <f aca="false">SUM(S15:U15)*(Ipotesi!$C$85+Ipotesi!$C$86)/12</f>
        <v>437.5</v>
      </c>
      <c r="BZ15" s="15" t="n">
        <f aca="false">AM15*Ipotesi!$C$87</f>
        <v>375</v>
      </c>
      <c r="CA15" s="15" t="n">
        <f aca="false">AB15+BJ15+BL15+BN15+BO15+AR15+BP15+BQ15+BR15+BS15+BT15</f>
        <v>27672.9166666667</v>
      </c>
      <c r="CB15" s="15" t="n">
        <f aca="false">AC15+BK15+BM15+BH15+BU15+BV15+AS15+BW15+BX15+BY15+BZ15</f>
        <v>11520.8333333333</v>
      </c>
      <c r="CC15" s="15" t="n">
        <f aca="false">BI15-CA15</f>
        <v>-20381.25</v>
      </c>
      <c r="CD15" s="15" t="n">
        <f aca="false">AM15-CB15</f>
        <v>979.166666666668</v>
      </c>
      <c r="CE15" s="15" t="n">
        <f aca="false">INDEX(Ipotesi!$C$79:$G$79,1,F15)/12</f>
        <v>1666.66666666667</v>
      </c>
      <c r="CF15" s="15" t="n">
        <f aca="false">INDEX(Ipotesi!$C$84:$G$84,1,F15)/12</f>
        <v>250</v>
      </c>
      <c r="CG15" s="15" t="n">
        <f aca="false">Y15*MAX(0,Parametri_v3!$C$12-IF(P15=0,0,MIN(1,BE15/(P15*Parametri_v3!$C$22))))+W15*Parametri_v3!$C$13+X15*Parametri_v3!$C$14</f>
        <v>7083.33333333333</v>
      </c>
      <c r="CH15" s="15" t="n">
        <f aca="false">AB15*Parametri_v3!$C$32</f>
        <v>895.833333333334</v>
      </c>
      <c r="CI15" s="15" t="n">
        <f aca="false">AC15*Parametri_v3!$C$32</f>
        <v>262.5</v>
      </c>
      <c r="CJ15" s="15" t="n">
        <f aca="false">CA15-AB15</f>
        <v>9756.25</v>
      </c>
      <c r="CK15" s="15" t="n">
        <f aca="false">CB15-AC15-BH15</f>
        <v>5020.83333333333</v>
      </c>
      <c r="CL15" s="15" t="n">
        <f aca="false">BF15*Ipotesi!$C$73+INDEX(Ipotesi!$C$72:$G$72,1,F15)/12*Ipotesi!C126*Parametri_v3!$C$58+Z15*(1-Parametri_v3!$C$16)</f>
        <v>1845.83333333333</v>
      </c>
      <c r="CM15" s="16" t="n">
        <f aca="false">IF(BF15=0,0,1-CL15/BF15)</f>
        <v>-3.43</v>
      </c>
    </row>
    <row r="16" customFormat="false" ht="18" hidden="false" customHeight="true" outlineLevel="0" collapsed="false">
      <c r="A16" s="68" t="n">
        <f aca="false">1</f>
        <v>1</v>
      </c>
      <c r="B16" s="68" t="n">
        <f aca="false">12</f>
        <v>12</v>
      </c>
      <c r="C16" s="18" t="n">
        <f aca="false">EDATE(Parametri_v3!$C$5,12-1)</f>
        <v>46722</v>
      </c>
      <c r="D16" s="68" t="n">
        <f aca="false">YEAR(C16)</f>
        <v>2027</v>
      </c>
      <c r="E16" s="68" t="n">
        <f aca="false">MONTH(C16)</f>
        <v>12</v>
      </c>
      <c r="F16" s="68" t="n">
        <f aca="false">INT((12-1)/12)+1</f>
        <v>1</v>
      </c>
      <c r="G16" s="15" t="n">
        <f aca="false">Ipotesi!C7</f>
        <v>0.75</v>
      </c>
      <c r="H16" s="15" t="n">
        <f aca="false">Ipotesi!C9</f>
        <v>1</v>
      </c>
      <c r="I16" s="15" t="n">
        <f aca="false">Ipotesi!C10</f>
        <v>1</v>
      </c>
      <c r="J16" s="15" t="n">
        <f aca="false">Ipotesi!C11</f>
        <v>1</v>
      </c>
      <c r="K16" s="15" t="n">
        <f aca="false">Ipotesi!C12</f>
        <v>1</v>
      </c>
      <c r="L16" s="15" t="n">
        <f aca="false">Ipotesi!C13</f>
        <v>90</v>
      </c>
      <c r="M16" s="17" t="n">
        <f aca="false">INDEX(Ipotesi!$C$40:$G$40,1,F16)</f>
        <v>1</v>
      </c>
      <c r="N16" s="17" t="n">
        <f aca="false">INDEX(Ipotesi!$C$41:$G$41,1,F16)</f>
        <v>0.75</v>
      </c>
      <c r="O16" s="17" t="n">
        <f aca="false">INDEX(Ipotesi!$C$42:$G$42,1,F16)*Ipotesi!C125</f>
        <v>1</v>
      </c>
      <c r="P16" s="17" t="n">
        <f aca="false">INDEX(Ipotesi!$C$43:$G$43,1,F16)*I16</f>
        <v>1</v>
      </c>
      <c r="Q16" s="17" t="n">
        <f aca="false">INDEX(Ipotesi!$C$44:$G$44,1,F16)*I16</f>
        <v>0.5</v>
      </c>
      <c r="R16" s="17" t="n">
        <f aca="false">INDEX(Ipotesi!$C$45:$G$45,1,F16)*I16</f>
        <v>0</v>
      </c>
      <c r="S16" s="17" t="n">
        <f aca="false">INDEX(Ipotesi!$C$52:$G$52,1,F16)*Ipotesi!C125</f>
        <v>1.5</v>
      </c>
      <c r="T16" s="17" t="n">
        <f aca="false">INDEX(Ipotesi!$C$53:$G$53,1,F16)*I16</f>
        <v>0</v>
      </c>
      <c r="U16" s="17" t="n">
        <f aca="false">INDEX(Ipotesi!$C$54:$G$54,1,F16)*I16</f>
        <v>0</v>
      </c>
      <c r="V16" s="15" t="n">
        <f aca="false">M16*INDEX(Ipotesi!$C$58:$G$58,1,F16)*K16/12</f>
        <v>3333.33333333333</v>
      </c>
      <c r="W16" s="15" t="n">
        <f aca="false">N16*Ipotesi!$C$59*(1+Ipotesi!$C$66)^(F16-1)/12</f>
        <v>4375</v>
      </c>
      <c r="X16" s="15" t="n">
        <f aca="false">O16*Ipotesi!$C$60*(1+Ipotesi!$C$66)^(F16-1)/12</f>
        <v>4166.66666666667</v>
      </c>
      <c r="Y16" s="15" t="n">
        <f aca="false">P16*Ipotesi!$C$61*(1+Ipotesi!$C$66)^(F16-1)/12</f>
        <v>4166.66666666667</v>
      </c>
      <c r="Z16" s="15" t="n">
        <f aca="false">Q16*Ipotesi!$C$62*(1+Ipotesi!$C$66)^(F16-1)/12</f>
        <v>1875</v>
      </c>
      <c r="AA16" s="15" t="n">
        <f aca="false">R16*Ipotesi!$C$63*(1+Ipotesi!$C$66)^(F16-1)/12</f>
        <v>0</v>
      </c>
      <c r="AB16" s="15" t="n">
        <f aca="false">SUM(V16:AA16)</f>
        <v>17916.6666666667</v>
      </c>
      <c r="AC16" s="15" t="n">
        <f aca="false">(S16*Ipotesi!$C$64+T16*Ipotesi!$C$65+U16*Ipotesi!$C$63)*(1+Ipotesi!$C$66)^(F16-1)/12</f>
        <v>5250</v>
      </c>
      <c r="AD16" s="15" t="n">
        <f aca="false">INDEX(Ipotesi!$C$48:$G$48,1,F16)*G16/12</f>
        <v>12.5</v>
      </c>
      <c r="AE16" s="15" t="n">
        <f aca="false">INDEX(Ipotesi!$C$50:$G$50,1,F16)*G16/12</f>
        <v>1.5625</v>
      </c>
      <c r="AF16" s="15" t="n">
        <f aca="false">(S16*Parametri_v3!$C$7*Parametri_v3!$C$8+Parametri_v3!$C$10)/12</f>
        <v>19.25</v>
      </c>
      <c r="AG16" s="15" t="n">
        <f aca="false">AD16+AE16*(1+Parametri_v3!$C$9)</f>
        <v>14.84375</v>
      </c>
      <c r="AH16" s="16" t="n">
        <f aca="false">IF(AG16=0,1,MIN(1,AF16/AG16))</f>
        <v>1</v>
      </c>
      <c r="AI16" s="15" t="n">
        <f aca="false">AD16*AH16</f>
        <v>12.5</v>
      </c>
      <c r="AJ16" s="15" t="n">
        <f aca="false">AE16*AH16</f>
        <v>1.5625</v>
      </c>
      <c r="AK16" s="15" t="n">
        <f aca="false">AI16*INDEX(Ipotesi!$C$49:$G$49,1,F16)*H16</f>
        <v>9375</v>
      </c>
      <c r="AL16" s="15" t="n">
        <f aca="false">AJ16*INDEX(Ipotesi!$C$51:$G$51,1,F16)*H16</f>
        <v>3125</v>
      </c>
      <c r="AM16" s="15" t="n">
        <f aca="false">AK16+AL16</f>
        <v>12500</v>
      </c>
      <c r="AN16" s="15" t="n">
        <f aca="false">INDEX(Ipotesi!$C$30:$G$30,1,F16)*G16/12</f>
        <v>6.25</v>
      </c>
      <c r="AO16" s="15" t="n">
        <f aca="false">O16*Parametri_v3!$C$7*Parametri_v3!$C$11*(1-Parametri_v3!$C$14)/12</f>
        <v>10.2666666666667</v>
      </c>
      <c r="AP16" s="15" t="n">
        <f aca="false">MIN(AN16,AO16)</f>
        <v>6.25</v>
      </c>
      <c r="AQ16" s="15" t="n">
        <f aca="false">AP16*INDEX(Ipotesi!$C$31:$G$31,1,F16)*H16</f>
        <v>5625</v>
      </c>
      <c r="AR16" s="15" t="n">
        <f aca="false">INDEX(Ipotesi!$C$75:$G$75,1,F16)*J16/12</f>
        <v>2083.33333333333</v>
      </c>
      <c r="AS16" s="15" t="n">
        <f aca="false">INDEX(Ipotesi!$C$81:$G$81,1,F16)*J16/12</f>
        <v>416.666666666667</v>
      </c>
      <c r="AT16" s="15" t="n">
        <f aca="false">AR16*Parametri_v3!$C$15+Z16*Parametri_v3!$C$16</f>
        <v>3395.83333333333</v>
      </c>
      <c r="AU16" s="15" t="n">
        <f aca="false">Q16*Parametri_v3!$C$16*Parametri_v3!$C$17</f>
        <v>35</v>
      </c>
      <c r="AV16" s="17" t="n">
        <f aca="false">BD15</f>
        <v>2.66666666666667</v>
      </c>
      <c r="AW16" s="17" t="n">
        <f aca="false">AV16*(1-(1-INDEX(Ipotesi!$C$34:$G$34,1,F16))^(1/12))</f>
        <v>0</v>
      </c>
      <c r="AX16" s="15" t="n">
        <f aca="false">ROUND(INDEX(Ipotesi!$C$32:$G$32,1,F16)*Ipotesi!C8,0)</f>
        <v>3</v>
      </c>
      <c r="AY16" s="15" t="n">
        <f aca="false">MAX(0,(AX16-(AV16-AW16))/(13-E16))</f>
        <v>0.333333333333333</v>
      </c>
      <c r="AZ16" s="15" t="n">
        <f aca="false">MIN(P16*Parametri_v3!$C$22,Q16*(1-Parametri_v3!$C$16)*Parametri_v3!$C$23)</f>
        <v>22.5</v>
      </c>
      <c r="BA16" s="15" t="n">
        <f aca="false">IF(OR(INDEX(Ipotesi!$C$35:$G$35,1,F16)&lt;=0,12-Parametri_v3!$C$21&lt;1),0,INDEX($AT$5:$AT$64,MAX(1,12-Parametri_v3!$C$21))/(INDEX(Ipotesi!$C$35:$G$35,1,F16)*Ipotesi!C27))</f>
        <v>0.565972222222222</v>
      </c>
      <c r="BB16" s="15" t="n">
        <f aca="false">IF(12-Parametri_v3!$C$21&lt;1,0,INDEX($AU$5:$AU$64,MAX(1,12-Parametri_v3!$C$21)))*Parametri_v3!$C$18*Parametri_v3!$C$19*Parametri_v3!$C$20</f>
        <v>1.3125</v>
      </c>
      <c r="BC16" s="17" t="n">
        <f aca="false">MAX(0,MIN(AY16,BA16,BB16,MAX(0,AZ16-(AV16-AW16))))</f>
        <v>0.333333333333333</v>
      </c>
      <c r="BD16" s="17" t="n">
        <f aca="false">AV16-AW16+BC16</f>
        <v>3</v>
      </c>
      <c r="BE16" s="17" t="n">
        <f aca="false">(AV16+BD16)/2</f>
        <v>2.83333333333333</v>
      </c>
      <c r="BF16" s="15" t="n">
        <f aca="false">BE16*INDEX(Ipotesi!$C$33:$G$33,1,F16)*H16/12</f>
        <v>472.222222222222</v>
      </c>
      <c r="BG16" s="15" t="n">
        <f aca="false">BD16*INDEX(Ipotesi!$C$33:$G$33,1,F16)*H16</f>
        <v>6000</v>
      </c>
      <c r="BH16" s="15" t="n">
        <f aca="false">AM16*INDEX(Ipotesi!$C$37:$G$37,1,F16)</f>
        <v>1250</v>
      </c>
      <c r="BI16" s="15" t="n">
        <f aca="false">AQ16+BF16+BH16</f>
        <v>7347.22222222222</v>
      </c>
      <c r="BJ16" s="15" t="n">
        <f aca="false">INDEX(Ipotesi!$C$68:$G$68,1,F16)*Ipotesi!$C$69/12</f>
        <v>1000</v>
      </c>
      <c r="BK16" s="15" t="n">
        <f aca="false">INDEX(Ipotesi!$C$68:$G$68,1,F16)*(1-Ipotesi!$C$69)/12</f>
        <v>1500</v>
      </c>
      <c r="BL16" s="15" t="n">
        <f aca="false">(AQ16+BF16)*Ipotesi!$C$67</f>
        <v>182.916666666667</v>
      </c>
      <c r="BM16" s="15" t="n">
        <f aca="false">AM16*Ipotesi!$C$67</f>
        <v>375</v>
      </c>
      <c r="BN16" s="15" t="n">
        <f aca="false">INDEX(Ipotesi!$C$72:$G$72,1,F16)/12*Ipotesi!C126+BF16*Ipotesi!$C$73</f>
        <v>1287.77777777778</v>
      </c>
      <c r="BO16" s="15" t="n">
        <f aca="false">INDEX(Ipotesi!$C$74:$G$74,1,F16)/12*Ipotesi!C126</f>
        <v>1000</v>
      </c>
      <c r="BP16" s="15" t="n">
        <f aca="false">INDEX(Ipotesi!$C$76:$G$76,1,F16)/12</f>
        <v>500</v>
      </c>
      <c r="BQ16" s="15" t="n">
        <f aca="false">INDEX(Ipotesi!$C$77:$G$77,1,F16)/12*Ipotesi!C126</f>
        <v>1250</v>
      </c>
      <c r="BR16" s="15" t="n">
        <f aca="false">INDEX(Ipotesi!$C$78:$G$78,1,F16)/12</f>
        <v>1000</v>
      </c>
      <c r="BS16" s="15" t="n">
        <f aca="false">SUM(M16:R16)*(Ipotesi!$C$85+Ipotesi!$C$86)/12</f>
        <v>1239.58333333333</v>
      </c>
      <c r="BT16" s="15" t="n">
        <f aca="false">BI16*Ipotesi!$C$87</f>
        <v>220.416666666667</v>
      </c>
      <c r="BU16" s="15" t="n">
        <f aca="false">INDEX(Ipotesi!$C$55:$G$55,1,F16)*K16/12</f>
        <v>500</v>
      </c>
      <c r="BV16" s="15" t="n">
        <f aca="false">INDEX(Ipotesi!$C$80:$G$80,1,F16)/12*Ipotesi!C126</f>
        <v>500</v>
      </c>
      <c r="BW16" s="15" t="n">
        <f aca="false">INDEX(Ipotesi!$C$82:$G$82,1,F16)/12</f>
        <v>416.666666666667</v>
      </c>
      <c r="BX16" s="15" t="n">
        <f aca="false">INDEX(Ipotesi!$C$83:$G$83,1,F16)/12</f>
        <v>500</v>
      </c>
      <c r="BY16" s="15" t="n">
        <f aca="false">SUM(S16:U16)*(Ipotesi!$C$85+Ipotesi!$C$86)/12</f>
        <v>437.5</v>
      </c>
      <c r="BZ16" s="15" t="n">
        <f aca="false">AM16*Ipotesi!$C$87</f>
        <v>375</v>
      </c>
      <c r="CA16" s="15" t="n">
        <f aca="false">AB16+BJ16+BL16+BN16+BO16+AR16+BP16+BQ16+BR16+BS16+BT16</f>
        <v>27680.6944444444</v>
      </c>
      <c r="CB16" s="15" t="n">
        <f aca="false">AC16+BK16+BM16+BH16+BU16+BV16+AS16+BW16+BX16+BY16+BZ16</f>
        <v>11520.8333333333</v>
      </c>
      <c r="CC16" s="15" t="n">
        <f aca="false">BI16-CA16</f>
        <v>-20333.4722222222</v>
      </c>
      <c r="CD16" s="15" t="n">
        <f aca="false">AM16-CB16</f>
        <v>979.166666666668</v>
      </c>
      <c r="CE16" s="15" t="n">
        <f aca="false">INDEX(Ipotesi!$C$79:$G$79,1,F16)/12</f>
        <v>1666.66666666667</v>
      </c>
      <c r="CF16" s="15" t="n">
        <f aca="false">INDEX(Ipotesi!$C$84:$G$84,1,F16)/12</f>
        <v>250</v>
      </c>
      <c r="CG16" s="15" t="n">
        <f aca="false">Y16*MAX(0,Parametri_v3!$C$12-IF(P16=0,0,MIN(1,BE16/(P16*Parametri_v3!$C$22))))+W16*Parametri_v3!$C$13+X16*Parametri_v3!$C$14</f>
        <v>7069.44444444445</v>
      </c>
      <c r="CH16" s="15" t="n">
        <f aca="false">AB16*Parametri_v3!$C$32</f>
        <v>895.833333333334</v>
      </c>
      <c r="CI16" s="15" t="n">
        <f aca="false">AC16*Parametri_v3!$C$32</f>
        <v>262.5</v>
      </c>
      <c r="CJ16" s="15" t="n">
        <f aca="false">CA16-AB16</f>
        <v>9764.02777777778</v>
      </c>
      <c r="CK16" s="15" t="n">
        <f aca="false">CB16-AC16-BH16</f>
        <v>5020.83333333333</v>
      </c>
      <c r="CL16" s="15" t="n">
        <f aca="false">BF16*Ipotesi!$C$73+INDEX(Ipotesi!$C$72:$G$72,1,F16)/12*Ipotesi!C126*Parametri_v3!$C$58+Z16*(1-Parametri_v3!$C$16)</f>
        <v>1850.27777777778</v>
      </c>
      <c r="CM16" s="16" t="n">
        <f aca="false">IF(BF16=0,0,1-CL16/BF16)</f>
        <v>-2.91823529411765</v>
      </c>
    </row>
    <row r="17" customFormat="false" ht="18" hidden="false" customHeight="true" outlineLevel="0" collapsed="false">
      <c r="A17" s="68" t="n">
        <f aca="false">1</f>
        <v>1</v>
      </c>
      <c r="B17" s="68" t="n">
        <f aca="false">13</f>
        <v>13</v>
      </c>
      <c r="C17" s="18" t="n">
        <f aca="false">EDATE(Parametri_v3!$C$5,13-1)</f>
        <v>46753</v>
      </c>
      <c r="D17" s="68" t="n">
        <f aca="false">YEAR(C17)</f>
        <v>2028</v>
      </c>
      <c r="E17" s="68" t="n">
        <f aca="false">MONTH(C17)</f>
        <v>1</v>
      </c>
      <c r="F17" s="68" t="n">
        <f aca="false">INT((13-1)/12)+1</f>
        <v>2</v>
      </c>
      <c r="G17" s="15" t="n">
        <f aca="false">Ipotesi!C7</f>
        <v>0.75</v>
      </c>
      <c r="H17" s="15" t="n">
        <f aca="false">Ipotesi!C9</f>
        <v>1</v>
      </c>
      <c r="I17" s="15" t="n">
        <f aca="false">Ipotesi!C10</f>
        <v>1</v>
      </c>
      <c r="J17" s="15" t="n">
        <f aca="false">Ipotesi!C11</f>
        <v>1</v>
      </c>
      <c r="K17" s="15" t="n">
        <f aca="false">Ipotesi!C12</f>
        <v>1</v>
      </c>
      <c r="L17" s="15" t="n">
        <f aca="false">Ipotesi!C13</f>
        <v>90</v>
      </c>
      <c r="M17" s="17" t="n">
        <f aca="false">INDEX(Ipotesi!$C$40:$G$40,1,F17)</f>
        <v>1</v>
      </c>
      <c r="N17" s="17" t="n">
        <f aca="false">INDEX(Ipotesi!$C$41:$G$41,1,F17)</f>
        <v>1</v>
      </c>
      <c r="O17" s="17" t="n">
        <f aca="false">INDEX(Ipotesi!$C$42:$G$42,1,F17)*Ipotesi!C125</f>
        <v>2.5</v>
      </c>
      <c r="P17" s="17" t="n">
        <f aca="false">INDEX(Ipotesi!$C$43:$G$43,1,F17)*I17</f>
        <v>2.5</v>
      </c>
      <c r="Q17" s="17" t="n">
        <f aca="false">INDEX(Ipotesi!$C$44:$G$44,1,F17)*I17</f>
        <v>1.5</v>
      </c>
      <c r="R17" s="17" t="n">
        <f aca="false">INDEX(Ipotesi!$C$45:$G$45,1,F17)*I17</f>
        <v>0.5</v>
      </c>
      <c r="S17" s="17" t="n">
        <f aca="false">INDEX(Ipotesi!$C$52:$G$52,1,F17)*Ipotesi!C125</f>
        <v>3</v>
      </c>
      <c r="T17" s="17" t="n">
        <f aca="false">INDEX(Ipotesi!$C$53:$G$53,1,F17)*I17</f>
        <v>1</v>
      </c>
      <c r="U17" s="17" t="n">
        <f aca="false">INDEX(Ipotesi!$C$54:$G$54,1,F17)*I17</f>
        <v>0</v>
      </c>
      <c r="V17" s="15" t="n">
        <f aca="false">M17*INDEX(Ipotesi!$C$58:$G$58,1,F17)*K17/12</f>
        <v>5000</v>
      </c>
      <c r="W17" s="15" t="n">
        <f aca="false">N17*Ipotesi!$C$59*(1+Ipotesi!$C$66)^(F17-1)/12</f>
        <v>6008.33333333333</v>
      </c>
      <c r="X17" s="15" t="n">
        <f aca="false">O17*Ipotesi!$C$60*(1+Ipotesi!$C$66)^(F17-1)/12</f>
        <v>10729.1666666667</v>
      </c>
      <c r="Y17" s="15" t="n">
        <f aca="false">P17*Ipotesi!$C$61*(1+Ipotesi!$C$66)^(F17-1)/12</f>
        <v>10729.1666666667</v>
      </c>
      <c r="Z17" s="15" t="n">
        <f aca="false">Q17*Ipotesi!$C$62*(1+Ipotesi!$C$66)^(F17-1)/12</f>
        <v>5793.75</v>
      </c>
      <c r="AA17" s="15" t="n">
        <f aca="false">R17*Ipotesi!$C$63*(1+Ipotesi!$C$66)^(F17-1)/12</f>
        <v>1502.08333333333</v>
      </c>
      <c r="AB17" s="15" t="n">
        <f aca="false">SUM(V17:AA17)</f>
        <v>39762.5</v>
      </c>
      <c r="AC17" s="15" t="n">
        <f aca="false">(S17*Ipotesi!$C$64+T17*Ipotesi!$C$65+U17*Ipotesi!$C$63)*(1+Ipotesi!$C$66)^(F17-1)/12</f>
        <v>15965</v>
      </c>
      <c r="AD17" s="15" t="n">
        <f aca="false">INDEX(Ipotesi!$C$48:$G$48,1,F17)*G17/12</f>
        <v>28.125</v>
      </c>
      <c r="AE17" s="15" t="n">
        <f aca="false">INDEX(Ipotesi!$C$50:$G$50,1,F17)*G17/12</f>
        <v>3.4375</v>
      </c>
      <c r="AF17" s="15" t="n">
        <f aca="false">(S17*Parametri_v3!$C$7*Parametri_v3!$C$8+Parametri_v3!$C$10)/12</f>
        <v>38.5</v>
      </c>
      <c r="AG17" s="15" t="n">
        <f aca="false">AD17+AE17*(1+Parametri_v3!$C$9)</f>
        <v>33.28125</v>
      </c>
      <c r="AH17" s="16" t="n">
        <f aca="false">IF(AG17=0,1,MIN(1,AF17/AG17))</f>
        <v>1</v>
      </c>
      <c r="AI17" s="15" t="n">
        <f aca="false">AD17*AH17</f>
        <v>28.125</v>
      </c>
      <c r="AJ17" s="15" t="n">
        <f aca="false">AE17*AH17</f>
        <v>3.4375</v>
      </c>
      <c r="AK17" s="15" t="n">
        <f aca="false">AI17*INDEX(Ipotesi!$C$49:$G$49,1,F17)*H17</f>
        <v>22500</v>
      </c>
      <c r="AL17" s="15" t="n">
        <f aca="false">AJ17*INDEX(Ipotesi!$C$51:$G$51,1,F17)*H17</f>
        <v>6875</v>
      </c>
      <c r="AM17" s="15" t="n">
        <f aca="false">AK17+AL17</f>
        <v>29375</v>
      </c>
      <c r="AN17" s="15" t="n">
        <f aca="false">INDEX(Ipotesi!$C$30:$G$30,1,F17)*G17/12</f>
        <v>16.875</v>
      </c>
      <c r="AO17" s="15" t="n">
        <f aca="false">O17*Parametri_v3!$C$7*Parametri_v3!$C$11*(1-Parametri_v3!$C$14)/12</f>
        <v>25.6666666666667</v>
      </c>
      <c r="AP17" s="15" t="n">
        <f aca="false">MIN(AN17,AO17)</f>
        <v>16.875</v>
      </c>
      <c r="AQ17" s="15" t="n">
        <f aca="false">AP17*INDEX(Ipotesi!$C$31:$G$31,1,F17)*H17</f>
        <v>16031.25</v>
      </c>
      <c r="AR17" s="15" t="n">
        <f aca="false">INDEX(Ipotesi!$C$75:$G$75,1,F17)*J17/12</f>
        <v>4583.33333333333</v>
      </c>
      <c r="AS17" s="15" t="n">
        <f aca="false">INDEX(Ipotesi!$C$81:$G$81,1,F17)*J17/12</f>
        <v>833.333333333333</v>
      </c>
      <c r="AT17" s="15" t="n">
        <f aca="false">AR17*Parametri_v3!$C$15+Z17*Parametri_v3!$C$16</f>
        <v>8638.95833333333</v>
      </c>
      <c r="AU17" s="15" t="n">
        <f aca="false">Q17*Parametri_v3!$C$16*Parametri_v3!$C$17</f>
        <v>105</v>
      </c>
      <c r="AV17" s="17" t="n">
        <f aca="false">BD16</f>
        <v>3</v>
      </c>
      <c r="AW17" s="17" t="n">
        <f aca="false">AV17*(1-(1-INDEX(Ipotesi!$C$34:$G$34,1,F17))^(1/12))</f>
        <v>0.0262248328640902</v>
      </c>
      <c r="AX17" s="15" t="n">
        <f aca="false">ROUND(INDEX(Ipotesi!$C$32:$G$32,1,F17)*Ipotesi!C8,0)</f>
        <v>21</v>
      </c>
      <c r="AY17" s="15" t="n">
        <f aca="false">MAX(0,(AX17-(AV17-AW17))/(13-E17))</f>
        <v>1.50218540273867</v>
      </c>
      <c r="AZ17" s="15" t="n">
        <f aca="false">MIN(P17*Parametri_v3!$C$22,Q17*(1-Parametri_v3!$C$16)*Parametri_v3!$C$23)</f>
        <v>67.5</v>
      </c>
      <c r="BA17" s="15" t="n">
        <f aca="false">IF(OR(INDEX(Ipotesi!$C$35:$G$35,1,F17)&lt;=0,13-Parametri_v3!$C$21&lt;1),0,INDEX($AT$5:$AT$64,MAX(1,13-Parametri_v3!$C$21))/(INDEX(Ipotesi!$C$35:$G$35,1,F17)*Ipotesi!C27))</f>
        <v>0.943287037037037</v>
      </c>
      <c r="BB17" s="15" t="n">
        <f aca="false">IF(13-Parametri_v3!$C$21&lt;1,0,INDEX($AU$5:$AU$64,MAX(1,13-Parametri_v3!$C$21)))*Parametri_v3!$C$18*Parametri_v3!$C$19*Parametri_v3!$C$20</f>
        <v>1.3125</v>
      </c>
      <c r="BC17" s="17" t="n">
        <f aca="false">MAX(0,MIN(AY17,BA17,BB17,MAX(0,AZ17-(AV17-AW17))))</f>
        <v>0.943287037037037</v>
      </c>
      <c r="BD17" s="17" t="n">
        <f aca="false">AV17-AW17+BC17</f>
        <v>3.91706220417295</v>
      </c>
      <c r="BE17" s="17" t="n">
        <f aca="false">(AV17+BD17)/2</f>
        <v>3.45853110208647</v>
      </c>
      <c r="BF17" s="15" t="n">
        <f aca="false">BE17*INDEX(Ipotesi!$C$33:$G$33,1,F17)*H17/12</f>
        <v>1152.84370069549</v>
      </c>
      <c r="BG17" s="15" t="n">
        <f aca="false">BD17*INDEX(Ipotesi!$C$33:$G$33,1,F17)*H17</f>
        <v>15668.2488166918</v>
      </c>
      <c r="BH17" s="15" t="n">
        <f aca="false">AM17*INDEX(Ipotesi!$C$37:$G$37,1,F17)</f>
        <v>2937.5</v>
      </c>
      <c r="BI17" s="15" t="n">
        <f aca="false">AQ17+BF17+BH17</f>
        <v>20121.5937006955</v>
      </c>
      <c r="BJ17" s="15" t="n">
        <f aca="false">INDEX(Ipotesi!$C$68:$G$68,1,F17)*Ipotesi!$C$69/12</f>
        <v>1600</v>
      </c>
      <c r="BK17" s="15" t="n">
        <f aca="false">INDEX(Ipotesi!$C$68:$G$68,1,F17)*(1-Ipotesi!$C$69)/12</f>
        <v>2400</v>
      </c>
      <c r="BL17" s="15" t="n">
        <f aca="false">(AQ17+BF17)*Ipotesi!$C$67</f>
        <v>515.522811020865</v>
      </c>
      <c r="BM17" s="15" t="n">
        <f aca="false">AM17*Ipotesi!$C$67</f>
        <v>881.25</v>
      </c>
      <c r="BN17" s="15" t="n">
        <f aca="false">INDEX(Ipotesi!$C$72:$G$72,1,F17)/12*Ipotesi!C126+BF17*Ipotesi!$C$73</f>
        <v>1342.22749605564</v>
      </c>
      <c r="BO17" s="15" t="n">
        <f aca="false">INDEX(Ipotesi!$C$74:$G$74,1,F17)/12*Ipotesi!C126</f>
        <v>1833.33333333333</v>
      </c>
      <c r="BP17" s="15" t="n">
        <f aca="false">INDEX(Ipotesi!$C$76:$G$76,1,F17)/12</f>
        <v>750</v>
      </c>
      <c r="BQ17" s="15" t="n">
        <f aca="false">INDEX(Ipotesi!$C$77:$G$77,1,F17)/12*Ipotesi!C126</f>
        <v>1666.66666666667</v>
      </c>
      <c r="BR17" s="15" t="n">
        <f aca="false">INDEX(Ipotesi!$C$78:$G$78,1,F17)/12</f>
        <v>1250</v>
      </c>
      <c r="BS17" s="15" t="n">
        <f aca="false">SUM(M17:R17)*(Ipotesi!$C$85+Ipotesi!$C$86)/12</f>
        <v>2625</v>
      </c>
      <c r="BT17" s="15" t="n">
        <f aca="false">BI17*Ipotesi!$C$87</f>
        <v>603.647811020865</v>
      </c>
      <c r="BU17" s="15" t="n">
        <f aca="false">INDEX(Ipotesi!$C$55:$G$55,1,F17)*K17/12</f>
        <v>1000</v>
      </c>
      <c r="BV17" s="15" t="n">
        <f aca="false">INDEX(Ipotesi!$C$80:$G$80,1,F17)/12*Ipotesi!C126</f>
        <v>833.333333333333</v>
      </c>
      <c r="BW17" s="15" t="n">
        <f aca="false">INDEX(Ipotesi!$C$82:$G$82,1,F17)/12</f>
        <v>666.666666666667</v>
      </c>
      <c r="BX17" s="15" t="n">
        <f aca="false">INDEX(Ipotesi!$C$83:$G$83,1,F17)/12</f>
        <v>583.333333333333</v>
      </c>
      <c r="BY17" s="15" t="n">
        <f aca="false">SUM(S17:U17)*(Ipotesi!$C$85+Ipotesi!$C$86)/12</f>
        <v>1166.66666666667</v>
      </c>
      <c r="BZ17" s="15" t="n">
        <f aca="false">AM17*Ipotesi!$C$87</f>
        <v>881.25</v>
      </c>
      <c r="CA17" s="15" t="n">
        <f aca="false">AB17+BJ17+BL17+BN17+BO17+AR17+BP17+BQ17+BR17+BS17+BT17</f>
        <v>56532.2314514307</v>
      </c>
      <c r="CB17" s="15" t="n">
        <f aca="false">AC17+BK17+BM17+BH17+BU17+BV17+AS17+BW17+BX17+BY17+BZ17</f>
        <v>28148.3333333333</v>
      </c>
      <c r="CC17" s="15" t="n">
        <f aca="false">BI17-CA17</f>
        <v>-36410.6377507352</v>
      </c>
      <c r="CD17" s="15" t="n">
        <f aca="false">AM17-CB17</f>
        <v>1226.66666666667</v>
      </c>
      <c r="CE17" s="15" t="n">
        <f aca="false">INDEX(Ipotesi!$C$79:$G$79,1,F17)/12</f>
        <v>2083.33333333333</v>
      </c>
      <c r="CF17" s="15" t="n">
        <f aca="false">INDEX(Ipotesi!$C$84:$G$84,1,F17)/12</f>
        <v>416.666666666667</v>
      </c>
      <c r="CG17" s="15" t="n">
        <f aca="false">Y17*MAX(0,Parametri_v3!$C$12-IF(P17=0,0,MIN(1,BE17/(P17*Parametri_v3!$C$22))))+W17*Parametri_v3!$C$13+X17*Parametri_v3!$C$14</f>
        <v>15730.7380402021</v>
      </c>
      <c r="CH17" s="15" t="n">
        <f aca="false">AB17*Parametri_v3!$C$32</f>
        <v>1988.125</v>
      </c>
      <c r="CI17" s="15" t="n">
        <f aca="false">AC17*Parametri_v3!$C$32</f>
        <v>798.25</v>
      </c>
      <c r="CJ17" s="15" t="n">
        <f aca="false">CA17-AB17</f>
        <v>16769.7314514307</v>
      </c>
      <c r="CK17" s="15" t="n">
        <f aca="false">CB17-AC17-BH17</f>
        <v>9245.83333333333</v>
      </c>
      <c r="CL17" s="15" t="n">
        <f aca="false">BF17*Ipotesi!$C$73+INDEX(Ipotesi!$C$72:$G$72,1,F17)/12*Ipotesi!C126*Parametri_v3!$C$58+Z17*(1-Parametri_v3!$C$16)</f>
        <v>3080.35249605564</v>
      </c>
      <c r="CM17" s="16" t="n">
        <f aca="false">IF(BF17=0,0,1-CL17/BF17)</f>
        <v>-1.6719602095213</v>
      </c>
    </row>
    <row r="18" customFormat="false" ht="18" hidden="false" customHeight="true" outlineLevel="0" collapsed="false">
      <c r="A18" s="68" t="n">
        <f aca="false">1</f>
        <v>1</v>
      </c>
      <c r="B18" s="68" t="n">
        <f aca="false">14</f>
        <v>14</v>
      </c>
      <c r="C18" s="18" t="n">
        <f aca="false">EDATE(Parametri_v3!$C$5,14-1)</f>
        <v>46784</v>
      </c>
      <c r="D18" s="68" t="n">
        <f aca="false">YEAR(C18)</f>
        <v>2028</v>
      </c>
      <c r="E18" s="68" t="n">
        <f aca="false">MONTH(C18)</f>
        <v>2</v>
      </c>
      <c r="F18" s="68" t="n">
        <f aca="false">INT((14-1)/12)+1</f>
        <v>2</v>
      </c>
      <c r="G18" s="15" t="n">
        <f aca="false">Ipotesi!C7</f>
        <v>0.75</v>
      </c>
      <c r="H18" s="15" t="n">
        <f aca="false">Ipotesi!C9</f>
        <v>1</v>
      </c>
      <c r="I18" s="15" t="n">
        <f aca="false">Ipotesi!C10</f>
        <v>1</v>
      </c>
      <c r="J18" s="15" t="n">
        <f aca="false">Ipotesi!C11</f>
        <v>1</v>
      </c>
      <c r="K18" s="15" t="n">
        <f aca="false">Ipotesi!C12</f>
        <v>1</v>
      </c>
      <c r="L18" s="15" t="n">
        <f aca="false">Ipotesi!C13</f>
        <v>90</v>
      </c>
      <c r="M18" s="17" t="n">
        <f aca="false">INDEX(Ipotesi!$C$40:$G$40,1,F18)</f>
        <v>1</v>
      </c>
      <c r="N18" s="17" t="n">
        <f aca="false">INDEX(Ipotesi!$C$41:$G$41,1,F18)</f>
        <v>1</v>
      </c>
      <c r="O18" s="17" t="n">
        <f aca="false">INDEX(Ipotesi!$C$42:$G$42,1,F18)*Ipotesi!C125</f>
        <v>2.5</v>
      </c>
      <c r="P18" s="17" t="n">
        <f aca="false">INDEX(Ipotesi!$C$43:$G$43,1,F18)*I18</f>
        <v>2.5</v>
      </c>
      <c r="Q18" s="17" t="n">
        <f aca="false">INDEX(Ipotesi!$C$44:$G$44,1,F18)*I18</f>
        <v>1.5</v>
      </c>
      <c r="R18" s="17" t="n">
        <f aca="false">INDEX(Ipotesi!$C$45:$G$45,1,F18)*I18</f>
        <v>0.5</v>
      </c>
      <c r="S18" s="17" t="n">
        <f aca="false">INDEX(Ipotesi!$C$52:$G$52,1,F18)*Ipotesi!C125</f>
        <v>3</v>
      </c>
      <c r="T18" s="17" t="n">
        <f aca="false">INDEX(Ipotesi!$C$53:$G$53,1,F18)*I18</f>
        <v>1</v>
      </c>
      <c r="U18" s="17" t="n">
        <f aca="false">INDEX(Ipotesi!$C$54:$G$54,1,F18)*I18</f>
        <v>0</v>
      </c>
      <c r="V18" s="15" t="n">
        <f aca="false">M18*INDEX(Ipotesi!$C$58:$G$58,1,F18)*K18/12</f>
        <v>5000</v>
      </c>
      <c r="W18" s="15" t="n">
        <f aca="false">N18*Ipotesi!$C$59*(1+Ipotesi!$C$66)^(F18-1)/12</f>
        <v>6008.33333333333</v>
      </c>
      <c r="X18" s="15" t="n">
        <f aca="false">O18*Ipotesi!$C$60*(1+Ipotesi!$C$66)^(F18-1)/12</f>
        <v>10729.1666666667</v>
      </c>
      <c r="Y18" s="15" t="n">
        <f aca="false">P18*Ipotesi!$C$61*(1+Ipotesi!$C$66)^(F18-1)/12</f>
        <v>10729.1666666667</v>
      </c>
      <c r="Z18" s="15" t="n">
        <f aca="false">Q18*Ipotesi!$C$62*(1+Ipotesi!$C$66)^(F18-1)/12</f>
        <v>5793.75</v>
      </c>
      <c r="AA18" s="15" t="n">
        <f aca="false">R18*Ipotesi!$C$63*(1+Ipotesi!$C$66)^(F18-1)/12</f>
        <v>1502.08333333333</v>
      </c>
      <c r="AB18" s="15" t="n">
        <f aca="false">SUM(V18:AA18)</f>
        <v>39762.5</v>
      </c>
      <c r="AC18" s="15" t="n">
        <f aca="false">(S18*Ipotesi!$C$64+T18*Ipotesi!$C$65+U18*Ipotesi!$C$63)*(1+Ipotesi!$C$66)^(F18-1)/12</f>
        <v>15965</v>
      </c>
      <c r="AD18" s="15" t="n">
        <f aca="false">INDEX(Ipotesi!$C$48:$G$48,1,F18)*G18/12</f>
        <v>28.125</v>
      </c>
      <c r="AE18" s="15" t="n">
        <f aca="false">INDEX(Ipotesi!$C$50:$G$50,1,F18)*G18/12</f>
        <v>3.4375</v>
      </c>
      <c r="AF18" s="15" t="n">
        <f aca="false">(S18*Parametri_v3!$C$7*Parametri_v3!$C$8+Parametri_v3!$C$10)/12</f>
        <v>38.5</v>
      </c>
      <c r="AG18" s="15" t="n">
        <f aca="false">AD18+AE18*(1+Parametri_v3!$C$9)</f>
        <v>33.28125</v>
      </c>
      <c r="AH18" s="16" t="n">
        <f aca="false">IF(AG18=0,1,MIN(1,AF18/AG18))</f>
        <v>1</v>
      </c>
      <c r="AI18" s="15" t="n">
        <f aca="false">AD18*AH18</f>
        <v>28.125</v>
      </c>
      <c r="AJ18" s="15" t="n">
        <f aca="false">AE18*AH18</f>
        <v>3.4375</v>
      </c>
      <c r="AK18" s="15" t="n">
        <f aca="false">AI18*INDEX(Ipotesi!$C$49:$G$49,1,F18)*H18</f>
        <v>22500</v>
      </c>
      <c r="AL18" s="15" t="n">
        <f aca="false">AJ18*INDEX(Ipotesi!$C$51:$G$51,1,F18)*H18</f>
        <v>6875</v>
      </c>
      <c r="AM18" s="15" t="n">
        <f aca="false">AK18+AL18</f>
        <v>29375</v>
      </c>
      <c r="AN18" s="15" t="n">
        <f aca="false">INDEX(Ipotesi!$C$30:$G$30,1,F18)*G18/12</f>
        <v>16.875</v>
      </c>
      <c r="AO18" s="15" t="n">
        <f aca="false">O18*Parametri_v3!$C$7*Parametri_v3!$C$11*(1-Parametri_v3!$C$14)/12</f>
        <v>25.6666666666667</v>
      </c>
      <c r="AP18" s="15" t="n">
        <f aca="false">MIN(AN18,AO18)</f>
        <v>16.875</v>
      </c>
      <c r="AQ18" s="15" t="n">
        <f aca="false">AP18*INDEX(Ipotesi!$C$31:$G$31,1,F18)*H18</f>
        <v>16031.25</v>
      </c>
      <c r="AR18" s="15" t="n">
        <f aca="false">INDEX(Ipotesi!$C$75:$G$75,1,F18)*J18/12</f>
        <v>4583.33333333333</v>
      </c>
      <c r="AS18" s="15" t="n">
        <f aca="false">INDEX(Ipotesi!$C$81:$G$81,1,F18)*J18/12</f>
        <v>833.333333333333</v>
      </c>
      <c r="AT18" s="15" t="n">
        <f aca="false">AR18*Parametri_v3!$C$15+Z18*Parametri_v3!$C$16</f>
        <v>8638.95833333333</v>
      </c>
      <c r="AU18" s="15" t="n">
        <f aca="false">Q18*Parametri_v3!$C$16*Parametri_v3!$C$17</f>
        <v>105</v>
      </c>
      <c r="AV18" s="17" t="n">
        <f aca="false">BD17</f>
        <v>3.91706220417295</v>
      </c>
      <c r="AW18" s="17" t="n">
        <f aca="false">AV18*(1-(1-INDEX(Ipotesi!$C$34:$G$34,1,F18))^(1/12))</f>
        <v>0.0342414338742267</v>
      </c>
      <c r="AX18" s="15" t="n">
        <f aca="false">ROUND(INDEX(Ipotesi!$C$32:$G$32,1,F18)*Ipotesi!C8,0)</f>
        <v>21</v>
      </c>
      <c r="AY18" s="15" t="n">
        <f aca="false">MAX(0,(AX18-(AV18-AW18))/(13-E18))</f>
        <v>1.55610720270012</v>
      </c>
      <c r="AZ18" s="15" t="n">
        <f aca="false">MIN(P18*Parametri_v3!$C$22,Q18*(1-Parametri_v3!$C$16)*Parametri_v3!$C$23)</f>
        <v>67.5</v>
      </c>
      <c r="BA18" s="15" t="n">
        <f aca="false">IF(OR(INDEX(Ipotesi!$C$35:$G$35,1,F18)&lt;=0,14-Parametri_v3!$C$21&lt;1),0,INDEX($AT$5:$AT$64,MAX(1,14-Parametri_v3!$C$21))/(INDEX(Ipotesi!$C$35:$G$35,1,F18)*Ipotesi!C27))</f>
        <v>0.943287037037037</v>
      </c>
      <c r="BB18" s="15" t="n">
        <f aca="false">IF(14-Parametri_v3!$C$21&lt;1,0,INDEX($AU$5:$AU$64,MAX(1,14-Parametri_v3!$C$21)))*Parametri_v3!$C$18*Parametri_v3!$C$19*Parametri_v3!$C$20</f>
        <v>1.3125</v>
      </c>
      <c r="BC18" s="17" t="n">
        <f aca="false">MAX(0,MIN(AY18,BA18,BB18,MAX(0,AZ18-(AV18-AW18))))</f>
        <v>0.943287037037037</v>
      </c>
      <c r="BD18" s="17" t="n">
        <f aca="false">AV18-AW18+BC18</f>
        <v>4.82610780733576</v>
      </c>
      <c r="BE18" s="17" t="n">
        <f aca="false">(AV18+BD18)/2</f>
        <v>4.37158500575435</v>
      </c>
      <c r="BF18" s="15" t="n">
        <f aca="false">BE18*INDEX(Ipotesi!$C$33:$G$33,1,F18)*H18/12</f>
        <v>1457.19500191812</v>
      </c>
      <c r="BG18" s="15" t="n">
        <f aca="false">BD18*INDEX(Ipotesi!$C$33:$G$33,1,F18)*H18</f>
        <v>19304.431229343</v>
      </c>
      <c r="BH18" s="15" t="n">
        <f aca="false">AM18*INDEX(Ipotesi!$C$37:$G$37,1,F18)</f>
        <v>2937.5</v>
      </c>
      <c r="BI18" s="15" t="n">
        <f aca="false">AQ18+BF18+BH18</f>
        <v>20425.9450019181</v>
      </c>
      <c r="BJ18" s="15" t="n">
        <f aca="false">INDEX(Ipotesi!$C$68:$G$68,1,F18)*Ipotesi!$C$69/12</f>
        <v>1600</v>
      </c>
      <c r="BK18" s="15" t="n">
        <f aca="false">INDEX(Ipotesi!$C$68:$G$68,1,F18)*(1-Ipotesi!$C$69)/12</f>
        <v>2400</v>
      </c>
      <c r="BL18" s="15" t="n">
        <f aca="false">(AQ18+BF18)*Ipotesi!$C$67</f>
        <v>524.653350057543</v>
      </c>
      <c r="BM18" s="15" t="n">
        <f aca="false">AM18*Ipotesi!$C$67</f>
        <v>881.25</v>
      </c>
      <c r="BN18" s="15" t="n">
        <f aca="false">INDEX(Ipotesi!$C$72:$G$72,1,F18)/12*Ipotesi!C126+BF18*Ipotesi!$C$73</f>
        <v>1366.57560015345</v>
      </c>
      <c r="BO18" s="15" t="n">
        <f aca="false">INDEX(Ipotesi!$C$74:$G$74,1,F18)/12*Ipotesi!C126</f>
        <v>1833.33333333333</v>
      </c>
      <c r="BP18" s="15" t="n">
        <f aca="false">INDEX(Ipotesi!$C$76:$G$76,1,F18)/12</f>
        <v>750</v>
      </c>
      <c r="BQ18" s="15" t="n">
        <f aca="false">INDEX(Ipotesi!$C$77:$G$77,1,F18)/12*Ipotesi!C126</f>
        <v>1666.66666666667</v>
      </c>
      <c r="BR18" s="15" t="n">
        <f aca="false">INDEX(Ipotesi!$C$78:$G$78,1,F18)/12</f>
        <v>1250</v>
      </c>
      <c r="BS18" s="15" t="n">
        <f aca="false">SUM(M18:R18)*(Ipotesi!$C$85+Ipotesi!$C$86)/12</f>
        <v>2625</v>
      </c>
      <c r="BT18" s="15" t="n">
        <f aca="false">BI18*Ipotesi!$C$87</f>
        <v>612.778350057543</v>
      </c>
      <c r="BU18" s="15" t="n">
        <f aca="false">INDEX(Ipotesi!$C$55:$G$55,1,F18)*K18/12</f>
        <v>1000</v>
      </c>
      <c r="BV18" s="15" t="n">
        <f aca="false">INDEX(Ipotesi!$C$80:$G$80,1,F18)/12*Ipotesi!C126</f>
        <v>833.333333333333</v>
      </c>
      <c r="BW18" s="15" t="n">
        <f aca="false">INDEX(Ipotesi!$C$82:$G$82,1,F18)/12</f>
        <v>666.666666666667</v>
      </c>
      <c r="BX18" s="15" t="n">
        <f aca="false">INDEX(Ipotesi!$C$83:$G$83,1,F18)/12</f>
        <v>583.333333333333</v>
      </c>
      <c r="BY18" s="15" t="n">
        <f aca="false">SUM(S18:U18)*(Ipotesi!$C$85+Ipotesi!$C$86)/12</f>
        <v>1166.66666666667</v>
      </c>
      <c r="BZ18" s="15" t="n">
        <f aca="false">AM18*Ipotesi!$C$87</f>
        <v>881.25</v>
      </c>
      <c r="CA18" s="15" t="n">
        <f aca="false">AB18+BJ18+BL18+BN18+BO18+AR18+BP18+BQ18+BR18+BS18+BT18</f>
        <v>56574.8406336019</v>
      </c>
      <c r="CB18" s="15" t="n">
        <f aca="false">AC18+BK18+BM18+BH18+BU18+BV18+AS18+BW18+BX18+BY18+BZ18</f>
        <v>28148.3333333333</v>
      </c>
      <c r="CC18" s="15" t="n">
        <f aca="false">BI18-CA18</f>
        <v>-36148.8956316838</v>
      </c>
      <c r="CD18" s="15" t="n">
        <f aca="false">AM18-CB18</f>
        <v>1226.66666666667</v>
      </c>
      <c r="CE18" s="15" t="n">
        <f aca="false">INDEX(Ipotesi!$C$79:$G$79,1,F18)/12</f>
        <v>2083.33333333333</v>
      </c>
      <c r="CF18" s="15" t="n">
        <f aca="false">INDEX(Ipotesi!$C$84:$G$84,1,F18)/12</f>
        <v>416.666666666667</v>
      </c>
      <c r="CG18" s="15" t="n">
        <f aca="false">Y18*MAX(0,Parametri_v3!$C$12-IF(P18=0,0,MIN(1,BE18/(P18*Parametri_v3!$C$22))))+W18*Parametri_v3!$C$13+X18*Parametri_v3!$C$14</f>
        <v>15691.5528101697</v>
      </c>
      <c r="CH18" s="15" t="n">
        <f aca="false">AB18*Parametri_v3!$C$32</f>
        <v>1988.125</v>
      </c>
      <c r="CI18" s="15" t="n">
        <f aca="false">AC18*Parametri_v3!$C$32</f>
        <v>798.25</v>
      </c>
      <c r="CJ18" s="15" t="n">
        <f aca="false">CA18-AB18</f>
        <v>16812.3406336019</v>
      </c>
      <c r="CK18" s="15" t="n">
        <f aca="false">CB18-AC18-BH18</f>
        <v>9245.83333333333</v>
      </c>
      <c r="CL18" s="15" t="n">
        <f aca="false">BF18*Ipotesi!$C$73+INDEX(Ipotesi!$C$72:$G$72,1,F18)/12*Ipotesi!C126*Parametri_v3!$C$58+Z18*(1-Parametri_v3!$C$16)</f>
        <v>3104.70060015345</v>
      </c>
      <c r="CM18" s="16" t="n">
        <f aca="false">IF(BF18=0,0,1-CL18/BF18)</f>
        <v>-1.13060063757198</v>
      </c>
    </row>
    <row r="19" customFormat="false" ht="18" hidden="false" customHeight="true" outlineLevel="0" collapsed="false">
      <c r="A19" s="68" t="n">
        <f aca="false">1</f>
        <v>1</v>
      </c>
      <c r="B19" s="68" t="n">
        <f aca="false">15</f>
        <v>15</v>
      </c>
      <c r="C19" s="18" t="n">
        <f aca="false">EDATE(Parametri_v3!$C$5,15-1)</f>
        <v>46813</v>
      </c>
      <c r="D19" s="68" t="n">
        <f aca="false">YEAR(C19)</f>
        <v>2028</v>
      </c>
      <c r="E19" s="68" t="n">
        <f aca="false">MONTH(C19)</f>
        <v>3</v>
      </c>
      <c r="F19" s="68" t="n">
        <f aca="false">INT((15-1)/12)+1</f>
        <v>2</v>
      </c>
      <c r="G19" s="15" t="n">
        <f aca="false">Ipotesi!C7</f>
        <v>0.75</v>
      </c>
      <c r="H19" s="15" t="n">
        <f aca="false">Ipotesi!C9</f>
        <v>1</v>
      </c>
      <c r="I19" s="15" t="n">
        <f aca="false">Ipotesi!C10</f>
        <v>1</v>
      </c>
      <c r="J19" s="15" t="n">
        <f aca="false">Ipotesi!C11</f>
        <v>1</v>
      </c>
      <c r="K19" s="15" t="n">
        <f aca="false">Ipotesi!C12</f>
        <v>1</v>
      </c>
      <c r="L19" s="15" t="n">
        <f aca="false">Ipotesi!C13</f>
        <v>90</v>
      </c>
      <c r="M19" s="17" t="n">
        <f aca="false">INDEX(Ipotesi!$C$40:$G$40,1,F19)</f>
        <v>1</v>
      </c>
      <c r="N19" s="17" t="n">
        <f aca="false">INDEX(Ipotesi!$C$41:$G$41,1,F19)</f>
        <v>1</v>
      </c>
      <c r="O19" s="17" t="n">
        <f aca="false">INDEX(Ipotesi!$C$42:$G$42,1,F19)*Ipotesi!C125</f>
        <v>2.5</v>
      </c>
      <c r="P19" s="17" t="n">
        <f aca="false">INDEX(Ipotesi!$C$43:$G$43,1,F19)*I19</f>
        <v>2.5</v>
      </c>
      <c r="Q19" s="17" t="n">
        <f aca="false">INDEX(Ipotesi!$C$44:$G$44,1,F19)*I19</f>
        <v>1.5</v>
      </c>
      <c r="R19" s="17" t="n">
        <f aca="false">INDEX(Ipotesi!$C$45:$G$45,1,F19)*I19</f>
        <v>0.5</v>
      </c>
      <c r="S19" s="17" t="n">
        <f aca="false">INDEX(Ipotesi!$C$52:$G$52,1,F19)*Ipotesi!C125</f>
        <v>3</v>
      </c>
      <c r="T19" s="17" t="n">
        <f aca="false">INDEX(Ipotesi!$C$53:$G$53,1,F19)*I19</f>
        <v>1</v>
      </c>
      <c r="U19" s="17" t="n">
        <f aca="false">INDEX(Ipotesi!$C$54:$G$54,1,F19)*I19</f>
        <v>0</v>
      </c>
      <c r="V19" s="15" t="n">
        <f aca="false">M19*INDEX(Ipotesi!$C$58:$G$58,1,F19)*K19/12</f>
        <v>5000</v>
      </c>
      <c r="W19" s="15" t="n">
        <f aca="false">N19*Ipotesi!$C$59*(1+Ipotesi!$C$66)^(F19-1)/12</f>
        <v>6008.33333333333</v>
      </c>
      <c r="X19" s="15" t="n">
        <f aca="false">O19*Ipotesi!$C$60*(1+Ipotesi!$C$66)^(F19-1)/12</f>
        <v>10729.1666666667</v>
      </c>
      <c r="Y19" s="15" t="n">
        <f aca="false">P19*Ipotesi!$C$61*(1+Ipotesi!$C$66)^(F19-1)/12</f>
        <v>10729.1666666667</v>
      </c>
      <c r="Z19" s="15" t="n">
        <f aca="false">Q19*Ipotesi!$C$62*(1+Ipotesi!$C$66)^(F19-1)/12</f>
        <v>5793.75</v>
      </c>
      <c r="AA19" s="15" t="n">
        <f aca="false">R19*Ipotesi!$C$63*(1+Ipotesi!$C$66)^(F19-1)/12</f>
        <v>1502.08333333333</v>
      </c>
      <c r="AB19" s="15" t="n">
        <f aca="false">SUM(V19:AA19)</f>
        <v>39762.5</v>
      </c>
      <c r="AC19" s="15" t="n">
        <f aca="false">(S19*Ipotesi!$C$64+T19*Ipotesi!$C$65+U19*Ipotesi!$C$63)*(1+Ipotesi!$C$66)^(F19-1)/12</f>
        <v>15965</v>
      </c>
      <c r="AD19" s="15" t="n">
        <f aca="false">INDEX(Ipotesi!$C$48:$G$48,1,F19)*G19/12</f>
        <v>28.125</v>
      </c>
      <c r="AE19" s="15" t="n">
        <f aca="false">INDEX(Ipotesi!$C$50:$G$50,1,F19)*G19/12</f>
        <v>3.4375</v>
      </c>
      <c r="AF19" s="15" t="n">
        <f aca="false">(S19*Parametri_v3!$C$7*Parametri_v3!$C$8+Parametri_v3!$C$10)/12</f>
        <v>38.5</v>
      </c>
      <c r="AG19" s="15" t="n">
        <f aca="false">AD19+AE19*(1+Parametri_v3!$C$9)</f>
        <v>33.28125</v>
      </c>
      <c r="AH19" s="16" t="n">
        <f aca="false">IF(AG19=0,1,MIN(1,AF19/AG19))</f>
        <v>1</v>
      </c>
      <c r="AI19" s="15" t="n">
        <f aca="false">AD19*AH19</f>
        <v>28.125</v>
      </c>
      <c r="AJ19" s="15" t="n">
        <f aca="false">AE19*AH19</f>
        <v>3.4375</v>
      </c>
      <c r="AK19" s="15" t="n">
        <f aca="false">AI19*INDEX(Ipotesi!$C$49:$G$49,1,F19)*H19</f>
        <v>22500</v>
      </c>
      <c r="AL19" s="15" t="n">
        <f aca="false">AJ19*INDEX(Ipotesi!$C$51:$G$51,1,F19)*H19</f>
        <v>6875</v>
      </c>
      <c r="AM19" s="15" t="n">
        <f aca="false">AK19+AL19</f>
        <v>29375</v>
      </c>
      <c r="AN19" s="15" t="n">
        <f aca="false">INDEX(Ipotesi!$C$30:$G$30,1,F19)*G19/12</f>
        <v>16.875</v>
      </c>
      <c r="AO19" s="15" t="n">
        <f aca="false">O19*Parametri_v3!$C$7*Parametri_v3!$C$11*(1-Parametri_v3!$C$14)/12</f>
        <v>25.6666666666667</v>
      </c>
      <c r="AP19" s="15" t="n">
        <f aca="false">MIN(AN19,AO19)</f>
        <v>16.875</v>
      </c>
      <c r="AQ19" s="15" t="n">
        <f aca="false">AP19*INDEX(Ipotesi!$C$31:$G$31,1,F19)*H19</f>
        <v>16031.25</v>
      </c>
      <c r="AR19" s="15" t="n">
        <f aca="false">INDEX(Ipotesi!$C$75:$G$75,1,F19)*J19/12</f>
        <v>4583.33333333333</v>
      </c>
      <c r="AS19" s="15" t="n">
        <f aca="false">INDEX(Ipotesi!$C$81:$G$81,1,F19)*J19/12</f>
        <v>833.333333333333</v>
      </c>
      <c r="AT19" s="15" t="n">
        <f aca="false">AR19*Parametri_v3!$C$15+Z19*Parametri_v3!$C$16</f>
        <v>8638.95833333333</v>
      </c>
      <c r="AU19" s="15" t="n">
        <f aca="false">Q19*Parametri_v3!$C$16*Parametri_v3!$C$17</f>
        <v>105</v>
      </c>
      <c r="AV19" s="17" t="n">
        <f aca="false">BD18</f>
        <v>4.82610780733576</v>
      </c>
      <c r="AW19" s="17" t="n">
        <f aca="false">AV19*(1-(1-INDEX(Ipotesi!$C$34:$G$34,1,F19))^(1/12))</f>
        <v>0.0421879568771536</v>
      </c>
      <c r="AX19" s="15" t="n">
        <f aca="false">ROUND(INDEX(Ipotesi!$C$32:$G$32,1,F19)*Ipotesi!C8,0)</f>
        <v>21</v>
      </c>
      <c r="AY19" s="15" t="n">
        <f aca="false">MAX(0,(AX19-(AV19-AW19))/(13-E19))</f>
        <v>1.62160801495414</v>
      </c>
      <c r="AZ19" s="15" t="n">
        <f aca="false">MIN(P19*Parametri_v3!$C$22,Q19*(1-Parametri_v3!$C$16)*Parametri_v3!$C$23)</f>
        <v>67.5</v>
      </c>
      <c r="BA19" s="15" t="n">
        <f aca="false">IF(OR(INDEX(Ipotesi!$C$35:$G$35,1,F19)&lt;=0,15-Parametri_v3!$C$21&lt;1),0,INDEX($AT$5:$AT$64,MAX(1,15-Parametri_v3!$C$21))/(INDEX(Ipotesi!$C$35:$G$35,1,F19)*Ipotesi!C27))</f>
        <v>0.943287037037037</v>
      </c>
      <c r="BB19" s="15" t="n">
        <f aca="false">IF(15-Parametri_v3!$C$21&lt;1,0,INDEX($AU$5:$AU$64,MAX(1,15-Parametri_v3!$C$21)))*Parametri_v3!$C$18*Parametri_v3!$C$19*Parametri_v3!$C$20</f>
        <v>1.3125</v>
      </c>
      <c r="BC19" s="17" t="n">
        <f aca="false">MAX(0,MIN(AY19,BA19,BB19,MAX(0,AZ19-(AV19-AW19))))</f>
        <v>0.943287037037037</v>
      </c>
      <c r="BD19" s="17" t="n">
        <f aca="false">AV19-AW19+BC19</f>
        <v>5.72720688749564</v>
      </c>
      <c r="BE19" s="17" t="n">
        <f aca="false">(AV19+BD19)/2</f>
        <v>5.2766573474157</v>
      </c>
      <c r="BF19" s="15" t="n">
        <f aca="false">BE19*INDEX(Ipotesi!$C$33:$G$33,1,F19)*H19/12</f>
        <v>1758.8857824719</v>
      </c>
      <c r="BG19" s="15" t="n">
        <f aca="false">BD19*INDEX(Ipotesi!$C$33:$G$33,1,F19)*H19</f>
        <v>22908.8275499826</v>
      </c>
      <c r="BH19" s="15" t="n">
        <f aca="false">AM19*INDEX(Ipotesi!$C$37:$G$37,1,F19)</f>
        <v>2937.5</v>
      </c>
      <c r="BI19" s="15" t="n">
        <f aca="false">AQ19+BF19+BH19</f>
        <v>20727.6357824719</v>
      </c>
      <c r="BJ19" s="15" t="n">
        <f aca="false">INDEX(Ipotesi!$C$68:$G$68,1,F19)*Ipotesi!$C$69/12</f>
        <v>1600</v>
      </c>
      <c r="BK19" s="15" t="n">
        <f aca="false">INDEX(Ipotesi!$C$68:$G$68,1,F19)*(1-Ipotesi!$C$69)/12</f>
        <v>2400</v>
      </c>
      <c r="BL19" s="15" t="n">
        <f aca="false">(AQ19+BF19)*Ipotesi!$C$67</f>
        <v>533.704073474157</v>
      </c>
      <c r="BM19" s="15" t="n">
        <f aca="false">AM19*Ipotesi!$C$67</f>
        <v>881.25</v>
      </c>
      <c r="BN19" s="15" t="n">
        <f aca="false">INDEX(Ipotesi!$C$72:$G$72,1,F19)/12*Ipotesi!C126+BF19*Ipotesi!$C$73</f>
        <v>1390.71086259775</v>
      </c>
      <c r="BO19" s="15" t="n">
        <f aca="false">INDEX(Ipotesi!$C$74:$G$74,1,F19)/12*Ipotesi!C126</f>
        <v>1833.33333333333</v>
      </c>
      <c r="BP19" s="15" t="n">
        <f aca="false">INDEX(Ipotesi!$C$76:$G$76,1,F19)/12</f>
        <v>750</v>
      </c>
      <c r="BQ19" s="15" t="n">
        <f aca="false">INDEX(Ipotesi!$C$77:$G$77,1,F19)/12*Ipotesi!C126</f>
        <v>1666.66666666667</v>
      </c>
      <c r="BR19" s="15" t="n">
        <f aca="false">INDEX(Ipotesi!$C$78:$G$78,1,F19)/12</f>
        <v>1250</v>
      </c>
      <c r="BS19" s="15" t="n">
        <f aca="false">SUM(M19:R19)*(Ipotesi!$C$85+Ipotesi!$C$86)/12</f>
        <v>2625</v>
      </c>
      <c r="BT19" s="15" t="n">
        <f aca="false">BI19*Ipotesi!$C$87</f>
        <v>621.829073474157</v>
      </c>
      <c r="BU19" s="15" t="n">
        <f aca="false">INDEX(Ipotesi!$C$55:$G$55,1,F19)*K19/12</f>
        <v>1000</v>
      </c>
      <c r="BV19" s="15" t="n">
        <f aca="false">INDEX(Ipotesi!$C$80:$G$80,1,F19)/12*Ipotesi!C126</f>
        <v>833.333333333333</v>
      </c>
      <c r="BW19" s="15" t="n">
        <f aca="false">INDEX(Ipotesi!$C$82:$G$82,1,F19)/12</f>
        <v>666.666666666667</v>
      </c>
      <c r="BX19" s="15" t="n">
        <f aca="false">INDEX(Ipotesi!$C$83:$G$83,1,F19)/12</f>
        <v>583.333333333333</v>
      </c>
      <c r="BY19" s="15" t="n">
        <f aca="false">SUM(S19:U19)*(Ipotesi!$C$85+Ipotesi!$C$86)/12</f>
        <v>1166.66666666667</v>
      </c>
      <c r="BZ19" s="15" t="n">
        <f aca="false">AM19*Ipotesi!$C$87</f>
        <v>881.25</v>
      </c>
      <c r="CA19" s="15" t="n">
        <f aca="false">AB19+BJ19+BL19+BN19+BO19+AR19+BP19+BQ19+BR19+BS19+BT19</f>
        <v>56617.0773428794</v>
      </c>
      <c r="CB19" s="15" t="n">
        <f aca="false">AC19+BK19+BM19+BH19+BU19+BV19+AS19+BW19+BX19+BY19+BZ19</f>
        <v>28148.3333333333</v>
      </c>
      <c r="CC19" s="15" t="n">
        <f aca="false">BI19-CA19</f>
        <v>-35889.4415604075</v>
      </c>
      <c r="CD19" s="15" t="n">
        <f aca="false">AM19-CB19</f>
        <v>1226.66666666667</v>
      </c>
      <c r="CE19" s="15" t="n">
        <f aca="false">INDEX(Ipotesi!$C$79:$G$79,1,F19)/12</f>
        <v>2083.33333333333</v>
      </c>
      <c r="CF19" s="15" t="n">
        <f aca="false">INDEX(Ipotesi!$C$84:$G$84,1,F19)/12</f>
        <v>416.666666666667</v>
      </c>
      <c r="CG19" s="15" t="n">
        <f aca="false">Y19*MAX(0,Parametri_v3!$C$12-IF(P19=0,0,MIN(1,BE19/(P19*Parametri_v3!$C$22))))+W19*Parametri_v3!$C$13+X19*Parametri_v3!$C$14</f>
        <v>15652.7101221734</v>
      </c>
      <c r="CH19" s="15" t="n">
        <f aca="false">AB19*Parametri_v3!$C$32</f>
        <v>1988.125</v>
      </c>
      <c r="CI19" s="15" t="n">
        <f aca="false">AC19*Parametri_v3!$C$32</f>
        <v>798.25</v>
      </c>
      <c r="CJ19" s="15" t="n">
        <f aca="false">CA19-AB19</f>
        <v>16854.5773428794</v>
      </c>
      <c r="CK19" s="15" t="n">
        <f aca="false">CB19-AC19-BH19</f>
        <v>9245.83333333333</v>
      </c>
      <c r="CL19" s="15" t="n">
        <f aca="false">BF19*Ipotesi!$C$73+INDEX(Ipotesi!$C$72:$G$72,1,F19)/12*Ipotesi!C126*Parametri_v3!$C$58+Z19*(1-Parametri_v3!$C$16)</f>
        <v>3128.83586259775</v>
      </c>
      <c r="CM19" s="16" t="n">
        <f aca="false">IF(BF19=0,0,1-CL19/BF19)</f>
        <v>-0.778873815331291</v>
      </c>
    </row>
    <row r="20" customFormat="false" ht="18" hidden="false" customHeight="true" outlineLevel="0" collapsed="false">
      <c r="A20" s="68" t="n">
        <f aca="false">1</f>
        <v>1</v>
      </c>
      <c r="B20" s="68" t="n">
        <f aca="false">16</f>
        <v>16</v>
      </c>
      <c r="C20" s="18" t="n">
        <f aca="false">EDATE(Parametri_v3!$C$5,16-1)</f>
        <v>46844</v>
      </c>
      <c r="D20" s="68" t="n">
        <f aca="false">YEAR(C20)</f>
        <v>2028</v>
      </c>
      <c r="E20" s="68" t="n">
        <f aca="false">MONTH(C20)</f>
        <v>4</v>
      </c>
      <c r="F20" s="68" t="n">
        <f aca="false">INT((16-1)/12)+1</f>
        <v>2</v>
      </c>
      <c r="G20" s="15" t="n">
        <f aca="false">Ipotesi!C7</f>
        <v>0.75</v>
      </c>
      <c r="H20" s="15" t="n">
        <f aca="false">Ipotesi!C9</f>
        <v>1</v>
      </c>
      <c r="I20" s="15" t="n">
        <f aca="false">Ipotesi!C10</f>
        <v>1</v>
      </c>
      <c r="J20" s="15" t="n">
        <f aca="false">Ipotesi!C11</f>
        <v>1</v>
      </c>
      <c r="K20" s="15" t="n">
        <f aca="false">Ipotesi!C12</f>
        <v>1</v>
      </c>
      <c r="L20" s="15" t="n">
        <f aca="false">Ipotesi!C13</f>
        <v>90</v>
      </c>
      <c r="M20" s="17" t="n">
        <f aca="false">INDEX(Ipotesi!$C$40:$G$40,1,F20)</f>
        <v>1</v>
      </c>
      <c r="N20" s="17" t="n">
        <f aca="false">INDEX(Ipotesi!$C$41:$G$41,1,F20)</f>
        <v>1</v>
      </c>
      <c r="O20" s="17" t="n">
        <f aca="false">INDEX(Ipotesi!$C$42:$G$42,1,F20)*Ipotesi!C125</f>
        <v>2.5</v>
      </c>
      <c r="P20" s="17" t="n">
        <f aca="false">INDEX(Ipotesi!$C$43:$G$43,1,F20)*I20</f>
        <v>2.5</v>
      </c>
      <c r="Q20" s="17" t="n">
        <f aca="false">INDEX(Ipotesi!$C$44:$G$44,1,F20)*I20</f>
        <v>1.5</v>
      </c>
      <c r="R20" s="17" t="n">
        <f aca="false">INDEX(Ipotesi!$C$45:$G$45,1,F20)*I20</f>
        <v>0.5</v>
      </c>
      <c r="S20" s="17" t="n">
        <f aca="false">INDEX(Ipotesi!$C$52:$G$52,1,F20)*Ipotesi!C125</f>
        <v>3</v>
      </c>
      <c r="T20" s="17" t="n">
        <f aca="false">INDEX(Ipotesi!$C$53:$G$53,1,F20)*I20</f>
        <v>1</v>
      </c>
      <c r="U20" s="17" t="n">
        <f aca="false">INDEX(Ipotesi!$C$54:$G$54,1,F20)*I20</f>
        <v>0</v>
      </c>
      <c r="V20" s="15" t="n">
        <f aca="false">M20*INDEX(Ipotesi!$C$58:$G$58,1,F20)*K20/12</f>
        <v>5000</v>
      </c>
      <c r="W20" s="15" t="n">
        <f aca="false">N20*Ipotesi!$C$59*(1+Ipotesi!$C$66)^(F20-1)/12</f>
        <v>6008.33333333333</v>
      </c>
      <c r="X20" s="15" t="n">
        <f aca="false">O20*Ipotesi!$C$60*(1+Ipotesi!$C$66)^(F20-1)/12</f>
        <v>10729.1666666667</v>
      </c>
      <c r="Y20" s="15" t="n">
        <f aca="false">P20*Ipotesi!$C$61*(1+Ipotesi!$C$66)^(F20-1)/12</f>
        <v>10729.1666666667</v>
      </c>
      <c r="Z20" s="15" t="n">
        <f aca="false">Q20*Ipotesi!$C$62*(1+Ipotesi!$C$66)^(F20-1)/12</f>
        <v>5793.75</v>
      </c>
      <c r="AA20" s="15" t="n">
        <f aca="false">R20*Ipotesi!$C$63*(1+Ipotesi!$C$66)^(F20-1)/12</f>
        <v>1502.08333333333</v>
      </c>
      <c r="AB20" s="15" t="n">
        <f aca="false">SUM(V20:AA20)</f>
        <v>39762.5</v>
      </c>
      <c r="AC20" s="15" t="n">
        <f aca="false">(S20*Ipotesi!$C$64+T20*Ipotesi!$C$65+U20*Ipotesi!$C$63)*(1+Ipotesi!$C$66)^(F20-1)/12</f>
        <v>15965</v>
      </c>
      <c r="AD20" s="15" t="n">
        <f aca="false">INDEX(Ipotesi!$C$48:$G$48,1,F20)*G20/12</f>
        <v>28.125</v>
      </c>
      <c r="AE20" s="15" t="n">
        <f aca="false">INDEX(Ipotesi!$C$50:$G$50,1,F20)*G20/12</f>
        <v>3.4375</v>
      </c>
      <c r="AF20" s="15" t="n">
        <f aca="false">(S20*Parametri_v3!$C$7*Parametri_v3!$C$8+Parametri_v3!$C$10)/12</f>
        <v>38.5</v>
      </c>
      <c r="AG20" s="15" t="n">
        <f aca="false">AD20+AE20*(1+Parametri_v3!$C$9)</f>
        <v>33.28125</v>
      </c>
      <c r="AH20" s="16" t="n">
        <f aca="false">IF(AG20=0,1,MIN(1,AF20/AG20))</f>
        <v>1</v>
      </c>
      <c r="AI20" s="15" t="n">
        <f aca="false">AD20*AH20</f>
        <v>28.125</v>
      </c>
      <c r="AJ20" s="15" t="n">
        <f aca="false">AE20*AH20</f>
        <v>3.4375</v>
      </c>
      <c r="AK20" s="15" t="n">
        <f aca="false">AI20*INDEX(Ipotesi!$C$49:$G$49,1,F20)*H20</f>
        <v>22500</v>
      </c>
      <c r="AL20" s="15" t="n">
        <f aca="false">AJ20*INDEX(Ipotesi!$C$51:$G$51,1,F20)*H20</f>
        <v>6875</v>
      </c>
      <c r="AM20" s="15" t="n">
        <f aca="false">AK20+AL20</f>
        <v>29375</v>
      </c>
      <c r="AN20" s="15" t="n">
        <f aca="false">INDEX(Ipotesi!$C$30:$G$30,1,F20)*G20/12</f>
        <v>16.875</v>
      </c>
      <c r="AO20" s="15" t="n">
        <f aca="false">O20*Parametri_v3!$C$7*Parametri_v3!$C$11*(1-Parametri_v3!$C$14)/12</f>
        <v>25.6666666666667</v>
      </c>
      <c r="AP20" s="15" t="n">
        <f aca="false">MIN(AN20,AO20)</f>
        <v>16.875</v>
      </c>
      <c r="AQ20" s="15" t="n">
        <f aca="false">AP20*INDEX(Ipotesi!$C$31:$G$31,1,F20)*H20</f>
        <v>16031.25</v>
      </c>
      <c r="AR20" s="15" t="n">
        <f aca="false">INDEX(Ipotesi!$C$75:$G$75,1,F20)*J20/12</f>
        <v>4583.33333333333</v>
      </c>
      <c r="AS20" s="15" t="n">
        <f aca="false">INDEX(Ipotesi!$C$81:$G$81,1,F20)*J20/12</f>
        <v>833.333333333333</v>
      </c>
      <c r="AT20" s="15" t="n">
        <f aca="false">AR20*Parametri_v3!$C$15+Z20*Parametri_v3!$C$16</f>
        <v>8638.95833333333</v>
      </c>
      <c r="AU20" s="15" t="n">
        <f aca="false">Q20*Parametri_v3!$C$16*Parametri_v3!$C$17</f>
        <v>105</v>
      </c>
      <c r="AV20" s="17" t="n">
        <f aca="false">BD19</f>
        <v>5.72720688749564</v>
      </c>
      <c r="AW20" s="17" t="n">
        <f aca="false">AV20*(1-(1-INDEX(Ipotesi!$C$34:$G$34,1,F20))^(1/12))</f>
        <v>0.0500650144675464</v>
      </c>
      <c r="AX20" s="15" t="n">
        <f aca="false">ROUND(INDEX(Ipotesi!$C$32:$G$32,1,F20)*Ipotesi!C8,0)</f>
        <v>21</v>
      </c>
      <c r="AY20" s="15" t="n">
        <f aca="false">MAX(0,(AX20-(AV20-AW20))/(13-E20))</f>
        <v>1.70253979188577</v>
      </c>
      <c r="AZ20" s="15" t="n">
        <f aca="false">MIN(P20*Parametri_v3!$C$22,Q20*(1-Parametri_v3!$C$16)*Parametri_v3!$C$23)</f>
        <v>67.5</v>
      </c>
      <c r="BA20" s="15" t="n">
        <f aca="false">IF(OR(INDEX(Ipotesi!$C$35:$G$35,1,F20)&lt;=0,16-Parametri_v3!$C$21&lt;1),0,INDEX($AT$5:$AT$64,MAX(1,16-Parametri_v3!$C$21))/(INDEX(Ipotesi!$C$35:$G$35,1,F20)*Ipotesi!C27))</f>
        <v>2.39971064814815</v>
      </c>
      <c r="BB20" s="15" t="n">
        <f aca="false">IF(16-Parametri_v3!$C$21&lt;1,0,INDEX($AU$5:$AU$64,MAX(1,16-Parametri_v3!$C$21)))*Parametri_v3!$C$18*Parametri_v3!$C$19*Parametri_v3!$C$20</f>
        <v>3.9375</v>
      </c>
      <c r="BC20" s="17" t="n">
        <f aca="false">MAX(0,MIN(AY20,BA20,BB20,MAX(0,AZ20-(AV20-AW20))))</f>
        <v>1.70253979188577</v>
      </c>
      <c r="BD20" s="17" t="n">
        <f aca="false">AV20-AW20+BC20</f>
        <v>7.37968166491386</v>
      </c>
      <c r="BE20" s="17" t="n">
        <f aca="false">(AV20+BD20)/2</f>
        <v>6.55344427620475</v>
      </c>
      <c r="BF20" s="15" t="n">
        <f aca="false">BE20*INDEX(Ipotesi!$C$33:$G$33,1,F20)*H20/12</f>
        <v>2184.48142540158</v>
      </c>
      <c r="BG20" s="15" t="n">
        <f aca="false">BD20*INDEX(Ipotesi!$C$33:$G$33,1,F20)*H20</f>
        <v>29518.7266596555</v>
      </c>
      <c r="BH20" s="15" t="n">
        <f aca="false">AM20*INDEX(Ipotesi!$C$37:$G$37,1,F20)</f>
        <v>2937.5</v>
      </c>
      <c r="BI20" s="15" t="n">
        <f aca="false">AQ20+BF20+BH20</f>
        <v>21153.2314254016</v>
      </c>
      <c r="BJ20" s="15" t="n">
        <f aca="false">INDEX(Ipotesi!$C$68:$G$68,1,F20)*Ipotesi!$C$69/12</f>
        <v>1600</v>
      </c>
      <c r="BK20" s="15" t="n">
        <f aca="false">INDEX(Ipotesi!$C$68:$G$68,1,F20)*(1-Ipotesi!$C$69)/12</f>
        <v>2400</v>
      </c>
      <c r="BL20" s="15" t="n">
        <f aca="false">(AQ20+BF20)*Ipotesi!$C$67</f>
        <v>546.471942762048</v>
      </c>
      <c r="BM20" s="15" t="n">
        <f aca="false">AM20*Ipotesi!$C$67</f>
        <v>881.25</v>
      </c>
      <c r="BN20" s="15" t="n">
        <f aca="false">INDEX(Ipotesi!$C$72:$G$72,1,F20)/12*Ipotesi!C126+BF20*Ipotesi!$C$73</f>
        <v>1424.75851403213</v>
      </c>
      <c r="BO20" s="15" t="n">
        <f aca="false">INDEX(Ipotesi!$C$74:$G$74,1,F20)/12*Ipotesi!C126</f>
        <v>1833.33333333333</v>
      </c>
      <c r="BP20" s="15" t="n">
        <f aca="false">INDEX(Ipotesi!$C$76:$G$76,1,F20)/12</f>
        <v>750</v>
      </c>
      <c r="BQ20" s="15" t="n">
        <f aca="false">INDEX(Ipotesi!$C$77:$G$77,1,F20)/12*Ipotesi!C126</f>
        <v>1666.66666666667</v>
      </c>
      <c r="BR20" s="15" t="n">
        <f aca="false">INDEX(Ipotesi!$C$78:$G$78,1,F20)/12</f>
        <v>1250</v>
      </c>
      <c r="BS20" s="15" t="n">
        <f aca="false">SUM(M20:R20)*(Ipotesi!$C$85+Ipotesi!$C$86)/12</f>
        <v>2625</v>
      </c>
      <c r="BT20" s="15" t="n">
        <f aca="false">BI20*Ipotesi!$C$87</f>
        <v>634.596942762047</v>
      </c>
      <c r="BU20" s="15" t="n">
        <f aca="false">INDEX(Ipotesi!$C$55:$G$55,1,F20)*K20/12</f>
        <v>1000</v>
      </c>
      <c r="BV20" s="15" t="n">
        <f aca="false">INDEX(Ipotesi!$C$80:$G$80,1,F20)/12*Ipotesi!C126</f>
        <v>833.333333333333</v>
      </c>
      <c r="BW20" s="15" t="n">
        <f aca="false">INDEX(Ipotesi!$C$82:$G$82,1,F20)/12</f>
        <v>666.666666666667</v>
      </c>
      <c r="BX20" s="15" t="n">
        <f aca="false">INDEX(Ipotesi!$C$83:$G$83,1,F20)/12</f>
        <v>583.333333333333</v>
      </c>
      <c r="BY20" s="15" t="n">
        <f aca="false">SUM(S20:U20)*(Ipotesi!$C$85+Ipotesi!$C$86)/12</f>
        <v>1166.66666666667</v>
      </c>
      <c r="BZ20" s="15" t="n">
        <f aca="false">AM20*Ipotesi!$C$87</f>
        <v>881.25</v>
      </c>
      <c r="CA20" s="15" t="n">
        <f aca="false">AB20+BJ20+BL20+BN20+BO20+AR20+BP20+BQ20+BR20+BS20+BT20</f>
        <v>56676.6607328896</v>
      </c>
      <c r="CB20" s="15" t="n">
        <f aca="false">AC20+BK20+BM20+BH20+BU20+BV20+AS20+BW20+BX20+BY20+BZ20</f>
        <v>28148.3333333333</v>
      </c>
      <c r="CC20" s="15" t="n">
        <f aca="false">BI20-CA20</f>
        <v>-35523.429307488</v>
      </c>
      <c r="CD20" s="15" t="n">
        <f aca="false">AM20-CB20</f>
        <v>1226.66666666667</v>
      </c>
      <c r="CE20" s="15" t="n">
        <f aca="false">INDEX(Ipotesi!$C$79:$G$79,1,F20)/12</f>
        <v>2083.33333333333</v>
      </c>
      <c r="CF20" s="15" t="n">
        <f aca="false">INDEX(Ipotesi!$C$84:$G$84,1,F20)/12</f>
        <v>416.666666666667</v>
      </c>
      <c r="CG20" s="15" t="n">
        <f aca="false">Y20*MAX(0,Parametri_v3!$C$12-IF(P20=0,0,MIN(1,BE20/(P20*Parametri_v3!$C$22))))+W20*Parametri_v3!$C$13+X20*Parametri_v3!$C$14</f>
        <v>15597.9146831462</v>
      </c>
      <c r="CH20" s="15" t="n">
        <f aca="false">AB20*Parametri_v3!$C$32</f>
        <v>1988.125</v>
      </c>
      <c r="CI20" s="15" t="n">
        <f aca="false">AC20*Parametri_v3!$C$32</f>
        <v>798.25</v>
      </c>
      <c r="CJ20" s="15" t="n">
        <f aca="false">CA20-AB20</f>
        <v>16914.1607328895</v>
      </c>
      <c r="CK20" s="15" t="n">
        <f aca="false">CB20-AC20-BH20</f>
        <v>9245.83333333333</v>
      </c>
      <c r="CL20" s="15" t="n">
        <f aca="false">BF20*Ipotesi!$C$73+INDEX(Ipotesi!$C$72:$G$72,1,F20)/12*Ipotesi!C126*Parametri_v3!$C$58+Z20*(1-Parametri_v3!$C$16)</f>
        <v>3162.88351403213</v>
      </c>
      <c r="CM20" s="16" t="n">
        <f aca="false">IF(BF20=0,0,1-CL20/BF20)</f>
        <v>-0.447887575171612</v>
      </c>
    </row>
    <row r="21" customFormat="false" ht="18" hidden="false" customHeight="true" outlineLevel="0" collapsed="false">
      <c r="A21" s="68" t="n">
        <f aca="false">1</f>
        <v>1</v>
      </c>
      <c r="B21" s="68" t="n">
        <f aca="false">17</f>
        <v>17</v>
      </c>
      <c r="C21" s="18" t="n">
        <f aca="false">EDATE(Parametri_v3!$C$5,17-1)</f>
        <v>46874</v>
      </c>
      <c r="D21" s="68" t="n">
        <f aca="false">YEAR(C21)</f>
        <v>2028</v>
      </c>
      <c r="E21" s="68" t="n">
        <f aca="false">MONTH(C21)</f>
        <v>5</v>
      </c>
      <c r="F21" s="68" t="n">
        <f aca="false">INT((17-1)/12)+1</f>
        <v>2</v>
      </c>
      <c r="G21" s="15" t="n">
        <f aca="false">Ipotesi!C7</f>
        <v>0.75</v>
      </c>
      <c r="H21" s="15" t="n">
        <f aca="false">Ipotesi!C9</f>
        <v>1</v>
      </c>
      <c r="I21" s="15" t="n">
        <f aca="false">Ipotesi!C10</f>
        <v>1</v>
      </c>
      <c r="J21" s="15" t="n">
        <f aca="false">Ipotesi!C11</f>
        <v>1</v>
      </c>
      <c r="K21" s="15" t="n">
        <f aca="false">Ipotesi!C12</f>
        <v>1</v>
      </c>
      <c r="L21" s="15" t="n">
        <f aca="false">Ipotesi!C13</f>
        <v>90</v>
      </c>
      <c r="M21" s="17" t="n">
        <f aca="false">INDEX(Ipotesi!$C$40:$G$40,1,F21)</f>
        <v>1</v>
      </c>
      <c r="N21" s="17" t="n">
        <f aca="false">INDEX(Ipotesi!$C$41:$G$41,1,F21)</f>
        <v>1</v>
      </c>
      <c r="O21" s="17" t="n">
        <f aca="false">INDEX(Ipotesi!$C$42:$G$42,1,F21)*Ipotesi!C125</f>
        <v>2.5</v>
      </c>
      <c r="P21" s="17" t="n">
        <f aca="false">INDEX(Ipotesi!$C$43:$G$43,1,F21)*I21</f>
        <v>2.5</v>
      </c>
      <c r="Q21" s="17" t="n">
        <f aca="false">INDEX(Ipotesi!$C$44:$G$44,1,F21)*I21</f>
        <v>1.5</v>
      </c>
      <c r="R21" s="17" t="n">
        <f aca="false">INDEX(Ipotesi!$C$45:$G$45,1,F21)*I21</f>
        <v>0.5</v>
      </c>
      <c r="S21" s="17" t="n">
        <f aca="false">INDEX(Ipotesi!$C$52:$G$52,1,F21)*Ipotesi!C125</f>
        <v>3</v>
      </c>
      <c r="T21" s="17" t="n">
        <f aca="false">INDEX(Ipotesi!$C$53:$G$53,1,F21)*I21</f>
        <v>1</v>
      </c>
      <c r="U21" s="17" t="n">
        <f aca="false">INDEX(Ipotesi!$C$54:$G$54,1,F21)*I21</f>
        <v>0</v>
      </c>
      <c r="V21" s="15" t="n">
        <f aca="false">M21*INDEX(Ipotesi!$C$58:$G$58,1,F21)*K21/12</f>
        <v>5000</v>
      </c>
      <c r="W21" s="15" t="n">
        <f aca="false">N21*Ipotesi!$C$59*(1+Ipotesi!$C$66)^(F21-1)/12</f>
        <v>6008.33333333333</v>
      </c>
      <c r="X21" s="15" t="n">
        <f aca="false">O21*Ipotesi!$C$60*(1+Ipotesi!$C$66)^(F21-1)/12</f>
        <v>10729.1666666667</v>
      </c>
      <c r="Y21" s="15" t="n">
        <f aca="false">P21*Ipotesi!$C$61*(1+Ipotesi!$C$66)^(F21-1)/12</f>
        <v>10729.1666666667</v>
      </c>
      <c r="Z21" s="15" t="n">
        <f aca="false">Q21*Ipotesi!$C$62*(1+Ipotesi!$C$66)^(F21-1)/12</f>
        <v>5793.75</v>
      </c>
      <c r="AA21" s="15" t="n">
        <f aca="false">R21*Ipotesi!$C$63*(1+Ipotesi!$C$66)^(F21-1)/12</f>
        <v>1502.08333333333</v>
      </c>
      <c r="AB21" s="15" t="n">
        <f aca="false">SUM(V21:AA21)</f>
        <v>39762.5</v>
      </c>
      <c r="AC21" s="15" t="n">
        <f aca="false">(S21*Ipotesi!$C$64+T21*Ipotesi!$C$65+U21*Ipotesi!$C$63)*(1+Ipotesi!$C$66)^(F21-1)/12</f>
        <v>15965</v>
      </c>
      <c r="AD21" s="15" t="n">
        <f aca="false">INDEX(Ipotesi!$C$48:$G$48,1,F21)*G21/12</f>
        <v>28.125</v>
      </c>
      <c r="AE21" s="15" t="n">
        <f aca="false">INDEX(Ipotesi!$C$50:$G$50,1,F21)*G21/12</f>
        <v>3.4375</v>
      </c>
      <c r="AF21" s="15" t="n">
        <f aca="false">(S21*Parametri_v3!$C$7*Parametri_v3!$C$8+Parametri_v3!$C$10)/12</f>
        <v>38.5</v>
      </c>
      <c r="AG21" s="15" t="n">
        <f aca="false">AD21+AE21*(1+Parametri_v3!$C$9)</f>
        <v>33.28125</v>
      </c>
      <c r="AH21" s="16" t="n">
        <f aca="false">IF(AG21=0,1,MIN(1,AF21/AG21))</f>
        <v>1</v>
      </c>
      <c r="AI21" s="15" t="n">
        <f aca="false">AD21*AH21</f>
        <v>28.125</v>
      </c>
      <c r="AJ21" s="15" t="n">
        <f aca="false">AE21*AH21</f>
        <v>3.4375</v>
      </c>
      <c r="AK21" s="15" t="n">
        <f aca="false">AI21*INDEX(Ipotesi!$C$49:$G$49,1,F21)*H21</f>
        <v>22500</v>
      </c>
      <c r="AL21" s="15" t="n">
        <f aca="false">AJ21*INDEX(Ipotesi!$C$51:$G$51,1,F21)*H21</f>
        <v>6875</v>
      </c>
      <c r="AM21" s="15" t="n">
        <f aca="false">AK21+AL21</f>
        <v>29375</v>
      </c>
      <c r="AN21" s="15" t="n">
        <f aca="false">INDEX(Ipotesi!$C$30:$G$30,1,F21)*G21/12</f>
        <v>16.875</v>
      </c>
      <c r="AO21" s="15" t="n">
        <f aca="false">O21*Parametri_v3!$C$7*Parametri_v3!$C$11*(1-Parametri_v3!$C$14)/12</f>
        <v>25.6666666666667</v>
      </c>
      <c r="AP21" s="15" t="n">
        <f aca="false">MIN(AN21,AO21)</f>
        <v>16.875</v>
      </c>
      <c r="AQ21" s="15" t="n">
        <f aca="false">AP21*INDEX(Ipotesi!$C$31:$G$31,1,F21)*H21</f>
        <v>16031.25</v>
      </c>
      <c r="AR21" s="15" t="n">
        <f aca="false">INDEX(Ipotesi!$C$75:$G$75,1,F21)*J21/12</f>
        <v>4583.33333333333</v>
      </c>
      <c r="AS21" s="15" t="n">
        <f aca="false">INDEX(Ipotesi!$C$81:$G$81,1,F21)*J21/12</f>
        <v>833.333333333333</v>
      </c>
      <c r="AT21" s="15" t="n">
        <f aca="false">AR21*Parametri_v3!$C$15+Z21*Parametri_v3!$C$16</f>
        <v>8638.95833333333</v>
      </c>
      <c r="AU21" s="15" t="n">
        <f aca="false">Q21*Parametri_v3!$C$16*Parametri_v3!$C$17</f>
        <v>105</v>
      </c>
      <c r="AV21" s="17" t="n">
        <f aca="false">BD20</f>
        <v>7.37968166491386</v>
      </c>
      <c r="AW21" s="17" t="n">
        <f aca="false">AV21*(1-(1-INDEX(Ipotesi!$C$34:$G$34,1,F21))^(1/12))</f>
        <v>0.0645103060841856</v>
      </c>
      <c r="AX21" s="15" t="n">
        <f aca="false">ROUND(INDEX(Ipotesi!$C$32:$G$32,1,F21)*Ipotesi!C8,0)</f>
        <v>21</v>
      </c>
      <c r="AY21" s="15" t="n">
        <f aca="false">MAX(0,(AX21-(AV21-AW21))/(13-E21))</f>
        <v>1.71060358014629</v>
      </c>
      <c r="AZ21" s="15" t="n">
        <f aca="false">MIN(P21*Parametri_v3!$C$22,Q21*(1-Parametri_v3!$C$16)*Parametri_v3!$C$23)</f>
        <v>67.5</v>
      </c>
      <c r="BA21" s="15" t="n">
        <f aca="false">IF(OR(INDEX(Ipotesi!$C$35:$G$35,1,F21)&lt;=0,17-Parametri_v3!$C$21&lt;1),0,INDEX($AT$5:$AT$64,MAX(1,17-Parametri_v3!$C$21))/(INDEX(Ipotesi!$C$35:$G$35,1,F21)*Ipotesi!C27))</f>
        <v>2.39971064814815</v>
      </c>
      <c r="BB21" s="15" t="n">
        <f aca="false">IF(17-Parametri_v3!$C$21&lt;1,0,INDEX($AU$5:$AU$64,MAX(1,17-Parametri_v3!$C$21)))*Parametri_v3!$C$18*Parametri_v3!$C$19*Parametri_v3!$C$20</f>
        <v>3.9375</v>
      </c>
      <c r="BC21" s="17" t="n">
        <f aca="false">MAX(0,MIN(AY21,BA21,BB21,MAX(0,AZ21-(AV21-AW21))))</f>
        <v>1.71060358014629</v>
      </c>
      <c r="BD21" s="17" t="n">
        <f aca="false">AV21-AW21+BC21</f>
        <v>9.02577493897597</v>
      </c>
      <c r="BE21" s="17" t="n">
        <f aca="false">(AV21+BD21)/2</f>
        <v>8.20272830194492</v>
      </c>
      <c r="BF21" s="15" t="n">
        <f aca="false">BE21*INDEX(Ipotesi!$C$33:$G$33,1,F21)*H21/12</f>
        <v>2734.24276731497</v>
      </c>
      <c r="BG21" s="15" t="n">
        <f aca="false">BD21*INDEX(Ipotesi!$C$33:$G$33,1,F21)*H21</f>
        <v>36103.0997559039</v>
      </c>
      <c r="BH21" s="15" t="n">
        <f aca="false">AM21*INDEX(Ipotesi!$C$37:$G$37,1,F21)</f>
        <v>2937.5</v>
      </c>
      <c r="BI21" s="15" t="n">
        <f aca="false">AQ21+BF21+BH21</f>
        <v>21702.992767315</v>
      </c>
      <c r="BJ21" s="15" t="n">
        <f aca="false">INDEX(Ipotesi!$C$68:$G$68,1,F21)*Ipotesi!$C$69/12</f>
        <v>1600</v>
      </c>
      <c r="BK21" s="15" t="n">
        <f aca="false">INDEX(Ipotesi!$C$68:$G$68,1,F21)*(1-Ipotesi!$C$69)/12</f>
        <v>2400</v>
      </c>
      <c r="BL21" s="15" t="n">
        <f aca="false">(AQ21+BF21)*Ipotesi!$C$67</f>
        <v>562.964783019449</v>
      </c>
      <c r="BM21" s="15" t="n">
        <f aca="false">AM21*Ipotesi!$C$67</f>
        <v>881.25</v>
      </c>
      <c r="BN21" s="15" t="n">
        <f aca="false">INDEX(Ipotesi!$C$72:$G$72,1,F21)/12*Ipotesi!C126+BF21*Ipotesi!$C$73</f>
        <v>1468.7394213852</v>
      </c>
      <c r="BO21" s="15" t="n">
        <f aca="false">INDEX(Ipotesi!$C$74:$G$74,1,F21)/12*Ipotesi!C126</f>
        <v>1833.33333333333</v>
      </c>
      <c r="BP21" s="15" t="n">
        <f aca="false">INDEX(Ipotesi!$C$76:$G$76,1,F21)/12</f>
        <v>750</v>
      </c>
      <c r="BQ21" s="15" t="n">
        <f aca="false">INDEX(Ipotesi!$C$77:$G$77,1,F21)/12*Ipotesi!C126</f>
        <v>1666.66666666667</v>
      </c>
      <c r="BR21" s="15" t="n">
        <f aca="false">INDEX(Ipotesi!$C$78:$G$78,1,F21)/12</f>
        <v>1250</v>
      </c>
      <c r="BS21" s="15" t="n">
        <f aca="false">SUM(M21:R21)*(Ipotesi!$C$85+Ipotesi!$C$86)/12</f>
        <v>2625</v>
      </c>
      <c r="BT21" s="15" t="n">
        <f aca="false">BI21*Ipotesi!$C$87</f>
        <v>651.089783019449</v>
      </c>
      <c r="BU21" s="15" t="n">
        <f aca="false">INDEX(Ipotesi!$C$55:$G$55,1,F21)*K21/12</f>
        <v>1000</v>
      </c>
      <c r="BV21" s="15" t="n">
        <f aca="false">INDEX(Ipotesi!$C$80:$G$80,1,F21)/12*Ipotesi!C126</f>
        <v>833.333333333333</v>
      </c>
      <c r="BW21" s="15" t="n">
        <f aca="false">INDEX(Ipotesi!$C$82:$G$82,1,F21)/12</f>
        <v>666.666666666667</v>
      </c>
      <c r="BX21" s="15" t="n">
        <f aca="false">INDEX(Ipotesi!$C$83:$G$83,1,F21)/12</f>
        <v>583.333333333333</v>
      </c>
      <c r="BY21" s="15" t="n">
        <f aca="false">SUM(S21:U21)*(Ipotesi!$C$85+Ipotesi!$C$86)/12</f>
        <v>1166.66666666667</v>
      </c>
      <c r="BZ21" s="15" t="n">
        <f aca="false">AM21*Ipotesi!$C$87</f>
        <v>881.25</v>
      </c>
      <c r="CA21" s="15" t="n">
        <f aca="false">AB21+BJ21+BL21+BN21+BO21+AR21+BP21+BQ21+BR21+BS21+BT21</f>
        <v>56753.6273207574</v>
      </c>
      <c r="CB21" s="15" t="n">
        <f aca="false">AC21+BK21+BM21+BH21+BU21+BV21+AS21+BW21+BX21+BY21+BZ21</f>
        <v>28148.3333333333</v>
      </c>
      <c r="CC21" s="15" t="n">
        <f aca="false">BI21-CA21</f>
        <v>-35050.6345534425</v>
      </c>
      <c r="CD21" s="15" t="n">
        <f aca="false">AM21-CB21</f>
        <v>1226.66666666667</v>
      </c>
      <c r="CE21" s="15" t="n">
        <f aca="false">INDEX(Ipotesi!$C$79:$G$79,1,F21)/12</f>
        <v>2083.33333333333</v>
      </c>
      <c r="CF21" s="15" t="n">
        <f aca="false">INDEX(Ipotesi!$C$84:$G$84,1,F21)/12</f>
        <v>416.666666666667</v>
      </c>
      <c r="CG21" s="15" t="n">
        <f aca="false">Y21*MAX(0,Parametri_v3!$C$12-IF(P21=0,0,MIN(1,BE21/(P21*Parametri_v3!$C$22))))+W21*Parametri_v3!$C$13+X21*Parametri_v3!$C$14</f>
        <v>15527.1329103749</v>
      </c>
      <c r="CH21" s="15" t="n">
        <f aca="false">AB21*Parametri_v3!$C$32</f>
        <v>1988.125</v>
      </c>
      <c r="CI21" s="15" t="n">
        <f aca="false">AC21*Parametri_v3!$C$32</f>
        <v>798.25</v>
      </c>
      <c r="CJ21" s="15" t="n">
        <f aca="false">CA21-AB21</f>
        <v>16991.1273207574</v>
      </c>
      <c r="CK21" s="15" t="n">
        <f aca="false">CB21-AC21-BH21</f>
        <v>9245.83333333333</v>
      </c>
      <c r="CL21" s="15" t="n">
        <f aca="false">BF21*Ipotesi!$C$73+INDEX(Ipotesi!$C$72:$G$72,1,F21)/12*Ipotesi!C126*Parametri_v3!$C$58+Z21*(1-Parametri_v3!$C$16)</f>
        <v>3206.8644213852</v>
      </c>
      <c r="CM21" s="16" t="n">
        <f aca="false">IF(BF21=0,0,1-CL21/BF21)</f>
        <v>-0.172852849688377</v>
      </c>
    </row>
    <row r="22" customFormat="false" ht="18" hidden="false" customHeight="true" outlineLevel="0" collapsed="false">
      <c r="A22" s="68" t="n">
        <f aca="false">1</f>
        <v>1</v>
      </c>
      <c r="B22" s="68" t="n">
        <f aca="false">18</f>
        <v>18</v>
      </c>
      <c r="C22" s="18" t="n">
        <f aca="false">EDATE(Parametri_v3!$C$5,18-1)</f>
        <v>46905</v>
      </c>
      <c r="D22" s="68" t="n">
        <f aca="false">YEAR(C22)</f>
        <v>2028</v>
      </c>
      <c r="E22" s="68" t="n">
        <f aca="false">MONTH(C22)</f>
        <v>6</v>
      </c>
      <c r="F22" s="68" t="n">
        <f aca="false">INT((18-1)/12)+1</f>
        <v>2</v>
      </c>
      <c r="G22" s="15" t="n">
        <f aca="false">Ipotesi!C7</f>
        <v>0.75</v>
      </c>
      <c r="H22" s="15" t="n">
        <f aca="false">Ipotesi!C9</f>
        <v>1</v>
      </c>
      <c r="I22" s="15" t="n">
        <f aca="false">Ipotesi!C10</f>
        <v>1</v>
      </c>
      <c r="J22" s="15" t="n">
        <f aca="false">Ipotesi!C11</f>
        <v>1</v>
      </c>
      <c r="K22" s="15" t="n">
        <f aca="false">Ipotesi!C12</f>
        <v>1</v>
      </c>
      <c r="L22" s="15" t="n">
        <f aca="false">Ipotesi!C13</f>
        <v>90</v>
      </c>
      <c r="M22" s="17" t="n">
        <f aca="false">INDEX(Ipotesi!$C$40:$G$40,1,F22)</f>
        <v>1</v>
      </c>
      <c r="N22" s="17" t="n">
        <f aca="false">INDEX(Ipotesi!$C$41:$G$41,1,F22)</f>
        <v>1</v>
      </c>
      <c r="O22" s="17" t="n">
        <f aca="false">INDEX(Ipotesi!$C$42:$G$42,1,F22)*Ipotesi!C125</f>
        <v>2.5</v>
      </c>
      <c r="P22" s="17" t="n">
        <f aca="false">INDEX(Ipotesi!$C$43:$G$43,1,F22)*I22</f>
        <v>2.5</v>
      </c>
      <c r="Q22" s="17" t="n">
        <f aca="false">INDEX(Ipotesi!$C$44:$G$44,1,F22)*I22</f>
        <v>1.5</v>
      </c>
      <c r="R22" s="17" t="n">
        <f aca="false">INDEX(Ipotesi!$C$45:$G$45,1,F22)*I22</f>
        <v>0.5</v>
      </c>
      <c r="S22" s="17" t="n">
        <f aca="false">INDEX(Ipotesi!$C$52:$G$52,1,F22)*Ipotesi!C125</f>
        <v>3</v>
      </c>
      <c r="T22" s="17" t="n">
        <f aca="false">INDEX(Ipotesi!$C$53:$G$53,1,F22)*I22</f>
        <v>1</v>
      </c>
      <c r="U22" s="17" t="n">
        <f aca="false">INDEX(Ipotesi!$C$54:$G$54,1,F22)*I22</f>
        <v>0</v>
      </c>
      <c r="V22" s="15" t="n">
        <f aca="false">M22*INDEX(Ipotesi!$C$58:$G$58,1,F22)*K22/12</f>
        <v>5000</v>
      </c>
      <c r="W22" s="15" t="n">
        <f aca="false">N22*Ipotesi!$C$59*(1+Ipotesi!$C$66)^(F22-1)/12</f>
        <v>6008.33333333333</v>
      </c>
      <c r="X22" s="15" t="n">
        <f aca="false">O22*Ipotesi!$C$60*(1+Ipotesi!$C$66)^(F22-1)/12</f>
        <v>10729.1666666667</v>
      </c>
      <c r="Y22" s="15" t="n">
        <f aca="false">P22*Ipotesi!$C$61*(1+Ipotesi!$C$66)^(F22-1)/12</f>
        <v>10729.1666666667</v>
      </c>
      <c r="Z22" s="15" t="n">
        <f aca="false">Q22*Ipotesi!$C$62*(1+Ipotesi!$C$66)^(F22-1)/12</f>
        <v>5793.75</v>
      </c>
      <c r="AA22" s="15" t="n">
        <f aca="false">R22*Ipotesi!$C$63*(1+Ipotesi!$C$66)^(F22-1)/12</f>
        <v>1502.08333333333</v>
      </c>
      <c r="AB22" s="15" t="n">
        <f aca="false">SUM(V22:AA22)</f>
        <v>39762.5</v>
      </c>
      <c r="AC22" s="15" t="n">
        <f aca="false">(S22*Ipotesi!$C$64+T22*Ipotesi!$C$65+U22*Ipotesi!$C$63)*(1+Ipotesi!$C$66)^(F22-1)/12</f>
        <v>15965</v>
      </c>
      <c r="AD22" s="15" t="n">
        <f aca="false">INDEX(Ipotesi!$C$48:$G$48,1,F22)*G22/12</f>
        <v>28.125</v>
      </c>
      <c r="AE22" s="15" t="n">
        <f aca="false">INDEX(Ipotesi!$C$50:$G$50,1,F22)*G22/12</f>
        <v>3.4375</v>
      </c>
      <c r="AF22" s="15" t="n">
        <f aca="false">(S22*Parametri_v3!$C$7*Parametri_v3!$C$8+Parametri_v3!$C$10)/12</f>
        <v>38.5</v>
      </c>
      <c r="AG22" s="15" t="n">
        <f aca="false">AD22+AE22*(1+Parametri_v3!$C$9)</f>
        <v>33.28125</v>
      </c>
      <c r="AH22" s="16" t="n">
        <f aca="false">IF(AG22=0,1,MIN(1,AF22/AG22))</f>
        <v>1</v>
      </c>
      <c r="AI22" s="15" t="n">
        <f aca="false">AD22*AH22</f>
        <v>28.125</v>
      </c>
      <c r="AJ22" s="15" t="n">
        <f aca="false">AE22*AH22</f>
        <v>3.4375</v>
      </c>
      <c r="AK22" s="15" t="n">
        <f aca="false">AI22*INDEX(Ipotesi!$C$49:$G$49,1,F22)*H22</f>
        <v>22500</v>
      </c>
      <c r="AL22" s="15" t="n">
        <f aca="false">AJ22*INDEX(Ipotesi!$C$51:$G$51,1,F22)*H22</f>
        <v>6875</v>
      </c>
      <c r="AM22" s="15" t="n">
        <f aca="false">AK22+AL22</f>
        <v>29375</v>
      </c>
      <c r="AN22" s="15" t="n">
        <f aca="false">INDEX(Ipotesi!$C$30:$G$30,1,F22)*G22/12</f>
        <v>16.875</v>
      </c>
      <c r="AO22" s="15" t="n">
        <f aca="false">O22*Parametri_v3!$C$7*Parametri_v3!$C$11*(1-Parametri_v3!$C$14)/12</f>
        <v>25.6666666666667</v>
      </c>
      <c r="AP22" s="15" t="n">
        <f aca="false">MIN(AN22,AO22)</f>
        <v>16.875</v>
      </c>
      <c r="AQ22" s="15" t="n">
        <f aca="false">AP22*INDEX(Ipotesi!$C$31:$G$31,1,F22)*H22</f>
        <v>16031.25</v>
      </c>
      <c r="AR22" s="15" t="n">
        <f aca="false">INDEX(Ipotesi!$C$75:$G$75,1,F22)*J22/12</f>
        <v>4583.33333333333</v>
      </c>
      <c r="AS22" s="15" t="n">
        <f aca="false">INDEX(Ipotesi!$C$81:$G$81,1,F22)*J22/12</f>
        <v>833.333333333333</v>
      </c>
      <c r="AT22" s="15" t="n">
        <f aca="false">AR22*Parametri_v3!$C$15+Z22*Parametri_v3!$C$16</f>
        <v>8638.95833333333</v>
      </c>
      <c r="AU22" s="15" t="n">
        <f aca="false">Q22*Parametri_v3!$C$16*Parametri_v3!$C$17</f>
        <v>105</v>
      </c>
      <c r="AV22" s="17" t="n">
        <f aca="false">BD21</f>
        <v>9.02577493897597</v>
      </c>
      <c r="AW22" s="17" t="n">
        <f aca="false">AV22*(1-(1-INDEX(Ipotesi!$C$34:$G$34,1,F22))^(1/12))</f>
        <v>0.0788998130811795</v>
      </c>
      <c r="AX22" s="15" t="n">
        <f aca="false">ROUND(INDEX(Ipotesi!$C$32:$G$32,1,F22)*Ipotesi!C8,0)</f>
        <v>21</v>
      </c>
      <c r="AY22" s="15" t="n">
        <f aca="false">MAX(0,(AX22-(AV22-AW22))/(13-E22))</f>
        <v>1.72187498201503</v>
      </c>
      <c r="AZ22" s="15" t="n">
        <f aca="false">MIN(P22*Parametri_v3!$C$22,Q22*(1-Parametri_v3!$C$16)*Parametri_v3!$C$23)</f>
        <v>67.5</v>
      </c>
      <c r="BA22" s="15" t="n">
        <f aca="false">IF(OR(INDEX(Ipotesi!$C$35:$G$35,1,F22)&lt;=0,18-Parametri_v3!$C$21&lt;1),0,INDEX($AT$5:$AT$64,MAX(1,18-Parametri_v3!$C$21))/(INDEX(Ipotesi!$C$35:$G$35,1,F22)*Ipotesi!C27))</f>
        <v>2.39971064814815</v>
      </c>
      <c r="BB22" s="15" t="n">
        <f aca="false">IF(18-Parametri_v3!$C$21&lt;1,0,INDEX($AU$5:$AU$64,MAX(1,18-Parametri_v3!$C$21)))*Parametri_v3!$C$18*Parametri_v3!$C$19*Parametri_v3!$C$20</f>
        <v>3.9375</v>
      </c>
      <c r="BC22" s="17" t="n">
        <f aca="false">MAX(0,MIN(AY22,BA22,BB22,MAX(0,AZ22-(AV22-AW22))))</f>
        <v>1.72187498201503</v>
      </c>
      <c r="BD22" s="17" t="n">
        <f aca="false">AV22-AW22+BC22</f>
        <v>10.6687501079098</v>
      </c>
      <c r="BE22" s="17" t="n">
        <f aca="false">(AV22+BD22)/2</f>
        <v>9.84726252344289</v>
      </c>
      <c r="BF22" s="15" t="n">
        <f aca="false">BE22*INDEX(Ipotesi!$C$33:$G$33,1,F22)*H22/12</f>
        <v>3282.42084114763</v>
      </c>
      <c r="BG22" s="15" t="n">
        <f aca="false">BD22*INDEX(Ipotesi!$C$33:$G$33,1,F22)*H22</f>
        <v>42675.0004316393</v>
      </c>
      <c r="BH22" s="15" t="n">
        <f aca="false">AM22*INDEX(Ipotesi!$C$37:$G$37,1,F22)</f>
        <v>2937.5</v>
      </c>
      <c r="BI22" s="15" t="n">
        <f aca="false">AQ22+BF22+BH22</f>
        <v>22251.1708411476</v>
      </c>
      <c r="BJ22" s="15" t="n">
        <f aca="false">INDEX(Ipotesi!$C$68:$G$68,1,F22)*Ipotesi!$C$69/12</f>
        <v>1600</v>
      </c>
      <c r="BK22" s="15" t="n">
        <f aca="false">INDEX(Ipotesi!$C$68:$G$68,1,F22)*(1-Ipotesi!$C$69)/12</f>
        <v>2400</v>
      </c>
      <c r="BL22" s="15" t="n">
        <f aca="false">(AQ22+BF22)*Ipotesi!$C$67</f>
        <v>579.410125234429</v>
      </c>
      <c r="BM22" s="15" t="n">
        <f aca="false">AM22*Ipotesi!$C$67</f>
        <v>881.25</v>
      </c>
      <c r="BN22" s="15" t="n">
        <f aca="false">INDEX(Ipotesi!$C$72:$G$72,1,F22)/12*Ipotesi!C126+BF22*Ipotesi!$C$73</f>
        <v>1512.59366729181</v>
      </c>
      <c r="BO22" s="15" t="n">
        <f aca="false">INDEX(Ipotesi!$C$74:$G$74,1,F22)/12*Ipotesi!C126</f>
        <v>1833.33333333333</v>
      </c>
      <c r="BP22" s="15" t="n">
        <f aca="false">INDEX(Ipotesi!$C$76:$G$76,1,F22)/12</f>
        <v>750</v>
      </c>
      <c r="BQ22" s="15" t="n">
        <f aca="false">INDEX(Ipotesi!$C$77:$G$77,1,F22)/12*Ipotesi!C126</f>
        <v>1666.66666666667</v>
      </c>
      <c r="BR22" s="15" t="n">
        <f aca="false">INDEX(Ipotesi!$C$78:$G$78,1,F22)/12</f>
        <v>1250</v>
      </c>
      <c r="BS22" s="15" t="n">
        <f aca="false">SUM(M22:R22)*(Ipotesi!$C$85+Ipotesi!$C$86)/12</f>
        <v>2625</v>
      </c>
      <c r="BT22" s="15" t="n">
        <f aca="false">BI22*Ipotesi!$C$87</f>
        <v>667.535125234429</v>
      </c>
      <c r="BU22" s="15" t="n">
        <f aca="false">INDEX(Ipotesi!$C$55:$G$55,1,F22)*K22/12</f>
        <v>1000</v>
      </c>
      <c r="BV22" s="15" t="n">
        <f aca="false">INDEX(Ipotesi!$C$80:$G$80,1,F22)/12*Ipotesi!C126</f>
        <v>833.333333333333</v>
      </c>
      <c r="BW22" s="15" t="n">
        <f aca="false">INDEX(Ipotesi!$C$82:$G$82,1,F22)/12</f>
        <v>666.666666666667</v>
      </c>
      <c r="BX22" s="15" t="n">
        <f aca="false">INDEX(Ipotesi!$C$83:$G$83,1,F22)/12</f>
        <v>583.333333333333</v>
      </c>
      <c r="BY22" s="15" t="n">
        <f aca="false">SUM(S22:U22)*(Ipotesi!$C$85+Ipotesi!$C$86)/12</f>
        <v>1166.66666666667</v>
      </c>
      <c r="BZ22" s="15" t="n">
        <f aca="false">AM22*Ipotesi!$C$87</f>
        <v>881.25</v>
      </c>
      <c r="CA22" s="15" t="n">
        <f aca="false">AB22+BJ22+BL22+BN22+BO22+AR22+BP22+BQ22+BR22+BS22+BT22</f>
        <v>56830.372251094</v>
      </c>
      <c r="CB22" s="15" t="n">
        <f aca="false">AC22+BK22+BM22+BH22+BU22+BV22+AS22+BW22+BX22+BY22+BZ22</f>
        <v>28148.3333333333</v>
      </c>
      <c r="CC22" s="15" t="n">
        <f aca="false">BI22-CA22</f>
        <v>-34579.2014099464</v>
      </c>
      <c r="CD22" s="15" t="n">
        <f aca="false">AM22-CB22</f>
        <v>1226.66666666667</v>
      </c>
      <c r="CE22" s="15" t="n">
        <f aca="false">INDEX(Ipotesi!$C$79:$G$79,1,F22)/12</f>
        <v>2083.33333333333</v>
      </c>
      <c r="CF22" s="15" t="n">
        <f aca="false">INDEX(Ipotesi!$C$84:$G$84,1,F22)/12</f>
        <v>416.666666666667</v>
      </c>
      <c r="CG22" s="15" t="n">
        <f aca="false">Y22*MAX(0,Parametri_v3!$C$12-IF(P22=0,0,MIN(1,BE22/(P22*Parametri_v3!$C$22))))+W22*Parametri_v3!$C$13+X22*Parametri_v3!$C$14</f>
        <v>15456.5549833689</v>
      </c>
      <c r="CH22" s="15" t="n">
        <f aca="false">AB22*Parametri_v3!$C$32</f>
        <v>1988.125</v>
      </c>
      <c r="CI22" s="15" t="n">
        <f aca="false">AC22*Parametri_v3!$C$32</f>
        <v>798.25</v>
      </c>
      <c r="CJ22" s="15" t="n">
        <f aca="false">CA22-AB22</f>
        <v>17067.872251094</v>
      </c>
      <c r="CK22" s="15" t="n">
        <f aca="false">CB22-AC22-BH22</f>
        <v>9245.83333333333</v>
      </c>
      <c r="CL22" s="15" t="n">
        <f aca="false">BF22*Ipotesi!$C$73+INDEX(Ipotesi!$C$72:$G$72,1,F22)/12*Ipotesi!C126*Parametri_v3!$C$58+Z22*(1-Parametri_v3!$C$16)</f>
        <v>3250.71866729181</v>
      </c>
      <c r="CM22" s="16" t="n">
        <f aca="false">IF(BF22=0,0,1-CL22/BF22)</f>
        <v>0.00965816858655333</v>
      </c>
    </row>
    <row r="23" customFormat="false" ht="18" hidden="false" customHeight="true" outlineLevel="0" collapsed="false">
      <c r="A23" s="68" t="n">
        <f aca="false">1</f>
        <v>1</v>
      </c>
      <c r="B23" s="68" t="n">
        <f aca="false">19</f>
        <v>19</v>
      </c>
      <c r="C23" s="18" t="n">
        <f aca="false">EDATE(Parametri_v3!$C$5,19-1)</f>
        <v>46935</v>
      </c>
      <c r="D23" s="68" t="n">
        <f aca="false">YEAR(C23)</f>
        <v>2028</v>
      </c>
      <c r="E23" s="68" t="n">
        <f aca="false">MONTH(C23)</f>
        <v>7</v>
      </c>
      <c r="F23" s="68" t="n">
        <f aca="false">INT((19-1)/12)+1</f>
        <v>2</v>
      </c>
      <c r="G23" s="15" t="n">
        <f aca="false">Ipotesi!C7</f>
        <v>0.75</v>
      </c>
      <c r="H23" s="15" t="n">
        <f aca="false">Ipotesi!C9</f>
        <v>1</v>
      </c>
      <c r="I23" s="15" t="n">
        <f aca="false">Ipotesi!C10</f>
        <v>1</v>
      </c>
      <c r="J23" s="15" t="n">
        <f aca="false">Ipotesi!C11</f>
        <v>1</v>
      </c>
      <c r="K23" s="15" t="n">
        <f aca="false">Ipotesi!C12</f>
        <v>1</v>
      </c>
      <c r="L23" s="15" t="n">
        <f aca="false">Ipotesi!C13</f>
        <v>90</v>
      </c>
      <c r="M23" s="17" t="n">
        <f aca="false">INDEX(Ipotesi!$C$40:$G$40,1,F23)</f>
        <v>1</v>
      </c>
      <c r="N23" s="17" t="n">
        <f aca="false">INDEX(Ipotesi!$C$41:$G$41,1,F23)</f>
        <v>1</v>
      </c>
      <c r="O23" s="17" t="n">
        <f aca="false">INDEX(Ipotesi!$C$42:$G$42,1,F23)*Ipotesi!C125</f>
        <v>2.5</v>
      </c>
      <c r="P23" s="17" t="n">
        <f aca="false">INDEX(Ipotesi!$C$43:$G$43,1,F23)*I23</f>
        <v>2.5</v>
      </c>
      <c r="Q23" s="17" t="n">
        <f aca="false">INDEX(Ipotesi!$C$44:$G$44,1,F23)*I23</f>
        <v>1.5</v>
      </c>
      <c r="R23" s="17" t="n">
        <f aca="false">INDEX(Ipotesi!$C$45:$G$45,1,F23)*I23</f>
        <v>0.5</v>
      </c>
      <c r="S23" s="17" t="n">
        <f aca="false">INDEX(Ipotesi!$C$52:$G$52,1,F23)*Ipotesi!C125</f>
        <v>3</v>
      </c>
      <c r="T23" s="17" t="n">
        <f aca="false">INDEX(Ipotesi!$C$53:$G$53,1,F23)*I23</f>
        <v>1</v>
      </c>
      <c r="U23" s="17" t="n">
        <f aca="false">INDEX(Ipotesi!$C$54:$G$54,1,F23)*I23</f>
        <v>0</v>
      </c>
      <c r="V23" s="15" t="n">
        <f aca="false">M23*INDEX(Ipotesi!$C$58:$G$58,1,F23)*K23/12</f>
        <v>5000</v>
      </c>
      <c r="W23" s="15" t="n">
        <f aca="false">N23*Ipotesi!$C$59*(1+Ipotesi!$C$66)^(F23-1)/12</f>
        <v>6008.33333333333</v>
      </c>
      <c r="X23" s="15" t="n">
        <f aca="false">O23*Ipotesi!$C$60*(1+Ipotesi!$C$66)^(F23-1)/12</f>
        <v>10729.1666666667</v>
      </c>
      <c r="Y23" s="15" t="n">
        <f aca="false">P23*Ipotesi!$C$61*(1+Ipotesi!$C$66)^(F23-1)/12</f>
        <v>10729.1666666667</v>
      </c>
      <c r="Z23" s="15" t="n">
        <f aca="false">Q23*Ipotesi!$C$62*(1+Ipotesi!$C$66)^(F23-1)/12</f>
        <v>5793.75</v>
      </c>
      <c r="AA23" s="15" t="n">
        <f aca="false">R23*Ipotesi!$C$63*(1+Ipotesi!$C$66)^(F23-1)/12</f>
        <v>1502.08333333333</v>
      </c>
      <c r="AB23" s="15" t="n">
        <f aca="false">SUM(V23:AA23)</f>
        <v>39762.5</v>
      </c>
      <c r="AC23" s="15" t="n">
        <f aca="false">(S23*Ipotesi!$C$64+T23*Ipotesi!$C$65+U23*Ipotesi!$C$63)*(1+Ipotesi!$C$66)^(F23-1)/12</f>
        <v>15965</v>
      </c>
      <c r="AD23" s="15" t="n">
        <f aca="false">INDEX(Ipotesi!$C$48:$G$48,1,F23)*G23/12</f>
        <v>28.125</v>
      </c>
      <c r="AE23" s="15" t="n">
        <f aca="false">INDEX(Ipotesi!$C$50:$G$50,1,F23)*G23/12</f>
        <v>3.4375</v>
      </c>
      <c r="AF23" s="15" t="n">
        <f aca="false">(S23*Parametri_v3!$C$7*Parametri_v3!$C$8+Parametri_v3!$C$10)/12</f>
        <v>38.5</v>
      </c>
      <c r="AG23" s="15" t="n">
        <f aca="false">AD23+AE23*(1+Parametri_v3!$C$9)</f>
        <v>33.28125</v>
      </c>
      <c r="AH23" s="16" t="n">
        <f aca="false">IF(AG23=0,1,MIN(1,AF23/AG23))</f>
        <v>1</v>
      </c>
      <c r="AI23" s="15" t="n">
        <f aca="false">AD23*AH23</f>
        <v>28.125</v>
      </c>
      <c r="AJ23" s="15" t="n">
        <f aca="false">AE23*AH23</f>
        <v>3.4375</v>
      </c>
      <c r="AK23" s="15" t="n">
        <f aca="false">AI23*INDEX(Ipotesi!$C$49:$G$49,1,F23)*H23</f>
        <v>22500</v>
      </c>
      <c r="AL23" s="15" t="n">
        <f aca="false">AJ23*INDEX(Ipotesi!$C$51:$G$51,1,F23)*H23</f>
        <v>6875</v>
      </c>
      <c r="AM23" s="15" t="n">
        <f aca="false">AK23+AL23</f>
        <v>29375</v>
      </c>
      <c r="AN23" s="15" t="n">
        <f aca="false">INDEX(Ipotesi!$C$30:$G$30,1,F23)*G23/12</f>
        <v>16.875</v>
      </c>
      <c r="AO23" s="15" t="n">
        <f aca="false">O23*Parametri_v3!$C$7*Parametri_v3!$C$11*(1-Parametri_v3!$C$14)/12</f>
        <v>25.6666666666667</v>
      </c>
      <c r="AP23" s="15" t="n">
        <f aca="false">MIN(AN23,AO23)</f>
        <v>16.875</v>
      </c>
      <c r="AQ23" s="15" t="n">
        <f aca="false">AP23*INDEX(Ipotesi!$C$31:$G$31,1,F23)*H23</f>
        <v>16031.25</v>
      </c>
      <c r="AR23" s="15" t="n">
        <f aca="false">INDEX(Ipotesi!$C$75:$G$75,1,F23)*J23/12</f>
        <v>4583.33333333333</v>
      </c>
      <c r="AS23" s="15" t="n">
        <f aca="false">INDEX(Ipotesi!$C$81:$G$81,1,F23)*J23/12</f>
        <v>833.333333333333</v>
      </c>
      <c r="AT23" s="15" t="n">
        <f aca="false">AR23*Parametri_v3!$C$15+Z23*Parametri_v3!$C$16</f>
        <v>8638.95833333333</v>
      </c>
      <c r="AU23" s="15" t="n">
        <f aca="false">Q23*Parametri_v3!$C$16*Parametri_v3!$C$17</f>
        <v>105</v>
      </c>
      <c r="AV23" s="17" t="n">
        <f aca="false">BD22</f>
        <v>10.6687501079098</v>
      </c>
      <c r="AW23" s="17" t="n">
        <f aca="false">AV23*(1-(1-INDEX(Ipotesi!$C$34:$G$34,1,F23))^(1/12))</f>
        <v>0.0932620628162263</v>
      </c>
      <c r="AX23" s="15" t="n">
        <f aca="false">ROUND(INDEX(Ipotesi!$C$32:$G$32,1,F23)*Ipotesi!C8,0)</f>
        <v>21</v>
      </c>
      <c r="AY23" s="15" t="n">
        <f aca="false">MAX(0,(AX23-(AV23-AW23))/(13-E23))</f>
        <v>1.73741865915107</v>
      </c>
      <c r="AZ23" s="15" t="n">
        <f aca="false">MIN(P23*Parametri_v3!$C$22,Q23*(1-Parametri_v3!$C$16)*Parametri_v3!$C$23)</f>
        <v>67.5</v>
      </c>
      <c r="BA23" s="15" t="n">
        <f aca="false">IF(OR(INDEX(Ipotesi!$C$35:$G$35,1,F23)&lt;=0,19-Parametri_v3!$C$21&lt;1),0,INDEX($AT$5:$AT$64,MAX(1,19-Parametri_v3!$C$21))/(INDEX(Ipotesi!$C$35:$G$35,1,F23)*Ipotesi!C27))</f>
        <v>2.39971064814815</v>
      </c>
      <c r="BB23" s="15" t="n">
        <f aca="false">IF(19-Parametri_v3!$C$21&lt;1,0,INDEX($AU$5:$AU$64,MAX(1,19-Parametri_v3!$C$21)))*Parametri_v3!$C$18*Parametri_v3!$C$19*Parametri_v3!$C$20</f>
        <v>3.9375</v>
      </c>
      <c r="BC23" s="17" t="n">
        <f aca="false">MAX(0,MIN(AY23,BA23,BB23,MAX(0,AZ23-(AV23-AW23))))</f>
        <v>1.73741865915107</v>
      </c>
      <c r="BD23" s="17" t="n">
        <f aca="false">AV23-AW23+BC23</f>
        <v>12.3129067042447</v>
      </c>
      <c r="BE23" s="17" t="n">
        <f aca="false">(AV23+BD23)/2</f>
        <v>11.4908284060772</v>
      </c>
      <c r="BF23" s="15" t="n">
        <f aca="false">BE23*INDEX(Ipotesi!$C$33:$G$33,1,F23)*H23/12</f>
        <v>3830.27613535908</v>
      </c>
      <c r="BG23" s="15" t="n">
        <f aca="false">BD23*INDEX(Ipotesi!$C$33:$G$33,1,F23)*H23</f>
        <v>49251.6268169786</v>
      </c>
      <c r="BH23" s="15" t="n">
        <f aca="false">AM23*INDEX(Ipotesi!$C$37:$G$37,1,F23)</f>
        <v>2937.5</v>
      </c>
      <c r="BI23" s="15" t="n">
        <f aca="false">AQ23+BF23+BH23</f>
        <v>22799.0261353591</v>
      </c>
      <c r="BJ23" s="15" t="n">
        <f aca="false">INDEX(Ipotesi!$C$68:$G$68,1,F23)*Ipotesi!$C$69/12</f>
        <v>1600</v>
      </c>
      <c r="BK23" s="15" t="n">
        <f aca="false">INDEX(Ipotesi!$C$68:$G$68,1,F23)*(1-Ipotesi!$C$69)/12</f>
        <v>2400</v>
      </c>
      <c r="BL23" s="15" t="n">
        <f aca="false">(AQ23+BF23)*Ipotesi!$C$67</f>
        <v>595.845784060772</v>
      </c>
      <c r="BM23" s="15" t="n">
        <f aca="false">AM23*Ipotesi!$C$67</f>
        <v>881.25</v>
      </c>
      <c r="BN23" s="15" t="n">
        <f aca="false">INDEX(Ipotesi!$C$72:$G$72,1,F23)/12*Ipotesi!C126+BF23*Ipotesi!$C$73</f>
        <v>1556.42209082873</v>
      </c>
      <c r="BO23" s="15" t="n">
        <f aca="false">INDEX(Ipotesi!$C$74:$G$74,1,F23)/12*Ipotesi!C126</f>
        <v>1833.33333333333</v>
      </c>
      <c r="BP23" s="15" t="n">
        <f aca="false">INDEX(Ipotesi!$C$76:$G$76,1,F23)/12</f>
        <v>750</v>
      </c>
      <c r="BQ23" s="15" t="n">
        <f aca="false">INDEX(Ipotesi!$C$77:$G$77,1,F23)/12*Ipotesi!C126</f>
        <v>1666.66666666667</v>
      </c>
      <c r="BR23" s="15" t="n">
        <f aca="false">INDEX(Ipotesi!$C$78:$G$78,1,F23)/12</f>
        <v>1250</v>
      </c>
      <c r="BS23" s="15" t="n">
        <f aca="false">SUM(M23:R23)*(Ipotesi!$C$85+Ipotesi!$C$86)/12</f>
        <v>2625</v>
      </c>
      <c r="BT23" s="15" t="n">
        <f aca="false">BI23*Ipotesi!$C$87</f>
        <v>683.970784060772</v>
      </c>
      <c r="BU23" s="15" t="n">
        <f aca="false">INDEX(Ipotesi!$C$55:$G$55,1,F23)*K23/12</f>
        <v>1000</v>
      </c>
      <c r="BV23" s="15" t="n">
        <f aca="false">INDEX(Ipotesi!$C$80:$G$80,1,F23)/12*Ipotesi!C126</f>
        <v>833.333333333333</v>
      </c>
      <c r="BW23" s="15" t="n">
        <f aca="false">INDEX(Ipotesi!$C$82:$G$82,1,F23)/12</f>
        <v>666.666666666667</v>
      </c>
      <c r="BX23" s="15" t="n">
        <f aca="false">INDEX(Ipotesi!$C$83:$G$83,1,F23)/12</f>
        <v>583.333333333333</v>
      </c>
      <c r="BY23" s="15" t="n">
        <f aca="false">SUM(S23:U23)*(Ipotesi!$C$85+Ipotesi!$C$86)/12</f>
        <v>1166.66666666667</v>
      </c>
      <c r="BZ23" s="15" t="n">
        <f aca="false">AM23*Ipotesi!$C$87</f>
        <v>881.25</v>
      </c>
      <c r="CA23" s="15" t="n">
        <f aca="false">AB23+BJ23+BL23+BN23+BO23+AR23+BP23+BQ23+BR23+BS23+BT23</f>
        <v>56907.0719922836</v>
      </c>
      <c r="CB23" s="15" t="n">
        <f aca="false">AC23+BK23+BM23+BH23+BU23+BV23+AS23+BW23+BX23+BY23+BZ23</f>
        <v>28148.3333333333</v>
      </c>
      <c r="CC23" s="15" t="n">
        <f aca="false">BI23-CA23</f>
        <v>-34108.0458569245</v>
      </c>
      <c r="CD23" s="15" t="n">
        <f aca="false">AM23-CB23</f>
        <v>1226.66666666667</v>
      </c>
      <c r="CE23" s="15" t="n">
        <f aca="false">INDEX(Ipotesi!$C$79:$G$79,1,F23)/12</f>
        <v>2083.33333333333</v>
      </c>
      <c r="CF23" s="15" t="n">
        <f aca="false">INDEX(Ipotesi!$C$84:$G$84,1,F23)/12</f>
        <v>416.666666666667</v>
      </c>
      <c r="CG23" s="15" t="n">
        <f aca="false">Y23*MAX(0,Parametri_v3!$C$12-IF(P23=0,0,MIN(1,BE23/(P23*Parametri_v3!$C$22))))+W23*Parametri_v3!$C$13+X23*Parametri_v3!$C$14</f>
        <v>15386.0186142392</v>
      </c>
      <c r="CH23" s="15" t="n">
        <f aca="false">AB23*Parametri_v3!$C$32</f>
        <v>1988.125</v>
      </c>
      <c r="CI23" s="15" t="n">
        <f aca="false">AC23*Parametri_v3!$C$32</f>
        <v>798.25</v>
      </c>
      <c r="CJ23" s="15" t="n">
        <f aca="false">CA23-AB23</f>
        <v>17144.5719922836</v>
      </c>
      <c r="CK23" s="15" t="n">
        <f aca="false">CB23-AC23-BH23</f>
        <v>9245.83333333333</v>
      </c>
      <c r="CL23" s="15" t="n">
        <f aca="false">BF23*Ipotesi!$C$73+INDEX(Ipotesi!$C$72:$G$72,1,F23)/12*Ipotesi!C126*Parametri_v3!$C$58+Z23*(1-Parametri_v3!$C$16)</f>
        <v>3294.54709082873</v>
      </c>
      <c r="CM23" s="16" t="n">
        <f aca="false">IF(BF23=0,0,1-CL23/BF23)</f>
        <v>0.139866950997289</v>
      </c>
    </row>
    <row r="24" customFormat="false" ht="18" hidden="false" customHeight="true" outlineLevel="0" collapsed="false">
      <c r="A24" s="68" t="n">
        <f aca="false">1</f>
        <v>1</v>
      </c>
      <c r="B24" s="68" t="n">
        <f aca="false">20</f>
        <v>20</v>
      </c>
      <c r="C24" s="18" t="n">
        <f aca="false">EDATE(Parametri_v3!$C$5,20-1)</f>
        <v>46966</v>
      </c>
      <c r="D24" s="68" t="n">
        <f aca="false">YEAR(C24)</f>
        <v>2028</v>
      </c>
      <c r="E24" s="68" t="n">
        <f aca="false">MONTH(C24)</f>
        <v>8</v>
      </c>
      <c r="F24" s="68" t="n">
        <f aca="false">INT((20-1)/12)+1</f>
        <v>2</v>
      </c>
      <c r="G24" s="15" t="n">
        <f aca="false">Ipotesi!C7</f>
        <v>0.75</v>
      </c>
      <c r="H24" s="15" t="n">
        <f aca="false">Ipotesi!C9</f>
        <v>1</v>
      </c>
      <c r="I24" s="15" t="n">
        <f aca="false">Ipotesi!C10</f>
        <v>1</v>
      </c>
      <c r="J24" s="15" t="n">
        <f aca="false">Ipotesi!C11</f>
        <v>1</v>
      </c>
      <c r="K24" s="15" t="n">
        <f aca="false">Ipotesi!C12</f>
        <v>1</v>
      </c>
      <c r="L24" s="15" t="n">
        <f aca="false">Ipotesi!C13</f>
        <v>90</v>
      </c>
      <c r="M24" s="17" t="n">
        <f aca="false">INDEX(Ipotesi!$C$40:$G$40,1,F24)</f>
        <v>1</v>
      </c>
      <c r="N24" s="17" t="n">
        <f aca="false">INDEX(Ipotesi!$C$41:$G$41,1,F24)</f>
        <v>1</v>
      </c>
      <c r="O24" s="17" t="n">
        <f aca="false">INDEX(Ipotesi!$C$42:$G$42,1,F24)*Ipotesi!C125</f>
        <v>2.5</v>
      </c>
      <c r="P24" s="17" t="n">
        <f aca="false">INDEX(Ipotesi!$C$43:$G$43,1,F24)*I24</f>
        <v>2.5</v>
      </c>
      <c r="Q24" s="17" t="n">
        <f aca="false">INDEX(Ipotesi!$C$44:$G$44,1,F24)*I24</f>
        <v>1.5</v>
      </c>
      <c r="R24" s="17" t="n">
        <f aca="false">INDEX(Ipotesi!$C$45:$G$45,1,F24)*I24</f>
        <v>0.5</v>
      </c>
      <c r="S24" s="17" t="n">
        <f aca="false">INDEX(Ipotesi!$C$52:$G$52,1,F24)*Ipotesi!C125</f>
        <v>3</v>
      </c>
      <c r="T24" s="17" t="n">
        <f aca="false">INDEX(Ipotesi!$C$53:$G$53,1,F24)*I24</f>
        <v>1</v>
      </c>
      <c r="U24" s="17" t="n">
        <f aca="false">INDEX(Ipotesi!$C$54:$G$54,1,F24)*I24</f>
        <v>0</v>
      </c>
      <c r="V24" s="15" t="n">
        <f aca="false">M24*INDEX(Ipotesi!$C$58:$G$58,1,F24)*K24/12</f>
        <v>5000</v>
      </c>
      <c r="W24" s="15" t="n">
        <f aca="false">N24*Ipotesi!$C$59*(1+Ipotesi!$C$66)^(F24-1)/12</f>
        <v>6008.33333333333</v>
      </c>
      <c r="X24" s="15" t="n">
        <f aca="false">O24*Ipotesi!$C$60*(1+Ipotesi!$C$66)^(F24-1)/12</f>
        <v>10729.1666666667</v>
      </c>
      <c r="Y24" s="15" t="n">
        <f aca="false">P24*Ipotesi!$C$61*(1+Ipotesi!$C$66)^(F24-1)/12</f>
        <v>10729.1666666667</v>
      </c>
      <c r="Z24" s="15" t="n">
        <f aca="false">Q24*Ipotesi!$C$62*(1+Ipotesi!$C$66)^(F24-1)/12</f>
        <v>5793.75</v>
      </c>
      <c r="AA24" s="15" t="n">
        <f aca="false">R24*Ipotesi!$C$63*(1+Ipotesi!$C$66)^(F24-1)/12</f>
        <v>1502.08333333333</v>
      </c>
      <c r="AB24" s="15" t="n">
        <f aca="false">SUM(V24:AA24)</f>
        <v>39762.5</v>
      </c>
      <c r="AC24" s="15" t="n">
        <f aca="false">(S24*Ipotesi!$C$64+T24*Ipotesi!$C$65+U24*Ipotesi!$C$63)*(1+Ipotesi!$C$66)^(F24-1)/12</f>
        <v>15965</v>
      </c>
      <c r="AD24" s="15" t="n">
        <f aca="false">INDEX(Ipotesi!$C$48:$G$48,1,F24)*G24/12</f>
        <v>28.125</v>
      </c>
      <c r="AE24" s="15" t="n">
        <f aca="false">INDEX(Ipotesi!$C$50:$G$50,1,F24)*G24/12</f>
        <v>3.4375</v>
      </c>
      <c r="AF24" s="15" t="n">
        <f aca="false">(S24*Parametri_v3!$C$7*Parametri_v3!$C$8+Parametri_v3!$C$10)/12</f>
        <v>38.5</v>
      </c>
      <c r="AG24" s="15" t="n">
        <f aca="false">AD24+AE24*(1+Parametri_v3!$C$9)</f>
        <v>33.28125</v>
      </c>
      <c r="AH24" s="16" t="n">
        <f aca="false">IF(AG24=0,1,MIN(1,AF24/AG24))</f>
        <v>1</v>
      </c>
      <c r="AI24" s="15" t="n">
        <f aca="false">AD24*AH24</f>
        <v>28.125</v>
      </c>
      <c r="AJ24" s="15" t="n">
        <f aca="false">AE24*AH24</f>
        <v>3.4375</v>
      </c>
      <c r="AK24" s="15" t="n">
        <f aca="false">AI24*INDEX(Ipotesi!$C$49:$G$49,1,F24)*H24</f>
        <v>22500</v>
      </c>
      <c r="AL24" s="15" t="n">
        <f aca="false">AJ24*INDEX(Ipotesi!$C$51:$G$51,1,F24)*H24</f>
        <v>6875</v>
      </c>
      <c r="AM24" s="15" t="n">
        <f aca="false">AK24+AL24</f>
        <v>29375</v>
      </c>
      <c r="AN24" s="15" t="n">
        <f aca="false">INDEX(Ipotesi!$C$30:$G$30,1,F24)*G24/12</f>
        <v>16.875</v>
      </c>
      <c r="AO24" s="15" t="n">
        <f aca="false">O24*Parametri_v3!$C$7*Parametri_v3!$C$11*(1-Parametri_v3!$C$14)/12</f>
        <v>25.6666666666667</v>
      </c>
      <c r="AP24" s="15" t="n">
        <f aca="false">MIN(AN24,AO24)</f>
        <v>16.875</v>
      </c>
      <c r="AQ24" s="15" t="n">
        <f aca="false">AP24*INDEX(Ipotesi!$C$31:$G$31,1,F24)*H24</f>
        <v>16031.25</v>
      </c>
      <c r="AR24" s="15" t="n">
        <f aca="false">INDEX(Ipotesi!$C$75:$G$75,1,F24)*J24/12</f>
        <v>4583.33333333333</v>
      </c>
      <c r="AS24" s="15" t="n">
        <f aca="false">INDEX(Ipotesi!$C$81:$G$81,1,F24)*J24/12</f>
        <v>833.333333333333</v>
      </c>
      <c r="AT24" s="15" t="n">
        <f aca="false">AR24*Parametri_v3!$C$15+Z24*Parametri_v3!$C$16</f>
        <v>8638.95833333333</v>
      </c>
      <c r="AU24" s="15" t="n">
        <f aca="false">Q24*Parametri_v3!$C$16*Parametri_v3!$C$17</f>
        <v>105</v>
      </c>
      <c r="AV24" s="17" t="n">
        <f aca="false">BD23</f>
        <v>12.3129067042447</v>
      </c>
      <c r="AW24" s="17" t="n">
        <f aca="false">AV24*(1-(1-INDEX(Ipotesi!$C$34:$G$34,1,F24))^(1/12))</f>
        <v>0.107634640129984</v>
      </c>
      <c r="AX24" s="15" t="n">
        <f aca="false">ROUND(INDEX(Ipotesi!$C$32:$G$32,1,F24)*Ipotesi!C8,0)</f>
        <v>21</v>
      </c>
      <c r="AY24" s="15" t="n">
        <f aca="false">MAX(0,(AX24-(AV24-AW24))/(13-E24))</f>
        <v>1.75894558717706</v>
      </c>
      <c r="AZ24" s="15" t="n">
        <f aca="false">MIN(P24*Parametri_v3!$C$22,Q24*(1-Parametri_v3!$C$16)*Parametri_v3!$C$23)</f>
        <v>67.5</v>
      </c>
      <c r="BA24" s="15" t="n">
        <f aca="false">IF(OR(INDEX(Ipotesi!$C$35:$G$35,1,F24)&lt;=0,20-Parametri_v3!$C$21&lt;1),0,INDEX($AT$5:$AT$64,MAX(1,20-Parametri_v3!$C$21))/(INDEX(Ipotesi!$C$35:$G$35,1,F24)*Ipotesi!C27))</f>
        <v>2.39971064814815</v>
      </c>
      <c r="BB24" s="15" t="n">
        <f aca="false">IF(20-Parametri_v3!$C$21&lt;1,0,INDEX($AU$5:$AU$64,MAX(1,20-Parametri_v3!$C$21)))*Parametri_v3!$C$18*Parametri_v3!$C$19*Parametri_v3!$C$20</f>
        <v>3.9375</v>
      </c>
      <c r="BC24" s="17" t="n">
        <f aca="false">MAX(0,MIN(AY24,BA24,BB24,MAX(0,AZ24-(AV24-AW24))))</f>
        <v>1.75894558717706</v>
      </c>
      <c r="BD24" s="17" t="n">
        <f aca="false">AV24-AW24+BC24</f>
        <v>13.9642176512917</v>
      </c>
      <c r="BE24" s="17" t="n">
        <f aca="false">(AV24+BD24)/2</f>
        <v>13.1385621777682</v>
      </c>
      <c r="BF24" s="15" t="n">
        <f aca="false">BE24*INDEX(Ipotesi!$C$33:$G$33,1,F24)*H24/12</f>
        <v>4379.52072592273</v>
      </c>
      <c r="BG24" s="15" t="n">
        <f aca="false">BD24*INDEX(Ipotesi!$C$33:$G$33,1,F24)*H24</f>
        <v>55856.870605167</v>
      </c>
      <c r="BH24" s="15" t="n">
        <f aca="false">AM24*INDEX(Ipotesi!$C$37:$G$37,1,F24)</f>
        <v>2937.5</v>
      </c>
      <c r="BI24" s="15" t="n">
        <f aca="false">AQ24+BF24+BH24</f>
        <v>23348.2707259227</v>
      </c>
      <c r="BJ24" s="15" t="n">
        <f aca="false">INDEX(Ipotesi!$C$68:$G$68,1,F24)*Ipotesi!$C$69/12</f>
        <v>1600</v>
      </c>
      <c r="BK24" s="15" t="n">
        <f aca="false">INDEX(Ipotesi!$C$68:$G$68,1,F24)*(1-Ipotesi!$C$69)/12</f>
        <v>2400</v>
      </c>
      <c r="BL24" s="15" t="n">
        <f aca="false">(AQ24+BF24)*Ipotesi!$C$67</f>
        <v>612.323121777682</v>
      </c>
      <c r="BM24" s="15" t="n">
        <f aca="false">AM24*Ipotesi!$C$67</f>
        <v>881.25</v>
      </c>
      <c r="BN24" s="15" t="n">
        <f aca="false">INDEX(Ipotesi!$C$72:$G$72,1,F24)/12*Ipotesi!C126+BF24*Ipotesi!$C$73</f>
        <v>1600.36165807382</v>
      </c>
      <c r="BO24" s="15" t="n">
        <f aca="false">INDEX(Ipotesi!$C$74:$G$74,1,F24)/12*Ipotesi!C126</f>
        <v>1833.33333333333</v>
      </c>
      <c r="BP24" s="15" t="n">
        <f aca="false">INDEX(Ipotesi!$C$76:$G$76,1,F24)/12</f>
        <v>750</v>
      </c>
      <c r="BQ24" s="15" t="n">
        <f aca="false">INDEX(Ipotesi!$C$77:$G$77,1,F24)/12*Ipotesi!C126</f>
        <v>1666.66666666667</v>
      </c>
      <c r="BR24" s="15" t="n">
        <f aca="false">INDEX(Ipotesi!$C$78:$G$78,1,F24)/12</f>
        <v>1250</v>
      </c>
      <c r="BS24" s="15" t="n">
        <f aca="false">SUM(M24:R24)*(Ipotesi!$C$85+Ipotesi!$C$86)/12</f>
        <v>2625</v>
      </c>
      <c r="BT24" s="15" t="n">
        <f aca="false">BI24*Ipotesi!$C$87</f>
        <v>700.448121777682</v>
      </c>
      <c r="BU24" s="15" t="n">
        <f aca="false">INDEX(Ipotesi!$C$55:$G$55,1,F24)*K24/12</f>
        <v>1000</v>
      </c>
      <c r="BV24" s="15" t="n">
        <f aca="false">INDEX(Ipotesi!$C$80:$G$80,1,F24)/12*Ipotesi!C126</f>
        <v>833.333333333333</v>
      </c>
      <c r="BW24" s="15" t="n">
        <f aca="false">INDEX(Ipotesi!$C$82:$G$82,1,F24)/12</f>
        <v>666.666666666667</v>
      </c>
      <c r="BX24" s="15" t="n">
        <f aca="false">INDEX(Ipotesi!$C$83:$G$83,1,F24)/12</f>
        <v>583.333333333333</v>
      </c>
      <c r="BY24" s="15" t="n">
        <f aca="false">SUM(S24:U24)*(Ipotesi!$C$85+Ipotesi!$C$86)/12</f>
        <v>1166.66666666667</v>
      </c>
      <c r="BZ24" s="15" t="n">
        <f aca="false">AM24*Ipotesi!$C$87</f>
        <v>881.25</v>
      </c>
      <c r="CA24" s="15" t="n">
        <f aca="false">AB24+BJ24+BL24+BN24+BO24+AR24+BP24+BQ24+BR24+BS24+BT24</f>
        <v>56983.9662349625</v>
      </c>
      <c r="CB24" s="15" t="n">
        <f aca="false">AC24+BK24+BM24+BH24+BU24+BV24+AS24+BW24+BX24+BY24+BZ24</f>
        <v>28148.3333333333</v>
      </c>
      <c r="CC24" s="15" t="n">
        <f aca="false">BI24-CA24</f>
        <v>-33635.6955090398</v>
      </c>
      <c r="CD24" s="15" t="n">
        <f aca="false">AM24-CB24</f>
        <v>1226.66666666667</v>
      </c>
      <c r="CE24" s="15" t="n">
        <f aca="false">INDEX(Ipotesi!$C$79:$G$79,1,F24)/12</f>
        <v>2083.33333333333</v>
      </c>
      <c r="CF24" s="15" t="n">
        <f aca="false">INDEX(Ipotesi!$C$84:$G$84,1,F24)/12</f>
        <v>416.666666666667</v>
      </c>
      <c r="CG24" s="15" t="n">
        <f aca="false">Y24*MAX(0,Parametri_v3!$C$12-IF(P24=0,0,MIN(1,BE24/(P24*Parametri_v3!$C$22))))+W24*Parametri_v3!$C$13+X24*Parametri_v3!$C$14</f>
        <v>15315.3033732041</v>
      </c>
      <c r="CH24" s="15" t="n">
        <f aca="false">AB24*Parametri_v3!$C$32</f>
        <v>1988.125</v>
      </c>
      <c r="CI24" s="15" t="n">
        <f aca="false">AC24*Parametri_v3!$C$32</f>
        <v>798.25</v>
      </c>
      <c r="CJ24" s="15" t="n">
        <f aca="false">CA24-AB24</f>
        <v>17221.4662349625</v>
      </c>
      <c r="CK24" s="15" t="n">
        <f aca="false">CB24-AC24-BH24</f>
        <v>9245.83333333333</v>
      </c>
      <c r="CL24" s="15" t="n">
        <f aca="false">BF24*Ipotesi!$C$73+INDEX(Ipotesi!$C$72:$G$72,1,F24)/12*Ipotesi!C126*Parametri_v3!$C$58+Z24*(1-Parametri_v3!$C$16)</f>
        <v>3338.48665807382</v>
      </c>
      <c r="CM24" s="16" t="n">
        <f aca="false">IF(BF24=0,0,1-CL24/BF24)</f>
        <v>0.23770502139354</v>
      </c>
    </row>
    <row r="25" customFormat="false" ht="18" hidden="false" customHeight="true" outlineLevel="0" collapsed="false">
      <c r="A25" s="68" t="n">
        <f aca="false">1</f>
        <v>1</v>
      </c>
      <c r="B25" s="68" t="n">
        <f aca="false">21</f>
        <v>21</v>
      </c>
      <c r="C25" s="18" t="n">
        <f aca="false">EDATE(Parametri_v3!$C$5,21-1)</f>
        <v>46997</v>
      </c>
      <c r="D25" s="68" t="n">
        <f aca="false">YEAR(C25)</f>
        <v>2028</v>
      </c>
      <c r="E25" s="68" t="n">
        <f aca="false">MONTH(C25)</f>
        <v>9</v>
      </c>
      <c r="F25" s="68" t="n">
        <f aca="false">INT((21-1)/12)+1</f>
        <v>2</v>
      </c>
      <c r="G25" s="15" t="n">
        <f aca="false">Ipotesi!C7</f>
        <v>0.75</v>
      </c>
      <c r="H25" s="15" t="n">
        <f aca="false">Ipotesi!C9</f>
        <v>1</v>
      </c>
      <c r="I25" s="15" t="n">
        <f aca="false">Ipotesi!C10</f>
        <v>1</v>
      </c>
      <c r="J25" s="15" t="n">
        <f aca="false">Ipotesi!C11</f>
        <v>1</v>
      </c>
      <c r="K25" s="15" t="n">
        <f aca="false">Ipotesi!C12</f>
        <v>1</v>
      </c>
      <c r="L25" s="15" t="n">
        <f aca="false">Ipotesi!C13</f>
        <v>90</v>
      </c>
      <c r="M25" s="17" t="n">
        <f aca="false">INDEX(Ipotesi!$C$40:$G$40,1,F25)</f>
        <v>1</v>
      </c>
      <c r="N25" s="17" t="n">
        <f aca="false">INDEX(Ipotesi!$C$41:$G$41,1,F25)</f>
        <v>1</v>
      </c>
      <c r="O25" s="17" t="n">
        <f aca="false">INDEX(Ipotesi!$C$42:$G$42,1,F25)*Ipotesi!C125</f>
        <v>2.5</v>
      </c>
      <c r="P25" s="17" t="n">
        <f aca="false">INDEX(Ipotesi!$C$43:$G$43,1,F25)*I25</f>
        <v>2.5</v>
      </c>
      <c r="Q25" s="17" t="n">
        <f aca="false">INDEX(Ipotesi!$C$44:$G$44,1,F25)*I25</f>
        <v>1.5</v>
      </c>
      <c r="R25" s="17" t="n">
        <f aca="false">INDEX(Ipotesi!$C$45:$G$45,1,F25)*I25</f>
        <v>0.5</v>
      </c>
      <c r="S25" s="17" t="n">
        <f aca="false">INDEX(Ipotesi!$C$52:$G$52,1,F25)*Ipotesi!C125</f>
        <v>3</v>
      </c>
      <c r="T25" s="17" t="n">
        <f aca="false">INDEX(Ipotesi!$C$53:$G$53,1,F25)*I25</f>
        <v>1</v>
      </c>
      <c r="U25" s="17" t="n">
        <f aca="false">INDEX(Ipotesi!$C$54:$G$54,1,F25)*I25</f>
        <v>0</v>
      </c>
      <c r="V25" s="15" t="n">
        <f aca="false">M25*INDEX(Ipotesi!$C$58:$G$58,1,F25)*K25/12</f>
        <v>5000</v>
      </c>
      <c r="W25" s="15" t="n">
        <f aca="false">N25*Ipotesi!$C$59*(1+Ipotesi!$C$66)^(F25-1)/12</f>
        <v>6008.33333333333</v>
      </c>
      <c r="X25" s="15" t="n">
        <f aca="false">O25*Ipotesi!$C$60*(1+Ipotesi!$C$66)^(F25-1)/12</f>
        <v>10729.1666666667</v>
      </c>
      <c r="Y25" s="15" t="n">
        <f aca="false">P25*Ipotesi!$C$61*(1+Ipotesi!$C$66)^(F25-1)/12</f>
        <v>10729.1666666667</v>
      </c>
      <c r="Z25" s="15" t="n">
        <f aca="false">Q25*Ipotesi!$C$62*(1+Ipotesi!$C$66)^(F25-1)/12</f>
        <v>5793.75</v>
      </c>
      <c r="AA25" s="15" t="n">
        <f aca="false">R25*Ipotesi!$C$63*(1+Ipotesi!$C$66)^(F25-1)/12</f>
        <v>1502.08333333333</v>
      </c>
      <c r="AB25" s="15" t="n">
        <f aca="false">SUM(V25:AA25)</f>
        <v>39762.5</v>
      </c>
      <c r="AC25" s="15" t="n">
        <f aca="false">(S25*Ipotesi!$C$64+T25*Ipotesi!$C$65+U25*Ipotesi!$C$63)*(1+Ipotesi!$C$66)^(F25-1)/12</f>
        <v>15965</v>
      </c>
      <c r="AD25" s="15" t="n">
        <f aca="false">INDEX(Ipotesi!$C$48:$G$48,1,F25)*G25/12</f>
        <v>28.125</v>
      </c>
      <c r="AE25" s="15" t="n">
        <f aca="false">INDEX(Ipotesi!$C$50:$G$50,1,F25)*G25/12</f>
        <v>3.4375</v>
      </c>
      <c r="AF25" s="15" t="n">
        <f aca="false">(S25*Parametri_v3!$C$7*Parametri_v3!$C$8+Parametri_v3!$C$10)/12</f>
        <v>38.5</v>
      </c>
      <c r="AG25" s="15" t="n">
        <f aca="false">AD25+AE25*(1+Parametri_v3!$C$9)</f>
        <v>33.28125</v>
      </c>
      <c r="AH25" s="16" t="n">
        <f aca="false">IF(AG25=0,1,MIN(1,AF25/AG25))</f>
        <v>1</v>
      </c>
      <c r="AI25" s="15" t="n">
        <f aca="false">AD25*AH25</f>
        <v>28.125</v>
      </c>
      <c r="AJ25" s="15" t="n">
        <f aca="false">AE25*AH25</f>
        <v>3.4375</v>
      </c>
      <c r="AK25" s="15" t="n">
        <f aca="false">AI25*INDEX(Ipotesi!$C$49:$G$49,1,F25)*H25</f>
        <v>22500</v>
      </c>
      <c r="AL25" s="15" t="n">
        <f aca="false">AJ25*INDEX(Ipotesi!$C$51:$G$51,1,F25)*H25</f>
        <v>6875</v>
      </c>
      <c r="AM25" s="15" t="n">
        <f aca="false">AK25+AL25</f>
        <v>29375</v>
      </c>
      <c r="AN25" s="15" t="n">
        <f aca="false">INDEX(Ipotesi!$C$30:$G$30,1,F25)*G25/12</f>
        <v>16.875</v>
      </c>
      <c r="AO25" s="15" t="n">
        <f aca="false">O25*Parametri_v3!$C$7*Parametri_v3!$C$11*(1-Parametri_v3!$C$14)/12</f>
        <v>25.6666666666667</v>
      </c>
      <c r="AP25" s="15" t="n">
        <f aca="false">MIN(AN25,AO25)</f>
        <v>16.875</v>
      </c>
      <c r="AQ25" s="15" t="n">
        <f aca="false">AP25*INDEX(Ipotesi!$C$31:$G$31,1,F25)*H25</f>
        <v>16031.25</v>
      </c>
      <c r="AR25" s="15" t="n">
        <f aca="false">INDEX(Ipotesi!$C$75:$G$75,1,F25)*J25/12</f>
        <v>4583.33333333333</v>
      </c>
      <c r="AS25" s="15" t="n">
        <f aca="false">INDEX(Ipotesi!$C$81:$G$81,1,F25)*J25/12</f>
        <v>833.333333333333</v>
      </c>
      <c r="AT25" s="15" t="n">
        <f aca="false">AR25*Parametri_v3!$C$15+Z25*Parametri_v3!$C$16</f>
        <v>8638.95833333333</v>
      </c>
      <c r="AU25" s="15" t="n">
        <f aca="false">Q25*Parametri_v3!$C$16*Parametri_v3!$C$17</f>
        <v>105</v>
      </c>
      <c r="AV25" s="17" t="n">
        <f aca="false">BD24</f>
        <v>13.9642176512917</v>
      </c>
      <c r="AW25" s="17" t="n">
        <f aca="false">AV25*(1-(1-INDEX(Ipotesi!$C$34:$G$34,1,F25))^(1/12))</f>
        <v>0.122069757994301</v>
      </c>
      <c r="AX25" s="15" t="n">
        <f aca="false">ROUND(INDEX(Ipotesi!$C$32:$G$32,1,F25)*Ipotesi!C8,0)</f>
        <v>21</v>
      </c>
      <c r="AY25" s="15" t="n">
        <f aca="false">MAX(0,(AX25-(AV25-AW25))/(13-E25))</f>
        <v>1.78946302667564</v>
      </c>
      <c r="AZ25" s="15" t="n">
        <f aca="false">MIN(P25*Parametri_v3!$C$22,Q25*(1-Parametri_v3!$C$16)*Parametri_v3!$C$23)</f>
        <v>67.5</v>
      </c>
      <c r="BA25" s="15" t="n">
        <f aca="false">IF(OR(INDEX(Ipotesi!$C$35:$G$35,1,F25)&lt;=0,21-Parametri_v3!$C$21&lt;1),0,INDEX($AT$5:$AT$64,MAX(1,21-Parametri_v3!$C$21))/(INDEX(Ipotesi!$C$35:$G$35,1,F25)*Ipotesi!C27))</f>
        <v>2.39971064814815</v>
      </c>
      <c r="BB25" s="15" t="n">
        <f aca="false">IF(21-Parametri_v3!$C$21&lt;1,0,INDEX($AU$5:$AU$64,MAX(1,21-Parametri_v3!$C$21)))*Parametri_v3!$C$18*Parametri_v3!$C$19*Parametri_v3!$C$20</f>
        <v>3.9375</v>
      </c>
      <c r="BC25" s="17" t="n">
        <f aca="false">MAX(0,MIN(AY25,BA25,BB25,MAX(0,AZ25-(AV25-AW25))))</f>
        <v>1.78946302667564</v>
      </c>
      <c r="BD25" s="17" t="n">
        <f aca="false">AV25-AW25+BC25</f>
        <v>15.6316109199731</v>
      </c>
      <c r="BE25" s="17" t="n">
        <f aca="false">(AV25+BD25)/2</f>
        <v>14.7979142856324</v>
      </c>
      <c r="BF25" s="15" t="n">
        <f aca="false">BE25*INDEX(Ipotesi!$C$33:$G$33,1,F25)*H25/12</f>
        <v>4932.6380952108</v>
      </c>
      <c r="BG25" s="15" t="n">
        <f aca="false">BD25*INDEX(Ipotesi!$C$33:$G$33,1,F25)*H25</f>
        <v>62526.4436798923</v>
      </c>
      <c r="BH25" s="15" t="n">
        <f aca="false">AM25*INDEX(Ipotesi!$C$37:$G$37,1,F25)</f>
        <v>2937.5</v>
      </c>
      <c r="BI25" s="15" t="n">
        <f aca="false">AQ25+BF25+BH25</f>
        <v>23901.3880952108</v>
      </c>
      <c r="BJ25" s="15" t="n">
        <f aca="false">INDEX(Ipotesi!$C$68:$G$68,1,F25)*Ipotesi!$C$69/12</f>
        <v>1600</v>
      </c>
      <c r="BK25" s="15" t="n">
        <f aca="false">INDEX(Ipotesi!$C$68:$G$68,1,F25)*(1-Ipotesi!$C$69)/12</f>
        <v>2400</v>
      </c>
      <c r="BL25" s="15" t="n">
        <f aca="false">(AQ25+BF25)*Ipotesi!$C$67</f>
        <v>628.916642856324</v>
      </c>
      <c r="BM25" s="15" t="n">
        <f aca="false">AM25*Ipotesi!$C$67</f>
        <v>881.25</v>
      </c>
      <c r="BN25" s="15" t="n">
        <f aca="false">INDEX(Ipotesi!$C$72:$G$72,1,F25)/12*Ipotesi!C126+BF25*Ipotesi!$C$73</f>
        <v>1644.61104761686</v>
      </c>
      <c r="BO25" s="15" t="n">
        <f aca="false">INDEX(Ipotesi!$C$74:$G$74,1,F25)/12*Ipotesi!C126</f>
        <v>1833.33333333333</v>
      </c>
      <c r="BP25" s="15" t="n">
        <f aca="false">INDEX(Ipotesi!$C$76:$G$76,1,F25)/12</f>
        <v>750</v>
      </c>
      <c r="BQ25" s="15" t="n">
        <f aca="false">INDEX(Ipotesi!$C$77:$G$77,1,F25)/12*Ipotesi!C126</f>
        <v>1666.66666666667</v>
      </c>
      <c r="BR25" s="15" t="n">
        <f aca="false">INDEX(Ipotesi!$C$78:$G$78,1,F25)/12</f>
        <v>1250</v>
      </c>
      <c r="BS25" s="15" t="n">
        <f aca="false">SUM(M25:R25)*(Ipotesi!$C$85+Ipotesi!$C$86)/12</f>
        <v>2625</v>
      </c>
      <c r="BT25" s="15" t="n">
        <f aca="false">BI25*Ipotesi!$C$87</f>
        <v>717.041642856324</v>
      </c>
      <c r="BU25" s="15" t="n">
        <f aca="false">INDEX(Ipotesi!$C$55:$G$55,1,F25)*K25/12</f>
        <v>1000</v>
      </c>
      <c r="BV25" s="15" t="n">
        <f aca="false">INDEX(Ipotesi!$C$80:$G$80,1,F25)/12*Ipotesi!C126</f>
        <v>833.333333333333</v>
      </c>
      <c r="BW25" s="15" t="n">
        <f aca="false">INDEX(Ipotesi!$C$82:$G$82,1,F25)/12</f>
        <v>666.666666666667</v>
      </c>
      <c r="BX25" s="15" t="n">
        <f aca="false">INDEX(Ipotesi!$C$83:$G$83,1,F25)/12</f>
        <v>583.333333333333</v>
      </c>
      <c r="BY25" s="15" t="n">
        <f aca="false">SUM(S25:U25)*(Ipotesi!$C$85+Ipotesi!$C$86)/12</f>
        <v>1166.66666666667</v>
      </c>
      <c r="BZ25" s="15" t="n">
        <f aca="false">AM25*Ipotesi!$C$87</f>
        <v>881.25</v>
      </c>
      <c r="CA25" s="15" t="n">
        <f aca="false">AB25+BJ25+BL25+BN25+BO25+AR25+BP25+BQ25+BR25+BS25+BT25</f>
        <v>57061.4026666629</v>
      </c>
      <c r="CB25" s="15" t="n">
        <f aca="false">AC25+BK25+BM25+BH25+BU25+BV25+AS25+BW25+BX25+BY25+BZ25</f>
        <v>28148.3333333333</v>
      </c>
      <c r="CC25" s="15" t="n">
        <f aca="false">BI25-CA25</f>
        <v>-33160.0145714521</v>
      </c>
      <c r="CD25" s="15" t="n">
        <f aca="false">AM25-CB25</f>
        <v>1226.66666666667</v>
      </c>
      <c r="CE25" s="15" t="n">
        <f aca="false">INDEX(Ipotesi!$C$79:$G$79,1,F25)/12</f>
        <v>2083.33333333333</v>
      </c>
      <c r="CF25" s="15" t="n">
        <f aca="false">INDEX(Ipotesi!$C$84:$G$84,1,F25)/12</f>
        <v>416.666666666667</v>
      </c>
      <c r="CG25" s="15" t="n">
        <f aca="false">Y25*MAX(0,Parametri_v3!$C$12-IF(P25=0,0,MIN(1,BE25/(P25*Parametri_v3!$C$22))))+W25*Parametri_v3!$C$13+X25*Parametri_v3!$C$14</f>
        <v>15244.0895119083</v>
      </c>
      <c r="CH25" s="15" t="n">
        <f aca="false">AB25*Parametri_v3!$C$32</f>
        <v>1988.125</v>
      </c>
      <c r="CI25" s="15" t="n">
        <f aca="false">AC25*Parametri_v3!$C$32</f>
        <v>798.25</v>
      </c>
      <c r="CJ25" s="15" t="n">
        <f aca="false">CA25-AB25</f>
        <v>17298.9026666629</v>
      </c>
      <c r="CK25" s="15" t="n">
        <f aca="false">CB25-AC25-BH25</f>
        <v>9245.83333333333</v>
      </c>
      <c r="CL25" s="15" t="n">
        <f aca="false">BF25*Ipotesi!$C$73+INDEX(Ipotesi!$C$72:$G$72,1,F25)/12*Ipotesi!C126*Parametri_v3!$C$58+Z25*(1-Parametri_v3!$C$16)</f>
        <v>3382.73604761686</v>
      </c>
      <c r="CM25" s="16" t="n">
        <f aca="false">IF(BF25=0,0,1-CL25/BF25)</f>
        <v>0.314213615042784</v>
      </c>
    </row>
    <row r="26" customFormat="false" ht="18" hidden="false" customHeight="true" outlineLevel="0" collapsed="false">
      <c r="A26" s="68" t="n">
        <f aca="false">1</f>
        <v>1</v>
      </c>
      <c r="B26" s="68" t="n">
        <f aca="false">22</f>
        <v>22</v>
      </c>
      <c r="C26" s="18" t="n">
        <f aca="false">EDATE(Parametri_v3!$C$5,22-1)</f>
        <v>47027</v>
      </c>
      <c r="D26" s="68" t="n">
        <f aca="false">YEAR(C26)</f>
        <v>2028</v>
      </c>
      <c r="E26" s="68" t="n">
        <f aca="false">MONTH(C26)</f>
        <v>10</v>
      </c>
      <c r="F26" s="68" t="n">
        <f aca="false">INT((22-1)/12)+1</f>
        <v>2</v>
      </c>
      <c r="G26" s="15" t="n">
        <f aca="false">Ipotesi!C7</f>
        <v>0.75</v>
      </c>
      <c r="H26" s="15" t="n">
        <f aca="false">Ipotesi!C9</f>
        <v>1</v>
      </c>
      <c r="I26" s="15" t="n">
        <f aca="false">Ipotesi!C10</f>
        <v>1</v>
      </c>
      <c r="J26" s="15" t="n">
        <f aca="false">Ipotesi!C11</f>
        <v>1</v>
      </c>
      <c r="K26" s="15" t="n">
        <f aca="false">Ipotesi!C12</f>
        <v>1</v>
      </c>
      <c r="L26" s="15" t="n">
        <f aca="false">Ipotesi!C13</f>
        <v>90</v>
      </c>
      <c r="M26" s="17" t="n">
        <f aca="false">INDEX(Ipotesi!$C$40:$G$40,1,F26)</f>
        <v>1</v>
      </c>
      <c r="N26" s="17" t="n">
        <f aca="false">INDEX(Ipotesi!$C$41:$G$41,1,F26)</f>
        <v>1</v>
      </c>
      <c r="O26" s="17" t="n">
        <f aca="false">INDEX(Ipotesi!$C$42:$G$42,1,F26)*Ipotesi!C125</f>
        <v>2.5</v>
      </c>
      <c r="P26" s="17" t="n">
        <f aca="false">INDEX(Ipotesi!$C$43:$G$43,1,F26)*I26</f>
        <v>2.5</v>
      </c>
      <c r="Q26" s="17" t="n">
        <f aca="false">INDEX(Ipotesi!$C$44:$G$44,1,F26)*I26</f>
        <v>1.5</v>
      </c>
      <c r="R26" s="17" t="n">
        <f aca="false">INDEX(Ipotesi!$C$45:$G$45,1,F26)*I26</f>
        <v>0.5</v>
      </c>
      <c r="S26" s="17" t="n">
        <f aca="false">INDEX(Ipotesi!$C$52:$G$52,1,F26)*Ipotesi!C125</f>
        <v>3</v>
      </c>
      <c r="T26" s="17" t="n">
        <f aca="false">INDEX(Ipotesi!$C$53:$G$53,1,F26)*I26</f>
        <v>1</v>
      </c>
      <c r="U26" s="17" t="n">
        <f aca="false">INDEX(Ipotesi!$C$54:$G$54,1,F26)*I26</f>
        <v>0</v>
      </c>
      <c r="V26" s="15" t="n">
        <f aca="false">M26*INDEX(Ipotesi!$C$58:$G$58,1,F26)*K26/12</f>
        <v>5000</v>
      </c>
      <c r="W26" s="15" t="n">
        <f aca="false">N26*Ipotesi!$C$59*(1+Ipotesi!$C$66)^(F26-1)/12</f>
        <v>6008.33333333333</v>
      </c>
      <c r="X26" s="15" t="n">
        <f aca="false">O26*Ipotesi!$C$60*(1+Ipotesi!$C$66)^(F26-1)/12</f>
        <v>10729.1666666667</v>
      </c>
      <c r="Y26" s="15" t="n">
        <f aca="false">P26*Ipotesi!$C$61*(1+Ipotesi!$C$66)^(F26-1)/12</f>
        <v>10729.1666666667</v>
      </c>
      <c r="Z26" s="15" t="n">
        <f aca="false">Q26*Ipotesi!$C$62*(1+Ipotesi!$C$66)^(F26-1)/12</f>
        <v>5793.75</v>
      </c>
      <c r="AA26" s="15" t="n">
        <f aca="false">R26*Ipotesi!$C$63*(1+Ipotesi!$C$66)^(F26-1)/12</f>
        <v>1502.08333333333</v>
      </c>
      <c r="AB26" s="15" t="n">
        <f aca="false">SUM(V26:AA26)</f>
        <v>39762.5</v>
      </c>
      <c r="AC26" s="15" t="n">
        <f aca="false">(S26*Ipotesi!$C$64+T26*Ipotesi!$C$65+U26*Ipotesi!$C$63)*(1+Ipotesi!$C$66)^(F26-1)/12</f>
        <v>15965</v>
      </c>
      <c r="AD26" s="15" t="n">
        <f aca="false">INDEX(Ipotesi!$C$48:$G$48,1,F26)*G26/12</f>
        <v>28.125</v>
      </c>
      <c r="AE26" s="15" t="n">
        <f aca="false">INDEX(Ipotesi!$C$50:$G$50,1,F26)*G26/12</f>
        <v>3.4375</v>
      </c>
      <c r="AF26" s="15" t="n">
        <f aca="false">(S26*Parametri_v3!$C$7*Parametri_v3!$C$8+Parametri_v3!$C$10)/12</f>
        <v>38.5</v>
      </c>
      <c r="AG26" s="15" t="n">
        <f aca="false">AD26+AE26*(1+Parametri_v3!$C$9)</f>
        <v>33.28125</v>
      </c>
      <c r="AH26" s="16" t="n">
        <f aca="false">IF(AG26=0,1,MIN(1,AF26/AG26))</f>
        <v>1</v>
      </c>
      <c r="AI26" s="15" t="n">
        <f aca="false">AD26*AH26</f>
        <v>28.125</v>
      </c>
      <c r="AJ26" s="15" t="n">
        <f aca="false">AE26*AH26</f>
        <v>3.4375</v>
      </c>
      <c r="AK26" s="15" t="n">
        <f aca="false">AI26*INDEX(Ipotesi!$C$49:$G$49,1,F26)*H26</f>
        <v>22500</v>
      </c>
      <c r="AL26" s="15" t="n">
        <f aca="false">AJ26*INDEX(Ipotesi!$C$51:$G$51,1,F26)*H26</f>
        <v>6875</v>
      </c>
      <c r="AM26" s="15" t="n">
        <f aca="false">AK26+AL26</f>
        <v>29375</v>
      </c>
      <c r="AN26" s="15" t="n">
        <f aca="false">INDEX(Ipotesi!$C$30:$G$30,1,F26)*G26/12</f>
        <v>16.875</v>
      </c>
      <c r="AO26" s="15" t="n">
        <f aca="false">O26*Parametri_v3!$C$7*Parametri_v3!$C$11*(1-Parametri_v3!$C$14)/12</f>
        <v>25.6666666666667</v>
      </c>
      <c r="AP26" s="15" t="n">
        <f aca="false">MIN(AN26,AO26)</f>
        <v>16.875</v>
      </c>
      <c r="AQ26" s="15" t="n">
        <f aca="false">AP26*INDEX(Ipotesi!$C$31:$G$31,1,F26)*H26</f>
        <v>16031.25</v>
      </c>
      <c r="AR26" s="15" t="n">
        <f aca="false">INDEX(Ipotesi!$C$75:$G$75,1,F26)*J26/12</f>
        <v>4583.33333333333</v>
      </c>
      <c r="AS26" s="15" t="n">
        <f aca="false">INDEX(Ipotesi!$C$81:$G$81,1,F26)*J26/12</f>
        <v>833.333333333333</v>
      </c>
      <c r="AT26" s="15" t="n">
        <f aca="false">AR26*Parametri_v3!$C$15+Z26*Parametri_v3!$C$16</f>
        <v>8638.95833333333</v>
      </c>
      <c r="AU26" s="15" t="n">
        <f aca="false">Q26*Parametri_v3!$C$16*Parametri_v3!$C$17</f>
        <v>105</v>
      </c>
      <c r="AV26" s="17" t="n">
        <f aca="false">BD25</f>
        <v>15.6316109199731</v>
      </c>
      <c r="AW26" s="17" t="n">
        <f aca="false">AV26*(1-(1-INDEX(Ipotesi!$C$34:$G$34,1,F26))^(1/12))</f>
        <v>0.136645461257594</v>
      </c>
      <c r="AX26" s="15" t="n">
        <f aca="false">ROUND(INDEX(Ipotesi!$C$32:$G$32,1,F26)*Ipotesi!C8,0)</f>
        <v>21</v>
      </c>
      <c r="AY26" s="15" t="n">
        <f aca="false">MAX(0,(AX26-(AV26-AW26))/(13-E26))</f>
        <v>1.8350115137615</v>
      </c>
      <c r="AZ26" s="15" t="n">
        <f aca="false">MIN(P26*Parametri_v3!$C$22,Q26*(1-Parametri_v3!$C$16)*Parametri_v3!$C$23)</f>
        <v>67.5</v>
      </c>
      <c r="BA26" s="15" t="n">
        <f aca="false">IF(OR(INDEX(Ipotesi!$C$35:$G$35,1,F26)&lt;=0,22-Parametri_v3!$C$21&lt;1),0,INDEX($AT$5:$AT$64,MAX(1,22-Parametri_v3!$C$21))/(INDEX(Ipotesi!$C$35:$G$35,1,F26)*Ipotesi!C27))</f>
        <v>2.39971064814815</v>
      </c>
      <c r="BB26" s="15" t="n">
        <f aca="false">IF(22-Parametri_v3!$C$21&lt;1,0,INDEX($AU$5:$AU$64,MAX(1,22-Parametri_v3!$C$21)))*Parametri_v3!$C$18*Parametri_v3!$C$19*Parametri_v3!$C$20</f>
        <v>3.9375</v>
      </c>
      <c r="BC26" s="17" t="n">
        <f aca="false">MAX(0,MIN(AY26,BA26,BB26,MAX(0,AZ26-(AV26-AW26))))</f>
        <v>1.8350115137615</v>
      </c>
      <c r="BD26" s="17" t="n">
        <f aca="false">AV26-AW26+BC26</f>
        <v>17.329976972477</v>
      </c>
      <c r="BE26" s="17" t="n">
        <f aca="false">(AV26+BD26)/2</f>
        <v>16.480793946225</v>
      </c>
      <c r="BF26" s="15" t="n">
        <f aca="false">BE26*INDEX(Ipotesi!$C$33:$G$33,1,F26)*H26/12</f>
        <v>5493.59798207501</v>
      </c>
      <c r="BG26" s="15" t="n">
        <f aca="false">BD26*INDEX(Ipotesi!$C$33:$G$33,1,F26)*H26</f>
        <v>69319.907889908</v>
      </c>
      <c r="BH26" s="15" t="n">
        <f aca="false">AM26*INDEX(Ipotesi!$C$37:$G$37,1,F26)</f>
        <v>2937.5</v>
      </c>
      <c r="BI26" s="15" t="n">
        <f aca="false">AQ26+BF26+BH26</f>
        <v>24462.347982075</v>
      </c>
      <c r="BJ26" s="15" t="n">
        <f aca="false">INDEX(Ipotesi!$C$68:$G$68,1,F26)*Ipotesi!$C$69/12</f>
        <v>1600</v>
      </c>
      <c r="BK26" s="15" t="n">
        <f aca="false">INDEX(Ipotesi!$C$68:$G$68,1,F26)*(1-Ipotesi!$C$69)/12</f>
        <v>2400</v>
      </c>
      <c r="BL26" s="15" t="n">
        <f aca="false">(AQ26+BF26)*Ipotesi!$C$67</f>
        <v>645.74543946225</v>
      </c>
      <c r="BM26" s="15" t="n">
        <f aca="false">AM26*Ipotesi!$C$67</f>
        <v>881.25</v>
      </c>
      <c r="BN26" s="15" t="n">
        <f aca="false">INDEX(Ipotesi!$C$72:$G$72,1,F26)/12*Ipotesi!C126+BF26*Ipotesi!$C$73</f>
        <v>1689.487838566</v>
      </c>
      <c r="BO26" s="15" t="n">
        <f aca="false">INDEX(Ipotesi!$C$74:$G$74,1,F26)/12*Ipotesi!C126</f>
        <v>1833.33333333333</v>
      </c>
      <c r="BP26" s="15" t="n">
        <f aca="false">INDEX(Ipotesi!$C$76:$G$76,1,F26)/12</f>
        <v>750</v>
      </c>
      <c r="BQ26" s="15" t="n">
        <f aca="false">INDEX(Ipotesi!$C$77:$G$77,1,F26)/12*Ipotesi!C126</f>
        <v>1666.66666666667</v>
      </c>
      <c r="BR26" s="15" t="n">
        <f aca="false">INDEX(Ipotesi!$C$78:$G$78,1,F26)/12</f>
        <v>1250</v>
      </c>
      <c r="BS26" s="15" t="n">
        <f aca="false">SUM(M26:R26)*(Ipotesi!$C$85+Ipotesi!$C$86)/12</f>
        <v>2625</v>
      </c>
      <c r="BT26" s="15" t="n">
        <f aca="false">BI26*Ipotesi!$C$87</f>
        <v>733.87043946225</v>
      </c>
      <c r="BU26" s="15" t="n">
        <f aca="false">INDEX(Ipotesi!$C$55:$G$55,1,F26)*K26/12</f>
        <v>1000</v>
      </c>
      <c r="BV26" s="15" t="n">
        <f aca="false">INDEX(Ipotesi!$C$80:$G$80,1,F26)/12*Ipotesi!C126</f>
        <v>833.333333333333</v>
      </c>
      <c r="BW26" s="15" t="n">
        <f aca="false">INDEX(Ipotesi!$C$82:$G$82,1,F26)/12</f>
        <v>666.666666666667</v>
      </c>
      <c r="BX26" s="15" t="n">
        <f aca="false">INDEX(Ipotesi!$C$83:$G$83,1,F26)/12</f>
        <v>583.333333333333</v>
      </c>
      <c r="BY26" s="15" t="n">
        <f aca="false">SUM(S26:U26)*(Ipotesi!$C$85+Ipotesi!$C$86)/12</f>
        <v>1166.66666666667</v>
      </c>
      <c r="BZ26" s="15" t="n">
        <f aca="false">AM26*Ipotesi!$C$87</f>
        <v>881.25</v>
      </c>
      <c r="CA26" s="15" t="n">
        <f aca="false">AB26+BJ26+BL26+BN26+BO26+AR26+BP26+BQ26+BR26+BS26+BT26</f>
        <v>57139.9370508238</v>
      </c>
      <c r="CB26" s="15" t="n">
        <f aca="false">AC26+BK26+BM26+BH26+BU26+BV26+AS26+BW26+BX26+BY26+BZ26</f>
        <v>28148.3333333333</v>
      </c>
      <c r="CC26" s="15" t="n">
        <f aca="false">BI26-CA26</f>
        <v>-32677.5890687488</v>
      </c>
      <c r="CD26" s="15" t="n">
        <f aca="false">AM26-CB26</f>
        <v>1226.66666666667</v>
      </c>
      <c r="CE26" s="15" t="n">
        <f aca="false">INDEX(Ipotesi!$C$79:$G$79,1,F26)/12</f>
        <v>2083.33333333333</v>
      </c>
      <c r="CF26" s="15" t="n">
        <f aca="false">INDEX(Ipotesi!$C$84:$G$84,1,F26)/12</f>
        <v>416.666666666667</v>
      </c>
      <c r="CG26" s="15" t="n">
        <f aca="false">Y26*MAX(0,Parametri_v3!$C$12-IF(P26=0,0,MIN(1,BE26/(P26*Parametri_v3!$C$22))))+W26*Parametri_v3!$C$13+X26*Parametri_v3!$C$14</f>
        <v>15171.8659264745</v>
      </c>
      <c r="CH26" s="15" t="n">
        <f aca="false">AB26*Parametri_v3!$C$32</f>
        <v>1988.125</v>
      </c>
      <c r="CI26" s="15" t="n">
        <f aca="false">AC26*Parametri_v3!$C$32</f>
        <v>798.25</v>
      </c>
      <c r="CJ26" s="15" t="n">
        <f aca="false">CA26-AB26</f>
        <v>17377.4370508238</v>
      </c>
      <c r="CK26" s="15" t="n">
        <f aca="false">CB26-AC26-BH26</f>
        <v>9245.83333333333</v>
      </c>
      <c r="CL26" s="15" t="n">
        <f aca="false">BF26*Ipotesi!$C$73+INDEX(Ipotesi!$C$72:$G$72,1,F26)/12*Ipotesi!C126*Parametri_v3!$C$58+Z26*(1-Parametri_v3!$C$16)</f>
        <v>3427.612838566</v>
      </c>
      <c r="CM26" s="16" t="n">
        <f aca="false">IF(BF26=0,0,1-CL26/BF26)</f>
        <v>0.37607141080401</v>
      </c>
    </row>
    <row r="27" customFormat="false" ht="18" hidden="false" customHeight="true" outlineLevel="0" collapsed="false">
      <c r="A27" s="68" t="n">
        <f aca="false">1</f>
        <v>1</v>
      </c>
      <c r="B27" s="68" t="n">
        <f aca="false">23</f>
        <v>23</v>
      </c>
      <c r="C27" s="18" t="n">
        <f aca="false">EDATE(Parametri_v3!$C$5,23-1)</f>
        <v>47058</v>
      </c>
      <c r="D27" s="68" t="n">
        <f aca="false">YEAR(C27)</f>
        <v>2028</v>
      </c>
      <c r="E27" s="68" t="n">
        <f aca="false">MONTH(C27)</f>
        <v>11</v>
      </c>
      <c r="F27" s="68" t="n">
        <f aca="false">INT((23-1)/12)+1</f>
        <v>2</v>
      </c>
      <c r="G27" s="15" t="n">
        <f aca="false">Ipotesi!C7</f>
        <v>0.75</v>
      </c>
      <c r="H27" s="15" t="n">
        <f aca="false">Ipotesi!C9</f>
        <v>1</v>
      </c>
      <c r="I27" s="15" t="n">
        <f aca="false">Ipotesi!C10</f>
        <v>1</v>
      </c>
      <c r="J27" s="15" t="n">
        <f aca="false">Ipotesi!C11</f>
        <v>1</v>
      </c>
      <c r="K27" s="15" t="n">
        <f aca="false">Ipotesi!C12</f>
        <v>1</v>
      </c>
      <c r="L27" s="15" t="n">
        <f aca="false">Ipotesi!C13</f>
        <v>90</v>
      </c>
      <c r="M27" s="17" t="n">
        <f aca="false">INDEX(Ipotesi!$C$40:$G$40,1,F27)</f>
        <v>1</v>
      </c>
      <c r="N27" s="17" t="n">
        <f aca="false">INDEX(Ipotesi!$C$41:$G$41,1,F27)</f>
        <v>1</v>
      </c>
      <c r="O27" s="17" t="n">
        <f aca="false">INDEX(Ipotesi!$C$42:$G$42,1,F27)*Ipotesi!C125</f>
        <v>2.5</v>
      </c>
      <c r="P27" s="17" t="n">
        <f aca="false">INDEX(Ipotesi!$C$43:$G$43,1,F27)*I27</f>
        <v>2.5</v>
      </c>
      <c r="Q27" s="17" t="n">
        <f aca="false">INDEX(Ipotesi!$C$44:$G$44,1,F27)*I27</f>
        <v>1.5</v>
      </c>
      <c r="R27" s="17" t="n">
        <f aca="false">INDEX(Ipotesi!$C$45:$G$45,1,F27)*I27</f>
        <v>0.5</v>
      </c>
      <c r="S27" s="17" t="n">
        <f aca="false">INDEX(Ipotesi!$C$52:$G$52,1,F27)*Ipotesi!C125</f>
        <v>3</v>
      </c>
      <c r="T27" s="17" t="n">
        <f aca="false">INDEX(Ipotesi!$C$53:$G$53,1,F27)*I27</f>
        <v>1</v>
      </c>
      <c r="U27" s="17" t="n">
        <f aca="false">INDEX(Ipotesi!$C$54:$G$54,1,F27)*I27</f>
        <v>0</v>
      </c>
      <c r="V27" s="15" t="n">
        <f aca="false">M27*INDEX(Ipotesi!$C$58:$G$58,1,F27)*K27/12</f>
        <v>5000</v>
      </c>
      <c r="W27" s="15" t="n">
        <f aca="false">N27*Ipotesi!$C$59*(1+Ipotesi!$C$66)^(F27-1)/12</f>
        <v>6008.33333333333</v>
      </c>
      <c r="X27" s="15" t="n">
        <f aca="false">O27*Ipotesi!$C$60*(1+Ipotesi!$C$66)^(F27-1)/12</f>
        <v>10729.1666666667</v>
      </c>
      <c r="Y27" s="15" t="n">
        <f aca="false">P27*Ipotesi!$C$61*(1+Ipotesi!$C$66)^(F27-1)/12</f>
        <v>10729.1666666667</v>
      </c>
      <c r="Z27" s="15" t="n">
        <f aca="false">Q27*Ipotesi!$C$62*(1+Ipotesi!$C$66)^(F27-1)/12</f>
        <v>5793.75</v>
      </c>
      <c r="AA27" s="15" t="n">
        <f aca="false">R27*Ipotesi!$C$63*(1+Ipotesi!$C$66)^(F27-1)/12</f>
        <v>1502.08333333333</v>
      </c>
      <c r="AB27" s="15" t="n">
        <f aca="false">SUM(V27:AA27)</f>
        <v>39762.5</v>
      </c>
      <c r="AC27" s="15" t="n">
        <f aca="false">(S27*Ipotesi!$C$64+T27*Ipotesi!$C$65+U27*Ipotesi!$C$63)*(1+Ipotesi!$C$66)^(F27-1)/12</f>
        <v>15965</v>
      </c>
      <c r="AD27" s="15" t="n">
        <f aca="false">INDEX(Ipotesi!$C$48:$G$48,1,F27)*G27/12</f>
        <v>28.125</v>
      </c>
      <c r="AE27" s="15" t="n">
        <f aca="false">INDEX(Ipotesi!$C$50:$G$50,1,F27)*G27/12</f>
        <v>3.4375</v>
      </c>
      <c r="AF27" s="15" t="n">
        <f aca="false">(S27*Parametri_v3!$C$7*Parametri_v3!$C$8+Parametri_v3!$C$10)/12</f>
        <v>38.5</v>
      </c>
      <c r="AG27" s="15" t="n">
        <f aca="false">AD27+AE27*(1+Parametri_v3!$C$9)</f>
        <v>33.28125</v>
      </c>
      <c r="AH27" s="16" t="n">
        <f aca="false">IF(AG27=0,1,MIN(1,AF27/AG27))</f>
        <v>1</v>
      </c>
      <c r="AI27" s="15" t="n">
        <f aca="false">AD27*AH27</f>
        <v>28.125</v>
      </c>
      <c r="AJ27" s="15" t="n">
        <f aca="false">AE27*AH27</f>
        <v>3.4375</v>
      </c>
      <c r="AK27" s="15" t="n">
        <f aca="false">AI27*INDEX(Ipotesi!$C$49:$G$49,1,F27)*H27</f>
        <v>22500</v>
      </c>
      <c r="AL27" s="15" t="n">
        <f aca="false">AJ27*INDEX(Ipotesi!$C$51:$G$51,1,F27)*H27</f>
        <v>6875</v>
      </c>
      <c r="AM27" s="15" t="n">
        <f aca="false">AK27+AL27</f>
        <v>29375</v>
      </c>
      <c r="AN27" s="15" t="n">
        <f aca="false">INDEX(Ipotesi!$C$30:$G$30,1,F27)*G27/12</f>
        <v>16.875</v>
      </c>
      <c r="AO27" s="15" t="n">
        <f aca="false">O27*Parametri_v3!$C$7*Parametri_v3!$C$11*(1-Parametri_v3!$C$14)/12</f>
        <v>25.6666666666667</v>
      </c>
      <c r="AP27" s="15" t="n">
        <f aca="false">MIN(AN27,AO27)</f>
        <v>16.875</v>
      </c>
      <c r="AQ27" s="15" t="n">
        <f aca="false">AP27*INDEX(Ipotesi!$C$31:$G$31,1,F27)*H27</f>
        <v>16031.25</v>
      </c>
      <c r="AR27" s="15" t="n">
        <f aca="false">INDEX(Ipotesi!$C$75:$G$75,1,F27)*J27/12</f>
        <v>4583.33333333333</v>
      </c>
      <c r="AS27" s="15" t="n">
        <f aca="false">INDEX(Ipotesi!$C$81:$G$81,1,F27)*J27/12</f>
        <v>833.333333333333</v>
      </c>
      <c r="AT27" s="15" t="n">
        <f aca="false">AR27*Parametri_v3!$C$15+Z27*Parametri_v3!$C$16</f>
        <v>8638.95833333333</v>
      </c>
      <c r="AU27" s="15" t="n">
        <f aca="false">Q27*Parametri_v3!$C$16*Parametri_v3!$C$17</f>
        <v>105</v>
      </c>
      <c r="AV27" s="17" t="n">
        <f aca="false">BD26</f>
        <v>17.329976972477</v>
      </c>
      <c r="AW27" s="17" t="n">
        <f aca="false">AV27*(1-(1-INDEX(Ipotesi!$C$34:$G$34,1,F27))^(1/12))</f>
        <v>0.151491916547247</v>
      </c>
      <c r="AX27" s="15" t="n">
        <f aca="false">ROUND(INDEX(Ipotesi!$C$32:$G$32,1,F27)*Ipotesi!C8,0)</f>
        <v>21</v>
      </c>
      <c r="AY27" s="15" t="n">
        <f aca="false">MAX(0,(AX27-(AV27-AW27))/(13-E27))</f>
        <v>1.91075747203513</v>
      </c>
      <c r="AZ27" s="15" t="n">
        <f aca="false">MIN(P27*Parametri_v3!$C$22,Q27*(1-Parametri_v3!$C$16)*Parametri_v3!$C$23)</f>
        <v>67.5</v>
      </c>
      <c r="BA27" s="15" t="n">
        <f aca="false">IF(OR(INDEX(Ipotesi!$C$35:$G$35,1,F27)&lt;=0,23-Parametri_v3!$C$21&lt;1),0,INDEX($AT$5:$AT$64,MAX(1,23-Parametri_v3!$C$21))/(INDEX(Ipotesi!$C$35:$G$35,1,F27)*Ipotesi!C27))</f>
        <v>2.39971064814815</v>
      </c>
      <c r="BB27" s="15" t="n">
        <f aca="false">IF(23-Parametri_v3!$C$21&lt;1,0,INDEX($AU$5:$AU$64,MAX(1,23-Parametri_v3!$C$21)))*Parametri_v3!$C$18*Parametri_v3!$C$19*Parametri_v3!$C$20</f>
        <v>3.9375</v>
      </c>
      <c r="BC27" s="17" t="n">
        <f aca="false">MAX(0,MIN(AY27,BA27,BB27,MAX(0,AZ27-(AV27-AW27))))</f>
        <v>1.91075747203513</v>
      </c>
      <c r="BD27" s="17" t="n">
        <f aca="false">AV27-AW27+BC27</f>
        <v>19.0892425279649</v>
      </c>
      <c r="BE27" s="17" t="n">
        <f aca="false">(AV27+BD27)/2</f>
        <v>18.2096097502209</v>
      </c>
      <c r="BF27" s="15" t="n">
        <f aca="false">BE27*INDEX(Ipotesi!$C$33:$G$33,1,F27)*H27/12</f>
        <v>6069.86991674031</v>
      </c>
      <c r="BG27" s="15" t="n">
        <f aca="false">BD27*INDEX(Ipotesi!$C$33:$G$33,1,F27)*H27</f>
        <v>76356.9701118595</v>
      </c>
      <c r="BH27" s="15" t="n">
        <f aca="false">AM27*INDEX(Ipotesi!$C$37:$G$37,1,F27)</f>
        <v>2937.5</v>
      </c>
      <c r="BI27" s="15" t="n">
        <f aca="false">AQ27+BF27+BH27</f>
        <v>25038.6199167403</v>
      </c>
      <c r="BJ27" s="15" t="n">
        <f aca="false">INDEX(Ipotesi!$C$68:$G$68,1,F27)*Ipotesi!$C$69/12</f>
        <v>1600</v>
      </c>
      <c r="BK27" s="15" t="n">
        <f aca="false">INDEX(Ipotesi!$C$68:$G$68,1,F27)*(1-Ipotesi!$C$69)/12</f>
        <v>2400</v>
      </c>
      <c r="BL27" s="15" t="n">
        <f aca="false">(AQ27+BF27)*Ipotesi!$C$67</f>
        <v>663.033597502209</v>
      </c>
      <c r="BM27" s="15" t="n">
        <f aca="false">AM27*Ipotesi!$C$67</f>
        <v>881.25</v>
      </c>
      <c r="BN27" s="15" t="n">
        <f aca="false">INDEX(Ipotesi!$C$72:$G$72,1,F27)/12*Ipotesi!C126+BF27*Ipotesi!$C$73</f>
        <v>1735.58959333922</v>
      </c>
      <c r="BO27" s="15" t="n">
        <f aca="false">INDEX(Ipotesi!$C$74:$G$74,1,F27)/12*Ipotesi!C126</f>
        <v>1833.33333333333</v>
      </c>
      <c r="BP27" s="15" t="n">
        <f aca="false">INDEX(Ipotesi!$C$76:$G$76,1,F27)/12</f>
        <v>750</v>
      </c>
      <c r="BQ27" s="15" t="n">
        <f aca="false">INDEX(Ipotesi!$C$77:$G$77,1,F27)/12*Ipotesi!C126</f>
        <v>1666.66666666667</v>
      </c>
      <c r="BR27" s="15" t="n">
        <f aca="false">INDEX(Ipotesi!$C$78:$G$78,1,F27)/12</f>
        <v>1250</v>
      </c>
      <c r="BS27" s="15" t="n">
        <f aca="false">SUM(M27:R27)*(Ipotesi!$C$85+Ipotesi!$C$86)/12</f>
        <v>2625</v>
      </c>
      <c r="BT27" s="15" t="n">
        <f aca="false">BI27*Ipotesi!$C$87</f>
        <v>751.158597502209</v>
      </c>
      <c r="BU27" s="15" t="n">
        <f aca="false">INDEX(Ipotesi!$C$55:$G$55,1,F27)*K27/12</f>
        <v>1000</v>
      </c>
      <c r="BV27" s="15" t="n">
        <f aca="false">INDEX(Ipotesi!$C$80:$G$80,1,F27)/12*Ipotesi!C126</f>
        <v>833.333333333333</v>
      </c>
      <c r="BW27" s="15" t="n">
        <f aca="false">INDEX(Ipotesi!$C$82:$G$82,1,F27)/12</f>
        <v>666.666666666667</v>
      </c>
      <c r="BX27" s="15" t="n">
        <f aca="false">INDEX(Ipotesi!$C$83:$G$83,1,F27)/12</f>
        <v>583.333333333333</v>
      </c>
      <c r="BY27" s="15" t="n">
        <f aca="false">SUM(S27:U27)*(Ipotesi!$C$85+Ipotesi!$C$86)/12</f>
        <v>1166.66666666667</v>
      </c>
      <c r="BZ27" s="15" t="n">
        <f aca="false">AM27*Ipotesi!$C$87</f>
        <v>881.25</v>
      </c>
      <c r="CA27" s="15" t="n">
        <f aca="false">AB27+BJ27+BL27+BN27+BO27+AR27+BP27+BQ27+BR27+BS27+BT27</f>
        <v>57220.615121677</v>
      </c>
      <c r="CB27" s="15" t="n">
        <f aca="false">AC27+BK27+BM27+BH27+BU27+BV27+AS27+BW27+BX27+BY27+BZ27</f>
        <v>28148.3333333333</v>
      </c>
      <c r="CC27" s="15" t="n">
        <f aca="false">BI27-CA27</f>
        <v>-32181.9952049367</v>
      </c>
      <c r="CD27" s="15" t="n">
        <f aca="false">AM27-CB27</f>
        <v>1226.66666666667</v>
      </c>
      <c r="CE27" s="15" t="n">
        <f aca="false">INDEX(Ipotesi!$C$79:$G$79,1,F27)/12</f>
        <v>2083.33333333333</v>
      </c>
      <c r="CF27" s="15" t="n">
        <f aca="false">INDEX(Ipotesi!$C$84:$G$84,1,F27)/12</f>
        <v>416.666666666667</v>
      </c>
      <c r="CG27" s="15" t="n">
        <f aca="false">Y27*MAX(0,Parametri_v3!$C$12-IF(P27=0,0,MIN(1,BE27/(P27*Parametri_v3!$C$22))))+W27*Parametri_v3!$C$13+X27*Parametri_v3!$C$14</f>
        <v>15097.6709148864</v>
      </c>
      <c r="CH27" s="15" t="n">
        <f aca="false">AB27*Parametri_v3!$C$32</f>
        <v>1988.125</v>
      </c>
      <c r="CI27" s="15" t="n">
        <f aca="false">AC27*Parametri_v3!$C$32</f>
        <v>798.25</v>
      </c>
      <c r="CJ27" s="15" t="n">
        <f aca="false">CA27-AB27</f>
        <v>17458.115121677</v>
      </c>
      <c r="CK27" s="15" t="n">
        <f aca="false">CB27-AC27-BH27</f>
        <v>9245.83333333333</v>
      </c>
      <c r="CL27" s="15" t="n">
        <f aca="false">BF27*Ipotesi!$C$73+INDEX(Ipotesi!$C$72:$G$72,1,F27)/12*Ipotesi!C126*Parametri_v3!$C$58+Z27*(1-Parametri_v3!$C$16)</f>
        <v>3473.71459333923</v>
      </c>
      <c r="CM27" s="16" t="n">
        <f aca="false">IF(BF27=0,0,1-CL27/BF27)</f>
        <v>0.427711855280631</v>
      </c>
    </row>
    <row r="28" customFormat="false" ht="18" hidden="false" customHeight="true" outlineLevel="0" collapsed="false">
      <c r="A28" s="68" t="n">
        <f aca="false">1</f>
        <v>1</v>
      </c>
      <c r="B28" s="68" t="n">
        <f aca="false">24</f>
        <v>24</v>
      </c>
      <c r="C28" s="18" t="n">
        <f aca="false">EDATE(Parametri_v3!$C$5,24-1)</f>
        <v>47088</v>
      </c>
      <c r="D28" s="68" t="n">
        <f aca="false">YEAR(C28)</f>
        <v>2028</v>
      </c>
      <c r="E28" s="68" t="n">
        <f aca="false">MONTH(C28)</f>
        <v>12</v>
      </c>
      <c r="F28" s="68" t="n">
        <f aca="false">INT((24-1)/12)+1</f>
        <v>2</v>
      </c>
      <c r="G28" s="15" t="n">
        <f aca="false">Ipotesi!C7</f>
        <v>0.75</v>
      </c>
      <c r="H28" s="15" t="n">
        <f aca="false">Ipotesi!C9</f>
        <v>1</v>
      </c>
      <c r="I28" s="15" t="n">
        <f aca="false">Ipotesi!C10</f>
        <v>1</v>
      </c>
      <c r="J28" s="15" t="n">
        <f aca="false">Ipotesi!C11</f>
        <v>1</v>
      </c>
      <c r="K28" s="15" t="n">
        <f aca="false">Ipotesi!C12</f>
        <v>1</v>
      </c>
      <c r="L28" s="15" t="n">
        <f aca="false">Ipotesi!C13</f>
        <v>90</v>
      </c>
      <c r="M28" s="17" t="n">
        <f aca="false">INDEX(Ipotesi!$C$40:$G$40,1,F28)</f>
        <v>1</v>
      </c>
      <c r="N28" s="17" t="n">
        <f aca="false">INDEX(Ipotesi!$C$41:$G$41,1,F28)</f>
        <v>1</v>
      </c>
      <c r="O28" s="17" t="n">
        <f aca="false">INDEX(Ipotesi!$C$42:$G$42,1,F28)*Ipotesi!C125</f>
        <v>2.5</v>
      </c>
      <c r="P28" s="17" t="n">
        <f aca="false">INDEX(Ipotesi!$C$43:$G$43,1,F28)*I28</f>
        <v>2.5</v>
      </c>
      <c r="Q28" s="17" t="n">
        <f aca="false">INDEX(Ipotesi!$C$44:$G$44,1,F28)*I28</f>
        <v>1.5</v>
      </c>
      <c r="R28" s="17" t="n">
        <f aca="false">INDEX(Ipotesi!$C$45:$G$45,1,F28)*I28</f>
        <v>0.5</v>
      </c>
      <c r="S28" s="17" t="n">
        <f aca="false">INDEX(Ipotesi!$C$52:$G$52,1,F28)*Ipotesi!C125</f>
        <v>3</v>
      </c>
      <c r="T28" s="17" t="n">
        <f aca="false">INDEX(Ipotesi!$C$53:$G$53,1,F28)*I28</f>
        <v>1</v>
      </c>
      <c r="U28" s="17" t="n">
        <f aca="false">INDEX(Ipotesi!$C$54:$G$54,1,F28)*I28</f>
        <v>0</v>
      </c>
      <c r="V28" s="15" t="n">
        <f aca="false">M28*INDEX(Ipotesi!$C$58:$G$58,1,F28)*K28/12</f>
        <v>5000</v>
      </c>
      <c r="W28" s="15" t="n">
        <f aca="false">N28*Ipotesi!$C$59*(1+Ipotesi!$C$66)^(F28-1)/12</f>
        <v>6008.33333333333</v>
      </c>
      <c r="X28" s="15" t="n">
        <f aca="false">O28*Ipotesi!$C$60*(1+Ipotesi!$C$66)^(F28-1)/12</f>
        <v>10729.1666666667</v>
      </c>
      <c r="Y28" s="15" t="n">
        <f aca="false">P28*Ipotesi!$C$61*(1+Ipotesi!$C$66)^(F28-1)/12</f>
        <v>10729.1666666667</v>
      </c>
      <c r="Z28" s="15" t="n">
        <f aca="false">Q28*Ipotesi!$C$62*(1+Ipotesi!$C$66)^(F28-1)/12</f>
        <v>5793.75</v>
      </c>
      <c r="AA28" s="15" t="n">
        <f aca="false">R28*Ipotesi!$C$63*(1+Ipotesi!$C$66)^(F28-1)/12</f>
        <v>1502.08333333333</v>
      </c>
      <c r="AB28" s="15" t="n">
        <f aca="false">SUM(V28:AA28)</f>
        <v>39762.5</v>
      </c>
      <c r="AC28" s="15" t="n">
        <f aca="false">(S28*Ipotesi!$C$64+T28*Ipotesi!$C$65+U28*Ipotesi!$C$63)*(1+Ipotesi!$C$66)^(F28-1)/12</f>
        <v>15965</v>
      </c>
      <c r="AD28" s="15" t="n">
        <f aca="false">INDEX(Ipotesi!$C$48:$G$48,1,F28)*G28/12</f>
        <v>28.125</v>
      </c>
      <c r="AE28" s="15" t="n">
        <f aca="false">INDEX(Ipotesi!$C$50:$G$50,1,F28)*G28/12</f>
        <v>3.4375</v>
      </c>
      <c r="AF28" s="15" t="n">
        <f aca="false">(S28*Parametri_v3!$C$7*Parametri_v3!$C$8+Parametri_v3!$C$10)/12</f>
        <v>38.5</v>
      </c>
      <c r="AG28" s="15" t="n">
        <f aca="false">AD28+AE28*(1+Parametri_v3!$C$9)</f>
        <v>33.28125</v>
      </c>
      <c r="AH28" s="16" t="n">
        <f aca="false">IF(AG28=0,1,MIN(1,AF28/AG28))</f>
        <v>1</v>
      </c>
      <c r="AI28" s="15" t="n">
        <f aca="false">AD28*AH28</f>
        <v>28.125</v>
      </c>
      <c r="AJ28" s="15" t="n">
        <f aca="false">AE28*AH28</f>
        <v>3.4375</v>
      </c>
      <c r="AK28" s="15" t="n">
        <f aca="false">AI28*INDEX(Ipotesi!$C$49:$G$49,1,F28)*H28</f>
        <v>22500</v>
      </c>
      <c r="AL28" s="15" t="n">
        <f aca="false">AJ28*INDEX(Ipotesi!$C$51:$G$51,1,F28)*H28</f>
        <v>6875</v>
      </c>
      <c r="AM28" s="15" t="n">
        <f aca="false">AK28+AL28</f>
        <v>29375</v>
      </c>
      <c r="AN28" s="15" t="n">
        <f aca="false">INDEX(Ipotesi!$C$30:$G$30,1,F28)*G28/12</f>
        <v>16.875</v>
      </c>
      <c r="AO28" s="15" t="n">
        <f aca="false">O28*Parametri_v3!$C$7*Parametri_v3!$C$11*(1-Parametri_v3!$C$14)/12</f>
        <v>25.6666666666667</v>
      </c>
      <c r="AP28" s="15" t="n">
        <f aca="false">MIN(AN28,AO28)</f>
        <v>16.875</v>
      </c>
      <c r="AQ28" s="15" t="n">
        <f aca="false">AP28*INDEX(Ipotesi!$C$31:$G$31,1,F28)*H28</f>
        <v>16031.25</v>
      </c>
      <c r="AR28" s="15" t="n">
        <f aca="false">INDEX(Ipotesi!$C$75:$G$75,1,F28)*J28/12</f>
        <v>4583.33333333333</v>
      </c>
      <c r="AS28" s="15" t="n">
        <f aca="false">INDEX(Ipotesi!$C$81:$G$81,1,F28)*J28/12</f>
        <v>833.333333333333</v>
      </c>
      <c r="AT28" s="15" t="n">
        <f aca="false">AR28*Parametri_v3!$C$15+Z28*Parametri_v3!$C$16</f>
        <v>8638.95833333333</v>
      </c>
      <c r="AU28" s="15" t="n">
        <f aca="false">Q28*Parametri_v3!$C$16*Parametri_v3!$C$17</f>
        <v>105</v>
      </c>
      <c r="AV28" s="17" t="n">
        <f aca="false">BD27</f>
        <v>19.0892425279649</v>
      </c>
      <c r="AW28" s="17" t="n">
        <f aca="false">AV28*(1-(1-INDEX(Ipotesi!$C$34:$G$34,1,F28))^(1/12))</f>
        <v>0.16687073159932</v>
      </c>
      <c r="AX28" s="15" t="n">
        <f aca="false">ROUND(INDEX(Ipotesi!$C$32:$G$32,1,F28)*Ipotesi!C8,0)</f>
        <v>21</v>
      </c>
      <c r="AY28" s="15" t="n">
        <f aca="false">MAX(0,(AX28-(AV28-AW28))/(13-E28))</f>
        <v>2.07762820363445</v>
      </c>
      <c r="AZ28" s="15" t="n">
        <f aca="false">MIN(P28*Parametri_v3!$C$22,Q28*(1-Parametri_v3!$C$16)*Parametri_v3!$C$23)</f>
        <v>67.5</v>
      </c>
      <c r="BA28" s="15" t="n">
        <f aca="false">IF(OR(INDEX(Ipotesi!$C$35:$G$35,1,F28)&lt;=0,24-Parametri_v3!$C$21&lt;1),0,INDEX($AT$5:$AT$64,MAX(1,24-Parametri_v3!$C$21))/(INDEX(Ipotesi!$C$35:$G$35,1,F28)*Ipotesi!C27))</f>
        <v>2.39971064814815</v>
      </c>
      <c r="BB28" s="15" t="n">
        <f aca="false">IF(24-Parametri_v3!$C$21&lt;1,0,INDEX($AU$5:$AU$64,MAX(1,24-Parametri_v3!$C$21)))*Parametri_v3!$C$18*Parametri_v3!$C$19*Parametri_v3!$C$20</f>
        <v>3.9375</v>
      </c>
      <c r="BC28" s="17" t="n">
        <f aca="false">MAX(0,MIN(AY28,BA28,BB28,MAX(0,AZ28-(AV28-AW28))))</f>
        <v>2.07762820363445</v>
      </c>
      <c r="BD28" s="17" t="n">
        <f aca="false">AV28-AW28+BC28</f>
        <v>21</v>
      </c>
      <c r="BE28" s="17" t="n">
        <f aca="false">(AV28+BD28)/2</f>
        <v>20.0446212639824</v>
      </c>
      <c r="BF28" s="15" t="n">
        <f aca="false">BE28*INDEX(Ipotesi!$C$33:$G$33,1,F28)*H28/12</f>
        <v>6681.54042132748</v>
      </c>
      <c r="BG28" s="15" t="n">
        <f aca="false">BD28*INDEX(Ipotesi!$C$33:$G$33,1,F28)*H28</f>
        <v>84000</v>
      </c>
      <c r="BH28" s="15" t="n">
        <f aca="false">AM28*INDEX(Ipotesi!$C$37:$G$37,1,F28)</f>
        <v>2937.5</v>
      </c>
      <c r="BI28" s="15" t="n">
        <f aca="false">AQ28+BF28+BH28</f>
        <v>25650.2904213275</v>
      </c>
      <c r="BJ28" s="15" t="n">
        <f aca="false">INDEX(Ipotesi!$C$68:$G$68,1,F28)*Ipotesi!$C$69/12</f>
        <v>1600</v>
      </c>
      <c r="BK28" s="15" t="n">
        <f aca="false">INDEX(Ipotesi!$C$68:$G$68,1,F28)*(1-Ipotesi!$C$69)/12</f>
        <v>2400</v>
      </c>
      <c r="BL28" s="15" t="n">
        <f aca="false">(AQ28+BF28)*Ipotesi!$C$67</f>
        <v>681.383712639824</v>
      </c>
      <c r="BM28" s="15" t="n">
        <f aca="false">AM28*Ipotesi!$C$67</f>
        <v>881.25</v>
      </c>
      <c r="BN28" s="15" t="n">
        <f aca="false">INDEX(Ipotesi!$C$72:$G$72,1,F28)/12*Ipotesi!C126+BF28*Ipotesi!$C$73</f>
        <v>1784.5232337062</v>
      </c>
      <c r="BO28" s="15" t="n">
        <f aca="false">INDEX(Ipotesi!$C$74:$G$74,1,F28)/12*Ipotesi!C126</f>
        <v>1833.33333333333</v>
      </c>
      <c r="BP28" s="15" t="n">
        <f aca="false">INDEX(Ipotesi!$C$76:$G$76,1,F28)/12</f>
        <v>750</v>
      </c>
      <c r="BQ28" s="15" t="n">
        <f aca="false">INDEX(Ipotesi!$C$77:$G$77,1,F28)/12*Ipotesi!C126</f>
        <v>1666.66666666667</v>
      </c>
      <c r="BR28" s="15" t="n">
        <f aca="false">INDEX(Ipotesi!$C$78:$G$78,1,F28)/12</f>
        <v>1250</v>
      </c>
      <c r="BS28" s="15" t="n">
        <f aca="false">SUM(M28:R28)*(Ipotesi!$C$85+Ipotesi!$C$86)/12</f>
        <v>2625</v>
      </c>
      <c r="BT28" s="15" t="n">
        <f aca="false">BI28*Ipotesi!$C$87</f>
        <v>769.508712639824</v>
      </c>
      <c r="BU28" s="15" t="n">
        <f aca="false">INDEX(Ipotesi!$C$55:$G$55,1,F28)*K28/12</f>
        <v>1000</v>
      </c>
      <c r="BV28" s="15" t="n">
        <f aca="false">INDEX(Ipotesi!$C$80:$G$80,1,F28)/12*Ipotesi!C126</f>
        <v>833.333333333333</v>
      </c>
      <c r="BW28" s="15" t="n">
        <f aca="false">INDEX(Ipotesi!$C$82:$G$82,1,F28)/12</f>
        <v>666.666666666667</v>
      </c>
      <c r="BX28" s="15" t="n">
        <f aca="false">INDEX(Ipotesi!$C$83:$G$83,1,F28)/12</f>
        <v>583.333333333333</v>
      </c>
      <c r="BY28" s="15" t="n">
        <f aca="false">SUM(S28:U28)*(Ipotesi!$C$85+Ipotesi!$C$86)/12</f>
        <v>1166.66666666667</v>
      </c>
      <c r="BZ28" s="15" t="n">
        <f aca="false">AM28*Ipotesi!$C$87</f>
        <v>881.25</v>
      </c>
      <c r="CA28" s="15" t="n">
        <f aca="false">AB28+BJ28+BL28+BN28+BO28+AR28+BP28+BQ28+BR28+BS28+BT28</f>
        <v>57306.2489923192</v>
      </c>
      <c r="CB28" s="15" t="n">
        <f aca="false">AC28+BK28+BM28+BH28+BU28+BV28+AS28+BW28+BX28+BY28+BZ28</f>
        <v>28148.3333333333</v>
      </c>
      <c r="CC28" s="15" t="n">
        <f aca="false">BI28-CA28</f>
        <v>-31655.9585709917</v>
      </c>
      <c r="CD28" s="15" t="n">
        <f aca="false">AM28-CB28</f>
        <v>1226.66666666667</v>
      </c>
      <c r="CE28" s="15" t="n">
        <f aca="false">INDEX(Ipotesi!$C$79:$G$79,1,F28)/12</f>
        <v>2083.33333333333</v>
      </c>
      <c r="CF28" s="15" t="n">
        <f aca="false">INDEX(Ipotesi!$C$84:$G$84,1,F28)/12</f>
        <v>416.666666666667</v>
      </c>
      <c r="CG28" s="15" t="n">
        <f aca="false">Y28*MAX(0,Parametri_v3!$C$12-IF(P28=0,0,MIN(1,BE28/(P28*Parametri_v3!$C$22))))+W28*Parametri_v3!$C$13+X28*Parametri_v3!$C$14</f>
        <v>15018.9183374208</v>
      </c>
      <c r="CH28" s="15" t="n">
        <f aca="false">AB28*Parametri_v3!$C$32</f>
        <v>1988.125</v>
      </c>
      <c r="CI28" s="15" t="n">
        <f aca="false">AC28*Parametri_v3!$C$32</f>
        <v>798.25</v>
      </c>
      <c r="CJ28" s="15" t="n">
        <f aca="false">CA28-AB28</f>
        <v>17543.7489923192</v>
      </c>
      <c r="CK28" s="15" t="n">
        <f aca="false">CB28-AC28-BH28</f>
        <v>9245.83333333333</v>
      </c>
      <c r="CL28" s="15" t="n">
        <f aca="false">BF28*Ipotesi!$C$73+INDEX(Ipotesi!$C$72:$G$72,1,F28)/12*Ipotesi!C126*Parametri_v3!$C$58+Z28*(1-Parametri_v3!$C$16)</f>
        <v>3522.6482337062</v>
      </c>
      <c r="CM28" s="16" t="n">
        <f aca="false">IF(BF28=0,0,1-CL28/BF28)</f>
        <v>0.472779028251943</v>
      </c>
    </row>
    <row r="29" customFormat="false" ht="18" hidden="false" customHeight="true" outlineLevel="0" collapsed="false">
      <c r="A29" s="68" t="n">
        <f aca="false">1</f>
        <v>1</v>
      </c>
      <c r="B29" s="68" t="n">
        <f aca="false">25</f>
        <v>25</v>
      </c>
      <c r="C29" s="18" t="n">
        <f aca="false">EDATE(Parametri_v3!$C$5,25-1)</f>
        <v>47119</v>
      </c>
      <c r="D29" s="68" t="n">
        <f aca="false">YEAR(C29)</f>
        <v>2029</v>
      </c>
      <c r="E29" s="68" t="n">
        <f aca="false">MONTH(C29)</f>
        <v>1</v>
      </c>
      <c r="F29" s="68" t="n">
        <f aca="false">INT((25-1)/12)+1</f>
        <v>3</v>
      </c>
      <c r="G29" s="15" t="n">
        <f aca="false">Ipotesi!C7</f>
        <v>0.75</v>
      </c>
      <c r="H29" s="15" t="n">
        <f aca="false">Ipotesi!C9</f>
        <v>1</v>
      </c>
      <c r="I29" s="15" t="n">
        <f aca="false">Ipotesi!C10</f>
        <v>1</v>
      </c>
      <c r="J29" s="15" t="n">
        <f aca="false">Ipotesi!C11</f>
        <v>1</v>
      </c>
      <c r="K29" s="15" t="n">
        <f aca="false">Ipotesi!C12</f>
        <v>1</v>
      </c>
      <c r="L29" s="15" t="n">
        <f aca="false">Ipotesi!C13</f>
        <v>90</v>
      </c>
      <c r="M29" s="17" t="n">
        <f aca="false">INDEX(Ipotesi!$C$40:$G$40,1,F29)</f>
        <v>1</v>
      </c>
      <c r="N29" s="17" t="n">
        <f aca="false">INDEX(Ipotesi!$C$41:$G$41,1,F29)</f>
        <v>1</v>
      </c>
      <c r="O29" s="17" t="n">
        <f aca="false">INDEX(Ipotesi!$C$42:$G$42,1,F29)*Ipotesi!C125</f>
        <v>4.5</v>
      </c>
      <c r="P29" s="17" t="n">
        <f aca="false">INDEX(Ipotesi!$C$43:$G$43,1,F29)*I29</f>
        <v>5</v>
      </c>
      <c r="Q29" s="17" t="n">
        <f aca="false">INDEX(Ipotesi!$C$44:$G$44,1,F29)*I29</f>
        <v>4</v>
      </c>
      <c r="R29" s="17" t="n">
        <f aca="false">INDEX(Ipotesi!$C$45:$G$45,1,F29)*I29</f>
        <v>1</v>
      </c>
      <c r="S29" s="17" t="n">
        <f aca="false">INDEX(Ipotesi!$C$52:$G$52,1,F29)*Ipotesi!C125</f>
        <v>5</v>
      </c>
      <c r="T29" s="17" t="n">
        <f aca="false">INDEX(Ipotesi!$C$53:$G$53,1,F29)*I29</f>
        <v>1</v>
      </c>
      <c r="U29" s="17" t="n">
        <f aca="false">INDEX(Ipotesi!$C$54:$G$54,1,F29)*I29</f>
        <v>0.5</v>
      </c>
      <c r="V29" s="15" t="n">
        <f aca="false">M29*INDEX(Ipotesi!$C$58:$G$58,1,F29)*K29/12</f>
        <v>7083.33333333333</v>
      </c>
      <c r="W29" s="15" t="n">
        <f aca="false">N29*Ipotesi!$C$59*(1+Ipotesi!$C$66)^(F29-1)/12</f>
        <v>6188.58333333333</v>
      </c>
      <c r="X29" s="15" t="n">
        <f aca="false">O29*Ipotesi!$C$60*(1+Ipotesi!$C$66)^(F29-1)/12</f>
        <v>19891.875</v>
      </c>
      <c r="Y29" s="15" t="n">
        <f aca="false">P29*Ipotesi!$C$61*(1+Ipotesi!$C$66)^(F29-1)/12</f>
        <v>22102.0833333333</v>
      </c>
      <c r="Z29" s="15" t="n">
        <f aca="false">Q29*Ipotesi!$C$62*(1+Ipotesi!$C$66)^(F29-1)/12</f>
        <v>15913.5</v>
      </c>
      <c r="AA29" s="15" t="n">
        <f aca="false">R29*Ipotesi!$C$63*(1+Ipotesi!$C$66)^(F29-1)/12</f>
        <v>3094.29166666667</v>
      </c>
      <c r="AB29" s="15" t="n">
        <f aca="false">SUM(V29:AA29)</f>
        <v>74273.6666666667</v>
      </c>
      <c r="AC29" s="15" t="n">
        <f aca="false">(S29*Ipotesi!$C$64+T29*Ipotesi!$C$65+U29*Ipotesi!$C$63)*(1+Ipotesi!$C$66)^(F29-1)/12</f>
        <v>25417.3958333333</v>
      </c>
      <c r="AD29" s="15" t="n">
        <f aca="false">INDEX(Ipotesi!$C$48:$G$48,1,F29)*G29/12</f>
        <v>45</v>
      </c>
      <c r="AE29" s="15" t="n">
        <f aca="false">INDEX(Ipotesi!$C$50:$G$50,1,F29)*G29/12</f>
        <v>5</v>
      </c>
      <c r="AF29" s="15" t="n">
        <f aca="false">(S29*Parametri_v3!$C$7*Parametri_v3!$C$8+Parametri_v3!$C$10)/12</f>
        <v>64.1666666666667</v>
      </c>
      <c r="AG29" s="15" t="n">
        <f aca="false">AD29+AE29*(1+Parametri_v3!$C$9)</f>
        <v>52.5</v>
      </c>
      <c r="AH29" s="16" t="n">
        <f aca="false">IF(AG29=0,1,MIN(1,AF29/AG29))</f>
        <v>1</v>
      </c>
      <c r="AI29" s="15" t="n">
        <f aca="false">AD29*AH29</f>
        <v>45</v>
      </c>
      <c r="AJ29" s="15" t="n">
        <f aca="false">AE29*AH29</f>
        <v>5</v>
      </c>
      <c r="AK29" s="15" t="n">
        <f aca="false">AI29*INDEX(Ipotesi!$C$49:$G$49,1,F29)*H29</f>
        <v>38250</v>
      </c>
      <c r="AL29" s="15" t="n">
        <f aca="false">AJ29*INDEX(Ipotesi!$C$51:$G$51,1,F29)*H29</f>
        <v>11250</v>
      </c>
      <c r="AM29" s="15" t="n">
        <f aca="false">AK29+AL29</f>
        <v>49500</v>
      </c>
      <c r="AN29" s="15" t="n">
        <f aca="false">INDEX(Ipotesi!$C$30:$G$30,1,F29)*G29/12</f>
        <v>31.25</v>
      </c>
      <c r="AO29" s="15" t="n">
        <f aca="false">O29*Parametri_v3!$C$7*Parametri_v3!$C$11*(1-Parametri_v3!$C$14)/12</f>
        <v>46.2</v>
      </c>
      <c r="AP29" s="15" t="n">
        <f aca="false">MIN(AN29,AO29)</f>
        <v>31.25</v>
      </c>
      <c r="AQ29" s="15" t="n">
        <f aca="false">AP29*INDEX(Ipotesi!$C$31:$G$31,1,F29)*H29</f>
        <v>31250</v>
      </c>
      <c r="AR29" s="15" t="n">
        <f aca="false">INDEX(Ipotesi!$C$75:$G$75,1,F29)*J29/12</f>
        <v>20000</v>
      </c>
      <c r="AS29" s="15" t="n">
        <f aca="false">INDEX(Ipotesi!$C$81:$G$81,1,F29)*J29/12</f>
        <v>1250</v>
      </c>
      <c r="AT29" s="15" t="n">
        <f aca="false">AR29*Parametri_v3!$C$15+Z29*Parametri_v3!$C$16</f>
        <v>31139.45</v>
      </c>
      <c r="AU29" s="15" t="n">
        <f aca="false">Q29*Parametri_v3!$C$16*Parametri_v3!$C$17</f>
        <v>280</v>
      </c>
      <c r="AV29" s="17" t="n">
        <f aca="false">BD28</f>
        <v>21</v>
      </c>
      <c r="AW29" s="17" t="n">
        <f aca="false">AV29*(1-(1-INDEX(Ipotesi!$C$34:$G$34,1,F29))^(1/12))</f>
        <v>0.183573830048631</v>
      </c>
      <c r="AX29" s="15" t="n">
        <f aca="false">ROUND(INDEX(Ipotesi!$C$32:$G$32,1,F29)*Ipotesi!C8,0)</f>
        <v>78</v>
      </c>
      <c r="AY29" s="15" t="n">
        <f aca="false">MAX(0,(AX29-(AV29-AW29))/(13-E29))</f>
        <v>4.76529781917072</v>
      </c>
      <c r="AZ29" s="15" t="n">
        <f aca="false">MIN(P29*Parametri_v3!$C$22,Q29*(1-Parametri_v3!$C$16)*Parametri_v3!$C$23)</f>
        <v>180</v>
      </c>
      <c r="BA29" s="15" t="n">
        <f aca="false">IF(OR(INDEX(Ipotesi!$C$35:$G$35,1,F29)&lt;=0,25-Parametri_v3!$C$21&lt;1),0,INDEX($AT$5:$AT$64,MAX(1,25-Parametri_v3!$C$21))/(INDEX(Ipotesi!$C$35:$G$35,1,F29)*Ipotesi!C27))</f>
        <v>1.43982638888889</v>
      </c>
      <c r="BB29" s="15" t="n">
        <f aca="false">IF(25-Parametri_v3!$C$21&lt;1,0,INDEX($AU$5:$AU$64,MAX(1,25-Parametri_v3!$C$21)))*Parametri_v3!$C$18*Parametri_v3!$C$19*Parametri_v3!$C$20</f>
        <v>3.9375</v>
      </c>
      <c r="BC29" s="17" t="n">
        <f aca="false">MAX(0,MIN(AY29,BA29,BB29,MAX(0,AZ29-(AV29-AW29))))</f>
        <v>1.43982638888889</v>
      </c>
      <c r="BD29" s="17" t="n">
        <f aca="false">AV29-AW29+BC29</f>
        <v>22.2562525588403</v>
      </c>
      <c r="BE29" s="17" t="n">
        <f aca="false">(AV29+BD29)/2</f>
        <v>21.6281262794201</v>
      </c>
      <c r="BF29" s="15" t="n">
        <f aca="false">BE29*INDEX(Ipotesi!$C$33:$G$33,1,F29)*H29/12</f>
        <v>9912.89121140089</v>
      </c>
      <c r="BG29" s="15" t="n">
        <f aca="false">BD29*INDEX(Ipotesi!$C$33:$G$33,1,F29)*H29</f>
        <v>122409.389073621</v>
      </c>
      <c r="BH29" s="15" t="n">
        <f aca="false">AM29*INDEX(Ipotesi!$C$37:$G$37,1,F29)</f>
        <v>4950</v>
      </c>
      <c r="BI29" s="15" t="n">
        <f aca="false">AQ29+BF29+BH29</f>
        <v>46112.8912114009</v>
      </c>
      <c r="BJ29" s="15" t="n">
        <f aca="false">INDEX(Ipotesi!$C$68:$G$68,1,F29)*Ipotesi!$C$69/12</f>
        <v>2400</v>
      </c>
      <c r="BK29" s="15" t="n">
        <f aca="false">INDEX(Ipotesi!$C$68:$G$68,1,F29)*(1-Ipotesi!$C$69)/12</f>
        <v>3600</v>
      </c>
      <c r="BL29" s="15" t="n">
        <f aca="false">(AQ29+BF29)*Ipotesi!$C$67</f>
        <v>1234.88673634203</v>
      </c>
      <c r="BM29" s="15" t="n">
        <f aca="false">AM29*Ipotesi!$C$67</f>
        <v>1485</v>
      </c>
      <c r="BN29" s="15" t="n">
        <f aca="false">INDEX(Ipotesi!$C$72:$G$72,1,F29)/12*Ipotesi!C126+BF29*Ipotesi!$C$73</f>
        <v>2043.03129691207</v>
      </c>
      <c r="BO29" s="15" t="n">
        <f aca="false">INDEX(Ipotesi!$C$74:$G$74,1,F29)/12*Ipotesi!C126</f>
        <v>2916.66666666667</v>
      </c>
      <c r="BP29" s="15" t="n">
        <f aca="false">INDEX(Ipotesi!$C$76:$G$76,1,F29)/12</f>
        <v>1083.33333333333</v>
      </c>
      <c r="BQ29" s="15" t="n">
        <f aca="false">INDEX(Ipotesi!$C$77:$G$77,1,F29)/12*Ipotesi!C126</f>
        <v>2083.33333333333</v>
      </c>
      <c r="BR29" s="15" t="n">
        <f aca="false">INDEX(Ipotesi!$C$78:$G$78,1,F29)/12</f>
        <v>1666.66666666667</v>
      </c>
      <c r="BS29" s="15" t="n">
        <f aca="false">SUM(M29:R29)*(Ipotesi!$C$85+Ipotesi!$C$86)/12</f>
        <v>4812.5</v>
      </c>
      <c r="BT29" s="15" t="n">
        <f aca="false">BI29*Ipotesi!$C$87</f>
        <v>1383.38673634203</v>
      </c>
      <c r="BU29" s="15" t="n">
        <f aca="false">INDEX(Ipotesi!$C$55:$G$55,1,F29)*K29/12</f>
        <v>1500</v>
      </c>
      <c r="BV29" s="15" t="n">
        <f aca="false">INDEX(Ipotesi!$C$80:$G$80,1,F29)/12*Ipotesi!C126</f>
        <v>1250</v>
      </c>
      <c r="BW29" s="15" t="n">
        <f aca="false">INDEX(Ipotesi!$C$82:$G$82,1,F29)/12</f>
        <v>1000</v>
      </c>
      <c r="BX29" s="15" t="n">
        <f aca="false">INDEX(Ipotesi!$C$83:$G$83,1,F29)/12</f>
        <v>666.666666666667</v>
      </c>
      <c r="BY29" s="15" t="n">
        <f aca="false">SUM(S29:U29)*(Ipotesi!$C$85+Ipotesi!$C$86)/12</f>
        <v>1895.83333333333</v>
      </c>
      <c r="BZ29" s="15" t="n">
        <f aca="false">AM29*Ipotesi!$C$87</f>
        <v>1485</v>
      </c>
      <c r="CA29" s="15" t="n">
        <f aca="false">AB29+BJ29+BL29+BN29+BO29+AR29+BP29+BQ29+BR29+BS29+BT29</f>
        <v>113897.471436263</v>
      </c>
      <c r="CB29" s="15" t="n">
        <f aca="false">AC29+BK29+BM29+BH29+BU29+BV29+AS29+BW29+BX29+BY29+BZ29</f>
        <v>44499.8958333333</v>
      </c>
      <c r="CC29" s="15" t="n">
        <f aca="false">BI29-CA29</f>
        <v>-67784.5802248619</v>
      </c>
      <c r="CD29" s="15" t="n">
        <f aca="false">AM29-CB29</f>
        <v>5000.10416666667</v>
      </c>
      <c r="CE29" s="15" t="n">
        <f aca="false">INDEX(Ipotesi!$C$79:$G$79,1,F29)/12</f>
        <v>2500</v>
      </c>
      <c r="CF29" s="15" t="n">
        <f aca="false">INDEX(Ipotesi!$C$84:$G$84,1,F29)/12</f>
        <v>416.666666666667</v>
      </c>
      <c r="CG29" s="15" t="n">
        <f aca="false">Y29*MAX(0,Parametri_v3!$C$12-IF(P29=0,0,MIN(1,BE29/(P29*Parametri_v3!$C$22))))+W29*Parametri_v3!$C$13+X29*Parametri_v3!$C$14</f>
        <v>28218.6967012568</v>
      </c>
      <c r="CH29" s="15" t="n">
        <f aca="false">AB29*Parametri_v3!$C$32</f>
        <v>3713.68333333333</v>
      </c>
      <c r="CI29" s="15" t="n">
        <f aca="false">AC29*Parametri_v3!$C$32</f>
        <v>1270.86979166667</v>
      </c>
      <c r="CJ29" s="15" t="n">
        <f aca="false">CA29-AB29</f>
        <v>39623.8047695961</v>
      </c>
      <c r="CK29" s="15" t="n">
        <f aca="false">CB29-AC29-BH29</f>
        <v>14132.5</v>
      </c>
      <c r="CL29" s="15" t="n">
        <f aca="false">BF29*Ipotesi!$C$73+INDEX(Ipotesi!$C$72:$G$72,1,F29)/12*Ipotesi!C126*Parametri_v3!$C$58+Z29*(1-Parametri_v3!$C$16)</f>
        <v>6817.08129691207</v>
      </c>
      <c r="CM29" s="16" t="n">
        <f aca="false">IF(BF29=0,0,1-CL29/BF29)</f>
        <v>0.312301411209709</v>
      </c>
    </row>
    <row r="30" customFormat="false" ht="18" hidden="false" customHeight="true" outlineLevel="0" collapsed="false">
      <c r="A30" s="68" t="n">
        <f aca="false">1</f>
        <v>1</v>
      </c>
      <c r="B30" s="68" t="n">
        <f aca="false">26</f>
        <v>26</v>
      </c>
      <c r="C30" s="18" t="n">
        <f aca="false">EDATE(Parametri_v3!$C$5,26-1)</f>
        <v>47150</v>
      </c>
      <c r="D30" s="68" t="n">
        <f aca="false">YEAR(C30)</f>
        <v>2029</v>
      </c>
      <c r="E30" s="68" t="n">
        <f aca="false">MONTH(C30)</f>
        <v>2</v>
      </c>
      <c r="F30" s="68" t="n">
        <f aca="false">INT((26-1)/12)+1</f>
        <v>3</v>
      </c>
      <c r="G30" s="15" t="n">
        <f aca="false">Ipotesi!C7</f>
        <v>0.75</v>
      </c>
      <c r="H30" s="15" t="n">
        <f aca="false">Ipotesi!C9</f>
        <v>1</v>
      </c>
      <c r="I30" s="15" t="n">
        <f aca="false">Ipotesi!C10</f>
        <v>1</v>
      </c>
      <c r="J30" s="15" t="n">
        <f aca="false">Ipotesi!C11</f>
        <v>1</v>
      </c>
      <c r="K30" s="15" t="n">
        <f aca="false">Ipotesi!C12</f>
        <v>1</v>
      </c>
      <c r="L30" s="15" t="n">
        <f aca="false">Ipotesi!C13</f>
        <v>90</v>
      </c>
      <c r="M30" s="17" t="n">
        <f aca="false">INDEX(Ipotesi!$C$40:$G$40,1,F30)</f>
        <v>1</v>
      </c>
      <c r="N30" s="17" t="n">
        <f aca="false">INDEX(Ipotesi!$C$41:$G$41,1,F30)</f>
        <v>1</v>
      </c>
      <c r="O30" s="17" t="n">
        <f aca="false">INDEX(Ipotesi!$C$42:$G$42,1,F30)*Ipotesi!C125</f>
        <v>4.5</v>
      </c>
      <c r="P30" s="17" t="n">
        <f aca="false">INDEX(Ipotesi!$C$43:$G$43,1,F30)*I30</f>
        <v>5</v>
      </c>
      <c r="Q30" s="17" t="n">
        <f aca="false">INDEX(Ipotesi!$C$44:$G$44,1,F30)*I30</f>
        <v>4</v>
      </c>
      <c r="R30" s="17" t="n">
        <f aca="false">INDEX(Ipotesi!$C$45:$G$45,1,F30)*I30</f>
        <v>1</v>
      </c>
      <c r="S30" s="17" t="n">
        <f aca="false">INDEX(Ipotesi!$C$52:$G$52,1,F30)*Ipotesi!C125</f>
        <v>5</v>
      </c>
      <c r="T30" s="17" t="n">
        <f aca="false">INDEX(Ipotesi!$C$53:$G$53,1,F30)*I30</f>
        <v>1</v>
      </c>
      <c r="U30" s="17" t="n">
        <f aca="false">INDEX(Ipotesi!$C$54:$G$54,1,F30)*I30</f>
        <v>0.5</v>
      </c>
      <c r="V30" s="15" t="n">
        <f aca="false">M30*INDEX(Ipotesi!$C$58:$G$58,1,F30)*K30/12</f>
        <v>7083.33333333333</v>
      </c>
      <c r="W30" s="15" t="n">
        <f aca="false">N30*Ipotesi!$C$59*(1+Ipotesi!$C$66)^(F30-1)/12</f>
        <v>6188.58333333333</v>
      </c>
      <c r="X30" s="15" t="n">
        <f aca="false">O30*Ipotesi!$C$60*(1+Ipotesi!$C$66)^(F30-1)/12</f>
        <v>19891.875</v>
      </c>
      <c r="Y30" s="15" t="n">
        <f aca="false">P30*Ipotesi!$C$61*(1+Ipotesi!$C$66)^(F30-1)/12</f>
        <v>22102.0833333333</v>
      </c>
      <c r="Z30" s="15" t="n">
        <f aca="false">Q30*Ipotesi!$C$62*(1+Ipotesi!$C$66)^(F30-1)/12</f>
        <v>15913.5</v>
      </c>
      <c r="AA30" s="15" t="n">
        <f aca="false">R30*Ipotesi!$C$63*(1+Ipotesi!$C$66)^(F30-1)/12</f>
        <v>3094.29166666667</v>
      </c>
      <c r="AB30" s="15" t="n">
        <f aca="false">SUM(V30:AA30)</f>
        <v>74273.6666666667</v>
      </c>
      <c r="AC30" s="15" t="n">
        <f aca="false">(S30*Ipotesi!$C$64+T30*Ipotesi!$C$65+U30*Ipotesi!$C$63)*(1+Ipotesi!$C$66)^(F30-1)/12</f>
        <v>25417.3958333333</v>
      </c>
      <c r="AD30" s="15" t="n">
        <f aca="false">INDEX(Ipotesi!$C$48:$G$48,1,F30)*G30/12</f>
        <v>45</v>
      </c>
      <c r="AE30" s="15" t="n">
        <f aca="false">INDEX(Ipotesi!$C$50:$G$50,1,F30)*G30/12</f>
        <v>5</v>
      </c>
      <c r="AF30" s="15" t="n">
        <f aca="false">(S30*Parametri_v3!$C$7*Parametri_v3!$C$8+Parametri_v3!$C$10)/12</f>
        <v>64.1666666666667</v>
      </c>
      <c r="AG30" s="15" t="n">
        <f aca="false">AD30+AE30*(1+Parametri_v3!$C$9)</f>
        <v>52.5</v>
      </c>
      <c r="AH30" s="16" t="n">
        <f aca="false">IF(AG30=0,1,MIN(1,AF30/AG30))</f>
        <v>1</v>
      </c>
      <c r="AI30" s="15" t="n">
        <f aca="false">AD30*AH30</f>
        <v>45</v>
      </c>
      <c r="AJ30" s="15" t="n">
        <f aca="false">AE30*AH30</f>
        <v>5</v>
      </c>
      <c r="AK30" s="15" t="n">
        <f aca="false">AI30*INDEX(Ipotesi!$C$49:$G$49,1,F30)*H30</f>
        <v>38250</v>
      </c>
      <c r="AL30" s="15" t="n">
        <f aca="false">AJ30*INDEX(Ipotesi!$C$51:$G$51,1,F30)*H30</f>
        <v>11250</v>
      </c>
      <c r="AM30" s="15" t="n">
        <f aca="false">AK30+AL30</f>
        <v>49500</v>
      </c>
      <c r="AN30" s="15" t="n">
        <f aca="false">INDEX(Ipotesi!$C$30:$G$30,1,F30)*G30/12</f>
        <v>31.25</v>
      </c>
      <c r="AO30" s="15" t="n">
        <f aca="false">O30*Parametri_v3!$C$7*Parametri_v3!$C$11*(1-Parametri_v3!$C$14)/12</f>
        <v>46.2</v>
      </c>
      <c r="AP30" s="15" t="n">
        <f aca="false">MIN(AN30,AO30)</f>
        <v>31.25</v>
      </c>
      <c r="AQ30" s="15" t="n">
        <f aca="false">AP30*INDEX(Ipotesi!$C$31:$G$31,1,F30)*H30</f>
        <v>31250</v>
      </c>
      <c r="AR30" s="15" t="n">
        <f aca="false">INDEX(Ipotesi!$C$75:$G$75,1,F30)*J30/12</f>
        <v>20000</v>
      </c>
      <c r="AS30" s="15" t="n">
        <f aca="false">INDEX(Ipotesi!$C$81:$G$81,1,F30)*J30/12</f>
        <v>1250</v>
      </c>
      <c r="AT30" s="15" t="n">
        <f aca="false">AR30*Parametri_v3!$C$15+Z30*Parametri_v3!$C$16</f>
        <v>31139.45</v>
      </c>
      <c r="AU30" s="15" t="n">
        <f aca="false">Q30*Parametri_v3!$C$16*Parametri_v3!$C$17</f>
        <v>280</v>
      </c>
      <c r="AV30" s="17" t="n">
        <f aca="false">BD29</f>
        <v>22.2562525588403</v>
      </c>
      <c r="AW30" s="17" t="n">
        <f aca="false">AV30*(1-(1-INDEX(Ipotesi!$C$34:$G$34,1,F30))^(1/12))</f>
        <v>0.194555501178855</v>
      </c>
      <c r="AX30" s="15" t="n">
        <f aca="false">ROUND(INDEX(Ipotesi!$C$32:$G$32,1,F30)*Ipotesi!C8,0)</f>
        <v>78</v>
      </c>
      <c r="AY30" s="15" t="n">
        <f aca="false">MAX(0,(AX30-(AV30-AW30))/(13-E30))</f>
        <v>5.08530026748533</v>
      </c>
      <c r="AZ30" s="15" t="n">
        <f aca="false">MIN(P30*Parametri_v3!$C$22,Q30*(1-Parametri_v3!$C$16)*Parametri_v3!$C$23)</f>
        <v>180</v>
      </c>
      <c r="BA30" s="15" t="n">
        <f aca="false">IF(OR(INDEX(Ipotesi!$C$35:$G$35,1,F30)&lt;=0,26-Parametri_v3!$C$21&lt;1),0,INDEX($AT$5:$AT$64,MAX(1,26-Parametri_v3!$C$21))/(INDEX(Ipotesi!$C$35:$G$35,1,F30)*Ipotesi!C27))</f>
        <v>1.43982638888889</v>
      </c>
      <c r="BB30" s="15" t="n">
        <f aca="false">IF(26-Parametri_v3!$C$21&lt;1,0,INDEX($AU$5:$AU$64,MAX(1,26-Parametri_v3!$C$21)))*Parametri_v3!$C$18*Parametri_v3!$C$19*Parametri_v3!$C$20</f>
        <v>3.9375</v>
      </c>
      <c r="BC30" s="17" t="n">
        <f aca="false">MAX(0,MIN(AY30,BA30,BB30,MAX(0,AZ30-(AV30-AW30))))</f>
        <v>1.43982638888889</v>
      </c>
      <c r="BD30" s="17" t="n">
        <f aca="false">AV30-AW30+BC30</f>
        <v>23.5015234465503</v>
      </c>
      <c r="BE30" s="17" t="n">
        <f aca="false">(AV30+BD30)/2</f>
        <v>22.8788880026953</v>
      </c>
      <c r="BF30" s="15" t="n">
        <f aca="false">BE30*INDEX(Ipotesi!$C$33:$G$33,1,F30)*H30/12</f>
        <v>10486.1570012353</v>
      </c>
      <c r="BG30" s="15" t="n">
        <f aca="false">BD30*INDEX(Ipotesi!$C$33:$G$33,1,F30)*H30</f>
        <v>129258.378956027</v>
      </c>
      <c r="BH30" s="15" t="n">
        <f aca="false">AM30*INDEX(Ipotesi!$C$37:$G$37,1,F30)</f>
        <v>4950</v>
      </c>
      <c r="BI30" s="15" t="n">
        <f aca="false">AQ30+BF30+BH30</f>
        <v>46686.1570012353</v>
      </c>
      <c r="BJ30" s="15" t="n">
        <f aca="false">INDEX(Ipotesi!$C$68:$G$68,1,F30)*Ipotesi!$C$69/12</f>
        <v>2400</v>
      </c>
      <c r="BK30" s="15" t="n">
        <f aca="false">INDEX(Ipotesi!$C$68:$G$68,1,F30)*(1-Ipotesi!$C$69)/12</f>
        <v>3600</v>
      </c>
      <c r="BL30" s="15" t="n">
        <f aca="false">(AQ30+BF30)*Ipotesi!$C$67</f>
        <v>1252.08471003706</v>
      </c>
      <c r="BM30" s="15" t="n">
        <f aca="false">AM30*Ipotesi!$C$67</f>
        <v>1485</v>
      </c>
      <c r="BN30" s="15" t="n">
        <f aca="false">INDEX(Ipotesi!$C$72:$G$72,1,F30)/12*Ipotesi!C126+BF30*Ipotesi!$C$73</f>
        <v>2088.89256009883</v>
      </c>
      <c r="BO30" s="15" t="n">
        <f aca="false">INDEX(Ipotesi!$C$74:$G$74,1,F30)/12*Ipotesi!C126</f>
        <v>2916.66666666667</v>
      </c>
      <c r="BP30" s="15" t="n">
        <f aca="false">INDEX(Ipotesi!$C$76:$G$76,1,F30)/12</f>
        <v>1083.33333333333</v>
      </c>
      <c r="BQ30" s="15" t="n">
        <f aca="false">INDEX(Ipotesi!$C$77:$G$77,1,F30)/12*Ipotesi!C126</f>
        <v>2083.33333333333</v>
      </c>
      <c r="BR30" s="15" t="n">
        <f aca="false">INDEX(Ipotesi!$C$78:$G$78,1,F30)/12</f>
        <v>1666.66666666667</v>
      </c>
      <c r="BS30" s="15" t="n">
        <f aca="false">SUM(M30:R30)*(Ipotesi!$C$85+Ipotesi!$C$86)/12</f>
        <v>4812.5</v>
      </c>
      <c r="BT30" s="15" t="n">
        <f aca="false">BI30*Ipotesi!$C$87</f>
        <v>1400.58471003706</v>
      </c>
      <c r="BU30" s="15" t="n">
        <f aca="false">INDEX(Ipotesi!$C$55:$G$55,1,F30)*K30/12</f>
        <v>1500</v>
      </c>
      <c r="BV30" s="15" t="n">
        <f aca="false">INDEX(Ipotesi!$C$80:$G$80,1,F30)/12*Ipotesi!C126</f>
        <v>1250</v>
      </c>
      <c r="BW30" s="15" t="n">
        <f aca="false">INDEX(Ipotesi!$C$82:$G$82,1,F30)/12</f>
        <v>1000</v>
      </c>
      <c r="BX30" s="15" t="n">
        <f aca="false">INDEX(Ipotesi!$C$83:$G$83,1,F30)/12</f>
        <v>666.666666666667</v>
      </c>
      <c r="BY30" s="15" t="n">
        <f aca="false">SUM(S30:U30)*(Ipotesi!$C$85+Ipotesi!$C$86)/12</f>
        <v>1895.83333333333</v>
      </c>
      <c r="BZ30" s="15" t="n">
        <f aca="false">AM30*Ipotesi!$C$87</f>
        <v>1485</v>
      </c>
      <c r="CA30" s="15" t="n">
        <f aca="false">AB30+BJ30+BL30+BN30+BO30+AR30+BP30+BQ30+BR30+BS30+BT30</f>
        <v>113977.72864684</v>
      </c>
      <c r="CB30" s="15" t="n">
        <f aca="false">AC30+BK30+BM30+BH30+BU30+BV30+AS30+BW30+BX30+BY30+BZ30</f>
        <v>44499.8958333333</v>
      </c>
      <c r="CC30" s="15" t="n">
        <f aca="false">BI30-CA30</f>
        <v>-67291.5716456043</v>
      </c>
      <c r="CD30" s="15" t="n">
        <f aca="false">AM30-CB30</f>
        <v>5000.10416666667</v>
      </c>
      <c r="CE30" s="15" t="n">
        <f aca="false">INDEX(Ipotesi!$C$79:$G$79,1,F30)/12</f>
        <v>2500</v>
      </c>
      <c r="CF30" s="15" t="n">
        <f aca="false">INDEX(Ipotesi!$C$84:$G$84,1,F30)/12</f>
        <v>416.666666666667</v>
      </c>
      <c r="CG30" s="15" t="n">
        <f aca="false">Y30*MAX(0,Parametri_v3!$C$12-IF(P30=0,0,MIN(1,BE30/(P30*Parametri_v3!$C$22))))+W30*Parametri_v3!$C$13+X30*Parametri_v3!$C$14</f>
        <v>28163.4078215809</v>
      </c>
      <c r="CH30" s="15" t="n">
        <f aca="false">AB30*Parametri_v3!$C$32</f>
        <v>3713.68333333333</v>
      </c>
      <c r="CI30" s="15" t="n">
        <f aca="false">AC30*Parametri_v3!$C$32</f>
        <v>1270.86979166667</v>
      </c>
      <c r="CJ30" s="15" t="n">
        <f aca="false">CA30-AB30</f>
        <v>39704.061980173</v>
      </c>
      <c r="CK30" s="15" t="n">
        <f aca="false">CB30-AC30-BH30</f>
        <v>14132.5</v>
      </c>
      <c r="CL30" s="15" t="n">
        <f aca="false">BF30*Ipotesi!$C$73+INDEX(Ipotesi!$C$72:$G$72,1,F30)/12*Ipotesi!C126*Parametri_v3!$C$58+Z30*(1-Parametri_v3!$C$16)</f>
        <v>6862.94256009883</v>
      </c>
      <c r="CM30" s="16" t="n">
        <f aca="false">IF(BF30=0,0,1-CL30/BF30)</f>
        <v>0.345523573670475</v>
      </c>
    </row>
    <row r="31" customFormat="false" ht="18" hidden="false" customHeight="true" outlineLevel="0" collapsed="false">
      <c r="A31" s="68" t="n">
        <f aca="false">1</f>
        <v>1</v>
      </c>
      <c r="B31" s="68" t="n">
        <f aca="false">27</f>
        <v>27</v>
      </c>
      <c r="C31" s="18" t="n">
        <f aca="false">EDATE(Parametri_v3!$C$5,27-1)</f>
        <v>47178</v>
      </c>
      <c r="D31" s="68" t="n">
        <f aca="false">YEAR(C31)</f>
        <v>2029</v>
      </c>
      <c r="E31" s="68" t="n">
        <f aca="false">MONTH(C31)</f>
        <v>3</v>
      </c>
      <c r="F31" s="68" t="n">
        <f aca="false">INT((27-1)/12)+1</f>
        <v>3</v>
      </c>
      <c r="G31" s="15" t="n">
        <f aca="false">Ipotesi!C7</f>
        <v>0.75</v>
      </c>
      <c r="H31" s="15" t="n">
        <f aca="false">Ipotesi!C9</f>
        <v>1</v>
      </c>
      <c r="I31" s="15" t="n">
        <f aca="false">Ipotesi!C10</f>
        <v>1</v>
      </c>
      <c r="J31" s="15" t="n">
        <f aca="false">Ipotesi!C11</f>
        <v>1</v>
      </c>
      <c r="K31" s="15" t="n">
        <f aca="false">Ipotesi!C12</f>
        <v>1</v>
      </c>
      <c r="L31" s="15" t="n">
        <f aca="false">Ipotesi!C13</f>
        <v>90</v>
      </c>
      <c r="M31" s="17" t="n">
        <f aca="false">INDEX(Ipotesi!$C$40:$G$40,1,F31)</f>
        <v>1</v>
      </c>
      <c r="N31" s="17" t="n">
        <f aca="false">INDEX(Ipotesi!$C$41:$G$41,1,F31)</f>
        <v>1</v>
      </c>
      <c r="O31" s="17" t="n">
        <f aca="false">INDEX(Ipotesi!$C$42:$G$42,1,F31)*Ipotesi!C125</f>
        <v>4.5</v>
      </c>
      <c r="P31" s="17" t="n">
        <f aca="false">INDEX(Ipotesi!$C$43:$G$43,1,F31)*I31</f>
        <v>5</v>
      </c>
      <c r="Q31" s="17" t="n">
        <f aca="false">INDEX(Ipotesi!$C$44:$G$44,1,F31)*I31</f>
        <v>4</v>
      </c>
      <c r="R31" s="17" t="n">
        <f aca="false">INDEX(Ipotesi!$C$45:$G$45,1,F31)*I31</f>
        <v>1</v>
      </c>
      <c r="S31" s="17" t="n">
        <f aca="false">INDEX(Ipotesi!$C$52:$G$52,1,F31)*Ipotesi!C125</f>
        <v>5</v>
      </c>
      <c r="T31" s="17" t="n">
        <f aca="false">INDEX(Ipotesi!$C$53:$G$53,1,F31)*I31</f>
        <v>1</v>
      </c>
      <c r="U31" s="17" t="n">
        <f aca="false">INDEX(Ipotesi!$C$54:$G$54,1,F31)*I31</f>
        <v>0.5</v>
      </c>
      <c r="V31" s="15" t="n">
        <f aca="false">M31*INDEX(Ipotesi!$C$58:$G$58,1,F31)*K31/12</f>
        <v>7083.33333333333</v>
      </c>
      <c r="W31" s="15" t="n">
        <f aca="false">N31*Ipotesi!$C$59*(1+Ipotesi!$C$66)^(F31-1)/12</f>
        <v>6188.58333333333</v>
      </c>
      <c r="X31" s="15" t="n">
        <f aca="false">O31*Ipotesi!$C$60*(1+Ipotesi!$C$66)^(F31-1)/12</f>
        <v>19891.875</v>
      </c>
      <c r="Y31" s="15" t="n">
        <f aca="false">P31*Ipotesi!$C$61*(1+Ipotesi!$C$66)^(F31-1)/12</f>
        <v>22102.0833333333</v>
      </c>
      <c r="Z31" s="15" t="n">
        <f aca="false">Q31*Ipotesi!$C$62*(1+Ipotesi!$C$66)^(F31-1)/12</f>
        <v>15913.5</v>
      </c>
      <c r="AA31" s="15" t="n">
        <f aca="false">R31*Ipotesi!$C$63*(1+Ipotesi!$C$66)^(F31-1)/12</f>
        <v>3094.29166666667</v>
      </c>
      <c r="AB31" s="15" t="n">
        <f aca="false">SUM(V31:AA31)</f>
        <v>74273.6666666667</v>
      </c>
      <c r="AC31" s="15" t="n">
        <f aca="false">(S31*Ipotesi!$C$64+T31*Ipotesi!$C$65+U31*Ipotesi!$C$63)*(1+Ipotesi!$C$66)^(F31-1)/12</f>
        <v>25417.3958333333</v>
      </c>
      <c r="AD31" s="15" t="n">
        <f aca="false">INDEX(Ipotesi!$C$48:$G$48,1,F31)*G31/12</f>
        <v>45</v>
      </c>
      <c r="AE31" s="15" t="n">
        <f aca="false">INDEX(Ipotesi!$C$50:$G$50,1,F31)*G31/12</f>
        <v>5</v>
      </c>
      <c r="AF31" s="15" t="n">
        <f aca="false">(S31*Parametri_v3!$C$7*Parametri_v3!$C$8+Parametri_v3!$C$10)/12</f>
        <v>64.1666666666667</v>
      </c>
      <c r="AG31" s="15" t="n">
        <f aca="false">AD31+AE31*(1+Parametri_v3!$C$9)</f>
        <v>52.5</v>
      </c>
      <c r="AH31" s="16" t="n">
        <f aca="false">IF(AG31=0,1,MIN(1,AF31/AG31))</f>
        <v>1</v>
      </c>
      <c r="AI31" s="15" t="n">
        <f aca="false">AD31*AH31</f>
        <v>45</v>
      </c>
      <c r="AJ31" s="15" t="n">
        <f aca="false">AE31*AH31</f>
        <v>5</v>
      </c>
      <c r="AK31" s="15" t="n">
        <f aca="false">AI31*INDEX(Ipotesi!$C$49:$G$49,1,F31)*H31</f>
        <v>38250</v>
      </c>
      <c r="AL31" s="15" t="n">
        <f aca="false">AJ31*INDEX(Ipotesi!$C$51:$G$51,1,F31)*H31</f>
        <v>11250</v>
      </c>
      <c r="AM31" s="15" t="n">
        <f aca="false">AK31+AL31</f>
        <v>49500</v>
      </c>
      <c r="AN31" s="15" t="n">
        <f aca="false">INDEX(Ipotesi!$C$30:$G$30,1,F31)*G31/12</f>
        <v>31.25</v>
      </c>
      <c r="AO31" s="15" t="n">
        <f aca="false">O31*Parametri_v3!$C$7*Parametri_v3!$C$11*(1-Parametri_v3!$C$14)/12</f>
        <v>46.2</v>
      </c>
      <c r="AP31" s="15" t="n">
        <f aca="false">MIN(AN31,AO31)</f>
        <v>31.25</v>
      </c>
      <c r="AQ31" s="15" t="n">
        <f aca="false">AP31*INDEX(Ipotesi!$C$31:$G$31,1,F31)*H31</f>
        <v>31250</v>
      </c>
      <c r="AR31" s="15" t="n">
        <f aca="false">INDEX(Ipotesi!$C$75:$G$75,1,F31)*J31/12</f>
        <v>20000</v>
      </c>
      <c r="AS31" s="15" t="n">
        <f aca="false">INDEX(Ipotesi!$C$81:$G$81,1,F31)*J31/12</f>
        <v>1250</v>
      </c>
      <c r="AT31" s="15" t="n">
        <f aca="false">AR31*Parametri_v3!$C$15+Z31*Parametri_v3!$C$16</f>
        <v>31139.45</v>
      </c>
      <c r="AU31" s="15" t="n">
        <f aca="false">Q31*Parametri_v3!$C$16*Parametri_v3!$C$17</f>
        <v>280</v>
      </c>
      <c r="AV31" s="17" t="n">
        <f aca="false">BD30</f>
        <v>23.5015234465503</v>
      </c>
      <c r="AW31" s="17" t="n">
        <f aca="false">AV31*(1-(1-INDEX(Ipotesi!$C$34:$G$34,1,F31))^(1/12))</f>
        <v>0.205441174812426</v>
      </c>
      <c r="AX31" s="15" t="n">
        <f aca="false">ROUND(INDEX(Ipotesi!$C$32:$G$32,1,F31)*Ipotesi!C8,0)</f>
        <v>78</v>
      </c>
      <c r="AY31" s="15" t="n">
        <f aca="false">MAX(0,(AX31-(AV31-AW31))/(13-E31))</f>
        <v>5.47039177282621</v>
      </c>
      <c r="AZ31" s="15" t="n">
        <f aca="false">MIN(P31*Parametri_v3!$C$22,Q31*(1-Parametri_v3!$C$16)*Parametri_v3!$C$23)</f>
        <v>180</v>
      </c>
      <c r="BA31" s="15" t="n">
        <f aca="false">IF(OR(INDEX(Ipotesi!$C$35:$G$35,1,F31)&lt;=0,27-Parametri_v3!$C$21&lt;1),0,INDEX($AT$5:$AT$64,MAX(1,27-Parametri_v3!$C$21))/(INDEX(Ipotesi!$C$35:$G$35,1,F31)*Ipotesi!C27))</f>
        <v>1.43982638888889</v>
      </c>
      <c r="BB31" s="15" t="n">
        <f aca="false">IF(27-Parametri_v3!$C$21&lt;1,0,INDEX($AU$5:$AU$64,MAX(1,27-Parametri_v3!$C$21)))*Parametri_v3!$C$18*Parametri_v3!$C$19*Parametri_v3!$C$20</f>
        <v>3.9375</v>
      </c>
      <c r="BC31" s="17" t="n">
        <f aca="false">MAX(0,MIN(AY31,BA31,BB31,MAX(0,AZ31-(AV31-AW31))))</f>
        <v>1.43982638888889</v>
      </c>
      <c r="BD31" s="17" t="n">
        <f aca="false">AV31-AW31+BC31</f>
        <v>24.7359086606268</v>
      </c>
      <c r="BE31" s="17" t="n">
        <f aca="false">(AV31+BD31)/2</f>
        <v>24.1187160535885</v>
      </c>
      <c r="BF31" s="15" t="n">
        <f aca="false">BE31*INDEX(Ipotesi!$C$33:$G$33,1,F31)*H31/12</f>
        <v>11054.4115245614</v>
      </c>
      <c r="BG31" s="15" t="n">
        <f aca="false">BD31*INDEX(Ipotesi!$C$33:$G$33,1,F31)*H31</f>
        <v>136047.497633447</v>
      </c>
      <c r="BH31" s="15" t="n">
        <f aca="false">AM31*INDEX(Ipotesi!$C$37:$G$37,1,F31)</f>
        <v>4950</v>
      </c>
      <c r="BI31" s="15" t="n">
        <f aca="false">AQ31+BF31+BH31</f>
        <v>47254.4115245614</v>
      </c>
      <c r="BJ31" s="15" t="n">
        <f aca="false">INDEX(Ipotesi!$C$68:$G$68,1,F31)*Ipotesi!$C$69/12</f>
        <v>2400</v>
      </c>
      <c r="BK31" s="15" t="n">
        <f aca="false">INDEX(Ipotesi!$C$68:$G$68,1,F31)*(1-Ipotesi!$C$69)/12</f>
        <v>3600</v>
      </c>
      <c r="BL31" s="15" t="n">
        <f aca="false">(AQ31+BF31)*Ipotesi!$C$67</f>
        <v>1269.13234573684</v>
      </c>
      <c r="BM31" s="15" t="n">
        <f aca="false">AM31*Ipotesi!$C$67</f>
        <v>1485</v>
      </c>
      <c r="BN31" s="15" t="n">
        <f aca="false">INDEX(Ipotesi!$C$72:$G$72,1,F31)/12*Ipotesi!C126+BF31*Ipotesi!$C$73</f>
        <v>2134.35292196491</v>
      </c>
      <c r="BO31" s="15" t="n">
        <f aca="false">INDEX(Ipotesi!$C$74:$G$74,1,F31)/12*Ipotesi!C126</f>
        <v>2916.66666666667</v>
      </c>
      <c r="BP31" s="15" t="n">
        <f aca="false">INDEX(Ipotesi!$C$76:$G$76,1,F31)/12</f>
        <v>1083.33333333333</v>
      </c>
      <c r="BQ31" s="15" t="n">
        <f aca="false">INDEX(Ipotesi!$C$77:$G$77,1,F31)/12*Ipotesi!C126</f>
        <v>2083.33333333333</v>
      </c>
      <c r="BR31" s="15" t="n">
        <f aca="false">INDEX(Ipotesi!$C$78:$G$78,1,F31)/12</f>
        <v>1666.66666666667</v>
      </c>
      <c r="BS31" s="15" t="n">
        <f aca="false">SUM(M31:R31)*(Ipotesi!$C$85+Ipotesi!$C$86)/12</f>
        <v>4812.5</v>
      </c>
      <c r="BT31" s="15" t="n">
        <f aca="false">BI31*Ipotesi!$C$87</f>
        <v>1417.63234573684</v>
      </c>
      <c r="BU31" s="15" t="n">
        <f aca="false">INDEX(Ipotesi!$C$55:$G$55,1,F31)*K31/12</f>
        <v>1500</v>
      </c>
      <c r="BV31" s="15" t="n">
        <f aca="false">INDEX(Ipotesi!$C$80:$G$80,1,F31)/12*Ipotesi!C126</f>
        <v>1250</v>
      </c>
      <c r="BW31" s="15" t="n">
        <f aca="false">INDEX(Ipotesi!$C$82:$G$82,1,F31)/12</f>
        <v>1000</v>
      </c>
      <c r="BX31" s="15" t="n">
        <f aca="false">INDEX(Ipotesi!$C$83:$G$83,1,F31)/12</f>
        <v>666.666666666667</v>
      </c>
      <c r="BY31" s="15" t="n">
        <f aca="false">SUM(S31:U31)*(Ipotesi!$C$85+Ipotesi!$C$86)/12</f>
        <v>1895.83333333333</v>
      </c>
      <c r="BZ31" s="15" t="n">
        <f aca="false">AM31*Ipotesi!$C$87</f>
        <v>1485</v>
      </c>
      <c r="CA31" s="15" t="n">
        <f aca="false">AB31+BJ31+BL31+BN31+BO31+AR31+BP31+BQ31+BR31+BS31+BT31</f>
        <v>114057.284280105</v>
      </c>
      <c r="CB31" s="15" t="n">
        <f aca="false">AC31+BK31+BM31+BH31+BU31+BV31+AS31+BW31+BX31+BY31+BZ31</f>
        <v>44499.8958333333</v>
      </c>
      <c r="CC31" s="15" t="n">
        <f aca="false">BI31-CA31</f>
        <v>-66802.8727555439</v>
      </c>
      <c r="CD31" s="15" t="n">
        <f aca="false">AM31-CB31</f>
        <v>5000.10416666667</v>
      </c>
      <c r="CE31" s="15" t="n">
        <f aca="false">INDEX(Ipotesi!$C$79:$G$79,1,F31)/12</f>
        <v>2500</v>
      </c>
      <c r="CF31" s="15" t="n">
        <f aca="false">INDEX(Ipotesi!$C$84:$G$84,1,F31)/12</f>
        <v>416.666666666667</v>
      </c>
      <c r="CG31" s="15" t="n">
        <f aca="false">Y31*MAX(0,Parametri_v3!$C$12-IF(P31=0,0,MIN(1,BE31/(P31*Parametri_v3!$C$22))))+W31*Parametri_v3!$C$13+X31*Parametri_v3!$C$14</f>
        <v>28108.6022557812</v>
      </c>
      <c r="CH31" s="15" t="n">
        <f aca="false">AB31*Parametri_v3!$C$32</f>
        <v>3713.68333333333</v>
      </c>
      <c r="CI31" s="15" t="n">
        <f aca="false">AC31*Parametri_v3!$C$32</f>
        <v>1270.86979166667</v>
      </c>
      <c r="CJ31" s="15" t="n">
        <f aca="false">CA31-AB31</f>
        <v>39783.6176134386</v>
      </c>
      <c r="CK31" s="15" t="n">
        <f aca="false">CB31-AC31-BH31</f>
        <v>14132.5</v>
      </c>
      <c r="CL31" s="15" t="n">
        <f aca="false">BF31*Ipotesi!$C$73+INDEX(Ipotesi!$C$72:$G$72,1,F31)/12*Ipotesi!C126*Parametri_v3!$C$58+Z31*(1-Parametri_v3!$C$16)</f>
        <v>6908.40292196491</v>
      </c>
      <c r="CM31" s="16" t="n">
        <f aca="false">IF(BF31=0,0,1-CL31/BF31)</f>
        <v>0.375054664229265</v>
      </c>
    </row>
    <row r="32" customFormat="false" ht="18" hidden="false" customHeight="true" outlineLevel="0" collapsed="false">
      <c r="A32" s="68" t="n">
        <f aca="false">1</f>
        <v>1</v>
      </c>
      <c r="B32" s="68" t="n">
        <f aca="false">28</f>
        <v>28</v>
      </c>
      <c r="C32" s="18" t="n">
        <f aca="false">EDATE(Parametri_v3!$C$5,28-1)</f>
        <v>47209</v>
      </c>
      <c r="D32" s="68" t="n">
        <f aca="false">YEAR(C32)</f>
        <v>2029</v>
      </c>
      <c r="E32" s="68" t="n">
        <f aca="false">MONTH(C32)</f>
        <v>4</v>
      </c>
      <c r="F32" s="68" t="n">
        <f aca="false">INT((28-1)/12)+1</f>
        <v>3</v>
      </c>
      <c r="G32" s="15" t="n">
        <f aca="false">Ipotesi!C7</f>
        <v>0.75</v>
      </c>
      <c r="H32" s="15" t="n">
        <f aca="false">Ipotesi!C9</f>
        <v>1</v>
      </c>
      <c r="I32" s="15" t="n">
        <f aca="false">Ipotesi!C10</f>
        <v>1</v>
      </c>
      <c r="J32" s="15" t="n">
        <f aca="false">Ipotesi!C11</f>
        <v>1</v>
      </c>
      <c r="K32" s="15" t="n">
        <f aca="false">Ipotesi!C12</f>
        <v>1</v>
      </c>
      <c r="L32" s="15" t="n">
        <f aca="false">Ipotesi!C13</f>
        <v>90</v>
      </c>
      <c r="M32" s="17" t="n">
        <f aca="false">INDEX(Ipotesi!$C$40:$G$40,1,F32)</f>
        <v>1</v>
      </c>
      <c r="N32" s="17" t="n">
        <f aca="false">INDEX(Ipotesi!$C$41:$G$41,1,F32)</f>
        <v>1</v>
      </c>
      <c r="O32" s="17" t="n">
        <f aca="false">INDEX(Ipotesi!$C$42:$G$42,1,F32)*Ipotesi!C125</f>
        <v>4.5</v>
      </c>
      <c r="P32" s="17" t="n">
        <f aca="false">INDEX(Ipotesi!$C$43:$G$43,1,F32)*I32</f>
        <v>5</v>
      </c>
      <c r="Q32" s="17" t="n">
        <f aca="false">INDEX(Ipotesi!$C$44:$G$44,1,F32)*I32</f>
        <v>4</v>
      </c>
      <c r="R32" s="17" t="n">
        <f aca="false">INDEX(Ipotesi!$C$45:$G$45,1,F32)*I32</f>
        <v>1</v>
      </c>
      <c r="S32" s="17" t="n">
        <f aca="false">INDEX(Ipotesi!$C$52:$G$52,1,F32)*Ipotesi!C125</f>
        <v>5</v>
      </c>
      <c r="T32" s="17" t="n">
        <f aca="false">INDEX(Ipotesi!$C$53:$G$53,1,F32)*I32</f>
        <v>1</v>
      </c>
      <c r="U32" s="17" t="n">
        <f aca="false">INDEX(Ipotesi!$C$54:$G$54,1,F32)*I32</f>
        <v>0.5</v>
      </c>
      <c r="V32" s="15" t="n">
        <f aca="false">M32*INDEX(Ipotesi!$C$58:$G$58,1,F32)*K32/12</f>
        <v>7083.33333333333</v>
      </c>
      <c r="W32" s="15" t="n">
        <f aca="false">N32*Ipotesi!$C$59*(1+Ipotesi!$C$66)^(F32-1)/12</f>
        <v>6188.58333333333</v>
      </c>
      <c r="X32" s="15" t="n">
        <f aca="false">O32*Ipotesi!$C$60*(1+Ipotesi!$C$66)^(F32-1)/12</f>
        <v>19891.875</v>
      </c>
      <c r="Y32" s="15" t="n">
        <f aca="false">P32*Ipotesi!$C$61*(1+Ipotesi!$C$66)^(F32-1)/12</f>
        <v>22102.0833333333</v>
      </c>
      <c r="Z32" s="15" t="n">
        <f aca="false">Q32*Ipotesi!$C$62*(1+Ipotesi!$C$66)^(F32-1)/12</f>
        <v>15913.5</v>
      </c>
      <c r="AA32" s="15" t="n">
        <f aca="false">R32*Ipotesi!$C$63*(1+Ipotesi!$C$66)^(F32-1)/12</f>
        <v>3094.29166666667</v>
      </c>
      <c r="AB32" s="15" t="n">
        <f aca="false">SUM(V32:AA32)</f>
        <v>74273.6666666667</v>
      </c>
      <c r="AC32" s="15" t="n">
        <f aca="false">(S32*Ipotesi!$C$64+T32*Ipotesi!$C$65+U32*Ipotesi!$C$63)*(1+Ipotesi!$C$66)^(F32-1)/12</f>
        <v>25417.3958333333</v>
      </c>
      <c r="AD32" s="15" t="n">
        <f aca="false">INDEX(Ipotesi!$C$48:$G$48,1,F32)*G32/12</f>
        <v>45</v>
      </c>
      <c r="AE32" s="15" t="n">
        <f aca="false">INDEX(Ipotesi!$C$50:$G$50,1,F32)*G32/12</f>
        <v>5</v>
      </c>
      <c r="AF32" s="15" t="n">
        <f aca="false">(S32*Parametri_v3!$C$7*Parametri_v3!$C$8+Parametri_v3!$C$10)/12</f>
        <v>64.1666666666667</v>
      </c>
      <c r="AG32" s="15" t="n">
        <f aca="false">AD32+AE32*(1+Parametri_v3!$C$9)</f>
        <v>52.5</v>
      </c>
      <c r="AH32" s="16" t="n">
        <f aca="false">IF(AG32=0,1,MIN(1,AF32/AG32))</f>
        <v>1</v>
      </c>
      <c r="AI32" s="15" t="n">
        <f aca="false">AD32*AH32</f>
        <v>45</v>
      </c>
      <c r="AJ32" s="15" t="n">
        <f aca="false">AE32*AH32</f>
        <v>5</v>
      </c>
      <c r="AK32" s="15" t="n">
        <f aca="false">AI32*INDEX(Ipotesi!$C$49:$G$49,1,F32)*H32</f>
        <v>38250</v>
      </c>
      <c r="AL32" s="15" t="n">
        <f aca="false">AJ32*INDEX(Ipotesi!$C$51:$G$51,1,F32)*H32</f>
        <v>11250</v>
      </c>
      <c r="AM32" s="15" t="n">
        <f aca="false">AK32+AL32</f>
        <v>49500</v>
      </c>
      <c r="AN32" s="15" t="n">
        <f aca="false">INDEX(Ipotesi!$C$30:$G$30,1,F32)*G32/12</f>
        <v>31.25</v>
      </c>
      <c r="AO32" s="15" t="n">
        <f aca="false">O32*Parametri_v3!$C$7*Parametri_v3!$C$11*(1-Parametri_v3!$C$14)/12</f>
        <v>46.2</v>
      </c>
      <c r="AP32" s="15" t="n">
        <f aca="false">MIN(AN32,AO32)</f>
        <v>31.25</v>
      </c>
      <c r="AQ32" s="15" t="n">
        <f aca="false">AP32*INDEX(Ipotesi!$C$31:$G$31,1,F32)*H32</f>
        <v>31250</v>
      </c>
      <c r="AR32" s="15" t="n">
        <f aca="false">INDEX(Ipotesi!$C$75:$G$75,1,F32)*J32/12</f>
        <v>20000</v>
      </c>
      <c r="AS32" s="15" t="n">
        <f aca="false">INDEX(Ipotesi!$C$81:$G$81,1,F32)*J32/12</f>
        <v>1250</v>
      </c>
      <c r="AT32" s="15" t="n">
        <f aca="false">AR32*Parametri_v3!$C$15+Z32*Parametri_v3!$C$16</f>
        <v>31139.45</v>
      </c>
      <c r="AU32" s="15" t="n">
        <f aca="false">Q32*Parametri_v3!$C$16*Parametri_v3!$C$17</f>
        <v>280</v>
      </c>
      <c r="AV32" s="17" t="n">
        <f aca="false">BD31</f>
        <v>24.7359086606268</v>
      </c>
      <c r="AW32" s="17" t="n">
        <f aca="false">AV32*(1-(1-INDEX(Ipotesi!$C$34:$G$34,1,F32))^(1/12))</f>
        <v>0.216231690122112</v>
      </c>
      <c r="AX32" s="15" t="n">
        <f aca="false">ROUND(INDEX(Ipotesi!$C$32:$G$32,1,F32)*Ipotesi!C8,0)</f>
        <v>78</v>
      </c>
      <c r="AY32" s="15" t="n">
        <f aca="false">MAX(0,(AX32-(AV32-AW32))/(13-E32))</f>
        <v>5.94225811438837</v>
      </c>
      <c r="AZ32" s="15" t="n">
        <f aca="false">MIN(P32*Parametri_v3!$C$22,Q32*(1-Parametri_v3!$C$16)*Parametri_v3!$C$23)</f>
        <v>180</v>
      </c>
      <c r="BA32" s="15" t="n">
        <f aca="false">IF(OR(INDEX(Ipotesi!$C$35:$G$35,1,F32)&lt;=0,28-Parametri_v3!$C$21&lt;1),0,INDEX($AT$5:$AT$64,MAX(1,28-Parametri_v3!$C$21))/(INDEX(Ipotesi!$C$35:$G$35,1,F32)*Ipotesi!C27))</f>
        <v>5.18990833333333</v>
      </c>
      <c r="BB32" s="15" t="n">
        <f aca="false">IF(28-Parametri_v3!$C$21&lt;1,0,INDEX($AU$5:$AU$64,MAX(1,28-Parametri_v3!$C$21)))*Parametri_v3!$C$18*Parametri_v3!$C$19*Parametri_v3!$C$20</f>
        <v>10.5</v>
      </c>
      <c r="BC32" s="17" t="n">
        <f aca="false">MAX(0,MIN(AY32,BA32,BB32,MAX(0,AZ32-(AV32-AW32))))</f>
        <v>5.18990833333333</v>
      </c>
      <c r="BD32" s="17" t="n">
        <f aca="false">AV32-AW32+BC32</f>
        <v>29.709585303838</v>
      </c>
      <c r="BE32" s="17" t="n">
        <f aca="false">(AV32+BD32)/2</f>
        <v>27.2227469822324</v>
      </c>
      <c r="BF32" s="15" t="n">
        <f aca="false">BE32*INDEX(Ipotesi!$C$33:$G$33,1,F32)*H32/12</f>
        <v>12477.0923668565</v>
      </c>
      <c r="BG32" s="15" t="n">
        <f aca="false">BD32*INDEX(Ipotesi!$C$33:$G$33,1,F32)*H32</f>
        <v>163402.719171109</v>
      </c>
      <c r="BH32" s="15" t="n">
        <f aca="false">AM32*INDEX(Ipotesi!$C$37:$G$37,1,F32)</f>
        <v>4950</v>
      </c>
      <c r="BI32" s="15" t="n">
        <f aca="false">AQ32+BF32+BH32</f>
        <v>48677.0923668565</v>
      </c>
      <c r="BJ32" s="15" t="n">
        <f aca="false">INDEX(Ipotesi!$C$68:$G$68,1,F32)*Ipotesi!$C$69/12</f>
        <v>2400</v>
      </c>
      <c r="BK32" s="15" t="n">
        <f aca="false">INDEX(Ipotesi!$C$68:$G$68,1,F32)*(1-Ipotesi!$C$69)/12</f>
        <v>3600</v>
      </c>
      <c r="BL32" s="15" t="n">
        <f aca="false">(AQ32+BF32)*Ipotesi!$C$67</f>
        <v>1311.8127710057</v>
      </c>
      <c r="BM32" s="15" t="n">
        <f aca="false">AM32*Ipotesi!$C$67</f>
        <v>1485</v>
      </c>
      <c r="BN32" s="15" t="n">
        <f aca="false">INDEX(Ipotesi!$C$72:$G$72,1,F32)/12*Ipotesi!C126+BF32*Ipotesi!$C$73</f>
        <v>2248.16738934852</v>
      </c>
      <c r="BO32" s="15" t="n">
        <f aca="false">INDEX(Ipotesi!$C$74:$G$74,1,F32)/12*Ipotesi!C126</f>
        <v>2916.66666666667</v>
      </c>
      <c r="BP32" s="15" t="n">
        <f aca="false">INDEX(Ipotesi!$C$76:$G$76,1,F32)/12</f>
        <v>1083.33333333333</v>
      </c>
      <c r="BQ32" s="15" t="n">
        <f aca="false">INDEX(Ipotesi!$C$77:$G$77,1,F32)/12*Ipotesi!C126</f>
        <v>2083.33333333333</v>
      </c>
      <c r="BR32" s="15" t="n">
        <f aca="false">INDEX(Ipotesi!$C$78:$G$78,1,F32)/12</f>
        <v>1666.66666666667</v>
      </c>
      <c r="BS32" s="15" t="n">
        <f aca="false">SUM(M32:R32)*(Ipotesi!$C$85+Ipotesi!$C$86)/12</f>
        <v>4812.5</v>
      </c>
      <c r="BT32" s="15" t="n">
        <f aca="false">BI32*Ipotesi!$C$87</f>
        <v>1460.3127710057</v>
      </c>
      <c r="BU32" s="15" t="n">
        <f aca="false">INDEX(Ipotesi!$C$55:$G$55,1,F32)*K32/12</f>
        <v>1500</v>
      </c>
      <c r="BV32" s="15" t="n">
        <f aca="false">INDEX(Ipotesi!$C$80:$G$80,1,F32)/12*Ipotesi!C126</f>
        <v>1250</v>
      </c>
      <c r="BW32" s="15" t="n">
        <f aca="false">INDEX(Ipotesi!$C$82:$G$82,1,F32)/12</f>
        <v>1000</v>
      </c>
      <c r="BX32" s="15" t="n">
        <f aca="false">INDEX(Ipotesi!$C$83:$G$83,1,F32)/12</f>
        <v>666.666666666667</v>
      </c>
      <c r="BY32" s="15" t="n">
        <f aca="false">SUM(S32:U32)*(Ipotesi!$C$85+Ipotesi!$C$86)/12</f>
        <v>1895.83333333333</v>
      </c>
      <c r="BZ32" s="15" t="n">
        <f aca="false">AM32*Ipotesi!$C$87</f>
        <v>1485</v>
      </c>
      <c r="CA32" s="15" t="n">
        <f aca="false">AB32+BJ32+BL32+BN32+BO32+AR32+BP32+BQ32+BR32+BS32+BT32</f>
        <v>114256.459598027</v>
      </c>
      <c r="CB32" s="15" t="n">
        <f aca="false">AC32+BK32+BM32+BH32+BU32+BV32+AS32+BW32+BX32+BY32+BZ32</f>
        <v>44499.8958333333</v>
      </c>
      <c r="CC32" s="15" t="n">
        <f aca="false">BI32-CA32</f>
        <v>-65579.3672311701</v>
      </c>
      <c r="CD32" s="15" t="n">
        <f aca="false">AM32-CB32</f>
        <v>5000.10416666667</v>
      </c>
      <c r="CE32" s="15" t="n">
        <f aca="false">INDEX(Ipotesi!$C$79:$G$79,1,F32)/12</f>
        <v>2500</v>
      </c>
      <c r="CF32" s="15" t="n">
        <f aca="false">INDEX(Ipotesi!$C$84:$G$84,1,F32)/12</f>
        <v>416.666666666667</v>
      </c>
      <c r="CG32" s="15" t="n">
        <f aca="false">Y32*MAX(0,Parametri_v3!$C$12-IF(P32=0,0,MIN(1,BE32/(P32*Parametri_v3!$C$22))))+W32*Parametri_v3!$C$13+X32*Parametri_v3!$C$14</f>
        <v>27971.3911552729</v>
      </c>
      <c r="CH32" s="15" t="n">
        <f aca="false">AB32*Parametri_v3!$C$32</f>
        <v>3713.68333333333</v>
      </c>
      <c r="CI32" s="15" t="n">
        <f aca="false">AC32*Parametri_v3!$C$32</f>
        <v>1270.86979166667</v>
      </c>
      <c r="CJ32" s="15" t="n">
        <f aca="false">CA32-AB32</f>
        <v>39982.7929313599</v>
      </c>
      <c r="CK32" s="15" t="n">
        <f aca="false">CB32-AC32-BH32</f>
        <v>14132.5</v>
      </c>
      <c r="CL32" s="15" t="n">
        <f aca="false">BF32*Ipotesi!$C$73+INDEX(Ipotesi!$C$72:$G$72,1,F32)/12*Ipotesi!C126*Parametri_v3!$C$58+Z32*(1-Parametri_v3!$C$16)</f>
        <v>7022.21738934852</v>
      </c>
      <c r="CM32" s="16" t="n">
        <f aca="false">IF(BF32=0,0,1-CL32/BF32)</f>
        <v>0.437191199449483</v>
      </c>
    </row>
    <row r="33" customFormat="false" ht="18" hidden="false" customHeight="true" outlineLevel="0" collapsed="false">
      <c r="A33" s="68" t="n">
        <f aca="false">1</f>
        <v>1</v>
      </c>
      <c r="B33" s="68" t="n">
        <f aca="false">29</f>
        <v>29</v>
      </c>
      <c r="C33" s="18" t="n">
        <f aca="false">EDATE(Parametri_v3!$C$5,29-1)</f>
        <v>47239</v>
      </c>
      <c r="D33" s="68" t="n">
        <f aca="false">YEAR(C33)</f>
        <v>2029</v>
      </c>
      <c r="E33" s="68" t="n">
        <f aca="false">MONTH(C33)</f>
        <v>5</v>
      </c>
      <c r="F33" s="68" t="n">
        <f aca="false">INT((29-1)/12)+1</f>
        <v>3</v>
      </c>
      <c r="G33" s="15" t="n">
        <f aca="false">Ipotesi!C7</f>
        <v>0.75</v>
      </c>
      <c r="H33" s="15" t="n">
        <f aca="false">Ipotesi!C9</f>
        <v>1</v>
      </c>
      <c r="I33" s="15" t="n">
        <f aca="false">Ipotesi!C10</f>
        <v>1</v>
      </c>
      <c r="J33" s="15" t="n">
        <f aca="false">Ipotesi!C11</f>
        <v>1</v>
      </c>
      <c r="K33" s="15" t="n">
        <f aca="false">Ipotesi!C12</f>
        <v>1</v>
      </c>
      <c r="L33" s="15" t="n">
        <f aca="false">Ipotesi!C13</f>
        <v>90</v>
      </c>
      <c r="M33" s="17" t="n">
        <f aca="false">INDEX(Ipotesi!$C$40:$G$40,1,F33)</f>
        <v>1</v>
      </c>
      <c r="N33" s="17" t="n">
        <f aca="false">INDEX(Ipotesi!$C$41:$G$41,1,F33)</f>
        <v>1</v>
      </c>
      <c r="O33" s="17" t="n">
        <f aca="false">INDEX(Ipotesi!$C$42:$G$42,1,F33)*Ipotesi!C125</f>
        <v>4.5</v>
      </c>
      <c r="P33" s="17" t="n">
        <f aca="false">INDEX(Ipotesi!$C$43:$G$43,1,F33)*I33</f>
        <v>5</v>
      </c>
      <c r="Q33" s="17" t="n">
        <f aca="false">INDEX(Ipotesi!$C$44:$G$44,1,F33)*I33</f>
        <v>4</v>
      </c>
      <c r="R33" s="17" t="n">
        <f aca="false">INDEX(Ipotesi!$C$45:$G$45,1,F33)*I33</f>
        <v>1</v>
      </c>
      <c r="S33" s="17" t="n">
        <f aca="false">INDEX(Ipotesi!$C$52:$G$52,1,F33)*Ipotesi!C125</f>
        <v>5</v>
      </c>
      <c r="T33" s="17" t="n">
        <f aca="false">INDEX(Ipotesi!$C$53:$G$53,1,F33)*I33</f>
        <v>1</v>
      </c>
      <c r="U33" s="17" t="n">
        <f aca="false">INDEX(Ipotesi!$C$54:$G$54,1,F33)*I33</f>
        <v>0.5</v>
      </c>
      <c r="V33" s="15" t="n">
        <f aca="false">M33*INDEX(Ipotesi!$C$58:$G$58,1,F33)*K33/12</f>
        <v>7083.33333333333</v>
      </c>
      <c r="W33" s="15" t="n">
        <f aca="false">N33*Ipotesi!$C$59*(1+Ipotesi!$C$66)^(F33-1)/12</f>
        <v>6188.58333333333</v>
      </c>
      <c r="X33" s="15" t="n">
        <f aca="false">O33*Ipotesi!$C$60*(1+Ipotesi!$C$66)^(F33-1)/12</f>
        <v>19891.875</v>
      </c>
      <c r="Y33" s="15" t="n">
        <f aca="false">P33*Ipotesi!$C$61*(1+Ipotesi!$C$66)^(F33-1)/12</f>
        <v>22102.0833333333</v>
      </c>
      <c r="Z33" s="15" t="n">
        <f aca="false">Q33*Ipotesi!$C$62*(1+Ipotesi!$C$66)^(F33-1)/12</f>
        <v>15913.5</v>
      </c>
      <c r="AA33" s="15" t="n">
        <f aca="false">R33*Ipotesi!$C$63*(1+Ipotesi!$C$66)^(F33-1)/12</f>
        <v>3094.29166666667</v>
      </c>
      <c r="AB33" s="15" t="n">
        <f aca="false">SUM(V33:AA33)</f>
        <v>74273.6666666667</v>
      </c>
      <c r="AC33" s="15" t="n">
        <f aca="false">(S33*Ipotesi!$C$64+T33*Ipotesi!$C$65+U33*Ipotesi!$C$63)*(1+Ipotesi!$C$66)^(F33-1)/12</f>
        <v>25417.3958333333</v>
      </c>
      <c r="AD33" s="15" t="n">
        <f aca="false">INDEX(Ipotesi!$C$48:$G$48,1,F33)*G33/12</f>
        <v>45</v>
      </c>
      <c r="AE33" s="15" t="n">
        <f aca="false">INDEX(Ipotesi!$C$50:$G$50,1,F33)*G33/12</f>
        <v>5</v>
      </c>
      <c r="AF33" s="15" t="n">
        <f aca="false">(S33*Parametri_v3!$C$7*Parametri_v3!$C$8+Parametri_v3!$C$10)/12</f>
        <v>64.1666666666667</v>
      </c>
      <c r="AG33" s="15" t="n">
        <f aca="false">AD33+AE33*(1+Parametri_v3!$C$9)</f>
        <v>52.5</v>
      </c>
      <c r="AH33" s="16" t="n">
        <f aca="false">IF(AG33=0,1,MIN(1,AF33/AG33))</f>
        <v>1</v>
      </c>
      <c r="AI33" s="15" t="n">
        <f aca="false">AD33*AH33</f>
        <v>45</v>
      </c>
      <c r="AJ33" s="15" t="n">
        <f aca="false">AE33*AH33</f>
        <v>5</v>
      </c>
      <c r="AK33" s="15" t="n">
        <f aca="false">AI33*INDEX(Ipotesi!$C$49:$G$49,1,F33)*H33</f>
        <v>38250</v>
      </c>
      <c r="AL33" s="15" t="n">
        <f aca="false">AJ33*INDEX(Ipotesi!$C$51:$G$51,1,F33)*H33</f>
        <v>11250</v>
      </c>
      <c r="AM33" s="15" t="n">
        <f aca="false">AK33+AL33</f>
        <v>49500</v>
      </c>
      <c r="AN33" s="15" t="n">
        <f aca="false">INDEX(Ipotesi!$C$30:$G$30,1,F33)*G33/12</f>
        <v>31.25</v>
      </c>
      <c r="AO33" s="15" t="n">
        <f aca="false">O33*Parametri_v3!$C$7*Parametri_v3!$C$11*(1-Parametri_v3!$C$14)/12</f>
        <v>46.2</v>
      </c>
      <c r="AP33" s="15" t="n">
        <f aca="false">MIN(AN33,AO33)</f>
        <v>31.25</v>
      </c>
      <c r="AQ33" s="15" t="n">
        <f aca="false">AP33*INDEX(Ipotesi!$C$31:$G$31,1,F33)*H33</f>
        <v>31250</v>
      </c>
      <c r="AR33" s="15" t="n">
        <f aca="false">INDEX(Ipotesi!$C$75:$G$75,1,F33)*J33/12</f>
        <v>20000</v>
      </c>
      <c r="AS33" s="15" t="n">
        <f aca="false">INDEX(Ipotesi!$C$81:$G$81,1,F33)*J33/12</f>
        <v>1250</v>
      </c>
      <c r="AT33" s="15" t="n">
        <f aca="false">AR33*Parametri_v3!$C$15+Z33*Parametri_v3!$C$16</f>
        <v>31139.45</v>
      </c>
      <c r="AU33" s="15" t="n">
        <f aca="false">Q33*Parametri_v3!$C$16*Parametri_v3!$C$17</f>
        <v>280</v>
      </c>
      <c r="AV33" s="17" t="n">
        <f aca="false">BD32</f>
        <v>29.709585303838</v>
      </c>
      <c r="AW33" s="17" t="n">
        <f aca="false">AV33*(1-(1-INDEX(Ipotesi!$C$34:$G$34,1,F33))^(1/12))</f>
        <v>0.259709636351527</v>
      </c>
      <c r="AX33" s="15" t="n">
        <f aca="false">ROUND(INDEX(Ipotesi!$C$32:$G$32,1,F33)*Ipotesi!C8,0)</f>
        <v>78</v>
      </c>
      <c r="AY33" s="15" t="n">
        <f aca="false">MAX(0,(AX33-(AV33-AW33))/(13-E33))</f>
        <v>6.06876554156419</v>
      </c>
      <c r="AZ33" s="15" t="n">
        <f aca="false">MIN(P33*Parametri_v3!$C$22,Q33*(1-Parametri_v3!$C$16)*Parametri_v3!$C$23)</f>
        <v>180</v>
      </c>
      <c r="BA33" s="15" t="n">
        <f aca="false">IF(OR(INDEX(Ipotesi!$C$35:$G$35,1,F33)&lt;=0,29-Parametri_v3!$C$21&lt;1),0,INDEX($AT$5:$AT$64,MAX(1,29-Parametri_v3!$C$21))/(INDEX(Ipotesi!$C$35:$G$35,1,F33)*Ipotesi!C27))</f>
        <v>5.18990833333333</v>
      </c>
      <c r="BB33" s="15" t="n">
        <f aca="false">IF(29-Parametri_v3!$C$21&lt;1,0,INDEX($AU$5:$AU$64,MAX(1,29-Parametri_v3!$C$21)))*Parametri_v3!$C$18*Parametri_v3!$C$19*Parametri_v3!$C$20</f>
        <v>10.5</v>
      </c>
      <c r="BC33" s="17" t="n">
        <f aca="false">MAX(0,MIN(AY33,BA33,BB33,MAX(0,AZ33-(AV33-AW33))))</f>
        <v>5.18990833333333</v>
      </c>
      <c r="BD33" s="17" t="n">
        <f aca="false">AV33-AW33+BC33</f>
        <v>34.6397840008198</v>
      </c>
      <c r="BE33" s="17" t="n">
        <f aca="false">(AV33+BD33)/2</f>
        <v>32.1746846523289</v>
      </c>
      <c r="BF33" s="15" t="n">
        <f aca="false">BE33*INDEX(Ipotesi!$C$33:$G$33,1,F33)*H33/12</f>
        <v>14746.7304656507</v>
      </c>
      <c r="BG33" s="15" t="n">
        <f aca="false">BD33*INDEX(Ipotesi!$C$33:$G$33,1,F33)*H33</f>
        <v>190518.812004509</v>
      </c>
      <c r="BH33" s="15" t="n">
        <f aca="false">AM33*INDEX(Ipotesi!$C$37:$G$37,1,F33)</f>
        <v>4950</v>
      </c>
      <c r="BI33" s="15" t="n">
        <f aca="false">AQ33+BF33+BH33</f>
        <v>50946.7304656507</v>
      </c>
      <c r="BJ33" s="15" t="n">
        <f aca="false">INDEX(Ipotesi!$C$68:$G$68,1,F33)*Ipotesi!$C$69/12</f>
        <v>2400</v>
      </c>
      <c r="BK33" s="15" t="n">
        <f aca="false">INDEX(Ipotesi!$C$68:$G$68,1,F33)*(1-Ipotesi!$C$69)/12</f>
        <v>3600</v>
      </c>
      <c r="BL33" s="15" t="n">
        <f aca="false">(AQ33+BF33)*Ipotesi!$C$67</f>
        <v>1379.90191396952</v>
      </c>
      <c r="BM33" s="15" t="n">
        <f aca="false">AM33*Ipotesi!$C$67</f>
        <v>1485</v>
      </c>
      <c r="BN33" s="15" t="n">
        <f aca="false">INDEX(Ipotesi!$C$72:$G$72,1,F33)/12*Ipotesi!C126+BF33*Ipotesi!$C$73</f>
        <v>2429.73843725206</v>
      </c>
      <c r="BO33" s="15" t="n">
        <f aca="false">INDEX(Ipotesi!$C$74:$G$74,1,F33)/12*Ipotesi!C126</f>
        <v>2916.66666666667</v>
      </c>
      <c r="BP33" s="15" t="n">
        <f aca="false">INDEX(Ipotesi!$C$76:$G$76,1,F33)/12</f>
        <v>1083.33333333333</v>
      </c>
      <c r="BQ33" s="15" t="n">
        <f aca="false">INDEX(Ipotesi!$C$77:$G$77,1,F33)/12*Ipotesi!C126</f>
        <v>2083.33333333333</v>
      </c>
      <c r="BR33" s="15" t="n">
        <f aca="false">INDEX(Ipotesi!$C$78:$G$78,1,F33)/12</f>
        <v>1666.66666666667</v>
      </c>
      <c r="BS33" s="15" t="n">
        <f aca="false">SUM(M33:R33)*(Ipotesi!$C$85+Ipotesi!$C$86)/12</f>
        <v>4812.5</v>
      </c>
      <c r="BT33" s="15" t="n">
        <f aca="false">BI33*Ipotesi!$C$87</f>
        <v>1528.40191396952</v>
      </c>
      <c r="BU33" s="15" t="n">
        <f aca="false">INDEX(Ipotesi!$C$55:$G$55,1,F33)*K33/12</f>
        <v>1500</v>
      </c>
      <c r="BV33" s="15" t="n">
        <f aca="false">INDEX(Ipotesi!$C$80:$G$80,1,F33)/12*Ipotesi!C126</f>
        <v>1250</v>
      </c>
      <c r="BW33" s="15" t="n">
        <f aca="false">INDEX(Ipotesi!$C$82:$G$82,1,F33)/12</f>
        <v>1000</v>
      </c>
      <c r="BX33" s="15" t="n">
        <f aca="false">INDEX(Ipotesi!$C$83:$G$83,1,F33)/12</f>
        <v>666.666666666667</v>
      </c>
      <c r="BY33" s="15" t="n">
        <f aca="false">SUM(S33:U33)*(Ipotesi!$C$85+Ipotesi!$C$86)/12</f>
        <v>1895.83333333333</v>
      </c>
      <c r="BZ33" s="15" t="n">
        <f aca="false">AM33*Ipotesi!$C$87</f>
        <v>1485</v>
      </c>
      <c r="CA33" s="15" t="n">
        <f aca="false">AB33+BJ33+BL33+BN33+BO33+AR33+BP33+BQ33+BR33+BS33+BT33</f>
        <v>114574.208931858</v>
      </c>
      <c r="CB33" s="15" t="n">
        <f aca="false">AC33+BK33+BM33+BH33+BU33+BV33+AS33+BW33+BX33+BY33+BZ33</f>
        <v>44499.8958333333</v>
      </c>
      <c r="CC33" s="15" t="n">
        <f aca="false">BI33-CA33</f>
        <v>-63627.478466207</v>
      </c>
      <c r="CD33" s="15" t="n">
        <f aca="false">AM33-CB33</f>
        <v>5000.10416666667</v>
      </c>
      <c r="CE33" s="15" t="n">
        <f aca="false">INDEX(Ipotesi!$C$79:$G$79,1,F33)/12</f>
        <v>2500</v>
      </c>
      <c r="CF33" s="15" t="n">
        <f aca="false">INDEX(Ipotesi!$C$84:$G$84,1,F33)/12</f>
        <v>416.666666666667</v>
      </c>
      <c r="CG33" s="15" t="n">
        <f aca="false">Y33*MAX(0,Parametri_v3!$C$12-IF(P33=0,0,MIN(1,BE33/(P33*Parametri_v3!$C$22))))+W33*Parametri_v3!$C$13+X33*Parametri_v3!$C$14</f>
        <v>27752.494877181</v>
      </c>
      <c r="CH33" s="15" t="n">
        <f aca="false">AB33*Parametri_v3!$C$32</f>
        <v>3713.68333333333</v>
      </c>
      <c r="CI33" s="15" t="n">
        <f aca="false">AC33*Parametri_v3!$C$32</f>
        <v>1270.86979166667</v>
      </c>
      <c r="CJ33" s="15" t="n">
        <f aca="false">CA33-AB33</f>
        <v>40300.5422651911</v>
      </c>
      <c r="CK33" s="15" t="n">
        <f aca="false">CB33-AC33-BH33</f>
        <v>14132.5</v>
      </c>
      <c r="CL33" s="15" t="n">
        <f aca="false">BF33*Ipotesi!$C$73+INDEX(Ipotesi!$C$72:$G$72,1,F33)/12*Ipotesi!C126*Parametri_v3!$C$58+Z33*(1-Parametri_v3!$C$16)</f>
        <v>7203.78843725206</v>
      </c>
      <c r="CM33" s="16" t="n">
        <f aca="false">IF(BF33=0,0,1-CL33/BF33)</f>
        <v>0.511499280872347</v>
      </c>
    </row>
    <row r="34" customFormat="false" ht="18" hidden="false" customHeight="true" outlineLevel="0" collapsed="false">
      <c r="A34" s="68" t="n">
        <f aca="false">1</f>
        <v>1</v>
      </c>
      <c r="B34" s="68" t="n">
        <f aca="false">30</f>
        <v>30</v>
      </c>
      <c r="C34" s="18" t="n">
        <f aca="false">EDATE(Parametri_v3!$C$5,30-1)</f>
        <v>47270</v>
      </c>
      <c r="D34" s="68" t="n">
        <f aca="false">YEAR(C34)</f>
        <v>2029</v>
      </c>
      <c r="E34" s="68" t="n">
        <f aca="false">MONTH(C34)</f>
        <v>6</v>
      </c>
      <c r="F34" s="68" t="n">
        <f aca="false">INT((30-1)/12)+1</f>
        <v>3</v>
      </c>
      <c r="G34" s="15" t="n">
        <f aca="false">Ipotesi!C7</f>
        <v>0.75</v>
      </c>
      <c r="H34" s="15" t="n">
        <f aca="false">Ipotesi!C9</f>
        <v>1</v>
      </c>
      <c r="I34" s="15" t="n">
        <f aca="false">Ipotesi!C10</f>
        <v>1</v>
      </c>
      <c r="J34" s="15" t="n">
        <f aca="false">Ipotesi!C11</f>
        <v>1</v>
      </c>
      <c r="K34" s="15" t="n">
        <f aca="false">Ipotesi!C12</f>
        <v>1</v>
      </c>
      <c r="L34" s="15" t="n">
        <f aca="false">Ipotesi!C13</f>
        <v>90</v>
      </c>
      <c r="M34" s="17" t="n">
        <f aca="false">INDEX(Ipotesi!$C$40:$G$40,1,F34)</f>
        <v>1</v>
      </c>
      <c r="N34" s="17" t="n">
        <f aca="false">INDEX(Ipotesi!$C$41:$G$41,1,F34)</f>
        <v>1</v>
      </c>
      <c r="O34" s="17" t="n">
        <f aca="false">INDEX(Ipotesi!$C$42:$G$42,1,F34)*Ipotesi!C125</f>
        <v>4.5</v>
      </c>
      <c r="P34" s="17" t="n">
        <f aca="false">INDEX(Ipotesi!$C$43:$G$43,1,F34)*I34</f>
        <v>5</v>
      </c>
      <c r="Q34" s="17" t="n">
        <f aca="false">INDEX(Ipotesi!$C$44:$G$44,1,F34)*I34</f>
        <v>4</v>
      </c>
      <c r="R34" s="17" t="n">
        <f aca="false">INDEX(Ipotesi!$C$45:$G$45,1,F34)*I34</f>
        <v>1</v>
      </c>
      <c r="S34" s="17" t="n">
        <f aca="false">INDEX(Ipotesi!$C$52:$G$52,1,F34)*Ipotesi!C125</f>
        <v>5</v>
      </c>
      <c r="T34" s="17" t="n">
        <f aca="false">INDEX(Ipotesi!$C$53:$G$53,1,F34)*I34</f>
        <v>1</v>
      </c>
      <c r="U34" s="17" t="n">
        <f aca="false">INDEX(Ipotesi!$C$54:$G$54,1,F34)*I34</f>
        <v>0.5</v>
      </c>
      <c r="V34" s="15" t="n">
        <f aca="false">M34*INDEX(Ipotesi!$C$58:$G$58,1,F34)*K34/12</f>
        <v>7083.33333333333</v>
      </c>
      <c r="W34" s="15" t="n">
        <f aca="false">N34*Ipotesi!$C$59*(1+Ipotesi!$C$66)^(F34-1)/12</f>
        <v>6188.58333333333</v>
      </c>
      <c r="X34" s="15" t="n">
        <f aca="false">O34*Ipotesi!$C$60*(1+Ipotesi!$C$66)^(F34-1)/12</f>
        <v>19891.875</v>
      </c>
      <c r="Y34" s="15" t="n">
        <f aca="false">P34*Ipotesi!$C$61*(1+Ipotesi!$C$66)^(F34-1)/12</f>
        <v>22102.0833333333</v>
      </c>
      <c r="Z34" s="15" t="n">
        <f aca="false">Q34*Ipotesi!$C$62*(1+Ipotesi!$C$66)^(F34-1)/12</f>
        <v>15913.5</v>
      </c>
      <c r="AA34" s="15" t="n">
        <f aca="false">R34*Ipotesi!$C$63*(1+Ipotesi!$C$66)^(F34-1)/12</f>
        <v>3094.29166666667</v>
      </c>
      <c r="AB34" s="15" t="n">
        <f aca="false">SUM(V34:AA34)</f>
        <v>74273.6666666667</v>
      </c>
      <c r="AC34" s="15" t="n">
        <f aca="false">(S34*Ipotesi!$C$64+T34*Ipotesi!$C$65+U34*Ipotesi!$C$63)*(1+Ipotesi!$C$66)^(F34-1)/12</f>
        <v>25417.3958333333</v>
      </c>
      <c r="AD34" s="15" t="n">
        <f aca="false">INDEX(Ipotesi!$C$48:$G$48,1,F34)*G34/12</f>
        <v>45</v>
      </c>
      <c r="AE34" s="15" t="n">
        <f aca="false">INDEX(Ipotesi!$C$50:$G$50,1,F34)*G34/12</f>
        <v>5</v>
      </c>
      <c r="AF34" s="15" t="n">
        <f aca="false">(S34*Parametri_v3!$C$7*Parametri_v3!$C$8+Parametri_v3!$C$10)/12</f>
        <v>64.1666666666667</v>
      </c>
      <c r="AG34" s="15" t="n">
        <f aca="false">AD34+AE34*(1+Parametri_v3!$C$9)</f>
        <v>52.5</v>
      </c>
      <c r="AH34" s="16" t="n">
        <f aca="false">IF(AG34=0,1,MIN(1,AF34/AG34))</f>
        <v>1</v>
      </c>
      <c r="AI34" s="15" t="n">
        <f aca="false">AD34*AH34</f>
        <v>45</v>
      </c>
      <c r="AJ34" s="15" t="n">
        <f aca="false">AE34*AH34</f>
        <v>5</v>
      </c>
      <c r="AK34" s="15" t="n">
        <f aca="false">AI34*INDEX(Ipotesi!$C$49:$G$49,1,F34)*H34</f>
        <v>38250</v>
      </c>
      <c r="AL34" s="15" t="n">
        <f aca="false">AJ34*INDEX(Ipotesi!$C$51:$G$51,1,F34)*H34</f>
        <v>11250</v>
      </c>
      <c r="AM34" s="15" t="n">
        <f aca="false">AK34+AL34</f>
        <v>49500</v>
      </c>
      <c r="AN34" s="15" t="n">
        <f aca="false">INDEX(Ipotesi!$C$30:$G$30,1,F34)*G34/12</f>
        <v>31.25</v>
      </c>
      <c r="AO34" s="15" t="n">
        <f aca="false">O34*Parametri_v3!$C$7*Parametri_v3!$C$11*(1-Parametri_v3!$C$14)/12</f>
        <v>46.2</v>
      </c>
      <c r="AP34" s="15" t="n">
        <f aca="false">MIN(AN34,AO34)</f>
        <v>31.25</v>
      </c>
      <c r="AQ34" s="15" t="n">
        <f aca="false">AP34*INDEX(Ipotesi!$C$31:$G$31,1,F34)*H34</f>
        <v>31250</v>
      </c>
      <c r="AR34" s="15" t="n">
        <f aca="false">INDEX(Ipotesi!$C$75:$G$75,1,F34)*J34/12</f>
        <v>20000</v>
      </c>
      <c r="AS34" s="15" t="n">
        <f aca="false">INDEX(Ipotesi!$C$81:$G$81,1,F34)*J34/12</f>
        <v>1250</v>
      </c>
      <c r="AT34" s="15" t="n">
        <f aca="false">AR34*Parametri_v3!$C$15+Z34*Parametri_v3!$C$16</f>
        <v>31139.45</v>
      </c>
      <c r="AU34" s="15" t="n">
        <f aca="false">Q34*Parametri_v3!$C$16*Parametri_v3!$C$17</f>
        <v>280</v>
      </c>
      <c r="AV34" s="17" t="n">
        <f aca="false">BD33</f>
        <v>34.6397840008198</v>
      </c>
      <c r="AW34" s="17" t="n">
        <f aca="false">AV34*(1-(1-INDEX(Ipotesi!$C$34:$G$34,1,F34))^(1/12))</f>
        <v>0.302807515289894</v>
      </c>
      <c r="AX34" s="15" t="n">
        <f aca="false">ROUND(INDEX(Ipotesi!$C$32:$G$32,1,F34)*Ipotesi!C8,0)</f>
        <v>78</v>
      </c>
      <c r="AY34" s="15" t="n">
        <f aca="false">MAX(0,(AX34-(AV34-AW34))/(13-E34))</f>
        <v>6.23757478778144</v>
      </c>
      <c r="AZ34" s="15" t="n">
        <f aca="false">MIN(P34*Parametri_v3!$C$22,Q34*(1-Parametri_v3!$C$16)*Parametri_v3!$C$23)</f>
        <v>180</v>
      </c>
      <c r="BA34" s="15" t="n">
        <f aca="false">IF(OR(INDEX(Ipotesi!$C$35:$G$35,1,F34)&lt;=0,30-Parametri_v3!$C$21&lt;1),0,INDEX($AT$5:$AT$64,MAX(1,30-Parametri_v3!$C$21))/(INDEX(Ipotesi!$C$35:$G$35,1,F34)*Ipotesi!C27))</f>
        <v>5.18990833333333</v>
      </c>
      <c r="BB34" s="15" t="n">
        <f aca="false">IF(30-Parametri_v3!$C$21&lt;1,0,INDEX($AU$5:$AU$64,MAX(1,30-Parametri_v3!$C$21)))*Parametri_v3!$C$18*Parametri_v3!$C$19*Parametri_v3!$C$20</f>
        <v>10.5</v>
      </c>
      <c r="BC34" s="17" t="n">
        <f aca="false">MAX(0,MIN(AY34,BA34,BB34,MAX(0,AZ34-(AV34-AW34))))</f>
        <v>5.18990833333333</v>
      </c>
      <c r="BD34" s="17" t="n">
        <f aca="false">AV34-AW34+BC34</f>
        <v>39.5268848188632</v>
      </c>
      <c r="BE34" s="17" t="n">
        <f aca="false">(AV34+BD34)/2</f>
        <v>37.0833344098415</v>
      </c>
      <c r="BF34" s="15" t="n">
        <f aca="false">BE34*INDEX(Ipotesi!$C$33:$G$33,1,F34)*H34/12</f>
        <v>16996.5282711774</v>
      </c>
      <c r="BG34" s="15" t="n">
        <f aca="false">BD34*INDEX(Ipotesi!$C$33:$G$33,1,F34)*H34</f>
        <v>217397.866503748</v>
      </c>
      <c r="BH34" s="15" t="n">
        <f aca="false">AM34*INDEX(Ipotesi!$C$37:$G$37,1,F34)</f>
        <v>4950</v>
      </c>
      <c r="BI34" s="15" t="n">
        <f aca="false">AQ34+BF34+BH34</f>
        <v>53196.5282711774</v>
      </c>
      <c r="BJ34" s="15" t="n">
        <f aca="false">INDEX(Ipotesi!$C$68:$G$68,1,F34)*Ipotesi!$C$69/12</f>
        <v>2400</v>
      </c>
      <c r="BK34" s="15" t="n">
        <f aca="false">INDEX(Ipotesi!$C$68:$G$68,1,F34)*(1-Ipotesi!$C$69)/12</f>
        <v>3600</v>
      </c>
      <c r="BL34" s="15" t="n">
        <f aca="false">(AQ34+BF34)*Ipotesi!$C$67</f>
        <v>1447.39584813532</v>
      </c>
      <c r="BM34" s="15" t="n">
        <f aca="false">AM34*Ipotesi!$C$67</f>
        <v>1485</v>
      </c>
      <c r="BN34" s="15" t="n">
        <f aca="false">INDEX(Ipotesi!$C$72:$G$72,1,F34)/12*Ipotesi!C126+BF34*Ipotesi!$C$73</f>
        <v>2609.72226169419</v>
      </c>
      <c r="BO34" s="15" t="n">
        <f aca="false">INDEX(Ipotesi!$C$74:$G$74,1,F34)/12*Ipotesi!C126</f>
        <v>2916.66666666667</v>
      </c>
      <c r="BP34" s="15" t="n">
        <f aca="false">INDEX(Ipotesi!$C$76:$G$76,1,F34)/12</f>
        <v>1083.33333333333</v>
      </c>
      <c r="BQ34" s="15" t="n">
        <f aca="false">INDEX(Ipotesi!$C$77:$G$77,1,F34)/12*Ipotesi!C126</f>
        <v>2083.33333333333</v>
      </c>
      <c r="BR34" s="15" t="n">
        <f aca="false">INDEX(Ipotesi!$C$78:$G$78,1,F34)/12</f>
        <v>1666.66666666667</v>
      </c>
      <c r="BS34" s="15" t="n">
        <f aca="false">SUM(M34:R34)*(Ipotesi!$C$85+Ipotesi!$C$86)/12</f>
        <v>4812.5</v>
      </c>
      <c r="BT34" s="15" t="n">
        <f aca="false">BI34*Ipotesi!$C$87</f>
        <v>1595.89584813532</v>
      </c>
      <c r="BU34" s="15" t="n">
        <f aca="false">INDEX(Ipotesi!$C$55:$G$55,1,F34)*K34/12</f>
        <v>1500</v>
      </c>
      <c r="BV34" s="15" t="n">
        <f aca="false">INDEX(Ipotesi!$C$80:$G$80,1,F34)/12*Ipotesi!C126</f>
        <v>1250</v>
      </c>
      <c r="BW34" s="15" t="n">
        <f aca="false">INDEX(Ipotesi!$C$82:$G$82,1,F34)/12</f>
        <v>1000</v>
      </c>
      <c r="BX34" s="15" t="n">
        <f aca="false">INDEX(Ipotesi!$C$83:$G$83,1,F34)/12</f>
        <v>666.666666666667</v>
      </c>
      <c r="BY34" s="15" t="n">
        <f aca="false">SUM(S34:U34)*(Ipotesi!$C$85+Ipotesi!$C$86)/12</f>
        <v>1895.83333333333</v>
      </c>
      <c r="BZ34" s="15" t="n">
        <f aca="false">AM34*Ipotesi!$C$87</f>
        <v>1485</v>
      </c>
      <c r="CA34" s="15" t="n">
        <f aca="false">AB34+BJ34+BL34+BN34+BO34+AR34+BP34+BQ34+BR34+BS34+BT34</f>
        <v>114889.180624632</v>
      </c>
      <c r="CB34" s="15" t="n">
        <f aca="false">AC34+BK34+BM34+BH34+BU34+BV34+AS34+BW34+BX34+BY34+BZ34</f>
        <v>44499.8958333333</v>
      </c>
      <c r="CC34" s="15" t="n">
        <f aca="false">BI34-CA34</f>
        <v>-61692.6523534541</v>
      </c>
      <c r="CD34" s="15" t="n">
        <f aca="false">AM34-CB34</f>
        <v>5000.10416666667</v>
      </c>
      <c r="CE34" s="15" t="n">
        <f aca="false">INDEX(Ipotesi!$C$79:$G$79,1,F34)/12</f>
        <v>2500</v>
      </c>
      <c r="CF34" s="15" t="n">
        <f aca="false">INDEX(Ipotesi!$C$84:$G$84,1,F34)/12</f>
        <v>416.666666666667</v>
      </c>
      <c r="CG34" s="15" t="n">
        <f aca="false">Y34*MAX(0,Parametri_v3!$C$12-IF(P34=0,0,MIN(1,BE34/(P34*Parametri_v3!$C$22))))+W34*Parametri_v3!$C$13+X34*Parametri_v3!$C$14</f>
        <v>27535.5121051916</v>
      </c>
      <c r="CH34" s="15" t="n">
        <f aca="false">AB34*Parametri_v3!$C$32</f>
        <v>3713.68333333333</v>
      </c>
      <c r="CI34" s="15" t="n">
        <f aca="false">AC34*Parametri_v3!$C$32</f>
        <v>1270.86979166667</v>
      </c>
      <c r="CJ34" s="15" t="n">
        <f aca="false">CA34-AB34</f>
        <v>40615.5139579648</v>
      </c>
      <c r="CK34" s="15" t="n">
        <f aca="false">CB34-AC34-BH34</f>
        <v>14132.5</v>
      </c>
      <c r="CL34" s="15" t="n">
        <f aca="false">BF34*Ipotesi!$C$73+INDEX(Ipotesi!$C$72:$G$72,1,F34)/12*Ipotesi!C126*Parametri_v3!$C$58+Z34*(1-Parametri_v3!$C$16)</f>
        <v>7383.77226169419</v>
      </c>
      <c r="CM34" s="16" t="n">
        <f aca="false">IF(BF34=0,0,1-CL34/BF34)</f>
        <v>0.565571736540129</v>
      </c>
    </row>
    <row r="35" customFormat="false" ht="18" hidden="false" customHeight="true" outlineLevel="0" collapsed="false">
      <c r="A35" s="68" t="n">
        <f aca="false">1</f>
        <v>1</v>
      </c>
      <c r="B35" s="68" t="n">
        <f aca="false">31</f>
        <v>31</v>
      </c>
      <c r="C35" s="18" t="n">
        <f aca="false">EDATE(Parametri_v3!$C$5,31-1)</f>
        <v>47300</v>
      </c>
      <c r="D35" s="68" t="n">
        <f aca="false">YEAR(C35)</f>
        <v>2029</v>
      </c>
      <c r="E35" s="68" t="n">
        <f aca="false">MONTH(C35)</f>
        <v>7</v>
      </c>
      <c r="F35" s="68" t="n">
        <f aca="false">INT((31-1)/12)+1</f>
        <v>3</v>
      </c>
      <c r="G35" s="15" t="n">
        <f aca="false">Ipotesi!C7</f>
        <v>0.75</v>
      </c>
      <c r="H35" s="15" t="n">
        <f aca="false">Ipotesi!C9</f>
        <v>1</v>
      </c>
      <c r="I35" s="15" t="n">
        <f aca="false">Ipotesi!C10</f>
        <v>1</v>
      </c>
      <c r="J35" s="15" t="n">
        <f aca="false">Ipotesi!C11</f>
        <v>1</v>
      </c>
      <c r="K35" s="15" t="n">
        <f aca="false">Ipotesi!C12</f>
        <v>1</v>
      </c>
      <c r="L35" s="15" t="n">
        <f aca="false">Ipotesi!C13</f>
        <v>90</v>
      </c>
      <c r="M35" s="17" t="n">
        <f aca="false">INDEX(Ipotesi!$C$40:$G$40,1,F35)</f>
        <v>1</v>
      </c>
      <c r="N35" s="17" t="n">
        <f aca="false">INDEX(Ipotesi!$C$41:$G$41,1,F35)</f>
        <v>1</v>
      </c>
      <c r="O35" s="17" t="n">
        <f aca="false">INDEX(Ipotesi!$C$42:$G$42,1,F35)*Ipotesi!C125</f>
        <v>4.5</v>
      </c>
      <c r="P35" s="17" t="n">
        <f aca="false">INDEX(Ipotesi!$C$43:$G$43,1,F35)*I35</f>
        <v>5</v>
      </c>
      <c r="Q35" s="17" t="n">
        <f aca="false">INDEX(Ipotesi!$C$44:$G$44,1,F35)*I35</f>
        <v>4</v>
      </c>
      <c r="R35" s="17" t="n">
        <f aca="false">INDEX(Ipotesi!$C$45:$G$45,1,F35)*I35</f>
        <v>1</v>
      </c>
      <c r="S35" s="17" t="n">
        <f aca="false">INDEX(Ipotesi!$C$52:$G$52,1,F35)*Ipotesi!C125</f>
        <v>5</v>
      </c>
      <c r="T35" s="17" t="n">
        <f aca="false">INDEX(Ipotesi!$C$53:$G$53,1,F35)*I35</f>
        <v>1</v>
      </c>
      <c r="U35" s="17" t="n">
        <f aca="false">INDEX(Ipotesi!$C$54:$G$54,1,F35)*I35</f>
        <v>0.5</v>
      </c>
      <c r="V35" s="15" t="n">
        <f aca="false">M35*INDEX(Ipotesi!$C$58:$G$58,1,F35)*K35/12</f>
        <v>7083.33333333333</v>
      </c>
      <c r="W35" s="15" t="n">
        <f aca="false">N35*Ipotesi!$C$59*(1+Ipotesi!$C$66)^(F35-1)/12</f>
        <v>6188.58333333333</v>
      </c>
      <c r="X35" s="15" t="n">
        <f aca="false">O35*Ipotesi!$C$60*(1+Ipotesi!$C$66)^(F35-1)/12</f>
        <v>19891.875</v>
      </c>
      <c r="Y35" s="15" t="n">
        <f aca="false">P35*Ipotesi!$C$61*(1+Ipotesi!$C$66)^(F35-1)/12</f>
        <v>22102.0833333333</v>
      </c>
      <c r="Z35" s="15" t="n">
        <f aca="false">Q35*Ipotesi!$C$62*(1+Ipotesi!$C$66)^(F35-1)/12</f>
        <v>15913.5</v>
      </c>
      <c r="AA35" s="15" t="n">
        <f aca="false">R35*Ipotesi!$C$63*(1+Ipotesi!$C$66)^(F35-1)/12</f>
        <v>3094.29166666667</v>
      </c>
      <c r="AB35" s="15" t="n">
        <f aca="false">SUM(V35:AA35)</f>
        <v>74273.6666666667</v>
      </c>
      <c r="AC35" s="15" t="n">
        <f aca="false">(S35*Ipotesi!$C$64+T35*Ipotesi!$C$65+U35*Ipotesi!$C$63)*(1+Ipotesi!$C$66)^(F35-1)/12</f>
        <v>25417.3958333333</v>
      </c>
      <c r="AD35" s="15" t="n">
        <f aca="false">INDEX(Ipotesi!$C$48:$G$48,1,F35)*G35/12</f>
        <v>45</v>
      </c>
      <c r="AE35" s="15" t="n">
        <f aca="false">INDEX(Ipotesi!$C$50:$G$50,1,F35)*G35/12</f>
        <v>5</v>
      </c>
      <c r="AF35" s="15" t="n">
        <f aca="false">(S35*Parametri_v3!$C$7*Parametri_v3!$C$8+Parametri_v3!$C$10)/12</f>
        <v>64.1666666666667</v>
      </c>
      <c r="AG35" s="15" t="n">
        <f aca="false">AD35+AE35*(1+Parametri_v3!$C$9)</f>
        <v>52.5</v>
      </c>
      <c r="AH35" s="16" t="n">
        <f aca="false">IF(AG35=0,1,MIN(1,AF35/AG35))</f>
        <v>1</v>
      </c>
      <c r="AI35" s="15" t="n">
        <f aca="false">AD35*AH35</f>
        <v>45</v>
      </c>
      <c r="AJ35" s="15" t="n">
        <f aca="false">AE35*AH35</f>
        <v>5</v>
      </c>
      <c r="AK35" s="15" t="n">
        <f aca="false">AI35*INDEX(Ipotesi!$C$49:$G$49,1,F35)*H35</f>
        <v>38250</v>
      </c>
      <c r="AL35" s="15" t="n">
        <f aca="false">AJ35*INDEX(Ipotesi!$C$51:$G$51,1,F35)*H35</f>
        <v>11250</v>
      </c>
      <c r="AM35" s="15" t="n">
        <f aca="false">AK35+AL35</f>
        <v>49500</v>
      </c>
      <c r="AN35" s="15" t="n">
        <f aca="false">INDEX(Ipotesi!$C$30:$G$30,1,F35)*G35/12</f>
        <v>31.25</v>
      </c>
      <c r="AO35" s="15" t="n">
        <f aca="false">O35*Parametri_v3!$C$7*Parametri_v3!$C$11*(1-Parametri_v3!$C$14)/12</f>
        <v>46.2</v>
      </c>
      <c r="AP35" s="15" t="n">
        <f aca="false">MIN(AN35,AO35)</f>
        <v>31.25</v>
      </c>
      <c r="AQ35" s="15" t="n">
        <f aca="false">AP35*INDEX(Ipotesi!$C$31:$G$31,1,F35)*H35</f>
        <v>31250</v>
      </c>
      <c r="AR35" s="15" t="n">
        <f aca="false">INDEX(Ipotesi!$C$75:$G$75,1,F35)*J35/12</f>
        <v>20000</v>
      </c>
      <c r="AS35" s="15" t="n">
        <f aca="false">INDEX(Ipotesi!$C$81:$G$81,1,F35)*J35/12</f>
        <v>1250</v>
      </c>
      <c r="AT35" s="15" t="n">
        <f aca="false">AR35*Parametri_v3!$C$15+Z35*Parametri_v3!$C$16</f>
        <v>31139.45</v>
      </c>
      <c r="AU35" s="15" t="n">
        <f aca="false">Q35*Parametri_v3!$C$16*Parametri_v3!$C$17</f>
        <v>280</v>
      </c>
      <c r="AV35" s="17" t="n">
        <f aca="false">BD34</f>
        <v>39.5268848188632</v>
      </c>
      <c r="AW35" s="17" t="n">
        <f aca="false">AV35*(1-(1-INDEX(Ipotesi!$C$34:$G$34,1,F35))^(1/12))</f>
        <v>0.34552864933761</v>
      </c>
      <c r="AX35" s="15" t="n">
        <f aca="false">ROUND(INDEX(Ipotesi!$C$32:$G$32,1,F35)*Ipotesi!C8,0)</f>
        <v>78</v>
      </c>
      <c r="AY35" s="15" t="n">
        <f aca="false">MAX(0,(AX35-(AV35-AW35))/(13-E35))</f>
        <v>6.46977397174573</v>
      </c>
      <c r="AZ35" s="15" t="n">
        <f aca="false">MIN(P35*Parametri_v3!$C$22,Q35*(1-Parametri_v3!$C$16)*Parametri_v3!$C$23)</f>
        <v>180</v>
      </c>
      <c r="BA35" s="15" t="n">
        <f aca="false">IF(OR(INDEX(Ipotesi!$C$35:$G$35,1,F35)&lt;=0,31-Parametri_v3!$C$21&lt;1),0,INDEX($AT$5:$AT$64,MAX(1,31-Parametri_v3!$C$21))/(INDEX(Ipotesi!$C$35:$G$35,1,F35)*Ipotesi!C27))</f>
        <v>5.18990833333333</v>
      </c>
      <c r="BB35" s="15" t="n">
        <f aca="false">IF(31-Parametri_v3!$C$21&lt;1,0,INDEX($AU$5:$AU$64,MAX(1,31-Parametri_v3!$C$21)))*Parametri_v3!$C$18*Parametri_v3!$C$19*Parametri_v3!$C$20</f>
        <v>10.5</v>
      </c>
      <c r="BC35" s="17" t="n">
        <f aca="false">MAX(0,MIN(AY35,BA35,BB35,MAX(0,AZ35-(AV35-AW35))))</f>
        <v>5.18990833333333</v>
      </c>
      <c r="BD35" s="17" t="n">
        <f aca="false">AV35-AW35+BC35</f>
        <v>44.371264502859</v>
      </c>
      <c r="BE35" s="17" t="n">
        <f aca="false">(AV35+BD35)/2</f>
        <v>41.9490746608611</v>
      </c>
      <c r="BF35" s="15" t="n">
        <f aca="false">BE35*INDEX(Ipotesi!$C$33:$G$33,1,F35)*H35/12</f>
        <v>19226.6592195613</v>
      </c>
      <c r="BG35" s="15" t="n">
        <f aca="false">BD35*INDEX(Ipotesi!$C$33:$G$33,1,F35)*H35</f>
        <v>244041.954765724</v>
      </c>
      <c r="BH35" s="15" t="n">
        <f aca="false">AM35*INDEX(Ipotesi!$C$37:$G$37,1,F35)</f>
        <v>4950</v>
      </c>
      <c r="BI35" s="15" t="n">
        <f aca="false">AQ35+BF35+BH35</f>
        <v>55426.6592195613</v>
      </c>
      <c r="BJ35" s="15" t="n">
        <f aca="false">INDEX(Ipotesi!$C$68:$G$68,1,F35)*Ipotesi!$C$69/12</f>
        <v>2400</v>
      </c>
      <c r="BK35" s="15" t="n">
        <f aca="false">INDEX(Ipotesi!$C$68:$G$68,1,F35)*(1-Ipotesi!$C$69)/12</f>
        <v>3600</v>
      </c>
      <c r="BL35" s="15" t="n">
        <f aca="false">(AQ35+BF35)*Ipotesi!$C$67</f>
        <v>1514.29977658684</v>
      </c>
      <c r="BM35" s="15" t="n">
        <f aca="false">AM35*Ipotesi!$C$67</f>
        <v>1485</v>
      </c>
      <c r="BN35" s="15" t="n">
        <f aca="false">INDEX(Ipotesi!$C$72:$G$72,1,F35)/12*Ipotesi!C126+BF35*Ipotesi!$C$73</f>
        <v>2788.13273756491</v>
      </c>
      <c r="BO35" s="15" t="n">
        <f aca="false">INDEX(Ipotesi!$C$74:$G$74,1,F35)/12*Ipotesi!C126</f>
        <v>2916.66666666667</v>
      </c>
      <c r="BP35" s="15" t="n">
        <f aca="false">INDEX(Ipotesi!$C$76:$G$76,1,F35)/12</f>
        <v>1083.33333333333</v>
      </c>
      <c r="BQ35" s="15" t="n">
        <f aca="false">INDEX(Ipotesi!$C$77:$G$77,1,F35)/12*Ipotesi!C126</f>
        <v>2083.33333333333</v>
      </c>
      <c r="BR35" s="15" t="n">
        <f aca="false">INDEX(Ipotesi!$C$78:$G$78,1,F35)/12</f>
        <v>1666.66666666667</v>
      </c>
      <c r="BS35" s="15" t="n">
        <f aca="false">SUM(M35:R35)*(Ipotesi!$C$85+Ipotesi!$C$86)/12</f>
        <v>4812.5</v>
      </c>
      <c r="BT35" s="15" t="n">
        <f aca="false">BI35*Ipotesi!$C$87</f>
        <v>1662.79977658684</v>
      </c>
      <c r="BU35" s="15" t="n">
        <f aca="false">INDEX(Ipotesi!$C$55:$G$55,1,F35)*K35/12</f>
        <v>1500</v>
      </c>
      <c r="BV35" s="15" t="n">
        <f aca="false">INDEX(Ipotesi!$C$80:$G$80,1,F35)/12*Ipotesi!C126</f>
        <v>1250</v>
      </c>
      <c r="BW35" s="15" t="n">
        <f aca="false">INDEX(Ipotesi!$C$82:$G$82,1,F35)/12</f>
        <v>1000</v>
      </c>
      <c r="BX35" s="15" t="n">
        <f aca="false">INDEX(Ipotesi!$C$83:$G$83,1,F35)/12</f>
        <v>666.666666666667</v>
      </c>
      <c r="BY35" s="15" t="n">
        <f aca="false">SUM(S35:U35)*(Ipotesi!$C$85+Ipotesi!$C$86)/12</f>
        <v>1895.83333333333</v>
      </c>
      <c r="BZ35" s="15" t="n">
        <f aca="false">AM35*Ipotesi!$C$87</f>
        <v>1485</v>
      </c>
      <c r="CA35" s="15" t="n">
        <f aca="false">AB35+BJ35+BL35+BN35+BO35+AR35+BP35+BQ35+BR35+BS35+BT35</f>
        <v>115201.398957405</v>
      </c>
      <c r="CB35" s="15" t="n">
        <f aca="false">AC35+BK35+BM35+BH35+BU35+BV35+AS35+BW35+BX35+BY35+BZ35</f>
        <v>44499.8958333333</v>
      </c>
      <c r="CC35" s="15" t="n">
        <f aca="false">BI35-CA35</f>
        <v>-59774.7397378439</v>
      </c>
      <c r="CD35" s="15" t="n">
        <f aca="false">AM35-CB35</f>
        <v>5000.10416666667</v>
      </c>
      <c r="CE35" s="15" t="n">
        <f aca="false">INDEX(Ipotesi!$C$79:$G$79,1,F35)/12</f>
        <v>2500</v>
      </c>
      <c r="CF35" s="15" t="n">
        <f aca="false">INDEX(Ipotesi!$C$84:$G$84,1,F35)/12</f>
        <v>416.666666666667</v>
      </c>
      <c r="CG35" s="15" t="n">
        <f aca="false">Y35*MAX(0,Parametri_v3!$C$12-IF(P35=0,0,MIN(1,BE35/(P35*Parametri_v3!$C$22))))+W35*Parametri_v3!$C$13+X35*Parametri_v3!$C$14</f>
        <v>27320.4261121789</v>
      </c>
      <c r="CH35" s="15" t="n">
        <f aca="false">AB35*Parametri_v3!$C$32</f>
        <v>3713.68333333333</v>
      </c>
      <c r="CI35" s="15" t="n">
        <f aca="false">AC35*Parametri_v3!$C$32</f>
        <v>1270.86979166667</v>
      </c>
      <c r="CJ35" s="15" t="n">
        <f aca="false">CA35-AB35</f>
        <v>40927.7322907386</v>
      </c>
      <c r="CK35" s="15" t="n">
        <f aca="false">CB35-AC35-BH35</f>
        <v>14132.5</v>
      </c>
      <c r="CL35" s="15" t="n">
        <f aca="false">BF35*Ipotesi!$C$73+INDEX(Ipotesi!$C$72:$G$72,1,F35)/12*Ipotesi!C126*Parametri_v3!$C$58+Z35*(1-Parametri_v3!$C$16)</f>
        <v>7562.18273756491</v>
      </c>
      <c r="CM35" s="16" t="n">
        <f aca="false">IF(BF35=0,0,1-CL35/BF35)</f>
        <v>0.606682437587957</v>
      </c>
    </row>
    <row r="36" customFormat="false" ht="18" hidden="false" customHeight="true" outlineLevel="0" collapsed="false">
      <c r="A36" s="68" t="n">
        <f aca="false">1</f>
        <v>1</v>
      </c>
      <c r="B36" s="68" t="n">
        <f aca="false">32</f>
        <v>32</v>
      </c>
      <c r="C36" s="18" t="n">
        <f aca="false">EDATE(Parametri_v3!$C$5,32-1)</f>
        <v>47331</v>
      </c>
      <c r="D36" s="68" t="n">
        <f aca="false">YEAR(C36)</f>
        <v>2029</v>
      </c>
      <c r="E36" s="68" t="n">
        <f aca="false">MONTH(C36)</f>
        <v>8</v>
      </c>
      <c r="F36" s="68" t="n">
        <f aca="false">INT((32-1)/12)+1</f>
        <v>3</v>
      </c>
      <c r="G36" s="15" t="n">
        <f aca="false">Ipotesi!C7</f>
        <v>0.75</v>
      </c>
      <c r="H36" s="15" t="n">
        <f aca="false">Ipotesi!C9</f>
        <v>1</v>
      </c>
      <c r="I36" s="15" t="n">
        <f aca="false">Ipotesi!C10</f>
        <v>1</v>
      </c>
      <c r="J36" s="15" t="n">
        <f aca="false">Ipotesi!C11</f>
        <v>1</v>
      </c>
      <c r="K36" s="15" t="n">
        <f aca="false">Ipotesi!C12</f>
        <v>1</v>
      </c>
      <c r="L36" s="15" t="n">
        <f aca="false">Ipotesi!C13</f>
        <v>90</v>
      </c>
      <c r="M36" s="17" t="n">
        <f aca="false">INDEX(Ipotesi!$C$40:$G$40,1,F36)</f>
        <v>1</v>
      </c>
      <c r="N36" s="17" t="n">
        <f aca="false">INDEX(Ipotesi!$C$41:$G$41,1,F36)</f>
        <v>1</v>
      </c>
      <c r="O36" s="17" t="n">
        <f aca="false">INDEX(Ipotesi!$C$42:$G$42,1,F36)*Ipotesi!C125</f>
        <v>4.5</v>
      </c>
      <c r="P36" s="17" t="n">
        <f aca="false">INDEX(Ipotesi!$C$43:$G$43,1,F36)*I36</f>
        <v>5</v>
      </c>
      <c r="Q36" s="17" t="n">
        <f aca="false">INDEX(Ipotesi!$C$44:$G$44,1,F36)*I36</f>
        <v>4</v>
      </c>
      <c r="R36" s="17" t="n">
        <f aca="false">INDEX(Ipotesi!$C$45:$G$45,1,F36)*I36</f>
        <v>1</v>
      </c>
      <c r="S36" s="17" t="n">
        <f aca="false">INDEX(Ipotesi!$C$52:$G$52,1,F36)*Ipotesi!C125</f>
        <v>5</v>
      </c>
      <c r="T36" s="17" t="n">
        <f aca="false">INDEX(Ipotesi!$C$53:$G$53,1,F36)*I36</f>
        <v>1</v>
      </c>
      <c r="U36" s="17" t="n">
        <f aca="false">INDEX(Ipotesi!$C$54:$G$54,1,F36)*I36</f>
        <v>0.5</v>
      </c>
      <c r="V36" s="15" t="n">
        <f aca="false">M36*INDEX(Ipotesi!$C$58:$G$58,1,F36)*K36/12</f>
        <v>7083.33333333333</v>
      </c>
      <c r="W36" s="15" t="n">
        <f aca="false">N36*Ipotesi!$C$59*(1+Ipotesi!$C$66)^(F36-1)/12</f>
        <v>6188.58333333333</v>
      </c>
      <c r="X36" s="15" t="n">
        <f aca="false">O36*Ipotesi!$C$60*(1+Ipotesi!$C$66)^(F36-1)/12</f>
        <v>19891.875</v>
      </c>
      <c r="Y36" s="15" t="n">
        <f aca="false">P36*Ipotesi!$C$61*(1+Ipotesi!$C$66)^(F36-1)/12</f>
        <v>22102.0833333333</v>
      </c>
      <c r="Z36" s="15" t="n">
        <f aca="false">Q36*Ipotesi!$C$62*(1+Ipotesi!$C$66)^(F36-1)/12</f>
        <v>15913.5</v>
      </c>
      <c r="AA36" s="15" t="n">
        <f aca="false">R36*Ipotesi!$C$63*(1+Ipotesi!$C$66)^(F36-1)/12</f>
        <v>3094.29166666667</v>
      </c>
      <c r="AB36" s="15" t="n">
        <f aca="false">SUM(V36:AA36)</f>
        <v>74273.6666666667</v>
      </c>
      <c r="AC36" s="15" t="n">
        <f aca="false">(S36*Ipotesi!$C$64+T36*Ipotesi!$C$65+U36*Ipotesi!$C$63)*(1+Ipotesi!$C$66)^(F36-1)/12</f>
        <v>25417.3958333333</v>
      </c>
      <c r="AD36" s="15" t="n">
        <f aca="false">INDEX(Ipotesi!$C$48:$G$48,1,F36)*G36/12</f>
        <v>45</v>
      </c>
      <c r="AE36" s="15" t="n">
        <f aca="false">INDEX(Ipotesi!$C$50:$G$50,1,F36)*G36/12</f>
        <v>5</v>
      </c>
      <c r="AF36" s="15" t="n">
        <f aca="false">(S36*Parametri_v3!$C$7*Parametri_v3!$C$8+Parametri_v3!$C$10)/12</f>
        <v>64.1666666666667</v>
      </c>
      <c r="AG36" s="15" t="n">
        <f aca="false">AD36+AE36*(1+Parametri_v3!$C$9)</f>
        <v>52.5</v>
      </c>
      <c r="AH36" s="16" t="n">
        <f aca="false">IF(AG36=0,1,MIN(1,AF36/AG36))</f>
        <v>1</v>
      </c>
      <c r="AI36" s="15" t="n">
        <f aca="false">AD36*AH36</f>
        <v>45</v>
      </c>
      <c r="AJ36" s="15" t="n">
        <f aca="false">AE36*AH36</f>
        <v>5</v>
      </c>
      <c r="AK36" s="15" t="n">
        <f aca="false">AI36*INDEX(Ipotesi!$C$49:$G$49,1,F36)*H36</f>
        <v>38250</v>
      </c>
      <c r="AL36" s="15" t="n">
        <f aca="false">AJ36*INDEX(Ipotesi!$C$51:$G$51,1,F36)*H36</f>
        <v>11250</v>
      </c>
      <c r="AM36" s="15" t="n">
        <f aca="false">AK36+AL36</f>
        <v>49500</v>
      </c>
      <c r="AN36" s="15" t="n">
        <f aca="false">INDEX(Ipotesi!$C$30:$G$30,1,F36)*G36/12</f>
        <v>31.25</v>
      </c>
      <c r="AO36" s="15" t="n">
        <f aca="false">O36*Parametri_v3!$C$7*Parametri_v3!$C$11*(1-Parametri_v3!$C$14)/12</f>
        <v>46.2</v>
      </c>
      <c r="AP36" s="15" t="n">
        <f aca="false">MIN(AN36,AO36)</f>
        <v>31.25</v>
      </c>
      <c r="AQ36" s="15" t="n">
        <f aca="false">AP36*INDEX(Ipotesi!$C$31:$G$31,1,F36)*H36</f>
        <v>31250</v>
      </c>
      <c r="AR36" s="15" t="n">
        <f aca="false">INDEX(Ipotesi!$C$75:$G$75,1,F36)*J36/12</f>
        <v>20000</v>
      </c>
      <c r="AS36" s="15" t="n">
        <f aca="false">INDEX(Ipotesi!$C$81:$G$81,1,F36)*J36/12</f>
        <v>1250</v>
      </c>
      <c r="AT36" s="15" t="n">
        <f aca="false">AR36*Parametri_v3!$C$15+Z36*Parametri_v3!$C$16</f>
        <v>31139.45</v>
      </c>
      <c r="AU36" s="15" t="n">
        <f aca="false">Q36*Parametri_v3!$C$16*Parametri_v3!$C$17</f>
        <v>280</v>
      </c>
      <c r="AV36" s="17" t="n">
        <f aca="false">BD35</f>
        <v>44.371264502859</v>
      </c>
      <c r="AW36" s="17" t="n">
        <f aca="false">AV36*(1-(1-INDEX(Ipotesi!$C$34:$G$34,1,F36))^(1/12))</f>
        <v>0.387876331851938</v>
      </c>
      <c r="AX36" s="15" t="n">
        <f aca="false">ROUND(INDEX(Ipotesi!$C$32:$G$32,1,F36)*Ipotesi!C8,0)</f>
        <v>78</v>
      </c>
      <c r="AY36" s="15" t="n">
        <f aca="false">MAX(0,(AX36-(AV36-AW36))/(13-E36))</f>
        <v>6.8033223657986</v>
      </c>
      <c r="AZ36" s="15" t="n">
        <f aca="false">MIN(P36*Parametri_v3!$C$22,Q36*(1-Parametri_v3!$C$16)*Parametri_v3!$C$23)</f>
        <v>180</v>
      </c>
      <c r="BA36" s="15" t="n">
        <f aca="false">IF(OR(INDEX(Ipotesi!$C$35:$G$35,1,F36)&lt;=0,32-Parametri_v3!$C$21&lt;1),0,INDEX($AT$5:$AT$64,MAX(1,32-Parametri_v3!$C$21))/(INDEX(Ipotesi!$C$35:$G$35,1,F36)*Ipotesi!C27))</f>
        <v>5.18990833333333</v>
      </c>
      <c r="BB36" s="15" t="n">
        <f aca="false">IF(32-Parametri_v3!$C$21&lt;1,0,INDEX($AU$5:$AU$64,MAX(1,32-Parametri_v3!$C$21)))*Parametri_v3!$C$18*Parametri_v3!$C$19*Parametri_v3!$C$20</f>
        <v>10.5</v>
      </c>
      <c r="BC36" s="17" t="n">
        <f aca="false">MAX(0,MIN(AY36,BA36,BB36,MAX(0,AZ36-(AV36-AW36))))</f>
        <v>5.18990833333333</v>
      </c>
      <c r="BD36" s="17" t="n">
        <f aca="false">AV36-AW36+BC36</f>
        <v>49.1732965043404</v>
      </c>
      <c r="BE36" s="17" t="n">
        <f aca="false">(AV36+BD36)/2</f>
        <v>46.7722805035997</v>
      </c>
      <c r="BF36" s="15" t="n">
        <f aca="false">BE36*INDEX(Ipotesi!$C$33:$G$33,1,F36)*H36/12</f>
        <v>21437.2952308165</v>
      </c>
      <c r="BG36" s="15" t="n">
        <f aca="false">BD36*INDEX(Ipotesi!$C$33:$G$33,1,F36)*H36</f>
        <v>270453.130773872</v>
      </c>
      <c r="BH36" s="15" t="n">
        <f aca="false">AM36*INDEX(Ipotesi!$C$37:$G$37,1,F36)</f>
        <v>4950</v>
      </c>
      <c r="BI36" s="15" t="n">
        <f aca="false">AQ36+BF36+BH36</f>
        <v>57637.2952308165</v>
      </c>
      <c r="BJ36" s="15" t="n">
        <f aca="false">INDEX(Ipotesi!$C$68:$G$68,1,F36)*Ipotesi!$C$69/12</f>
        <v>2400</v>
      </c>
      <c r="BK36" s="15" t="n">
        <f aca="false">INDEX(Ipotesi!$C$68:$G$68,1,F36)*(1-Ipotesi!$C$69)/12</f>
        <v>3600</v>
      </c>
      <c r="BL36" s="15" t="n">
        <f aca="false">(AQ36+BF36)*Ipotesi!$C$67</f>
        <v>1580.6188569245</v>
      </c>
      <c r="BM36" s="15" t="n">
        <f aca="false">AM36*Ipotesi!$C$67</f>
        <v>1485</v>
      </c>
      <c r="BN36" s="15" t="n">
        <f aca="false">INDEX(Ipotesi!$C$72:$G$72,1,F36)/12*Ipotesi!C126+BF36*Ipotesi!$C$73</f>
        <v>2964.98361846532</v>
      </c>
      <c r="BO36" s="15" t="n">
        <f aca="false">INDEX(Ipotesi!$C$74:$G$74,1,F36)/12*Ipotesi!C126</f>
        <v>2916.66666666667</v>
      </c>
      <c r="BP36" s="15" t="n">
        <f aca="false">INDEX(Ipotesi!$C$76:$G$76,1,F36)/12</f>
        <v>1083.33333333333</v>
      </c>
      <c r="BQ36" s="15" t="n">
        <f aca="false">INDEX(Ipotesi!$C$77:$G$77,1,F36)/12*Ipotesi!C126</f>
        <v>2083.33333333333</v>
      </c>
      <c r="BR36" s="15" t="n">
        <f aca="false">INDEX(Ipotesi!$C$78:$G$78,1,F36)/12</f>
        <v>1666.66666666667</v>
      </c>
      <c r="BS36" s="15" t="n">
        <f aca="false">SUM(M36:R36)*(Ipotesi!$C$85+Ipotesi!$C$86)/12</f>
        <v>4812.5</v>
      </c>
      <c r="BT36" s="15" t="n">
        <f aca="false">BI36*Ipotesi!$C$87</f>
        <v>1729.1188569245</v>
      </c>
      <c r="BU36" s="15" t="n">
        <f aca="false">INDEX(Ipotesi!$C$55:$G$55,1,F36)*K36/12</f>
        <v>1500</v>
      </c>
      <c r="BV36" s="15" t="n">
        <f aca="false">INDEX(Ipotesi!$C$80:$G$80,1,F36)/12*Ipotesi!C126</f>
        <v>1250</v>
      </c>
      <c r="BW36" s="15" t="n">
        <f aca="false">INDEX(Ipotesi!$C$82:$G$82,1,F36)/12</f>
        <v>1000</v>
      </c>
      <c r="BX36" s="15" t="n">
        <f aca="false">INDEX(Ipotesi!$C$83:$G$83,1,F36)/12</f>
        <v>666.666666666667</v>
      </c>
      <c r="BY36" s="15" t="n">
        <f aca="false">SUM(S36:U36)*(Ipotesi!$C$85+Ipotesi!$C$86)/12</f>
        <v>1895.83333333333</v>
      </c>
      <c r="BZ36" s="15" t="n">
        <f aca="false">AM36*Ipotesi!$C$87</f>
        <v>1485</v>
      </c>
      <c r="CA36" s="15" t="n">
        <f aca="false">AB36+BJ36+BL36+BN36+BO36+AR36+BP36+BQ36+BR36+BS36+BT36</f>
        <v>115510.887998981</v>
      </c>
      <c r="CB36" s="15" t="n">
        <f aca="false">AC36+BK36+BM36+BH36+BU36+BV36+AS36+BW36+BX36+BY36+BZ36</f>
        <v>44499.8958333333</v>
      </c>
      <c r="CC36" s="15" t="n">
        <f aca="false">BI36-CA36</f>
        <v>-57873.5927681645</v>
      </c>
      <c r="CD36" s="15" t="n">
        <f aca="false">AM36-CB36</f>
        <v>5000.10416666667</v>
      </c>
      <c r="CE36" s="15" t="n">
        <f aca="false">INDEX(Ipotesi!$C$79:$G$79,1,F36)/12</f>
        <v>2500</v>
      </c>
      <c r="CF36" s="15" t="n">
        <f aca="false">INDEX(Ipotesi!$C$84:$G$84,1,F36)/12</f>
        <v>416.666666666667</v>
      </c>
      <c r="CG36" s="15" t="n">
        <f aca="false">Y36*MAX(0,Parametri_v3!$C$12-IF(P36=0,0,MIN(1,BE36/(P36*Parametri_v3!$C$22))))+W36*Parametri_v3!$C$13+X36*Parametri_v3!$C$14</f>
        <v>27107.2203172388</v>
      </c>
      <c r="CH36" s="15" t="n">
        <f aca="false">AB36*Parametri_v3!$C$32</f>
        <v>3713.68333333333</v>
      </c>
      <c r="CI36" s="15" t="n">
        <f aca="false">AC36*Parametri_v3!$C$32</f>
        <v>1270.86979166667</v>
      </c>
      <c r="CJ36" s="15" t="n">
        <f aca="false">CA36-AB36</f>
        <v>41237.2213323143</v>
      </c>
      <c r="CK36" s="15" t="n">
        <f aca="false">CB36-AC36-BH36</f>
        <v>14132.5</v>
      </c>
      <c r="CL36" s="15" t="n">
        <f aca="false">BF36*Ipotesi!$C$73+INDEX(Ipotesi!$C$72:$G$72,1,F36)/12*Ipotesi!C126*Parametri_v3!$C$58+Z36*(1-Parametri_v3!$C$16)</f>
        <v>7739.03361846532</v>
      </c>
      <c r="CM36" s="16" t="n">
        <f aca="false">IF(BF36=0,0,1-CL36/BF36)</f>
        <v>0.638992068022634</v>
      </c>
    </row>
    <row r="37" customFormat="false" ht="18" hidden="false" customHeight="true" outlineLevel="0" collapsed="false">
      <c r="A37" s="68" t="n">
        <f aca="false">1</f>
        <v>1</v>
      </c>
      <c r="B37" s="68" t="n">
        <f aca="false">33</f>
        <v>33</v>
      </c>
      <c r="C37" s="18" t="n">
        <f aca="false">EDATE(Parametri_v3!$C$5,33-1)</f>
        <v>47362</v>
      </c>
      <c r="D37" s="68" t="n">
        <f aca="false">YEAR(C37)</f>
        <v>2029</v>
      </c>
      <c r="E37" s="68" t="n">
        <f aca="false">MONTH(C37)</f>
        <v>9</v>
      </c>
      <c r="F37" s="68" t="n">
        <f aca="false">INT((33-1)/12)+1</f>
        <v>3</v>
      </c>
      <c r="G37" s="15" t="n">
        <f aca="false">Ipotesi!C7</f>
        <v>0.75</v>
      </c>
      <c r="H37" s="15" t="n">
        <f aca="false">Ipotesi!C9</f>
        <v>1</v>
      </c>
      <c r="I37" s="15" t="n">
        <f aca="false">Ipotesi!C10</f>
        <v>1</v>
      </c>
      <c r="J37" s="15" t="n">
        <f aca="false">Ipotesi!C11</f>
        <v>1</v>
      </c>
      <c r="K37" s="15" t="n">
        <f aca="false">Ipotesi!C12</f>
        <v>1</v>
      </c>
      <c r="L37" s="15" t="n">
        <f aca="false">Ipotesi!C13</f>
        <v>90</v>
      </c>
      <c r="M37" s="17" t="n">
        <f aca="false">INDEX(Ipotesi!$C$40:$G$40,1,F37)</f>
        <v>1</v>
      </c>
      <c r="N37" s="17" t="n">
        <f aca="false">INDEX(Ipotesi!$C$41:$G$41,1,F37)</f>
        <v>1</v>
      </c>
      <c r="O37" s="17" t="n">
        <f aca="false">INDEX(Ipotesi!$C$42:$G$42,1,F37)*Ipotesi!C125</f>
        <v>4.5</v>
      </c>
      <c r="P37" s="17" t="n">
        <f aca="false">INDEX(Ipotesi!$C$43:$G$43,1,F37)*I37</f>
        <v>5</v>
      </c>
      <c r="Q37" s="17" t="n">
        <f aca="false">INDEX(Ipotesi!$C$44:$G$44,1,F37)*I37</f>
        <v>4</v>
      </c>
      <c r="R37" s="17" t="n">
        <f aca="false">INDEX(Ipotesi!$C$45:$G$45,1,F37)*I37</f>
        <v>1</v>
      </c>
      <c r="S37" s="17" t="n">
        <f aca="false">INDEX(Ipotesi!$C$52:$G$52,1,F37)*Ipotesi!C125</f>
        <v>5</v>
      </c>
      <c r="T37" s="17" t="n">
        <f aca="false">INDEX(Ipotesi!$C$53:$G$53,1,F37)*I37</f>
        <v>1</v>
      </c>
      <c r="U37" s="17" t="n">
        <f aca="false">INDEX(Ipotesi!$C$54:$G$54,1,F37)*I37</f>
        <v>0.5</v>
      </c>
      <c r="V37" s="15" t="n">
        <f aca="false">M37*INDEX(Ipotesi!$C$58:$G$58,1,F37)*K37/12</f>
        <v>7083.33333333333</v>
      </c>
      <c r="W37" s="15" t="n">
        <f aca="false">N37*Ipotesi!$C$59*(1+Ipotesi!$C$66)^(F37-1)/12</f>
        <v>6188.58333333333</v>
      </c>
      <c r="X37" s="15" t="n">
        <f aca="false">O37*Ipotesi!$C$60*(1+Ipotesi!$C$66)^(F37-1)/12</f>
        <v>19891.875</v>
      </c>
      <c r="Y37" s="15" t="n">
        <f aca="false">P37*Ipotesi!$C$61*(1+Ipotesi!$C$66)^(F37-1)/12</f>
        <v>22102.0833333333</v>
      </c>
      <c r="Z37" s="15" t="n">
        <f aca="false">Q37*Ipotesi!$C$62*(1+Ipotesi!$C$66)^(F37-1)/12</f>
        <v>15913.5</v>
      </c>
      <c r="AA37" s="15" t="n">
        <f aca="false">R37*Ipotesi!$C$63*(1+Ipotesi!$C$66)^(F37-1)/12</f>
        <v>3094.29166666667</v>
      </c>
      <c r="AB37" s="15" t="n">
        <f aca="false">SUM(V37:AA37)</f>
        <v>74273.6666666667</v>
      </c>
      <c r="AC37" s="15" t="n">
        <f aca="false">(S37*Ipotesi!$C$64+T37*Ipotesi!$C$65+U37*Ipotesi!$C$63)*(1+Ipotesi!$C$66)^(F37-1)/12</f>
        <v>25417.3958333333</v>
      </c>
      <c r="AD37" s="15" t="n">
        <f aca="false">INDEX(Ipotesi!$C$48:$G$48,1,F37)*G37/12</f>
        <v>45</v>
      </c>
      <c r="AE37" s="15" t="n">
        <f aca="false">INDEX(Ipotesi!$C$50:$G$50,1,F37)*G37/12</f>
        <v>5</v>
      </c>
      <c r="AF37" s="15" t="n">
        <f aca="false">(S37*Parametri_v3!$C$7*Parametri_v3!$C$8+Parametri_v3!$C$10)/12</f>
        <v>64.1666666666667</v>
      </c>
      <c r="AG37" s="15" t="n">
        <f aca="false">AD37+AE37*(1+Parametri_v3!$C$9)</f>
        <v>52.5</v>
      </c>
      <c r="AH37" s="16" t="n">
        <f aca="false">IF(AG37=0,1,MIN(1,AF37/AG37))</f>
        <v>1</v>
      </c>
      <c r="AI37" s="15" t="n">
        <f aca="false">AD37*AH37</f>
        <v>45</v>
      </c>
      <c r="AJ37" s="15" t="n">
        <f aca="false">AE37*AH37</f>
        <v>5</v>
      </c>
      <c r="AK37" s="15" t="n">
        <f aca="false">AI37*INDEX(Ipotesi!$C$49:$G$49,1,F37)*H37</f>
        <v>38250</v>
      </c>
      <c r="AL37" s="15" t="n">
        <f aca="false">AJ37*INDEX(Ipotesi!$C$51:$G$51,1,F37)*H37</f>
        <v>11250</v>
      </c>
      <c r="AM37" s="15" t="n">
        <f aca="false">AK37+AL37</f>
        <v>49500</v>
      </c>
      <c r="AN37" s="15" t="n">
        <f aca="false">INDEX(Ipotesi!$C$30:$G$30,1,F37)*G37/12</f>
        <v>31.25</v>
      </c>
      <c r="AO37" s="15" t="n">
        <f aca="false">O37*Parametri_v3!$C$7*Parametri_v3!$C$11*(1-Parametri_v3!$C$14)/12</f>
        <v>46.2</v>
      </c>
      <c r="AP37" s="15" t="n">
        <f aca="false">MIN(AN37,AO37)</f>
        <v>31.25</v>
      </c>
      <c r="AQ37" s="15" t="n">
        <f aca="false">AP37*INDEX(Ipotesi!$C$31:$G$31,1,F37)*H37</f>
        <v>31250</v>
      </c>
      <c r="AR37" s="15" t="n">
        <f aca="false">INDEX(Ipotesi!$C$75:$G$75,1,F37)*J37/12</f>
        <v>20000</v>
      </c>
      <c r="AS37" s="15" t="n">
        <f aca="false">INDEX(Ipotesi!$C$81:$G$81,1,F37)*J37/12</f>
        <v>1250</v>
      </c>
      <c r="AT37" s="15" t="n">
        <f aca="false">AR37*Parametri_v3!$C$15+Z37*Parametri_v3!$C$16</f>
        <v>31139.45</v>
      </c>
      <c r="AU37" s="15" t="n">
        <f aca="false">Q37*Parametri_v3!$C$16*Parametri_v3!$C$17</f>
        <v>280</v>
      </c>
      <c r="AV37" s="17" t="n">
        <f aca="false">BD36</f>
        <v>49.1732965043404</v>
      </c>
      <c r="AW37" s="17" t="n">
        <f aca="false">AV37*(1-(1-INDEX(Ipotesi!$C$34:$G$34,1,F37))^(1/12))</f>
        <v>0.429853827400892</v>
      </c>
      <c r="AX37" s="15" t="n">
        <f aca="false">ROUND(INDEX(Ipotesi!$C$32:$G$32,1,F37)*Ipotesi!C8,0)</f>
        <v>78</v>
      </c>
      <c r="AY37" s="15" t="n">
        <f aca="false">MAX(0,(AX37-(AV37-AW37))/(13-E37))</f>
        <v>7.31413933076513</v>
      </c>
      <c r="AZ37" s="15" t="n">
        <f aca="false">MIN(P37*Parametri_v3!$C$22,Q37*(1-Parametri_v3!$C$16)*Parametri_v3!$C$23)</f>
        <v>180</v>
      </c>
      <c r="BA37" s="15" t="n">
        <f aca="false">IF(OR(INDEX(Ipotesi!$C$35:$G$35,1,F37)&lt;=0,33-Parametri_v3!$C$21&lt;1),0,INDEX($AT$5:$AT$64,MAX(1,33-Parametri_v3!$C$21))/(INDEX(Ipotesi!$C$35:$G$35,1,F37)*Ipotesi!C27))</f>
        <v>5.18990833333333</v>
      </c>
      <c r="BB37" s="15" t="n">
        <f aca="false">IF(33-Parametri_v3!$C$21&lt;1,0,INDEX($AU$5:$AU$64,MAX(1,33-Parametri_v3!$C$21)))*Parametri_v3!$C$18*Parametri_v3!$C$19*Parametri_v3!$C$20</f>
        <v>10.5</v>
      </c>
      <c r="BC37" s="17" t="n">
        <f aca="false">MAX(0,MIN(AY37,BA37,BB37,MAX(0,AZ37-(AV37-AW37))))</f>
        <v>5.18990833333333</v>
      </c>
      <c r="BD37" s="17" t="n">
        <f aca="false">AV37-AW37+BC37</f>
        <v>53.9333510102728</v>
      </c>
      <c r="BE37" s="17" t="n">
        <f aca="false">(AV37+BD37)/2</f>
        <v>51.5533237573066</v>
      </c>
      <c r="BF37" s="15" t="n">
        <f aca="false">BE37*INDEX(Ipotesi!$C$33:$G$33,1,F37)*H37/12</f>
        <v>23628.6067220988</v>
      </c>
      <c r="BG37" s="15" t="n">
        <f aca="false">BD37*INDEX(Ipotesi!$C$33:$G$33,1,F37)*H37</f>
        <v>296633.4305565</v>
      </c>
      <c r="BH37" s="15" t="n">
        <f aca="false">AM37*INDEX(Ipotesi!$C$37:$G$37,1,F37)</f>
        <v>4950</v>
      </c>
      <c r="BI37" s="15" t="n">
        <f aca="false">AQ37+BF37+BH37</f>
        <v>59828.6067220989</v>
      </c>
      <c r="BJ37" s="15" t="n">
        <f aca="false">INDEX(Ipotesi!$C$68:$G$68,1,F37)*Ipotesi!$C$69/12</f>
        <v>2400</v>
      </c>
      <c r="BK37" s="15" t="n">
        <f aca="false">INDEX(Ipotesi!$C$68:$G$68,1,F37)*(1-Ipotesi!$C$69)/12</f>
        <v>3600</v>
      </c>
      <c r="BL37" s="15" t="n">
        <f aca="false">(AQ37+BF37)*Ipotesi!$C$67</f>
        <v>1646.35820166297</v>
      </c>
      <c r="BM37" s="15" t="n">
        <f aca="false">AM37*Ipotesi!$C$67</f>
        <v>1485</v>
      </c>
      <c r="BN37" s="15" t="n">
        <f aca="false">INDEX(Ipotesi!$C$72:$G$72,1,F37)/12*Ipotesi!C126+BF37*Ipotesi!$C$73</f>
        <v>3140.28853776791</v>
      </c>
      <c r="BO37" s="15" t="n">
        <f aca="false">INDEX(Ipotesi!$C$74:$G$74,1,F37)/12*Ipotesi!C126</f>
        <v>2916.66666666667</v>
      </c>
      <c r="BP37" s="15" t="n">
        <f aca="false">INDEX(Ipotesi!$C$76:$G$76,1,F37)/12</f>
        <v>1083.33333333333</v>
      </c>
      <c r="BQ37" s="15" t="n">
        <f aca="false">INDEX(Ipotesi!$C$77:$G$77,1,F37)/12*Ipotesi!C126</f>
        <v>2083.33333333333</v>
      </c>
      <c r="BR37" s="15" t="n">
        <f aca="false">INDEX(Ipotesi!$C$78:$G$78,1,F37)/12</f>
        <v>1666.66666666667</v>
      </c>
      <c r="BS37" s="15" t="n">
        <f aca="false">SUM(M37:R37)*(Ipotesi!$C$85+Ipotesi!$C$86)/12</f>
        <v>4812.5</v>
      </c>
      <c r="BT37" s="15" t="n">
        <f aca="false">BI37*Ipotesi!$C$87</f>
        <v>1794.85820166297</v>
      </c>
      <c r="BU37" s="15" t="n">
        <f aca="false">INDEX(Ipotesi!$C$55:$G$55,1,F37)*K37/12</f>
        <v>1500</v>
      </c>
      <c r="BV37" s="15" t="n">
        <f aca="false">INDEX(Ipotesi!$C$80:$G$80,1,F37)/12*Ipotesi!C126</f>
        <v>1250</v>
      </c>
      <c r="BW37" s="15" t="n">
        <f aca="false">INDEX(Ipotesi!$C$82:$G$82,1,F37)/12</f>
        <v>1000</v>
      </c>
      <c r="BX37" s="15" t="n">
        <f aca="false">INDEX(Ipotesi!$C$83:$G$83,1,F37)/12</f>
        <v>666.666666666667</v>
      </c>
      <c r="BY37" s="15" t="n">
        <f aca="false">SUM(S37:U37)*(Ipotesi!$C$85+Ipotesi!$C$86)/12</f>
        <v>1895.83333333333</v>
      </c>
      <c r="BZ37" s="15" t="n">
        <f aca="false">AM37*Ipotesi!$C$87</f>
        <v>1485</v>
      </c>
      <c r="CA37" s="15" t="n">
        <f aca="false">AB37+BJ37+BL37+BN37+BO37+AR37+BP37+BQ37+BR37+BS37+BT37</f>
        <v>115817.671607761</v>
      </c>
      <c r="CB37" s="15" t="n">
        <f aca="false">AC37+BK37+BM37+BH37+BU37+BV37+AS37+BW37+BX37+BY37+BZ37</f>
        <v>44499.8958333333</v>
      </c>
      <c r="CC37" s="15" t="n">
        <f aca="false">BI37-CA37</f>
        <v>-55989.0648856617</v>
      </c>
      <c r="CD37" s="15" t="n">
        <f aca="false">AM37-CB37</f>
        <v>5000.10416666667</v>
      </c>
      <c r="CE37" s="15" t="n">
        <f aca="false">INDEX(Ipotesi!$C$79:$G$79,1,F37)/12</f>
        <v>2500</v>
      </c>
      <c r="CF37" s="15" t="n">
        <f aca="false">INDEX(Ipotesi!$C$84:$G$84,1,F37)/12</f>
        <v>416.666666666667</v>
      </c>
      <c r="CG37" s="15" t="n">
        <f aca="false">Y37*MAX(0,Parametri_v3!$C$12-IF(P37=0,0,MIN(1,BE37/(P37*Parametri_v3!$C$22))))+W37*Parametri_v3!$C$13+X37*Parametri_v3!$C$14</f>
        <v>26895.8782844114</v>
      </c>
      <c r="CH37" s="15" t="n">
        <f aca="false">AB37*Parametri_v3!$C$32</f>
        <v>3713.68333333333</v>
      </c>
      <c r="CI37" s="15" t="n">
        <f aca="false">AC37*Parametri_v3!$C$32</f>
        <v>1270.86979166667</v>
      </c>
      <c r="CJ37" s="15" t="n">
        <f aca="false">CA37-AB37</f>
        <v>41544.0049410938</v>
      </c>
      <c r="CK37" s="15" t="n">
        <f aca="false">CB37-AC37-BH37</f>
        <v>14132.5</v>
      </c>
      <c r="CL37" s="15" t="n">
        <f aca="false">BF37*Ipotesi!$C$73+INDEX(Ipotesi!$C$72:$G$72,1,F37)/12*Ipotesi!C126*Parametri_v3!$C$58+Z37*(1-Parametri_v3!$C$16)</f>
        <v>7914.33853776791</v>
      </c>
      <c r="CM37" s="16" t="n">
        <f aca="false">IF(BF37=0,0,1-CL37/BF37)</f>
        <v>0.665052678270448</v>
      </c>
    </row>
    <row r="38" customFormat="false" ht="18" hidden="false" customHeight="true" outlineLevel="0" collapsed="false">
      <c r="A38" s="68" t="n">
        <f aca="false">1</f>
        <v>1</v>
      </c>
      <c r="B38" s="68" t="n">
        <f aca="false">34</f>
        <v>34</v>
      </c>
      <c r="C38" s="18" t="n">
        <f aca="false">EDATE(Parametri_v3!$C$5,34-1)</f>
        <v>47392</v>
      </c>
      <c r="D38" s="68" t="n">
        <f aca="false">YEAR(C38)</f>
        <v>2029</v>
      </c>
      <c r="E38" s="68" t="n">
        <f aca="false">MONTH(C38)</f>
        <v>10</v>
      </c>
      <c r="F38" s="68" t="n">
        <f aca="false">INT((34-1)/12)+1</f>
        <v>3</v>
      </c>
      <c r="G38" s="15" t="n">
        <f aca="false">Ipotesi!C7</f>
        <v>0.75</v>
      </c>
      <c r="H38" s="15" t="n">
        <f aca="false">Ipotesi!C9</f>
        <v>1</v>
      </c>
      <c r="I38" s="15" t="n">
        <f aca="false">Ipotesi!C10</f>
        <v>1</v>
      </c>
      <c r="J38" s="15" t="n">
        <f aca="false">Ipotesi!C11</f>
        <v>1</v>
      </c>
      <c r="K38" s="15" t="n">
        <f aca="false">Ipotesi!C12</f>
        <v>1</v>
      </c>
      <c r="L38" s="15" t="n">
        <f aca="false">Ipotesi!C13</f>
        <v>90</v>
      </c>
      <c r="M38" s="17" t="n">
        <f aca="false">INDEX(Ipotesi!$C$40:$G$40,1,F38)</f>
        <v>1</v>
      </c>
      <c r="N38" s="17" t="n">
        <f aca="false">INDEX(Ipotesi!$C$41:$G$41,1,F38)</f>
        <v>1</v>
      </c>
      <c r="O38" s="17" t="n">
        <f aca="false">INDEX(Ipotesi!$C$42:$G$42,1,F38)*Ipotesi!C125</f>
        <v>4.5</v>
      </c>
      <c r="P38" s="17" t="n">
        <f aca="false">INDEX(Ipotesi!$C$43:$G$43,1,F38)*I38</f>
        <v>5</v>
      </c>
      <c r="Q38" s="17" t="n">
        <f aca="false">INDEX(Ipotesi!$C$44:$G$44,1,F38)*I38</f>
        <v>4</v>
      </c>
      <c r="R38" s="17" t="n">
        <f aca="false">INDEX(Ipotesi!$C$45:$G$45,1,F38)*I38</f>
        <v>1</v>
      </c>
      <c r="S38" s="17" t="n">
        <f aca="false">INDEX(Ipotesi!$C$52:$G$52,1,F38)*Ipotesi!C125</f>
        <v>5</v>
      </c>
      <c r="T38" s="17" t="n">
        <f aca="false">INDEX(Ipotesi!$C$53:$G$53,1,F38)*I38</f>
        <v>1</v>
      </c>
      <c r="U38" s="17" t="n">
        <f aca="false">INDEX(Ipotesi!$C$54:$G$54,1,F38)*I38</f>
        <v>0.5</v>
      </c>
      <c r="V38" s="15" t="n">
        <f aca="false">M38*INDEX(Ipotesi!$C$58:$G$58,1,F38)*K38/12</f>
        <v>7083.33333333333</v>
      </c>
      <c r="W38" s="15" t="n">
        <f aca="false">N38*Ipotesi!$C$59*(1+Ipotesi!$C$66)^(F38-1)/12</f>
        <v>6188.58333333333</v>
      </c>
      <c r="X38" s="15" t="n">
        <f aca="false">O38*Ipotesi!$C$60*(1+Ipotesi!$C$66)^(F38-1)/12</f>
        <v>19891.875</v>
      </c>
      <c r="Y38" s="15" t="n">
        <f aca="false">P38*Ipotesi!$C$61*(1+Ipotesi!$C$66)^(F38-1)/12</f>
        <v>22102.0833333333</v>
      </c>
      <c r="Z38" s="15" t="n">
        <f aca="false">Q38*Ipotesi!$C$62*(1+Ipotesi!$C$66)^(F38-1)/12</f>
        <v>15913.5</v>
      </c>
      <c r="AA38" s="15" t="n">
        <f aca="false">R38*Ipotesi!$C$63*(1+Ipotesi!$C$66)^(F38-1)/12</f>
        <v>3094.29166666667</v>
      </c>
      <c r="AB38" s="15" t="n">
        <f aca="false">SUM(V38:AA38)</f>
        <v>74273.6666666667</v>
      </c>
      <c r="AC38" s="15" t="n">
        <f aca="false">(S38*Ipotesi!$C$64+T38*Ipotesi!$C$65+U38*Ipotesi!$C$63)*(1+Ipotesi!$C$66)^(F38-1)/12</f>
        <v>25417.3958333333</v>
      </c>
      <c r="AD38" s="15" t="n">
        <f aca="false">INDEX(Ipotesi!$C$48:$G$48,1,F38)*G38/12</f>
        <v>45</v>
      </c>
      <c r="AE38" s="15" t="n">
        <f aca="false">INDEX(Ipotesi!$C$50:$G$50,1,F38)*G38/12</f>
        <v>5</v>
      </c>
      <c r="AF38" s="15" t="n">
        <f aca="false">(S38*Parametri_v3!$C$7*Parametri_v3!$C$8+Parametri_v3!$C$10)/12</f>
        <v>64.1666666666667</v>
      </c>
      <c r="AG38" s="15" t="n">
        <f aca="false">AD38+AE38*(1+Parametri_v3!$C$9)</f>
        <v>52.5</v>
      </c>
      <c r="AH38" s="16" t="n">
        <f aca="false">IF(AG38=0,1,MIN(1,AF38/AG38))</f>
        <v>1</v>
      </c>
      <c r="AI38" s="15" t="n">
        <f aca="false">AD38*AH38</f>
        <v>45</v>
      </c>
      <c r="AJ38" s="15" t="n">
        <f aca="false">AE38*AH38</f>
        <v>5</v>
      </c>
      <c r="AK38" s="15" t="n">
        <f aca="false">AI38*INDEX(Ipotesi!$C$49:$G$49,1,F38)*H38</f>
        <v>38250</v>
      </c>
      <c r="AL38" s="15" t="n">
        <f aca="false">AJ38*INDEX(Ipotesi!$C$51:$G$51,1,F38)*H38</f>
        <v>11250</v>
      </c>
      <c r="AM38" s="15" t="n">
        <f aca="false">AK38+AL38</f>
        <v>49500</v>
      </c>
      <c r="AN38" s="15" t="n">
        <f aca="false">INDEX(Ipotesi!$C$30:$G$30,1,F38)*G38/12</f>
        <v>31.25</v>
      </c>
      <c r="AO38" s="15" t="n">
        <f aca="false">O38*Parametri_v3!$C$7*Parametri_v3!$C$11*(1-Parametri_v3!$C$14)/12</f>
        <v>46.2</v>
      </c>
      <c r="AP38" s="15" t="n">
        <f aca="false">MIN(AN38,AO38)</f>
        <v>31.25</v>
      </c>
      <c r="AQ38" s="15" t="n">
        <f aca="false">AP38*INDEX(Ipotesi!$C$31:$G$31,1,F38)*H38</f>
        <v>31250</v>
      </c>
      <c r="AR38" s="15" t="n">
        <f aca="false">INDEX(Ipotesi!$C$75:$G$75,1,F38)*J38/12</f>
        <v>20000</v>
      </c>
      <c r="AS38" s="15" t="n">
        <f aca="false">INDEX(Ipotesi!$C$81:$G$81,1,F38)*J38/12</f>
        <v>1250</v>
      </c>
      <c r="AT38" s="15" t="n">
        <f aca="false">AR38*Parametri_v3!$C$15+Z38*Parametri_v3!$C$16</f>
        <v>31139.45</v>
      </c>
      <c r="AU38" s="15" t="n">
        <f aca="false">Q38*Parametri_v3!$C$16*Parametri_v3!$C$17</f>
        <v>280</v>
      </c>
      <c r="AV38" s="17" t="n">
        <f aca="false">BD37</f>
        <v>53.9333510102728</v>
      </c>
      <c r="AW38" s="17" t="n">
        <f aca="false">AV38*(1-(1-INDEX(Ipotesi!$C$34:$G$34,1,F38))^(1/12))</f>
        <v>0.471464372014904</v>
      </c>
      <c r="AX38" s="15" t="n">
        <f aca="false">ROUND(INDEX(Ipotesi!$C$32:$G$32,1,F38)*Ipotesi!C8,0)</f>
        <v>78</v>
      </c>
      <c r="AY38" s="15" t="n">
        <f aca="false">MAX(0,(AX38-(AV38-AW38))/(13-E38))</f>
        <v>8.1793711205807</v>
      </c>
      <c r="AZ38" s="15" t="n">
        <f aca="false">MIN(P38*Parametri_v3!$C$22,Q38*(1-Parametri_v3!$C$16)*Parametri_v3!$C$23)</f>
        <v>180</v>
      </c>
      <c r="BA38" s="15" t="n">
        <f aca="false">IF(OR(INDEX(Ipotesi!$C$35:$G$35,1,F38)&lt;=0,34-Parametri_v3!$C$21&lt;1),0,INDEX($AT$5:$AT$64,MAX(1,34-Parametri_v3!$C$21))/(INDEX(Ipotesi!$C$35:$G$35,1,F38)*Ipotesi!C27))</f>
        <v>5.18990833333333</v>
      </c>
      <c r="BB38" s="15" t="n">
        <f aca="false">IF(34-Parametri_v3!$C$21&lt;1,0,INDEX($AU$5:$AU$64,MAX(1,34-Parametri_v3!$C$21)))*Parametri_v3!$C$18*Parametri_v3!$C$19*Parametri_v3!$C$20</f>
        <v>10.5</v>
      </c>
      <c r="BC38" s="17" t="n">
        <f aca="false">MAX(0,MIN(AY38,BA38,BB38,MAX(0,AZ38-(AV38-AW38))))</f>
        <v>5.18990833333333</v>
      </c>
      <c r="BD38" s="17" t="n">
        <f aca="false">AV38-AW38+BC38</f>
        <v>58.6517949715912</v>
      </c>
      <c r="BE38" s="17" t="n">
        <f aca="false">(AV38+BD38)/2</f>
        <v>56.292572990932</v>
      </c>
      <c r="BF38" s="15" t="n">
        <f aca="false">BE38*INDEX(Ipotesi!$C$33:$G$33,1,F38)*H38/12</f>
        <v>25800.7626208438</v>
      </c>
      <c r="BG38" s="15" t="n">
        <f aca="false">BD38*INDEX(Ipotesi!$C$33:$G$33,1,F38)*H38</f>
        <v>322584.872343752</v>
      </c>
      <c r="BH38" s="15" t="n">
        <f aca="false">AM38*INDEX(Ipotesi!$C$37:$G$37,1,F38)</f>
        <v>4950</v>
      </c>
      <c r="BI38" s="15" t="n">
        <f aca="false">AQ38+BF38+BH38</f>
        <v>62000.7626208438</v>
      </c>
      <c r="BJ38" s="15" t="n">
        <f aca="false">INDEX(Ipotesi!$C$68:$G$68,1,F38)*Ipotesi!$C$69/12</f>
        <v>2400</v>
      </c>
      <c r="BK38" s="15" t="n">
        <f aca="false">INDEX(Ipotesi!$C$68:$G$68,1,F38)*(1-Ipotesi!$C$69)/12</f>
        <v>3600</v>
      </c>
      <c r="BL38" s="15" t="n">
        <f aca="false">(AQ38+BF38)*Ipotesi!$C$67</f>
        <v>1711.52287862532</v>
      </c>
      <c r="BM38" s="15" t="n">
        <f aca="false">AM38*Ipotesi!$C$67</f>
        <v>1485</v>
      </c>
      <c r="BN38" s="15" t="n">
        <f aca="false">INDEX(Ipotesi!$C$72:$G$72,1,F38)/12*Ipotesi!C126+BF38*Ipotesi!$C$73</f>
        <v>3314.06100966751</v>
      </c>
      <c r="BO38" s="15" t="n">
        <f aca="false">INDEX(Ipotesi!$C$74:$G$74,1,F38)/12*Ipotesi!C126</f>
        <v>2916.66666666667</v>
      </c>
      <c r="BP38" s="15" t="n">
        <f aca="false">INDEX(Ipotesi!$C$76:$G$76,1,F38)/12</f>
        <v>1083.33333333333</v>
      </c>
      <c r="BQ38" s="15" t="n">
        <f aca="false">INDEX(Ipotesi!$C$77:$G$77,1,F38)/12*Ipotesi!C126</f>
        <v>2083.33333333333</v>
      </c>
      <c r="BR38" s="15" t="n">
        <f aca="false">INDEX(Ipotesi!$C$78:$G$78,1,F38)/12</f>
        <v>1666.66666666667</v>
      </c>
      <c r="BS38" s="15" t="n">
        <f aca="false">SUM(M38:R38)*(Ipotesi!$C$85+Ipotesi!$C$86)/12</f>
        <v>4812.5</v>
      </c>
      <c r="BT38" s="15" t="n">
        <f aca="false">BI38*Ipotesi!$C$87</f>
        <v>1860.02287862532</v>
      </c>
      <c r="BU38" s="15" t="n">
        <f aca="false">INDEX(Ipotesi!$C$55:$G$55,1,F38)*K38/12</f>
        <v>1500</v>
      </c>
      <c r="BV38" s="15" t="n">
        <f aca="false">INDEX(Ipotesi!$C$80:$G$80,1,F38)/12*Ipotesi!C126</f>
        <v>1250</v>
      </c>
      <c r="BW38" s="15" t="n">
        <f aca="false">INDEX(Ipotesi!$C$82:$G$82,1,F38)/12</f>
        <v>1000</v>
      </c>
      <c r="BX38" s="15" t="n">
        <f aca="false">INDEX(Ipotesi!$C$83:$G$83,1,F38)/12</f>
        <v>666.666666666667</v>
      </c>
      <c r="BY38" s="15" t="n">
        <f aca="false">SUM(S38:U38)*(Ipotesi!$C$85+Ipotesi!$C$86)/12</f>
        <v>1895.83333333333</v>
      </c>
      <c r="BZ38" s="15" t="n">
        <f aca="false">AM38*Ipotesi!$C$87</f>
        <v>1485</v>
      </c>
      <c r="CA38" s="15" t="n">
        <f aca="false">AB38+BJ38+BL38+BN38+BO38+AR38+BP38+BQ38+BR38+BS38+BT38</f>
        <v>116121.773433585</v>
      </c>
      <c r="CB38" s="15" t="n">
        <f aca="false">AC38+BK38+BM38+BH38+BU38+BV38+AS38+BW38+BX38+BY38+BZ38</f>
        <v>44499.8958333333</v>
      </c>
      <c r="CC38" s="15" t="n">
        <f aca="false">BI38-CA38</f>
        <v>-54121.010812741</v>
      </c>
      <c r="CD38" s="15" t="n">
        <f aca="false">AM38-CB38</f>
        <v>5000.10416666667</v>
      </c>
      <c r="CE38" s="15" t="n">
        <f aca="false">INDEX(Ipotesi!$C$79:$G$79,1,F38)/12</f>
        <v>2500</v>
      </c>
      <c r="CF38" s="15" t="n">
        <f aca="false">INDEX(Ipotesi!$C$84:$G$84,1,F38)/12</f>
        <v>416.666666666667</v>
      </c>
      <c r="CG38" s="15" t="n">
        <f aca="false">Y38*MAX(0,Parametri_v3!$C$12-IF(P38=0,0,MIN(1,BE38/(P38*Parametri_v3!$C$22))))+W38*Parametri_v3!$C$13+X38*Parametri_v3!$C$14</f>
        <v>26686.3837214133</v>
      </c>
      <c r="CH38" s="15" t="n">
        <f aca="false">AB38*Parametri_v3!$C$32</f>
        <v>3713.68333333333</v>
      </c>
      <c r="CI38" s="15" t="n">
        <f aca="false">AC38*Parametri_v3!$C$32</f>
        <v>1270.86979166667</v>
      </c>
      <c r="CJ38" s="15" t="n">
        <f aca="false">CA38-AB38</f>
        <v>41848.1067669181</v>
      </c>
      <c r="CK38" s="15" t="n">
        <f aca="false">CB38-AC38-BH38</f>
        <v>14132.5</v>
      </c>
      <c r="CL38" s="15" t="n">
        <f aca="false">BF38*Ipotesi!$C$73+INDEX(Ipotesi!$C$72:$G$72,1,F38)/12*Ipotesi!C126*Parametri_v3!$C$58+Z38*(1-Parametri_v3!$C$16)</f>
        <v>8088.11100966751</v>
      </c>
      <c r="CM38" s="16" t="n">
        <f aca="false">IF(BF38=0,0,1-CL38/BF38)</f>
        <v>0.686516591446281</v>
      </c>
    </row>
    <row r="39" customFormat="false" ht="18" hidden="false" customHeight="true" outlineLevel="0" collapsed="false">
      <c r="A39" s="68" t="n">
        <f aca="false">1</f>
        <v>1</v>
      </c>
      <c r="B39" s="68" t="n">
        <f aca="false">35</f>
        <v>35</v>
      </c>
      <c r="C39" s="18" t="n">
        <f aca="false">EDATE(Parametri_v3!$C$5,35-1)</f>
        <v>47423</v>
      </c>
      <c r="D39" s="68" t="n">
        <f aca="false">YEAR(C39)</f>
        <v>2029</v>
      </c>
      <c r="E39" s="68" t="n">
        <f aca="false">MONTH(C39)</f>
        <v>11</v>
      </c>
      <c r="F39" s="68" t="n">
        <f aca="false">INT((35-1)/12)+1</f>
        <v>3</v>
      </c>
      <c r="G39" s="15" t="n">
        <f aca="false">Ipotesi!C7</f>
        <v>0.75</v>
      </c>
      <c r="H39" s="15" t="n">
        <f aca="false">Ipotesi!C9</f>
        <v>1</v>
      </c>
      <c r="I39" s="15" t="n">
        <f aca="false">Ipotesi!C10</f>
        <v>1</v>
      </c>
      <c r="J39" s="15" t="n">
        <f aca="false">Ipotesi!C11</f>
        <v>1</v>
      </c>
      <c r="K39" s="15" t="n">
        <f aca="false">Ipotesi!C12</f>
        <v>1</v>
      </c>
      <c r="L39" s="15" t="n">
        <f aca="false">Ipotesi!C13</f>
        <v>90</v>
      </c>
      <c r="M39" s="17" t="n">
        <f aca="false">INDEX(Ipotesi!$C$40:$G$40,1,F39)</f>
        <v>1</v>
      </c>
      <c r="N39" s="17" t="n">
        <f aca="false">INDEX(Ipotesi!$C$41:$G$41,1,F39)</f>
        <v>1</v>
      </c>
      <c r="O39" s="17" t="n">
        <f aca="false">INDEX(Ipotesi!$C$42:$G$42,1,F39)*Ipotesi!C125</f>
        <v>4.5</v>
      </c>
      <c r="P39" s="17" t="n">
        <f aca="false">INDEX(Ipotesi!$C$43:$G$43,1,F39)*I39</f>
        <v>5</v>
      </c>
      <c r="Q39" s="17" t="n">
        <f aca="false">INDEX(Ipotesi!$C$44:$G$44,1,F39)*I39</f>
        <v>4</v>
      </c>
      <c r="R39" s="17" t="n">
        <f aca="false">INDEX(Ipotesi!$C$45:$G$45,1,F39)*I39</f>
        <v>1</v>
      </c>
      <c r="S39" s="17" t="n">
        <f aca="false">INDEX(Ipotesi!$C$52:$G$52,1,F39)*Ipotesi!C125</f>
        <v>5</v>
      </c>
      <c r="T39" s="17" t="n">
        <f aca="false">INDEX(Ipotesi!$C$53:$G$53,1,F39)*I39</f>
        <v>1</v>
      </c>
      <c r="U39" s="17" t="n">
        <f aca="false">INDEX(Ipotesi!$C$54:$G$54,1,F39)*I39</f>
        <v>0.5</v>
      </c>
      <c r="V39" s="15" t="n">
        <f aca="false">M39*INDEX(Ipotesi!$C$58:$G$58,1,F39)*K39/12</f>
        <v>7083.33333333333</v>
      </c>
      <c r="W39" s="15" t="n">
        <f aca="false">N39*Ipotesi!$C$59*(1+Ipotesi!$C$66)^(F39-1)/12</f>
        <v>6188.58333333333</v>
      </c>
      <c r="X39" s="15" t="n">
        <f aca="false">O39*Ipotesi!$C$60*(1+Ipotesi!$C$66)^(F39-1)/12</f>
        <v>19891.875</v>
      </c>
      <c r="Y39" s="15" t="n">
        <f aca="false">P39*Ipotesi!$C$61*(1+Ipotesi!$C$66)^(F39-1)/12</f>
        <v>22102.0833333333</v>
      </c>
      <c r="Z39" s="15" t="n">
        <f aca="false">Q39*Ipotesi!$C$62*(1+Ipotesi!$C$66)^(F39-1)/12</f>
        <v>15913.5</v>
      </c>
      <c r="AA39" s="15" t="n">
        <f aca="false">R39*Ipotesi!$C$63*(1+Ipotesi!$C$66)^(F39-1)/12</f>
        <v>3094.29166666667</v>
      </c>
      <c r="AB39" s="15" t="n">
        <f aca="false">SUM(V39:AA39)</f>
        <v>74273.6666666667</v>
      </c>
      <c r="AC39" s="15" t="n">
        <f aca="false">(S39*Ipotesi!$C$64+T39*Ipotesi!$C$65+U39*Ipotesi!$C$63)*(1+Ipotesi!$C$66)^(F39-1)/12</f>
        <v>25417.3958333333</v>
      </c>
      <c r="AD39" s="15" t="n">
        <f aca="false">INDEX(Ipotesi!$C$48:$G$48,1,F39)*G39/12</f>
        <v>45</v>
      </c>
      <c r="AE39" s="15" t="n">
        <f aca="false">INDEX(Ipotesi!$C$50:$G$50,1,F39)*G39/12</f>
        <v>5</v>
      </c>
      <c r="AF39" s="15" t="n">
        <f aca="false">(S39*Parametri_v3!$C$7*Parametri_v3!$C$8+Parametri_v3!$C$10)/12</f>
        <v>64.1666666666667</v>
      </c>
      <c r="AG39" s="15" t="n">
        <f aca="false">AD39+AE39*(1+Parametri_v3!$C$9)</f>
        <v>52.5</v>
      </c>
      <c r="AH39" s="16" t="n">
        <f aca="false">IF(AG39=0,1,MIN(1,AF39/AG39))</f>
        <v>1</v>
      </c>
      <c r="AI39" s="15" t="n">
        <f aca="false">AD39*AH39</f>
        <v>45</v>
      </c>
      <c r="AJ39" s="15" t="n">
        <f aca="false">AE39*AH39</f>
        <v>5</v>
      </c>
      <c r="AK39" s="15" t="n">
        <f aca="false">AI39*INDEX(Ipotesi!$C$49:$G$49,1,F39)*H39</f>
        <v>38250</v>
      </c>
      <c r="AL39" s="15" t="n">
        <f aca="false">AJ39*INDEX(Ipotesi!$C$51:$G$51,1,F39)*H39</f>
        <v>11250</v>
      </c>
      <c r="AM39" s="15" t="n">
        <f aca="false">AK39+AL39</f>
        <v>49500</v>
      </c>
      <c r="AN39" s="15" t="n">
        <f aca="false">INDEX(Ipotesi!$C$30:$G$30,1,F39)*G39/12</f>
        <v>31.25</v>
      </c>
      <c r="AO39" s="15" t="n">
        <f aca="false">O39*Parametri_v3!$C$7*Parametri_v3!$C$11*(1-Parametri_v3!$C$14)/12</f>
        <v>46.2</v>
      </c>
      <c r="AP39" s="15" t="n">
        <f aca="false">MIN(AN39,AO39)</f>
        <v>31.25</v>
      </c>
      <c r="AQ39" s="15" t="n">
        <f aca="false">AP39*INDEX(Ipotesi!$C$31:$G$31,1,F39)*H39</f>
        <v>31250</v>
      </c>
      <c r="AR39" s="15" t="n">
        <f aca="false">INDEX(Ipotesi!$C$75:$G$75,1,F39)*J39/12</f>
        <v>20000</v>
      </c>
      <c r="AS39" s="15" t="n">
        <f aca="false">INDEX(Ipotesi!$C$81:$G$81,1,F39)*J39/12</f>
        <v>1250</v>
      </c>
      <c r="AT39" s="15" t="n">
        <f aca="false">AR39*Parametri_v3!$C$15+Z39*Parametri_v3!$C$16</f>
        <v>31139.45</v>
      </c>
      <c r="AU39" s="15" t="n">
        <f aca="false">Q39*Parametri_v3!$C$16*Parametri_v3!$C$17</f>
        <v>280</v>
      </c>
      <c r="AV39" s="17" t="n">
        <f aca="false">BD38</f>
        <v>58.6517949715912</v>
      </c>
      <c r="AW39" s="17" t="n">
        <f aca="false">AV39*(1-(1-INDEX(Ipotesi!$C$34:$G$34,1,F39))^(1/12))</f>
        <v>0.512711173436288</v>
      </c>
      <c r="AX39" s="15" t="n">
        <f aca="false">ROUND(INDEX(Ipotesi!$C$32:$G$32,1,F39)*Ipotesi!C8,0)</f>
        <v>78</v>
      </c>
      <c r="AY39" s="15" t="n">
        <f aca="false">MAX(0,(AX39-(AV39-AW39))/(13-E39))</f>
        <v>9.93045810092253</v>
      </c>
      <c r="AZ39" s="15" t="n">
        <f aca="false">MIN(P39*Parametri_v3!$C$22,Q39*(1-Parametri_v3!$C$16)*Parametri_v3!$C$23)</f>
        <v>180</v>
      </c>
      <c r="BA39" s="15" t="n">
        <f aca="false">IF(OR(INDEX(Ipotesi!$C$35:$G$35,1,F39)&lt;=0,35-Parametri_v3!$C$21&lt;1),0,INDEX($AT$5:$AT$64,MAX(1,35-Parametri_v3!$C$21))/(INDEX(Ipotesi!$C$35:$G$35,1,F39)*Ipotesi!C27))</f>
        <v>5.18990833333333</v>
      </c>
      <c r="BB39" s="15" t="n">
        <f aca="false">IF(35-Parametri_v3!$C$21&lt;1,0,INDEX($AU$5:$AU$64,MAX(1,35-Parametri_v3!$C$21)))*Parametri_v3!$C$18*Parametri_v3!$C$19*Parametri_v3!$C$20</f>
        <v>10.5</v>
      </c>
      <c r="BC39" s="17" t="n">
        <f aca="false">MAX(0,MIN(AY39,BA39,BB39,MAX(0,AZ39-(AV39-AW39))))</f>
        <v>5.18990833333333</v>
      </c>
      <c r="BD39" s="17" t="n">
        <f aca="false">AV39-AW39+BC39</f>
        <v>63.3289921314883</v>
      </c>
      <c r="BE39" s="17" t="n">
        <f aca="false">(AV39+BD39)/2</f>
        <v>60.9903935515398</v>
      </c>
      <c r="BF39" s="15" t="n">
        <f aca="false">BE39*INDEX(Ipotesi!$C$33:$G$33,1,F39)*H39/12</f>
        <v>27953.9303777891</v>
      </c>
      <c r="BG39" s="15" t="n">
        <f aca="false">BD39*INDEX(Ipotesi!$C$33:$G$33,1,F39)*H39</f>
        <v>348309.456723186</v>
      </c>
      <c r="BH39" s="15" t="n">
        <f aca="false">AM39*INDEX(Ipotesi!$C$37:$G$37,1,F39)</f>
        <v>4950</v>
      </c>
      <c r="BI39" s="15" t="n">
        <f aca="false">AQ39+BF39+BH39</f>
        <v>64153.9303777891</v>
      </c>
      <c r="BJ39" s="15" t="n">
        <f aca="false">INDEX(Ipotesi!$C$68:$G$68,1,F39)*Ipotesi!$C$69/12</f>
        <v>2400</v>
      </c>
      <c r="BK39" s="15" t="n">
        <f aca="false">INDEX(Ipotesi!$C$68:$G$68,1,F39)*(1-Ipotesi!$C$69)/12</f>
        <v>3600</v>
      </c>
      <c r="BL39" s="15" t="n">
        <f aca="false">(AQ39+BF39)*Ipotesi!$C$67</f>
        <v>1776.11791133367</v>
      </c>
      <c r="BM39" s="15" t="n">
        <f aca="false">AM39*Ipotesi!$C$67</f>
        <v>1485</v>
      </c>
      <c r="BN39" s="15" t="n">
        <f aca="false">INDEX(Ipotesi!$C$72:$G$72,1,F39)/12*Ipotesi!C126+BF39*Ipotesi!$C$73</f>
        <v>3486.31443022312</v>
      </c>
      <c r="BO39" s="15" t="n">
        <f aca="false">INDEX(Ipotesi!$C$74:$G$74,1,F39)/12*Ipotesi!C126</f>
        <v>2916.66666666667</v>
      </c>
      <c r="BP39" s="15" t="n">
        <f aca="false">INDEX(Ipotesi!$C$76:$G$76,1,F39)/12</f>
        <v>1083.33333333333</v>
      </c>
      <c r="BQ39" s="15" t="n">
        <f aca="false">INDEX(Ipotesi!$C$77:$G$77,1,F39)/12*Ipotesi!C126</f>
        <v>2083.33333333333</v>
      </c>
      <c r="BR39" s="15" t="n">
        <f aca="false">INDEX(Ipotesi!$C$78:$G$78,1,F39)/12</f>
        <v>1666.66666666667</v>
      </c>
      <c r="BS39" s="15" t="n">
        <f aca="false">SUM(M39:R39)*(Ipotesi!$C$85+Ipotesi!$C$86)/12</f>
        <v>4812.5</v>
      </c>
      <c r="BT39" s="15" t="n">
        <f aca="false">BI39*Ipotesi!$C$87</f>
        <v>1924.61791133367</v>
      </c>
      <c r="BU39" s="15" t="n">
        <f aca="false">INDEX(Ipotesi!$C$55:$G$55,1,F39)*K39/12</f>
        <v>1500</v>
      </c>
      <c r="BV39" s="15" t="n">
        <f aca="false">INDEX(Ipotesi!$C$80:$G$80,1,F39)/12*Ipotesi!C126</f>
        <v>1250</v>
      </c>
      <c r="BW39" s="15" t="n">
        <f aca="false">INDEX(Ipotesi!$C$82:$G$82,1,F39)/12</f>
        <v>1000</v>
      </c>
      <c r="BX39" s="15" t="n">
        <f aca="false">INDEX(Ipotesi!$C$83:$G$83,1,F39)/12</f>
        <v>666.666666666667</v>
      </c>
      <c r="BY39" s="15" t="n">
        <f aca="false">SUM(S39:U39)*(Ipotesi!$C$85+Ipotesi!$C$86)/12</f>
        <v>1895.83333333333</v>
      </c>
      <c r="BZ39" s="15" t="n">
        <f aca="false">AM39*Ipotesi!$C$87</f>
        <v>1485</v>
      </c>
      <c r="CA39" s="15" t="n">
        <f aca="false">AB39+BJ39+BL39+BN39+BO39+AR39+BP39+BQ39+BR39+BS39+BT39</f>
        <v>116423.216919557</v>
      </c>
      <c r="CB39" s="15" t="n">
        <f aca="false">AC39+BK39+BM39+BH39+BU39+BV39+AS39+BW39+BX39+BY39+BZ39</f>
        <v>44499.8958333333</v>
      </c>
      <c r="CC39" s="15" t="n">
        <f aca="false">BI39-CA39</f>
        <v>-52269.2865417681</v>
      </c>
      <c r="CD39" s="15" t="n">
        <f aca="false">AM39-CB39</f>
        <v>5000.10416666667</v>
      </c>
      <c r="CE39" s="15" t="n">
        <f aca="false">INDEX(Ipotesi!$C$79:$G$79,1,F39)/12</f>
        <v>2500</v>
      </c>
      <c r="CF39" s="15" t="n">
        <f aca="false">INDEX(Ipotesi!$C$84:$G$84,1,F39)/12</f>
        <v>416.666666666667</v>
      </c>
      <c r="CG39" s="15" t="n">
        <f aca="false">Y39*MAX(0,Parametri_v3!$C$12-IF(P39=0,0,MIN(1,BE39/(P39*Parametri_v3!$C$22))))+W39*Parametri_v3!$C$13+X39*Parametri_v3!$C$14</f>
        <v>26478.7204783821</v>
      </c>
      <c r="CH39" s="15" t="n">
        <f aca="false">AB39*Parametri_v3!$C$32</f>
        <v>3713.68333333333</v>
      </c>
      <c r="CI39" s="15" t="n">
        <f aca="false">AC39*Parametri_v3!$C$32</f>
        <v>1270.86979166667</v>
      </c>
      <c r="CJ39" s="15" t="n">
        <f aca="false">CA39-AB39</f>
        <v>42149.5502528905</v>
      </c>
      <c r="CK39" s="15" t="n">
        <f aca="false">CB39-AC39-BH39</f>
        <v>14132.5</v>
      </c>
      <c r="CL39" s="15" t="n">
        <f aca="false">BF39*Ipotesi!$C$73+INDEX(Ipotesi!$C$72:$G$72,1,F39)/12*Ipotesi!C126*Parametri_v3!$C$58+Z39*(1-Parametri_v3!$C$16)</f>
        <v>8260.36443022313</v>
      </c>
      <c r="CM39" s="16" t="n">
        <f aca="false">IF(BF39=0,0,1-CL39/BF39)</f>
        <v>0.704500786880887</v>
      </c>
    </row>
    <row r="40" customFormat="false" ht="18" hidden="false" customHeight="true" outlineLevel="0" collapsed="false">
      <c r="A40" s="68" t="n">
        <f aca="false">1</f>
        <v>1</v>
      </c>
      <c r="B40" s="68" t="n">
        <f aca="false">36</f>
        <v>36</v>
      </c>
      <c r="C40" s="18" t="n">
        <f aca="false">EDATE(Parametri_v3!$C$5,36-1)</f>
        <v>47453</v>
      </c>
      <c r="D40" s="68" t="n">
        <f aca="false">YEAR(C40)</f>
        <v>2029</v>
      </c>
      <c r="E40" s="68" t="n">
        <f aca="false">MONTH(C40)</f>
        <v>12</v>
      </c>
      <c r="F40" s="68" t="n">
        <f aca="false">INT((36-1)/12)+1</f>
        <v>3</v>
      </c>
      <c r="G40" s="15" t="n">
        <f aca="false">Ipotesi!C7</f>
        <v>0.75</v>
      </c>
      <c r="H40" s="15" t="n">
        <f aca="false">Ipotesi!C9</f>
        <v>1</v>
      </c>
      <c r="I40" s="15" t="n">
        <f aca="false">Ipotesi!C10</f>
        <v>1</v>
      </c>
      <c r="J40" s="15" t="n">
        <f aca="false">Ipotesi!C11</f>
        <v>1</v>
      </c>
      <c r="K40" s="15" t="n">
        <f aca="false">Ipotesi!C12</f>
        <v>1</v>
      </c>
      <c r="L40" s="15" t="n">
        <f aca="false">Ipotesi!C13</f>
        <v>90</v>
      </c>
      <c r="M40" s="17" t="n">
        <f aca="false">INDEX(Ipotesi!$C$40:$G$40,1,F40)</f>
        <v>1</v>
      </c>
      <c r="N40" s="17" t="n">
        <f aca="false">INDEX(Ipotesi!$C$41:$G$41,1,F40)</f>
        <v>1</v>
      </c>
      <c r="O40" s="17" t="n">
        <f aca="false">INDEX(Ipotesi!$C$42:$G$42,1,F40)*Ipotesi!C125</f>
        <v>4.5</v>
      </c>
      <c r="P40" s="17" t="n">
        <f aca="false">INDEX(Ipotesi!$C$43:$G$43,1,F40)*I40</f>
        <v>5</v>
      </c>
      <c r="Q40" s="17" t="n">
        <f aca="false">INDEX(Ipotesi!$C$44:$G$44,1,F40)*I40</f>
        <v>4</v>
      </c>
      <c r="R40" s="17" t="n">
        <f aca="false">INDEX(Ipotesi!$C$45:$G$45,1,F40)*I40</f>
        <v>1</v>
      </c>
      <c r="S40" s="17" t="n">
        <f aca="false">INDEX(Ipotesi!$C$52:$G$52,1,F40)*Ipotesi!C125</f>
        <v>5</v>
      </c>
      <c r="T40" s="17" t="n">
        <f aca="false">INDEX(Ipotesi!$C$53:$G$53,1,F40)*I40</f>
        <v>1</v>
      </c>
      <c r="U40" s="17" t="n">
        <f aca="false">INDEX(Ipotesi!$C$54:$G$54,1,F40)*I40</f>
        <v>0.5</v>
      </c>
      <c r="V40" s="15" t="n">
        <f aca="false">M40*INDEX(Ipotesi!$C$58:$G$58,1,F40)*K40/12</f>
        <v>7083.33333333333</v>
      </c>
      <c r="W40" s="15" t="n">
        <f aca="false">N40*Ipotesi!$C$59*(1+Ipotesi!$C$66)^(F40-1)/12</f>
        <v>6188.58333333333</v>
      </c>
      <c r="X40" s="15" t="n">
        <f aca="false">O40*Ipotesi!$C$60*(1+Ipotesi!$C$66)^(F40-1)/12</f>
        <v>19891.875</v>
      </c>
      <c r="Y40" s="15" t="n">
        <f aca="false">P40*Ipotesi!$C$61*(1+Ipotesi!$C$66)^(F40-1)/12</f>
        <v>22102.0833333333</v>
      </c>
      <c r="Z40" s="15" t="n">
        <f aca="false">Q40*Ipotesi!$C$62*(1+Ipotesi!$C$66)^(F40-1)/12</f>
        <v>15913.5</v>
      </c>
      <c r="AA40" s="15" t="n">
        <f aca="false">R40*Ipotesi!$C$63*(1+Ipotesi!$C$66)^(F40-1)/12</f>
        <v>3094.29166666667</v>
      </c>
      <c r="AB40" s="15" t="n">
        <f aca="false">SUM(V40:AA40)</f>
        <v>74273.6666666667</v>
      </c>
      <c r="AC40" s="15" t="n">
        <f aca="false">(S40*Ipotesi!$C$64+T40*Ipotesi!$C$65+U40*Ipotesi!$C$63)*(1+Ipotesi!$C$66)^(F40-1)/12</f>
        <v>25417.3958333333</v>
      </c>
      <c r="AD40" s="15" t="n">
        <f aca="false">INDEX(Ipotesi!$C$48:$G$48,1,F40)*G40/12</f>
        <v>45</v>
      </c>
      <c r="AE40" s="15" t="n">
        <f aca="false">INDEX(Ipotesi!$C$50:$G$50,1,F40)*G40/12</f>
        <v>5</v>
      </c>
      <c r="AF40" s="15" t="n">
        <f aca="false">(S40*Parametri_v3!$C$7*Parametri_v3!$C$8+Parametri_v3!$C$10)/12</f>
        <v>64.1666666666667</v>
      </c>
      <c r="AG40" s="15" t="n">
        <f aca="false">AD40+AE40*(1+Parametri_v3!$C$9)</f>
        <v>52.5</v>
      </c>
      <c r="AH40" s="16" t="n">
        <f aca="false">IF(AG40=0,1,MIN(1,AF40/AG40))</f>
        <v>1</v>
      </c>
      <c r="AI40" s="15" t="n">
        <f aca="false">AD40*AH40</f>
        <v>45</v>
      </c>
      <c r="AJ40" s="15" t="n">
        <f aca="false">AE40*AH40</f>
        <v>5</v>
      </c>
      <c r="AK40" s="15" t="n">
        <f aca="false">AI40*INDEX(Ipotesi!$C$49:$G$49,1,F40)*H40</f>
        <v>38250</v>
      </c>
      <c r="AL40" s="15" t="n">
        <f aca="false">AJ40*INDEX(Ipotesi!$C$51:$G$51,1,F40)*H40</f>
        <v>11250</v>
      </c>
      <c r="AM40" s="15" t="n">
        <f aca="false">AK40+AL40</f>
        <v>49500</v>
      </c>
      <c r="AN40" s="15" t="n">
        <f aca="false">INDEX(Ipotesi!$C$30:$G$30,1,F40)*G40/12</f>
        <v>31.25</v>
      </c>
      <c r="AO40" s="15" t="n">
        <f aca="false">O40*Parametri_v3!$C$7*Parametri_v3!$C$11*(1-Parametri_v3!$C$14)/12</f>
        <v>46.2</v>
      </c>
      <c r="AP40" s="15" t="n">
        <f aca="false">MIN(AN40,AO40)</f>
        <v>31.25</v>
      </c>
      <c r="AQ40" s="15" t="n">
        <f aca="false">AP40*INDEX(Ipotesi!$C$31:$G$31,1,F40)*H40</f>
        <v>31250</v>
      </c>
      <c r="AR40" s="15" t="n">
        <f aca="false">INDEX(Ipotesi!$C$75:$G$75,1,F40)*J40/12</f>
        <v>20000</v>
      </c>
      <c r="AS40" s="15" t="n">
        <f aca="false">INDEX(Ipotesi!$C$81:$G$81,1,F40)*J40/12</f>
        <v>1250</v>
      </c>
      <c r="AT40" s="15" t="n">
        <f aca="false">AR40*Parametri_v3!$C$15+Z40*Parametri_v3!$C$16</f>
        <v>31139.45</v>
      </c>
      <c r="AU40" s="15" t="n">
        <f aca="false">Q40*Parametri_v3!$C$16*Parametri_v3!$C$17</f>
        <v>280</v>
      </c>
      <c r="AV40" s="17" t="n">
        <f aca="false">BD39</f>
        <v>63.3289921314883</v>
      </c>
      <c r="AW40" s="17" t="n">
        <f aca="false">AV40*(1-(1-INDEX(Ipotesi!$C$34:$G$34,1,F40))^(1/12))</f>
        <v>0.55359741136652</v>
      </c>
      <c r="AX40" s="15" t="n">
        <f aca="false">ROUND(INDEX(Ipotesi!$C$32:$G$32,1,F40)*Ipotesi!C8,0)</f>
        <v>78</v>
      </c>
      <c r="AY40" s="15" t="n">
        <f aca="false">MAX(0,(AX40-(AV40-AW40))/(13-E40))</f>
        <v>15.2246052798782</v>
      </c>
      <c r="AZ40" s="15" t="n">
        <f aca="false">MIN(P40*Parametri_v3!$C$22,Q40*(1-Parametri_v3!$C$16)*Parametri_v3!$C$23)</f>
        <v>180</v>
      </c>
      <c r="BA40" s="15" t="n">
        <f aca="false">IF(OR(INDEX(Ipotesi!$C$35:$G$35,1,F40)&lt;=0,36-Parametri_v3!$C$21&lt;1),0,INDEX($AT$5:$AT$64,MAX(1,36-Parametri_v3!$C$21))/(INDEX(Ipotesi!$C$35:$G$35,1,F40)*Ipotesi!C27))</f>
        <v>5.18990833333333</v>
      </c>
      <c r="BB40" s="15" t="n">
        <f aca="false">IF(36-Parametri_v3!$C$21&lt;1,0,INDEX($AU$5:$AU$64,MAX(1,36-Parametri_v3!$C$21)))*Parametri_v3!$C$18*Parametri_v3!$C$19*Parametri_v3!$C$20</f>
        <v>10.5</v>
      </c>
      <c r="BC40" s="17" t="n">
        <f aca="false">MAX(0,MIN(AY40,BA40,BB40,MAX(0,AZ40-(AV40-AW40))))</f>
        <v>5.18990833333333</v>
      </c>
      <c r="BD40" s="17" t="n">
        <f aca="false">AV40-AW40+BC40</f>
        <v>67.9653030534551</v>
      </c>
      <c r="BE40" s="17" t="n">
        <f aca="false">(AV40+BD40)/2</f>
        <v>65.6471475924717</v>
      </c>
      <c r="BF40" s="15" t="n">
        <f aca="false">BE40*INDEX(Ipotesi!$C$33:$G$33,1,F40)*H40/12</f>
        <v>30088.2759798829</v>
      </c>
      <c r="BG40" s="15" t="n">
        <f aca="false">BD40*INDEX(Ipotesi!$C$33:$G$33,1,F40)*H40</f>
        <v>373809.166794003</v>
      </c>
      <c r="BH40" s="15" t="n">
        <f aca="false">AM40*INDEX(Ipotesi!$C$37:$G$37,1,F40)</f>
        <v>4950</v>
      </c>
      <c r="BI40" s="15" t="n">
        <f aca="false">AQ40+BF40+BH40</f>
        <v>66288.2759798829</v>
      </c>
      <c r="BJ40" s="15" t="n">
        <f aca="false">INDEX(Ipotesi!$C$68:$G$68,1,F40)*Ipotesi!$C$69/12</f>
        <v>2400</v>
      </c>
      <c r="BK40" s="15" t="n">
        <f aca="false">INDEX(Ipotesi!$C$68:$G$68,1,F40)*(1-Ipotesi!$C$69)/12</f>
        <v>3600</v>
      </c>
      <c r="BL40" s="15" t="n">
        <f aca="false">(AQ40+BF40)*Ipotesi!$C$67</f>
        <v>1840.14827939649</v>
      </c>
      <c r="BM40" s="15" t="n">
        <f aca="false">AM40*Ipotesi!$C$67</f>
        <v>1485</v>
      </c>
      <c r="BN40" s="15" t="n">
        <f aca="false">INDEX(Ipotesi!$C$72:$G$72,1,F40)/12*Ipotesi!C126+BF40*Ipotesi!$C$73</f>
        <v>3657.06207839063</v>
      </c>
      <c r="BO40" s="15" t="n">
        <f aca="false">INDEX(Ipotesi!$C$74:$G$74,1,F40)/12*Ipotesi!C126</f>
        <v>2916.66666666667</v>
      </c>
      <c r="BP40" s="15" t="n">
        <f aca="false">INDEX(Ipotesi!$C$76:$G$76,1,F40)/12</f>
        <v>1083.33333333333</v>
      </c>
      <c r="BQ40" s="15" t="n">
        <f aca="false">INDEX(Ipotesi!$C$77:$G$77,1,F40)/12*Ipotesi!C126</f>
        <v>2083.33333333333</v>
      </c>
      <c r="BR40" s="15" t="n">
        <f aca="false">INDEX(Ipotesi!$C$78:$G$78,1,F40)/12</f>
        <v>1666.66666666667</v>
      </c>
      <c r="BS40" s="15" t="n">
        <f aca="false">SUM(M40:R40)*(Ipotesi!$C$85+Ipotesi!$C$86)/12</f>
        <v>4812.5</v>
      </c>
      <c r="BT40" s="15" t="n">
        <f aca="false">BI40*Ipotesi!$C$87</f>
        <v>1988.64827939649</v>
      </c>
      <c r="BU40" s="15" t="n">
        <f aca="false">INDEX(Ipotesi!$C$55:$G$55,1,F40)*K40/12</f>
        <v>1500</v>
      </c>
      <c r="BV40" s="15" t="n">
        <f aca="false">INDEX(Ipotesi!$C$80:$G$80,1,F40)/12*Ipotesi!C126</f>
        <v>1250</v>
      </c>
      <c r="BW40" s="15" t="n">
        <f aca="false">INDEX(Ipotesi!$C$82:$G$82,1,F40)/12</f>
        <v>1000</v>
      </c>
      <c r="BX40" s="15" t="n">
        <f aca="false">INDEX(Ipotesi!$C$83:$G$83,1,F40)/12</f>
        <v>666.666666666667</v>
      </c>
      <c r="BY40" s="15" t="n">
        <f aca="false">SUM(S40:U40)*(Ipotesi!$C$85+Ipotesi!$C$86)/12</f>
        <v>1895.83333333333</v>
      </c>
      <c r="BZ40" s="15" t="n">
        <f aca="false">AM40*Ipotesi!$C$87</f>
        <v>1485</v>
      </c>
      <c r="CA40" s="15" t="n">
        <f aca="false">AB40+BJ40+BL40+BN40+BO40+AR40+BP40+BQ40+BR40+BS40+BT40</f>
        <v>116722.02530385</v>
      </c>
      <c r="CB40" s="15" t="n">
        <f aca="false">AC40+BK40+BM40+BH40+BU40+BV40+AS40+BW40+BX40+BY40+BZ40</f>
        <v>44499.8958333333</v>
      </c>
      <c r="CC40" s="15" t="n">
        <f aca="false">BI40-CA40</f>
        <v>-50433.7493239674</v>
      </c>
      <c r="CD40" s="15" t="n">
        <f aca="false">AM40-CB40</f>
        <v>5000.10416666667</v>
      </c>
      <c r="CE40" s="15" t="n">
        <f aca="false">INDEX(Ipotesi!$C$79:$G$79,1,F40)/12</f>
        <v>2500</v>
      </c>
      <c r="CF40" s="15" t="n">
        <f aca="false">INDEX(Ipotesi!$C$84:$G$84,1,F40)/12</f>
        <v>416.666666666667</v>
      </c>
      <c r="CG40" s="15" t="n">
        <f aca="false">Y40*MAX(0,Parametri_v3!$C$12-IF(P40=0,0,MIN(1,BE40/(P40*Parametri_v3!$C$22))))+W40*Parametri_v3!$C$13+X40*Parametri_v3!$C$14</f>
        <v>26272.8725466311</v>
      </c>
      <c r="CH40" s="15" t="n">
        <f aca="false">AB40*Parametri_v3!$C$32</f>
        <v>3713.68333333333</v>
      </c>
      <c r="CI40" s="15" t="n">
        <f aca="false">AC40*Parametri_v3!$C$32</f>
        <v>1270.86979166667</v>
      </c>
      <c r="CJ40" s="15" t="n">
        <f aca="false">CA40-AB40</f>
        <v>42448.3586371836</v>
      </c>
      <c r="CK40" s="15" t="n">
        <f aca="false">CB40-AC40-BH40</f>
        <v>14132.5</v>
      </c>
      <c r="CL40" s="15" t="n">
        <f aca="false">BF40*Ipotesi!$C$73+INDEX(Ipotesi!$C$72:$G$72,1,F40)/12*Ipotesi!C126*Parametri_v3!$C$58+Z40*(1-Parametri_v3!$C$16)</f>
        <v>8431.11207839063</v>
      </c>
      <c r="CM40" s="16" t="n">
        <f aca="false">IF(BF40=0,0,1-CL40/BF40)</f>
        <v>0.719787465256311</v>
      </c>
    </row>
    <row r="41" customFormat="false" ht="18" hidden="false" customHeight="true" outlineLevel="0" collapsed="false">
      <c r="A41" s="68" t="n">
        <f aca="false">1</f>
        <v>1</v>
      </c>
      <c r="B41" s="68" t="n">
        <f aca="false">37</f>
        <v>37</v>
      </c>
      <c r="C41" s="18" t="n">
        <f aca="false">EDATE(Parametri_v3!$C$5,37-1)</f>
        <v>47484</v>
      </c>
      <c r="D41" s="68" t="n">
        <f aca="false">YEAR(C41)</f>
        <v>2030</v>
      </c>
      <c r="E41" s="68" t="n">
        <f aca="false">MONTH(C41)</f>
        <v>1</v>
      </c>
      <c r="F41" s="68" t="n">
        <f aca="false">INT((37-1)/12)+1</f>
        <v>4</v>
      </c>
      <c r="G41" s="15" t="n">
        <f aca="false">Ipotesi!C7</f>
        <v>0.75</v>
      </c>
      <c r="H41" s="15" t="n">
        <f aca="false">Ipotesi!C9</f>
        <v>1</v>
      </c>
      <c r="I41" s="15" t="n">
        <f aca="false">Ipotesi!C10</f>
        <v>1</v>
      </c>
      <c r="J41" s="15" t="n">
        <f aca="false">Ipotesi!C11</f>
        <v>1</v>
      </c>
      <c r="K41" s="15" t="n">
        <f aca="false">Ipotesi!C12</f>
        <v>1</v>
      </c>
      <c r="L41" s="15" t="n">
        <f aca="false">Ipotesi!C13</f>
        <v>90</v>
      </c>
      <c r="M41" s="17" t="n">
        <f aca="false">INDEX(Ipotesi!$C$40:$G$40,1,F41)</f>
        <v>1</v>
      </c>
      <c r="N41" s="17" t="n">
        <f aca="false">INDEX(Ipotesi!$C$41:$G$41,1,F41)</f>
        <v>1</v>
      </c>
      <c r="O41" s="17" t="n">
        <f aca="false">INDEX(Ipotesi!$C$42:$G$42,1,F41)*Ipotesi!C125</f>
        <v>6.5</v>
      </c>
      <c r="P41" s="17" t="n">
        <f aca="false">INDEX(Ipotesi!$C$43:$G$43,1,F41)*I41</f>
        <v>6</v>
      </c>
      <c r="Q41" s="17" t="n">
        <f aca="false">INDEX(Ipotesi!$C$44:$G$44,1,F41)*I41</f>
        <v>5</v>
      </c>
      <c r="R41" s="17" t="n">
        <f aca="false">INDEX(Ipotesi!$C$45:$G$45,1,F41)*I41</f>
        <v>1.5</v>
      </c>
      <c r="S41" s="17" t="n">
        <f aca="false">INDEX(Ipotesi!$C$52:$G$52,1,F41)*Ipotesi!C125</f>
        <v>7</v>
      </c>
      <c r="T41" s="17" t="n">
        <f aca="false">INDEX(Ipotesi!$C$53:$G$53,1,F41)*I41</f>
        <v>1</v>
      </c>
      <c r="U41" s="17" t="n">
        <f aca="false">INDEX(Ipotesi!$C$54:$G$54,1,F41)*I41</f>
        <v>0.5</v>
      </c>
      <c r="V41" s="15" t="n">
        <f aca="false">M41*INDEX(Ipotesi!$C$58:$G$58,1,F41)*K41/12</f>
        <v>7916.66666666667</v>
      </c>
      <c r="W41" s="15" t="n">
        <f aca="false">N41*Ipotesi!$C$59*(1+Ipotesi!$C$66)^(F41-1)/12</f>
        <v>6374.24083333333</v>
      </c>
      <c r="X41" s="15" t="n">
        <f aca="false">O41*Ipotesi!$C$60*(1+Ipotesi!$C$66)^(F41-1)/12</f>
        <v>29594.6895833333</v>
      </c>
      <c r="Y41" s="15" t="n">
        <f aca="false">P41*Ipotesi!$C$61*(1+Ipotesi!$C$66)^(F41-1)/12</f>
        <v>27318.175</v>
      </c>
      <c r="Z41" s="15" t="n">
        <f aca="false">Q41*Ipotesi!$C$62*(1+Ipotesi!$C$66)^(F41-1)/12</f>
        <v>20488.63125</v>
      </c>
      <c r="AA41" s="15" t="n">
        <f aca="false">R41*Ipotesi!$C$63*(1+Ipotesi!$C$66)^(F41-1)/12</f>
        <v>4780.680625</v>
      </c>
      <c r="AB41" s="15" t="n">
        <f aca="false">SUM(V41:AA41)</f>
        <v>96473.0839583333</v>
      </c>
      <c r="AC41" s="15" t="n">
        <f aca="false">(S41*Ipotesi!$C$64+T41*Ipotesi!$C$65+U41*Ipotesi!$C$63)*(1+Ipotesi!$C$66)^(F41-1)/12</f>
        <v>33829.0067083333</v>
      </c>
      <c r="AD41" s="15" t="n">
        <f aca="false">INDEX(Ipotesi!$C$48:$G$48,1,F41)*G41/12</f>
        <v>59.375</v>
      </c>
      <c r="AE41" s="15" t="n">
        <f aca="false">INDEX(Ipotesi!$C$50:$G$50,1,F41)*G41/12</f>
        <v>6.25</v>
      </c>
      <c r="AF41" s="15" t="n">
        <f aca="false">(S41*Parametri_v3!$C$7*Parametri_v3!$C$8+Parametri_v3!$C$10)/12</f>
        <v>89.8333333333333</v>
      </c>
      <c r="AG41" s="15" t="n">
        <f aca="false">AD41+AE41*(1+Parametri_v3!$C$9)</f>
        <v>68.75</v>
      </c>
      <c r="AH41" s="16" t="n">
        <f aca="false">IF(AG41=0,1,MIN(1,AF41/AG41))</f>
        <v>1</v>
      </c>
      <c r="AI41" s="15" t="n">
        <f aca="false">AD41*AH41</f>
        <v>59.375</v>
      </c>
      <c r="AJ41" s="15" t="n">
        <f aca="false">AE41*AH41</f>
        <v>6.25</v>
      </c>
      <c r="AK41" s="15" t="n">
        <f aca="false">AI41*INDEX(Ipotesi!$C$49:$G$49,1,F41)*H41</f>
        <v>53437.5</v>
      </c>
      <c r="AL41" s="15" t="n">
        <f aca="false">AJ41*INDEX(Ipotesi!$C$51:$G$51,1,F41)*H41</f>
        <v>15625</v>
      </c>
      <c r="AM41" s="15" t="n">
        <f aca="false">AK41+AL41</f>
        <v>69062.5</v>
      </c>
      <c r="AN41" s="15" t="n">
        <f aca="false">INDEX(Ipotesi!$C$30:$G$30,1,F41)*G41/12</f>
        <v>46.25</v>
      </c>
      <c r="AO41" s="15" t="n">
        <f aca="false">O41*Parametri_v3!$C$7*Parametri_v3!$C$11*(1-Parametri_v3!$C$14)/12</f>
        <v>66.7333333333333</v>
      </c>
      <c r="AP41" s="15" t="n">
        <f aca="false">MIN(AN41,AO41)</f>
        <v>46.25</v>
      </c>
      <c r="AQ41" s="15" t="n">
        <f aca="false">AP41*INDEX(Ipotesi!$C$31:$G$31,1,F41)*H41</f>
        <v>48562.5</v>
      </c>
      <c r="AR41" s="15" t="n">
        <f aca="false">INDEX(Ipotesi!$C$75:$G$75,1,F41)*J41/12</f>
        <v>27916.6666666667</v>
      </c>
      <c r="AS41" s="15" t="n">
        <f aca="false">INDEX(Ipotesi!$C$81:$G$81,1,F41)*J41/12</f>
        <v>1666.66666666667</v>
      </c>
      <c r="AT41" s="15" t="n">
        <f aca="false">AR41*Parametri_v3!$C$15+Z41*Parametri_v3!$C$16</f>
        <v>42258.7085416667</v>
      </c>
      <c r="AU41" s="15" t="n">
        <f aca="false">Q41*Parametri_v3!$C$16*Parametri_v3!$C$17</f>
        <v>350</v>
      </c>
      <c r="AV41" s="17" t="n">
        <f aca="false">BD40</f>
        <v>67.9653030534551</v>
      </c>
      <c r="AW41" s="17" t="n">
        <f aca="false">AV41*(1-(1-INDEX(Ipotesi!$C$34:$G$34,1,F41))^(1/12))</f>
        <v>0.594126237711366</v>
      </c>
      <c r="AX41" s="15" t="n">
        <f aca="false">ROUND(INDEX(Ipotesi!$C$32:$G$32,1,F41)*Ipotesi!C8,0)</f>
        <v>186</v>
      </c>
      <c r="AY41" s="15" t="n">
        <f aca="false">MAX(0,(AX41-(AV41-AW41))/(13-E41))</f>
        <v>9.88573526535469</v>
      </c>
      <c r="AZ41" s="15" t="n">
        <f aca="false">MIN(P41*Parametri_v3!$C$22,Q41*(1-Parametri_v3!$C$16)*Parametri_v3!$C$23)</f>
        <v>225</v>
      </c>
      <c r="BA41" s="15" t="n">
        <f aca="false">IF(OR(INDEX(Ipotesi!$C$35:$G$35,1,F41)&lt;=0,37-Parametri_v3!$C$21&lt;1),0,INDEX($AT$5:$AT$64,MAX(1,37-Parametri_v3!$C$21))/(INDEX(Ipotesi!$C$35:$G$35,1,F41)*Ipotesi!C27))</f>
        <v>4.32492361111111</v>
      </c>
      <c r="BB41" s="15" t="n">
        <f aca="false">IF(37-Parametri_v3!$C$21&lt;1,0,INDEX($AU$5:$AU$64,MAX(1,37-Parametri_v3!$C$21)))*Parametri_v3!$C$18*Parametri_v3!$C$19*Parametri_v3!$C$20</f>
        <v>10.5</v>
      </c>
      <c r="BC41" s="17" t="n">
        <f aca="false">MAX(0,MIN(AY41,BA41,BB41,MAX(0,AZ41-(AV41-AW41))))</f>
        <v>4.32492361111111</v>
      </c>
      <c r="BD41" s="17" t="n">
        <f aca="false">AV41-AW41+BC41</f>
        <v>71.6961004268548</v>
      </c>
      <c r="BE41" s="17" t="n">
        <f aca="false">(AV41+BD41)/2</f>
        <v>69.830701740155</v>
      </c>
      <c r="BF41" s="15" t="n">
        <f aca="false">BE41*INDEX(Ipotesi!$C$33:$G$33,1,F41)*H41/12</f>
        <v>34915.3508700775</v>
      </c>
      <c r="BG41" s="15" t="n">
        <f aca="false">BD41*INDEX(Ipotesi!$C$33:$G$33,1,F41)*H41</f>
        <v>430176.602561129</v>
      </c>
      <c r="BH41" s="15" t="n">
        <f aca="false">AM41*INDEX(Ipotesi!$C$37:$G$37,1,F41)</f>
        <v>6906.25</v>
      </c>
      <c r="BI41" s="15" t="n">
        <f aca="false">AQ41+BF41+BH41</f>
        <v>90384.1008700775</v>
      </c>
      <c r="BJ41" s="15" t="n">
        <f aca="false">INDEX(Ipotesi!$C$68:$G$68,1,F41)*Ipotesi!$C$69/12</f>
        <v>3000</v>
      </c>
      <c r="BK41" s="15" t="n">
        <f aca="false">INDEX(Ipotesi!$C$68:$G$68,1,F41)*(1-Ipotesi!$C$69)/12</f>
        <v>4500</v>
      </c>
      <c r="BL41" s="15" t="n">
        <f aca="false">(AQ41+BF41)*Ipotesi!$C$67</f>
        <v>2504.33552610232</v>
      </c>
      <c r="BM41" s="15" t="n">
        <f aca="false">AM41*Ipotesi!$C$67</f>
        <v>2071.875</v>
      </c>
      <c r="BN41" s="15" t="n">
        <f aca="false">INDEX(Ipotesi!$C$72:$G$72,1,F41)/12*Ipotesi!C126+BF41*Ipotesi!$C$73</f>
        <v>4043.2280696062</v>
      </c>
      <c r="BO41" s="15" t="n">
        <f aca="false">INDEX(Ipotesi!$C$74:$G$74,1,F41)/12*Ipotesi!C126</f>
        <v>4166.66666666667</v>
      </c>
      <c r="BP41" s="15" t="n">
        <f aca="false">INDEX(Ipotesi!$C$76:$G$76,1,F41)/12</f>
        <v>1500</v>
      </c>
      <c r="BQ41" s="15" t="n">
        <f aca="false">INDEX(Ipotesi!$C$77:$G$77,1,F41)/12*Ipotesi!C126</f>
        <v>2083.33333333333</v>
      </c>
      <c r="BR41" s="15" t="n">
        <f aca="false">INDEX(Ipotesi!$C$78:$G$78,1,F41)/12</f>
        <v>2000</v>
      </c>
      <c r="BS41" s="15" t="n">
        <f aca="false">SUM(M41:R41)*(Ipotesi!$C$85+Ipotesi!$C$86)/12</f>
        <v>6125</v>
      </c>
      <c r="BT41" s="15" t="n">
        <f aca="false">BI41*Ipotesi!$C$87</f>
        <v>2711.52302610232</v>
      </c>
      <c r="BU41" s="15" t="n">
        <f aca="false">INDEX(Ipotesi!$C$55:$G$55,1,F41)*K41/12</f>
        <v>2000</v>
      </c>
      <c r="BV41" s="15" t="n">
        <f aca="false">INDEX(Ipotesi!$C$80:$G$80,1,F41)/12*Ipotesi!C126</f>
        <v>1666.66666666667</v>
      </c>
      <c r="BW41" s="15" t="n">
        <f aca="false">INDEX(Ipotesi!$C$82:$G$82,1,F41)/12</f>
        <v>1250</v>
      </c>
      <c r="BX41" s="15" t="n">
        <f aca="false">INDEX(Ipotesi!$C$83:$G$83,1,F41)/12</f>
        <v>750</v>
      </c>
      <c r="BY41" s="15" t="n">
        <f aca="false">SUM(S41:U41)*(Ipotesi!$C$85+Ipotesi!$C$86)/12</f>
        <v>2479.16666666667</v>
      </c>
      <c r="BZ41" s="15" t="n">
        <f aca="false">AM41*Ipotesi!$C$87</f>
        <v>2071.875</v>
      </c>
      <c r="CA41" s="15" t="n">
        <f aca="false">AB41+BJ41+BL41+BN41+BO41+AR41+BP41+BQ41+BR41+BS41+BT41</f>
        <v>152523.837246811</v>
      </c>
      <c r="CB41" s="15" t="n">
        <f aca="false">AC41+BK41+BM41+BH41+BU41+BV41+AS41+BW41+BX41+BY41+BZ41</f>
        <v>59191.5067083333</v>
      </c>
      <c r="CC41" s="15" t="n">
        <f aca="false">BI41-CA41</f>
        <v>-62139.7363767334</v>
      </c>
      <c r="CD41" s="15" t="n">
        <f aca="false">AM41-CB41</f>
        <v>9870.99329166667</v>
      </c>
      <c r="CE41" s="15" t="n">
        <f aca="false">INDEX(Ipotesi!$C$79:$G$79,1,F41)/12</f>
        <v>3333.33333333333</v>
      </c>
      <c r="CF41" s="15" t="n">
        <f aca="false">INDEX(Ipotesi!$C$84:$G$84,1,F41)/12</f>
        <v>666.666666666667</v>
      </c>
      <c r="CG41" s="15" t="n">
        <f aca="false">Y41*MAX(0,Parametri_v3!$C$12-IF(P41=0,0,MIN(1,BE41/(P41*Parametri_v3!$C$22))))+W41*Parametri_v3!$C$13+X41*Parametri_v3!$C$14</f>
        <v>33244.8211158161</v>
      </c>
      <c r="CH41" s="15" t="n">
        <f aca="false">AB41*Parametri_v3!$C$32</f>
        <v>4823.65419791667</v>
      </c>
      <c r="CI41" s="15" t="n">
        <f aca="false">AC41*Parametri_v3!$C$32</f>
        <v>1691.45033541667</v>
      </c>
      <c r="CJ41" s="15" t="n">
        <f aca="false">CA41-AB41</f>
        <v>56050.7532884775</v>
      </c>
      <c r="CK41" s="15" t="n">
        <f aca="false">CB41-AC41-BH41</f>
        <v>18456.25</v>
      </c>
      <c r="CL41" s="15" t="n">
        <f aca="false">BF41*Ipotesi!$C$73+INDEX(Ipotesi!$C$72:$G$72,1,F41)/12*Ipotesi!C126*Parametri_v3!$C$58+Z41*(1-Parametri_v3!$C$16)</f>
        <v>10189.8174446062</v>
      </c>
      <c r="CM41" s="16" t="n">
        <f aca="false">IF(BF41=0,0,1-CL41/BF41)</f>
        <v>0.708156521682304</v>
      </c>
    </row>
    <row r="42" customFormat="false" ht="18" hidden="false" customHeight="true" outlineLevel="0" collapsed="false">
      <c r="A42" s="68" t="n">
        <f aca="false">1</f>
        <v>1</v>
      </c>
      <c r="B42" s="68" t="n">
        <f aca="false">38</f>
        <v>38</v>
      </c>
      <c r="C42" s="18" t="n">
        <f aca="false">EDATE(Parametri_v3!$C$5,38-1)</f>
        <v>47515</v>
      </c>
      <c r="D42" s="68" t="n">
        <f aca="false">YEAR(C42)</f>
        <v>2030</v>
      </c>
      <c r="E42" s="68" t="n">
        <f aca="false">MONTH(C42)</f>
        <v>2</v>
      </c>
      <c r="F42" s="68" t="n">
        <f aca="false">INT((38-1)/12)+1</f>
        <v>4</v>
      </c>
      <c r="G42" s="15" t="n">
        <f aca="false">Ipotesi!C7</f>
        <v>0.75</v>
      </c>
      <c r="H42" s="15" t="n">
        <f aca="false">Ipotesi!C9</f>
        <v>1</v>
      </c>
      <c r="I42" s="15" t="n">
        <f aca="false">Ipotesi!C10</f>
        <v>1</v>
      </c>
      <c r="J42" s="15" t="n">
        <f aca="false">Ipotesi!C11</f>
        <v>1</v>
      </c>
      <c r="K42" s="15" t="n">
        <f aca="false">Ipotesi!C12</f>
        <v>1</v>
      </c>
      <c r="L42" s="15" t="n">
        <f aca="false">Ipotesi!C13</f>
        <v>90</v>
      </c>
      <c r="M42" s="17" t="n">
        <f aca="false">INDEX(Ipotesi!$C$40:$G$40,1,F42)</f>
        <v>1</v>
      </c>
      <c r="N42" s="17" t="n">
        <f aca="false">INDEX(Ipotesi!$C$41:$G$41,1,F42)</f>
        <v>1</v>
      </c>
      <c r="O42" s="17" t="n">
        <f aca="false">INDEX(Ipotesi!$C$42:$G$42,1,F42)*Ipotesi!C125</f>
        <v>6.5</v>
      </c>
      <c r="P42" s="17" t="n">
        <f aca="false">INDEX(Ipotesi!$C$43:$G$43,1,F42)*I42</f>
        <v>6</v>
      </c>
      <c r="Q42" s="17" t="n">
        <f aca="false">INDEX(Ipotesi!$C$44:$G$44,1,F42)*I42</f>
        <v>5</v>
      </c>
      <c r="R42" s="17" t="n">
        <f aca="false">INDEX(Ipotesi!$C$45:$G$45,1,F42)*I42</f>
        <v>1.5</v>
      </c>
      <c r="S42" s="17" t="n">
        <f aca="false">INDEX(Ipotesi!$C$52:$G$52,1,F42)*Ipotesi!C125</f>
        <v>7</v>
      </c>
      <c r="T42" s="17" t="n">
        <f aca="false">INDEX(Ipotesi!$C$53:$G$53,1,F42)*I42</f>
        <v>1</v>
      </c>
      <c r="U42" s="17" t="n">
        <f aca="false">INDEX(Ipotesi!$C$54:$G$54,1,F42)*I42</f>
        <v>0.5</v>
      </c>
      <c r="V42" s="15" t="n">
        <f aca="false">M42*INDEX(Ipotesi!$C$58:$G$58,1,F42)*K42/12</f>
        <v>7916.66666666667</v>
      </c>
      <c r="W42" s="15" t="n">
        <f aca="false">N42*Ipotesi!$C$59*(1+Ipotesi!$C$66)^(F42-1)/12</f>
        <v>6374.24083333333</v>
      </c>
      <c r="X42" s="15" t="n">
        <f aca="false">O42*Ipotesi!$C$60*(1+Ipotesi!$C$66)^(F42-1)/12</f>
        <v>29594.6895833333</v>
      </c>
      <c r="Y42" s="15" t="n">
        <f aca="false">P42*Ipotesi!$C$61*(1+Ipotesi!$C$66)^(F42-1)/12</f>
        <v>27318.175</v>
      </c>
      <c r="Z42" s="15" t="n">
        <f aca="false">Q42*Ipotesi!$C$62*(1+Ipotesi!$C$66)^(F42-1)/12</f>
        <v>20488.63125</v>
      </c>
      <c r="AA42" s="15" t="n">
        <f aca="false">R42*Ipotesi!$C$63*(1+Ipotesi!$C$66)^(F42-1)/12</f>
        <v>4780.680625</v>
      </c>
      <c r="AB42" s="15" t="n">
        <f aca="false">SUM(V42:AA42)</f>
        <v>96473.0839583333</v>
      </c>
      <c r="AC42" s="15" t="n">
        <f aca="false">(S42*Ipotesi!$C$64+T42*Ipotesi!$C$65+U42*Ipotesi!$C$63)*(1+Ipotesi!$C$66)^(F42-1)/12</f>
        <v>33829.0067083333</v>
      </c>
      <c r="AD42" s="15" t="n">
        <f aca="false">INDEX(Ipotesi!$C$48:$G$48,1,F42)*G42/12</f>
        <v>59.375</v>
      </c>
      <c r="AE42" s="15" t="n">
        <f aca="false">INDEX(Ipotesi!$C$50:$G$50,1,F42)*G42/12</f>
        <v>6.25</v>
      </c>
      <c r="AF42" s="15" t="n">
        <f aca="false">(S42*Parametri_v3!$C$7*Parametri_v3!$C$8+Parametri_v3!$C$10)/12</f>
        <v>89.8333333333333</v>
      </c>
      <c r="AG42" s="15" t="n">
        <f aca="false">AD42+AE42*(1+Parametri_v3!$C$9)</f>
        <v>68.75</v>
      </c>
      <c r="AH42" s="16" t="n">
        <f aca="false">IF(AG42=0,1,MIN(1,AF42/AG42))</f>
        <v>1</v>
      </c>
      <c r="AI42" s="15" t="n">
        <f aca="false">AD42*AH42</f>
        <v>59.375</v>
      </c>
      <c r="AJ42" s="15" t="n">
        <f aca="false">AE42*AH42</f>
        <v>6.25</v>
      </c>
      <c r="AK42" s="15" t="n">
        <f aca="false">AI42*INDEX(Ipotesi!$C$49:$G$49,1,F42)*H42</f>
        <v>53437.5</v>
      </c>
      <c r="AL42" s="15" t="n">
        <f aca="false">AJ42*INDEX(Ipotesi!$C$51:$G$51,1,F42)*H42</f>
        <v>15625</v>
      </c>
      <c r="AM42" s="15" t="n">
        <f aca="false">AK42+AL42</f>
        <v>69062.5</v>
      </c>
      <c r="AN42" s="15" t="n">
        <f aca="false">INDEX(Ipotesi!$C$30:$G$30,1,F42)*G42/12</f>
        <v>46.25</v>
      </c>
      <c r="AO42" s="15" t="n">
        <f aca="false">O42*Parametri_v3!$C$7*Parametri_v3!$C$11*(1-Parametri_v3!$C$14)/12</f>
        <v>66.7333333333333</v>
      </c>
      <c r="AP42" s="15" t="n">
        <f aca="false">MIN(AN42,AO42)</f>
        <v>46.25</v>
      </c>
      <c r="AQ42" s="15" t="n">
        <f aca="false">AP42*INDEX(Ipotesi!$C$31:$G$31,1,F42)*H42</f>
        <v>48562.5</v>
      </c>
      <c r="AR42" s="15" t="n">
        <f aca="false">INDEX(Ipotesi!$C$75:$G$75,1,F42)*J42/12</f>
        <v>27916.6666666667</v>
      </c>
      <c r="AS42" s="15" t="n">
        <f aca="false">INDEX(Ipotesi!$C$81:$G$81,1,F42)*J42/12</f>
        <v>1666.66666666667</v>
      </c>
      <c r="AT42" s="15" t="n">
        <f aca="false">AR42*Parametri_v3!$C$15+Z42*Parametri_v3!$C$16</f>
        <v>42258.7085416667</v>
      </c>
      <c r="AU42" s="15" t="n">
        <f aca="false">Q42*Parametri_v3!$C$16*Parametri_v3!$C$17</f>
        <v>350</v>
      </c>
      <c r="AV42" s="17" t="n">
        <f aca="false">BD41</f>
        <v>71.6961004268548</v>
      </c>
      <c r="AW42" s="17" t="n">
        <f aca="false">AV42*(1-(1-INDEX(Ipotesi!$C$34:$G$34,1,F42))^(1/12))</f>
        <v>0.626739416900431</v>
      </c>
      <c r="AX42" s="15" t="n">
        <f aca="false">ROUND(INDEX(Ipotesi!$C$32:$G$32,1,F42)*Ipotesi!C8,0)</f>
        <v>186</v>
      </c>
      <c r="AY42" s="15" t="n">
        <f aca="false">MAX(0,(AX42-(AV42-AW42))/(13-E42))</f>
        <v>10.448239908186</v>
      </c>
      <c r="AZ42" s="15" t="n">
        <f aca="false">MIN(P42*Parametri_v3!$C$22,Q42*(1-Parametri_v3!$C$16)*Parametri_v3!$C$23)</f>
        <v>225</v>
      </c>
      <c r="BA42" s="15" t="n">
        <f aca="false">IF(OR(INDEX(Ipotesi!$C$35:$G$35,1,F42)&lt;=0,38-Parametri_v3!$C$21&lt;1),0,INDEX($AT$5:$AT$64,MAX(1,38-Parametri_v3!$C$21))/(INDEX(Ipotesi!$C$35:$G$35,1,F42)*Ipotesi!C27))</f>
        <v>4.32492361111111</v>
      </c>
      <c r="BB42" s="15" t="n">
        <f aca="false">IF(38-Parametri_v3!$C$21&lt;1,0,INDEX($AU$5:$AU$64,MAX(1,38-Parametri_v3!$C$21)))*Parametri_v3!$C$18*Parametri_v3!$C$19*Parametri_v3!$C$20</f>
        <v>10.5</v>
      </c>
      <c r="BC42" s="17" t="n">
        <f aca="false">MAX(0,MIN(AY42,BA42,BB42,MAX(0,AZ42-(AV42-AW42))))</f>
        <v>4.32492361111111</v>
      </c>
      <c r="BD42" s="17" t="n">
        <f aca="false">AV42-AW42+BC42</f>
        <v>75.3942846210655</v>
      </c>
      <c r="BE42" s="17" t="n">
        <f aca="false">(AV42+BD42)/2</f>
        <v>73.5451925239602</v>
      </c>
      <c r="BF42" s="15" t="n">
        <f aca="false">BE42*INDEX(Ipotesi!$C$33:$G$33,1,F42)*H42/12</f>
        <v>36772.5962619801</v>
      </c>
      <c r="BG42" s="15" t="n">
        <f aca="false">BD42*INDEX(Ipotesi!$C$33:$G$33,1,F42)*H42</f>
        <v>452365.707726393</v>
      </c>
      <c r="BH42" s="15" t="n">
        <f aca="false">AM42*INDEX(Ipotesi!$C$37:$G$37,1,F42)</f>
        <v>6906.25</v>
      </c>
      <c r="BI42" s="15" t="n">
        <f aca="false">AQ42+BF42+BH42</f>
        <v>92241.3462619801</v>
      </c>
      <c r="BJ42" s="15" t="n">
        <f aca="false">INDEX(Ipotesi!$C$68:$G$68,1,F42)*Ipotesi!$C$69/12</f>
        <v>3000</v>
      </c>
      <c r="BK42" s="15" t="n">
        <f aca="false">INDEX(Ipotesi!$C$68:$G$68,1,F42)*(1-Ipotesi!$C$69)/12</f>
        <v>4500</v>
      </c>
      <c r="BL42" s="15" t="n">
        <f aca="false">(AQ42+BF42)*Ipotesi!$C$67</f>
        <v>2560.0528878594</v>
      </c>
      <c r="BM42" s="15" t="n">
        <f aca="false">AM42*Ipotesi!$C$67</f>
        <v>2071.875</v>
      </c>
      <c r="BN42" s="15" t="n">
        <f aca="false">INDEX(Ipotesi!$C$72:$G$72,1,F42)/12*Ipotesi!C126+BF42*Ipotesi!$C$73</f>
        <v>4191.80770095841</v>
      </c>
      <c r="BO42" s="15" t="n">
        <f aca="false">INDEX(Ipotesi!$C$74:$G$74,1,F42)/12*Ipotesi!C126</f>
        <v>4166.66666666667</v>
      </c>
      <c r="BP42" s="15" t="n">
        <f aca="false">INDEX(Ipotesi!$C$76:$G$76,1,F42)/12</f>
        <v>1500</v>
      </c>
      <c r="BQ42" s="15" t="n">
        <f aca="false">INDEX(Ipotesi!$C$77:$G$77,1,F42)/12*Ipotesi!C126</f>
        <v>2083.33333333333</v>
      </c>
      <c r="BR42" s="15" t="n">
        <f aca="false">INDEX(Ipotesi!$C$78:$G$78,1,F42)/12</f>
        <v>2000</v>
      </c>
      <c r="BS42" s="15" t="n">
        <f aca="false">SUM(M42:R42)*(Ipotesi!$C$85+Ipotesi!$C$86)/12</f>
        <v>6125</v>
      </c>
      <c r="BT42" s="15" t="n">
        <f aca="false">BI42*Ipotesi!$C$87</f>
        <v>2767.2403878594</v>
      </c>
      <c r="BU42" s="15" t="n">
        <f aca="false">INDEX(Ipotesi!$C$55:$G$55,1,F42)*K42/12</f>
        <v>2000</v>
      </c>
      <c r="BV42" s="15" t="n">
        <f aca="false">INDEX(Ipotesi!$C$80:$G$80,1,F42)/12*Ipotesi!C126</f>
        <v>1666.66666666667</v>
      </c>
      <c r="BW42" s="15" t="n">
        <f aca="false">INDEX(Ipotesi!$C$82:$G$82,1,F42)/12</f>
        <v>1250</v>
      </c>
      <c r="BX42" s="15" t="n">
        <f aca="false">INDEX(Ipotesi!$C$83:$G$83,1,F42)/12</f>
        <v>750</v>
      </c>
      <c r="BY42" s="15" t="n">
        <f aca="false">SUM(S42:U42)*(Ipotesi!$C$85+Ipotesi!$C$86)/12</f>
        <v>2479.16666666667</v>
      </c>
      <c r="BZ42" s="15" t="n">
        <f aca="false">AM42*Ipotesi!$C$87</f>
        <v>2071.875</v>
      </c>
      <c r="CA42" s="15" t="n">
        <f aca="false">AB42+BJ42+BL42+BN42+BO42+AR42+BP42+BQ42+BR42+BS42+BT42</f>
        <v>152783.851601677</v>
      </c>
      <c r="CB42" s="15" t="n">
        <f aca="false">AC42+BK42+BM42+BH42+BU42+BV42+AS42+BW42+BX42+BY42+BZ42</f>
        <v>59191.5067083333</v>
      </c>
      <c r="CC42" s="15" t="n">
        <f aca="false">BI42-CA42</f>
        <v>-60542.5053396971</v>
      </c>
      <c r="CD42" s="15" t="n">
        <f aca="false">AM42-CB42</f>
        <v>9870.99329166667</v>
      </c>
      <c r="CE42" s="15" t="n">
        <f aca="false">INDEX(Ipotesi!$C$79:$G$79,1,F42)/12</f>
        <v>3333.33333333333</v>
      </c>
      <c r="CF42" s="15" t="n">
        <f aca="false">INDEX(Ipotesi!$C$84:$G$84,1,F42)/12</f>
        <v>666.666666666667</v>
      </c>
      <c r="CG42" s="15" t="n">
        <f aca="false">Y42*MAX(0,Parametri_v3!$C$12-IF(P42=0,0,MIN(1,BE42/(P42*Parametri_v3!$C$22))))+W42*Parametri_v3!$C$13+X42*Parametri_v3!$C$14</f>
        <v>33075.6992670363</v>
      </c>
      <c r="CH42" s="15" t="n">
        <f aca="false">AB42*Parametri_v3!$C$32</f>
        <v>4823.65419791667</v>
      </c>
      <c r="CI42" s="15" t="n">
        <f aca="false">AC42*Parametri_v3!$C$32</f>
        <v>1691.45033541667</v>
      </c>
      <c r="CJ42" s="15" t="n">
        <f aca="false">CA42-AB42</f>
        <v>56310.7676433439</v>
      </c>
      <c r="CK42" s="15" t="n">
        <f aca="false">CB42-AC42-BH42</f>
        <v>18456.25</v>
      </c>
      <c r="CL42" s="15" t="n">
        <f aca="false">BF42*Ipotesi!$C$73+INDEX(Ipotesi!$C$72:$G$72,1,F42)/12*Ipotesi!C126*Parametri_v3!$C$58+Z42*(1-Parametri_v3!$C$16)</f>
        <v>10338.3970759584</v>
      </c>
      <c r="CM42" s="16" t="n">
        <f aca="false">IF(BF42=0,0,1-CL42/BF42)</f>
        <v>0.7188559382018</v>
      </c>
    </row>
    <row r="43" customFormat="false" ht="18" hidden="false" customHeight="true" outlineLevel="0" collapsed="false">
      <c r="A43" s="68" t="n">
        <f aca="false">1</f>
        <v>1</v>
      </c>
      <c r="B43" s="68" t="n">
        <f aca="false">39</f>
        <v>39</v>
      </c>
      <c r="C43" s="18" t="n">
        <f aca="false">EDATE(Parametri_v3!$C$5,39-1)</f>
        <v>47543</v>
      </c>
      <c r="D43" s="68" t="n">
        <f aca="false">YEAR(C43)</f>
        <v>2030</v>
      </c>
      <c r="E43" s="68" t="n">
        <f aca="false">MONTH(C43)</f>
        <v>3</v>
      </c>
      <c r="F43" s="68" t="n">
        <f aca="false">INT((39-1)/12)+1</f>
        <v>4</v>
      </c>
      <c r="G43" s="15" t="n">
        <f aca="false">Ipotesi!C7</f>
        <v>0.75</v>
      </c>
      <c r="H43" s="15" t="n">
        <f aca="false">Ipotesi!C9</f>
        <v>1</v>
      </c>
      <c r="I43" s="15" t="n">
        <f aca="false">Ipotesi!C10</f>
        <v>1</v>
      </c>
      <c r="J43" s="15" t="n">
        <f aca="false">Ipotesi!C11</f>
        <v>1</v>
      </c>
      <c r="K43" s="15" t="n">
        <f aca="false">Ipotesi!C12</f>
        <v>1</v>
      </c>
      <c r="L43" s="15" t="n">
        <f aca="false">Ipotesi!C13</f>
        <v>90</v>
      </c>
      <c r="M43" s="17" t="n">
        <f aca="false">INDEX(Ipotesi!$C$40:$G$40,1,F43)</f>
        <v>1</v>
      </c>
      <c r="N43" s="17" t="n">
        <f aca="false">INDEX(Ipotesi!$C$41:$G$41,1,F43)</f>
        <v>1</v>
      </c>
      <c r="O43" s="17" t="n">
        <f aca="false">INDEX(Ipotesi!$C$42:$G$42,1,F43)*Ipotesi!C125</f>
        <v>6.5</v>
      </c>
      <c r="P43" s="17" t="n">
        <f aca="false">INDEX(Ipotesi!$C$43:$G$43,1,F43)*I43</f>
        <v>6</v>
      </c>
      <c r="Q43" s="17" t="n">
        <f aca="false">INDEX(Ipotesi!$C$44:$G$44,1,F43)*I43</f>
        <v>5</v>
      </c>
      <c r="R43" s="17" t="n">
        <f aca="false">INDEX(Ipotesi!$C$45:$G$45,1,F43)*I43</f>
        <v>1.5</v>
      </c>
      <c r="S43" s="17" t="n">
        <f aca="false">INDEX(Ipotesi!$C$52:$G$52,1,F43)*Ipotesi!C125</f>
        <v>7</v>
      </c>
      <c r="T43" s="17" t="n">
        <f aca="false">INDEX(Ipotesi!$C$53:$G$53,1,F43)*I43</f>
        <v>1</v>
      </c>
      <c r="U43" s="17" t="n">
        <f aca="false">INDEX(Ipotesi!$C$54:$G$54,1,F43)*I43</f>
        <v>0.5</v>
      </c>
      <c r="V43" s="15" t="n">
        <f aca="false">M43*INDEX(Ipotesi!$C$58:$G$58,1,F43)*K43/12</f>
        <v>7916.66666666667</v>
      </c>
      <c r="W43" s="15" t="n">
        <f aca="false">N43*Ipotesi!$C$59*(1+Ipotesi!$C$66)^(F43-1)/12</f>
        <v>6374.24083333333</v>
      </c>
      <c r="X43" s="15" t="n">
        <f aca="false">O43*Ipotesi!$C$60*(1+Ipotesi!$C$66)^(F43-1)/12</f>
        <v>29594.6895833333</v>
      </c>
      <c r="Y43" s="15" t="n">
        <f aca="false">P43*Ipotesi!$C$61*(1+Ipotesi!$C$66)^(F43-1)/12</f>
        <v>27318.175</v>
      </c>
      <c r="Z43" s="15" t="n">
        <f aca="false">Q43*Ipotesi!$C$62*(1+Ipotesi!$C$66)^(F43-1)/12</f>
        <v>20488.63125</v>
      </c>
      <c r="AA43" s="15" t="n">
        <f aca="false">R43*Ipotesi!$C$63*(1+Ipotesi!$C$66)^(F43-1)/12</f>
        <v>4780.680625</v>
      </c>
      <c r="AB43" s="15" t="n">
        <f aca="false">SUM(V43:AA43)</f>
        <v>96473.0839583333</v>
      </c>
      <c r="AC43" s="15" t="n">
        <f aca="false">(S43*Ipotesi!$C$64+T43*Ipotesi!$C$65+U43*Ipotesi!$C$63)*(1+Ipotesi!$C$66)^(F43-1)/12</f>
        <v>33829.0067083333</v>
      </c>
      <c r="AD43" s="15" t="n">
        <f aca="false">INDEX(Ipotesi!$C$48:$G$48,1,F43)*G43/12</f>
        <v>59.375</v>
      </c>
      <c r="AE43" s="15" t="n">
        <f aca="false">INDEX(Ipotesi!$C$50:$G$50,1,F43)*G43/12</f>
        <v>6.25</v>
      </c>
      <c r="AF43" s="15" t="n">
        <f aca="false">(S43*Parametri_v3!$C$7*Parametri_v3!$C$8+Parametri_v3!$C$10)/12</f>
        <v>89.8333333333333</v>
      </c>
      <c r="AG43" s="15" t="n">
        <f aca="false">AD43+AE43*(1+Parametri_v3!$C$9)</f>
        <v>68.75</v>
      </c>
      <c r="AH43" s="16" t="n">
        <f aca="false">IF(AG43=0,1,MIN(1,AF43/AG43))</f>
        <v>1</v>
      </c>
      <c r="AI43" s="15" t="n">
        <f aca="false">AD43*AH43</f>
        <v>59.375</v>
      </c>
      <c r="AJ43" s="15" t="n">
        <f aca="false">AE43*AH43</f>
        <v>6.25</v>
      </c>
      <c r="AK43" s="15" t="n">
        <f aca="false">AI43*INDEX(Ipotesi!$C$49:$G$49,1,F43)*H43</f>
        <v>53437.5</v>
      </c>
      <c r="AL43" s="15" t="n">
        <f aca="false">AJ43*INDEX(Ipotesi!$C$51:$G$51,1,F43)*H43</f>
        <v>15625</v>
      </c>
      <c r="AM43" s="15" t="n">
        <f aca="false">AK43+AL43</f>
        <v>69062.5</v>
      </c>
      <c r="AN43" s="15" t="n">
        <f aca="false">INDEX(Ipotesi!$C$30:$G$30,1,F43)*G43/12</f>
        <v>46.25</v>
      </c>
      <c r="AO43" s="15" t="n">
        <f aca="false">O43*Parametri_v3!$C$7*Parametri_v3!$C$11*(1-Parametri_v3!$C$14)/12</f>
        <v>66.7333333333333</v>
      </c>
      <c r="AP43" s="15" t="n">
        <f aca="false">MIN(AN43,AO43)</f>
        <v>46.25</v>
      </c>
      <c r="AQ43" s="15" t="n">
        <f aca="false">AP43*INDEX(Ipotesi!$C$31:$G$31,1,F43)*H43</f>
        <v>48562.5</v>
      </c>
      <c r="AR43" s="15" t="n">
        <f aca="false">INDEX(Ipotesi!$C$75:$G$75,1,F43)*J43/12</f>
        <v>27916.6666666667</v>
      </c>
      <c r="AS43" s="15" t="n">
        <f aca="false">INDEX(Ipotesi!$C$81:$G$81,1,F43)*J43/12</f>
        <v>1666.66666666667</v>
      </c>
      <c r="AT43" s="15" t="n">
        <f aca="false">AR43*Parametri_v3!$C$15+Z43*Parametri_v3!$C$16</f>
        <v>42258.7085416667</v>
      </c>
      <c r="AU43" s="15" t="n">
        <f aca="false">Q43*Parametri_v3!$C$16*Parametri_v3!$C$17</f>
        <v>350</v>
      </c>
      <c r="AV43" s="17" t="n">
        <f aca="false">BD42</f>
        <v>75.3942846210655</v>
      </c>
      <c r="AW43" s="17" t="n">
        <f aca="false">AV43*(1-(1-INDEX(Ipotesi!$C$34:$G$34,1,F43))^(1/12))</f>
        <v>0.659067504365029</v>
      </c>
      <c r="AX43" s="15" t="n">
        <f aca="false">ROUND(INDEX(Ipotesi!$C$32:$G$32,1,F43)*Ipotesi!C8,0)</f>
        <v>186</v>
      </c>
      <c r="AY43" s="15" t="n">
        <f aca="false">MAX(0,(AX43-(AV43-AW43))/(13-E43))</f>
        <v>11.12647828833</v>
      </c>
      <c r="AZ43" s="15" t="n">
        <f aca="false">MIN(P43*Parametri_v3!$C$22,Q43*(1-Parametri_v3!$C$16)*Parametri_v3!$C$23)</f>
        <v>225</v>
      </c>
      <c r="BA43" s="15" t="n">
        <f aca="false">IF(OR(INDEX(Ipotesi!$C$35:$G$35,1,F43)&lt;=0,39-Parametri_v3!$C$21&lt;1),0,INDEX($AT$5:$AT$64,MAX(1,39-Parametri_v3!$C$21))/(INDEX(Ipotesi!$C$35:$G$35,1,F43)*Ipotesi!C27))</f>
        <v>4.32492361111111</v>
      </c>
      <c r="BB43" s="15" t="n">
        <f aca="false">IF(39-Parametri_v3!$C$21&lt;1,0,INDEX($AU$5:$AU$64,MAX(1,39-Parametri_v3!$C$21)))*Parametri_v3!$C$18*Parametri_v3!$C$19*Parametri_v3!$C$20</f>
        <v>10.5</v>
      </c>
      <c r="BC43" s="17" t="n">
        <f aca="false">MAX(0,MIN(AY43,BA43,BB43,MAX(0,AZ43-(AV43-AW43))))</f>
        <v>4.32492361111111</v>
      </c>
      <c r="BD43" s="17" t="n">
        <f aca="false">AV43-AW43+BC43</f>
        <v>79.0601407278116</v>
      </c>
      <c r="BE43" s="17" t="n">
        <f aca="false">(AV43+BD43)/2</f>
        <v>77.2272126744386</v>
      </c>
      <c r="BF43" s="15" t="n">
        <f aca="false">BE43*INDEX(Ipotesi!$C$33:$G$33,1,F43)*H43/12</f>
        <v>38613.6063372193</v>
      </c>
      <c r="BG43" s="15" t="n">
        <f aca="false">BD43*INDEX(Ipotesi!$C$33:$G$33,1,F43)*H43</f>
        <v>474360.84436687</v>
      </c>
      <c r="BH43" s="15" t="n">
        <f aca="false">AM43*INDEX(Ipotesi!$C$37:$G$37,1,F43)</f>
        <v>6906.25</v>
      </c>
      <c r="BI43" s="15" t="n">
        <f aca="false">AQ43+BF43+BH43</f>
        <v>94082.3563372193</v>
      </c>
      <c r="BJ43" s="15" t="n">
        <f aca="false">INDEX(Ipotesi!$C$68:$G$68,1,F43)*Ipotesi!$C$69/12</f>
        <v>3000</v>
      </c>
      <c r="BK43" s="15" t="n">
        <f aca="false">INDEX(Ipotesi!$C$68:$G$68,1,F43)*(1-Ipotesi!$C$69)/12</f>
        <v>4500</v>
      </c>
      <c r="BL43" s="15" t="n">
        <f aca="false">(AQ43+BF43)*Ipotesi!$C$67</f>
        <v>2615.28319011658</v>
      </c>
      <c r="BM43" s="15" t="n">
        <f aca="false">AM43*Ipotesi!$C$67</f>
        <v>2071.875</v>
      </c>
      <c r="BN43" s="15" t="n">
        <f aca="false">INDEX(Ipotesi!$C$72:$G$72,1,F43)/12*Ipotesi!C126+BF43*Ipotesi!$C$73</f>
        <v>4339.08850697754</v>
      </c>
      <c r="BO43" s="15" t="n">
        <f aca="false">INDEX(Ipotesi!$C$74:$G$74,1,F43)/12*Ipotesi!C126</f>
        <v>4166.66666666667</v>
      </c>
      <c r="BP43" s="15" t="n">
        <f aca="false">INDEX(Ipotesi!$C$76:$G$76,1,F43)/12</f>
        <v>1500</v>
      </c>
      <c r="BQ43" s="15" t="n">
        <f aca="false">INDEX(Ipotesi!$C$77:$G$77,1,F43)/12*Ipotesi!C126</f>
        <v>2083.33333333333</v>
      </c>
      <c r="BR43" s="15" t="n">
        <f aca="false">INDEX(Ipotesi!$C$78:$G$78,1,F43)/12</f>
        <v>2000</v>
      </c>
      <c r="BS43" s="15" t="n">
        <f aca="false">SUM(M43:R43)*(Ipotesi!$C$85+Ipotesi!$C$86)/12</f>
        <v>6125</v>
      </c>
      <c r="BT43" s="15" t="n">
        <f aca="false">BI43*Ipotesi!$C$87</f>
        <v>2822.47069011658</v>
      </c>
      <c r="BU43" s="15" t="n">
        <f aca="false">INDEX(Ipotesi!$C$55:$G$55,1,F43)*K43/12</f>
        <v>2000</v>
      </c>
      <c r="BV43" s="15" t="n">
        <f aca="false">INDEX(Ipotesi!$C$80:$G$80,1,F43)/12*Ipotesi!C126</f>
        <v>1666.66666666667</v>
      </c>
      <c r="BW43" s="15" t="n">
        <f aca="false">INDEX(Ipotesi!$C$82:$G$82,1,F43)/12</f>
        <v>1250</v>
      </c>
      <c r="BX43" s="15" t="n">
        <f aca="false">INDEX(Ipotesi!$C$83:$G$83,1,F43)/12</f>
        <v>750</v>
      </c>
      <c r="BY43" s="15" t="n">
        <f aca="false">SUM(S43:U43)*(Ipotesi!$C$85+Ipotesi!$C$86)/12</f>
        <v>2479.16666666667</v>
      </c>
      <c r="BZ43" s="15" t="n">
        <f aca="false">AM43*Ipotesi!$C$87</f>
        <v>2071.875</v>
      </c>
      <c r="CA43" s="15" t="n">
        <f aca="false">AB43+BJ43+BL43+BN43+BO43+AR43+BP43+BQ43+BR43+BS43+BT43</f>
        <v>153041.593012211</v>
      </c>
      <c r="CB43" s="15" t="n">
        <f aca="false">AC43+BK43+BM43+BH43+BU43+BV43+AS43+BW43+BX43+BY43+BZ43</f>
        <v>59191.5067083333</v>
      </c>
      <c r="CC43" s="15" t="n">
        <f aca="false">BI43-CA43</f>
        <v>-58959.2366749914</v>
      </c>
      <c r="CD43" s="15" t="n">
        <f aca="false">AM43-CB43</f>
        <v>9870.99329166667</v>
      </c>
      <c r="CE43" s="15" t="n">
        <f aca="false">INDEX(Ipotesi!$C$79:$G$79,1,F43)/12</f>
        <v>3333.33333333333</v>
      </c>
      <c r="CF43" s="15" t="n">
        <f aca="false">INDEX(Ipotesi!$C$84:$G$84,1,F43)/12</f>
        <v>666.666666666667</v>
      </c>
      <c r="CG43" s="15" t="n">
        <f aca="false">Y43*MAX(0,Parametri_v3!$C$12-IF(P43=0,0,MIN(1,BE43/(P43*Parametri_v3!$C$22))))+W43*Parametri_v3!$C$13+X43*Parametri_v3!$C$14</f>
        <v>32908.0558156625</v>
      </c>
      <c r="CH43" s="15" t="n">
        <f aca="false">AB43*Parametri_v3!$C$32</f>
        <v>4823.65419791667</v>
      </c>
      <c r="CI43" s="15" t="n">
        <f aca="false">AC43*Parametri_v3!$C$32</f>
        <v>1691.45033541667</v>
      </c>
      <c r="CJ43" s="15" t="n">
        <f aca="false">CA43-AB43</f>
        <v>56568.5090538774</v>
      </c>
      <c r="CK43" s="15" t="n">
        <f aca="false">CB43-AC43-BH43</f>
        <v>18456.25</v>
      </c>
      <c r="CL43" s="15" t="n">
        <f aca="false">BF43*Ipotesi!$C$73+INDEX(Ipotesi!$C$72:$G$72,1,F43)/12*Ipotesi!C126*Parametri_v3!$C$58+Z43*(1-Parametri_v3!$C$16)</f>
        <v>10485.6778819775</v>
      </c>
      <c r="CM43" s="16" t="n">
        <f aca="false">IF(BF43=0,0,1-CL43/BF43)</f>
        <v>0.728446035565694</v>
      </c>
    </row>
    <row r="44" customFormat="false" ht="18" hidden="false" customHeight="true" outlineLevel="0" collapsed="false">
      <c r="A44" s="68" t="n">
        <f aca="false">1</f>
        <v>1</v>
      </c>
      <c r="B44" s="68" t="n">
        <f aca="false">40</f>
        <v>40</v>
      </c>
      <c r="C44" s="18" t="n">
        <f aca="false">EDATE(Parametri_v3!$C$5,40-1)</f>
        <v>47574</v>
      </c>
      <c r="D44" s="68" t="n">
        <f aca="false">YEAR(C44)</f>
        <v>2030</v>
      </c>
      <c r="E44" s="68" t="n">
        <f aca="false">MONTH(C44)</f>
        <v>4</v>
      </c>
      <c r="F44" s="68" t="n">
        <f aca="false">INT((40-1)/12)+1</f>
        <v>4</v>
      </c>
      <c r="G44" s="15" t="n">
        <f aca="false">Ipotesi!C7</f>
        <v>0.75</v>
      </c>
      <c r="H44" s="15" t="n">
        <f aca="false">Ipotesi!C9</f>
        <v>1</v>
      </c>
      <c r="I44" s="15" t="n">
        <f aca="false">Ipotesi!C10</f>
        <v>1</v>
      </c>
      <c r="J44" s="15" t="n">
        <f aca="false">Ipotesi!C11</f>
        <v>1</v>
      </c>
      <c r="K44" s="15" t="n">
        <f aca="false">Ipotesi!C12</f>
        <v>1</v>
      </c>
      <c r="L44" s="15" t="n">
        <f aca="false">Ipotesi!C13</f>
        <v>90</v>
      </c>
      <c r="M44" s="17" t="n">
        <f aca="false">INDEX(Ipotesi!$C$40:$G$40,1,F44)</f>
        <v>1</v>
      </c>
      <c r="N44" s="17" t="n">
        <f aca="false">INDEX(Ipotesi!$C$41:$G$41,1,F44)</f>
        <v>1</v>
      </c>
      <c r="O44" s="17" t="n">
        <f aca="false">INDEX(Ipotesi!$C$42:$G$42,1,F44)*Ipotesi!C125</f>
        <v>6.5</v>
      </c>
      <c r="P44" s="17" t="n">
        <f aca="false">INDEX(Ipotesi!$C$43:$G$43,1,F44)*I44</f>
        <v>6</v>
      </c>
      <c r="Q44" s="17" t="n">
        <f aca="false">INDEX(Ipotesi!$C$44:$G$44,1,F44)*I44</f>
        <v>5</v>
      </c>
      <c r="R44" s="17" t="n">
        <f aca="false">INDEX(Ipotesi!$C$45:$G$45,1,F44)*I44</f>
        <v>1.5</v>
      </c>
      <c r="S44" s="17" t="n">
        <f aca="false">INDEX(Ipotesi!$C$52:$G$52,1,F44)*Ipotesi!C125</f>
        <v>7</v>
      </c>
      <c r="T44" s="17" t="n">
        <f aca="false">INDEX(Ipotesi!$C$53:$G$53,1,F44)*I44</f>
        <v>1</v>
      </c>
      <c r="U44" s="17" t="n">
        <f aca="false">INDEX(Ipotesi!$C$54:$G$54,1,F44)*I44</f>
        <v>0.5</v>
      </c>
      <c r="V44" s="15" t="n">
        <f aca="false">M44*INDEX(Ipotesi!$C$58:$G$58,1,F44)*K44/12</f>
        <v>7916.66666666667</v>
      </c>
      <c r="W44" s="15" t="n">
        <f aca="false">N44*Ipotesi!$C$59*(1+Ipotesi!$C$66)^(F44-1)/12</f>
        <v>6374.24083333333</v>
      </c>
      <c r="X44" s="15" t="n">
        <f aca="false">O44*Ipotesi!$C$60*(1+Ipotesi!$C$66)^(F44-1)/12</f>
        <v>29594.6895833333</v>
      </c>
      <c r="Y44" s="15" t="n">
        <f aca="false">P44*Ipotesi!$C$61*(1+Ipotesi!$C$66)^(F44-1)/12</f>
        <v>27318.175</v>
      </c>
      <c r="Z44" s="15" t="n">
        <f aca="false">Q44*Ipotesi!$C$62*(1+Ipotesi!$C$66)^(F44-1)/12</f>
        <v>20488.63125</v>
      </c>
      <c r="AA44" s="15" t="n">
        <f aca="false">R44*Ipotesi!$C$63*(1+Ipotesi!$C$66)^(F44-1)/12</f>
        <v>4780.680625</v>
      </c>
      <c r="AB44" s="15" t="n">
        <f aca="false">SUM(V44:AA44)</f>
        <v>96473.0839583333</v>
      </c>
      <c r="AC44" s="15" t="n">
        <f aca="false">(S44*Ipotesi!$C$64+T44*Ipotesi!$C$65+U44*Ipotesi!$C$63)*(1+Ipotesi!$C$66)^(F44-1)/12</f>
        <v>33829.0067083333</v>
      </c>
      <c r="AD44" s="15" t="n">
        <f aca="false">INDEX(Ipotesi!$C$48:$G$48,1,F44)*G44/12</f>
        <v>59.375</v>
      </c>
      <c r="AE44" s="15" t="n">
        <f aca="false">INDEX(Ipotesi!$C$50:$G$50,1,F44)*G44/12</f>
        <v>6.25</v>
      </c>
      <c r="AF44" s="15" t="n">
        <f aca="false">(S44*Parametri_v3!$C$7*Parametri_v3!$C$8+Parametri_v3!$C$10)/12</f>
        <v>89.8333333333333</v>
      </c>
      <c r="AG44" s="15" t="n">
        <f aca="false">AD44+AE44*(1+Parametri_v3!$C$9)</f>
        <v>68.75</v>
      </c>
      <c r="AH44" s="16" t="n">
        <f aca="false">IF(AG44=0,1,MIN(1,AF44/AG44))</f>
        <v>1</v>
      </c>
      <c r="AI44" s="15" t="n">
        <f aca="false">AD44*AH44</f>
        <v>59.375</v>
      </c>
      <c r="AJ44" s="15" t="n">
        <f aca="false">AE44*AH44</f>
        <v>6.25</v>
      </c>
      <c r="AK44" s="15" t="n">
        <f aca="false">AI44*INDEX(Ipotesi!$C$49:$G$49,1,F44)*H44</f>
        <v>53437.5</v>
      </c>
      <c r="AL44" s="15" t="n">
        <f aca="false">AJ44*INDEX(Ipotesi!$C$51:$G$51,1,F44)*H44</f>
        <v>15625</v>
      </c>
      <c r="AM44" s="15" t="n">
        <f aca="false">AK44+AL44</f>
        <v>69062.5</v>
      </c>
      <c r="AN44" s="15" t="n">
        <f aca="false">INDEX(Ipotesi!$C$30:$G$30,1,F44)*G44/12</f>
        <v>46.25</v>
      </c>
      <c r="AO44" s="15" t="n">
        <f aca="false">O44*Parametri_v3!$C$7*Parametri_v3!$C$11*(1-Parametri_v3!$C$14)/12</f>
        <v>66.7333333333333</v>
      </c>
      <c r="AP44" s="15" t="n">
        <f aca="false">MIN(AN44,AO44)</f>
        <v>46.25</v>
      </c>
      <c r="AQ44" s="15" t="n">
        <f aca="false">AP44*INDEX(Ipotesi!$C$31:$G$31,1,F44)*H44</f>
        <v>48562.5</v>
      </c>
      <c r="AR44" s="15" t="n">
        <f aca="false">INDEX(Ipotesi!$C$75:$G$75,1,F44)*J44/12</f>
        <v>27916.6666666667</v>
      </c>
      <c r="AS44" s="15" t="n">
        <f aca="false">INDEX(Ipotesi!$C$81:$G$81,1,F44)*J44/12</f>
        <v>1666.66666666667</v>
      </c>
      <c r="AT44" s="15" t="n">
        <f aca="false">AR44*Parametri_v3!$C$15+Z44*Parametri_v3!$C$16</f>
        <v>42258.7085416667</v>
      </c>
      <c r="AU44" s="15" t="n">
        <f aca="false">Q44*Parametri_v3!$C$16*Parametri_v3!$C$17</f>
        <v>350</v>
      </c>
      <c r="AV44" s="17" t="n">
        <f aca="false">BD43</f>
        <v>79.0601407278116</v>
      </c>
      <c r="AW44" s="17" t="n">
        <f aca="false">AV44*(1-(1-INDEX(Ipotesi!$C$34:$G$34,1,F44))^(1/12))</f>
        <v>0.691112992266103</v>
      </c>
      <c r="AX44" s="15" t="n">
        <f aca="false">ROUND(INDEX(Ipotesi!$C$32:$G$32,1,F44)*Ipotesi!C8,0)</f>
        <v>186</v>
      </c>
      <c r="AY44" s="15" t="n">
        <f aca="false">MAX(0,(AX44-(AV44-AW44))/(13-E44))</f>
        <v>11.9589969182727</v>
      </c>
      <c r="AZ44" s="15" t="n">
        <f aca="false">MIN(P44*Parametri_v3!$C$22,Q44*(1-Parametri_v3!$C$16)*Parametri_v3!$C$23)</f>
        <v>225</v>
      </c>
      <c r="BA44" s="15" t="n">
        <f aca="false">IF(OR(INDEX(Ipotesi!$C$35:$G$35,1,F44)&lt;=0,40-Parametri_v3!$C$21&lt;1),0,INDEX($AT$5:$AT$64,MAX(1,40-Parametri_v3!$C$21))/(INDEX(Ipotesi!$C$35:$G$35,1,F44)*Ipotesi!C27))</f>
        <v>5.86926507523148</v>
      </c>
      <c r="BB44" s="15" t="n">
        <f aca="false">IF(40-Parametri_v3!$C$21&lt;1,0,INDEX($AU$5:$AU$64,MAX(1,40-Parametri_v3!$C$21)))*Parametri_v3!$C$18*Parametri_v3!$C$19*Parametri_v3!$C$20</f>
        <v>13.125</v>
      </c>
      <c r="BC44" s="17" t="n">
        <f aca="false">MAX(0,MIN(AY44,BA44,BB44,MAX(0,AZ44-(AV44-AW44))))</f>
        <v>5.86926507523148</v>
      </c>
      <c r="BD44" s="17" t="n">
        <f aca="false">AV44-AW44+BC44</f>
        <v>84.238292810777</v>
      </c>
      <c r="BE44" s="17" t="n">
        <f aca="false">(AV44+BD44)/2</f>
        <v>81.6492167692943</v>
      </c>
      <c r="BF44" s="15" t="n">
        <f aca="false">BE44*INDEX(Ipotesi!$C$33:$G$33,1,F44)*H44/12</f>
        <v>40824.6083846472</v>
      </c>
      <c r="BG44" s="15" t="n">
        <f aca="false">BD44*INDEX(Ipotesi!$C$33:$G$33,1,F44)*H44</f>
        <v>505429.756864662</v>
      </c>
      <c r="BH44" s="15" t="n">
        <f aca="false">AM44*INDEX(Ipotesi!$C$37:$G$37,1,F44)</f>
        <v>6906.25</v>
      </c>
      <c r="BI44" s="15" t="n">
        <f aca="false">AQ44+BF44+BH44</f>
        <v>96293.3583846471</v>
      </c>
      <c r="BJ44" s="15" t="n">
        <f aca="false">INDEX(Ipotesi!$C$68:$G$68,1,F44)*Ipotesi!$C$69/12</f>
        <v>3000</v>
      </c>
      <c r="BK44" s="15" t="n">
        <f aca="false">INDEX(Ipotesi!$C$68:$G$68,1,F44)*(1-Ipotesi!$C$69)/12</f>
        <v>4500</v>
      </c>
      <c r="BL44" s="15" t="n">
        <f aca="false">(AQ44+BF44)*Ipotesi!$C$67</f>
        <v>2681.61325153941</v>
      </c>
      <c r="BM44" s="15" t="n">
        <f aca="false">AM44*Ipotesi!$C$67</f>
        <v>2071.875</v>
      </c>
      <c r="BN44" s="15" t="n">
        <f aca="false">INDEX(Ipotesi!$C$72:$G$72,1,F44)/12*Ipotesi!C126+BF44*Ipotesi!$C$73</f>
        <v>4515.96867077177</v>
      </c>
      <c r="BO44" s="15" t="n">
        <f aca="false">INDEX(Ipotesi!$C$74:$G$74,1,F44)/12*Ipotesi!C126</f>
        <v>4166.66666666667</v>
      </c>
      <c r="BP44" s="15" t="n">
        <f aca="false">INDEX(Ipotesi!$C$76:$G$76,1,F44)/12</f>
        <v>1500</v>
      </c>
      <c r="BQ44" s="15" t="n">
        <f aca="false">INDEX(Ipotesi!$C$77:$G$77,1,F44)/12*Ipotesi!C126</f>
        <v>2083.33333333333</v>
      </c>
      <c r="BR44" s="15" t="n">
        <f aca="false">INDEX(Ipotesi!$C$78:$G$78,1,F44)/12</f>
        <v>2000</v>
      </c>
      <c r="BS44" s="15" t="n">
        <f aca="false">SUM(M44:R44)*(Ipotesi!$C$85+Ipotesi!$C$86)/12</f>
        <v>6125</v>
      </c>
      <c r="BT44" s="15" t="n">
        <f aca="false">BI44*Ipotesi!$C$87</f>
        <v>2888.80075153941</v>
      </c>
      <c r="BU44" s="15" t="n">
        <f aca="false">INDEX(Ipotesi!$C$55:$G$55,1,F44)*K44/12</f>
        <v>2000</v>
      </c>
      <c r="BV44" s="15" t="n">
        <f aca="false">INDEX(Ipotesi!$C$80:$G$80,1,F44)/12*Ipotesi!C126</f>
        <v>1666.66666666667</v>
      </c>
      <c r="BW44" s="15" t="n">
        <f aca="false">INDEX(Ipotesi!$C$82:$G$82,1,F44)/12</f>
        <v>1250</v>
      </c>
      <c r="BX44" s="15" t="n">
        <f aca="false">INDEX(Ipotesi!$C$83:$G$83,1,F44)/12</f>
        <v>750</v>
      </c>
      <c r="BY44" s="15" t="n">
        <f aca="false">SUM(S44:U44)*(Ipotesi!$C$85+Ipotesi!$C$86)/12</f>
        <v>2479.16666666667</v>
      </c>
      <c r="BZ44" s="15" t="n">
        <f aca="false">AM44*Ipotesi!$C$87</f>
        <v>2071.875</v>
      </c>
      <c r="CA44" s="15" t="n">
        <f aca="false">AB44+BJ44+BL44+BN44+BO44+AR44+BP44+BQ44+BR44+BS44+BT44</f>
        <v>153351.133298851</v>
      </c>
      <c r="CB44" s="15" t="n">
        <f aca="false">AC44+BK44+BM44+BH44+BU44+BV44+AS44+BW44+BX44+BY44+BZ44</f>
        <v>59191.5067083333</v>
      </c>
      <c r="CC44" s="15" t="n">
        <f aca="false">BI44-CA44</f>
        <v>-57057.7749142035</v>
      </c>
      <c r="CD44" s="15" t="n">
        <f aca="false">AM44-CB44</f>
        <v>9870.99329166667</v>
      </c>
      <c r="CE44" s="15" t="n">
        <f aca="false">INDEX(Ipotesi!$C$79:$G$79,1,F44)/12</f>
        <v>3333.33333333333</v>
      </c>
      <c r="CF44" s="15" t="n">
        <f aca="false">INDEX(Ipotesi!$C$84:$G$84,1,F44)/12</f>
        <v>666.666666666667</v>
      </c>
      <c r="CG44" s="15" t="n">
        <f aca="false">Y44*MAX(0,Parametri_v3!$C$12-IF(P44=0,0,MIN(1,BE44/(P44*Parametri_v3!$C$22))))+W44*Parametri_v3!$C$13+X44*Parametri_v3!$C$14</f>
        <v>32706.7206794725</v>
      </c>
      <c r="CH44" s="15" t="n">
        <f aca="false">AB44*Parametri_v3!$C$32</f>
        <v>4823.65419791667</v>
      </c>
      <c r="CI44" s="15" t="n">
        <f aca="false">AC44*Parametri_v3!$C$32</f>
        <v>1691.45033541667</v>
      </c>
      <c r="CJ44" s="15" t="n">
        <f aca="false">CA44-AB44</f>
        <v>56878.0493405173</v>
      </c>
      <c r="CK44" s="15" t="n">
        <f aca="false">CB44-AC44-BH44</f>
        <v>18456.25</v>
      </c>
      <c r="CL44" s="15" t="n">
        <f aca="false">BF44*Ipotesi!$C$73+INDEX(Ipotesi!$C$72:$G$72,1,F44)/12*Ipotesi!C126*Parametri_v3!$C$58+Z44*(1-Parametri_v3!$C$16)</f>
        <v>10662.5580457718</v>
      </c>
      <c r="CM44" s="16" t="n">
        <f aca="false">IF(BF44=0,0,1-CL44/BF44)</f>
        <v>0.738820322651726</v>
      </c>
    </row>
    <row r="45" customFormat="false" ht="18" hidden="false" customHeight="true" outlineLevel="0" collapsed="false">
      <c r="A45" s="68" t="n">
        <f aca="false">1</f>
        <v>1</v>
      </c>
      <c r="B45" s="68" t="n">
        <f aca="false">41</f>
        <v>41</v>
      </c>
      <c r="C45" s="18" t="n">
        <f aca="false">EDATE(Parametri_v3!$C$5,41-1)</f>
        <v>47604</v>
      </c>
      <c r="D45" s="68" t="n">
        <f aca="false">YEAR(C45)</f>
        <v>2030</v>
      </c>
      <c r="E45" s="68" t="n">
        <f aca="false">MONTH(C45)</f>
        <v>5</v>
      </c>
      <c r="F45" s="68" t="n">
        <f aca="false">INT((41-1)/12)+1</f>
        <v>4</v>
      </c>
      <c r="G45" s="15" t="n">
        <f aca="false">Ipotesi!C7</f>
        <v>0.75</v>
      </c>
      <c r="H45" s="15" t="n">
        <f aca="false">Ipotesi!C9</f>
        <v>1</v>
      </c>
      <c r="I45" s="15" t="n">
        <f aca="false">Ipotesi!C10</f>
        <v>1</v>
      </c>
      <c r="J45" s="15" t="n">
        <f aca="false">Ipotesi!C11</f>
        <v>1</v>
      </c>
      <c r="K45" s="15" t="n">
        <f aca="false">Ipotesi!C12</f>
        <v>1</v>
      </c>
      <c r="L45" s="15" t="n">
        <f aca="false">Ipotesi!C13</f>
        <v>90</v>
      </c>
      <c r="M45" s="17" t="n">
        <f aca="false">INDEX(Ipotesi!$C$40:$G$40,1,F45)</f>
        <v>1</v>
      </c>
      <c r="N45" s="17" t="n">
        <f aca="false">INDEX(Ipotesi!$C$41:$G$41,1,F45)</f>
        <v>1</v>
      </c>
      <c r="O45" s="17" t="n">
        <f aca="false">INDEX(Ipotesi!$C$42:$G$42,1,F45)*Ipotesi!C125</f>
        <v>6.5</v>
      </c>
      <c r="P45" s="17" t="n">
        <f aca="false">INDEX(Ipotesi!$C$43:$G$43,1,F45)*I45</f>
        <v>6</v>
      </c>
      <c r="Q45" s="17" t="n">
        <f aca="false">INDEX(Ipotesi!$C$44:$G$44,1,F45)*I45</f>
        <v>5</v>
      </c>
      <c r="R45" s="17" t="n">
        <f aca="false">INDEX(Ipotesi!$C$45:$G$45,1,F45)*I45</f>
        <v>1.5</v>
      </c>
      <c r="S45" s="17" t="n">
        <f aca="false">INDEX(Ipotesi!$C$52:$G$52,1,F45)*Ipotesi!C125</f>
        <v>7</v>
      </c>
      <c r="T45" s="17" t="n">
        <f aca="false">INDEX(Ipotesi!$C$53:$G$53,1,F45)*I45</f>
        <v>1</v>
      </c>
      <c r="U45" s="17" t="n">
        <f aca="false">INDEX(Ipotesi!$C$54:$G$54,1,F45)*I45</f>
        <v>0.5</v>
      </c>
      <c r="V45" s="15" t="n">
        <f aca="false">M45*INDEX(Ipotesi!$C$58:$G$58,1,F45)*K45/12</f>
        <v>7916.66666666667</v>
      </c>
      <c r="W45" s="15" t="n">
        <f aca="false">N45*Ipotesi!$C$59*(1+Ipotesi!$C$66)^(F45-1)/12</f>
        <v>6374.24083333333</v>
      </c>
      <c r="X45" s="15" t="n">
        <f aca="false">O45*Ipotesi!$C$60*(1+Ipotesi!$C$66)^(F45-1)/12</f>
        <v>29594.6895833333</v>
      </c>
      <c r="Y45" s="15" t="n">
        <f aca="false">P45*Ipotesi!$C$61*(1+Ipotesi!$C$66)^(F45-1)/12</f>
        <v>27318.175</v>
      </c>
      <c r="Z45" s="15" t="n">
        <f aca="false">Q45*Ipotesi!$C$62*(1+Ipotesi!$C$66)^(F45-1)/12</f>
        <v>20488.63125</v>
      </c>
      <c r="AA45" s="15" t="n">
        <f aca="false">R45*Ipotesi!$C$63*(1+Ipotesi!$C$66)^(F45-1)/12</f>
        <v>4780.680625</v>
      </c>
      <c r="AB45" s="15" t="n">
        <f aca="false">SUM(V45:AA45)</f>
        <v>96473.0839583333</v>
      </c>
      <c r="AC45" s="15" t="n">
        <f aca="false">(S45*Ipotesi!$C$64+T45*Ipotesi!$C$65+U45*Ipotesi!$C$63)*(1+Ipotesi!$C$66)^(F45-1)/12</f>
        <v>33829.0067083333</v>
      </c>
      <c r="AD45" s="15" t="n">
        <f aca="false">INDEX(Ipotesi!$C$48:$G$48,1,F45)*G45/12</f>
        <v>59.375</v>
      </c>
      <c r="AE45" s="15" t="n">
        <f aca="false">INDEX(Ipotesi!$C$50:$G$50,1,F45)*G45/12</f>
        <v>6.25</v>
      </c>
      <c r="AF45" s="15" t="n">
        <f aca="false">(S45*Parametri_v3!$C$7*Parametri_v3!$C$8+Parametri_v3!$C$10)/12</f>
        <v>89.8333333333333</v>
      </c>
      <c r="AG45" s="15" t="n">
        <f aca="false">AD45+AE45*(1+Parametri_v3!$C$9)</f>
        <v>68.75</v>
      </c>
      <c r="AH45" s="16" t="n">
        <f aca="false">IF(AG45=0,1,MIN(1,AF45/AG45))</f>
        <v>1</v>
      </c>
      <c r="AI45" s="15" t="n">
        <f aca="false">AD45*AH45</f>
        <v>59.375</v>
      </c>
      <c r="AJ45" s="15" t="n">
        <f aca="false">AE45*AH45</f>
        <v>6.25</v>
      </c>
      <c r="AK45" s="15" t="n">
        <f aca="false">AI45*INDEX(Ipotesi!$C$49:$G$49,1,F45)*H45</f>
        <v>53437.5</v>
      </c>
      <c r="AL45" s="15" t="n">
        <f aca="false">AJ45*INDEX(Ipotesi!$C$51:$G$51,1,F45)*H45</f>
        <v>15625</v>
      </c>
      <c r="AM45" s="15" t="n">
        <f aca="false">AK45+AL45</f>
        <v>69062.5</v>
      </c>
      <c r="AN45" s="15" t="n">
        <f aca="false">INDEX(Ipotesi!$C$30:$G$30,1,F45)*G45/12</f>
        <v>46.25</v>
      </c>
      <c r="AO45" s="15" t="n">
        <f aca="false">O45*Parametri_v3!$C$7*Parametri_v3!$C$11*(1-Parametri_v3!$C$14)/12</f>
        <v>66.7333333333333</v>
      </c>
      <c r="AP45" s="15" t="n">
        <f aca="false">MIN(AN45,AO45)</f>
        <v>46.25</v>
      </c>
      <c r="AQ45" s="15" t="n">
        <f aca="false">AP45*INDEX(Ipotesi!$C$31:$G$31,1,F45)*H45</f>
        <v>48562.5</v>
      </c>
      <c r="AR45" s="15" t="n">
        <f aca="false">INDEX(Ipotesi!$C$75:$G$75,1,F45)*J45/12</f>
        <v>27916.6666666667</v>
      </c>
      <c r="AS45" s="15" t="n">
        <f aca="false">INDEX(Ipotesi!$C$81:$G$81,1,F45)*J45/12</f>
        <v>1666.66666666667</v>
      </c>
      <c r="AT45" s="15" t="n">
        <f aca="false">AR45*Parametri_v3!$C$15+Z45*Parametri_v3!$C$16</f>
        <v>42258.7085416667</v>
      </c>
      <c r="AU45" s="15" t="n">
        <f aca="false">Q45*Parametri_v3!$C$16*Parametri_v3!$C$17</f>
        <v>350</v>
      </c>
      <c r="AV45" s="17" t="n">
        <f aca="false">BD44</f>
        <v>84.238292810777</v>
      </c>
      <c r="AW45" s="17" t="n">
        <f aca="false">AV45*(1-(1-INDEX(Ipotesi!$C$34:$G$34,1,F45))^(1/12))</f>
        <v>0.736378383239638</v>
      </c>
      <c r="AX45" s="15" t="n">
        <f aca="false">ROUND(INDEX(Ipotesi!$C$32:$G$32,1,F45)*Ipotesi!C8,0)</f>
        <v>186</v>
      </c>
      <c r="AY45" s="15" t="n">
        <f aca="false">MAX(0,(AX45-(AV45-AW45))/(13-E45))</f>
        <v>12.8122606965578</v>
      </c>
      <c r="AZ45" s="15" t="n">
        <f aca="false">MIN(P45*Parametri_v3!$C$22,Q45*(1-Parametri_v3!$C$16)*Parametri_v3!$C$23)</f>
        <v>225</v>
      </c>
      <c r="BA45" s="15" t="n">
        <f aca="false">IF(OR(INDEX(Ipotesi!$C$35:$G$35,1,F45)&lt;=0,41-Parametri_v3!$C$21&lt;1),0,INDEX($AT$5:$AT$64,MAX(1,41-Parametri_v3!$C$21))/(INDEX(Ipotesi!$C$35:$G$35,1,F45)*Ipotesi!C27))</f>
        <v>5.86926507523148</v>
      </c>
      <c r="BB45" s="15" t="n">
        <f aca="false">IF(41-Parametri_v3!$C$21&lt;1,0,INDEX($AU$5:$AU$64,MAX(1,41-Parametri_v3!$C$21)))*Parametri_v3!$C$18*Parametri_v3!$C$19*Parametri_v3!$C$20</f>
        <v>13.125</v>
      </c>
      <c r="BC45" s="17" t="n">
        <f aca="false">MAX(0,MIN(AY45,BA45,BB45,MAX(0,AZ45-(AV45-AW45))))</f>
        <v>5.86926507523148</v>
      </c>
      <c r="BD45" s="17" t="n">
        <f aca="false">AV45-AW45+BC45</f>
        <v>89.3711795027688</v>
      </c>
      <c r="BE45" s="17" t="n">
        <f aca="false">(AV45+BD45)/2</f>
        <v>86.8047361567729</v>
      </c>
      <c r="BF45" s="15" t="n">
        <f aca="false">BE45*INDEX(Ipotesi!$C$33:$G$33,1,F45)*H45/12</f>
        <v>43402.3680783865</v>
      </c>
      <c r="BG45" s="15" t="n">
        <f aca="false">BD45*INDEX(Ipotesi!$C$33:$G$33,1,F45)*H45</f>
        <v>536227.077016613</v>
      </c>
      <c r="BH45" s="15" t="n">
        <f aca="false">AM45*INDEX(Ipotesi!$C$37:$G$37,1,F45)</f>
        <v>6906.25</v>
      </c>
      <c r="BI45" s="15" t="n">
        <f aca="false">AQ45+BF45+BH45</f>
        <v>98871.1180783865</v>
      </c>
      <c r="BJ45" s="15" t="n">
        <f aca="false">INDEX(Ipotesi!$C$68:$G$68,1,F45)*Ipotesi!$C$69/12</f>
        <v>3000</v>
      </c>
      <c r="BK45" s="15" t="n">
        <f aca="false">INDEX(Ipotesi!$C$68:$G$68,1,F45)*(1-Ipotesi!$C$69)/12</f>
        <v>4500</v>
      </c>
      <c r="BL45" s="15" t="n">
        <f aca="false">(AQ45+BF45)*Ipotesi!$C$67</f>
        <v>2758.94604235159</v>
      </c>
      <c r="BM45" s="15" t="n">
        <f aca="false">AM45*Ipotesi!$C$67</f>
        <v>2071.875</v>
      </c>
      <c r="BN45" s="15" t="n">
        <f aca="false">INDEX(Ipotesi!$C$72:$G$72,1,F45)/12*Ipotesi!C126+BF45*Ipotesi!$C$73</f>
        <v>4722.18944627092</v>
      </c>
      <c r="BO45" s="15" t="n">
        <f aca="false">INDEX(Ipotesi!$C$74:$G$74,1,F45)/12*Ipotesi!C126</f>
        <v>4166.66666666667</v>
      </c>
      <c r="BP45" s="15" t="n">
        <f aca="false">INDEX(Ipotesi!$C$76:$G$76,1,F45)/12</f>
        <v>1500</v>
      </c>
      <c r="BQ45" s="15" t="n">
        <f aca="false">INDEX(Ipotesi!$C$77:$G$77,1,F45)/12*Ipotesi!C126</f>
        <v>2083.33333333333</v>
      </c>
      <c r="BR45" s="15" t="n">
        <f aca="false">INDEX(Ipotesi!$C$78:$G$78,1,F45)/12</f>
        <v>2000</v>
      </c>
      <c r="BS45" s="15" t="n">
        <f aca="false">SUM(M45:R45)*(Ipotesi!$C$85+Ipotesi!$C$86)/12</f>
        <v>6125</v>
      </c>
      <c r="BT45" s="15" t="n">
        <f aca="false">BI45*Ipotesi!$C$87</f>
        <v>2966.13354235159</v>
      </c>
      <c r="BU45" s="15" t="n">
        <f aca="false">INDEX(Ipotesi!$C$55:$G$55,1,F45)*K45/12</f>
        <v>2000</v>
      </c>
      <c r="BV45" s="15" t="n">
        <f aca="false">INDEX(Ipotesi!$C$80:$G$80,1,F45)/12*Ipotesi!C126</f>
        <v>1666.66666666667</v>
      </c>
      <c r="BW45" s="15" t="n">
        <f aca="false">INDEX(Ipotesi!$C$82:$G$82,1,F45)/12</f>
        <v>1250</v>
      </c>
      <c r="BX45" s="15" t="n">
        <f aca="false">INDEX(Ipotesi!$C$83:$G$83,1,F45)/12</f>
        <v>750</v>
      </c>
      <c r="BY45" s="15" t="n">
        <f aca="false">SUM(S45:U45)*(Ipotesi!$C$85+Ipotesi!$C$86)/12</f>
        <v>2479.16666666667</v>
      </c>
      <c r="BZ45" s="15" t="n">
        <f aca="false">AM45*Ipotesi!$C$87</f>
        <v>2071.875</v>
      </c>
      <c r="CA45" s="15" t="n">
        <f aca="false">AB45+BJ45+BL45+BN45+BO45+AR45+BP45+BQ45+BR45+BS45+BT45</f>
        <v>153712.019655974</v>
      </c>
      <c r="CB45" s="15" t="n">
        <f aca="false">AC45+BK45+BM45+BH45+BU45+BV45+AS45+BW45+BX45+BY45+BZ45</f>
        <v>59191.5067083333</v>
      </c>
      <c r="CC45" s="15" t="n">
        <f aca="false">BI45-CA45</f>
        <v>-54840.9015775877</v>
      </c>
      <c r="CD45" s="15" t="n">
        <f aca="false">AM45-CB45</f>
        <v>9870.99329166667</v>
      </c>
      <c r="CE45" s="15" t="n">
        <f aca="false">INDEX(Ipotesi!$C$79:$G$79,1,F45)/12</f>
        <v>3333.33333333333</v>
      </c>
      <c r="CF45" s="15" t="n">
        <f aca="false">INDEX(Ipotesi!$C$84:$G$84,1,F45)/12</f>
        <v>666.666666666667</v>
      </c>
      <c r="CG45" s="15" t="n">
        <f aca="false">Y45*MAX(0,Parametri_v3!$C$12-IF(P45=0,0,MIN(1,BE45/(P45*Parametri_v3!$C$22))))+W45*Parametri_v3!$C$13+X45*Parametri_v3!$C$14</f>
        <v>32471.9883780674</v>
      </c>
      <c r="CH45" s="15" t="n">
        <f aca="false">AB45*Parametri_v3!$C$32</f>
        <v>4823.65419791667</v>
      </c>
      <c r="CI45" s="15" t="n">
        <f aca="false">AC45*Parametri_v3!$C$32</f>
        <v>1691.45033541667</v>
      </c>
      <c r="CJ45" s="15" t="n">
        <f aca="false">CA45-AB45</f>
        <v>57238.9356976408</v>
      </c>
      <c r="CK45" s="15" t="n">
        <f aca="false">CB45-AC45-BH45</f>
        <v>18456.25</v>
      </c>
      <c r="CL45" s="15" t="n">
        <f aca="false">BF45*Ipotesi!$C$73+INDEX(Ipotesi!$C$72:$G$72,1,F45)/12*Ipotesi!C126*Parametri_v3!$C$58+Z45*(1-Parametri_v3!$C$16)</f>
        <v>10868.7788212709</v>
      </c>
      <c r="CM45" s="16" t="n">
        <f aca="false">IF(BF45=0,0,1-CL45/BF45)</f>
        <v>0.749580972134021</v>
      </c>
    </row>
    <row r="46" customFormat="false" ht="18" hidden="false" customHeight="true" outlineLevel="0" collapsed="false">
      <c r="A46" s="68" t="n">
        <f aca="false">1</f>
        <v>1</v>
      </c>
      <c r="B46" s="68" t="n">
        <f aca="false">42</f>
        <v>42</v>
      </c>
      <c r="C46" s="18" t="n">
        <f aca="false">EDATE(Parametri_v3!$C$5,42-1)</f>
        <v>47635</v>
      </c>
      <c r="D46" s="68" t="n">
        <f aca="false">YEAR(C46)</f>
        <v>2030</v>
      </c>
      <c r="E46" s="68" t="n">
        <f aca="false">MONTH(C46)</f>
        <v>6</v>
      </c>
      <c r="F46" s="68" t="n">
        <f aca="false">INT((42-1)/12)+1</f>
        <v>4</v>
      </c>
      <c r="G46" s="15" t="n">
        <f aca="false">Ipotesi!C7</f>
        <v>0.75</v>
      </c>
      <c r="H46" s="15" t="n">
        <f aca="false">Ipotesi!C9</f>
        <v>1</v>
      </c>
      <c r="I46" s="15" t="n">
        <f aca="false">Ipotesi!C10</f>
        <v>1</v>
      </c>
      <c r="J46" s="15" t="n">
        <f aca="false">Ipotesi!C11</f>
        <v>1</v>
      </c>
      <c r="K46" s="15" t="n">
        <f aca="false">Ipotesi!C12</f>
        <v>1</v>
      </c>
      <c r="L46" s="15" t="n">
        <f aca="false">Ipotesi!C13</f>
        <v>90</v>
      </c>
      <c r="M46" s="17" t="n">
        <f aca="false">INDEX(Ipotesi!$C$40:$G$40,1,F46)</f>
        <v>1</v>
      </c>
      <c r="N46" s="17" t="n">
        <f aca="false">INDEX(Ipotesi!$C$41:$G$41,1,F46)</f>
        <v>1</v>
      </c>
      <c r="O46" s="17" t="n">
        <f aca="false">INDEX(Ipotesi!$C$42:$G$42,1,F46)*Ipotesi!C125</f>
        <v>6.5</v>
      </c>
      <c r="P46" s="17" t="n">
        <f aca="false">INDEX(Ipotesi!$C$43:$G$43,1,F46)*I46</f>
        <v>6</v>
      </c>
      <c r="Q46" s="17" t="n">
        <f aca="false">INDEX(Ipotesi!$C$44:$G$44,1,F46)*I46</f>
        <v>5</v>
      </c>
      <c r="R46" s="17" t="n">
        <f aca="false">INDEX(Ipotesi!$C$45:$G$45,1,F46)*I46</f>
        <v>1.5</v>
      </c>
      <c r="S46" s="17" t="n">
        <f aca="false">INDEX(Ipotesi!$C$52:$G$52,1,F46)*Ipotesi!C125</f>
        <v>7</v>
      </c>
      <c r="T46" s="17" t="n">
        <f aca="false">INDEX(Ipotesi!$C$53:$G$53,1,F46)*I46</f>
        <v>1</v>
      </c>
      <c r="U46" s="17" t="n">
        <f aca="false">INDEX(Ipotesi!$C$54:$G$54,1,F46)*I46</f>
        <v>0.5</v>
      </c>
      <c r="V46" s="15" t="n">
        <f aca="false">M46*INDEX(Ipotesi!$C$58:$G$58,1,F46)*K46/12</f>
        <v>7916.66666666667</v>
      </c>
      <c r="W46" s="15" t="n">
        <f aca="false">N46*Ipotesi!$C$59*(1+Ipotesi!$C$66)^(F46-1)/12</f>
        <v>6374.24083333333</v>
      </c>
      <c r="X46" s="15" t="n">
        <f aca="false">O46*Ipotesi!$C$60*(1+Ipotesi!$C$66)^(F46-1)/12</f>
        <v>29594.6895833333</v>
      </c>
      <c r="Y46" s="15" t="n">
        <f aca="false">P46*Ipotesi!$C$61*(1+Ipotesi!$C$66)^(F46-1)/12</f>
        <v>27318.175</v>
      </c>
      <c r="Z46" s="15" t="n">
        <f aca="false">Q46*Ipotesi!$C$62*(1+Ipotesi!$C$66)^(F46-1)/12</f>
        <v>20488.63125</v>
      </c>
      <c r="AA46" s="15" t="n">
        <f aca="false">R46*Ipotesi!$C$63*(1+Ipotesi!$C$66)^(F46-1)/12</f>
        <v>4780.680625</v>
      </c>
      <c r="AB46" s="15" t="n">
        <f aca="false">SUM(V46:AA46)</f>
        <v>96473.0839583333</v>
      </c>
      <c r="AC46" s="15" t="n">
        <f aca="false">(S46*Ipotesi!$C$64+T46*Ipotesi!$C$65+U46*Ipotesi!$C$63)*(1+Ipotesi!$C$66)^(F46-1)/12</f>
        <v>33829.0067083333</v>
      </c>
      <c r="AD46" s="15" t="n">
        <f aca="false">INDEX(Ipotesi!$C$48:$G$48,1,F46)*G46/12</f>
        <v>59.375</v>
      </c>
      <c r="AE46" s="15" t="n">
        <f aca="false">INDEX(Ipotesi!$C$50:$G$50,1,F46)*G46/12</f>
        <v>6.25</v>
      </c>
      <c r="AF46" s="15" t="n">
        <f aca="false">(S46*Parametri_v3!$C$7*Parametri_v3!$C$8+Parametri_v3!$C$10)/12</f>
        <v>89.8333333333333</v>
      </c>
      <c r="AG46" s="15" t="n">
        <f aca="false">AD46+AE46*(1+Parametri_v3!$C$9)</f>
        <v>68.75</v>
      </c>
      <c r="AH46" s="16" t="n">
        <f aca="false">IF(AG46=0,1,MIN(1,AF46/AG46))</f>
        <v>1</v>
      </c>
      <c r="AI46" s="15" t="n">
        <f aca="false">AD46*AH46</f>
        <v>59.375</v>
      </c>
      <c r="AJ46" s="15" t="n">
        <f aca="false">AE46*AH46</f>
        <v>6.25</v>
      </c>
      <c r="AK46" s="15" t="n">
        <f aca="false">AI46*INDEX(Ipotesi!$C$49:$G$49,1,F46)*H46</f>
        <v>53437.5</v>
      </c>
      <c r="AL46" s="15" t="n">
        <f aca="false">AJ46*INDEX(Ipotesi!$C$51:$G$51,1,F46)*H46</f>
        <v>15625</v>
      </c>
      <c r="AM46" s="15" t="n">
        <f aca="false">AK46+AL46</f>
        <v>69062.5</v>
      </c>
      <c r="AN46" s="15" t="n">
        <f aca="false">INDEX(Ipotesi!$C$30:$G$30,1,F46)*G46/12</f>
        <v>46.25</v>
      </c>
      <c r="AO46" s="15" t="n">
        <f aca="false">O46*Parametri_v3!$C$7*Parametri_v3!$C$11*(1-Parametri_v3!$C$14)/12</f>
        <v>66.7333333333333</v>
      </c>
      <c r="AP46" s="15" t="n">
        <f aca="false">MIN(AN46,AO46)</f>
        <v>46.25</v>
      </c>
      <c r="AQ46" s="15" t="n">
        <f aca="false">AP46*INDEX(Ipotesi!$C$31:$G$31,1,F46)*H46</f>
        <v>48562.5</v>
      </c>
      <c r="AR46" s="15" t="n">
        <f aca="false">INDEX(Ipotesi!$C$75:$G$75,1,F46)*J46/12</f>
        <v>27916.6666666667</v>
      </c>
      <c r="AS46" s="15" t="n">
        <f aca="false">INDEX(Ipotesi!$C$81:$G$81,1,F46)*J46/12</f>
        <v>1666.66666666667</v>
      </c>
      <c r="AT46" s="15" t="n">
        <f aca="false">AR46*Parametri_v3!$C$15+Z46*Parametri_v3!$C$16</f>
        <v>42258.7085416667</v>
      </c>
      <c r="AU46" s="15" t="n">
        <f aca="false">Q46*Parametri_v3!$C$16*Parametri_v3!$C$17</f>
        <v>350</v>
      </c>
      <c r="AV46" s="17" t="n">
        <f aca="false">BD45</f>
        <v>89.3711795027688</v>
      </c>
      <c r="AW46" s="17" t="n">
        <f aca="false">AV46*(1-(1-INDEX(Ipotesi!$C$34:$G$34,1,F46))^(1/12))</f>
        <v>0.781248081775571</v>
      </c>
      <c r="AX46" s="15" t="n">
        <f aca="false">ROUND(INDEX(Ipotesi!$C$32:$G$32,1,F46)*Ipotesi!C8,0)</f>
        <v>186</v>
      </c>
      <c r="AY46" s="15" t="n">
        <f aca="false">MAX(0,(AX46-(AV46-AW46))/(13-E46))</f>
        <v>13.9157240827152</v>
      </c>
      <c r="AZ46" s="15" t="n">
        <f aca="false">MIN(P46*Parametri_v3!$C$22,Q46*(1-Parametri_v3!$C$16)*Parametri_v3!$C$23)</f>
        <v>225</v>
      </c>
      <c r="BA46" s="15" t="n">
        <f aca="false">IF(OR(INDEX(Ipotesi!$C$35:$G$35,1,F46)&lt;=0,42-Parametri_v3!$C$21&lt;1),0,INDEX($AT$5:$AT$64,MAX(1,42-Parametri_v3!$C$21))/(INDEX(Ipotesi!$C$35:$G$35,1,F46)*Ipotesi!C27))</f>
        <v>5.86926507523148</v>
      </c>
      <c r="BB46" s="15" t="n">
        <f aca="false">IF(42-Parametri_v3!$C$21&lt;1,0,INDEX($AU$5:$AU$64,MAX(1,42-Parametri_v3!$C$21)))*Parametri_v3!$C$18*Parametri_v3!$C$19*Parametri_v3!$C$20</f>
        <v>13.125</v>
      </c>
      <c r="BC46" s="17" t="n">
        <f aca="false">MAX(0,MIN(AY46,BA46,BB46,MAX(0,AZ46-(AV46-AW46))))</f>
        <v>5.86926507523148</v>
      </c>
      <c r="BD46" s="17" t="n">
        <f aca="false">AV46-AW46+BC46</f>
        <v>94.4591964962248</v>
      </c>
      <c r="BE46" s="17" t="n">
        <f aca="false">(AV46+BD46)/2</f>
        <v>91.9151879994968</v>
      </c>
      <c r="BF46" s="15" t="n">
        <f aca="false">BE46*INDEX(Ipotesi!$C$33:$G$33,1,F46)*H46/12</f>
        <v>45957.5939997484</v>
      </c>
      <c r="BG46" s="15" t="n">
        <f aca="false">BD46*INDEX(Ipotesi!$C$33:$G$33,1,F46)*H46</f>
        <v>566755.178977349</v>
      </c>
      <c r="BH46" s="15" t="n">
        <f aca="false">AM46*INDEX(Ipotesi!$C$37:$G$37,1,F46)</f>
        <v>6906.25</v>
      </c>
      <c r="BI46" s="15" t="n">
        <f aca="false">AQ46+BF46+BH46</f>
        <v>101426.343999748</v>
      </c>
      <c r="BJ46" s="15" t="n">
        <f aca="false">INDEX(Ipotesi!$C$68:$G$68,1,F46)*Ipotesi!$C$69/12</f>
        <v>3000</v>
      </c>
      <c r="BK46" s="15" t="n">
        <f aca="false">INDEX(Ipotesi!$C$68:$G$68,1,F46)*(1-Ipotesi!$C$69)/12</f>
        <v>4500</v>
      </c>
      <c r="BL46" s="15" t="n">
        <f aca="false">(AQ46+BF46)*Ipotesi!$C$67</f>
        <v>2835.60281999245</v>
      </c>
      <c r="BM46" s="15" t="n">
        <f aca="false">AM46*Ipotesi!$C$67</f>
        <v>2071.875</v>
      </c>
      <c r="BN46" s="15" t="n">
        <f aca="false">INDEX(Ipotesi!$C$72:$G$72,1,F46)/12*Ipotesi!C126+BF46*Ipotesi!$C$73</f>
        <v>4926.60751997987</v>
      </c>
      <c r="BO46" s="15" t="n">
        <f aca="false">INDEX(Ipotesi!$C$74:$G$74,1,F46)/12*Ipotesi!C126</f>
        <v>4166.66666666667</v>
      </c>
      <c r="BP46" s="15" t="n">
        <f aca="false">INDEX(Ipotesi!$C$76:$G$76,1,F46)/12</f>
        <v>1500</v>
      </c>
      <c r="BQ46" s="15" t="n">
        <f aca="false">INDEX(Ipotesi!$C$77:$G$77,1,F46)/12*Ipotesi!C126</f>
        <v>2083.33333333333</v>
      </c>
      <c r="BR46" s="15" t="n">
        <f aca="false">INDEX(Ipotesi!$C$78:$G$78,1,F46)/12</f>
        <v>2000</v>
      </c>
      <c r="BS46" s="15" t="n">
        <f aca="false">SUM(M46:R46)*(Ipotesi!$C$85+Ipotesi!$C$86)/12</f>
        <v>6125</v>
      </c>
      <c r="BT46" s="15" t="n">
        <f aca="false">BI46*Ipotesi!$C$87</f>
        <v>3042.79031999245</v>
      </c>
      <c r="BU46" s="15" t="n">
        <f aca="false">INDEX(Ipotesi!$C$55:$G$55,1,F46)*K46/12</f>
        <v>2000</v>
      </c>
      <c r="BV46" s="15" t="n">
        <f aca="false">INDEX(Ipotesi!$C$80:$G$80,1,F46)/12*Ipotesi!C126</f>
        <v>1666.66666666667</v>
      </c>
      <c r="BW46" s="15" t="n">
        <f aca="false">INDEX(Ipotesi!$C$82:$G$82,1,F46)/12</f>
        <v>1250</v>
      </c>
      <c r="BX46" s="15" t="n">
        <f aca="false">INDEX(Ipotesi!$C$83:$G$83,1,F46)/12</f>
        <v>750</v>
      </c>
      <c r="BY46" s="15" t="n">
        <f aca="false">SUM(S46:U46)*(Ipotesi!$C$85+Ipotesi!$C$86)/12</f>
        <v>2479.16666666667</v>
      </c>
      <c r="BZ46" s="15" t="n">
        <f aca="false">AM46*Ipotesi!$C$87</f>
        <v>2071.875</v>
      </c>
      <c r="CA46" s="15" t="n">
        <f aca="false">AB46+BJ46+BL46+BN46+BO46+AR46+BP46+BQ46+BR46+BS46+BT46</f>
        <v>154069.751284965</v>
      </c>
      <c r="CB46" s="15" t="n">
        <f aca="false">AC46+BK46+BM46+BH46+BU46+BV46+AS46+BW46+BX46+BY46+BZ46</f>
        <v>59191.5067083333</v>
      </c>
      <c r="CC46" s="15" t="n">
        <f aca="false">BI46-CA46</f>
        <v>-52643.4072852164</v>
      </c>
      <c r="CD46" s="15" t="n">
        <f aca="false">AM46-CB46</f>
        <v>9870.99329166667</v>
      </c>
      <c r="CE46" s="15" t="n">
        <f aca="false">INDEX(Ipotesi!$C$79:$G$79,1,F46)/12</f>
        <v>3333.33333333333</v>
      </c>
      <c r="CF46" s="15" t="n">
        <f aca="false">INDEX(Ipotesi!$C$84:$G$84,1,F46)/12</f>
        <v>666.666666666667</v>
      </c>
      <c r="CG46" s="15" t="n">
        <f aca="false">Y46*MAX(0,Parametri_v3!$C$12-IF(P46=0,0,MIN(1,BE46/(P46*Parametri_v3!$C$22))))+W46*Parametri_v3!$C$13+X46*Parametri_v3!$C$14</f>
        <v>32239.3080151197</v>
      </c>
      <c r="CH46" s="15" t="n">
        <f aca="false">AB46*Parametri_v3!$C$32</f>
        <v>4823.65419791667</v>
      </c>
      <c r="CI46" s="15" t="n">
        <f aca="false">AC46*Parametri_v3!$C$32</f>
        <v>1691.45033541667</v>
      </c>
      <c r="CJ46" s="15" t="n">
        <f aca="false">CA46-AB46</f>
        <v>57596.6673266315</v>
      </c>
      <c r="CK46" s="15" t="n">
        <f aca="false">CB46-AC46-BH46</f>
        <v>18456.25</v>
      </c>
      <c r="CL46" s="15" t="n">
        <f aca="false">BF46*Ipotesi!$C$73+INDEX(Ipotesi!$C$72:$G$72,1,F46)/12*Ipotesi!C126*Parametri_v3!$C$58+Z46*(1-Parametri_v3!$C$16)</f>
        <v>11073.1968949799</v>
      </c>
      <c r="CM46" s="16" t="n">
        <f aca="false">IF(BF46=0,0,1-CL46/BF46)</f>
        <v>0.759056209621407</v>
      </c>
    </row>
    <row r="47" customFormat="false" ht="18" hidden="false" customHeight="true" outlineLevel="0" collapsed="false">
      <c r="A47" s="68" t="n">
        <f aca="false">1</f>
        <v>1</v>
      </c>
      <c r="B47" s="68" t="n">
        <f aca="false">43</f>
        <v>43</v>
      </c>
      <c r="C47" s="18" t="n">
        <f aca="false">EDATE(Parametri_v3!$C$5,43-1)</f>
        <v>47665</v>
      </c>
      <c r="D47" s="68" t="n">
        <f aca="false">YEAR(C47)</f>
        <v>2030</v>
      </c>
      <c r="E47" s="68" t="n">
        <f aca="false">MONTH(C47)</f>
        <v>7</v>
      </c>
      <c r="F47" s="68" t="n">
        <f aca="false">INT((43-1)/12)+1</f>
        <v>4</v>
      </c>
      <c r="G47" s="15" t="n">
        <f aca="false">Ipotesi!C7</f>
        <v>0.75</v>
      </c>
      <c r="H47" s="15" t="n">
        <f aca="false">Ipotesi!C9</f>
        <v>1</v>
      </c>
      <c r="I47" s="15" t="n">
        <f aca="false">Ipotesi!C10</f>
        <v>1</v>
      </c>
      <c r="J47" s="15" t="n">
        <f aca="false">Ipotesi!C11</f>
        <v>1</v>
      </c>
      <c r="K47" s="15" t="n">
        <f aca="false">Ipotesi!C12</f>
        <v>1</v>
      </c>
      <c r="L47" s="15" t="n">
        <f aca="false">Ipotesi!C13</f>
        <v>90</v>
      </c>
      <c r="M47" s="17" t="n">
        <f aca="false">INDEX(Ipotesi!$C$40:$G$40,1,F47)</f>
        <v>1</v>
      </c>
      <c r="N47" s="17" t="n">
        <f aca="false">INDEX(Ipotesi!$C$41:$G$41,1,F47)</f>
        <v>1</v>
      </c>
      <c r="O47" s="17" t="n">
        <f aca="false">INDEX(Ipotesi!$C$42:$G$42,1,F47)*Ipotesi!C125</f>
        <v>6.5</v>
      </c>
      <c r="P47" s="17" t="n">
        <f aca="false">INDEX(Ipotesi!$C$43:$G$43,1,F47)*I47</f>
        <v>6</v>
      </c>
      <c r="Q47" s="17" t="n">
        <f aca="false">INDEX(Ipotesi!$C$44:$G$44,1,F47)*I47</f>
        <v>5</v>
      </c>
      <c r="R47" s="17" t="n">
        <f aca="false">INDEX(Ipotesi!$C$45:$G$45,1,F47)*I47</f>
        <v>1.5</v>
      </c>
      <c r="S47" s="17" t="n">
        <f aca="false">INDEX(Ipotesi!$C$52:$G$52,1,F47)*Ipotesi!C125</f>
        <v>7</v>
      </c>
      <c r="T47" s="17" t="n">
        <f aca="false">INDEX(Ipotesi!$C$53:$G$53,1,F47)*I47</f>
        <v>1</v>
      </c>
      <c r="U47" s="17" t="n">
        <f aca="false">INDEX(Ipotesi!$C$54:$G$54,1,F47)*I47</f>
        <v>0.5</v>
      </c>
      <c r="V47" s="15" t="n">
        <f aca="false">M47*INDEX(Ipotesi!$C$58:$G$58,1,F47)*K47/12</f>
        <v>7916.66666666667</v>
      </c>
      <c r="W47" s="15" t="n">
        <f aca="false">N47*Ipotesi!$C$59*(1+Ipotesi!$C$66)^(F47-1)/12</f>
        <v>6374.24083333333</v>
      </c>
      <c r="X47" s="15" t="n">
        <f aca="false">O47*Ipotesi!$C$60*(1+Ipotesi!$C$66)^(F47-1)/12</f>
        <v>29594.6895833333</v>
      </c>
      <c r="Y47" s="15" t="n">
        <f aca="false">P47*Ipotesi!$C$61*(1+Ipotesi!$C$66)^(F47-1)/12</f>
        <v>27318.175</v>
      </c>
      <c r="Z47" s="15" t="n">
        <f aca="false">Q47*Ipotesi!$C$62*(1+Ipotesi!$C$66)^(F47-1)/12</f>
        <v>20488.63125</v>
      </c>
      <c r="AA47" s="15" t="n">
        <f aca="false">R47*Ipotesi!$C$63*(1+Ipotesi!$C$66)^(F47-1)/12</f>
        <v>4780.680625</v>
      </c>
      <c r="AB47" s="15" t="n">
        <f aca="false">SUM(V47:AA47)</f>
        <v>96473.0839583333</v>
      </c>
      <c r="AC47" s="15" t="n">
        <f aca="false">(S47*Ipotesi!$C$64+T47*Ipotesi!$C$65+U47*Ipotesi!$C$63)*(1+Ipotesi!$C$66)^(F47-1)/12</f>
        <v>33829.0067083333</v>
      </c>
      <c r="AD47" s="15" t="n">
        <f aca="false">INDEX(Ipotesi!$C$48:$G$48,1,F47)*G47/12</f>
        <v>59.375</v>
      </c>
      <c r="AE47" s="15" t="n">
        <f aca="false">INDEX(Ipotesi!$C$50:$G$50,1,F47)*G47/12</f>
        <v>6.25</v>
      </c>
      <c r="AF47" s="15" t="n">
        <f aca="false">(S47*Parametri_v3!$C$7*Parametri_v3!$C$8+Parametri_v3!$C$10)/12</f>
        <v>89.8333333333333</v>
      </c>
      <c r="AG47" s="15" t="n">
        <f aca="false">AD47+AE47*(1+Parametri_v3!$C$9)</f>
        <v>68.75</v>
      </c>
      <c r="AH47" s="16" t="n">
        <f aca="false">IF(AG47=0,1,MIN(1,AF47/AG47))</f>
        <v>1</v>
      </c>
      <c r="AI47" s="15" t="n">
        <f aca="false">AD47*AH47</f>
        <v>59.375</v>
      </c>
      <c r="AJ47" s="15" t="n">
        <f aca="false">AE47*AH47</f>
        <v>6.25</v>
      </c>
      <c r="AK47" s="15" t="n">
        <f aca="false">AI47*INDEX(Ipotesi!$C$49:$G$49,1,F47)*H47</f>
        <v>53437.5</v>
      </c>
      <c r="AL47" s="15" t="n">
        <f aca="false">AJ47*INDEX(Ipotesi!$C$51:$G$51,1,F47)*H47</f>
        <v>15625</v>
      </c>
      <c r="AM47" s="15" t="n">
        <f aca="false">AK47+AL47</f>
        <v>69062.5</v>
      </c>
      <c r="AN47" s="15" t="n">
        <f aca="false">INDEX(Ipotesi!$C$30:$G$30,1,F47)*G47/12</f>
        <v>46.25</v>
      </c>
      <c r="AO47" s="15" t="n">
        <f aca="false">O47*Parametri_v3!$C$7*Parametri_v3!$C$11*(1-Parametri_v3!$C$14)/12</f>
        <v>66.7333333333333</v>
      </c>
      <c r="AP47" s="15" t="n">
        <f aca="false">MIN(AN47,AO47)</f>
        <v>46.25</v>
      </c>
      <c r="AQ47" s="15" t="n">
        <f aca="false">AP47*INDEX(Ipotesi!$C$31:$G$31,1,F47)*H47</f>
        <v>48562.5</v>
      </c>
      <c r="AR47" s="15" t="n">
        <f aca="false">INDEX(Ipotesi!$C$75:$G$75,1,F47)*J47/12</f>
        <v>27916.6666666667</v>
      </c>
      <c r="AS47" s="15" t="n">
        <f aca="false">INDEX(Ipotesi!$C$81:$G$81,1,F47)*J47/12</f>
        <v>1666.66666666667</v>
      </c>
      <c r="AT47" s="15" t="n">
        <f aca="false">AR47*Parametri_v3!$C$15+Z47*Parametri_v3!$C$16</f>
        <v>42258.7085416667</v>
      </c>
      <c r="AU47" s="15" t="n">
        <f aca="false">Q47*Parametri_v3!$C$16*Parametri_v3!$C$17</f>
        <v>350</v>
      </c>
      <c r="AV47" s="17" t="n">
        <f aca="false">BD46</f>
        <v>94.4591964962248</v>
      </c>
      <c r="AW47" s="17" t="n">
        <f aca="false">AV47*(1-(1-INDEX(Ipotesi!$C$34:$G$34,1,F47))^(1/12))</f>
        <v>0.825725546863248</v>
      </c>
      <c r="AX47" s="15" t="n">
        <f aca="false">ROUND(INDEX(Ipotesi!$C$32:$G$32,1,F47)*Ipotesi!C8,0)</f>
        <v>186</v>
      </c>
      <c r="AY47" s="15" t="n">
        <f aca="false">MAX(0,(AX47-(AV47-AW47))/(13-E47))</f>
        <v>15.3944215084398</v>
      </c>
      <c r="AZ47" s="15" t="n">
        <f aca="false">MIN(P47*Parametri_v3!$C$22,Q47*(1-Parametri_v3!$C$16)*Parametri_v3!$C$23)</f>
        <v>225</v>
      </c>
      <c r="BA47" s="15" t="n">
        <f aca="false">IF(OR(INDEX(Ipotesi!$C$35:$G$35,1,F47)&lt;=0,43-Parametri_v3!$C$21&lt;1),0,INDEX($AT$5:$AT$64,MAX(1,43-Parametri_v3!$C$21))/(INDEX(Ipotesi!$C$35:$G$35,1,F47)*Ipotesi!C27))</f>
        <v>5.86926507523148</v>
      </c>
      <c r="BB47" s="15" t="n">
        <f aca="false">IF(43-Parametri_v3!$C$21&lt;1,0,INDEX($AU$5:$AU$64,MAX(1,43-Parametri_v3!$C$21)))*Parametri_v3!$C$18*Parametri_v3!$C$19*Parametri_v3!$C$20</f>
        <v>13.125</v>
      </c>
      <c r="BC47" s="17" t="n">
        <f aca="false">MAX(0,MIN(AY47,BA47,BB47,MAX(0,AZ47-(AV47-AW47))))</f>
        <v>5.86926507523148</v>
      </c>
      <c r="BD47" s="17" t="n">
        <f aca="false">AV47-AW47+BC47</f>
        <v>99.502736024593</v>
      </c>
      <c r="BE47" s="17" t="n">
        <f aca="false">(AV47+BD47)/2</f>
        <v>96.9809662604089</v>
      </c>
      <c r="BF47" s="15" t="n">
        <f aca="false">BE47*INDEX(Ipotesi!$C$33:$G$33,1,F47)*H47/12</f>
        <v>48490.4831302044</v>
      </c>
      <c r="BG47" s="15" t="n">
        <f aca="false">BD47*INDEX(Ipotesi!$C$33:$G$33,1,F47)*H47</f>
        <v>597016.416147558</v>
      </c>
      <c r="BH47" s="15" t="n">
        <f aca="false">AM47*INDEX(Ipotesi!$C$37:$G$37,1,F47)</f>
        <v>6906.25</v>
      </c>
      <c r="BI47" s="15" t="n">
        <f aca="false">AQ47+BF47+BH47</f>
        <v>103959.233130204</v>
      </c>
      <c r="BJ47" s="15" t="n">
        <f aca="false">INDEX(Ipotesi!$C$68:$G$68,1,F47)*Ipotesi!$C$69/12</f>
        <v>3000</v>
      </c>
      <c r="BK47" s="15" t="n">
        <f aca="false">INDEX(Ipotesi!$C$68:$G$68,1,F47)*(1-Ipotesi!$C$69)/12</f>
        <v>4500</v>
      </c>
      <c r="BL47" s="15" t="n">
        <f aca="false">(AQ47+BF47)*Ipotesi!$C$67</f>
        <v>2911.58949390613</v>
      </c>
      <c r="BM47" s="15" t="n">
        <f aca="false">AM47*Ipotesi!$C$67</f>
        <v>2071.875</v>
      </c>
      <c r="BN47" s="15" t="n">
        <f aca="false">INDEX(Ipotesi!$C$72:$G$72,1,F47)/12*Ipotesi!C126+BF47*Ipotesi!$C$73</f>
        <v>5129.23865041636</v>
      </c>
      <c r="BO47" s="15" t="n">
        <f aca="false">INDEX(Ipotesi!$C$74:$G$74,1,F47)/12*Ipotesi!C126</f>
        <v>4166.66666666667</v>
      </c>
      <c r="BP47" s="15" t="n">
        <f aca="false">INDEX(Ipotesi!$C$76:$G$76,1,F47)/12</f>
        <v>1500</v>
      </c>
      <c r="BQ47" s="15" t="n">
        <f aca="false">INDEX(Ipotesi!$C$77:$G$77,1,F47)/12*Ipotesi!C126</f>
        <v>2083.33333333333</v>
      </c>
      <c r="BR47" s="15" t="n">
        <f aca="false">INDEX(Ipotesi!$C$78:$G$78,1,F47)/12</f>
        <v>2000</v>
      </c>
      <c r="BS47" s="15" t="n">
        <f aca="false">SUM(M47:R47)*(Ipotesi!$C$85+Ipotesi!$C$86)/12</f>
        <v>6125</v>
      </c>
      <c r="BT47" s="15" t="n">
        <f aca="false">BI47*Ipotesi!$C$87</f>
        <v>3118.77699390613</v>
      </c>
      <c r="BU47" s="15" t="n">
        <f aca="false">INDEX(Ipotesi!$C$55:$G$55,1,F47)*K47/12</f>
        <v>2000</v>
      </c>
      <c r="BV47" s="15" t="n">
        <f aca="false">INDEX(Ipotesi!$C$80:$G$80,1,F47)/12*Ipotesi!C126</f>
        <v>1666.66666666667</v>
      </c>
      <c r="BW47" s="15" t="n">
        <f aca="false">INDEX(Ipotesi!$C$82:$G$82,1,F47)/12</f>
        <v>1250</v>
      </c>
      <c r="BX47" s="15" t="n">
        <f aca="false">INDEX(Ipotesi!$C$83:$G$83,1,F47)/12</f>
        <v>750</v>
      </c>
      <c r="BY47" s="15" t="n">
        <f aca="false">SUM(S47:U47)*(Ipotesi!$C$85+Ipotesi!$C$86)/12</f>
        <v>2479.16666666667</v>
      </c>
      <c r="BZ47" s="15" t="n">
        <f aca="false">AM47*Ipotesi!$C$87</f>
        <v>2071.875</v>
      </c>
      <c r="CA47" s="15" t="n">
        <f aca="false">AB47+BJ47+BL47+BN47+BO47+AR47+BP47+BQ47+BR47+BS47+BT47</f>
        <v>154424.355763229</v>
      </c>
      <c r="CB47" s="15" t="n">
        <f aca="false">AC47+BK47+BM47+BH47+BU47+BV47+AS47+BW47+BX47+BY47+BZ47</f>
        <v>59191.5067083333</v>
      </c>
      <c r="CC47" s="15" t="n">
        <f aca="false">BI47-CA47</f>
        <v>-50465.1226330242</v>
      </c>
      <c r="CD47" s="15" t="n">
        <f aca="false">AM47-CB47</f>
        <v>9870.99329166667</v>
      </c>
      <c r="CE47" s="15" t="n">
        <f aca="false">INDEX(Ipotesi!$C$79:$G$79,1,F47)/12</f>
        <v>3333.33333333333</v>
      </c>
      <c r="CF47" s="15" t="n">
        <f aca="false">INDEX(Ipotesi!$C$84:$G$84,1,F47)/12</f>
        <v>666.666666666667</v>
      </c>
      <c r="CG47" s="15" t="n">
        <f aca="false">Y47*MAX(0,Parametri_v3!$C$12-IF(P47=0,0,MIN(1,BE47/(P47*Parametri_v3!$C$22))))+W47*Parametri_v3!$C$13+X47*Parametri_v3!$C$14</f>
        <v>32008.6616533818</v>
      </c>
      <c r="CH47" s="15" t="n">
        <f aca="false">AB47*Parametri_v3!$C$32</f>
        <v>4823.65419791667</v>
      </c>
      <c r="CI47" s="15" t="n">
        <f aca="false">AC47*Parametri_v3!$C$32</f>
        <v>1691.45033541667</v>
      </c>
      <c r="CJ47" s="15" t="n">
        <f aca="false">CA47-AB47</f>
        <v>57951.2718048953</v>
      </c>
      <c r="CK47" s="15" t="n">
        <f aca="false">CB47-AC47-BH47</f>
        <v>18456.25</v>
      </c>
      <c r="CL47" s="15" t="n">
        <f aca="false">BF47*Ipotesi!$C$73+INDEX(Ipotesi!$C$72:$G$72,1,F47)/12*Ipotesi!C126*Parametri_v3!$C$58+Z47*(1-Parametri_v3!$C$16)</f>
        <v>11275.8280254164</v>
      </c>
      <c r="CM47" s="16" t="n">
        <f aca="false">IF(BF47=0,0,1-CL47/BF47)</f>
        <v>0.767463071152766</v>
      </c>
    </row>
    <row r="48" customFormat="false" ht="18" hidden="false" customHeight="true" outlineLevel="0" collapsed="false">
      <c r="A48" s="68" t="n">
        <f aca="false">1</f>
        <v>1</v>
      </c>
      <c r="B48" s="68" t="n">
        <f aca="false">44</f>
        <v>44</v>
      </c>
      <c r="C48" s="18" t="n">
        <f aca="false">EDATE(Parametri_v3!$C$5,44-1)</f>
        <v>47696</v>
      </c>
      <c r="D48" s="68" t="n">
        <f aca="false">YEAR(C48)</f>
        <v>2030</v>
      </c>
      <c r="E48" s="68" t="n">
        <f aca="false">MONTH(C48)</f>
        <v>8</v>
      </c>
      <c r="F48" s="68" t="n">
        <f aca="false">INT((44-1)/12)+1</f>
        <v>4</v>
      </c>
      <c r="G48" s="15" t="n">
        <f aca="false">Ipotesi!C7</f>
        <v>0.75</v>
      </c>
      <c r="H48" s="15" t="n">
        <f aca="false">Ipotesi!C9</f>
        <v>1</v>
      </c>
      <c r="I48" s="15" t="n">
        <f aca="false">Ipotesi!C10</f>
        <v>1</v>
      </c>
      <c r="J48" s="15" t="n">
        <f aca="false">Ipotesi!C11</f>
        <v>1</v>
      </c>
      <c r="K48" s="15" t="n">
        <f aca="false">Ipotesi!C12</f>
        <v>1</v>
      </c>
      <c r="L48" s="15" t="n">
        <f aca="false">Ipotesi!C13</f>
        <v>90</v>
      </c>
      <c r="M48" s="17" t="n">
        <f aca="false">INDEX(Ipotesi!$C$40:$G$40,1,F48)</f>
        <v>1</v>
      </c>
      <c r="N48" s="17" t="n">
        <f aca="false">INDEX(Ipotesi!$C$41:$G$41,1,F48)</f>
        <v>1</v>
      </c>
      <c r="O48" s="17" t="n">
        <f aca="false">INDEX(Ipotesi!$C$42:$G$42,1,F48)*Ipotesi!C125</f>
        <v>6.5</v>
      </c>
      <c r="P48" s="17" t="n">
        <f aca="false">INDEX(Ipotesi!$C$43:$G$43,1,F48)*I48</f>
        <v>6</v>
      </c>
      <c r="Q48" s="17" t="n">
        <f aca="false">INDEX(Ipotesi!$C$44:$G$44,1,F48)*I48</f>
        <v>5</v>
      </c>
      <c r="R48" s="17" t="n">
        <f aca="false">INDEX(Ipotesi!$C$45:$G$45,1,F48)*I48</f>
        <v>1.5</v>
      </c>
      <c r="S48" s="17" t="n">
        <f aca="false">INDEX(Ipotesi!$C$52:$G$52,1,F48)*Ipotesi!C125</f>
        <v>7</v>
      </c>
      <c r="T48" s="17" t="n">
        <f aca="false">INDEX(Ipotesi!$C$53:$G$53,1,F48)*I48</f>
        <v>1</v>
      </c>
      <c r="U48" s="17" t="n">
        <f aca="false">INDEX(Ipotesi!$C$54:$G$54,1,F48)*I48</f>
        <v>0.5</v>
      </c>
      <c r="V48" s="15" t="n">
        <f aca="false">M48*INDEX(Ipotesi!$C$58:$G$58,1,F48)*K48/12</f>
        <v>7916.66666666667</v>
      </c>
      <c r="W48" s="15" t="n">
        <f aca="false">N48*Ipotesi!$C$59*(1+Ipotesi!$C$66)^(F48-1)/12</f>
        <v>6374.24083333333</v>
      </c>
      <c r="X48" s="15" t="n">
        <f aca="false">O48*Ipotesi!$C$60*(1+Ipotesi!$C$66)^(F48-1)/12</f>
        <v>29594.6895833333</v>
      </c>
      <c r="Y48" s="15" t="n">
        <f aca="false">P48*Ipotesi!$C$61*(1+Ipotesi!$C$66)^(F48-1)/12</f>
        <v>27318.175</v>
      </c>
      <c r="Z48" s="15" t="n">
        <f aca="false">Q48*Ipotesi!$C$62*(1+Ipotesi!$C$66)^(F48-1)/12</f>
        <v>20488.63125</v>
      </c>
      <c r="AA48" s="15" t="n">
        <f aca="false">R48*Ipotesi!$C$63*(1+Ipotesi!$C$66)^(F48-1)/12</f>
        <v>4780.680625</v>
      </c>
      <c r="AB48" s="15" t="n">
        <f aca="false">SUM(V48:AA48)</f>
        <v>96473.0839583333</v>
      </c>
      <c r="AC48" s="15" t="n">
        <f aca="false">(S48*Ipotesi!$C$64+T48*Ipotesi!$C$65+U48*Ipotesi!$C$63)*(1+Ipotesi!$C$66)^(F48-1)/12</f>
        <v>33829.0067083333</v>
      </c>
      <c r="AD48" s="15" t="n">
        <f aca="false">INDEX(Ipotesi!$C$48:$G$48,1,F48)*G48/12</f>
        <v>59.375</v>
      </c>
      <c r="AE48" s="15" t="n">
        <f aca="false">INDEX(Ipotesi!$C$50:$G$50,1,F48)*G48/12</f>
        <v>6.25</v>
      </c>
      <c r="AF48" s="15" t="n">
        <f aca="false">(S48*Parametri_v3!$C$7*Parametri_v3!$C$8+Parametri_v3!$C$10)/12</f>
        <v>89.8333333333333</v>
      </c>
      <c r="AG48" s="15" t="n">
        <f aca="false">AD48+AE48*(1+Parametri_v3!$C$9)</f>
        <v>68.75</v>
      </c>
      <c r="AH48" s="16" t="n">
        <f aca="false">IF(AG48=0,1,MIN(1,AF48/AG48))</f>
        <v>1</v>
      </c>
      <c r="AI48" s="15" t="n">
        <f aca="false">AD48*AH48</f>
        <v>59.375</v>
      </c>
      <c r="AJ48" s="15" t="n">
        <f aca="false">AE48*AH48</f>
        <v>6.25</v>
      </c>
      <c r="AK48" s="15" t="n">
        <f aca="false">AI48*INDEX(Ipotesi!$C$49:$G$49,1,F48)*H48</f>
        <v>53437.5</v>
      </c>
      <c r="AL48" s="15" t="n">
        <f aca="false">AJ48*INDEX(Ipotesi!$C$51:$G$51,1,F48)*H48</f>
        <v>15625</v>
      </c>
      <c r="AM48" s="15" t="n">
        <f aca="false">AK48+AL48</f>
        <v>69062.5</v>
      </c>
      <c r="AN48" s="15" t="n">
        <f aca="false">INDEX(Ipotesi!$C$30:$G$30,1,F48)*G48/12</f>
        <v>46.25</v>
      </c>
      <c r="AO48" s="15" t="n">
        <f aca="false">O48*Parametri_v3!$C$7*Parametri_v3!$C$11*(1-Parametri_v3!$C$14)/12</f>
        <v>66.7333333333333</v>
      </c>
      <c r="AP48" s="15" t="n">
        <f aca="false">MIN(AN48,AO48)</f>
        <v>46.25</v>
      </c>
      <c r="AQ48" s="15" t="n">
        <f aca="false">AP48*INDEX(Ipotesi!$C$31:$G$31,1,F48)*H48</f>
        <v>48562.5</v>
      </c>
      <c r="AR48" s="15" t="n">
        <f aca="false">INDEX(Ipotesi!$C$75:$G$75,1,F48)*J48/12</f>
        <v>27916.6666666667</v>
      </c>
      <c r="AS48" s="15" t="n">
        <f aca="false">INDEX(Ipotesi!$C$81:$G$81,1,F48)*J48/12</f>
        <v>1666.66666666667</v>
      </c>
      <c r="AT48" s="15" t="n">
        <f aca="false">AR48*Parametri_v3!$C$15+Z48*Parametri_v3!$C$16</f>
        <v>42258.7085416667</v>
      </c>
      <c r="AU48" s="15" t="n">
        <f aca="false">Q48*Parametri_v3!$C$16*Parametri_v3!$C$17</f>
        <v>350</v>
      </c>
      <c r="AV48" s="17" t="n">
        <f aca="false">BD47</f>
        <v>99.502736024593</v>
      </c>
      <c r="AW48" s="17" t="n">
        <f aca="false">AV48*(1-(1-INDEX(Ipotesi!$C$34:$G$34,1,F48))^(1/12))</f>
        <v>0.869814207254878</v>
      </c>
      <c r="AX48" s="15" t="n">
        <f aca="false">ROUND(INDEX(Ipotesi!$C$32:$G$32,1,F48)*Ipotesi!C8,0)</f>
        <v>186</v>
      </c>
      <c r="AY48" s="15" t="n">
        <f aca="false">MAX(0,(AX48-(AV48-AW48))/(13-E48))</f>
        <v>17.4734156365324</v>
      </c>
      <c r="AZ48" s="15" t="n">
        <f aca="false">MIN(P48*Parametri_v3!$C$22,Q48*(1-Parametri_v3!$C$16)*Parametri_v3!$C$23)</f>
        <v>225</v>
      </c>
      <c r="BA48" s="15" t="n">
        <f aca="false">IF(OR(INDEX(Ipotesi!$C$35:$G$35,1,F48)&lt;=0,44-Parametri_v3!$C$21&lt;1),0,INDEX($AT$5:$AT$64,MAX(1,44-Parametri_v3!$C$21))/(INDEX(Ipotesi!$C$35:$G$35,1,F48)*Ipotesi!C27))</f>
        <v>5.86926507523148</v>
      </c>
      <c r="BB48" s="15" t="n">
        <f aca="false">IF(44-Parametri_v3!$C$21&lt;1,0,INDEX($AU$5:$AU$64,MAX(1,44-Parametri_v3!$C$21)))*Parametri_v3!$C$18*Parametri_v3!$C$19*Parametri_v3!$C$20</f>
        <v>13.125</v>
      </c>
      <c r="BC48" s="17" t="n">
        <f aca="false">MAX(0,MIN(AY48,BA48,BB48,MAX(0,AZ48-(AV48-AW48))))</f>
        <v>5.86926507523148</v>
      </c>
      <c r="BD48" s="17" t="n">
        <f aca="false">AV48-AW48+BC48</f>
        <v>104.50218689257</v>
      </c>
      <c r="BE48" s="17" t="n">
        <f aca="false">(AV48+BD48)/2</f>
        <v>102.002461458581</v>
      </c>
      <c r="BF48" s="15" t="n">
        <f aca="false">BE48*INDEX(Ipotesi!$C$33:$G$33,1,F48)*H48/12</f>
        <v>51001.2307292906</v>
      </c>
      <c r="BG48" s="15" t="n">
        <f aca="false">BD48*INDEX(Ipotesi!$C$33:$G$33,1,F48)*H48</f>
        <v>627013.121355418</v>
      </c>
      <c r="BH48" s="15" t="n">
        <f aca="false">AM48*INDEX(Ipotesi!$C$37:$G$37,1,F48)</f>
        <v>6906.25</v>
      </c>
      <c r="BI48" s="15" t="n">
        <f aca="false">AQ48+BF48+BH48</f>
        <v>106469.980729291</v>
      </c>
      <c r="BJ48" s="15" t="n">
        <f aca="false">INDEX(Ipotesi!$C$68:$G$68,1,F48)*Ipotesi!$C$69/12</f>
        <v>3000</v>
      </c>
      <c r="BK48" s="15" t="n">
        <f aca="false">INDEX(Ipotesi!$C$68:$G$68,1,F48)*(1-Ipotesi!$C$69)/12</f>
        <v>4500</v>
      </c>
      <c r="BL48" s="15" t="n">
        <f aca="false">(AQ48+BF48)*Ipotesi!$C$67</f>
        <v>2986.91192187872</v>
      </c>
      <c r="BM48" s="15" t="n">
        <f aca="false">AM48*Ipotesi!$C$67</f>
        <v>2071.875</v>
      </c>
      <c r="BN48" s="15" t="n">
        <f aca="false">INDEX(Ipotesi!$C$72:$G$72,1,F48)/12*Ipotesi!C126+BF48*Ipotesi!$C$73</f>
        <v>5330.09845834325</v>
      </c>
      <c r="BO48" s="15" t="n">
        <f aca="false">INDEX(Ipotesi!$C$74:$G$74,1,F48)/12*Ipotesi!C126</f>
        <v>4166.66666666667</v>
      </c>
      <c r="BP48" s="15" t="n">
        <f aca="false">INDEX(Ipotesi!$C$76:$G$76,1,F48)/12</f>
        <v>1500</v>
      </c>
      <c r="BQ48" s="15" t="n">
        <f aca="false">INDEX(Ipotesi!$C$77:$G$77,1,F48)/12*Ipotesi!C126</f>
        <v>2083.33333333333</v>
      </c>
      <c r="BR48" s="15" t="n">
        <f aca="false">INDEX(Ipotesi!$C$78:$G$78,1,F48)/12</f>
        <v>2000</v>
      </c>
      <c r="BS48" s="15" t="n">
        <f aca="false">SUM(M48:R48)*(Ipotesi!$C$85+Ipotesi!$C$86)/12</f>
        <v>6125</v>
      </c>
      <c r="BT48" s="15" t="n">
        <f aca="false">BI48*Ipotesi!$C$87</f>
        <v>3194.09942187872</v>
      </c>
      <c r="BU48" s="15" t="n">
        <f aca="false">INDEX(Ipotesi!$C$55:$G$55,1,F48)*K48/12</f>
        <v>2000</v>
      </c>
      <c r="BV48" s="15" t="n">
        <f aca="false">INDEX(Ipotesi!$C$80:$G$80,1,F48)/12*Ipotesi!C126</f>
        <v>1666.66666666667</v>
      </c>
      <c r="BW48" s="15" t="n">
        <f aca="false">INDEX(Ipotesi!$C$82:$G$82,1,F48)/12</f>
        <v>1250</v>
      </c>
      <c r="BX48" s="15" t="n">
        <f aca="false">INDEX(Ipotesi!$C$83:$G$83,1,F48)/12</f>
        <v>750</v>
      </c>
      <c r="BY48" s="15" t="n">
        <f aca="false">SUM(S48:U48)*(Ipotesi!$C$85+Ipotesi!$C$86)/12</f>
        <v>2479.16666666667</v>
      </c>
      <c r="BZ48" s="15" t="n">
        <f aca="false">AM48*Ipotesi!$C$87</f>
        <v>2071.875</v>
      </c>
      <c r="CA48" s="15" t="n">
        <f aca="false">AB48+BJ48+BL48+BN48+BO48+AR48+BP48+BQ48+BR48+BS48+BT48</f>
        <v>154775.860427101</v>
      </c>
      <c r="CB48" s="15" t="n">
        <f aca="false">AC48+BK48+BM48+BH48+BU48+BV48+AS48+BW48+BX48+BY48+BZ48</f>
        <v>59191.5067083333</v>
      </c>
      <c r="CC48" s="15" t="n">
        <f aca="false">BI48-CA48</f>
        <v>-48305.8796978101</v>
      </c>
      <c r="CD48" s="15" t="n">
        <f aca="false">AM48-CB48</f>
        <v>9870.99329166667</v>
      </c>
      <c r="CE48" s="15" t="n">
        <f aca="false">INDEX(Ipotesi!$C$79:$G$79,1,F48)/12</f>
        <v>3333.33333333333</v>
      </c>
      <c r="CF48" s="15" t="n">
        <f aca="false">INDEX(Ipotesi!$C$84:$G$84,1,F48)/12</f>
        <v>666.666666666667</v>
      </c>
      <c r="CG48" s="15" t="n">
        <f aca="false">Y48*MAX(0,Parametri_v3!$C$12-IF(P48=0,0,MIN(1,BE48/(P48*Parametri_v3!$C$22))))+W48*Parametri_v3!$C$13+X48*Parametri_v3!$C$14</f>
        <v>31780.0315124062</v>
      </c>
      <c r="CH48" s="15" t="n">
        <f aca="false">AB48*Parametri_v3!$C$32</f>
        <v>4823.65419791667</v>
      </c>
      <c r="CI48" s="15" t="n">
        <f aca="false">AC48*Parametri_v3!$C$32</f>
        <v>1691.45033541667</v>
      </c>
      <c r="CJ48" s="15" t="n">
        <f aca="false">CA48-AB48</f>
        <v>58302.7764687674</v>
      </c>
      <c r="CK48" s="15" t="n">
        <f aca="false">CB48-AC48-BH48</f>
        <v>18456.25</v>
      </c>
      <c r="CL48" s="15" t="n">
        <f aca="false">BF48*Ipotesi!$C$73+INDEX(Ipotesi!$C$72:$G$72,1,F48)/12*Ipotesi!C126*Parametri_v3!$C$58+Z48*(1-Parametri_v3!$C$16)</f>
        <v>11476.6878333433</v>
      </c>
      <c r="CM48" s="16" t="n">
        <f aca="false">IF(BF48=0,0,1-CL48/BF48)</f>
        <v>0.774972335584207</v>
      </c>
    </row>
    <row r="49" customFormat="false" ht="18" hidden="false" customHeight="true" outlineLevel="0" collapsed="false">
      <c r="A49" s="68" t="n">
        <f aca="false">1</f>
        <v>1</v>
      </c>
      <c r="B49" s="68" t="n">
        <f aca="false">45</f>
        <v>45</v>
      </c>
      <c r="C49" s="18" t="n">
        <f aca="false">EDATE(Parametri_v3!$C$5,45-1)</f>
        <v>47727</v>
      </c>
      <c r="D49" s="68" t="n">
        <f aca="false">YEAR(C49)</f>
        <v>2030</v>
      </c>
      <c r="E49" s="68" t="n">
        <f aca="false">MONTH(C49)</f>
        <v>9</v>
      </c>
      <c r="F49" s="68" t="n">
        <f aca="false">INT((45-1)/12)+1</f>
        <v>4</v>
      </c>
      <c r="G49" s="15" t="n">
        <f aca="false">Ipotesi!C7</f>
        <v>0.75</v>
      </c>
      <c r="H49" s="15" t="n">
        <f aca="false">Ipotesi!C9</f>
        <v>1</v>
      </c>
      <c r="I49" s="15" t="n">
        <f aca="false">Ipotesi!C10</f>
        <v>1</v>
      </c>
      <c r="J49" s="15" t="n">
        <f aca="false">Ipotesi!C11</f>
        <v>1</v>
      </c>
      <c r="K49" s="15" t="n">
        <f aca="false">Ipotesi!C12</f>
        <v>1</v>
      </c>
      <c r="L49" s="15" t="n">
        <f aca="false">Ipotesi!C13</f>
        <v>90</v>
      </c>
      <c r="M49" s="17" t="n">
        <f aca="false">INDEX(Ipotesi!$C$40:$G$40,1,F49)</f>
        <v>1</v>
      </c>
      <c r="N49" s="17" t="n">
        <f aca="false">INDEX(Ipotesi!$C$41:$G$41,1,F49)</f>
        <v>1</v>
      </c>
      <c r="O49" s="17" t="n">
        <f aca="false">INDEX(Ipotesi!$C$42:$G$42,1,F49)*Ipotesi!C125</f>
        <v>6.5</v>
      </c>
      <c r="P49" s="17" t="n">
        <f aca="false">INDEX(Ipotesi!$C$43:$G$43,1,F49)*I49</f>
        <v>6</v>
      </c>
      <c r="Q49" s="17" t="n">
        <f aca="false">INDEX(Ipotesi!$C$44:$G$44,1,F49)*I49</f>
        <v>5</v>
      </c>
      <c r="R49" s="17" t="n">
        <f aca="false">INDEX(Ipotesi!$C$45:$G$45,1,F49)*I49</f>
        <v>1.5</v>
      </c>
      <c r="S49" s="17" t="n">
        <f aca="false">INDEX(Ipotesi!$C$52:$G$52,1,F49)*Ipotesi!C125</f>
        <v>7</v>
      </c>
      <c r="T49" s="17" t="n">
        <f aca="false">INDEX(Ipotesi!$C$53:$G$53,1,F49)*I49</f>
        <v>1</v>
      </c>
      <c r="U49" s="17" t="n">
        <f aca="false">INDEX(Ipotesi!$C$54:$G$54,1,F49)*I49</f>
        <v>0.5</v>
      </c>
      <c r="V49" s="15" t="n">
        <f aca="false">M49*INDEX(Ipotesi!$C$58:$G$58,1,F49)*K49/12</f>
        <v>7916.66666666667</v>
      </c>
      <c r="W49" s="15" t="n">
        <f aca="false">N49*Ipotesi!$C$59*(1+Ipotesi!$C$66)^(F49-1)/12</f>
        <v>6374.24083333333</v>
      </c>
      <c r="X49" s="15" t="n">
        <f aca="false">O49*Ipotesi!$C$60*(1+Ipotesi!$C$66)^(F49-1)/12</f>
        <v>29594.6895833333</v>
      </c>
      <c r="Y49" s="15" t="n">
        <f aca="false">P49*Ipotesi!$C$61*(1+Ipotesi!$C$66)^(F49-1)/12</f>
        <v>27318.175</v>
      </c>
      <c r="Z49" s="15" t="n">
        <f aca="false">Q49*Ipotesi!$C$62*(1+Ipotesi!$C$66)^(F49-1)/12</f>
        <v>20488.63125</v>
      </c>
      <c r="AA49" s="15" t="n">
        <f aca="false">R49*Ipotesi!$C$63*(1+Ipotesi!$C$66)^(F49-1)/12</f>
        <v>4780.680625</v>
      </c>
      <c r="AB49" s="15" t="n">
        <f aca="false">SUM(V49:AA49)</f>
        <v>96473.0839583333</v>
      </c>
      <c r="AC49" s="15" t="n">
        <f aca="false">(S49*Ipotesi!$C$64+T49*Ipotesi!$C$65+U49*Ipotesi!$C$63)*(1+Ipotesi!$C$66)^(F49-1)/12</f>
        <v>33829.0067083333</v>
      </c>
      <c r="AD49" s="15" t="n">
        <f aca="false">INDEX(Ipotesi!$C$48:$G$48,1,F49)*G49/12</f>
        <v>59.375</v>
      </c>
      <c r="AE49" s="15" t="n">
        <f aca="false">INDEX(Ipotesi!$C$50:$G$50,1,F49)*G49/12</f>
        <v>6.25</v>
      </c>
      <c r="AF49" s="15" t="n">
        <f aca="false">(S49*Parametri_v3!$C$7*Parametri_v3!$C$8+Parametri_v3!$C$10)/12</f>
        <v>89.8333333333333</v>
      </c>
      <c r="AG49" s="15" t="n">
        <f aca="false">AD49+AE49*(1+Parametri_v3!$C$9)</f>
        <v>68.75</v>
      </c>
      <c r="AH49" s="16" t="n">
        <f aca="false">IF(AG49=0,1,MIN(1,AF49/AG49))</f>
        <v>1</v>
      </c>
      <c r="AI49" s="15" t="n">
        <f aca="false">AD49*AH49</f>
        <v>59.375</v>
      </c>
      <c r="AJ49" s="15" t="n">
        <f aca="false">AE49*AH49</f>
        <v>6.25</v>
      </c>
      <c r="AK49" s="15" t="n">
        <f aca="false">AI49*INDEX(Ipotesi!$C$49:$G$49,1,F49)*H49</f>
        <v>53437.5</v>
      </c>
      <c r="AL49" s="15" t="n">
        <f aca="false">AJ49*INDEX(Ipotesi!$C$51:$G$51,1,F49)*H49</f>
        <v>15625</v>
      </c>
      <c r="AM49" s="15" t="n">
        <f aca="false">AK49+AL49</f>
        <v>69062.5</v>
      </c>
      <c r="AN49" s="15" t="n">
        <f aca="false">INDEX(Ipotesi!$C$30:$G$30,1,F49)*G49/12</f>
        <v>46.25</v>
      </c>
      <c r="AO49" s="15" t="n">
        <f aca="false">O49*Parametri_v3!$C$7*Parametri_v3!$C$11*(1-Parametri_v3!$C$14)/12</f>
        <v>66.7333333333333</v>
      </c>
      <c r="AP49" s="15" t="n">
        <f aca="false">MIN(AN49,AO49)</f>
        <v>46.25</v>
      </c>
      <c r="AQ49" s="15" t="n">
        <f aca="false">AP49*INDEX(Ipotesi!$C$31:$G$31,1,F49)*H49</f>
        <v>48562.5</v>
      </c>
      <c r="AR49" s="15" t="n">
        <f aca="false">INDEX(Ipotesi!$C$75:$G$75,1,F49)*J49/12</f>
        <v>27916.6666666667</v>
      </c>
      <c r="AS49" s="15" t="n">
        <f aca="false">INDEX(Ipotesi!$C$81:$G$81,1,F49)*J49/12</f>
        <v>1666.66666666667</v>
      </c>
      <c r="AT49" s="15" t="n">
        <f aca="false">AR49*Parametri_v3!$C$15+Z49*Parametri_v3!$C$16</f>
        <v>42258.7085416667</v>
      </c>
      <c r="AU49" s="15" t="n">
        <f aca="false">Q49*Parametri_v3!$C$16*Parametri_v3!$C$17</f>
        <v>350</v>
      </c>
      <c r="AV49" s="17" t="n">
        <f aca="false">BD48</f>
        <v>104.50218689257</v>
      </c>
      <c r="AW49" s="17" t="n">
        <f aca="false">AV49*(1-(1-INDEX(Ipotesi!$C$34:$G$34,1,F49))^(1/12))</f>
        <v>0.91351746172985</v>
      </c>
      <c r="AX49" s="15" t="n">
        <f aca="false">ROUND(INDEX(Ipotesi!$C$32:$G$32,1,F49)*Ipotesi!C8,0)</f>
        <v>186</v>
      </c>
      <c r="AY49" s="15" t="n">
        <f aca="false">MAX(0,(AX49-(AV49-AW49))/(13-E49))</f>
        <v>20.6028326422901</v>
      </c>
      <c r="AZ49" s="15" t="n">
        <f aca="false">MIN(P49*Parametri_v3!$C$22,Q49*(1-Parametri_v3!$C$16)*Parametri_v3!$C$23)</f>
        <v>225</v>
      </c>
      <c r="BA49" s="15" t="n">
        <f aca="false">IF(OR(INDEX(Ipotesi!$C$35:$G$35,1,F49)&lt;=0,45-Parametri_v3!$C$21&lt;1),0,INDEX($AT$5:$AT$64,MAX(1,45-Parametri_v3!$C$21))/(INDEX(Ipotesi!$C$35:$G$35,1,F49)*Ipotesi!C27))</f>
        <v>5.86926507523148</v>
      </c>
      <c r="BB49" s="15" t="n">
        <f aca="false">IF(45-Parametri_v3!$C$21&lt;1,0,INDEX($AU$5:$AU$64,MAX(1,45-Parametri_v3!$C$21)))*Parametri_v3!$C$18*Parametri_v3!$C$19*Parametri_v3!$C$20</f>
        <v>13.125</v>
      </c>
      <c r="BC49" s="17" t="n">
        <f aca="false">MAX(0,MIN(AY49,BA49,BB49,MAX(0,AZ49-(AV49-AW49))))</f>
        <v>5.86926507523148</v>
      </c>
      <c r="BD49" s="17" t="n">
        <f aca="false">AV49-AW49+BC49</f>
        <v>109.457934506071</v>
      </c>
      <c r="BE49" s="17" t="n">
        <f aca="false">(AV49+BD49)/2</f>
        <v>106.98006069932</v>
      </c>
      <c r="BF49" s="15" t="n">
        <f aca="false">BE49*INDEX(Ipotesi!$C$33:$G$33,1,F49)*H49/12</f>
        <v>53490.0303496602</v>
      </c>
      <c r="BG49" s="15" t="n">
        <f aca="false">BD49*INDEX(Ipotesi!$C$33:$G$33,1,F49)*H49</f>
        <v>656747.607036427</v>
      </c>
      <c r="BH49" s="15" t="n">
        <f aca="false">AM49*INDEX(Ipotesi!$C$37:$G$37,1,F49)</f>
        <v>6906.25</v>
      </c>
      <c r="BI49" s="15" t="n">
        <f aca="false">AQ49+BF49+BH49</f>
        <v>108958.78034966</v>
      </c>
      <c r="BJ49" s="15" t="n">
        <f aca="false">INDEX(Ipotesi!$C$68:$G$68,1,F49)*Ipotesi!$C$69/12</f>
        <v>3000</v>
      </c>
      <c r="BK49" s="15" t="n">
        <f aca="false">INDEX(Ipotesi!$C$68:$G$68,1,F49)*(1-Ipotesi!$C$69)/12</f>
        <v>4500</v>
      </c>
      <c r="BL49" s="15" t="n">
        <f aca="false">(AQ49+BF49)*Ipotesi!$C$67</f>
        <v>3061.57591048981</v>
      </c>
      <c r="BM49" s="15" t="n">
        <f aca="false">AM49*Ipotesi!$C$67</f>
        <v>2071.875</v>
      </c>
      <c r="BN49" s="15" t="n">
        <f aca="false">INDEX(Ipotesi!$C$72:$G$72,1,F49)/12*Ipotesi!C126+BF49*Ipotesi!$C$73</f>
        <v>5529.20242797282</v>
      </c>
      <c r="BO49" s="15" t="n">
        <f aca="false">INDEX(Ipotesi!$C$74:$G$74,1,F49)/12*Ipotesi!C126</f>
        <v>4166.66666666667</v>
      </c>
      <c r="BP49" s="15" t="n">
        <f aca="false">INDEX(Ipotesi!$C$76:$G$76,1,F49)/12</f>
        <v>1500</v>
      </c>
      <c r="BQ49" s="15" t="n">
        <f aca="false">INDEX(Ipotesi!$C$77:$G$77,1,F49)/12*Ipotesi!C126</f>
        <v>2083.33333333333</v>
      </c>
      <c r="BR49" s="15" t="n">
        <f aca="false">INDEX(Ipotesi!$C$78:$G$78,1,F49)/12</f>
        <v>2000</v>
      </c>
      <c r="BS49" s="15" t="n">
        <f aca="false">SUM(M49:R49)*(Ipotesi!$C$85+Ipotesi!$C$86)/12</f>
        <v>6125</v>
      </c>
      <c r="BT49" s="15" t="n">
        <f aca="false">BI49*Ipotesi!$C$87</f>
        <v>3268.76341048981</v>
      </c>
      <c r="BU49" s="15" t="n">
        <f aca="false">INDEX(Ipotesi!$C$55:$G$55,1,F49)*K49/12</f>
        <v>2000</v>
      </c>
      <c r="BV49" s="15" t="n">
        <f aca="false">INDEX(Ipotesi!$C$80:$G$80,1,F49)/12*Ipotesi!C126</f>
        <v>1666.66666666667</v>
      </c>
      <c r="BW49" s="15" t="n">
        <f aca="false">INDEX(Ipotesi!$C$82:$G$82,1,F49)/12</f>
        <v>1250</v>
      </c>
      <c r="BX49" s="15" t="n">
        <f aca="false">INDEX(Ipotesi!$C$83:$G$83,1,F49)/12</f>
        <v>750</v>
      </c>
      <c r="BY49" s="15" t="n">
        <f aca="false">SUM(S49:U49)*(Ipotesi!$C$85+Ipotesi!$C$86)/12</f>
        <v>2479.16666666667</v>
      </c>
      <c r="BZ49" s="15" t="n">
        <f aca="false">AM49*Ipotesi!$C$87</f>
        <v>2071.875</v>
      </c>
      <c r="CA49" s="15" t="n">
        <f aca="false">AB49+BJ49+BL49+BN49+BO49+AR49+BP49+BQ49+BR49+BS49+BT49</f>
        <v>155124.292373952</v>
      </c>
      <c r="CB49" s="15" t="n">
        <f aca="false">AC49+BK49+BM49+BH49+BU49+BV49+AS49+BW49+BX49+BY49+BZ49</f>
        <v>59191.5067083333</v>
      </c>
      <c r="CC49" s="15" t="n">
        <f aca="false">BI49-CA49</f>
        <v>-46165.5120242922</v>
      </c>
      <c r="CD49" s="15" t="n">
        <f aca="false">AM49-CB49</f>
        <v>9870.99329166667</v>
      </c>
      <c r="CE49" s="15" t="n">
        <f aca="false">INDEX(Ipotesi!$C$79:$G$79,1,F49)/12</f>
        <v>3333.33333333333</v>
      </c>
      <c r="CF49" s="15" t="n">
        <f aca="false">INDEX(Ipotesi!$C$84:$G$84,1,F49)/12</f>
        <v>666.666666666667</v>
      </c>
      <c r="CG49" s="15" t="n">
        <f aca="false">Y49*MAX(0,Parametri_v3!$C$12-IF(P49=0,0,MIN(1,BE49/(P49*Parametri_v3!$C$22))))+W49*Parametri_v3!$C$13+X49*Parametri_v3!$C$14</f>
        <v>31553.3999671756</v>
      </c>
      <c r="CH49" s="15" t="n">
        <f aca="false">AB49*Parametri_v3!$C$32</f>
        <v>4823.65419791667</v>
      </c>
      <c r="CI49" s="15" t="n">
        <f aca="false">AC49*Parametri_v3!$C$32</f>
        <v>1691.45033541667</v>
      </c>
      <c r="CJ49" s="15" t="n">
        <f aca="false">CA49-AB49</f>
        <v>58651.2084156191</v>
      </c>
      <c r="CK49" s="15" t="n">
        <f aca="false">CB49-AC49-BH49</f>
        <v>18456.25</v>
      </c>
      <c r="CL49" s="15" t="n">
        <f aca="false">BF49*Ipotesi!$C$73+INDEX(Ipotesi!$C$72:$G$72,1,F49)/12*Ipotesi!C126*Parametri_v3!$C$58+Z49*(1-Parametri_v3!$C$16)</f>
        <v>11675.7918029728</v>
      </c>
      <c r="CM49" s="16" t="n">
        <f aca="false">IF(BF49=0,0,1-CL49/BF49)</f>
        <v>0.781720224747508</v>
      </c>
    </row>
    <row r="50" customFormat="false" ht="18" hidden="false" customHeight="true" outlineLevel="0" collapsed="false">
      <c r="A50" s="68" t="n">
        <f aca="false">1</f>
        <v>1</v>
      </c>
      <c r="B50" s="68" t="n">
        <f aca="false">46</f>
        <v>46</v>
      </c>
      <c r="C50" s="18" t="n">
        <f aca="false">EDATE(Parametri_v3!$C$5,46-1)</f>
        <v>47757</v>
      </c>
      <c r="D50" s="68" t="n">
        <f aca="false">YEAR(C50)</f>
        <v>2030</v>
      </c>
      <c r="E50" s="68" t="n">
        <f aca="false">MONTH(C50)</f>
        <v>10</v>
      </c>
      <c r="F50" s="68" t="n">
        <f aca="false">INT((46-1)/12)+1</f>
        <v>4</v>
      </c>
      <c r="G50" s="15" t="n">
        <f aca="false">Ipotesi!C7</f>
        <v>0.75</v>
      </c>
      <c r="H50" s="15" t="n">
        <f aca="false">Ipotesi!C9</f>
        <v>1</v>
      </c>
      <c r="I50" s="15" t="n">
        <f aca="false">Ipotesi!C10</f>
        <v>1</v>
      </c>
      <c r="J50" s="15" t="n">
        <f aca="false">Ipotesi!C11</f>
        <v>1</v>
      </c>
      <c r="K50" s="15" t="n">
        <f aca="false">Ipotesi!C12</f>
        <v>1</v>
      </c>
      <c r="L50" s="15" t="n">
        <f aca="false">Ipotesi!C13</f>
        <v>90</v>
      </c>
      <c r="M50" s="17" t="n">
        <f aca="false">INDEX(Ipotesi!$C$40:$G$40,1,F50)</f>
        <v>1</v>
      </c>
      <c r="N50" s="17" t="n">
        <f aca="false">INDEX(Ipotesi!$C$41:$G$41,1,F50)</f>
        <v>1</v>
      </c>
      <c r="O50" s="17" t="n">
        <f aca="false">INDEX(Ipotesi!$C$42:$G$42,1,F50)*Ipotesi!C125</f>
        <v>6.5</v>
      </c>
      <c r="P50" s="17" t="n">
        <f aca="false">INDEX(Ipotesi!$C$43:$G$43,1,F50)*I50</f>
        <v>6</v>
      </c>
      <c r="Q50" s="17" t="n">
        <f aca="false">INDEX(Ipotesi!$C$44:$G$44,1,F50)*I50</f>
        <v>5</v>
      </c>
      <c r="R50" s="17" t="n">
        <f aca="false">INDEX(Ipotesi!$C$45:$G$45,1,F50)*I50</f>
        <v>1.5</v>
      </c>
      <c r="S50" s="17" t="n">
        <f aca="false">INDEX(Ipotesi!$C$52:$G$52,1,F50)*Ipotesi!C125</f>
        <v>7</v>
      </c>
      <c r="T50" s="17" t="n">
        <f aca="false">INDEX(Ipotesi!$C$53:$G$53,1,F50)*I50</f>
        <v>1</v>
      </c>
      <c r="U50" s="17" t="n">
        <f aca="false">INDEX(Ipotesi!$C$54:$G$54,1,F50)*I50</f>
        <v>0.5</v>
      </c>
      <c r="V50" s="15" t="n">
        <f aca="false">M50*INDEX(Ipotesi!$C$58:$G$58,1,F50)*K50/12</f>
        <v>7916.66666666667</v>
      </c>
      <c r="W50" s="15" t="n">
        <f aca="false">N50*Ipotesi!$C$59*(1+Ipotesi!$C$66)^(F50-1)/12</f>
        <v>6374.24083333333</v>
      </c>
      <c r="X50" s="15" t="n">
        <f aca="false">O50*Ipotesi!$C$60*(1+Ipotesi!$C$66)^(F50-1)/12</f>
        <v>29594.6895833333</v>
      </c>
      <c r="Y50" s="15" t="n">
        <f aca="false">P50*Ipotesi!$C$61*(1+Ipotesi!$C$66)^(F50-1)/12</f>
        <v>27318.175</v>
      </c>
      <c r="Z50" s="15" t="n">
        <f aca="false">Q50*Ipotesi!$C$62*(1+Ipotesi!$C$66)^(F50-1)/12</f>
        <v>20488.63125</v>
      </c>
      <c r="AA50" s="15" t="n">
        <f aca="false">R50*Ipotesi!$C$63*(1+Ipotesi!$C$66)^(F50-1)/12</f>
        <v>4780.680625</v>
      </c>
      <c r="AB50" s="15" t="n">
        <f aca="false">SUM(V50:AA50)</f>
        <v>96473.0839583333</v>
      </c>
      <c r="AC50" s="15" t="n">
        <f aca="false">(S50*Ipotesi!$C$64+T50*Ipotesi!$C$65+U50*Ipotesi!$C$63)*(1+Ipotesi!$C$66)^(F50-1)/12</f>
        <v>33829.0067083333</v>
      </c>
      <c r="AD50" s="15" t="n">
        <f aca="false">INDEX(Ipotesi!$C$48:$G$48,1,F50)*G50/12</f>
        <v>59.375</v>
      </c>
      <c r="AE50" s="15" t="n">
        <f aca="false">INDEX(Ipotesi!$C$50:$G$50,1,F50)*G50/12</f>
        <v>6.25</v>
      </c>
      <c r="AF50" s="15" t="n">
        <f aca="false">(S50*Parametri_v3!$C$7*Parametri_v3!$C$8+Parametri_v3!$C$10)/12</f>
        <v>89.8333333333333</v>
      </c>
      <c r="AG50" s="15" t="n">
        <f aca="false">AD50+AE50*(1+Parametri_v3!$C$9)</f>
        <v>68.75</v>
      </c>
      <c r="AH50" s="16" t="n">
        <f aca="false">IF(AG50=0,1,MIN(1,AF50/AG50))</f>
        <v>1</v>
      </c>
      <c r="AI50" s="15" t="n">
        <f aca="false">AD50*AH50</f>
        <v>59.375</v>
      </c>
      <c r="AJ50" s="15" t="n">
        <f aca="false">AE50*AH50</f>
        <v>6.25</v>
      </c>
      <c r="AK50" s="15" t="n">
        <f aca="false">AI50*INDEX(Ipotesi!$C$49:$G$49,1,F50)*H50</f>
        <v>53437.5</v>
      </c>
      <c r="AL50" s="15" t="n">
        <f aca="false">AJ50*INDEX(Ipotesi!$C$51:$G$51,1,F50)*H50</f>
        <v>15625</v>
      </c>
      <c r="AM50" s="15" t="n">
        <f aca="false">AK50+AL50</f>
        <v>69062.5</v>
      </c>
      <c r="AN50" s="15" t="n">
        <f aca="false">INDEX(Ipotesi!$C$30:$G$30,1,F50)*G50/12</f>
        <v>46.25</v>
      </c>
      <c r="AO50" s="15" t="n">
        <f aca="false">O50*Parametri_v3!$C$7*Parametri_v3!$C$11*(1-Parametri_v3!$C$14)/12</f>
        <v>66.7333333333333</v>
      </c>
      <c r="AP50" s="15" t="n">
        <f aca="false">MIN(AN50,AO50)</f>
        <v>46.25</v>
      </c>
      <c r="AQ50" s="15" t="n">
        <f aca="false">AP50*INDEX(Ipotesi!$C$31:$G$31,1,F50)*H50</f>
        <v>48562.5</v>
      </c>
      <c r="AR50" s="15" t="n">
        <f aca="false">INDEX(Ipotesi!$C$75:$G$75,1,F50)*J50/12</f>
        <v>27916.6666666667</v>
      </c>
      <c r="AS50" s="15" t="n">
        <f aca="false">INDEX(Ipotesi!$C$81:$G$81,1,F50)*J50/12</f>
        <v>1666.66666666667</v>
      </c>
      <c r="AT50" s="15" t="n">
        <f aca="false">AR50*Parametri_v3!$C$15+Z50*Parametri_v3!$C$16</f>
        <v>42258.7085416667</v>
      </c>
      <c r="AU50" s="15" t="n">
        <f aca="false">Q50*Parametri_v3!$C$16*Parametri_v3!$C$17</f>
        <v>350</v>
      </c>
      <c r="AV50" s="17" t="n">
        <f aca="false">BD49</f>
        <v>109.457934506071</v>
      </c>
      <c r="AW50" s="17" t="n">
        <f aca="false">AV50*(1-(1-INDEX(Ipotesi!$C$34:$G$34,1,F50))^(1/12))</f>
        <v>0.956838679356748</v>
      </c>
      <c r="AX50" s="15" t="n">
        <f aca="false">ROUND(INDEX(Ipotesi!$C$32:$G$32,1,F50)*Ipotesi!C8,0)</f>
        <v>186</v>
      </c>
      <c r="AY50" s="15" t="n">
        <f aca="false">MAX(0,(AX50-(AV50-AW50))/(13-E50))</f>
        <v>25.8329680577618</v>
      </c>
      <c r="AZ50" s="15" t="n">
        <f aca="false">MIN(P50*Parametri_v3!$C$22,Q50*(1-Parametri_v3!$C$16)*Parametri_v3!$C$23)</f>
        <v>225</v>
      </c>
      <c r="BA50" s="15" t="n">
        <f aca="false">IF(OR(INDEX(Ipotesi!$C$35:$G$35,1,F50)&lt;=0,46-Parametri_v3!$C$21&lt;1),0,INDEX($AT$5:$AT$64,MAX(1,46-Parametri_v3!$C$21))/(INDEX(Ipotesi!$C$35:$G$35,1,F50)*Ipotesi!C27))</f>
        <v>5.86926507523148</v>
      </c>
      <c r="BB50" s="15" t="n">
        <f aca="false">IF(46-Parametri_v3!$C$21&lt;1,0,INDEX($AU$5:$AU$64,MAX(1,46-Parametri_v3!$C$21)))*Parametri_v3!$C$18*Parametri_v3!$C$19*Parametri_v3!$C$20</f>
        <v>13.125</v>
      </c>
      <c r="BC50" s="17" t="n">
        <f aca="false">MAX(0,MIN(AY50,BA50,BB50,MAX(0,AZ50-(AV50-AW50))))</f>
        <v>5.86926507523148</v>
      </c>
      <c r="BD50" s="17" t="n">
        <f aca="false">AV50-AW50+BC50</f>
        <v>114.370360901946</v>
      </c>
      <c r="BE50" s="17" t="n">
        <f aca="false">(AV50+BD50)/2</f>
        <v>111.914147704009</v>
      </c>
      <c r="BF50" s="15" t="n">
        <f aca="false">BE50*INDEX(Ipotesi!$C$33:$G$33,1,F50)*H50/12</f>
        <v>55957.0738520043</v>
      </c>
      <c r="BG50" s="15" t="n">
        <f aca="false">BD50*INDEX(Ipotesi!$C$33:$G$33,1,F50)*H50</f>
        <v>686222.165411676</v>
      </c>
      <c r="BH50" s="15" t="n">
        <f aca="false">AM50*INDEX(Ipotesi!$C$37:$G$37,1,F50)</f>
        <v>6906.25</v>
      </c>
      <c r="BI50" s="15" t="n">
        <f aca="false">AQ50+BF50+BH50</f>
        <v>111425.823852004</v>
      </c>
      <c r="BJ50" s="15" t="n">
        <f aca="false">INDEX(Ipotesi!$C$68:$G$68,1,F50)*Ipotesi!$C$69/12</f>
        <v>3000</v>
      </c>
      <c r="BK50" s="15" t="n">
        <f aca="false">INDEX(Ipotesi!$C$68:$G$68,1,F50)*(1-Ipotesi!$C$69)/12</f>
        <v>4500</v>
      </c>
      <c r="BL50" s="15" t="n">
        <f aca="false">(AQ50+BF50)*Ipotesi!$C$67</f>
        <v>3135.58721556013</v>
      </c>
      <c r="BM50" s="15" t="n">
        <f aca="false">AM50*Ipotesi!$C$67</f>
        <v>2071.875</v>
      </c>
      <c r="BN50" s="15" t="n">
        <f aca="false">INDEX(Ipotesi!$C$72:$G$72,1,F50)/12*Ipotesi!C126+BF50*Ipotesi!$C$73</f>
        <v>5726.56590816034</v>
      </c>
      <c r="BO50" s="15" t="n">
        <f aca="false">INDEX(Ipotesi!$C$74:$G$74,1,F50)/12*Ipotesi!C126</f>
        <v>4166.66666666667</v>
      </c>
      <c r="BP50" s="15" t="n">
        <f aca="false">INDEX(Ipotesi!$C$76:$G$76,1,F50)/12</f>
        <v>1500</v>
      </c>
      <c r="BQ50" s="15" t="n">
        <f aca="false">INDEX(Ipotesi!$C$77:$G$77,1,F50)/12*Ipotesi!C126</f>
        <v>2083.33333333333</v>
      </c>
      <c r="BR50" s="15" t="n">
        <f aca="false">INDEX(Ipotesi!$C$78:$G$78,1,F50)/12</f>
        <v>2000</v>
      </c>
      <c r="BS50" s="15" t="n">
        <f aca="false">SUM(M50:R50)*(Ipotesi!$C$85+Ipotesi!$C$86)/12</f>
        <v>6125</v>
      </c>
      <c r="BT50" s="15" t="n">
        <f aca="false">BI50*Ipotesi!$C$87</f>
        <v>3342.77471556013</v>
      </c>
      <c r="BU50" s="15" t="n">
        <f aca="false">INDEX(Ipotesi!$C$55:$G$55,1,F50)*K50/12</f>
        <v>2000</v>
      </c>
      <c r="BV50" s="15" t="n">
        <f aca="false">INDEX(Ipotesi!$C$80:$G$80,1,F50)/12*Ipotesi!C126</f>
        <v>1666.66666666667</v>
      </c>
      <c r="BW50" s="15" t="n">
        <f aca="false">INDEX(Ipotesi!$C$82:$G$82,1,F50)/12</f>
        <v>1250</v>
      </c>
      <c r="BX50" s="15" t="n">
        <f aca="false">INDEX(Ipotesi!$C$83:$G$83,1,F50)/12</f>
        <v>750</v>
      </c>
      <c r="BY50" s="15" t="n">
        <f aca="false">SUM(S50:U50)*(Ipotesi!$C$85+Ipotesi!$C$86)/12</f>
        <v>2479.16666666667</v>
      </c>
      <c r="BZ50" s="15" t="n">
        <f aca="false">AM50*Ipotesi!$C$87</f>
        <v>2071.875</v>
      </c>
      <c r="CA50" s="15" t="n">
        <f aca="false">AB50+BJ50+BL50+BN50+BO50+AR50+BP50+BQ50+BR50+BS50+BT50</f>
        <v>155469.678464281</v>
      </c>
      <c r="CB50" s="15" t="n">
        <f aca="false">AC50+BK50+BM50+BH50+BU50+BV50+AS50+BW50+BX50+BY50+BZ50</f>
        <v>59191.5067083333</v>
      </c>
      <c r="CC50" s="15" t="n">
        <f aca="false">BI50-CA50</f>
        <v>-44043.8546122763</v>
      </c>
      <c r="CD50" s="15" t="n">
        <f aca="false">AM50-CB50</f>
        <v>9870.99329166667</v>
      </c>
      <c r="CE50" s="15" t="n">
        <f aca="false">INDEX(Ipotesi!$C$79:$G$79,1,F50)/12</f>
        <v>3333.33333333333</v>
      </c>
      <c r="CF50" s="15" t="n">
        <f aca="false">INDEX(Ipotesi!$C$84:$G$84,1,F50)/12</f>
        <v>666.666666666667</v>
      </c>
      <c r="CG50" s="15" t="n">
        <f aca="false">Y50*MAX(0,Parametri_v3!$C$12-IF(P50=0,0,MIN(1,BE50/(P50*Parametri_v3!$C$22))))+W50*Parametri_v3!$C$13+X50*Parametri_v3!$C$14</f>
        <v>31328.7495467434</v>
      </c>
      <c r="CH50" s="15" t="n">
        <f aca="false">AB50*Parametri_v3!$C$32</f>
        <v>4823.65419791667</v>
      </c>
      <c r="CI50" s="15" t="n">
        <f aca="false">AC50*Parametri_v3!$C$32</f>
        <v>1691.45033541667</v>
      </c>
      <c r="CJ50" s="15" t="n">
        <f aca="false">CA50-AB50</f>
        <v>58996.5945059473</v>
      </c>
      <c r="CK50" s="15" t="n">
        <f aca="false">CB50-AC50-BH50</f>
        <v>18456.25</v>
      </c>
      <c r="CL50" s="15" t="n">
        <f aca="false">BF50*Ipotesi!$C$73+INDEX(Ipotesi!$C$72:$G$72,1,F50)/12*Ipotesi!C126*Parametri_v3!$C$58+Z50*(1-Parametri_v3!$C$16)</f>
        <v>11873.1552831603</v>
      </c>
      <c r="CM50" s="16" t="n">
        <f aca="false">IF(BF50=0,0,1-CL50/BF50)</f>
        <v>0.787816723323265</v>
      </c>
    </row>
    <row r="51" customFormat="false" ht="18" hidden="false" customHeight="true" outlineLevel="0" collapsed="false">
      <c r="A51" s="68" t="n">
        <f aca="false">1</f>
        <v>1</v>
      </c>
      <c r="B51" s="68" t="n">
        <f aca="false">47</f>
        <v>47</v>
      </c>
      <c r="C51" s="18" t="n">
        <f aca="false">EDATE(Parametri_v3!$C$5,47-1)</f>
        <v>47788</v>
      </c>
      <c r="D51" s="68" t="n">
        <f aca="false">YEAR(C51)</f>
        <v>2030</v>
      </c>
      <c r="E51" s="68" t="n">
        <f aca="false">MONTH(C51)</f>
        <v>11</v>
      </c>
      <c r="F51" s="68" t="n">
        <f aca="false">INT((47-1)/12)+1</f>
        <v>4</v>
      </c>
      <c r="G51" s="15" t="n">
        <f aca="false">Ipotesi!C7</f>
        <v>0.75</v>
      </c>
      <c r="H51" s="15" t="n">
        <f aca="false">Ipotesi!C9</f>
        <v>1</v>
      </c>
      <c r="I51" s="15" t="n">
        <f aca="false">Ipotesi!C10</f>
        <v>1</v>
      </c>
      <c r="J51" s="15" t="n">
        <f aca="false">Ipotesi!C11</f>
        <v>1</v>
      </c>
      <c r="K51" s="15" t="n">
        <f aca="false">Ipotesi!C12</f>
        <v>1</v>
      </c>
      <c r="L51" s="15" t="n">
        <f aca="false">Ipotesi!C13</f>
        <v>90</v>
      </c>
      <c r="M51" s="17" t="n">
        <f aca="false">INDEX(Ipotesi!$C$40:$G$40,1,F51)</f>
        <v>1</v>
      </c>
      <c r="N51" s="17" t="n">
        <f aca="false">INDEX(Ipotesi!$C$41:$G$41,1,F51)</f>
        <v>1</v>
      </c>
      <c r="O51" s="17" t="n">
        <f aca="false">INDEX(Ipotesi!$C$42:$G$42,1,F51)*Ipotesi!C125</f>
        <v>6.5</v>
      </c>
      <c r="P51" s="17" t="n">
        <f aca="false">INDEX(Ipotesi!$C$43:$G$43,1,F51)*I51</f>
        <v>6</v>
      </c>
      <c r="Q51" s="17" t="n">
        <f aca="false">INDEX(Ipotesi!$C$44:$G$44,1,F51)*I51</f>
        <v>5</v>
      </c>
      <c r="R51" s="17" t="n">
        <f aca="false">INDEX(Ipotesi!$C$45:$G$45,1,F51)*I51</f>
        <v>1.5</v>
      </c>
      <c r="S51" s="17" t="n">
        <f aca="false">INDEX(Ipotesi!$C$52:$G$52,1,F51)*Ipotesi!C125</f>
        <v>7</v>
      </c>
      <c r="T51" s="17" t="n">
        <f aca="false">INDEX(Ipotesi!$C$53:$G$53,1,F51)*I51</f>
        <v>1</v>
      </c>
      <c r="U51" s="17" t="n">
        <f aca="false">INDEX(Ipotesi!$C$54:$G$54,1,F51)*I51</f>
        <v>0.5</v>
      </c>
      <c r="V51" s="15" t="n">
        <f aca="false">M51*INDEX(Ipotesi!$C$58:$G$58,1,F51)*K51/12</f>
        <v>7916.66666666667</v>
      </c>
      <c r="W51" s="15" t="n">
        <f aca="false">N51*Ipotesi!$C$59*(1+Ipotesi!$C$66)^(F51-1)/12</f>
        <v>6374.24083333333</v>
      </c>
      <c r="X51" s="15" t="n">
        <f aca="false">O51*Ipotesi!$C$60*(1+Ipotesi!$C$66)^(F51-1)/12</f>
        <v>29594.6895833333</v>
      </c>
      <c r="Y51" s="15" t="n">
        <f aca="false">P51*Ipotesi!$C$61*(1+Ipotesi!$C$66)^(F51-1)/12</f>
        <v>27318.175</v>
      </c>
      <c r="Z51" s="15" t="n">
        <f aca="false">Q51*Ipotesi!$C$62*(1+Ipotesi!$C$66)^(F51-1)/12</f>
        <v>20488.63125</v>
      </c>
      <c r="AA51" s="15" t="n">
        <f aca="false">R51*Ipotesi!$C$63*(1+Ipotesi!$C$66)^(F51-1)/12</f>
        <v>4780.680625</v>
      </c>
      <c r="AB51" s="15" t="n">
        <f aca="false">SUM(V51:AA51)</f>
        <v>96473.0839583333</v>
      </c>
      <c r="AC51" s="15" t="n">
        <f aca="false">(S51*Ipotesi!$C$64+T51*Ipotesi!$C$65+U51*Ipotesi!$C$63)*(1+Ipotesi!$C$66)^(F51-1)/12</f>
        <v>33829.0067083333</v>
      </c>
      <c r="AD51" s="15" t="n">
        <f aca="false">INDEX(Ipotesi!$C$48:$G$48,1,F51)*G51/12</f>
        <v>59.375</v>
      </c>
      <c r="AE51" s="15" t="n">
        <f aca="false">INDEX(Ipotesi!$C$50:$G$50,1,F51)*G51/12</f>
        <v>6.25</v>
      </c>
      <c r="AF51" s="15" t="n">
        <f aca="false">(S51*Parametri_v3!$C$7*Parametri_v3!$C$8+Parametri_v3!$C$10)/12</f>
        <v>89.8333333333333</v>
      </c>
      <c r="AG51" s="15" t="n">
        <f aca="false">AD51+AE51*(1+Parametri_v3!$C$9)</f>
        <v>68.75</v>
      </c>
      <c r="AH51" s="16" t="n">
        <f aca="false">IF(AG51=0,1,MIN(1,AF51/AG51))</f>
        <v>1</v>
      </c>
      <c r="AI51" s="15" t="n">
        <f aca="false">AD51*AH51</f>
        <v>59.375</v>
      </c>
      <c r="AJ51" s="15" t="n">
        <f aca="false">AE51*AH51</f>
        <v>6.25</v>
      </c>
      <c r="AK51" s="15" t="n">
        <f aca="false">AI51*INDEX(Ipotesi!$C$49:$G$49,1,F51)*H51</f>
        <v>53437.5</v>
      </c>
      <c r="AL51" s="15" t="n">
        <f aca="false">AJ51*INDEX(Ipotesi!$C$51:$G$51,1,F51)*H51</f>
        <v>15625</v>
      </c>
      <c r="AM51" s="15" t="n">
        <f aca="false">AK51+AL51</f>
        <v>69062.5</v>
      </c>
      <c r="AN51" s="15" t="n">
        <f aca="false">INDEX(Ipotesi!$C$30:$G$30,1,F51)*G51/12</f>
        <v>46.25</v>
      </c>
      <c r="AO51" s="15" t="n">
        <f aca="false">O51*Parametri_v3!$C$7*Parametri_v3!$C$11*(1-Parametri_v3!$C$14)/12</f>
        <v>66.7333333333333</v>
      </c>
      <c r="AP51" s="15" t="n">
        <f aca="false">MIN(AN51,AO51)</f>
        <v>46.25</v>
      </c>
      <c r="AQ51" s="15" t="n">
        <f aca="false">AP51*INDEX(Ipotesi!$C$31:$G$31,1,F51)*H51</f>
        <v>48562.5</v>
      </c>
      <c r="AR51" s="15" t="n">
        <f aca="false">INDEX(Ipotesi!$C$75:$G$75,1,F51)*J51/12</f>
        <v>27916.6666666667</v>
      </c>
      <c r="AS51" s="15" t="n">
        <f aca="false">INDEX(Ipotesi!$C$81:$G$81,1,F51)*J51/12</f>
        <v>1666.66666666667</v>
      </c>
      <c r="AT51" s="15" t="n">
        <f aca="false">AR51*Parametri_v3!$C$15+Z51*Parametri_v3!$C$16</f>
        <v>42258.7085416667</v>
      </c>
      <c r="AU51" s="15" t="n">
        <f aca="false">Q51*Parametri_v3!$C$16*Parametri_v3!$C$17</f>
        <v>350</v>
      </c>
      <c r="AV51" s="17" t="n">
        <f aca="false">BD50</f>
        <v>114.370360901946</v>
      </c>
      <c r="AW51" s="17" t="n">
        <f aca="false">AV51*(1-(1-INDEX(Ipotesi!$C$34:$G$34,1,F51))^(1/12))</f>
        <v>0.999781199753068</v>
      </c>
      <c r="AX51" s="15" t="n">
        <f aca="false">ROUND(INDEX(Ipotesi!$C$32:$G$32,1,F51)*Ipotesi!C8,0)</f>
        <v>186</v>
      </c>
      <c r="AY51" s="15" t="n">
        <f aca="false">MAX(0,(AX51-(AV51-AW51))/(13-E51))</f>
        <v>36.3147101489036</v>
      </c>
      <c r="AZ51" s="15" t="n">
        <f aca="false">MIN(P51*Parametri_v3!$C$22,Q51*(1-Parametri_v3!$C$16)*Parametri_v3!$C$23)</f>
        <v>225</v>
      </c>
      <c r="BA51" s="15" t="n">
        <f aca="false">IF(OR(INDEX(Ipotesi!$C$35:$G$35,1,F51)&lt;=0,47-Parametri_v3!$C$21&lt;1),0,INDEX($AT$5:$AT$64,MAX(1,47-Parametri_v3!$C$21))/(INDEX(Ipotesi!$C$35:$G$35,1,F51)*Ipotesi!C27))</f>
        <v>5.86926507523148</v>
      </c>
      <c r="BB51" s="15" t="n">
        <f aca="false">IF(47-Parametri_v3!$C$21&lt;1,0,INDEX($AU$5:$AU$64,MAX(1,47-Parametri_v3!$C$21)))*Parametri_v3!$C$18*Parametri_v3!$C$19*Parametri_v3!$C$20</f>
        <v>13.125</v>
      </c>
      <c r="BC51" s="17" t="n">
        <f aca="false">MAX(0,MIN(AY51,BA51,BB51,MAX(0,AZ51-(AV51-AW51))))</f>
        <v>5.86926507523148</v>
      </c>
      <c r="BD51" s="17" t="n">
        <f aca="false">AV51-AW51+BC51</f>
        <v>119.239844777424</v>
      </c>
      <c r="BE51" s="17" t="n">
        <f aca="false">(AV51+BD51)/2</f>
        <v>116.805102839685</v>
      </c>
      <c r="BF51" s="15" t="n">
        <f aca="false">BE51*INDEX(Ipotesi!$C$33:$G$33,1,F51)*H51/12</f>
        <v>58402.5514198426</v>
      </c>
      <c r="BG51" s="15" t="n">
        <f aca="false">BD51*INDEX(Ipotesi!$C$33:$G$33,1,F51)*H51</f>
        <v>715439.068664546</v>
      </c>
      <c r="BH51" s="15" t="n">
        <f aca="false">AM51*INDEX(Ipotesi!$C$37:$G$37,1,F51)</f>
        <v>6906.25</v>
      </c>
      <c r="BI51" s="15" t="n">
        <f aca="false">AQ51+BF51+BH51</f>
        <v>113871.301419843</v>
      </c>
      <c r="BJ51" s="15" t="n">
        <f aca="false">INDEX(Ipotesi!$C$68:$G$68,1,F51)*Ipotesi!$C$69/12</f>
        <v>3000</v>
      </c>
      <c r="BK51" s="15" t="n">
        <f aca="false">INDEX(Ipotesi!$C$68:$G$68,1,F51)*(1-Ipotesi!$C$69)/12</f>
        <v>4500</v>
      </c>
      <c r="BL51" s="15" t="n">
        <f aca="false">(AQ51+BF51)*Ipotesi!$C$67</f>
        <v>3208.95154259528</v>
      </c>
      <c r="BM51" s="15" t="n">
        <f aca="false">AM51*Ipotesi!$C$67</f>
        <v>2071.875</v>
      </c>
      <c r="BN51" s="15" t="n">
        <f aca="false">INDEX(Ipotesi!$C$72:$G$72,1,F51)/12*Ipotesi!C126+BF51*Ipotesi!$C$73</f>
        <v>5922.20411358741</v>
      </c>
      <c r="BO51" s="15" t="n">
        <f aca="false">INDEX(Ipotesi!$C$74:$G$74,1,F51)/12*Ipotesi!C126</f>
        <v>4166.66666666667</v>
      </c>
      <c r="BP51" s="15" t="n">
        <f aca="false">INDEX(Ipotesi!$C$76:$G$76,1,F51)/12</f>
        <v>1500</v>
      </c>
      <c r="BQ51" s="15" t="n">
        <f aca="false">INDEX(Ipotesi!$C$77:$G$77,1,F51)/12*Ipotesi!C126</f>
        <v>2083.33333333333</v>
      </c>
      <c r="BR51" s="15" t="n">
        <f aca="false">INDEX(Ipotesi!$C$78:$G$78,1,F51)/12</f>
        <v>2000</v>
      </c>
      <c r="BS51" s="15" t="n">
        <f aca="false">SUM(M51:R51)*(Ipotesi!$C$85+Ipotesi!$C$86)/12</f>
        <v>6125</v>
      </c>
      <c r="BT51" s="15" t="n">
        <f aca="false">BI51*Ipotesi!$C$87</f>
        <v>3416.13904259528</v>
      </c>
      <c r="BU51" s="15" t="n">
        <f aca="false">INDEX(Ipotesi!$C$55:$G$55,1,F51)*K51/12</f>
        <v>2000</v>
      </c>
      <c r="BV51" s="15" t="n">
        <f aca="false">INDEX(Ipotesi!$C$80:$G$80,1,F51)/12*Ipotesi!C126</f>
        <v>1666.66666666667</v>
      </c>
      <c r="BW51" s="15" t="n">
        <f aca="false">INDEX(Ipotesi!$C$82:$G$82,1,F51)/12</f>
        <v>1250</v>
      </c>
      <c r="BX51" s="15" t="n">
        <f aca="false">INDEX(Ipotesi!$C$83:$G$83,1,F51)/12</f>
        <v>750</v>
      </c>
      <c r="BY51" s="15" t="n">
        <f aca="false">SUM(S51:U51)*(Ipotesi!$C$85+Ipotesi!$C$86)/12</f>
        <v>2479.16666666667</v>
      </c>
      <c r="BZ51" s="15" t="n">
        <f aca="false">AM51*Ipotesi!$C$87</f>
        <v>2071.875</v>
      </c>
      <c r="CA51" s="15" t="n">
        <f aca="false">AB51+BJ51+BL51+BN51+BO51+AR51+BP51+BQ51+BR51+BS51+BT51</f>
        <v>155812.045323778</v>
      </c>
      <c r="CB51" s="15" t="n">
        <f aca="false">AC51+BK51+BM51+BH51+BU51+BV51+AS51+BW51+BX51+BY51+BZ51</f>
        <v>59191.5067083333</v>
      </c>
      <c r="CC51" s="15" t="n">
        <f aca="false">BI51-CA51</f>
        <v>-41940.7439039354</v>
      </c>
      <c r="CD51" s="15" t="n">
        <f aca="false">AM51-CB51</f>
        <v>9870.99329166667</v>
      </c>
      <c r="CE51" s="15" t="n">
        <f aca="false">INDEX(Ipotesi!$C$79:$G$79,1,F51)/12</f>
        <v>3333.33333333333</v>
      </c>
      <c r="CF51" s="15" t="n">
        <f aca="false">INDEX(Ipotesi!$C$84:$G$84,1,F51)/12</f>
        <v>666.666666666667</v>
      </c>
      <c r="CG51" s="15" t="n">
        <f aca="false">Y51*MAX(0,Parametri_v3!$C$12-IF(P51=0,0,MIN(1,BE51/(P51*Parametri_v3!$C$22))))+W51*Parametri_v3!$C$13+X51*Parametri_v3!$C$14</f>
        <v>31106.0629328875</v>
      </c>
      <c r="CH51" s="15" t="n">
        <f aca="false">AB51*Parametri_v3!$C$32</f>
        <v>4823.65419791667</v>
      </c>
      <c r="CI51" s="15" t="n">
        <f aca="false">AC51*Parametri_v3!$C$32</f>
        <v>1691.45033541667</v>
      </c>
      <c r="CJ51" s="15" t="n">
        <f aca="false">CA51-AB51</f>
        <v>59338.9613654446</v>
      </c>
      <c r="CK51" s="15" t="n">
        <f aca="false">CB51-AC51-BH51</f>
        <v>18456.25</v>
      </c>
      <c r="CL51" s="15" t="n">
        <f aca="false">BF51*Ipotesi!$C$73+INDEX(Ipotesi!$C$72:$G$72,1,F51)/12*Ipotesi!C126*Parametri_v3!$C$58+Z51*(1-Parametri_v3!$C$16)</f>
        <v>12068.7934885874</v>
      </c>
      <c r="CM51" s="16" t="n">
        <f aca="false">IF(BF51=0,0,1-CL51/BF51)</f>
        <v>0.793351605449091</v>
      </c>
    </row>
    <row r="52" customFormat="false" ht="18" hidden="false" customHeight="true" outlineLevel="0" collapsed="false">
      <c r="A52" s="68" t="n">
        <f aca="false">1</f>
        <v>1</v>
      </c>
      <c r="B52" s="68" t="n">
        <f aca="false">48</f>
        <v>48</v>
      </c>
      <c r="C52" s="18" t="n">
        <f aca="false">EDATE(Parametri_v3!$C$5,48-1)</f>
        <v>47818</v>
      </c>
      <c r="D52" s="68" t="n">
        <f aca="false">YEAR(C52)</f>
        <v>2030</v>
      </c>
      <c r="E52" s="68" t="n">
        <f aca="false">MONTH(C52)</f>
        <v>12</v>
      </c>
      <c r="F52" s="68" t="n">
        <f aca="false">INT((48-1)/12)+1</f>
        <v>4</v>
      </c>
      <c r="G52" s="15" t="n">
        <f aca="false">Ipotesi!C7</f>
        <v>0.75</v>
      </c>
      <c r="H52" s="15" t="n">
        <f aca="false">Ipotesi!C9</f>
        <v>1</v>
      </c>
      <c r="I52" s="15" t="n">
        <f aca="false">Ipotesi!C10</f>
        <v>1</v>
      </c>
      <c r="J52" s="15" t="n">
        <f aca="false">Ipotesi!C11</f>
        <v>1</v>
      </c>
      <c r="K52" s="15" t="n">
        <f aca="false">Ipotesi!C12</f>
        <v>1</v>
      </c>
      <c r="L52" s="15" t="n">
        <f aca="false">Ipotesi!C13</f>
        <v>90</v>
      </c>
      <c r="M52" s="17" t="n">
        <f aca="false">INDEX(Ipotesi!$C$40:$G$40,1,F52)</f>
        <v>1</v>
      </c>
      <c r="N52" s="17" t="n">
        <f aca="false">INDEX(Ipotesi!$C$41:$G$41,1,F52)</f>
        <v>1</v>
      </c>
      <c r="O52" s="17" t="n">
        <f aca="false">INDEX(Ipotesi!$C$42:$G$42,1,F52)*Ipotesi!C125</f>
        <v>6.5</v>
      </c>
      <c r="P52" s="17" t="n">
        <f aca="false">INDEX(Ipotesi!$C$43:$G$43,1,F52)*I52</f>
        <v>6</v>
      </c>
      <c r="Q52" s="17" t="n">
        <f aca="false">INDEX(Ipotesi!$C$44:$G$44,1,F52)*I52</f>
        <v>5</v>
      </c>
      <c r="R52" s="17" t="n">
        <f aca="false">INDEX(Ipotesi!$C$45:$G$45,1,F52)*I52</f>
        <v>1.5</v>
      </c>
      <c r="S52" s="17" t="n">
        <f aca="false">INDEX(Ipotesi!$C$52:$G$52,1,F52)*Ipotesi!C125</f>
        <v>7</v>
      </c>
      <c r="T52" s="17" t="n">
        <f aca="false">INDEX(Ipotesi!$C$53:$G$53,1,F52)*I52</f>
        <v>1</v>
      </c>
      <c r="U52" s="17" t="n">
        <f aca="false">INDEX(Ipotesi!$C$54:$G$54,1,F52)*I52</f>
        <v>0.5</v>
      </c>
      <c r="V52" s="15" t="n">
        <f aca="false">M52*INDEX(Ipotesi!$C$58:$G$58,1,F52)*K52/12</f>
        <v>7916.66666666667</v>
      </c>
      <c r="W52" s="15" t="n">
        <f aca="false">N52*Ipotesi!$C$59*(1+Ipotesi!$C$66)^(F52-1)/12</f>
        <v>6374.24083333333</v>
      </c>
      <c r="X52" s="15" t="n">
        <f aca="false">O52*Ipotesi!$C$60*(1+Ipotesi!$C$66)^(F52-1)/12</f>
        <v>29594.6895833333</v>
      </c>
      <c r="Y52" s="15" t="n">
        <f aca="false">P52*Ipotesi!$C$61*(1+Ipotesi!$C$66)^(F52-1)/12</f>
        <v>27318.175</v>
      </c>
      <c r="Z52" s="15" t="n">
        <f aca="false">Q52*Ipotesi!$C$62*(1+Ipotesi!$C$66)^(F52-1)/12</f>
        <v>20488.63125</v>
      </c>
      <c r="AA52" s="15" t="n">
        <f aca="false">R52*Ipotesi!$C$63*(1+Ipotesi!$C$66)^(F52-1)/12</f>
        <v>4780.680625</v>
      </c>
      <c r="AB52" s="15" t="n">
        <f aca="false">SUM(V52:AA52)</f>
        <v>96473.0839583333</v>
      </c>
      <c r="AC52" s="15" t="n">
        <f aca="false">(S52*Ipotesi!$C$64+T52*Ipotesi!$C$65+U52*Ipotesi!$C$63)*(1+Ipotesi!$C$66)^(F52-1)/12</f>
        <v>33829.0067083333</v>
      </c>
      <c r="AD52" s="15" t="n">
        <f aca="false">INDEX(Ipotesi!$C$48:$G$48,1,F52)*G52/12</f>
        <v>59.375</v>
      </c>
      <c r="AE52" s="15" t="n">
        <f aca="false">INDEX(Ipotesi!$C$50:$G$50,1,F52)*G52/12</f>
        <v>6.25</v>
      </c>
      <c r="AF52" s="15" t="n">
        <f aca="false">(S52*Parametri_v3!$C$7*Parametri_v3!$C$8+Parametri_v3!$C$10)/12</f>
        <v>89.8333333333333</v>
      </c>
      <c r="AG52" s="15" t="n">
        <f aca="false">AD52+AE52*(1+Parametri_v3!$C$9)</f>
        <v>68.75</v>
      </c>
      <c r="AH52" s="16" t="n">
        <f aca="false">IF(AG52=0,1,MIN(1,AF52/AG52))</f>
        <v>1</v>
      </c>
      <c r="AI52" s="15" t="n">
        <f aca="false">AD52*AH52</f>
        <v>59.375</v>
      </c>
      <c r="AJ52" s="15" t="n">
        <f aca="false">AE52*AH52</f>
        <v>6.25</v>
      </c>
      <c r="AK52" s="15" t="n">
        <f aca="false">AI52*INDEX(Ipotesi!$C$49:$G$49,1,F52)*H52</f>
        <v>53437.5</v>
      </c>
      <c r="AL52" s="15" t="n">
        <f aca="false">AJ52*INDEX(Ipotesi!$C$51:$G$51,1,F52)*H52</f>
        <v>15625</v>
      </c>
      <c r="AM52" s="15" t="n">
        <f aca="false">AK52+AL52</f>
        <v>69062.5</v>
      </c>
      <c r="AN52" s="15" t="n">
        <f aca="false">INDEX(Ipotesi!$C$30:$G$30,1,F52)*G52/12</f>
        <v>46.25</v>
      </c>
      <c r="AO52" s="15" t="n">
        <f aca="false">O52*Parametri_v3!$C$7*Parametri_v3!$C$11*(1-Parametri_v3!$C$14)/12</f>
        <v>66.7333333333333</v>
      </c>
      <c r="AP52" s="15" t="n">
        <f aca="false">MIN(AN52,AO52)</f>
        <v>46.25</v>
      </c>
      <c r="AQ52" s="15" t="n">
        <f aca="false">AP52*INDEX(Ipotesi!$C$31:$G$31,1,F52)*H52</f>
        <v>48562.5</v>
      </c>
      <c r="AR52" s="15" t="n">
        <f aca="false">INDEX(Ipotesi!$C$75:$G$75,1,F52)*J52/12</f>
        <v>27916.6666666667</v>
      </c>
      <c r="AS52" s="15" t="n">
        <f aca="false">INDEX(Ipotesi!$C$81:$G$81,1,F52)*J52/12</f>
        <v>1666.66666666667</v>
      </c>
      <c r="AT52" s="15" t="n">
        <f aca="false">AR52*Parametri_v3!$C$15+Z52*Parametri_v3!$C$16</f>
        <v>42258.7085416667</v>
      </c>
      <c r="AU52" s="15" t="n">
        <f aca="false">Q52*Parametri_v3!$C$16*Parametri_v3!$C$17</f>
        <v>350</v>
      </c>
      <c r="AV52" s="17" t="n">
        <f aca="false">BD51</f>
        <v>119.239844777424</v>
      </c>
      <c r="AW52" s="17" t="n">
        <f aca="false">AV52*(1-(1-INDEX(Ipotesi!$C$34:$G$34,1,F52))^(1/12))</f>
        <v>1.04234833334267</v>
      </c>
      <c r="AX52" s="15" t="n">
        <f aca="false">ROUND(INDEX(Ipotesi!$C$32:$G$32,1,F52)*Ipotesi!C8,0)</f>
        <v>186</v>
      </c>
      <c r="AY52" s="15" t="n">
        <f aca="false">MAX(0,(AX52-(AV52-AW52))/(13-E52))</f>
        <v>67.8025035559183</v>
      </c>
      <c r="AZ52" s="15" t="n">
        <f aca="false">MIN(P52*Parametri_v3!$C$22,Q52*(1-Parametri_v3!$C$16)*Parametri_v3!$C$23)</f>
        <v>225</v>
      </c>
      <c r="BA52" s="15" t="n">
        <f aca="false">IF(OR(INDEX(Ipotesi!$C$35:$G$35,1,F52)&lt;=0,48-Parametri_v3!$C$21&lt;1),0,INDEX($AT$5:$AT$64,MAX(1,48-Parametri_v3!$C$21))/(INDEX(Ipotesi!$C$35:$G$35,1,F52)*Ipotesi!C27))</f>
        <v>5.86926507523148</v>
      </c>
      <c r="BB52" s="15" t="n">
        <f aca="false">IF(48-Parametri_v3!$C$21&lt;1,0,INDEX($AU$5:$AU$64,MAX(1,48-Parametri_v3!$C$21)))*Parametri_v3!$C$18*Parametri_v3!$C$19*Parametri_v3!$C$20</f>
        <v>13.125</v>
      </c>
      <c r="BC52" s="17" t="n">
        <f aca="false">MAX(0,MIN(AY52,BA52,BB52,MAX(0,AZ52-(AV52-AW52))))</f>
        <v>5.86926507523148</v>
      </c>
      <c r="BD52" s="17" t="n">
        <f aca="false">AV52-AW52+BC52</f>
        <v>124.066761519313</v>
      </c>
      <c r="BE52" s="17" t="n">
        <f aca="false">(AV52+BD52)/2</f>
        <v>121.653303148369</v>
      </c>
      <c r="BF52" s="15" t="n">
        <f aca="false">BE52*INDEX(Ipotesi!$C$33:$G$33,1,F52)*H52/12</f>
        <v>60826.6515741844</v>
      </c>
      <c r="BG52" s="15" t="n">
        <f aca="false">BD52*INDEX(Ipotesi!$C$33:$G$33,1,F52)*H52</f>
        <v>744400.569115879</v>
      </c>
      <c r="BH52" s="15" t="n">
        <f aca="false">AM52*INDEX(Ipotesi!$C$37:$G$37,1,F52)</f>
        <v>6906.25</v>
      </c>
      <c r="BI52" s="15" t="n">
        <f aca="false">AQ52+BF52+BH52</f>
        <v>116295.401574184</v>
      </c>
      <c r="BJ52" s="15" t="n">
        <f aca="false">INDEX(Ipotesi!$C$68:$G$68,1,F52)*Ipotesi!$C$69/12</f>
        <v>3000</v>
      </c>
      <c r="BK52" s="15" t="n">
        <f aca="false">INDEX(Ipotesi!$C$68:$G$68,1,F52)*(1-Ipotesi!$C$69)/12</f>
        <v>4500</v>
      </c>
      <c r="BL52" s="15" t="n">
        <f aca="false">(AQ52+BF52)*Ipotesi!$C$67</f>
        <v>3281.67454722553</v>
      </c>
      <c r="BM52" s="15" t="n">
        <f aca="false">AM52*Ipotesi!$C$67</f>
        <v>2071.875</v>
      </c>
      <c r="BN52" s="15" t="n">
        <f aca="false">INDEX(Ipotesi!$C$72:$G$72,1,F52)/12*Ipotesi!C126+BF52*Ipotesi!$C$73</f>
        <v>6116.13212593475</v>
      </c>
      <c r="BO52" s="15" t="n">
        <f aca="false">INDEX(Ipotesi!$C$74:$G$74,1,F52)/12*Ipotesi!C126</f>
        <v>4166.66666666667</v>
      </c>
      <c r="BP52" s="15" t="n">
        <f aca="false">INDEX(Ipotesi!$C$76:$G$76,1,F52)/12</f>
        <v>1500</v>
      </c>
      <c r="BQ52" s="15" t="n">
        <f aca="false">INDEX(Ipotesi!$C$77:$G$77,1,F52)/12*Ipotesi!C126</f>
        <v>2083.33333333333</v>
      </c>
      <c r="BR52" s="15" t="n">
        <f aca="false">INDEX(Ipotesi!$C$78:$G$78,1,F52)/12</f>
        <v>2000</v>
      </c>
      <c r="BS52" s="15" t="n">
        <f aca="false">SUM(M52:R52)*(Ipotesi!$C$85+Ipotesi!$C$86)/12</f>
        <v>6125</v>
      </c>
      <c r="BT52" s="15" t="n">
        <f aca="false">BI52*Ipotesi!$C$87</f>
        <v>3488.86204722553</v>
      </c>
      <c r="BU52" s="15" t="n">
        <f aca="false">INDEX(Ipotesi!$C$55:$G$55,1,F52)*K52/12</f>
        <v>2000</v>
      </c>
      <c r="BV52" s="15" t="n">
        <f aca="false">INDEX(Ipotesi!$C$80:$G$80,1,F52)/12*Ipotesi!C126</f>
        <v>1666.66666666667</v>
      </c>
      <c r="BW52" s="15" t="n">
        <f aca="false">INDEX(Ipotesi!$C$82:$G$82,1,F52)/12</f>
        <v>1250</v>
      </c>
      <c r="BX52" s="15" t="n">
        <f aca="false">INDEX(Ipotesi!$C$83:$G$83,1,F52)/12</f>
        <v>750</v>
      </c>
      <c r="BY52" s="15" t="n">
        <f aca="false">SUM(S52:U52)*(Ipotesi!$C$85+Ipotesi!$C$86)/12</f>
        <v>2479.16666666667</v>
      </c>
      <c r="BZ52" s="15" t="n">
        <f aca="false">AM52*Ipotesi!$C$87</f>
        <v>2071.875</v>
      </c>
      <c r="CA52" s="15" t="n">
        <f aca="false">AB52+BJ52+BL52+BN52+BO52+AR52+BP52+BQ52+BR52+BS52+BT52</f>
        <v>156151.419345386</v>
      </c>
      <c r="CB52" s="15" t="n">
        <f aca="false">AC52+BK52+BM52+BH52+BU52+BV52+AS52+BW52+BX52+BY52+BZ52</f>
        <v>59191.5067083333</v>
      </c>
      <c r="CC52" s="15" t="n">
        <f aca="false">BI52-CA52</f>
        <v>-39856.0177712014</v>
      </c>
      <c r="CD52" s="15" t="n">
        <f aca="false">AM52-CB52</f>
        <v>9870.99329166667</v>
      </c>
      <c r="CE52" s="15" t="n">
        <f aca="false">INDEX(Ipotesi!$C$79:$G$79,1,F52)/12</f>
        <v>3333.33333333333</v>
      </c>
      <c r="CF52" s="15" t="n">
        <f aca="false">INDEX(Ipotesi!$C$84:$G$84,1,F52)/12</f>
        <v>666.666666666667</v>
      </c>
      <c r="CG52" s="15" t="n">
        <f aca="false">Y52*MAX(0,Parametri_v3!$C$12-IF(P52=0,0,MIN(1,BE52/(P52*Parametri_v3!$C$22))))+W52*Parametri_v3!$C$13+X52*Parametri_v3!$C$14</f>
        <v>30885.3229587747</v>
      </c>
      <c r="CH52" s="15" t="n">
        <f aca="false">AB52*Parametri_v3!$C$32</f>
        <v>4823.65419791667</v>
      </c>
      <c r="CI52" s="15" t="n">
        <f aca="false">AC52*Parametri_v3!$C$32</f>
        <v>1691.45033541667</v>
      </c>
      <c r="CJ52" s="15" t="n">
        <f aca="false">CA52-AB52</f>
        <v>59678.3353870525</v>
      </c>
      <c r="CK52" s="15" t="n">
        <f aca="false">CB52-AC52-BH52</f>
        <v>18456.25</v>
      </c>
      <c r="CL52" s="15" t="n">
        <f aca="false">BF52*Ipotesi!$C$73+INDEX(Ipotesi!$C$72:$G$72,1,F52)/12*Ipotesi!C126*Parametri_v3!$C$58+Z52*(1-Parametri_v3!$C$16)</f>
        <v>12262.7215009348</v>
      </c>
      <c r="CM52" s="16" t="n">
        <f aca="false">IF(BF52=0,0,1-CL52/BF52)</f>
        <v>0.798398873132461</v>
      </c>
    </row>
    <row r="53" customFormat="false" ht="18" hidden="false" customHeight="true" outlineLevel="0" collapsed="false">
      <c r="A53" s="68" t="n">
        <f aca="false">1</f>
        <v>1</v>
      </c>
      <c r="B53" s="68" t="n">
        <f aca="false">49</f>
        <v>49</v>
      </c>
      <c r="C53" s="18" t="n">
        <f aca="false">EDATE(Parametri_v3!$C$5,49-1)</f>
        <v>47849</v>
      </c>
      <c r="D53" s="68" t="n">
        <f aca="false">YEAR(C53)</f>
        <v>2031</v>
      </c>
      <c r="E53" s="68" t="n">
        <f aca="false">MONTH(C53)</f>
        <v>1</v>
      </c>
      <c r="F53" s="68" t="n">
        <f aca="false">INT((49-1)/12)+1</f>
        <v>5</v>
      </c>
      <c r="G53" s="15" t="n">
        <f aca="false">Ipotesi!C7</f>
        <v>0.75</v>
      </c>
      <c r="H53" s="15" t="n">
        <f aca="false">Ipotesi!C9</f>
        <v>1</v>
      </c>
      <c r="I53" s="15" t="n">
        <f aca="false">Ipotesi!C10</f>
        <v>1</v>
      </c>
      <c r="J53" s="15" t="n">
        <f aca="false">Ipotesi!C11</f>
        <v>1</v>
      </c>
      <c r="K53" s="15" t="n">
        <f aca="false">Ipotesi!C12</f>
        <v>1</v>
      </c>
      <c r="L53" s="15" t="n">
        <f aca="false">Ipotesi!C13</f>
        <v>90</v>
      </c>
      <c r="M53" s="17" t="n">
        <f aca="false">INDEX(Ipotesi!$C$40:$G$40,1,F53)</f>
        <v>1</v>
      </c>
      <c r="N53" s="17" t="n">
        <f aca="false">INDEX(Ipotesi!$C$41:$G$41,1,F53)</f>
        <v>1</v>
      </c>
      <c r="O53" s="17" t="n">
        <f aca="false">INDEX(Ipotesi!$C$42:$G$42,1,F53)*Ipotesi!C125</f>
        <v>8.5</v>
      </c>
      <c r="P53" s="17" t="n">
        <f aca="false">INDEX(Ipotesi!$C$43:$G$43,1,F53)*I53</f>
        <v>7</v>
      </c>
      <c r="Q53" s="17" t="n">
        <f aca="false">INDEX(Ipotesi!$C$44:$G$44,1,F53)*I53</f>
        <v>6</v>
      </c>
      <c r="R53" s="17" t="n">
        <f aca="false">INDEX(Ipotesi!$C$45:$G$45,1,F53)*I53</f>
        <v>2</v>
      </c>
      <c r="S53" s="17" t="n">
        <f aca="false">INDEX(Ipotesi!$C$52:$G$52,1,F53)*Ipotesi!C125</f>
        <v>9</v>
      </c>
      <c r="T53" s="17" t="n">
        <f aca="false">INDEX(Ipotesi!$C$53:$G$53,1,F53)*I53</f>
        <v>1</v>
      </c>
      <c r="U53" s="17" t="n">
        <f aca="false">INDEX(Ipotesi!$C$54:$G$54,1,F53)*I53</f>
        <v>1</v>
      </c>
      <c r="V53" s="15" t="n">
        <f aca="false">M53*INDEX(Ipotesi!$C$58:$G$58,1,F53)*K53/12</f>
        <v>8333.33333333333</v>
      </c>
      <c r="W53" s="15" t="n">
        <f aca="false">N53*Ipotesi!$C$59*(1+Ipotesi!$C$66)^(F53-1)/12</f>
        <v>6565.46805833334</v>
      </c>
      <c r="X53" s="15" t="n">
        <f aca="false">O53*Ipotesi!$C$60*(1+Ipotesi!$C$66)^(F53-1)/12</f>
        <v>39861.7703541667</v>
      </c>
      <c r="Y53" s="15" t="n">
        <f aca="false">P53*Ipotesi!$C$61*(1+Ipotesi!$C$66)^(F53-1)/12</f>
        <v>32827.3402916667</v>
      </c>
      <c r="Z53" s="15" t="n">
        <f aca="false">Q53*Ipotesi!$C$62*(1+Ipotesi!$C$66)^(F53-1)/12</f>
        <v>25323.948225</v>
      </c>
      <c r="AA53" s="15" t="n">
        <f aca="false">R53*Ipotesi!$C$63*(1+Ipotesi!$C$66)^(F53-1)/12</f>
        <v>6565.46805833334</v>
      </c>
      <c r="AB53" s="15" t="n">
        <f aca="false">SUM(V53:AA53)</f>
        <v>119477.328320833</v>
      </c>
      <c r="AC53" s="15" t="n">
        <f aca="false">(S53*Ipotesi!$C$64+T53*Ipotesi!$C$65+U53*Ipotesi!$C$63)*(1+Ipotesi!$C$66)^(F53-1)/12</f>
        <v>44363.8055941667</v>
      </c>
      <c r="AD53" s="15" t="n">
        <f aca="false">INDEX(Ipotesi!$C$48:$G$48,1,F53)*G53/12</f>
        <v>71.875</v>
      </c>
      <c r="AE53" s="15" t="n">
        <f aca="false">INDEX(Ipotesi!$C$50:$G$50,1,F53)*G53/12</f>
        <v>7.1875</v>
      </c>
      <c r="AF53" s="15" t="n">
        <f aca="false">(S53*Parametri_v3!$C$7*Parametri_v3!$C$8+Parametri_v3!$C$10)/12</f>
        <v>115.5</v>
      </c>
      <c r="AG53" s="15" t="n">
        <f aca="false">AD53+AE53*(1+Parametri_v3!$C$9)</f>
        <v>82.65625</v>
      </c>
      <c r="AH53" s="16" t="n">
        <f aca="false">IF(AG53=0,1,MIN(1,AF53/AG53))</f>
        <v>1</v>
      </c>
      <c r="AI53" s="15" t="n">
        <f aca="false">AD53*AH53</f>
        <v>71.875</v>
      </c>
      <c r="AJ53" s="15" t="n">
        <f aca="false">AE53*AH53</f>
        <v>7.1875</v>
      </c>
      <c r="AK53" s="15" t="n">
        <f aca="false">AI53*INDEX(Ipotesi!$C$49:$G$49,1,F53)*H53</f>
        <v>68281.25</v>
      </c>
      <c r="AL53" s="15" t="n">
        <f aca="false">AJ53*INDEX(Ipotesi!$C$51:$G$51,1,F53)*H53</f>
        <v>18687.5</v>
      </c>
      <c r="AM53" s="15" t="n">
        <f aca="false">AK53+AL53</f>
        <v>86968.75</v>
      </c>
      <c r="AN53" s="15" t="n">
        <f aca="false">INDEX(Ipotesi!$C$30:$G$30,1,F53)*G53/12</f>
        <v>61.25</v>
      </c>
      <c r="AO53" s="15" t="n">
        <f aca="false">O53*Parametri_v3!$C$7*Parametri_v3!$C$11*(1-Parametri_v3!$C$14)/12</f>
        <v>87.2666666666667</v>
      </c>
      <c r="AP53" s="15" t="n">
        <f aca="false">MIN(AN53,AO53)</f>
        <v>61.25</v>
      </c>
      <c r="AQ53" s="15" t="n">
        <f aca="false">AP53*INDEX(Ipotesi!$C$31:$G$31,1,F53)*H53</f>
        <v>67375</v>
      </c>
      <c r="AR53" s="15" t="n">
        <f aca="false">INDEX(Ipotesi!$C$75:$G$75,1,F53)*J53/12</f>
        <v>35833.3333333333</v>
      </c>
      <c r="AS53" s="15" t="n">
        <f aca="false">INDEX(Ipotesi!$C$81:$G$81,1,F53)*J53/12</f>
        <v>2083.33333333333</v>
      </c>
      <c r="AT53" s="15" t="n">
        <f aca="false">AR53*Parametri_v3!$C$15+Z53*Parametri_v3!$C$16</f>
        <v>53560.0970908333</v>
      </c>
      <c r="AU53" s="15" t="n">
        <f aca="false">Q53*Parametri_v3!$C$16*Parametri_v3!$C$17</f>
        <v>420</v>
      </c>
      <c r="AV53" s="17" t="n">
        <f aca="false">BD52</f>
        <v>124.066761519313</v>
      </c>
      <c r="AW53" s="17" t="n">
        <f aca="false">AV53*(1-(1-INDEX(Ipotesi!$C$34:$G$34,1,F53))^(1/12))</f>
        <v>1.08454336161097</v>
      </c>
      <c r="AX53" s="15" t="n">
        <f aca="false">ROUND(INDEX(Ipotesi!$C$32:$G$32,1,F53)*Ipotesi!C8,0)</f>
        <v>336</v>
      </c>
      <c r="AY53" s="15" t="n">
        <f aca="false">MAX(0,(AX53-(AV53-AW53))/(13-E53))</f>
        <v>17.7514818201915</v>
      </c>
      <c r="AZ53" s="15" t="n">
        <f aca="false">MIN(P53*Parametri_v3!$C$22,Q53*(1-Parametri_v3!$C$16)*Parametri_v3!$C$23)</f>
        <v>270</v>
      </c>
      <c r="BA53" s="15" t="n">
        <f aca="false">IF(OR(INDEX(Ipotesi!$C$35:$G$35,1,F53)&lt;=0,49-Parametri_v3!$C$21&lt;1),0,INDEX($AT$5:$AT$64,MAX(1,49-Parametri_v3!$C$21))/(INDEX(Ipotesi!$C$35:$G$35,1,F53)*Ipotesi!C27))</f>
        <v>5.41778314636752</v>
      </c>
      <c r="BB53" s="15" t="n">
        <f aca="false">IF(49-Parametri_v3!$C$21&lt;1,0,INDEX($AU$5:$AU$64,MAX(1,49-Parametri_v3!$C$21)))*Parametri_v3!$C$18*Parametri_v3!$C$19*Parametri_v3!$C$20</f>
        <v>13.125</v>
      </c>
      <c r="BC53" s="17" t="n">
        <f aca="false">MAX(0,MIN(AY53,BA53,BB53,MAX(0,AZ53-(AV53-AW53))))</f>
        <v>5.41778314636752</v>
      </c>
      <c r="BD53" s="17" t="n">
        <f aca="false">AV53-AW53+BC53</f>
        <v>128.40000130407</v>
      </c>
      <c r="BE53" s="17" t="n">
        <f aca="false">(AV53+BD53)/2</f>
        <v>126.233381411691</v>
      </c>
      <c r="BF53" s="15" t="n">
        <f aca="false">BE53*INDEX(Ipotesi!$C$33:$G$33,1,F53)*H53/12</f>
        <v>65220.5803960406</v>
      </c>
      <c r="BG53" s="15" t="n">
        <f aca="false">BD53*INDEX(Ipotesi!$C$33:$G$33,1,F53)*H53</f>
        <v>796080.008085232</v>
      </c>
      <c r="BH53" s="15" t="n">
        <f aca="false">AM53*INDEX(Ipotesi!$C$37:$G$37,1,F53)</f>
        <v>8696.875</v>
      </c>
      <c r="BI53" s="15" t="n">
        <f aca="false">AQ53+BF53+BH53</f>
        <v>141292.455396041</v>
      </c>
      <c r="BJ53" s="15" t="n">
        <f aca="false">INDEX(Ipotesi!$C$68:$G$68,1,F53)*Ipotesi!$C$69/12</f>
        <v>3333.33333333333</v>
      </c>
      <c r="BK53" s="15" t="n">
        <f aca="false">INDEX(Ipotesi!$C$68:$G$68,1,F53)*(1-Ipotesi!$C$69)/12</f>
        <v>5000</v>
      </c>
      <c r="BL53" s="15" t="n">
        <f aca="false">(AQ53+BF53)*Ipotesi!$C$67</f>
        <v>3977.86741188122</v>
      </c>
      <c r="BM53" s="15" t="n">
        <f aca="false">AM53*Ipotesi!$C$67</f>
        <v>2609.0625</v>
      </c>
      <c r="BN53" s="15" t="n">
        <f aca="false">INDEX(Ipotesi!$C$72:$G$72,1,F53)/12*Ipotesi!C126+BF53*Ipotesi!$C$73</f>
        <v>6467.64643168325</v>
      </c>
      <c r="BO53" s="15" t="n">
        <f aca="false">INDEX(Ipotesi!$C$74:$G$74,1,F53)/12*Ipotesi!C126</f>
        <v>5416.66666666667</v>
      </c>
      <c r="BP53" s="15" t="n">
        <f aca="false">INDEX(Ipotesi!$C$76:$G$76,1,F53)/12</f>
        <v>1916.66666666667</v>
      </c>
      <c r="BQ53" s="15" t="n">
        <f aca="false">INDEX(Ipotesi!$C$77:$G$77,1,F53)/12*Ipotesi!C126</f>
        <v>2500</v>
      </c>
      <c r="BR53" s="15" t="n">
        <f aca="false">INDEX(Ipotesi!$C$78:$G$78,1,F53)/12</f>
        <v>2333.33333333333</v>
      </c>
      <c r="BS53" s="15" t="n">
        <f aca="false">SUM(M53:R53)*(Ipotesi!$C$85+Ipotesi!$C$86)/12</f>
        <v>7437.5</v>
      </c>
      <c r="BT53" s="15" t="n">
        <f aca="false">BI53*Ipotesi!$C$87</f>
        <v>4238.77366188122</v>
      </c>
      <c r="BU53" s="15" t="n">
        <f aca="false">INDEX(Ipotesi!$C$55:$G$55,1,F53)*K53/12</f>
        <v>2000</v>
      </c>
      <c r="BV53" s="15" t="n">
        <f aca="false">INDEX(Ipotesi!$C$80:$G$80,1,F53)/12*Ipotesi!C126</f>
        <v>2083.33333333333</v>
      </c>
      <c r="BW53" s="15" t="n">
        <f aca="false">INDEX(Ipotesi!$C$82:$G$82,1,F53)/12</f>
        <v>1500</v>
      </c>
      <c r="BX53" s="15" t="n">
        <f aca="false">INDEX(Ipotesi!$C$83:$G$83,1,F53)/12</f>
        <v>833.333333333333</v>
      </c>
      <c r="BY53" s="15" t="n">
        <f aca="false">SUM(S53:U53)*(Ipotesi!$C$85+Ipotesi!$C$86)/12</f>
        <v>3208.33333333333</v>
      </c>
      <c r="BZ53" s="15" t="n">
        <f aca="false">AM53*Ipotesi!$C$87</f>
        <v>2609.0625</v>
      </c>
      <c r="CA53" s="15" t="n">
        <f aca="false">AB53+BJ53+BL53+BN53+BO53+AR53+BP53+BQ53+BR53+BS53+BT53</f>
        <v>192932.449159612</v>
      </c>
      <c r="CB53" s="15" t="n">
        <f aca="false">AC53+BK53+BM53+BH53+BU53+BV53+AS53+BW53+BX53+BY53+BZ53</f>
        <v>74987.1389275</v>
      </c>
      <c r="CC53" s="15" t="n">
        <f aca="false">BI53-CA53</f>
        <v>-51639.9937635718</v>
      </c>
      <c r="CD53" s="15" t="n">
        <f aca="false">AM53-CB53</f>
        <v>11981.6110725</v>
      </c>
      <c r="CE53" s="15" t="n">
        <f aca="false">INDEX(Ipotesi!$C$79:$G$79,1,F53)/12</f>
        <v>4166.66666666667</v>
      </c>
      <c r="CF53" s="15" t="n">
        <f aca="false">INDEX(Ipotesi!$C$84:$G$84,1,F53)/12</f>
        <v>666.666666666667</v>
      </c>
      <c r="CG53" s="15" t="n">
        <f aca="false">Y53*MAX(0,Parametri_v3!$C$12-IF(P53=0,0,MIN(1,BE53/(P53*Parametri_v3!$C$22))))+W53*Parametri_v3!$C$13+X53*Parametri_v3!$C$14</f>
        <v>38162.5624377105</v>
      </c>
      <c r="CH53" s="15" t="n">
        <f aca="false">AB53*Parametri_v3!$C$32</f>
        <v>5973.86641604167</v>
      </c>
      <c r="CI53" s="15" t="n">
        <f aca="false">AC53*Parametri_v3!$C$32</f>
        <v>2218.19027970833</v>
      </c>
      <c r="CJ53" s="15" t="n">
        <f aca="false">CA53-AB53</f>
        <v>73455.120838779</v>
      </c>
      <c r="CK53" s="15" t="n">
        <f aca="false">CB53-AC53-BH53</f>
        <v>21926.4583333333</v>
      </c>
      <c r="CL53" s="15" t="n">
        <f aca="false">BF53*Ipotesi!$C$73+INDEX(Ipotesi!$C$72:$G$72,1,F53)/12*Ipotesi!C126*Parametri_v3!$C$58+Z53*(1-Parametri_v3!$C$16)</f>
        <v>14064.8308991833</v>
      </c>
      <c r="CM53" s="16" t="n">
        <f aca="false">IF(BF53=0,0,1-CL53/BF53)</f>
        <v>0.784349804712301</v>
      </c>
    </row>
    <row r="54" customFormat="false" ht="18" hidden="false" customHeight="true" outlineLevel="0" collapsed="false">
      <c r="A54" s="68" t="n">
        <f aca="false">1</f>
        <v>1</v>
      </c>
      <c r="B54" s="68" t="n">
        <f aca="false">50</f>
        <v>50</v>
      </c>
      <c r="C54" s="18" t="n">
        <f aca="false">EDATE(Parametri_v3!$C$5,50-1)</f>
        <v>47880</v>
      </c>
      <c r="D54" s="68" t="n">
        <f aca="false">YEAR(C54)</f>
        <v>2031</v>
      </c>
      <c r="E54" s="68" t="n">
        <f aca="false">MONTH(C54)</f>
        <v>2</v>
      </c>
      <c r="F54" s="68" t="n">
        <f aca="false">INT((50-1)/12)+1</f>
        <v>5</v>
      </c>
      <c r="G54" s="15" t="n">
        <f aca="false">Ipotesi!C7</f>
        <v>0.75</v>
      </c>
      <c r="H54" s="15" t="n">
        <f aca="false">Ipotesi!C9</f>
        <v>1</v>
      </c>
      <c r="I54" s="15" t="n">
        <f aca="false">Ipotesi!C10</f>
        <v>1</v>
      </c>
      <c r="J54" s="15" t="n">
        <f aca="false">Ipotesi!C11</f>
        <v>1</v>
      </c>
      <c r="K54" s="15" t="n">
        <f aca="false">Ipotesi!C12</f>
        <v>1</v>
      </c>
      <c r="L54" s="15" t="n">
        <f aca="false">Ipotesi!C13</f>
        <v>90</v>
      </c>
      <c r="M54" s="17" t="n">
        <f aca="false">INDEX(Ipotesi!$C$40:$G$40,1,F54)</f>
        <v>1</v>
      </c>
      <c r="N54" s="17" t="n">
        <f aca="false">INDEX(Ipotesi!$C$41:$G$41,1,F54)</f>
        <v>1</v>
      </c>
      <c r="O54" s="17" t="n">
        <f aca="false">INDEX(Ipotesi!$C$42:$G$42,1,F54)*Ipotesi!C125</f>
        <v>8.5</v>
      </c>
      <c r="P54" s="17" t="n">
        <f aca="false">INDEX(Ipotesi!$C$43:$G$43,1,F54)*I54</f>
        <v>7</v>
      </c>
      <c r="Q54" s="17" t="n">
        <f aca="false">INDEX(Ipotesi!$C$44:$G$44,1,F54)*I54</f>
        <v>6</v>
      </c>
      <c r="R54" s="17" t="n">
        <f aca="false">INDEX(Ipotesi!$C$45:$G$45,1,F54)*I54</f>
        <v>2</v>
      </c>
      <c r="S54" s="17" t="n">
        <f aca="false">INDEX(Ipotesi!$C$52:$G$52,1,F54)*Ipotesi!C125</f>
        <v>9</v>
      </c>
      <c r="T54" s="17" t="n">
        <f aca="false">INDEX(Ipotesi!$C$53:$G$53,1,F54)*I54</f>
        <v>1</v>
      </c>
      <c r="U54" s="17" t="n">
        <f aca="false">INDEX(Ipotesi!$C$54:$G$54,1,F54)*I54</f>
        <v>1</v>
      </c>
      <c r="V54" s="15" t="n">
        <f aca="false">M54*INDEX(Ipotesi!$C$58:$G$58,1,F54)*K54/12</f>
        <v>8333.33333333333</v>
      </c>
      <c r="W54" s="15" t="n">
        <f aca="false">N54*Ipotesi!$C$59*(1+Ipotesi!$C$66)^(F54-1)/12</f>
        <v>6565.46805833334</v>
      </c>
      <c r="X54" s="15" t="n">
        <f aca="false">O54*Ipotesi!$C$60*(1+Ipotesi!$C$66)^(F54-1)/12</f>
        <v>39861.7703541667</v>
      </c>
      <c r="Y54" s="15" t="n">
        <f aca="false">P54*Ipotesi!$C$61*(1+Ipotesi!$C$66)^(F54-1)/12</f>
        <v>32827.3402916667</v>
      </c>
      <c r="Z54" s="15" t="n">
        <f aca="false">Q54*Ipotesi!$C$62*(1+Ipotesi!$C$66)^(F54-1)/12</f>
        <v>25323.948225</v>
      </c>
      <c r="AA54" s="15" t="n">
        <f aca="false">R54*Ipotesi!$C$63*(1+Ipotesi!$C$66)^(F54-1)/12</f>
        <v>6565.46805833334</v>
      </c>
      <c r="AB54" s="15" t="n">
        <f aca="false">SUM(V54:AA54)</f>
        <v>119477.328320833</v>
      </c>
      <c r="AC54" s="15" t="n">
        <f aca="false">(S54*Ipotesi!$C$64+T54*Ipotesi!$C$65+U54*Ipotesi!$C$63)*(1+Ipotesi!$C$66)^(F54-1)/12</f>
        <v>44363.8055941667</v>
      </c>
      <c r="AD54" s="15" t="n">
        <f aca="false">INDEX(Ipotesi!$C$48:$G$48,1,F54)*G54/12</f>
        <v>71.875</v>
      </c>
      <c r="AE54" s="15" t="n">
        <f aca="false">INDEX(Ipotesi!$C$50:$G$50,1,F54)*G54/12</f>
        <v>7.1875</v>
      </c>
      <c r="AF54" s="15" t="n">
        <f aca="false">(S54*Parametri_v3!$C$7*Parametri_v3!$C$8+Parametri_v3!$C$10)/12</f>
        <v>115.5</v>
      </c>
      <c r="AG54" s="15" t="n">
        <f aca="false">AD54+AE54*(1+Parametri_v3!$C$9)</f>
        <v>82.65625</v>
      </c>
      <c r="AH54" s="16" t="n">
        <f aca="false">IF(AG54=0,1,MIN(1,AF54/AG54))</f>
        <v>1</v>
      </c>
      <c r="AI54" s="15" t="n">
        <f aca="false">AD54*AH54</f>
        <v>71.875</v>
      </c>
      <c r="AJ54" s="15" t="n">
        <f aca="false">AE54*AH54</f>
        <v>7.1875</v>
      </c>
      <c r="AK54" s="15" t="n">
        <f aca="false">AI54*INDEX(Ipotesi!$C$49:$G$49,1,F54)*H54</f>
        <v>68281.25</v>
      </c>
      <c r="AL54" s="15" t="n">
        <f aca="false">AJ54*INDEX(Ipotesi!$C$51:$G$51,1,F54)*H54</f>
        <v>18687.5</v>
      </c>
      <c r="AM54" s="15" t="n">
        <f aca="false">AK54+AL54</f>
        <v>86968.75</v>
      </c>
      <c r="AN54" s="15" t="n">
        <f aca="false">INDEX(Ipotesi!$C$30:$G$30,1,F54)*G54/12</f>
        <v>61.25</v>
      </c>
      <c r="AO54" s="15" t="n">
        <f aca="false">O54*Parametri_v3!$C$7*Parametri_v3!$C$11*(1-Parametri_v3!$C$14)/12</f>
        <v>87.2666666666667</v>
      </c>
      <c r="AP54" s="15" t="n">
        <f aca="false">MIN(AN54,AO54)</f>
        <v>61.25</v>
      </c>
      <c r="AQ54" s="15" t="n">
        <f aca="false">AP54*INDEX(Ipotesi!$C$31:$G$31,1,F54)*H54</f>
        <v>67375</v>
      </c>
      <c r="AR54" s="15" t="n">
        <f aca="false">INDEX(Ipotesi!$C$75:$G$75,1,F54)*J54/12</f>
        <v>35833.3333333333</v>
      </c>
      <c r="AS54" s="15" t="n">
        <f aca="false">INDEX(Ipotesi!$C$81:$G$81,1,F54)*J54/12</f>
        <v>2083.33333333333</v>
      </c>
      <c r="AT54" s="15" t="n">
        <f aca="false">AR54*Parametri_v3!$C$15+Z54*Parametri_v3!$C$16</f>
        <v>53560.0970908333</v>
      </c>
      <c r="AU54" s="15" t="n">
        <f aca="false">Q54*Parametri_v3!$C$16*Parametri_v3!$C$17</f>
        <v>420</v>
      </c>
      <c r="AV54" s="17" t="n">
        <f aca="false">BD53</f>
        <v>128.40000130407</v>
      </c>
      <c r="AW54" s="17" t="n">
        <f aca="false">AV54*(1-(1-INDEX(Ipotesi!$C$34:$G$34,1,F54))^(1/12))</f>
        <v>1.12242285798273</v>
      </c>
      <c r="AX54" s="15" t="n">
        <f aca="false">ROUND(INDEX(Ipotesi!$C$32:$G$32,1,F54)*Ipotesi!C8,0)</f>
        <v>336</v>
      </c>
      <c r="AY54" s="15" t="n">
        <f aca="false">MAX(0,(AX54-(AV54-AW54))/(13-E54))</f>
        <v>18.9747655958103</v>
      </c>
      <c r="AZ54" s="15" t="n">
        <f aca="false">MIN(P54*Parametri_v3!$C$22,Q54*(1-Parametri_v3!$C$16)*Parametri_v3!$C$23)</f>
        <v>270</v>
      </c>
      <c r="BA54" s="15" t="n">
        <f aca="false">IF(OR(INDEX(Ipotesi!$C$35:$G$35,1,F54)&lt;=0,50-Parametri_v3!$C$21&lt;1),0,INDEX($AT$5:$AT$64,MAX(1,50-Parametri_v3!$C$21))/(INDEX(Ipotesi!$C$35:$G$35,1,F54)*Ipotesi!C27))</f>
        <v>5.41778314636752</v>
      </c>
      <c r="BB54" s="15" t="n">
        <f aca="false">IF(50-Parametri_v3!$C$21&lt;1,0,INDEX($AU$5:$AU$64,MAX(1,50-Parametri_v3!$C$21)))*Parametri_v3!$C$18*Parametri_v3!$C$19*Parametri_v3!$C$20</f>
        <v>13.125</v>
      </c>
      <c r="BC54" s="17" t="n">
        <f aca="false">MAX(0,MIN(AY54,BA54,BB54,MAX(0,AZ54-(AV54-AW54))))</f>
        <v>5.41778314636752</v>
      </c>
      <c r="BD54" s="17" t="n">
        <f aca="false">AV54-AW54+BC54</f>
        <v>132.695361592455</v>
      </c>
      <c r="BE54" s="17" t="n">
        <f aca="false">(AV54+BD54)/2</f>
        <v>130.547681448262</v>
      </c>
      <c r="BF54" s="15" t="n">
        <f aca="false">BE54*INDEX(Ipotesi!$C$33:$G$33,1,F54)*H54/12</f>
        <v>67449.6354149354</v>
      </c>
      <c r="BG54" s="15" t="n">
        <f aca="false">BD54*INDEX(Ipotesi!$C$33:$G$33,1,F54)*H54</f>
        <v>822711.241873218</v>
      </c>
      <c r="BH54" s="15" t="n">
        <f aca="false">AM54*INDEX(Ipotesi!$C$37:$G$37,1,F54)</f>
        <v>8696.875</v>
      </c>
      <c r="BI54" s="15" t="n">
        <f aca="false">AQ54+BF54+BH54</f>
        <v>143521.510414935</v>
      </c>
      <c r="BJ54" s="15" t="n">
        <f aca="false">INDEX(Ipotesi!$C$68:$G$68,1,F54)*Ipotesi!$C$69/12</f>
        <v>3333.33333333333</v>
      </c>
      <c r="BK54" s="15" t="n">
        <f aca="false">INDEX(Ipotesi!$C$68:$G$68,1,F54)*(1-Ipotesi!$C$69)/12</f>
        <v>5000</v>
      </c>
      <c r="BL54" s="15" t="n">
        <f aca="false">(AQ54+BF54)*Ipotesi!$C$67</f>
        <v>4044.73906244806</v>
      </c>
      <c r="BM54" s="15" t="n">
        <f aca="false">AM54*Ipotesi!$C$67</f>
        <v>2609.0625</v>
      </c>
      <c r="BN54" s="15" t="n">
        <f aca="false">INDEX(Ipotesi!$C$72:$G$72,1,F54)/12*Ipotesi!C126+BF54*Ipotesi!$C$73</f>
        <v>6645.97083319483</v>
      </c>
      <c r="BO54" s="15" t="n">
        <f aca="false">INDEX(Ipotesi!$C$74:$G$74,1,F54)/12*Ipotesi!C126</f>
        <v>5416.66666666667</v>
      </c>
      <c r="BP54" s="15" t="n">
        <f aca="false">INDEX(Ipotesi!$C$76:$G$76,1,F54)/12</f>
        <v>1916.66666666667</v>
      </c>
      <c r="BQ54" s="15" t="n">
        <f aca="false">INDEX(Ipotesi!$C$77:$G$77,1,F54)/12*Ipotesi!C126</f>
        <v>2500</v>
      </c>
      <c r="BR54" s="15" t="n">
        <f aca="false">INDEX(Ipotesi!$C$78:$G$78,1,F54)/12</f>
        <v>2333.33333333333</v>
      </c>
      <c r="BS54" s="15" t="n">
        <f aca="false">SUM(M54:R54)*(Ipotesi!$C$85+Ipotesi!$C$86)/12</f>
        <v>7437.5</v>
      </c>
      <c r="BT54" s="15" t="n">
        <f aca="false">BI54*Ipotesi!$C$87</f>
        <v>4305.64531244806</v>
      </c>
      <c r="BU54" s="15" t="n">
        <f aca="false">INDEX(Ipotesi!$C$55:$G$55,1,F54)*K54/12</f>
        <v>2000</v>
      </c>
      <c r="BV54" s="15" t="n">
        <f aca="false">INDEX(Ipotesi!$C$80:$G$80,1,F54)/12*Ipotesi!C126</f>
        <v>2083.33333333333</v>
      </c>
      <c r="BW54" s="15" t="n">
        <f aca="false">INDEX(Ipotesi!$C$82:$G$82,1,F54)/12</f>
        <v>1500</v>
      </c>
      <c r="BX54" s="15" t="n">
        <f aca="false">INDEX(Ipotesi!$C$83:$G$83,1,F54)/12</f>
        <v>833.333333333333</v>
      </c>
      <c r="BY54" s="15" t="n">
        <f aca="false">SUM(S54:U54)*(Ipotesi!$C$85+Ipotesi!$C$86)/12</f>
        <v>3208.33333333333</v>
      </c>
      <c r="BZ54" s="15" t="n">
        <f aca="false">AM54*Ipotesi!$C$87</f>
        <v>2609.0625</v>
      </c>
      <c r="CA54" s="15" t="n">
        <f aca="false">AB54+BJ54+BL54+BN54+BO54+AR54+BP54+BQ54+BR54+BS54+BT54</f>
        <v>193244.516862258</v>
      </c>
      <c r="CB54" s="15" t="n">
        <f aca="false">AC54+BK54+BM54+BH54+BU54+BV54+AS54+BW54+BX54+BY54+BZ54</f>
        <v>74987.1389275</v>
      </c>
      <c r="CC54" s="15" t="n">
        <f aca="false">BI54-CA54</f>
        <v>-49723.0064473222</v>
      </c>
      <c r="CD54" s="15" t="n">
        <f aca="false">AM54-CB54</f>
        <v>11981.6110725</v>
      </c>
      <c r="CE54" s="15" t="n">
        <f aca="false">INDEX(Ipotesi!$C$79:$G$79,1,F54)/12</f>
        <v>4166.66666666667</v>
      </c>
      <c r="CF54" s="15" t="n">
        <f aca="false">INDEX(Ipotesi!$C$84:$G$84,1,F54)/12</f>
        <v>666.666666666667</v>
      </c>
      <c r="CG54" s="15" t="n">
        <f aca="false">Y54*MAX(0,Parametri_v3!$C$12-IF(P54=0,0,MIN(1,BE54/(P54*Parametri_v3!$C$22))))+W54*Parametri_v3!$C$13+X54*Parametri_v3!$C$14</f>
        <v>37960.2381585378</v>
      </c>
      <c r="CH54" s="15" t="n">
        <f aca="false">AB54*Parametri_v3!$C$32</f>
        <v>5973.86641604167</v>
      </c>
      <c r="CI54" s="15" t="n">
        <f aca="false">AC54*Parametri_v3!$C$32</f>
        <v>2218.19027970833</v>
      </c>
      <c r="CJ54" s="15" t="n">
        <f aca="false">CA54-AB54</f>
        <v>73767.1885414243</v>
      </c>
      <c r="CK54" s="15" t="n">
        <f aca="false">CB54-AC54-BH54</f>
        <v>21926.4583333333</v>
      </c>
      <c r="CL54" s="15" t="n">
        <f aca="false">BF54*Ipotesi!$C$73+INDEX(Ipotesi!$C$72:$G$72,1,F54)/12*Ipotesi!C126*Parametri_v3!$C$58+Z54*(1-Parametri_v3!$C$16)</f>
        <v>14243.1553006948</v>
      </c>
      <c r="CM54" s="16" t="n">
        <f aca="false">IF(BF54=0,0,1-CL54/BF54)</f>
        <v>0.788832731072984</v>
      </c>
    </row>
    <row r="55" customFormat="false" ht="18" hidden="false" customHeight="true" outlineLevel="0" collapsed="false">
      <c r="A55" s="68" t="n">
        <f aca="false">1</f>
        <v>1</v>
      </c>
      <c r="B55" s="68" t="n">
        <f aca="false">51</f>
        <v>51</v>
      </c>
      <c r="C55" s="18" t="n">
        <f aca="false">EDATE(Parametri_v3!$C$5,51-1)</f>
        <v>47908</v>
      </c>
      <c r="D55" s="68" t="n">
        <f aca="false">YEAR(C55)</f>
        <v>2031</v>
      </c>
      <c r="E55" s="68" t="n">
        <f aca="false">MONTH(C55)</f>
        <v>3</v>
      </c>
      <c r="F55" s="68" t="n">
        <f aca="false">INT((51-1)/12)+1</f>
        <v>5</v>
      </c>
      <c r="G55" s="15" t="n">
        <f aca="false">Ipotesi!C7</f>
        <v>0.75</v>
      </c>
      <c r="H55" s="15" t="n">
        <f aca="false">Ipotesi!C9</f>
        <v>1</v>
      </c>
      <c r="I55" s="15" t="n">
        <f aca="false">Ipotesi!C10</f>
        <v>1</v>
      </c>
      <c r="J55" s="15" t="n">
        <f aca="false">Ipotesi!C11</f>
        <v>1</v>
      </c>
      <c r="K55" s="15" t="n">
        <f aca="false">Ipotesi!C12</f>
        <v>1</v>
      </c>
      <c r="L55" s="15" t="n">
        <f aca="false">Ipotesi!C13</f>
        <v>90</v>
      </c>
      <c r="M55" s="17" t="n">
        <f aca="false">INDEX(Ipotesi!$C$40:$G$40,1,F55)</f>
        <v>1</v>
      </c>
      <c r="N55" s="17" t="n">
        <f aca="false">INDEX(Ipotesi!$C$41:$G$41,1,F55)</f>
        <v>1</v>
      </c>
      <c r="O55" s="17" t="n">
        <f aca="false">INDEX(Ipotesi!$C$42:$G$42,1,F55)*Ipotesi!C125</f>
        <v>8.5</v>
      </c>
      <c r="P55" s="17" t="n">
        <f aca="false">INDEX(Ipotesi!$C$43:$G$43,1,F55)*I55</f>
        <v>7</v>
      </c>
      <c r="Q55" s="17" t="n">
        <f aca="false">INDEX(Ipotesi!$C$44:$G$44,1,F55)*I55</f>
        <v>6</v>
      </c>
      <c r="R55" s="17" t="n">
        <f aca="false">INDEX(Ipotesi!$C$45:$G$45,1,F55)*I55</f>
        <v>2</v>
      </c>
      <c r="S55" s="17" t="n">
        <f aca="false">INDEX(Ipotesi!$C$52:$G$52,1,F55)*Ipotesi!C125</f>
        <v>9</v>
      </c>
      <c r="T55" s="17" t="n">
        <f aca="false">INDEX(Ipotesi!$C$53:$G$53,1,F55)*I55</f>
        <v>1</v>
      </c>
      <c r="U55" s="17" t="n">
        <f aca="false">INDEX(Ipotesi!$C$54:$G$54,1,F55)*I55</f>
        <v>1</v>
      </c>
      <c r="V55" s="15" t="n">
        <f aca="false">M55*INDEX(Ipotesi!$C$58:$G$58,1,F55)*K55/12</f>
        <v>8333.33333333333</v>
      </c>
      <c r="W55" s="15" t="n">
        <f aca="false">N55*Ipotesi!$C$59*(1+Ipotesi!$C$66)^(F55-1)/12</f>
        <v>6565.46805833334</v>
      </c>
      <c r="X55" s="15" t="n">
        <f aca="false">O55*Ipotesi!$C$60*(1+Ipotesi!$C$66)^(F55-1)/12</f>
        <v>39861.7703541667</v>
      </c>
      <c r="Y55" s="15" t="n">
        <f aca="false">P55*Ipotesi!$C$61*(1+Ipotesi!$C$66)^(F55-1)/12</f>
        <v>32827.3402916667</v>
      </c>
      <c r="Z55" s="15" t="n">
        <f aca="false">Q55*Ipotesi!$C$62*(1+Ipotesi!$C$66)^(F55-1)/12</f>
        <v>25323.948225</v>
      </c>
      <c r="AA55" s="15" t="n">
        <f aca="false">R55*Ipotesi!$C$63*(1+Ipotesi!$C$66)^(F55-1)/12</f>
        <v>6565.46805833334</v>
      </c>
      <c r="AB55" s="15" t="n">
        <f aca="false">SUM(V55:AA55)</f>
        <v>119477.328320833</v>
      </c>
      <c r="AC55" s="15" t="n">
        <f aca="false">(S55*Ipotesi!$C$64+T55*Ipotesi!$C$65+U55*Ipotesi!$C$63)*(1+Ipotesi!$C$66)^(F55-1)/12</f>
        <v>44363.8055941667</v>
      </c>
      <c r="AD55" s="15" t="n">
        <f aca="false">INDEX(Ipotesi!$C$48:$G$48,1,F55)*G55/12</f>
        <v>71.875</v>
      </c>
      <c r="AE55" s="15" t="n">
        <f aca="false">INDEX(Ipotesi!$C$50:$G$50,1,F55)*G55/12</f>
        <v>7.1875</v>
      </c>
      <c r="AF55" s="15" t="n">
        <f aca="false">(S55*Parametri_v3!$C$7*Parametri_v3!$C$8+Parametri_v3!$C$10)/12</f>
        <v>115.5</v>
      </c>
      <c r="AG55" s="15" t="n">
        <f aca="false">AD55+AE55*(1+Parametri_v3!$C$9)</f>
        <v>82.65625</v>
      </c>
      <c r="AH55" s="16" t="n">
        <f aca="false">IF(AG55=0,1,MIN(1,AF55/AG55))</f>
        <v>1</v>
      </c>
      <c r="AI55" s="15" t="n">
        <f aca="false">AD55*AH55</f>
        <v>71.875</v>
      </c>
      <c r="AJ55" s="15" t="n">
        <f aca="false">AE55*AH55</f>
        <v>7.1875</v>
      </c>
      <c r="AK55" s="15" t="n">
        <f aca="false">AI55*INDEX(Ipotesi!$C$49:$G$49,1,F55)*H55</f>
        <v>68281.25</v>
      </c>
      <c r="AL55" s="15" t="n">
        <f aca="false">AJ55*INDEX(Ipotesi!$C$51:$G$51,1,F55)*H55</f>
        <v>18687.5</v>
      </c>
      <c r="AM55" s="15" t="n">
        <f aca="false">AK55+AL55</f>
        <v>86968.75</v>
      </c>
      <c r="AN55" s="15" t="n">
        <f aca="false">INDEX(Ipotesi!$C$30:$G$30,1,F55)*G55/12</f>
        <v>61.25</v>
      </c>
      <c r="AO55" s="15" t="n">
        <f aca="false">O55*Parametri_v3!$C$7*Parametri_v3!$C$11*(1-Parametri_v3!$C$14)/12</f>
        <v>87.2666666666667</v>
      </c>
      <c r="AP55" s="15" t="n">
        <f aca="false">MIN(AN55,AO55)</f>
        <v>61.25</v>
      </c>
      <c r="AQ55" s="15" t="n">
        <f aca="false">AP55*INDEX(Ipotesi!$C$31:$G$31,1,F55)*H55</f>
        <v>67375</v>
      </c>
      <c r="AR55" s="15" t="n">
        <f aca="false">INDEX(Ipotesi!$C$75:$G$75,1,F55)*J55/12</f>
        <v>35833.3333333333</v>
      </c>
      <c r="AS55" s="15" t="n">
        <f aca="false">INDEX(Ipotesi!$C$81:$G$81,1,F55)*J55/12</f>
        <v>2083.33333333333</v>
      </c>
      <c r="AT55" s="15" t="n">
        <f aca="false">AR55*Parametri_v3!$C$15+Z55*Parametri_v3!$C$16</f>
        <v>53560.0970908333</v>
      </c>
      <c r="AU55" s="15" t="n">
        <f aca="false">Q55*Parametri_v3!$C$16*Parametri_v3!$C$17</f>
        <v>420</v>
      </c>
      <c r="AV55" s="17" t="n">
        <f aca="false">BD54</f>
        <v>132.695361592455</v>
      </c>
      <c r="AW55" s="17" t="n">
        <f aca="false">AV55*(1-(1-INDEX(Ipotesi!$C$34:$G$34,1,F55))^(1/12))</f>
        <v>1.15997122653404</v>
      </c>
      <c r="AX55" s="15" t="n">
        <f aca="false">ROUND(INDEX(Ipotesi!$C$32:$G$32,1,F55)*Ipotesi!C8,0)</f>
        <v>336</v>
      </c>
      <c r="AY55" s="15" t="n">
        <f aca="false">MAX(0,(AX55-(AV55-AW55))/(13-E55))</f>
        <v>20.446460963408</v>
      </c>
      <c r="AZ55" s="15" t="n">
        <f aca="false">MIN(P55*Parametri_v3!$C$22,Q55*(1-Parametri_v3!$C$16)*Parametri_v3!$C$23)</f>
        <v>270</v>
      </c>
      <c r="BA55" s="15" t="n">
        <f aca="false">IF(OR(INDEX(Ipotesi!$C$35:$G$35,1,F55)&lt;=0,51-Parametri_v3!$C$21&lt;1),0,INDEX($AT$5:$AT$64,MAX(1,51-Parametri_v3!$C$21))/(INDEX(Ipotesi!$C$35:$G$35,1,F55)*Ipotesi!C27))</f>
        <v>5.41778314636752</v>
      </c>
      <c r="BB55" s="15" t="n">
        <f aca="false">IF(51-Parametri_v3!$C$21&lt;1,0,INDEX($AU$5:$AU$64,MAX(1,51-Parametri_v3!$C$21)))*Parametri_v3!$C$18*Parametri_v3!$C$19*Parametri_v3!$C$20</f>
        <v>13.125</v>
      </c>
      <c r="BC55" s="17" t="n">
        <f aca="false">MAX(0,MIN(AY55,BA55,BB55,MAX(0,AZ55-(AV55-AW55))))</f>
        <v>5.41778314636752</v>
      </c>
      <c r="BD55" s="17" t="n">
        <f aca="false">AV55-AW55+BC55</f>
        <v>136.953173512288</v>
      </c>
      <c r="BE55" s="17" t="n">
        <f aca="false">(AV55+BD55)/2</f>
        <v>134.824267552371</v>
      </c>
      <c r="BF55" s="15" t="n">
        <f aca="false">BE55*INDEX(Ipotesi!$C$33:$G$33,1,F55)*H55/12</f>
        <v>69659.2049020585</v>
      </c>
      <c r="BG55" s="15" t="n">
        <f aca="false">BD55*INDEX(Ipotesi!$C$33:$G$33,1,F55)*H55</f>
        <v>849109.675776186</v>
      </c>
      <c r="BH55" s="15" t="n">
        <f aca="false">AM55*INDEX(Ipotesi!$C$37:$G$37,1,F55)</f>
        <v>8696.875</v>
      </c>
      <c r="BI55" s="15" t="n">
        <f aca="false">AQ55+BF55+BH55</f>
        <v>145731.079902058</v>
      </c>
      <c r="BJ55" s="15" t="n">
        <f aca="false">INDEX(Ipotesi!$C$68:$G$68,1,F55)*Ipotesi!$C$69/12</f>
        <v>3333.33333333333</v>
      </c>
      <c r="BK55" s="15" t="n">
        <f aca="false">INDEX(Ipotesi!$C$68:$G$68,1,F55)*(1-Ipotesi!$C$69)/12</f>
        <v>5000</v>
      </c>
      <c r="BL55" s="15" t="n">
        <f aca="false">(AQ55+BF55)*Ipotesi!$C$67</f>
        <v>4111.02614706175</v>
      </c>
      <c r="BM55" s="15" t="n">
        <f aca="false">AM55*Ipotesi!$C$67</f>
        <v>2609.0625</v>
      </c>
      <c r="BN55" s="15" t="n">
        <f aca="false">INDEX(Ipotesi!$C$72:$G$72,1,F55)/12*Ipotesi!C126+BF55*Ipotesi!$C$73</f>
        <v>6822.73639216468</v>
      </c>
      <c r="BO55" s="15" t="n">
        <f aca="false">INDEX(Ipotesi!$C$74:$G$74,1,F55)/12*Ipotesi!C126</f>
        <v>5416.66666666667</v>
      </c>
      <c r="BP55" s="15" t="n">
        <f aca="false">INDEX(Ipotesi!$C$76:$G$76,1,F55)/12</f>
        <v>1916.66666666667</v>
      </c>
      <c r="BQ55" s="15" t="n">
        <f aca="false">INDEX(Ipotesi!$C$77:$G$77,1,F55)/12*Ipotesi!C126</f>
        <v>2500</v>
      </c>
      <c r="BR55" s="15" t="n">
        <f aca="false">INDEX(Ipotesi!$C$78:$G$78,1,F55)/12</f>
        <v>2333.33333333333</v>
      </c>
      <c r="BS55" s="15" t="n">
        <f aca="false">SUM(M55:R55)*(Ipotesi!$C$85+Ipotesi!$C$86)/12</f>
        <v>7437.5</v>
      </c>
      <c r="BT55" s="15" t="n">
        <f aca="false">BI55*Ipotesi!$C$87</f>
        <v>4371.93239706175</v>
      </c>
      <c r="BU55" s="15" t="n">
        <f aca="false">INDEX(Ipotesi!$C$55:$G$55,1,F55)*K55/12</f>
        <v>2000</v>
      </c>
      <c r="BV55" s="15" t="n">
        <f aca="false">INDEX(Ipotesi!$C$80:$G$80,1,F55)/12*Ipotesi!C126</f>
        <v>2083.33333333333</v>
      </c>
      <c r="BW55" s="15" t="n">
        <f aca="false">INDEX(Ipotesi!$C$82:$G$82,1,F55)/12</f>
        <v>1500</v>
      </c>
      <c r="BX55" s="15" t="n">
        <f aca="false">INDEX(Ipotesi!$C$83:$G$83,1,F55)/12</f>
        <v>833.333333333333</v>
      </c>
      <c r="BY55" s="15" t="n">
        <f aca="false">SUM(S55:U55)*(Ipotesi!$C$85+Ipotesi!$C$86)/12</f>
        <v>3208.33333333333</v>
      </c>
      <c r="BZ55" s="15" t="n">
        <f aca="false">AM55*Ipotesi!$C$87</f>
        <v>2609.0625</v>
      </c>
      <c r="CA55" s="15" t="n">
        <f aca="false">AB55+BJ55+BL55+BN55+BO55+AR55+BP55+BQ55+BR55+BS55+BT55</f>
        <v>193553.856590455</v>
      </c>
      <c r="CB55" s="15" t="n">
        <f aca="false">AC55+BK55+BM55+BH55+BU55+BV55+AS55+BW55+BX55+BY55+BZ55</f>
        <v>74987.1389275</v>
      </c>
      <c r="CC55" s="15" t="n">
        <f aca="false">BI55-CA55</f>
        <v>-47822.7766883964</v>
      </c>
      <c r="CD55" s="15" t="n">
        <f aca="false">AM55-CB55</f>
        <v>11981.6110725</v>
      </c>
      <c r="CE55" s="15" t="n">
        <f aca="false">INDEX(Ipotesi!$C$79:$G$79,1,F55)/12</f>
        <v>4166.66666666667</v>
      </c>
      <c r="CF55" s="15" t="n">
        <f aca="false">INDEX(Ipotesi!$C$84:$G$84,1,F55)/12</f>
        <v>666.666666666667</v>
      </c>
      <c r="CG55" s="15" t="n">
        <f aca="false">Y55*MAX(0,Parametri_v3!$C$12-IF(P55=0,0,MIN(1,BE55/(P55*Parametri_v3!$C$22))))+W55*Parametri_v3!$C$13+X55*Parametri_v3!$C$14</f>
        <v>37759.6825195004</v>
      </c>
      <c r="CH55" s="15" t="n">
        <f aca="false">AB55*Parametri_v3!$C$32</f>
        <v>5973.86641604167</v>
      </c>
      <c r="CI55" s="15" t="n">
        <f aca="false">AC55*Parametri_v3!$C$32</f>
        <v>2218.19027970833</v>
      </c>
      <c r="CJ55" s="15" t="n">
        <f aca="false">CA55-AB55</f>
        <v>74076.5282696215</v>
      </c>
      <c r="CK55" s="15" t="n">
        <f aca="false">CB55-AC55-BH55</f>
        <v>21926.4583333333</v>
      </c>
      <c r="CL55" s="15" t="n">
        <f aca="false">BF55*Ipotesi!$C$73+INDEX(Ipotesi!$C$72:$G$72,1,F55)/12*Ipotesi!C126*Parametri_v3!$C$58+Z55*(1-Parametri_v3!$C$16)</f>
        <v>14419.9208596647</v>
      </c>
      <c r="CM55" s="16" t="n">
        <f aca="false">IF(BF55=0,0,1-CL55/BF55)</f>
        <v>0.792993318256514</v>
      </c>
    </row>
    <row r="56" customFormat="false" ht="18" hidden="false" customHeight="true" outlineLevel="0" collapsed="false">
      <c r="A56" s="68" t="n">
        <f aca="false">1</f>
        <v>1</v>
      </c>
      <c r="B56" s="68" t="n">
        <f aca="false">52</f>
        <v>52</v>
      </c>
      <c r="C56" s="18" t="n">
        <f aca="false">EDATE(Parametri_v3!$C$5,52-1)</f>
        <v>47939</v>
      </c>
      <c r="D56" s="68" t="n">
        <f aca="false">YEAR(C56)</f>
        <v>2031</v>
      </c>
      <c r="E56" s="68" t="n">
        <f aca="false">MONTH(C56)</f>
        <v>4</v>
      </c>
      <c r="F56" s="68" t="n">
        <f aca="false">INT((52-1)/12)+1</f>
        <v>5</v>
      </c>
      <c r="G56" s="15" t="n">
        <f aca="false">Ipotesi!C7</f>
        <v>0.75</v>
      </c>
      <c r="H56" s="15" t="n">
        <f aca="false">Ipotesi!C9</f>
        <v>1</v>
      </c>
      <c r="I56" s="15" t="n">
        <f aca="false">Ipotesi!C10</f>
        <v>1</v>
      </c>
      <c r="J56" s="15" t="n">
        <f aca="false">Ipotesi!C11</f>
        <v>1</v>
      </c>
      <c r="K56" s="15" t="n">
        <f aca="false">Ipotesi!C12</f>
        <v>1</v>
      </c>
      <c r="L56" s="15" t="n">
        <f aca="false">Ipotesi!C13</f>
        <v>90</v>
      </c>
      <c r="M56" s="17" t="n">
        <f aca="false">INDEX(Ipotesi!$C$40:$G$40,1,F56)</f>
        <v>1</v>
      </c>
      <c r="N56" s="17" t="n">
        <f aca="false">INDEX(Ipotesi!$C$41:$G$41,1,F56)</f>
        <v>1</v>
      </c>
      <c r="O56" s="17" t="n">
        <f aca="false">INDEX(Ipotesi!$C$42:$G$42,1,F56)*Ipotesi!C125</f>
        <v>8.5</v>
      </c>
      <c r="P56" s="17" t="n">
        <f aca="false">INDEX(Ipotesi!$C$43:$G$43,1,F56)*I56</f>
        <v>7</v>
      </c>
      <c r="Q56" s="17" t="n">
        <f aca="false">INDEX(Ipotesi!$C$44:$G$44,1,F56)*I56</f>
        <v>6</v>
      </c>
      <c r="R56" s="17" t="n">
        <f aca="false">INDEX(Ipotesi!$C$45:$G$45,1,F56)*I56</f>
        <v>2</v>
      </c>
      <c r="S56" s="17" t="n">
        <f aca="false">INDEX(Ipotesi!$C$52:$G$52,1,F56)*Ipotesi!C125</f>
        <v>9</v>
      </c>
      <c r="T56" s="17" t="n">
        <f aca="false">INDEX(Ipotesi!$C$53:$G$53,1,F56)*I56</f>
        <v>1</v>
      </c>
      <c r="U56" s="17" t="n">
        <f aca="false">INDEX(Ipotesi!$C$54:$G$54,1,F56)*I56</f>
        <v>1</v>
      </c>
      <c r="V56" s="15" t="n">
        <f aca="false">M56*INDEX(Ipotesi!$C$58:$G$58,1,F56)*K56/12</f>
        <v>8333.33333333333</v>
      </c>
      <c r="W56" s="15" t="n">
        <f aca="false">N56*Ipotesi!$C$59*(1+Ipotesi!$C$66)^(F56-1)/12</f>
        <v>6565.46805833334</v>
      </c>
      <c r="X56" s="15" t="n">
        <f aca="false">O56*Ipotesi!$C$60*(1+Ipotesi!$C$66)^(F56-1)/12</f>
        <v>39861.7703541667</v>
      </c>
      <c r="Y56" s="15" t="n">
        <f aca="false">P56*Ipotesi!$C$61*(1+Ipotesi!$C$66)^(F56-1)/12</f>
        <v>32827.3402916667</v>
      </c>
      <c r="Z56" s="15" t="n">
        <f aca="false">Q56*Ipotesi!$C$62*(1+Ipotesi!$C$66)^(F56-1)/12</f>
        <v>25323.948225</v>
      </c>
      <c r="AA56" s="15" t="n">
        <f aca="false">R56*Ipotesi!$C$63*(1+Ipotesi!$C$66)^(F56-1)/12</f>
        <v>6565.46805833334</v>
      </c>
      <c r="AB56" s="15" t="n">
        <f aca="false">SUM(V56:AA56)</f>
        <v>119477.328320833</v>
      </c>
      <c r="AC56" s="15" t="n">
        <f aca="false">(S56*Ipotesi!$C$64+T56*Ipotesi!$C$65+U56*Ipotesi!$C$63)*(1+Ipotesi!$C$66)^(F56-1)/12</f>
        <v>44363.8055941667</v>
      </c>
      <c r="AD56" s="15" t="n">
        <f aca="false">INDEX(Ipotesi!$C$48:$G$48,1,F56)*G56/12</f>
        <v>71.875</v>
      </c>
      <c r="AE56" s="15" t="n">
        <f aca="false">INDEX(Ipotesi!$C$50:$G$50,1,F56)*G56/12</f>
        <v>7.1875</v>
      </c>
      <c r="AF56" s="15" t="n">
        <f aca="false">(S56*Parametri_v3!$C$7*Parametri_v3!$C$8+Parametri_v3!$C$10)/12</f>
        <v>115.5</v>
      </c>
      <c r="AG56" s="15" t="n">
        <f aca="false">AD56+AE56*(1+Parametri_v3!$C$9)</f>
        <v>82.65625</v>
      </c>
      <c r="AH56" s="16" t="n">
        <f aca="false">IF(AG56=0,1,MIN(1,AF56/AG56))</f>
        <v>1</v>
      </c>
      <c r="AI56" s="15" t="n">
        <f aca="false">AD56*AH56</f>
        <v>71.875</v>
      </c>
      <c r="AJ56" s="15" t="n">
        <f aca="false">AE56*AH56</f>
        <v>7.1875</v>
      </c>
      <c r="AK56" s="15" t="n">
        <f aca="false">AI56*INDEX(Ipotesi!$C$49:$G$49,1,F56)*H56</f>
        <v>68281.25</v>
      </c>
      <c r="AL56" s="15" t="n">
        <f aca="false">AJ56*INDEX(Ipotesi!$C$51:$G$51,1,F56)*H56</f>
        <v>18687.5</v>
      </c>
      <c r="AM56" s="15" t="n">
        <f aca="false">AK56+AL56</f>
        <v>86968.75</v>
      </c>
      <c r="AN56" s="15" t="n">
        <f aca="false">INDEX(Ipotesi!$C$30:$G$30,1,F56)*G56/12</f>
        <v>61.25</v>
      </c>
      <c r="AO56" s="15" t="n">
        <f aca="false">O56*Parametri_v3!$C$7*Parametri_v3!$C$11*(1-Parametri_v3!$C$14)/12</f>
        <v>87.2666666666667</v>
      </c>
      <c r="AP56" s="15" t="n">
        <f aca="false">MIN(AN56,AO56)</f>
        <v>61.25</v>
      </c>
      <c r="AQ56" s="15" t="n">
        <f aca="false">AP56*INDEX(Ipotesi!$C$31:$G$31,1,F56)*H56</f>
        <v>67375</v>
      </c>
      <c r="AR56" s="15" t="n">
        <f aca="false">INDEX(Ipotesi!$C$75:$G$75,1,F56)*J56/12</f>
        <v>35833.3333333333</v>
      </c>
      <c r="AS56" s="15" t="n">
        <f aca="false">INDEX(Ipotesi!$C$81:$G$81,1,F56)*J56/12</f>
        <v>2083.33333333333</v>
      </c>
      <c r="AT56" s="15" t="n">
        <f aca="false">AR56*Parametri_v3!$C$15+Z56*Parametri_v3!$C$16</f>
        <v>53560.0970908333</v>
      </c>
      <c r="AU56" s="15" t="n">
        <f aca="false">Q56*Parametri_v3!$C$16*Parametri_v3!$C$17</f>
        <v>420</v>
      </c>
      <c r="AV56" s="17" t="n">
        <f aca="false">BD55</f>
        <v>136.953173512288</v>
      </c>
      <c r="AW56" s="17" t="n">
        <f aca="false">AV56*(1-(1-INDEX(Ipotesi!$C$34:$G$34,1,F56))^(1/12))</f>
        <v>1.1971913618555</v>
      </c>
      <c r="AX56" s="15" t="n">
        <f aca="false">ROUND(INDEX(Ipotesi!$C$32:$G$32,1,F56)*Ipotesi!C8,0)</f>
        <v>336</v>
      </c>
      <c r="AY56" s="15" t="n">
        <f aca="false">MAX(0,(AX56-(AV56-AW56))/(13-E56))</f>
        <v>22.2493353166186</v>
      </c>
      <c r="AZ56" s="15" t="n">
        <f aca="false">MIN(P56*Parametri_v3!$C$22,Q56*(1-Parametri_v3!$C$16)*Parametri_v3!$C$23)</f>
        <v>270</v>
      </c>
      <c r="BA56" s="15" t="n">
        <f aca="false">IF(OR(INDEX(Ipotesi!$C$35:$G$35,1,F56)&lt;=0,52-Parametri_v3!$C$21&lt;1),0,INDEX($AT$5:$AT$64,MAX(1,52-Parametri_v3!$C$21))/(INDEX(Ipotesi!$C$35:$G$35,1,F56)*Ipotesi!C27))</f>
        <v>6.8666791142094</v>
      </c>
      <c r="BB56" s="15" t="n">
        <f aca="false">IF(52-Parametri_v3!$C$21&lt;1,0,INDEX($AU$5:$AU$64,MAX(1,52-Parametri_v3!$C$21)))*Parametri_v3!$C$18*Parametri_v3!$C$19*Parametri_v3!$C$20</f>
        <v>15.75</v>
      </c>
      <c r="BC56" s="17" t="n">
        <f aca="false">MAX(0,MIN(AY56,BA56,BB56,MAX(0,AZ56-(AV56-AW56))))</f>
        <v>6.8666791142094</v>
      </c>
      <c r="BD56" s="17" t="n">
        <f aca="false">AV56-AW56+BC56</f>
        <v>142.622661264642</v>
      </c>
      <c r="BE56" s="17" t="n">
        <f aca="false">(AV56+BD56)/2</f>
        <v>139.787917388465</v>
      </c>
      <c r="BF56" s="15" t="n">
        <f aca="false">BE56*INDEX(Ipotesi!$C$33:$G$33,1,F56)*H56/12</f>
        <v>72223.7573173735</v>
      </c>
      <c r="BG56" s="15" t="n">
        <f aca="false">BD56*INDEX(Ipotesi!$C$33:$G$33,1,F56)*H56</f>
        <v>884260.49984078</v>
      </c>
      <c r="BH56" s="15" t="n">
        <f aca="false">AM56*INDEX(Ipotesi!$C$37:$G$37,1,F56)</f>
        <v>8696.875</v>
      </c>
      <c r="BI56" s="15" t="n">
        <f aca="false">AQ56+BF56+BH56</f>
        <v>148295.632317374</v>
      </c>
      <c r="BJ56" s="15" t="n">
        <f aca="false">INDEX(Ipotesi!$C$68:$G$68,1,F56)*Ipotesi!$C$69/12</f>
        <v>3333.33333333333</v>
      </c>
      <c r="BK56" s="15" t="n">
        <f aca="false">INDEX(Ipotesi!$C$68:$G$68,1,F56)*(1-Ipotesi!$C$69)/12</f>
        <v>5000</v>
      </c>
      <c r="BL56" s="15" t="n">
        <f aca="false">(AQ56+BF56)*Ipotesi!$C$67</f>
        <v>4187.96271952121</v>
      </c>
      <c r="BM56" s="15" t="n">
        <f aca="false">AM56*Ipotesi!$C$67</f>
        <v>2609.0625</v>
      </c>
      <c r="BN56" s="15" t="n">
        <f aca="false">INDEX(Ipotesi!$C$72:$G$72,1,F56)/12*Ipotesi!C126+BF56*Ipotesi!$C$73</f>
        <v>7027.90058538988</v>
      </c>
      <c r="BO56" s="15" t="n">
        <f aca="false">INDEX(Ipotesi!$C$74:$G$74,1,F56)/12*Ipotesi!C126</f>
        <v>5416.66666666667</v>
      </c>
      <c r="BP56" s="15" t="n">
        <f aca="false">INDEX(Ipotesi!$C$76:$G$76,1,F56)/12</f>
        <v>1916.66666666667</v>
      </c>
      <c r="BQ56" s="15" t="n">
        <f aca="false">INDEX(Ipotesi!$C$77:$G$77,1,F56)/12*Ipotesi!C126</f>
        <v>2500</v>
      </c>
      <c r="BR56" s="15" t="n">
        <f aca="false">INDEX(Ipotesi!$C$78:$G$78,1,F56)/12</f>
        <v>2333.33333333333</v>
      </c>
      <c r="BS56" s="15" t="n">
        <f aca="false">SUM(M56:R56)*(Ipotesi!$C$85+Ipotesi!$C$86)/12</f>
        <v>7437.5</v>
      </c>
      <c r="BT56" s="15" t="n">
        <f aca="false">BI56*Ipotesi!$C$87</f>
        <v>4448.86896952121</v>
      </c>
      <c r="BU56" s="15" t="n">
        <f aca="false">INDEX(Ipotesi!$C$55:$G$55,1,F56)*K56/12</f>
        <v>2000</v>
      </c>
      <c r="BV56" s="15" t="n">
        <f aca="false">INDEX(Ipotesi!$C$80:$G$80,1,F56)/12*Ipotesi!C126</f>
        <v>2083.33333333333</v>
      </c>
      <c r="BW56" s="15" t="n">
        <f aca="false">INDEX(Ipotesi!$C$82:$G$82,1,F56)/12</f>
        <v>1500</v>
      </c>
      <c r="BX56" s="15" t="n">
        <f aca="false">INDEX(Ipotesi!$C$83:$G$83,1,F56)/12</f>
        <v>833.333333333333</v>
      </c>
      <c r="BY56" s="15" t="n">
        <f aca="false">SUM(S56:U56)*(Ipotesi!$C$85+Ipotesi!$C$86)/12</f>
        <v>3208.33333333333</v>
      </c>
      <c r="BZ56" s="15" t="n">
        <f aca="false">AM56*Ipotesi!$C$87</f>
        <v>2609.0625</v>
      </c>
      <c r="CA56" s="15" t="n">
        <f aca="false">AB56+BJ56+BL56+BN56+BO56+AR56+BP56+BQ56+BR56+BS56+BT56</f>
        <v>193912.893928599</v>
      </c>
      <c r="CB56" s="15" t="n">
        <f aca="false">AC56+BK56+BM56+BH56+BU56+BV56+AS56+BW56+BX56+BY56+BZ56</f>
        <v>74987.1389275</v>
      </c>
      <c r="CC56" s="15" t="n">
        <f aca="false">BI56-CA56</f>
        <v>-45617.2616112254</v>
      </c>
      <c r="CD56" s="15" t="n">
        <f aca="false">AM56-CB56</f>
        <v>11981.6110725</v>
      </c>
      <c r="CE56" s="15" t="n">
        <f aca="false">INDEX(Ipotesi!$C$79:$G$79,1,F56)/12</f>
        <v>4166.66666666667</v>
      </c>
      <c r="CF56" s="15" t="n">
        <f aca="false">INDEX(Ipotesi!$C$84:$G$84,1,F56)/12</f>
        <v>666.666666666667</v>
      </c>
      <c r="CG56" s="15" t="n">
        <f aca="false">Y56*MAX(0,Parametri_v3!$C$12-IF(P56=0,0,MIN(1,BE56/(P56*Parametri_v3!$C$22))))+W56*Parametri_v3!$C$13+X56*Parametri_v3!$C$14</f>
        <v>37526.9062019888</v>
      </c>
      <c r="CH56" s="15" t="n">
        <f aca="false">AB56*Parametri_v3!$C$32</f>
        <v>5973.86641604167</v>
      </c>
      <c r="CI56" s="15" t="n">
        <f aca="false">AC56*Parametri_v3!$C$32</f>
        <v>2218.19027970833</v>
      </c>
      <c r="CJ56" s="15" t="n">
        <f aca="false">CA56-AB56</f>
        <v>74435.5656077656</v>
      </c>
      <c r="CK56" s="15" t="n">
        <f aca="false">CB56-AC56-BH56</f>
        <v>21926.4583333333</v>
      </c>
      <c r="CL56" s="15" t="n">
        <f aca="false">BF56*Ipotesi!$C$73+INDEX(Ipotesi!$C$72:$G$72,1,F56)/12*Ipotesi!C126*Parametri_v3!$C$58+Z56*(1-Parametri_v3!$C$16)</f>
        <v>14625.0850528899</v>
      </c>
      <c r="CM56" s="16" t="n">
        <f aca="false">IF(BF56=0,0,1-CL56/BF56)</f>
        <v>0.797503126448784</v>
      </c>
    </row>
    <row r="57" customFormat="false" ht="18" hidden="false" customHeight="true" outlineLevel="0" collapsed="false">
      <c r="A57" s="68" t="n">
        <f aca="false">1</f>
        <v>1</v>
      </c>
      <c r="B57" s="68" t="n">
        <f aca="false">53</f>
        <v>53</v>
      </c>
      <c r="C57" s="18" t="n">
        <f aca="false">EDATE(Parametri_v3!$C$5,53-1)</f>
        <v>47969</v>
      </c>
      <c r="D57" s="68" t="n">
        <f aca="false">YEAR(C57)</f>
        <v>2031</v>
      </c>
      <c r="E57" s="68" t="n">
        <f aca="false">MONTH(C57)</f>
        <v>5</v>
      </c>
      <c r="F57" s="68" t="n">
        <f aca="false">INT((53-1)/12)+1</f>
        <v>5</v>
      </c>
      <c r="G57" s="15" t="n">
        <f aca="false">Ipotesi!C7</f>
        <v>0.75</v>
      </c>
      <c r="H57" s="15" t="n">
        <f aca="false">Ipotesi!C9</f>
        <v>1</v>
      </c>
      <c r="I57" s="15" t="n">
        <f aca="false">Ipotesi!C10</f>
        <v>1</v>
      </c>
      <c r="J57" s="15" t="n">
        <f aca="false">Ipotesi!C11</f>
        <v>1</v>
      </c>
      <c r="K57" s="15" t="n">
        <f aca="false">Ipotesi!C12</f>
        <v>1</v>
      </c>
      <c r="L57" s="15" t="n">
        <f aca="false">Ipotesi!C13</f>
        <v>90</v>
      </c>
      <c r="M57" s="17" t="n">
        <f aca="false">INDEX(Ipotesi!$C$40:$G$40,1,F57)</f>
        <v>1</v>
      </c>
      <c r="N57" s="17" t="n">
        <f aca="false">INDEX(Ipotesi!$C$41:$G$41,1,F57)</f>
        <v>1</v>
      </c>
      <c r="O57" s="17" t="n">
        <f aca="false">INDEX(Ipotesi!$C$42:$G$42,1,F57)*Ipotesi!C125</f>
        <v>8.5</v>
      </c>
      <c r="P57" s="17" t="n">
        <f aca="false">INDEX(Ipotesi!$C$43:$G$43,1,F57)*I57</f>
        <v>7</v>
      </c>
      <c r="Q57" s="17" t="n">
        <f aca="false">INDEX(Ipotesi!$C$44:$G$44,1,F57)*I57</f>
        <v>6</v>
      </c>
      <c r="R57" s="17" t="n">
        <f aca="false">INDEX(Ipotesi!$C$45:$G$45,1,F57)*I57</f>
        <v>2</v>
      </c>
      <c r="S57" s="17" t="n">
        <f aca="false">INDEX(Ipotesi!$C$52:$G$52,1,F57)*Ipotesi!C125</f>
        <v>9</v>
      </c>
      <c r="T57" s="17" t="n">
        <f aca="false">INDEX(Ipotesi!$C$53:$G$53,1,F57)*I57</f>
        <v>1</v>
      </c>
      <c r="U57" s="17" t="n">
        <f aca="false">INDEX(Ipotesi!$C$54:$G$54,1,F57)*I57</f>
        <v>1</v>
      </c>
      <c r="V57" s="15" t="n">
        <f aca="false">M57*INDEX(Ipotesi!$C$58:$G$58,1,F57)*K57/12</f>
        <v>8333.33333333333</v>
      </c>
      <c r="W57" s="15" t="n">
        <f aca="false">N57*Ipotesi!$C$59*(1+Ipotesi!$C$66)^(F57-1)/12</f>
        <v>6565.46805833334</v>
      </c>
      <c r="X57" s="15" t="n">
        <f aca="false">O57*Ipotesi!$C$60*(1+Ipotesi!$C$66)^(F57-1)/12</f>
        <v>39861.7703541667</v>
      </c>
      <c r="Y57" s="15" t="n">
        <f aca="false">P57*Ipotesi!$C$61*(1+Ipotesi!$C$66)^(F57-1)/12</f>
        <v>32827.3402916667</v>
      </c>
      <c r="Z57" s="15" t="n">
        <f aca="false">Q57*Ipotesi!$C$62*(1+Ipotesi!$C$66)^(F57-1)/12</f>
        <v>25323.948225</v>
      </c>
      <c r="AA57" s="15" t="n">
        <f aca="false">R57*Ipotesi!$C$63*(1+Ipotesi!$C$66)^(F57-1)/12</f>
        <v>6565.46805833334</v>
      </c>
      <c r="AB57" s="15" t="n">
        <f aca="false">SUM(V57:AA57)</f>
        <v>119477.328320833</v>
      </c>
      <c r="AC57" s="15" t="n">
        <f aca="false">(S57*Ipotesi!$C$64+T57*Ipotesi!$C$65+U57*Ipotesi!$C$63)*(1+Ipotesi!$C$66)^(F57-1)/12</f>
        <v>44363.8055941667</v>
      </c>
      <c r="AD57" s="15" t="n">
        <f aca="false">INDEX(Ipotesi!$C$48:$G$48,1,F57)*G57/12</f>
        <v>71.875</v>
      </c>
      <c r="AE57" s="15" t="n">
        <f aca="false">INDEX(Ipotesi!$C$50:$G$50,1,F57)*G57/12</f>
        <v>7.1875</v>
      </c>
      <c r="AF57" s="15" t="n">
        <f aca="false">(S57*Parametri_v3!$C$7*Parametri_v3!$C$8+Parametri_v3!$C$10)/12</f>
        <v>115.5</v>
      </c>
      <c r="AG57" s="15" t="n">
        <f aca="false">AD57+AE57*(1+Parametri_v3!$C$9)</f>
        <v>82.65625</v>
      </c>
      <c r="AH57" s="16" t="n">
        <f aca="false">IF(AG57=0,1,MIN(1,AF57/AG57))</f>
        <v>1</v>
      </c>
      <c r="AI57" s="15" t="n">
        <f aca="false">AD57*AH57</f>
        <v>71.875</v>
      </c>
      <c r="AJ57" s="15" t="n">
        <f aca="false">AE57*AH57</f>
        <v>7.1875</v>
      </c>
      <c r="AK57" s="15" t="n">
        <f aca="false">AI57*INDEX(Ipotesi!$C$49:$G$49,1,F57)*H57</f>
        <v>68281.25</v>
      </c>
      <c r="AL57" s="15" t="n">
        <f aca="false">AJ57*INDEX(Ipotesi!$C$51:$G$51,1,F57)*H57</f>
        <v>18687.5</v>
      </c>
      <c r="AM57" s="15" t="n">
        <f aca="false">AK57+AL57</f>
        <v>86968.75</v>
      </c>
      <c r="AN57" s="15" t="n">
        <f aca="false">INDEX(Ipotesi!$C$30:$G$30,1,F57)*G57/12</f>
        <v>61.25</v>
      </c>
      <c r="AO57" s="15" t="n">
        <f aca="false">O57*Parametri_v3!$C$7*Parametri_v3!$C$11*(1-Parametri_v3!$C$14)/12</f>
        <v>87.2666666666667</v>
      </c>
      <c r="AP57" s="15" t="n">
        <f aca="false">MIN(AN57,AO57)</f>
        <v>61.25</v>
      </c>
      <c r="AQ57" s="15" t="n">
        <f aca="false">AP57*INDEX(Ipotesi!$C$31:$G$31,1,F57)*H57</f>
        <v>67375</v>
      </c>
      <c r="AR57" s="15" t="n">
        <f aca="false">INDEX(Ipotesi!$C$75:$G$75,1,F57)*J57/12</f>
        <v>35833.3333333333</v>
      </c>
      <c r="AS57" s="15" t="n">
        <f aca="false">INDEX(Ipotesi!$C$81:$G$81,1,F57)*J57/12</f>
        <v>2083.33333333333</v>
      </c>
      <c r="AT57" s="15" t="n">
        <f aca="false">AR57*Parametri_v3!$C$15+Z57*Parametri_v3!$C$16</f>
        <v>53560.0970908333</v>
      </c>
      <c r="AU57" s="15" t="n">
        <f aca="false">Q57*Parametri_v3!$C$16*Parametri_v3!$C$17</f>
        <v>420</v>
      </c>
      <c r="AV57" s="17" t="n">
        <f aca="false">BD56</f>
        <v>142.622661264642</v>
      </c>
      <c r="AW57" s="17" t="n">
        <f aca="false">AV57*(1-(1-INDEX(Ipotesi!$C$34:$G$34,1,F57))^(1/12))</f>
        <v>1.24675181809899</v>
      </c>
      <c r="AX57" s="15" t="n">
        <f aca="false">ROUND(INDEX(Ipotesi!$C$32:$G$32,1,F57)*Ipotesi!C8,0)</f>
        <v>336</v>
      </c>
      <c r="AY57" s="15" t="n">
        <f aca="false">MAX(0,(AX57-(AV57-AW57))/(13-E57))</f>
        <v>24.3280113191821</v>
      </c>
      <c r="AZ57" s="15" t="n">
        <f aca="false">MIN(P57*Parametri_v3!$C$22,Q57*(1-Parametri_v3!$C$16)*Parametri_v3!$C$23)</f>
        <v>270</v>
      </c>
      <c r="BA57" s="15" t="n">
        <f aca="false">IF(OR(INDEX(Ipotesi!$C$35:$G$35,1,F57)&lt;=0,53-Parametri_v3!$C$21&lt;1),0,INDEX($AT$5:$AT$64,MAX(1,53-Parametri_v3!$C$21))/(INDEX(Ipotesi!$C$35:$G$35,1,F57)*Ipotesi!C27))</f>
        <v>6.8666791142094</v>
      </c>
      <c r="BB57" s="15" t="n">
        <f aca="false">IF(53-Parametri_v3!$C$21&lt;1,0,INDEX($AU$5:$AU$64,MAX(1,53-Parametri_v3!$C$21)))*Parametri_v3!$C$18*Parametri_v3!$C$19*Parametri_v3!$C$20</f>
        <v>15.75</v>
      </c>
      <c r="BC57" s="17" t="n">
        <f aca="false">MAX(0,MIN(AY57,BA57,BB57,MAX(0,AZ57-(AV57-AW57))))</f>
        <v>6.8666791142094</v>
      </c>
      <c r="BD57" s="17" t="n">
        <f aca="false">AV57-AW57+BC57</f>
        <v>148.242588560752</v>
      </c>
      <c r="BE57" s="17" t="n">
        <f aca="false">(AV57+BD57)/2</f>
        <v>145.432624912697</v>
      </c>
      <c r="BF57" s="15" t="n">
        <f aca="false">BE57*INDEX(Ipotesi!$C$33:$G$33,1,F57)*H57/12</f>
        <v>75140.1895382268</v>
      </c>
      <c r="BG57" s="15" t="n">
        <f aca="false">BD57*INDEX(Ipotesi!$C$33:$G$33,1,F57)*H57</f>
        <v>919104.049076664</v>
      </c>
      <c r="BH57" s="15" t="n">
        <f aca="false">AM57*INDEX(Ipotesi!$C$37:$G$37,1,F57)</f>
        <v>8696.875</v>
      </c>
      <c r="BI57" s="15" t="n">
        <f aca="false">AQ57+BF57+BH57</f>
        <v>151212.064538227</v>
      </c>
      <c r="BJ57" s="15" t="n">
        <f aca="false">INDEX(Ipotesi!$C$68:$G$68,1,F57)*Ipotesi!$C$69/12</f>
        <v>3333.33333333333</v>
      </c>
      <c r="BK57" s="15" t="n">
        <f aca="false">INDEX(Ipotesi!$C$68:$G$68,1,F57)*(1-Ipotesi!$C$69)/12</f>
        <v>5000</v>
      </c>
      <c r="BL57" s="15" t="n">
        <f aca="false">(AQ57+BF57)*Ipotesi!$C$67</f>
        <v>4275.4556861468</v>
      </c>
      <c r="BM57" s="15" t="n">
        <f aca="false">AM57*Ipotesi!$C$67</f>
        <v>2609.0625</v>
      </c>
      <c r="BN57" s="15" t="n">
        <f aca="false">INDEX(Ipotesi!$C$72:$G$72,1,F57)/12*Ipotesi!C126+BF57*Ipotesi!$C$73</f>
        <v>7261.21516305815</v>
      </c>
      <c r="BO57" s="15" t="n">
        <f aca="false">INDEX(Ipotesi!$C$74:$G$74,1,F57)/12*Ipotesi!C126</f>
        <v>5416.66666666667</v>
      </c>
      <c r="BP57" s="15" t="n">
        <f aca="false">INDEX(Ipotesi!$C$76:$G$76,1,F57)/12</f>
        <v>1916.66666666667</v>
      </c>
      <c r="BQ57" s="15" t="n">
        <f aca="false">INDEX(Ipotesi!$C$77:$G$77,1,F57)/12*Ipotesi!C126</f>
        <v>2500</v>
      </c>
      <c r="BR57" s="15" t="n">
        <f aca="false">INDEX(Ipotesi!$C$78:$G$78,1,F57)/12</f>
        <v>2333.33333333333</v>
      </c>
      <c r="BS57" s="15" t="n">
        <f aca="false">SUM(M57:R57)*(Ipotesi!$C$85+Ipotesi!$C$86)/12</f>
        <v>7437.5</v>
      </c>
      <c r="BT57" s="15" t="n">
        <f aca="false">BI57*Ipotesi!$C$87</f>
        <v>4536.3619361468</v>
      </c>
      <c r="BU57" s="15" t="n">
        <f aca="false">INDEX(Ipotesi!$C$55:$G$55,1,F57)*K57/12</f>
        <v>2000</v>
      </c>
      <c r="BV57" s="15" t="n">
        <f aca="false">INDEX(Ipotesi!$C$80:$G$80,1,F57)/12*Ipotesi!C126</f>
        <v>2083.33333333333</v>
      </c>
      <c r="BW57" s="15" t="n">
        <f aca="false">INDEX(Ipotesi!$C$82:$G$82,1,F57)/12</f>
        <v>1500</v>
      </c>
      <c r="BX57" s="15" t="n">
        <f aca="false">INDEX(Ipotesi!$C$83:$G$83,1,F57)/12</f>
        <v>833.333333333333</v>
      </c>
      <c r="BY57" s="15" t="n">
        <f aca="false">SUM(S57:U57)*(Ipotesi!$C$85+Ipotesi!$C$86)/12</f>
        <v>3208.33333333333</v>
      </c>
      <c r="BZ57" s="15" t="n">
        <f aca="false">AM57*Ipotesi!$C$87</f>
        <v>2609.0625</v>
      </c>
      <c r="CA57" s="15" t="n">
        <f aca="false">AB57+BJ57+BL57+BN57+BO57+AR57+BP57+BQ57+BR57+BS57+BT57</f>
        <v>194321.194439518</v>
      </c>
      <c r="CB57" s="15" t="n">
        <f aca="false">AC57+BK57+BM57+BH57+BU57+BV57+AS57+BW57+BX57+BY57+BZ57</f>
        <v>74987.1389275</v>
      </c>
      <c r="CC57" s="15" t="n">
        <f aca="false">BI57-CA57</f>
        <v>-43109.1299012916</v>
      </c>
      <c r="CD57" s="15" t="n">
        <f aca="false">AM57-CB57</f>
        <v>11981.6110725</v>
      </c>
      <c r="CE57" s="15" t="n">
        <f aca="false">INDEX(Ipotesi!$C$79:$G$79,1,F57)/12</f>
        <v>4166.66666666667</v>
      </c>
      <c r="CF57" s="15" t="n">
        <f aca="false">INDEX(Ipotesi!$C$84:$G$84,1,F57)/12</f>
        <v>666.666666666667</v>
      </c>
      <c r="CG57" s="15" t="n">
        <f aca="false">Y57*MAX(0,Parametri_v3!$C$12-IF(P57=0,0,MIN(1,BE57/(P57*Parametri_v3!$C$22))))+W57*Parametri_v3!$C$13+X57*Parametri_v3!$C$14</f>
        <v>37262.1908666389</v>
      </c>
      <c r="CH57" s="15" t="n">
        <f aca="false">AB57*Parametri_v3!$C$32</f>
        <v>5973.86641604167</v>
      </c>
      <c r="CI57" s="15" t="n">
        <f aca="false">AC57*Parametri_v3!$C$32</f>
        <v>2218.19027970833</v>
      </c>
      <c r="CJ57" s="15" t="n">
        <f aca="false">CA57-AB57</f>
        <v>74843.8661186851</v>
      </c>
      <c r="CK57" s="15" t="n">
        <f aca="false">CB57-AC57-BH57</f>
        <v>21926.4583333333</v>
      </c>
      <c r="CL57" s="15" t="n">
        <f aca="false">BF57*Ipotesi!$C$73+INDEX(Ipotesi!$C$72:$G$72,1,F57)/12*Ipotesi!C126*Parametri_v3!$C$58+Z57*(1-Parametri_v3!$C$16)</f>
        <v>14858.3996305582</v>
      </c>
      <c r="CM57" s="16" t="n">
        <f aca="false">IF(BF57=0,0,1-CL57/BF57)</f>
        <v>0.802257623758068</v>
      </c>
    </row>
    <row r="58" customFormat="false" ht="18" hidden="false" customHeight="true" outlineLevel="0" collapsed="false">
      <c r="A58" s="68" t="n">
        <f aca="false">1</f>
        <v>1</v>
      </c>
      <c r="B58" s="68" t="n">
        <f aca="false">54</f>
        <v>54</v>
      </c>
      <c r="C58" s="18" t="n">
        <f aca="false">EDATE(Parametri_v3!$C$5,54-1)</f>
        <v>48000</v>
      </c>
      <c r="D58" s="68" t="n">
        <f aca="false">YEAR(C58)</f>
        <v>2031</v>
      </c>
      <c r="E58" s="68" t="n">
        <f aca="false">MONTH(C58)</f>
        <v>6</v>
      </c>
      <c r="F58" s="68" t="n">
        <f aca="false">INT((54-1)/12)+1</f>
        <v>5</v>
      </c>
      <c r="G58" s="15" t="n">
        <f aca="false">Ipotesi!C7</f>
        <v>0.75</v>
      </c>
      <c r="H58" s="15" t="n">
        <f aca="false">Ipotesi!C9</f>
        <v>1</v>
      </c>
      <c r="I58" s="15" t="n">
        <f aca="false">Ipotesi!C10</f>
        <v>1</v>
      </c>
      <c r="J58" s="15" t="n">
        <f aca="false">Ipotesi!C11</f>
        <v>1</v>
      </c>
      <c r="K58" s="15" t="n">
        <f aca="false">Ipotesi!C12</f>
        <v>1</v>
      </c>
      <c r="L58" s="15" t="n">
        <f aca="false">Ipotesi!C13</f>
        <v>90</v>
      </c>
      <c r="M58" s="17" t="n">
        <f aca="false">INDEX(Ipotesi!$C$40:$G$40,1,F58)</f>
        <v>1</v>
      </c>
      <c r="N58" s="17" t="n">
        <f aca="false">INDEX(Ipotesi!$C$41:$G$41,1,F58)</f>
        <v>1</v>
      </c>
      <c r="O58" s="17" t="n">
        <f aca="false">INDEX(Ipotesi!$C$42:$G$42,1,F58)*Ipotesi!C125</f>
        <v>8.5</v>
      </c>
      <c r="P58" s="17" t="n">
        <f aca="false">INDEX(Ipotesi!$C$43:$G$43,1,F58)*I58</f>
        <v>7</v>
      </c>
      <c r="Q58" s="17" t="n">
        <f aca="false">INDEX(Ipotesi!$C$44:$G$44,1,F58)*I58</f>
        <v>6</v>
      </c>
      <c r="R58" s="17" t="n">
        <f aca="false">INDEX(Ipotesi!$C$45:$G$45,1,F58)*I58</f>
        <v>2</v>
      </c>
      <c r="S58" s="17" t="n">
        <f aca="false">INDEX(Ipotesi!$C$52:$G$52,1,F58)*Ipotesi!C125</f>
        <v>9</v>
      </c>
      <c r="T58" s="17" t="n">
        <f aca="false">INDEX(Ipotesi!$C$53:$G$53,1,F58)*I58</f>
        <v>1</v>
      </c>
      <c r="U58" s="17" t="n">
        <f aca="false">INDEX(Ipotesi!$C$54:$G$54,1,F58)*I58</f>
        <v>1</v>
      </c>
      <c r="V58" s="15" t="n">
        <f aca="false">M58*INDEX(Ipotesi!$C$58:$G$58,1,F58)*K58/12</f>
        <v>8333.33333333333</v>
      </c>
      <c r="W58" s="15" t="n">
        <f aca="false">N58*Ipotesi!$C$59*(1+Ipotesi!$C$66)^(F58-1)/12</f>
        <v>6565.46805833334</v>
      </c>
      <c r="X58" s="15" t="n">
        <f aca="false">O58*Ipotesi!$C$60*(1+Ipotesi!$C$66)^(F58-1)/12</f>
        <v>39861.7703541667</v>
      </c>
      <c r="Y58" s="15" t="n">
        <f aca="false">P58*Ipotesi!$C$61*(1+Ipotesi!$C$66)^(F58-1)/12</f>
        <v>32827.3402916667</v>
      </c>
      <c r="Z58" s="15" t="n">
        <f aca="false">Q58*Ipotesi!$C$62*(1+Ipotesi!$C$66)^(F58-1)/12</f>
        <v>25323.948225</v>
      </c>
      <c r="AA58" s="15" t="n">
        <f aca="false">R58*Ipotesi!$C$63*(1+Ipotesi!$C$66)^(F58-1)/12</f>
        <v>6565.46805833334</v>
      </c>
      <c r="AB58" s="15" t="n">
        <f aca="false">SUM(V58:AA58)</f>
        <v>119477.328320833</v>
      </c>
      <c r="AC58" s="15" t="n">
        <f aca="false">(S58*Ipotesi!$C$64+T58*Ipotesi!$C$65+U58*Ipotesi!$C$63)*(1+Ipotesi!$C$66)^(F58-1)/12</f>
        <v>44363.8055941667</v>
      </c>
      <c r="AD58" s="15" t="n">
        <f aca="false">INDEX(Ipotesi!$C$48:$G$48,1,F58)*G58/12</f>
        <v>71.875</v>
      </c>
      <c r="AE58" s="15" t="n">
        <f aca="false">INDEX(Ipotesi!$C$50:$G$50,1,F58)*G58/12</f>
        <v>7.1875</v>
      </c>
      <c r="AF58" s="15" t="n">
        <f aca="false">(S58*Parametri_v3!$C$7*Parametri_v3!$C$8+Parametri_v3!$C$10)/12</f>
        <v>115.5</v>
      </c>
      <c r="AG58" s="15" t="n">
        <f aca="false">AD58+AE58*(1+Parametri_v3!$C$9)</f>
        <v>82.65625</v>
      </c>
      <c r="AH58" s="16" t="n">
        <f aca="false">IF(AG58=0,1,MIN(1,AF58/AG58))</f>
        <v>1</v>
      </c>
      <c r="AI58" s="15" t="n">
        <f aca="false">AD58*AH58</f>
        <v>71.875</v>
      </c>
      <c r="AJ58" s="15" t="n">
        <f aca="false">AE58*AH58</f>
        <v>7.1875</v>
      </c>
      <c r="AK58" s="15" t="n">
        <f aca="false">AI58*INDEX(Ipotesi!$C$49:$G$49,1,F58)*H58</f>
        <v>68281.25</v>
      </c>
      <c r="AL58" s="15" t="n">
        <f aca="false">AJ58*INDEX(Ipotesi!$C$51:$G$51,1,F58)*H58</f>
        <v>18687.5</v>
      </c>
      <c r="AM58" s="15" t="n">
        <f aca="false">AK58+AL58</f>
        <v>86968.75</v>
      </c>
      <c r="AN58" s="15" t="n">
        <f aca="false">INDEX(Ipotesi!$C$30:$G$30,1,F58)*G58/12</f>
        <v>61.25</v>
      </c>
      <c r="AO58" s="15" t="n">
        <f aca="false">O58*Parametri_v3!$C$7*Parametri_v3!$C$11*(1-Parametri_v3!$C$14)/12</f>
        <v>87.2666666666667</v>
      </c>
      <c r="AP58" s="15" t="n">
        <f aca="false">MIN(AN58,AO58)</f>
        <v>61.25</v>
      </c>
      <c r="AQ58" s="15" t="n">
        <f aca="false">AP58*INDEX(Ipotesi!$C$31:$G$31,1,F58)*H58</f>
        <v>67375</v>
      </c>
      <c r="AR58" s="15" t="n">
        <f aca="false">INDEX(Ipotesi!$C$75:$G$75,1,F58)*J58/12</f>
        <v>35833.3333333333</v>
      </c>
      <c r="AS58" s="15" t="n">
        <f aca="false">INDEX(Ipotesi!$C$81:$G$81,1,F58)*J58/12</f>
        <v>2083.33333333333</v>
      </c>
      <c r="AT58" s="15" t="n">
        <f aca="false">AR58*Parametri_v3!$C$15+Z58*Parametri_v3!$C$16</f>
        <v>53560.0970908333</v>
      </c>
      <c r="AU58" s="15" t="n">
        <f aca="false">Q58*Parametri_v3!$C$16*Parametri_v3!$C$17</f>
        <v>420</v>
      </c>
      <c r="AV58" s="17" t="n">
        <f aca="false">BD57</f>
        <v>148.242588560752</v>
      </c>
      <c r="AW58" s="17" t="n">
        <f aca="false">AV58*(1-(1-INDEX(Ipotesi!$C$34:$G$34,1,F58))^(1/12))</f>
        <v>1.29587903611527</v>
      </c>
      <c r="AX58" s="15" t="n">
        <f aca="false">ROUND(INDEX(Ipotesi!$C$32:$G$32,1,F58)*Ipotesi!C8,0)</f>
        <v>336</v>
      </c>
      <c r="AY58" s="15" t="n">
        <f aca="false">MAX(0,(AX58-(AV58-AW58))/(13-E58))</f>
        <v>27.0076129250519</v>
      </c>
      <c r="AZ58" s="15" t="n">
        <f aca="false">MIN(P58*Parametri_v3!$C$22,Q58*(1-Parametri_v3!$C$16)*Parametri_v3!$C$23)</f>
        <v>270</v>
      </c>
      <c r="BA58" s="15" t="n">
        <f aca="false">IF(OR(INDEX(Ipotesi!$C$35:$G$35,1,F58)&lt;=0,54-Parametri_v3!$C$21&lt;1),0,INDEX($AT$5:$AT$64,MAX(1,54-Parametri_v3!$C$21))/(INDEX(Ipotesi!$C$35:$G$35,1,F58)*Ipotesi!C27))</f>
        <v>6.8666791142094</v>
      </c>
      <c r="BB58" s="15" t="n">
        <f aca="false">IF(54-Parametri_v3!$C$21&lt;1,0,INDEX($AU$5:$AU$64,MAX(1,54-Parametri_v3!$C$21)))*Parametri_v3!$C$18*Parametri_v3!$C$19*Parametri_v3!$C$20</f>
        <v>15.75</v>
      </c>
      <c r="BC58" s="17" t="n">
        <f aca="false">MAX(0,MIN(AY58,BA58,BB58,MAX(0,AZ58-(AV58-AW58))))</f>
        <v>6.8666791142094</v>
      </c>
      <c r="BD58" s="17" t="n">
        <f aca="false">AV58-AW58+BC58</f>
        <v>153.813388638846</v>
      </c>
      <c r="BE58" s="17" t="n">
        <f aca="false">(AV58+BD58)/2</f>
        <v>151.027988599799</v>
      </c>
      <c r="BF58" s="15" t="n">
        <f aca="false">BE58*INDEX(Ipotesi!$C$33:$G$33,1,F58)*H58/12</f>
        <v>78031.1274432297</v>
      </c>
      <c r="BG58" s="15" t="n">
        <f aca="false">BD58*INDEX(Ipotesi!$C$33:$G$33,1,F58)*H58</f>
        <v>953643.009560848</v>
      </c>
      <c r="BH58" s="15" t="n">
        <f aca="false">AM58*INDEX(Ipotesi!$C$37:$G$37,1,F58)</f>
        <v>8696.875</v>
      </c>
      <c r="BI58" s="15" t="n">
        <f aca="false">AQ58+BF58+BH58</f>
        <v>154103.00244323</v>
      </c>
      <c r="BJ58" s="15" t="n">
        <f aca="false">INDEX(Ipotesi!$C$68:$G$68,1,F58)*Ipotesi!$C$69/12</f>
        <v>3333.33333333333</v>
      </c>
      <c r="BK58" s="15" t="n">
        <f aca="false">INDEX(Ipotesi!$C$68:$G$68,1,F58)*(1-Ipotesi!$C$69)/12</f>
        <v>5000</v>
      </c>
      <c r="BL58" s="15" t="n">
        <f aca="false">(AQ58+BF58)*Ipotesi!$C$67</f>
        <v>4362.18382329689</v>
      </c>
      <c r="BM58" s="15" t="n">
        <f aca="false">AM58*Ipotesi!$C$67</f>
        <v>2609.0625</v>
      </c>
      <c r="BN58" s="15" t="n">
        <f aca="false">INDEX(Ipotesi!$C$72:$G$72,1,F58)/12*Ipotesi!C126+BF58*Ipotesi!$C$73</f>
        <v>7492.49019545837</v>
      </c>
      <c r="BO58" s="15" t="n">
        <f aca="false">INDEX(Ipotesi!$C$74:$G$74,1,F58)/12*Ipotesi!C126</f>
        <v>5416.66666666667</v>
      </c>
      <c r="BP58" s="15" t="n">
        <f aca="false">INDEX(Ipotesi!$C$76:$G$76,1,F58)/12</f>
        <v>1916.66666666667</v>
      </c>
      <c r="BQ58" s="15" t="n">
        <f aca="false">INDEX(Ipotesi!$C$77:$G$77,1,F58)/12*Ipotesi!C126</f>
        <v>2500</v>
      </c>
      <c r="BR58" s="15" t="n">
        <f aca="false">INDEX(Ipotesi!$C$78:$G$78,1,F58)/12</f>
        <v>2333.33333333333</v>
      </c>
      <c r="BS58" s="15" t="n">
        <f aca="false">SUM(M58:R58)*(Ipotesi!$C$85+Ipotesi!$C$86)/12</f>
        <v>7437.5</v>
      </c>
      <c r="BT58" s="15" t="n">
        <f aca="false">BI58*Ipotesi!$C$87</f>
        <v>4623.09007329689</v>
      </c>
      <c r="BU58" s="15" t="n">
        <f aca="false">INDEX(Ipotesi!$C$55:$G$55,1,F58)*K58/12</f>
        <v>2000</v>
      </c>
      <c r="BV58" s="15" t="n">
        <f aca="false">INDEX(Ipotesi!$C$80:$G$80,1,F58)/12*Ipotesi!C126</f>
        <v>2083.33333333333</v>
      </c>
      <c r="BW58" s="15" t="n">
        <f aca="false">INDEX(Ipotesi!$C$82:$G$82,1,F58)/12</f>
        <v>1500</v>
      </c>
      <c r="BX58" s="15" t="n">
        <f aca="false">INDEX(Ipotesi!$C$83:$G$83,1,F58)/12</f>
        <v>833.333333333333</v>
      </c>
      <c r="BY58" s="15" t="n">
        <f aca="false">SUM(S58:U58)*(Ipotesi!$C$85+Ipotesi!$C$86)/12</f>
        <v>3208.33333333333</v>
      </c>
      <c r="BZ58" s="15" t="n">
        <f aca="false">AM58*Ipotesi!$C$87</f>
        <v>2609.0625</v>
      </c>
      <c r="CA58" s="15" t="n">
        <f aca="false">AB58+BJ58+BL58+BN58+BO58+AR58+BP58+BQ58+BR58+BS58+BT58</f>
        <v>194725.925746219</v>
      </c>
      <c r="CB58" s="15" t="n">
        <f aca="false">AC58+BK58+BM58+BH58+BU58+BV58+AS58+BW58+BX58+BY58+BZ58</f>
        <v>74987.1389275</v>
      </c>
      <c r="CC58" s="15" t="n">
        <f aca="false">BI58-CA58</f>
        <v>-40622.9233029892</v>
      </c>
      <c r="CD58" s="15" t="n">
        <f aca="false">AM58-CB58</f>
        <v>11981.6110725</v>
      </c>
      <c r="CE58" s="15" t="n">
        <f aca="false">INDEX(Ipotesi!$C$79:$G$79,1,F58)/12</f>
        <v>4166.66666666667</v>
      </c>
      <c r="CF58" s="15" t="n">
        <f aca="false">INDEX(Ipotesi!$C$84:$G$84,1,F58)/12</f>
        <v>666.666666666667</v>
      </c>
      <c r="CG58" s="15" t="n">
        <f aca="false">Y58*MAX(0,Parametri_v3!$C$12-IF(P58=0,0,MIN(1,BE58/(P58*Parametri_v3!$C$22))))+W58*Parametri_v3!$C$13+X58*Parametri_v3!$C$14</f>
        <v>36999.7895697644</v>
      </c>
      <c r="CH58" s="15" t="n">
        <f aca="false">AB58*Parametri_v3!$C$32</f>
        <v>5973.86641604167</v>
      </c>
      <c r="CI58" s="15" t="n">
        <f aca="false">AC58*Parametri_v3!$C$32</f>
        <v>2218.19027970833</v>
      </c>
      <c r="CJ58" s="15" t="n">
        <f aca="false">CA58-AB58</f>
        <v>75248.5974253855</v>
      </c>
      <c r="CK58" s="15" t="n">
        <f aca="false">CB58-AC58-BH58</f>
        <v>21926.4583333333</v>
      </c>
      <c r="CL58" s="15" t="n">
        <f aca="false">BF58*Ipotesi!$C$73+INDEX(Ipotesi!$C$72:$G$72,1,F58)/12*Ipotesi!C126*Parametri_v3!$C$58+Z58*(1-Parametri_v3!$C$16)</f>
        <v>15089.6746629584</v>
      </c>
      <c r="CM58" s="16" t="n">
        <f aca="false">IF(BF58=0,0,1-CL58/BF58)</f>
        <v>0.806619804719128</v>
      </c>
    </row>
    <row r="59" customFormat="false" ht="18" hidden="false" customHeight="true" outlineLevel="0" collapsed="false">
      <c r="A59" s="68" t="n">
        <f aca="false">1</f>
        <v>1</v>
      </c>
      <c r="B59" s="68" t="n">
        <f aca="false">55</f>
        <v>55</v>
      </c>
      <c r="C59" s="18" t="n">
        <f aca="false">EDATE(Parametri_v3!$C$5,55-1)</f>
        <v>48030</v>
      </c>
      <c r="D59" s="68" t="n">
        <f aca="false">YEAR(C59)</f>
        <v>2031</v>
      </c>
      <c r="E59" s="68" t="n">
        <f aca="false">MONTH(C59)</f>
        <v>7</v>
      </c>
      <c r="F59" s="68" t="n">
        <f aca="false">INT((55-1)/12)+1</f>
        <v>5</v>
      </c>
      <c r="G59" s="15" t="n">
        <f aca="false">Ipotesi!C7</f>
        <v>0.75</v>
      </c>
      <c r="H59" s="15" t="n">
        <f aca="false">Ipotesi!C9</f>
        <v>1</v>
      </c>
      <c r="I59" s="15" t="n">
        <f aca="false">Ipotesi!C10</f>
        <v>1</v>
      </c>
      <c r="J59" s="15" t="n">
        <f aca="false">Ipotesi!C11</f>
        <v>1</v>
      </c>
      <c r="K59" s="15" t="n">
        <f aca="false">Ipotesi!C12</f>
        <v>1</v>
      </c>
      <c r="L59" s="15" t="n">
        <f aca="false">Ipotesi!C13</f>
        <v>90</v>
      </c>
      <c r="M59" s="17" t="n">
        <f aca="false">INDEX(Ipotesi!$C$40:$G$40,1,F59)</f>
        <v>1</v>
      </c>
      <c r="N59" s="17" t="n">
        <f aca="false">INDEX(Ipotesi!$C$41:$G$41,1,F59)</f>
        <v>1</v>
      </c>
      <c r="O59" s="17" t="n">
        <f aca="false">INDEX(Ipotesi!$C$42:$G$42,1,F59)*Ipotesi!C125</f>
        <v>8.5</v>
      </c>
      <c r="P59" s="17" t="n">
        <f aca="false">INDEX(Ipotesi!$C$43:$G$43,1,F59)*I59</f>
        <v>7</v>
      </c>
      <c r="Q59" s="17" t="n">
        <f aca="false">INDEX(Ipotesi!$C$44:$G$44,1,F59)*I59</f>
        <v>6</v>
      </c>
      <c r="R59" s="17" t="n">
        <f aca="false">INDEX(Ipotesi!$C$45:$G$45,1,F59)*I59</f>
        <v>2</v>
      </c>
      <c r="S59" s="17" t="n">
        <f aca="false">INDEX(Ipotesi!$C$52:$G$52,1,F59)*Ipotesi!C125</f>
        <v>9</v>
      </c>
      <c r="T59" s="17" t="n">
        <f aca="false">INDEX(Ipotesi!$C$53:$G$53,1,F59)*I59</f>
        <v>1</v>
      </c>
      <c r="U59" s="17" t="n">
        <f aca="false">INDEX(Ipotesi!$C$54:$G$54,1,F59)*I59</f>
        <v>1</v>
      </c>
      <c r="V59" s="15" t="n">
        <f aca="false">M59*INDEX(Ipotesi!$C$58:$G$58,1,F59)*K59/12</f>
        <v>8333.33333333333</v>
      </c>
      <c r="W59" s="15" t="n">
        <f aca="false">N59*Ipotesi!$C$59*(1+Ipotesi!$C$66)^(F59-1)/12</f>
        <v>6565.46805833334</v>
      </c>
      <c r="X59" s="15" t="n">
        <f aca="false">O59*Ipotesi!$C$60*(1+Ipotesi!$C$66)^(F59-1)/12</f>
        <v>39861.7703541667</v>
      </c>
      <c r="Y59" s="15" t="n">
        <f aca="false">P59*Ipotesi!$C$61*(1+Ipotesi!$C$66)^(F59-1)/12</f>
        <v>32827.3402916667</v>
      </c>
      <c r="Z59" s="15" t="n">
        <f aca="false">Q59*Ipotesi!$C$62*(1+Ipotesi!$C$66)^(F59-1)/12</f>
        <v>25323.948225</v>
      </c>
      <c r="AA59" s="15" t="n">
        <f aca="false">R59*Ipotesi!$C$63*(1+Ipotesi!$C$66)^(F59-1)/12</f>
        <v>6565.46805833334</v>
      </c>
      <c r="AB59" s="15" t="n">
        <f aca="false">SUM(V59:AA59)</f>
        <v>119477.328320833</v>
      </c>
      <c r="AC59" s="15" t="n">
        <f aca="false">(S59*Ipotesi!$C$64+T59*Ipotesi!$C$65+U59*Ipotesi!$C$63)*(1+Ipotesi!$C$66)^(F59-1)/12</f>
        <v>44363.8055941667</v>
      </c>
      <c r="AD59" s="15" t="n">
        <f aca="false">INDEX(Ipotesi!$C$48:$G$48,1,F59)*G59/12</f>
        <v>71.875</v>
      </c>
      <c r="AE59" s="15" t="n">
        <f aca="false">INDEX(Ipotesi!$C$50:$G$50,1,F59)*G59/12</f>
        <v>7.1875</v>
      </c>
      <c r="AF59" s="15" t="n">
        <f aca="false">(S59*Parametri_v3!$C$7*Parametri_v3!$C$8+Parametri_v3!$C$10)/12</f>
        <v>115.5</v>
      </c>
      <c r="AG59" s="15" t="n">
        <f aca="false">AD59+AE59*(1+Parametri_v3!$C$9)</f>
        <v>82.65625</v>
      </c>
      <c r="AH59" s="16" t="n">
        <f aca="false">IF(AG59=0,1,MIN(1,AF59/AG59))</f>
        <v>1</v>
      </c>
      <c r="AI59" s="15" t="n">
        <f aca="false">AD59*AH59</f>
        <v>71.875</v>
      </c>
      <c r="AJ59" s="15" t="n">
        <f aca="false">AE59*AH59</f>
        <v>7.1875</v>
      </c>
      <c r="AK59" s="15" t="n">
        <f aca="false">AI59*INDEX(Ipotesi!$C$49:$G$49,1,F59)*H59</f>
        <v>68281.25</v>
      </c>
      <c r="AL59" s="15" t="n">
        <f aca="false">AJ59*INDEX(Ipotesi!$C$51:$G$51,1,F59)*H59</f>
        <v>18687.5</v>
      </c>
      <c r="AM59" s="15" t="n">
        <f aca="false">AK59+AL59</f>
        <v>86968.75</v>
      </c>
      <c r="AN59" s="15" t="n">
        <f aca="false">INDEX(Ipotesi!$C$30:$G$30,1,F59)*G59/12</f>
        <v>61.25</v>
      </c>
      <c r="AO59" s="15" t="n">
        <f aca="false">O59*Parametri_v3!$C$7*Parametri_v3!$C$11*(1-Parametri_v3!$C$14)/12</f>
        <v>87.2666666666667</v>
      </c>
      <c r="AP59" s="15" t="n">
        <f aca="false">MIN(AN59,AO59)</f>
        <v>61.25</v>
      </c>
      <c r="AQ59" s="15" t="n">
        <f aca="false">AP59*INDEX(Ipotesi!$C$31:$G$31,1,F59)*H59</f>
        <v>67375</v>
      </c>
      <c r="AR59" s="15" t="n">
        <f aca="false">INDEX(Ipotesi!$C$75:$G$75,1,F59)*J59/12</f>
        <v>35833.3333333333</v>
      </c>
      <c r="AS59" s="15" t="n">
        <f aca="false">INDEX(Ipotesi!$C$81:$G$81,1,F59)*J59/12</f>
        <v>2083.33333333333</v>
      </c>
      <c r="AT59" s="15" t="n">
        <f aca="false">AR59*Parametri_v3!$C$15+Z59*Parametri_v3!$C$16</f>
        <v>53560.0970908333</v>
      </c>
      <c r="AU59" s="15" t="n">
        <f aca="false">Q59*Parametri_v3!$C$16*Parametri_v3!$C$17</f>
        <v>420</v>
      </c>
      <c r="AV59" s="17" t="n">
        <f aca="false">BD58</f>
        <v>153.813388638846</v>
      </c>
      <c r="AW59" s="17" t="n">
        <f aca="false">AV59*(1-(1-INDEX(Ipotesi!$C$34:$G$34,1,F59))^(1/12))</f>
        <v>1.34457680310436</v>
      </c>
      <c r="AX59" s="15" t="n">
        <f aca="false">ROUND(INDEX(Ipotesi!$C$32:$G$32,1,F59)*Ipotesi!C8,0)</f>
        <v>336</v>
      </c>
      <c r="AY59" s="15" t="n">
        <f aca="false">MAX(0,(AX59-(AV59-AW59))/(13-E59))</f>
        <v>30.5885313607097</v>
      </c>
      <c r="AZ59" s="15" t="n">
        <f aca="false">MIN(P59*Parametri_v3!$C$22,Q59*(1-Parametri_v3!$C$16)*Parametri_v3!$C$23)</f>
        <v>270</v>
      </c>
      <c r="BA59" s="15" t="n">
        <f aca="false">IF(OR(INDEX(Ipotesi!$C$35:$G$35,1,F59)&lt;=0,55-Parametri_v3!$C$21&lt;1),0,INDEX($AT$5:$AT$64,MAX(1,55-Parametri_v3!$C$21))/(INDEX(Ipotesi!$C$35:$G$35,1,F59)*Ipotesi!C27))</f>
        <v>6.8666791142094</v>
      </c>
      <c r="BB59" s="15" t="n">
        <f aca="false">IF(55-Parametri_v3!$C$21&lt;1,0,INDEX($AU$5:$AU$64,MAX(1,55-Parametri_v3!$C$21)))*Parametri_v3!$C$18*Parametri_v3!$C$19*Parametri_v3!$C$20</f>
        <v>15.75</v>
      </c>
      <c r="BC59" s="17" t="n">
        <f aca="false">MAX(0,MIN(AY59,BA59,BB59,MAX(0,AZ59-(AV59-AW59))))</f>
        <v>6.8666791142094</v>
      </c>
      <c r="BD59" s="17" t="n">
        <f aca="false">AV59-AW59+BC59</f>
        <v>159.335490949951</v>
      </c>
      <c r="BE59" s="17" t="n">
        <f aca="false">(AV59+BD59)/2</f>
        <v>156.574439794399</v>
      </c>
      <c r="BF59" s="15" t="n">
        <f aca="false">BE59*INDEX(Ipotesi!$C$33:$G$33,1,F59)*H59/12</f>
        <v>80896.7938937728</v>
      </c>
      <c r="BG59" s="15" t="n">
        <f aca="false">BD59*INDEX(Ipotesi!$C$33:$G$33,1,F59)*H59</f>
        <v>987880.043889699</v>
      </c>
      <c r="BH59" s="15" t="n">
        <f aca="false">AM59*INDEX(Ipotesi!$C$37:$G$37,1,F59)</f>
        <v>8696.875</v>
      </c>
      <c r="BI59" s="15" t="n">
        <f aca="false">AQ59+BF59+BH59</f>
        <v>156968.668893773</v>
      </c>
      <c r="BJ59" s="15" t="n">
        <f aca="false">INDEX(Ipotesi!$C$68:$G$68,1,F59)*Ipotesi!$C$69/12</f>
        <v>3333.33333333333</v>
      </c>
      <c r="BK59" s="15" t="n">
        <f aca="false">INDEX(Ipotesi!$C$68:$G$68,1,F59)*(1-Ipotesi!$C$69)/12</f>
        <v>5000</v>
      </c>
      <c r="BL59" s="15" t="n">
        <f aca="false">(AQ59+BF59)*Ipotesi!$C$67</f>
        <v>4448.15381681318</v>
      </c>
      <c r="BM59" s="15" t="n">
        <f aca="false">AM59*Ipotesi!$C$67</f>
        <v>2609.0625</v>
      </c>
      <c r="BN59" s="15" t="n">
        <f aca="false">INDEX(Ipotesi!$C$72:$G$72,1,F59)/12*Ipotesi!C126+BF59*Ipotesi!$C$73</f>
        <v>7721.74351150182</v>
      </c>
      <c r="BO59" s="15" t="n">
        <f aca="false">INDEX(Ipotesi!$C$74:$G$74,1,F59)/12*Ipotesi!C126</f>
        <v>5416.66666666667</v>
      </c>
      <c r="BP59" s="15" t="n">
        <f aca="false">INDEX(Ipotesi!$C$76:$G$76,1,F59)/12</f>
        <v>1916.66666666667</v>
      </c>
      <c r="BQ59" s="15" t="n">
        <f aca="false">INDEX(Ipotesi!$C$77:$G$77,1,F59)/12*Ipotesi!C126</f>
        <v>2500</v>
      </c>
      <c r="BR59" s="15" t="n">
        <f aca="false">INDEX(Ipotesi!$C$78:$G$78,1,F59)/12</f>
        <v>2333.33333333333</v>
      </c>
      <c r="BS59" s="15" t="n">
        <f aca="false">SUM(M59:R59)*(Ipotesi!$C$85+Ipotesi!$C$86)/12</f>
        <v>7437.5</v>
      </c>
      <c r="BT59" s="15" t="n">
        <f aca="false">BI59*Ipotesi!$C$87</f>
        <v>4709.06006681318</v>
      </c>
      <c r="BU59" s="15" t="n">
        <f aca="false">INDEX(Ipotesi!$C$55:$G$55,1,F59)*K59/12</f>
        <v>2000</v>
      </c>
      <c r="BV59" s="15" t="n">
        <f aca="false">INDEX(Ipotesi!$C$80:$G$80,1,F59)/12*Ipotesi!C126</f>
        <v>2083.33333333333</v>
      </c>
      <c r="BW59" s="15" t="n">
        <f aca="false">INDEX(Ipotesi!$C$82:$G$82,1,F59)/12</f>
        <v>1500</v>
      </c>
      <c r="BX59" s="15" t="n">
        <f aca="false">INDEX(Ipotesi!$C$83:$G$83,1,F59)/12</f>
        <v>833.333333333333</v>
      </c>
      <c r="BY59" s="15" t="n">
        <f aca="false">SUM(S59:U59)*(Ipotesi!$C$85+Ipotesi!$C$86)/12</f>
        <v>3208.33333333333</v>
      </c>
      <c r="BZ59" s="15" t="n">
        <f aca="false">AM59*Ipotesi!$C$87</f>
        <v>2609.0625</v>
      </c>
      <c r="CA59" s="15" t="n">
        <f aca="false">AB59+BJ59+BL59+BN59+BO59+AR59+BP59+BQ59+BR59+BS59+BT59</f>
        <v>195127.119049295</v>
      </c>
      <c r="CB59" s="15" t="n">
        <f aca="false">AC59+BK59+BM59+BH59+BU59+BV59+AS59+BW59+BX59+BY59+BZ59</f>
        <v>74987.1389275</v>
      </c>
      <c r="CC59" s="15" t="n">
        <f aca="false">BI59-CA59</f>
        <v>-38158.4501555221</v>
      </c>
      <c r="CD59" s="15" t="n">
        <f aca="false">AM59-CB59</f>
        <v>11981.6110725</v>
      </c>
      <c r="CE59" s="15" t="n">
        <f aca="false">INDEX(Ipotesi!$C$79:$G$79,1,F59)/12</f>
        <v>4166.66666666667</v>
      </c>
      <c r="CF59" s="15" t="n">
        <f aca="false">INDEX(Ipotesi!$C$84:$G$84,1,F59)/12</f>
        <v>666.666666666667</v>
      </c>
      <c r="CG59" s="15" t="n">
        <f aca="false">Y59*MAX(0,Parametri_v3!$C$12-IF(P59=0,0,MIN(1,BE59/(P59*Parametri_v3!$C$22))))+W59*Parametri_v3!$C$13+X59*Parametri_v3!$C$14</f>
        <v>36739.6820829412</v>
      </c>
      <c r="CH59" s="15" t="n">
        <f aca="false">AB59*Parametri_v3!$C$32</f>
        <v>5973.86641604167</v>
      </c>
      <c r="CI59" s="15" t="n">
        <f aca="false">AC59*Parametri_v3!$C$32</f>
        <v>2218.19027970833</v>
      </c>
      <c r="CJ59" s="15" t="n">
        <f aca="false">CA59-AB59</f>
        <v>75649.7907284615</v>
      </c>
      <c r="CK59" s="15" t="n">
        <f aca="false">CB59-AC59-BH59</f>
        <v>21926.4583333333</v>
      </c>
      <c r="CL59" s="15" t="n">
        <f aca="false">BF59*Ipotesi!$C$73+INDEX(Ipotesi!$C$72:$G$72,1,F59)/12*Ipotesi!C126*Parametri_v3!$C$58+Z59*(1-Parametri_v3!$C$16)</f>
        <v>15318.9279790018</v>
      </c>
      <c r="CM59" s="16" t="n">
        <f aca="false">IF(BF59=0,0,1-CL59/BF59)</f>
        <v>0.810636154516613</v>
      </c>
    </row>
    <row r="60" customFormat="false" ht="18" hidden="false" customHeight="true" outlineLevel="0" collapsed="false">
      <c r="A60" s="68" t="n">
        <f aca="false">1</f>
        <v>1</v>
      </c>
      <c r="B60" s="68" t="n">
        <f aca="false">56</f>
        <v>56</v>
      </c>
      <c r="C60" s="18" t="n">
        <f aca="false">EDATE(Parametri_v3!$C$5,56-1)</f>
        <v>48061</v>
      </c>
      <c r="D60" s="68" t="n">
        <f aca="false">YEAR(C60)</f>
        <v>2031</v>
      </c>
      <c r="E60" s="68" t="n">
        <f aca="false">MONTH(C60)</f>
        <v>8</v>
      </c>
      <c r="F60" s="68" t="n">
        <f aca="false">INT((56-1)/12)+1</f>
        <v>5</v>
      </c>
      <c r="G60" s="15" t="n">
        <f aca="false">Ipotesi!C7</f>
        <v>0.75</v>
      </c>
      <c r="H60" s="15" t="n">
        <f aca="false">Ipotesi!C9</f>
        <v>1</v>
      </c>
      <c r="I60" s="15" t="n">
        <f aca="false">Ipotesi!C10</f>
        <v>1</v>
      </c>
      <c r="J60" s="15" t="n">
        <f aca="false">Ipotesi!C11</f>
        <v>1</v>
      </c>
      <c r="K60" s="15" t="n">
        <f aca="false">Ipotesi!C12</f>
        <v>1</v>
      </c>
      <c r="L60" s="15" t="n">
        <f aca="false">Ipotesi!C13</f>
        <v>90</v>
      </c>
      <c r="M60" s="17" t="n">
        <f aca="false">INDEX(Ipotesi!$C$40:$G$40,1,F60)</f>
        <v>1</v>
      </c>
      <c r="N60" s="17" t="n">
        <f aca="false">INDEX(Ipotesi!$C$41:$G$41,1,F60)</f>
        <v>1</v>
      </c>
      <c r="O60" s="17" t="n">
        <f aca="false">INDEX(Ipotesi!$C$42:$G$42,1,F60)*Ipotesi!C125</f>
        <v>8.5</v>
      </c>
      <c r="P60" s="17" t="n">
        <f aca="false">INDEX(Ipotesi!$C$43:$G$43,1,F60)*I60</f>
        <v>7</v>
      </c>
      <c r="Q60" s="17" t="n">
        <f aca="false">INDEX(Ipotesi!$C$44:$G$44,1,F60)*I60</f>
        <v>6</v>
      </c>
      <c r="R60" s="17" t="n">
        <f aca="false">INDEX(Ipotesi!$C$45:$G$45,1,F60)*I60</f>
        <v>2</v>
      </c>
      <c r="S60" s="17" t="n">
        <f aca="false">INDEX(Ipotesi!$C$52:$G$52,1,F60)*Ipotesi!C125</f>
        <v>9</v>
      </c>
      <c r="T60" s="17" t="n">
        <f aca="false">INDEX(Ipotesi!$C$53:$G$53,1,F60)*I60</f>
        <v>1</v>
      </c>
      <c r="U60" s="17" t="n">
        <f aca="false">INDEX(Ipotesi!$C$54:$G$54,1,F60)*I60</f>
        <v>1</v>
      </c>
      <c r="V60" s="15" t="n">
        <f aca="false">M60*INDEX(Ipotesi!$C$58:$G$58,1,F60)*K60/12</f>
        <v>8333.33333333333</v>
      </c>
      <c r="W60" s="15" t="n">
        <f aca="false">N60*Ipotesi!$C$59*(1+Ipotesi!$C$66)^(F60-1)/12</f>
        <v>6565.46805833334</v>
      </c>
      <c r="X60" s="15" t="n">
        <f aca="false">O60*Ipotesi!$C$60*(1+Ipotesi!$C$66)^(F60-1)/12</f>
        <v>39861.7703541667</v>
      </c>
      <c r="Y60" s="15" t="n">
        <f aca="false">P60*Ipotesi!$C$61*(1+Ipotesi!$C$66)^(F60-1)/12</f>
        <v>32827.3402916667</v>
      </c>
      <c r="Z60" s="15" t="n">
        <f aca="false">Q60*Ipotesi!$C$62*(1+Ipotesi!$C$66)^(F60-1)/12</f>
        <v>25323.948225</v>
      </c>
      <c r="AA60" s="15" t="n">
        <f aca="false">R60*Ipotesi!$C$63*(1+Ipotesi!$C$66)^(F60-1)/12</f>
        <v>6565.46805833334</v>
      </c>
      <c r="AB60" s="15" t="n">
        <f aca="false">SUM(V60:AA60)</f>
        <v>119477.328320833</v>
      </c>
      <c r="AC60" s="15" t="n">
        <f aca="false">(S60*Ipotesi!$C$64+T60*Ipotesi!$C$65+U60*Ipotesi!$C$63)*(1+Ipotesi!$C$66)^(F60-1)/12</f>
        <v>44363.8055941667</v>
      </c>
      <c r="AD60" s="15" t="n">
        <f aca="false">INDEX(Ipotesi!$C$48:$G$48,1,F60)*G60/12</f>
        <v>71.875</v>
      </c>
      <c r="AE60" s="15" t="n">
        <f aca="false">INDEX(Ipotesi!$C$50:$G$50,1,F60)*G60/12</f>
        <v>7.1875</v>
      </c>
      <c r="AF60" s="15" t="n">
        <f aca="false">(S60*Parametri_v3!$C$7*Parametri_v3!$C$8+Parametri_v3!$C$10)/12</f>
        <v>115.5</v>
      </c>
      <c r="AG60" s="15" t="n">
        <f aca="false">AD60+AE60*(1+Parametri_v3!$C$9)</f>
        <v>82.65625</v>
      </c>
      <c r="AH60" s="16" t="n">
        <f aca="false">IF(AG60=0,1,MIN(1,AF60/AG60))</f>
        <v>1</v>
      </c>
      <c r="AI60" s="15" t="n">
        <f aca="false">AD60*AH60</f>
        <v>71.875</v>
      </c>
      <c r="AJ60" s="15" t="n">
        <f aca="false">AE60*AH60</f>
        <v>7.1875</v>
      </c>
      <c r="AK60" s="15" t="n">
        <f aca="false">AI60*INDEX(Ipotesi!$C$49:$G$49,1,F60)*H60</f>
        <v>68281.25</v>
      </c>
      <c r="AL60" s="15" t="n">
        <f aca="false">AJ60*INDEX(Ipotesi!$C$51:$G$51,1,F60)*H60</f>
        <v>18687.5</v>
      </c>
      <c r="AM60" s="15" t="n">
        <f aca="false">AK60+AL60</f>
        <v>86968.75</v>
      </c>
      <c r="AN60" s="15" t="n">
        <f aca="false">INDEX(Ipotesi!$C$30:$G$30,1,F60)*G60/12</f>
        <v>61.25</v>
      </c>
      <c r="AO60" s="15" t="n">
        <f aca="false">O60*Parametri_v3!$C$7*Parametri_v3!$C$11*(1-Parametri_v3!$C$14)/12</f>
        <v>87.2666666666667</v>
      </c>
      <c r="AP60" s="15" t="n">
        <f aca="false">MIN(AN60,AO60)</f>
        <v>61.25</v>
      </c>
      <c r="AQ60" s="15" t="n">
        <f aca="false">AP60*INDEX(Ipotesi!$C$31:$G$31,1,F60)*H60</f>
        <v>67375</v>
      </c>
      <c r="AR60" s="15" t="n">
        <f aca="false">INDEX(Ipotesi!$C$75:$G$75,1,F60)*J60/12</f>
        <v>35833.3333333333</v>
      </c>
      <c r="AS60" s="15" t="n">
        <f aca="false">INDEX(Ipotesi!$C$81:$G$81,1,F60)*J60/12</f>
        <v>2083.33333333333</v>
      </c>
      <c r="AT60" s="15" t="n">
        <f aca="false">AR60*Parametri_v3!$C$15+Z60*Parametri_v3!$C$16</f>
        <v>53560.0970908333</v>
      </c>
      <c r="AU60" s="15" t="n">
        <f aca="false">Q60*Parametri_v3!$C$16*Parametri_v3!$C$17</f>
        <v>420</v>
      </c>
      <c r="AV60" s="17" t="n">
        <f aca="false">BD59</f>
        <v>159.335490949951</v>
      </c>
      <c r="AW60" s="17" t="n">
        <f aca="false">AV60*(1-(1-INDEX(Ipotesi!$C$34:$G$34,1,F60))^(1/12))</f>
        <v>1.39284887316008</v>
      </c>
      <c r="AX60" s="15" t="n">
        <f aca="false">ROUND(INDEX(Ipotesi!$C$32:$G$32,1,F60)*Ipotesi!C8,0)</f>
        <v>336</v>
      </c>
      <c r="AY60" s="15" t="n">
        <f aca="false">MAX(0,(AX60-(AV60-AW60))/(13-E60))</f>
        <v>35.6114715846417</v>
      </c>
      <c r="AZ60" s="15" t="n">
        <f aca="false">MIN(P60*Parametri_v3!$C$22,Q60*(1-Parametri_v3!$C$16)*Parametri_v3!$C$23)</f>
        <v>270</v>
      </c>
      <c r="BA60" s="15" t="n">
        <f aca="false">IF(OR(INDEX(Ipotesi!$C$35:$G$35,1,F60)&lt;=0,56-Parametri_v3!$C$21&lt;1),0,INDEX($AT$5:$AT$64,MAX(1,56-Parametri_v3!$C$21))/(INDEX(Ipotesi!$C$35:$G$35,1,F60)*Ipotesi!C27))</f>
        <v>6.8666791142094</v>
      </c>
      <c r="BB60" s="15" t="n">
        <f aca="false">IF(56-Parametri_v3!$C$21&lt;1,0,INDEX($AU$5:$AU$64,MAX(1,56-Parametri_v3!$C$21)))*Parametri_v3!$C$18*Parametri_v3!$C$19*Parametri_v3!$C$20</f>
        <v>15.75</v>
      </c>
      <c r="BC60" s="17" t="n">
        <f aca="false">MAX(0,MIN(AY60,BA60,BB60,MAX(0,AZ60-(AV60-AW60))))</f>
        <v>6.8666791142094</v>
      </c>
      <c r="BD60" s="17" t="n">
        <f aca="false">AV60-AW60+BC60</f>
        <v>164.809321191001</v>
      </c>
      <c r="BE60" s="17" t="n">
        <f aca="false">(AV60+BD60)/2</f>
        <v>162.072406070476</v>
      </c>
      <c r="BF60" s="15" t="n">
        <f aca="false">BE60*INDEX(Ipotesi!$C$33:$G$33,1,F60)*H60/12</f>
        <v>83737.4098030793</v>
      </c>
      <c r="BG60" s="15" t="n">
        <f aca="false">BD60*INDEX(Ipotesi!$C$33:$G$33,1,F60)*H60</f>
        <v>1021817.79138421</v>
      </c>
      <c r="BH60" s="15" t="n">
        <f aca="false">AM60*INDEX(Ipotesi!$C$37:$G$37,1,F60)</f>
        <v>8696.875</v>
      </c>
      <c r="BI60" s="15" t="n">
        <f aca="false">AQ60+BF60+BH60</f>
        <v>159809.284803079</v>
      </c>
      <c r="BJ60" s="15" t="n">
        <f aca="false">INDEX(Ipotesi!$C$68:$G$68,1,F60)*Ipotesi!$C$69/12</f>
        <v>3333.33333333333</v>
      </c>
      <c r="BK60" s="15" t="n">
        <f aca="false">INDEX(Ipotesi!$C$68:$G$68,1,F60)*(1-Ipotesi!$C$69)/12</f>
        <v>5000</v>
      </c>
      <c r="BL60" s="15" t="n">
        <f aca="false">(AQ60+BF60)*Ipotesi!$C$67</f>
        <v>4533.37229409238</v>
      </c>
      <c r="BM60" s="15" t="n">
        <f aca="false">AM60*Ipotesi!$C$67</f>
        <v>2609.0625</v>
      </c>
      <c r="BN60" s="15" t="n">
        <f aca="false">INDEX(Ipotesi!$C$72:$G$72,1,F60)/12*Ipotesi!C126+BF60*Ipotesi!$C$73</f>
        <v>7948.99278424635</v>
      </c>
      <c r="BO60" s="15" t="n">
        <f aca="false">INDEX(Ipotesi!$C$74:$G$74,1,F60)/12*Ipotesi!C126</f>
        <v>5416.66666666667</v>
      </c>
      <c r="BP60" s="15" t="n">
        <f aca="false">INDEX(Ipotesi!$C$76:$G$76,1,F60)/12</f>
        <v>1916.66666666667</v>
      </c>
      <c r="BQ60" s="15" t="n">
        <f aca="false">INDEX(Ipotesi!$C$77:$G$77,1,F60)/12*Ipotesi!C126</f>
        <v>2500</v>
      </c>
      <c r="BR60" s="15" t="n">
        <f aca="false">INDEX(Ipotesi!$C$78:$G$78,1,F60)/12</f>
        <v>2333.33333333333</v>
      </c>
      <c r="BS60" s="15" t="n">
        <f aca="false">SUM(M60:R60)*(Ipotesi!$C$85+Ipotesi!$C$86)/12</f>
        <v>7437.5</v>
      </c>
      <c r="BT60" s="15" t="n">
        <f aca="false">BI60*Ipotesi!$C$87</f>
        <v>4794.27854409238</v>
      </c>
      <c r="BU60" s="15" t="n">
        <f aca="false">INDEX(Ipotesi!$C$55:$G$55,1,F60)*K60/12</f>
        <v>2000</v>
      </c>
      <c r="BV60" s="15" t="n">
        <f aca="false">INDEX(Ipotesi!$C$80:$G$80,1,F60)/12*Ipotesi!C126</f>
        <v>2083.33333333333</v>
      </c>
      <c r="BW60" s="15" t="n">
        <f aca="false">INDEX(Ipotesi!$C$82:$G$82,1,F60)/12</f>
        <v>1500</v>
      </c>
      <c r="BX60" s="15" t="n">
        <f aca="false">INDEX(Ipotesi!$C$83:$G$83,1,F60)/12</f>
        <v>833.333333333333</v>
      </c>
      <c r="BY60" s="15" t="n">
        <f aca="false">SUM(S60:U60)*(Ipotesi!$C$85+Ipotesi!$C$86)/12</f>
        <v>3208.33333333333</v>
      </c>
      <c r="BZ60" s="15" t="n">
        <f aca="false">AM60*Ipotesi!$C$87</f>
        <v>2609.0625</v>
      </c>
      <c r="CA60" s="15" t="n">
        <f aca="false">AB60+BJ60+BL60+BN60+BO60+AR60+BP60+BQ60+BR60+BS60+BT60</f>
        <v>195524.805276598</v>
      </c>
      <c r="CB60" s="15" t="n">
        <f aca="false">AC60+BK60+BM60+BH60+BU60+BV60+AS60+BW60+BX60+BY60+BZ60</f>
        <v>74987.1389275</v>
      </c>
      <c r="CC60" s="15" t="n">
        <f aca="false">BI60-CA60</f>
        <v>-35715.5204735185</v>
      </c>
      <c r="CD60" s="15" t="n">
        <f aca="false">AM60-CB60</f>
        <v>11981.6110725</v>
      </c>
      <c r="CE60" s="15" t="n">
        <f aca="false">INDEX(Ipotesi!$C$79:$G$79,1,F60)/12</f>
        <v>4166.66666666667</v>
      </c>
      <c r="CF60" s="15" t="n">
        <f aca="false">INDEX(Ipotesi!$C$84:$G$84,1,F60)/12</f>
        <v>666.666666666667</v>
      </c>
      <c r="CG60" s="15" t="n">
        <f aca="false">Y60*MAX(0,Parametri_v3!$C$12-IF(P60=0,0,MIN(1,BE60/(P60*Parametri_v3!$C$22))))+W60*Parametri_v3!$C$13+X60*Parametri_v3!$C$14</f>
        <v>36481.8483545742</v>
      </c>
      <c r="CH60" s="15" t="n">
        <f aca="false">AB60*Parametri_v3!$C$32</f>
        <v>5973.86641604167</v>
      </c>
      <c r="CI60" s="15" t="n">
        <f aca="false">AC60*Parametri_v3!$C$32</f>
        <v>2218.19027970833</v>
      </c>
      <c r="CJ60" s="15" t="n">
        <f aca="false">CA60-AB60</f>
        <v>76047.4769557644</v>
      </c>
      <c r="CK60" s="15" t="n">
        <f aca="false">CB60-AC60-BH60</f>
        <v>21926.4583333333</v>
      </c>
      <c r="CL60" s="15" t="n">
        <f aca="false">BF60*Ipotesi!$C$73+INDEX(Ipotesi!$C$72:$G$72,1,F60)/12*Ipotesi!C126*Parametri_v3!$C$58+Z60*(1-Parametri_v3!$C$16)</f>
        <v>15546.1772517463</v>
      </c>
      <c r="CM60" s="16" t="n">
        <f aca="false">IF(BF60=0,0,1-CL60/BF60)</f>
        <v>0.814346093480734</v>
      </c>
    </row>
    <row r="61" customFormat="false" ht="18" hidden="false" customHeight="true" outlineLevel="0" collapsed="false">
      <c r="A61" s="68" t="n">
        <f aca="false">1</f>
        <v>1</v>
      </c>
      <c r="B61" s="68" t="n">
        <f aca="false">57</f>
        <v>57</v>
      </c>
      <c r="C61" s="18" t="n">
        <f aca="false">EDATE(Parametri_v3!$C$5,57-1)</f>
        <v>48092</v>
      </c>
      <c r="D61" s="68" t="n">
        <f aca="false">YEAR(C61)</f>
        <v>2031</v>
      </c>
      <c r="E61" s="68" t="n">
        <f aca="false">MONTH(C61)</f>
        <v>9</v>
      </c>
      <c r="F61" s="68" t="n">
        <f aca="false">INT((57-1)/12)+1</f>
        <v>5</v>
      </c>
      <c r="G61" s="15" t="n">
        <f aca="false">Ipotesi!C7</f>
        <v>0.75</v>
      </c>
      <c r="H61" s="15" t="n">
        <f aca="false">Ipotesi!C9</f>
        <v>1</v>
      </c>
      <c r="I61" s="15" t="n">
        <f aca="false">Ipotesi!C10</f>
        <v>1</v>
      </c>
      <c r="J61" s="15" t="n">
        <f aca="false">Ipotesi!C11</f>
        <v>1</v>
      </c>
      <c r="K61" s="15" t="n">
        <f aca="false">Ipotesi!C12</f>
        <v>1</v>
      </c>
      <c r="L61" s="15" t="n">
        <f aca="false">Ipotesi!C13</f>
        <v>90</v>
      </c>
      <c r="M61" s="17" t="n">
        <f aca="false">INDEX(Ipotesi!$C$40:$G$40,1,F61)</f>
        <v>1</v>
      </c>
      <c r="N61" s="17" t="n">
        <f aca="false">INDEX(Ipotesi!$C$41:$G$41,1,F61)</f>
        <v>1</v>
      </c>
      <c r="O61" s="17" t="n">
        <f aca="false">INDEX(Ipotesi!$C$42:$G$42,1,F61)*Ipotesi!C125</f>
        <v>8.5</v>
      </c>
      <c r="P61" s="17" t="n">
        <f aca="false">INDEX(Ipotesi!$C$43:$G$43,1,F61)*I61</f>
        <v>7</v>
      </c>
      <c r="Q61" s="17" t="n">
        <f aca="false">INDEX(Ipotesi!$C$44:$G$44,1,F61)*I61</f>
        <v>6</v>
      </c>
      <c r="R61" s="17" t="n">
        <f aca="false">INDEX(Ipotesi!$C$45:$G$45,1,F61)*I61</f>
        <v>2</v>
      </c>
      <c r="S61" s="17" t="n">
        <f aca="false">INDEX(Ipotesi!$C$52:$G$52,1,F61)*Ipotesi!C125</f>
        <v>9</v>
      </c>
      <c r="T61" s="17" t="n">
        <f aca="false">INDEX(Ipotesi!$C$53:$G$53,1,F61)*I61</f>
        <v>1</v>
      </c>
      <c r="U61" s="17" t="n">
        <f aca="false">INDEX(Ipotesi!$C$54:$G$54,1,F61)*I61</f>
        <v>1</v>
      </c>
      <c r="V61" s="15" t="n">
        <f aca="false">M61*INDEX(Ipotesi!$C$58:$G$58,1,F61)*K61/12</f>
        <v>8333.33333333333</v>
      </c>
      <c r="W61" s="15" t="n">
        <f aca="false">N61*Ipotesi!$C$59*(1+Ipotesi!$C$66)^(F61-1)/12</f>
        <v>6565.46805833334</v>
      </c>
      <c r="X61" s="15" t="n">
        <f aca="false">O61*Ipotesi!$C$60*(1+Ipotesi!$C$66)^(F61-1)/12</f>
        <v>39861.7703541667</v>
      </c>
      <c r="Y61" s="15" t="n">
        <f aca="false">P61*Ipotesi!$C$61*(1+Ipotesi!$C$66)^(F61-1)/12</f>
        <v>32827.3402916667</v>
      </c>
      <c r="Z61" s="15" t="n">
        <f aca="false">Q61*Ipotesi!$C$62*(1+Ipotesi!$C$66)^(F61-1)/12</f>
        <v>25323.948225</v>
      </c>
      <c r="AA61" s="15" t="n">
        <f aca="false">R61*Ipotesi!$C$63*(1+Ipotesi!$C$66)^(F61-1)/12</f>
        <v>6565.46805833334</v>
      </c>
      <c r="AB61" s="15" t="n">
        <f aca="false">SUM(V61:AA61)</f>
        <v>119477.328320833</v>
      </c>
      <c r="AC61" s="15" t="n">
        <f aca="false">(S61*Ipotesi!$C$64+T61*Ipotesi!$C$65+U61*Ipotesi!$C$63)*(1+Ipotesi!$C$66)^(F61-1)/12</f>
        <v>44363.8055941667</v>
      </c>
      <c r="AD61" s="15" t="n">
        <f aca="false">INDEX(Ipotesi!$C$48:$G$48,1,F61)*G61/12</f>
        <v>71.875</v>
      </c>
      <c r="AE61" s="15" t="n">
        <f aca="false">INDEX(Ipotesi!$C$50:$G$50,1,F61)*G61/12</f>
        <v>7.1875</v>
      </c>
      <c r="AF61" s="15" t="n">
        <f aca="false">(S61*Parametri_v3!$C$7*Parametri_v3!$C$8+Parametri_v3!$C$10)/12</f>
        <v>115.5</v>
      </c>
      <c r="AG61" s="15" t="n">
        <f aca="false">AD61+AE61*(1+Parametri_v3!$C$9)</f>
        <v>82.65625</v>
      </c>
      <c r="AH61" s="16" t="n">
        <f aca="false">IF(AG61=0,1,MIN(1,AF61/AG61))</f>
        <v>1</v>
      </c>
      <c r="AI61" s="15" t="n">
        <f aca="false">AD61*AH61</f>
        <v>71.875</v>
      </c>
      <c r="AJ61" s="15" t="n">
        <f aca="false">AE61*AH61</f>
        <v>7.1875</v>
      </c>
      <c r="AK61" s="15" t="n">
        <f aca="false">AI61*INDEX(Ipotesi!$C$49:$G$49,1,F61)*H61</f>
        <v>68281.25</v>
      </c>
      <c r="AL61" s="15" t="n">
        <f aca="false">AJ61*INDEX(Ipotesi!$C$51:$G$51,1,F61)*H61</f>
        <v>18687.5</v>
      </c>
      <c r="AM61" s="15" t="n">
        <f aca="false">AK61+AL61</f>
        <v>86968.75</v>
      </c>
      <c r="AN61" s="15" t="n">
        <f aca="false">INDEX(Ipotesi!$C$30:$G$30,1,F61)*G61/12</f>
        <v>61.25</v>
      </c>
      <c r="AO61" s="15" t="n">
        <f aca="false">O61*Parametri_v3!$C$7*Parametri_v3!$C$11*(1-Parametri_v3!$C$14)/12</f>
        <v>87.2666666666667</v>
      </c>
      <c r="AP61" s="15" t="n">
        <f aca="false">MIN(AN61,AO61)</f>
        <v>61.25</v>
      </c>
      <c r="AQ61" s="15" t="n">
        <f aca="false">AP61*INDEX(Ipotesi!$C$31:$G$31,1,F61)*H61</f>
        <v>67375</v>
      </c>
      <c r="AR61" s="15" t="n">
        <f aca="false">INDEX(Ipotesi!$C$75:$G$75,1,F61)*J61/12</f>
        <v>35833.3333333333</v>
      </c>
      <c r="AS61" s="15" t="n">
        <f aca="false">INDEX(Ipotesi!$C$81:$G$81,1,F61)*J61/12</f>
        <v>2083.33333333333</v>
      </c>
      <c r="AT61" s="15" t="n">
        <f aca="false">AR61*Parametri_v3!$C$15+Z61*Parametri_v3!$C$16</f>
        <v>53560.0970908333</v>
      </c>
      <c r="AU61" s="15" t="n">
        <f aca="false">Q61*Parametri_v3!$C$16*Parametri_v3!$C$17</f>
        <v>420</v>
      </c>
      <c r="AV61" s="17" t="n">
        <f aca="false">BD60</f>
        <v>164.809321191001</v>
      </c>
      <c r="AW61" s="17" t="n">
        <f aca="false">AV61*(1-(1-INDEX(Ipotesi!$C$34:$G$34,1,F61))^(1/12))</f>
        <v>1.44069896755938</v>
      </c>
      <c r="AX61" s="15" t="n">
        <f aca="false">ROUND(INDEX(Ipotesi!$C$32:$G$32,1,F61)*Ipotesi!C8,0)</f>
        <v>336</v>
      </c>
      <c r="AY61" s="15" t="n">
        <f aca="false">MAX(0,(AX61-(AV61-AW61))/(13-E61))</f>
        <v>43.1578444441396</v>
      </c>
      <c r="AZ61" s="15" t="n">
        <f aca="false">MIN(P61*Parametri_v3!$C$22,Q61*(1-Parametri_v3!$C$16)*Parametri_v3!$C$23)</f>
        <v>270</v>
      </c>
      <c r="BA61" s="15" t="n">
        <f aca="false">IF(OR(INDEX(Ipotesi!$C$35:$G$35,1,F61)&lt;=0,57-Parametri_v3!$C$21&lt;1),0,INDEX($AT$5:$AT$64,MAX(1,57-Parametri_v3!$C$21))/(INDEX(Ipotesi!$C$35:$G$35,1,F61)*Ipotesi!C27))</f>
        <v>6.8666791142094</v>
      </c>
      <c r="BB61" s="15" t="n">
        <f aca="false">IF(57-Parametri_v3!$C$21&lt;1,0,INDEX($AU$5:$AU$64,MAX(1,57-Parametri_v3!$C$21)))*Parametri_v3!$C$18*Parametri_v3!$C$19*Parametri_v3!$C$20</f>
        <v>15.75</v>
      </c>
      <c r="BC61" s="17" t="n">
        <f aca="false">MAX(0,MIN(AY61,BA61,BB61,MAX(0,AZ61-(AV61-AW61))))</f>
        <v>6.8666791142094</v>
      </c>
      <c r="BD61" s="17" t="n">
        <f aca="false">AV61-AW61+BC61</f>
        <v>170.235301337651</v>
      </c>
      <c r="BE61" s="17" t="n">
        <f aca="false">(AV61+BD61)/2</f>
        <v>167.522311264326</v>
      </c>
      <c r="BF61" s="15" t="n">
        <f aca="false">BE61*INDEX(Ipotesi!$C$33:$G$33,1,F61)*H61/12</f>
        <v>86553.194153235</v>
      </c>
      <c r="BG61" s="15" t="n">
        <f aca="false">BD61*INDEX(Ipotesi!$C$33:$G$33,1,F61)*H61</f>
        <v>1055458.86829344</v>
      </c>
      <c r="BH61" s="15" t="n">
        <f aca="false">AM61*INDEX(Ipotesi!$C$37:$G$37,1,F61)</f>
        <v>8696.875</v>
      </c>
      <c r="BI61" s="15" t="n">
        <f aca="false">AQ61+BF61+BH61</f>
        <v>162625.069153235</v>
      </c>
      <c r="BJ61" s="15" t="n">
        <f aca="false">INDEX(Ipotesi!$C$68:$G$68,1,F61)*Ipotesi!$C$69/12</f>
        <v>3333.33333333333</v>
      </c>
      <c r="BK61" s="15" t="n">
        <f aca="false">INDEX(Ipotesi!$C$68:$G$68,1,F61)*(1-Ipotesi!$C$69)/12</f>
        <v>5000</v>
      </c>
      <c r="BL61" s="15" t="n">
        <f aca="false">(AQ61+BF61)*Ipotesi!$C$67</f>
        <v>4617.84582459705</v>
      </c>
      <c r="BM61" s="15" t="n">
        <f aca="false">AM61*Ipotesi!$C$67</f>
        <v>2609.0625</v>
      </c>
      <c r="BN61" s="15" t="n">
        <f aca="false">INDEX(Ipotesi!$C$72:$G$72,1,F61)/12*Ipotesi!C126+BF61*Ipotesi!$C$73</f>
        <v>8174.2555322588</v>
      </c>
      <c r="BO61" s="15" t="n">
        <f aca="false">INDEX(Ipotesi!$C$74:$G$74,1,F61)/12*Ipotesi!C126</f>
        <v>5416.66666666667</v>
      </c>
      <c r="BP61" s="15" t="n">
        <f aca="false">INDEX(Ipotesi!$C$76:$G$76,1,F61)/12</f>
        <v>1916.66666666667</v>
      </c>
      <c r="BQ61" s="15" t="n">
        <f aca="false">INDEX(Ipotesi!$C$77:$G$77,1,F61)/12*Ipotesi!C126</f>
        <v>2500</v>
      </c>
      <c r="BR61" s="15" t="n">
        <f aca="false">INDEX(Ipotesi!$C$78:$G$78,1,F61)/12</f>
        <v>2333.33333333333</v>
      </c>
      <c r="BS61" s="15" t="n">
        <f aca="false">SUM(M61:R61)*(Ipotesi!$C$85+Ipotesi!$C$86)/12</f>
        <v>7437.5</v>
      </c>
      <c r="BT61" s="15" t="n">
        <f aca="false">BI61*Ipotesi!$C$87</f>
        <v>4878.75207459705</v>
      </c>
      <c r="BU61" s="15" t="n">
        <f aca="false">INDEX(Ipotesi!$C$55:$G$55,1,F61)*K61/12</f>
        <v>2000</v>
      </c>
      <c r="BV61" s="15" t="n">
        <f aca="false">INDEX(Ipotesi!$C$80:$G$80,1,F61)/12*Ipotesi!C126</f>
        <v>2083.33333333333</v>
      </c>
      <c r="BW61" s="15" t="n">
        <f aca="false">INDEX(Ipotesi!$C$82:$G$82,1,F61)/12</f>
        <v>1500</v>
      </c>
      <c r="BX61" s="15" t="n">
        <f aca="false">INDEX(Ipotesi!$C$83:$G$83,1,F61)/12</f>
        <v>833.333333333333</v>
      </c>
      <c r="BY61" s="15" t="n">
        <f aca="false">SUM(S61:U61)*(Ipotesi!$C$85+Ipotesi!$C$86)/12</f>
        <v>3208.33333333333</v>
      </c>
      <c r="BZ61" s="15" t="n">
        <f aca="false">AM61*Ipotesi!$C$87</f>
        <v>2609.0625</v>
      </c>
      <c r="CA61" s="15" t="n">
        <f aca="false">AB61+BJ61+BL61+BN61+BO61+AR61+BP61+BQ61+BR61+BS61+BT61</f>
        <v>195919.01508562</v>
      </c>
      <c r="CB61" s="15" t="n">
        <f aca="false">AC61+BK61+BM61+BH61+BU61+BV61+AS61+BW61+BX61+BY61+BZ61</f>
        <v>74987.1389275</v>
      </c>
      <c r="CC61" s="15" t="n">
        <f aca="false">BI61-CA61</f>
        <v>-33293.9459323846</v>
      </c>
      <c r="CD61" s="15" t="n">
        <f aca="false">AM61-CB61</f>
        <v>11981.6110725</v>
      </c>
      <c r="CE61" s="15" t="n">
        <f aca="false">INDEX(Ipotesi!$C$79:$G$79,1,F61)/12</f>
        <v>4166.66666666667</v>
      </c>
      <c r="CF61" s="15" t="n">
        <f aca="false">INDEX(Ipotesi!$C$84:$G$84,1,F61)/12</f>
        <v>666.666666666667</v>
      </c>
      <c r="CG61" s="15" t="n">
        <f aca="false">Y61*MAX(0,Parametri_v3!$C$12-IF(P61=0,0,MIN(1,BE61/(P61*Parametri_v3!$C$22))))+W61*Parametri_v3!$C$13+X61*Parametri_v3!$C$14</f>
        <v>36226.2685083516</v>
      </c>
      <c r="CH61" s="15" t="n">
        <f aca="false">AB61*Parametri_v3!$C$32</f>
        <v>5973.86641604167</v>
      </c>
      <c r="CI61" s="15" t="n">
        <f aca="false">AC61*Parametri_v3!$C$32</f>
        <v>2218.19027970833</v>
      </c>
      <c r="CJ61" s="15" t="n">
        <f aca="false">CA61-AB61</f>
        <v>76441.6867647862</v>
      </c>
      <c r="CK61" s="15" t="n">
        <f aca="false">CB61-AC61-BH61</f>
        <v>21926.4583333333</v>
      </c>
      <c r="CL61" s="15" t="n">
        <f aca="false">BF61*Ipotesi!$C$73+INDEX(Ipotesi!$C$72:$G$72,1,F61)/12*Ipotesi!C126*Parametri_v3!$C$58+Z61*(1-Parametri_v3!$C$16)</f>
        <v>15771.4399997588</v>
      </c>
      <c r="CM61" s="16" t="n">
        <f aca="false">IF(BF61=0,0,1-CL61/BF61)</f>
        <v>0.817783270114367</v>
      </c>
    </row>
    <row r="62" customFormat="false" ht="18" hidden="false" customHeight="true" outlineLevel="0" collapsed="false">
      <c r="A62" s="68" t="n">
        <f aca="false">1</f>
        <v>1</v>
      </c>
      <c r="B62" s="68" t="n">
        <f aca="false">58</f>
        <v>58</v>
      </c>
      <c r="C62" s="18" t="n">
        <f aca="false">EDATE(Parametri_v3!$C$5,58-1)</f>
        <v>48122</v>
      </c>
      <c r="D62" s="68" t="n">
        <f aca="false">YEAR(C62)</f>
        <v>2031</v>
      </c>
      <c r="E62" s="68" t="n">
        <f aca="false">MONTH(C62)</f>
        <v>10</v>
      </c>
      <c r="F62" s="68" t="n">
        <f aca="false">INT((58-1)/12)+1</f>
        <v>5</v>
      </c>
      <c r="G62" s="15" t="n">
        <f aca="false">Ipotesi!C7</f>
        <v>0.75</v>
      </c>
      <c r="H62" s="15" t="n">
        <f aca="false">Ipotesi!C9</f>
        <v>1</v>
      </c>
      <c r="I62" s="15" t="n">
        <f aca="false">Ipotesi!C10</f>
        <v>1</v>
      </c>
      <c r="J62" s="15" t="n">
        <f aca="false">Ipotesi!C11</f>
        <v>1</v>
      </c>
      <c r="K62" s="15" t="n">
        <f aca="false">Ipotesi!C12</f>
        <v>1</v>
      </c>
      <c r="L62" s="15" t="n">
        <f aca="false">Ipotesi!C13</f>
        <v>90</v>
      </c>
      <c r="M62" s="17" t="n">
        <f aca="false">INDEX(Ipotesi!$C$40:$G$40,1,F62)</f>
        <v>1</v>
      </c>
      <c r="N62" s="17" t="n">
        <f aca="false">INDEX(Ipotesi!$C$41:$G$41,1,F62)</f>
        <v>1</v>
      </c>
      <c r="O62" s="17" t="n">
        <f aca="false">INDEX(Ipotesi!$C$42:$G$42,1,F62)*Ipotesi!C125</f>
        <v>8.5</v>
      </c>
      <c r="P62" s="17" t="n">
        <f aca="false">INDEX(Ipotesi!$C$43:$G$43,1,F62)*I62</f>
        <v>7</v>
      </c>
      <c r="Q62" s="17" t="n">
        <f aca="false">INDEX(Ipotesi!$C$44:$G$44,1,F62)*I62</f>
        <v>6</v>
      </c>
      <c r="R62" s="17" t="n">
        <f aca="false">INDEX(Ipotesi!$C$45:$G$45,1,F62)*I62</f>
        <v>2</v>
      </c>
      <c r="S62" s="17" t="n">
        <f aca="false">INDEX(Ipotesi!$C$52:$G$52,1,F62)*Ipotesi!C125</f>
        <v>9</v>
      </c>
      <c r="T62" s="17" t="n">
        <f aca="false">INDEX(Ipotesi!$C$53:$G$53,1,F62)*I62</f>
        <v>1</v>
      </c>
      <c r="U62" s="17" t="n">
        <f aca="false">INDEX(Ipotesi!$C$54:$G$54,1,F62)*I62</f>
        <v>1</v>
      </c>
      <c r="V62" s="15" t="n">
        <f aca="false">M62*INDEX(Ipotesi!$C$58:$G$58,1,F62)*K62/12</f>
        <v>8333.33333333333</v>
      </c>
      <c r="W62" s="15" t="n">
        <f aca="false">N62*Ipotesi!$C$59*(1+Ipotesi!$C$66)^(F62-1)/12</f>
        <v>6565.46805833334</v>
      </c>
      <c r="X62" s="15" t="n">
        <f aca="false">O62*Ipotesi!$C$60*(1+Ipotesi!$C$66)^(F62-1)/12</f>
        <v>39861.7703541667</v>
      </c>
      <c r="Y62" s="15" t="n">
        <f aca="false">P62*Ipotesi!$C$61*(1+Ipotesi!$C$66)^(F62-1)/12</f>
        <v>32827.3402916667</v>
      </c>
      <c r="Z62" s="15" t="n">
        <f aca="false">Q62*Ipotesi!$C$62*(1+Ipotesi!$C$66)^(F62-1)/12</f>
        <v>25323.948225</v>
      </c>
      <c r="AA62" s="15" t="n">
        <f aca="false">R62*Ipotesi!$C$63*(1+Ipotesi!$C$66)^(F62-1)/12</f>
        <v>6565.46805833334</v>
      </c>
      <c r="AB62" s="15" t="n">
        <f aca="false">SUM(V62:AA62)</f>
        <v>119477.328320833</v>
      </c>
      <c r="AC62" s="15" t="n">
        <f aca="false">(S62*Ipotesi!$C$64+T62*Ipotesi!$C$65+U62*Ipotesi!$C$63)*(1+Ipotesi!$C$66)^(F62-1)/12</f>
        <v>44363.8055941667</v>
      </c>
      <c r="AD62" s="15" t="n">
        <f aca="false">INDEX(Ipotesi!$C$48:$G$48,1,F62)*G62/12</f>
        <v>71.875</v>
      </c>
      <c r="AE62" s="15" t="n">
        <f aca="false">INDEX(Ipotesi!$C$50:$G$50,1,F62)*G62/12</f>
        <v>7.1875</v>
      </c>
      <c r="AF62" s="15" t="n">
        <f aca="false">(S62*Parametri_v3!$C$7*Parametri_v3!$C$8+Parametri_v3!$C$10)/12</f>
        <v>115.5</v>
      </c>
      <c r="AG62" s="15" t="n">
        <f aca="false">AD62+AE62*(1+Parametri_v3!$C$9)</f>
        <v>82.65625</v>
      </c>
      <c r="AH62" s="16" t="n">
        <f aca="false">IF(AG62=0,1,MIN(1,AF62/AG62))</f>
        <v>1</v>
      </c>
      <c r="AI62" s="15" t="n">
        <f aca="false">AD62*AH62</f>
        <v>71.875</v>
      </c>
      <c r="AJ62" s="15" t="n">
        <f aca="false">AE62*AH62</f>
        <v>7.1875</v>
      </c>
      <c r="AK62" s="15" t="n">
        <f aca="false">AI62*INDEX(Ipotesi!$C$49:$G$49,1,F62)*H62</f>
        <v>68281.25</v>
      </c>
      <c r="AL62" s="15" t="n">
        <f aca="false">AJ62*INDEX(Ipotesi!$C$51:$G$51,1,F62)*H62</f>
        <v>18687.5</v>
      </c>
      <c r="AM62" s="15" t="n">
        <f aca="false">AK62+AL62</f>
        <v>86968.75</v>
      </c>
      <c r="AN62" s="15" t="n">
        <f aca="false">INDEX(Ipotesi!$C$30:$G$30,1,F62)*G62/12</f>
        <v>61.25</v>
      </c>
      <c r="AO62" s="15" t="n">
        <f aca="false">O62*Parametri_v3!$C$7*Parametri_v3!$C$11*(1-Parametri_v3!$C$14)/12</f>
        <v>87.2666666666667</v>
      </c>
      <c r="AP62" s="15" t="n">
        <f aca="false">MIN(AN62,AO62)</f>
        <v>61.25</v>
      </c>
      <c r="AQ62" s="15" t="n">
        <f aca="false">AP62*INDEX(Ipotesi!$C$31:$G$31,1,F62)*H62</f>
        <v>67375</v>
      </c>
      <c r="AR62" s="15" t="n">
        <f aca="false">INDEX(Ipotesi!$C$75:$G$75,1,F62)*J62/12</f>
        <v>35833.3333333333</v>
      </c>
      <c r="AS62" s="15" t="n">
        <f aca="false">INDEX(Ipotesi!$C$81:$G$81,1,F62)*J62/12</f>
        <v>2083.33333333333</v>
      </c>
      <c r="AT62" s="15" t="n">
        <f aca="false">AR62*Parametri_v3!$C$15+Z62*Parametri_v3!$C$16</f>
        <v>53560.0970908333</v>
      </c>
      <c r="AU62" s="15" t="n">
        <f aca="false">Q62*Parametri_v3!$C$16*Parametri_v3!$C$17</f>
        <v>420</v>
      </c>
      <c r="AV62" s="17" t="n">
        <f aca="false">BD61</f>
        <v>170.235301337651</v>
      </c>
      <c r="AW62" s="17" t="n">
        <f aca="false">AV62*(1-(1-INDEX(Ipotesi!$C$34:$G$34,1,F62))^(1/12))</f>
        <v>1.48813077504931</v>
      </c>
      <c r="AX62" s="15" t="n">
        <f aca="false">ROUND(INDEX(Ipotesi!$C$32:$G$32,1,F62)*Ipotesi!C8,0)</f>
        <v>336</v>
      </c>
      <c r="AY62" s="15" t="n">
        <f aca="false">MAX(0,(AX62-(AV62-AW62))/(13-E62))</f>
        <v>55.7509431457995</v>
      </c>
      <c r="AZ62" s="15" t="n">
        <f aca="false">MIN(P62*Parametri_v3!$C$22,Q62*(1-Parametri_v3!$C$16)*Parametri_v3!$C$23)</f>
        <v>270</v>
      </c>
      <c r="BA62" s="15" t="n">
        <f aca="false">IF(OR(INDEX(Ipotesi!$C$35:$G$35,1,F62)&lt;=0,58-Parametri_v3!$C$21&lt;1),0,INDEX($AT$5:$AT$64,MAX(1,58-Parametri_v3!$C$21))/(INDEX(Ipotesi!$C$35:$G$35,1,F62)*Ipotesi!C27))</f>
        <v>6.8666791142094</v>
      </c>
      <c r="BB62" s="15" t="n">
        <f aca="false">IF(58-Parametri_v3!$C$21&lt;1,0,INDEX($AU$5:$AU$64,MAX(1,58-Parametri_v3!$C$21)))*Parametri_v3!$C$18*Parametri_v3!$C$19*Parametri_v3!$C$20</f>
        <v>15.75</v>
      </c>
      <c r="BC62" s="17" t="n">
        <f aca="false">MAX(0,MIN(AY62,BA62,BB62,MAX(0,AZ62-(AV62-AW62))))</f>
        <v>6.8666791142094</v>
      </c>
      <c r="BD62" s="17" t="n">
        <f aca="false">AV62-AW62+BC62</f>
        <v>175.613849676811</v>
      </c>
      <c r="BE62" s="17" t="n">
        <f aca="false">(AV62+BD62)/2</f>
        <v>172.924575507231</v>
      </c>
      <c r="BF62" s="15" t="n">
        <f aca="false">BE62*INDEX(Ipotesi!$C$33:$G$33,1,F62)*H62/12</f>
        <v>89344.3640120693</v>
      </c>
      <c r="BG62" s="15" t="n">
        <f aca="false">BD62*INDEX(Ipotesi!$C$33:$G$33,1,F62)*H62</f>
        <v>1088805.86799623</v>
      </c>
      <c r="BH62" s="15" t="n">
        <f aca="false">AM62*INDEX(Ipotesi!$C$37:$G$37,1,F62)</f>
        <v>8696.875</v>
      </c>
      <c r="BI62" s="15" t="n">
        <f aca="false">AQ62+BF62+BH62</f>
        <v>165416.239012069</v>
      </c>
      <c r="BJ62" s="15" t="n">
        <f aca="false">INDEX(Ipotesi!$C$68:$G$68,1,F62)*Ipotesi!$C$69/12</f>
        <v>3333.33333333333</v>
      </c>
      <c r="BK62" s="15" t="n">
        <f aca="false">INDEX(Ipotesi!$C$68:$G$68,1,F62)*(1-Ipotesi!$C$69)/12</f>
        <v>5000</v>
      </c>
      <c r="BL62" s="15" t="n">
        <f aca="false">(AQ62+BF62)*Ipotesi!$C$67</f>
        <v>4701.58092036208</v>
      </c>
      <c r="BM62" s="15" t="n">
        <f aca="false">AM62*Ipotesi!$C$67</f>
        <v>2609.0625</v>
      </c>
      <c r="BN62" s="15" t="n">
        <f aca="false">INDEX(Ipotesi!$C$72:$G$72,1,F62)/12*Ipotesi!C126+BF62*Ipotesi!$C$73</f>
        <v>8397.54912096554</v>
      </c>
      <c r="BO62" s="15" t="n">
        <f aca="false">INDEX(Ipotesi!$C$74:$G$74,1,F62)/12*Ipotesi!C126</f>
        <v>5416.66666666667</v>
      </c>
      <c r="BP62" s="15" t="n">
        <f aca="false">INDEX(Ipotesi!$C$76:$G$76,1,F62)/12</f>
        <v>1916.66666666667</v>
      </c>
      <c r="BQ62" s="15" t="n">
        <f aca="false">INDEX(Ipotesi!$C$77:$G$77,1,F62)/12*Ipotesi!C126</f>
        <v>2500</v>
      </c>
      <c r="BR62" s="15" t="n">
        <f aca="false">INDEX(Ipotesi!$C$78:$G$78,1,F62)/12</f>
        <v>2333.33333333333</v>
      </c>
      <c r="BS62" s="15" t="n">
        <f aca="false">SUM(M62:R62)*(Ipotesi!$C$85+Ipotesi!$C$86)/12</f>
        <v>7437.5</v>
      </c>
      <c r="BT62" s="15" t="n">
        <f aca="false">BI62*Ipotesi!$C$87</f>
        <v>4962.48717036208</v>
      </c>
      <c r="BU62" s="15" t="n">
        <f aca="false">INDEX(Ipotesi!$C$55:$G$55,1,F62)*K62/12</f>
        <v>2000</v>
      </c>
      <c r="BV62" s="15" t="n">
        <f aca="false">INDEX(Ipotesi!$C$80:$G$80,1,F62)/12*Ipotesi!C126</f>
        <v>2083.33333333333</v>
      </c>
      <c r="BW62" s="15" t="n">
        <f aca="false">INDEX(Ipotesi!$C$82:$G$82,1,F62)/12</f>
        <v>1500</v>
      </c>
      <c r="BX62" s="15" t="n">
        <f aca="false">INDEX(Ipotesi!$C$83:$G$83,1,F62)/12</f>
        <v>833.333333333333</v>
      </c>
      <c r="BY62" s="15" t="n">
        <f aca="false">SUM(S62:U62)*(Ipotesi!$C$85+Ipotesi!$C$86)/12</f>
        <v>3208.33333333333</v>
      </c>
      <c r="BZ62" s="15" t="n">
        <f aca="false">AM62*Ipotesi!$C$87</f>
        <v>2609.0625</v>
      </c>
      <c r="CA62" s="15" t="n">
        <f aca="false">AB62+BJ62+BL62+BN62+BO62+AR62+BP62+BQ62+BR62+BS62+BT62</f>
        <v>196309.778865856</v>
      </c>
      <c r="CB62" s="15" t="n">
        <f aca="false">AC62+BK62+BM62+BH62+BU62+BV62+AS62+BW62+BX62+BY62+BZ62</f>
        <v>74987.1389275</v>
      </c>
      <c r="CC62" s="15" t="n">
        <f aca="false">BI62-CA62</f>
        <v>-30893.5398537871</v>
      </c>
      <c r="CD62" s="15" t="n">
        <f aca="false">AM62-CB62</f>
        <v>11981.6110725</v>
      </c>
      <c r="CE62" s="15" t="n">
        <f aca="false">INDEX(Ipotesi!$C$79:$G$79,1,F62)/12</f>
        <v>4166.66666666667</v>
      </c>
      <c r="CF62" s="15" t="n">
        <f aca="false">INDEX(Ipotesi!$C$84:$G$84,1,F62)/12</f>
        <v>666.666666666667</v>
      </c>
      <c r="CG62" s="15" t="n">
        <f aca="false">Y62*MAX(0,Parametri_v3!$C$12-IF(P62=0,0,MIN(1,BE62/(P62*Parametri_v3!$C$22))))+W62*Parametri_v3!$C$13+X62*Parametri_v3!$C$14</f>
        <v>35972.9228417126</v>
      </c>
      <c r="CH62" s="15" t="n">
        <f aca="false">AB62*Parametri_v3!$C$32</f>
        <v>5973.86641604167</v>
      </c>
      <c r="CI62" s="15" t="n">
        <f aca="false">AC62*Parametri_v3!$C$32</f>
        <v>2218.19027970833</v>
      </c>
      <c r="CJ62" s="15" t="n">
        <f aca="false">CA62-AB62</f>
        <v>76832.450545023</v>
      </c>
      <c r="CK62" s="15" t="n">
        <f aca="false">CB62-AC62-BH62</f>
        <v>21926.4583333333</v>
      </c>
      <c r="CL62" s="15" t="n">
        <f aca="false">BF62*Ipotesi!$C$73+INDEX(Ipotesi!$C$72:$G$72,1,F62)/12*Ipotesi!C126*Parametri_v3!$C$58+Z62*(1-Parametri_v3!$C$16)</f>
        <v>15994.7335884655</v>
      </c>
      <c r="CM62" s="16" t="n">
        <f aca="false">IF(BF62=0,0,1-CL62/BF62)</f>
        <v>0.820976580164532</v>
      </c>
    </row>
    <row r="63" customFormat="false" ht="18" hidden="false" customHeight="true" outlineLevel="0" collapsed="false">
      <c r="A63" s="68" t="n">
        <f aca="false">1</f>
        <v>1</v>
      </c>
      <c r="B63" s="68" t="n">
        <f aca="false">59</f>
        <v>59</v>
      </c>
      <c r="C63" s="18" t="n">
        <f aca="false">EDATE(Parametri_v3!$C$5,59-1)</f>
        <v>48153</v>
      </c>
      <c r="D63" s="68" t="n">
        <f aca="false">YEAR(C63)</f>
        <v>2031</v>
      </c>
      <c r="E63" s="68" t="n">
        <f aca="false">MONTH(C63)</f>
        <v>11</v>
      </c>
      <c r="F63" s="68" t="n">
        <f aca="false">INT((59-1)/12)+1</f>
        <v>5</v>
      </c>
      <c r="G63" s="15" t="n">
        <f aca="false">Ipotesi!C7</f>
        <v>0.75</v>
      </c>
      <c r="H63" s="15" t="n">
        <f aca="false">Ipotesi!C9</f>
        <v>1</v>
      </c>
      <c r="I63" s="15" t="n">
        <f aca="false">Ipotesi!C10</f>
        <v>1</v>
      </c>
      <c r="J63" s="15" t="n">
        <f aca="false">Ipotesi!C11</f>
        <v>1</v>
      </c>
      <c r="K63" s="15" t="n">
        <f aca="false">Ipotesi!C12</f>
        <v>1</v>
      </c>
      <c r="L63" s="15" t="n">
        <f aca="false">Ipotesi!C13</f>
        <v>90</v>
      </c>
      <c r="M63" s="17" t="n">
        <f aca="false">INDEX(Ipotesi!$C$40:$G$40,1,F63)</f>
        <v>1</v>
      </c>
      <c r="N63" s="17" t="n">
        <f aca="false">INDEX(Ipotesi!$C$41:$G$41,1,F63)</f>
        <v>1</v>
      </c>
      <c r="O63" s="17" t="n">
        <f aca="false">INDEX(Ipotesi!$C$42:$G$42,1,F63)*Ipotesi!C125</f>
        <v>8.5</v>
      </c>
      <c r="P63" s="17" t="n">
        <f aca="false">INDEX(Ipotesi!$C$43:$G$43,1,F63)*I63</f>
        <v>7</v>
      </c>
      <c r="Q63" s="17" t="n">
        <f aca="false">INDEX(Ipotesi!$C$44:$G$44,1,F63)*I63</f>
        <v>6</v>
      </c>
      <c r="R63" s="17" t="n">
        <f aca="false">INDEX(Ipotesi!$C$45:$G$45,1,F63)*I63</f>
        <v>2</v>
      </c>
      <c r="S63" s="17" t="n">
        <f aca="false">INDEX(Ipotesi!$C$52:$G$52,1,F63)*Ipotesi!C125</f>
        <v>9</v>
      </c>
      <c r="T63" s="17" t="n">
        <f aca="false">INDEX(Ipotesi!$C$53:$G$53,1,F63)*I63</f>
        <v>1</v>
      </c>
      <c r="U63" s="17" t="n">
        <f aca="false">INDEX(Ipotesi!$C$54:$G$54,1,F63)*I63</f>
        <v>1</v>
      </c>
      <c r="V63" s="15" t="n">
        <f aca="false">M63*INDEX(Ipotesi!$C$58:$G$58,1,F63)*K63/12</f>
        <v>8333.33333333333</v>
      </c>
      <c r="W63" s="15" t="n">
        <f aca="false">N63*Ipotesi!$C$59*(1+Ipotesi!$C$66)^(F63-1)/12</f>
        <v>6565.46805833334</v>
      </c>
      <c r="X63" s="15" t="n">
        <f aca="false">O63*Ipotesi!$C$60*(1+Ipotesi!$C$66)^(F63-1)/12</f>
        <v>39861.7703541667</v>
      </c>
      <c r="Y63" s="15" t="n">
        <f aca="false">P63*Ipotesi!$C$61*(1+Ipotesi!$C$66)^(F63-1)/12</f>
        <v>32827.3402916667</v>
      </c>
      <c r="Z63" s="15" t="n">
        <f aca="false">Q63*Ipotesi!$C$62*(1+Ipotesi!$C$66)^(F63-1)/12</f>
        <v>25323.948225</v>
      </c>
      <c r="AA63" s="15" t="n">
        <f aca="false">R63*Ipotesi!$C$63*(1+Ipotesi!$C$66)^(F63-1)/12</f>
        <v>6565.46805833334</v>
      </c>
      <c r="AB63" s="15" t="n">
        <f aca="false">SUM(V63:AA63)</f>
        <v>119477.328320833</v>
      </c>
      <c r="AC63" s="15" t="n">
        <f aca="false">(S63*Ipotesi!$C$64+T63*Ipotesi!$C$65+U63*Ipotesi!$C$63)*(1+Ipotesi!$C$66)^(F63-1)/12</f>
        <v>44363.8055941667</v>
      </c>
      <c r="AD63" s="15" t="n">
        <f aca="false">INDEX(Ipotesi!$C$48:$G$48,1,F63)*G63/12</f>
        <v>71.875</v>
      </c>
      <c r="AE63" s="15" t="n">
        <f aca="false">INDEX(Ipotesi!$C$50:$G$50,1,F63)*G63/12</f>
        <v>7.1875</v>
      </c>
      <c r="AF63" s="15" t="n">
        <f aca="false">(S63*Parametri_v3!$C$7*Parametri_v3!$C$8+Parametri_v3!$C$10)/12</f>
        <v>115.5</v>
      </c>
      <c r="AG63" s="15" t="n">
        <f aca="false">AD63+AE63*(1+Parametri_v3!$C$9)</f>
        <v>82.65625</v>
      </c>
      <c r="AH63" s="16" t="n">
        <f aca="false">IF(AG63=0,1,MIN(1,AF63/AG63))</f>
        <v>1</v>
      </c>
      <c r="AI63" s="15" t="n">
        <f aca="false">AD63*AH63</f>
        <v>71.875</v>
      </c>
      <c r="AJ63" s="15" t="n">
        <f aca="false">AE63*AH63</f>
        <v>7.1875</v>
      </c>
      <c r="AK63" s="15" t="n">
        <f aca="false">AI63*INDEX(Ipotesi!$C$49:$G$49,1,F63)*H63</f>
        <v>68281.25</v>
      </c>
      <c r="AL63" s="15" t="n">
        <f aca="false">AJ63*INDEX(Ipotesi!$C$51:$G$51,1,F63)*H63</f>
        <v>18687.5</v>
      </c>
      <c r="AM63" s="15" t="n">
        <f aca="false">AK63+AL63</f>
        <v>86968.75</v>
      </c>
      <c r="AN63" s="15" t="n">
        <f aca="false">INDEX(Ipotesi!$C$30:$G$30,1,F63)*G63/12</f>
        <v>61.25</v>
      </c>
      <c r="AO63" s="15" t="n">
        <f aca="false">O63*Parametri_v3!$C$7*Parametri_v3!$C$11*(1-Parametri_v3!$C$14)/12</f>
        <v>87.2666666666667</v>
      </c>
      <c r="AP63" s="15" t="n">
        <f aca="false">MIN(AN63,AO63)</f>
        <v>61.25</v>
      </c>
      <c r="AQ63" s="15" t="n">
        <f aca="false">AP63*INDEX(Ipotesi!$C$31:$G$31,1,F63)*H63</f>
        <v>67375</v>
      </c>
      <c r="AR63" s="15" t="n">
        <f aca="false">INDEX(Ipotesi!$C$75:$G$75,1,F63)*J63/12</f>
        <v>35833.3333333333</v>
      </c>
      <c r="AS63" s="15" t="n">
        <f aca="false">INDEX(Ipotesi!$C$81:$G$81,1,F63)*J63/12</f>
        <v>2083.33333333333</v>
      </c>
      <c r="AT63" s="15" t="n">
        <f aca="false">AR63*Parametri_v3!$C$15+Z63*Parametri_v3!$C$16</f>
        <v>53560.0970908333</v>
      </c>
      <c r="AU63" s="15" t="n">
        <f aca="false">Q63*Parametri_v3!$C$16*Parametri_v3!$C$17</f>
        <v>420</v>
      </c>
      <c r="AV63" s="17" t="n">
        <f aca="false">BD62</f>
        <v>175.613849676811</v>
      </c>
      <c r="AW63" s="17" t="n">
        <f aca="false">AV63*(1-(1-INDEX(Ipotesi!$C$34:$G$34,1,F63))^(1/12))</f>
        <v>1.53514795213127</v>
      </c>
      <c r="AX63" s="15" t="n">
        <f aca="false">ROUND(INDEX(Ipotesi!$C$32:$G$32,1,F63)*Ipotesi!C8,0)</f>
        <v>336</v>
      </c>
      <c r="AY63" s="15" t="n">
        <f aca="false">MAX(0,(AX63-(AV63-AW63))/(13-E63))</f>
        <v>80.9606491376602</v>
      </c>
      <c r="AZ63" s="15" t="n">
        <f aca="false">MIN(P63*Parametri_v3!$C$22,Q63*(1-Parametri_v3!$C$16)*Parametri_v3!$C$23)</f>
        <v>270</v>
      </c>
      <c r="BA63" s="15" t="n">
        <f aca="false">IF(OR(INDEX(Ipotesi!$C$35:$G$35,1,F63)&lt;=0,59-Parametri_v3!$C$21&lt;1),0,INDEX($AT$5:$AT$64,MAX(1,59-Parametri_v3!$C$21))/(INDEX(Ipotesi!$C$35:$G$35,1,F63)*Ipotesi!C27))</f>
        <v>6.8666791142094</v>
      </c>
      <c r="BB63" s="15" t="n">
        <f aca="false">IF(59-Parametri_v3!$C$21&lt;1,0,INDEX($AU$5:$AU$64,MAX(1,59-Parametri_v3!$C$21)))*Parametri_v3!$C$18*Parametri_v3!$C$19*Parametri_v3!$C$20</f>
        <v>15.75</v>
      </c>
      <c r="BC63" s="17" t="n">
        <f aca="false">MAX(0,MIN(AY63,BA63,BB63,MAX(0,AZ63-(AV63-AW63))))</f>
        <v>6.8666791142094</v>
      </c>
      <c r="BD63" s="17" t="n">
        <f aca="false">AV63-AW63+BC63</f>
        <v>180.945380838889</v>
      </c>
      <c r="BE63" s="17" t="n">
        <f aca="false">(AV63+BD63)/2</f>
        <v>178.27961525785</v>
      </c>
      <c r="BF63" s="15" t="n">
        <f aca="false">BE63*INDEX(Ipotesi!$C$33:$G$33,1,F63)*H63/12</f>
        <v>92111.1345498892</v>
      </c>
      <c r="BG63" s="15" t="n">
        <f aca="false">BD63*INDEX(Ipotesi!$C$33:$G$33,1,F63)*H63</f>
        <v>1121861.36120111</v>
      </c>
      <c r="BH63" s="15" t="n">
        <f aca="false">AM63*INDEX(Ipotesi!$C$37:$G$37,1,F63)</f>
        <v>8696.875</v>
      </c>
      <c r="BI63" s="15" t="n">
        <f aca="false">AQ63+BF63+BH63</f>
        <v>168183.009549889</v>
      </c>
      <c r="BJ63" s="15" t="n">
        <f aca="false">INDEX(Ipotesi!$C$68:$G$68,1,F63)*Ipotesi!$C$69/12</f>
        <v>3333.33333333333</v>
      </c>
      <c r="BK63" s="15" t="n">
        <f aca="false">INDEX(Ipotesi!$C$68:$G$68,1,F63)*(1-Ipotesi!$C$69)/12</f>
        <v>5000</v>
      </c>
      <c r="BL63" s="15" t="n">
        <f aca="false">(AQ63+BF63)*Ipotesi!$C$67</f>
        <v>4784.58403649668</v>
      </c>
      <c r="BM63" s="15" t="n">
        <f aca="false">AM63*Ipotesi!$C$67</f>
        <v>2609.0625</v>
      </c>
      <c r="BN63" s="15" t="n">
        <f aca="false">INDEX(Ipotesi!$C$72:$G$72,1,F63)/12*Ipotesi!C126+BF63*Ipotesi!$C$73</f>
        <v>8618.89076399113</v>
      </c>
      <c r="BO63" s="15" t="n">
        <f aca="false">INDEX(Ipotesi!$C$74:$G$74,1,F63)/12*Ipotesi!C126</f>
        <v>5416.66666666667</v>
      </c>
      <c r="BP63" s="15" t="n">
        <f aca="false">INDEX(Ipotesi!$C$76:$G$76,1,F63)/12</f>
        <v>1916.66666666667</v>
      </c>
      <c r="BQ63" s="15" t="n">
        <f aca="false">INDEX(Ipotesi!$C$77:$G$77,1,F63)/12*Ipotesi!C126</f>
        <v>2500</v>
      </c>
      <c r="BR63" s="15" t="n">
        <f aca="false">INDEX(Ipotesi!$C$78:$G$78,1,F63)/12</f>
        <v>2333.33333333333</v>
      </c>
      <c r="BS63" s="15" t="n">
        <f aca="false">SUM(M63:R63)*(Ipotesi!$C$85+Ipotesi!$C$86)/12</f>
        <v>7437.5</v>
      </c>
      <c r="BT63" s="15" t="n">
        <f aca="false">BI63*Ipotesi!$C$87</f>
        <v>5045.49028649668</v>
      </c>
      <c r="BU63" s="15" t="n">
        <f aca="false">INDEX(Ipotesi!$C$55:$G$55,1,F63)*K63/12</f>
        <v>2000</v>
      </c>
      <c r="BV63" s="15" t="n">
        <f aca="false">INDEX(Ipotesi!$C$80:$G$80,1,F63)/12*Ipotesi!C126</f>
        <v>2083.33333333333</v>
      </c>
      <c r="BW63" s="15" t="n">
        <f aca="false">INDEX(Ipotesi!$C$82:$G$82,1,F63)/12</f>
        <v>1500</v>
      </c>
      <c r="BX63" s="15" t="n">
        <f aca="false">INDEX(Ipotesi!$C$83:$G$83,1,F63)/12</f>
        <v>833.333333333333</v>
      </c>
      <c r="BY63" s="15" t="n">
        <f aca="false">SUM(S63:U63)*(Ipotesi!$C$85+Ipotesi!$C$86)/12</f>
        <v>3208.33333333333</v>
      </c>
      <c r="BZ63" s="15" t="n">
        <f aca="false">AM63*Ipotesi!$C$87</f>
        <v>2609.0625</v>
      </c>
      <c r="CA63" s="15" t="n">
        <f aca="false">AB63+BJ63+BL63+BN63+BO63+AR63+BP63+BQ63+BR63+BS63+BT63</f>
        <v>196697.126741151</v>
      </c>
      <c r="CB63" s="15" t="n">
        <f aca="false">AC63+BK63+BM63+BH63+BU63+BV63+AS63+BW63+BX63+BY63+BZ63</f>
        <v>74987.1389275</v>
      </c>
      <c r="CC63" s="15" t="n">
        <f aca="false">BI63-CA63</f>
        <v>-28514.117191262</v>
      </c>
      <c r="CD63" s="15" t="n">
        <f aca="false">AM63-CB63</f>
        <v>11981.6110725</v>
      </c>
      <c r="CE63" s="15" t="n">
        <f aca="false">INDEX(Ipotesi!$C$79:$G$79,1,F63)/12</f>
        <v>4166.66666666667</v>
      </c>
      <c r="CF63" s="15" t="n">
        <f aca="false">INDEX(Ipotesi!$C$84:$G$84,1,F63)/12</f>
        <v>666.666666666667</v>
      </c>
      <c r="CG63" s="15" t="n">
        <f aca="false">Y63*MAX(0,Parametri_v3!$C$12-IF(P63=0,0,MIN(1,BE63/(P63*Parametri_v3!$C$22))))+W63*Parametri_v3!$C$13+X63*Parametri_v3!$C$14</f>
        <v>35721.7918243283</v>
      </c>
      <c r="CH63" s="15" t="n">
        <f aca="false">AB63*Parametri_v3!$C$32</f>
        <v>5973.86641604167</v>
      </c>
      <c r="CI63" s="15" t="n">
        <f aca="false">AC63*Parametri_v3!$C$32</f>
        <v>2218.19027970833</v>
      </c>
      <c r="CJ63" s="15" t="n">
        <f aca="false">CA63-AB63</f>
        <v>77219.7984203178</v>
      </c>
      <c r="CK63" s="15" t="n">
        <f aca="false">CB63-AC63-BH63</f>
        <v>21926.4583333333</v>
      </c>
      <c r="CL63" s="15" t="n">
        <f aca="false">BF63*Ipotesi!$C$73+INDEX(Ipotesi!$C$72:$G$72,1,F63)/12*Ipotesi!C126*Parametri_v3!$C$58+Z63*(1-Parametri_v3!$C$16)</f>
        <v>16216.0752314911</v>
      </c>
      <c r="CM63" s="16" t="n">
        <f aca="false">IF(BF63=0,0,1-CL63/BF63)</f>
        <v>0.823950977145893</v>
      </c>
    </row>
    <row r="64" customFormat="false" ht="18" hidden="false" customHeight="true" outlineLevel="0" collapsed="false">
      <c r="A64" s="68" t="n">
        <f aca="false">1</f>
        <v>1</v>
      </c>
      <c r="B64" s="68" t="n">
        <f aca="false">60</f>
        <v>60</v>
      </c>
      <c r="C64" s="18" t="n">
        <f aca="false">EDATE(Parametri_v3!$C$5,60-1)</f>
        <v>48183</v>
      </c>
      <c r="D64" s="68" t="n">
        <f aca="false">YEAR(C64)</f>
        <v>2031</v>
      </c>
      <c r="E64" s="68" t="n">
        <f aca="false">MONTH(C64)</f>
        <v>12</v>
      </c>
      <c r="F64" s="68" t="n">
        <f aca="false">INT((60-1)/12)+1</f>
        <v>5</v>
      </c>
      <c r="G64" s="15" t="n">
        <f aca="false">Ipotesi!C7</f>
        <v>0.75</v>
      </c>
      <c r="H64" s="15" t="n">
        <f aca="false">Ipotesi!C9</f>
        <v>1</v>
      </c>
      <c r="I64" s="15" t="n">
        <f aca="false">Ipotesi!C10</f>
        <v>1</v>
      </c>
      <c r="J64" s="15" t="n">
        <f aca="false">Ipotesi!C11</f>
        <v>1</v>
      </c>
      <c r="K64" s="15" t="n">
        <f aca="false">Ipotesi!C12</f>
        <v>1</v>
      </c>
      <c r="L64" s="15" t="n">
        <f aca="false">Ipotesi!C13</f>
        <v>90</v>
      </c>
      <c r="M64" s="17" t="n">
        <f aca="false">INDEX(Ipotesi!$C$40:$G$40,1,F64)</f>
        <v>1</v>
      </c>
      <c r="N64" s="17" t="n">
        <f aca="false">INDEX(Ipotesi!$C$41:$G$41,1,F64)</f>
        <v>1</v>
      </c>
      <c r="O64" s="17" t="n">
        <f aca="false">INDEX(Ipotesi!$C$42:$G$42,1,F64)*Ipotesi!C125</f>
        <v>8.5</v>
      </c>
      <c r="P64" s="17" t="n">
        <f aca="false">INDEX(Ipotesi!$C$43:$G$43,1,F64)*I64</f>
        <v>7</v>
      </c>
      <c r="Q64" s="17" t="n">
        <f aca="false">INDEX(Ipotesi!$C$44:$G$44,1,F64)*I64</f>
        <v>6</v>
      </c>
      <c r="R64" s="17" t="n">
        <f aca="false">INDEX(Ipotesi!$C$45:$G$45,1,F64)*I64</f>
        <v>2</v>
      </c>
      <c r="S64" s="17" t="n">
        <f aca="false">INDEX(Ipotesi!$C$52:$G$52,1,F64)*Ipotesi!C125</f>
        <v>9</v>
      </c>
      <c r="T64" s="17" t="n">
        <f aca="false">INDEX(Ipotesi!$C$53:$G$53,1,F64)*I64</f>
        <v>1</v>
      </c>
      <c r="U64" s="17" t="n">
        <f aca="false">INDEX(Ipotesi!$C$54:$G$54,1,F64)*I64</f>
        <v>1</v>
      </c>
      <c r="V64" s="15" t="n">
        <f aca="false">M64*INDEX(Ipotesi!$C$58:$G$58,1,F64)*K64/12</f>
        <v>8333.33333333333</v>
      </c>
      <c r="W64" s="15" t="n">
        <f aca="false">N64*Ipotesi!$C$59*(1+Ipotesi!$C$66)^(F64-1)/12</f>
        <v>6565.46805833334</v>
      </c>
      <c r="X64" s="15" t="n">
        <f aca="false">O64*Ipotesi!$C$60*(1+Ipotesi!$C$66)^(F64-1)/12</f>
        <v>39861.7703541667</v>
      </c>
      <c r="Y64" s="15" t="n">
        <f aca="false">P64*Ipotesi!$C$61*(1+Ipotesi!$C$66)^(F64-1)/12</f>
        <v>32827.3402916667</v>
      </c>
      <c r="Z64" s="15" t="n">
        <f aca="false">Q64*Ipotesi!$C$62*(1+Ipotesi!$C$66)^(F64-1)/12</f>
        <v>25323.948225</v>
      </c>
      <c r="AA64" s="15" t="n">
        <f aca="false">R64*Ipotesi!$C$63*(1+Ipotesi!$C$66)^(F64-1)/12</f>
        <v>6565.46805833334</v>
      </c>
      <c r="AB64" s="15" t="n">
        <f aca="false">SUM(V64:AA64)</f>
        <v>119477.328320833</v>
      </c>
      <c r="AC64" s="15" t="n">
        <f aca="false">(S64*Ipotesi!$C$64+T64*Ipotesi!$C$65+U64*Ipotesi!$C$63)*(1+Ipotesi!$C$66)^(F64-1)/12</f>
        <v>44363.8055941667</v>
      </c>
      <c r="AD64" s="15" t="n">
        <f aca="false">INDEX(Ipotesi!$C$48:$G$48,1,F64)*G64/12</f>
        <v>71.875</v>
      </c>
      <c r="AE64" s="15" t="n">
        <f aca="false">INDEX(Ipotesi!$C$50:$G$50,1,F64)*G64/12</f>
        <v>7.1875</v>
      </c>
      <c r="AF64" s="15" t="n">
        <f aca="false">(S64*Parametri_v3!$C$7*Parametri_v3!$C$8+Parametri_v3!$C$10)/12</f>
        <v>115.5</v>
      </c>
      <c r="AG64" s="15" t="n">
        <f aca="false">AD64+AE64*(1+Parametri_v3!$C$9)</f>
        <v>82.65625</v>
      </c>
      <c r="AH64" s="16" t="n">
        <f aca="false">IF(AG64=0,1,MIN(1,AF64/AG64))</f>
        <v>1</v>
      </c>
      <c r="AI64" s="15" t="n">
        <f aca="false">AD64*AH64</f>
        <v>71.875</v>
      </c>
      <c r="AJ64" s="15" t="n">
        <f aca="false">AE64*AH64</f>
        <v>7.1875</v>
      </c>
      <c r="AK64" s="15" t="n">
        <f aca="false">AI64*INDEX(Ipotesi!$C$49:$G$49,1,F64)*H64</f>
        <v>68281.25</v>
      </c>
      <c r="AL64" s="15" t="n">
        <f aca="false">AJ64*INDEX(Ipotesi!$C$51:$G$51,1,F64)*H64</f>
        <v>18687.5</v>
      </c>
      <c r="AM64" s="15" t="n">
        <f aca="false">AK64+AL64</f>
        <v>86968.75</v>
      </c>
      <c r="AN64" s="15" t="n">
        <f aca="false">INDEX(Ipotesi!$C$30:$G$30,1,F64)*G64/12</f>
        <v>61.25</v>
      </c>
      <c r="AO64" s="15" t="n">
        <f aca="false">O64*Parametri_v3!$C$7*Parametri_v3!$C$11*(1-Parametri_v3!$C$14)/12</f>
        <v>87.2666666666667</v>
      </c>
      <c r="AP64" s="15" t="n">
        <f aca="false">MIN(AN64,AO64)</f>
        <v>61.25</v>
      </c>
      <c r="AQ64" s="15" t="n">
        <f aca="false">AP64*INDEX(Ipotesi!$C$31:$G$31,1,F64)*H64</f>
        <v>67375</v>
      </c>
      <c r="AR64" s="15" t="n">
        <f aca="false">INDEX(Ipotesi!$C$75:$G$75,1,F64)*J64/12</f>
        <v>35833.3333333333</v>
      </c>
      <c r="AS64" s="15" t="n">
        <f aca="false">INDEX(Ipotesi!$C$81:$G$81,1,F64)*J64/12</f>
        <v>2083.33333333333</v>
      </c>
      <c r="AT64" s="15" t="n">
        <f aca="false">AR64*Parametri_v3!$C$15+Z64*Parametri_v3!$C$16</f>
        <v>53560.0970908333</v>
      </c>
      <c r="AU64" s="15" t="n">
        <f aca="false">Q64*Parametri_v3!$C$16*Parametri_v3!$C$17</f>
        <v>420</v>
      </c>
      <c r="AV64" s="17" t="n">
        <f aca="false">BD63</f>
        <v>180.945380838889</v>
      </c>
      <c r="AW64" s="17" t="n">
        <f aca="false">AV64*(1-(1-INDEX(Ipotesi!$C$34:$G$34,1,F64))^(1/12))</f>
        <v>1.581754123343</v>
      </c>
      <c r="AX64" s="15" t="n">
        <f aca="false">ROUND(INDEX(Ipotesi!$C$32:$G$32,1,F64)*Ipotesi!C8,0)</f>
        <v>336</v>
      </c>
      <c r="AY64" s="15" t="n">
        <f aca="false">MAX(0,(AX64-(AV64-AW64))/(13-E64))</f>
        <v>156.636373284454</v>
      </c>
      <c r="AZ64" s="15" t="n">
        <f aca="false">MIN(P64*Parametri_v3!$C$22,Q64*(1-Parametri_v3!$C$16)*Parametri_v3!$C$23)</f>
        <v>270</v>
      </c>
      <c r="BA64" s="15" t="n">
        <f aca="false">IF(OR(INDEX(Ipotesi!$C$35:$G$35,1,F64)&lt;=0,60-Parametri_v3!$C$21&lt;1),0,INDEX($AT$5:$AT$64,MAX(1,60-Parametri_v3!$C$21))/(INDEX(Ipotesi!$C$35:$G$35,1,F64)*Ipotesi!C27))</f>
        <v>6.8666791142094</v>
      </c>
      <c r="BB64" s="15" t="n">
        <f aca="false">IF(60-Parametri_v3!$C$21&lt;1,0,INDEX($AU$5:$AU$64,MAX(1,60-Parametri_v3!$C$21)))*Parametri_v3!$C$18*Parametri_v3!$C$19*Parametri_v3!$C$20</f>
        <v>15.75</v>
      </c>
      <c r="BC64" s="17" t="n">
        <f aca="false">MAX(0,MIN(AY64,BA64,BB64,MAX(0,AZ64-(AV64-AW64))))</f>
        <v>6.8666791142094</v>
      </c>
      <c r="BD64" s="17" t="n">
        <f aca="false">AV64-AW64+BC64</f>
        <v>186.230305829755</v>
      </c>
      <c r="BE64" s="17" t="n">
        <f aca="false">(AV64+BD64)/2</f>
        <v>183.587843334322</v>
      </c>
      <c r="BF64" s="15" t="n">
        <f aca="false">BE64*INDEX(Ipotesi!$C$33:$G$33,1,F64)*H64/12</f>
        <v>94853.7190560665</v>
      </c>
      <c r="BG64" s="15" t="n">
        <f aca="false">BD64*INDEX(Ipotesi!$C$33:$G$33,1,F64)*H64</f>
        <v>1154627.89614448</v>
      </c>
      <c r="BH64" s="15" t="n">
        <f aca="false">AM64*INDEX(Ipotesi!$C$37:$G$37,1,F64)</f>
        <v>8696.875</v>
      </c>
      <c r="BI64" s="15" t="n">
        <f aca="false">AQ64+BF64+BH64</f>
        <v>170925.594056066</v>
      </c>
      <c r="BJ64" s="15" t="n">
        <f aca="false">INDEX(Ipotesi!$C$68:$G$68,1,F64)*Ipotesi!$C$69/12</f>
        <v>3333.33333333333</v>
      </c>
      <c r="BK64" s="15" t="n">
        <f aca="false">INDEX(Ipotesi!$C$68:$G$68,1,F64)*(1-Ipotesi!$C$69)/12</f>
        <v>5000</v>
      </c>
      <c r="BL64" s="15" t="n">
        <f aca="false">(AQ64+BF64)*Ipotesi!$C$67</f>
        <v>4866.86157168199</v>
      </c>
      <c r="BM64" s="15" t="n">
        <f aca="false">AM64*Ipotesi!$C$67</f>
        <v>2609.0625</v>
      </c>
      <c r="BN64" s="15" t="n">
        <f aca="false">INDEX(Ipotesi!$C$72:$G$72,1,F64)/12*Ipotesi!C126+BF64*Ipotesi!$C$73</f>
        <v>8838.29752448532</v>
      </c>
      <c r="BO64" s="15" t="n">
        <f aca="false">INDEX(Ipotesi!$C$74:$G$74,1,F64)/12*Ipotesi!C126</f>
        <v>5416.66666666667</v>
      </c>
      <c r="BP64" s="15" t="n">
        <f aca="false">INDEX(Ipotesi!$C$76:$G$76,1,F64)/12</f>
        <v>1916.66666666667</v>
      </c>
      <c r="BQ64" s="15" t="n">
        <f aca="false">INDEX(Ipotesi!$C$77:$G$77,1,F64)/12*Ipotesi!C126</f>
        <v>2500</v>
      </c>
      <c r="BR64" s="15" t="n">
        <f aca="false">INDEX(Ipotesi!$C$78:$G$78,1,F64)/12</f>
        <v>2333.33333333333</v>
      </c>
      <c r="BS64" s="15" t="n">
        <f aca="false">SUM(M64:R64)*(Ipotesi!$C$85+Ipotesi!$C$86)/12</f>
        <v>7437.5</v>
      </c>
      <c r="BT64" s="15" t="n">
        <f aca="false">BI64*Ipotesi!$C$87</f>
        <v>5127.76782168199</v>
      </c>
      <c r="BU64" s="15" t="n">
        <f aca="false">INDEX(Ipotesi!$C$55:$G$55,1,F64)*K64/12</f>
        <v>2000</v>
      </c>
      <c r="BV64" s="15" t="n">
        <f aca="false">INDEX(Ipotesi!$C$80:$G$80,1,F64)/12*Ipotesi!C126</f>
        <v>2083.33333333333</v>
      </c>
      <c r="BW64" s="15" t="n">
        <f aca="false">INDEX(Ipotesi!$C$82:$G$82,1,F64)/12</f>
        <v>1500</v>
      </c>
      <c r="BX64" s="15" t="n">
        <f aca="false">INDEX(Ipotesi!$C$83:$G$83,1,F64)/12</f>
        <v>833.333333333333</v>
      </c>
      <c r="BY64" s="15" t="n">
        <f aca="false">SUM(S64:U64)*(Ipotesi!$C$85+Ipotesi!$C$86)/12</f>
        <v>3208.33333333333</v>
      </c>
      <c r="BZ64" s="15" t="n">
        <f aca="false">AM64*Ipotesi!$C$87</f>
        <v>2609.0625</v>
      </c>
      <c r="CA64" s="15" t="n">
        <f aca="false">AB64+BJ64+BL64+BN64+BO64+AR64+BP64+BQ64+BR64+BS64+BT64</f>
        <v>197081.088572016</v>
      </c>
      <c r="CB64" s="15" t="n">
        <f aca="false">AC64+BK64+BM64+BH64+BU64+BV64+AS64+BW64+BX64+BY64+BZ64</f>
        <v>74987.1389275</v>
      </c>
      <c r="CC64" s="15" t="n">
        <f aca="false">BI64-CA64</f>
        <v>-26155.4945159495</v>
      </c>
      <c r="CD64" s="15" t="n">
        <f aca="false">AM64-CB64</f>
        <v>11981.6110725</v>
      </c>
      <c r="CE64" s="15" t="n">
        <f aca="false">INDEX(Ipotesi!$C$79:$G$79,1,F64)/12</f>
        <v>4166.66666666667</v>
      </c>
      <c r="CF64" s="15" t="n">
        <f aca="false">INDEX(Ipotesi!$C$84:$G$84,1,F64)/12</f>
        <v>666.666666666667</v>
      </c>
      <c r="CG64" s="15" t="n">
        <f aca="false">Y64*MAX(0,Parametri_v3!$C$12-IF(P64=0,0,MIN(1,BE64/(P64*Parametri_v3!$C$22))))+W64*Parametri_v3!$C$13+X64*Parametri_v3!$C$14</f>
        <v>35472.8560965967</v>
      </c>
      <c r="CH64" s="15" t="n">
        <f aca="false">AB64*Parametri_v3!$C$32</f>
        <v>5973.86641604167</v>
      </c>
      <c r="CI64" s="15" t="n">
        <f aca="false">AC64*Parametri_v3!$C$32</f>
        <v>2218.19027970833</v>
      </c>
      <c r="CJ64" s="15" t="n">
        <f aca="false">CA64-AB64</f>
        <v>77603.7602511827</v>
      </c>
      <c r="CK64" s="15" t="n">
        <f aca="false">CB64-AC64-BH64</f>
        <v>21926.4583333333</v>
      </c>
      <c r="CL64" s="15" t="n">
        <f aca="false">BF64*Ipotesi!$C$73+INDEX(Ipotesi!$C$72:$G$72,1,F64)/12*Ipotesi!C126*Parametri_v3!$C$58+Z64*(1-Parametri_v3!$C$16)</f>
        <v>16435.4819919853</v>
      </c>
      <c r="CM64" s="16" t="n">
        <f aca="false">IF(BF64=0,0,1-CL64/BF64)</f>
        <v>0.826728122465387</v>
      </c>
    </row>
    <row r="65" customFormat="false" ht="18" hidden="false" customHeight="true" outlineLevel="0" collapsed="false">
      <c r="A65" s="68" t="n">
        <f aca="false">2</f>
        <v>2</v>
      </c>
      <c r="B65" s="68" t="n">
        <f aca="false">1</f>
        <v>1</v>
      </c>
      <c r="C65" s="18" t="n">
        <f aca="false">EDATE(Parametri_v3!$C$5,1-1)</f>
        <v>46388</v>
      </c>
      <c r="D65" s="68" t="n">
        <f aca="false">YEAR(C65)</f>
        <v>2027</v>
      </c>
      <c r="E65" s="68" t="n">
        <f aca="false">MONTH(C65)</f>
        <v>1</v>
      </c>
      <c r="F65" s="68" t="n">
        <f aca="false">INT((1-1)/12)+1</f>
        <v>1</v>
      </c>
      <c r="G65" s="15" t="n">
        <f aca="false">Ipotesi!D7</f>
        <v>1</v>
      </c>
      <c r="H65" s="15" t="n">
        <f aca="false">Ipotesi!D9</f>
        <v>1</v>
      </c>
      <c r="I65" s="15" t="n">
        <f aca="false">Ipotesi!D10</f>
        <v>1</v>
      </c>
      <c r="J65" s="15" t="n">
        <f aca="false">Ipotesi!D11</f>
        <v>1</v>
      </c>
      <c r="K65" s="15" t="n">
        <f aca="false">Ipotesi!D12</f>
        <v>1</v>
      </c>
      <c r="L65" s="15" t="n">
        <f aca="false">Ipotesi!D13</f>
        <v>90</v>
      </c>
      <c r="M65" s="17" t="n">
        <f aca="false">INDEX(Ipotesi!$C$40:$G$40,1,F65)</f>
        <v>1</v>
      </c>
      <c r="N65" s="17" t="n">
        <f aca="false">INDEX(Ipotesi!$C$41:$G$41,1,F65)</f>
        <v>0.75</v>
      </c>
      <c r="O65" s="17" t="n">
        <f aca="false">INDEX(Ipotesi!$C$42:$G$42,1,F65)*Ipotesi!D125</f>
        <v>1</v>
      </c>
      <c r="P65" s="17" t="n">
        <f aca="false">INDEX(Ipotesi!$C$43:$G$43,1,F65)*I65</f>
        <v>1</v>
      </c>
      <c r="Q65" s="17" t="n">
        <f aca="false">INDEX(Ipotesi!$C$44:$G$44,1,F65)*I65</f>
        <v>0.5</v>
      </c>
      <c r="R65" s="17" t="n">
        <f aca="false">INDEX(Ipotesi!$C$45:$G$45,1,F65)*I65</f>
        <v>0</v>
      </c>
      <c r="S65" s="17" t="n">
        <f aca="false">INDEX(Ipotesi!$C$52:$G$52,1,F65)*Ipotesi!D125</f>
        <v>1.5</v>
      </c>
      <c r="T65" s="17" t="n">
        <f aca="false">INDEX(Ipotesi!$C$53:$G$53,1,F65)*I65</f>
        <v>0</v>
      </c>
      <c r="U65" s="17" t="n">
        <f aca="false">INDEX(Ipotesi!$C$54:$G$54,1,F65)*I65</f>
        <v>0</v>
      </c>
      <c r="V65" s="15" t="n">
        <f aca="false">M65*INDEX(Ipotesi!$C$58:$G$58,1,F65)*K65/12</f>
        <v>3333.33333333333</v>
      </c>
      <c r="W65" s="15" t="n">
        <f aca="false">N65*Ipotesi!$C$59*(1+Ipotesi!$C$66)^(F65-1)/12</f>
        <v>4375</v>
      </c>
      <c r="X65" s="15" t="n">
        <f aca="false">O65*Ipotesi!$C$60*(1+Ipotesi!$C$66)^(F65-1)/12</f>
        <v>4166.66666666667</v>
      </c>
      <c r="Y65" s="15" t="n">
        <f aca="false">P65*Ipotesi!$C$61*(1+Ipotesi!$C$66)^(F65-1)/12</f>
        <v>4166.66666666667</v>
      </c>
      <c r="Z65" s="15" t="n">
        <f aca="false">Q65*Ipotesi!$C$62*(1+Ipotesi!$C$66)^(F65-1)/12</f>
        <v>1875</v>
      </c>
      <c r="AA65" s="15" t="n">
        <f aca="false">R65*Ipotesi!$C$63*(1+Ipotesi!$C$66)^(F65-1)/12</f>
        <v>0</v>
      </c>
      <c r="AB65" s="15" t="n">
        <f aca="false">SUM(V65:AA65)</f>
        <v>17916.6666666667</v>
      </c>
      <c r="AC65" s="15" t="n">
        <f aca="false">(S65*Ipotesi!$C$64+T65*Ipotesi!$C$65+U65*Ipotesi!$C$63)*(1+Ipotesi!$C$66)^(F65-1)/12</f>
        <v>5250</v>
      </c>
      <c r="AD65" s="15" t="n">
        <f aca="false">INDEX(Ipotesi!$C$48:$G$48,1,F65)*G65/12</f>
        <v>16.6666666666667</v>
      </c>
      <c r="AE65" s="15" t="n">
        <f aca="false">INDEX(Ipotesi!$C$50:$G$50,1,F65)*G65/12</f>
        <v>2.08333333333333</v>
      </c>
      <c r="AF65" s="15" t="n">
        <f aca="false">(S65*Parametri_v3!$C$7*Parametri_v3!$C$8+Parametri_v3!$C$10)/12</f>
        <v>19.25</v>
      </c>
      <c r="AG65" s="15" t="n">
        <f aca="false">AD65+AE65*(1+Parametri_v3!$C$9)</f>
        <v>19.7916666666667</v>
      </c>
      <c r="AH65" s="16" t="n">
        <f aca="false">IF(AG65=0,1,MIN(1,AF65/AG65))</f>
        <v>0.972631578947368</v>
      </c>
      <c r="AI65" s="15" t="n">
        <f aca="false">AD65*AH65</f>
        <v>16.2105263157895</v>
      </c>
      <c r="AJ65" s="15" t="n">
        <f aca="false">AE65*AH65</f>
        <v>2.02631578947368</v>
      </c>
      <c r="AK65" s="15" t="n">
        <f aca="false">AI65*INDEX(Ipotesi!$C$49:$G$49,1,F65)*H65</f>
        <v>12157.8947368421</v>
      </c>
      <c r="AL65" s="15" t="n">
        <f aca="false">AJ65*INDEX(Ipotesi!$C$51:$G$51,1,F65)*H65</f>
        <v>4052.63157894737</v>
      </c>
      <c r="AM65" s="15" t="n">
        <f aca="false">AK65+AL65</f>
        <v>16210.5263157895</v>
      </c>
      <c r="AN65" s="15" t="n">
        <f aca="false">INDEX(Ipotesi!$C$30:$G$30,1,F65)*G65/12</f>
        <v>8.33333333333333</v>
      </c>
      <c r="AO65" s="15" t="n">
        <f aca="false">O65*Parametri_v3!$C$7*Parametri_v3!$C$11*(1-Parametri_v3!$C$14)/12</f>
        <v>10.2666666666667</v>
      </c>
      <c r="AP65" s="15" t="n">
        <f aca="false">MIN(AN65,AO65)</f>
        <v>8.33333333333333</v>
      </c>
      <c r="AQ65" s="15" t="n">
        <f aca="false">AP65*INDEX(Ipotesi!$C$31:$G$31,1,F65)*H65</f>
        <v>7500</v>
      </c>
      <c r="AR65" s="15" t="n">
        <f aca="false">INDEX(Ipotesi!$C$75:$G$75,1,F65)*J65/12</f>
        <v>2083.33333333333</v>
      </c>
      <c r="AS65" s="15" t="n">
        <f aca="false">INDEX(Ipotesi!$C$81:$G$81,1,F65)*J65/12</f>
        <v>416.666666666667</v>
      </c>
      <c r="AT65" s="15" t="n">
        <f aca="false">AR65*Parametri_v3!$C$15+Z65*Parametri_v3!$C$16</f>
        <v>3395.83333333333</v>
      </c>
      <c r="AU65" s="15" t="n">
        <f aca="false">Q65*Parametri_v3!$C$16*Parametri_v3!$C$17</f>
        <v>35</v>
      </c>
      <c r="AV65" s="17" t="n">
        <f aca="false">0</f>
        <v>0</v>
      </c>
      <c r="AW65" s="17" t="n">
        <f aca="false">AV65*(1-(1-INDEX(Ipotesi!$C$34:$G$34,1,F65))^(1/12))</f>
        <v>0</v>
      </c>
      <c r="AX65" s="15" t="n">
        <f aca="false">ROUND(INDEX(Ipotesi!$C$32:$G$32,1,F65)*Ipotesi!D8,0)</f>
        <v>5</v>
      </c>
      <c r="AY65" s="15" t="n">
        <f aca="false">MAX(0,(AX65-(AV65-AW65))/(13-E65))</f>
        <v>0.416666666666667</v>
      </c>
      <c r="AZ65" s="15" t="n">
        <f aca="false">MIN(P65*Parametri_v3!$C$22,Q65*(1-Parametri_v3!$C$16)*Parametri_v3!$C$23)</f>
        <v>22.5</v>
      </c>
      <c r="BA65" s="15" t="n">
        <f aca="false">IF(OR(INDEX(Ipotesi!$C$35:$G$35,1,F65)&lt;=0,1-Parametri_v3!$C$21&lt;1),0,INDEX($AT$65:$AT$124,MAX(1,1-Parametri_v3!$C$21))/(INDEX(Ipotesi!$C$35:$G$35,1,F65)*Ipotesi!D27))</f>
        <v>0</v>
      </c>
      <c r="BB65" s="15" t="n">
        <f aca="false">IF(1-Parametri_v3!$C$21&lt;1,0,INDEX($AU$65:$AU$124,MAX(1,1-Parametri_v3!$C$21)))*Parametri_v3!$C$18*Parametri_v3!$C$19*Parametri_v3!$C$20</f>
        <v>0</v>
      </c>
      <c r="BC65" s="17" t="n">
        <f aca="false">MAX(0,MIN(AY65,BA65,BB65,MAX(0,AZ65-(AV65-AW65))))</f>
        <v>0</v>
      </c>
      <c r="BD65" s="17" t="n">
        <f aca="false">AV65-AW65+BC65</f>
        <v>0</v>
      </c>
      <c r="BE65" s="17" t="n">
        <f aca="false">(AV65+BD65)/2</f>
        <v>0</v>
      </c>
      <c r="BF65" s="15" t="n">
        <f aca="false">BE65*INDEX(Ipotesi!$C$33:$G$33,1,F65)*H65/12</f>
        <v>0</v>
      </c>
      <c r="BG65" s="15" t="n">
        <f aca="false">BD65*INDEX(Ipotesi!$C$33:$G$33,1,F65)*H65</f>
        <v>0</v>
      </c>
      <c r="BH65" s="15" t="n">
        <f aca="false">AM65*INDEX(Ipotesi!$C$37:$G$37,1,F65)</f>
        <v>1621.05263157895</v>
      </c>
      <c r="BI65" s="15" t="n">
        <f aca="false">AQ65+BF65+BH65</f>
        <v>9121.05263157895</v>
      </c>
      <c r="BJ65" s="15" t="n">
        <f aca="false">INDEX(Ipotesi!$C$68:$G$68,1,F65)*Ipotesi!$C$69/12</f>
        <v>1000</v>
      </c>
      <c r="BK65" s="15" t="n">
        <f aca="false">INDEX(Ipotesi!$C$68:$G$68,1,F65)*(1-Ipotesi!$C$69)/12</f>
        <v>1500</v>
      </c>
      <c r="BL65" s="15" t="n">
        <f aca="false">(AQ65+BF65)*Ipotesi!$C$67</f>
        <v>225</v>
      </c>
      <c r="BM65" s="15" t="n">
        <f aca="false">AM65*Ipotesi!$C$67</f>
        <v>486.315789473684</v>
      </c>
      <c r="BN65" s="15" t="n">
        <f aca="false">INDEX(Ipotesi!$C$72:$G$72,1,F65)/12*Ipotesi!D126+BF65*Ipotesi!$C$73</f>
        <v>1250</v>
      </c>
      <c r="BO65" s="15" t="n">
        <f aca="false">INDEX(Ipotesi!$C$74:$G$74,1,F65)/12*Ipotesi!D126</f>
        <v>1000</v>
      </c>
      <c r="BP65" s="15" t="n">
        <f aca="false">INDEX(Ipotesi!$C$76:$G$76,1,F65)/12</f>
        <v>500</v>
      </c>
      <c r="BQ65" s="15" t="n">
        <f aca="false">INDEX(Ipotesi!$C$77:$G$77,1,F65)/12*Ipotesi!D126</f>
        <v>1250</v>
      </c>
      <c r="BR65" s="15" t="n">
        <f aca="false">INDEX(Ipotesi!$C$78:$G$78,1,F65)/12</f>
        <v>1000</v>
      </c>
      <c r="BS65" s="15" t="n">
        <f aca="false">SUM(M65:R65)*(Ipotesi!$C$85+Ipotesi!$C$86)/12</f>
        <v>1239.58333333333</v>
      </c>
      <c r="BT65" s="15" t="n">
        <f aca="false">BI65*Ipotesi!$C$87</f>
        <v>273.631578947368</v>
      </c>
      <c r="BU65" s="15" t="n">
        <f aca="false">INDEX(Ipotesi!$C$55:$G$55,1,F65)*K65/12</f>
        <v>500</v>
      </c>
      <c r="BV65" s="15" t="n">
        <f aca="false">INDEX(Ipotesi!$C$80:$G$80,1,F65)/12*Ipotesi!D126</f>
        <v>500</v>
      </c>
      <c r="BW65" s="15" t="n">
        <f aca="false">INDEX(Ipotesi!$C$82:$G$82,1,F65)/12</f>
        <v>416.666666666667</v>
      </c>
      <c r="BX65" s="15" t="n">
        <f aca="false">INDEX(Ipotesi!$C$83:$G$83,1,F65)/12</f>
        <v>500</v>
      </c>
      <c r="BY65" s="15" t="n">
        <f aca="false">SUM(S65:U65)*(Ipotesi!$C$85+Ipotesi!$C$86)/12</f>
        <v>437.5</v>
      </c>
      <c r="BZ65" s="15" t="n">
        <f aca="false">AM65*Ipotesi!$C$87</f>
        <v>486.315789473684</v>
      </c>
      <c r="CA65" s="15" t="n">
        <f aca="false">AB65+BJ65+BL65+BN65+BO65+AR65+BP65+BQ65+BR65+BS65+BT65</f>
        <v>27738.2149122807</v>
      </c>
      <c r="CB65" s="15" t="n">
        <f aca="false">AC65+BK65+BM65+BH65+BU65+BV65+AS65+BW65+BX65+BY65+BZ65</f>
        <v>12114.5175438596</v>
      </c>
      <c r="CC65" s="15" t="n">
        <f aca="false">BI65-CA65</f>
        <v>-18617.1622807018</v>
      </c>
      <c r="CD65" s="15" t="n">
        <f aca="false">AM65-CB65</f>
        <v>4096.00877192982</v>
      </c>
      <c r="CE65" s="15" t="n">
        <f aca="false">INDEX(Ipotesi!$C$79:$G$79,1,F65)/12</f>
        <v>1666.66666666667</v>
      </c>
      <c r="CF65" s="15" t="n">
        <f aca="false">INDEX(Ipotesi!$C$84:$G$84,1,F65)/12</f>
        <v>250</v>
      </c>
      <c r="CG65" s="15" t="n">
        <f aca="false">Y65*MAX(0,Parametri_v3!$C$12-IF(P65=0,0,MIN(1,BE65/(P65*Parametri_v3!$C$22))))+W65*Parametri_v3!$C$13+X65*Parametri_v3!$C$14</f>
        <v>7187.5</v>
      </c>
      <c r="CH65" s="15" t="n">
        <f aca="false">AB65*Parametri_v3!$C$32</f>
        <v>895.833333333334</v>
      </c>
      <c r="CI65" s="15" t="n">
        <f aca="false">AC65*Parametri_v3!$C$32</f>
        <v>262.5</v>
      </c>
      <c r="CJ65" s="15" t="n">
        <f aca="false">CA65-AB65</f>
        <v>9821.54824561403</v>
      </c>
      <c r="CK65" s="15" t="n">
        <f aca="false">CB65-AC65-BH65</f>
        <v>5243.4649122807</v>
      </c>
      <c r="CL65" s="15" t="n">
        <f aca="false">BF65*Ipotesi!$C$73+INDEX(Ipotesi!$C$72:$G$72,1,F65)/12*Ipotesi!D126*Parametri_v3!$C$58+Z65*(1-Parametri_v3!$C$16)</f>
        <v>1812.5</v>
      </c>
      <c r="CM65" s="16" t="n">
        <f aca="false">IF(BF65=0,0,1-CL65/BF65)</f>
        <v>0</v>
      </c>
    </row>
    <row r="66" customFormat="false" ht="18" hidden="false" customHeight="true" outlineLevel="0" collapsed="false">
      <c r="A66" s="68" t="n">
        <f aca="false">2</f>
        <v>2</v>
      </c>
      <c r="B66" s="68" t="n">
        <f aca="false">2</f>
        <v>2</v>
      </c>
      <c r="C66" s="18" t="n">
        <f aca="false">EDATE(Parametri_v3!$C$5,2-1)</f>
        <v>46419</v>
      </c>
      <c r="D66" s="68" t="n">
        <f aca="false">YEAR(C66)</f>
        <v>2027</v>
      </c>
      <c r="E66" s="68" t="n">
        <f aca="false">MONTH(C66)</f>
        <v>2</v>
      </c>
      <c r="F66" s="68" t="n">
        <f aca="false">INT((2-1)/12)+1</f>
        <v>1</v>
      </c>
      <c r="G66" s="15" t="n">
        <f aca="false">Ipotesi!D7</f>
        <v>1</v>
      </c>
      <c r="H66" s="15" t="n">
        <f aca="false">Ipotesi!D9</f>
        <v>1</v>
      </c>
      <c r="I66" s="15" t="n">
        <f aca="false">Ipotesi!D10</f>
        <v>1</v>
      </c>
      <c r="J66" s="15" t="n">
        <f aca="false">Ipotesi!D11</f>
        <v>1</v>
      </c>
      <c r="K66" s="15" t="n">
        <f aca="false">Ipotesi!D12</f>
        <v>1</v>
      </c>
      <c r="L66" s="15" t="n">
        <f aca="false">Ipotesi!D13</f>
        <v>90</v>
      </c>
      <c r="M66" s="17" t="n">
        <f aca="false">INDEX(Ipotesi!$C$40:$G$40,1,F66)</f>
        <v>1</v>
      </c>
      <c r="N66" s="17" t="n">
        <f aca="false">INDEX(Ipotesi!$C$41:$G$41,1,F66)</f>
        <v>0.75</v>
      </c>
      <c r="O66" s="17" t="n">
        <f aca="false">INDEX(Ipotesi!$C$42:$G$42,1,F66)*Ipotesi!D125</f>
        <v>1</v>
      </c>
      <c r="P66" s="17" t="n">
        <f aca="false">INDEX(Ipotesi!$C$43:$G$43,1,F66)*I66</f>
        <v>1</v>
      </c>
      <c r="Q66" s="17" t="n">
        <f aca="false">INDEX(Ipotesi!$C$44:$G$44,1,F66)*I66</f>
        <v>0.5</v>
      </c>
      <c r="R66" s="17" t="n">
        <f aca="false">INDEX(Ipotesi!$C$45:$G$45,1,F66)*I66</f>
        <v>0</v>
      </c>
      <c r="S66" s="17" t="n">
        <f aca="false">INDEX(Ipotesi!$C$52:$G$52,1,F66)*Ipotesi!D125</f>
        <v>1.5</v>
      </c>
      <c r="T66" s="17" t="n">
        <f aca="false">INDEX(Ipotesi!$C$53:$G$53,1,F66)*I66</f>
        <v>0</v>
      </c>
      <c r="U66" s="17" t="n">
        <f aca="false">INDEX(Ipotesi!$C$54:$G$54,1,F66)*I66</f>
        <v>0</v>
      </c>
      <c r="V66" s="15" t="n">
        <f aca="false">M66*INDEX(Ipotesi!$C$58:$G$58,1,F66)*K66/12</f>
        <v>3333.33333333333</v>
      </c>
      <c r="W66" s="15" t="n">
        <f aca="false">N66*Ipotesi!$C$59*(1+Ipotesi!$C$66)^(F66-1)/12</f>
        <v>4375</v>
      </c>
      <c r="X66" s="15" t="n">
        <f aca="false">O66*Ipotesi!$C$60*(1+Ipotesi!$C$66)^(F66-1)/12</f>
        <v>4166.66666666667</v>
      </c>
      <c r="Y66" s="15" t="n">
        <f aca="false">P66*Ipotesi!$C$61*(1+Ipotesi!$C$66)^(F66-1)/12</f>
        <v>4166.66666666667</v>
      </c>
      <c r="Z66" s="15" t="n">
        <f aca="false">Q66*Ipotesi!$C$62*(1+Ipotesi!$C$66)^(F66-1)/12</f>
        <v>1875</v>
      </c>
      <c r="AA66" s="15" t="n">
        <f aca="false">R66*Ipotesi!$C$63*(1+Ipotesi!$C$66)^(F66-1)/12</f>
        <v>0</v>
      </c>
      <c r="AB66" s="15" t="n">
        <f aca="false">SUM(V66:AA66)</f>
        <v>17916.6666666667</v>
      </c>
      <c r="AC66" s="15" t="n">
        <f aca="false">(S66*Ipotesi!$C$64+T66*Ipotesi!$C$65+U66*Ipotesi!$C$63)*(1+Ipotesi!$C$66)^(F66-1)/12</f>
        <v>5250</v>
      </c>
      <c r="AD66" s="15" t="n">
        <f aca="false">INDEX(Ipotesi!$C$48:$G$48,1,F66)*G66/12</f>
        <v>16.6666666666667</v>
      </c>
      <c r="AE66" s="15" t="n">
        <f aca="false">INDEX(Ipotesi!$C$50:$G$50,1,F66)*G66/12</f>
        <v>2.08333333333333</v>
      </c>
      <c r="AF66" s="15" t="n">
        <f aca="false">(S66*Parametri_v3!$C$7*Parametri_v3!$C$8+Parametri_v3!$C$10)/12</f>
        <v>19.25</v>
      </c>
      <c r="AG66" s="15" t="n">
        <f aca="false">AD66+AE66*(1+Parametri_v3!$C$9)</f>
        <v>19.7916666666667</v>
      </c>
      <c r="AH66" s="16" t="n">
        <f aca="false">IF(AG66=0,1,MIN(1,AF66/AG66))</f>
        <v>0.972631578947368</v>
      </c>
      <c r="AI66" s="15" t="n">
        <f aca="false">AD66*AH66</f>
        <v>16.2105263157895</v>
      </c>
      <c r="AJ66" s="15" t="n">
        <f aca="false">AE66*AH66</f>
        <v>2.02631578947368</v>
      </c>
      <c r="AK66" s="15" t="n">
        <f aca="false">AI66*INDEX(Ipotesi!$C$49:$G$49,1,F66)*H66</f>
        <v>12157.8947368421</v>
      </c>
      <c r="AL66" s="15" t="n">
        <f aca="false">AJ66*INDEX(Ipotesi!$C$51:$G$51,1,F66)*H66</f>
        <v>4052.63157894737</v>
      </c>
      <c r="AM66" s="15" t="n">
        <f aca="false">AK66+AL66</f>
        <v>16210.5263157895</v>
      </c>
      <c r="AN66" s="15" t="n">
        <f aca="false">INDEX(Ipotesi!$C$30:$G$30,1,F66)*G66/12</f>
        <v>8.33333333333333</v>
      </c>
      <c r="AO66" s="15" t="n">
        <f aca="false">O66*Parametri_v3!$C$7*Parametri_v3!$C$11*(1-Parametri_v3!$C$14)/12</f>
        <v>10.2666666666667</v>
      </c>
      <c r="AP66" s="15" t="n">
        <f aca="false">MIN(AN66,AO66)</f>
        <v>8.33333333333333</v>
      </c>
      <c r="AQ66" s="15" t="n">
        <f aca="false">AP66*INDEX(Ipotesi!$C$31:$G$31,1,F66)*H66</f>
        <v>7500</v>
      </c>
      <c r="AR66" s="15" t="n">
        <f aca="false">INDEX(Ipotesi!$C$75:$G$75,1,F66)*J66/12</f>
        <v>2083.33333333333</v>
      </c>
      <c r="AS66" s="15" t="n">
        <f aca="false">INDEX(Ipotesi!$C$81:$G$81,1,F66)*J66/12</f>
        <v>416.666666666667</v>
      </c>
      <c r="AT66" s="15" t="n">
        <f aca="false">AR66*Parametri_v3!$C$15+Z66*Parametri_v3!$C$16</f>
        <v>3395.83333333333</v>
      </c>
      <c r="AU66" s="15" t="n">
        <f aca="false">Q66*Parametri_v3!$C$16*Parametri_v3!$C$17</f>
        <v>35</v>
      </c>
      <c r="AV66" s="17" t="n">
        <f aca="false">BD65</f>
        <v>0</v>
      </c>
      <c r="AW66" s="17" t="n">
        <f aca="false">AV66*(1-(1-INDEX(Ipotesi!$C$34:$G$34,1,F66))^(1/12))</f>
        <v>0</v>
      </c>
      <c r="AX66" s="15" t="n">
        <f aca="false">ROUND(INDEX(Ipotesi!$C$32:$G$32,1,F66)*Ipotesi!D8,0)</f>
        <v>5</v>
      </c>
      <c r="AY66" s="15" t="n">
        <f aca="false">MAX(0,(AX66-(AV66-AW66))/(13-E66))</f>
        <v>0.454545454545455</v>
      </c>
      <c r="AZ66" s="15" t="n">
        <f aca="false">MIN(P66*Parametri_v3!$C$22,Q66*(1-Parametri_v3!$C$16)*Parametri_v3!$C$23)</f>
        <v>22.5</v>
      </c>
      <c r="BA66" s="15" t="n">
        <f aca="false">IF(OR(INDEX(Ipotesi!$C$35:$G$35,1,F66)&lt;=0,2-Parametri_v3!$C$21&lt;1),0,INDEX($AT$65:$AT$124,MAX(1,2-Parametri_v3!$C$21))/(INDEX(Ipotesi!$C$35:$G$35,1,F66)*Ipotesi!D27))</f>
        <v>0</v>
      </c>
      <c r="BB66" s="15" t="n">
        <f aca="false">IF(2-Parametri_v3!$C$21&lt;1,0,INDEX($AU$65:$AU$124,MAX(1,2-Parametri_v3!$C$21)))*Parametri_v3!$C$18*Parametri_v3!$C$19*Parametri_v3!$C$20</f>
        <v>0</v>
      </c>
      <c r="BC66" s="17" t="n">
        <f aca="false">MAX(0,MIN(AY66,BA66,BB66,MAX(0,AZ66-(AV66-AW66))))</f>
        <v>0</v>
      </c>
      <c r="BD66" s="17" t="n">
        <f aca="false">AV66-AW66+BC66</f>
        <v>0</v>
      </c>
      <c r="BE66" s="17" t="n">
        <f aca="false">(AV66+BD66)/2</f>
        <v>0</v>
      </c>
      <c r="BF66" s="15" t="n">
        <f aca="false">BE66*INDEX(Ipotesi!$C$33:$G$33,1,F66)*H66/12</f>
        <v>0</v>
      </c>
      <c r="BG66" s="15" t="n">
        <f aca="false">BD66*INDEX(Ipotesi!$C$33:$G$33,1,F66)*H66</f>
        <v>0</v>
      </c>
      <c r="BH66" s="15" t="n">
        <f aca="false">AM66*INDEX(Ipotesi!$C$37:$G$37,1,F66)</f>
        <v>1621.05263157895</v>
      </c>
      <c r="BI66" s="15" t="n">
        <f aca="false">AQ66+BF66+BH66</f>
        <v>9121.05263157895</v>
      </c>
      <c r="BJ66" s="15" t="n">
        <f aca="false">INDEX(Ipotesi!$C$68:$G$68,1,F66)*Ipotesi!$C$69/12</f>
        <v>1000</v>
      </c>
      <c r="BK66" s="15" t="n">
        <f aca="false">INDEX(Ipotesi!$C$68:$G$68,1,F66)*(1-Ipotesi!$C$69)/12</f>
        <v>1500</v>
      </c>
      <c r="BL66" s="15" t="n">
        <f aca="false">(AQ66+BF66)*Ipotesi!$C$67</f>
        <v>225</v>
      </c>
      <c r="BM66" s="15" t="n">
        <f aca="false">AM66*Ipotesi!$C$67</f>
        <v>486.315789473684</v>
      </c>
      <c r="BN66" s="15" t="n">
        <f aca="false">INDEX(Ipotesi!$C$72:$G$72,1,F66)/12*Ipotesi!D126+BF66*Ipotesi!$C$73</f>
        <v>1250</v>
      </c>
      <c r="BO66" s="15" t="n">
        <f aca="false">INDEX(Ipotesi!$C$74:$G$74,1,F66)/12*Ipotesi!D126</f>
        <v>1000</v>
      </c>
      <c r="BP66" s="15" t="n">
        <f aca="false">INDEX(Ipotesi!$C$76:$G$76,1,F66)/12</f>
        <v>500</v>
      </c>
      <c r="BQ66" s="15" t="n">
        <f aca="false">INDEX(Ipotesi!$C$77:$G$77,1,F66)/12*Ipotesi!D126</f>
        <v>1250</v>
      </c>
      <c r="BR66" s="15" t="n">
        <f aca="false">INDEX(Ipotesi!$C$78:$G$78,1,F66)/12</f>
        <v>1000</v>
      </c>
      <c r="BS66" s="15" t="n">
        <f aca="false">SUM(M66:R66)*(Ipotesi!$C$85+Ipotesi!$C$86)/12</f>
        <v>1239.58333333333</v>
      </c>
      <c r="BT66" s="15" t="n">
        <f aca="false">BI66*Ipotesi!$C$87</f>
        <v>273.631578947368</v>
      </c>
      <c r="BU66" s="15" t="n">
        <f aca="false">INDEX(Ipotesi!$C$55:$G$55,1,F66)*K66/12</f>
        <v>500</v>
      </c>
      <c r="BV66" s="15" t="n">
        <f aca="false">INDEX(Ipotesi!$C$80:$G$80,1,F66)/12*Ipotesi!D126</f>
        <v>500</v>
      </c>
      <c r="BW66" s="15" t="n">
        <f aca="false">INDEX(Ipotesi!$C$82:$G$82,1,F66)/12</f>
        <v>416.666666666667</v>
      </c>
      <c r="BX66" s="15" t="n">
        <f aca="false">INDEX(Ipotesi!$C$83:$G$83,1,F66)/12</f>
        <v>500</v>
      </c>
      <c r="BY66" s="15" t="n">
        <f aca="false">SUM(S66:U66)*(Ipotesi!$C$85+Ipotesi!$C$86)/12</f>
        <v>437.5</v>
      </c>
      <c r="BZ66" s="15" t="n">
        <f aca="false">AM66*Ipotesi!$C$87</f>
        <v>486.315789473684</v>
      </c>
      <c r="CA66" s="15" t="n">
        <f aca="false">AB66+BJ66+BL66+BN66+BO66+AR66+BP66+BQ66+BR66+BS66+BT66</f>
        <v>27738.2149122807</v>
      </c>
      <c r="CB66" s="15" t="n">
        <f aca="false">AC66+BK66+BM66+BH66+BU66+BV66+AS66+BW66+BX66+BY66+BZ66</f>
        <v>12114.5175438596</v>
      </c>
      <c r="CC66" s="15" t="n">
        <f aca="false">BI66-CA66</f>
        <v>-18617.1622807018</v>
      </c>
      <c r="CD66" s="15" t="n">
        <f aca="false">AM66-CB66</f>
        <v>4096.00877192982</v>
      </c>
      <c r="CE66" s="15" t="n">
        <f aca="false">INDEX(Ipotesi!$C$79:$G$79,1,F66)/12</f>
        <v>1666.66666666667</v>
      </c>
      <c r="CF66" s="15" t="n">
        <f aca="false">INDEX(Ipotesi!$C$84:$G$84,1,F66)/12</f>
        <v>250</v>
      </c>
      <c r="CG66" s="15" t="n">
        <f aca="false">Y66*MAX(0,Parametri_v3!$C$12-IF(P66=0,0,MIN(1,BE66/(P66*Parametri_v3!$C$22))))+W66*Parametri_v3!$C$13+X66*Parametri_v3!$C$14</f>
        <v>7187.5</v>
      </c>
      <c r="CH66" s="15" t="n">
        <f aca="false">AB66*Parametri_v3!$C$32</f>
        <v>895.833333333334</v>
      </c>
      <c r="CI66" s="15" t="n">
        <f aca="false">AC66*Parametri_v3!$C$32</f>
        <v>262.5</v>
      </c>
      <c r="CJ66" s="15" t="n">
        <f aca="false">CA66-AB66</f>
        <v>9821.54824561403</v>
      </c>
      <c r="CK66" s="15" t="n">
        <f aca="false">CB66-AC66-BH66</f>
        <v>5243.4649122807</v>
      </c>
      <c r="CL66" s="15" t="n">
        <f aca="false">BF66*Ipotesi!$C$73+INDEX(Ipotesi!$C$72:$G$72,1,F66)/12*Ipotesi!D126*Parametri_v3!$C$58+Z66*(1-Parametri_v3!$C$16)</f>
        <v>1812.5</v>
      </c>
      <c r="CM66" s="16" t="n">
        <f aca="false">IF(BF66=0,0,1-CL66/BF66)</f>
        <v>0</v>
      </c>
    </row>
    <row r="67" customFormat="false" ht="18" hidden="false" customHeight="true" outlineLevel="0" collapsed="false">
      <c r="A67" s="68" t="n">
        <f aca="false">2</f>
        <v>2</v>
      </c>
      <c r="B67" s="68" t="n">
        <f aca="false">3</f>
        <v>3</v>
      </c>
      <c r="C67" s="18" t="n">
        <f aca="false">EDATE(Parametri_v3!$C$5,3-1)</f>
        <v>46447</v>
      </c>
      <c r="D67" s="68" t="n">
        <f aca="false">YEAR(C67)</f>
        <v>2027</v>
      </c>
      <c r="E67" s="68" t="n">
        <f aca="false">MONTH(C67)</f>
        <v>3</v>
      </c>
      <c r="F67" s="68" t="n">
        <f aca="false">INT((3-1)/12)+1</f>
        <v>1</v>
      </c>
      <c r="G67" s="15" t="n">
        <f aca="false">Ipotesi!D7</f>
        <v>1</v>
      </c>
      <c r="H67" s="15" t="n">
        <f aca="false">Ipotesi!D9</f>
        <v>1</v>
      </c>
      <c r="I67" s="15" t="n">
        <f aca="false">Ipotesi!D10</f>
        <v>1</v>
      </c>
      <c r="J67" s="15" t="n">
        <f aca="false">Ipotesi!D11</f>
        <v>1</v>
      </c>
      <c r="K67" s="15" t="n">
        <f aca="false">Ipotesi!D12</f>
        <v>1</v>
      </c>
      <c r="L67" s="15" t="n">
        <f aca="false">Ipotesi!D13</f>
        <v>90</v>
      </c>
      <c r="M67" s="17" t="n">
        <f aca="false">INDEX(Ipotesi!$C$40:$G$40,1,F67)</f>
        <v>1</v>
      </c>
      <c r="N67" s="17" t="n">
        <f aca="false">INDEX(Ipotesi!$C$41:$G$41,1,F67)</f>
        <v>0.75</v>
      </c>
      <c r="O67" s="17" t="n">
        <f aca="false">INDEX(Ipotesi!$C$42:$G$42,1,F67)*Ipotesi!D125</f>
        <v>1</v>
      </c>
      <c r="P67" s="17" t="n">
        <f aca="false">INDEX(Ipotesi!$C$43:$G$43,1,F67)*I67</f>
        <v>1</v>
      </c>
      <c r="Q67" s="17" t="n">
        <f aca="false">INDEX(Ipotesi!$C$44:$G$44,1,F67)*I67</f>
        <v>0.5</v>
      </c>
      <c r="R67" s="17" t="n">
        <f aca="false">INDEX(Ipotesi!$C$45:$G$45,1,F67)*I67</f>
        <v>0</v>
      </c>
      <c r="S67" s="17" t="n">
        <f aca="false">INDEX(Ipotesi!$C$52:$G$52,1,F67)*Ipotesi!D125</f>
        <v>1.5</v>
      </c>
      <c r="T67" s="17" t="n">
        <f aca="false">INDEX(Ipotesi!$C$53:$G$53,1,F67)*I67</f>
        <v>0</v>
      </c>
      <c r="U67" s="17" t="n">
        <f aca="false">INDEX(Ipotesi!$C$54:$G$54,1,F67)*I67</f>
        <v>0</v>
      </c>
      <c r="V67" s="15" t="n">
        <f aca="false">M67*INDEX(Ipotesi!$C$58:$G$58,1,F67)*K67/12</f>
        <v>3333.33333333333</v>
      </c>
      <c r="W67" s="15" t="n">
        <f aca="false">N67*Ipotesi!$C$59*(1+Ipotesi!$C$66)^(F67-1)/12</f>
        <v>4375</v>
      </c>
      <c r="X67" s="15" t="n">
        <f aca="false">O67*Ipotesi!$C$60*(1+Ipotesi!$C$66)^(F67-1)/12</f>
        <v>4166.66666666667</v>
      </c>
      <c r="Y67" s="15" t="n">
        <f aca="false">P67*Ipotesi!$C$61*(1+Ipotesi!$C$66)^(F67-1)/12</f>
        <v>4166.66666666667</v>
      </c>
      <c r="Z67" s="15" t="n">
        <f aca="false">Q67*Ipotesi!$C$62*(1+Ipotesi!$C$66)^(F67-1)/12</f>
        <v>1875</v>
      </c>
      <c r="AA67" s="15" t="n">
        <f aca="false">R67*Ipotesi!$C$63*(1+Ipotesi!$C$66)^(F67-1)/12</f>
        <v>0</v>
      </c>
      <c r="AB67" s="15" t="n">
        <f aca="false">SUM(V67:AA67)</f>
        <v>17916.6666666667</v>
      </c>
      <c r="AC67" s="15" t="n">
        <f aca="false">(S67*Ipotesi!$C$64+T67*Ipotesi!$C$65+U67*Ipotesi!$C$63)*(1+Ipotesi!$C$66)^(F67-1)/12</f>
        <v>5250</v>
      </c>
      <c r="AD67" s="15" t="n">
        <f aca="false">INDEX(Ipotesi!$C$48:$G$48,1,F67)*G67/12</f>
        <v>16.6666666666667</v>
      </c>
      <c r="AE67" s="15" t="n">
        <f aca="false">INDEX(Ipotesi!$C$50:$G$50,1,F67)*G67/12</f>
        <v>2.08333333333333</v>
      </c>
      <c r="AF67" s="15" t="n">
        <f aca="false">(S67*Parametri_v3!$C$7*Parametri_v3!$C$8+Parametri_v3!$C$10)/12</f>
        <v>19.25</v>
      </c>
      <c r="AG67" s="15" t="n">
        <f aca="false">AD67+AE67*(1+Parametri_v3!$C$9)</f>
        <v>19.7916666666667</v>
      </c>
      <c r="AH67" s="16" t="n">
        <f aca="false">IF(AG67=0,1,MIN(1,AF67/AG67))</f>
        <v>0.972631578947368</v>
      </c>
      <c r="AI67" s="15" t="n">
        <f aca="false">AD67*AH67</f>
        <v>16.2105263157895</v>
      </c>
      <c r="AJ67" s="15" t="n">
        <f aca="false">AE67*AH67</f>
        <v>2.02631578947368</v>
      </c>
      <c r="AK67" s="15" t="n">
        <f aca="false">AI67*INDEX(Ipotesi!$C$49:$G$49,1,F67)*H67</f>
        <v>12157.8947368421</v>
      </c>
      <c r="AL67" s="15" t="n">
        <f aca="false">AJ67*INDEX(Ipotesi!$C$51:$G$51,1,F67)*H67</f>
        <v>4052.63157894737</v>
      </c>
      <c r="AM67" s="15" t="n">
        <f aca="false">AK67+AL67</f>
        <v>16210.5263157895</v>
      </c>
      <c r="AN67" s="15" t="n">
        <f aca="false">INDEX(Ipotesi!$C$30:$G$30,1,F67)*G67/12</f>
        <v>8.33333333333333</v>
      </c>
      <c r="AO67" s="15" t="n">
        <f aca="false">O67*Parametri_v3!$C$7*Parametri_v3!$C$11*(1-Parametri_v3!$C$14)/12</f>
        <v>10.2666666666667</v>
      </c>
      <c r="AP67" s="15" t="n">
        <f aca="false">MIN(AN67,AO67)</f>
        <v>8.33333333333333</v>
      </c>
      <c r="AQ67" s="15" t="n">
        <f aca="false">AP67*INDEX(Ipotesi!$C$31:$G$31,1,F67)*H67</f>
        <v>7500</v>
      </c>
      <c r="AR67" s="15" t="n">
        <f aca="false">INDEX(Ipotesi!$C$75:$G$75,1,F67)*J67/12</f>
        <v>2083.33333333333</v>
      </c>
      <c r="AS67" s="15" t="n">
        <f aca="false">INDEX(Ipotesi!$C$81:$G$81,1,F67)*J67/12</f>
        <v>416.666666666667</v>
      </c>
      <c r="AT67" s="15" t="n">
        <f aca="false">AR67*Parametri_v3!$C$15+Z67*Parametri_v3!$C$16</f>
        <v>3395.83333333333</v>
      </c>
      <c r="AU67" s="15" t="n">
        <f aca="false">Q67*Parametri_v3!$C$16*Parametri_v3!$C$17</f>
        <v>35</v>
      </c>
      <c r="AV67" s="17" t="n">
        <f aca="false">BD66</f>
        <v>0</v>
      </c>
      <c r="AW67" s="17" t="n">
        <f aca="false">AV67*(1-(1-INDEX(Ipotesi!$C$34:$G$34,1,F67))^(1/12))</f>
        <v>0</v>
      </c>
      <c r="AX67" s="15" t="n">
        <f aca="false">ROUND(INDEX(Ipotesi!$C$32:$G$32,1,F67)*Ipotesi!D8,0)</f>
        <v>5</v>
      </c>
      <c r="AY67" s="15" t="n">
        <f aca="false">MAX(0,(AX67-(AV67-AW67))/(13-E67))</f>
        <v>0.5</v>
      </c>
      <c r="AZ67" s="15" t="n">
        <f aca="false">MIN(P67*Parametri_v3!$C$22,Q67*(1-Parametri_v3!$C$16)*Parametri_v3!$C$23)</f>
        <v>22.5</v>
      </c>
      <c r="BA67" s="15" t="n">
        <f aca="false">IF(OR(INDEX(Ipotesi!$C$35:$G$35,1,F67)&lt;=0,3-Parametri_v3!$C$21&lt;1),0,INDEX($AT$65:$AT$124,MAX(1,3-Parametri_v3!$C$21))/(INDEX(Ipotesi!$C$35:$G$35,1,F67)*Ipotesi!D27))</f>
        <v>0</v>
      </c>
      <c r="BB67" s="15" t="n">
        <f aca="false">IF(3-Parametri_v3!$C$21&lt;1,0,INDEX($AU$65:$AU$124,MAX(1,3-Parametri_v3!$C$21)))*Parametri_v3!$C$18*Parametri_v3!$C$19*Parametri_v3!$C$20</f>
        <v>0</v>
      </c>
      <c r="BC67" s="17" t="n">
        <f aca="false">MAX(0,MIN(AY67,BA67,BB67,MAX(0,AZ67-(AV67-AW67))))</f>
        <v>0</v>
      </c>
      <c r="BD67" s="17" t="n">
        <f aca="false">AV67-AW67+BC67</f>
        <v>0</v>
      </c>
      <c r="BE67" s="17" t="n">
        <f aca="false">(AV67+BD67)/2</f>
        <v>0</v>
      </c>
      <c r="BF67" s="15" t="n">
        <f aca="false">BE67*INDEX(Ipotesi!$C$33:$G$33,1,F67)*H67/12</f>
        <v>0</v>
      </c>
      <c r="BG67" s="15" t="n">
        <f aca="false">BD67*INDEX(Ipotesi!$C$33:$G$33,1,F67)*H67</f>
        <v>0</v>
      </c>
      <c r="BH67" s="15" t="n">
        <f aca="false">AM67*INDEX(Ipotesi!$C$37:$G$37,1,F67)</f>
        <v>1621.05263157895</v>
      </c>
      <c r="BI67" s="15" t="n">
        <f aca="false">AQ67+BF67+BH67</f>
        <v>9121.05263157895</v>
      </c>
      <c r="BJ67" s="15" t="n">
        <f aca="false">INDEX(Ipotesi!$C$68:$G$68,1,F67)*Ipotesi!$C$69/12</f>
        <v>1000</v>
      </c>
      <c r="BK67" s="15" t="n">
        <f aca="false">INDEX(Ipotesi!$C$68:$G$68,1,F67)*(1-Ipotesi!$C$69)/12</f>
        <v>1500</v>
      </c>
      <c r="BL67" s="15" t="n">
        <f aca="false">(AQ67+BF67)*Ipotesi!$C$67</f>
        <v>225</v>
      </c>
      <c r="BM67" s="15" t="n">
        <f aca="false">AM67*Ipotesi!$C$67</f>
        <v>486.315789473684</v>
      </c>
      <c r="BN67" s="15" t="n">
        <f aca="false">INDEX(Ipotesi!$C$72:$G$72,1,F67)/12*Ipotesi!D126+BF67*Ipotesi!$C$73</f>
        <v>1250</v>
      </c>
      <c r="BO67" s="15" t="n">
        <f aca="false">INDEX(Ipotesi!$C$74:$G$74,1,F67)/12*Ipotesi!D126</f>
        <v>1000</v>
      </c>
      <c r="BP67" s="15" t="n">
        <f aca="false">INDEX(Ipotesi!$C$76:$G$76,1,F67)/12</f>
        <v>500</v>
      </c>
      <c r="BQ67" s="15" t="n">
        <f aca="false">INDEX(Ipotesi!$C$77:$G$77,1,F67)/12*Ipotesi!D126</f>
        <v>1250</v>
      </c>
      <c r="BR67" s="15" t="n">
        <f aca="false">INDEX(Ipotesi!$C$78:$G$78,1,F67)/12</f>
        <v>1000</v>
      </c>
      <c r="BS67" s="15" t="n">
        <f aca="false">SUM(M67:R67)*(Ipotesi!$C$85+Ipotesi!$C$86)/12</f>
        <v>1239.58333333333</v>
      </c>
      <c r="BT67" s="15" t="n">
        <f aca="false">BI67*Ipotesi!$C$87</f>
        <v>273.631578947368</v>
      </c>
      <c r="BU67" s="15" t="n">
        <f aca="false">INDEX(Ipotesi!$C$55:$G$55,1,F67)*K67/12</f>
        <v>500</v>
      </c>
      <c r="BV67" s="15" t="n">
        <f aca="false">INDEX(Ipotesi!$C$80:$G$80,1,F67)/12*Ipotesi!D126</f>
        <v>500</v>
      </c>
      <c r="BW67" s="15" t="n">
        <f aca="false">INDEX(Ipotesi!$C$82:$G$82,1,F67)/12</f>
        <v>416.666666666667</v>
      </c>
      <c r="BX67" s="15" t="n">
        <f aca="false">INDEX(Ipotesi!$C$83:$G$83,1,F67)/12</f>
        <v>500</v>
      </c>
      <c r="BY67" s="15" t="n">
        <f aca="false">SUM(S67:U67)*(Ipotesi!$C$85+Ipotesi!$C$86)/12</f>
        <v>437.5</v>
      </c>
      <c r="BZ67" s="15" t="n">
        <f aca="false">AM67*Ipotesi!$C$87</f>
        <v>486.315789473684</v>
      </c>
      <c r="CA67" s="15" t="n">
        <f aca="false">AB67+BJ67+BL67+BN67+BO67+AR67+BP67+BQ67+BR67+BS67+BT67</f>
        <v>27738.2149122807</v>
      </c>
      <c r="CB67" s="15" t="n">
        <f aca="false">AC67+BK67+BM67+BH67+BU67+BV67+AS67+BW67+BX67+BY67+BZ67</f>
        <v>12114.5175438596</v>
      </c>
      <c r="CC67" s="15" t="n">
        <f aca="false">BI67-CA67</f>
        <v>-18617.1622807018</v>
      </c>
      <c r="CD67" s="15" t="n">
        <f aca="false">AM67-CB67</f>
        <v>4096.00877192982</v>
      </c>
      <c r="CE67" s="15" t="n">
        <f aca="false">INDEX(Ipotesi!$C$79:$G$79,1,F67)/12</f>
        <v>1666.66666666667</v>
      </c>
      <c r="CF67" s="15" t="n">
        <f aca="false">INDEX(Ipotesi!$C$84:$G$84,1,F67)/12</f>
        <v>250</v>
      </c>
      <c r="CG67" s="15" t="n">
        <f aca="false">Y67*MAX(0,Parametri_v3!$C$12-IF(P67=0,0,MIN(1,BE67/(P67*Parametri_v3!$C$22))))+W67*Parametri_v3!$C$13+X67*Parametri_v3!$C$14</f>
        <v>7187.5</v>
      </c>
      <c r="CH67" s="15" t="n">
        <f aca="false">AB67*Parametri_v3!$C$32</f>
        <v>895.833333333334</v>
      </c>
      <c r="CI67" s="15" t="n">
        <f aca="false">AC67*Parametri_v3!$C$32</f>
        <v>262.5</v>
      </c>
      <c r="CJ67" s="15" t="n">
        <f aca="false">CA67-AB67</f>
        <v>9821.54824561403</v>
      </c>
      <c r="CK67" s="15" t="n">
        <f aca="false">CB67-AC67-BH67</f>
        <v>5243.4649122807</v>
      </c>
      <c r="CL67" s="15" t="n">
        <f aca="false">BF67*Ipotesi!$C$73+INDEX(Ipotesi!$C$72:$G$72,1,F67)/12*Ipotesi!D126*Parametri_v3!$C$58+Z67*(1-Parametri_v3!$C$16)</f>
        <v>1812.5</v>
      </c>
      <c r="CM67" s="16" t="n">
        <f aca="false">IF(BF67=0,0,1-CL67/BF67)</f>
        <v>0</v>
      </c>
    </row>
    <row r="68" customFormat="false" ht="18" hidden="false" customHeight="true" outlineLevel="0" collapsed="false">
      <c r="A68" s="68" t="n">
        <f aca="false">2</f>
        <v>2</v>
      </c>
      <c r="B68" s="68" t="n">
        <f aca="false">4</f>
        <v>4</v>
      </c>
      <c r="C68" s="18" t="n">
        <f aca="false">EDATE(Parametri_v3!$C$5,4-1)</f>
        <v>46478</v>
      </c>
      <c r="D68" s="68" t="n">
        <f aca="false">YEAR(C68)</f>
        <v>2027</v>
      </c>
      <c r="E68" s="68" t="n">
        <f aca="false">MONTH(C68)</f>
        <v>4</v>
      </c>
      <c r="F68" s="68" t="n">
        <f aca="false">INT((4-1)/12)+1</f>
        <v>1</v>
      </c>
      <c r="G68" s="15" t="n">
        <f aca="false">Ipotesi!D7</f>
        <v>1</v>
      </c>
      <c r="H68" s="15" t="n">
        <f aca="false">Ipotesi!D9</f>
        <v>1</v>
      </c>
      <c r="I68" s="15" t="n">
        <f aca="false">Ipotesi!D10</f>
        <v>1</v>
      </c>
      <c r="J68" s="15" t="n">
        <f aca="false">Ipotesi!D11</f>
        <v>1</v>
      </c>
      <c r="K68" s="15" t="n">
        <f aca="false">Ipotesi!D12</f>
        <v>1</v>
      </c>
      <c r="L68" s="15" t="n">
        <f aca="false">Ipotesi!D13</f>
        <v>90</v>
      </c>
      <c r="M68" s="17" t="n">
        <f aca="false">INDEX(Ipotesi!$C$40:$G$40,1,F68)</f>
        <v>1</v>
      </c>
      <c r="N68" s="17" t="n">
        <f aca="false">INDEX(Ipotesi!$C$41:$G$41,1,F68)</f>
        <v>0.75</v>
      </c>
      <c r="O68" s="17" t="n">
        <f aca="false">INDEX(Ipotesi!$C$42:$G$42,1,F68)*Ipotesi!D125</f>
        <v>1</v>
      </c>
      <c r="P68" s="17" t="n">
        <f aca="false">INDEX(Ipotesi!$C$43:$G$43,1,F68)*I68</f>
        <v>1</v>
      </c>
      <c r="Q68" s="17" t="n">
        <f aca="false">INDEX(Ipotesi!$C$44:$G$44,1,F68)*I68</f>
        <v>0.5</v>
      </c>
      <c r="R68" s="17" t="n">
        <f aca="false">INDEX(Ipotesi!$C$45:$G$45,1,F68)*I68</f>
        <v>0</v>
      </c>
      <c r="S68" s="17" t="n">
        <f aca="false">INDEX(Ipotesi!$C$52:$G$52,1,F68)*Ipotesi!D125</f>
        <v>1.5</v>
      </c>
      <c r="T68" s="17" t="n">
        <f aca="false">INDEX(Ipotesi!$C$53:$G$53,1,F68)*I68</f>
        <v>0</v>
      </c>
      <c r="U68" s="17" t="n">
        <f aca="false">INDEX(Ipotesi!$C$54:$G$54,1,F68)*I68</f>
        <v>0</v>
      </c>
      <c r="V68" s="15" t="n">
        <f aca="false">M68*INDEX(Ipotesi!$C$58:$G$58,1,F68)*K68/12</f>
        <v>3333.33333333333</v>
      </c>
      <c r="W68" s="15" t="n">
        <f aca="false">N68*Ipotesi!$C$59*(1+Ipotesi!$C$66)^(F68-1)/12</f>
        <v>4375</v>
      </c>
      <c r="X68" s="15" t="n">
        <f aca="false">O68*Ipotesi!$C$60*(1+Ipotesi!$C$66)^(F68-1)/12</f>
        <v>4166.66666666667</v>
      </c>
      <c r="Y68" s="15" t="n">
        <f aca="false">P68*Ipotesi!$C$61*(1+Ipotesi!$C$66)^(F68-1)/12</f>
        <v>4166.66666666667</v>
      </c>
      <c r="Z68" s="15" t="n">
        <f aca="false">Q68*Ipotesi!$C$62*(1+Ipotesi!$C$66)^(F68-1)/12</f>
        <v>1875</v>
      </c>
      <c r="AA68" s="15" t="n">
        <f aca="false">R68*Ipotesi!$C$63*(1+Ipotesi!$C$66)^(F68-1)/12</f>
        <v>0</v>
      </c>
      <c r="AB68" s="15" t="n">
        <f aca="false">SUM(V68:AA68)</f>
        <v>17916.6666666667</v>
      </c>
      <c r="AC68" s="15" t="n">
        <f aca="false">(S68*Ipotesi!$C$64+T68*Ipotesi!$C$65+U68*Ipotesi!$C$63)*(1+Ipotesi!$C$66)^(F68-1)/12</f>
        <v>5250</v>
      </c>
      <c r="AD68" s="15" t="n">
        <f aca="false">INDEX(Ipotesi!$C$48:$G$48,1,F68)*G68/12</f>
        <v>16.6666666666667</v>
      </c>
      <c r="AE68" s="15" t="n">
        <f aca="false">INDEX(Ipotesi!$C$50:$G$50,1,F68)*G68/12</f>
        <v>2.08333333333333</v>
      </c>
      <c r="AF68" s="15" t="n">
        <f aca="false">(S68*Parametri_v3!$C$7*Parametri_v3!$C$8+Parametri_v3!$C$10)/12</f>
        <v>19.25</v>
      </c>
      <c r="AG68" s="15" t="n">
        <f aca="false">AD68+AE68*(1+Parametri_v3!$C$9)</f>
        <v>19.7916666666667</v>
      </c>
      <c r="AH68" s="16" t="n">
        <f aca="false">IF(AG68=0,1,MIN(1,AF68/AG68))</f>
        <v>0.972631578947368</v>
      </c>
      <c r="AI68" s="15" t="n">
        <f aca="false">AD68*AH68</f>
        <v>16.2105263157895</v>
      </c>
      <c r="AJ68" s="15" t="n">
        <f aca="false">AE68*AH68</f>
        <v>2.02631578947368</v>
      </c>
      <c r="AK68" s="15" t="n">
        <f aca="false">AI68*INDEX(Ipotesi!$C$49:$G$49,1,F68)*H68</f>
        <v>12157.8947368421</v>
      </c>
      <c r="AL68" s="15" t="n">
        <f aca="false">AJ68*INDEX(Ipotesi!$C$51:$G$51,1,F68)*H68</f>
        <v>4052.63157894737</v>
      </c>
      <c r="AM68" s="15" t="n">
        <f aca="false">AK68+AL68</f>
        <v>16210.5263157895</v>
      </c>
      <c r="AN68" s="15" t="n">
        <f aca="false">INDEX(Ipotesi!$C$30:$G$30,1,F68)*G68/12</f>
        <v>8.33333333333333</v>
      </c>
      <c r="AO68" s="15" t="n">
        <f aca="false">O68*Parametri_v3!$C$7*Parametri_v3!$C$11*(1-Parametri_v3!$C$14)/12</f>
        <v>10.2666666666667</v>
      </c>
      <c r="AP68" s="15" t="n">
        <f aca="false">MIN(AN68,AO68)</f>
        <v>8.33333333333333</v>
      </c>
      <c r="AQ68" s="15" t="n">
        <f aca="false">AP68*INDEX(Ipotesi!$C$31:$G$31,1,F68)*H68</f>
        <v>7500</v>
      </c>
      <c r="AR68" s="15" t="n">
        <f aca="false">INDEX(Ipotesi!$C$75:$G$75,1,F68)*J68/12</f>
        <v>2083.33333333333</v>
      </c>
      <c r="AS68" s="15" t="n">
        <f aca="false">INDEX(Ipotesi!$C$81:$G$81,1,F68)*J68/12</f>
        <v>416.666666666667</v>
      </c>
      <c r="AT68" s="15" t="n">
        <f aca="false">AR68*Parametri_v3!$C$15+Z68*Parametri_v3!$C$16</f>
        <v>3395.83333333333</v>
      </c>
      <c r="AU68" s="15" t="n">
        <f aca="false">Q68*Parametri_v3!$C$16*Parametri_v3!$C$17</f>
        <v>35</v>
      </c>
      <c r="AV68" s="17" t="n">
        <f aca="false">BD67</f>
        <v>0</v>
      </c>
      <c r="AW68" s="17" t="n">
        <f aca="false">AV68*(1-(1-INDEX(Ipotesi!$C$34:$G$34,1,F68))^(1/12))</f>
        <v>0</v>
      </c>
      <c r="AX68" s="15" t="n">
        <f aca="false">ROUND(INDEX(Ipotesi!$C$32:$G$32,1,F68)*Ipotesi!D8,0)</f>
        <v>5</v>
      </c>
      <c r="AY68" s="15" t="n">
        <f aca="false">MAX(0,(AX68-(AV68-AW68))/(13-E68))</f>
        <v>0.555555555555556</v>
      </c>
      <c r="AZ68" s="15" t="n">
        <f aca="false">MIN(P68*Parametri_v3!$C$22,Q68*(1-Parametri_v3!$C$16)*Parametri_v3!$C$23)</f>
        <v>22.5</v>
      </c>
      <c r="BA68" s="15" t="n">
        <f aca="false">IF(OR(INDEX(Ipotesi!$C$35:$G$35,1,F68)&lt;=0,4-Parametri_v3!$C$21&lt;1),0,INDEX($AT$65:$AT$124,MAX(1,4-Parametri_v3!$C$21))/(INDEX(Ipotesi!$C$35:$G$35,1,F68)*Ipotesi!D27))</f>
        <v>0.679166666666667</v>
      </c>
      <c r="BB68" s="15" t="n">
        <f aca="false">IF(4-Parametri_v3!$C$21&lt;1,0,INDEX($AU$65:$AU$124,MAX(1,4-Parametri_v3!$C$21)))*Parametri_v3!$C$18*Parametri_v3!$C$19*Parametri_v3!$C$20</f>
        <v>1.3125</v>
      </c>
      <c r="BC68" s="17" t="n">
        <f aca="false">MAX(0,MIN(AY68,BA68,BB68,MAX(0,AZ68-(AV68-AW68))))</f>
        <v>0.555555555555556</v>
      </c>
      <c r="BD68" s="17" t="n">
        <f aca="false">AV68-AW68+BC68</f>
        <v>0.555555555555556</v>
      </c>
      <c r="BE68" s="17" t="n">
        <f aca="false">(AV68+BD68)/2</f>
        <v>0.277777777777778</v>
      </c>
      <c r="BF68" s="15" t="n">
        <f aca="false">BE68*INDEX(Ipotesi!$C$33:$G$33,1,F68)*H68/12</f>
        <v>46.2962962962963</v>
      </c>
      <c r="BG68" s="15" t="n">
        <f aca="false">BD68*INDEX(Ipotesi!$C$33:$G$33,1,F68)*H68</f>
        <v>1111.11111111111</v>
      </c>
      <c r="BH68" s="15" t="n">
        <f aca="false">AM68*INDEX(Ipotesi!$C$37:$G$37,1,F68)</f>
        <v>1621.05263157895</v>
      </c>
      <c r="BI68" s="15" t="n">
        <f aca="false">AQ68+BF68+BH68</f>
        <v>9167.34892787525</v>
      </c>
      <c r="BJ68" s="15" t="n">
        <f aca="false">INDEX(Ipotesi!$C$68:$G$68,1,F68)*Ipotesi!$C$69/12</f>
        <v>1000</v>
      </c>
      <c r="BK68" s="15" t="n">
        <f aca="false">INDEX(Ipotesi!$C$68:$G$68,1,F68)*(1-Ipotesi!$C$69)/12</f>
        <v>1500</v>
      </c>
      <c r="BL68" s="15" t="n">
        <f aca="false">(AQ68+BF68)*Ipotesi!$C$67</f>
        <v>226.388888888889</v>
      </c>
      <c r="BM68" s="15" t="n">
        <f aca="false">AM68*Ipotesi!$C$67</f>
        <v>486.315789473684</v>
      </c>
      <c r="BN68" s="15" t="n">
        <f aca="false">INDEX(Ipotesi!$C$72:$G$72,1,F68)/12*Ipotesi!D126+BF68*Ipotesi!$C$73</f>
        <v>1253.7037037037</v>
      </c>
      <c r="BO68" s="15" t="n">
        <f aca="false">INDEX(Ipotesi!$C$74:$G$74,1,F68)/12*Ipotesi!D126</f>
        <v>1000</v>
      </c>
      <c r="BP68" s="15" t="n">
        <f aca="false">INDEX(Ipotesi!$C$76:$G$76,1,F68)/12</f>
        <v>500</v>
      </c>
      <c r="BQ68" s="15" t="n">
        <f aca="false">INDEX(Ipotesi!$C$77:$G$77,1,F68)/12*Ipotesi!D126</f>
        <v>1250</v>
      </c>
      <c r="BR68" s="15" t="n">
        <f aca="false">INDEX(Ipotesi!$C$78:$G$78,1,F68)/12</f>
        <v>1000</v>
      </c>
      <c r="BS68" s="15" t="n">
        <f aca="false">SUM(M68:R68)*(Ipotesi!$C$85+Ipotesi!$C$86)/12</f>
        <v>1239.58333333333</v>
      </c>
      <c r="BT68" s="15" t="n">
        <f aca="false">BI68*Ipotesi!$C$87</f>
        <v>275.020467836257</v>
      </c>
      <c r="BU68" s="15" t="n">
        <f aca="false">INDEX(Ipotesi!$C$55:$G$55,1,F68)*K68/12</f>
        <v>500</v>
      </c>
      <c r="BV68" s="15" t="n">
        <f aca="false">INDEX(Ipotesi!$C$80:$G$80,1,F68)/12*Ipotesi!D126</f>
        <v>500</v>
      </c>
      <c r="BW68" s="15" t="n">
        <f aca="false">INDEX(Ipotesi!$C$82:$G$82,1,F68)/12</f>
        <v>416.666666666667</v>
      </c>
      <c r="BX68" s="15" t="n">
        <f aca="false">INDEX(Ipotesi!$C$83:$G$83,1,F68)/12</f>
        <v>500</v>
      </c>
      <c r="BY68" s="15" t="n">
        <f aca="false">SUM(S68:U68)*(Ipotesi!$C$85+Ipotesi!$C$86)/12</f>
        <v>437.5</v>
      </c>
      <c r="BZ68" s="15" t="n">
        <f aca="false">AM68*Ipotesi!$C$87</f>
        <v>486.315789473684</v>
      </c>
      <c r="CA68" s="15" t="n">
        <f aca="false">AB68+BJ68+BL68+BN68+BO68+AR68+BP68+BQ68+BR68+BS68+BT68</f>
        <v>27744.6963937622</v>
      </c>
      <c r="CB68" s="15" t="n">
        <f aca="false">AC68+BK68+BM68+BH68+BU68+BV68+AS68+BW68+BX68+BY68+BZ68</f>
        <v>12114.5175438596</v>
      </c>
      <c r="CC68" s="15" t="n">
        <f aca="false">BI68-CA68</f>
        <v>-18577.3474658869</v>
      </c>
      <c r="CD68" s="15" t="n">
        <f aca="false">AM68-CB68</f>
        <v>4096.00877192982</v>
      </c>
      <c r="CE68" s="15" t="n">
        <f aca="false">INDEX(Ipotesi!$C$79:$G$79,1,F68)/12</f>
        <v>1666.66666666667</v>
      </c>
      <c r="CF68" s="15" t="n">
        <f aca="false">INDEX(Ipotesi!$C$84:$G$84,1,F68)/12</f>
        <v>250</v>
      </c>
      <c r="CG68" s="15" t="n">
        <f aca="false">Y68*MAX(0,Parametri_v3!$C$12-IF(P68=0,0,MIN(1,BE68/(P68*Parametri_v3!$C$22))))+W68*Parametri_v3!$C$13+X68*Parametri_v3!$C$14</f>
        <v>7175.92592592593</v>
      </c>
      <c r="CH68" s="15" t="n">
        <f aca="false">AB68*Parametri_v3!$C$32</f>
        <v>895.833333333334</v>
      </c>
      <c r="CI68" s="15" t="n">
        <f aca="false">AC68*Parametri_v3!$C$32</f>
        <v>262.5</v>
      </c>
      <c r="CJ68" s="15" t="n">
        <f aca="false">CA68-AB68</f>
        <v>9828.02972709552</v>
      </c>
      <c r="CK68" s="15" t="n">
        <f aca="false">CB68-AC68-BH68</f>
        <v>5243.4649122807</v>
      </c>
      <c r="CL68" s="15" t="n">
        <f aca="false">BF68*Ipotesi!$C$73+INDEX(Ipotesi!$C$72:$G$72,1,F68)/12*Ipotesi!D126*Parametri_v3!$C$58+Z68*(1-Parametri_v3!$C$16)</f>
        <v>1816.2037037037</v>
      </c>
      <c r="CM68" s="16" t="n">
        <f aca="false">IF(BF68=0,0,1-CL68/BF68)</f>
        <v>-38.23</v>
      </c>
    </row>
    <row r="69" customFormat="false" ht="18" hidden="false" customHeight="true" outlineLevel="0" collapsed="false">
      <c r="A69" s="68" t="n">
        <f aca="false">2</f>
        <v>2</v>
      </c>
      <c r="B69" s="68" t="n">
        <f aca="false">5</f>
        <v>5</v>
      </c>
      <c r="C69" s="18" t="n">
        <f aca="false">EDATE(Parametri_v3!$C$5,5-1)</f>
        <v>46508</v>
      </c>
      <c r="D69" s="68" t="n">
        <f aca="false">YEAR(C69)</f>
        <v>2027</v>
      </c>
      <c r="E69" s="68" t="n">
        <f aca="false">MONTH(C69)</f>
        <v>5</v>
      </c>
      <c r="F69" s="68" t="n">
        <f aca="false">INT((5-1)/12)+1</f>
        <v>1</v>
      </c>
      <c r="G69" s="15" t="n">
        <f aca="false">Ipotesi!D7</f>
        <v>1</v>
      </c>
      <c r="H69" s="15" t="n">
        <f aca="false">Ipotesi!D9</f>
        <v>1</v>
      </c>
      <c r="I69" s="15" t="n">
        <f aca="false">Ipotesi!D10</f>
        <v>1</v>
      </c>
      <c r="J69" s="15" t="n">
        <f aca="false">Ipotesi!D11</f>
        <v>1</v>
      </c>
      <c r="K69" s="15" t="n">
        <f aca="false">Ipotesi!D12</f>
        <v>1</v>
      </c>
      <c r="L69" s="15" t="n">
        <f aca="false">Ipotesi!D13</f>
        <v>90</v>
      </c>
      <c r="M69" s="17" t="n">
        <f aca="false">INDEX(Ipotesi!$C$40:$G$40,1,F69)</f>
        <v>1</v>
      </c>
      <c r="N69" s="17" t="n">
        <f aca="false">INDEX(Ipotesi!$C$41:$G$41,1,F69)</f>
        <v>0.75</v>
      </c>
      <c r="O69" s="17" t="n">
        <f aca="false">INDEX(Ipotesi!$C$42:$G$42,1,F69)*Ipotesi!D125</f>
        <v>1</v>
      </c>
      <c r="P69" s="17" t="n">
        <f aca="false">INDEX(Ipotesi!$C$43:$G$43,1,F69)*I69</f>
        <v>1</v>
      </c>
      <c r="Q69" s="17" t="n">
        <f aca="false">INDEX(Ipotesi!$C$44:$G$44,1,F69)*I69</f>
        <v>0.5</v>
      </c>
      <c r="R69" s="17" t="n">
        <f aca="false">INDEX(Ipotesi!$C$45:$G$45,1,F69)*I69</f>
        <v>0</v>
      </c>
      <c r="S69" s="17" t="n">
        <f aca="false">INDEX(Ipotesi!$C$52:$G$52,1,F69)*Ipotesi!D125</f>
        <v>1.5</v>
      </c>
      <c r="T69" s="17" t="n">
        <f aca="false">INDEX(Ipotesi!$C$53:$G$53,1,F69)*I69</f>
        <v>0</v>
      </c>
      <c r="U69" s="17" t="n">
        <f aca="false">INDEX(Ipotesi!$C$54:$G$54,1,F69)*I69</f>
        <v>0</v>
      </c>
      <c r="V69" s="15" t="n">
        <f aca="false">M69*INDEX(Ipotesi!$C$58:$G$58,1,F69)*K69/12</f>
        <v>3333.33333333333</v>
      </c>
      <c r="W69" s="15" t="n">
        <f aca="false">N69*Ipotesi!$C$59*(1+Ipotesi!$C$66)^(F69-1)/12</f>
        <v>4375</v>
      </c>
      <c r="X69" s="15" t="n">
        <f aca="false">O69*Ipotesi!$C$60*(1+Ipotesi!$C$66)^(F69-1)/12</f>
        <v>4166.66666666667</v>
      </c>
      <c r="Y69" s="15" t="n">
        <f aca="false">P69*Ipotesi!$C$61*(1+Ipotesi!$C$66)^(F69-1)/12</f>
        <v>4166.66666666667</v>
      </c>
      <c r="Z69" s="15" t="n">
        <f aca="false">Q69*Ipotesi!$C$62*(1+Ipotesi!$C$66)^(F69-1)/12</f>
        <v>1875</v>
      </c>
      <c r="AA69" s="15" t="n">
        <f aca="false">R69*Ipotesi!$C$63*(1+Ipotesi!$C$66)^(F69-1)/12</f>
        <v>0</v>
      </c>
      <c r="AB69" s="15" t="n">
        <f aca="false">SUM(V69:AA69)</f>
        <v>17916.6666666667</v>
      </c>
      <c r="AC69" s="15" t="n">
        <f aca="false">(S69*Ipotesi!$C$64+T69*Ipotesi!$C$65+U69*Ipotesi!$C$63)*(1+Ipotesi!$C$66)^(F69-1)/12</f>
        <v>5250</v>
      </c>
      <c r="AD69" s="15" t="n">
        <f aca="false">INDEX(Ipotesi!$C$48:$G$48,1,F69)*G69/12</f>
        <v>16.6666666666667</v>
      </c>
      <c r="AE69" s="15" t="n">
        <f aca="false">INDEX(Ipotesi!$C$50:$G$50,1,F69)*G69/12</f>
        <v>2.08333333333333</v>
      </c>
      <c r="AF69" s="15" t="n">
        <f aca="false">(S69*Parametri_v3!$C$7*Parametri_v3!$C$8+Parametri_v3!$C$10)/12</f>
        <v>19.25</v>
      </c>
      <c r="AG69" s="15" t="n">
        <f aca="false">AD69+AE69*(1+Parametri_v3!$C$9)</f>
        <v>19.7916666666667</v>
      </c>
      <c r="AH69" s="16" t="n">
        <f aca="false">IF(AG69=0,1,MIN(1,AF69/AG69))</f>
        <v>0.972631578947368</v>
      </c>
      <c r="AI69" s="15" t="n">
        <f aca="false">AD69*AH69</f>
        <v>16.2105263157895</v>
      </c>
      <c r="AJ69" s="15" t="n">
        <f aca="false">AE69*AH69</f>
        <v>2.02631578947368</v>
      </c>
      <c r="AK69" s="15" t="n">
        <f aca="false">AI69*INDEX(Ipotesi!$C$49:$G$49,1,F69)*H69</f>
        <v>12157.8947368421</v>
      </c>
      <c r="AL69" s="15" t="n">
        <f aca="false">AJ69*INDEX(Ipotesi!$C$51:$G$51,1,F69)*H69</f>
        <v>4052.63157894737</v>
      </c>
      <c r="AM69" s="15" t="n">
        <f aca="false">AK69+AL69</f>
        <v>16210.5263157895</v>
      </c>
      <c r="AN69" s="15" t="n">
        <f aca="false">INDEX(Ipotesi!$C$30:$G$30,1,F69)*G69/12</f>
        <v>8.33333333333333</v>
      </c>
      <c r="AO69" s="15" t="n">
        <f aca="false">O69*Parametri_v3!$C$7*Parametri_v3!$C$11*(1-Parametri_v3!$C$14)/12</f>
        <v>10.2666666666667</v>
      </c>
      <c r="AP69" s="15" t="n">
        <f aca="false">MIN(AN69,AO69)</f>
        <v>8.33333333333333</v>
      </c>
      <c r="AQ69" s="15" t="n">
        <f aca="false">AP69*INDEX(Ipotesi!$C$31:$G$31,1,F69)*H69</f>
        <v>7500</v>
      </c>
      <c r="AR69" s="15" t="n">
        <f aca="false">INDEX(Ipotesi!$C$75:$G$75,1,F69)*J69/12</f>
        <v>2083.33333333333</v>
      </c>
      <c r="AS69" s="15" t="n">
        <f aca="false">INDEX(Ipotesi!$C$81:$G$81,1,F69)*J69/12</f>
        <v>416.666666666667</v>
      </c>
      <c r="AT69" s="15" t="n">
        <f aca="false">AR69*Parametri_v3!$C$15+Z69*Parametri_v3!$C$16</f>
        <v>3395.83333333333</v>
      </c>
      <c r="AU69" s="15" t="n">
        <f aca="false">Q69*Parametri_v3!$C$16*Parametri_v3!$C$17</f>
        <v>35</v>
      </c>
      <c r="AV69" s="17" t="n">
        <f aca="false">BD68</f>
        <v>0.555555555555556</v>
      </c>
      <c r="AW69" s="17" t="n">
        <f aca="false">AV69*(1-(1-INDEX(Ipotesi!$C$34:$G$34,1,F69))^(1/12))</f>
        <v>0</v>
      </c>
      <c r="AX69" s="15" t="n">
        <f aca="false">ROUND(INDEX(Ipotesi!$C$32:$G$32,1,F69)*Ipotesi!D8,0)</f>
        <v>5</v>
      </c>
      <c r="AY69" s="15" t="n">
        <f aca="false">MAX(0,(AX69-(AV69-AW69))/(13-E69))</f>
        <v>0.555555555555556</v>
      </c>
      <c r="AZ69" s="15" t="n">
        <f aca="false">MIN(P69*Parametri_v3!$C$22,Q69*(1-Parametri_v3!$C$16)*Parametri_v3!$C$23)</f>
        <v>22.5</v>
      </c>
      <c r="BA69" s="15" t="n">
        <f aca="false">IF(OR(INDEX(Ipotesi!$C$35:$G$35,1,F69)&lt;=0,5-Parametri_v3!$C$21&lt;1),0,INDEX($AT$65:$AT$124,MAX(1,5-Parametri_v3!$C$21))/(INDEX(Ipotesi!$C$35:$G$35,1,F69)*Ipotesi!D27))</f>
        <v>0.679166666666667</v>
      </c>
      <c r="BB69" s="15" t="n">
        <f aca="false">IF(5-Parametri_v3!$C$21&lt;1,0,INDEX($AU$65:$AU$124,MAX(1,5-Parametri_v3!$C$21)))*Parametri_v3!$C$18*Parametri_v3!$C$19*Parametri_v3!$C$20</f>
        <v>1.3125</v>
      </c>
      <c r="BC69" s="17" t="n">
        <f aca="false">MAX(0,MIN(AY69,BA69,BB69,MAX(0,AZ69-(AV69-AW69))))</f>
        <v>0.555555555555556</v>
      </c>
      <c r="BD69" s="17" t="n">
        <f aca="false">AV69-AW69+BC69</f>
        <v>1.11111111111111</v>
      </c>
      <c r="BE69" s="17" t="n">
        <f aca="false">(AV69+BD69)/2</f>
        <v>0.833333333333333</v>
      </c>
      <c r="BF69" s="15" t="n">
        <f aca="false">BE69*INDEX(Ipotesi!$C$33:$G$33,1,F69)*H69/12</f>
        <v>138.888888888889</v>
      </c>
      <c r="BG69" s="15" t="n">
        <f aca="false">BD69*INDEX(Ipotesi!$C$33:$G$33,1,F69)*H69</f>
        <v>2222.22222222222</v>
      </c>
      <c r="BH69" s="15" t="n">
        <f aca="false">AM69*INDEX(Ipotesi!$C$37:$G$37,1,F69)</f>
        <v>1621.05263157895</v>
      </c>
      <c r="BI69" s="15" t="n">
        <f aca="false">AQ69+BF69+BH69</f>
        <v>9259.94152046784</v>
      </c>
      <c r="BJ69" s="15" t="n">
        <f aca="false">INDEX(Ipotesi!$C$68:$G$68,1,F69)*Ipotesi!$C$69/12</f>
        <v>1000</v>
      </c>
      <c r="BK69" s="15" t="n">
        <f aca="false">INDEX(Ipotesi!$C$68:$G$68,1,F69)*(1-Ipotesi!$C$69)/12</f>
        <v>1500</v>
      </c>
      <c r="BL69" s="15" t="n">
        <f aca="false">(AQ69+BF69)*Ipotesi!$C$67</f>
        <v>229.166666666667</v>
      </c>
      <c r="BM69" s="15" t="n">
        <f aca="false">AM69*Ipotesi!$C$67</f>
        <v>486.315789473684</v>
      </c>
      <c r="BN69" s="15" t="n">
        <f aca="false">INDEX(Ipotesi!$C$72:$G$72,1,F69)/12*Ipotesi!D126+BF69*Ipotesi!$C$73</f>
        <v>1261.11111111111</v>
      </c>
      <c r="BO69" s="15" t="n">
        <f aca="false">INDEX(Ipotesi!$C$74:$G$74,1,F69)/12*Ipotesi!D126</f>
        <v>1000</v>
      </c>
      <c r="BP69" s="15" t="n">
        <f aca="false">INDEX(Ipotesi!$C$76:$G$76,1,F69)/12</f>
        <v>500</v>
      </c>
      <c r="BQ69" s="15" t="n">
        <f aca="false">INDEX(Ipotesi!$C$77:$G$77,1,F69)/12*Ipotesi!D126</f>
        <v>1250</v>
      </c>
      <c r="BR69" s="15" t="n">
        <f aca="false">INDEX(Ipotesi!$C$78:$G$78,1,F69)/12</f>
        <v>1000</v>
      </c>
      <c r="BS69" s="15" t="n">
        <f aca="false">SUM(M69:R69)*(Ipotesi!$C$85+Ipotesi!$C$86)/12</f>
        <v>1239.58333333333</v>
      </c>
      <c r="BT69" s="15" t="n">
        <f aca="false">BI69*Ipotesi!$C$87</f>
        <v>277.798245614035</v>
      </c>
      <c r="BU69" s="15" t="n">
        <f aca="false">INDEX(Ipotesi!$C$55:$G$55,1,F69)*K69/12</f>
        <v>500</v>
      </c>
      <c r="BV69" s="15" t="n">
        <f aca="false">INDEX(Ipotesi!$C$80:$G$80,1,F69)/12*Ipotesi!D126</f>
        <v>500</v>
      </c>
      <c r="BW69" s="15" t="n">
        <f aca="false">INDEX(Ipotesi!$C$82:$G$82,1,F69)/12</f>
        <v>416.666666666667</v>
      </c>
      <c r="BX69" s="15" t="n">
        <f aca="false">INDEX(Ipotesi!$C$83:$G$83,1,F69)/12</f>
        <v>500</v>
      </c>
      <c r="BY69" s="15" t="n">
        <f aca="false">SUM(S69:U69)*(Ipotesi!$C$85+Ipotesi!$C$86)/12</f>
        <v>437.5</v>
      </c>
      <c r="BZ69" s="15" t="n">
        <f aca="false">AM69*Ipotesi!$C$87</f>
        <v>486.315789473684</v>
      </c>
      <c r="CA69" s="15" t="n">
        <f aca="false">AB69+BJ69+BL69+BN69+BO69+AR69+BP69+BQ69+BR69+BS69+BT69</f>
        <v>27757.6593567251</v>
      </c>
      <c r="CB69" s="15" t="n">
        <f aca="false">AC69+BK69+BM69+BH69+BU69+BV69+AS69+BW69+BX69+BY69+BZ69</f>
        <v>12114.5175438596</v>
      </c>
      <c r="CC69" s="15" t="n">
        <f aca="false">BI69-CA69</f>
        <v>-18497.7178362573</v>
      </c>
      <c r="CD69" s="15" t="n">
        <f aca="false">AM69-CB69</f>
        <v>4096.00877192982</v>
      </c>
      <c r="CE69" s="15" t="n">
        <f aca="false">INDEX(Ipotesi!$C$79:$G$79,1,F69)/12</f>
        <v>1666.66666666667</v>
      </c>
      <c r="CF69" s="15" t="n">
        <f aca="false">INDEX(Ipotesi!$C$84:$G$84,1,F69)/12</f>
        <v>250</v>
      </c>
      <c r="CG69" s="15" t="n">
        <f aca="false">Y69*MAX(0,Parametri_v3!$C$12-IF(P69=0,0,MIN(1,BE69/(P69*Parametri_v3!$C$22))))+W69*Parametri_v3!$C$13+X69*Parametri_v3!$C$14</f>
        <v>7152.77777777778</v>
      </c>
      <c r="CH69" s="15" t="n">
        <f aca="false">AB69*Parametri_v3!$C$32</f>
        <v>895.833333333334</v>
      </c>
      <c r="CI69" s="15" t="n">
        <f aca="false">AC69*Parametri_v3!$C$32</f>
        <v>262.5</v>
      </c>
      <c r="CJ69" s="15" t="n">
        <f aca="false">CA69-AB69</f>
        <v>9840.99269005848</v>
      </c>
      <c r="CK69" s="15" t="n">
        <f aca="false">CB69-AC69-BH69</f>
        <v>5243.4649122807</v>
      </c>
      <c r="CL69" s="15" t="n">
        <f aca="false">BF69*Ipotesi!$C$73+INDEX(Ipotesi!$C$72:$G$72,1,F69)/12*Ipotesi!D126*Parametri_v3!$C$58+Z69*(1-Parametri_v3!$C$16)</f>
        <v>1823.61111111111</v>
      </c>
      <c r="CM69" s="16" t="n">
        <f aca="false">IF(BF69=0,0,1-CL69/BF69)</f>
        <v>-12.13</v>
      </c>
    </row>
    <row r="70" customFormat="false" ht="18" hidden="false" customHeight="true" outlineLevel="0" collapsed="false">
      <c r="A70" s="68" t="n">
        <f aca="false">2</f>
        <v>2</v>
      </c>
      <c r="B70" s="68" t="n">
        <f aca="false">6</f>
        <v>6</v>
      </c>
      <c r="C70" s="18" t="n">
        <f aca="false">EDATE(Parametri_v3!$C$5,6-1)</f>
        <v>46539</v>
      </c>
      <c r="D70" s="68" t="n">
        <f aca="false">YEAR(C70)</f>
        <v>2027</v>
      </c>
      <c r="E70" s="68" t="n">
        <f aca="false">MONTH(C70)</f>
        <v>6</v>
      </c>
      <c r="F70" s="68" t="n">
        <f aca="false">INT((6-1)/12)+1</f>
        <v>1</v>
      </c>
      <c r="G70" s="15" t="n">
        <f aca="false">Ipotesi!D7</f>
        <v>1</v>
      </c>
      <c r="H70" s="15" t="n">
        <f aca="false">Ipotesi!D9</f>
        <v>1</v>
      </c>
      <c r="I70" s="15" t="n">
        <f aca="false">Ipotesi!D10</f>
        <v>1</v>
      </c>
      <c r="J70" s="15" t="n">
        <f aca="false">Ipotesi!D11</f>
        <v>1</v>
      </c>
      <c r="K70" s="15" t="n">
        <f aca="false">Ipotesi!D12</f>
        <v>1</v>
      </c>
      <c r="L70" s="15" t="n">
        <f aca="false">Ipotesi!D13</f>
        <v>90</v>
      </c>
      <c r="M70" s="17" t="n">
        <f aca="false">INDEX(Ipotesi!$C$40:$G$40,1,F70)</f>
        <v>1</v>
      </c>
      <c r="N70" s="17" t="n">
        <f aca="false">INDEX(Ipotesi!$C$41:$G$41,1,F70)</f>
        <v>0.75</v>
      </c>
      <c r="O70" s="17" t="n">
        <f aca="false">INDEX(Ipotesi!$C$42:$G$42,1,F70)*Ipotesi!D125</f>
        <v>1</v>
      </c>
      <c r="P70" s="17" t="n">
        <f aca="false">INDEX(Ipotesi!$C$43:$G$43,1,F70)*I70</f>
        <v>1</v>
      </c>
      <c r="Q70" s="17" t="n">
        <f aca="false">INDEX(Ipotesi!$C$44:$G$44,1,F70)*I70</f>
        <v>0.5</v>
      </c>
      <c r="R70" s="17" t="n">
        <f aca="false">INDEX(Ipotesi!$C$45:$G$45,1,F70)*I70</f>
        <v>0</v>
      </c>
      <c r="S70" s="17" t="n">
        <f aca="false">INDEX(Ipotesi!$C$52:$G$52,1,F70)*Ipotesi!D125</f>
        <v>1.5</v>
      </c>
      <c r="T70" s="17" t="n">
        <f aca="false">INDEX(Ipotesi!$C$53:$G$53,1,F70)*I70</f>
        <v>0</v>
      </c>
      <c r="U70" s="17" t="n">
        <f aca="false">INDEX(Ipotesi!$C$54:$G$54,1,F70)*I70</f>
        <v>0</v>
      </c>
      <c r="V70" s="15" t="n">
        <f aca="false">M70*INDEX(Ipotesi!$C$58:$G$58,1,F70)*K70/12</f>
        <v>3333.33333333333</v>
      </c>
      <c r="W70" s="15" t="n">
        <f aca="false">N70*Ipotesi!$C$59*(1+Ipotesi!$C$66)^(F70-1)/12</f>
        <v>4375</v>
      </c>
      <c r="X70" s="15" t="n">
        <f aca="false">O70*Ipotesi!$C$60*(1+Ipotesi!$C$66)^(F70-1)/12</f>
        <v>4166.66666666667</v>
      </c>
      <c r="Y70" s="15" t="n">
        <f aca="false">P70*Ipotesi!$C$61*(1+Ipotesi!$C$66)^(F70-1)/12</f>
        <v>4166.66666666667</v>
      </c>
      <c r="Z70" s="15" t="n">
        <f aca="false">Q70*Ipotesi!$C$62*(1+Ipotesi!$C$66)^(F70-1)/12</f>
        <v>1875</v>
      </c>
      <c r="AA70" s="15" t="n">
        <f aca="false">R70*Ipotesi!$C$63*(1+Ipotesi!$C$66)^(F70-1)/12</f>
        <v>0</v>
      </c>
      <c r="AB70" s="15" t="n">
        <f aca="false">SUM(V70:AA70)</f>
        <v>17916.6666666667</v>
      </c>
      <c r="AC70" s="15" t="n">
        <f aca="false">(S70*Ipotesi!$C$64+T70*Ipotesi!$C$65+U70*Ipotesi!$C$63)*(1+Ipotesi!$C$66)^(F70-1)/12</f>
        <v>5250</v>
      </c>
      <c r="AD70" s="15" t="n">
        <f aca="false">INDEX(Ipotesi!$C$48:$G$48,1,F70)*G70/12</f>
        <v>16.6666666666667</v>
      </c>
      <c r="AE70" s="15" t="n">
        <f aca="false">INDEX(Ipotesi!$C$50:$G$50,1,F70)*G70/12</f>
        <v>2.08333333333333</v>
      </c>
      <c r="AF70" s="15" t="n">
        <f aca="false">(S70*Parametri_v3!$C$7*Parametri_v3!$C$8+Parametri_v3!$C$10)/12</f>
        <v>19.25</v>
      </c>
      <c r="AG70" s="15" t="n">
        <f aca="false">AD70+AE70*(1+Parametri_v3!$C$9)</f>
        <v>19.7916666666667</v>
      </c>
      <c r="AH70" s="16" t="n">
        <f aca="false">IF(AG70=0,1,MIN(1,AF70/AG70))</f>
        <v>0.972631578947368</v>
      </c>
      <c r="AI70" s="15" t="n">
        <f aca="false">AD70*AH70</f>
        <v>16.2105263157895</v>
      </c>
      <c r="AJ70" s="15" t="n">
        <f aca="false">AE70*AH70</f>
        <v>2.02631578947368</v>
      </c>
      <c r="AK70" s="15" t="n">
        <f aca="false">AI70*INDEX(Ipotesi!$C$49:$G$49,1,F70)*H70</f>
        <v>12157.8947368421</v>
      </c>
      <c r="AL70" s="15" t="n">
        <f aca="false">AJ70*INDEX(Ipotesi!$C$51:$G$51,1,F70)*H70</f>
        <v>4052.63157894737</v>
      </c>
      <c r="AM70" s="15" t="n">
        <f aca="false">AK70+AL70</f>
        <v>16210.5263157895</v>
      </c>
      <c r="AN70" s="15" t="n">
        <f aca="false">INDEX(Ipotesi!$C$30:$G$30,1,F70)*G70/12</f>
        <v>8.33333333333333</v>
      </c>
      <c r="AO70" s="15" t="n">
        <f aca="false">O70*Parametri_v3!$C$7*Parametri_v3!$C$11*(1-Parametri_v3!$C$14)/12</f>
        <v>10.2666666666667</v>
      </c>
      <c r="AP70" s="15" t="n">
        <f aca="false">MIN(AN70,AO70)</f>
        <v>8.33333333333333</v>
      </c>
      <c r="AQ70" s="15" t="n">
        <f aca="false">AP70*INDEX(Ipotesi!$C$31:$G$31,1,F70)*H70</f>
        <v>7500</v>
      </c>
      <c r="AR70" s="15" t="n">
        <f aca="false">INDEX(Ipotesi!$C$75:$G$75,1,F70)*J70/12</f>
        <v>2083.33333333333</v>
      </c>
      <c r="AS70" s="15" t="n">
        <f aca="false">INDEX(Ipotesi!$C$81:$G$81,1,F70)*J70/12</f>
        <v>416.666666666667</v>
      </c>
      <c r="AT70" s="15" t="n">
        <f aca="false">AR70*Parametri_v3!$C$15+Z70*Parametri_v3!$C$16</f>
        <v>3395.83333333333</v>
      </c>
      <c r="AU70" s="15" t="n">
        <f aca="false">Q70*Parametri_v3!$C$16*Parametri_v3!$C$17</f>
        <v>35</v>
      </c>
      <c r="AV70" s="17" t="n">
        <f aca="false">BD69</f>
        <v>1.11111111111111</v>
      </c>
      <c r="AW70" s="17" t="n">
        <f aca="false">AV70*(1-(1-INDEX(Ipotesi!$C$34:$G$34,1,F70))^(1/12))</f>
        <v>0</v>
      </c>
      <c r="AX70" s="15" t="n">
        <f aca="false">ROUND(INDEX(Ipotesi!$C$32:$G$32,1,F70)*Ipotesi!D8,0)</f>
        <v>5</v>
      </c>
      <c r="AY70" s="15" t="n">
        <f aca="false">MAX(0,(AX70-(AV70-AW70))/(13-E70))</f>
        <v>0.555555555555556</v>
      </c>
      <c r="AZ70" s="15" t="n">
        <f aca="false">MIN(P70*Parametri_v3!$C$22,Q70*(1-Parametri_v3!$C$16)*Parametri_v3!$C$23)</f>
        <v>22.5</v>
      </c>
      <c r="BA70" s="15" t="n">
        <f aca="false">IF(OR(INDEX(Ipotesi!$C$35:$G$35,1,F70)&lt;=0,6-Parametri_v3!$C$21&lt;1),0,INDEX($AT$65:$AT$124,MAX(1,6-Parametri_v3!$C$21))/(INDEX(Ipotesi!$C$35:$G$35,1,F70)*Ipotesi!D27))</f>
        <v>0.679166666666667</v>
      </c>
      <c r="BB70" s="15" t="n">
        <f aca="false">IF(6-Parametri_v3!$C$21&lt;1,0,INDEX($AU$65:$AU$124,MAX(1,6-Parametri_v3!$C$21)))*Parametri_v3!$C$18*Parametri_v3!$C$19*Parametri_v3!$C$20</f>
        <v>1.3125</v>
      </c>
      <c r="BC70" s="17" t="n">
        <f aca="false">MAX(0,MIN(AY70,BA70,BB70,MAX(0,AZ70-(AV70-AW70))))</f>
        <v>0.555555555555556</v>
      </c>
      <c r="BD70" s="17" t="n">
        <f aca="false">AV70-AW70+BC70</f>
        <v>1.66666666666667</v>
      </c>
      <c r="BE70" s="17" t="n">
        <f aca="false">(AV70+BD70)/2</f>
        <v>1.38888888888889</v>
      </c>
      <c r="BF70" s="15" t="n">
        <f aca="false">BE70*INDEX(Ipotesi!$C$33:$G$33,1,F70)*H70/12</f>
        <v>231.481481481482</v>
      </c>
      <c r="BG70" s="15" t="n">
        <f aca="false">BD70*INDEX(Ipotesi!$C$33:$G$33,1,F70)*H70</f>
        <v>3333.33333333333</v>
      </c>
      <c r="BH70" s="15" t="n">
        <f aca="false">AM70*INDEX(Ipotesi!$C$37:$G$37,1,F70)</f>
        <v>1621.05263157895</v>
      </c>
      <c r="BI70" s="15" t="n">
        <f aca="false">AQ70+BF70+BH70</f>
        <v>9352.53411306043</v>
      </c>
      <c r="BJ70" s="15" t="n">
        <f aca="false">INDEX(Ipotesi!$C$68:$G$68,1,F70)*Ipotesi!$C$69/12</f>
        <v>1000</v>
      </c>
      <c r="BK70" s="15" t="n">
        <f aca="false">INDEX(Ipotesi!$C$68:$G$68,1,F70)*(1-Ipotesi!$C$69)/12</f>
        <v>1500</v>
      </c>
      <c r="BL70" s="15" t="n">
        <f aca="false">(AQ70+BF70)*Ipotesi!$C$67</f>
        <v>231.944444444444</v>
      </c>
      <c r="BM70" s="15" t="n">
        <f aca="false">AM70*Ipotesi!$C$67</f>
        <v>486.315789473684</v>
      </c>
      <c r="BN70" s="15" t="n">
        <f aca="false">INDEX(Ipotesi!$C$72:$G$72,1,F70)/12*Ipotesi!D126+BF70*Ipotesi!$C$73</f>
        <v>1268.51851851852</v>
      </c>
      <c r="BO70" s="15" t="n">
        <f aca="false">INDEX(Ipotesi!$C$74:$G$74,1,F70)/12*Ipotesi!D126</f>
        <v>1000</v>
      </c>
      <c r="BP70" s="15" t="n">
        <f aca="false">INDEX(Ipotesi!$C$76:$G$76,1,F70)/12</f>
        <v>500</v>
      </c>
      <c r="BQ70" s="15" t="n">
        <f aca="false">INDEX(Ipotesi!$C$77:$G$77,1,F70)/12*Ipotesi!D126</f>
        <v>1250</v>
      </c>
      <c r="BR70" s="15" t="n">
        <f aca="false">INDEX(Ipotesi!$C$78:$G$78,1,F70)/12</f>
        <v>1000</v>
      </c>
      <c r="BS70" s="15" t="n">
        <f aca="false">SUM(M70:R70)*(Ipotesi!$C$85+Ipotesi!$C$86)/12</f>
        <v>1239.58333333333</v>
      </c>
      <c r="BT70" s="15" t="n">
        <f aca="false">BI70*Ipotesi!$C$87</f>
        <v>280.576023391813</v>
      </c>
      <c r="BU70" s="15" t="n">
        <f aca="false">INDEX(Ipotesi!$C$55:$G$55,1,F70)*K70/12</f>
        <v>500</v>
      </c>
      <c r="BV70" s="15" t="n">
        <f aca="false">INDEX(Ipotesi!$C$80:$G$80,1,F70)/12*Ipotesi!D126</f>
        <v>500</v>
      </c>
      <c r="BW70" s="15" t="n">
        <f aca="false">INDEX(Ipotesi!$C$82:$G$82,1,F70)/12</f>
        <v>416.666666666667</v>
      </c>
      <c r="BX70" s="15" t="n">
        <f aca="false">INDEX(Ipotesi!$C$83:$G$83,1,F70)/12</f>
        <v>500</v>
      </c>
      <c r="BY70" s="15" t="n">
        <f aca="false">SUM(S70:U70)*(Ipotesi!$C$85+Ipotesi!$C$86)/12</f>
        <v>437.5</v>
      </c>
      <c r="BZ70" s="15" t="n">
        <f aca="false">AM70*Ipotesi!$C$87</f>
        <v>486.315789473684</v>
      </c>
      <c r="CA70" s="15" t="n">
        <f aca="false">AB70+BJ70+BL70+BN70+BO70+AR70+BP70+BQ70+BR70+BS70+BT70</f>
        <v>27770.6223196881</v>
      </c>
      <c r="CB70" s="15" t="n">
        <f aca="false">AC70+BK70+BM70+BH70+BU70+BV70+AS70+BW70+BX70+BY70+BZ70</f>
        <v>12114.5175438596</v>
      </c>
      <c r="CC70" s="15" t="n">
        <f aca="false">BI70-CA70</f>
        <v>-18418.0882066277</v>
      </c>
      <c r="CD70" s="15" t="n">
        <f aca="false">AM70-CB70</f>
        <v>4096.00877192982</v>
      </c>
      <c r="CE70" s="15" t="n">
        <f aca="false">INDEX(Ipotesi!$C$79:$G$79,1,F70)/12</f>
        <v>1666.66666666667</v>
      </c>
      <c r="CF70" s="15" t="n">
        <f aca="false">INDEX(Ipotesi!$C$84:$G$84,1,F70)/12</f>
        <v>250</v>
      </c>
      <c r="CG70" s="15" t="n">
        <f aca="false">Y70*MAX(0,Parametri_v3!$C$12-IF(P70=0,0,MIN(1,BE70/(P70*Parametri_v3!$C$22))))+W70*Parametri_v3!$C$13+X70*Parametri_v3!$C$14</f>
        <v>7129.62962962963</v>
      </c>
      <c r="CH70" s="15" t="n">
        <f aca="false">AB70*Parametri_v3!$C$32</f>
        <v>895.833333333334</v>
      </c>
      <c r="CI70" s="15" t="n">
        <f aca="false">AC70*Parametri_v3!$C$32</f>
        <v>262.5</v>
      </c>
      <c r="CJ70" s="15" t="n">
        <f aca="false">CA70-AB70</f>
        <v>9853.95565302144</v>
      </c>
      <c r="CK70" s="15" t="n">
        <f aca="false">CB70-AC70-BH70</f>
        <v>5243.4649122807</v>
      </c>
      <c r="CL70" s="15" t="n">
        <f aca="false">BF70*Ipotesi!$C$73+INDEX(Ipotesi!$C$72:$G$72,1,F70)/12*Ipotesi!D126*Parametri_v3!$C$58+Z70*(1-Parametri_v3!$C$16)</f>
        <v>1831.01851851852</v>
      </c>
      <c r="CM70" s="16" t="n">
        <f aca="false">IF(BF70=0,0,1-CL70/BF70)</f>
        <v>-6.91</v>
      </c>
    </row>
    <row r="71" customFormat="false" ht="18" hidden="false" customHeight="true" outlineLevel="0" collapsed="false">
      <c r="A71" s="68" t="n">
        <f aca="false">2</f>
        <v>2</v>
      </c>
      <c r="B71" s="68" t="n">
        <f aca="false">7</f>
        <v>7</v>
      </c>
      <c r="C71" s="18" t="n">
        <f aca="false">EDATE(Parametri_v3!$C$5,7-1)</f>
        <v>46569</v>
      </c>
      <c r="D71" s="68" t="n">
        <f aca="false">YEAR(C71)</f>
        <v>2027</v>
      </c>
      <c r="E71" s="68" t="n">
        <f aca="false">MONTH(C71)</f>
        <v>7</v>
      </c>
      <c r="F71" s="68" t="n">
        <f aca="false">INT((7-1)/12)+1</f>
        <v>1</v>
      </c>
      <c r="G71" s="15" t="n">
        <f aca="false">Ipotesi!D7</f>
        <v>1</v>
      </c>
      <c r="H71" s="15" t="n">
        <f aca="false">Ipotesi!D9</f>
        <v>1</v>
      </c>
      <c r="I71" s="15" t="n">
        <f aca="false">Ipotesi!D10</f>
        <v>1</v>
      </c>
      <c r="J71" s="15" t="n">
        <f aca="false">Ipotesi!D11</f>
        <v>1</v>
      </c>
      <c r="K71" s="15" t="n">
        <f aca="false">Ipotesi!D12</f>
        <v>1</v>
      </c>
      <c r="L71" s="15" t="n">
        <f aca="false">Ipotesi!D13</f>
        <v>90</v>
      </c>
      <c r="M71" s="17" t="n">
        <f aca="false">INDEX(Ipotesi!$C$40:$G$40,1,F71)</f>
        <v>1</v>
      </c>
      <c r="N71" s="17" t="n">
        <f aca="false">INDEX(Ipotesi!$C$41:$G$41,1,F71)</f>
        <v>0.75</v>
      </c>
      <c r="O71" s="17" t="n">
        <f aca="false">INDEX(Ipotesi!$C$42:$G$42,1,F71)*Ipotesi!D125</f>
        <v>1</v>
      </c>
      <c r="P71" s="17" t="n">
        <f aca="false">INDEX(Ipotesi!$C$43:$G$43,1,F71)*I71</f>
        <v>1</v>
      </c>
      <c r="Q71" s="17" t="n">
        <f aca="false">INDEX(Ipotesi!$C$44:$G$44,1,F71)*I71</f>
        <v>0.5</v>
      </c>
      <c r="R71" s="17" t="n">
        <f aca="false">INDEX(Ipotesi!$C$45:$G$45,1,F71)*I71</f>
        <v>0</v>
      </c>
      <c r="S71" s="17" t="n">
        <f aca="false">INDEX(Ipotesi!$C$52:$G$52,1,F71)*Ipotesi!D125</f>
        <v>1.5</v>
      </c>
      <c r="T71" s="17" t="n">
        <f aca="false">INDEX(Ipotesi!$C$53:$G$53,1,F71)*I71</f>
        <v>0</v>
      </c>
      <c r="U71" s="17" t="n">
        <f aca="false">INDEX(Ipotesi!$C$54:$G$54,1,F71)*I71</f>
        <v>0</v>
      </c>
      <c r="V71" s="15" t="n">
        <f aca="false">M71*INDEX(Ipotesi!$C$58:$G$58,1,F71)*K71/12</f>
        <v>3333.33333333333</v>
      </c>
      <c r="W71" s="15" t="n">
        <f aca="false">N71*Ipotesi!$C$59*(1+Ipotesi!$C$66)^(F71-1)/12</f>
        <v>4375</v>
      </c>
      <c r="X71" s="15" t="n">
        <f aca="false">O71*Ipotesi!$C$60*(1+Ipotesi!$C$66)^(F71-1)/12</f>
        <v>4166.66666666667</v>
      </c>
      <c r="Y71" s="15" t="n">
        <f aca="false">P71*Ipotesi!$C$61*(1+Ipotesi!$C$66)^(F71-1)/12</f>
        <v>4166.66666666667</v>
      </c>
      <c r="Z71" s="15" t="n">
        <f aca="false">Q71*Ipotesi!$C$62*(1+Ipotesi!$C$66)^(F71-1)/12</f>
        <v>1875</v>
      </c>
      <c r="AA71" s="15" t="n">
        <f aca="false">R71*Ipotesi!$C$63*(1+Ipotesi!$C$66)^(F71-1)/12</f>
        <v>0</v>
      </c>
      <c r="AB71" s="15" t="n">
        <f aca="false">SUM(V71:AA71)</f>
        <v>17916.6666666667</v>
      </c>
      <c r="AC71" s="15" t="n">
        <f aca="false">(S71*Ipotesi!$C$64+T71*Ipotesi!$C$65+U71*Ipotesi!$C$63)*(1+Ipotesi!$C$66)^(F71-1)/12</f>
        <v>5250</v>
      </c>
      <c r="AD71" s="15" t="n">
        <f aca="false">INDEX(Ipotesi!$C$48:$G$48,1,F71)*G71/12</f>
        <v>16.6666666666667</v>
      </c>
      <c r="AE71" s="15" t="n">
        <f aca="false">INDEX(Ipotesi!$C$50:$G$50,1,F71)*G71/12</f>
        <v>2.08333333333333</v>
      </c>
      <c r="AF71" s="15" t="n">
        <f aca="false">(S71*Parametri_v3!$C$7*Parametri_v3!$C$8+Parametri_v3!$C$10)/12</f>
        <v>19.25</v>
      </c>
      <c r="AG71" s="15" t="n">
        <f aca="false">AD71+AE71*(1+Parametri_v3!$C$9)</f>
        <v>19.7916666666667</v>
      </c>
      <c r="AH71" s="16" t="n">
        <f aca="false">IF(AG71=0,1,MIN(1,AF71/AG71))</f>
        <v>0.972631578947368</v>
      </c>
      <c r="AI71" s="15" t="n">
        <f aca="false">AD71*AH71</f>
        <v>16.2105263157895</v>
      </c>
      <c r="AJ71" s="15" t="n">
        <f aca="false">AE71*AH71</f>
        <v>2.02631578947368</v>
      </c>
      <c r="AK71" s="15" t="n">
        <f aca="false">AI71*INDEX(Ipotesi!$C$49:$G$49,1,F71)*H71</f>
        <v>12157.8947368421</v>
      </c>
      <c r="AL71" s="15" t="n">
        <f aca="false">AJ71*INDEX(Ipotesi!$C$51:$G$51,1,F71)*H71</f>
        <v>4052.63157894737</v>
      </c>
      <c r="AM71" s="15" t="n">
        <f aca="false">AK71+AL71</f>
        <v>16210.5263157895</v>
      </c>
      <c r="AN71" s="15" t="n">
        <f aca="false">INDEX(Ipotesi!$C$30:$G$30,1,F71)*G71/12</f>
        <v>8.33333333333333</v>
      </c>
      <c r="AO71" s="15" t="n">
        <f aca="false">O71*Parametri_v3!$C$7*Parametri_v3!$C$11*(1-Parametri_v3!$C$14)/12</f>
        <v>10.2666666666667</v>
      </c>
      <c r="AP71" s="15" t="n">
        <f aca="false">MIN(AN71,AO71)</f>
        <v>8.33333333333333</v>
      </c>
      <c r="AQ71" s="15" t="n">
        <f aca="false">AP71*INDEX(Ipotesi!$C$31:$G$31,1,F71)*H71</f>
        <v>7500</v>
      </c>
      <c r="AR71" s="15" t="n">
        <f aca="false">INDEX(Ipotesi!$C$75:$G$75,1,F71)*J71/12</f>
        <v>2083.33333333333</v>
      </c>
      <c r="AS71" s="15" t="n">
        <f aca="false">INDEX(Ipotesi!$C$81:$G$81,1,F71)*J71/12</f>
        <v>416.666666666667</v>
      </c>
      <c r="AT71" s="15" t="n">
        <f aca="false">AR71*Parametri_v3!$C$15+Z71*Parametri_v3!$C$16</f>
        <v>3395.83333333333</v>
      </c>
      <c r="AU71" s="15" t="n">
        <f aca="false">Q71*Parametri_v3!$C$16*Parametri_v3!$C$17</f>
        <v>35</v>
      </c>
      <c r="AV71" s="17" t="n">
        <f aca="false">BD70</f>
        <v>1.66666666666667</v>
      </c>
      <c r="AW71" s="17" t="n">
        <f aca="false">AV71*(1-(1-INDEX(Ipotesi!$C$34:$G$34,1,F71))^(1/12))</f>
        <v>0</v>
      </c>
      <c r="AX71" s="15" t="n">
        <f aca="false">ROUND(INDEX(Ipotesi!$C$32:$G$32,1,F71)*Ipotesi!D8,0)</f>
        <v>5</v>
      </c>
      <c r="AY71" s="15" t="n">
        <f aca="false">MAX(0,(AX71-(AV71-AW71))/(13-E71))</f>
        <v>0.555555555555556</v>
      </c>
      <c r="AZ71" s="15" t="n">
        <f aca="false">MIN(P71*Parametri_v3!$C$22,Q71*(1-Parametri_v3!$C$16)*Parametri_v3!$C$23)</f>
        <v>22.5</v>
      </c>
      <c r="BA71" s="15" t="n">
        <f aca="false">IF(OR(INDEX(Ipotesi!$C$35:$G$35,1,F71)&lt;=0,7-Parametri_v3!$C$21&lt;1),0,INDEX($AT$65:$AT$124,MAX(1,7-Parametri_v3!$C$21))/(INDEX(Ipotesi!$C$35:$G$35,1,F71)*Ipotesi!D27))</f>
        <v>0.679166666666667</v>
      </c>
      <c r="BB71" s="15" t="n">
        <f aca="false">IF(7-Parametri_v3!$C$21&lt;1,0,INDEX($AU$65:$AU$124,MAX(1,7-Parametri_v3!$C$21)))*Parametri_v3!$C$18*Parametri_v3!$C$19*Parametri_v3!$C$20</f>
        <v>1.3125</v>
      </c>
      <c r="BC71" s="17" t="n">
        <f aca="false">MAX(0,MIN(AY71,BA71,BB71,MAX(0,AZ71-(AV71-AW71))))</f>
        <v>0.555555555555556</v>
      </c>
      <c r="BD71" s="17" t="n">
        <f aca="false">AV71-AW71+BC71</f>
        <v>2.22222222222222</v>
      </c>
      <c r="BE71" s="17" t="n">
        <f aca="false">(AV71+BD71)/2</f>
        <v>1.94444444444444</v>
      </c>
      <c r="BF71" s="15" t="n">
        <f aca="false">BE71*INDEX(Ipotesi!$C$33:$G$33,1,F71)*H71/12</f>
        <v>324.074074074074</v>
      </c>
      <c r="BG71" s="15" t="n">
        <f aca="false">BD71*INDEX(Ipotesi!$C$33:$G$33,1,F71)*H71</f>
        <v>4444.44444444444</v>
      </c>
      <c r="BH71" s="15" t="n">
        <f aca="false">AM71*INDEX(Ipotesi!$C$37:$G$37,1,F71)</f>
        <v>1621.05263157895</v>
      </c>
      <c r="BI71" s="15" t="n">
        <f aca="false">AQ71+BF71+BH71</f>
        <v>9445.12670565302</v>
      </c>
      <c r="BJ71" s="15" t="n">
        <f aca="false">INDEX(Ipotesi!$C$68:$G$68,1,F71)*Ipotesi!$C$69/12</f>
        <v>1000</v>
      </c>
      <c r="BK71" s="15" t="n">
        <f aca="false">INDEX(Ipotesi!$C$68:$G$68,1,F71)*(1-Ipotesi!$C$69)/12</f>
        <v>1500</v>
      </c>
      <c r="BL71" s="15" t="n">
        <f aca="false">(AQ71+BF71)*Ipotesi!$C$67</f>
        <v>234.722222222222</v>
      </c>
      <c r="BM71" s="15" t="n">
        <f aca="false">AM71*Ipotesi!$C$67</f>
        <v>486.315789473684</v>
      </c>
      <c r="BN71" s="15" t="n">
        <f aca="false">INDEX(Ipotesi!$C$72:$G$72,1,F71)/12*Ipotesi!D126+BF71*Ipotesi!$C$73</f>
        <v>1275.92592592593</v>
      </c>
      <c r="BO71" s="15" t="n">
        <f aca="false">INDEX(Ipotesi!$C$74:$G$74,1,F71)/12*Ipotesi!D126</f>
        <v>1000</v>
      </c>
      <c r="BP71" s="15" t="n">
        <f aca="false">INDEX(Ipotesi!$C$76:$G$76,1,F71)/12</f>
        <v>500</v>
      </c>
      <c r="BQ71" s="15" t="n">
        <f aca="false">INDEX(Ipotesi!$C$77:$G$77,1,F71)/12*Ipotesi!D126</f>
        <v>1250</v>
      </c>
      <c r="BR71" s="15" t="n">
        <f aca="false">INDEX(Ipotesi!$C$78:$G$78,1,F71)/12</f>
        <v>1000</v>
      </c>
      <c r="BS71" s="15" t="n">
        <f aca="false">SUM(M71:R71)*(Ipotesi!$C$85+Ipotesi!$C$86)/12</f>
        <v>1239.58333333333</v>
      </c>
      <c r="BT71" s="15" t="n">
        <f aca="false">BI71*Ipotesi!$C$87</f>
        <v>283.353801169591</v>
      </c>
      <c r="BU71" s="15" t="n">
        <f aca="false">INDEX(Ipotesi!$C$55:$G$55,1,F71)*K71/12</f>
        <v>500</v>
      </c>
      <c r="BV71" s="15" t="n">
        <f aca="false">INDEX(Ipotesi!$C$80:$G$80,1,F71)/12*Ipotesi!D126</f>
        <v>500</v>
      </c>
      <c r="BW71" s="15" t="n">
        <f aca="false">INDEX(Ipotesi!$C$82:$G$82,1,F71)/12</f>
        <v>416.666666666667</v>
      </c>
      <c r="BX71" s="15" t="n">
        <f aca="false">INDEX(Ipotesi!$C$83:$G$83,1,F71)/12</f>
        <v>500</v>
      </c>
      <c r="BY71" s="15" t="n">
        <f aca="false">SUM(S71:U71)*(Ipotesi!$C$85+Ipotesi!$C$86)/12</f>
        <v>437.5</v>
      </c>
      <c r="BZ71" s="15" t="n">
        <f aca="false">AM71*Ipotesi!$C$87</f>
        <v>486.315789473684</v>
      </c>
      <c r="CA71" s="15" t="n">
        <f aca="false">AB71+BJ71+BL71+BN71+BO71+AR71+BP71+BQ71+BR71+BS71+BT71</f>
        <v>27783.5852826511</v>
      </c>
      <c r="CB71" s="15" t="n">
        <f aca="false">AC71+BK71+BM71+BH71+BU71+BV71+AS71+BW71+BX71+BY71+BZ71</f>
        <v>12114.5175438596</v>
      </c>
      <c r="CC71" s="15" t="n">
        <f aca="false">BI71-CA71</f>
        <v>-18338.458576998</v>
      </c>
      <c r="CD71" s="15" t="n">
        <f aca="false">AM71-CB71</f>
        <v>4096.00877192982</v>
      </c>
      <c r="CE71" s="15" t="n">
        <f aca="false">INDEX(Ipotesi!$C$79:$G$79,1,F71)/12</f>
        <v>1666.66666666667</v>
      </c>
      <c r="CF71" s="15" t="n">
        <f aca="false">INDEX(Ipotesi!$C$84:$G$84,1,F71)/12</f>
        <v>250</v>
      </c>
      <c r="CG71" s="15" t="n">
        <f aca="false">Y71*MAX(0,Parametri_v3!$C$12-IF(P71=0,0,MIN(1,BE71/(P71*Parametri_v3!$C$22))))+W71*Parametri_v3!$C$13+X71*Parametri_v3!$C$14</f>
        <v>7106.48148148148</v>
      </c>
      <c r="CH71" s="15" t="n">
        <f aca="false">AB71*Parametri_v3!$C$32</f>
        <v>895.833333333334</v>
      </c>
      <c r="CI71" s="15" t="n">
        <f aca="false">AC71*Parametri_v3!$C$32</f>
        <v>262.5</v>
      </c>
      <c r="CJ71" s="15" t="n">
        <f aca="false">CA71-AB71</f>
        <v>9866.9186159844</v>
      </c>
      <c r="CK71" s="15" t="n">
        <f aca="false">CB71-AC71-BH71</f>
        <v>5243.4649122807</v>
      </c>
      <c r="CL71" s="15" t="n">
        <f aca="false">BF71*Ipotesi!$C$73+INDEX(Ipotesi!$C$72:$G$72,1,F71)/12*Ipotesi!D126*Parametri_v3!$C$58+Z71*(1-Parametri_v3!$C$16)</f>
        <v>1838.42592592593</v>
      </c>
      <c r="CM71" s="16" t="n">
        <f aca="false">IF(BF71=0,0,1-CL71/BF71)</f>
        <v>-4.67285714285714</v>
      </c>
    </row>
    <row r="72" customFormat="false" ht="18" hidden="false" customHeight="true" outlineLevel="0" collapsed="false">
      <c r="A72" s="68" t="n">
        <f aca="false">2</f>
        <v>2</v>
      </c>
      <c r="B72" s="68" t="n">
        <f aca="false">8</f>
        <v>8</v>
      </c>
      <c r="C72" s="18" t="n">
        <f aca="false">EDATE(Parametri_v3!$C$5,8-1)</f>
        <v>46600</v>
      </c>
      <c r="D72" s="68" t="n">
        <f aca="false">YEAR(C72)</f>
        <v>2027</v>
      </c>
      <c r="E72" s="68" t="n">
        <f aca="false">MONTH(C72)</f>
        <v>8</v>
      </c>
      <c r="F72" s="68" t="n">
        <f aca="false">INT((8-1)/12)+1</f>
        <v>1</v>
      </c>
      <c r="G72" s="15" t="n">
        <f aca="false">Ipotesi!D7</f>
        <v>1</v>
      </c>
      <c r="H72" s="15" t="n">
        <f aca="false">Ipotesi!D9</f>
        <v>1</v>
      </c>
      <c r="I72" s="15" t="n">
        <f aca="false">Ipotesi!D10</f>
        <v>1</v>
      </c>
      <c r="J72" s="15" t="n">
        <f aca="false">Ipotesi!D11</f>
        <v>1</v>
      </c>
      <c r="K72" s="15" t="n">
        <f aca="false">Ipotesi!D12</f>
        <v>1</v>
      </c>
      <c r="L72" s="15" t="n">
        <f aca="false">Ipotesi!D13</f>
        <v>90</v>
      </c>
      <c r="M72" s="17" t="n">
        <f aca="false">INDEX(Ipotesi!$C$40:$G$40,1,F72)</f>
        <v>1</v>
      </c>
      <c r="N72" s="17" t="n">
        <f aca="false">INDEX(Ipotesi!$C$41:$G$41,1,F72)</f>
        <v>0.75</v>
      </c>
      <c r="O72" s="17" t="n">
        <f aca="false">INDEX(Ipotesi!$C$42:$G$42,1,F72)*Ipotesi!D125</f>
        <v>1</v>
      </c>
      <c r="P72" s="17" t="n">
        <f aca="false">INDEX(Ipotesi!$C$43:$G$43,1,F72)*I72</f>
        <v>1</v>
      </c>
      <c r="Q72" s="17" t="n">
        <f aca="false">INDEX(Ipotesi!$C$44:$G$44,1,F72)*I72</f>
        <v>0.5</v>
      </c>
      <c r="R72" s="17" t="n">
        <f aca="false">INDEX(Ipotesi!$C$45:$G$45,1,F72)*I72</f>
        <v>0</v>
      </c>
      <c r="S72" s="17" t="n">
        <f aca="false">INDEX(Ipotesi!$C$52:$G$52,1,F72)*Ipotesi!D125</f>
        <v>1.5</v>
      </c>
      <c r="T72" s="17" t="n">
        <f aca="false">INDEX(Ipotesi!$C$53:$G$53,1,F72)*I72</f>
        <v>0</v>
      </c>
      <c r="U72" s="17" t="n">
        <f aca="false">INDEX(Ipotesi!$C$54:$G$54,1,F72)*I72</f>
        <v>0</v>
      </c>
      <c r="V72" s="15" t="n">
        <f aca="false">M72*INDEX(Ipotesi!$C$58:$G$58,1,F72)*K72/12</f>
        <v>3333.33333333333</v>
      </c>
      <c r="W72" s="15" t="n">
        <f aca="false">N72*Ipotesi!$C$59*(1+Ipotesi!$C$66)^(F72-1)/12</f>
        <v>4375</v>
      </c>
      <c r="X72" s="15" t="n">
        <f aca="false">O72*Ipotesi!$C$60*(1+Ipotesi!$C$66)^(F72-1)/12</f>
        <v>4166.66666666667</v>
      </c>
      <c r="Y72" s="15" t="n">
        <f aca="false">P72*Ipotesi!$C$61*(1+Ipotesi!$C$66)^(F72-1)/12</f>
        <v>4166.66666666667</v>
      </c>
      <c r="Z72" s="15" t="n">
        <f aca="false">Q72*Ipotesi!$C$62*(1+Ipotesi!$C$66)^(F72-1)/12</f>
        <v>1875</v>
      </c>
      <c r="AA72" s="15" t="n">
        <f aca="false">R72*Ipotesi!$C$63*(1+Ipotesi!$C$66)^(F72-1)/12</f>
        <v>0</v>
      </c>
      <c r="AB72" s="15" t="n">
        <f aca="false">SUM(V72:AA72)</f>
        <v>17916.6666666667</v>
      </c>
      <c r="AC72" s="15" t="n">
        <f aca="false">(S72*Ipotesi!$C$64+T72*Ipotesi!$C$65+U72*Ipotesi!$C$63)*(1+Ipotesi!$C$66)^(F72-1)/12</f>
        <v>5250</v>
      </c>
      <c r="AD72" s="15" t="n">
        <f aca="false">INDEX(Ipotesi!$C$48:$G$48,1,F72)*G72/12</f>
        <v>16.6666666666667</v>
      </c>
      <c r="AE72" s="15" t="n">
        <f aca="false">INDEX(Ipotesi!$C$50:$G$50,1,F72)*G72/12</f>
        <v>2.08333333333333</v>
      </c>
      <c r="AF72" s="15" t="n">
        <f aca="false">(S72*Parametri_v3!$C$7*Parametri_v3!$C$8+Parametri_v3!$C$10)/12</f>
        <v>19.25</v>
      </c>
      <c r="AG72" s="15" t="n">
        <f aca="false">AD72+AE72*(1+Parametri_v3!$C$9)</f>
        <v>19.7916666666667</v>
      </c>
      <c r="AH72" s="16" t="n">
        <f aca="false">IF(AG72=0,1,MIN(1,AF72/AG72))</f>
        <v>0.972631578947368</v>
      </c>
      <c r="AI72" s="15" t="n">
        <f aca="false">AD72*AH72</f>
        <v>16.2105263157895</v>
      </c>
      <c r="AJ72" s="15" t="n">
        <f aca="false">AE72*AH72</f>
        <v>2.02631578947368</v>
      </c>
      <c r="AK72" s="15" t="n">
        <f aca="false">AI72*INDEX(Ipotesi!$C$49:$G$49,1,F72)*H72</f>
        <v>12157.8947368421</v>
      </c>
      <c r="AL72" s="15" t="n">
        <f aca="false">AJ72*INDEX(Ipotesi!$C$51:$G$51,1,F72)*H72</f>
        <v>4052.63157894737</v>
      </c>
      <c r="AM72" s="15" t="n">
        <f aca="false">AK72+AL72</f>
        <v>16210.5263157895</v>
      </c>
      <c r="AN72" s="15" t="n">
        <f aca="false">INDEX(Ipotesi!$C$30:$G$30,1,F72)*G72/12</f>
        <v>8.33333333333333</v>
      </c>
      <c r="AO72" s="15" t="n">
        <f aca="false">O72*Parametri_v3!$C$7*Parametri_v3!$C$11*(1-Parametri_v3!$C$14)/12</f>
        <v>10.2666666666667</v>
      </c>
      <c r="AP72" s="15" t="n">
        <f aca="false">MIN(AN72,AO72)</f>
        <v>8.33333333333333</v>
      </c>
      <c r="AQ72" s="15" t="n">
        <f aca="false">AP72*INDEX(Ipotesi!$C$31:$G$31,1,F72)*H72</f>
        <v>7500</v>
      </c>
      <c r="AR72" s="15" t="n">
        <f aca="false">INDEX(Ipotesi!$C$75:$G$75,1,F72)*J72/12</f>
        <v>2083.33333333333</v>
      </c>
      <c r="AS72" s="15" t="n">
        <f aca="false">INDEX(Ipotesi!$C$81:$G$81,1,F72)*J72/12</f>
        <v>416.666666666667</v>
      </c>
      <c r="AT72" s="15" t="n">
        <f aca="false">AR72*Parametri_v3!$C$15+Z72*Parametri_v3!$C$16</f>
        <v>3395.83333333333</v>
      </c>
      <c r="AU72" s="15" t="n">
        <f aca="false">Q72*Parametri_v3!$C$16*Parametri_v3!$C$17</f>
        <v>35</v>
      </c>
      <c r="AV72" s="17" t="n">
        <f aca="false">BD71</f>
        <v>2.22222222222222</v>
      </c>
      <c r="AW72" s="17" t="n">
        <f aca="false">AV72*(1-(1-INDEX(Ipotesi!$C$34:$G$34,1,F72))^(1/12))</f>
        <v>0</v>
      </c>
      <c r="AX72" s="15" t="n">
        <f aca="false">ROUND(INDEX(Ipotesi!$C$32:$G$32,1,F72)*Ipotesi!D8,0)</f>
        <v>5</v>
      </c>
      <c r="AY72" s="15" t="n">
        <f aca="false">MAX(0,(AX72-(AV72-AW72))/(13-E72))</f>
        <v>0.555555555555556</v>
      </c>
      <c r="AZ72" s="15" t="n">
        <f aca="false">MIN(P72*Parametri_v3!$C$22,Q72*(1-Parametri_v3!$C$16)*Parametri_v3!$C$23)</f>
        <v>22.5</v>
      </c>
      <c r="BA72" s="15" t="n">
        <f aca="false">IF(OR(INDEX(Ipotesi!$C$35:$G$35,1,F72)&lt;=0,8-Parametri_v3!$C$21&lt;1),0,INDEX($AT$65:$AT$124,MAX(1,8-Parametri_v3!$C$21))/(INDEX(Ipotesi!$C$35:$G$35,1,F72)*Ipotesi!D27))</f>
        <v>0.679166666666667</v>
      </c>
      <c r="BB72" s="15" t="n">
        <f aca="false">IF(8-Parametri_v3!$C$21&lt;1,0,INDEX($AU$65:$AU$124,MAX(1,8-Parametri_v3!$C$21)))*Parametri_v3!$C$18*Parametri_v3!$C$19*Parametri_v3!$C$20</f>
        <v>1.3125</v>
      </c>
      <c r="BC72" s="17" t="n">
        <f aca="false">MAX(0,MIN(AY72,BA72,BB72,MAX(0,AZ72-(AV72-AW72))))</f>
        <v>0.555555555555556</v>
      </c>
      <c r="BD72" s="17" t="n">
        <f aca="false">AV72-AW72+BC72</f>
        <v>2.77777777777778</v>
      </c>
      <c r="BE72" s="17" t="n">
        <f aca="false">(AV72+BD72)/2</f>
        <v>2.5</v>
      </c>
      <c r="BF72" s="15" t="n">
        <f aca="false">BE72*INDEX(Ipotesi!$C$33:$G$33,1,F72)*H72/12</f>
        <v>416.666666666667</v>
      </c>
      <c r="BG72" s="15" t="n">
        <f aca="false">BD72*INDEX(Ipotesi!$C$33:$G$33,1,F72)*H72</f>
        <v>5555.55555555556</v>
      </c>
      <c r="BH72" s="15" t="n">
        <f aca="false">AM72*INDEX(Ipotesi!$C$37:$G$37,1,F72)</f>
        <v>1621.05263157895</v>
      </c>
      <c r="BI72" s="15" t="n">
        <f aca="false">AQ72+BF72+BH72</f>
        <v>9537.71929824561</v>
      </c>
      <c r="BJ72" s="15" t="n">
        <f aca="false">INDEX(Ipotesi!$C$68:$G$68,1,F72)*Ipotesi!$C$69/12</f>
        <v>1000</v>
      </c>
      <c r="BK72" s="15" t="n">
        <f aca="false">INDEX(Ipotesi!$C$68:$G$68,1,F72)*(1-Ipotesi!$C$69)/12</f>
        <v>1500</v>
      </c>
      <c r="BL72" s="15" t="n">
        <f aca="false">(AQ72+BF72)*Ipotesi!$C$67</f>
        <v>237.5</v>
      </c>
      <c r="BM72" s="15" t="n">
        <f aca="false">AM72*Ipotesi!$C$67</f>
        <v>486.315789473684</v>
      </c>
      <c r="BN72" s="15" t="n">
        <f aca="false">INDEX(Ipotesi!$C$72:$G$72,1,F72)/12*Ipotesi!D126+BF72*Ipotesi!$C$73</f>
        <v>1283.33333333333</v>
      </c>
      <c r="BO72" s="15" t="n">
        <f aca="false">INDEX(Ipotesi!$C$74:$G$74,1,F72)/12*Ipotesi!D126</f>
        <v>1000</v>
      </c>
      <c r="BP72" s="15" t="n">
        <f aca="false">INDEX(Ipotesi!$C$76:$G$76,1,F72)/12</f>
        <v>500</v>
      </c>
      <c r="BQ72" s="15" t="n">
        <f aca="false">INDEX(Ipotesi!$C$77:$G$77,1,F72)/12*Ipotesi!D126</f>
        <v>1250</v>
      </c>
      <c r="BR72" s="15" t="n">
        <f aca="false">INDEX(Ipotesi!$C$78:$G$78,1,F72)/12</f>
        <v>1000</v>
      </c>
      <c r="BS72" s="15" t="n">
        <f aca="false">SUM(M72:R72)*(Ipotesi!$C$85+Ipotesi!$C$86)/12</f>
        <v>1239.58333333333</v>
      </c>
      <c r="BT72" s="15" t="n">
        <f aca="false">BI72*Ipotesi!$C$87</f>
        <v>286.131578947368</v>
      </c>
      <c r="BU72" s="15" t="n">
        <f aca="false">INDEX(Ipotesi!$C$55:$G$55,1,F72)*K72/12</f>
        <v>500</v>
      </c>
      <c r="BV72" s="15" t="n">
        <f aca="false">INDEX(Ipotesi!$C$80:$G$80,1,F72)/12*Ipotesi!D126</f>
        <v>500</v>
      </c>
      <c r="BW72" s="15" t="n">
        <f aca="false">INDEX(Ipotesi!$C$82:$G$82,1,F72)/12</f>
        <v>416.666666666667</v>
      </c>
      <c r="BX72" s="15" t="n">
        <f aca="false">INDEX(Ipotesi!$C$83:$G$83,1,F72)/12</f>
        <v>500</v>
      </c>
      <c r="BY72" s="15" t="n">
        <f aca="false">SUM(S72:U72)*(Ipotesi!$C$85+Ipotesi!$C$86)/12</f>
        <v>437.5</v>
      </c>
      <c r="BZ72" s="15" t="n">
        <f aca="false">AM72*Ipotesi!$C$87</f>
        <v>486.315789473684</v>
      </c>
      <c r="CA72" s="15" t="n">
        <f aca="false">AB72+BJ72+BL72+BN72+BO72+AR72+BP72+BQ72+BR72+BS72+BT72</f>
        <v>27796.548245614</v>
      </c>
      <c r="CB72" s="15" t="n">
        <f aca="false">AC72+BK72+BM72+BH72+BU72+BV72+AS72+BW72+BX72+BY72+BZ72</f>
        <v>12114.5175438596</v>
      </c>
      <c r="CC72" s="15" t="n">
        <f aca="false">BI72-CA72</f>
        <v>-18258.8289473684</v>
      </c>
      <c r="CD72" s="15" t="n">
        <f aca="false">AM72-CB72</f>
        <v>4096.00877192982</v>
      </c>
      <c r="CE72" s="15" t="n">
        <f aca="false">INDEX(Ipotesi!$C$79:$G$79,1,F72)/12</f>
        <v>1666.66666666667</v>
      </c>
      <c r="CF72" s="15" t="n">
        <f aca="false">INDEX(Ipotesi!$C$84:$G$84,1,F72)/12</f>
        <v>250</v>
      </c>
      <c r="CG72" s="15" t="n">
        <f aca="false">Y72*MAX(0,Parametri_v3!$C$12-IF(P72=0,0,MIN(1,BE72/(P72*Parametri_v3!$C$22))))+W72*Parametri_v3!$C$13+X72*Parametri_v3!$C$14</f>
        <v>7083.33333333333</v>
      </c>
      <c r="CH72" s="15" t="n">
        <f aca="false">AB72*Parametri_v3!$C$32</f>
        <v>895.833333333334</v>
      </c>
      <c r="CI72" s="15" t="n">
        <f aca="false">AC72*Parametri_v3!$C$32</f>
        <v>262.5</v>
      </c>
      <c r="CJ72" s="15" t="n">
        <f aca="false">CA72-AB72</f>
        <v>9879.88157894737</v>
      </c>
      <c r="CK72" s="15" t="n">
        <f aca="false">CB72-AC72-BH72</f>
        <v>5243.4649122807</v>
      </c>
      <c r="CL72" s="15" t="n">
        <f aca="false">BF72*Ipotesi!$C$73+INDEX(Ipotesi!$C$72:$G$72,1,F72)/12*Ipotesi!D126*Parametri_v3!$C$58+Z72*(1-Parametri_v3!$C$16)</f>
        <v>1845.83333333333</v>
      </c>
      <c r="CM72" s="16" t="n">
        <f aca="false">IF(BF72=0,0,1-CL72/BF72)</f>
        <v>-3.43</v>
      </c>
    </row>
    <row r="73" customFormat="false" ht="18" hidden="false" customHeight="true" outlineLevel="0" collapsed="false">
      <c r="A73" s="68" t="n">
        <f aca="false">2</f>
        <v>2</v>
      </c>
      <c r="B73" s="68" t="n">
        <f aca="false">9</f>
        <v>9</v>
      </c>
      <c r="C73" s="18" t="n">
        <f aca="false">EDATE(Parametri_v3!$C$5,9-1)</f>
        <v>46631</v>
      </c>
      <c r="D73" s="68" t="n">
        <f aca="false">YEAR(C73)</f>
        <v>2027</v>
      </c>
      <c r="E73" s="68" t="n">
        <f aca="false">MONTH(C73)</f>
        <v>9</v>
      </c>
      <c r="F73" s="68" t="n">
        <f aca="false">INT((9-1)/12)+1</f>
        <v>1</v>
      </c>
      <c r="G73" s="15" t="n">
        <f aca="false">Ipotesi!D7</f>
        <v>1</v>
      </c>
      <c r="H73" s="15" t="n">
        <f aca="false">Ipotesi!D9</f>
        <v>1</v>
      </c>
      <c r="I73" s="15" t="n">
        <f aca="false">Ipotesi!D10</f>
        <v>1</v>
      </c>
      <c r="J73" s="15" t="n">
        <f aca="false">Ipotesi!D11</f>
        <v>1</v>
      </c>
      <c r="K73" s="15" t="n">
        <f aca="false">Ipotesi!D12</f>
        <v>1</v>
      </c>
      <c r="L73" s="15" t="n">
        <f aca="false">Ipotesi!D13</f>
        <v>90</v>
      </c>
      <c r="M73" s="17" t="n">
        <f aca="false">INDEX(Ipotesi!$C$40:$G$40,1,F73)</f>
        <v>1</v>
      </c>
      <c r="N73" s="17" t="n">
        <f aca="false">INDEX(Ipotesi!$C$41:$G$41,1,F73)</f>
        <v>0.75</v>
      </c>
      <c r="O73" s="17" t="n">
        <f aca="false">INDEX(Ipotesi!$C$42:$G$42,1,F73)*Ipotesi!D125</f>
        <v>1</v>
      </c>
      <c r="P73" s="17" t="n">
        <f aca="false">INDEX(Ipotesi!$C$43:$G$43,1,F73)*I73</f>
        <v>1</v>
      </c>
      <c r="Q73" s="17" t="n">
        <f aca="false">INDEX(Ipotesi!$C$44:$G$44,1,F73)*I73</f>
        <v>0.5</v>
      </c>
      <c r="R73" s="17" t="n">
        <f aca="false">INDEX(Ipotesi!$C$45:$G$45,1,F73)*I73</f>
        <v>0</v>
      </c>
      <c r="S73" s="17" t="n">
        <f aca="false">INDEX(Ipotesi!$C$52:$G$52,1,F73)*Ipotesi!D125</f>
        <v>1.5</v>
      </c>
      <c r="T73" s="17" t="n">
        <f aca="false">INDEX(Ipotesi!$C$53:$G$53,1,F73)*I73</f>
        <v>0</v>
      </c>
      <c r="U73" s="17" t="n">
        <f aca="false">INDEX(Ipotesi!$C$54:$G$54,1,F73)*I73</f>
        <v>0</v>
      </c>
      <c r="V73" s="15" t="n">
        <f aca="false">M73*INDEX(Ipotesi!$C$58:$G$58,1,F73)*K73/12</f>
        <v>3333.33333333333</v>
      </c>
      <c r="W73" s="15" t="n">
        <f aca="false">N73*Ipotesi!$C$59*(1+Ipotesi!$C$66)^(F73-1)/12</f>
        <v>4375</v>
      </c>
      <c r="X73" s="15" t="n">
        <f aca="false">O73*Ipotesi!$C$60*(1+Ipotesi!$C$66)^(F73-1)/12</f>
        <v>4166.66666666667</v>
      </c>
      <c r="Y73" s="15" t="n">
        <f aca="false">P73*Ipotesi!$C$61*(1+Ipotesi!$C$66)^(F73-1)/12</f>
        <v>4166.66666666667</v>
      </c>
      <c r="Z73" s="15" t="n">
        <f aca="false">Q73*Ipotesi!$C$62*(1+Ipotesi!$C$66)^(F73-1)/12</f>
        <v>1875</v>
      </c>
      <c r="AA73" s="15" t="n">
        <f aca="false">R73*Ipotesi!$C$63*(1+Ipotesi!$C$66)^(F73-1)/12</f>
        <v>0</v>
      </c>
      <c r="AB73" s="15" t="n">
        <f aca="false">SUM(V73:AA73)</f>
        <v>17916.6666666667</v>
      </c>
      <c r="AC73" s="15" t="n">
        <f aca="false">(S73*Ipotesi!$C$64+T73*Ipotesi!$C$65+U73*Ipotesi!$C$63)*(1+Ipotesi!$C$66)^(F73-1)/12</f>
        <v>5250</v>
      </c>
      <c r="AD73" s="15" t="n">
        <f aca="false">INDEX(Ipotesi!$C$48:$G$48,1,F73)*G73/12</f>
        <v>16.6666666666667</v>
      </c>
      <c r="AE73" s="15" t="n">
        <f aca="false">INDEX(Ipotesi!$C$50:$G$50,1,F73)*G73/12</f>
        <v>2.08333333333333</v>
      </c>
      <c r="AF73" s="15" t="n">
        <f aca="false">(S73*Parametri_v3!$C$7*Parametri_v3!$C$8+Parametri_v3!$C$10)/12</f>
        <v>19.25</v>
      </c>
      <c r="AG73" s="15" t="n">
        <f aca="false">AD73+AE73*(1+Parametri_v3!$C$9)</f>
        <v>19.7916666666667</v>
      </c>
      <c r="AH73" s="16" t="n">
        <f aca="false">IF(AG73=0,1,MIN(1,AF73/AG73))</f>
        <v>0.972631578947368</v>
      </c>
      <c r="AI73" s="15" t="n">
        <f aca="false">AD73*AH73</f>
        <v>16.2105263157895</v>
      </c>
      <c r="AJ73" s="15" t="n">
        <f aca="false">AE73*AH73</f>
        <v>2.02631578947368</v>
      </c>
      <c r="AK73" s="15" t="n">
        <f aca="false">AI73*INDEX(Ipotesi!$C$49:$G$49,1,F73)*H73</f>
        <v>12157.8947368421</v>
      </c>
      <c r="AL73" s="15" t="n">
        <f aca="false">AJ73*INDEX(Ipotesi!$C$51:$G$51,1,F73)*H73</f>
        <v>4052.63157894737</v>
      </c>
      <c r="AM73" s="15" t="n">
        <f aca="false">AK73+AL73</f>
        <v>16210.5263157895</v>
      </c>
      <c r="AN73" s="15" t="n">
        <f aca="false">INDEX(Ipotesi!$C$30:$G$30,1,F73)*G73/12</f>
        <v>8.33333333333333</v>
      </c>
      <c r="AO73" s="15" t="n">
        <f aca="false">O73*Parametri_v3!$C$7*Parametri_v3!$C$11*(1-Parametri_v3!$C$14)/12</f>
        <v>10.2666666666667</v>
      </c>
      <c r="AP73" s="15" t="n">
        <f aca="false">MIN(AN73,AO73)</f>
        <v>8.33333333333333</v>
      </c>
      <c r="AQ73" s="15" t="n">
        <f aca="false">AP73*INDEX(Ipotesi!$C$31:$G$31,1,F73)*H73</f>
        <v>7500</v>
      </c>
      <c r="AR73" s="15" t="n">
        <f aca="false">INDEX(Ipotesi!$C$75:$G$75,1,F73)*J73/12</f>
        <v>2083.33333333333</v>
      </c>
      <c r="AS73" s="15" t="n">
        <f aca="false">INDEX(Ipotesi!$C$81:$G$81,1,F73)*J73/12</f>
        <v>416.666666666667</v>
      </c>
      <c r="AT73" s="15" t="n">
        <f aca="false">AR73*Parametri_v3!$C$15+Z73*Parametri_v3!$C$16</f>
        <v>3395.83333333333</v>
      </c>
      <c r="AU73" s="15" t="n">
        <f aca="false">Q73*Parametri_v3!$C$16*Parametri_v3!$C$17</f>
        <v>35</v>
      </c>
      <c r="AV73" s="17" t="n">
        <f aca="false">BD72</f>
        <v>2.77777777777778</v>
      </c>
      <c r="AW73" s="17" t="n">
        <f aca="false">AV73*(1-(1-INDEX(Ipotesi!$C$34:$G$34,1,F73))^(1/12))</f>
        <v>0</v>
      </c>
      <c r="AX73" s="15" t="n">
        <f aca="false">ROUND(INDEX(Ipotesi!$C$32:$G$32,1,F73)*Ipotesi!D8,0)</f>
        <v>5</v>
      </c>
      <c r="AY73" s="15" t="n">
        <f aca="false">MAX(0,(AX73-(AV73-AW73))/(13-E73))</f>
        <v>0.555555555555556</v>
      </c>
      <c r="AZ73" s="15" t="n">
        <f aca="false">MIN(P73*Parametri_v3!$C$22,Q73*(1-Parametri_v3!$C$16)*Parametri_v3!$C$23)</f>
        <v>22.5</v>
      </c>
      <c r="BA73" s="15" t="n">
        <f aca="false">IF(OR(INDEX(Ipotesi!$C$35:$G$35,1,F73)&lt;=0,9-Parametri_v3!$C$21&lt;1),0,INDEX($AT$65:$AT$124,MAX(1,9-Parametri_v3!$C$21))/(INDEX(Ipotesi!$C$35:$G$35,1,F73)*Ipotesi!D27))</f>
        <v>0.679166666666667</v>
      </c>
      <c r="BB73" s="15" t="n">
        <f aca="false">IF(9-Parametri_v3!$C$21&lt;1,0,INDEX($AU$65:$AU$124,MAX(1,9-Parametri_v3!$C$21)))*Parametri_v3!$C$18*Parametri_v3!$C$19*Parametri_v3!$C$20</f>
        <v>1.3125</v>
      </c>
      <c r="BC73" s="17" t="n">
        <f aca="false">MAX(0,MIN(AY73,BA73,BB73,MAX(0,AZ73-(AV73-AW73))))</f>
        <v>0.555555555555556</v>
      </c>
      <c r="BD73" s="17" t="n">
        <f aca="false">AV73-AW73+BC73</f>
        <v>3.33333333333333</v>
      </c>
      <c r="BE73" s="17" t="n">
        <f aca="false">(AV73+BD73)/2</f>
        <v>3.05555555555556</v>
      </c>
      <c r="BF73" s="15" t="n">
        <f aca="false">BE73*INDEX(Ipotesi!$C$33:$G$33,1,F73)*H73/12</f>
        <v>509.259259259259</v>
      </c>
      <c r="BG73" s="15" t="n">
        <f aca="false">BD73*INDEX(Ipotesi!$C$33:$G$33,1,F73)*H73</f>
        <v>6666.66666666667</v>
      </c>
      <c r="BH73" s="15" t="n">
        <f aca="false">AM73*INDEX(Ipotesi!$C$37:$G$37,1,F73)</f>
        <v>1621.05263157895</v>
      </c>
      <c r="BI73" s="15" t="n">
        <f aca="false">AQ73+BF73+BH73</f>
        <v>9630.31189083821</v>
      </c>
      <c r="BJ73" s="15" t="n">
        <f aca="false">INDEX(Ipotesi!$C$68:$G$68,1,F73)*Ipotesi!$C$69/12</f>
        <v>1000</v>
      </c>
      <c r="BK73" s="15" t="n">
        <f aca="false">INDEX(Ipotesi!$C$68:$G$68,1,F73)*(1-Ipotesi!$C$69)/12</f>
        <v>1500</v>
      </c>
      <c r="BL73" s="15" t="n">
        <f aca="false">(AQ73+BF73)*Ipotesi!$C$67</f>
        <v>240.277777777778</v>
      </c>
      <c r="BM73" s="15" t="n">
        <f aca="false">AM73*Ipotesi!$C$67</f>
        <v>486.315789473684</v>
      </c>
      <c r="BN73" s="15" t="n">
        <f aca="false">INDEX(Ipotesi!$C$72:$G$72,1,F73)/12*Ipotesi!D126+BF73*Ipotesi!$C$73</f>
        <v>1290.74074074074</v>
      </c>
      <c r="BO73" s="15" t="n">
        <f aca="false">INDEX(Ipotesi!$C$74:$G$74,1,F73)/12*Ipotesi!D126</f>
        <v>1000</v>
      </c>
      <c r="BP73" s="15" t="n">
        <f aca="false">INDEX(Ipotesi!$C$76:$G$76,1,F73)/12</f>
        <v>500</v>
      </c>
      <c r="BQ73" s="15" t="n">
        <f aca="false">INDEX(Ipotesi!$C$77:$G$77,1,F73)/12*Ipotesi!D126</f>
        <v>1250</v>
      </c>
      <c r="BR73" s="15" t="n">
        <f aca="false">INDEX(Ipotesi!$C$78:$G$78,1,F73)/12</f>
        <v>1000</v>
      </c>
      <c r="BS73" s="15" t="n">
        <f aca="false">SUM(M73:R73)*(Ipotesi!$C$85+Ipotesi!$C$86)/12</f>
        <v>1239.58333333333</v>
      </c>
      <c r="BT73" s="15" t="n">
        <f aca="false">BI73*Ipotesi!$C$87</f>
        <v>288.909356725146</v>
      </c>
      <c r="BU73" s="15" t="n">
        <f aca="false">INDEX(Ipotesi!$C$55:$G$55,1,F73)*K73/12</f>
        <v>500</v>
      </c>
      <c r="BV73" s="15" t="n">
        <f aca="false">INDEX(Ipotesi!$C$80:$G$80,1,F73)/12*Ipotesi!D126</f>
        <v>500</v>
      </c>
      <c r="BW73" s="15" t="n">
        <f aca="false">INDEX(Ipotesi!$C$82:$G$82,1,F73)/12</f>
        <v>416.666666666667</v>
      </c>
      <c r="BX73" s="15" t="n">
        <f aca="false">INDEX(Ipotesi!$C$83:$G$83,1,F73)/12</f>
        <v>500</v>
      </c>
      <c r="BY73" s="15" t="n">
        <f aca="false">SUM(S73:U73)*(Ipotesi!$C$85+Ipotesi!$C$86)/12</f>
        <v>437.5</v>
      </c>
      <c r="BZ73" s="15" t="n">
        <f aca="false">AM73*Ipotesi!$C$87</f>
        <v>486.315789473684</v>
      </c>
      <c r="CA73" s="15" t="n">
        <f aca="false">AB73+BJ73+BL73+BN73+BO73+AR73+BP73+BQ73+BR73+BS73+BT73</f>
        <v>27809.511208577</v>
      </c>
      <c r="CB73" s="15" t="n">
        <f aca="false">AC73+BK73+BM73+BH73+BU73+BV73+AS73+BW73+BX73+BY73+BZ73</f>
        <v>12114.5175438596</v>
      </c>
      <c r="CC73" s="15" t="n">
        <f aca="false">BI73-CA73</f>
        <v>-18179.1993177388</v>
      </c>
      <c r="CD73" s="15" t="n">
        <f aca="false">AM73-CB73</f>
        <v>4096.00877192982</v>
      </c>
      <c r="CE73" s="15" t="n">
        <f aca="false">INDEX(Ipotesi!$C$79:$G$79,1,F73)/12</f>
        <v>1666.66666666667</v>
      </c>
      <c r="CF73" s="15" t="n">
        <f aca="false">INDEX(Ipotesi!$C$84:$G$84,1,F73)/12</f>
        <v>250</v>
      </c>
      <c r="CG73" s="15" t="n">
        <f aca="false">Y73*MAX(0,Parametri_v3!$C$12-IF(P73=0,0,MIN(1,BE73/(P73*Parametri_v3!$C$22))))+W73*Parametri_v3!$C$13+X73*Parametri_v3!$C$14</f>
        <v>7060.18518518519</v>
      </c>
      <c r="CH73" s="15" t="n">
        <f aca="false">AB73*Parametri_v3!$C$32</f>
        <v>895.833333333334</v>
      </c>
      <c r="CI73" s="15" t="n">
        <f aca="false">AC73*Parametri_v3!$C$32</f>
        <v>262.5</v>
      </c>
      <c r="CJ73" s="15" t="n">
        <f aca="false">CA73-AB73</f>
        <v>9892.84454191033</v>
      </c>
      <c r="CK73" s="15" t="n">
        <f aca="false">CB73-AC73-BH73</f>
        <v>5243.4649122807</v>
      </c>
      <c r="CL73" s="15" t="n">
        <f aca="false">BF73*Ipotesi!$C$73+INDEX(Ipotesi!$C$72:$G$72,1,F73)/12*Ipotesi!D126*Parametri_v3!$C$58+Z73*(1-Parametri_v3!$C$16)</f>
        <v>1853.24074074074</v>
      </c>
      <c r="CM73" s="16" t="n">
        <f aca="false">IF(BF73=0,0,1-CL73/BF73)</f>
        <v>-2.63909090909091</v>
      </c>
    </row>
    <row r="74" customFormat="false" ht="18" hidden="false" customHeight="true" outlineLevel="0" collapsed="false">
      <c r="A74" s="68" t="n">
        <f aca="false">2</f>
        <v>2</v>
      </c>
      <c r="B74" s="68" t="n">
        <f aca="false">10</f>
        <v>10</v>
      </c>
      <c r="C74" s="18" t="n">
        <f aca="false">EDATE(Parametri_v3!$C$5,10-1)</f>
        <v>46661</v>
      </c>
      <c r="D74" s="68" t="n">
        <f aca="false">YEAR(C74)</f>
        <v>2027</v>
      </c>
      <c r="E74" s="68" t="n">
        <f aca="false">MONTH(C74)</f>
        <v>10</v>
      </c>
      <c r="F74" s="68" t="n">
        <f aca="false">INT((10-1)/12)+1</f>
        <v>1</v>
      </c>
      <c r="G74" s="15" t="n">
        <f aca="false">Ipotesi!D7</f>
        <v>1</v>
      </c>
      <c r="H74" s="15" t="n">
        <f aca="false">Ipotesi!D9</f>
        <v>1</v>
      </c>
      <c r="I74" s="15" t="n">
        <f aca="false">Ipotesi!D10</f>
        <v>1</v>
      </c>
      <c r="J74" s="15" t="n">
        <f aca="false">Ipotesi!D11</f>
        <v>1</v>
      </c>
      <c r="K74" s="15" t="n">
        <f aca="false">Ipotesi!D12</f>
        <v>1</v>
      </c>
      <c r="L74" s="15" t="n">
        <f aca="false">Ipotesi!D13</f>
        <v>90</v>
      </c>
      <c r="M74" s="17" t="n">
        <f aca="false">INDEX(Ipotesi!$C$40:$G$40,1,F74)</f>
        <v>1</v>
      </c>
      <c r="N74" s="17" t="n">
        <f aca="false">INDEX(Ipotesi!$C$41:$G$41,1,F74)</f>
        <v>0.75</v>
      </c>
      <c r="O74" s="17" t="n">
        <f aca="false">INDEX(Ipotesi!$C$42:$G$42,1,F74)*Ipotesi!D125</f>
        <v>1</v>
      </c>
      <c r="P74" s="17" t="n">
        <f aca="false">INDEX(Ipotesi!$C$43:$G$43,1,F74)*I74</f>
        <v>1</v>
      </c>
      <c r="Q74" s="17" t="n">
        <f aca="false">INDEX(Ipotesi!$C$44:$G$44,1,F74)*I74</f>
        <v>0.5</v>
      </c>
      <c r="R74" s="17" t="n">
        <f aca="false">INDEX(Ipotesi!$C$45:$G$45,1,F74)*I74</f>
        <v>0</v>
      </c>
      <c r="S74" s="17" t="n">
        <f aca="false">INDEX(Ipotesi!$C$52:$G$52,1,F74)*Ipotesi!D125</f>
        <v>1.5</v>
      </c>
      <c r="T74" s="17" t="n">
        <f aca="false">INDEX(Ipotesi!$C$53:$G$53,1,F74)*I74</f>
        <v>0</v>
      </c>
      <c r="U74" s="17" t="n">
        <f aca="false">INDEX(Ipotesi!$C$54:$G$54,1,F74)*I74</f>
        <v>0</v>
      </c>
      <c r="V74" s="15" t="n">
        <f aca="false">M74*INDEX(Ipotesi!$C$58:$G$58,1,F74)*K74/12</f>
        <v>3333.33333333333</v>
      </c>
      <c r="W74" s="15" t="n">
        <f aca="false">N74*Ipotesi!$C$59*(1+Ipotesi!$C$66)^(F74-1)/12</f>
        <v>4375</v>
      </c>
      <c r="X74" s="15" t="n">
        <f aca="false">O74*Ipotesi!$C$60*(1+Ipotesi!$C$66)^(F74-1)/12</f>
        <v>4166.66666666667</v>
      </c>
      <c r="Y74" s="15" t="n">
        <f aca="false">P74*Ipotesi!$C$61*(1+Ipotesi!$C$66)^(F74-1)/12</f>
        <v>4166.66666666667</v>
      </c>
      <c r="Z74" s="15" t="n">
        <f aca="false">Q74*Ipotesi!$C$62*(1+Ipotesi!$C$66)^(F74-1)/12</f>
        <v>1875</v>
      </c>
      <c r="AA74" s="15" t="n">
        <f aca="false">R74*Ipotesi!$C$63*(1+Ipotesi!$C$66)^(F74-1)/12</f>
        <v>0</v>
      </c>
      <c r="AB74" s="15" t="n">
        <f aca="false">SUM(V74:AA74)</f>
        <v>17916.6666666667</v>
      </c>
      <c r="AC74" s="15" t="n">
        <f aca="false">(S74*Ipotesi!$C$64+T74*Ipotesi!$C$65+U74*Ipotesi!$C$63)*(1+Ipotesi!$C$66)^(F74-1)/12</f>
        <v>5250</v>
      </c>
      <c r="AD74" s="15" t="n">
        <f aca="false">INDEX(Ipotesi!$C$48:$G$48,1,F74)*G74/12</f>
        <v>16.6666666666667</v>
      </c>
      <c r="AE74" s="15" t="n">
        <f aca="false">INDEX(Ipotesi!$C$50:$G$50,1,F74)*G74/12</f>
        <v>2.08333333333333</v>
      </c>
      <c r="AF74" s="15" t="n">
        <f aca="false">(S74*Parametri_v3!$C$7*Parametri_v3!$C$8+Parametri_v3!$C$10)/12</f>
        <v>19.25</v>
      </c>
      <c r="AG74" s="15" t="n">
        <f aca="false">AD74+AE74*(1+Parametri_v3!$C$9)</f>
        <v>19.7916666666667</v>
      </c>
      <c r="AH74" s="16" t="n">
        <f aca="false">IF(AG74=0,1,MIN(1,AF74/AG74))</f>
        <v>0.972631578947368</v>
      </c>
      <c r="AI74" s="15" t="n">
        <f aca="false">AD74*AH74</f>
        <v>16.2105263157895</v>
      </c>
      <c r="AJ74" s="15" t="n">
        <f aca="false">AE74*AH74</f>
        <v>2.02631578947368</v>
      </c>
      <c r="AK74" s="15" t="n">
        <f aca="false">AI74*INDEX(Ipotesi!$C$49:$G$49,1,F74)*H74</f>
        <v>12157.8947368421</v>
      </c>
      <c r="AL74" s="15" t="n">
        <f aca="false">AJ74*INDEX(Ipotesi!$C$51:$G$51,1,F74)*H74</f>
        <v>4052.63157894737</v>
      </c>
      <c r="AM74" s="15" t="n">
        <f aca="false">AK74+AL74</f>
        <v>16210.5263157895</v>
      </c>
      <c r="AN74" s="15" t="n">
        <f aca="false">INDEX(Ipotesi!$C$30:$G$30,1,F74)*G74/12</f>
        <v>8.33333333333333</v>
      </c>
      <c r="AO74" s="15" t="n">
        <f aca="false">O74*Parametri_v3!$C$7*Parametri_v3!$C$11*(1-Parametri_v3!$C$14)/12</f>
        <v>10.2666666666667</v>
      </c>
      <c r="AP74" s="15" t="n">
        <f aca="false">MIN(AN74,AO74)</f>
        <v>8.33333333333333</v>
      </c>
      <c r="AQ74" s="15" t="n">
        <f aca="false">AP74*INDEX(Ipotesi!$C$31:$G$31,1,F74)*H74</f>
        <v>7500</v>
      </c>
      <c r="AR74" s="15" t="n">
        <f aca="false">INDEX(Ipotesi!$C$75:$G$75,1,F74)*J74/12</f>
        <v>2083.33333333333</v>
      </c>
      <c r="AS74" s="15" t="n">
        <f aca="false">INDEX(Ipotesi!$C$81:$G$81,1,F74)*J74/12</f>
        <v>416.666666666667</v>
      </c>
      <c r="AT74" s="15" t="n">
        <f aca="false">AR74*Parametri_v3!$C$15+Z74*Parametri_v3!$C$16</f>
        <v>3395.83333333333</v>
      </c>
      <c r="AU74" s="15" t="n">
        <f aca="false">Q74*Parametri_v3!$C$16*Parametri_v3!$C$17</f>
        <v>35</v>
      </c>
      <c r="AV74" s="17" t="n">
        <f aca="false">BD73</f>
        <v>3.33333333333333</v>
      </c>
      <c r="AW74" s="17" t="n">
        <f aca="false">AV74*(1-(1-INDEX(Ipotesi!$C$34:$G$34,1,F74))^(1/12))</f>
        <v>0</v>
      </c>
      <c r="AX74" s="15" t="n">
        <f aca="false">ROUND(INDEX(Ipotesi!$C$32:$G$32,1,F74)*Ipotesi!D8,0)</f>
        <v>5</v>
      </c>
      <c r="AY74" s="15" t="n">
        <f aca="false">MAX(0,(AX74-(AV74-AW74))/(13-E74))</f>
        <v>0.555555555555556</v>
      </c>
      <c r="AZ74" s="15" t="n">
        <f aca="false">MIN(P74*Parametri_v3!$C$22,Q74*(1-Parametri_v3!$C$16)*Parametri_v3!$C$23)</f>
        <v>22.5</v>
      </c>
      <c r="BA74" s="15" t="n">
        <f aca="false">IF(OR(INDEX(Ipotesi!$C$35:$G$35,1,F74)&lt;=0,10-Parametri_v3!$C$21&lt;1),0,INDEX($AT$65:$AT$124,MAX(1,10-Parametri_v3!$C$21))/(INDEX(Ipotesi!$C$35:$G$35,1,F74)*Ipotesi!D27))</f>
        <v>0.679166666666667</v>
      </c>
      <c r="BB74" s="15" t="n">
        <f aca="false">IF(10-Parametri_v3!$C$21&lt;1,0,INDEX($AU$65:$AU$124,MAX(1,10-Parametri_v3!$C$21)))*Parametri_v3!$C$18*Parametri_v3!$C$19*Parametri_v3!$C$20</f>
        <v>1.3125</v>
      </c>
      <c r="BC74" s="17" t="n">
        <f aca="false">MAX(0,MIN(AY74,BA74,BB74,MAX(0,AZ74-(AV74-AW74))))</f>
        <v>0.555555555555556</v>
      </c>
      <c r="BD74" s="17" t="n">
        <f aca="false">AV74-AW74+BC74</f>
        <v>3.88888888888889</v>
      </c>
      <c r="BE74" s="17" t="n">
        <f aca="false">(AV74+BD74)/2</f>
        <v>3.61111111111111</v>
      </c>
      <c r="BF74" s="15" t="n">
        <f aca="false">BE74*INDEX(Ipotesi!$C$33:$G$33,1,F74)*H74/12</f>
        <v>601.851851851852</v>
      </c>
      <c r="BG74" s="15" t="n">
        <f aca="false">BD74*INDEX(Ipotesi!$C$33:$G$33,1,F74)*H74</f>
        <v>7777.77777777778</v>
      </c>
      <c r="BH74" s="15" t="n">
        <f aca="false">AM74*INDEX(Ipotesi!$C$37:$G$37,1,F74)</f>
        <v>1621.05263157895</v>
      </c>
      <c r="BI74" s="15" t="n">
        <f aca="false">AQ74+BF74+BH74</f>
        <v>9722.9044834308</v>
      </c>
      <c r="BJ74" s="15" t="n">
        <f aca="false">INDEX(Ipotesi!$C$68:$G$68,1,F74)*Ipotesi!$C$69/12</f>
        <v>1000</v>
      </c>
      <c r="BK74" s="15" t="n">
        <f aca="false">INDEX(Ipotesi!$C$68:$G$68,1,F74)*(1-Ipotesi!$C$69)/12</f>
        <v>1500</v>
      </c>
      <c r="BL74" s="15" t="n">
        <f aca="false">(AQ74+BF74)*Ipotesi!$C$67</f>
        <v>243.055555555556</v>
      </c>
      <c r="BM74" s="15" t="n">
        <f aca="false">AM74*Ipotesi!$C$67</f>
        <v>486.315789473684</v>
      </c>
      <c r="BN74" s="15" t="n">
        <f aca="false">INDEX(Ipotesi!$C$72:$G$72,1,F74)/12*Ipotesi!D126+BF74*Ipotesi!$C$73</f>
        <v>1298.14814814815</v>
      </c>
      <c r="BO74" s="15" t="n">
        <f aca="false">INDEX(Ipotesi!$C$74:$G$74,1,F74)/12*Ipotesi!D126</f>
        <v>1000</v>
      </c>
      <c r="BP74" s="15" t="n">
        <f aca="false">INDEX(Ipotesi!$C$76:$G$76,1,F74)/12</f>
        <v>500</v>
      </c>
      <c r="BQ74" s="15" t="n">
        <f aca="false">INDEX(Ipotesi!$C$77:$G$77,1,F74)/12*Ipotesi!D126</f>
        <v>1250</v>
      </c>
      <c r="BR74" s="15" t="n">
        <f aca="false">INDEX(Ipotesi!$C$78:$G$78,1,F74)/12</f>
        <v>1000</v>
      </c>
      <c r="BS74" s="15" t="n">
        <f aca="false">SUM(M74:R74)*(Ipotesi!$C$85+Ipotesi!$C$86)/12</f>
        <v>1239.58333333333</v>
      </c>
      <c r="BT74" s="15" t="n">
        <f aca="false">BI74*Ipotesi!$C$87</f>
        <v>291.687134502924</v>
      </c>
      <c r="BU74" s="15" t="n">
        <f aca="false">INDEX(Ipotesi!$C$55:$G$55,1,F74)*K74/12</f>
        <v>500</v>
      </c>
      <c r="BV74" s="15" t="n">
        <f aca="false">INDEX(Ipotesi!$C$80:$G$80,1,F74)/12*Ipotesi!D126</f>
        <v>500</v>
      </c>
      <c r="BW74" s="15" t="n">
        <f aca="false">INDEX(Ipotesi!$C$82:$G$82,1,F74)/12</f>
        <v>416.666666666667</v>
      </c>
      <c r="BX74" s="15" t="n">
        <f aca="false">INDEX(Ipotesi!$C$83:$G$83,1,F74)/12</f>
        <v>500</v>
      </c>
      <c r="BY74" s="15" t="n">
        <f aca="false">SUM(S74:U74)*(Ipotesi!$C$85+Ipotesi!$C$86)/12</f>
        <v>437.5</v>
      </c>
      <c r="BZ74" s="15" t="n">
        <f aca="false">AM74*Ipotesi!$C$87</f>
        <v>486.315789473684</v>
      </c>
      <c r="CA74" s="15" t="n">
        <f aca="false">AB74+BJ74+BL74+BN74+BO74+AR74+BP74+BQ74+BR74+BS74+BT74</f>
        <v>27822.47417154</v>
      </c>
      <c r="CB74" s="15" t="n">
        <f aca="false">AC74+BK74+BM74+BH74+BU74+BV74+AS74+BW74+BX74+BY74+BZ74</f>
        <v>12114.5175438596</v>
      </c>
      <c r="CC74" s="15" t="n">
        <f aca="false">BI74-CA74</f>
        <v>-18099.5696881092</v>
      </c>
      <c r="CD74" s="15" t="n">
        <f aca="false">AM74-CB74</f>
        <v>4096.00877192982</v>
      </c>
      <c r="CE74" s="15" t="n">
        <f aca="false">INDEX(Ipotesi!$C$79:$G$79,1,F74)/12</f>
        <v>1666.66666666667</v>
      </c>
      <c r="CF74" s="15" t="n">
        <f aca="false">INDEX(Ipotesi!$C$84:$G$84,1,F74)/12</f>
        <v>250</v>
      </c>
      <c r="CG74" s="15" t="n">
        <f aca="false">Y74*MAX(0,Parametri_v3!$C$12-IF(P74=0,0,MIN(1,BE74/(P74*Parametri_v3!$C$22))))+W74*Parametri_v3!$C$13+X74*Parametri_v3!$C$14</f>
        <v>7037.03703703704</v>
      </c>
      <c r="CH74" s="15" t="n">
        <f aca="false">AB74*Parametri_v3!$C$32</f>
        <v>895.833333333334</v>
      </c>
      <c r="CI74" s="15" t="n">
        <f aca="false">AC74*Parametri_v3!$C$32</f>
        <v>262.5</v>
      </c>
      <c r="CJ74" s="15" t="n">
        <f aca="false">CA74-AB74</f>
        <v>9905.80750487329</v>
      </c>
      <c r="CK74" s="15" t="n">
        <f aca="false">CB74-AC74-BH74</f>
        <v>5243.4649122807</v>
      </c>
      <c r="CL74" s="15" t="n">
        <f aca="false">BF74*Ipotesi!$C$73+INDEX(Ipotesi!$C$72:$G$72,1,F74)/12*Ipotesi!D126*Parametri_v3!$C$58+Z74*(1-Parametri_v3!$C$16)</f>
        <v>1860.64814814815</v>
      </c>
      <c r="CM74" s="16" t="n">
        <f aca="false">IF(BF74=0,0,1-CL74/BF74)</f>
        <v>-2.09153846153846</v>
      </c>
    </row>
    <row r="75" customFormat="false" ht="18" hidden="false" customHeight="true" outlineLevel="0" collapsed="false">
      <c r="A75" s="68" t="n">
        <f aca="false">2</f>
        <v>2</v>
      </c>
      <c r="B75" s="68" t="n">
        <f aca="false">11</f>
        <v>11</v>
      </c>
      <c r="C75" s="18" t="n">
        <f aca="false">EDATE(Parametri_v3!$C$5,11-1)</f>
        <v>46692</v>
      </c>
      <c r="D75" s="68" t="n">
        <f aca="false">YEAR(C75)</f>
        <v>2027</v>
      </c>
      <c r="E75" s="68" t="n">
        <f aca="false">MONTH(C75)</f>
        <v>11</v>
      </c>
      <c r="F75" s="68" t="n">
        <f aca="false">INT((11-1)/12)+1</f>
        <v>1</v>
      </c>
      <c r="G75" s="15" t="n">
        <f aca="false">Ipotesi!D7</f>
        <v>1</v>
      </c>
      <c r="H75" s="15" t="n">
        <f aca="false">Ipotesi!D9</f>
        <v>1</v>
      </c>
      <c r="I75" s="15" t="n">
        <f aca="false">Ipotesi!D10</f>
        <v>1</v>
      </c>
      <c r="J75" s="15" t="n">
        <f aca="false">Ipotesi!D11</f>
        <v>1</v>
      </c>
      <c r="K75" s="15" t="n">
        <f aca="false">Ipotesi!D12</f>
        <v>1</v>
      </c>
      <c r="L75" s="15" t="n">
        <f aca="false">Ipotesi!D13</f>
        <v>90</v>
      </c>
      <c r="M75" s="17" t="n">
        <f aca="false">INDEX(Ipotesi!$C$40:$G$40,1,F75)</f>
        <v>1</v>
      </c>
      <c r="N75" s="17" t="n">
        <f aca="false">INDEX(Ipotesi!$C$41:$G$41,1,F75)</f>
        <v>0.75</v>
      </c>
      <c r="O75" s="17" t="n">
        <f aca="false">INDEX(Ipotesi!$C$42:$G$42,1,F75)*Ipotesi!D125</f>
        <v>1</v>
      </c>
      <c r="P75" s="17" t="n">
        <f aca="false">INDEX(Ipotesi!$C$43:$G$43,1,F75)*I75</f>
        <v>1</v>
      </c>
      <c r="Q75" s="17" t="n">
        <f aca="false">INDEX(Ipotesi!$C$44:$G$44,1,F75)*I75</f>
        <v>0.5</v>
      </c>
      <c r="R75" s="17" t="n">
        <f aca="false">INDEX(Ipotesi!$C$45:$G$45,1,F75)*I75</f>
        <v>0</v>
      </c>
      <c r="S75" s="17" t="n">
        <f aca="false">INDEX(Ipotesi!$C$52:$G$52,1,F75)*Ipotesi!D125</f>
        <v>1.5</v>
      </c>
      <c r="T75" s="17" t="n">
        <f aca="false">INDEX(Ipotesi!$C$53:$G$53,1,F75)*I75</f>
        <v>0</v>
      </c>
      <c r="U75" s="17" t="n">
        <f aca="false">INDEX(Ipotesi!$C$54:$G$54,1,F75)*I75</f>
        <v>0</v>
      </c>
      <c r="V75" s="15" t="n">
        <f aca="false">M75*INDEX(Ipotesi!$C$58:$G$58,1,F75)*K75/12</f>
        <v>3333.33333333333</v>
      </c>
      <c r="W75" s="15" t="n">
        <f aca="false">N75*Ipotesi!$C$59*(1+Ipotesi!$C$66)^(F75-1)/12</f>
        <v>4375</v>
      </c>
      <c r="X75" s="15" t="n">
        <f aca="false">O75*Ipotesi!$C$60*(1+Ipotesi!$C$66)^(F75-1)/12</f>
        <v>4166.66666666667</v>
      </c>
      <c r="Y75" s="15" t="n">
        <f aca="false">P75*Ipotesi!$C$61*(1+Ipotesi!$C$66)^(F75-1)/12</f>
        <v>4166.66666666667</v>
      </c>
      <c r="Z75" s="15" t="n">
        <f aca="false">Q75*Ipotesi!$C$62*(1+Ipotesi!$C$66)^(F75-1)/12</f>
        <v>1875</v>
      </c>
      <c r="AA75" s="15" t="n">
        <f aca="false">R75*Ipotesi!$C$63*(1+Ipotesi!$C$66)^(F75-1)/12</f>
        <v>0</v>
      </c>
      <c r="AB75" s="15" t="n">
        <f aca="false">SUM(V75:AA75)</f>
        <v>17916.6666666667</v>
      </c>
      <c r="AC75" s="15" t="n">
        <f aca="false">(S75*Ipotesi!$C$64+T75*Ipotesi!$C$65+U75*Ipotesi!$C$63)*(1+Ipotesi!$C$66)^(F75-1)/12</f>
        <v>5250</v>
      </c>
      <c r="AD75" s="15" t="n">
        <f aca="false">INDEX(Ipotesi!$C$48:$G$48,1,F75)*G75/12</f>
        <v>16.6666666666667</v>
      </c>
      <c r="AE75" s="15" t="n">
        <f aca="false">INDEX(Ipotesi!$C$50:$G$50,1,F75)*G75/12</f>
        <v>2.08333333333333</v>
      </c>
      <c r="AF75" s="15" t="n">
        <f aca="false">(S75*Parametri_v3!$C$7*Parametri_v3!$C$8+Parametri_v3!$C$10)/12</f>
        <v>19.25</v>
      </c>
      <c r="AG75" s="15" t="n">
        <f aca="false">AD75+AE75*(1+Parametri_v3!$C$9)</f>
        <v>19.7916666666667</v>
      </c>
      <c r="AH75" s="16" t="n">
        <f aca="false">IF(AG75=0,1,MIN(1,AF75/AG75))</f>
        <v>0.972631578947368</v>
      </c>
      <c r="AI75" s="15" t="n">
        <f aca="false">AD75*AH75</f>
        <v>16.2105263157895</v>
      </c>
      <c r="AJ75" s="15" t="n">
        <f aca="false">AE75*AH75</f>
        <v>2.02631578947368</v>
      </c>
      <c r="AK75" s="15" t="n">
        <f aca="false">AI75*INDEX(Ipotesi!$C$49:$G$49,1,F75)*H75</f>
        <v>12157.8947368421</v>
      </c>
      <c r="AL75" s="15" t="n">
        <f aca="false">AJ75*INDEX(Ipotesi!$C$51:$G$51,1,F75)*H75</f>
        <v>4052.63157894737</v>
      </c>
      <c r="AM75" s="15" t="n">
        <f aca="false">AK75+AL75</f>
        <v>16210.5263157895</v>
      </c>
      <c r="AN75" s="15" t="n">
        <f aca="false">INDEX(Ipotesi!$C$30:$G$30,1,F75)*G75/12</f>
        <v>8.33333333333333</v>
      </c>
      <c r="AO75" s="15" t="n">
        <f aca="false">O75*Parametri_v3!$C$7*Parametri_v3!$C$11*(1-Parametri_v3!$C$14)/12</f>
        <v>10.2666666666667</v>
      </c>
      <c r="AP75" s="15" t="n">
        <f aca="false">MIN(AN75,AO75)</f>
        <v>8.33333333333333</v>
      </c>
      <c r="AQ75" s="15" t="n">
        <f aca="false">AP75*INDEX(Ipotesi!$C$31:$G$31,1,F75)*H75</f>
        <v>7500</v>
      </c>
      <c r="AR75" s="15" t="n">
        <f aca="false">INDEX(Ipotesi!$C$75:$G$75,1,F75)*J75/12</f>
        <v>2083.33333333333</v>
      </c>
      <c r="AS75" s="15" t="n">
        <f aca="false">INDEX(Ipotesi!$C$81:$G$81,1,F75)*J75/12</f>
        <v>416.666666666667</v>
      </c>
      <c r="AT75" s="15" t="n">
        <f aca="false">AR75*Parametri_v3!$C$15+Z75*Parametri_v3!$C$16</f>
        <v>3395.83333333333</v>
      </c>
      <c r="AU75" s="15" t="n">
        <f aca="false">Q75*Parametri_v3!$C$16*Parametri_v3!$C$17</f>
        <v>35</v>
      </c>
      <c r="AV75" s="17" t="n">
        <f aca="false">BD74</f>
        <v>3.88888888888889</v>
      </c>
      <c r="AW75" s="17" t="n">
        <f aca="false">AV75*(1-(1-INDEX(Ipotesi!$C$34:$G$34,1,F75))^(1/12))</f>
        <v>0</v>
      </c>
      <c r="AX75" s="15" t="n">
        <f aca="false">ROUND(INDEX(Ipotesi!$C$32:$G$32,1,F75)*Ipotesi!D8,0)</f>
        <v>5</v>
      </c>
      <c r="AY75" s="15" t="n">
        <f aca="false">MAX(0,(AX75-(AV75-AW75))/(13-E75))</f>
        <v>0.555555555555556</v>
      </c>
      <c r="AZ75" s="15" t="n">
        <f aca="false">MIN(P75*Parametri_v3!$C$22,Q75*(1-Parametri_v3!$C$16)*Parametri_v3!$C$23)</f>
        <v>22.5</v>
      </c>
      <c r="BA75" s="15" t="n">
        <f aca="false">IF(OR(INDEX(Ipotesi!$C$35:$G$35,1,F75)&lt;=0,11-Parametri_v3!$C$21&lt;1),0,INDEX($AT$65:$AT$124,MAX(1,11-Parametri_v3!$C$21))/(INDEX(Ipotesi!$C$35:$G$35,1,F75)*Ipotesi!D27))</f>
        <v>0.679166666666667</v>
      </c>
      <c r="BB75" s="15" t="n">
        <f aca="false">IF(11-Parametri_v3!$C$21&lt;1,0,INDEX($AU$65:$AU$124,MAX(1,11-Parametri_v3!$C$21)))*Parametri_v3!$C$18*Parametri_v3!$C$19*Parametri_v3!$C$20</f>
        <v>1.3125</v>
      </c>
      <c r="BC75" s="17" t="n">
        <f aca="false">MAX(0,MIN(AY75,BA75,BB75,MAX(0,AZ75-(AV75-AW75))))</f>
        <v>0.555555555555556</v>
      </c>
      <c r="BD75" s="17" t="n">
        <f aca="false">AV75-AW75+BC75</f>
        <v>4.44444444444445</v>
      </c>
      <c r="BE75" s="17" t="n">
        <f aca="false">(AV75+BD75)/2</f>
        <v>4.16666666666667</v>
      </c>
      <c r="BF75" s="15" t="n">
        <f aca="false">BE75*INDEX(Ipotesi!$C$33:$G$33,1,F75)*H75/12</f>
        <v>694.444444444445</v>
      </c>
      <c r="BG75" s="15" t="n">
        <f aca="false">BD75*INDEX(Ipotesi!$C$33:$G$33,1,F75)*H75</f>
        <v>8888.88888888889</v>
      </c>
      <c r="BH75" s="15" t="n">
        <f aca="false">AM75*INDEX(Ipotesi!$C$37:$G$37,1,F75)</f>
        <v>1621.05263157895</v>
      </c>
      <c r="BI75" s="15" t="n">
        <f aca="false">AQ75+BF75+BH75</f>
        <v>9815.49707602339</v>
      </c>
      <c r="BJ75" s="15" t="n">
        <f aca="false">INDEX(Ipotesi!$C$68:$G$68,1,F75)*Ipotesi!$C$69/12</f>
        <v>1000</v>
      </c>
      <c r="BK75" s="15" t="n">
        <f aca="false">INDEX(Ipotesi!$C$68:$G$68,1,F75)*(1-Ipotesi!$C$69)/12</f>
        <v>1500</v>
      </c>
      <c r="BL75" s="15" t="n">
        <f aca="false">(AQ75+BF75)*Ipotesi!$C$67</f>
        <v>245.833333333333</v>
      </c>
      <c r="BM75" s="15" t="n">
        <f aca="false">AM75*Ipotesi!$C$67</f>
        <v>486.315789473684</v>
      </c>
      <c r="BN75" s="15" t="n">
        <f aca="false">INDEX(Ipotesi!$C$72:$G$72,1,F75)/12*Ipotesi!D126+BF75*Ipotesi!$C$73</f>
        <v>1305.55555555556</v>
      </c>
      <c r="BO75" s="15" t="n">
        <f aca="false">INDEX(Ipotesi!$C$74:$G$74,1,F75)/12*Ipotesi!D126</f>
        <v>1000</v>
      </c>
      <c r="BP75" s="15" t="n">
        <f aca="false">INDEX(Ipotesi!$C$76:$G$76,1,F75)/12</f>
        <v>500</v>
      </c>
      <c r="BQ75" s="15" t="n">
        <f aca="false">INDEX(Ipotesi!$C$77:$G$77,1,F75)/12*Ipotesi!D126</f>
        <v>1250</v>
      </c>
      <c r="BR75" s="15" t="n">
        <f aca="false">INDEX(Ipotesi!$C$78:$G$78,1,F75)/12</f>
        <v>1000</v>
      </c>
      <c r="BS75" s="15" t="n">
        <f aca="false">SUM(M75:R75)*(Ipotesi!$C$85+Ipotesi!$C$86)/12</f>
        <v>1239.58333333333</v>
      </c>
      <c r="BT75" s="15" t="n">
        <f aca="false">BI75*Ipotesi!$C$87</f>
        <v>294.464912280702</v>
      </c>
      <c r="BU75" s="15" t="n">
        <f aca="false">INDEX(Ipotesi!$C$55:$G$55,1,F75)*K75/12</f>
        <v>500</v>
      </c>
      <c r="BV75" s="15" t="n">
        <f aca="false">INDEX(Ipotesi!$C$80:$G$80,1,F75)/12*Ipotesi!D126</f>
        <v>500</v>
      </c>
      <c r="BW75" s="15" t="n">
        <f aca="false">INDEX(Ipotesi!$C$82:$G$82,1,F75)/12</f>
        <v>416.666666666667</v>
      </c>
      <c r="BX75" s="15" t="n">
        <f aca="false">INDEX(Ipotesi!$C$83:$G$83,1,F75)/12</f>
        <v>500</v>
      </c>
      <c r="BY75" s="15" t="n">
        <f aca="false">SUM(S75:U75)*(Ipotesi!$C$85+Ipotesi!$C$86)/12</f>
        <v>437.5</v>
      </c>
      <c r="BZ75" s="15" t="n">
        <f aca="false">AM75*Ipotesi!$C$87</f>
        <v>486.315789473684</v>
      </c>
      <c r="CA75" s="15" t="n">
        <f aca="false">AB75+BJ75+BL75+BN75+BO75+AR75+BP75+BQ75+BR75+BS75+BT75</f>
        <v>27835.4371345029</v>
      </c>
      <c r="CB75" s="15" t="n">
        <f aca="false">AC75+BK75+BM75+BH75+BU75+BV75+AS75+BW75+BX75+BY75+BZ75</f>
        <v>12114.5175438596</v>
      </c>
      <c r="CC75" s="15" t="n">
        <f aca="false">BI75-CA75</f>
        <v>-18019.9400584795</v>
      </c>
      <c r="CD75" s="15" t="n">
        <f aca="false">AM75-CB75</f>
        <v>4096.00877192982</v>
      </c>
      <c r="CE75" s="15" t="n">
        <f aca="false">INDEX(Ipotesi!$C$79:$G$79,1,F75)/12</f>
        <v>1666.66666666667</v>
      </c>
      <c r="CF75" s="15" t="n">
        <f aca="false">INDEX(Ipotesi!$C$84:$G$84,1,F75)/12</f>
        <v>250</v>
      </c>
      <c r="CG75" s="15" t="n">
        <f aca="false">Y75*MAX(0,Parametri_v3!$C$12-IF(P75=0,0,MIN(1,BE75/(P75*Parametri_v3!$C$22))))+W75*Parametri_v3!$C$13+X75*Parametri_v3!$C$14</f>
        <v>7013.88888888889</v>
      </c>
      <c r="CH75" s="15" t="n">
        <f aca="false">AB75*Parametri_v3!$C$32</f>
        <v>895.833333333334</v>
      </c>
      <c r="CI75" s="15" t="n">
        <f aca="false">AC75*Parametri_v3!$C$32</f>
        <v>262.5</v>
      </c>
      <c r="CJ75" s="15" t="n">
        <f aca="false">CA75-AB75</f>
        <v>9918.77046783625</v>
      </c>
      <c r="CK75" s="15" t="n">
        <f aca="false">CB75-AC75-BH75</f>
        <v>5243.4649122807</v>
      </c>
      <c r="CL75" s="15" t="n">
        <f aca="false">BF75*Ipotesi!$C$73+INDEX(Ipotesi!$C$72:$G$72,1,F75)/12*Ipotesi!D126*Parametri_v3!$C$58+Z75*(1-Parametri_v3!$C$16)</f>
        <v>1868.05555555556</v>
      </c>
      <c r="CM75" s="16" t="n">
        <f aca="false">IF(BF75=0,0,1-CL75/BF75)</f>
        <v>-1.69</v>
      </c>
    </row>
    <row r="76" customFormat="false" ht="18" hidden="false" customHeight="true" outlineLevel="0" collapsed="false">
      <c r="A76" s="68" t="n">
        <f aca="false">2</f>
        <v>2</v>
      </c>
      <c r="B76" s="68" t="n">
        <f aca="false">12</f>
        <v>12</v>
      </c>
      <c r="C76" s="18" t="n">
        <f aca="false">EDATE(Parametri_v3!$C$5,12-1)</f>
        <v>46722</v>
      </c>
      <c r="D76" s="68" t="n">
        <f aca="false">YEAR(C76)</f>
        <v>2027</v>
      </c>
      <c r="E76" s="68" t="n">
        <f aca="false">MONTH(C76)</f>
        <v>12</v>
      </c>
      <c r="F76" s="68" t="n">
        <f aca="false">INT((12-1)/12)+1</f>
        <v>1</v>
      </c>
      <c r="G76" s="15" t="n">
        <f aca="false">Ipotesi!D7</f>
        <v>1</v>
      </c>
      <c r="H76" s="15" t="n">
        <f aca="false">Ipotesi!D9</f>
        <v>1</v>
      </c>
      <c r="I76" s="15" t="n">
        <f aca="false">Ipotesi!D10</f>
        <v>1</v>
      </c>
      <c r="J76" s="15" t="n">
        <f aca="false">Ipotesi!D11</f>
        <v>1</v>
      </c>
      <c r="K76" s="15" t="n">
        <f aca="false">Ipotesi!D12</f>
        <v>1</v>
      </c>
      <c r="L76" s="15" t="n">
        <f aca="false">Ipotesi!D13</f>
        <v>90</v>
      </c>
      <c r="M76" s="17" t="n">
        <f aca="false">INDEX(Ipotesi!$C$40:$G$40,1,F76)</f>
        <v>1</v>
      </c>
      <c r="N76" s="17" t="n">
        <f aca="false">INDEX(Ipotesi!$C$41:$G$41,1,F76)</f>
        <v>0.75</v>
      </c>
      <c r="O76" s="17" t="n">
        <f aca="false">INDEX(Ipotesi!$C$42:$G$42,1,F76)*Ipotesi!D125</f>
        <v>1</v>
      </c>
      <c r="P76" s="17" t="n">
        <f aca="false">INDEX(Ipotesi!$C$43:$G$43,1,F76)*I76</f>
        <v>1</v>
      </c>
      <c r="Q76" s="17" t="n">
        <f aca="false">INDEX(Ipotesi!$C$44:$G$44,1,F76)*I76</f>
        <v>0.5</v>
      </c>
      <c r="R76" s="17" t="n">
        <f aca="false">INDEX(Ipotesi!$C$45:$G$45,1,F76)*I76</f>
        <v>0</v>
      </c>
      <c r="S76" s="17" t="n">
        <f aca="false">INDEX(Ipotesi!$C$52:$G$52,1,F76)*Ipotesi!D125</f>
        <v>1.5</v>
      </c>
      <c r="T76" s="17" t="n">
        <f aca="false">INDEX(Ipotesi!$C$53:$G$53,1,F76)*I76</f>
        <v>0</v>
      </c>
      <c r="U76" s="17" t="n">
        <f aca="false">INDEX(Ipotesi!$C$54:$G$54,1,F76)*I76</f>
        <v>0</v>
      </c>
      <c r="V76" s="15" t="n">
        <f aca="false">M76*INDEX(Ipotesi!$C$58:$G$58,1,F76)*K76/12</f>
        <v>3333.33333333333</v>
      </c>
      <c r="W76" s="15" t="n">
        <f aca="false">N76*Ipotesi!$C$59*(1+Ipotesi!$C$66)^(F76-1)/12</f>
        <v>4375</v>
      </c>
      <c r="X76" s="15" t="n">
        <f aca="false">O76*Ipotesi!$C$60*(1+Ipotesi!$C$66)^(F76-1)/12</f>
        <v>4166.66666666667</v>
      </c>
      <c r="Y76" s="15" t="n">
        <f aca="false">P76*Ipotesi!$C$61*(1+Ipotesi!$C$66)^(F76-1)/12</f>
        <v>4166.66666666667</v>
      </c>
      <c r="Z76" s="15" t="n">
        <f aca="false">Q76*Ipotesi!$C$62*(1+Ipotesi!$C$66)^(F76-1)/12</f>
        <v>1875</v>
      </c>
      <c r="AA76" s="15" t="n">
        <f aca="false">R76*Ipotesi!$C$63*(1+Ipotesi!$C$66)^(F76-1)/12</f>
        <v>0</v>
      </c>
      <c r="AB76" s="15" t="n">
        <f aca="false">SUM(V76:AA76)</f>
        <v>17916.6666666667</v>
      </c>
      <c r="AC76" s="15" t="n">
        <f aca="false">(S76*Ipotesi!$C$64+T76*Ipotesi!$C$65+U76*Ipotesi!$C$63)*(1+Ipotesi!$C$66)^(F76-1)/12</f>
        <v>5250</v>
      </c>
      <c r="AD76" s="15" t="n">
        <f aca="false">INDEX(Ipotesi!$C$48:$G$48,1,F76)*G76/12</f>
        <v>16.6666666666667</v>
      </c>
      <c r="AE76" s="15" t="n">
        <f aca="false">INDEX(Ipotesi!$C$50:$G$50,1,F76)*G76/12</f>
        <v>2.08333333333333</v>
      </c>
      <c r="AF76" s="15" t="n">
        <f aca="false">(S76*Parametri_v3!$C$7*Parametri_v3!$C$8+Parametri_v3!$C$10)/12</f>
        <v>19.25</v>
      </c>
      <c r="AG76" s="15" t="n">
        <f aca="false">AD76+AE76*(1+Parametri_v3!$C$9)</f>
        <v>19.7916666666667</v>
      </c>
      <c r="AH76" s="16" t="n">
        <f aca="false">IF(AG76=0,1,MIN(1,AF76/AG76))</f>
        <v>0.972631578947368</v>
      </c>
      <c r="AI76" s="15" t="n">
        <f aca="false">AD76*AH76</f>
        <v>16.2105263157895</v>
      </c>
      <c r="AJ76" s="15" t="n">
        <f aca="false">AE76*AH76</f>
        <v>2.02631578947368</v>
      </c>
      <c r="AK76" s="15" t="n">
        <f aca="false">AI76*INDEX(Ipotesi!$C$49:$G$49,1,F76)*H76</f>
        <v>12157.8947368421</v>
      </c>
      <c r="AL76" s="15" t="n">
        <f aca="false">AJ76*INDEX(Ipotesi!$C$51:$G$51,1,F76)*H76</f>
        <v>4052.63157894737</v>
      </c>
      <c r="AM76" s="15" t="n">
        <f aca="false">AK76+AL76</f>
        <v>16210.5263157895</v>
      </c>
      <c r="AN76" s="15" t="n">
        <f aca="false">INDEX(Ipotesi!$C$30:$G$30,1,F76)*G76/12</f>
        <v>8.33333333333333</v>
      </c>
      <c r="AO76" s="15" t="n">
        <f aca="false">O76*Parametri_v3!$C$7*Parametri_v3!$C$11*(1-Parametri_v3!$C$14)/12</f>
        <v>10.2666666666667</v>
      </c>
      <c r="AP76" s="15" t="n">
        <f aca="false">MIN(AN76,AO76)</f>
        <v>8.33333333333333</v>
      </c>
      <c r="AQ76" s="15" t="n">
        <f aca="false">AP76*INDEX(Ipotesi!$C$31:$G$31,1,F76)*H76</f>
        <v>7500</v>
      </c>
      <c r="AR76" s="15" t="n">
        <f aca="false">INDEX(Ipotesi!$C$75:$G$75,1,F76)*J76/12</f>
        <v>2083.33333333333</v>
      </c>
      <c r="AS76" s="15" t="n">
        <f aca="false">INDEX(Ipotesi!$C$81:$G$81,1,F76)*J76/12</f>
        <v>416.666666666667</v>
      </c>
      <c r="AT76" s="15" t="n">
        <f aca="false">AR76*Parametri_v3!$C$15+Z76*Parametri_v3!$C$16</f>
        <v>3395.83333333333</v>
      </c>
      <c r="AU76" s="15" t="n">
        <f aca="false">Q76*Parametri_v3!$C$16*Parametri_v3!$C$17</f>
        <v>35</v>
      </c>
      <c r="AV76" s="17" t="n">
        <f aca="false">BD75</f>
        <v>4.44444444444445</v>
      </c>
      <c r="AW76" s="17" t="n">
        <f aca="false">AV76*(1-(1-INDEX(Ipotesi!$C$34:$G$34,1,F76))^(1/12))</f>
        <v>0</v>
      </c>
      <c r="AX76" s="15" t="n">
        <f aca="false">ROUND(INDEX(Ipotesi!$C$32:$G$32,1,F76)*Ipotesi!D8,0)</f>
        <v>5</v>
      </c>
      <c r="AY76" s="15" t="n">
        <f aca="false">MAX(0,(AX76-(AV76-AW76))/(13-E76))</f>
        <v>0.555555555555555</v>
      </c>
      <c r="AZ76" s="15" t="n">
        <f aca="false">MIN(P76*Parametri_v3!$C$22,Q76*(1-Parametri_v3!$C$16)*Parametri_v3!$C$23)</f>
        <v>22.5</v>
      </c>
      <c r="BA76" s="15" t="n">
        <f aca="false">IF(OR(INDEX(Ipotesi!$C$35:$G$35,1,F76)&lt;=0,12-Parametri_v3!$C$21&lt;1),0,INDEX($AT$65:$AT$124,MAX(1,12-Parametri_v3!$C$21))/(INDEX(Ipotesi!$C$35:$G$35,1,F76)*Ipotesi!D27))</f>
        <v>0.679166666666667</v>
      </c>
      <c r="BB76" s="15" t="n">
        <f aca="false">IF(12-Parametri_v3!$C$21&lt;1,0,INDEX($AU$65:$AU$124,MAX(1,12-Parametri_v3!$C$21)))*Parametri_v3!$C$18*Parametri_v3!$C$19*Parametri_v3!$C$20</f>
        <v>1.3125</v>
      </c>
      <c r="BC76" s="17" t="n">
        <f aca="false">MAX(0,MIN(AY76,BA76,BB76,MAX(0,AZ76-(AV76-AW76))))</f>
        <v>0.555555555555555</v>
      </c>
      <c r="BD76" s="17" t="n">
        <f aca="false">AV76-AW76+BC76</f>
        <v>5</v>
      </c>
      <c r="BE76" s="17" t="n">
        <f aca="false">(AV76+BD76)/2</f>
        <v>4.72222222222222</v>
      </c>
      <c r="BF76" s="15" t="n">
        <f aca="false">BE76*INDEX(Ipotesi!$C$33:$G$33,1,F76)*H76/12</f>
        <v>787.037037037037</v>
      </c>
      <c r="BG76" s="15" t="n">
        <f aca="false">BD76*INDEX(Ipotesi!$C$33:$G$33,1,F76)*H76</f>
        <v>10000</v>
      </c>
      <c r="BH76" s="15" t="n">
        <f aca="false">AM76*INDEX(Ipotesi!$C$37:$G$37,1,F76)</f>
        <v>1621.05263157895</v>
      </c>
      <c r="BI76" s="15" t="n">
        <f aca="false">AQ76+BF76+BH76</f>
        <v>9908.08966861599</v>
      </c>
      <c r="BJ76" s="15" t="n">
        <f aca="false">INDEX(Ipotesi!$C$68:$G$68,1,F76)*Ipotesi!$C$69/12</f>
        <v>1000</v>
      </c>
      <c r="BK76" s="15" t="n">
        <f aca="false">INDEX(Ipotesi!$C$68:$G$68,1,F76)*(1-Ipotesi!$C$69)/12</f>
        <v>1500</v>
      </c>
      <c r="BL76" s="15" t="n">
        <f aca="false">(AQ76+BF76)*Ipotesi!$C$67</f>
        <v>248.611111111111</v>
      </c>
      <c r="BM76" s="15" t="n">
        <f aca="false">AM76*Ipotesi!$C$67</f>
        <v>486.315789473684</v>
      </c>
      <c r="BN76" s="15" t="n">
        <f aca="false">INDEX(Ipotesi!$C$72:$G$72,1,F76)/12*Ipotesi!D126+BF76*Ipotesi!$C$73</f>
        <v>1312.96296296296</v>
      </c>
      <c r="BO76" s="15" t="n">
        <f aca="false">INDEX(Ipotesi!$C$74:$G$74,1,F76)/12*Ipotesi!D126</f>
        <v>1000</v>
      </c>
      <c r="BP76" s="15" t="n">
        <f aca="false">INDEX(Ipotesi!$C$76:$G$76,1,F76)/12</f>
        <v>500</v>
      </c>
      <c r="BQ76" s="15" t="n">
        <f aca="false">INDEX(Ipotesi!$C$77:$G$77,1,F76)/12*Ipotesi!D126</f>
        <v>1250</v>
      </c>
      <c r="BR76" s="15" t="n">
        <f aca="false">INDEX(Ipotesi!$C$78:$G$78,1,F76)/12</f>
        <v>1000</v>
      </c>
      <c r="BS76" s="15" t="n">
        <f aca="false">SUM(M76:R76)*(Ipotesi!$C$85+Ipotesi!$C$86)/12</f>
        <v>1239.58333333333</v>
      </c>
      <c r="BT76" s="15" t="n">
        <f aca="false">BI76*Ipotesi!$C$87</f>
        <v>297.24269005848</v>
      </c>
      <c r="BU76" s="15" t="n">
        <f aca="false">INDEX(Ipotesi!$C$55:$G$55,1,F76)*K76/12</f>
        <v>500</v>
      </c>
      <c r="BV76" s="15" t="n">
        <f aca="false">INDEX(Ipotesi!$C$80:$G$80,1,F76)/12*Ipotesi!D126</f>
        <v>500</v>
      </c>
      <c r="BW76" s="15" t="n">
        <f aca="false">INDEX(Ipotesi!$C$82:$G$82,1,F76)/12</f>
        <v>416.666666666667</v>
      </c>
      <c r="BX76" s="15" t="n">
        <f aca="false">INDEX(Ipotesi!$C$83:$G$83,1,F76)/12</f>
        <v>500</v>
      </c>
      <c r="BY76" s="15" t="n">
        <f aca="false">SUM(S76:U76)*(Ipotesi!$C$85+Ipotesi!$C$86)/12</f>
        <v>437.5</v>
      </c>
      <c r="BZ76" s="15" t="n">
        <f aca="false">AM76*Ipotesi!$C$87</f>
        <v>486.315789473684</v>
      </c>
      <c r="CA76" s="15" t="n">
        <f aca="false">AB76+BJ76+BL76+BN76+BO76+AR76+BP76+BQ76+BR76+BS76+BT76</f>
        <v>27848.4000974659</v>
      </c>
      <c r="CB76" s="15" t="n">
        <f aca="false">AC76+BK76+BM76+BH76+BU76+BV76+AS76+BW76+BX76+BY76+BZ76</f>
        <v>12114.5175438596</v>
      </c>
      <c r="CC76" s="15" t="n">
        <f aca="false">BI76-CA76</f>
        <v>-17940.3104288499</v>
      </c>
      <c r="CD76" s="15" t="n">
        <f aca="false">AM76-CB76</f>
        <v>4096.00877192982</v>
      </c>
      <c r="CE76" s="15" t="n">
        <f aca="false">INDEX(Ipotesi!$C$79:$G$79,1,F76)/12</f>
        <v>1666.66666666667</v>
      </c>
      <c r="CF76" s="15" t="n">
        <f aca="false">INDEX(Ipotesi!$C$84:$G$84,1,F76)/12</f>
        <v>250</v>
      </c>
      <c r="CG76" s="15" t="n">
        <f aca="false">Y76*MAX(0,Parametri_v3!$C$12-IF(P76=0,0,MIN(1,BE76/(P76*Parametri_v3!$C$22))))+W76*Parametri_v3!$C$13+X76*Parametri_v3!$C$14</f>
        <v>6990.74074074074</v>
      </c>
      <c r="CH76" s="15" t="n">
        <f aca="false">AB76*Parametri_v3!$C$32</f>
        <v>895.833333333334</v>
      </c>
      <c r="CI76" s="15" t="n">
        <f aca="false">AC76*Parametri_v3!$C$32</f>
        <v>262.5</v>
      </c>
      <c r="CJ76" s="15" t="n">
        <f aca="false">CA76-AB76</f>
        <v>9931.73343079922</v>
      </c>
      <c r="CK76" s="15" t="n">
        <f aca="false">CB76-AC76-BH76</f>
        <v>5243.4649122807</v>
      </c>
      <c r="CL76" s="15" t="n">
        <f aca="false">BF76*Ipotesi!$C$73+INDEX(Ipotesi!$C$72:$G$72,1,F76)/12*Ipotesi!D126*Parametri_v3!$C$58+Z76*(1-Parametri_v3!$C$16)</f>
        <v>1875.46296296296</v>
      </c>
      <c r="CM76" s="16" t="n">
        <f aca="false">IF(BF76=0,0,1-CL76/BF76)</f>
        <v>-1.38294117647059</v>
      </c>
    </row>
    <row r="77" customFormat="false" ht="18" hidden="false" customHeight="true" outlineLevel="0" collapsed="false">
      <c r="A77" s="68" t="n">
        <f aca="false">2</f>
        <v>2</v>
      </c>
      <c r="B77" s="68" t="n">
        <f aca="false">13</f>
        <v>13</v>
      </c>
      <c r="C77" s="18" t="n">
        <f aca="false">EDATE(Parametri_v3!$C$5,13-1)</f>
        <v>46753</v>
      </c>
      <c r="D77" s="68" t="n">
        <f aca="false">YEAR(C77)</f>
        <v>2028</v>
      </c>
      <c r="E77" s="68" t="n">
        <f aca="false">MONTH(C77)</f>
        <v>1</v>
      </c>
      <c r="F77" s="68" t="n">
        <f aca="false">INT((13-1)/12)+1</f>
        <v>2</v>
      </c>
      <c r="G77" s="15" t="n">
        <f aca="false">Ipotesi!D7</f>
        <v>1</v>
      </c>
      <c r="H77" s="15" t="n">
        <f aca="false">Ipotesi!D9</f>
        <v>1</v>
      </c>
      <c r="I77" s="15" t="n">
        <f aca="false">Ipotesi!D10</f>
        <v>1</v>
      </c>
      <c r="J77" s="15" t="n">
        <f aca="false">Ipotesi!D11</f>
        <v>1</v>
      </c>
      <c r="K77" s="15" t="n">
        <f aca="false">Ipotesi!D12</f>
        <v>1</v>
      </c>
      <c r="L77" s="15" t="n">
        <f aca="false">Ipotesi!D13</f>
        <v>90</v>
      </c>
      <c r="M77" s="17" t="n">
        <f aca="false">INDEX(Ipotesi!$C$40:$G$40,1,F77)</f>
        <v>1</v>
      </c>
      <c r="N77" s="17" t="n">
        <f aca="false">INDEX(Ipotesi!$C$41:$G$41,1,F77)</f>
        <v>1</v>
      </c>
      <c r="O77" s="17" t="n">
        <f aca="false">INDEX(Ipotesi!$C$42:$G$42,1,F77)*Ipotesi!D125</f>
        <v>2.5</v>
      </c>
      <c r="P77" s="17" t="n">
        <f aca="false">INDEX(Ipotesi!$C$43:$G$43,1,F77)*I77</f>
        <v>2.5</v>
      </c>
      <c r="Q77" s="17" t="n">
        <f aca="false">INDEX(Ipotesi!$C$44:$G$44,1,F77)*I77</f>
        <v>1.5</v>
      </c>
      <c r="R77" s="17" t="n">
        <f aca="false">INDEX(Ipotesi!$C$45:$G$45,1,F77)*I77</f>
        <v>0.5</v>
      </c>
      <c r="S77" s="17" t="n">
        <f aca="false">INDEX(Ipotesi!$C$52:$G$52,1,F77)*Ipotesi!D125</f>
        <v>3</v>
      </c>
      <c r="T77" s="17" t="n">
        <f aca="false">INDEX(Ipotesi!$C$53:$G$53,1,F77)*I77</f>
        <v>1</v>
      </c>
      <c r="U77" s="17" t="n">
        <f aca="false">INDEX(Ipotesi!$C$54:$G$54,1,F77)*I77</f>
        <v>0</v>
      </c>
      <c r="V77" s="15" t="n">
        <f aca="false">M77*INDEX(Ipotesi!$C$58:$G$58,1,F77)*K77/12</f>
        <v>5000</v>
      </c>
      <c r="W77" s="15" t="n">
        <f aca="false">N77*Ipotesi!$C$59*(1+Ipotesi!$C$66)^(F77-1)/12</f>
        <v>6008.33333333333</v>
      </c>
      <c r="X77" s="15" t="n">
        <f aca="false">O77*Ipotesi!$C$60*(1+Ipotesi!$C$66)^(F77-1)/12</f>
        <v>10729.1666666667</v>
      </c>
      <c r="Y77" s="15" t="n">
        <f aca="false">P77*Ipotesi!$C$61*(1+Ipotesi!$C$66)^(F77-1)/12</f>
        <v>10729.1666666667</v>
      </c>
      <c r="Z77" s="15" t="n">
        <f aca="false">Q77*Ipotesi!$C$62*(1+Ipotesi!$C$66)^(F77-1)/12</f>
        <v>5793.75</v>
      </c>
      <c r="AA77" s="15" t="n">
        <f aca="false">R77*Ipotesi!$C$63*(1+Ipotesi!$C$66)^(F77-1)/12</f>
        <v>1502.08333333333</v>
      </c>
      <c r="AB77" s="15" t="n">
        <f aca="false">SUM(V77:AA77)</f>
        <v>39762.5</v>
      </c>
      <c r="AC77" s="15" t="n">
        <f aca="false">(S77*Ipotesi!$C$64+T77*Ipotesi!$C$65+U77*Ipotesi!$C$63)*(1+Ipotesi!$C$66)^(F77-1)/12</f>
        <v>15965</v>
      </c>
      <c r="AD77" s="15" t="n">
        <f aca="false">INDEX(Ipotesi!$C$48:$G$48,1,F77)*G77/12</f>
        <v>37.5</v>
      </c>
      <c r="AE77" s="15" t="n">
        <f aca="false">INDEX(Ipotesi!$C$50:$G$50,1,F77)*G77/12</f>
        <v>4.58333333333333</v>
      </c>
      <c r="AF77" s="15" t="n">
        <f aca="false">(S77*Parametri_v3!$C$7*Parametri_v3!$C$8+Parametri_v3!$C$10)/12</f>
        <v>38.5</v>
      </c>
      <c r="AG77" s="15" t="n">
        <f aca="false">AD77+AE77*(1+Parametri_v3!$C$9)</f>
        <v>44.375</v>
      </c>
      <c r="AH77" s="16" t="n">
        <f aca="false">IF(AG77=0,1,MIN(1,AF77/AG77))</f>
        <v>0.867605633802817</v>
      </c>
      <c r="AI77" s="15" t="n">
        <f aca="false">AD77*AH77</f>
        <v>32.5352112676056</v>
      </c>
      <c r="AJ77" s="15" t="n">
        <f aca="false">AE77*AH77</f>
        <v>3.97652582159624</v>
      </c>
      <c r="AK77" s="15" t="n">
        <f aca="false">AI77*INDEX(Ipotesi!$C$49:$G$49,1,F77)*H77</f>
        <v>26028.1690140845</v>
      </c>
      <c r="AL77" s="15" t="n">
        <f aca="false">AJ77*INDEX(Ipotesi!$C$51:$G$51,1,F77)*H77</f>
        <v>7953.05164319249</v>
      </c>
      <c r="AM77" s="15" t="n">
        <f aca="false">AK77+AL77</f>
        <v>33981.220657277</v>
      </c>
      <c r="AN77" s="15" t="n">
        <f aca="false">INDEX(Ipotesi!$C$30:$G$30,1,F77)*G77/12</f>
        <v>22.5</v>
      </c>
      <c r="AO77" s="15" t="n">
        <f aca="false">O77*Parametri_v3!$C$7*Parametri_v3!$C$11*(1-Parametri_v3!$C$14)/12</f>
        <v>25.6666666666667</v>
      </c>
      <c r="AP77" s="15" t="n">
        <f aca="false">MIN(AN77,AO77)</f>
        <v>22.5</v>
      </c>
      <c r="AQ77" s="15" t="n">
        <f aca="false">AP77*INDEX(Ipotesi!$C$31:$G$31,1,F77)*H77</f>
        <v>21375</v>
      </c>
      <c r="AR77" s="15" t="n">
        <f aca="false">INDEX(Ipotesi!$C$75:$G$75,1,F77)*J77/12</f>
        <v>4583.33333333333</v>
      </c>
      <c r="AS77" s="15" t="n">
        <f aca="false">INDEX(Ipotesi!$C$81:$G$81,1,F77)*J77/12</f>
        <v>833.333333333333</v>
      </c>
      <c r="AT77" s="15" t="n">
        <f aca="false">AR77*Parametri_v3!$C$15+Z77*Parametri_v3!$C$16</f>
        <v>8638.95833333333</v>
      </c>
      <c r="AU77" s="15" t="n">
        <f aca="false">Q77*Parametri_v3!$C$16*Parametri_v3!$C$17</f>
        <v>105</v>
      </c>
      <c r="AV77" s="17" t="n">
        <f aca="false">BD76</f>
        <v>5</v>
      </c>
      <c r="AW77" s="17" t="n">
        <f aca="false">AV77*(1-(1-INDEX(Ipotesi!$C$34:$G$34,1,F77))^(1/12))</f>
        <v>0.0437080547734836</v>
      </c>
      <c r="AX77" s="15" t="n">
        <f aca="false">ROUND(INDEX(Ipotesi!$C$32:$G$32,1,F77)*Ipotesi!D8,0)</f>
        <v>35</v>
      </c>
      <c r="AY77" s="15" t="n">
        <f aca="false">MAX(0,(AX77-(AV77-AW77))/(13-E77))</f>
        <v>2.50364233789779</v>
      </c>
      <c r="AZ77" s="15" t="n">
        <f aca="false">MIN(P77*Parametri_v3!$C$22,Q77*(1-Parametri_v3!$C$16)*Parametri_v3!$C$23)</f>
        <v>67.5</v>
      </c>
      <c r="BA77" s="15" t="n">
        <f aca="false">IF(OR(INDEX(Ipotesi!$C$35:$G$35,1,F77)&lt;=0,13-Parametri_v3!$C$21&lt;1),0,INDEX($AT$65:$AT$124,MAX(1,13-Parametri_v3!$C$21))/(INDEX(Ipotesi!$C$35:$G$35,1,F77)*Ipotesi!D27))</f>
        <v>1.13194444444444</v>
      </c>
      <c r="BB77" s="15" t="n">
        <f aca="false">IF(13-Parametri_v3!$C$21&lt;1,0,INDEX($AU$65:$AU$124,MAX(1,13-Parametri_v3!$C$21)))*Parametri_v3!$C$18*Parametri_v3!$C$19*Parametri_v3!$C$20</f>
        <v>1.3125</v>
      </c>
      <c r="BC77" s="17" t="n">
        <f aca="false">MAX(0,MIN(AY77,BA77,BB77,MAX(0,AZ77-(AV77-AW77))))</f>
        <v>1.13194444444444</v>
      </c>
      <c r="BD77" s="17" t="n">
        <f aca="false">AV77-AW77+BC77</f>
        <v>6.08823638967096</v>
      </c>
      <c r="BE77" s="17" t="n">
        <f aca="false">(AV77+BD77)/2</f>
        <v>5.54411819483548</v>
      </c>
      <c r="BF77" s="15" t="n">
        <f aca="false">BE77*INDEX(Ipotesi!$C$33:$G$33,1,F77)*H77/12</f>
        <v>1848.03939827849</v>
      </c>
      <c r="BG77" s="15" t="n">
        <f aca="false">BD77*INDEX(Ipotesi!$C$33:$G$33,1,F77)*H77</f>
        <v>24352.9455586838</v>
      </c>
      <c r="BH77" s="15" t="n">
        <f aca="false">AM77*INDEX(Ipotesi!$C$37:$G$37,1,F77)</f>
        <v>3398.1220657277</v>
      </c>
      <c r="BI77" s="15" t="n">
        <f aca="false">AQ77+BF77+BH77</f>
        <v>26621.1614640062</v>
      </c>
      <c r="BJ77" s="15" t="n">
        <f aca="false">INDEX(Ipotesi!$C$68:$G$68,1,F77)*Ipotesi!$C$69/12</f>
        <v>1600</v>
      </c>
      <c r="BK77" s="15" t="n">
        <f aca="false">INDEX(Ipotesi!$C$68:$G$68,1,F77)*(1-Ipotesi!$C$69)/12</f>
        <v>2400</v>
      </c>
      <c r="BL77" s="15" t="n">
        <f aca="false">(AQ77+BF77)*Ipotesi!$C$67</f>
        <v>696.691181948355</v>
      </c>
      <c r="BM77" s="15" t="n">
        <f aca="false">AM77*Ipotesi!$C$67</f>
        <v>1019.43661971831</v>
      </c>
      <c r="BN77" s="15" t="n">
        <f aca="false">INDEX(Ipotesi!$C$72:$G$72,1,F77)/12*Ipotesi!D126+BF77*Ipotesi!$C$73</f>
        <v>1397.84315186228</v>
      </c>
      <c r="BO77" s="15" t="n">
        <f aca="false">INDEX(Ipotesi!$C$74:$G$74,1,F77)/12*Ipotesi!D126</f>
        <v>1833.33333333333</v>
      </c>
      <c r="BP77" s="15" t="n">
        <f aca="false">INDEX(Ipotesi!$C$76:$G$76,1,F77)/12</f>
        <v>750</v>
      </c>
      <c r="BQ77" s="15" t="n">
        <f aca="false">INDEX(Ipotesi!$C$77:$G$77,1,F77)/12*Ipotesi!D126</f>
        <v>1666.66666666667</v>
      </c>
      <c r="BR77" s="15" t="n">
        <f aca="false">INDEX(Ipotesi!$C$78:$G$78,1,F77)/12</f>
        <v>1250</v>
      </c>
      <c r="BS77" s="15" t="n">
        <f aca="false">SUM(M77:R77)*(Ipotesi!$C$85+Ipotesi!$C$86)/12</f>
        <v>2625</v>
      </c>
      <c r="BT77" s="15" t="n">
        <f aca="false">BI77*Ipotesi!$C$87</f>
        <v>798.634843920186</v>
      </c>
      <c r="BU77" s="15" t="n">
        <f aca="false">INDEX(Ipotesi!$C$55:$G$55,1,F77)*K77/12</f>
        <v>1000</v>
      </c>
      <c r="BV77" s="15" t="n">
        <f aca="false">INDEX(Ipotesi!$C$80:$G$80,1,F77)/12*Ipotesi!D126</f>
        <v>833.333333333333</v>
      </c>
      <c r="BW77" s="15" t="n">
        <f aca="false">INDEX(Ipotesi!$C$82:$G$82,1,F77)/12</f>
        <v>666.666666666667</v>
      </c>
      <c r="BX77" s="15" t="n">
        <f aca="false">INDEX(Ipotesi!$C$83:$G$83,1,F77)/12</f>
        <v>583.333333333333</v>
      </c>
      <c r="BY77" s="15" t="n">
        <f aca="false">SUM(S77:U77)*(Ipotesi!$C$85+Ipotesi!$C$86)/12</f>
        <v>1166.66666666667</v>
      </c>
      <c r="BZ77" s="15" t="n">
        <f aca="false">AM77*Ipotesi!$C$87</f>
        <v>1019.43661971831</v>
      </c>
      <c r="CA77" s="15" t="n">
        <f aca="false">AB77+BJ77+BL77+BN77+BO77+AR77+BP77+BQ77+BR77+BS77+BT77</f>
        <v>56964.0025110642</v>
      </c>
      <c r="CB77" s="15" t="n">
        <f aca="false">AC77+BK77+BM77+BH77+BU77+BV77+AS77+BW77+BX77+BY77+BZ77</f>
        <v>28885.3286384976</v>
      </c>
      <c r="CC77" s="15" t="n">
        <f aca="false">BI77-CA77</f>
        <v>-30342.841047058</v>
      </c>
      <c r="CD77" s="15" t="n">
        <f aca="false">AM77-CB77</f>
        <v>5095.89201877934</v>
      </c>
      <c r="CE77" s="15" t="n">
        <f aca="false">INDEX(Ipotesi!$C$79:$G$79,1,F77)/12</f>
        <v>2083.33333333333</v>
      </c>
      <c r="CF77" s="15" t="n">
        <f aca="false">INDEX(Ipotesi!$C$84:$G$84,1,F77)/12</f>
        <v>416.666666666667</v>
      </c>
      <c r="CG77" s="15" t="n">
        <f aca="false">Y77*MAX(0,Parametri_v3!$C$12-IF(P77=0,0,MIN(1,BE77/(P77*Parametri_v3!$C$22))))+W77*Parametri_v3!$C$13+X77*Parametri_v3!$C$14</f>
        <v>15641.2315941383</v>
      </c>
      <c r="CH77" s="15" t="n">
        <f aca="false">AB77*Parametri_v3!$C$32</f>
        <v>1988.125</v>
      </c>
      <c r="CI77" s="15" t="n">
        <f aca="false">AC77*Parametri_v3!$C$32</f>
        <v>798.25</v>
      </c>
      <c r="CJ77" s="15" t="n">
        <f aca="false">CA77-AB77</f>
        <v>17201.5025110642</v>
      </c>
      <c r="CK77" s="15" t="n">
        <f aca="false">CB77-AC77-BH77</f>
        <v>9522.20657276995</v>
      </c>
      <c r="CL77" s="15" t="n">
        <f aca="false">BF77*Ipotesi!$C$73+INDEX(Ipotesi!$C$72:$G$72,1,F77)/12*Ipotesi!D126*Parametri_v3!$C$58+Z77*(1-Parametri_v3!$C$16)</f>
        <v>3135.96815186228</v>
      </c>
      <c r="CM77" s="16" t="n">
        <f aca="false">IF(BF77=0,0,1-CL77/BF77)</f>
        <v>-0.696916285866812</v>
      </c>
    </row>
    <row r="78" customFormat="false" ht="18" hidden="false" customHeight="true" outlineLevel="0" collapsed="false">
      <c r="A78" s="68" t="n">
        <f aca="false">2</f>
        <v>2</v>
      </c>
      <c r="B78" s="68" t="n">
        <f aca="false">14</f>
        <v>14</v>
      </c>
      <c r="C78" s="18" t="n">
        <f aca="false">EDATE(Parametri_v3!$C$5,14-1)</f>
        <v>46784</v>
      </c>
      <c r="D78" s="68" t="n">
        <f aca="false">YEAR(C78)</f>
        <v>2028</v>
      </c>
      <c r="E78" s="68" t="n">
        <f aca="false">MONTH(C78)</f>
        <v>2</v>
      </c>
      <c r="F78" s="68" t="n">
        <f aca="false">INT((14-1)/12)+1</f>
        <v>2</v>
      </c>
      <c r="G78" s="15" t="n">
        <f aca="false">Ipotesi!D7</f>
        <v>1</v>
      </c>
      <c r="H78" s="15" t="n">
        <f aca="false">Ipotesi!D9</f>
        <v>1</v>
      </c>
      <c r="I78" s="15" t="n">
        <f aca="false">Ipotesi!D10</f>
        <v>1</v>
      </c>
      <c r="J78" s="15" t="n">
        <f aca="false">Ipotesi!D11</f>
        <v>1</v>
      </c>
      <c r="K78" s="15" t="n">
        <f aca="false">Ipotesi!D12</f>
        <v>1</v>
      </c>
      <c r="L78" s="15" t="n">
        <f aca="false">Ipotesi!D13</f>
        <v>90</v>
      </c>
      <c r="M78" s="17" t="n">
        <f aca="false">INDEX(Ipotesi!$C$40:$G$40,1,F78)</f>
        <v>1</v>
      </c>
      <c r="N78" s="17" t="n">
        <f aca="false">INDEX(Ipotesi!$C$41:$G$41,1,F78)</f>
        <v>1</v>
      </c>
      <c r="O78" s="17" t="n">
        <f aca="false">INDEX(Ipotesi!$C$42:$G$42,1,F78)*Ipotesi!D125</f>
        <v>2.5</v>
      </c>
      <c r="P78" s="17" t="n">
        <f aca="false">INDEX(Ipotesi!$C$43:$G$43,1,F78)*I78</f>
        <v>2.5</v>
      </c>
      <c r="Q78" s="17" t="n">
        <f aca="false">INDEX(Ipotesi!$C$44:$G$44,1,F78)*I78</f>
        <v>1.5</v>
      </c>
      <c r="R78" s="17" t="n">
        <f aca="false">INDEX(Ipotesi!$C$45:$G$45,1,F78)*I78</f>
        <v>0.5</v>
      </c>
      <c r="S78" s="17" t="n">
        <f aca="false">INDEX(Ipotesi!$C$52:$G$52,1,F78)*Ipotesi!D125</f>
        <v>3</v>
      </c>
      <c r="T78" s="17" t="n">
        <f aca="false">INDEX(Ipotesi!$C$53:$G$53,1,F78)*I78</f>
        <v>1</v>
      </c>
      <c r="U78" s="17" t="n">
        <f aca="false">INDEX(Ipotesi!$C$54:$G$54,1,F78)*I78</f>
        <v>0</v>
      </c>
      <c r="V78" s="15" t="n">
        <f aca="false">M78*INDEX(Ipotesi!$C$58:$G$58,1,F78)*K78/12</f>
        <v>5000</v>
      </c>
      <c r="W78" s="15" t="n">
        <f aca="false">N78*Ipotesi!$C$59*(1+Ipotesi!$C$66)^(F78-1)/12</f>
        <v>6008.33333333333</v>
      </c>
      <c r="X78" s="15" t="n">
        <f aca="false">O78*Ipotesi!$C$60*(1+Ipotesi!$C$66)^(F78-1)/12</f>
        <v>10729.1666666667</v>
      </c>
      <c r="Y78" s="15" t="n">
        <f aca="false">P78*Ipotesi!$C$61*(1+Ipotesi!$C$66)^(F78-1)/12</f>
        <v>10729.1666666667</v>
      </c>
      <c r="Z78" s="15" t="n">
        <f aca="false">Q78*Ipotesi!$C$62*(1+Ipotesi!$C$66)^(F78-1)/12</f>
        <v>5793.75</v>
      </c>
      <c r="AA78" s="15" t="n">
        <f aca="false">R78*Ipotesi!$C$63*(1+Ipotesi!$C$66)^(F78-1)/12</f>
        <v>1502.08333333333</v>
      </c>
      <c r="AB78" s="15" t="n">
        <f aca="false">SUM(V78:AA78)</f>
        <v>39762.5</v>
      </c>
      <c r="AC78" s="15" t="n">
        <f aca="false">(S78*Ipotesi!$C$64+T78*Ipotesi!$C$65+U78*Ipotesi!$C$63)*(1+Ipotesi!$C$66)^(F78-1)/12</f>
        <v>15965</v>
      </c>
      <c r="AD78" s="15" t="n">
        <f aca="false">INDEX(Ipotesi!$C$48:$G$48,1,F78)*G78/12</f>
        <v>37.5</v>
      </c>
      <c r="AE78" s="15" t="n">
        <f aca="false">INDEX(Ipotesi!$C$50:$G$50,1,F78)*G78/12</f>
        <v>4.58333333333333</v>
      </c>
      <c r="AF78" s="15" t="n">
        <f aca="false">(S78*Parametri_v3!$C$7*Parametri_v3!$C$8+Parametri_v3!$C$10)/12</f>
        <v>38.5</v>
      </c>
      <c r="AG78" s="15" t="n">
        <f aca="false">AD78+AE78*(1+Parametri_v3!$C$9)</f>
        <v>44.375</v>
      </c>
      <c r="AH78" s="16" t="n">
        <f aca="false">IF(AG78=0,1,MIN(1,AF78/AG78))</f>
        <v>0.867605633802817</v>
      </c>
      <c r="AI78" s="15" t="n">
        <f aca="false">AD78*AH78</f>
        <v>32.5352112676056</v>
      </c>
      <c r="AJ78" s="15" t="n">
        <f aca="false">AE78*AH78</f>
        <v>3.97652582159624</v>
      </c>
      <c r="AK78" s="15" t="n">
        <f aca="false">AI78*INDEX(Ipotesi!$C$49:$G$49,1,F78)*H78</f>
        <v>26028.1690140845</v>
      </c>
      <c r="AL78" s="15" t="n">
        <f aca="false">AJ78*INDEX(Ipotesi!$C$51:$G$51,1,F78)*H78</f>
        <v>7953.05164319249</v>
      </c>
      <c r="AM78" s="15" t="n">
        <f aca="false">AK78+AL78</f>
        <v>33981.220657277</v>
      </c>
      <c r="AN78" s="15" t="n">
        <f aca="false">INDEX(Ipotesi!$C$30:$G$30,1,F78)*G78/12</f>
        <v>22.5</v>
      </c>
      <c r="AO78" s="15" t="n">
        <f aca="false">O78*Parametri_v3!$C$7*Parametri_v3!$C$11*(1-Parametri_v3!$C$14)/12</f>
        <v>25.6666666666667</v>
      </c>
      <c r="AP78" s="15" t="n">
        <f aca="false">MIN(AN78,AO78)</f>
        <v>22.5</v>
      </c>
      <c r="AQ78" s="15" t="n">
        <f aca="false">AP78*INDEX(Ipotesi!$C$31:$G$31,1,F78)*H78</f>
        <v>21375</v>
      </c>
      <c r="AR78" s="15" t="n">
        <f aca="false">INDEX(Ipotesi!$C$75:$G$75,1,F78)*J78/12</f>
        <v>4583.33333333333</v>
      </c>
      <c r="AS78" s="15" t="n">
        <f aca="false">INDEX(Ipotesi!$C$81:$G$81,1,F78)*J78/12</f>
        <v>833.333333333333</v>
      </c>
      <c r="AT78" s="15" t="n">
        <f aca="false">AR78*Parametri_v3!$C$15+Z78*Parametri_v3!$C$16</f>
        <v>8638.95833333333</v>
      </c>
      <c r="AU78" s="15" t="n">
        <f aca="false">Q78*Parametri_v3!$C$16*Parametri_v3!$C$17</f>
        <v>105</v>
      </c>
      <c r="AV78" s="17" t="n">
        <f aca="false">BD77</f>
        <v>6.08823638967096</v>
      </c>
      <c r="AW78" s="17" t="n">
        <f aca="false">AV78*(1-(1-INDEX(Ipotesi!$C$34:$G$34,1,F78))^(1/12))</f>
        <v>0.0532209939187309</v>
      </c>
      <c r="AX78" s="15" t="n">
        <f aca="false">ROUND(INDEX(Ipotesi!$C$32:$G$32,1,F78)*Ipotesi!D8,0)</f>
        <v>35</v>
      </c>
      <c r="AY78" s="15" t="n">
        <f aca="false">MAX(0,(AX78-(AV78-AW78))/(13-E78))</f>
        <v>2.63318041856798</v>
      </c>
      <c r="AZ78" s="15" t="n">
        <f aca="false">MIN(P78*Parametri_v3!$C$22,Q78*(1-Parametri_v3!$C$16)*Parametri_v3!$C$23)</f>
        <v>67.5</v>
      </c>
      <c r="BA78" s="15" t="n">
        <f aca="false">IF(OR(INDEX(Ipotesi!$C$35:$G$35,1,F78)&lt;=0,14-Parametri_v3!$C$21&lt;1),0,INDEX($AT$65:$AT$124,MAX(1,14-Parametri_v3!$C$21))/(INDEX(Ipotesi!$C$35:$G$35,1,F78)*Ipotesi!D27))</f>
        <v>1.13194444444444</v>
      </c>
      <c r="BB78" s="15" t="n">
        <f aca="false">IF(14-Parametri_v3!$C$21&lt;1,0,INDEX($AU$65:$AU$124,MAX(1,14-Parametri_v3!$C$21)))*Parametri_v3!$C$18*Parametri_v3!$C$19*Parametri_v3!$C$20</f>
        <v>1.3125</v>
      </c>
      <c r="BC78" s="17" t="n">
        <f aca="false">MAX(0,MIN(AY78,BA78,BB78,MAX(0,AZ78-(AV78-AW78))))</f>
        <v>1.13194444444444</v>
      </c>
      <c r="BD78" s="17" t="n">
        <f aca="false">AV78-AW78+BC78</f>
        <v>7.16695984019667</v>
      </c>
      <c r="BE78" s="17" t="n">
        <f aca="false">(AV78+BD78)/2</f>
        <v>6.62759811493382</v>
      </c>
      <c r="BF78" s="15" t="n">
        <f aca="false">BE78*INDEX(Ipotesi!$C$33:$G$33,1,F78)*H78/12</f>
        <v>2209.19937164461</v>
      </c>
      <c r="BG78" s="15" t="n">
        <f aca="false">BD78*INDEX(Ipotesi!$C$33:$G$33,1,F78)*H78</f>
        <v>28667.8393607867</v>
      </c>
      <c r="BH78" s="15" t="n">
        <f aca="false">AM78*INDEX(Ipotesi!$C$37:$G$37,1,F78)</f>
        <v>3398.1220657277</v>
      </c>
      <c r="BI78" s="15" t="n">
        <f aca="false">AQ78+BF78+BH78</f>
        <v>26982.3214373723</v>
      </c>
      <c r="BJ78" s="15" t="n">
        <f aca="false">INDEX(Ipotesi!$C$68:$G$68,1,F78)*Ipotesi!$C$69/12</f>
        <v>1600</v>
      </c>
      <c r="BK78" s="15" t="n">
        <f aca="false">INDEX(Ipotesi!$C$68:$G$68,1,F78)*(1-Ipotesi!$C$69)/12</f>
        <v>2400</v>
      </c>
      <c r="BL78" s="15" t="n">
        <f aca="false">(AQ78+BF78)*Ipotesi!$C$67</f>
        <v>707.525981149338</v>
      </c>
      <c r="BM78" s="15" t="n">
        <f aca="false">AM78*Ipotesi!$C$67</f>
        <v>1019.43661971831</v>
      </c>
      <c r="BN78" s="15" t="n">
        <f aca="false">INDEX(Ipotesi!$C$72:$G$72,1,F78)/12*Ipotesi!D126+BF78*Ipotesi!$C$73</f>
        <v>1426.73594973157</v>
      </c>
      <c r="BO78" s="15" t="n">
        <f aca="false">INDEX(Ipotesi!$C$74:$G$74,1,F78)/12*Ipotesi!D126</f>
        <v>1833.33333333333</v>
      </c>
      <c r="BP78" s="15" t="n">
        <f aca="false">INDEX(Ipotesi!$C$76:$G$76,1,F78)/12</f>
        <v>750</v>
      </c>
      <c r="BQ78" s="15" t="n">
        <f aca="false">INDEX(Ipotesi!$C$77:$G$77,1,F78)/12*Ipotesi!D126</f>
        <v>1666.66666666667</v>
      </c>
      <c r="BR78" s="15" t="n">
        <f aca="false">INDEX(Ipotesi!$C$78:$G$78,1,F78)/12</f>
        <v>1250</v>
      </c>
      <c r="BS78" s="15" t="n">
        <f aca="false">SUM(M78:R78)*(Ipotesi!$C$85+Ipotesi!$C$86)/12</f>
        <v>2625</v>
      </c>
      <c r="BT78" s="15" t="n">
        <f aca="false">BI78*Ipotesi!$C$87</f>
        <v>809.469643121169</v>
      </c>
      <c r="BU78" s="15" t="n">
        <f aca="false">INDEX(Ipotesi!$C$55:$G$55,1,F78)*K78/12</f>
        <v>1000</v>
      </c>
      <c r="BV78" s="15" t="n">
        <f aca="false">INDEX(Ipotesi!$C$80:$G$80,1,F78)/12*Ipotesi!D126</f>
        <v>833.333333333333</v>
      </c>
      <c r="BW78" s="15" t="n">
        <f aca="false">INDEX(Ipotesi!$C$82:$G$82,1,F78)/12</f>
        <v>666.666666666667</v>
      </c>
      <c r="BX78" s="15" t="n">
        <f aca="false">INDEX(Ipotesi!$C$83:$G$83,1,F78)/12</f>
        <v>583.333333333333</v>
      </c>
      <c r="BY78" s="15" t="n">
        <f aca="false">SUM(S78:U78)*(Ipotesi!$C$85+Ipotesi!$C$86)/12</f>
        <v>1166.66666666667</v>
      </c>
      <c r="BZ78" s="15" t="n">
        <f aca="false">AM78*Ipotesi!$C$87</f>
        <v>1019.43661971831</v>
      </c>
      <c r="CA78" s="15" t="n">
        <f aca="false">AB78+BJ78+BL78+BN78+BO78+AR78+BP78+BQ78+BR78+BS78+BT78</f>
        <v>57014.5649073354</v>
      </c>
      <c r="CB78" s="15" t="n">
        <f aca="false">AC78+BK78+BM78+BH78+BU78+BV78+AS78+BW78+BX78+BY78+BZ78</f>
        <v>28885.3286384976</v>
      </c>
      <c r="CC78" s="15" t="n">
        <f aca="false">BI78-CA78</f>
        <v>-30032.2434699631</v>
      </c>
      <c r="CD78" s="15" t="n">
        <f aca="false">AM78-CB78</f>
        <v>5095.89201877934</v>
      </c>
      <c r="CE78" s="15" t="n">
        <f aca="false">INDEX(Ipotesi!$C$79:$G$79,1,F78)/12</f>
        <v>2083.33333333333</v>
      </c>
      <c r="CF78" s="15" t="n">
        <f aca="false">INDEX(Ipotesi!$C$84:$G$84,1,F78)/12</f>
        <v>416.666666666667</v>
      </c>
      <c r="CG78" s="15" t="n">
        <f aca="false">Y78*MAX(0,Parametri_v3!$C$12-IF(P78=0,0,MIN(1,BE78/(P78*Parametri_v3!$C$22))))+W78*Parametri_v3!$C$13+X78*Parametri_v3!$C$14</f>
        <v>15594.7322475674</v>
      </c>
      <c r="CH78" s="15" t="n">
        <f aca="false">AB78*Parametri_v3!$C$32</f>
        <v>1988.125</v>
      </c>
      <c r="CI78" s="15" t="n">
        <f aca="false">AC78*Parametri_v3!$C$32</f>
        <v>798.25</v>
      </c>
      <c r="CJ78" s="15" t="n">
        <f aca="false">CA78-AB78</f>
        <v>17252.0649073354</v>
      </c>
      <c r="CK78" s="15" t="n">
        <f aca="false">CB78-AC78-BH78</f>
        <v>9522.20657276995</v>
      </c>
      <c r="CL78" s="15" t="n">
        <f aca="false">BF78*Ipotesi!$C$73+INDEX(Ipotesi!$C$72:$G$72,1,F78)/12*Ipotesi!D126*Parametri_v3!$C$58+Z78*(1-Parametri_v3!$C$16)</f>
        <v>3164.86094973157</v>
      </c>
      <c r="CM78" s="16" t="n">
        <f aca="false">IF(BF78=0,0,1-CL78/BF78)</f>
        <v>-0.4325827674736</v>
      </c>
    </row>
    <row r="79" customFormat="false" ht="18" hidden="false" customHeight="true" outlineLevel="0" collapsed="false">
      <c r="A79" s="68" t="n">
        <f aca="false">2</f>
        <v>2</v>
      </c>
      <c r="B79" s="68" t="n">
        <f aca="false">15</f>
        <v>15</v>
      </c>
      <c r="C79" s="18" t="n">
        <f aca="false">EDATE(Parametri_v3!$C$5,15-1)</f>
        <v>46813</v>
      </c>
      <c r="D79" s="68" t="n">
        <f aca="false">YEAR(C79)</f>
        <v>2028</v>
      </c>
      <c r="E79" s="68" t="n">
        <f aca="false">MONTH(C79)</f>
        <v>3</v>
      </c>
      <c r="F79" s="68" t="n">
        <f aca="false">INT((15-1)/12)+1</f>
        <v>2</v>
      </c>
      <c r="G79" s="15" t="n">
        <f aca="false">Ipotesi!D7</f>
        <v>1</v>
      </c>
      <c r="H79" s="15" t="n">
        <f aca="false">Ipotesi!D9</f>
        <v>1</v>
      </c>
      <c r="I79" s="15" t="n">
        <f aca="false">Ipotesi!D10</f>
        <v>1</v>
      </c>
      <c r="J79" s="15" t="n">
        <f aca="false">Ipotesi!D11</f>
        <v>1</v>
      </c>
      <c r="K79" s="15" t="n">
        <f aca="false">Ipotesi!D12</f>
        <v>1</v>
      </c>
      <c r="L79" s="15" t="n">
        <f aca="false">Ipotesi!D13</f>
        <v>90</v>
      </c>
      <c r="M79" s="17" t="n">
        <f aca="false">INDEX(Ipotesi!$C$40:$G$40,1,F79)</f>
        <v>1</v>
      </c>
      <c r="N79" s="17" t="n">
        <f aca="false">INDEX(Ipotesi!$C$41:$G$41,1,F79)</f>
        <v>1</v>
      </c>
      <c r="O79" s="17" t="n">
        <f aca="false">INDEX(Ipotesi!$C$42:$G$42,1,F79)*Ipotesi!D125</f>
        <v>2.5</v>
      </c>
      <c r="P79" s="17" t="n">
        <f aca="false">INDEX(Ipotesi!$C$43:$G$43,1,F79)*I79</f>
        <v>2.5</v>
      </c>
      <c r="Q79" s="17" t="n">
        <f aca="false">INDEX(Ipotesi!$C$44:$G$44,1,F79)*I79</f>
        <v>1.5</v>
      </c>
      <c r="R79" s="17" t="n">
        <f aca="false">INDEX(Ipotesi!$C$45:$G$45,1,F79)*I79</f>
        <v>0.5</v>
      </c>
      <c r="S79" s="17" t="n">
        <f aca="false">INDEX(Ipotesi!$C$52:$G$52,1,F79)*Ipotesi!D125</f>
        <v>3</v>
      </c>
      <c r="T79" s="17" t="n">
        <f aca="false">INDEX(Ipotesi!$C$53:$G$53,1,F79)*I79</f>
        <v>1</v>
      </c>
      <c r="U79" s="17" t="n">
        <f aca="false">INDEX(Ipotesi!$C$54:$G$54,1,F79)*I79</f>
        <v>0</v>
      </c>
      <c r="V79" s="15" t="n">
        <f aca="false">M79*INDEX(Ipotesi!$C$58:$G$58,1,F79)*K79/12</f>
        <v>5000</v>
      </c>
      <c r="W79" s="15" t="n">
        <f aca="false">N79*Ipotesi!$C$59*(1+Ipotesi!$C$66)^(F79-1)/12</f>
        <v>6008.33333333333</v>
      </c>
      <c r="X79" s="15" t="n">
        <f aca="false">O79*Ipotesi!$C$60*(1+Ipotesi!$C$66)^(F79-1)/12</f>
        <v>10729.1666666667</v>
      </c>
      <c r="Y79" s="15" t="n">
        <f aca="false">P79*Ipotesi!$C$61*(1+Ipotesi!$C$66)^(F79-1)/12</f>
        <v>10729.1666666667</v>
      </c>
      <c r="Z79" s="15" t="n">
        <f aca="false">Q79*Ipotesi!$C$62*(1+Ipotesi!$C$66)^(F79-1)/12</f>
        <v>5793.75</v>
      </c>
      <c r="AA79" s="15" t="n">
        <f aca="false">R79*Ipotesi!$C$63*(1+Ipotesi!$C$66)^(F79-1)/12</f>
        <v>1502.08333333333</v>
      </c>
      <c r="AB79" s="15" t="n">
        <f aca="false">SUM(V79:AA79)</f>
        <v>39762.5</v>
      </c>
      <c r="AC79" s="15" t="n">
        <f aca="false">(S79*Ipotesi!$C$64+T79*Ipotesi!$C$65+U79*Ipotesi!$C$63)*(1+Ipotesi!$C$66)^(F79-1)/12</f>
        <v>15965</v>
      </c>
      <c r="AD79" s="15" t="n">
        <f aca="false">INDEX(Ipotesi!$C$48:$G$48,1,F79)*G79/12</f>
        <v>37.5</v>
      </c>
      <c r="AE79" s="15" t="n">
        <f aca="false">INDEX(Ipotesi!$C$50:$G$50,1,F79)*G79/12</f>
        <v>4.58333333333333</v>
      </c>
      <c r="AF79" s="15" t="n">
        <f aca="false">(S79*Parametri_v3!$C$7*Parametri_v3!$C$8+Parametri_v3!$C$10)/12</f>
        <v>38.5</v>
      </c>
      <c r="AG79" s="15" t="n">
        <f aca="false">AD79+AE79*(1+Parametri_v3!$C$9)</f>
        <v>44.375</v>
      </c>
      <c r="AH79" s="16" t="n">
        <f aca="false">IF(AG79=0,1,MIN(1,AF79/AG79))</f>
        <v>0.867605633802817</v>
      </c>
      <c r="AI79" s="15" t="n">
        <f aca="false">AD79*AH79</f>
        <v>32.5352112676056</v>
      </c>
      <c r="AJ79" s="15" t="n">
        <f aca="false">AE79*AH79</f>
        <v>3.97652582159624</v>
      </c>
      <c r="AK79" s="15" t="n">
        <f aca="false">AI79*INDEX(Ipotesi!$C$49:$G$49,1,F79)*H79</f>
        <v>26028.1690140845</v>
      </c>
      <c r="AL79" s="15" t="n">
        <f aca="false">AJ79*INDEX(Ipotesi!$C$51:$G$51,1,F79)*H79</f>
        <v>7953.05164319249</v>
      </c>
      <c r="AM79" s="15" t="n">
        <f aca="false">AK79+AL79</f>
        <v>33981.220657277</v>
      </c>
      <c r="AN79" s="15" t="n">
        <f aca="false">INDEX(Ipotesi!$C$30:$G$30,1,F79)*G79/12</f>
        <v>22.5</v>
      </c>
      <c r="AO79" s="15" t="n">
        <f aca="false">O79*Parametri_v3!$C$7*Parametri_v3!$C$11*(1-Parametri_v3!$C$14)/12</f>
        <v>25.6666666666667</v>
      </c>
      <c r="AP79" s="15" t="n">
        <f aca="false">MIN(AN79,AO79)</f>
        <v>22.5</v>
      </c>
      <c r="AQ79" s="15" t="n">
        <f aca="false">AP79*INDEX(Ipotesi!$C$31:$G$31,1,F79)*H79</f>
        <v>21375</v>
      </c>
      <c r="AR79" s="15" t="n">
        <f aca="false">INDEX(Ipotesi!$C$75:$G$75,1,F79)*J79/12</f>
        <v>4583.33333333333</v>
      </c>
      <c r="AS79" s="15" t="n">
        <f aca="false">INDEX(Ipotesi!$C$81:$G$81,1,F79)*J79/12</f>
        <v>833.333333333333</v>
      </c>
      <c r="AT79" s="15" t="n">
        <f aca="false">AR79*Parametri_v3!$C$15+Z79*Parametri_v3!$C$16</f>
        <v>8638.95833333333</v>
      </c>
      <c r="AU79" s="15" t="n">
        <f aca="false">Q79*Parametri_v3!$C$16*Parametri_v3!$C$17</f>
        <v>105</v>
      </c>
      <c r="AV79" s="17" t="n">
        <f aca="false">BD78</f>
        <v>7.16695984019667</v>
      </c>
      <c r="AW79" s="17" t="n">
        <f aca="false">AV79*(1-(1-INDEX(Ipotesi!$C$34:$G$34,1,F79))^(1/12))</f>
        <v>0.0626507746509347</v>
      </c>
      <c r="AX79" s="15" t="n">
        <f aca="false">ROUND(INDEX(Ipotesi!$C$32:$G$32,1,F79)*Ipotesi!D8,0)</f>
        <v>35</v>
      </c>
      <c r="AY79" s="15" t="n">
        <f aca="false">MAX(0,(AX79-(AV79-AW79))/(13-E79))</f>
        <v>2.78956909344543</v>
      </c>
      <c r="AZ79" s="15" t="n">
        <f aca="false">MIN(P79*Parametri_v3!$C$22,Q79*(1-Parametri_v3!$C$16)*Parametri_v3!$C$23)</f>
        <v>67.5</v>
      </c>
      <c r="BA79" s="15" t="n">
        <f aca="false">IF(OR(INDEX(Ipotesi!$C$35:$G$35,1,F79)&lt;=0,15-Parametri_v3!$C$21&lt;1),0,INDEX($AT$65:$AT$124,MAX(1,15-Parametri_v3!$C$21))/(INDEX(Ipotesi!$C$35:$G$35,1,F79)*Ipotesi!D27))</f>
        <v>1.13194444444444</v>
      </c>
      <c r="BB79" s="15" t="n">
        <f aca="false">IF(15-Parametri_v3!$C$21&lt;1,0,INDEX($AU$65:$AU$124,MAX(1,15-Parametri_v3!$C$21)))*Parametri_v3!$C$18*Parametri_v3!$C$19*Parametri_v3!$C$20</f>
        <v>1.3125</v>
      </c>
      <c r="BC79" s="17" t="n">
        <f aca="false">MAX(0,MIN(AY79,BA79,BB79,MAX(0,AZ79-(AV79-AW79))))</f>
        <v>1.13194444444444</v>
      </c>
      <c r="BD79" s="17" t="n">
        <f aca="false">AV79-AW79+BC79</f>
        <v>8.23625350999018</v>
      </c>
      <c r="BE79" s="17" t="n">
        <f aca="false">(AV79+BD79)/2</f>
        <v>7.70160667509343</v>
      </c>
      <c r="BF79" s="15" t="n">
        <f aca="false">BE79*INDEX(Ipotesi!$C$33:$G$33,1,F79)*H79/12</f>
        <v>2567.20222503114</v>
      </c>
      <c r="BG79" s="15" t="n">
        <f aca="false">BD79*INDEX(Ipotesi!$C$33:$G$33,1,F79)*H79</f>
        <v>32945.0140399607</v>
      </c>
      <c r="BH79" s="15" t="n">
        <f aca="false">AM79*INDEX(Ipotesi!$C$37:$G$37,1,F79)</f>
        <v>3398.1220657277</v>
      </c>
      <c r="BI79" s="15" t="n">
        <f aca="false">AQ79+BF79+BH79</f>
        <v>27340.3242907588</v>
      </c>
      <c r="BJ79" s="15" t="n">
        <f aca="false">INDEX(Ipotesi!$C$68:$G$68,1,F79)*Ipotesi!$C$69/12</f>
        <v>1600</v>
      </c>
      <c r="BK79" s="15" t="n">
        <f aca="false">INDEX(Ipotesi!$C$68:$G$68,1,F79)*(1-Ipotesi!$C$69)/12</f>
        <v>2400</v>
      </c>
      <c r="BL79" s="15" t="n">
        <f aca="false">(AQ79+BF79)*Ipotesi!$C$67</f>
        <v>718.266066750934</v>
      </c>
      <c r="BM79" s="15" t="n">
        <f aca="false">AM79*Ipotesi!$C$67</f>
        <v>1019.43661971831</v>
      </c>
      <c r="BN79" s="15" t="n">
        <f aca="false">INDEX(Ipotesi!$C$72:$G$72,1,F79)/12*Ipotesi!D126+BF79*Ipotesi!$C$73</f>
        <v>1455.37617800249</v>
      </c>
      <c r="BO79" s="15" t="n">
        <f aca="false">INDEX(Ipotesi!$C$74:$G$74,1,F79)/12*Ipotesi!D126</f>
        <v>1833.33333333333</v>
      </c>
      <c r="BP79" s="15" t="n">
        <f aca="false">INDEX(Ipotesi!$C$76:$G$76,1,F79)/12</f>
        <v>750</v>
      </c>
      <c r="BQ79" s="15" t="n">
        <f aca="false">INDEX(Ipotesi!$C$77:$G$77,1,F79)/12*Ipotesi!D126</f>
        <v>1666.66666666667</v>
      </c>
      <c r="BR79" s="15" t="n">
        <f aca="false">INDEX(Ipotesi!$C$78:$G$78,1,F79)/12</f>
        <v>1250</v>
      </c>
      <c r="BS79" s="15" t="n">
        <f aca="false">SUM(M79:R79)*(Ipotesi!$C$85+Ipotesi!$C$86)/12</f>
        <v>2625</v>
      </c>
      <c r="BT79" s="15" t="n">
        <f aca="false">BI79*Ipotesi!$C$87</f>
        <v>820.209728722765</v>
      </c>
      <c r="BU79" s="15" t="n">
        <f aca="false">INDEX(Ipotesi!$C$55:$G$55,1,F79)*K79/12</f>
        <v>1000</v>
      </c>
      <c r="BV79" s="15" t="n">
        <f aca="false">INDEX(Ipotesi!$C$80:$G$80,1,F79)/12*Ipotesi!D126</f>
        <v>833.333333333333</v>
      </c>
      <c r="BW79" s="15" t="n">
        <f aca="false">INDEX(Ipotesi!$C$82:$G$82,1,F79)/12</f>
        <v>666.666666666667</v>
      </c>
      <c r="BX79" s="15" t="n">
        <f aca="false">INDEX(Ipotesi!$C$83:$G$83,1,F79)/12</f>
        <v>583.333333333333</v>
      </c>
      <c r="BY79" s="15" t="n">
        <f aca="false">SUM(S79:U79)*(Ipotesi!$C$85+Ipotesi!$C$86)/12</f>
        <v>1166.66666666667</v>
      </c>
      <c r="BZ79" s="15" t="n">
        <f aca="false">AM79*Ipotesi!$C$87</f>
        <v>1019.43661971831</v>
      </c>
      <c r="CA79" s="15" t="n">
        <f aca="false">AB79+BJ79+BL79+BN79+BO79+AR79+BP79+BQ79+BR79+BS79+BT79</f>
        <v>57064.6853068095</v>
      </c>
      <c r="CB79" s="15" t="n">
        <f aca="false">AC79+BK79+BM79+BH79+BU79+BV79+AS79+BW79+BX79+BY79+BZ79</f>
        <v>28885.3286384976</v>
      </c>
      <c r="CC79" s="15" t="n">
        <f aca="false">BI79-CA79</f>
        <v>-29724.3610160507</v>
      </c>
      <c r="CD79" s="15" t="n">
        <f aca="false">AM79-CB79</f>
        <v>5095.89201877934</v>
      </c>
      <c r="CE79" s="15" t="n">
        <f aca="false">INDEX(Ipotesi!$C$79:$G$79,1,F79)/12</f>
        <v>2083.33333333333</v>
      </c>
      <c r="CF79" s="15" t="n">
        <f aca="false">INDEX(Ipotesi!$C$84:$G$84,1,F79)/12</f>
        <v>416.666666666667</v>
      </c>
      <c r="CG79" s="15" t="n">
        <f aca="false">Y79*MAX(0,Parametri_v3!$C$12-IF(P79=0,0,MIN(1,BE79/(P79*Parametri_v3!$C$22))))+W79*Parametri_v3!$C$13+X79*Parametri_v3!$C$14</f>
        <v>15548.6393801939</v>
      </c>
      <c r="CH79" s="15" t="n">
        <f aca="false">AB79*Parametri_v3!$C$32</f>
        <v>1988.125</v>
      </c>
      <c r="CI79" s="15" t="n">
        <f aca="false">AC79*Parametri_v3!$C$32</f>
        <v>798.25</v>
      </c>
      <c r="CJ79" s="15" t="n">
        <f aca="false">CA79-AB79</f>
        <v>17302.1853068095</v>
      </c>
      <c r="CK79" s="15" t="n">
        <f aca="false">CB79-AC79-BH79</f>
        <v>9522.20657276995</v>
      </c>
      <c r="CL79" s="15" t="n">
        <f aca="false">BF79*Ipotesi!$C$73+INDEX(Ipotesi!$C$72:$G$72,1,F79)/12*Ipotesi!D126*Parametri_v3!$C$58+Z79*(1-Parametri_v3!$C$16)</f>
        <v>3193.50117800249</v>
      </c>
      <c r="CM79" s="16" t="n">
        <f aca="false">IF(BF79=0,0,1-CL79/BF79)</f>
        <v>-0.243961674255619</v>
      </c>
    </row>
    <row r="80" customFormat="false" ht="18" hidden="false" customHeight="true" outlineLevel="0" collapsed="false">
      <c r="A80" s="68" t="n">
        <f aca="false">2</f>
        <v>2</v>
      </c>
      <c r="B80" s="68" t="n">
        <f aca="false">16</f>
        <v>16</v>
      </c>
      <c r="C80" s="18" t="n">
        <f aca="false">EDATE(Parametri_v3!$C$5,16-1)</f>
        <v>46844</v>
      </c>
      <c r="D80" s="68" t="n">
        <f aca="false">YEAR(C80)</f>
        <v>2028</v>
      </c>
      <c r="E80" s="68" t="n">
        <f aca="false">MONTH(C80)</f>
        <v>4</v>
      </c>
      <c r="F80" s="68" t="n">
        <f aca="false">INT((16-1)/12)+1</f>
        <v>2</v>
      </c>
      <c r="G80" s="15" t="n">
        <f aca="false">Ipotesi!D7</f>
        <v>1</v>
      </c>
      <c r="H80" s="15" t="n">
        <f aca="false">Ipotesi!D9</f>
        <v>1</v>
      </c>
      <c r="I80" s="15" t="n">
        <f aca="false">Ipotesi!D10</f>
        <v>1</v>
      </c>
      <c r="J80" s="15" t="n">
        <f aca="false">Ipotesi!D11</f>
        <v>1</v>
      </c>
      <c r="K80" s="15" t="n">
        <f aca="false">Ipotesi!D12</f>
        <v>1</v>
      </c>
      <c r="L80" s="15" t="n">
        <f aca="false">Ipotesi!D13</f>
        <v>90</v>
      </c>
      <c r="M80" s="17" t="n">
        <f aca="false">INDEX(Ipotesi!$C$40:$G$40,1,F80)</f>
        <v>1</v>
      </c>
      <c r="N80" s="17" t="n">
        <f aca="false">INDEX(Ipotesi!$C$41:$G$41,1,F80)</f>
        <v>1</v>
      </c>
      <c r="O80" s="17" t="n">
        <f aca="false">INDEX(Ipotesi!$C$42:$G$42,1,F80)*Ipotesi!D125</f>
        <v>2.5</v>
      </c>
      <c r="P80" s="17" t="n">
        <f aca="false">INDEX(Ipotesi!$C$43:$G$43,1,F80)*I80</f>
        <v>2.5</v>
      </c>
      <c r="Q80" s="17" t="n">
        <f aca="false">INDEX(Ipotesi!$C$44:$G$44,1,F80)*I80</f>
        <v>1.5</v>
      </c>
      <c r="R80" s="17" t="n">
        <f aca="false">INDEX(Ipotesi!$C$45:$G$45,1,F80)*I80</f>
        <v>0.5</v>
      </c>
      <c r="S80" s="17" t="n">
        <f aca="false">INDEX(Ipotesi!$C$52:$G$52,1,F80)*Ipotesi!D125</f>
        <v>3</v>
      </c>
      <c r="T80" s="17" t="n">
        <f aca="false">INDEX(Ipotesi!$C$53:$G$53,1,F80)*I80</f>
        <v>1</v>
      </c>
      <c r="U80" s="17" t="n">
        <f aca="false">INDEX(Ipotesi!$C$54:$G$54,1,F80)*I80</f>
        <v>0</v>
      </c>
      <c r="V80" s="15" t="n">
        <f aca="false">M80*INDEX(Ipotesi!$C$58:$G$58,1,F80)*K80/12</f>
        <v>5000</v>
      </c>
      <c r="W80" s="15" t="n">
        <f aca="false">N80*Ipotesi!$C$59*(1+Ipotesi!$C$66)^(F80-1)/12</f>
        <v>6008.33333333333</v>
      </c>
      <c r="X80" s="15" t="n">
        <f aca="false">O80*Ipotesi!$C$60*(1+Ipotesi!$C$66)^(F80-1)/12</f>
        <v>10729.1666666667</v>
      </c>
      <c r="Y80" s="15" t="n">
        <f aca="false">P80*Ipotesi!$C$61*(1+Ipotesi!$C$66)^(F80-1)/12</f>
        <v>10729.1666666667</v>
      </c>
      <c r="Z80" s="15" t="n">
        <f aca="false">Q80*Ipotesi!$C$62*(1+Ipotesi!$C$66)^(F80-1)/12</f>
        <v>5793.75</v>
      </c>
      <c r="AA80" s="15" t="n">
        <f aca="false">R80*Ipotesi!$C$63*(1+Ipotesi!$C$66)^(F80-1)/12</f>
        <v>1502.08333333333</v>
      </c>
      <c r="AB80" s="15" t="n">
        <f aca="false">SUM(V80:AA80)</f>
        <v>39762.5</v>
      </c>
      <c r="AC80" s="15" t="n">
        <f aca="false">(S80*Ipotesi!$C$64+T80*Ipotesi!$C$65+U80*Ipotesi!$C$63)*(1+Ipotesi!$C$66)^(F80-1)/12</f>
        <v>15965</v>
      </c>
      <c r="AD80" s="15" t="n">
        <f aca="false">INDEX(Ipotesi!$C$48:$G$48,1,F80)*G80/12</f>
        <v>37.5</v>
      </c>
      <c r="AE80" s="15" t="n">
        <f aca="false">INDEX(Ipotesi!$C$50:$G$50,1,F80)*G80/12</f>
        <v>4.58333333333333</v>
      </c>
      <c r="AF80" s="15" t="n">
        <f aca="false">(S80*Parametri_v3!$C$7*Parametri_v3!$C$8+Parametri_v3!$C$10)/12</f>
        <v>38.5</v>
      </c>
      <c r="AG80" s="15" t="n">
        <f aca="false">AD80+AE80*(1+Parametri_v3!$C$9)</f>
        <v>44.375</v>
      </c>
      <c r="AH80" s="16" t="n">
        <f aca="false">IF(AG80=0,1,MIN(1,AF80/AG80))</f>
        <v>0.867605633802817</v>
      </c>
      <c r="AI80" s="15" t="n">
        <f aca="false">AD80*AH80</f>
        <v>32.5352112676056</v>
      </c>
      <c r="AJ80" s="15" t="n">
        <f aca="false">AE80*AH80</f>
        <v>3.97652582159624</v>
      </c>
      <c r="AK80" s="15" t="n">
        <f aca="false">AI80*INDEX(Ipotesi!$C$49:$G$49,1,F80)*H80</f>
        <v>26028.1690140845</v>
      </c>
      <c r="AL80" s="15" t="n">
        <f aca="false">AJ80*INDEX(Ipotesi!$C$51:$G$51,1,F80)*H80</f>
        <v>7953.05164319249</v>
      </c>
      <c r="AM80" s="15" t="n">
        <f aca="false">AK80+AL80</f>
        <v>33981.220657277</v>
      </c>
      <c r="AN80" s="15" t="n">
        <f aca="false">INDEX(Ipotesi!$C$30:$G$30,1,F80)*G80/12</f>
        <v>22.5</v>
      </c>
      <c r="AO80" s="15" t="n">
        <f aca="false">O80*Parametri_v3!$C$7*Parametri_v3!$C$11*(1-Parametri_v3!$C$14)/12</f>
        <v>25.6666666666667</v>
      </c>
      <c r="AP80" s="15" t="n">
        <f aca="false">MIN(AN80,AO80)</f>
        <v>22.5</v>
      </c>
      <c r="AQ80" s="15" t="n">
        <f aca="false">AP80*INDEX(Ipotesi!$C$31:$G$31,1,F80)*H80</f>
        <v>21375</v>
      </c>
      <c r="AR80" s="15" t="n">
        <f aca="false">INDEX(Ipotesi!$C$75:$G$75,1,F80)*J80/12</f>
        <v>4583.33333333333</v>
      </c>
      <c r="AS80" s="15" t="n">
        <f aca="false">INDEX(Ipotesi!$C$81:$G$81,1,F80)*J80/12</f>
        <v>833.333333333333</v>
      </c>
      <c r="AT80" s="15" t="n">
        <f aca="false">AR80*Parametri_v3!$C$15+Z80*Parametri_v3!$C$16</f>
        <v>8638.95833333333</v>
      </c>
      <c r="AU80" s="15" t="n">
        <f aca="false">Q80*Parametri_v3!$C$16*Parametri_v3!$C$17</f>
        <v>105</v>
      </c>
      <c r="AV80" s="17" t="n">
        <f aca="false">BD79</f>
        <v>8.23625350999018</v>
      </c>
      <c r="AW80" s="17" t="n">
        <f aca="false">AV80*(1-(1-INDEX(Ipotesi!$C$34:$G$34,1,F80))^(1/12))</f>
        <v>0.0719981239085895</v>
      </c>
      <c r="AX80" s="15" t="n">
        <f aca="false">ROUND(INDEX(Ipotesi!$C$32:$G$32,1,F80)*Ipotesi!D8,0)</f>
        <v>35</v>
      </c>
      <c r="AY80" s="15" t="n">
        <f aca="false">MAX(0,(AX80-(AV80-AW80))/(13-E80))</f>
        <v>2.98174940154649</v>
      </c>
      <c r="AZ80" s="15" t="n">
        <f aca="false">MIN(P80*Parametri_v3!$C$22,Q80*(1-Parametri_v3!$C$16)*Parametri_v3!$C$23)</f>
        <v>67.5</v>
      </c>
      <c r="BA80" s="15" t="n">
        <f aca="false">IF(OR(INDEX(Ipotesi!$C$35:$G$35,1,F80)&lt;=0,16-Parametri_v3!$C$21&lt;1),0,INDEX($AT$65:$AT$124,MAX(1,16-Parametri_v3!$C$21))/(INDEX(Ipotesi!$C$35:$G$35,1,F80)*Ipotesi!D27))</f>
        <v>2.87965277777778</v>
      </c>
      <c r="BB80" s="15" t="n">
        <f aca="false">IF(16-Parametri_v3!$C$21&lt;1,0,INDEX($AU$65:$AU$124,MAX(1,16-Parametri_v3!$C$21)))*Parametri_v3!$C$18*Parametri_v3!$C$19*Parametri_v3!$C$20</f>
        <v>3.9375</v>
      </c>
      <c r="BC80" s="17" t="n">
        <f aca="false">MAX(0,MIN(AY80,BA80,BB80,MAX(0,AZ80-(AV80-AW80))))</f>
        <v>2.87965277777778</v>
      </c>
      <c r="BD80" s="17" t="n">
        <f aca="false">AV80-AW80+BC80</f>
        <v>11.0439081638594</v>
      </c>
      <c r="BE80" s="17" t="n">
        <f aca="false">(AV80+BD80)/2</f>
        <v>9.64008083692478</v>
      </c>
      <c r="BF80" s="15" t="n">
        <f aca="false">BE80*INDEX(Ipotesi!$C$33:$G$33,1,F80)*H80/12</f>
        <v>3213.36027897493</v>
      </c>
      <c r="BG80" s="15" t="n">
        <f aca="false">BD80*INDEX(Ipotesi!$C$33:$G$33,1,F80)*H80</f>
        <v>44175.6326554375</v>
      </c>
      <c r="BH80" s="15" t="n">
        <f aca="false">AM80*INDEX(Ipotesi!$C$37:$G$37,1,F80)</f>
        <v>3398.1220657277</v>
      </c>
      <c r="BI80" s="15" t="n">
        <f aca="false">AQ80+BF80+BH80</f>
        <v>27986.4823447026</v>
      </c>
      <c r="BJ80" s="15" t="n">
        <f aca="false">INDEX(Ipotesi!$C$68:$G$68,1,F80)*Ipotesi!$C$69/12</f>
        <v>1600</v>
      </c>
      <c r="BK80" s="15" t="n">
        <f aca="false">INDEX(Ipotesi!$C$68:$G$68,1,F80)*(1-Ipotesi!$C$69)/12</f>
        <v>2400</v>
      </c>
      <c r="BL80" s="15" t="n">
        <f aca="false">(AQ80+BF80)*Ipotesi!$C$67</f>
        <v>737.650808369248</v>
      </c>
      <c r="BM80" s="15" t="n">
        <f aca="false">AM80*Ipotesi!$C$67</f>
        <v>1019.43661971831</v>
      </c>
      <c r="BN80" s="15" t="n">
        <f aca="false">INDEX(Ipotesi!$C$72:$G$72,1,F80)/12*Ipotesi!D126+BF80*Ipotesi!$C$73</f>
        <v>1507.06882231799</v>
      </c>
      <c r="BO80" s="15" t="n">
        <f aca="false">INDEX(Ipotesi!$C$74:$G$74,1,F80)/12*Ipotesi!D126</f>
        <v>1833.33333333333</v>
      </c>
      <c r="BP80" s="15" t="n">
        <f aca="false">INDEX(Ipotesi!$C$76:$G$76,1,F80)/12</f>
        <v>750</v>
      </c>
      <c r="BQ80" s="15" t="n">
        <f aca="false">INDEX(Ipotesi!$C$77:$G$77,1,F80)/12*Ipotesi!D126</f>
        <v>1666.66666666667</v>
      </c>
      <c r="BR80" s="15" t="n">
        <f aca="false">INDEX(Ipotesi!$C$78:$G$78,1,F80)/12</f>
        <v>1250</v>
      </c>
      <c r="BS80" s="15" t="n">
        <f aca="false">SUM(M80:R80)*(Ipotesi!$C$85+Ipotesi!$C$86)/12</f>
        <v>2625</v>
      </c>
      <c r="BT80" s="15" t="n">
        <f aca="false">BI80*Ipotesi!$C$87</f>
        <v>839.594470341079</v>
      </c>
      <c r="BU80" s="15" t="n">
        <f aca="false">INDEX(Ipotesi!$C$55:$G$55,1,F80)*K80/12</f>
        <v>1000</v>
      </c>
      <c r="BV80" s="15" t="n">
        <f aca="false">INDEX(Ipotesi!$C$80:$G$80,1,F80)/12*Ipotesi!D126</f>
        <v>833.333333333333</v>
      </c>
      <c r="BW80" s="15" t="n">
        <f aca="false">INDEX(Ipotesi!$C$82:$G$82,1,F80)/12</f>
        <v>666.666666666667</v>
      </c>
      <c r="BX80" s="15" t="n">
        <f aca="false">INDEX(Ipotesi!$C$83:$G$83,1,F80)/12</f>
        <v>583.333333333333</v>
      </c>
      <c r="BY80" s="15" t="n">
        <f aca="false">SUM(S80:U80)*(Ipotesi!$C$85+Ipotesi!$C$86)/12</f>
        <v>1166.66666666667</v>
      </c>
      <c r="BZ80" s="15" t="n">
        <f aca="false">AM80*Ipotesi!$C$87</f>
        <v>1019.43661971831</v>
      </c>
      <c r="CA80" s="15" t="n">
        <f aca="false">AB80+BJ80+BL80+BN80+BO80+AR80+BP80+BQ80+BR80+BS80+BT80</f>
        <v>57155.1474343617</v>
      </c>
      <c r="CB80" s="15" t="n">
        <f aca="false">AC80+BK80+BM80+BH80+BU80+BV80+AS80+BW80+BX80+BY80+BZ80</f>
        <v>28885.3286384976</v>
      </c>
      <c r="CC80" s="15" t="n">
        <f aca="false">BI80-CA80</f>
        <v>-29168.665089659</v>
      </c>
      <c r="CD80" s="15" t="n">
        <f aca="false">AM80-CB80</f>
        <v>5095.89201877934</v>
      </c>
      <c r="CE80" s="15" t="n">
        <f aca="false">INDEX(Ipotesi!$C$79:$G$79,1,F80)/12</f>
        <v>2083.33333333333</v>
      </c>
      <c r="CF80" s="15" t="n">
        <f aca="false">INDEX(Ipotesi!$C$84:$G$84,1,F80)/12</f>
        <v>416.666666666667</v>
      </c>
      <c r="CG80" s="15" t="n">
        <f aca="false">Y80*MAX(0,Parametri_v3!$C$12-IF(P80=0,0,MIN(1,BE80/(P80*Parametri_v3!$C$22))))+W80*Parametri_v3!$C$13+X80*Parametri_v3!$C$14</f>
        <v>15465.4465307486</v>
      </c>
      <c r="CH80" s="15" t="n">
        <f aca="false">AB80*Parametri_v3!$C$32</f>
        <v>1988.125</v>
      </c>
      <c r="CI80" s="15" t="n">
        <f aca="false">AC80*Parametri_v3!$C$32</f>
        <v>798.25</v>
      </c>
      <c r="CJ80" s="15" t="n">
        <f aca="false">CA80-AB80</f>
        <v>17392.6474343617</v>
      </c>
      <c r="CK80" s="15" t="n">
        <f aca="false">CB80-AC80-BH80</f>
        <v>9522.20657276995</v>
      </c>
      <c r="CL80" s="15" t="n">
        <f aca="false">BF80*Ipotesi!$C$73+INDEX(Ipotesi!$C$72:$G$72,1,F80)/12*Ipotesi!D126*Parametri_v3!$C$58+Z80*(1-Parametri_v3!$C$16)</f>
        <v>3245.19382231799</v>
      </c>
      <c r="CM80" s="16" t="n">
        <f aca="false">IF(BF80=0,0,1-CL80/BF80)</f>
        <v>-0.00990662128717901</v>
      </c>
    </row>
    <row r="81" customFormat="false" ht="18" hidden="false" customHeight="true" outlineLevel="0" collapsed="false">
      <c r="A81" s="68" t="n">
        <f aca="false">2</f>
        <v>2</v>
      </c>
      <c r="B81" s="68" t="n">
        <f aca="false">17</f>
        <v>17</v>
      </c>
      <c r="C81" s="18" t="n">
        <f aca="false">EDATE(Parametri_v3!$C$5,17-1)</f>
        <v>46874</v>
      </c>
      <c r="D81" s="68" t="n">
        <f aca="false">YEAR(C81)</f>
        <v>2028</v>
      </c>
      <c r="E81" s="68" t="n">
        <f aca="false">MONTH(C81)</f>
        <v>5</v>
      </c>
      <c r="F81" s="68" t="n">
        <f aca="false">INT((17-1)/12)+1</f>
        <v>2</v>
      </c>
      <c r="G81" s="15" t="n">
        <f aca="false">Ipotesi!D7</f>
        <v>1</v>
      </c>
      <c r="H81" s="15" t="n">
        <f aca="false">Ipotesi!D9</f>
        <v>1</v>
      </c>
      <c r="I81" s="15" t="n">
        <f aca="false">Ipotesi!D10</f>
        <v>1</v>
      </c>
      <c r="J81" s="15" t="n">
        <f aca="false">Ipotesi!D11</f>
        <v>1</v>
      </c>
      <c r="K81" s="15" t="n">
        <f aca="false">Ipotesi!D12</f>
        <v>1</v>
      </c>
      <c r="L81" s="15" t="n">
        <f aca="false">Ipotesi!D13</f>
        <v>90</v>
      </c>
      <c r="M81" s="17" t="n">
        <f aca="false">INDEX(Ipotesi!$C$40:$G$40,1,F81)</f>
        <v>1</v>
      </c>
      <c r="N81" s="17" t="n">
        <f aca="false">INDEX(Ipotesi!$C$41:$G$41,1,F81)</f>
        <v>1</v>
      </c>
      <c r="O81" s="17" t="n">
        <f aca="false">INDEX(Ipotesi!$C$42:$G$42,1,F81)*Ipotesi!D125</f>
        <v>2.5</v>
      </c>
      <c r="P81" s="17" t="n">
        <f aca="false">INDEX(Ipotesi!$C$43:$G$43,1,F81)*I81</f>
        <v>2.5</v>
      </c>
      <c r="Q81" s="17" t="n">
        <f aca="false">INDEX(Ipotesi!$C$44:$G$44,1,F81)*I81</f>
        <v>1.5</v>
      </c>
      <c r="R81" s="17" t="n">
        <f aca="false">INDEX(Ipotesi!$C$45:$G$45,1,F81)*I81</f>
        <v>0.5</v>
      </c>
      <c r="S81" s="17" t="n">
        <f aca="false">INDEX(Ipotesi!$C$52:$G$52,1,F81)*Ipotesi!D125</f>
        <v>3</v>
      </c>
      <c r="T81" s="17" t="n">
        <f aca="false">INDEX(Ipotesi!$C$53:$G$53,1,F81)*I81</f>
        <v>1</v>
      </c>
      <c r="U81" s="17" t="n">
        <f aca="false">INDEX(Ipotesi!$C$54:$G$54,1,F81)*I81</f>
        <v>0</v>
      </c>
      <c r="V81" s="15" t="n">
        <f aca="false">M81*INDEX(Ipotesi!$C$58:$G$58,1,F81)*K81/12</f>
        <v>5000</v>
      </c>
      <c r="W81" s="15" t="n">
        <f aca="false">N81*Ipotesi!$C$59*(1+Ipotesi!$C$66)^(F81-1)/12</f>
        <v>6008.33333333333</v>
      </c>
      <c r="X81" s="15" t="n">
        <f aca="false">O81*Ipotesi!$C$60*(1+Ipotesi!$C$66)^(F81-1)/12</f>
        <v>10729.1666666667</v>
      </c>
      <c r="Y81" s="15" t="n">
        <f aca="false">P81*Ipotesi!$C$61*(1+Ipotesi!$C$66)^(F81-1)/12</f>
        <v>10729.1666666667</v>
      </c>
      <c r="Z81" s="15" t="n">
        <f aca="false">Q81*Ipotesi!$C$62*(1+Ipotesi!$C$66)^(F81-1)/12</f>
        <v>5793.75</v>
      </c>
      <c r="AA81" s="15" t="n">
        <f aca="false">R81*Ipotesi!$C$63*(1+Ipotesi!$C$66)^(F81-1)/12</f>
        <v>1502.08333333333</v>
      </c>
      <c r="AB81" s="15" t="n">
        <f aca="false">SUM(V81:AA81)</f>
        <v>39762.5</v>
      </c>
      <c r="AC81" s="15" t="n">
        <f aca="false">(S81*Ipotesi!$C$64+T81*Ipotesi!$C$65+U81*Ipotesi!$C$63)*(1+Ipotesi!$C$66)^(F81-1)/12</f>
        <v>15965</v>
      </c>
      <c r="AD81" s="15" t="n">
        <f aca="false">INDEX(Ipotesi!$C$48:$G$48,1,F81)*G81/12</f>
        <v>37.5</v>
      </c>
      <c r="AE81" s="15" t="n">
        <f aca="false">INDEX(Ipotesi!$C$50:$G$50,1,F81)*G81/12</f>
        <v>4.58333333333333</v>
      </c>
      <c r="AF81" s="15" t="n">
        <f aca="false">(S81*Parametri_v3!$C$7*Parametri_v3!$C$8+Parametri_v3!$C$10)/12</f>
        <v>38.5</v>
      </c>
      <c r="AG81" s="15" t="n">
        <f aca="false">AD81+AE81*(1+Parametri_v3!$C$9)</f>
        <v>44.375</v>
      </c>
      <c r="AH81" s="16" t="n">
        <f aca="false">IF(AG81=0,1,MIN(1,AF81/AG81))</f>
        <v>0.867605633802817</v>
      </c>
      <c r="AI81" s="15" t="n">
        <f aca="false">AD81*AH81</f>
        <v>32.5352112676056</v>
      </c>
      <c r="AJ81" s="15" t="n">
        <f aca="false">AE81*AH81</f>
        <v>3.97652582159624</v>
      </c>
      <c r="AK81" s="15" t="n">
        <f aca="false">AI81*INDEX(Ipotesi!$C$49:$G$49,1,F81)*H81</f>
        <v>26028.1690140845</v>
      </c>
      <c r="AL81" s="15" t="n">
        <f aca="false">AJ81*INDEX(Ipotesi!$C$51:$G$51,1,F81)*H81</f>
        <v>7953.05164319249</v>
      </c>
      <c r="AM81" s="15" t="n">
        <f aca="false">AK81+AL81</f>
        <v>33981.220657277</v>
      </c>
      <c r="AN81" s="15" t="n">
        <f aca="false">INDEX(Ipotesi!$C$30:$G$30,1,F81)*G81/12</f>
        <v>22.5</v>
      </c>
      <c r="AO81" s="15" t="n">
        <f aca="false">O81*Parametri_v3!$C$7*Parametri_v3!$C$11*(1-Parametri_v3!$C$14)/12</f>
        <v>25.6666666666667</v>
      </c>
      <c r="AP81" s="15" t="n">
        <f aca="false">MIN(AN81,AO81)</f>
        <v>22.5</v>
      </c>
      <c r="AQ81" s="15" t="n">
        <f aca="false">AP81*INDEX(Ipotesi!$C$31:$G$31,1,F81)*H81</f>
        <v>21375</v>
      </c>
      <c r="AR81" s="15" t="n">
        <f aca="false">INDEX(Ipotesi!$C$75:$G$75,1,F81)*J81/12</f>
        <v>4583.33333333333</v>
      </c>
      <c r="AS81" s="15" t="n">
        <f aca="false">INDEX(Ipotesi!$C$81:$G$81,1,F81)*J81/12</f>
        <v>833.333333333333</v>
      </c>
      <c r="AT81" s="15" t="n">
        <f aca="false">AR81*Parametri_v3!$C$15+Z81*Parametri_v3!$C$16</f>
        <v>8638.95833333333</v>
      </c>
      <c r="AU81" s="15" t="n">
        <f aca="false">Q81*Parametri_v3!$C$16*Parametri_v3!$C$17</f>
        <v>105</v>
      </c>
      <c r="AV81" s="17" t="n">
        <f aca="false">BD80</f>
        <v>11.0439081638594</v>
      </c>
      <c r="AW81" s="17" t="n">
        <f aca="false">AV81*(1-(1-INDEX(Ipotesi!$C$34:$G$34,1,F81))^(1/12))</f>
        <v>0.0965415485878576</v>
      </c>
      <c r="AX81" s="15" t="n">
        <f aca="false">ROUND(INDEX(Ipotesi!$C$32:$G$32,1,F81)*Ipotesi!D8,0)</f>
        <v>35</v>
      </c>
      <c r="AY81" s="15" t="n">
        <f aca="false">MAX(0,(AX81-(AV81-AW81))/(13-E81))</f>
        <v>3.00657917309106</v>
      </c>
      <c r="AZ81" s="15" t="n">
        <f aca="false">MIN(P81*Parametri_v3!$C$22,Q81*(1-Parametri_v3!$C$16)*Parametri_v3!$C$23)</f>
        <v>67.5</v>
      </c>
      <c r="BA81" s="15" t="n">
        <f aca="false">IF(OR(INDEX(Ipotesi!$C$35:$G$35,1,F81)&lt;=0,17-Parametri_v3!$C$21&lt;1),0,INDEX($AT$65:$AT$124,MAX(1,17-Parametri_v3!$C$21))/(INDEX(Ipotesi!$C$35:$G$35,1,F81)*Ipotesi!D27))</f>
        <v>2.87965277777778</v>
      </c>
      <c r="BB81" s="15" t="n">
        <f aca="false">IF(17-Parametri_v3!$C$21&lt;1,0,INDEX($AU$65:$AU$124,MAX(1,17-Parametri_v3!$C$21)))*Parametri_v3!$C$18*Parametri_v3!$C$19*Parametri_v3!$C$20</f>
        <v>3.9375</v>
      </c>
      <c r="BC81" s="17" t="n">
        <f aca="false">MAX(0,MIN(AY81,BA81,BB81,MAX(0,AZ81-(AV81-AW81))))</f>
        <v>2.87965277777778</v>
      </c>
      <c r="BD81" s="17" t="n">
        <f aca="false">AV81-AW81+BC81</f>
        <v>13.8270193930493</v>
      </c>
      <c r="BE81" s="17" t="n">
        <f aca="false">(AV81+BD81)/2</f>
        <v>12.4354637784543</v>
      </c>
      <c r="BF81" s="15" t="n">
        <f aca="false">BE81*INDEX(Ipotesi!$C$33:$G$33,1,F81)*H81/12</f>
        <v>4145.15459281811</v>
      </c>
      <c r="BG81" s="15" t="n">
        <f aca="false">BD81*INDEX(Ipotesi!$C$33:$G$33,1,F81)*H81</f>
        <v>55308.0775721972</v>
      </c>
      <c r="BH81" s="15" t="n">
        <f aca="false">AM81*INDEX(Ipotesi!$C$37:$G$37,1,F81)</f>
        <v>3398.1220657277</v>
      </c>
      <c r="BI81" s="15" t="n">
        <f aca="false">AQ81+BF81+BH81</f>
        <v>28918.2766585458</v>
      </c>
      <c r="BJ81" s="15" t="n">
        <f aca="false">INDEX(Ipotesi!$C$68:$G$68,1,F81)*Ipotesi!$C$69/12</f>
        <v>1600</v>
      </c>
      <c r="BK81" s="15" t="n">
        <f aca="false">INDEX(Ipotesi!$C$68:$G$68,1,F81)*(1-Ipotesi!$C$69)/12</f>
        <v>2400</v>
      </c>
      <c r="BL81" s="15" t="n">
        <f aca="false">(AQ81+BF81)*Ipotesi!$C$67</f>
        <v>765.604637784543</v>
      </c>
      <c r="BM81" s="15" t="n">
        <f aca="false">AM81*Ipotesi!$C$67</f>
        <v>1019.43661971831</v>
      </c>
      <c r="BN81" s="15" t="n">
        <f aca="false">INDEX(Ipotesi!$C$72:$G$72,1,F81)/12*Ipotesi!D126+BF81*Ipotesi!$C$73</f>
        <v>1581.61236742545</v>
      </c>
      <c r="BO81" s="15" t="n">
        <f aca="false">INDEX(Ipotesi!$C$74:$G$74,1,F81)/12*Ipotesi!D126</f>
        <v>1833.33333333333</v>
      </c>
      <c r="BP81" s="15" t="n">
        <f aca="false">INDEX(Ipotesi!$C$76:$G$76,1,F81)/12</f>
        <v>750</v>
      </c>
      <c r="BQ81" s="15" t="n">
        <f aca="false">INDEX(Ipotesi!$C$77:$G$77,1,F81)/12*Ipotesi!D126</f>
        <v>1666.66666666667</v>
      </c>
      <c r="BR81" s="15" t="n">
        <f aca="false">INDEX(Ipotesi!$C$78:$G$78,1,F81)/12</f>
        <v>1250</v>
      </c>
      <c r="BS81" s="15" t="n">
        <f aca="false">SUM(M81:R81)*(Ipotesi!$C$85+Ipotesi!$C$86)/12</f>
        <v>2625</v>
      </c>
      <c r="BT81" s="15" t="n">
        <f aca="false">BI81*Ipotesi!$C$87</f>
        <v>867.548299756374</v>
      </c>
      <c r="BU81" s="15" t="n">
        <f aca="false">INDEX(Ipotesi!$C$55:$G$55,1,F81)*K81/12</f>
        <v>1000</v>
      </c>
      <c r="BV81" s="15" t="n">
        <f aca="false">INDEX(Ipotesi!$C$80:$G$80,1,F81)/12*Ipotesi!D126</f>
        <v>833.333333333333</v>
      </c>
      <c r="BW81" s="15" t="n">
        <f aca="false">INDEX(Ipotesi!$C$82:$G$82,1,F81)/12</f>
        <v>666.666666666667</v>
      </c>
      <c r="BX81" s="15" t="n">
        <f aca="false">INDEX(Ipotesi!$C$83:$G$83,1,F81)/12</f>
        <v>583.333333333333</v>
      </c>
      <c r="BY81" s="15" t="n">
        <f aca="false">SUM(S81:U81)*(Ipotesi!$C$85+Ipotesi!$C$86)/12</f>
        <v>1166.66666666667</v>
      </c>
      <c r="BZ81" s="15" t="n">
        <f aca="false">AM81*Ipotesi!$C$87</f>
        <v>1019.43661971831</v>
      </c>
      <c r="CA81" s="15" t="n">
        <f aca="false">AB81+BJ81+BL81+BN81+BO81+AR81+BP81+BQ81+BR81+BS81+BT81</f>
        <v>57285.5986382997</v>
      </c>
      <c r="CB81" s="15" t="n">
        <f aca="false">AC81+BK81+BM81+BH81+BU81+BV81+AS81+BW81+BX81+BY81+BZ81</f>
        <v>28885.3286384976</v>
      </c>
      <c r="CC81" s="15" t="n">
        <f aca="false">BI81-CA81</f>
        <v>-28367.3219797539</v>
      </c>
      <c r="CD81" s="15" t="n">
        <f aca="false">AM81-CB81</f>
        <v>5095.89201877934</v>
      </c>
      <c r="CE81" s="15" t="n">
        <f aca="false">INDEX(Ipotesi!$C$79:$G$79,1,F81)/12</f>
        <v>2083.33333333333</v>
      </c>
      <c r="CF81" s="15" t="n">
        <f aca="false">INDEX(Ipotesi!$C$84:$G$84,1,F81)/12</f>
        <v>416.666666666667</v>
      </c>
      <c r="CG81" s="15" t="n">
        <f aca="false">Y81*MAX(0,Parametri_v3!$C$12-IF(P81=0,0,MIN(1,BE81/(P81*Parametri_v3!$C$22))))+W81*Parametri_v3!$C$13+X81*Parametri_v3!$C$14</f>
        <v>15345.4780128413</v>
      </c>
      <c r="CH81" s="15" t="n">
        <f aca="false">AB81*Parametri_v3!$C$32</f>
        <v>1988.125</v>
      </c>
      <c r="CI81" s="15" t="n">
        <f aca="false">AC81*Parametri_v3!$C$32</f>
        <v>798.25</v>
      </c>
      <c r="CJ81" s="15" t="n">
        <f aca="false">CA81-AB81</f>
        <v>17523.0986382997</v>
      </c>
      <c r="CK81" s="15" t="n">
        <f aca="false">CB81-AC81-BH81</f>
        <v>9522.20657276995</v>
      </c>
      <c r="CL81" s="15" t="n">
        <f aca="false">BF81*Ipotesi!$C$73+INDEX(Ipotesi!$C$72:$G$72,1,F81)/12*Ipotesi!D126*Parametri_v3!$C$58+Z81*(1-Parametri_v3!$C$16)</f>
        <v>3319.73736742545</v>
      </c>
      <c r="CM81" s="16" t="n">
        <f aca="false">IF(BF81=0,0,1-CL81/BF81)</f>
        <v>0.199128212690252</v>
      </c>
    </row>
    <row r="82" customFormat="false" ht="18" hidden="false" customHeight="true" outlineLevel="0" collapsed="false">
      <c r="A82" s="68" t="n">
        <f aca="false">2</f>
        <v>2</v>
      </c>
      <c r="B82" s="68" t="n">
        <f aca="false">18</f>
        <v>18</v>
      </c>
      <c r="C82" s="18" t="n">
        <f aca="false">EDATE(Parametri_v3!$C$5,18-1)</f>
        <v>46905</v>
      </c>
      <c r="D82" s="68" t="n">
        <f aca="false">YEAR(C82)</f>
        <v>2028</v>
      </c>
      <c r="E82" s="68" t="n">
        <f aca="false">MONTH(C82)</f>
        <v>6</v>
      </c>
      <c r="F82" s="68" t="n">
        <f aca="false">INT((18-1)/12)+1</f>
        <v>2</v>
      </c>
      <c r="G82" s="15" t="n">
        <f aca="false">Ipotesi!D7</f>
        <v>1</v>
      </c>
      <c r="H82" s="15" t="n">
        <f aca="false">Ipotesi!D9</f>
        <v>1</v>
      </c>
      <c r="I82" s="15" t="n">
        <f aca="false">Ipotesi!D10</f>
        <v>1</v>
      </c>
      <c r="J82" s="15" t="n">
        <f aca="false">Ipotesi!D11</f>
        <v>1</v>
      </c>
      <c r="K82" s="15" t="n">
        <f aca="false">Ipotesi!D12</f>
        <v>1</v>
      </c>
      <c r="L82" s="15" t="n">
        <f aca="false">Ipotesi!D13</f>
        <v>90</v>
      </c>
      <c r="M82" s="17" t="n">
        <f aca="false">INDEX(Ipotesi!$C$40:$G$40,1,F82)</f>
        <v>1</v>
      </c>
      <c r="N82" s="17" t="n">
        <f aca="false">INDEX(Ipotesi!$C$41:$G$41,1,F82)</f>
        <v>1</v>
      </c>
      <c r="O82" s="17" t="n">
        <f aca="false">INDEX(Ipotesi!$C$42:$G$42,1,F82)*Ipotesi!D125</f>
        <v>2.5</v>
      </c>
      <c r="P82" s="17" t="n">
        <f aca="false">INDEX(Ipotesi!$C$43:$G$43,1,F82)*I82</f>
        <v>2.5</v>
      </c>
      <c r="Q82" s="17" t="n">
        <f aca="false">INDEX(Ipotesi!$C$44:$G$44,1,F82)*I82</f>
        <v>1.5</v>
      </c>
      <c r="R82" s="17" t="n">
        <f aca="false">INDEX(Ipotesi!$C$45:$G$45,1,F82)*I82</f>
        <v>0.5</v>
      </c>
      <c r="S82" s="17" t="n">
        <f aca="false">INDEX(Ipotesi!$C$52:$G$52,1,F82)*Ipotesi!D125</f>
        <v>3</v>
      </c>
      <c r="T82" s="17" t="n">
        <f aca="false">INDEX(Ipotesi!$C$53:$G$53,1,F82)*I82</f>
        <v>1</v>
      </c>
      <c r="U82" s="17" t="n">
        <f aca="false">INDEX(Ipotesi!$C$54:$G$54,1,F82)*I82</f>
        <v>0</v>
      </c>
      <c r="V82" s="15" t="n">
        <f aca="false">M82*INDEX(Ipotesi!$C$58:$G$58,1,F82)*K82/12</f>
        <v>5000</v>
      </c>
      <c r="W82" s="15" t="n">
        <f aca="false">N82*Ipotesi!$C$59*(1+Ipotesi!$C$66)^(F82-1)/12</f>
        <v>6008.33333333333</v>
      </c>
      <c r="X82" s="15" t="n">
        <f aca="false">O82*Ipotesi!$C$60*(1+Ipotesi!$C$66)^(F82-1)/12</f>
        <v>10729.1666666667</v>
      </c>
      <c r="Y82" s="15" t="n">
        <f aca="false">P82*Ipotesi!$C$61*(1+Ipotesi!$C$66)^(F82-1)/12</f>
        <v>10729.1666666667</v>
      </c>
      <c r="Z82" s="15" t="n">
        <f aca="false">Q82*Ipotesi!$C$62*(1+Ipotesi!$C$66)^(F82-1)/12</f>
        <v>5793.75</v>
      </c>
      <c r="AA82" s="15" t="n">
        <f aca="false">R82*Ipotesi!$C$63*(1+Ipotesi!$C$66)^(F82-1)/12</f>
        <v>1502.08333333333</v>
      </c>
      <c r="AB82" s="15" t="n">
        <f aca="false">SUM(V82:AA82)</f>
        <v>39762.5</v>
      </c>
      <c r="AC82" s="15" t="n">
        <f aca="false">(S82*Ipotesi!$C$64+T82*Ipotesi!$C$65+U82*Ipotesi!$C$63)*(1+Ipotesi!$C$66)^(F82-1)/12</f>
        <v>15965</v>
      </c>
      <c r="AD82" s="15" t="n">
        <f aca="false">INDEX(Ipotesi!$C$48:$G$48,1,F82)*G82/12</f>
        <v>37.5</v>
      </c>
      <c r="AE82" s="15" t="n">
        <f aca="false">INDEX(Ipotesi!$C$50:$G$50,1,F82)*G82/12</f>
        <v>4.58333333333333</v>
      </c>
      <c r="AF82" s="15" t="n">
        <f aca="false">(S82*Parametri_v3!$C$7*Parametri_v3!$C$8+Parametri_v3!$C$10)/12</f>
        <v>38.5</v>
      </c>
      <c r="AG82" s="15" t="n">
        <f aca="false">AD82+AE82*(1+Parametri_v3!$C$9)</f>
        <v>44.375</v>
      </c>
      <c r="AH82" s="16" t="n">
        <f aca="false">IF(AG82=0,1,MIN(1,AF82/AG82))</f>
        <v>0.867605633802817</v>
      </c>
      <c r="AI82" s="15" t="n">
        <f aca="false">AD82*AH82</f>
        <v>32.5352112676056</v>
      </c>
      <c r="AJ82" s="15" t="n">
        <f aca="false">AE82*AH82</f>
        <v>3.97652582159624</v>
      </c>
      <c r="AK82" s="15" t="n">
        <f aca="false">AI82*INDEX(Ipotesi!$C$49:$G$49,1,F82)*H82</f>
        <v>26028.1690140845</v>
      </c>
      <c r="AL82" s="15" t="n">
        <f aca="false">AJ82*INDEX(Ipotesi!$C$51:$G$51,1,F82)*H82</f>
        <v>7953.05164319249</v>
      </c>
      <c r="AM82" s="15" t="n">
        <f aca="false">AK82+AL82</f>
        <v>33981.220657277</v>
      </c>
      <c r="AN82" s="15" t="n">
        <f aca="false">INDEX(Ipotesi!$C$30:$G$30,1,F82)*G82/12</f>
        <v>22.5</v>
      </c>
      <c r="AO82" s="15" t="n">
        <f aca="false">O82*Parametri_v3!$C$7*Parametri_v3!$C$11*(1-Parametri_v3!$C$14)/12</f>
        <v>25.6666666666667</v>
      </c>
      <c r="AP82" s="15" t="n">
        <f aca="false">MIN(AN82,AO82)</f>
        <v>22.5</v>
      </c>
      <c r="AQ82" s="15" t="n">
        <f aca="false">AP82*INDEX(Ipotesi!$C$31:$G$31,1,F82)*H82</f>
        <v>21375</v>
      </c>
      <c r="AR82" s="15" t="n">
        <f aca="false">INDEX(Ipotesi!$C$75:$G$75,1,F82)*J82/12</f>
        <v>4583.33333333333</v>
      </c>
      <c r="AS82" s="15" t="n">
        <f aca="false">INDEX(Ipotesi!$C$81:$G$81,1,F82)*J82/12</f>
        <v>833.333333333333</v>
      </c>
      <c r="AT82" s="15" t="n">
        <f aca="false">AR82*Parametri_v3!$C$15+Z82*Parametri_v3!$C$16</f>
        <v>8638.95833333333</v>
      </c>
      <c r="AU82" s="15" t="n">
        <f aca="false">Q82*Parametri_v3!$C$16*Parametri_v3!$C$17</f>
        <v>105</v>
      </c>
      <c r="AV82" s="17" t="n">
        <f aca="false">BD81</f>
        <v>13.8270193930493</v>
      </c>
      <c r="AW82" s="17" t="n">
        <f aca="false">AV82*(1-(1-INDEX(Ipotesi!$C$34:$G$34,1,F82))^(1/12))</f>
        <v>0.120870424197084</v>
      </c>
      <c r="AX82" s="15" t="n">
        <f aca="false">ROUND(INDEX(Ipotesi!$C$32:$G$32,1,F82)*Ipotesi!D8,0)</f>
        <v>35</v>
      </c>
      <c r="AY82" s="15" t="n">
        <f aca="false">MAX(0,(AX82-(AV82-AW82))/(13-E82))</f>
        <v>3.0419787187354</v>
      </c>
      <c r="AZ82" s="15" t="n">
        <f aca="false">MIN(P82*Parametri_v3!$C$22,Q82*(1-Parametri_v3!$C$16)*Parametri_v3!$C$23)</f>
        <v>67.5</v>
      </c>
      <c r="BA82" s="15" t="n">
        <f aca="false">IF(OR(INDEX(Ipotesi!$C$35:$G$35,1,F82)&lt;=0,18-Parametri_v3!$C$21&lt;1),0,INDEX($AT$65:$AT$124,MAX(1,18-Parametri_v3!$C$21))/(INDEX(Ipotesi!$C$35:$G$35,1,F82)*Ipotesi!D27))</f>
        <v>2.87965277777778</v>
      </c>
      <c r="BB82" s="15" t="n">
        <f aca="false">IF(18-Parametri_v3!$C$21&lt;1,0,INDEX($AU$65:$AU$124,MAX(1,18-Parametri_v3!$C$21)))*Parametri_v3!$C$18*Parametri_v3!$C$19*Parametri_v3!$C$20</f>
        <v>3.9375</v>
      </c>
      <c r="BC82" s="17" t="n">
        <f aca="false">MAX(0,MIN(AY82,BA82,BB82,MAX(0,AZ82-(AV82-AW82))))</f>
        <v>2.87965277777778</v>
      </c>
      <c r="BD82" s="17" t="n">
        <f aca="false">AV82-AW82+BC82</f>
        <v>16.58580174663</v>
      </c>
      <c r="BE82" s="17" t="n">
        <f aca="false">(AV82+BD82)/2</f>
        <v>15.2064105698396</v>
      </c>
      <c r="BF82" s="15" t="n">
        <f aca="false">BE82*INDEX(Ipotesi!$C$33:$G$33,1,F82)*H82/12</f>
        <v>5068.80352327988</v>
      </c>
      <c r="BG82" s="15" t="n">
        <f aca="false">BD82*INDEX(Ipotesi!$C$33:$G$33,1,F82)*H82</f>
        <v>66343.2069865199</v>
      </c>
      <c r="BH82" s="15" t="n">
        <f aca="false">AM82*INDEX(Ipotesi!$C$37:$G$37,1,F82)</f>
        <v>3398.1220657277</v>
      </c>
      <c r="BI82" s="15" t="n">
        <f aca="false">AQ82+BF82+BH82</f>
        <v>29841.9255890076</v>
      </c>
      <c r="BJ82" s="15" t="n">
        <f aca="false">INDEX(Ipotesi!$C$68:$G$68,1,F82)*Ipotesi!$C$69/12</f>
        <v>1600</v>
      </c>
      <c r="BK82" s="15" t="n">
        <f aca="false">INDEX(Ipotesi!$C$68:$G$68,1,F82)*(1-Ipotesi!$C$69)/12</f>
        <v>2400</v>
      </c>
      <c r="BL82" s="15" t="n">
        <f aca="false">(AQ82+BF82)*Ipotesi!$C$67</f>
        <v>793.314105698396</v>
      </c>
      <c r="BM82" s="15" t="n">
        <f aca="false">AM82*Ipotesi!$C$67</f>
        <v>1019.43661971831</v>
      </c>
      <c r="BN82" s="15" t="n">
        <f aca="false">INDEX(Ipotesi!$C$72:$G$72,1,F82)/12*Ipotesi!D126+BF82*Ipotesi!$C$73</f>
        <v>1655.50428186239</v>
      </c>
      <c r="BO82" s="15" t="n">
        <f aca="false">INDEX(Ipotesi!$C$74:$G$74,1,F82)/12*Ipotesi!D126</f>
        <v>1833.33333333333</v>
      </c>
      <c r="BP82" s="15" t="n">
        <f aca="false">INDEX(Ipotesi!$C$76:$G$76,1,F82)/12</f>
        <v>750</v>
      </c>
      <c r="BQ82" s="15" t="n">
        <f aca="false">INDEX(Ipotesi!$C$77:$G$77,1,F82)/12*Ipotesi!D126</f>
        <v>1666.66666666667</v>
      </c>
      <c r="BR82" s="15" t="n">
        <f aca="false">INDEX(Ipotesi!$C$78:$G$78,1,F82)/12</f>
        <v>1250</v>
      </c>
      <c r="BS82" s="15" t="n">
        <f aca="false">SUM(M82:R82)*(Ipotesi!$C$85+Ipotesi!$C$86)/12</f>
        <v>2625</v>
      </c>
      <c r="BT82" s="15" t="n">
        <f aca="false">BI82*Ipotesi!$C$87</f>
        <v>895.257767670227</v>
      </c>
      <c r="BU82" s="15" t="n">
        <f aca="false">INDEX(Ipotesi!$C$55:$G$55,1,F82)*K82/12</f>
        <v>1000</v>
      </c>
      <c r="BV82" s="15" t="n">
        <f aca="false">INDEX(Ipotesi!$C$80:$G$80,1,F82)/12*Ipotesi!D126</f>
        <v>833.333333333333</v>
      </c>
      <c r="BW82" s="15" t="n">
        <f aca="false">INDEX(Ipotesi!$C$82:$G$82,1,F82)/12</f>
        <v>666.666666666667</v>
      </c>
      <c r="BX82" s="15" t="n">
        <f aca="false">INDEX(Ipotesi!$C$83:$G$83,1,F82)/12</f>
        <v>583.333333333333</v>
      </c>
      <c r="BY82" s="15" t="n">
        <f aca="false">SUM(S82:U82)*(Ipotesi!$C$85+Ipotesi!$C$86)/12</f>
        <v>1166.66666666667</v>
      </c>
      <c r="BZ82" s="15" t="n">
        <f aca="false">AM82*Ipotesi!$C$87</f>
        <v>1019.43661971831</v>
      </c>
      <c r="CA82" s="15" t="n">
        <f aca="false">AB82+BJ82+BL82+BN82+BO82+AR82+BP82+BQ82+BR82+BS82+BT82</f>
        <v>57414.9094885644</v>
      </c>
      <c r="CB82" s="15" t="n">
        <f aca="false">AC82+BK82+BM82+BH82+BU82+BV82+AS82+BW82+BX82+BY82+BZ82</f>
        <v>28885.3286384976</v>
      </c>
      <c r="CC82" s="15" t="n">
        <f aca="false">BI82-CA82</f>
        <v>-27572.9838995568</v>
      </c>
      <c r="CD82" s="15" t="n">
        <f aca="false">AM82-CB82</f>
        <v>5095.89201877934</v>
      </c>
      <c r="CE82" s="15" t="n">
        <f aca="false">INDEX(Ipotesi!$C$79:$G$79,1,F82)/12</f>
        <v>2083.33333333333</v>
      </c>
      <c r="CF82" s="15" t="n">
        <f aca="false">INDEX(Ipotesi!$C$84:$G$84,1,F82)/12</f>
        <v>416.666666666667</v>
      </c>
      <c r="CG82" s="15" t="n">
        <f aca="false">Y82*MAX(0,Parametri_v3!$C$12-IF(P82=0,0,MIN(1,BE82/(P82*Parametri_v3!$C$22))))+W82*Parametri_v3!$C$13+X82*Parametri_v3!$C$14</f>
        <v>15226.5582130444</v>
      </c>
      <c r="CH82" s="15" t="n">
        <f aca="false">AB82*Parametri_v3!$C$32</f>
        <v>1988.125</v>
      </c>
      <c r="CI82" s="15" t="n">
        <f aca="false">AC82*Parametri_v3!$C$32</f>
        <v>798.25</v>
      </c>
      <c r="CJ82" s="15" t="n">
        <f aca="false">CA82-AB82</f>
        <v>17652.4094885644</v>
      </c>
      <c r="CK82" s="15" t="n">
        <f aca="false">CB82-AC82-BH82</f>
        <v>9522.20657276995</v>
      </c>
      <c r="CL82" s="15" t="n">
        <f aca="false">BF82*Ipotesi!$C$73+INDEX(Ipotesi!$C$72:$G$72,1,F82)/12*Ipotesi!D126*Parametri_v3!$C$58+Z82*(1-Parametri_v3!$C$16)</f>
        <v>3393.62928186239</v>
      </c>
      <c r="CM82" s="16" t="n">
        <f aca="false">IF(BF82=0,0,1-CL82/BF82)</f>
        <v>0.330487112732579</v>
      </c>
    </row>
    <row r="83" customFormat="false" ht="18" hidden="false" customHeight="true" outlineLevel="0" collapsed="false">
      <c r="A83" s="68" t="n">
        <f aca="false">2</f>
        <v>2</v>
      </c>
      <c r="B83" s="68" t="n">
        <f aca="false">19</f>
        <v>19</v>
      </c>
      <c r="C83" s="18" t="n">
        <f aca="false">EDATE(Parametri_v3!$C$5,19-1)</f>
        <v>46935</v>
      </c>
      <c r="D83" s="68" t="n">
        <f aca="false">YEAR(C83)</f>
        <v>2028</v>
      </c>
      <c r="E83" s="68" t="n">
        <f aca="false">MONTH(C83)</f>
        <v>7</v>
      </c>
      <c r="F83" s="68" t="n">
        <f aca="false">INT((19-1)/12)+1</f>
        <v>2</v>
      </c>
      <c r="G83" s="15" t="n">
        <f aca="false">Ipotesi!D7</f>
        <v>1</v>
      </c>
      <c r="H83" s="15" t="n">
        <f aca="false">Ipotesi!D9</f>
        <v>1</v>
      </c>
      <c r="I83" s="15" t="n">
        <f aca="false">Ipotesi!D10</f>
        <v>1</v>
      </c>
      <c r="J83" s="15" t="n">
        <f aca="false">Ipotesi!D11</f>
        <v>1</v>
      </c>
      <c r="K83" s="15" t="n">
        <f aca="false">Ipotesi!D12</f>
        <v>1</v>
      </c>
      <c r="L83" s="15" t="n">
        <f aca="false">Ipotesi!D13</f>
        <v>90</v>
      </c>
      <c r="M83" s="17" t="n">
        <f aca="false">INDEX(Ipotesi!$C$40:$G$40,1,F83)</f>
        <v>1</v>
      </c>
      <c r="N83" s="17" t="n">
        <f aca="false">INDEX(Ipotesi!$C$41:$G$41,1,F83)</f>
        <v>1</v>
      </c>
      <c r="O83" s="17" t="n">
        <f aca="false">INDEX(Ipotesi!$C$42:$G$42,1,F83)*Ipotesi!D125</f>
        <v>2.5</v>
      </c>
      <c r="P83" s="17" t="n">
        <f aca="false">INDEX(Ipotesi!$C$43:$G$43,1,F83)*I83</f>
        <v>2.5</v>
      </c>
      <c r="Q83" s="17" t="n">
        <f aca="false">INDEX(Ipotesi!$C$44:$G$44,1,F83)*I83</f>
        <v>1.5</v>
      </c>
      <c r="R83" s="17" t="n">
        <f aca="false">INDEX(Ipotesi!$C$45:$G$45,1,F83)*I83</f>
        <v>0.5</v>
      </c>
      <c r="S83" s="17" t="n">
        <f aca="false">INDEX(Ipotesi!$C$52:$G$52,1,F83)*Ipotesi!D125</f>
        <v>3</v>
      </c>
      <c r="T83" s="17" t="n">
        <f aca="false">INDEX(Ipotesi!$C$53:$G$53,1,F83)*I83</f>
        <v>1</v>
      </c>
      <c r="U83" s="17" t="n">
        <f aca="false">INDEX(Ipotesi!$C$54:$G$54,1,F83)*I83</f>
        <v>0</v>
      </c>
      <c r="V83" s="15" t="n">
        <f aca="false">M83*INDEX(Ipotesi!$C$58:$G$58,1,F83)*K83/12</f>
        <v>5000</v>
      </c>
      <c r="W83" s="15" t="n">
        <f aca="false">N83*Ipotesi!$C$59*(1+Ipotesi!$C$66)^(F83-1)/12</f>
        <v>6008.33333333333</v>
      </c>
      <c r="X83" s="15" t="n">
        <f aca="false">O83*Ipotesi!$C$60*(1+Ipotesi!$C$66)^(F83-1)/12</f>
        <v>10729.1666666667</v>
      </c>
      <c r="Y83" s="15" t="n">
        <f aca="false">P83*Ipotesi!$C$61*(1+Ipotesi!$C$66)^(F83-1)/12</f>
        <v>10729.1666666667</v>
      </c>
      <c r="Z83" s="15" t="n">
        <f aca="false">Q83*Ipotesi!$C$62*(1+Ipotesi!$C$66)^(F83-1)/12</f>
        <v>5793.75</v>
      </c>
      <c r="AA83" s="15" t="n">
        <f aca="false">R83*Ipotesi!$C$63*(1+Ipotesi!$C$66)^(F83-1)/12</f>
        <v>1502.08333333333</v>
      </c>
      <c r="AB83" s="15" t="n">
        <f aca="false">SUM(V83:AA83)</f>
        <v>39762.5</v>
      </c>
      <c r="AC83" s="15" t="n">
        <f aca="false">(S83*Ipotesi!$C$64+T83*Ipotesi!$C$65+U83*Ipotesi!$C$63)*(1+Ipotesi!$C$66)^(F83-1)/12</f>
        <v>15965</v>
      </c>
      <c r="AD83" s="15" t="n">
        <f aca="false">INDEX(Ipotesi!$C$48:$G$48,1,F83)*G83/12</f>
        <v>37.5</v>
      </c>
      <c r="AE83" s="15" t="n">
        <f aca="false">INDEX(Ipotesi!$C$50:$G$50,1,F83)*G83/12</f>
        <v>4.58333333333333</v>
      </c>
      <c r="AF83" s="15" t="n">
        <f aca="false">(S83*Parametri_v3!$C$7*Parametri_v3!$C$8+Parametri_v3!$C$10)/12</f>
        <v>38.5</v>
      </c>
      <c r="AG83" s="15" t="n">
        <f aca="false">AD83+AE83*(1+Parametri_v3!$C$9)</f>
        <v>44.375</v>
      </c>
      <c r="AH83" s="16" t="n">
        <f aca="false">IF(AG83=0,1,MIN(1,AF83/AG83))</f>
        <v>0.867605633802817</v>
      </c>
      <c r="AI83" s="15" t="n">
        <f aca="false">AD83*AH83</f>
        <v>32.5352112676056</v>
      </c>
      <c r="AJ83" s="15" t="n">
        <f aca="false">AE83*AH83</f>
        <v>3.97652582159624</v>
      </c>
      <c r="AK83" s="15" t="n">
        <f aca="false">AI83*INDEX(Ipotesi!$C$49:$G$49,1,F83)*H83</f>
        <v>26028.1690140845</v>
      </c>
      <c r="AL83" s="15" t="n">
        <f aca="false">AJ83*INDEX(Ipotesi!$C$51:$G$51,1,F83)*H83</f>
        <v>7953.05164319249</v>
      </c>
      <c r="AM83" s="15" t="n">
        <f aca="false">AK83+AL83</f>
        <v>33981.220657277</v>
      </c>
      <c r="AN83" s="15" t="n">
        <f aca="false">INDEX(Ipotesi!$C$30:$G$30,1,F83)*G83/12</f>
        <v>22.5</v>
      </c>
      <c r="AO83" s="15" t="n">
        <f aca="false">O83*Parametri_v3!$C$7*Parametri_v3!$C$11*(1-Parametri_v3!$C$14)/12</f>
        <v>25.6666666666667</v>
      </c>
      <c r="AP83" s="15" t="n">
        <f aca="false">MIN(AN83,AO83)</f>
        <v>22.5</v>
      </c>
      <c r="AQ83" s="15" t="n">
        <f aca="false">AP83*INDEX(Ipotesi!$C$31:$G$31,1,F83)*H83</f>
        <v>21375</v>
      </c>
      <c r="AR83" s="15" t="n">
        <f aca="false">INDEX(Ipotesi!$C$75:$G$75,1,F83)*J83/12</f>
        <v>4583.33333333333</v>
      </c>
      <c r="AS83" s="15" t="n">
        <f aca="false">INDEX(Ipotesi!$C$81:$G$81,1,F83)*J83/12</f>
        <v>833.333333333333</v>
      </c>
      <c r="AT83" s="15" t="n">
        <f aca="false">AR83*Parametri_v3!$C$15+Z83*Parametri_v3!$C$16</f>
        <v>8638.95833333333</v>
      </c>
      <c r="AU83" s="15" t="n">
        <f aca="false">Q83*Parametri_v3!$C$16*Parametri_v3!$C$17</f>
        <v>105</v>
      </c>
      <c r="AV83" s="17" t="n">
        <f aca="false">BD82</f>
        <v>16.58580174663</v>
      </c>
      <c r="AW83" s="17" t="n">
        <f aca="false">AV83*(1-(1-INDEX(Ipotesi!$C$34:$G$34,1,F83))^(1/12))</f>
        <v>0.144986626240769</v>
      </c>
      <c r="AX83" s="15" t="n">
        <f aca="false">ROUND(INDEX(Ipotesi!$C$32:$G$32,1,F83)*Ipotesi!D8,0)</f>
        <v>35</v>
      </c>
      <c r="AY83" s="15" t="n">
        <f aca="false">MAX(0,(AX83-(AV83-AW83))/(13-E83))</f>
        <v>3.09319747993513</v>
      </c>
      <c r="AZ83" s="15" t="n">
        <f aca="false">MIN(P83*Parametri_v3!$C$22,Q83*(1-Parametri_v3!$C$16)*Parametri_v3!$C$23)</f>
        <v>67.5</v>
      </c>
      <c r="BA83" s="15" t="n">
        <f aca="false">IF(OR(INDEX(Ipotesi!$C$35:$G$35,1,F83)&lt;=0,19-Parametri_v3!$C$21&lt;1),0,INDEX($AT$65:$AT$124,MAX(1,19-Parametri_v3!$C$21))/(INDEX(Ipotesi!$C$35:$G$35,1,F83)*Ipotesi!D27))</f>
        <v>2.87965277777778</v>
      </c>
      <c r="BB83" s="15" t="n">
        <f aca="false">IF(19-Parametri_v3!$C$21&lt;1,0,INDEX($AU$65:$AU$124,MAX(1,19-Parametri_v3!$C$21)))*Parametri_v3!$C$18*Parametri_v3!$C$19*Parametri_v3!$C$20</f>
        <v>3.9375</v>
      </c>
      <c r="BC83" s="17" t="n">
        <f aca="false">MAX(0,MIN(AY83,BA83,BB83,MAX(0,AZ83-(AV83-AW83))))</f>
        <v>2.87965277777778</v>
      </c>
      <c r="BD83" s="17" t="n">
        <f aca="false">AV83-AW83+BC83</f>
        <v>19.320467898167</v>
      </c>
      <c r="BE83" s="17" t="n">
        <f aca="false">(AV83+BD83)/2</f>
        <v>17.9531348223985</v>
      </c>
      <c r="BF83" s="15" t="n">
        <f aca="false">BE83*INDEX(Ipotesi!$C$33:$G$33,1,F83)*H83/12</f>
        <v>5984.37827413283</v>
      </c>
      <c r="BG83" s="15" t="n">
        <f aca="false">BD83*INDEX(Ipotesi!$C$33:$G$33,1,F83)*H83</f>
        <v>77281.871592668</v>
      </c>
      <c r="BH83" s="15" t="n">
        <f aca="false">AM83*INDEX(Ipotesi!$C$37:$G$37,1,F83)</f>
        <v>3398.1220657277</v>
      </c>
      <c r="BI83" s="15" t="n">
        <f aca="false">AQ83+BF83+BH83</f>
        <v>30757.5003398605</v>
      </c>
      <c r="BJ83" s="15" t="n">
        <f aca="false">INDEX(Ipotesi!$C$68:$G$68,1,F83)*Ipotesi!$C$69/12</f>
        <v>1600</v>
      </c>
      <c r="BK83" s="15" t="n">
        <f aca="false">INDEX(Ipotesi!$C$68:$G$68,1,F83)*(1-Ipotesi!$C$69)/12</f>
        <v>2400</v>
      </c>
      <c r="BL83" s="15" t="n">
        <f aca="false">(AQ83+BF83)*Ipotesi!$C$67</f>
        <v>820.781348223985</v>
      </c>
      <c r="BM83" s="15" t="n">
        <f aca="false">AM83*Ipotesi!$C$67</f>
        <v>1019.43661971831</v>
      </c>
      <c r="BN83" s="15" t="n">
        <f aca="false">INDEX(Ipotesi!$C$72:$G$72,1,F83)/12*Ipotesi!D126+BF83*Ipotesi!$C$73</f>
        <v>1728.75026193063</v>
      </c>
      <c r="BO83" s="15" t="n">
        <f aca="false">INDEX(Ipotesi!$C$74:$G$74,1,F83)/12*Ipotesi!D126</f>
        <v>1833.33333333333</v>
      </c>
      <c r="BP83" s="15" t="n">
        <f aca="false">INDEX(Ipotesi!$C$76:$G$76,1,F83)/12</f>
        <v>750</v>
      </c>
      <c r="BQ83" s="15" t="n">
        <f aca="false">INDEX(Ipotesi!$C$77:$G$77,1,F83)/12*Ipotesi!D126</f>
        <v>1666.66666666667</v>
      </c>
      <c r="BR83" s="15" t="n">
        <f aca="false">INDEX(Ipotesi!$C$78:$G$78,1,F83)/12</f>
        <v>1250</v>
      </c>
      <c r="BS83" s="15" t="n">
        <f aca="false">SUM(M83:R83)*(Ipotesi!$C$85+Ipotesi!$C$86)/12</f>
        <v>2625</v>
      </c>
      <c r="BT83" s="15" t="n">
        <f aca="false">BI83*Ipotesi!$C$87</f>
        <v>922.725010195816</v>
      </c>
      <c r="BU83" s="15" t="n">
        <f aca="false">INDEX(Ipotesi!$C$55:$G$55,1,F83)*K83/12</f>
        <v>1000</v>
      </c>
      <c r="BV83" s="15" t="n">
        <f aca="false">INDEX(Ipotesi!$C$80:$G$80,1,F83)/12*Ipotesi!D126</f>
        <v>833.333333333333</v>
      </c>
      <c r="BW83" s="15" t="n">
        <f aca="false">INDEX(Ipotesi!$C$82:$G$82,1,F83)/12</f>
        <v>666.666666666667</v>
      </c>
      <c r="BX83" s="15" t="n">
        <f aca="false">INDEX(Ipotesi!$C$83:$G$83,1,F83)/12</f>
        <v>583.333333333333</v>
      </c>
      <c r="BY83" s="15" t="n">
        <f aca="false">SUM(S83:U83)*(Ipotesi!$C$85+Ipotesi!$C$86)/12</f>
        <v>1166.66666666667</v>
      </c>
      <c r="BZ83" s="15" t="n">
        <f aca="false">AM83*Ipotesi!$C$87</f>
        <v>1019.43661971831</v>
      </c>
      <c r="CA83" s="15" t="n">
        <f aca="false">AB83+BJ83+BL83+BN83+BO83+AR83+BP83+BQ83+BR83+BS83+BT83</f>
        <v>57543.0899536838</v>
      </c>
      <c r="CB83" s="15" t="n">
        <f aca="false">AC83+BK83+BM83+BH83+BU83+BV83+AS83+BW83+BX83+BY83+BZ83</f>
        <v>28885.3286384976</v>
      </c>
      <c r="CC83" s="15" t="n">
        <f aca="false">BI83-CA83</f>
        <v>-26785.5896138232</v>
      </c>
      <c r="CD83" s="15" t="n">
        <f aca="false">AM83-CB83</f>
        <v>5095.89201877934</v>
      </c>
      <c r="CE83" s="15" t="n">
        <f aca="false">INDEX(Ipotesi!$C$79:$G$79,1,F83)/12</f>
        <v>2083.33333333333</v>
      </c>
      <c r="CF83" s="15" t="n">
        <f aca="false">INDEX(Ipotesi!$C$84:$G$84,1,F83)/12</f>
        <v>416.666666666667</v>
      </c>
      <c r="CG83" s="15" t="n">
        <f aca="false">Y83*MAX(0,Parametri_v3!$C$12-IF(P83=0,0,MIN(1,BE83/(P83*Parametri_v3!$C$22))))+W83*Parametri_v3!$C$13+X83*Parametri_v3!$C$14</f>
        <v>15108.6779638721</v>
      </c>
      <c r="CH83" s="15" t="n">
        <f aca="false">AB83*Parametri_v3!$C$32</f>
        <v>1988.125</v>
      </c>
      <c r="CI83" s="15" t="n">
        <f aca="false">AC83*Parametri_v3!$C$32</f>
        <v>798.25</v>
      </c>
      <c r="CJ83" s="15" t="n">
        <f aca="false">CA83-AB83</f>
        <v>17780.5899536838</v>
      </c>
      <c r="CK83" s="15" t="n">
        <f aca="false">CB83-AC83-BH83</f>
        <v>9522.20657276995</v>
      </c>
      <c r="CL83" s="15" t="n">
        <f aca="false">BF83*Ipotesi!$C$73+INDEX(Ipotesi!$C$72:$G$72,1,F83)/12*Ipotesi!D126*Parametri_v3!$C$58+Z83*(1-Parametri_v3!$C$16)</f>
        <v>3466.87526193063</v>
      </c>
      <c r="CM83" s="16" t="n">
        <f aca="false">IF(BF83=0,0,1-CL83/BF83)</f>
        <v>0.420679124360166</v>
      </c>
    </row>
    <row r="84" customFormat="false" ht="18" hidden="false" customHeight="true" outlineLevel="0" collapsed="false">
      <c r="A84" s="68" t="n">
        <f aca="false">2</f>
        <v>2</v>
      </c>
      <c r="B84" s="68" t="n">
        <f aca="false">20</f>
        <v>20</v>
      </c>
      <c r="C84" s="18" t="n">
        <f aca="false">EDATE(Parametri_v3!$C$5,20-1)</f>
        <v>46966</v>
      </c>
      <c r="D84" s="68" t="n">
        <f aca="false">YEAR(C84)</f>
        <v>2028</v>
      </c>
      <c r="E84" s="68" t="n">
        <f aca="false">MONTH(C84)</f>
        <v>8</v>
      </c>
      <c r="F84" s="68" t="n">
        <f aca="false">INT((20-1)/12)+1</f>
        <v>2</v>
      </c>
      <c r="G84" s="15" t="n">
        <f aca="false">Ipotesi!D7</f>
        <v>1</v>
      </c>
      <c r="H84" s="15" t="n">
        <f aca="false">Ipotesi!D9</f>
        <v>1</v>
      </c>
      <c r="I84" s="15" t="n">
        <f aca="false">Ipotesi!D10</f>
        <v>1</v>
      </c>
      <c r="J84" s="15" t="n">
        <f aca="false">Ipotesi!D11</f>
        <v>1</v>
      </c>
      <c r="K84" s="15" t="n">
        <f aca="false">Ipotesi!D12</f>
        <v>1</v>
      </c>
      <c r="L84" s="15" t="n">
        <f aca="false">Ipotesi!D13</f>
        <v>90</v>
      </c>
      <c r="M84" s="17" t="n">
        <f aca="false">INDEX(Ipotesi!$C$40:$G$40,1,F84)</f>
        <v>1</v>
      </c>
      <c r="N84" s="17" t="n">
        <f aca="false">INDEX(Ipotesi!$C$41:$G$41,1,F84)</f>
        <v>1</v>
      </c>
      <c r="O84" s="17" t="n">
        <f aca="false">INDEX(Ipotesi!$C$42:$G$42,1,F84)*Ipotesi!D125</f>
        <v>2.5</v>
      </c>
      <c r="P84" s="17" t="n">
        <f aca="false">INDEX(Ipotesi!$C$43:$G$43,1,F84)*I84</f>
        <v>2.5</v>
      </c>
      <c r="Q84" s="17" t="n">
        <f aca="false">INDEX(Ipotesi!$C$44:$G$44,1,F84)*I84</f>
        <v>1.5</v>
      </c>
      <c r="R84" s="17" t="n">
        <f aca="false">INDEX(Ipotesi!$C$45:$G$45,1,F84)*I84</f>
        <v>0.5</v>
      </c>
      <c r="S84" s="17" t="n">
        <f aca="false">INDEX(Ipotesi!$C$52:$G$52,1,F84)*Ipotesi!D125</f>
        <v>3</v>
      </c>
      <c r="T84" s="17" t="n">
        <f aca="false">INDEX(Ipotesi!$C$53:$G$53,1,F84)*I84</f>
        <v>1</v>
      </c>
      <c r="U84" s="17" t="n">
        <f aca="false">INDEX(Ipotesi!$C$54:$G$54,1,F84)*I84</f>
        <v>0</v>
      </c>
      <c r="V84" s="15" t="n">
        <f aca="false">M84*INDEX(Ipotesi!$C$58:$G$58,1,F84)*K84/12</f>
        <v>5000</v>
      </c>
      <c r="W84" s="15" t="n">
        <f aca="false">N84*Ipotesi!$C$59*(1+Ipotesi!$C$66)^(F84-1)/12</f>
        <v>6008.33333333333</v>
      </c>
      <c r="X84" s="15" t="n">
        <f aca="false">O84*Ipotesi!$C$60*(1+Ipotesi!$C$66)^(F84-1)/12</f>
        <v>10729.1666666667</v>
      </c>
      <c r="Y84" s="15" t="n">
        <f aca="false">P84*Ipotesi!$C$61*(1+Ipotesi!$C$66)^(F84-1)/12</f>
        <v>10729.1666666667</v>
      </c>
      <c r="Z84" s="15" t="n">
        <f aca="false">Q84*Ipotesi!$C$62*(1+Ipotesi!$C$66)^(F84-1)/12</f>
        <v>5793.75</v>
      </c>
      <c r="AA84" s="15" t="n">
        <f aca="false">R84*Ipotesi!$C$63*(1+Ipotesi!$C$66)^(F84-1)/12</f>
        <v>1502.08333333333</v>
      </c>
      <c r="AB84" s="15" t="n">
        <f aca="false">SUM(V84:AA84)</f>
        <v>39762.5</v>
      </c>
      <c r="AC84" s="15" t="n">
        <f aca="false">(S84*Ipotesi!$C$64+T84*Ipotesi!$C$65+U84*Ipotesi!$C$63)*(1+Ipotesi!$C$66)^(F84-1)/12</f>
        <v>15965</v>
      </c>
      <c r="AD84" s="15" t="n">
        <f aca="false">INDEX(Ipotesi!$C$48:$G$48,1,F84)*G84/12</f>
        <v>37.5</v>
      </c>
      <c r="AE84" s="15" t="n">
        <f aca="false">INDEX(Ipotesi!$C$50:$G$50,1,F84)*G84/12</f>
        <v>4.58333333333333</v>
      </c>
      <c r="AF84" s="15" t="n">
        <f aca="false">(S84*Parametri_v3!$C$7*Parametri_v3!$C$8+Parametri_v3!$C$10)/12</f>
        <v>38.5</v>
      </c>
      <c r="AG84" s="15" t="n">
        <f aca="false">AD84+AE84*(1+Parametri_v3!$C$9)</f>
        <v>44.375</v>
      </c>
      <c r="AH84" s="16" t="n">
        <f aca="false">IF(AG84=0,1,MIN(1,AF84/AG84))</f>
        <v>0.867605633802817</v>
      </c>
      <c r="AI84" s="15" t="n">
        <f aca="false">AD84*AH84</f>
        <v>32.5352112676056</v>
      </c>
      <c r="AJ84" s="15" t="n">
        <f aca="false">AE84*AH84</f>
        <v>3.97652582159624</v>
      </c>
      <c r="AK84" s="15" t="n">
        <f aca="false">AI84*INDEX(Ipotesi!$C$49:$G$49,1,F84)*H84</f>
        <v>26028.1690140845</v>
      </c>
      <c r="AL84" s="15" t="n">
        <f aca="false">AJ84*INDEX(Ipotesi!$C$51:$G$51,1,F84)*H84</f>
        <v>7953.05164319249</v>
      </c>
      <c r="AM84" s="15" t="n">
        <f aca="false">AK84+AL84</f>
        <v>33981.220657277</v>
      </c>
      <c r="AN84" s="15" t="n">
        <f aca="false">INDEX(Ipotesi!$C$30:$G$30,1,F84)*G84/12</f>
        <v>22.5</v>
      </c>
      <c r="AO84" s="15" t="n">
        <f aca="false">O84*Parametri_v3!$C$7*Parametri_v3!$C$11*(1-Parametri_v3!$C$14)/12</f>
        <v>25.6666666666667</v>
      </c>
      <c r="AP84" s="15" t="n">
        <f aca="false">MIN(AN84,AO84)</f>
        <v>22.5</v>
      </c>
      <c r="AQ84" s="15" t="n">
        <f aca="false">AP84*INDEX(Ipotesi!$C$31:$G$31,1,F84)*H84</f>
        <v>21375</v>
      </c>
      <c r="AR84" s="15" t="n">
        <f aca="false">INDEX(Ipotesi!$C$75:$G$75,1,F84)*J84/12</f>
        <v>4583.33333333333</v>
      </c>
      <c r="AS84" s="15" t="n">
        <f aca="false">INDEX(Ipotesi!$C$81:$G$81,1,F84)*J84/12</f>
        <v>833.333333333333</v>
      </c>
      <c r="AT84" s="15" t="n">
        <f aca="false">AR84*Parametri_v3!$C$15+Z84*Parametri_v3!$C$16</f>
        <v>8638.95833333333</v>
      </c>
      <c r="AU84" s="15" t="n">
        <f aca="false">Q84*Parametri_v3!$C$16*Parametri_v3!$C$17</f>
        <v>105</v>
      </c>
      <c r="AV84" s="17" t="n">
        <f aca="false">BD83</f>
        <v>19.320467898167</v>
      </c>
      <c r="AW84" s="17" t="n">
        <f aca="false">AV84*(1-(1-INDEX(Ipotesi!$C$34:$G$34,1,F84))^(1/12))</f>
        <v>0.168892013828483</v>
      </c>
      <c r="AX84" s="15" t="n">
        <f aca="false">ROUND(INDEX(Ipotesi!$C$32:$G$32,1,F84)*Ipotesi!D8,0)</f>
        <v>35</v>
      </c>
      <c r="AY84" s="15" t="n">
        <f aca="false">MAX(0,(AX84-(AV84-AW84))/(13-E84))</f>
        <v>3.1696848231323</v>
      </c>
      <c r="AZ84" s="15" t="n">
        <f aca="false">MIN(P84*Parametri_v3!$C$22,Q84*(1-Parametri_v3!$C$16)*Parametri_v3!$C$23)</f>
        <v>67.5</v>
      </c>
      <c r="BA84" s="15" t="n">
        <f aca="false">IF(OR(INDEX(Ipotesi!$C$35:$G$35,1,F84)&lt;=0,20-Parametri_v3!$C$21&lt;1),0,INDEX($AT$65:$AT$124,MAX(1,20-Parametri_v3!$C$21))/(INDEX(Ipotesi!$C$35:$G$35,1,F84)*Ipotesi!D27))</f>
        <v>2.87965277777778</v>
      </c>
      <c r="BB84" s="15" t="n">
        <f aca="false">IF(20-Parametri_v3!$C$21&lt;1,0,INDEX($AU$65:$AU$124,MAX(1,20-Parametri_v3!$C$21)))*Parametri_v3!$C$18*Parametri_v3!$C$19*Parametri_v3!$C$20</f>
        <v>3.9375</v>
      </c>
      <c r="BC84" s="17" t="n">
        <f aca="false">MAX(0,MIN(AY84,BA84,BB84,MAX(0,AZ84-(AV84-AW84))))</f>
        <v>2.87965277777778</v>
      </c>
      <c r="BD84" s="17" t="n">
        <f aca="false">AV84-AW84+BC84</f>
        <v>22.0312286621163</v>
      </c>
      <c r="BE84" s="17" t="n">
        <f aca="false">(AV84+BD84)/2</f>
        <v>20.6758482801416</v>
      </c>
      <c r="BF84" s="15" t="n">
        <f aca="false">BE84*INDEX(Ipotesi!$C$33:$G$33,1,F84)*H84/12</f>
        <v>6891.94942671388</v>
      </c>
      <c r="BG84" s="15" t="n">
        <f aca="false">BD84*INDEX(Ipotesi!$C$33:$G$33,1,F84)*H84</f>
        <v>88124.9146484652</v>
      </c>
      <c r="BH84" s="15" t="n">
        <f aca="false">AM84*INDEX(Ipotesi!$C$37:$G$37,1,F84)</f>
        <v>3398.1220657277</v>
      </c>
      <c r="BI84" s="15" t="n">
        <f aca="false">AQ84+BF84+BH84</f>
        <v>31665.0714924416</v>
      </c>
      <c r="BJ84" s="15" t="n">
        <f aca="false">INDEX(Ipotesi!$C$68:$G$68,1,F84)*Ipotesi!$C$69/12</f>
        <v>1600</v>
      </c>
      <c r="BK84" s="15" t="n">
        <f aca="false">INDEX(Ipotesi!$C$68:$G$68,1,F84)*(1-Ipotesi!$C$69)/12</f>
        <v>2400</v>
      </c>
      <c r="BL84" s="15" t="n">
        <f aca="false">(AQ84+BF84)*Ipotesi!$C$67</f>
        <v>848.008482801416</v>
      </c>
      <c r="BM84" s="15" t="n">
        <f aca="false">AM84*Ipotesi!$C$67</f>
        <v>1019.43661971831</v>
      </c>
      <c r="BN84" s="15" t="n">
        <f aca="false">INDEX(Ipotesi!$C$72:$G$72,1,F84)/12*Ipotesi!D126+BF84*Ipotesi!$C$73</f>
        <v>1801.35595413711</v>
      </c>
      <c r="BO84" s="15" t="n">
        <f aca="false">INDEX(Ipotesi!$C$74:$G$74,1,F84)/12*Ipotesi!D126</f>
        <v>1833.33333333333</v>
      </c>
      <c r="BP84" s="15" t="n">
        <f aca="false">INDEX(Ipotesi!$C$76:$G$76,1,F84)/12</f>
        <v>750</v>
      </c>
      <c r="BQ84" s="15" t="n">
        <f aca="false">INDEX(Ipotesi!$C$77:$G$77,1,F84)/12*Ipotesi!D126</f>
        <v>1666.66666666667</v>
      </c>
      <c r="BR84" s="15" t="n">
        <f aca="false">INDEX(Ipotesi!$C$78:$G$78,1,F84)/12</f>
        <v>1250</v>
      </c>
      <c r="BS84" s="15" t="n">
        <f aca="false">SUM(M84:R84)*(Ipotesi!$C$85+Ipotesi!$C$86)/12</f>
        <v>2625</v>
      </c>
      <c r="BT84" s="15" t="n">
        <f aca="false">BI84*Ipotesi!$C$87</f>
        <v>949.952144773247</v>
      </c>
      <c r="BU84" s="15" t="n">
        <f aca="false">INDEX(Ipotesi!$C$55:$G$55,1,F84)*K84/12</f>
        <v>1000</v>
      </c>
      <c r="BV84" s="15" t="n">
        <f aca="false">INDEX(Ipotesi!$C$80:$G$80,1,F84)/12*Ipotesi!D126</f>
        <v>833.333333333333</v>
      </c>
      <c r="BW84" s="15" t="n">
        <f aca="false">INDEX(Ipotesi!$C$82:$G$82,1,F84)/12</f>
        <v>666.666666666667</v>
      </c>
      <c r="BX84" s="15" t="n">
        <f aca="false">INDEX(Ipotesi!$C$83:$G$83,1,F84)/12</f>
        <v>583.333333333333</v>
      </c>
      <c r="BY84" s="15" t="n">
        <f aca="false">SUM(S84:U84)*(Ipotesi!$C$85+Ipotesi!$C$86)/12</f>
        <v>1166.66666666667</v>
      </c>
      <c r="BZ84" s="15" t="n">
        <f aca="false">AM84*Ipotesi!$C$87</f>
        <v>1019.43661971831</v>
      </c>
      <c r="CA84" s="15" t="n">
        <f aca="false">AB84+BJ84+BL84+BN84+BO84+AR84+BP84+BQ84+BR84+BS84+BT84</f>
        <v>57670.1499150451</v>
      </c>
      <c r="CB84" s="15" t="n">
        <f aca="false">AC84+BK84+BM84+BH84+BU84+BV84+AS84+BW84+BX84+BY84+BZ84</f>
        <v>28885.3286384976</v>
      </c>
      <c r="CC84" s="15" t="n">
        <f aca="false">BI84-CA84</f>
        <v>-26005.0784226035</v>
      </c>
      <c r="CD84" s="15" t="n">
        <f aca="false">AM84-CB84</f>
        <v>5095.89201877934</v>
      </c>
      <c r="CE84" s="15" t="n">
        <f aca="false">INDEX(Ipotesi!$C$79:$G$79,1,F84)/12</f>
        <v>2083.33333333333</v>
      </c>
      <c r="CF84" s="15" t="n">
        <f aca="false">INDEX(Ipotesi!$C$84:$G$84,1,F84)/12</f>
        <v>416.666666666667</v>
      </c>
      <c r="CG84" s="15" t="n">
        <f aca="false">Y84*MAX(0,Parametri_v3!$C$12-IF(P84=0,0,MIN(1,BE84/(P84*Parametri_v3!$C$22))))+W84*Parametri_v3!$C$13+X84*Parametri_v3!$C$14</f>
        <v>14991.8281779773</v>
      </c>
      <c r="CH84" s="15" t="n">
        <f aca="false">AB84*Parametri_v3!$C$32</f>
        <v>1988.125</v>
      </c>
      <c r="CI84" s="15" t="n">
        <f aca="false">AC84*Parametri_v3!$C$32</f>
        <v>798.25</v>
      </c>
      <c r="CJ84" s="15" t="n">
        <f aca="false">CA84-AB84</f>
        <v>17907.6499150451</v>
      </c>
      <c r="CK84" s="15" t="n">
        <f aca="false">CB84-AC84-BH84</f>
        <v>9522.20657276995</v>
      </c>
      <c r="CL84" s="15" t="n">
        <f aca="false">BF84*Ipotesi!$C$73+INDEX(Ipotesi!$C$72:$G$72,1,F84)/12*Ipotesi!D126*Parametri_v3!$C$58+Z84*(1-Parametri_v3!$C$16)</f>
        <v>3539.48095413711</v>
      </c>
      <c r="CM84" s="16" t="n">
        <f aca="false">IF(BF84=0,0,1-CL84/BF84)</f>
        <v>0.48643254107209</v>
      </c>
    </row>
    <row r="85" customFormat="false" ht="18" hidden="false" customHeight="true" outlineLevel="0" collapsed="false">
      <c r="A85" s="68" t="n">
        <f aca="false">2</f>
        <v>2</v>
      </c>
      <c r="B85" s="68" t="n">
        <f aca="false">21</f>
        <v>21</v>
      </c>
      <c r="C85" s="18" t="n">
        <f aca="false">EDATE(Parametri_v3!$C$5,21-1)</f>
        <v>46997</v>
      </c>
      <c r="D85" s="68" t="n">
        <f aca="false">YEAR(C85)</f>
        <v>2028</v>
      </c>
      <c r="E85" s="68" t="n">
        <f aca="false">MONTH(C85)</f>
        <v>9</v>
      </c>
      <c r="F85" s="68" t="n">
        <f aca="false">INT((21-1)/12)+1</f>
        <v>2</v>
      </c>
      <c r="G85" s="15" t="n">
        <f aca="false">Ipotesi!D7</f>
        <v>1</v>
      </c>
      <c r="H85" s="15" t="n">
        <f aca="false">Ipotesi!D9</f>
        <v>1</v>
      </c>
      <c r="I85" s="15" t="n">
        <f aca="false">Ipotesi!D10</f>
        <v>1</v>
      </c>
      <c r="J85" s="15" t="n">
        <f aca="false">Ipotesi!D11</f>
        <v>1</v>
      </c>
      <c r="K85" s="15" t="n">
        <f aca="false">Ipotesi!D12</f>
        <v>1</v>
      </c>
      <c r="L85" s="15" t="n">
        <f aca="false">Ipotesi!D13</f>
        <v>90</v>
      </c>
      <c r="M85" s="17" t="n">
        <f aca="false">INDEX(Ipotesi!$C$40:$G$40,1,F85)</f>
        <v>1</v>
      </c>
      <c r="N85" s="17" t="n">
        <f aca="false">INDEX(Ipotesi!$C$41:$G$41,1,F85)</f>
        <v>1</v>
      </c>
      <c r="O85" s="17" t="n">
        <f aca="false">INDEX(Ipotesi!$C$42:$G$42,1,F85)*Ipotesi!D125</f>
        <v>2.5</v>
      </c>
      <c r="P85" s="17" t="n">
        <f aca="false">INDEX(Ipotesi!$C$43:$G$43,1,F85)*I85</f>
        <v>2.5</v>
      </c>
      <c r="Q85" s="17" t="n">
        <f aca="false">INDEX(Ipotesi!$C$44:$G$44,1,F85)*I85</f>
        <v>1.5</v>
      </c>
      <c r="R85" s="17" t="n">
        <f aca="false">INDEX(Ipotesi!$C$45:$G$45,1,F85)*I85</f>
        <v>0.5</v>
      </c>
      <c r="S85" s="17" t="n">
        <f aca="false">INDEX(Ipotesi!$C$52:$G$52,1,F85)*Ipotesi!D125</f>
        <v>3</v>
      </c>
      <c r="T85" s="17" t="n">
        <f aca="false">INDEX(Ipotesi!$C$53:$G$53,1,F85)*I85</f>
        <v>1</v>
      </c>
      <c r="U85" s="17" t="n">
        <f aca="false">INDEX(Ipotesi!$C$54:$G$54,1,F85)*I85</f>
        <v>0</v>
      </c>
      <c r="V85" s="15" t="n">
        <f aca="false">M85*INDEX(Ipotesi!$C$58:$G$58,1,F85)*K85/12</f>
        <v>5000</v>
      </c>
      <c r="W85" s="15" t="n">
        <f aca="false">N85*Ipotesi!$C$59*(1+Ipotesi!$C$66)^(F85-1)/12</f>
        <v>6008.33333333333</v>
      </c>
      <c r="X85" s="15" t="n">
        <f aca="false">O85*Ipotesi!$C$60*(1+Ipotesi!$C$66)^(F85-1)/12</f>
        <v>10729.1666666667</v>
      </c>
      <c r="Y85" s="15" t="n">
        <f aca="false">P85*Ipotesi!$C$61*(1+Ipotesi!$C$66)^(F85-1)/12</f>
        <v>10729.1666666667</v>
      </c>
      <c r="Z85" s="15" t="n">
        <f aca="false">Q85*Ipotesi!$C$62*(1+Ipotesi!$C$66)^(F85-1)/12</f>
        <v>5793.75</v>
      </c>
      <c r="AA85" s="15" t="n">
        <f aca="false">R85*Ipotesi!$C$63*(1+Ipotesi!$C$66)^(F85-1)/12</f>
        <v>1502.08333333333</v>
      </c>
      <c r="AB85" s="15" t="n">
        <f aca="false">SUM(V85:AA85)</f>
        <v>39762.5</v>
      </c>
      <c r="AC85" s="15" t="n">
        <f aca="false">(S85*Ipotesi!$C$64+T85*Ipotesi!$C$65+U85*Ipotesi!$C$63)*(1+Ipotesi!$C$66)^(F85-1)/12</f>
        <v>15965</v>
      </c>
      <c r="AD85" s="15" t="n">
        <f aca="false">INDEX(Ipotesi!$C$48:$G$48,1,F85)*G85/12</f>
        <v>37.5</v>
      </c>
      <c r="AE85" s="15" t="n">
        <f aca="false">INDEX(Ipotesi!$C$50:$G$50,1,F85)*G85/12</f>
        <v>4.58333333333333</v>
      </c>
      <c r="AF85" s="15" t="n">
        <f aca="false">(S85*Parametri_v3!$C$7*Parametri_v3!$C$8+Parametri_v3!$C$10)/12</f>
        <v>38.5</v>
      </c>
      <c r="AG85" s="15" t="n">
        <f aca="false">AD85+AE85*(1+Parametri_v3!$C$9)</f>
        <v>44.375</v>
      </c>
      <c r="AH85" s="16" t="n">
        <f aca="false">IF(AG85=0,1,MIN(1,AF85/AG85))</f>
        <v>0.867605633802817</v>
      </c>
      <c r="AI85" s="15" t="n">
        <f aca="false">AD85*AH85</f>
        <v>32.5352112676056</v>
      </c>
      <c r="AJ85" s="15" t="n">
        <f aca="false">AE85*AH85</f>
        <v>3.97652582159624</v>
      </c>
      <c r="AK85" s="15" t="n">
        <f aca="false">AI85*INDEX(Ipotesi!$C$49:$G$49,1,F85)*H85</f>
        <v>26028.1690140845</v>
      </c>
      <c r="AL85" s="15" t="n">
        <f aca="false">AJ85*INDEX(Ipotesi!$C$51:$G$51,1,F85)*H85</f>
        <v>7953.05164319249</v>
      </c>
      <c r="AM85" s="15" t="n">
        <f aca="false">AK85+AL85</f>
        <v>33981.220657277</v>
      </c>
      <c r="AN85" s="15" t="n">
        <f aca="false">INDEX(Ipotesi!$C$30:$G$30,1,F85)*G85/12</f>
        <v>22.5</v>
      </c>
      <c r="AO85" s="15" t="n">
        <f aca="false">O85*Parametri_v3!$C$7*Parametri_v3!$C$11*(1-Parametri_v3!$C$14)/12</f>
        <v>25.6666666666667</v>
      </c>
      <c r="AP85" s="15" t="n">
        <f aca="false">MIN(AN85,AO85)</f>
        <v>22.5</v>
      </c>
      <c r="AQ85" s="15" t="n">
        <f aca="false">AP85*INDEX(Ipotesi!$C$31:$G$31,1,F85)*H85</f>
        <v>21375</v>
      </c>
      <c r="AR85" s="15" t="n">
        <f aca="false">INDEX(Ipotesi!$C$75:$G$75,1,F85)*J85/12</f>
        <v>4583.33333333333</v>
      </c>
      <c r="AS85" s="15" t="n">
        <f aca="false">INDEX(Ipotesi!$C$81:$G$81,1,F85)*J85/12</f>
        <v>833.333333333333</v>
      </c>
      <c r="AT85" s="15" t="n">
        <f aca="false">AR85*Parametri_v3!$C$15+Z85*Parametri_v3!$C$16</f>
        <v>8638.95833333333</v>
      </c>
      <c r="AU85" s="15" t="n">
        <f aca="false">Q85*Parametri_v3!$C$16*Parametri_v3!$C$17</f>
        <v>105</v>
      </c>
      <c r="AV85" s="17" t="n">
        <f aca="false">BD84</f>
        <v>22.0312286621163</v>
      </c>
      <c r="AW85" s="17" t="n">
        <f aca="false">AV85*(1-(1-INDEX(Ipotesi!$C$34:$G$34,1,F85))^(1/12))</f>
        <v>0.192588429818184</v>
      </c>
      <c r="AX85" s="15" t="n">
        <f aca="false">ROUND(INDEX(Ipotesi!$C$32:$G$32,1,F85)*Ipotesi!D8,0)</f>
        <v>35</v>
      </c>
      <c r="AY85" s="15" t="n">
        <f aca="false">MAX(0,(AX85-(AV85-AW85))/(13-E85))</f>
        <v>3.29033994192547</v>
      </c>
      <c r="AZ85" s="15" t="n">
        <f aca="false">MIN(P85*Parametri_v3!$C$22,Q85*(1-Parametri_v3!$C$16)*Parametri_v3!$C$23)</f>
        <v>67.5</v>
      </c>
      <c r="BA85" s="15" t="n">
        <f aca="false">IF(OR(INDEX(Ipotesi!$C$35:$G$35,1,F85)&lt;=0,21-Parametri_v3!$C$21&lt;1),0,INDEX($AT$65:$AT$124,MAX(1,21-Parametri_v3!$C$21))/(INDEX(Ipotesi!$C$35:$G$35,1,F85)*Ipotesi!D27))</f>
        <v>2.87965277777778</v>
      </c>
      <c r="BB85" s="15" t="n">
        <f aca="false">IF(21-Parametri_v3!$C$21&lt;1,0,INDEX($AU$65:$AU$124,MAX(1,21-Parametri_v3!$C$21)))*Parametri_v3!$C$18*Parametri_v3!$C$19*Parametri_v3!$C$20</f>
        <v>3.9375</v>
      </c>
      <c r="BC85" s="17" t="n">
        <f aca="false">MAX(0,MIN(AY85,BA85,BB85,MAX(0,AZ85-(AV85-AW85))))</f>
        <v>2.87965277777778</v>
      </c>
      <c r="BD85" s="17" t="n">
        <f aca="false">AV85-AW85+BC85</f>
        <v>24.7182930100759</v>
      </c>
      <c r="BE85" s="17" t="n">
        <f aca="false">(AV85+BD85)/2</f>
        <v>23.3747608360961</v>
      </c>
      <c r="BF85" s="15" t="n">
        <f aca="false">BE85*INDEX(Ipotesi!$C$33:$G$33,1,F85)*H85/12</f>
        <v>7791.58694536536</v>
      </c>
      <c r="BG85" s="15" t="n">
        <f aca="false">BD85*INDEX(Ipotesi!$C$33:$G$33,1,F85)*H85</f>
        <v>98873.1720403035</v>
      </c>
      <c r="BH85" s="15" t="n">
        <f aca="false">AM85*INDEX(Ipotesi!$C$37:$G$37,1,F85)</f>
        <v>3398.1220657277</v>
      </c>
      <c r="BI85" s="15" t="n">
        <f aca="false">AQ85+BF85+BH85</f>
        <v>32564.7090110931</v>
      </c>
      <c r="BJ85" s="15" t="n">
        <f aca="false">INDEX(Ipotesi!$C$68:$G$68,1,F85)*Ipotesi!$C$69/12</f>
        <v>1600</v>
      </c>
      <c r="BK85" s="15" t="n">
        <f aca="false">INDEX(Ipotesi!$C$68:$G$68,1,F85)*(1-Ipotesi!$C$69)/12</f>
        <v>2400</v>
      </c>
      <c r="BL85" s="15" t="n">
        <f aca="false">(AQ85+BF85)*Ipotesi!$C$67</f>
        <v>874.997608360961</v>
      </c>
      <c r="BM85" s="15" t="n">
        <f aca="false">AM85*Ipotesi!$C$67</f>
        <v>1019.43661971831</v>
      </c>
      <c r="BN85" s="15" t="n">
        <f aca="false">INDEX(Ipotesi!$C$72:$G$72,1,F85)/12*Ipotesi!D126+BF85*Ipotesi!$C$73</f>
        <v>1873.32695562923</v>
      </c>
      <c r="BO85" s="15" t="n">
        <f aca="false">INDEX(Ipotesi!$C$74:$G$74,1,F85)/12*Ipotesi!D126</f>
        <v>1833.33333333333</v>
      </c>
      <c r="BP85" s="15" t="n">
        <f aca="false">INDEX(Ipotesi!$C$76:$G$76,1,F85)/12</f>
        <v>750</v>
      </c>
      <c r="BQ85" s="15" t="n">
        <f aca="false">INDEX(Ipotesi!$C$77:$G$77,1,F85)/12*Ipotesi!D126</f>
        <v>1666.66666666667</v>
      </c>
      <c r="BR85" s="15" t="n">
        <f aca="false">INDEX(Ipotesi!$C$78:$G$78,1,F85)/12</f>
        <v>1250</v>
      </c>
      <c r="BS85" s="15" t="n">
        <f aca="false">SUM(M85:R85)*(Ipotesi!$C$85+Ipotesi!$C$86)/12</f>
        <v>2625</v>
      </c>
      <c r="BT85" s="15" t="n">
        <f aca="false">BI85*Ipotesi!$C$87</f>
        <v>976.941270332792</v>
      </c>
      <c r="BU85" s="15" t="n">
        <f aca="false">INDEX(Ipotesi!$C$55:$G$55,1,F85)*K85/12</f>
        <v>1000</v>
      </c>
      <c r="BV85" s="15" t="n">
        <f aca="false">INDEX(Ipotesi!$C$80:$G$80,1,F85)/12*Ipotesi!D126</f>
        <v>833.333333333333</v>
      </c>
      <c r="BW85" s="15" t="n">
        <f aca="false">INDEX(Ipotesi!$C$82:$G$82,1,F85)/12</f>
        <v>666.666666666667</v>
      </c>
      <c r="BX85" s="15" t="n">
        <f aca="false">INDEX(Ipotesi!$C$83:$G$83,1,F85)/12</f>
        <v>583.333333333333</v>
      </c>
      <c r="BY85" s="15" t="n">
        <f aca="false">SUM(S85:U85)*(Ipotesi!$C$85+Ipotesi!$C$86)/12</f>
        <v>1166.66666666667</v>
      </c>
      <c r="BZ85" s="15" t="n">
        <f aca="false">AM85*Ipotesi!$C$87</f>
        <v>1019.43661971831</v>
      </c>
      <c r="CA85" s="15" t="n">
        <f aca="false">AB85+BJ85+BL85+BN85+BO85+AR85+BP85+BQ85+BR85+BS85+BT85</f>
        <v>57796.0991676563</v>
      </c>
      <c r="CB85" s="15" t="n">
        <f aca="false">AC85+BK85+BM85+BH85+BU85+BV85+AS85+BW85+BX85+BY85+BZ85</f>
        <v>28885.3286384976</v>
      </c>
      <c r="CC85" s="15" t="n">
        <f aca="false">BI85-CA85</f>
        <v>-25231.3901565633</v>
      </c>
      <c r="CD85" s="15" t="n">
        <f aca="false">AM85-CB85</f>
        <v>5095.89201877934</v>
      </c>
      <c r="CE85" s="15" t="n">
        <f aca="false">INDEX(Ipotesi!$C$79:$G$79,1,F85)/12</f>
        <v>2083.33333333333</v>
      </c>
      <c r="CF85" s="15" t="n">
        <f aca="false">INDEX(Ipotesi!$C$84:$G$84,1,F85)/12</f>
        <v>416.666666666667</v>
      </c>
      <c r="CG85" s="15" t="n">
        <f aca="false">Y85*MAX(0,Parametri_v3!$C$12-IF(P85=0,0,MIN(1,BE85/(P85*Parametri_v3!$C$22))))+W85*Parametri_v3!$C$13+X85*Parametri_v3!$C$14</f>
        <v>14875.9998474509</v>
      </c>
      <c r="CH85" s="15" t="n">
        <f aca="false">AB85*Parametri_v3!$C$32</f>
        <v>1988.125</v>
      </c>
      <c r="CI85" s="15" t="n">
        <f aca="false">AC85*Parametri_v3!$C$32</f>
        <v>798.25</v>
      </c>
      <c r="CJ85" s="15" t="n">
        <f aca="false">CA85-AB85</f>
        <v>18033.5991676563</v>
      </c>
      <c r="CK85" s="15" t="n">
        <f aca="false">CB85-AC85-BH85</f>
        <v>9522.20657276995</v>
      </c>
      <c r="CL85" s="15" t="n">
        <f aca="false">BF85*Ipotesi!$C$73+INDEX(Ipotesi!$C$72:$G$72,1,F85)/12*Ipotesi!D126*Parametri_v3!$C$58+Z85*(1-Parametri_v3!$C$16)</f>
        <v>3611.45195562923</v>
      </c>
      <c r="CM85" s="16" t="n">
        <f aca="false">IF(BF85=0,0,1-CL85/BF85)</f>
        <v>0.536493402312938</v>
      </c>
    </row>
    <row r="86" customFormat="false" ht="18" hidden="false" customHeight="true" outlineLevel="0" collapsed="false">
      <c r="A86" s="68" t="n">
        <f aca="false">2</f>
        <v>2</v>
      </c>
      <c r="B86" s="68" t="n">
        <f aca="false">22</f>
        <v>22</v>
      </c>
      <c r="C86" s="18" t="n">
        <f aca="false">EDATE(Parametri_v3!$C$5,22-1)</f>
        <v>47027</v>
      </c>
      <c r="D86" s="68" t="n">
        <f aca="false">YEAR(C86)</f>
        <v>2028</v>
      </c>
      <c r="E86" s="68" t="n">
        <f aca="false">MONTH(C86)</f>
        <v>10</v>
      </c>
      <c r="F86" s="68" t="n">
        <f aca="false">INT((22-1)/12)+1</f>
        <v>2</v>
      </c>
      <c r="G86" s="15" t="n">
        <f aca="false">Ipotesi!D7</f>
        <v>1</v>
      </c>
      <c r="H86" s="15" t="n">
        <f aca="false">Ipotesi!D9</f>
        <v>1</v>
      </c>
      <c r="I86" s="15" t="n">
        <f aca="false">Ipotesi!D10</f>
        <v>1</v>
      </c>
      <c r="J86" s="15" t="n">
        <f aca="false">Ipotesi!D11</f>
        <v>1</v>
      </c>
      <c r="K86" s="15" t="n">
        <f aca="false">Ipotesi!D12</f>
        <v>1</v>
      </c>
      <c r="L86" s="15" t="n">
        <f aca="false">Ipotesi!D13</f>
        <v>90</v>
      </c>
      <c r="M86" s="17" t="n">
        <f aca="false">INDEX(Ipotesi!$C$40:$G$40,1,F86)</f>
        <v>1</v>
      </c>
      <c r="N86" s="17" t="n">
        <f aca="false">INDEX(Ipotesi!$C$41:$G$41,1,F86)</f>
        <v>1</v>
      </c>
      <c r="O86" s="17" t="n">
        <f aca="false">INDEX(Ipotesi!$C$42:$G$42,1,F86)*Ipotesi!D125</f>
        <v>2.5</v>
      </c>
      <c r="P86" s="17" t="n">
        <f aca="false">INDEX(Ipotesi!$C$43:$G$43,1,F86)*I86</f>
        <v>2.5</v>
      </c>
      <c r="Q86" s="17" t="n">
        <f aca="false">INDEX(Ipotesi!$C$44:$G$44,1,F86)*I86</f>
        <v>1.5</v>
      </c>
      <c r="R86" s="17" t="n">
        <f aca="false">INDEX(Ipotesi!$C$45:$G$45,1,F86)*I86</f>
        <v>0.5</v>
      </c>
      <c r="S86" s="17" t="n">
        <f aca="false">INDEX(Ipotesi!$C$52:$G$52,1,F86)*Ipotesi!D125</f>
        <v>3</v>
      </c>
      <c r="T86" s="17" t="n">
        <f aca="false">INDEX(Ipotesi!$C$53:$G$53,1,F86)*I86</f>
        <v>1</v>
      </c>
      <c r="U86" s="17" t="n">
        <f aca="false">INDEX(Ipotesi!$C$54:$G$54,1,F86)*I86</f>
        <v>0</v>
      </c>
      <c r="V86" s="15" t="n">
        <f aca="false">M86*INDEX(Ipotesi!$C$58:$G$58,1,F86)*K86/12</f>
        <v>5000</v>
      </c>
      <c r="W86" s="15" t="n">
        <f aca="false">N86*Ipotesi!$C$59*(1+Ipotesi!$C$66)^(F86-1)/12</f>
        <v>6008.33333333333</v>
      </c>
      <c r="X86" s="15" t="n">
        <f aca="false">O86*Ipotesi!$C$60*(1+Ipotesi!$C$66)^(F86-1)/12</f>
        <v>10729.1666666667</v>
      </c>
      <c r="Y86" s="15" t="n">
        <f aca="false">P86*Ipotesi!$C$61*(1+Ipotesi!$C$66)^(F86-1)/12</f>
        <v>10729.1666666667</v>
      </c>
      <c r="Z86" s="15" t="n">
        <f aca="false">Q86*Ipotesi!$C$62*(1+Ipotesi!$C$66)^(F86-1)/12</f>
        <v>5793.75</v>
      </c>
      <c r="AA86" s="15" t="n">
        <f aca="false">R86*Ipotesi!$C$63*(1+Ipotesi!$C$66)^(F86-1)/12</f>
        <v>1502.08333333333</v>
      </c>
      <c r="AB86" s="15" t="n">
        <f aca="false">SUM(V86:AA86)</f>
        <v>39762.5</v>
      </c>
      <c r="AC86" s="15" t="n">
        <f aca="false">(S86*Ipotesi!$C$64+T86*Ipotesi!$C$65+U86*Ipotesi!$C$63)*(1+Ipotesi!$C$66)^(F86-1)/12</f>
        <v>15965</v>
      </c>
      <c r="AD86" s="15" t="n">
        <f aca="false">INDEX(Ipotesi!$C$48:$G$48,1,F86)*G86/12</f>
        <v>37.5</v>
      </c>
      <c r="AE86" s="15" t="n">
        <f aca="false">INDEX(Ipotesi!$C$50:$G$50,1,F86)*G86/12</f>
        <v>4.58333333333333</v>
      </c>
      <c r="AF86" s="15" t="n">
        <f aca="false">(S86*Parametri_v3!$C$7*Parametri_v3!$C$8+Parametri_v3!$C$10)/12</f>
        <v>38.5</v>
      </c>
      <c r="AG86" s="15" t="n">
        <f aca="false">AD86+AE86*(1+Parametri_v3!$C$9)</f>
        <v>44.375</v>
      </c>
      <c r="AH86" s="16" t="n">
        <f aca="false">IF(AG86=0,1,MIN(1,AF86/AG86))</f>
        <v>0.867605633802817</v>
      </c>
      <c r="AI86" s="15" t="n">
        <f aca="false">AD86*AH86</f>
        <v>32.5352112676056</v>
      </c>
      <c r="AJ86" s="15" t="n">
        <f aca="false">AE86*AH86</f>
        <v>3.97652582159624</v>
      </c>
      <c r="AK86" s="15" t="n">
        <f aca="false">AI86*INDEX(Ipotesi!$C$49:$G$49,1,F86)*H86</f>
        <v>26028.1690140845</v>
      </c>
      <c r="AL86" s="15" t="n">
        <f aca="false">AJ86*INDEX(Ipotesi!$C$51:$G$51,1,F86)*H86</f>
        <v>7953.05164319249</v>
      </c>
      <c r="AM86" s="15" t="n">
        <f aca="false">AK86+AL86</f>
        <v>33981.220657277</v>
      </c>
      <c r="AN86" s="15" t="n">
        <f aca="false">INDEX(Ipotesi!$C$30:$G$30,1,F86)*G86/12</f>
        <v>22.5</v>
      </c>
      <c r="AO86" s="15" t="n">
        <f aca="false">O86*Parametri_v3!$C$7*Parametri_v3!$C$11*(1-Parametri_v3!$C$14)/12</f>
        <v>25.6666666666667</v>
      </c>
      <c r="AP86" s="15" t="n">
        <f aca="false">MIN(AN86,AO86)</f>
        <v>22.5</v>
      </c>
      <c r="AQ86" s="15" t="n">
        <f aca="false">AP86*INDEX(Ipotesi!$C$31:$G$31,1,F86)*H86</f>
        <v>21375</v>
      </c>
      <c r="AR86" s="15" t="n">
        <f aca="false">INDEX(Ipotesi!$C$75:$G$75,1,F86)*J86/12</f>
        <v>4583.33333333333</v>
      </c>
      <c r="AS86" s="15" t="n">
        <f aca="false">INDEX(Ipotesi!$C$81:$G$81,1,F86)*J86/12</f>
        <v>833.333333333333</v>
      </c>
      <c r="AT86" s="15" t="n">
        <f aca="false">AR86*Parametri_v3!$C$15+Z86*Parametri_v3!$C$16</f>
        <v>8638.95833333333</v>
      </c>
      <c r="AU86" s="15" t="n">
        <f aca="false">Q86*Parametri_v3!$C$16*Parametri_v3!$C$17</f>
        <v>105</v>
      </c>
      <c r="AV86" s="17" t="n">
        <f aca="false">BD85</f>
        <v>24.7182930100759</v>
      </c>
      <c r="AW86" s="17" t="n">
        <f aca="false">AV86*(1-(1-INDEX(Ipotesi!$C$34:$G$34,1,F86))^(1/12))</f>
        <v>0.216077700958283</v>
      </c>
      <c r="AX86" s="15" t="n">
        <f aca="false">ROUND(INDEX(Ipotesi!$C$32:$G$32,1,F86)*Ipotesi!D8,0)</f>
        <v>35</v>
      </c>
      <c r="AY86" s="15" t="n">
        <f aca="false">MAX(0,(AX86-(AV86-AW86))/(13-E86))</f>
        <v>3.49926156362747</v>
      </c>
      <c r="AZ86" s="15" t="n">
        <f aca="false">MIN(P86*Parametri_v3!$C$22,Q86*(1-Parametri_v3!$C$16)*Parametri_v3!$C$23)</f>
        <v>67.5</v>
      </c>
      <c r="BA86" s="15" t="n">
        <f aca="false">IF(OR(INDEX(Ipotesi!$C$35:$G$35,1,F86)&lt;=0,22-Parametri_v3!$C$21&lt;1),0,INDEX($AT$65:$AT$124,MAX(1,22-Parametri_v3!$C$21))/(INDEX(Ipotesi!$C$35:$G$35,1,F86)*Ipotesi!D27))</f>
        <v>2.87965277777778</v>
      </c>
      <c r="BB86" s="15" t="n">
        <f aca="false">IF(22-Parametri_v3!$C$21&lt;1,0,INDEX($AU$65:$AU$124,MAX(1,22-Parametri_v3!$C$21)))*Parametri_v3!$C$18*Parametri_v3!$C$19*Parametri_v3!$C$20</f>
        <v>3.9375</v>
      </c>
      <c r="BC86" s="17" t="n">
        <f aca="false">MAX(0,MIN(AY86,BA86,BB86,MAX(0,AZ86-(AV86-AW86))))</f>
        <v>2.87965277777778</v>
      </c>
      <c r="BD86" s="17" t="n">
        <f aca="false">AV86-AW86+BC86</f>
        <v>27.3818680868954</v>
      </c>
      <c r="BE86" s="17" t="n">
        <f aca="false">(AV86+BD86)/2</f>
        <v>26.0500805484856</v>
      </c>
      <c r="BF86" s="15" t="n">
        <f aca="false">BE86*INDEX(Ipotesi!$C$33:$G$33,1,F86)*H86/12</f>
        <v>8683.36018282855</v>
      </c>
      <c r="BG86" s="15" t="n">
        <f aca="false">BD86*INDEX(Ipotesi!$C$33:$G$33,1,F86)*H86</f>
        <v>109527.472347582</v>
      </c>
      <c r="BH86" s="15" t="n">
        <f aca="false">AM86*INDEX(Ipotesi!$C$37:$G$37,1,F86)</f>
        <v>3398.1220657277</v>
      </c>
      <c r="BI86" s="15" t="n">
        <f aca="false">AQ86+BF86+BH86</f>
        <v>33456.4822485563</v>
      </c>
      <c r="BJ86" s="15" t="n">
        <f aca="false">INDEX(Ipotesi!$C$68:$G$68,1,F86)*Ipotesi!$C$69/12</f>
        <v>1600</v>
      </c>
      <c r="BK86" s="15" t="n">
        <f aca="false">INDEX(Ipotesi!$C$68:$G$68,1,F86)*(1-Ipotesi!$C$69)/12</f>
        <v>2400</v>
      </c>
      <c r="BL86" s="15" t="n">
        <f aca="false">(AQ86+BF86)*Ipotesi!$C$67</f>
        <v>901.750805484856</v>
      </c>
      <c r="BM86" s="15" t="n">
        <f aca="false">AM86*Ipotesi!$C$67</f>
        <v>1019.43661971831</v>
      </c>
      <c r="BN86" s="15" t="n">
        <f aca="false">INDEX(Ipotesi!$C$72:$G$72,1,F86)/12*Ipotesi!D126+BF86*Ipotesi!$C$73</f>
        <v>1944.66881462628</v>
      </c>
      <c r="BO86" s="15" t="n">
        <f aca="false">INDEX(Ipotesi!$C$74:$G$74,1,F86)/12*Ipotesi!D126</f>
        <v>1833.33333333333</v>
      </c>
      <c r="BP86" s="15" t="n">
        <f aca="false">INDEX(Ipotesi!$C$76:$G$76,1,F86)/12</f>
        <v>750</v>
      </c>
      <c r="BQ86" s="15" t="n">
        <f aca="false">INDEX(Ipotesi!$C$77:$G$77,1,F86)/12*Ipotesi!D126</f>
        <v>1666.66666666667</v>
      </c>
      <c r="BR86" s="15" t="n">
        <f aca="false">INDEX(Ipotesi!$C$78:$G$78,1,F86)/12</f>
        <v>1250</v>
      </c>
      <c r="BS86" s="15" t="n">
        <f aca="false">SUM(M86:R86)*(Ipotesi!$C$85+Ipotesi!$C$86)/12</f>
        <v>2625</v>
      </c>
      <c r="BT86" s="15" t="n">
        <f aca="false">BI86*Ipotesi!$C$87</f>
        <v>1003.69446745669</v>
      </c>
      <c r="BU86" s="15" t="n">
        <f aca="false">INDEX(Ipotesi!$C$55:$G$55,1,F86)*K86/12</f>
        <v>1000</v>
      </c>
      <c r="BV86" s="15" t="n">
        <f aca="false">INDEX(Ipotesi!$C$80:$G$80,1,F86)/12*Ipotesi!D126</f>
        <v>833.333333333333</v>
      </c>
      <c r="BW86" s="15" t="n">
        <f aca="false">INDEX(Ipotesi!$C$82:$G$82,1,F86)/12</f>
        <v>666.666666666667</v>
      </c>
      <c r="BX86" s="15" t="n">
        <f aca="false">INDEX(Ipotesi!$C$83:$G$83,1,F86)/12</f>
        <v>583.333333333333</v>
      </c>
      <c r="BY86" s="15" t="n">
        <f aca="false">SUM(S86:U86)*(Ipotesi!$C$85+Ipotesi!$C$86)/12</f>
        <v>1166.66666666667</v>
      </c>
      <c r="BZ86" s="15" t="n">
        <f aca="false">AM86*Ipotesi!$C$87</f>
        <v>1019.43661971831</v>
      </c>
      <c r="CA86" s="15" t="n">
        <f aca="false">AB86+BJ86+BL86+BN86+BO86+AR86+BP86+BQ86+BR86+BS86+BT86</f>
        <v>57920.9474209012</v>
      </c>
      <c r="CB86" s="15" t="n">
        <f aca="false">AC86+BK86+BM86+BH86+BU86+BV86+AS86+BW86+BX86+BY86+BZ86</f>
        <v>28885.3286384976</v>
      </c>
      <c r="CC86" s="15" t="n">
        <f aca="false">BI86-CA86</f>
        <v>-24464.4651723449</v>
      </c>
      <c r="CD86" s="15" t="n">
        <f aca="false">AM86-CB86</f>
        <v>5095.89201877934</v>
      </c>
      <c r="CE86" s="15" t="n">
        <f aca="false">INDEX(Ipotesi!$C$79:$G$79,1,F86)/12</f>
        <v>2083.33333333333</v>
      </c>
      <c r="CF86" s="15" t="n">
        <f aca="false">INDEX(Ipotesi!$C$84:$G$84,1,F86)/12</f>
        <v>416.666666666667</v>
      </c>
      <c r="CG86" s="15" t="n">
        <f aca="false">Y86*MAX(0,Parametri_v3!$C$12-IF(P86=0,0,MIN(1,BE86/(P86*Parametri_v3!$C$22))))+W86*Parametri_v3!$C$13+X86*Parametri_v3!$C$14</f>
        <v>14761.1840431275</v>
      </c>
      <c r="CH86" s="15" t="n">
        <f aca="false">AB86*Parametri_v3!$C$32</f>
        <v>1988.125</v>
      </c>
      <c r="CI86" s="15" t="n">
        <f aca="false">AC86*Parametri_v3!$C$32</f>
        <v>798.25</v>
      </c>
      <c r="CJ86" s="15" t="n">
        <f aca="false">CA86-AB86</f>
        <v>18158.4474209012</v>
      </c>
      <c r="CK86" s="15" t="n">
        <f aca="false">CB86-AC86-BH86</f>
        <v>9522.20657276995</v>
      </c>
      <c r="CL86" s="15" t="n">
        <f aca="false">BF86*Ipotesi!$C$73+INDEX(Ipotesi!$C$72:$G$72,1,F86)/12*Ipotesi!D126*Parametri_v3!$C$58+Z86*(1-Parametri_v3!$C$16)</f>
        <v>3682.79381462628</v>
      </c>
      <c r="CM86" s="16" t="n">
        <f aca="false">IF(BF86=0,0,1-CL86/BF86)</f>
        <v>0.575879183048395</v>
      </c>
    </row>
    <row r="87" customFormat="false" ht="18" hidden="false" customHeight="true" outlineLevel="0" collapsed="false">
      <c r="A87" s="68" t="n">
        <f aca="false">2</f>
        <v>2</v>
      </c>
      <c r="B87" s="68" t="n">
        <f aca="false">23</f>
        <v>23</v>
      </c>
      <c r="C87" s="18" t="n">
        <f aca="false">EDATE(Parametri_v3!$C$5,23-1)</f>
        <v>47058</v>
      </c>
      <c r="D87" s="68" t="n">
        <f aca="false">YEAR(C87)</f>
        <v>2028</v>
      </c>
      <c r="E87" s="68" t="n">
        <f aca="false">MONTH(C87)</f>
        <v>11</v>
      </c>
      <c r="F87" s="68" t="n">
        <f aca="false">INT((23-1)/12)+1</f>
        <v>2</v>
      </c>
      <c r="G87" s="15" t="n">
        <f aca="false">Ipotesi!D7</f>
        <v>1</v>
      </c>
      <c r="H87" s="15" t="n">
        <f aca="false">Ipotesi!D9</f>
        <v>1</v>
      </c>
      <c r="I87" s="15" t="n">
        <f aca="false">Ipotesi!D10</f>
        <v>1</v>
      </c>
      <c r="J87" s="15" t="n">
        <f aca="false">Ipotesi!D11</f>
        <v>1</v>
      </c>
      <c r="K87" s="15" t="n">
        <f aca="false">Ipotesi!D12</f>
        <v>1</v>
      </c>
      <c r="L87" s="15" t="n">
        <f aca="false">Ipotesi!D13</f>
        <v>90</v>
      </c>
      <c r="M87" s="17" t="n">
        <f aca="false">INDEX(Ipotesi!$C$40:$G$40,1,F87)</f>
        <v>1</v>
      </c>
      <c r="N87" s="17" t="n">
        <f aca="false">INDEX(Ipotesi!$C$41:$G$41,1,F87)</f>
        <v>1</v>
      </c>
      <c r="O87" s="17" t="n">
        <f aca="false">INDEX(Ipotesi!$C$42:$G$42,1,F87)*Ipotesi!D125</f>
        <v>2.5</v>
      </c>
      <c r="P87" s="17" t="n">
        <f aca="false">INDEX(Ipotesi!$C$43:$G$43,1,F87)*I87</f>
        <v>2.5</v>
      </c>
      <c r="Q87" s="17" t="n">
        <f aca="false">INDEX(Ipotesi!$C$44:$G$44,1,F87)*I87</f>
        <v>1.5</v>
      </c>
      <c r="R87" s="17" t="n">
        <f aca="false">INDEX(Ipotesi!$C$45:$G$45,1,F87)*I87</f>
        <v>0.5</v>
      </c>
      <c r="S87" s="17" t="n">
        <f aca="false">INDEX(Ipotesi!$C$52:$G$52,1,F87)*Ipotesi!D125</f>
        <v>3</v>
      </c>
      <c r="T87" s="17" t="n">
        <f aca="false">INDEX(Ipotesi!$C$53:$G$53,1,F87)*I87</f>
        <v>1</v>
      </c>
      <c r="U87" s="17" t="n">
        <f aca="false">INDEX(Ipotesi!$C$54:$G$54,1,F87)*I87</f>
        <v>0</v>
      </c>
      <c r="V87" s="15" t="n">
        <f aca="false">M87*INDEX(Ipotesi!$C$58:$G$58,1,F87)*K87/12</f>
        <v>5000</v>
      </c>
      <c r="W87" s="15" t="n">
        <f aca="false">N87*Ipotesi!$C$59*(1+Ipotesi!$C$66)^(F87-1)/12</f>
        <v>6008.33333333333</v>
      </c>
      <c r="X87" s="15" t="n">
        <f aca="false">O87*Ipotesi!$C$60*(1+Ipotesi!$C$66)^(F87-1)/12</f>
        <v>10729.1666666667</v>
      </c>
      <c r="Y87" s="15" t="n">
        <f aca="false">P87*Ipotesi!$C$61*(1+Ipotesi!$C$66)^(F87-1)/12</f>
        <v>10729.1666666667</v>
      </c>
      <c r="Z87" s="15" t="n">
        <f aca="false">Q87*Ipotesi!$C$62*(1+Ipotesi!$C$66)^(F87-1)/12</f>
        <v>5793.75</v>
      </c>
      <c r="AA87" s="15" t="n">
        <f aca="false">R87*Ipotesi!$C$63*(1+Ipotesi!$C$66)^(F87-1)/12</f>
        <v>1502.08333333333</v>
      </c>
      <c r="AB87" s="15" t="n">
        <f aca="false">SUM(V87:AA87)</f>
        <v>39762.5</v>
      </c>
      <c r="AC87" s="15" t="n">
        <f aca="false">(S87*Ipotesi!$C$64+T87*Ipotesi!$C$65+U87*Ipotesi!$C$63)*(1+Ipotesi!$C$66)^(F87-1)/12</f>
        <v>15965</v>
      </c>
      <c r="AD87" s="15" t="n">
        <f aca="false">INDEX(Ipotesi!$C$48:$G$48,1,F87)*G87/12</f>
        <v>37.5</v>
      </c>
      <c r="AE87" s="15" t="n">
        <f aca="false">INDEX(Ipotesi!$C$50:$G$50,1,F87)*G87/12</f>
        <v>4.58333333333333</v>
      </c>
      <c r="AF87" s="15" t="n">
        <f aca="false">(S87*Parametri_v3!$C$7*Parametri_v3!$C$8+Parametri_v3!$C$10)/12</f>
        <v>38.5</v>
      </c>
      <c r="AG87" s="15" t="n">
        <f aca="false">AD87+AE87*(1+Parametri_v3!$C$9)</f>
        <v>44.375</v>
      </c>
      <c r="AH87" s="16" t="n">
        <f aca="false">IF(AG87=0,1,MIN(1,AF87/AG87))</f>
        <v>0.867605633802817</v>
      </c>
      <c r="AI87" s="15" t="n">
        <f aca="false">AD87*AH87</f>
        <v>32.5352112676056</v>
      </c>
      <c r="AJ87" s="15" t="n">
        <f aca="false">AE87*AH87</f>
        <v>3.97652582159624</v>
      </c>
      <c r="AK87" s="15" t="n">
        <f aca="false">AI87*INDEX(Ipotesi!$C$49:$G$49,1,F87)*H87</f>
        <v>26028.1690140845</v>
      </c>
      <c r="AL87" s="15" t="n">
        <f aca="false">AJ87*INDEX(Ipotesi!$C$51:$G$51,1,F87)*H87</f>
        <v>7953.05164319249</v>
      </c>
      <c r="AM87" s="15" t="n">
        <f aca="false">AK87+AL87</f>
        <v>33981.220657277</v>
      </c>
      <c r="AN87" s="15" t="n">
        <f aca="false">INDEX(Ipotesi!$C$30:$G$30,1,F87)*G87/12</f>
        <v>22.5</v>
      </c>
      <c r="AO87" s="15" t="n">
        <f aca="false">O87*Parametri_v3!$C$7*Parametri_v3!$C$11*(1-Parametri_v3!$C$14)/12</f>
        <v>25.6666666666667</v>
      </c>
      <c r="AP87" s="15" t="n">
        <f aca="false">MIN(AN87,AO87)</f>
        <v>22.5</v>
      </c>
      <c r="AQ87" s="15" t="n">
        <f aca="false">AP87*INDEX(Ipotesi!$C$31:$G$31,1,F87)*H87</f>
        <v>21375</v>
      </c>
      <c r="AR87" s="15" t="n">
        <f aca="false">INDEX(Ipotesi!$C$75:$G$75,1,F87)*J87/12</f>
        <v>4583.33333333333</v>
      </c>
      <c r="AS87" s="15" t="n">
        <f aca="false">INDEX(Ipotesi!$C$81:$G$81,1,F87)*J87/12</f>
        <v>833.333333333333</v>
      </c>
      <c r="AT87" s="15" t="n">
        <f aca="false">AR87*Parametri_v3!$C$15+Z87*Parametri_v3!$C$16</f>
        <v>8638.95833333333</v>
      </c>
      <c r="AU87" s="15" t="n">
        <f aca="false">Q87*Parametri_v3!$C$16*Parametri_v3!$C$17</f>
        <v>105</v>
      </c>
      <c r="AV87" s="17" t="n">
        <f aca="false">BD86</f>
        <v>27.3818680868954</v>
      </c>
      <c r="AW87" s="17" t="n">
        <f aca="false">AV87*(1-(1-INDEX(Ipotesi!$C$34:$G$34,1,F87))^(1/12))</f>
        <v>0.239361638028465</v>
      </c>
      <c r="AX87" s="15" t="n">
        <f aca="false">ROUND(INDEX(Ipotesi!$C$32:$G$32,1,F87)*Ipotesi!D8,0)</f>
        <v>35</v>
      </c>
      <c r="AY87" s="15" t="n">
        <f aca="false">MAX(0,(AX87-(AV87-AW87))/(13-E87))</f>
        <v>3.92874677556654</v>
      </c>
      <c r="AZ87" s="15" t="n">
        <f aca="false">MIN(P87*Parametri_v3!$C$22,Q87*(1-Parametri_v3!$C$16)*Parametri_v3!$C$23)</f>
        <v>67.5</v>
      </c>
      <c r="BA87" s="15" t="n">
        <f aca="false">IF(OR(INDEX(Ipotesi!$C$35:$G$35,1,F87)&lt;=0,23-Parametri_v3!$C$21&lt;1),0,INDEX($AT$65:$AT$124,MAX(1,23-Parametri_v3!$C$21))/(INDEX(Ipotesi!$C$35:$G$35,1,F87)*Ipotesi!D27))</f>
        <v>2.87965277777778</v>
      </c>
      <c r="BB87" s="15" t="n">
        <f aca="false">IF(23-Parametri_v3!$C$21&lt;1,0,INDEX($AU$65:$AU$124,MAX(1,23-Parametri_v3!$C$21)))*Parametri_v3!$C$18*Parametri_v3!$C$19*Parametri_v3!$C$20</f>
        <v>3.9375</v>
      </c>
      <c r="BC87" s="17" t="n">
        <f aca="false">MAX(0,MIN(AY87,BA87,BB87,MAX(0,AZ87-(AV87-AW87))))</f>
        <v>2.87965277777778</v>
      </c>
      <c r="BD87" s="17" t="n">
        <f aca="false">AV87-AW87+BC87</f>
        <v>30.0221592266447</v>
      </c>
      <c r="BE87" s="17" t="n">
        <f aca="false">(AV87+BD87)/2</f>
        <v>28.70201365677</v>
      </c>
      <c r="BF87" s="15" t="n">
        <f aca="false">BE87*INDEX(Ipotesi!$C$33:$G$33,1,F87)*H87/12</f>
        <v>9567.33788559001</v>
      </c>
      <c r="BG87" s="15" t="n">
        <f aca="false">BD87*INDEX(Ipotesi!$C$33:$G$33,1,F87)*H87</f>
        <v>120088.636906579</v>
      </c>
      <c r="BH87" s="15" t="n">
        <f aca="false">AM87*INDEX(Ipotesi!$C$37:$G$37,1,F87)</f>
        <v>3398.1220657277</v>
      </c>
      <c r="BI87" s="15" t="n">
        <f aca="false">AQ87+BF87+BH87</f>
        <v>34340.4599513177</v>
      </c>
      <c r="BJ87" s="15" t="n">
        <f aca="false">INDEX(Ipotesi!$C$68:$G$68,1,F87)*Ipotesi!$C$69/12</f>
        <v>1600</v>
      </c>
      <c r="BK87" s="15" t="n">
        <f aca="false">INDEX(Ipotesi!$C$68:$G$68,1,F87)*(1-Ipotesi!$C$69)/12</f>
        <v>2400</v>
      </c>
      <c r="BL87" s="15" t="n">
        <f aca="false">(AQ87+BF87)*Ipotesi!$C$67</f>
        <v>928.2701365677</v>
      </c>
      <c r="BM87" s="15" t="n">
        <f aca="false">AM87*Ipotesi!$C$67</f>
        <v>1019.43661971831</v>
      </c>
      <c r="BN87" s="15" t="n">
        <f aca="false">INDEX(Ipotesi!$C$72:$G$72,1,F87)/12*Ipotesi!D126+BF87*Ipotesi!$C$73</f>
        <v>2015.3870308472</v>
      </c>
      <c r="BO87" s="15" t="n">
        <f aca="false">INDEX(Ipotesi!$C$74:$G$74,1,F87)/12*Ipotesi!D126</f>
        <v>1833.33333333333</v>
      </c>
      <c r="BP87" s="15" t="n">
        <f aca="false">INDEX(Ipotesi!$C$76:$G$76,1,F87)/12</f>
        <v>750</v>
      </c>
      <c r="BQ87" s="15" t="n">
        <f aca="false">INDEX(Ipotesi!$C$77:$G$77,1,F87)/12*Ipotesi!D126</f>
        <v>1666.66666666667</v>
      </c>
      <c r="BR87" s="15" t="n">
        <f aca="false">INDEX(Ipotesi!$C$78:$G$78,1,F87)/12</f>
        <v>1250</v>
      </c>
      <c r="BS87" s="15" t="n">
        <f aca="false">SUM(M87:R87)*(Ipotesi!$C$85+Ipotesi!$C$86)/12</f>
        <v>2625</v>
      </c>
      <c r="BT87" s="15" t="n">
        <f aca="false">BI87*Ipotesi!$C$87</f>
        <v>1030.21379853953</v>
      </c>
      <c r="BU87" s="15" t="n">
        <f aca="false">INDEX(Ipotesi!$C$55:$G$55,1,F87)*K87/12</f>
        <v>1000</v>
      </c>
      <c r="BV87" s="15" t="n">
        <f aca="false">INDEX(Ipotesi!$C$80:$G$80,1,F87)/12*Ipotesi!D126</f>
        <v>833.333333333333</v>
      </c>
      <c r="BW87" s="15" t="n">
        <f aca="false">INDEX(Ipotesi!$C$82:$G$82,1,F87)/12</f>
        <v>666.666666666667</v>
      </c>
      <c r="BX87" s="15" t="n">
        <f aca="false">INDEX(Ipotesi!$C$83:$G$83,1,F87)/12</f>
        <v>583.333333333333</v>
      </c>
      <c r="BY87" s="15" t="n">
        <f aca="false">SUM(S87:U87)*(Ipotesi!$C$85+Ipotesi!$C$86)/12</f>
        <v>1166.66666666667</v>
      </c>
      <c r="BZ87" s="15" t="n">
        <f aca="false">AM87*Ipotesi!$C$87</f>
        <v>1019.43661971831</v>
      </c>
      <c r="CA87" s="15" t="n">
        <f aca="false">AB87+BJ87+BL87+BN87+BO87+AR87+BP87+BQ87+BR87+BS87+BT87</f>
        <v>58044.7042992878</v>
      </c>
      <c r="CB87" s="15" t="n">
        <f aca="false">AC87+BK87+BM87+BH87+BU87+BV87+AS87+BW87+BX87+BY87+BZ87</f>
        <v>28885.3286384976</v>
      </c>
      <c r="CC87" s="15" t="n">
        <f aca="false">BI87-CA87</f>
        <v>-23704.2443479701</v>
      </c>
      <c r="CD87" s="15" t="n">
        <f aca="false">AM87-CB87</f>
        <v>5095.89201877934</v>
      </c>
      <c r="CE87" s="15" t="n">
        <f aca="false">INDEX(Ipotesi!$C$79:$G$79,1,F87)/12</f>
        <v>2083.33333333333</v>
      </c>
      <c r="CF87" s="15" t="n">
        <f aca="false">INDEX(Ipotesi!$C$84:$G$84,1,F87)/12</f>
        <v>416.666666666667</v>
      </c>
      <c r="CG87" s="15" t="n">
        <f aca="false">Y87*MAX(0,Parametri_v3!$C$12-IF(P87=0,0,MIN(1,BE87/(P87*Parametri_v3!$C$22))))+W87*Parametri_v3!$C$13+X87*Parametri_v3!$C$14</f>
        <v>14647.371913897</v>
      </c>
      <c r="CH87" s="15" t="n">
        <f aca="false">AB87*Parametri_v3!$C$32</f>
        <v>1988.125</v>
      </c>
      <c r="CI87" s="15" t="n">
        <f aca="false">AC87*Parametri_v3!$C$32</f>
        <v>798.25</v>
      </c>
      <c r="CJ87" s="15" t="n">
        <f aca="false">CA87-AB87</f>
        <v>18282.2042992878</v>
      </c>
      <c r="CK87" s="15" t="n">
        <f aca="false">CB87-AC87-BH87</f>
        <v>9522.20657276995</v>
      </c>
      <c r="CL87" s="15" t="n">
        <f aca="false">BF87*Ipotesi!$C$73+INDEX(Ipotesi!$C$72:$G$72,1,F87)/12*Ipotesi!D126*Parametri_v3!$C$58+Z87*(1-Parametri_v3!$C$16)</f>
        <v>3753.5120308472</v>
      </c>
      <c r="CM87" s="16" t="n">
        <f aca="false">IF(BF87=0,0,1-CL87/BF87)</f>
        <v>0.607674352496674</v>
      </c>
    </row>
    <row r="88" customFormat="false" ht="18" hidden="false" customHeight="true" outlineLevel="0" collapsed="false">
      <c r="A88" s="68" t="n">
        <f aca="false">2</f>
        <v>2</v>
      </c>
      <c r="B88" s="68" t="n">
        <f aca="false">24</f>
        <v>24</v>
      </c>
      <c r="C88" s="18" t="n">
        <f aca="false">EDATE(Parametri_v3!$C$5,24-1)</f>
        <v>47088</v>
      </c>
      <c r="D88" s="68" t="n">
        <f aca="false">YEAR(C88)</f>
        <v>2028</v>
      </c>
      <c r="E88" s="68" t="n">
        <f aca="false">MONTH(C88)</f>
        <v>12</v>
      </c>
      <c r="F88" s="68" t="n">
        <f aca="false">INT((24-1)/12)+1</f>
        <v>2</v>
      </c>
      <c r="G88" s="15" t="n">
        <f aca="false">Ipotesi!D7</f>
        <v>1</v>
      </c>
      <c r="H88" s="15" t="n">
        <f aca="false">Ipotesi!D9</f>
        <v>1</v>
      </c>
      <c r="I88" s="15" t="n">
        <f aca="false">Ipotesi!D10</f>
        <v>1</v>
      </c>
      <c r="J88" s="15" t="n">
        <f aca="false">Ipotesi!D11</f>
        <v>1</v>
      </c>
      <c r="K88" s="15" t="n">
        <f aca="false">Ipotesi!D12</f>
        <v>1</v>
      </c>
      <c r="L88" s="15" t="n">
        <f aca="false">Ipotesi!D13</f>
        <v>90</v>
      </c>
      <c r="M88" s="17" t="n">
        <f aca="false">INDEX(Ipotesi!$C$40:$G$40,1,F88)</f>
        <v>1</v>
      </c>
      <c r="N88" s="17" t="n">
        <f aca="false">INDEX(Ipotesi!$C$41:$G$41,1,F88)</f>
        <v>1</v>
      </c>
      <c r="O88" s="17" t="n">
        <f aca="false">INDEX(Ipotesi!$C$42:$G$42,1,F88)*Ipotesi!D125</f>
        <v>2.5</v>
      </c>
      <c r="P88" s="17" t="n">
        <f aca="false">INDEX(Ipotesi!$C$43:$G$43,1,F88)*I88</f>
        <v>2.5</v>
      </c>
      <c r="Q88" s="17" t="n">
        <f aca="false">INDEX(Ipotesi!$C$44:$G$44,1,F88)*I88</f>
        <v>1.5</v>
      </c>
      <c r="R88" s="17" t="n">
        <f aca="false">INDEX(Ipotesi!$C$45:$G$45,1,F88)*I88</f>
        <v>0.5</v>
      </c>
      <c r="S88" s="17" t="n">
        <f aca="false">INDEX(Ipotesi!$C$52:$G$52,1,F88)*Ipotesi!D125</f>
        <v>3</v>
      </c>
      <c r="T88" s="17" t="n">
        <f aca="false">INDEX(Ipotesi!$C$53:$G$53,1,F88)*I88</f>
        <v>1</v>
      </c>
      <c r="U88" s="17" t="n">
        <f aca="false">INDEX(Ipotesi!$C$54:$G$54,1,F88)*I88</f>
        <v>0</v>
      </c>
      <c r="V88" s="15" t="n">
        <f aca="false">M88*INDEX(Ipotesi!$C$58:$G$58,1,F88)*K88/12</f>
        <v>5000</v>
      </c>
      <c r="W88" s="15" t="n">
        <f aca="false">N88*Ipotesi!$C$59*(1+Ipotesi!$C$66)^(F88-1)/12</f>
        <v>6008.33333333333</v>
      </c>
      <c r="X88" s="15" t="n">
        <f aca="false">O88*Ipotesi!$C$60*(1+Ipotesi!$C$66)^(F88-1)/12</f>
        <v>10729.1666666667</v>
      </c>
      <c r="Y88" s="15" t="n">
        <f aca="false">P88*Ipotesi!$C$61*(1+Ipotesi!$C$66)^(F88-1)/12</f>
        <v>10729.1666666667</v>
      </c>
      <c r="Z88" s="15" t="n">
        <f aca="false">Q88*Ipotesi!$C$62*(1+Ipotesi!$C$66)^(F88-1)/12</f>
        <v>5793.75</v>
      </c>
      <c r="AA88" s="15" t="n">
        <f aca="false">R88*Ipotesi!$C$63*(1+Ipotesi!$C$66)^(F88-1)/12</f>
        <v>1502.08333333333</v>
      </c>
      <c r="AB88" s="15" t="n">
        <f aca="false">SUM(V88:AA88)</f>
        <v>39762.5</v>
      </c>
      <c r="AC88" s="15" t="n">
        <f aca="false">(S88*Ipotesi!$C$64+T88*Ipotesi!$C$65+U88*Ipotesi!$C$63)*(1+Ipotesi!$C$66)^(F88-1)/12</f>
        <v>15965</v>
      </c>
      <c r="AD88" s="15" t="n">
        <f aca="false">INDEX(Ipotesi!$C$48:$G$48,1,F88)*G88/12</f>
        <v>37.5</v>
      </c>
      <c r="AE88" s="15" t="n">
        <f aca="false">INDEX(Ipotesi!$C$50:$G$50,1,F88)*G88/12</f>
        <v>4.58333333333333</v>
      </c>
      <c r="AF88" s="15" t="n">
        <f aca="false">(S88*Parametri_v3!$C$7*Parametri_v3!$C$8+Parametri_v3!$C$10)/12</f>
        <v>38.5</v>
      </c>
      <c r="AG88" s="15" t="n">
        <f aca="false">AD88+AE88*(1+Parametri_v3!$C$9)</f>
        <v>44.375</v>
      </c>
      <c r="AH88" s="16" t="n">
        <f aca="false">IF(AG88=0,1,MIN(1,AF88/AG88))</f>
        <v>0.867605633802817</v>
      </c>
      <c r="AI88" s="15" t="n">
        <f aca="false">AD88*AH88</f>
        <v>32.5352112676056</v>
      </c>
      <c r="AJ88" s="15" t="n">
        <f aca="false">AE88*AH88</f>
        <v>3.97652582159624</v>
      </c>
      <c r="AK88" s="15" t="n">
        <f aca="false">AI88*INDEX(Ipotesi!$C$49:$G$49,1,F88)*H88</f>
        <v>26028.1690140845</v>
      </c>
      <c r="AL88" s="15" t="n">
        <f aca="false">AJ88*INDEX(Ipotesi!$C$51:$G$51,1,F88)*H88</f>
        <v>7953.05164319249</v>
      </c>
      <c r="AM88" s="15" t="n">
        <f aca="false">AK88+AL88</f>
        <v>33981.220657277</v>
      </c>
      <c r="AN88" s="15" t="n">
        <f aca="false">INDEX(Ipotesi!$C$30:$G$30,1,F88)*G88/12</f>
        <v>22.5</v>
      </c>
      <c r="AO88" s="15" t="n">
        <f aca="false">O88*Parametri_v3!$C$7*Parametri_v3!$C$11*(1-Parametri_v3!$C$14)/12</f>
        <v>25.6666666666667</v>
      </c>
      <c r="AP88" s="15" t="n">
        <f aca="false">MIN(AN88,AO88)</f>
        <v>22.5</v>
      </c>
      <c r="AQ88" s="15" t="n">
        <f aca="false">AP88*INDEX(Ipotesi!$C$31:$G$31,1,F88)*H88</f>
        <v>21375</v>
      </c>
      <c r="AR88" s="15" t="n">
        <f aca="false">INDEX(Ipotesi!$C$75:$G$75,1,F88)*J88/12</f>
        <v>4583.33333333333</v>
      </c>
      <c r="AS88" s="15" t="n">
        <f aca="false">INDEX(Ipotesi!$C$81:$G$81,1,F88)*J88/12</f>
        <v>833.333333333333</v>
      </c>
      <c r="AT88" s="15" t="n">
        <f aca="false">AR88*Parametri_v3!$C$15+Z88*Parametri_v3!$C$16</f>
        <v>8638.95833333333</v>
      </c>
      <c r="AU88" s="15" t="n">
        <f aca="false">Q88*Parametri_v3!$C$16*Parametri_v3!$C$17</f>
        <v>105</v>
      </c>
      <c r="AV88" s="17" t="n">
        <f aca="false">BD87</f>
        <v>30.0221592266447</v>
      </c>
      <c r="AW88" s="17" t="n">
        <f aca="false">AV88*(1-(1-INDEX(Ipotesi!$C$34:$G$34,1,F88))^(1/12))</f>
        <v>0.262442035979287</v>
      </c>
      <c r="AX88" s="15" t="n">
        <f aca="false">ROUND(INDEX(Ipotesi!$C$32:$G$32,1,F88)*Ipotesi!D8,0)</f>
        <v>35</v>
      </c>
      <c r="AY88" s="15" t="n">
        <f aca="false">MAX(0,(AX88-(AV88-AW88))/(13-E88))</f>
        <v>5.2402828093346</v>
      </c>
      <c r="AZ88" s="15" t="n">
        <f aca="false">MIN(P88*Parametri_v3!$C$22,Q88*(1-Parametri_v3!$C$16)*Parametri_v3!$C$23)</f>
        <v>67.5</v>
      </c>
      <c r="BA88" s="15" t="n">
        <f aca="false">IF(OR(INDEX(Ipotesi!$C$35:$G$35,1,F88)&lt;=0,24-Parametri_v3!$C$21&lt;1),0,INDEX($AT$65:$AT$124,MAX(1,24-Parametri_v3!$C$21))/(INDEX(Ipotesi!$C$35:$G$35,1,F88)*Ipotesi!D27))</f>
        <v>2.87965277777778</v>
      </c>
      <c r="BB88" s="15" t="n">
        <f aca="false">IF(24-Parametri_v3!$C$21&lt;1,0,INDEX($AU$65:$AU$124,MAX(1,24-Parametri_v3!$C$21)))*Parametri_v3!$C$18*Parametri_v3!$C$19*Parametri_v3!$C$20</f>
        <v>3.9375</v>
      </c>
      <c r="BC88" s="17" t="n">
        <f aca="false">MAX(0,MIN(AY88,BA88,BB88,MAX(0,AZ88-(AV88-AW88))))</f>
        <v>2.87965277777778</v>
      </c>
      <c r="BD88" s="17" t="n">
        <f aca="false">AV88-AW88+BC88</f>
        <v>32.6393699684432</v>
      </c>
      <c r="BE88" s="17" t="n">
        <f aca="false">(AV88+BD88)/2</f>
        <v>31.3307645975439</v>
      </c>
      <c r="BF88" s="15" t="n">
        <f aca="false">BE88*INDEX(Ipotesi!$C$33:$G$33,1,F88)*H88/12</f>
        <v>10443.5881991813</v>
      </c>
      <c r="BG88" s="15" t="n">
        <f aca="false">BD88*INDEX(Ipotesi!$C$33:$G$33,1,F88)*H88</f>
        <v>130557.479873773</v>
      </c>
      <c r="BH88" s="15" t="n">
        <f aca="false">AM88*INDEX(Ipotesi!$C$37:$G$37,1,F88)</f>
        <v>3398.1220657277</v>
      </c>
      <c r="BI88" s="15" t="n">
        <f aca="false">AQ88+BF88+BH88</f>
        <v>35216.710264909</v>
      </c>
      <c r="BJ88" s="15" t="n">
        <f aca="false">INDEX(Ipotesi!$C$68:$G$68,1,F88)*Ipotesi!$C$69/12</f>
        <v>1600</v>
      </c>
      <c r="BK88" s="15" t="n">
        <f aca="false">INDEX(Ipotesi!$C$68:$G$68,1,F88)*(1-Ipotesi!$C$69)/12</f>
        <v>2400</v>
      </c>
      <c r="BL88" s="15" t="n">
        <f aca="false">(AQ88+BF88)*Ipotesi!$C$67</f>
        <v>954.557645975439</v>
      </c>
      <c r="BM88" s="15" t="n">
        <f aca="false">AM88*Ipotesi!$C$67</f>
        <v>1019.43661971831</v>
      </c>
      <c r="BN88" s="15" t="n">
        <f aca="false">INDEX(Ipotesi!$C$72:$G$72,1,F88)/12*Ipotesi!D126+BF88*Ipotesi!$C$73</f>
        <v>2085.48705593451</v>
      </c>
      <c r="BO88" s="15" t="n">
        <f aca="false">INDEX(Ipotesi!$C$74:$G$74,1,F88)/12*Ipotesi!D126</f>
        <v>1833.33333333333</v>
      </c>
      <c r="BP88" s="15" t="n">
        <f aca="false">INDEX(Ipotesi!$C$76:$G$76,1,F88)/12</f>
        <v>750</v>
      </c>
      <c r="BQ88" s="15" t="n">
        <f aca="false">INDEX(Ipotesi!$C$77:$G$77,1,F88)/12*Ipotesi!D126</f>
        <v>1666.66666666667</v>
      </c>
      <c r="BR88" s="15" t="n">
        <f aca="false">INDEX(Ipotesi!$C$78:$G$78,1,F88)/12</f>
        <v>1250</v>
      </c>
      <c r="BS88" s="15" t="n">
        <f aca="false">SUM(M88:R88)*(Ipotesi!$C$85+Ipotesi!$C$86)/12</f>
        <v>2625</v>
      </c>
      <c r="BT88" s="15" t="n">
        <f aca="false">BI88*Ipotesi!$C$87</f>
        <v>1056.50130794727</v>
      </c>
      <c r="BU88" s="15" t="n">
        <f aca="false">INDEX(Ipotesi!$C$55:$G$55,1,F88)*K88/12</f>
        <v>1000</v>
      </c>
      <c r="BV88" s="15" t="n">
        <f aca="false">INDEX(Ipotesi!$C$80:$G$80,1,F88)/12*Ipotesi!D126</f>
        <v>833.333333333333</v>
      </c>
      <c r="BW88" s="15" t="n">
        <f aca="false">INDEX(Ipotesi!$C$82:$G$82,1,F88)/12</f>
        <v>666.666666666667</v>
      </c>
      <c r="BX88" s="15" t="n">
        <f aca="false">INDEX(Ipotesi!$C$83:$G$83,1,F88)/12</f>
        <v>583.333333333333</v>
      </c>
      <c r="BY88" s="15" t="n">
        <f aca="false">SUM(S88:U88)*(Ipotesi!$C$85+Ipotesi!$C$86)/12</f>
        <v>1166.66666666667</v>
      </c>
      <c r="BZ88" s="15" t="n">
        <f aca="false">AM88*Ipotesi!$C$87</f>
        <v>1019.43661971831</v>
      </c>
      <c r="CA88" s="15" t="n">
        <f aca="false">AB88+BJ88+BL88+BN88+BO88+AR88+BP88+BQ88+BR88+BS88+BT88</f>
        <v>58167.3793431906</v>
      </c>
      <c r="CB88" s="15" t="n">
        <f aca="false">AC88+BK88+BM88+BH88+BU88+BV88+AS88+BW88+BX88+BY88+BZ88</f>
        <v>28885.3286384976</v>
      </c>
      <c r="CC88" s="15" t="n">
        <f aca="false">BI88-CA88</f>
        <v>-22950.6690782815</v>
      </c>
      <c r="CD88" s="15" t="n">
        <f aca="false">AM88-CB88</f>
        <v>5095.89201877934</v>
      </c>
      <c r="CE88" s="15" t="n">
        <f aca="false">INDEX(Ipotesi!$C$79:$G$79,1,F88)/12</f>
        <v>2083.33333333333</v>
      </c>
      <c r="CF88" s="15" t="n">
        <f aca="false">INDEX(Ipotesi!$C$84:$G$84,1,F88)/12</f>
        <v>416.666666666667</v>
      </c>
      <c r="CG88" s="15" t="n">
        <f aca="false">Y88*MAX(0,Parametri_v3!$C$12-IF(P88=0,0,MIN(1,BE88/(P88*Parametri_v3!$C$22))))+W88*Parametri_v3!$C$13+X88*Parametri_v3!$C$14</f>
        <v>14534.5546860221</v>
      </c>
      <c r="CH88" s="15" t="n">
        <f aca="false">AB88*Parametri_v3!$C$32</f>
        <v>1988.125</v>
      </c>
      <c r="CI88" s="15" t="n">
        <f aca="false">AC88*Parametri_v3!$C$32</f>
        <v>798.25</v>
      </c>
      <c r="CJ88" s="15" t="n">
        <f aca="false">CA88-AB88</f>
        <v>18404.8793431906</v>
      </c>
      <c r="CK88" s="15" t="n">
        <f aca="false">CB88-AC88-BH88</f>
        <v>9522.20657276995</v>
      </c>
      <c r="CL88" s="15" t="n">
        <f aca="false">BF88*Ipotesi!$C$73+INDEX(Ipotesi!$C$72:$G$72,1,F88)/12*Ipotesi!D126*Parametri_v3!$C$58+Z88*(1-Parametri_v3!$C$16)</f>
        <v>3823.61205593451</v>
      </c>
      <c r="CM88" s="16" t="n">
        <f aca="false">IF(BF88=0,0,1-CL88/BF88)</f>
        <v>0.633879469104858</v>
      </c>
    </row>
    <row r="89" customFormat="false" ht="18" hidden="false" customHeight="true" outlineLevel="0" collapsed="false">
      <c r="A89" s="68" t="n">
        <f aca="false">2</f>
        <v>2</v>
      </c>
      <c r="B89" s="68" t="n">
        <f aca="false">25</f>
        <v>25</v>
      </c>
      <c r="C89" s="18" t="n">
        <f aca="false">EDATE(Parametri_v3!$C$5,25-1)</f>
        <v>47119</v>
      </c>
      <c r="D89" s="68" t="n">
        <f aca="false">YEAR(C89)</f>
        <v>2029</v>
      </c>
      <c r="E89" s="68" t="n">
        <f aca="false">MONTH(C89)</f>
        <v>1</v>
      </c>
      <c r="F89" s="68" t="n">
        <f aca="false">INT((25-1)/12)+1</f>
        <v>3</v>
      </c>
      <c r="G89" s="15" t="n">
        <f aca="false">Ipotesi!D7</f>
        <v>1</v>
      </c>
      <c r="H89" s="15" t="n">
        <f aca="false">Ipotesi!D9</f>
        <v>1</v>
      </c>
      <c r="I89" s="15" t="n">
        <f aca="false">Ipotesi!D10</f>
        <v>1</v>
      </c>
      <c r="J89" s="15" t="n">
        <f aca="false">Ipotesi!D11</f>
        <v>1</v>
      </c>
      <c r="K89" s="15" t="n">
        <f aca="false">Ipotesi!D12</f>
        <v>1</v>
      </c>
      <c r="L89" s="15" t="n">
        <f aca="false">Ipotesi!D13</f>
        <v>90</v>
      </c>
      <c r="M89" s="17" t="n">
        <f aca="false">INDEX(Ipotesi!$C$40:$G$40,1,F89)</f>
        <v>1</v>
      </c>
      <c r="N89" s="17" t="n">
        <f aca="false">INDEX(Ipotesi!$C$41:$G$41,1,F89)</f>
        <v>1</v>
      </c>
      <c r="O89" s="17" t="n">
        <f aca="false">INDEX(Ipotesi!$C$42:$G$42,1,F89)*Ipotesi!D125</f>
        <v>4.5</v>
      </c>
      <c r="P89" s="17" t="n">
        <f aca="false">INDEX(Ipotesi!$C$43:$G$43,1,F89)*I89</f>
        <v>5</v>
      </c>
      <c r="Q89" s="17" t="n">
        <f aca="false">INDEX(Ipotesi!$C$44:$G$44,1,F89)*I89</f>
        <v>4</v>
      </c>
      <c r="R89" s="17" t="n">
        <f aca="false">INDEX(Ipotesi!$C$45:$G$45,1,F89)*I89</f>
        <v>1</v>
      </c>
      <c r="S89" s="17" t="n">
        <f aca="false">INDEX(Ipotesi!$C$52:$G$52,1,F89)*Ipotesi!D125</f>
        <v>5</v>
      </c>
      <c r="T89" s="17" t="n">
        <f aca="false">INDEX(Ipotesi!$C$53:$G$53,1,F89)*I89</f>
        <v>1</v>
      </c>
      <c r="U89" s="17" t="n">
        <f aca="false">INDEX(Ipotesi!$C$54:$G$54,1,F89)*I89</f>
        <v>0.5</v>
      </c>
      <c r="V89" s="15" t="n">
        <f aca="false">M89*INDEX(Ipotesi!$C$58:$G$58,1,F89)*K89/12</f>
        <v>7083.33333333333</v>
      </c>
      <c r="W89" s="15" t="n">
        <f aca="false">N89*Ipotesi!$C$59*(1+Ipotesi!$C$66)^(F89-1)/12</f>
        <v>6188.58333333333</v>
      </c>
      <c r="X89" s="15" t="n">
        <f aca="false">O89*Ipotesi!$C$60*(1+Ipotesi!$C$66)^(F89-1)/12</f>
        <v>19891.875</v>
      </c>
      <c r="Y89" s="15" t="n">
        <f aca="false">P89*Ipotesi!$C$61*(1+Ipotesi!$C$66)^(F89-1)/12</f>
        <v>22102.0833333333</v>
      </c>
      <c r="Z89" s="15" t="n">
        <f aca="false">Q89*Ipotesi!$C$62*(1+Ipotesi!$C$66)^(F89-1)/12</f>
        <v>15913.5</v>
      </c>
      <c r="AA89" s="15" t="n">
        <f aca="false">R89*Ipotesi!$C$63*(1+Ipotesi!$C$66)^(F89-1)/12</f>
        <v>3094.29166666667</v>
      </c>
      <c r="AB89" s="15" t="n">
        <f aca="false">SUM(V89:AA89)</f>
        <v>74273.6666666667</v>
      </c>
      <c r="AC89" s="15" t="n">
        <f aca="false">(S89*Ipotesi!$C$64+T89*Ipotesi!$C$65+U89*Ipotesi!$C$63)*(1+Ipotesi!$C$66)^(F89-1)/12</f>
        <v>25417.3958333333</v>
      </c>
      <c r="AD89" s="15" t="n">
        <f aca="false">INDEX(Ipotesi!$C$48:$G$48,1,F89)*G89/12</f>
        <v>60</v>
      </c>
      <c r="AE89" s="15" t="n">
        <f aca="false">INDEX(Ipotesi!$C$50:$G$50,1,F89)*G89/12</f>
        <v>6.66666666666667</v>
      </c>
      <c r="AF89" s="15" t="n">
        <f aca="false">(S89*Parametri_v3!$C$7*Parametri_v3!$C$8+Parametri_v3!$C$10)/12</f>
        <v>64.1666666666667</v>
      </c>
      <c r="AG89" s="15" t="n">
        <f aca="false">AD89+AE89*(1+Parametri_v3!$C$9)</f>
        <v>70</v>
      </c>
      <c r="AH89" s="16" t="n">
        <f aca="false">IF(AG89=0,1,MIN(1,AF89/AG89))</f>
        <v>0.916666666666667</v>
      </c>
      <c r="AI89" s="15" t="n">
        <f aca="false">AD89*AH89</f>
        <v>55</v>
      </c>
      <c r="AJ89" s="15" t="n">
        <f aca="false">AE89*AH89</f>
        <v>6.11111111111111</v>
      </c>
      <c r="AK89" s="15" t="n">
        <f aca="false">AI89*INDEX(Ipotesi!$C$49:$G$49,1,F89)*H89</f>
        <v>46750</v>
      </c>
      <c r="AL89" s="15" t="n">
        <f aca="false">AJ89*INDEX(Ipotesi!$C$51:$G$51,1,F89)*H89</f>
        <v>13750</v>
      </c>
      <c r="AM89" s="15" t="n">
        <f aca="false">AK89+AL89</f>
        <v>60500</v>
      </c>
      <c r="AN89" s="15" t="n">
        <f aca="false">INDEX(Ipotesi!$C$30:$G$30,1,F89)*G89/12</f>
        <v>41.6666666666667</v>
      </c>
      <c r="AO89" s="15" t="n">
        <f aca="false">O89*Parametri_v3!$C$7*Parametri_v3!$C$11*(1-Parametri_v3!$C$14)/12</f>
        <v>46.2</v>
      </c>
      <c r="AP89" s="15" t="n">
        <f aca="false">MIN(AN89,AO89)</f>
        <v>41.6666666666667</v>
      </c>
      <c r="AQ89" s="15" t="n">
        <f aca="false">AP89*INDEX(Ipotesi!$C$31:$G$31,1,F89)*H89</f>
        <v>41666.6666666667</v>
      </c>
      <c r="AR89" s="15" t="n">
        <f aca="false">INDEX(Ipotesi!$C$75:$G$75,1,F89)*J89/12</f>
        <v>20000</v>
      </c>
      <c r="AS89" s="15" t="n">
        <f aca="false">INDEX(Ipotesi!$C$81:$G$81,1,F89)*J89/12</f>
        <v>1250</v>
      </c>
      <c r="AT89" s="15" t="n">
        <f aca="false">AR89*Parametri_v3!$C$15+Z89*Parametri_v3!$C$16</f>
        <v>31139.45</v>
      </c>
      <c r="AU89" s="15" t="n">
        <f aca="false">Q89*Parametri_v3!$C$16*Parametri_v3!$C$17</f>
        <v>280</v>
      </c>
      <c r="AV89" s="17" t="n">
        <f aca="false">BD88</f>
        <v>32.6393699684432</v>
      </c>
      <c r="AW89" s="17" t="n">
        <f aca="false">AV89*(1-(1-INDEX(Ipotesi!$C$34:$G$34,1,F89))^(1/12))</f>
        <v>0.285320674070542</v>
      </c>
      <c r="AX89" s="15" t="n">
        <f aca="false">ROUND(INDEX(Ipotesi!$C$32:$G$32,1,F89)*Ipotesi!D8,0)</f>
        <v>130</v>
      </c>
      <c r="AY89" s="15" t="n">
        <f aca="false">MAX(0,(AX89-(AV89-AW89))/(13-E89))</f>
        <v>8.13716255880228</v>
      </c>
      <c r="AZ89" s="15" t="n">
        <f aca="false">MIN(P89*Parametri_v3!$C$22,Q89*(1-Parametri_v3!$C$16)*Parametri_v3!$C$23)</f>
        <v>180</v>
      </c>
      <c r="BA89" s="15" t="n">
        <f aca="false">IF(OR(INDEX(Ipotesi!$C$35:$G$35,1,F89)&lt;=0,25-Parametri_v3!$C$21&lt;1),0,INDEX($AT$65:$AT$124,MAX(1,25-Parametri_v3!$C$21))/(INDEX(Ipotesi!$C$35:$G$35,1,F89)*Ipotesi!D27))</f>
        <v>1.72779166666667</v>
      </c>
      <c r="BB89" s="15" t="n">
        <f aca="false">IF(25-Parametri_v3!$C$21&lt;1,0,INDEX($AU$65:$AU$124,MAX(1,25-Parametri_v3!$C$21)))*Parametri_v3!$C$18*Parametri_v3!$C$19*Parametri_v3!$C$20</f>
        <v>3.9375</v>
      </c>
      <c r="BC89" s="17" t="n">
        <f aca="false">MAX(0,MIN(AY89,BA89,BB89,MAX(0,AZ89-(AV89-AW89))))</f>
        <v>1.72779166666667</v>
      </c>
      <c r="BD89" s="17" t="n">
        <f aca="false">AV89-AW89+BC89</f>
        <v>34.0818409610393</v>
      </c>
      <c r="BE89" s="17" t="n">
        <f aca="false">(AV89+BD89)/2</f>
        <v>33.3606054647413</v>
      </c>
      <c r="BF89" s="15" t="n">
        <f aca="false">BE89*INDEX(Ipotesi!$C$33:$G$33,1,F89)*H89/12</f>
        <v>15290.2775046731</v>
      </c>
      <c r="BG89" s="15" t="n">
        <f aca="false">BD89*INDEX(Ipotesi!$C$33:$G$33,1,F89)*H89</f>
        <v>187450.125285716</v>
      </c>
      <c r="BH89" s="15" t="n">
        <f aca="false">AM89*INDEX(Ipotesi!$C$37:$G$37,1,F89)</f>
        <v>6050</v>
      </c>
      <c r="BI89" s="15" t="n">
        <f aca="false">AQ89+BF89+BH89</f>
        <v>63006.9441713397</v>
      </c>
      <c r="BJ89" s="15" t="n">
        <f aca="false">INDEX(Ipotesi!$C$68:$G$68,1,F89)*Ipotesi!$C$69/12</f>
        <v>2400</v>
      </c>
      <c r="BK89" s="15" t="n">
        <f aca="false">INDEX(Ipotesi!$C$68:$G$68,1,F89)*(1-Ipotesi!$C$69)/12</f>
        <v>3600</v>
      </c>
      <c r="BL89" s="15" t="n">
        <f aca="false">(AQ89+BF89)*Ipotesi!$C$67</f>
        <v>1708.70832514019</v>
      </c>
      <c r="BM89" s="15" t="n">
        <f aca="false">AM89*Ipotesi!$C$67</f>
        <v>1815</v>
      </c>
      <c r="BN89" s="15" t="n">
        <f aca="false">INDEX(Ipotesi!$C$72:$G$72,1,F89)/12*Ipotesi!D126+BF89*Ipotesi!$C$73</f>
        <v>2473.22220037385</v>
      </c>
      <c r="BO89" s="15" t="n">
        <f aca="false">INDEX(Ipotesi!$C$74:$G$74,1,F89)/12*Ipotesi!D126</f>
        <v>2916.66666666667</v>
      </c>
      <c r="BP89" s="15" t="n">
        <f aca="false">INDEX(Ipotesi!$C$76:$G$76,1,F89)/12</f>
        <v>1083.33333333333</v>
      </c>
      <c r="BQ89" s="15" t="n">
        <f aca="false">INDEX(Ipotesi!$C$77:$G$77,1,F89)/12*Ipotesi!D126</f>
        <v>2083.33333333333</v>
      </c>
      <c r="BR89" s="15" t="n">
        <f aca="false">INDEX(Ipotesi!$C$78:$G$78,1,F89)/12</f>
        <v>1666.66666666667</v>
      </c>
      <c r="BS89" s="15" t="n">
        <f aca="false">SUM(M89:R89)*(Ipotesi!$C$85+Ipotesi!$C$86)/12</f>
        <v>4812.5</v>
      </c>
      <c r="BT89" s="15" t="n">
        <f aca="false">BI89*Ipotesi!$C$87</f>
        <v>1890.20832514019</v>
      </c>
      <c r="BU89" s="15" t="n">
        <f aca="false">INDEX(Ipotesi!$C$55:$G$55,1,F89)*K89/12</f>
        <v>1500</v>
      </c>
      <c r="BV89" s="15" t="n">
        <f aca="false">INDEX(Ipotesi!$C$80:$G$80,1,F89)/12*Ipotesi!D126</f>
        <v>1250</v>
      </c>
      <c r="BW89" s="15" t="n">
        <f aca="false">INDEX(Ipotesi!$C$82:$G$82,1,F89)/12</f>
        <v>1000</v>
      </c>
      <c r="BX89" s="15" t="n">
        <f aca="false">INDEX(Ipotesi!$C$83:$G$83,1,F89)/12</f>
        <v>666.666666666667</v>
      </c>
      <c r="BY89" s="15" t="n">
        <f aca="false">SUM(S89:U89)*(Ipotesi!$C$85+Ipotesi!$C$86)/12</f>
        <v>1895.83333333333</v>
      </c>
      <c r="BZ89" s="15" t="n">
        <f aca="false">AM89*Ipotesi!$C$87</f>
        <v>1815</v>
      </c>
      <c r="CA89" s="15" t="n">
        <f aca="false">AB89+BJ89+BL89+BN89+BO89+AR89+BP89+BQ89+BR89+BS89+BT89</f>
        <v>115308.305517321</v>
      </c>
      <c r="CB89" s="15" t="n">
        <f aca="false">AC89+BK89+BM89+BH89+BU89+BV89+AS89+BW89+BX89+BY89+BZ89</f>
        <v>46259.8958333333</v>
      </c>
      <c r="CC89" s="15" t="n">
        <f aca="false">BI89-CA89</f>
        <v>-52301.3613459812</v>
      </c>
      <c r="CD89" s="15" t="n">
        <f aca="false">AM89-CB89</f>
        <v>14240.1041666667</v>
      </c>
      <c r="CE89" s="15" t="n">
        <f aca="false">INDEX(Ipotesi!$C$79:$G$79,1,F89)/12</f>
        <v>2500</v>
      </c>
      <c r="CF89" s="15" t="n">
        <f aca="false">INDEX(Ipotesi!$C$84:$G$84,1,F89)/12</f>
        <v>416.666666666667</v>
      </c>
      <c r="CG89" s="15" t="n">
        <f aca="false">Y89*MAX(0,Parametri_v3!$C$12-IF(P89=0,0,MIN(1,BE89/(P89*Parametri_v3!$C$22))))+W89*Parametri_v3!$C$13+X89*Parametri_v3!$C$14</f>
        <v>27700.0722359357</v>
      </c>
      <c r="CH89" s="15" t="n">
        <f aca="false">AB89*Parametri_v3!$C$32</f>
        <v>3713.68333333333</v>
      </c>
      <c r="CI89" s="15" t="n">
        <f aca="false">AC89*Parametri_v3!$C$32</f>
        <v>1270.86979166667</v>
      </c>
      <c r="CJ89" s="15" t="n">
        <f aca="false">CA89-AB89</f>
        <v>41034.6388506542</v>
      </c>
      <c r="CK89" s="15" t="n">
        <f aca="false">CB89-AC89-BH89</f>
        <v>14792.5</v>
      </c>
      <c r="CL89" s="15" t="n">
        <f aca="false">BF89*Ipotesi!$C$73+INDEX(Ipotesi!$C$72:$G$72,1,F89)/12*Ipotesi!D126*Parametri_v3!$C$58+Z89*(1-Parametri_v3!$C$16)</f>
        <v>7247.27220037385</v>
      </c>
      <c r="CM89" s="16" t="n">
        <f aca="false">IF(BF89=0,0,1-CL89/BF89)</f>
        <v>0.526020884960465</v>
      </c>
    </row>
    <row r="90" customFormat="false" ht="18" hidden="false" customHeight="true" outlineLevel="0" collapsed="false">
      <c r="A90" s="68" t="n">
        <f aca="false">2</f>
        <v>2</v>
      </c>
      <c r="B90" s="68" t="n">
        <f aca="false">26</f>
        <v>26</v>
      </c>
      <c r="C90" s="18" t="n">
        <f aca="false">EDATE(Parametri_v3!$C$5,26-1)</f>
        <v>47150</v>
      </c>
      <c r="D90" s="68" t="n">
        <f aca="false">YEAR(C90)</f>
        <v>2029</v>
      </c>
      <c r="E90" s="68" t="n">
        <f aca="false">MONTH(C90)</f>
        <v>2</v>
      </c>
      <c r="F90" s="68" t="n">
        <f aca="false">INT((26-1)/12)+1</f>
        <v>3</v>
      </c>
      <c r="G90" s="15" t="n">
        <f aca="false">Ipotesi!D7</f>
        <v>1</v>
      </c>
      <c r="H90" s="15" t="n">
        <f aca="false">Ipotesi!D9</f>
        <v>1</v>
      </c>
      <c r="I90" s="15" t="n">
        <f aca="false">Ipotesi!D10</f>
        <v>1</v>
      </c>
      <c r="J90" s="15" t="n">
        <f aca="false">Ipotesi!D11</f>
        <v>1</v>
      </c>
      <c r="K90" s="15" t="n">
        <f aca="false">Ipotesi!D12</f>
        <v>1</v>
      </c>
      <c r="L90" s="15" t="n">
        <f aca="false">Ipotesi!D13</f>
        <v>90</v>
      </c>
      <c r="M90" s="17" t="n">
        <f aca="false">INDEX(Ipotesi!$C$40:$G$40,1,F90)</f>
        <v>1</v>
      </c>
      <c r="N90" s="17" t="n">
        <f aca="false">INDEX(Ipotesi!$C$41:$G$41,1,F90)</f>
        <v>1</v>
      </c>
      <c r="O90" s="17" t="n">
        <f aca="false">INDEX(Ipotesi!$C$42:$G$42,1,F90)*Ipotesi!D125</f>
        <v>4.5</v>
      </c>
      <c r="P90" s="17" t="n">
        <f aca="false">INDEX(Ipotesi!$C$43:$G$43,1,F90)*I90</f>
        <v>5</v>
      </c>
      <c r="Q90" s="17" t="n">
        <f aca="false">INDEX(Ipotesi!$C$44:$G$44,1,F90)*I90</f>
        <v>4</v>
      </c>
      <c r="R90" s="17" t="n">
        <f aca="false">INDEX(Ipotesi!$C$45:$G$45,1,F90)*I90</f>
        <v>1</v>
      </c>
      <c r="S90" s="17" t="n">
        <f aca="false">INDEX(Ipotesi!$C$52:$G$52,1,F90)*Ipotesi!D125</f>
        <v>5</v>
      </c>
      <c r="T90" s="17" t="n">
        <f aca="false">INDEX(Ipotesi!$C$53:$G$53,1,F90)*I90</f>
        <v>1</v>
      </c>
      <c r="U90" s="17" t="n">
        <f aca="false">INDEX(Ipotesi!$C$54:$G$54,1,F90)*I90</f>
        <v>0.5</v>
      </c>
      <c r="V90" s="15" t="n">
        <f aca="false">M90*INDEX(Ipotesi!$C$58:$G$58,1,F90)*K90/12</f>
        <v>7083.33333333333</v>
      </c>
      <c r="W90" s="15" t="n">
        <f aca="false">N90*Ipotesi!$C$59*(1+Ipotesi!$C$66)^(F90-1)/12</f>
        <v>6188.58333333333</v>
      </c>
      <c r="X90" s="15" t="n">
        <f aca="false">O90*Ipotesi!$C$60*(1+Ipotesi!$C$66)^(F90-1)/12</f>
        <v>19891.875</v>
      </c>
      <c r="Y90" s="15" t="n">
        <f aca="false">P90*Ipotesi!$C$61*(1+Ipotesi!$C$66)^(F90-1)/12</f>
        <v>22102.0833333333</v>
      </c>
      <c r="Z90" s="15" t="n">
        <f aca="false">Q90*Ipotesi!$C$62*(1+Ipotesi!$C$66)^(F90-1)/12</f>
        <v>15913.5</v>
      </c>
      <c r="AA90" s="15" t="n">
        <f aca="false">R90*Ipotesi!$C$63*(1+Ipotesi!$C$66)^(F90-1)/12</f>
        <v>3094.29166666667</v>
      </c>
      <c r="AB90" s="15" t="n">
        <f aca="false">SUM(V90:AA90)</f>
        <v>74273.6666666667</v>
      </c>
      <c r="AC90" s="15" t="n">
        <f aca="false">(S90*Ipotesi!$C$64+T90*Ipotesi!$C$65+U90*Ipotesi!$C$63)*(1+Ipotesi!$C$66)^(F90-1)/12</f>
        <v>25417.3958333333</v>
      </c>
      <c r="AD90" s="15" t="n">
        <f aca="false">INDEX(Ipotesi!$C$48:$G$48,1,F90)*G90/12</f>
        <v>60</v>
      </c>
      <c r="AE90" s="15" t="n">
        <f aca="false">INDEX(Ipotesi!$C$50:$G$50,1,F90)*G90/12</f>
        <v>6.66666666666667</v>
      </c>
      <c r="AF90" s="15" t="n">
        <f aca="false">(S90*Parametri_v3!$C$7*Parametri_v3!$C$8+Parametri_v3!$C$10)/12</f>
        <v>64.1666666666667</v>
      </c>
      <c r="AG90" s="15" t="n">
        <f aca="false">AD90+AE90*(1+Parametri_v3!$C$9)</f>
        <v>70</v>
      </c>
      <c r="AH90" s="16" t="n">
        <f aca="false">IF(AG90=0,1,MIN(1,AF90/AG90))</f>
        <v>0.916666666666667</v>
      </c>
      <c r="AI90" s="15" t="n">
        <f aca="false">AD90*AH90</f>
        <v>55</v>
      </c>
      <c r="AJ90" s="15" t="n">
        <f aca="false">AE90*AH90</f>
        <v>6.11111111111111</v>
      </c>
      <c r="AK90" s="15" t="n">
        <f aca="false">AI90*INDEX(Ipotesi!$C$49:$G$49,1,F90)*H90</f>
        <v>46750</v>
      </c>
      <c r="AL90" s="15" t="n">
        <f aca="false">AJ90*INDEX(Ipotesi!$C$51:$G$51,1,F90)*H90</f>
        <v>13750</v>
      </c>
      <c r="AM90" s="15" t="n">
        <f aca="false">AK90+AL90</f>
        <v>60500</v>
      </c>
      <c r="AN90" s="15" t="n">
        <f aca="false">INDEX(Ipotesi!$C$30:$G$30,1,F90)*G90/12</f>
        <v>41.6666666666667</v>
      </c>
      <c r="AO90" s="15" t="n">
        <f aca="false">O90*Parametri_v3!$C$7*Parametri_v3!$C$11*(1-Parametri_v3!$C$14)/12</f>
        <v>46.2</v>
      </c>
      <c r="AP90" s="15" t="n">
        <f aca="false">MIN(AN90,AO90)</f>
        <v>41.6666666666667</v>
      </c>
      <c r="AQ90" s="15" t="n">
        <f aca="false">AP90*INDEX(Ipotesi!$C$31:$G$31,1,F90)*H90</f>
        <v>41666.6666666667</v>
      </c>
      <c r="AR90" s="15" t="n">
        <f aca="false">INDEX(Ipotesi!$C$75:$G$75,1,F90)*J90/12</f>
        <v>20000</v>
      </c>
      <c r="AS90" s="15" t="n">
        <f aca="false">INDEX(Ipotesi!$C$81:$G$81,1,F90)*J90/12</f>
        <v>1250</v>
      </c>
      <c r="AT90" s="15" t="n">
        <f aca="false">AR90*Parametri_v3!$C$15+Z90*Parametri_v3!$C$16</f>
        <v>31139.45</v>
      </c>
      <c r="AU90" s="15" t="n">
        <f aca="false">Q90*Parametri_v3!$C$16*Parametri_v3!$C$17</f>
        <v>280</v>
      </c>
      <c r="AV90" s="17" t="n">
        <f aca="false">BD89</f>
        <v>34.0818409610393</v>
      </c>
      <c r="AW90" s="17" t="n">
        <f aca="false">AV90*(1-(1-INDEX(Ipotesi!$C$34:$G$34,1,F90))^(1/12))</f>
        <v>0.297930194301253</v>
      </c>
      <c r="AX90" s="15" t="n">
        <f aca="false">ROUND(INDEX(Ipotesi!$C$32:$G$32,1,F90)*Ipotesi!D8,0)</f>
        <v>130</v>
      </c>
      <c r="AY90" s="15" t="n">
        <f aca="false">MAX(0,(AX90-(AV90-AW90))/(13-E90))</f>
        <v>8.74691720302381</v>
      </c>
      <c r="AZ90" s="15" t="n">
        <f aca="false">MIN(P90*Parametri_v3!$C$22,Q90*(1-Parametri_v3!$C$16)*Parametri_v3!$C$23)</f>
        <v>180</v>
      </c>
      <c r="BA90" s="15" t="n">
        <f aca="false">IF(OR(INDEX(Ipotesi!$C$35:$G$35,1,F90)&lt;=0,26-Parametri_v3!$C$21&lt;1),0,INDEX($AT$65:$AT$124,MAX(1,26-Parametri_v3!$C$21))/(INDEX(Ipotesi!$C$35:$G$35,1,F90)*Ipotesi!D27))</f>
        <v>1.72779166666667</v>
      </c>
      <c r="BB90" s="15" t="n">
        <f aca="false">IF(26-Parametri_v3!$C$21&lt;1,0,INDEX($AU$65:$AU$124,MAX(1,26-Parametri_v3!$C$21)))*Parametri_v3!$C$18*Parametri_v3!$C$19*Parametri_v3!$C$20</f>
        <v>3.9375</v>
      </c>
      <c r="BC90" s="17" t="n">
        <f aca="false">MAX(0,MIN(AY90,BA90,BB90,MAX(0,AZ90-(AV90-AW90))))</f>
        <v>1.72779166666667</v>
      </c>
      <c r="BD90" s="17" t="n">
        <f aca="false">AV90-AW90+BC90</f>
        <v>35.5117024334047</v>
      </c>
      <c r="BE90" s="17" t="n">
        <f aca="false">(AV90+BD90)/2</f>
        <v>34.796771697222</v>
      </c>
      <c r="BF90" s="15" t="n">
        <f aca="false">BE90*INDEX(Ipotesi!$C$33:$G$33,1,F90)*H90/12</f>
        <v>15948.5203612268</v>
      </c>
      <c r="BG90" s="15" t="n">
        <f aca="false">BD90*INDEX(Ipotesi!$C$33:$G$33,1,F90)*H90</f>
        <v>195314.363383726</v>
      </c>
      <c r="BH90" s="15" t="n">
        <f aca="false">AM90*INDEX(Ipotesi!$C$37:$G$37,1,F90)</f>
        <v>6050</v>
      </c>
      <c r="BI90" s="15" t="n">
        <f aca="false">AQ90+BF90+BH90</f>
        <v>63665.1870278934</v>
      </c>
      <c r="BJ90" s="15" t="n">
        <f aca="false">INDEX(Ipotesi!$C$68:$G$68,1,F90)*Ipotesi!$C$69/12</f>
        <v>2400</v>
      </c>
      <c r="BK90" s="15" t="n">
        <f aca="false">INDEX(Ipotesi!$C$68:$G$68,1,F90)*(1-Ipotesi!$C$69)/12</f>
        <v>3600</v>
      </c>
      <c r="BL90" s="15" t="n">
        <f aca="false">(AQ90+BF90)*Ipotesi!$C$67</f>
        <v>1728.4556108368</v>
      </c>
      <c r="BM90" s="15" t="n">
        <f aca="false">AM90*Ipotesi!$C$67</f>
        <v>1815</v>
      </c>
      <c r="BN90" s="15" t="n">
        <f aca="false">INDEX(Ipotesi!$C$72:$G$72,1,F90)/12*Ipotesi!D126+BF90*Ipotesi!$C$73</f>
        <v>2525.88162889814</v>
      </c>
      <c r="BO90" s="15" t="n">
        <f aca="false">INDEX(Ipotesi!$C$74:$G$74,1,F90)/12*Ipotesi!D126</f>
        <v>2916.66666666667</v>
      </c>
      <c r="BP90" s="15" t="n">
        <f aca="false">INDEX(Ipotesi!$C$76:$G$76,1,F90)/12</f>
        <v>1083.33333333333</v>
      </c>
      <c r="BQ90" s="15" t="n">
        <f aca="false">INDEX(Ipotesi!$C$77:$G$77,1,F90)/12*Ipotesi!D126</f>
        <v>2083.33333333333</v>
      </c>
      <c r="BR90" s="15" t="n">
        <f aca="false">INDEX(Ipotesi!$C$78:$G$78,1,F90)/12</f>
        <v>1666.66666666667</v>
      </c>
      <c r="BS90" s="15" t="n">
        <f aca="false">SUM(M90:R90)*(Ipotesi!$C$85+Ipotesi!$C$86)/12</f>
        <v>4812.5</v>
      </c>
      <c r="BT90" s="15" t="n">
        <f aca="false">BI90*Ipotesi!$C$87</f>
        <v>1909.9556108368</v>
      </c>
      <c r="BU90" s="15" t="n">
        <f aca="false">INDEX(Ipotesi!$C$55:$G$55,1,F90)*K90/12</f>
        <v>1500</v>
      </c>
      <c r="BV90" s="15" t="n">
        <f aca="false">INDEX(Ipotesi!$C$80:$G$80,1,F90)/12*Ipotesi!D126</f>
        <v>1250</v>
      </c>
      <c r="BW90" s="15" t="n">
        <f aca="false">INDEX(Ipotesi!$C$82:$G$82,1,F90)/12</f>
        <v>1000</v>
      </c>
      <c r="BX90" s="15" t="n">
        <f aca="false">INDEX(Ipotesi!$C$83:$G$83,1,F90)/12</f>
        <v>666.666666666667</v>
      </c>
      <c r="BY90" s="15" t="n">
        <f aca="false">SUM(S90:U90)*(Ipotesi!$C$85+Ipotesi!$C$86)/12</f>
        <v>1895.83333333333</v>
      </c>
      <c r="BZ90" s="15" t="n">
        <f aca="false">AM90*Ipotesi!$C$87</f>
        <v>1815</v>
      </c>
      <c r="CA90" s="15" t="n">
        <f aca="false">AB90+BJ90+BL90+BN90+BO90+AR90+BP90+BQ90+BR90+BS90+BT90</f>
        <v>115400.459517238</v>
      </c>
      <c r="CB90" s="15" t="n">
        <f aca="false">AC90+BK90+BM90+BH90+BU90+BV90+AS90+BW90+BX90+BY90+BZ90</f>
        <v>46259.8958333333</v>
      </c>
      <c r="CC90" s="15" t="n">
        <f aca="false">BI90-CA90</f>
        <v>-51735.272489345</v>
      </c>
      <c r="CD90" s="15" t="n">
        <f aca="false">AM90-CB90</f>
        <v>14240.1041666667</v>
      </c>
      <c r="CE90" s="15" t="n">
        <f aca="false">INDEX(Ipotesi!$C$79:$G$79,1,F90)/12</f>
        <v>2500</v>
      </c>
      <c r="CF90" s="15" t="n">
        <f aca="false">INDEX(Ipotesi!$C$84:$G$84,1,F90)/12</f>
        <v>416.666666666667</v>
      </c>
      <c r="CG90" s="15" t="n">
        <f aca="false">Y90*MAX(0,Parametri_v3!$C$12-IF(P90=0,0,MIN(1,BE90/(P90*Parametri_v3!$C$22))))+W90*Parametri_v3!$C$13+X90*Parametri_v3!$C$14</f>
        <v>27636.5877044341</v>
      </c>
      <c r="CH90" s="15" t="n">
        <f aca="false">AB90*Parametri_v3!$C$32</f>
        <v>3713.68333333333</v>
      </c>
      <c r="CI90" s="15" t="n">
        <f aca="false">AC90*Parametri_v3!$C$32</f>
        <v>1270.86979166667</v>
      </c>
      <c r="CJ90" s="15" t="n">
        <f aca="false">CA90-AB90</f>
        <v>41126.7928505717</v>
      </c>
      <c r="CK90" s="15" t="n">
        <f aca="false">CB90-AC90-BH90</f>
        <v>14792.5</v>
      </c>
      <c r="CL90" s="15" t="n">
        <f aca="false">BF90*Ipotesi!$C$73+INDEX(Ipotesi!$C$72:$G$72,1,F90)/12*Ipotesi!D126*Parametri_v3!$C$58+Z90*(1-Parametri_v3!$C$16)</f>
        <v>7299.93162889814</v>
      </c>
      <c r="CM90" s="16" t="n">
        <f aca="false">IF(BF90=0,0,1-CL90/BF90)</f>
        <v>0.542281574493558</v>
      </c>
    </row>
    <row r="91" customFormat="false" ht="18" hidden="false" customHeight="true" outlineLevel="0" collapsed="false">
      <c r="A91" s="68" t="n">
        <f aca="false">2</f>
        <v>2</v>
      </c>
      <c r="B91" s="68" t="n">
        <f aca="false">27</f>
        <v>27</v>
      </c>
      <c r="C91" s="18" t="n">
        <f aca="false">EDATE(Parametri_v3!$C$5,27-1)</f>
        <v>47178</v>
      </c>
      <c r="D91" s="68" t="n">
        <f aca="false">YEAR(C91)</f>
        <v>2029</v>
      </c>
      <c r="E91" s="68" t="n">
        <f aca="false">MONTH(C91)</f>
        <v>3</v>
      </c>
      <c r="F91" s="68" t="n">
        <f aca="false">INT((27-1)/12)+1</f>
        <v>3</v>
      </c>
      <c r="G91" s="15" t="n">
        <f aca="false">Ipotesi!D7</f>
        <v>1</v>
      </c>
      <c r="H91" s="15" t="n">
        <f aca="false">Ipotesi!D9</f>
        <v>1</v>
      </c>
      <c r="I91" s="15" t="n">
        <f aca="false">Ipotesi!D10</f>
        <v>1</v>
      </c>
      <c r="J91" s="15" t="n">
        <f aca="false">Ipotesi!D11</f>
        <v>1</v>
      </c>
      <c r="K91" s="15" t="n">
        <f aca="false">Ipotesi!D12</f>
        <v>1</v>
      </c>
      <c r="L91" s="15" t="n">
        <f aca="false">Ipotesi!D13</f>
        <v>90</v>
      </c>
      <c r="M91" s="17" t="n">
        <f aca="false">INDEX(Ipotesi!$C$40:$G$40,1,F91)</f>
        <v>1</v>
      </c>
      <c r="N91" s="17" t="n">
        <f aca="false">INDEX(Ipotesi!$C$41:$G$41,1,F91)</f>
        <v>1</v>
      </c>
      <c r="O91" s="17" t="n">
        <f aca="false">INDEX(Ipotesi!$C$42:$G$42,1,F91)*Ipotesi!D125</f>
        <v>4.5</v>
      </c>
      <c r="P91" s="17" t="n">
        <f aca="false">INDEX(Ipotesi!$C$43:$G$43,1,F91)*I91</f>
        <v>5</v>
      </c>
      <c r="Q91" s="17" t="n">
        <f aca="false">INDEX(Ipotesi!$C$44:$G$44,1,F91)*I91</f>
        <v>4</v>
      </c>
      <c r="R91" s="17" t="n">
        <f aca="false">INDEX(Ipotesi!$C$45:$G$45,1,F91)*I91</f>
        <v>1</v>
      </c>
      <c r="S91" s="17" t="n">
        <f aca="false">INDEX(Ipotesi!$C$52:$G$52,1,F91)*Ipotesi!D125</f>
        <v>5</v>
      </c>
      <c r="T91" s="17" t="n">
        <f aca="false">INDEX(Ipotesi!$C$53:$G$53,1,F91)*I91</f>
        <v>1</v>
      </c>
      <c r="U91" s="17" t="n">
        <f aca="false">INDEX(Ipotesi!$C$54:$G$54,1,F91)*I91</f>
        <v>0.5</v>
      </c>
      <c r="V91" s="15" t="n">
        <f aca="false">M91*INDEX(Ipotesi!$C$58:$G$58,1,F91)*K91/12</f>
        <v>7083.33333333333</v>
      </c>
      <c r="W91" s="15" t="n">
        <f aca="false">N91*Ipotesi!$C$59*(1+Ipotesi!$C$66)^(F91-1)/12</f>
        <v>6188.58333333333</v>
      </c>
      <c r="X91" s="15" t="n">
        <f aca="false">O91*Ipotesi!$C$60*(1+Ipotesi!$C$66)^(F91-1)/12</f>
        <v>19891.875</v>
      </c>
      <c r="Y91" s="15" t="n">
        <f aca="false">P91*Ipotesi!$C$61*(1+Ipotesi!$C$66)^(F91-1)/12</f>
        <v>22102.0833333333</v>
      </c>
      <c r="Z91" s="15" t="n">
        <f aca="false">Q91*Ipotesi!$C$62*(1+Ipotesi!$C$66)^(F91-1)/12</f>
        <v>15913.5</v>
      </c>
      <c r="AA91" s="15" t="n">
        <f aca="false">R91*Ipotesi!$C$63*(1+Ipotesi!$C$66)^(F91-1)/12</f>
        <v>3094.29166666667</v>
      </c>
      <c r="AB91" s="15" t="n">
        <f aca="false">SUM(V91:AA91)</f>
        <v>74273.6666666667</v>
      </c>
      <c r="AC91" s="15" t="n">
        <f aca="false">(S91*Ipotesi!$C$64+T91*Ipotesi!$C$65+U91*Ipotesi!$C$63)*(1+Ipotesi!$C$66)^(F91-1)/12</f>
        <v>25417.3958333333</v>
      </c>
      <c r="AD91" s="15" t="n">
        <f aca="false">INDEX(Ipotesi!$C$48:$G$48,1,F91)*G91/12</f>
        <v>60</v>
      </c>
      <c r="AE91" s="15" t="n">
        <f aca="false">INDEX(Ipotesi!$C$50:$G$50,1,F91)*G91/12</f>
        <v>6.66666666666667</v>
      </c>
      <c r="AF91" s="15" t="n">
        <f aca="false">(S91*Parametri_v3!$C$7*Parametri_v3!$C$8+Parametri_v3!$C$10)/12</f>
        <v>64.1666666666667</v>
      </c>
      <c r="AG91" s="15" t="n">
        <f aca="false">AD91+AE91*(1+Parametri_v3!$C$9)</f>
        <v>70</v>
      </c>
      <c r="AH91" s="16" t="n">
        <f aca="false">IF(AG91=0,1,MIN(1,AF91/AG91))</f>
        <v>0.916666666666667</v>
      </c>
      <c r="AI91" s="15" t="n">
        <f aca="false">AD91*AH91</f>
        <v>55</v>
      </c>
      <c r="AJ91" s="15" t="n">
        <f aca="false">AE91*AH91</f>
        <v>6.11111111111111</v>
      </c>
      <c r="AK91" s="15" t="n">
        <f aca="false">AI91*INDEX(Ipotesi!$C$49:$G$49,1,F91)*H91</f>
        <v>46750</v>
      </c>
      <c r="AL91" s="15" t="n">
        <f aca="false">AJ91*INDEX(Ipotesi!$C$51:$G$51,1,F91)*H91</f>
        <v>13750</v>
      </c>
      <c r="AM91" s="15" t="n">
        <f aca="false">AK91+AL91</f>
        <v>60500</v>
      </c>
      <c r="AN91" s="15" t="n">
        <f aca="false">INDEX(Ipotesi!$C$30:$G$30,1,F91)*G91/12</f>
        <v>41.6666666666667</v>
      </c>
      <c r="AO91" s="15" t="n">
        <f aca="false">O91*Parametri_v3!$C$7*Parametri_v3!$C$11*(1-Parametri_v3!$C$14)/12</f>
        <v>46.2</v>
      </c>
      <c r="AP91" s="15" t="n">
        <f aca="false">MIN(AN91,AO91)</f>
        <v>41.6666666666667</v>
      </c>
      <c r="AQ91" s="15" t="n">
        <f aca="false">AP91*INDEX(Ipotesi!$C$31:$G$31,1,F91)*H91</f>
        <v>41666.6666666667</v>
      </c>
      <c r="AR91" s="15" t="n">
        <f aca="false">INDEX(Ipotesi!$C$75:$G$75,1,F91)*J91/12</f>
        <v>20000</v>
      </c>
      <c r="AS91" s="15" t="n">
        <f aca="false">INDEX(Ipotesi!$C$81:$G$81,1,F91)*J91/12</f>
        <v>1250</v>
      </c>
      <c r="AT91" s="15" t="n">
        <f aca="false">AR91*Parametri_v3!$C$15+Z91*Parametri_v3!$C$16</f>
        <v>31139.45</v>
      </c>
      <c r="AU91" s="15" t="n">
        <f aca="false">Q91*Parametri_v3!$C$16*Parametri_v3!$C$17</f>
        <v>280</v>
      </c>
      <c r="AV91" s="17" t="n">
        <f aca="false">BD90</f>
        <v>35.5117024334047</v>
      </c>
      <c r="AW91" s="17" t="n">
        <f aca="false">AV91*(1-(1-INDEX(Ipotesi!$C$34:$G$34,1,F91))^(1/12))</f>
        <v>0.310429487011781</v>
      </c>
      <c r="AX91" s="15" t="n">
        <f aca="false">ROUND(INDEX(Ipotesi!$C$32:$G$32,1,F91)*Ipotesi!D8,0)</f>
        <v>130</v>
      </c>
      <c r="AY91" s="15" t="n">
        <f aca="false">MAX(0,(AX91-(AV91-AW91))/(13-E91))</f>
        <v>9.47987270536071</v>
      </c>
      <c r="AZ91" s="15" t="n">
        <f aca="false">MIN(P91*Parametri_v3!$C$22,Q91*(1-Parametri_v3!$C$16)*Parametri_v3!$C$23)</f>
        <v>180</v>
      </c>
      <c r="BA91" s="15" t="n">
        <f aca="false">IF(OR(INDEX(Ipotesi!$C$35:$G$35,1,F91)&lt;=0,27-Parametri_v3!$C$21&lt;1),0,INDEX($AT$65:$AT$124,MAX(1,27-Parametri_v3!$C$21))/(INDEX(Ipotesi!$C$35:$G$35,1,F91)*Ipotesi!D27))</f>
        <v>1.72779166666667</v>
      </c>
      <c r="BB91" s="15" t="n">
        <f aca="false">IF(27-Parametri_v3!$C$21&lt;1,0,INDEX($AU$65:$AU$124,MAX(1,27-Parametri_v3!$C$21)))*Parametri_v3!$C$18*Parametri_v3!$C$19*Parametri_v3!$C$20</f>
        <v>3.9375</v>
      </c>
      <c r="BC91" s="17" t="n">
        <f aca="false">MAX(0,MIN(AY91,BA91,BB91,MAX(0,AZ91-(AV91-AW91))))</f>
        <v>1.72779166666667</v>
      </c>
      <c r="BD91" s="17" t="n">
        <f aca="false">AV91-AW91+BC91</f>
        <v>36.9290646130596</v>
      </c>
      <c r="BE91" s="17" t="n">
        <f aca="false">(AV91+BD91)/2</f>
        <v>36.2203835232322</v>
      </c>
      <c r="BF91" s="15" t="n">
        <f aca="false">BE91*INDEX(Ipotesi!$C$33:$G$33,1,F91)*H91/12</f>
        <v>16601.0091148147</v>
      </c>
      <c r="BG91" s="15" t="n">
        <f aca="false">BD91*INDEX(Ipotesi!$C$33:$G$33,1,F91)*H91</f>
        <v>203109.855371828</v>
      </c>
      <c r="BH91" s="15" t="n">
        <f aca="false">AM91*INDEX(Ipotesi!$C$37:$G$37,1,F91)</f>
        <v>6050</v>
      </c>
      <c r="BI91" s="15" t="n">
        <f aca="false">AQ91+BF91+BH91</f>
        <v>64317.6757814814</v>
      </c>
      <c r="BJ91" s="15" t="n">
        <f aca="false">INDEX(Ipotesi!$C$68:$G$68,1,F91)*Ipotesi!$C$69/12</f>
        <v>2400</v>
      </c>
      <c r="BK91" s="15" t="n">
        <f aca="false">INDEX(Ipotesi!$C$68:$G$68,1,F91)*(1-Ipotesi!$C$69)/12</f>
        <v>3600</v>
      </c>
      <c r="BL91" s="15" t="n">
        <f aca="false">(AQ91+BF91)*Ipotesi!$C$67</f>
        <v>1748.03027344444</v>
      </c>
      <c r="BM91" s="15" t="n">
        <f aca="false">AM91*Ipotesi!$C$67</f>
        <v>1815</v>
      </c>
      <c r="BN91" s="15" t="n">
        <f aca="false">INDEX(Ipotesi!$C$72:$G$72,1,F91)/12*Ipotesi!D126+BF91*Ipotesi!$C$73</f>
        <v>2578.08072918518</v>
      </c>
      <c r="BO91" s="15" t="n">
        <f aca="false">INDEX(Ipotesi!$C$74:$G$74,1,F91)/12*Ipotesi!D126</f>
        <v>2916.66666666667</v>
      </c>
      <c r="BP91" s="15" t="n">
        <f aca="false">INDEX(Ipotesi!$C$76:$G$76,1,F91)/12</f>
        <v>1083.33333333333</v>
      </c>
      <c r="BQ91" s="15" t="n">
        <f aca="false">INDEX(Ipotesi!$C$77:$G$77,1,F91)/12*Ipotesi!D126</f>
        <v>2083.33333333333</v>
      </c>
      <c r="BR91" s="15" t="n">
        <f aca="false">INDEX(Ipotesi!$C$78:$G$78,1,F91)/12</f>
        <v>1666.66666666667</v>
      </c>
      <c r="BS91" s="15" t="n">
        <f aca="false">SUM(M91:R91)*(Ipotesi!$C$85+Ipotesi!$C$86)/12</f>
        <v>4812.5</v>
      </c>
      <c r="BT91" s="15" t="n">
        <f aca="false">BI91*Ipotesi!$C$87</f>
        <v>1929.53027344444</v>
      </c>
      <c r="BU91" s="15" t="n">
        <f aca="false">INDEX(Ipotesi!$C$55:$G$55,1,F91)*K91/12</f>
        <v>1500</v>
      </c>
      <c r="BV91" s="15" t="n">
        <f aca="false">INDEX(Ipotesi!$C$80:$G$80,1,F91)/12*Ipotesi!D126</f>
        <v>1250</v>
      </c>
      <c r="BW91" s="15" t="n">
        <f aca="false">INDEX(Ipotesi!$C$82:$G$82,1,F91)/12</f>
        <v>1000</v>
      </c>
      <c r="BX91" s="15" t="n">
        <f aca="false">INDEX(Ipotesi!$C$83:$G$83,1,F91)/12</f>
        <v>666.666666666667</v>
      </c>
      <c r="BY91" s="15" t="n">
        <f aca="false">SUM(S91:U91)*(Ipotesi!$C$85+Ipotesi!$C$86)/12</f>
        <v>1895.83333333333</v>
      </c>
      <c r="BZ91" s="15" t="n">
        <f aca="false">AM91*Ipotesi!$C$87</f>
        <v>1815</v>
      </c>
      <c r="CA91" s="15" t="n">
        <f aca="false">AB91+BJ91+BL91+BN91+BO91+AR91+BP91+BQ91+BR91+BS91+BT91</f>
        <v>115491.807942741</v>
      </c>
      <c r="CB91" s="15" t="n">
        <f aca="false">AC91+BK91+BM91+BH91+BU91+BV91+AS91+BW91+BX91+BY91+BZ91</f>
        <v>46259.8958333333</v>
      </c>
      <c r="CC91" s="15" t="n">
        <f aca="false">BI91-CA91</f>
        <v>-51174.1321612593</v>
      </c>
      <c r="CD91" s="15" t="n">
        <f aca="false">AM91-CB91</f>
        <v>14240.1041666667</v>
      </c>
      <c r="CE91" s="15" t="n">
        <f aca="false">INDEX(Ipotesi!$C$79:$G$79,1,F91)/12</f>
        <v>2500</v>
      </c>
      <c r="CF91" s="15" t="n">
        <f aca="false">INDEX(Ipotesi!$C$84:$G$84,1,F91)/12</f>
        <v>416.666666666667</v>
      </c>
      <c r="CG91" s="15" t="n">
        <f aca="false">Y91*MAX(0,Parametri_v3!$C$12-IF(P91=0,0,MIN(1,BE91/(P91*Parametri_v3!$C$22))))+W91*Parametri_v3!$C$13+X91*Parametri_v3!$C$14</f>
        <v>27573.6581300085</v>
      </c>
      <c r="CH91" s="15" t="n">
        <f aca="false">AB91*Parametri_v3!$C$32</f>
        <v>3713.68333333333</v>
      </c>
      <c r="CI91" s="15" t="n">
        <f aca="false">AC91*Parametri_v3!$C$32</f>
        <v>1270.86979166667</v>
      </c>
      <c r="CJ91" s="15" t="n">
        <f aca="false">CA91-AB91</f>
        <v>41218.1412760741</v>
      </c>
      <c r="CK91" s="15" t="n">
        <f aca="false">CB91-AC91-BH91</f>
        <v>14792.5</v>
      </c>
      <c r="CL91" s="15" t="n">
        <f aca="false">BF91*Ipotesi!$C$73+INDEX(Ipotesi!$C$72:$G$72,1,F91)/12*Ipotesi!D126*Parametri_v3!$C$58+Z91*(1-Parametri_v3!$C$16)</f>
        <v>7352.13072918518</v>
      </c>
      <c r="CM91" s="16" t="n">
        <f aca="false">IF(BF91=0,0,1-CL91/BF91)</f>
        <v>0.557127480725004</v>
      </c>
    </row>
    <row r="92" customFormat="false" ht="18" hidden="false" customHeight="true" outlineLevel="0" collapsed="false">
      <c r="A92" s="68" t="n">
        <f aca="false">2</f>
        <v>2</v>
      </c>
      <c r="B92" s="68" t="n">
        <f aca="false">28</f>
        <v>28</v>
      </c>
      <c r="C92" s="18" t="n">
        <f aca="false">EDATE(Parametri_v3!$C$5,28-1)</f>
        <v>47209</v>
      </c>
      <c r="D92" s="68" t="n">
        <f aca="false">YEAR(C92)</f>
        <v>2029</v>
      </c>
      <c r="E92" s="68" t="n">
        <f aca="false">MONTH(C92)</f>
        <v>4</v>
      </c>
      <c r="F92" s="68" t="n">
        <f aca="false">INT((28-1)/12)+1</f>
        <v>3</v>
      </c>
      <c r="G92" s="15" t="n">
        <f aca="false">Ipotesi!D7</f>
        <v>1</v>
      </c>
      <c r="H92" s="15" t="n">
        <f aca="false">Ipotesi!D9</f>
        <v>1</v>
      </c>
      <c r="I92" s="15" t="n">
        <f aca="false">Ipotesi!D10</f>
        <v>1</v>
      </c>
      <c r="J92" s="15" t="n">
        <f aca="false">Ipotesi!D11</f>
        <v>1</v>
      </c>
      <c r="K92" s="15" t="n">
        <f aca="false">Ipotesi!D12</f>
        <v>1</v>
      </c>
      <c r="L92" s="15" t="n">
        <f aca="false">Ipotesi!D13</f>
        <v>90</v>
      </c>
      <c r="M92" s="17" t="n">
        <f aca="false">INDEX(Ipotesi!$C$40:$G$40,1,F92)</f>
        <v>1</v>
      </c>
      <c r="N92" s="17" t="n">
        <f aca="false">INDEX(Ipotesi!$C$41:$G$41,1,F92)</f>
        <v>1</v>
      </c>
      <c r="O92" s="17" t="n">
        <f aca="false">INDEX(Ipotesi!$C$42:$G$42,1,F92)*Ipotesi!D125</f>
        <v>4.5</v>
      </c>
      <c r="P92" s="17" t="n">
        <f aca="false">INDEX(Ipotesi!$C$43:$G$43,1,F92)*I92</f>
        <v>5</v>
      </c>
      <c r="Q92" s="17" t="n">
        <f aca="false">INDEX(Ipotesi!$C$44:$G$44,1,F92)*I92</f>
        <v>4</v>
      </c>
      <c r="R92" s="17" t="n">
        <f aca="false">INDEX(Ipotesi!$C$45:$G$45,1,F92)*I92</f>
        <v>1</v>
      </c>
      <c r="S92" s="17" t="n">
        <f aca="false">INDEX(Ipotesi!$C$52:$G$52,1,F92)*Ipotesi!D125</f>
        <v>5</v>
      </c>
      <c r="T92" s="17" t="n">
        <f aca="false">INDEX(Ipotesi!$C$53:$G$53,1,F92)*I92</f>
        <v>1</v>
      </c>
      <c r="U92" s="17" t="n">
        <f aca="false">INDEX(Ipotesi!$C$54:$G$54,1,F92)*I92</f>
        <v>0.5</v>
      </c>
      <c r="V92" s="15" t="n">
        <f aca="false">M92*INDEX(Ipotesi!$C$58:$G$58,1,F92)*K92/12</f>
        <v>7083.33333333333</v>
      </c>
      <c r="W92" s="15" t="n">
        <f aca="false">N92*Ipotesi!$C$59*(1+Ipotesi!$C$66)^(F92-1)/12</f>
        <v>6188.58333333333</v>
      </c>
      <c r="X92" s="15" t="n">
        <f aca="false">O92*Ipotesi!$C$60*(1+Ipotesi!$C$66)^(F92-1)/12</f>
        <v>19891.875</v>
      </c>
      <c r="Y92" s="15" t="n">
        <f aca="false">P92*Ipotesi!$C$61*(1+Ipotesi!$C$66)^(F92-1)/12</f>
        <v>22102.0833333333</v>
      </c>
      <c r="Z92" s="15" t="n">
        <f aca="false">Q92*Ipotesi!$C$62*(1+Ipotesi!$C$66)^(F92-1)/12</f>
        <v>15913.5</v>
      </c>
      <c r="AA92" s="15" t="n">
        <f aca="false">R92*Ipotesi!$C$63*(1+Ipotesi!$C$66)^(F92-1)/12</f>
        <v>3094.29166666667</v>
      </c>
      <c r="AB92" s="15" t="n">
        <f aca="false">SUM(V92:AA92)</f>
        <v>74273.6666666667</v>
      </c>
      <c r="AC92" s="15" t="n">
        <f aca="false">(S92*Ipotesi!$C$64+T92*Ipotesi!$C$65+U92*Ipotesi!$C$63)*(1+Ipotesi!$C$66)^(F92-1)/12</f>
        <v>25417.3958333333</v>
      </c>
      <c r="AD92" s="15" t="n">
        <f aca="false">INDEX(Ipotesi!$C$48:$G$48,1,F92)*G92/12</f>
        <v>60</v>
      </c>
      <c r="AE92" s="15" t="n">
        <f aca="false">INDEX(Ipotesi!$C$50:$G$50,1,F92)*G92/12</f>
        <v>6.66666666666667</v>
      </c>
      <c r="AF92" s="15" t="n">
        <f aca="false">(S92*Parametri_v3!$C$7*Parametri_v3!$C$8+Parametri_v3!$C$10)/12</f>
        <v>64.1666666666667</v>
      </c>
      <c r="AG92" s="15" t="n">
        <f aca="false">AD92+AE92*(1+Parametri_v3!$C$9)</f>
        <v>70</v>
      </c>
      <c r="AH92" s="16" t="n">
        <f aca="false">IF(AG92=0,1,MIN(1,AF92/AG92))</f>
        <v>0.916666666666667</v>
      </c>
      <c r="AI92" s="15" t="n">
        <f aca="false">AD92*AH92</f>
        <v>55</v>
      </c>
      <c r="AJ92" s="15" t="n">
        <f aca="false">AE92*AH92</f>
        <v>6.11111111111111</v>
      </c>
      <c r="AK92" s="15" t="n">
        <f aca="false">AI92*INDEX(Ipotesi!$C$49:$G$49,1,F92)*H92</f>
        <v>46750</v>
      </c>
      <c r="AL92" s="15" t="n">
        <f aca="false">AJ92*INDEX(Ipotesi!$C$51:$G$51,1,F92)*H92</f>
        <v>13750</v>
      </c>
      <c r="AM92" s="15" t="n">
        <f aca="false">AK92+AL92</f>
        <v>60500</v>
      </c>
      <c r="AN92" s="15" t="n">
        <f aca="false">INDEX(Ipotesi!$C$30:$G$30,1,F92)*G92/12</f>
        <v>41.6666666666667</v>
      </c>
      <c r="AO92" s="15" t="n">
        <f aca="false">O92*Parametri_v3!$C$7*Parametri_v3!$C$11*(1-Parametri_v3!$C$14)/12</f>
        <v>46.2</v>
      </c>
      <c r="AP92" s="15" t="n">
        <f aca="false">MIN(AN92,AO92)</f>
        <v>41.6666666666667</v>
      </c>
      <c r="AQ92" s="15" t="n">
        <f aca="false">AP92*INDEX(Ipotesi!$C$31:$G$31,1,F92)*H92</f>
        <v>41666.6666666667</v>
      </c>
      <c r="AR92" s="15" t="n">
        <f aca="false">INDEX(Ipotesi!$C$75:$G$75,1,F92)*J92/12</f>
        <v>20000</v>
      </c>
      <c r="AS92" s="15" t="n">
        <f aca="false">INDEX(Ipotesi!$C$81:$G$81,1,F92)*J92/12</f>
        <v>1250</v>
      </c>
      <c r="AT92" s="15" t="n">
        <f aca="false">AR92*Parametri_v3!$C$15+Z92*Parametri_v3!$C$16</f>
        <v>31139.45</v>
      </c>
      <c r="AU92" s="15" t="n">
        <f aca="false">Q92*Parametri_v3!$C$16*Parametri_v3!$C$17</f>
        <v>280</v>
      </c>
      <c r="AV92" s="17" t="n">
        <f aca="false">BD91</f>
        <v>36.9290646130596</v>
      </c>
      <c r="AW92" s="17" t="n">
        <f aca="false">AV92*(1-(1-INDEX(Ipotesi!$C$34:$G$34,1,F92))^(1/12))</f>
        <v>0.322819515768225</v>
      </c>
      <c r="AX92" s="15" t="n">
        <f aca="false">ROUND(INDEX(Ipotesi!$C$32:$G$32,1,F92)*Ipotesi!D8,0)</f>
        <v>130</v>
      </c>
      <c r="AY92" s="15" t="n">
        <f aca="false">MAX(0,(AX92-(AV92-AW92))/(13-E92))</f>
        <v>10.3770838780787</v>
      </c>
      <c r="AZ92" s="15" t="n">
        <f aca="false">MIN(P92*Parametri_v3!$C$22,Q92*(1-Parametri_v3!$C$16)*Parametri_v3!$C$23)</f>
        <v>180</v>
      </c>
      <c r="BA92" s="15" t="n">
        <f aca="false">IF(OR(INDEX(Ipotesi!$C$35:$G$35,1,F92)&lt;=0,28-Parametri_v3!$C$21&lt;1),0,INDEX($AT$65:$AT$124,MAX(1,28-Parametri_v3!$C$21))/(INDEX(Ipotesi!$C$35:$G$35,1,F92)*Ipotesi!D27))</f>
        <v>6.22789</v>
      </c>
      <c r="BB92" s="15" t="n">
        <f aca="false">IF(28-Parametri_v3!$C$21&lt;1,0,INDEX($AU$65:$AU$124,MAX(1,28-Parametri_v3!$C$21)))*Parametri_v3!$C$18*Parametri_v3!$C$19*Parametri_v3!$C$20</f>
        <v>10.5</v>
      </c>
      <c r="BC92" s="17" t="n">
        <f aca="false">MAX(0,MIN(AY92,BA92,BB92,MAX(0,AZ92-(AV92-AW92))))</f>
        <v>6.22789</v>
      </c>
      <c r="BD92" s="17" t="n">
        <f aca="false">AV92-AW92+BC92</f>
        <v>42.8341350972914</v>
      </c>
      <c r="BE92" s="17" t="n">
        <f aca="false">(AV92+BD92)/2</f>
        <v>39.8815998551755</v>
      </c>
      <c r="BF92" s="15" t="n">
        <f aca="false">BE92*INDEX(Ipotesi!$C$33:$G$33,1,F92)*H92/12</f>
        <v>18279.0666002888</v>
      </c>
      <c r="BG92" s="15" t="n">
        <f aca="false">BD92*INDEX(Ipotesi!$C$33:$G$33,1,F92)*H92</f>
        <v>235587.743035103</v>
      </c>
      <c r="BH92" s="15" t="n">
        <f aca="false">AM92*INDEX(Ipotesi!$C$37:$G$37,1,F92)</f>
        <v>6050</v>
      </c>
      <c r="BI92" s="15" t="n">
        <f aca="false">AQ92+BF92+BH92</f>
        <v>65995.7332669555</v>
      </c>
      <c r="BJ92" s="15" t="n">
        <f aca="false">INDEX(Ipotesi!$C$68:$G$68,1,F92)*Ipotesi!$C$69/12</f>
        <v>2400</v>
      </c>
      <c r="BK92" s="15" t="n">
        <f aca="false">INDEX(Ipotesi!$C$68:$G$68,1,F92)*(1-Ipotesi!$C$69)/12</f>
        <v>3600</v>
      </c>
      <c r="BL92" s="15" t="n">
        <f aca="false">(AQ92+BF92)*Ipotesi!$C$67</f>
        <v>1798.37199800866</v>
      </c>
      <c r="BM92" s="15" t="n">
        <f aca="false">AM92*Ipotesi!$C$67</f>
        <v>1815</v>
      </c>
      <c r="BN92" s="15" t="n">
        <f aca="false">INDEX(Ipotesi!$C$72:$G$72,1,F92)/12*Ipotesi!D126+BF92*Ipotesi!$C$73</f>
        <v>2712.3253280231</v>
      </c>
      <c r="BO92" s="15" t="n">
        <f aca="false">INDEX(Ipotesi!$C$74:$G$74,1,F92)/12*Ipotesi!D126</f>
        <v>2916.66666666667</v>
      </c>
      <c r="BP92" s="15" t="n">
        <f aca="false">INDEX(Ipotesi!$C$76:$G$76,1,F92)/12</f>
        <v>1083.33333333333</v>
      </c>
      <c r="BQ92" s="15" t="n">
        <f aca="false">INDEX(Ipotesi!$C$77:$G$77,1,F92)/12*Ipotesi!D126</f>
        <v>2083.33333333333</v>
      </c>
      <c r="BR92" s="15" t="n">
        <f aca="false">INDEX(Ipotesi!$C$78:$G$78,1,F92)/12</f>
        <v>1666.66666666667</v>
      </c>
      <c r="BS92" s="15" t="n">
        <f aca="false">SUM(M92:R92)*(Ipotesi!$C$85+Ipotesi!$C$86)/12</f>
        <v>4812.5</v>
      </c>
      <c r="BT92" s="15" t="n">
        <f aca="false">BI92*Ipotesi!$C$87</f>
        <v>1979.87199800866</v>
      </c>
      <c r="BU92" s="15" t="n">
        <f aca="false">INDEX(Ipotesi!$C$55:$G$55,1,F92)*K92/12</f>
        <v>1500</v>
      </c>
      <c r="BV92" s="15" t="n">
        <f aca="false">INDEX(Ipotesi!$C$80:$G$80,1,F92)/12*Ipotesi!D126</f>
        <v>1250</v>
      </c>
      <c r="BW92" s="15" t="n">
        <f aca="false">INDEX(Ipotesi!$C$82:$G$82,1,F92)/12</f>
        <v>1000</v>
      </c>
      <c r="BX92" s="15" t="n">
        <f aca="false">INDEX(Ipotesi!$C$83:$G$83,1,F92)/12</f>
        <v>666.666666666667</v>
      </c>
      <c r="BY92" s="15" t="n">
        <f aca="false">SUM(S92:U92)*(Ipotesi!$C$85+Ipotesi!$C$86)/12</f>
        <v>1895.83333333333</v>
      </c>
      <c r="BZ92" s="15" t="n">
        <f aca="false">AM92*Ipotesi!$C$87</f>
        <v>1815</v>
      </c>
      <c r="CA92" s="15" t="n">
        <f aca="false">AB92+BJ92+BL92+BN92+BO92+AR92+BP92+BQ92+BR92+BS92+BT92</f>
        <v>115726.735990707</v>
      </c>
      <c r="CB92" s="15" t="n">
        <f aca="false">AC92+BK92+BM92+BH92+BU92+BV92+AS92+BW92+BX92+BY92+BZ92</f>
        <v>46259.8958333333</v>
      </c>
      <c r="CC92" s="15" t="n">
        <f aca="false">BI92-CA92</f>
        <v>-49731.0027237517</v>
      </c>
      <c r="CD92" s="15" t="n">
        <f aca="false">AM92-CB92</f>
        <v>14240.1041666667</v>
      </c>
      <c r="CE92" s="15" t="n">
        <f aca="false">INDEX(Ipotesi!$C$79:$G$79,1,F92)/12</f>
        <v>2500</v>
      </c>
      <c r="CF92" s="15" t="n">
        <f aca="false">INDEX(Ipotesi!$C$84:$G$84,1,F92)/12</f>
        <v>416.666666666667</v>
      </c>
      <c r="CG92" s="15" t="n">
        <f aca="false">Y92*MAX(0,Parametri_v3!$C$12-IF(P92=0,0,MIN(1,BE92/(P92*Parametri_v3!$C$22))))+W92*Parametri_v3!$C$13+X92*Parametri_v3!$C$14</f>
        <v>27411.8171130685</v>
      </c>
      <c r="CH92" s="15" t="n">
        <f aca="false">AB92*Parametri_v3!$C$32</f>
        <v>3713.68333333333</v>
      </c>
      <c r="CI92" s="15" t="n">
        <f aca="false">AC92*Parametri_v3!$C$32</f>
        <v>1270.86979166667</v>
      </c>
      <c r="CJ92" s="15" t="n">
        <f aca="false">CA92-AB92</f>
        <v>41453.0693240404</v>
      </c>
      <c r="CK92" s="15" t="n">
        <f aca="false">CB92-AC92-BH92</f>
        <v>14792.5</v>
      </c>
      <c r="CL92" s="15" t="n">
        <f aca="false">BF92*Ipotesi!$C$73+INDEX(Ipotesi!$C$72:$G$72,1,F92)/12*Ipotesi!D126*Parametri_v3!$C$58+Z92*(1-Parametri_v3!$C$16)</f>
        <v>7486.3753280231</v>
      </c>
      <c r="CM92" s="16" t="n">
        <f aca="false">IF(BF92=0,0,1-CL92/BF92)</f>
        <v>0.590439955620883</v>
      </c>
    </row>
    <row r="93" customFormat="false" ht="18" hidden="false" customHeight="true" outlineLevel="0" collapsed="false">
      <c r="A93" s="68" t="n">
        <f aca="false">2</f>
        <v>2</v>
      </c>
      <c r="B93" s="68" t="n">
        <f aca="false">29</f>
        <v>29</v>
      </c>
      <c r="C93" s="18" t="n">
        <f aca="false">EDATE(Parametri_v3!$C$5,29-1)</f>
        <v>47239</v>
      </c>
      <c r="D93" s="68" t="n">
        <f aca="false">YEAR(C93)</f>
        <v>2029</v>
      </c>
      <c r="E93" s="68" t="n">
        <f aca="false">MONTH(C93)</f>
        <v>5</v>
      </c>
      <c r="F93" s="68" t="n">
        <f aca="false">INT((29-1)/12)+1</f>
        <v>3</v>
      </c>
      <c r="G93" s="15" t="n">
        <f aca="false">Ipotesi!D7</f>
        <v>1</v>
      </c>
      <c r="H93" s="15" t="n">
        <f aca="false">Ipotesi!D9</f>
        <v>1</v>
      </c>
      <c r="I93" s="15" t="n">
        <f aca="false">Ipotesi!D10</f>
        <v>1</v>
      </c>
      <c r="J93" s="15" t="n">
        <f aca="false">Ipotesi!D11</f>
        <v>1</v>
      </c>
      <c r="K93" s="15" t="n">
        <f aca="false">Ipotesi!D12</f>
        <v>1</v>
      </c>
      <c r="L93" s="15" t="n">
        <f aca="false">Ipotesi!D13</f>
        <v>90</v>
      </c>
      <c r="M93" s="17" t="n">
        <f aca="false">INDEX(Ipotesi!$C$40:$G$40,1,F93)</f>
        <v>1</v>
      </c>
      <c r="N93" s="17" t="n">
        <f aca="false">INDEX(Ipotesi!$C$41:$G$41,1,F93)</f>
        <v>1</v>
      </c>
      <c r="O93" s="17" t="n">
        <f aca="false">INDEX(Ipotesi!$C$42:$G$42,1,F93)*Ipotesi!D125</f>
        <v>4.5</v>
      </c>
      <c r="P93" s="17" t="n">
        <f aca="false">INDEX(Ipotesi!$C$43:$G$43,1,F93)*I93</f>
        <v>5</v>
      </c>
      <c r="Q93" s="17" t="n">
        <f aca="false">INDEX(Ipotesi!$C$44:$G$44,1,F93)*I93</f>
        <v>4</v>
      </c>
      <c r="R93" s="17" t="n">
        <f aca="false">INDEX(Ipotesi!$C$45:$G$45,1,F93)*I93</f>
        <v>1</v>
      </c>
      <c r="S93" s="17" t="n">
        <f aca="false">INDEX(Ipotesi!$C$52:$G$52,1,F93)*Ipotesi!D125</f>
        <v>5</v>
      </c>
      <c r="T93" s="17" t="n">
        <f aca="false">INDEX(Ipotesi!$C$53:$G$53,1,F93)*I93</f>
        <v>1</v>
      </c>
      <c r="U93" s="17" t="n">
        <f aca="false">INDEX(Ipotesi!$C$54:$G$54,1,F93)*I93</f>
        <v>0.5</v>
      </c>
      <c r="V93" s="15" t="n">
        <f aca="false">M93*INDEX(Ipotesi!$C$58:$G$58,1,F93)*K93/12</f>
        <v>7083.33333333333</v>
      </c>
      <c r="W93" s="15" t="n">
        <f aca="false">N93*Ipotesi!$C$59*(1+Ipotesi!$C$66)^(F93-1)/12</f>
        <v>6188.58333333333</v>
      </c>
      <c r="X93" s="15" t="n">
        <f aca="false">O93*Ipotesi!$C$60*(1+Ipotesi!$C$66)^(F93-1)/12</f>
        <v>19891.875</v>
      </c>
      <c r="Y93" s="15" t="n">
        <f aca="false">P93*Ipotesi!$C$61*(1+Ipotesi!$C$66)^(F93-1)/12</f>
        <v>22102.0833333333</v>
      </c>
      <c r="Z93" s="15" t="n">
        <f aca="false">Q93*Ipotesi!$C$62*(1+Ipotesi!$C$66)^(F93-1)/12</f>
        <v>15913.5</v>
      </c>
      <c r="AA93" s="15" t="n">
        <f aca="false">R93*Ipotesi!$C$63*(1+Ipotesi!$C$66)^(F93-1)/12</f>
        <v>3094.29166666667</v>
      </c>
      <c r="AB93" s="15" t="n">
        <f aca="false">SUM(V93:AA93)</f>
        <v>74273.6666666667</v>
      </c>
      <c r="AC93" s="15" t="n">
        <f aca="false">(S93*Ipotesi!$C$64+T93*Ipotesi!$C$65+U93*Ipotesi!$C$63)*(1+Ipotesi!$C$66)^(F93-1)/12</f>
        <v>25417.3958333333</v>
      </c>
      <c r="AD93" s="15" t="n">
        <f aca="false">INDEX(Ipotesi!$C$48:$G$48,1,F93)*G93/12</f>
        <v>60</v>
      </c>
      <c r="AE93" s="15" t="n">
        <f aca="false">INDEX(Ipotesi!$C$50:$G$50,1,F93)*G93/12</f>
        <v>6.66666666666667</v>
      </c>
      <c r="AF93" s="15" t="n">
        <f aca="false">(S93*Parametri_v3!$C$7*Parametri_v3!$C$8+Parametri_v3!$C$10)/12</f>
        <v>64.1666666666667</v>
      </c>
      <c r="AG93" s="15" t="n">
        <f aca="false">AD93+AE93*(1+Parametri_v3!$C$9)</f>
        <v>70</v>
      </c>
      <c r="AH93" s="16" t="n">
        <f aca="false">IF(AG93=0,1,MIN(1,AF93/AG93))</f>
        <v>0.916666666666667</v>
      </c>
      <c r="AI93" s="15" t="n">
        <f aca="false">AD93*AH93</f>
        <v>55</v>
      </c>
      <c r="AJ93" s="15" t="n">
        <f aca="false">AE93*AH93</f>
        <v>6.11111111111111</v>
      </c>
      <c r="AK93" s="15" t="n">
        <f aca="false">AI93*INDEX(Ipotesi!$C$49:$G$49,1,F93)*H93</f>
        <v>46750</v>
      </c>
      <c r="AL93" s="15" t="n">
        <f aca="false">AJ93*INDEX(Ipotesi!$C$51:$G$51,1,F93)*H93</f>
        <v>13750</v>
      </c>
      <c r="AM93" s="15" t="n">
        <f aca="false">AK93+AL93</f>
        <v>60500</v>
      </c>
      <c r="AN93" s="15" t="n">
        <f aca="false">INDEX(Ipotesi!$C$30:$G$30,1,F93)*G93/12</f>
        <v>41.6666666666667</v>
      </c>
      <c r="AO93" s="15" t="n">
        <f aca="false">O93*Parametri_v3!$C$7*Parametri_v3!$C$11*(1-Parametri_v3!$C$14)/12</f>
        <v>46.2</v>
      </c>
      <c r="AP93" s="15" t="n">
        <f aca="false">MIN(AN93,AO93)</f>
        <v>41.6666666666667</v>
      </c>
      <c r="AQ93" s="15" t="n">
        <f aca="false">AP93*INDEX(Ipotesi!$C$31:$G$31,1,F93)*H93</f>
        <v>41666.6666666667</v>
      </c>
      <c r="AR93" s="15" t="n">
        <f aca="false">INDEX(Ipotesi!$C$75:$G$75,1,F93)*J93/12</f>
        <v>20000</v>
      </c>
      <c r="AS93" s="15" t="n">
        <f aca="false">INDEX(Ipotesi!$C$81:$G$81,1,F93)*J93/12</f>
        <v>1250</v>
      </c>
      <c r="AT93" s="15" t="n">
        <f aca="false">AR93*Parametri_v3!$C$15+Z93*Parametri_v3!$C$16</f>
        <v>31139.45</v>
      </c>
      <c r="AU93" s="15" t="n">
        <f aca="false">Q93*Parametri_v3!$C$16*Parametri_v3!$C$17</f>
        <v>280</v>
      </c>
      <c r="AV93" s="17" t="n">
        <f aca="false">BD92</f>
        <v>42.8341350972914</v>
      </c>
      <c r="AW93" s="17" t="n">
        <f aca="false">AV93*(1-(1-INDEX(Ipotesi!$C$34:$G$34,1,F93))^(1/12))</f>
        <v>0.374439344601442</v>
      </c>
      <c r="AX93" s="15" t="n">
        <f aca="false">ROUND(INDEX(Ipotesi!$C$32:$G$32,1,F93)*Ipotesi!D8,0)</f>
        <v>130</v>
      </c>
      <c r="AY93" s="15" t="n">
        <f aca="false">MAX(0,(AX93-(AV93-AW93))/(13-E93))</f>
        <v>10.9425380309138</v>
      </c>
      <c r="AZ93" s="15" t="n">
        <f aca="false">MIN(P93*Parametri_v3!$C$22,Q93*(1-Parametri_v3!$C$16)*Parametri_v3!$C$23)</f>
        <v>180</v>
      </c>
      <c r="BA93" s="15" t="n">
        <f aca="false">IF(OR(INDEX(Ipotesi!$C$35:$G$35,1,F93)&lt;=0,29-Parametri_v3!$C$21&lt;1),0,INDEX($AT$65:$AT$124,MAX(1,29-Parametri_v3!$C$21))/(INDEX(Ipotesi!$C$35:$G$35,1,F93)*Ipotesi!D27))</f>
        <v>6.22789</v>
      </c>
      <c r="BB93" s="15" t="n">
        <f aca="false">IF(29-Parametri_v3!$C$21&lt;1,0,INDEX($AU$65:$AU$124,MAX(1,29-Parametri_v3!$C$21)))*Parametri_v3!$C$18*Parametri_v3!$C$19*Parametri_v3!$C$20</f>
        <v>10.5</v>
      </c>
      <c r="BC93" s="17" t="n">
        <f aca="false">MAX(0,MIN(AY93,BA93,BB93,MAX(0,AZ93-(AV93-AW93))))</f>
        <v>6.22789</v>
      </c>
      <c r="BD93" s="17" t="n">
        <f aca="false">AV93-AW93+BC93</f>
        <v>48.68758575269</v>
      </c>
      <c r="BE93" s="17" t="n">
        <f aca="false">(AV93+BD93)/2</f>
        <v>45.7608604249907</v>
      </c>
      <c r="BF93" s="15" t="n">
        <f aca="false">BE93*INDEX(Ipotesi!$C$33:$G$33,1,F93)*H93/12</f>
        <v>20973.7276947874</v>
      </c>
      <c r="BG93" s="15" t="n">
        <f aca="false">BD93*INDEX(Ipotesi!$C$33:$G$33,1,F93)*H93</f>
        <v>267781.721639795</v>
      </c>
      <c r="BH93" s="15" t="n">
        <f aca="false">AM93*INDEX(Ipotesi!$C$37:$G$37,1,F93)</f>
        <v>6050</v>
      </c>
      <c r="BI93" s="15" t="n">
        <f aca="false">AQ93+BF93+BH93</f>
        <v>68690.3943614541</v>
      </c>
      <c r="BJ93" s="15" t="n">
        <f aca="false">INDEX(Ipotesi!$C$68:$G$68,1,F93)*Ipotesi!$C$69/12</f>
        <v>2400</v>
      </c>
      <c r="BK93" s="15" t="n">
        <f aca="false">INDEX(Ipotesi!$C$68:$G$68,1,F93)*(1-Ipotesi!$C$69)/12</f>
        <v>3600</v>
      </c>
      <c r="BL93" s="15" t="n">
        <f aca="false">(AQ93+BF93)*Ipotesi!$C$67</f>
        <v>1879.21183084362</v>
      </c>
      <c r="BM93" s="15" t="n">
        <f aca="false">AM93*Ipotesi!$C$67</f>
        <v>1815</v>
      </c>
      <c r="BN93" s="15" t="n">
        <f aca="false">INDEX(Ipotesi!$C$72:$G$72,1,F93)/12*Ipotesi!D126+BF93*Ipotesi!$C$73</f>
        <v>2927.89821558299</v>
      </c>
      <c r="BO93" s="15" t="n">
        <f aca="false">INDEX(Ipotesi!$C$74:$G$74,1,F93)/12*Ipotesi!D126</f>
        <v>2916.66666666667</v>
      </c>
      <c r="BP93" s="15" t="n">
        <f aca="false">INDEX(Ipotesi!$C$76:$G$76,1,F93)/12</f>
        <v>1083.33333333333</v>
      </c>
      <c r="BQ93" s="15" t="n">
        <f aca="false">INDEX(Ipotesi!$C$77:$G$77,1,F93)/12*Ipotesi!D126</f>
        <v>2083.33333333333</v>
      </c>
      <c r="BR93" s="15" t="n">
        <f aca="false">INDEX(Ipotesi!$C$78:$G$78,1,F93)/12</f>
        <v>1666.66666666667</v>
      </c>
      <c r="BS93" s="15" t="n">
        <f aca="false">SUM(M93:R93)*(Ipotesi!$C$85+Ipotesi!$C$86)/12</f>
        <v>4812.5</v>
      </c>
      <c r="BT93" s="15" t="n">
        <f aca="false">BI93*Ipotesi!$C$87</f>
        <v>2060.71183084362</v>
      </c>
      <c r="BU93" s="15" t="n">
        <f aca="false">INDEX(Ipotesi!$C$55:$G$55,1,F93)*K93/12</f>
        <v>1500</v>
      </c>
      <c r="BV93" s="15" t="n">
        <f aca="false">INDEX(Ipotesi!$C$80:$G$80,1,F93)/12*Ipotesi!D126</f>
        <v>1250</v>
      </c>
      <c r="BW93" s="15" t="n">
        <f aca="false">INDEX(Ipotesi!$C$82:$G$82,1,F93)/12</f>
        <v>1000</v>
      </c>
      <c r="BX93" s="15" t="n">
        <f aca="false">INDEX(Ipotesi!$C$83:$G$83,1,F93)/12</f>
        <v>666.666666666667</v>
      </c>
      <c r="BY93" s="15" t="n">
        <f aca="false">SUM(S93:U93)*(Ipotesi!$C$85+Ipotesi!$C$86)/12</f>
        <v>1895.83333333333</v>
      </c>
      <c r="BZ93" s="15" t="n">
        <f aca="false">AM93*Ipotesi!$C$87</f>
        <v>1815</v>
      </c>
      <c r="CA93" s="15" t="n">
        <f aca="false">AB93+BJ93+BL93+BN93+BO93+AR93+BP93+BQ93+BR93+BS93+BT93</f>
        <v>116103.988543937</v>
      </c>
      <c r="CB93" s="15" t="n">
        <f aca="false">AC93+BK93+BM93+BH93+BU93+BV93+AS93+BW93+BX93+BY93+BZ93</f>
        <v>46259.8958333333</v>
      </c>
      <c r="CC93" s="15" t="n">
        <f aca="false">BI93-CA93</f>
        <v>-47413.5941824828</v>
      </c>
      <c r="CD93" s="15" t="n">
        <f aca="false">AM93-CB93</f>
        <v>14240.1041666667</v>
      </c>
      <c r="CE93" s="15" t="n">
        <f aca="false">INDEX(Ipotesi!$C$79:$G$79,1,F93)/12</f>
        <v>2500</v>
      </c>
      <c r="CF93" s="15" t="n">
        <f aca="false">INDEX(Ipotesi!$C$84:$G$84,1,F93)/12</f>
        <v>416.666666666667</v>
      </c>
      <c r="CG93" s="15" t="n">
        <f aca="false">Y93*MAX(0,Parametri_v3!$C$12-IF(P93=0,0,MIN(1,BE93/(P93*Parametri_v3!$C$22))))+W93*Parametri_v3!$C$13+X93*Parametri_v3!$C$14</f>
        <v>27151.9292989636</v>
      </c>
      <c r="CH93" s="15" t="n">
        <f aca="false">AB93*Parametri_v3!$C$32</f>
        <v>3713.68333333333</v>
      </c>
      <c r="CI93" s="15" t="n">
        <f aca="false">AC93*Parametri_v3!$C$32</f>
        <v>1270.86979166667</v>
      </c>
      <c r="CJ93" s="15" t="n">
        <f aca="false">CA93-AB93</f>
        <v>41830.3218772702</v>
      </c>
      <c r="CK93" s="15" t="n">
        <f aca="false">CB93-AC93-BH93</f>
        <v>14792.5</v>
      </c>
      <c r="CL93" s="15" t="n">
        <f aca="false">BF93*Ipotesi!$C$73+INDEX(Ipotesi!$C$72:$G$72,1,F93)/12*Ipotesi!D126*Parametri_v3!$C$58+Z93*(1-Parametri_v3!$C$16)</f>
        <v>7701.94821558299</v>
      </c>
      <c r="CM93" s="16" t="n">
        <f aca="false">IF(BF93=0,0,1-CL93/BF93)</f>
        <v>0.632781147554559</v>
      </c>
    </row>
    <row r="94" customFormat="false" ht="18" hidden="false" customHeight="true" outlineLevel="0" collapsed="false">
      <c r="A94" s="68" t="n">
        <f aca="false">2</f>
        <v>2</v>
      </c>
      <c r="B94" s="68" t="n">
        <f aca="false">30</f>
        <v>30</v>
      </c>
      <c r="C94" s="18" t="n">
        <f aca="false">EDATE(Parametri_v3!$C$5,30-1)</f>
        <v>47270</v>
      </c>
      <c r="D94" s="68" t="n">
        <f aca="false">YEAR(C94)</f>
        <v>2029</v>
      </c>
      <c r="E94" s="68" t="n">
        <f aca="false">MONTH(C94)</f>
        <v>6</v>
      </c>
      <c r="F94" s="68" t="n">
        <f aca="false">INT((30-1)/12)+1</f>
        <v>3</v>
      </c>
      <c r="G94" s="15" t="n">
        <f aca="false">Ipotesi!D7</f>
        <v>1</v>
      </c>
      <c r="H94" s="15" t="n">
        <f aca="false">Ipotesi!D9</f>
        <v>1</v>
      </c>
      <c r="I94" s="15" t="n">
        <f aca="false">Ipotesi!D10</f>
        <v>1</v>
      </c>
      <c r="J94" s="15" t="n">
        <f aca="false">Ipotesi!D11</f>
        <v>1</v>
      </c>
      <c r="K94" s="15" t="n">
        <f aca="false">Ipotesi!D12</f>
        <v>1</v>
      </c>
      <c r="L94" s="15" t="n">
        <f aca="false">Ipotesi!D13</f>
        <v>90</v>
      </c>
      <c r="M94" s="17" t="n">
        <f aca="false">INDEX(Ipotesi!$C$40:$G$40,1,F94)</f>
        <v>1</v>
      </c>
      <c r="N94" s="17" t="n">
        <f aca="false">INDEX(Ipotesi!$C$41:$G$41,1,F94)</f>
        <v>1</v>
      </c>
      <c r="O94" s="17" t="n">
        <f aca="false">INDEX(Ipotesi!$C$42:$G$42,1,F94)*Ipotesi!D125</f>
        <v>4.5</v>
      </c>
      <c r="P94" s="17" t="n">
        <f aca="false">INDEX(Ipotesi!$C$43:$G$43,1,F94)*I94</f>
        <v>5</v>
      </c>
      <c r="Q94" s="17" t="n">
        <f aca="false">INDEX(Ipotesi!$C$44:$G$44,1,F94)*I94</f>
        <v>4</v>
      </c>
      <c r="R94" s="17" t="n">
        <f aca="false">INDEX(Ipotesi!$C$45:$G$45,1,F94)*I94</f>
        <v>1</v>
      </c>
      <c r="S94" s="17" t="n">
        <f aca="false">INDEX(Ipotesi!$C$52:$G$52,1,F94)*Ipotesi!D125</f>
        <v>5</v>
      </c>
      <c r="T94" s="17" t="n">
        <f aca="false">INDEX(Ipotesi!$C$53:$G$53,1,F94)*I94</f>
        <v>1</v>
      </c>
      <c r="U94" s="17" t="n">
        <f aca="false">INDEX(Ipotesi!$C$54:$G$54,1,F94)*I94</f>
        <v>0.5</v>
      </c>
      <c r="V94" s="15" t="n">
        <f aca="false">M94*INDEX(Ipotesi!$C$58:$G$58,1,F94)*K94/12</f>
        <v>7083.33333333333</v>
      </c>
      <c r="W94" s="15" t="n">
        <f aca="false">N94*Ipotesi!$C$59*(1+Ipotesi!$C$66)^(F94-1)/12</f>
        <v>6188.58333333333</v>
      </c>
      <c r="X94" s="15" t="n">
        <f aca="false">O94*Ipotesi!$C$60*(1+Ipotesi!$C$66)^(F94-1)/12</f>
        <v>19891.875</v>
      </c>
      <c r="Y94" s="15" t="n">
        <f aca="false">P94*Ipotesi!$C$61*(1+Ipotesi!$C$66)^(F94-1)/12</f>
        <v>22102.0833333333</v>
      </c>
      <c r="Z94" s="15" t="n">
        <f aca="false">Q94*Ipotesi!$C$62*(1+Ipotesi!$C$66)^(F94-1)/12</f>
        <v>15913.5</v>
      </c>
      <c r="AA94" s="15" t="n">
        <f aca="false">R94*Ipotesi!$C$63*(1+Ipotesi!$C$66)^(F94-1)/12</f>
        <v>3094.29166666667</v>
      </c>
      <c r="AB94" s="15" t="n">
        <f aca="false">SUM(V94:AA94)</f>
        <v>74273.6666666667</v>
      </c>
      <c r="AC94" s="15" t="n">
        <f aca="false">(S94*Ipotesi!$C$64+T94*Ipotesi!$C$65+U94*Ipotesi!$C$63)*(1+Ipotesi!$C$66)^(F94-1)/12</f>
        <v>25417.3958333333</v>
      </c>
      <c r="AD94" s="15" t="n">
        <f aca="false">INDEX(Ipotesi!$C$48:$G$48,1,F94)*G94/12</f>
        <v>60</v>
      </c>
      <c r="AE94" s="15" t="n">
        <f aca="false">INDEX(Ipotesi!$C$50:$G$50,1,F94)*G94/12</f>
        <v>6.66666666666667</v>
      </c>
      <c r="AF94" s="15" t="n">
        <f aca="false">(S94*Parametri_v3!$C$7*Parametri_v3!$C$8+Parametri_v3!$C$10)/12</f>
        <v>64.1666666666667</v>
      </c>
      <c r="AG94" s="15" t="n">
        <f aca="false">AD94+AE94*(1+Parametri_v3!$C$9)</f>
        <v>70</v>
      </c>
      <c r="AH94" s="16" t="n">
        <f aca="false">IF(AG94=0,1,MIN(1,AF94/AG94))</f>
        <v>0.916666666666667</v>
      </c>
      <c r="AI94" s="15" t="n">
        <f aca="false">AD94*AH94</f>
        <v>55</v>
      </c>
      <c r="AJ94" s="15" t="n">
        <f aca="false">AE94*AH94</f>
        <v>6.11111111111111</v>
      </c>
      <c r="AK94" s="15" t="n">
        <f aca="false">AI94*INDEX(Ipotesi!$C$49:$G$49,1,F94)*H94</f>
        <v>46750</v>
      </c>
      <c r="AL94" s="15" t="n">
        <f aca="false">AJ94*INDEX(Ipotesi!$C$51:$G$51,1,F94)*H94</f>
        <v>13750</v>
      </c>
      <c r="AM94" s="15" t="n">
        <f aca="false">AK94+AL94</f>
        <v>60500</v>
      </c>
      <c r="AN94" s="15" t="n">
        <f aca="false">INDEX(Ipotesi!$C$30:$G$30,1,F94)*G94/12</f>
        <v>41.6666666666667</v>
      </c>
      <c r="AO94" s="15" t="n">
        <f aca="false">O94*Parametri_v3!$C$7*Parametri_v3!$C$11*(1-Parametri_v3!$C$14)/12</f>
        <v>46.2</v>
      </c>
      <c r="AP94" s="15" t="n">
        <f aca="false">MIN(AN94,AO94)</f>
        <v>41.6666666666667</v>
      </c>
      <c r="AQ94" s="15" t="n">
        <f aca="false">AP94*INDEX(Ipotesi!$C$31:$G$31,1,F94)*H94</f>
        <v>41666.6666666667</v>
      </c>
      <c r="AR94" s="15" t="n">
        <f aca="false">INDEX(Ipotesi!$C$75:$G$75,1,F94)*J94/12</f>
        <v>20000</v>
      </c>
      <c r="AS94" s="15" t="n">
        <f aca="false">INDEX(Ipotesi!$C$81:$G$81,1,F94)*J94/12</f>
        <v>1250</v>
      </c>
      <c r="AT94" s="15" t="n">
        <f aca="false">AR94*Parametri_v3!$C$15+Z94*Parametri_v3!$C$16</f>
        <v>31139.45</v>
      </c>
      <c r="AU94" s="15" t="n">
        <f aca="false">Q94*Parametri_v3!$C$16*Parametri_v3!$C$17</f>
        <v>280</v>
      </c>
      <c r="AV94" s="17" t="n">
        <f aca="false">BD93</f>
        <v>48.68758575269</v>
      </c>
      <c r="AW94" s="17" t="n">
        <f aca="false">AV94*(1-(1-INDEX(Ipotesi!$C$34:$G$34,1,F94))^(1/12))</f>
        <v>0.425607932973451</v>
      </c>
      <c r="AX94" s="15" t="n">
        <f aca="false">ROUND(INDEX(Ipotesi!$C$32:$G$32,1,F94)*Ipotesi!D8,0)</f>
        <v>130</v>
      </c>
      <c r="AY94" s="15" t="n">
        <f aca="false">MAX(0,(AX94-(AV94-AW94))/(13-E94))</f>
        <v>11.6768603114691</v>
      </c>
      <c r="AZ94" s="15" t="n">
        <f aca="false">MIN(P94*Parametri_v3!$C$22,Q94*(1-Parametri_v3!$C$16)*Parametri_v3!$C$23)</f>
        <v>180</v>
      </c>
      <c r="BA94" s="15" t="n">
        <f aca="false">IF(OR(INDEX(Ipotesi!$C$35:$G$35,1,F94)&lt;=0,30-Parametri_v3!$C$21&lt;1),0,INDEX($AT$65:$AT$124,MAX(1,30-Parametri_v3!$C$21))/(INDEX(Ipotesi!$C$35:$G$35,1,F94)*Ipotesi!D27))</f>
        <v>6.22789</v>
      </c>
      <c r="BB94" s="15" t="n">
        <f aca="false">IF(30-Parametri_v3!$C$21&lt;1,0,INDEX($AU$65:$AU$124,MAX(1,30-Parametri_v3!$C$21)))*Parametri_v3!$C$18*Parametri_v3!$C$19*Parametri_v3!$C$20</f>
        <v>10.5</v>
      </c>
      <c r="BC94" s="17" t="n">
        <f aca="false">MAX(0,MIN(AY94,BA94,BB94,MAX(0,AZ94-(AV94-AW94))))</f>
        <v>6.22789</v>
      </c>
      <c r="BD94" s="17" t="n">
        <f aca="false">AV94-AW94+BC94</f>
        <v>54.4898678197165</v>
      </c>
      <c r="BE94" s="17" t="n">
        <f aca="false">(AV94+BD94)/2</f>
        <v>51.5887267862032</v>
      </c>
      <c r="BF94" s="15" t="n">
        <f aca="false">BE94*INDEX(Ipotesi!$C$33:$G$33,1,F94)*H94/12</f>
        <v>23644.8331103431</v>
      </c>
      <c r="BG94" s="15" t="n">
        <f aca="false">BD94*INDEX(Ipotesi!$C$33:$G$33,1,F94)*H94</f>
        <v>299694.273008441</v>
      </c>
      <c r="BH94" s="15" t="n">
        <f aca="false">AM94*INDEX(Ipotesi!$C$37:$G$37,1,F94)</f>
        <v>6050</v>
      </c>
      <c r="BI94" s="15" t="n">
        <f aca="false">AQ94+BF94+BH94</f>
        <v>71361.4997770098</v>
      </c>
      <c r="BJ94" s="15" t="n">
        <f aca="false">INDEX(Ipotesi!$C$68:$G$68,1,F94)*Ipotesi!$C$69/12</f>
        <v>2400</v>
      </c>
      <c r="BK94" s="15" t="n">
        <f aca="false">INDEX(Ipotesi!$C$68:$G$68,1,F94)*(1-Ipotesi!$C$69)/12</f>
        <v>3600</v>
      </c>
      <c r="BL94" s="15" t="n">
        <f aca="false">(AQ94+BF94)*Ipotesi!$C$67</f>
        <v>1959.34499331029</v>
      </c>
      <c r="BM94" s="15" t="n">
        <f aca="false">AM94*Ipotesi!$C$67</f>
        <v>1815</v>
      </c>
      <c r="BN94" s="15" t="n">
        <f aca="false">INDEX(Ipotesi!$C$72:$G$72,1,F94)/12*Ipotesi!D126+BF94*Ipotesi!$C$73</f>
        <v>3141.58664882745</v>
      </c>
      <c r="BO94" s="15" t="n">
        <f aca="false">INDEX(Ipotesi!$C$74:$G$74,1,F94)/12*Ipotesi!D126</f>
        <v>2916.66666666667</v>
      </c>
      <c r="BP94" s="15" t="n">
        <f aca="false">INDEX(Ipotesi!$C$76:$G$76,1,F94)/12</f>
        <v>1083.33333333333</v>
      </c>
      <c r="BQ94" s="15" t="n">
        <f aca="false">INDEX(Ipotesi!$C$77:$G$77,1,F94)/12*Ipotesi!D126</f>
        <v>2083.33333333333</v>
      </c>
      <c r="BR94" s="15" t="n">
        <f aca="false">INDEX(Ipotesi!$C$78:$G$78,1,F94)/12</f>
        <v>1666.66666666667</v>
      </c>
      <c r="BS94" s="15" t="n">
        <f aca="false">SUM(M94:R94)*(Ipotesi!$C$85+Ipotesi!$C$86)/12</f>
        <v>4812.5</v>
      </c>
      <c r="BT94" s="15" t="n">
        <f aca="false">BI94*Ipotesi!$C$87</f>
        <v>2140.84499331029</v>
      </c>
      <c r="BU94" s="15" t="n">
        <f aca="false">INDEX(Ipotesi!$C$55:$G$55,1,F94)*K94/12</f>
        <v>1500</v>
      </c>
      <c r="BV94" s="15" t="n">
        <f aca="false">INDEX(Ipotesi!$C$80:$G$80,1,F94)/12*Ipotesi!D126</f>
        <v>1250</v>
      </c>
      <c r="BW94" s="15" t="n">
        <f aca="false">INDEX(Ipotesi!$C$82:$G$82,1,F94)/12</f>
        <v>1000</v>
      </c>
      <c r="BX94" s="15" t="n">
        <f aca="false">INDEX(Ipotesi!$C$83:$G$83,1,F94)/12</f>
        <v>666.666666666667</v>
      </c>
      <c r="BY94" s="15" t="n">
        <f aca="false">SUM(S94:U94)*(Ipotesi!$C$85+Ipotesi!$C$86)/12</f>
        <v>1895.83333333333</v>
      </c>
      <c r="BZ94" s="15" t="n">
        <f aca="false">AM94*Ipotesi!$C$87</f>
        <v>1815</v>
      </c>
      <c r="CA94" s="15" t="n">
        <f aca="false">AB94+BJ94+BL94+BN94+BO94+AR94+BP94+BQ94+BR94+BS94+BT94</f>
        <v>116477.943302115</v>
      </c>
      <c r="CB94" s="15" t="n">
        <f aca="false">AC94+BK94+BM94+BH94+BU94+BV94+AS94+BW94+BX94+BY94+BZ94</f>
        <v>46259.8958333333</v>
      </c>
      <c r="CC94" s="15" t="n">
        <f aca="false">BI94-CA94</f>
        <v>-45116.4435251049</v>
      </c>
      <c r="CD94" s="15" t="n">
        <f aca="false">AM94-CB94</f>
        <v>14240.1041666667</v>
      </c>
      <c r="CE94" s="15" t="n">
        <f aca="false">INDEX(Ipotesi!$C$79:$G$79,1,F94)/12</f>
        <v>2500</v>
      </c>
      <c r="CF94" s="15" t="n">
        <f aca="false">INDEX(Ipotesi!$C$84:$G$84,1,F94)/12</f>
        <v>416.666666666667</v>
      </c>
      <c r="CG94" s="15" t="n">
        <f aca="false">Y94*MAX(0,Parametri_v3!$C$12-IF(P94=0,0,MIN(1,BE94/(P94*Parametri_v3!$C$22))))+W94*Parametri_v3!$C$13+X94*Parametri_v3!$C$14</f>
        <v>26894.3133230215</v>
      </c>
      <c r="CH94" s="15" t="n">
        <f aca="false">AB94*Parametri_v3!$C$32</f>
        <v>3713.68333333333</v>
      </c>
      <c r="CI94" s="15" t="n">
        <f aca="false">AC94*Parametri_v3!$C$32</f>
        <v>1270.86979166667</v>
      </c>
      <c r="CJ94" s="15" t="n">
        <f aca="false">CA94-AB94</f>
        <v>42204.276635448</v>
      </c>
      <c r="CK94" s="15" t="n">
        <f aca="false">CB94-AC94-BH94</f>
        <v>14792.5</v>
      </c>
      <c r="CL94" s="15" t="n">
        <f aca="false">BF94*Ipotesi!$C$73+INDEX(Ipotesi!$C$72:$G$72,1,F94)/12*Ipotesi!D126*Parametri_v3!$C$58+Z94*(1-Parametri_v3!$C$16)</f>
        <v>7915.63664882745</v>
      </c>
      <c r="CM94" s="16" t="n">
        <f aca="false">IF(BF94=0,0,1-CL94/BF94)</f>
        <v>0.665227637180283</v>
      </c>
    </row>
    <row r="95" customFormat="false" ht="18" hidden="false" customHeight="true" outlineLevel="0" collapsed="false">
      <c r="A95" s="68" t="n">
        <f aca="false">2</f>
        <v>2</v>
      </c>
      <c r="B95" s="68" t="n">
        <f aca="false">31</f>
        <v>31</v>
      </c>
      <c r="C95" s="18" t="n">
        <f aca="false">EDATE(Parametri_v3!$C$5,31-1)</f>
        <v>47300</v>
      </c>
      <c r="D95" s="68" t="n">
        <f aca="false">YEAR(C95)</f>
        <v>2029</v>
      </c>
      <c r="E95" s="68" t="n">
        <f aca="false">MONTH(C95)</f>
        <v>7</v>
      </c>
      <c r="F95" s="68" t="n">
        <f aca="false">INT((31-1)/12)+1</f>
        <v>3</v>
      </c>
      <c r="G95" s="15" t="n">
        <f aca="false">Ipotesi!D7</f>
        <v>1</v>
      </c>
      <c r="H95" s="15" t="n">
        <f aca="false">Ipotesi!D9</f>
        <v>1</v>
      </c>
      <c r="I95" s="15" t="n">
        <f aca="false">Ipotesi!D10</f>
        <v>1</v>
      </c>
      <c r="J95" s="15" t="n">
        <f aca="false">Ipotesi!D11</f>
        <v>1</v>
      </c>
      <c r="K95" s="15" t="n">
        <f aca="false">Ipotesi!D12</f>
        <v>1</v>
      </c>
      <c r="L95" s="15" t="n">
        <f aca="false">Ipotesi!D13</f>
        <v>90</v>
      </c>
      <c r="M95" s="17" t="n">
        <f aca="false">INDEX(Ipotesi!$C$40:$G$40,1,F95)</f>
        <v>1</v>
      </c>
      <c r="N95" s="17" t="n">
        <f aca="false">INDEX(Ipotesi!$C$41:$G$41,1,F95)</f>
        <v>1</v>
      </c>
      <c r="O95" s="17" t="n">
        <f aca="false">INDEX(Ipotesi!$C$42:$G$42,1,F95)*Ipotesi!D125</f>
        <v>4.5</v>
      </c>
      <c r="P95" s="17" t="n">
        <f aca="false">INDEX(Ipotesi!$C$43:$G$43,1,F95)*I95</f>
        <v>5</v>
      </c>
      <c r="Q95" s="17" t="n">
        <f aca="false">INDEX(Ipotesi!$C$44:$G$44,1,F95)*I95</f>
        <v>4</v>
      </c>
      <c r="R95" s="17" t="n">
        <f aca="false">INDEX(Ipotesi!$C$45:$G$45,1,F95)*I95</f>
        <v>1</v>
      </c>
      <c r="S95" s="17" t="n">
        <f aca="false">INDEX(Ipotesi!$C$52:$G$52,1,F95)*Ipotesi!D125</f>
        <v>5</v>
      </c>
      <c r="T95" s="17" t="n">
        <f aca="false">INDEX(Ipotesi!$C$53:$G$53,1,F95)*I95</f>
        <v>1</v>
      </c>
      <c r="U95" s="17" t="n">
        <f aca="false">INDEX(Ipotesi!$C$54:$G$54,1,F95)*I95</f>
        <v>0.5</v>
      </c>
      <c r="V95" s="15" t="n">
        <f aca="false">M95*INDEX(Ipotesi!$C$58:$G$58,1,F95)*K95/12</f>
        <v>7083.33333333333</v>
      </c>
      <c r="W95" s="15" t="n">
        <f aca="false">N95*Ipotesi!$C$59*(1+Ipotesi!$C$66)^(F95-1)/12</f>
        <v>6188.58333333333</v>
      </c>
      <c r="X95" s="15" t="n">
        <f aca="false">O95*Ipotesi!$C$60*(1+Ipotesi!$C$66)^(F95-1)/12</f>
        <v>19891.875</v>
      </c>
      <c r="Y95" s="15" t="n">
        <f aca="false">P95*Ipotesi!$C$61*(1+Ipotesi!$C$66)^(F95-1)/12</f>
        <v>22102.0833333333</v>
      </c>
      <c r="Z95" s="15" t="n">
        <f aca="false">Q95*Ipotesi!$C$62*(1+Ipotesi!$C$66)^(F95-1)/12</f>
        <v>15913.5</v>
      </c>
      <c r="AA95" s="15" t="n">
        <f aca="false">R95*Ipotesi!$C$63*(1+Ipotesi!$C$66)^(F95-1)/12</f>
        <v>3094.29166666667</v>
      </c>
      <c r="AB95" s="15" t="n">
        <f aca="false">SUM(V95:AA95)</f>
        <v>74273.6666666667</v>
      </c>
      <c r="AC95" s="15" t="n">
        <f aca="false">(S95*Ipotesi!$C$64+T95*Ipotesi!$C$65+U95*Ipotesi!$C$63)*(1+Ipotesi!$C$66)^(F95-1)/12</f>
        <v>25417.3958333333</v>
      </c>
      <c r="AD95" s="15" t="n">
        <f aca="false">INDEX(Ipotesi!$C$48:$G$48,1,F95)*G95/12</f>
        <v>60</v>
      </c>
      <c r="AE95" s="15" t="n">
        <f aca="false">INDEX(Ipotesi!$C$50:$G$50,1,F95)*G95/12</f>
        <v>6.66666666666667</v>
      </c>
      <c r="AF95" s="15" t="n">
        <f aca="false">(S95*Parametri_v3!$C$7*Parametri_v3!$C$8+Parametri_v3!$C$10)/12</f>
        <v>64.1666666666667</v>
      </c>
      <c r="AG95" s="15" t="n">
        <f aca="false">AD95+AE95*(1+Parametri_v3!$C$9)</f>
        <v>70</v>
      </c>
      <c r="AH95" s="16" t="n">
        <f aca="false">IF(AG95=0,1,MIN(1,AF95/AG95))</f>
        <v>0.916666666666667</v>
      </c>
      <c r="AI95" s="15" t="n">
        <f aca="false">AD95*AH95</f>
        <v>55</v>
      </c>
      <c r="AJ95" s="15" t="n">
        <f aca="false">AE95*AH95</f>
        <v>6.11111111111111</v>
      </c>
      <c r="AK95" s="15" t="n">
        <f aca="false">AI95*INDEX(Ipotesi!$C$49:$G$49,1,F95)*H95</f>
        <v>46750</v>
      </c>
      <c r="AL95" s="15" t="n">
        <f aca="false">AJ95*INDEX(Ipotesi!$C$51:$G$51,1,F95)*H95</f>
        <v>13750</v>
      </c>
      <c r="AM95" s="15" t="n">
        <f aca="false">AK95+AL95</f>
        <v>60500</v>
      </c>
      <c r="AN95" s="15" t="n">
        <f aca="false">INDEX(Ipotesi!$C$30:$G$30,1,F95)*G95/12</f>
        <v>41.6666666666667</v>
      </c>
      <c r="AO95" s="15" t="n">
        <f aca="false">O95*Parametri_v3!$C$7*Parametri_v3!$C$11*(1-Parametri_v3!$C$14)/12</f>
        <v>46.2</v>
      </c>
      <c r="AP95" s="15" t="n">
        <f aca="false">MIN(AN95,AO95)</f>
        <v>41.6666666666667</v>
      </c>
      <c r="AQ95" s="15" t="n">
        <f aca="false">AP95*INDEX(Ipotesi!$C$31:$G$31,1,F95)*H95</f>
        <v>41666.6666666667</v>
      </c>
      <c r="AR95" s="15" t="n">
        <f aca="false">INDEX(Ipotesi!$C$75:$G$75,1,F95)*J95/12</f>
        <v>20000</v>
      </c>
      <c r="AS95" s="15" t="n">
        <f aca="false">INDEX(Ipotesi!$C$81:$G$81,1,F95)*J95/12</f>
        <v>1250</v>
      </c>
      <c r="AT95" s="15" t="n">
        <f aca="false">AR95*Parametri_v3!$C$15+Z95*Parametri_v3!$C$16</f>
        <v>31139.45</v>
      </c>
      <c r="AU95" s="15" t="n">
        <f aca="false">Q95*Parametri_v3!$C$16*Parametri_v3!$C$17</f>
        <v>280</v>
      </c>
      <c r="AV95" s="17" t="n">
        <f aca="false">BD94</f>
        <v>54.4898678197165</v>
      </c>
      <c r="AW95" s="17" t="n">
        <f aca="false">AV95*(1-(1-INDEX(Ipotesi!$C$34:$G$34,1,F95))^(1/12))</f>
        <v>0.47632922545281</v>
      </c>
      <c r="AX95" s="15" t="n">
        <f aca="false">ROUND(INDEX(Ipotesi!$C$32:$G$32,1,F95)*Ipotesi!D8,0)</f>
        <v>130</v>
      </c>
      <c r="AY95" s="15" t="n">
        <f aca="false">MAX(0,(AX95-(AV95-AW95))/(13-E95))</f>
        <v>12.6644102342894</v>
      </c>
      <c r="AZ95" s="15" t="n">
        <f aca="false">MIN(P95*Parametri_v3!$C$22,Q95*(1-Parametri_v3!$C$16)*Parametri_v3!$C$23)</f>
        <v>180</v>
      </c>
      <c r="BA95" s="15" t="n">
        <f aca="false">IF(OR(INDEX(Ipotesi!$C$35:$G$35,1,F95)&lt;=0,31-Parametri_v3!$C$21&lt;1),0,INDEX($AT$65:$AT$124,MAX(1,31-Parametri_v3!$C$21))/(INDEX(Ipotesi!$C$35:$G$35,1,F95)*Ipotesi!D27))</f>
        <v>6.22789</v>
      </c>
      <c r="BB95" s="15" t="n">
        <f aca="false">IF(31-Parametri_v3!$C$21&lt;1,0,INDEX($AU$65:$AU$124,MAX(1,31-Parametri_v3!$C$21)))*Parametri_v3!$C$18*Parametri_v3!$C$19*Parametri_v3!$C$20</f>
        <v>10.5</v>
      </c>
      <c r="BC95" s="17" t="n">
        <f aca="false">MAX(0,MIN(AY95,BA95,BB95,MAX(0,AZ95-(AV95-AW95))))</f>
        <v>6.22789</v>
      </c>
      <c r="BD95" s="17" t="n">
        <f aca="false">AV95-AW95+BC95</f>
        <v>60.2414285942637</v>
      </c>
      <c r="BE95" s="17" t="n">
        <f aca="false">(AV95+BD95)/2</f>
        <v>57.3656482069901</v>
      </c>
      <c r="BF95" s="15" t="n">
        <f aca="false">BE95*INDEX(Ipotesi!$C$33:$G$33,1,F95)*H95/12</f>
        <v>26292.5887615371</v>
      </c>
      <c r="BG95" s="15" t="n">
        <f aca="false">BD95*INDEX(Ipotesi!$C$33:$G$33,1,F95)*H95</f>
        <v>331327.85726845</v>
      </c>
      <c r="BH95" s="15" t="n">
        <f aca="false">AM95*INDEX(Ipotesi!$C$37:$G$37,1,F95)</f>
        <v>6050</v>
      </c>
      <c r="BI95" s="15" t="n">
        <f aca="false">AQ95+BF95+BH95</f>
        <v>74009.2554282038</v>
      </c>
      <c r="BJ95" s="15" t="n">
        <f aca="false">INDEX(Ipotesi!$C$68:$G$68,1,F95)*Ipotesi!$C$69/12</f>
        <v>2400</v>
      </c>
      <c r="BK95" s="15" t="n">
        <f aca="false">INDEX(Ipotesi!$C$68:$G$68,1,F95)*(1-Ipotesi!$C$69)/12</f>
        <v>3600</v>
      </c>
      <c r="BL95" s="15" t="n">
        <f aca="false">(AQ95+BF95)*Ipotesi!$C$67</f>
        <v>2038.77766284611</v>
      </c>
      <c r="BM95" s="15" t="n">
        <f aca="false">AM95*Ipotesi!$C$67</f>
        <v>1815</v>
      </c>
      <c r="BN95" s="15" t="n">
        <f aca="false">INDEX(Ipotesi!$C$72:$G$72,1,F95)/12*Ipotesi!D126+BF95*Ipotesi!$C$73</f>
        <v>3353.40710092297</v>
      </c>
      <c r="BO95" s="15" t="n">
        <f aca="false">INDEX(Ipotesi!$C$74:$G$74,1,F95)/12*Ipotesi!D126</f>
        <v>2916.66666666667</v>
      </c>
      <c r="BP95" s="15" t="n">
        <f aca="false">INDEX(Ipotesi!$C$76:$G$76,1,F95)/12</f>
        <v>1083.33333333333</v>
      </c>
      <c r="BQ95" s="15" t="n">
        <f aca="false">INDEX(Ipotesi!$C$77:$G$77,1,F95)/12*Ipotesi!D126</f>
        <v>2083.33333333333</v>
      </c>
      <c r="BR95" s="15" t="n">
        <f aca="false">INDEX(Ipotesi!$C$78:$G$78,1,F95)/12</f>
        <v>1666.66666666667</v>
      </c>
      <c r="BS95" s="15" t="n">
        <f aca="false">SUM(M95:R95)*(Ipotesi!$C$85+Ipotesi!$C$86)/12</f>
        <v>4812.5</v>
      </c>
      <c r="BT95" s="15" t="n">
        <f aca="false">BI95*Ipotesi!$C$87</f>
        <v>2220.27766284611</v>
      </c>
      <c r="BU95" s="15" t="n">
        <f aca="false">INDEX(Ipotesi!$C$55:$G$55,1,F95)*K95/12</f>
        <v>1500</v>
      </c>
      <c r="BV95" s="15" t="n">
        <f aca="false">INDEX(Ipotesi!$C$80:$G$80,1,F95)/12*Ipotesi!D126</f>
        <v>1250</v>
      </c>
      <c r="BW95" s="15" t="n">
        <f aca="false">INDEX(Ipotesi!$C$82:$G$82,1,F95)/12</f>
        <v>1000</v>
      </c>
      <c r="BX95" s="15" t="n">
        <f aca="false">INDEX(Ipotesi!$C$83:$G$83,1,F95)/12</f>
        <v>666.666666666667</v>
      </c>
      <c r="BY95" s="15" t="n">
        <f aca="false">SUM(S95:U95)*(Ipotesi!$C$85+Ipotesi!$C$86)/12</f>
        <v>1895.83333333333</v>
      </c>
      <c r="BZ95" s="15" t="n">
        <f aca="false">AM95*Ipotesi!$C$87</f>
        <v>1815</v>
      </c>
      <c r="CA95" s="15" t="n">
        <f aca="false">AB95+BJ95+BL95+BN95+BO95+AR95+BP95+BQ95+BR95+BS95+BT95</f>
        <v>116848.629093282</v>
      </c>
      <c r="CB95" s="15" t="n">
        <f aca="false">AC95+BK95+BM95+BH95+BU95+BV95+AS95+BW95+BX95+BY95+BZ95</f>
        <v>46259.8958333333</v>
      </c>
      <c r="CC95" s="15" t="n">
        <f aca="false">BI95-CA95</f>
        <v>-42839.3736650781</v>
      </c>
      <c r="CD95" s="15" t="n">
        <f aca="false">AM95-CB95</f>
        <v>14240.1041666667</v>
      </c>
      <c r="CE95" s="15" t="n">
        <f aca="false">INDEX(Ipotesi!$C$79:$G$79,1,F95)/12</f>
        <v>2500</v>
      </c>
      <c r="CF95" s="15" t="n">
        <f aca="false">INDEX(Ipotesi!$C$84:$G$84,1,F95)/12</f>
        <v>416.666666666667</v>
      </c>
      <c r="CG95" s="15" t="n">
        <f aca="false">Y95*MAX(0,Parametri_v3!$C$12-IF(P95=0,0,MIN(1,BE95/(P95*Parametri_v3!$C$22))))+W95*Parametri_v3!$C$13+X95*Parametri_v3!$C$14</f>
        <v>26638.9493257168</v>
      </c>
      <c r="CH95" s="15" t="n">
        <f aca="false">AB95*Parametri_v3!$C$32</f>
        <v>3713.68333333333</v>
      </c>
      <c r="CI95" s="15" t="n">
        <f aca="false">AC95*Parametri_v3!$C$32</f>
        <v>1270.86979166667</v>
      </c>
      <c r="CJ95" s="15" t="n">
        <f aca="false">CA95-AB95</f>
        <v>42574.9624266152</v>
      </c>
      <c r="CK95" s="15" t="n">
        <f aca="false">CB95-AC95-BH95</f>
        <v>14792.5</v>
      </c>
      <c r="CL95" s="15" t="n">
        <f aca="false">BF95*Ipotesi!$C$73+INDEX(Ipotesi!$C$72:$G$72,1,F95)/12*Ipotesi!D126*Parametri_v3!$C$58+Z95*(1-Parametri_v3!$C$16)</f>
        <v>8127.45710092297</v>
      </c>
      <c r="CM95" s="16" t="n">
        <f aca="false">IF(BF95=0,0,1-CL95/BF95)</f>
        <v>0.690884105226928</v>
      </c>
    </row>
    <row r="96" customFormat="false" ht="18" hidden="false" customHeight="true" outlineLevel="0" collapsed="false">
      <c r="A96" s="68" t="n">
        <f aca="false">2</f>
        <v>2</v>
      </c>
      <c r="B96" s="68" t="n">
        <f aca="false">32</f>
        <v>32</v>
      </c>
      <c r="C96" s="18" t="n">
        <f aca="false">EDATE(Parametri_v3!$C$5,32-1)</f>
        <v>47331</v>
      </c>
      <c r="D96" s="68" t="n">
        <f aca="false">YEAR(C96)</f>
        <v>2029</v>
      </c>
      <c r="E96" s="68" t="n">
        <f aca="false">MONTH(C96)</f>
        <v>8</v>
      </c>
      <c r="F96" s="68" t="n">
        <f aca="false">INT((32-1)/12)+1</f>
        <v>3</v>
      </c>
      <c r="G96" s="15" t="n">
        <f aca="false">Ipotesi!D7</f>
        <v>1</v>
      </c>
      <c r="H96" s="15" t="n">
        <f aca="false">Ipotesi!D9</f>
        <v>1</v>
      </c>
      <c r="I96" s="15" t="n">
        <f aca="false">Ipotesi!D10</f>
        <v>1</v>
      </c>
      <c r="J96" s="15" t="n">
        <f aca="false">Ipotesi!D11</f>
        <v>1</v>
      </c>
      <c r="K96" s="15" t="n">
        <f aca="false">Ipotesi!D12</f>
        <v>1</v>
      </c>
      <c r="L96" s="15" t="n">
        <f aca="false">Ipotesi!D13</f>
        <v>90</v>
      </c>
      <c r="M96" s="17" t="n">
        <f aca="false">INDEX(Ipotesi!$C$40:$G$40,1,F96)</f>
        <v>1</v>
      </c>
      <c r="N96" s="17" t="n">
        <f aca="false">INDEX(Ipotesi!$C$41:$G$41,1,F96)</f>
        <v>1</v>
      </c>
      <c r="O96" s="17" t="n">
        <f aca="false">INDEX(Ipotesi!$C$42:$G$42,1,F96)*Ipotesi!D125</f>
        <v>4.5</v>
      </c>
      <c r="P96" s="17" t="n">
        <f aca="false">INDEX(Ipotesi!$C$43:$G$43,1,F96)*I96</f>
        <v>5</v>
      </c>
      <c r="Q96" s="17" t="n">
        <f aca="false">INDEX(Ipotesi!$C$44:$G$44,1,F96)*I96</f>
        <v>4</v>
      </c>
      <c r="R96" s="17" t="n">
        <f aca="false">INDEX(Ipotesi!$C$45:$G$45,1,F96)*I96</f>
        <v>1</v>
      </c>
      <c r="S96" s="17" t="n">
        <f aca="false">INDEX(Ipotesi!$C$52:$G$52,1,F96)*Ipotesi!D125</f>
        <v>5</v>
      </c>
      <c r="T96" s="17" t="n">
        <f aca="false">INDEX(Ipotesi!$C$53:$G$53,1,F96)*I96</f>
        <v>1</v>
      </c>
      <c r="U96" s="17" t="n">
        <f aca="false">INDEX(Ipotesi!$C$54:$G$54,1,F96)*I96</f>
        <v>0.5</v>
      </c>
      <c r="V96" s="15" t="n">
        <f aca="false">M96*INDEX(Ipotesi!$C$58:$G$58,1,F96)*K96/12</f>
        <v>7083.33333333333</v>
      </c>
      <c r="W96" s="15" t="n">
        <f aca="false">N96*Ipotesi!$C$59*(1+Ipotesi!$C$66)^(F96-1)/12</f>
        <v>6188.58333333333</v>
      </c>
      <c r="X96" s="15" t="n">
        <f aca="false">O96*Ipotesi!$C$60*(1+Ipotesi!$C$66)^(F96-1)/12</f>
        <v>19891.875</v>
      </c>
      <c r="Y96" s="15" t="n">
        <f aca="false">P96*Ipotesi!$C$61*(1+Ipotesi!$C$66)^(F96-1)/12</f>
        <v>22102.0833333333</v>
      </c>
      <c r="Z96" s="15" t="n">
        <f aca="false">Q96*Ipotesi!$C$62*(1+Ipotesi!$C$66)^(F96-1)/12</f>
        <v>15913.5</v>
      </c>
      <c r="AA96" s="15" t="n">
        <f aca="false">R96*Ipotesi!$C$63*(1+Ipotesi!$C$66)^(F96-1)/12</f>
        <v>3094.29166666667</v>
      </c>
      <c r="AB96" s="15" t="n">
        <f aca="false">SUM(V96:AA96)</f>
        <v>74273.6666666667</v>
      </c>
      <c r="AC96" s="15" t="n">
        <f aca="false">(S96*Ipotesi!$C$64+T96*Ipotesi!$C$65+U96*Ipotesi!$C$63)*(1+Ipotesi!$C$66)^(F96-1)/12</f>
        <v>25417.3958333333</v>
      </c>
      <c r="AD96" s="15" t="n">
        <f aca="false">INDEX(Ipotesi!$C$48:$G$48,1,F96)*G96/12</f>
        <v>60</v>
      </c>
      <c r="AE96" s="15" t="n">
        <f aca="false">INDEX(Ipotesi!$C$50:$G$50,1,F96)*G96/12</f>
        <v>6.66666666666667</v>
      </c>
      <c r="AF96" s="15" t="n">
        <f aca="false">(S96*Parametri_v3!$C$7*Parametri_v3!$C$8+Parametri_v3!$C$10)/12</f>
        <v>64.1666666666667</v>
      </c>
      <c r="AG96" s="15" t="n">
        <f aca="false">AD96+AE96*(1+Parametri_v3!$C$9)</f>
        <v>70</v>
      </c>
      <c r="AH96" s="16" t="n">
        <f aca="false">IF(AG96=0,1,MIN(1,AF96/AG96))</f>
        <v>0.916666666666667</v>
      </c>
      <c r="AI96" s="15" t="n">
        <f aca="false">AD96*AH96</f>
        <v>55</v>
      </c>
      <c r="AJ96" s="15" t="n">
        <f aca="false">AE96*AH96</f>
        <v>6.11111111111111</v>
      </c>
      <c r="AK96" s="15" t="n">
        <f aca="false">AI96*INDEX(Ipotesi!$C$49:$G$49,1,F96)*H96</f>
        <v>46750</v>
      </c>
      <c r="AL96" s="15" t="n">
        <f aca="false">AJ96*INDEX(Ipotesi!$C$51:$G$51,1,F96)*H96</f>
        <v>13750</v>
      </c>
      <c r="AM96" s="15" t="n">
        <f aca="false">AK96+AL96</f>
        <v>60500</v>
      </c>
      <c r="AN96" s="15" t="n">
        <f aca="false">INDEX(Ipotesi!$C$30:$G$30,1,F96)*G96/12</f>
        <v>41.6666666666667</v>
      </c>
      <c r="AO96" s="15" t="n">
        <f aca="false">O96*Parametri_v3!$C$7*Parametri_v3!$C$11*(1-Parametri_v3!$C$14)/12</f>
        <v>46.2</v>
      </c>
      <c r="AP96" s="15" t="n">
        <f aca="false">MIN(AN96,AO96)</f>
        <v>41.6666666666667</v>
      </c>
      <c r="AQ96" s="15" t="n">
        <f aca="false">AP96*INDEX(Ipotesi!$C$31:$G$31,1,F96)*H96</f>
        <v>41666.6666666667</v>
      </c>
      <c r="AR96" s="15" t="n">
        <f aca="false">INDEX(Ipotesi!$C$75:$G$75,1,F96)*J96/12</f>
        <v>20000</v>
      </c>
      <c r="AS96" s="15" t="n">
        <f aca="false">INDEX(Ipotesi!$C$81:$G$81,1,F96)*J96/12</f>
        <v>1250</v>
      </c>
      <c r="AT96" s="15" t="n">
        <f aca="false">AR96*Parametri_v3!$C$15+Z96*Parametri_v3!$C$16</f>
        <v>31139.45</v>
      </c>
      <c r="AU96" s="15" t="n">
        <f aca="false">Q96*Parametri_v3!$C$16*Parametri_v3!$C$17</f>
        <v>280</v>
      </c>
      <c r="AV96" s="17" t="n">
        <f aca="false">BD95</f>
        <v>60.2414285942637</v>
      </c>
      <c r="AW96" s="17" t="n">
        <f aca="false">AV96*(1-(1-INDEX(Ipotesi!$C$34:$G$34,1,F96))^(1/12))</f>
        <v>0.526607132126196</v>
      </c>
      <c r="AX96" s="15" t="n">
        <f aca="false">ROUND(INDEX(Ipotesi!$C$32:$G$32,1,F96)*Ipotesi!D8,0)</f>
        <v>130</v>
      </c>
      <c r="AY96" s="15" t="n">
        <f aca="false">MAX(0,(AX96-(AV96-AW96))/(13-E96))</f>
        <v>14.0570357075725</v>
      </c>
      <c r="AZ96" s="15" t="n">
        <f aca="false">MIN(P96*Parametri_v3!$C$22,Q96*(1-Parametri_v3!$C$16)*Parametri_v3!$C$23)</f>
        <v>180</v>
      </c>
      <c r="BA96" s="15" t="n">
        <f aca="false">IF(OR(INDEX(Ipotesi!$C$35:$G$35,1,F96)&lt;=0,32-Parametri_v3!$C$21&lt;1),0,INDEX($AT$65:$AT$124,MAX(1,32-Parametri_v3!$C$21))/(INDEX(Ipotesi!$C$35:$G$35,1,F96)*Ipotesi!D27))</f>
        <v>6.22789</v>
      </c>
      <c r="BB96" s="15" t="n">
        <f aca="false">IF(32-Parametri_v3!$C$21&lt;1,0,INDEX($AU$65:$AU$124,MAX(1,32-Parametri_v3!$C$21)))*Parametri_v3!$C$18*Parametri_v3!$C$19*Parametri_v3!$C$20</f>
        <v>10.5</v>
      </c>
      <c r="BC96" s="17" t="n">
        <f aca="false">MAX(0,MIN(AY96,BA96,BB96,MAX(0,AZ96-(AV96-AW96))))</f>
        <v>6.22789</v>
      </c>
      <c r="BD96" s="17" t="n">
        <f aca="false">AV96-AW96+BC96</f>
        <v>65.9427114621375</v>
      </c>
      <c r="BE96" s="17" t="n">
        <f aca="false">(AV96+BD96)/2</f>
        <v>63.0920700282006</v>
      </c>
      <c r="BF96" s="15" t="n">
        <f aca="false">BE96*INDEX(Ipotesi!$C$33:$G$33,1,F96)*H96/12</f>
        <v>28917.1987629253</v>
      </c>
      <c r="BG96" s="15" t="n">
        <f aca="false">BD96*INDEX(Ipotesi!$C$33:$G$33,1,F96)*H96</f>
        <v>362684.913041756</v>
      </c>
      <c r="BH96" s="15" t="n">
        <f aca="false">AM96*INDEX(Ipotesi!$C$37:$G$37,1,F96)</f>
        <v>6050</v>
      </c>
      <c r="BI96" s="15" t="n">
        <f aca="false">AQ96+BF96+BH96</f>
        <v>76633.8654295919</v>
      </c>
      <c r="BJ96" s="15" t="n">
        <f aca="false">INDEX(Ipotesi!$C$68:$G$68,1,F96)*Ipotesi!$C$69/12</f>
        <v>2400</v>
      </c>
      <c r="BK96" s="15" t="n">
        <f aca="false">INDEX(Ipotesi!$C$68:$G$68,1,F96)*(1-Ipotesi!$C$69)/12</f>
        <v>3600</v>
      </c>
      <c r="BL96" s="15" t="n">
        <f aca="false">(AQ96+BF96)*Ipotesi!$C$67</f>
        <v>2117.51596288776</v>
      </c>
      <c r="BM96" s="15" t="n">
        <f aca="false">AM96*Ipotesi!$C$67</f>
        <v>1815</v>
      </c>
      <c r="BN96" s="15" t="n">
        <f aca="false">INDEX(Ipotesi!$C$72:$G$72,1,F96)/12*Ipotesi!D126+BF96*Ipotesi!$C$73</f>
        <v>3563.37590103402</v>
      </c>
      <c r="BO96" s="15" t="n">
        <f aca="false">INDEX(Ipotesi!$C$74:$G$74,1,F96)/12*Ipotesi!D126</f>
        <v>2916.66666666667</v>
      </c>
      <c r="BP96" s="15" t="n">
        <f aca="false">INDEX(Ipotesi!$C$76:$G$76,1,F96)/12</f>
        <v>1083.33333333333</v>
      </c>
      <c r="BQ96" s="15" t="n">
        <f aca="false">INDEX(Ipotesi!$C$77:$G$77,1,F96)/12*Ipotesi!D126</f>
        <v>2083.33333333333</v>
      </c>
      <c r="BR96" s="15" t="n">
        <f aca="false">INDEX(Ipotesi!$C$78:$G$78,1,F96)/12</f>
        <v>1666.66666666667</v>
      </c>
      <c r="BS96" s="15" t="n">
        <f aca="false">SUM(M96:R96)*(Ipotesi!$C$85+Ipotesi!$C$86)/12</f>
        <v>4812.5</v>
      </c>
      <c r="BT96" s="15" t="n">
        <f aca="false">BI96*Ipotesi!$C$87</f>
        <v>2299.01596288776</v>
      </c>
      <c r="BU96" s="15" t="n">
        <f aca="false">INDEX(Ipotesi!$C$55:$G$55,1,F96)*K96/12</f>
        <v>1500</v>
      </c>
      <c r="BV96" s="15" t="n">
        <f aca="false">INDEX(Ipotesi!$C$80:$G$80,1,F96)/12*Ipotesi!D126</f>
        <v>1250</v>
      </c>
      <c r="BW96" s="15" t="n">
        <f aca="false">INDEX(Ipotesi!$C$82:$G$82,1,F96)/12</f>
        <v>1000</v>
      </c>
      <c r="BX96" s="15" t="n">
        <f aca="false">INDEX(Ipotesi!$C$83:$G$83,1,F96)/12</f>
        <v>666.666666666667</v>
      </c>
      <c r="BY96" s="15" t="n">
        <f aca="false">SUM(S96:U96)*(Ipotesi!$C$85+Ipotesi!$C$86)/12</f>
        <v>1895.83333333333</v>
      </c>
      <c r="BZ96" s="15" t="n">
        <f aca="false">AM96*Ipotesi!$C$87</f>
        <v>1815</v>
      </c>
      <c r="CA96" s="15" t="n">
        <f aca="false">AB96+BJ96+BL96+BN96+BO96+AR96+BP96+BQ96+BR96+BS96+BT96</f>
        <v>117216.074493476</v>
      </c>
      <c r="CB96" s="15" t="n">
        <f aca="false">AC96+BK96+BM96+BH96+BU96+BV96+AS96+BW96+BX96+BY96+BZ96</f>
        <v>46259.8958333333</v>
      </c>
      <c r="CC96" s="15" t="n">
        <f aca="false">BI96-CA96</f>
        <v>-40582.2090638843</v>
      </c>
      <c r="CD96" s="15" t="n">
        <f aca="false">AM96-CB96</f>
        <v>14240.1041666667</v>
      </c>
      <c r="CE96" s="15" t="n">
        <f aca="false">INDEX(Ipotesi!$C$79:$G$79,1,F96)/12</f>
        <v>2500</v>
      </c>
      <c r="CF96" s="15" t="n">
        <f aca="false">INDEX(Ipotesi!$C$84:$G$84,1,F96)/12</f>
        <v>416.666666666667</v>
      </c>
      <c r="CG96" s="15" t="n">
        <f aca="false">Y96*MAX(0,Parametri_v3!$C$12-IF(P96=0,0,MIN(1,BE96/(P96*Parametri_v3!$C$22))))+W96*Parametri_v3!$C$13+X96*Parametri_v3!$C$14</f>
        <v>26385.8176211284</v>
      </c>
      <c r="CH96" s="15" t="n">
        <f aca="false">AB96*Parametri_v3!$C$32</f>
        <v>3713.68333333333</v>
      </c>
      <c r="CI96" s="15" t="n">
        <f aca="false">AC96*Parametri_v3!$C$32</f>
        <v>1270.86979166667</v>
      </c>
      <c r="CJ96" s="15" t="n">
        <f aca="false">CA96-AB96</f>
        <v>42942.4078268096</v>
      </c>
      <c r="CK96" s="15" t="n">
        <f aca="false">CB96-AC96-BH96</f>
        <v>14792.5</v>
      </c>
      <c r="CL96" s="15" t="n">
        <f aca="false">BF96*Ipotesi!$C$73+INDEX(Ipotesi!$C$72:$G$72,1,F96)/12*Ipotesi!D126*Parametri_v3!$C$58+Z96*(1-Parametri_v3!$C$16)</f>
        <v>8337.42590103402</v>
      </c>
      <c r="CM96" s="16" t="n">
        <f aca="false">IF(BF96=0,0,1-CL96/BF96)</f>
        <v>0.71167933763614</v>
      </c>
    </row>
    <row r="97" customFormat="false" ht="18" hidden="false" customHeight="true" outlineLevel="0" collapsed="false">
      <c r="A97" s="68" t="n">
        <f aca="false">2</f>
        <v>2</v>
      </c>
      <c r="B97" s="68" t="n">
        <f aca="false">33</f>
        <v>33</v>
      </c>
      <c r="C97" s="18" t="n">
        <f aca="false">EDATE(Parametri_v3!$C$5,33-1)</f>
        <v>47362</v>
      </c>
      <c r="D97" s="68" t="n">
        <f aca="false">YEAR(C97)</f>
        <v>2029</v>
      </c>
      <c r="E97" s="68" t="n">
        <f aca="false">MONTH(C97)</f>
        <v>9</v>
      </c>
      <c r="F97" s="68" t="n">
        <f aca="false">INT((33-1)/12)+1</f>
        <v>3</v>
      </c>
      <c r="G97" s="15" t="n">
        <f aca="false">Ipotesi!D7</f>
        <v>1</v>
      </c>
      <c r="H97" s="15" t="n">
        <f aca="false">Ipotesi!D9</f>
        <v>1</v>
      </c>
      <c r="I97" s="15" t="n">
        <f aca="false">Ipotesi!D10</f>
        <v>1</v>
      </c>
      <c r="J97" s="15" t="n">
        <f aca="false">Ipotesi!D11</f>
        <v>1</v>
      </c>
      <c r="K97" s="15" t="n">
        <f aca="false">Ipotesi!D12</f>
        <v>1</v>
      </c>
      <c r="L97" s="15" t="n">
        <f aca="false">Ipotesi!D13</f>
        <v>90</v>
      </c>
      <c r="M97" s="17" t="n">
        <f aca="false">INDEX(Ipotesi!$C$40:$G$40,1,F97)</f>
        <v>1</v>
      </c>
      <c r="N97" s="17" t="n">
        <f aca="false">INDEX(Ipotesi!$C$41:$G$41,1,F97)</f>
        <v>1</v>
      </c>
      <c r="O97" s="17" t="n">
        <f aca="false">INDEX(Ipotesi!$C$42:$G$42,1,F97)*Ipotesi!D125</f>
        <v>4.5</v>
      </c>
      <c r="P97" s="17" t="n">
        <f aca="false">INDEX(Ipotesi!$C$43:$G$43,1,F97)*I97</f>
        <v>5</v>
      </c>
      <c r="Q97" s="17" t="n">
        <f aca="false">INDEX(Ipotesi!$C$44:$G$44,1,F97)*I97</f>
        <v>4</v>
      </c>
      <c r="R97" s="17" t="n">
        <f aca="false">INDEX(Ipotesi!$C$45:$G$45,1,F97)*I97</f>
        <v>1</v>
      </c>
      <c r="S97" s="17" t="n">
        <f aca="false">INDEX(Ipotesi!$C$52:$G$52,1,F97)*Ipotesi!D125</f>
        <v>5</v>
      </c>
      <c r="T97" s="17" t="n">
        <f aca="false">INDEX(Ipotesi!$C$53:$G$53,1,F97)*I97</f>
        <v>1</v>
      </c>
      <c r="U97" s="17" t="n">
        <f aca="false">INDEX(Ipotesi!$C$54:$G$54,1,F97)*I97</f>
        <v>0.5</v>
      </c>
      <c r="V97" s="15" t="n">
        <f aca="false">M97*INDEX(Ipotesi!$C$58:$G$58,1,F97)*K97/12</f>
        <v>7083.33333333333</v>
      </c>
      <c r="W97" s="15" t="n">
        <f aca="false">N97*Ipotesi!$C$59*(1+Ipotesi!$C$66)^(F97-1)/12</f>
        <v>6188.58333333333</v>
      </c>
      <c r="X97" s="15" t="n">
        <f aca="false">O97*Ipotesi!$C$60*(1+Ipotesi!$C$66)^(F97-1)/12</f>
        <v>19891.875</v>
      </c>
      <c r="Y97" s="15" t="n">
        <f aca="false">P97*Ipotesi!$C$61*(1+Ipotesi!$C$66)^(F97-1)/12</f>
        <v>22102.0833333333</v>
      </c>
      <c r="Z97" s="15" t="n">
        <f aca="false">Q97*Ipotesi!$C$62*(1+Ipotesi!$C$66)^(F97-1)/12</f>
        <v>15913.5</v>
      </c>
      <c r="AA97" s="15" t="n">
        <f aca="false">R97*Ipotesi!$C$63*(1+Ipotesi!$C$66)^(F97-1)/12</f>
        <v>3094.29166666667</v>
      </c>
      <c r="AB97" s="15" t="n">
        <f aca="false">SUM(V97:AA97)</f>
        <v>74273.6666666667</v>
      </c>
      <c r="AC97" s="15" t="n">
        <f aca="false">(S97*Ipotesi!$C$64+T97*Ipotesi!$C$65+U97*Ipotesi!$C$63)*(1+Ipotesi!$C$66)^(F97-1)/12</f>
        <v>25417.3958333333</v>
      </c>
      <c r="AD97" s="15" t="n">
        <f aca="false">INDEX(Ipotesi!$C$48:$G$48,1,F97)*G97/12</f>
        <v>60</v>
      </c>
      <c r="AE97" s="15" t="n">
        <f aca="false">INDEX(Ipotesi!$C$50:$G$50,1,F97)*G97/12</f>
        <v>6.66666666666667</v>
      </c>
      <c r="AF97" s="15" t="n">
        <f aca="false">(S97*Parametri_v3!$C$7*Parametri_v3!$C$8+Parametri_v3!$C$10)/12</f>
        <v>64.1666666666667</v>
      </c>
      <c r="AG97" s="15" t="n">
        <f aca="false">AD97+AE97*(1+Parametri_v3!$C$9)</f>
        <v>70</v>
      </c>
      <c r="AH97" s="16" t="n">
        <f aca="false">IF(AG97=0,1,MIN(1,AF97/AG97))</f>
        <v>0.916666666666667</v>
      </c>
      <c r="AI97" s="15" t="n">
        <f aca="false">AD97*AH97</f>
        <v>55</v>
      </c>
      <c r="AJ97" s="15" t="n">
        <f aca="false">AE97*AH97</f>
        <v>6.11111111111111</v>
      </c>
      <c r="AK97" s="15" t="n">
        <f aca="false">AI97*INDEX(Ipotesi!$C$49:$G$49,1,F97)*H97</f>
        <v>46750</v>
      </c>
      <c r="AL97" s="15" t="n">
        <f aca="false">AJ97*INDEX(Ipotesi!$C$51:$G$51,1,F97)*H97</f>
        <v>13750</v>
      </c>
      <c r="AM97" s="15" t="n">
        <f aca="false">AK97+AL97</f>
        <v>60500</v>
      </c>
      <c r="AN97" s="15" t="n">
        <f aca="false">INDEX(Ipotesi!$C$30:$G$30,1,F97)*G97/12</f>
        <v>41.6666666666667</v>
      </c>
      <c r="AO97" s="15" t="n">
        <f aca="false">O97*Parametri_v3!$C$7*Parametri_v3!$C$11*(1-Parametri_v3!$C$14)/12</f>
        <v>46.2</v>
      </c>
      <c r="AP97" s="15" t="n">
        <f aca="false">MIN(AN97,AO97)</f>
        <v>41.6666666666667</v>
      </c>
      <c r="AQ97" s="15" t="n">
        <f aca="false">AP97*INDEX(Ipotesi!$C$31:$G$31,1,F97)*H97</f>
        <v>41666.6666666667</v>
      </c>
      <c r="AR97" s="15" t="n">
        <f aca="false">INDEX(Ipotesi!$C$75:$G$75,1,F97)*J97/12</f>
        <v>20000</v>
      </c>
      <c r="AS97" s="15" t="n">
        <f aca="false">INDEX(Ipotesi!$C$81:$G$81,1,F97)*J97/12</f>
        <v>1250</v>
      </c>
      <c r="AT97" s="15" t="n">
        <f aca="false">AR97*Parametri_v3!$C$15+Z97*Parametri_v3!$C$16</f>
        <v>31139.45</v>
      </c>
      <c r="AU97" s="15" t="n">
        <f aca="false">Q97*Parametri_v3!$C$16*Parametri_v3!$C$17</f>
        <v>280</v>
      </c>
      <c r="AV97" s="17" t="n">
        <f aca="false">BD96</f>
        <v>65.9427114621375</v>
      </c>
      <c r="AW97" s="17" t="n">
        <f aca="false">AV97*(1-(1-INDEX(Ipotesi!$C$34:$G$34,1,F97))^(1/12))</f>
        <v>0.576445528899826</v>
      </c>
      <c r="AX97" s="15" t="n">
        <f aca="false">ROUND(INDEX(Ipotesi!$C$32:$G$32,1,F97)*Ipotesi!D8,0)</f>
        <v>130</v>
      </c>
      <c r="AY97" s="15" t="n">
        <f aca="false">MAX(0,(AX97-(AV97-AW97))/(13-E97))</f>
        <v>16.1584335166906</v>
      </c>
      <c r="AZ97" s="15" t="n">
        <f aca="false">MIN(P97*Parametri_v3!$C$22,Q97*(1-Parametri_v3!$C$16)*Parametri_v3!$C$23)</f>
        <v>180</v>
      </c>
      <c r="BA97" s="15" t="n">
        <f aca="false">IF(OR(INDEX(Ipotesi!$C$35:$G$35,1,F97)&lt;=0,33-Parametri_v3!$C$21&lt;1),0,INDEX($AT$65:$AT$124,MAX(1,33-Parametri_v3!$C$21))/(INDEX(Ipotesi!$C$35:$G$35,1,F97)*Ipotesi!D27))</f>
        <v>6.22789</v>
      </c>
      <c r="BB97" s="15" t="n">
        <f aca="false">IF(33-Parametri_v3!$C$21&lt;1,0,INDEX($AU$65:$AU$124,MAX(1,33-Parametri_v3!$C$21)))*Parametri_v3!$C$18*Parametri_v3!$C$19*Parametri_v3!$C$20</f>
        <v>10.5</v>
      </c>
      <c r="BC97" s="17" t="n">
        <f aca="false">MAX(0,MIN(AY97,BA97,BB97,MAX(0,AZ97-(AV97-AW97))))</f>
        <v>6.22789</v>
      </c>
      <c r="BD97" s="17" t="n">
        <f aca="false">AV97-AW97+BC97</f>
        <v>71.5941559332377</v>
      </c>
      <c r="BE97" s="17" t="n">
        <f aca="false">(AV97+BD97)/2</f>
        <v>68.7684336976876</v>
      </c>
      <c r="BF97" s="15" t="n">
        <f aca="false">BE97*INDEX(Ipotesi!$C$33:$G$33,1,F97)*H97/12</f>
        <v>31518.8654447735</v>
      </c>
      <c r="BG97" s="15" t="n">
        <f aca="false">BD97*INDEX(Ipotesi!$C$33:$G$33,1,F97)*H97</f>
        <v>393767.857632807</v>
      </c>
      <c r="BH97" s="15" t="n">
        <f aca="false">AM97*INDEX(Ipotesi!$C$37:$G$37,1,F97)</f>
        <v>6050</v>
      </c>
      <c r="BI97" s="15" t="n">
        <f aca="false">AQ97+BF97+BH97</f>
        <v>79235.5321114401</v>
      </c>
      <c r="BJ97" s="15" t="n">
        <f aca="false">INDEX(Ipotesi!$C$68:$G$68,1,F97)*Ipotesi!$C$69/12</f>
        <v>2400</v>
      </c>
      <c r="BK97" s="15" t="n">
        <f aca="false">INDEX(Ipotesi!$C$68:$G$68,1,F97)*(1-Ipotesi!$C$69)/12</f>
        <v>3600</v>
      </c>
      <c r="BL97" s="15" t="n">
        <f aca="false">(AQ97+BF97)*Ipotesi!$C$67</f>
        <v>2195.5659633432</v>
      </c>
      <c r="BM97" s="15" t="n">
        <f aca="false">AM97*Ipotesi!$C$67</f>
        <v>1815</v>
      </c>
      <c r="BN97" s="15" t="n">
        <f aca="false">INDEX(Ipotesi!$C$72:$G$72,1,F97)/12*Ipotesi!D126+BF97*Ipotesi!$C$73</f>
        <v>3771.50923558188</v>
      </c>
      <c r="BO97" s="15" t="n">
        <f aca="false">INDEX(Ipotesi!$C$74:$G$74,1,F97)/12*Ipotesi!D126</f>
        <v>2916.66666666667</v>
      </c>
      <c r="BP97" s="15" t="n">
        <f aca="false">INDEX(Ipotesi!$C$76:$G$76,1,F97)/12</f>
        <v>1083.33333333333</v>
      </c>
      <c r="BQ97" s="15" t="n">
        <f aca="false">INDEX(Ipotesi!$C$77:$G$77,1,F97)/12*Ipotesi!D126</f>
        <v>2083.33333333333</v>
      </c>
      <c r="BR97" s="15" t="n">
        <f aca="false">INDEX(Ipotesi!$C$78:$G$78,1,F97)/12</f>
        <v>1666.66666666667</v>
      </c>
      <c r="BS97" s="15" t="n">
        <f aca="false">SUM(M97:R97)*(Ipotesi!$C$85+Ipotesi!$C$86)/12</f>
        <v>4812.5</v>
      </c>
      <c r="BT97" s="15" t="n">
        <f aca="false">BI97*Ipotesi!$C$87</f>
        <v>2377.0659633432</v>
      </c>
      <c r="BU97" s="15" t="n">
        <f aca="false">INDEX(Ipotesi!$C$55:$G$55,1,F97)*K97/12</f>
        <v>1500</v>
      </c>
      <c r="BV97" s="15" t="n">
        <f aca="false">INDEX(Ipotesi!$C$80:$G$80,1,F97)/12*Ipotesi!D126</f>
        <v>1250</v>
      </c>
      <c r="BW97" s="15" t="n">
        <f aca="false">INDEX(Ipotesi!$C$82:$G$82,1,F97)/12</f>
        <v>1000</v>
      </c>
      <c r="BX97" s="15" t="n">
        <f aca="false">INDEX(Ipotesi!$C$83:$G$83,1,F97)/12</f>
        <v>666.666666666667</v>
      </c>
      <c r="BY97" s="15" t="n">
        <f aca="false">SUM(S97:U97)*(Ipotesi!$C$85+Ipotesi!$C$86)/12</f>
        <v>1895.83333333333</v>
      </c>
      <c r="BZ97" s="15" t="n">
        <f aca="false">AM97*Ipotesi!$C$87</f>
        <v>1815</v>
      </c>
      <c r="CA97" s="15" t="n">
        <f aca="false">AB97+BJ97+BL97+BN97+BO97+AR97+BP97+BQ97+BR97+BS97+BT97</f>
        <v>117580.307828935</v>
      </c>
      <c r="CB97" s="15" t="n">
        <f aca="false">AC97+BK97+BM97+BH97+BU97+BV97+AS97+BW97+BX97+BY97+BZ97</f>
        <v>46259.8958333333</v>
      </c>
      <c r="CC97" s="15" t="n">
        <f aca="false">BI97-CA97</f>
        <v>-38344.7757174948</v>
      </c>
      <c r="CD97" s="15" t="n">
        <f aca="false">AM97-CB97</f>
        <v>14240.1041666667</v>
      </c>
      <c r="CE97" s="15" t="n">
        <f aca="false">INDEX(Ipotesi!$C$79:$G$79,1,F97)/12</f>
        <v>2500</v>
      </c>
      <c r="CF97" s="15" t="n">
        <f aca="false">INDEX(Ipotesi!$C$84:$G$84,1,F97)/12</f>
        <v>416.666666666667</v>
      </c>
      <c r="CG97" s="15" t="n">
        <f aca="false">Y97*MAX(0,Parametri_v3!$C$12-IF(P97=0,0,MIN(1,BE97/(P97*Parametri_v3!$C$22))))+W97*Parametri_v3!$C$13+X97*Parametri_v3!$C$14</f>
        <v>26134.8986954218</v>
      </c>
      <c r="CH97" s="15" t="n">
        <f aca="false">AB97*Parametri_v3!$C$32</f>
        <v>3713.68333333333</v>
      </c>
      <c r="CI97" s="15" t="n">
        <f aca="false">AC97*Parametri_v3!$C$32</f>
        <v>1270.86979166667</v>
      </c>
      <c r="CJ97" s="15" t="n">
        <f aca="false">CA97-AB97</f>
        <v>43306.6411622683</v>
      </c>
      <c r="CK97" s="15" t="n">
        <f aca="false">CB97-AC97-BH97</f>
        <v>14792.5</v>
      </c>
      <c r="CL97" s="15" t="n">
        <f aca="false">BF97*Ipotesi!$C$73+INDEX(Ipotesi!$C$72:$G$72,1,F97)/12*Ipotesi!D126*Parametri_v3!$C$58+Z97*(1-Parametri_v3!$C$16)</f>
        <v>8545.55923558188</v>
      </c>
      <c r="CM97" s="16" t="n">
        <f aca="false">IF(BF97=0,0,1-CL97/BF97)</f>
        <v>0.728874782927857</v>
      </c>
    </row>
    <row r="98" customFormat="false" ht="18" hidden="false" customHeight="true" outlineLevel="0" collapsed="false">
      <c r="A98" s="68" t="n">
        <f aca="false">2</f>
        <v>2</v>
      </c>
      <c r="B98" s="68" t="n">
        <f aca="false">34</f>
        <v>34</v>
      </c>
      <c r="C98" s="18" t="n">
        <f aca="false">EDATE(Parametri_v3!$C$5,34-1)</f>
        <v>47392</v>
      </c>
      <c r="D98" s="68" t="n">
        <f aca="false">YEAR(C98)</f>
        <v>2029</v>
      </c>
      <c r="E98" s="68" t="n">
        <f aca="false">MONTH(C98)</f>
        <v>10</v>
      </c>
      <c r="F98" s="68" t="n">
        <f aca="false">INT((34-1)/12)+1</f>
        <v>3</v>
      </c>
      <c r="G98" s="15" t="n">
        <f aca="false">Ipotesi!D7</f>
        <v>1</v>
      </c>
      <c r="H98" s="15" t="n">
        <f aca="false">Ipotesi!D9</f>
        <v>1</v>
      </c>
      <c r="I98" s="15" t="n">
        <f aca="false">Ipotesi!D10</f>
        <v>1</v>
      </c>
      <c r="J98" s="15" t="n">
        <f aca="false">Ipotesi!D11</f>
        <v>1</v>
      </c>
      <c r="K98" s="15" t="n">
        <f aca="false">Ipotesi!D12</f>
        <v>1</v>
      </c>
      <c r="L98" s="15" t="n">
        <f aca="false">Ipotesi!D13</f>
        <v>90</v>
      </c>
      <c r="M98" s="17" t="n">
        <f aca="false">INDEX(Ipotesi!$C$40:$G$40,1,F98)</f>
        <v>1</v>
      </c>
      <c r="N98" s="17" t="n">
        <f aca="false">INDEX(Ipotesi!$C$41:$G$41,1,F98)</f>
        <v>1</v>
      </c>
      <c r="O98" s="17" t="n">
        <f aca="false">INDEX(Ipotesi!$C$42:$G$42,1,F98)*Ipotesi!D125</f>
        <v>4.5</v>
      </c>
      <c r="P98" s="17" t="n">
        <f aca="false">INDEX(Ipotesi!$C$43:$G$43,1,F98)*I98</f>
        <v>5</v>
      </c>
      <c r="Q98" s="17" t="n">
        <f aca="false">INDEX(Ipotesi!$C$44:$G$44,1,F98)*I98</f>
        <v>4</v>
      </c>
      <c r="R98" s="17" t="n">
        <f aca="false">INDEX(Ipotesi!$C$45:$G$45,1,F98)*I98</f>
        <v>1</v>
      </c>
      <c r="S98" s="17" t="n">
        <f aca="false">INDEX(Ipotesi!$C$52:$G$52,1,F98)*Ipotesi!D125</f>
        <v>5</v>
      </c>
      <c r="T98" s="17" t="n">
        <f aca="false">INDEX(Ipotesi!$C$53:$G$53,1,F98)*I98</f>
        <v>1</v>
      </c>
      <c r="U98" s="17" t="n">
        <f aca="false">INDEX(Ipotesi!$C$54:$G$54,1,F98)*I98</f>
        <v>0.5</v>
      </c>
      <c r="V98" s="15" t="n">
        <f aca="false">M98*INDEX(Ipotesi!$C$58:$G$58,1,F98)*K98/12</f>
        <v>7083.33333333333</v>
      </c>
      <c r="W98" s="15" t="n">
        <f aca="false">N98*Ipotesi!$C$59*(1+Ipotesi!$C$66)^(F98-1)/12</f>
        <v>6188.58333333333</v>
      </c>
      <c r="X98" s="15" t="n">
        <f aca="false">O98*Ipotesi!$C$60*(1+Ipotesi!$C$66)^(F98-1)/12</f>
        <v>19891.875</v>
      </c>
      <c r="Y98" s="15" t="n">
        <f aca="false">P98*Ipotesi!$C$61*(1+Ipotesi!$C$66)^(F98-1)/12</f>
        <v>22102.0833333333</v>
      </c>
      <c r="Z98" s="15" t="n">
        <f aca="false">Q98*Ipotesi!$C$62*(1+Ipotesi!$C$66)^(F98-1)/12</f>
        <v>15913.5</v>
      </c>
      <c r="AA98" s="15" t="n">
        <f aca="false">R98*Ipotesi!$C$63*(1+Ipotesi!$C$66)^(F98-1)/12</f>
        <v>3094.29166666667</v>
      </c>
      <c r="AB98" s="15" t="n">
        <f aca="false">SUM(V98:AA98)</f>
        <v>74273.6666666667</v>
      </c>
      <c r="AC98" s="15" t="n">
        <f aca="false">(S98*Ipotesi!$C$64+T98*Ipotesi!$C$65+U98*Ipotesi!$C$63)*(1+Ipotesi!$C$66)^(F98-1)/12</f>
        <v>25417.3958333333</v>
      </c>
      <c r="AD98" s="15" t="n">
        <f aca="false">INDEX(Ipotesi!$C$48:$G$48,1,F98)*G98/12</f>
        <v>60</v>
      </c>
      <c r="AE98" s="15" t="n">
        <f aca="false">INDEX(Ipotesi!$C$50:$G$50,1,F98)*G98/12</f>
        <v>6.66666666666667</v>
      </c>
      <c r="AF98" s="15" t="n">
        <f aca="false">(S98*Parametri_v3!$C$7*Parametri_v3!$C$8+Parametri_v3!$C$10)/12</f>
        <v>64.1666666666667</v>
      </c>
      <c r="AG98" s="15" t="n">
        <f aca="false">AD98+AE98*(1+Parametri_v3!$C$9)</f>
        <v>70</v>
      </c>
      <c r="AH98" s="16" t="n">
        <f aca="false">IF(AG98=0,1,MIN(1,AF98/AG98))</f>
        <v>0.916666666666667</v>
      </c>
      <c r="AI98" s="15" t="n">
        <f aca="false">AD98*AH98</f>
        <v>55</v>
      </c>
      <c r="AJ98" s="15" t="n">
        <f aca="false">AE98*AH98</f>
        <v>6.11111111111111</v>
      </c>
      <c r="AK98" s="15" t="n">
        <f aca="false">AI98*INDEX(Ipotesi!$C$49:$G$49,1,F98)*H98</f>
        <v>46750</v>
      </c>
      <c r="AL98" s="15" t="n">
        <f aca="false">AJ98*INDEX(Ipotesi!$C$51:$G$51,1,F98)*H98</f>
        <v>13750</v>
      </c>
      <c r="AM98" s="15" t="n">
        <f aca="false">AK98+AL98</f>
        <v>60500</v>
      </c>
      <c r="AN98" s="15" t="n">
        <f aca="false">INDEX(Ipotesi!$C$30:$G$30,1,F98)*G98/12</f>
        <v>41.6666666666667</v>
      </c>
      <c r="AO98" s="15" t="n">
        <f aca="false">O98*Parametri_v3!$C$7*Parametri_v3!$C$11*(1-Parametri_v3!$C$14)/12</f>
        <v>46.2</v>
      </c>
      <c r="AP98" s="15" t="n">
        <f aca="false">MIN(AN98,AO98)</f>
        <v>41.6666666666667</v>
      </c>
      <c r="AQ98" s="15" t="n">
        <f aca="false">AP98*INDEX(Ipotesi!$C$31:$G$31,1,F98)*H98</f>
        <v>41666.6666666667</v>
      </c>
      <c r="AR98" s="15" t="n">
        <f aca="false">INDEX(Ipotesi!$C$75:$G$75,1,F98)*J98/12</f>
        <v>20000</v>
      </c>
      <c r="AS98" s="15" t="n">
        <f aca="false">INDEX(Ipotesi!$C$81:$G$81,1,F98)*J98/12</f>
        <v>1250</v>
      </c>
      <c r="AT98" s="15" t="n">
        <f aca="false">AR98*Parametri_v3!$C$15+Z98*Parametri_v3!$C$16</f>
        <v>31139.45</v>
      </c>
      <c r="AU98" s="15" t="n">
        <f aca="false">Q98*Parametri_v3!$C$16*Parametri_v3!$C$17</f>
        <v>280</v>
      </c>
      <c r="AV98" s="17" t="n">
        <f aca="false">BD97</f>
        <v>71.5941559332377</v>
      </c>
      <c r="AW98" s="17" t="n">
        <f aca="false">AV98*(1-(1-INDEX(Ipotesi!$C$34:$G$34,1,F98))^(1/12))</f>
        <v>0.625848257798256</v>
      </c>
      <c r="AX98" s="15" t="n">
        <f aca="false">ROUND(INDEX(Ipotesi!$C$32:$G$32,1,F98)*Ipotesi!D8,0)</f>
        <v>130</v>
      </c>
      <c r="AY98" s="15" t="n">
        <f aca="false">MAX(0,(AX98-(AV98-AW98))/(13-E98))</f>
        <v>19.6772307748535</v>
      </c>
      <c r="AZ98" s="15" t="n">
        <f aca="false">MIN(P98*Parametri_v3!$C$22,Q98*(1-Parametri_v3!$C$16)*Parametri_v3!$C$23)</f>
        <v>180</v>
      </c>
      <c r="BA98" s="15" t="n">
        <f aca="false">IF(OR(INDEX(Ipotesi!$C$35:$G$35,1,F98)&lt;=0,34-Parametri_v3!$C$21&lt;1),0,INDEX($AT$65:$AT$124,MAX(1,34-Parametri_v3!$C$21))/(INDEX(Ipotesi!$C$35:$G$35,1,F98)*Ipotesi!D27))</f>
        <v>6.22789</v>
      </c>
      <c r="BB98" s="15" t="n">
        <f aca="false">IF(34-Parametri_v3!$C$21&lt;1,0,INDEX($AU$65:$AU$124,MAX(1,34-Parametri_v3!$C$21)))*Parametri_v3!$C$18*Parametri_v3!$C$19*Parametri_v3!$C$20</f>
        <v>10.5</v>
      </c>
      <c r="BC98" s="17" t="n">
        <f aca="false">MAX(0,MIN(AY98,BA98,BB98,MAX(0,AZ98-(AV98-AW98))))</f>
        <v>6.22789</v>
      </c>
      <c r="BD98" s="17" t="n">
        <f aca="false">AV98-AW98+BC98</f>
        <v>77.1961976754394</v>
      </c>
      <c r="BE98" s="17" t="n">
        <f aca="false">(AV98+BD98)/2</f>
        <v>74.3951768043386</v>
      </c>
      <c r="BF98" s="15" t="n">
        <f aca="false">BE98*INDEX(Ipotesi!$C$33:$G$33,1,F98)*H98/12</f>
        <v>34097.7893686552</v>
      </c>
      <c r="BG98" s="15" t="n">
        <f aca="false">BD98*INDEX(Ipotesi!$C$33:$G$33,1,F98)*H98</f>
        <v>424579.087214917</v>
      </c>
      <c r="BH98" s="15" t="n">
        <f aca="false">AM98*INDEX(Ipotesi!$C$37:$G$37,1,F98)</f>
        <v>6050</v>
      </c>
      <c r="BI98" s="15" t="n">
        <f aca="false">AQ98+BF98+BH98</f>
        <v>81814.4560353218</v>
      </c>
      <c r="BJ98" s="15" t="n">
        <f aca="false">INDEX(Ipotesi!$C$68:$G$68,1,F98)*Ipotesi!$C$69/12</f>
        <v>2400</v>
      </c>
      <c r="BK98" s="15" t="n">
        <f aca="false">INDEX(Ipotesi!$C$68:$G$68,1,F98)*(1-Ipotesi!$C$69)/12</f>
        <v>3600</v>
      </c>
      <c r="BL98" s="15" t="n">
        <f aca="false">(AQ98+BF98)*Ipotesi!$C$67</f>
        <v>2272.93368105966</v>
      </c>
      <c r="BM98" s="15" t="n">
        <f aca="false">AM98*Ipotesi!$C$67</f>
        <v>1815</v>
      </c>
      <c r="BN98" s="15" t="n">
        <f aca="false">INDEX(Ipotesi!$C$72:$G$72,1,F98)/12*Ipotesi!D126+BF98*Ipotesi!$C$73</f>
        <v>3977.82314949241</v>
      </c>
      <c r="BO98" s="15" t="n">
        <f aca="false">INDEX(Ipotesi!$C$74:$G$74,1,F98)/12*Ipotesi!D126</f>
        <v>2916.66666666667</v>
      </c>
      <c r="BP98" s="15" t="n">
        <f aca="false">INDEX(Ipotesi!$C$76:$G$76,1,F98)/12</f>
        <v>1083.33333333333</v>
      </c>
      <c r="BQ98" s="15" t="n">
        <f aca="false">INDEX(Ipotesi!$C$77:$G$77,1,F98)/12*Ipotesi!D126</f>
        <v>2083.33333333333</v>
      </c>
      <c r="BR98" s="15" t="n">
        <f aca="false">INDEX(Ipotesi!$C$78:$G$78,1,F98)/12</f>
        <v>1666.66666666667</v>
      </c>
      <c r="BS98" s="15" t="n">
        <f aca="false">SUM(M98:R98)*(Ipotesi!$C$85+Ipotesi!$C$86)/12</f>
        <v>4812.5</v>
      </c>
      <c r="BT98" s="15" t="n">
        <f aca="false">BI98*Ipotesi!$C$87</f>
        <v>2454.43368105966</v>
      </c>
      <c r="BU98" s="15" t="n">
        <f aca="false">INDEX(Ipotesi!$C$55:$G$55,1,F98)*K98/12</f>
        <v>1500</v>
      </c>
      <c r="BV98" s="15" t="n">
        <f aca="false">INDEX(Ipotesi!$C$80:$G$80,1,F98)/12*Ipotesi!D126</f>
        <v>1250</v>
      </c>
      <c r="BW98" s="15" t="n">
        <f aca="false">INDEX(Ipotesi!$C$82:$G$82,1,F98)/12</f>
        <v>1000</v>
      </c>
      <c r="BX98" s="15" t="n">
        <f aca="false">INDEX(Ipotesi!$C$83:$G$83,1,F98)/12</f>
        <v>666.666666666667</v>
      </c>
      <c r="BY98" s="15" t="n">
        <f aca="false">SUM(S98:U98)*(Ipotesi!$C$85+Ipotesi!$C$86)/12</f>
        <v>1895.83333333333</v>
      </c>
      <c r="BZ98" s="15" t="n">
        <f aca="false">AM98*Ipotesi!$C$87</f>
        <v>1815</v>
      </c>
      <c r="CA98" s="15" t="n">
        <f aca="false">AB98+BJ98+BL98+BN98+BO98+AR98+BP98+BQ98+BR98+BS98+BT98</f>
        <v>117941.357178278</v>
      </c>
      <c r="CB98" s="15" t="n">
        <f aca="false">AC98+BK98+BM98+BH98+BU98+BV98+AS98+BW98+BX98+BY98+BZ98</f>
        <v>46259.8958333333</v>
      </c>
      <c r="CC98" s="15" t="n">
        <f aca="false">BI98-CA98</f>
        <v>-36126.9011429566</v>
      </c>
      <c r="CD98" s="15" t="n">
        <f aca="false">AM98-CB98</f>
        <v>14240.1041666667</v>
      </c>
      <c r="CE98" s="15" t="n">
        <f aca="false">INDEX(Ipotesi!$C$79:$G$79,1,F98)/12</f>
        <v>2500</v>
      </c>
      <c r="CF98" s="15" t="n">
        <f aca="false">INDEX(Ipotesi!$C$84:$G$84,1,F98)/12</f>
        <v>416.666666666667</v>
      </c>
      <c r="CG98" s="15" t="n">
        <f aca="false">Y98*MAX(0,Parametri_v3!$C$12-IF(P98=0,0,MIN(1,BE98/(P98*Parametri_v3!$C$22))))+W98*Parametri_v3!$C$13+X98*Parametri_v3!$C$14</f>
        <v>25886.1732053449</v>
      </c>
      <c r="CH98" s="15" t="n">
        <f aca="false">AB98*Parametri_v3!$C$32</f>
        <v>3713.68333333333</v>
      </c>
      <c r="CI98" s="15" t="n">
        <f aca="false">AC98*Parametri_v3!$C$32</f>
        <v>1270.86979166667</v>
      </c>
      <c r="CJ98" s="15" t="n">
        <f aca="false">CA98-AB98</f>
        <v>43667.6905116117</v>
      </c>
      <c r="CK98" s="15" t="n">
        <f aca="false">CB98-AC98-BH98</f>
        <v>14792.5</v>
      </c>
      <c r="CL98" s="15" t="n">
        <f aca="false">BF98*Ipotesi!$C$73+INDEX(Ipotesi!$C$72:$G$72,1,F98)/12*Ipotesi!D126*Parametri_v3!$C$58+Z98*(1-Parametri_v3!$C$16)</f>
        <v>8751.87314949242</v>
      </c>
      <c r="CM98" s="16" t="n">
        <f aca="false">IF(BF98=0,0,1-CL98/BF98)</f>
        <v>0.743330189096139</v>
      </c>
    </row>
    <row r="99" customFormat="false" ht="18" hidden="false" customHeight="true" outlineLevel="0" collapsed="false">
      <c r="A99" s="68" t="n">
        <f aca="false">2</f>
        <v>2</v>
      </c>
      <c r="B99" s="68" t="n">
        <f aca="false">35</f>
        <v>35</v>
      </c>
      <c r="C99" s="18" t="n">
        <f aca="false">EDATE(Parametri_v3!$C$5,35-1)</f>
        <v>47423</v>
      </c>
      <c r="D99" s="68" t="n">
        <f aca="false">YEAR(C99)</f>
        <v>2029</v>
      </c>
      <c r="E99" s="68" t="n">
        <f aca="false">MONTH(C99)</f>
        <v>11</v>
      </c>
      <c r="F99" s="68" t="n">
        <f aca="false">INT((35-1)/12)+1</f>
        <v>3</v>
      </c>
      <c r="G99" s="15" t="n">
        <f aca="false">Ipotesi!D7</f>
        <v>1</v>
      </c>
      <c r="H99" s="15" t="n">
        <f aca="false">Ipotesi!D9</f>
        <v>1</v>
      </c>
      <c r="I99" s="15" t="n">
        <f aca="false">Ipotesi!D10</f>
        <v>1</v>
      </c>
      <c r="J99" s="15" t="n">
        <f aca="false">Ipotesi!D11</f>
        <v>1</v>
      </c>
      <c r="K99" s="15" t="n">
        <f aca="false">Ipotesi!D12</f>
        <v>1</v>
      </c>
      <c r="L99" s="15" t="n">
        <f aca="false">Ipotesi!D13</f>
        <v>90</v>
      </c>
      <c r="M99" s="17" t="n">
        <f aca="false">INDEX(Ipotesi!$C$40:$G$40,1,F99)</f>
        <v>1</v>
      </c>
      <c r="N99" s="17" t="n">
        <f aca="false">INDEX(Ipotesi!$C$41:$G$41,1,F99)</f>
        <v>1</v>
      </c>
      <c r="O99" s="17" t="n">
        <f aca="false">INDEX(Ipotesi!$C$42:$G$42,1,F99)*Ipotesi!D125</f>
        <v>4.5</v>
      </c>
      <c r="P99" s="17" t="n">
        <f aca="false">INDEX(Ipotesi!$C$43:$G$43,1,F99)*I99</f>
        <v>5</v>
      </c>
      <c r="Q99" s="17" t="n">
        <f aca="false">INDEX(Ipotesi!$C$44:$G$44,1,F99)*I99</f>
        <v>4</v>
      </c>
      <c r="R99" s="17" t="n">
        <f aca="false">INDEX(Ipotesi!$C$45:$G$45,1,F99)*I99</f>
        <v>1</v>
      </c>
      <c r="S99" s="17" t="n">
        <f aca="false">INDEX(Ipotesi!$C$52:$G$52,1,F99)*Ipotesi!D125</f>
        <v>5</v>
      </c>
      <c r="T99" s="17" t="n">
        <f aca="false">INDEX(Ipotesi!$C$53:$G$53,1,F99)*I99</f>
        <v>1</v>
      </c>
      <c r="U99" s="17" t="n">
        <f aca="false">INDEX(Ipotesi!$C$54:$G$54,1,F99)*I99</f>
        <v>0.5</v>
      </c>
      <c r="V99" s="15" t="n">
        <f aca="false">M99*INDEX(Ipotesi!$C$58:$G$58,1,F99)*K99/12</f>
        <v>7083.33333333333</v>
      </c>
      <c r="W99" s="15" t="n">
        <f aca="false">N99*Ipotesi!$C$59*(1+Ipotesi!$C$66)^(F99-1)/12</f>
        <v>6188.58333333333</v>
      </c>
      <c r="X99" s="15" t="n">
        <f aca="false">O99*Ipotesi!$C$60*(1+Ipotesi!$C$66)^(F99-1)/12</f>
        <v>19891.875</v>
      </c>
      <c r="Y99" s="15" t="n">
        <f aca="false">P99*Ipotesi!$C$61*(1+Ipotesi!$C$66)^(F99-1)/12</f>
        <v>22102.0833333333</v>
      </c>
      <c r="Z99" s="15" t="n">
        <f aca="false">Q99*Ipotesi!$C$62*(1+Ipotesi!$C$66)^(F99-1)/12</f>
        <v>15913.5</v>
      </c>
      <c r="AA99" s="15" t="n">
        <f aca="false">R99*Ipotesi!$C$63*(1+Ipotesi!$C$66)^(F99-1)/12</f>
        <v>3094.29166666667</v>
      </c>
      <c r="AB99" s="15" t="n">
        <f aca="false">SUM(V99:AA99)</f>
        <v>74273.6666666667</v>
      </c>
      <c r="AC99" s="15" t="n">
        <f aca="false">(S99*Ipotesi!$C$64+T99*Ipotesi!$C$65+U99*Ipotesi!$C$63)*(1+Ipotesi!$C$66)^(F99-1)/12</f>
        <v>25417.3958333333</v>
      </c>
      <c r="AD99" s="15" t="n">
        <f aca="false">INDEX(Ipotesi!$C$48:$G$48,1,F99)*G99/12</f>
        <v>60</v>
      </c>
      <c r="AE99" s="15" t="n">
        <f aca="false">INDEX(Ipotesi!$C$50:$G$50,1,F99)*G99/12</f>
        <v>6.66666666666667</v>
      </c>
      <c r="AF99" s="15" t="n">
        <f aca="false">(S99*Parametri_v3!$C$7*Parametri_v3!$C$8+Parametri_v3!$C$10)/12</f>
        <v>64.1666666666667</v>
      </c>
      <c r="AG99" s="15" t="n">
        <f aca="false">AD99+AE99*(1+Parametri_v3!$C$9)</f>
        <v>70</v>
      </c>
      <c r="AH99" s="16" t="n">
        <f aca="false">IF(AG99=0,1,MIN(1,AF99/AG99))</f>
        <v>0.916666666666667</v>
      </c>
      <c r="AI99" s="15" t="n">
        <f aca="false">AD99*AH99</f>
        <v>55</v>
      </c>
      <c r="AJ99" s="15" t="n">
        <f aca="false">AE99*AH99</f>
        <v>6.11111111111111</v>
      </c>
      <c r="AK99" s="15" t="n">
        <f aca="false">AI99*INDEX(Ipotesi!$C$49:$G$49,1,F99)*H99</f>
        <v>46750</v>
      </c>
      <c r="AL99" s="15" t="n">
        <f aca="false">AJ99*INDEX(Ipotesi!$C$51:$G$51,1,F99)*H99</f>
        <v>13750</v>
      </c>
      <c r="AM99" s="15" t="n">
        <f aca="false">AK99+AL99</f>
        <v>60500</v>
      </c>
      <c r="AN99" s="15" t="n">
        <f aca="false">INDEX(Ipotesi!$C$30:$G$30,1,F99)*G99/12</f>
        <v>41.6666666666667</v>
      </c>
      <c r="AO99" s="15" t="n">
        <f aca="false">O99*Parametri_v3!$C$7*Parametri_v3!$C$11*(1-Parametri_v3!$C$14)/12</f>
        <v>46.2</v>
      </c>
      <c r="AP99" s="15" t="n">
        <f aca="false">MIN(AN99,AO99)</f>
        <v>41.6666666666667</v>
      </c>
      <c r="AQ99" s="15" t="n">
        <f aca="false">AP99*INDEX(Ipotesi!$C$31:$G$31,1,F99)*H99</f>
        <v>41666.6666666667</v>
      </c>
      <c r="AR99" s="15" t="n">
        <f aca="false">INDEX(Ipotesi!$C$75:$G$75,1,F99)*J99/12</f>
        <v>20000</v>
      </c>
      <c r="AS99" s="15" t="n">
        <f aca="false">INDEX(Ipotesi!$C$81:$G$81,1,F99)*J99/12</f>
        <v>1250</v>
      </c>
      <c r="AT99" s="15" t="n">
        <f aca="false">AR99*Parametri_v3!$C$15+Z99*Parametri_v3!$C$16</f>
        <v>31139.45</v>
      </c>
      <c r="AU99" s="15" t="n">
        <f aca="false">Q99*Parametri_v3!$C$16*Parametri_v3!$C$17</f>
        <v>280</v>
      </c>
      <c r="AV99" s="17" t="n">
        <f aca="false">BD98</f>
        <v>77.1961976754394</v>
      </c>
      <c r="AW99" s="17" t="n">
        <f aca="false">AV99*(1-(1-INDEX(Ipotesi!$C$34:$G$34,1,F99))^(1/12))</f>
        <v>0.674819127260555</v>
      </c>
      <c r="AX99" s="15" t="n">
        <f aca="false">ROUND(INDEX(Ipotesi!$C$32:$G$32,1,F99)*Ipotesi!D8,0)</f>
        <v>130</v>
      </c>
      <c r="AY99" s="15" t="n">
        <f aca="false">MAX(0,(AX99-(AV99-AW99))/(13-E99))</f>
        <v>26.7393107259106</v>
      </c>
      <c r="AZ99" s="15" t="n">
        <f aca="false">MIN(P99*Parametri_v3!$C$22,Q99*(1-Parametri_v3!$C$16)*Parametri_v3!$C$23)</f>
        <v>180</v>
      </c>
      <c r="BA99" s="15" t="n">
        <f aca="false">IF(OR(INDEX(Ipotesi!$C$35:$G$35,1,F99)&lt;=0,35-Parametri_v3!$C$21&lt;1),0,INDEX($AT$65:$AT$124,MAX(1,35-Parametri_v3!$C$21))/(INDEX(Ipotesi!$C$35:$G$35,1,F99)*Ipotesi!D27))</f>
        <v>6.22789</v>
      </c>
      <c r="BB99" s="15" t="n">
        <f aca="false">IF(35-Parametri_v3!$C$21&lt;1,0,INDEX($AU$65:$AU$124,MAX(1,35-Parametri_v3!$C$21)))*Parametri_v3!$C$18*Parametri_v3!$C$19*Parametri_v3!$C$20</f>
        <v>10.5</v>
      </c>
      <c r="BC99" s="17" t="n">
        <f aca="false">MAX(0,MIN(AY99,BA99,BB99,MAX(0,AZ99-(AV99-AW99))))</f>
        <v>6.22789</v>
      </c>
      <c r="BD99" s="17" t="n">
        <f aca="false">AV99-AW99+BC99</f>
        <v>82.7492685481789</v>
      </c>
      <c r="BE99" s="17" t="n">
        <f aca="false">(AV99+BD99)/2</f>
        <v>79.9727331118092</v>
      </c>
      <c r="BF99" s="15" t="n">
        <f aca="false">BE99*INDEX(Ipotesi!$C$33:$G$33,1,F99)*H99/12</f>
        <v>36654.1693429125</v>
      </c>
      <c r="BG99" s="15" t="n">
        <f aca="false">BD99*INDEX(Ipotesi!$C$33:$G$33,1,F99)*H99</f>
        <v>455120.977014984</v>
      </c>
      <c r="BH99" s="15" t="n">
        <f aca="false">AM99*INDEX(Ipotesi!$C$37:$G$37,1,F99)</f>
        <v>6050</v>
      </c>
      <c r="BI99" s="15" t="n">
        <f aca="false">AQ99+BF99+BH99</f>
        <v>84370.8360095792</v>
      </c>
      <c r="BJ99" s="15" t="n">
        <f aca="false">INDEX(Ipotesi!$C$68:$G$68,1,F99)*Ipotesi!$C$69/12</f>
        <v>2400</v>
      </c>
      <c r="BK99" s="15" t="n">
        <f aca="false">INDEX(Ipotesi!$C$68:$G$68,1,F99)*(1-Ipotesi!$C$69)/12</f>
        <v>3600</v>
      </c>
      <c r="BL99" s="15" t="n">
        <f aca="false">(AQ99+BF99)*Ipotesi!$C$67</f>
        <v>2349.62508028738</v>
      </c>
      <c r="BM99" s="15" t="n">
        <f aca="false">AM99*Ipotesi!$C$67</f>
        <v>1815</v>
      </c>
      <c r="BN99" s="15" t="n">
        <f aca="false">INDEX(Ipotesi!$C$72:$G$72,1,F99)/12*Ipotesi!D126+BF99*Ipotesi!$C$73</f>
        <v>4182.333547433</v>
      </c>
      <c r="BO99" s="15" t="n">
        <f aca="false">INDEX(Ipotesi!$C$74:$G$74,1,F99)/12*Ipotesi!D126</f>
        <v>2916.66666666667</v>
      </c>
      <c r="BP99" s="15" t="n">
        <f aca="false">INDEX(Ipotesi!$C$76:$G$76,1,F99)/12</f>
        <v>1083.33333333333</v>
      </c>
      <c r="BQ99" s="15" t="n">
        <f aca="false">INDEX(Ipotesi!$C$77:$G$77,1,F99)/12*Ipotesi!D126</f>
        <v>2083.33333333333</v>
      </c>
      <c r="BR99" s="15" t="n">
        <f aca="false">INDEX(Ipotesi!$C$78:$G$78,1,F99)/12</f>
        <v>1666.66666666667</v>
      </c>
      <c r="BS99" s="15" t="n">
        <f aca="false">SUM(M99:R99)*(Ipotesi!$C$85+Ipotesi!$C$86)/12</f>
        <v>4812.5</v>
      </c>
      <c r="BT99" s="15" t="n">
        <f aca="false">BI99*Ipotesi!$C$87</f>
        <v>2531.12508028738</v>
      </c>
      <c r="BU99" s="15" t="n">
        <f aca="false">INDEX(Ipotesi!$C$55:$G$55,1,F99)*K99/12</f>
        <v>1500</v>
      </c>
      <c r="BV99" s="15" t="n">
        <f aca="false">INDEX(Ipotesi!$C$80:$G$80,1,F99)/12*Ipotesi!D126</f>
        <v>1250</v>
      </c>
      <c r="BW99" s="15" t="n">
        <f aca="false">INDEX(Ipotesi!$C$82:$G$82,1,F99)/12</f>
        <v>1000</v>
      </c>
      <c r="BX99" s="15" t="n">
        <f aca="false">INDEX(Ipotesi!$C$83:$G$83,1,F99)/12</f>
        <v>666.666666666667</v>
      </c>
      <c r="BY99" s="15" t="n">
        <f aca="false">SUM(S99:U99)*(Ipotesi!$C$85+Ipotesi!$C$86)/12</f>
        <v>1895.83333333333</v>
      </c>
      <c r="BZ99" s="15" t="n">
        <f aca="false">AM99*Ipotesi!$C$87</f>
        <v>1815</v>
      </c>
      <c r="CA99" s="15" t="n">
        <f aca="false">AB99+BJ99+BL99+BN99+BO99+AR99+BP99+BQ99+BR99+BS99+BT99</f>
        <v>118299.250374674</v>
      </c>
      <c r="CB99" s="15" t="n">
        <f aca="false">AC99+BK99+BM99+BH99+BU99+BV99+AS99+BW99+BX99+BY99+BZ99</f>
        <v>46259.8958333333</v>
      </c>
      <c r="CC99" s="15" t="n">
        <f aca="false">BI99-CA99</f>
        <v>-33928.4143650952</v>
      </c>
      <c r="CD99" s="15" t="n">
        <f aca="false">AM99-CB99</f>
        <v>14240.1041666667</v>
      </c>
      <c r="CE99" s="15" t="n">
        <f aca="false">INDEX(Ipotesi!$C$79:$G$79,1,F99)/12</f>
        <v>2500</v>
      </c>
      <c r="CF99" s="15" t="n">
        <f aca="false">INDEX(Ipotesi!$C$84:$G$84,1,F99)/12</f>
        <v>416.666666666667</v>
      </c>
      <c r="CG99" s="15" t="n">
        <f aca="false">Y99*MAX(0,Parametri_v3!$C$12-IF(P99=0,0,MIN(1,BE99/(P99*Parametri_v3!$C$22))))+W99*Parametri_v3!$C$13+X99*Parametri_v3!$C$14</f>
        <v>25639.6219767367</v>
      </c>
      <c r="CH99" s="15" t="n">
        <f aca="false">AB99*Parametri_v3!$C$32</f>
        <v>3713.68333333333</v>
      </c>
      <c r="CI99" s="15" t="n">
        <f aca="false">AC99*Parametri_v3!$C$32</f>
        <v>1270.86979166667</v>
      </c>
      <c r="CJ99" s="15" t="n">
        <f aca="false">CA99-AB99</f>
        <v>44025.5837080078</v>
      </c>
      <c r="CK99" s="15" t="n">
        <f aca="false">CB99-AC99-BH99</f>
        <v>14792.5</v>
      </c>
      <c r="CL99" s="15" t="n">
        <f aca="false">BF99*Ipotesi!$C$73+INDEX(Ipotesi!$C$72:$G$72,1,F99)/12*Ipotesi!D126*Parametri_v3!$C$58+Z99*(1-Parametri_v3!$C$16)</f>
        <v>8956.383547433</v>
      </c>
      <c r="CM99" s="16" t="n">
        <f aca="false">IF(BF99=0,0,1-CL99/BF99)</f>
        <v>0.755651711442622</v>
      </c>
    </row>
    <row r="100" customFormat="false" ht="18" hidden="false" customHeight="true" outlineLevel="0" collapsed="false">
      <c r="A100" s="68" t="n">
        <f aca="false">2</f>
        <v>2</v>
      </c>
      <c r="B100" s="68" t="n">
        <f aca="false">36</f>
        <v>36</v>
      </c>
      <c r="C100" s="18" t="n">
        <f aca="false">EDATE(Parametri_v3!$C$5,36-1)</f>
        <v>47453</v>
      </c>
      <c r="D100" s="68" t="n">
        <f aca="false">YEAR(C100)</f>
        <v>2029</v>
      </c>
      <c r="E100" s="68" t="n">
        <f aca="false">MONTH(C100)</f>
        <v>12</v>
      </c>
      <c r="F100" s="68" t="n">
        <f aca="false">INT((36-1)/12)+1</f>
        <v>3</v>
      </c>
      <c r="G100" s="15" t="n">
        <f aca="false">Ipotesi!D7</f>
        <v>1</v>
      </c>
      <c r="H100" s="15" t="n">
        <f aca="false">Ipotesi!D9</f>
        <v>1</v>
      </c>
      <c r="I100" s="15" t="n">
        <f aca="false">Ipotesi!D10</f>
        <v>1</v>
      </c>
      <c r="J100" s="15" t="n">
        <f aca="false">Ipotesi!D11</f>
        <v>1</v>
      </c>
      <c r="K100" s="15" t="n">
        <f aca="false">Ipotesi!D12</f>
        <v>1</v>
      </c>
      <c r="L100" s="15" t="n">
        <f aca="false">Ipotesi!D13</f>
        <v>90</v>
      </c>
      <c r="M100" s="17" t="n">
        <f aca="false">INDEX(Ipotesi!$C$40:$G$40,1,F100)</f>
        <v>1</v>
      </c>
      <c r="N100" s="17" t="n">
        <f aca="false">INDEX(Ipotesi!$C$41:$G$41,1,F100)</f>
        <v>1</v>
      </c>
      <c r="O100" s="17" t="n">
        <f aca="false">INDEX(Ipotesi!$C$42:$G$42,1,F100)*Ipotesi!D125</f>
        <v>4.5</v>
      </c>
      <c r="P100" s="17" t="n">
        <f aca="false">INDEX(Ipotesi!$C$43:$G$43,1,F100)*I100</f>
        <v>5</v>
      </c>
      <c r="Q100" s="17" t="n">
        <f aca="false">INDEX(Ipotesi!$C$44:$G$44,1,F100)*I100</f>
        <v>4</v>
      </c>
      <c r="R100" s="17" t="n">
        <f aca="false">INDEX(Ipotesi!$C$45:$G$45,1,F100)*I100</f>
        <v>1</v>
      </c>
      <c r="S100" s="17" t="n">
        <f aca="false">INDEX(Ipotesi!$C$52:$G$52,1,F100)*Ipotesi!D125</f>
        <v>5</v>
      </c>
      <c r="T100" s="17" t="n">
        <f aca="false">INDEX(Ipotesi!$C$53:$G$53,1,F100)*I100</f>
        <v>1</v>
      </c>
      <c r="U100" s="17" t="n">
        <f aca="false">INDEX(Ipotesi!$C$54:$G$54,1,F100)*I100</f>
        <v>0.5</v>
      </c>
      <c r="V100" s="15" t="n">
        <f aca="false">M100*INDEX(Ipotesi!$C$58:$G$58,1,F100)*K100/12</f>
        <v>7083.33333333333</v>
      </c>
      <c r="W100" s="15" t="n">
        <f aca="false">N100*Ipotesi!$C$59*(1+Ipotesi!$C$66)^(F100-1)/12</f>
        <v>6188.58333333333</v>
      </c>
      <c r="X100" s="15" t="n">
        <f aca="false">O100*Ipotesi!$C$60*(1+Ipotesi!$C$66)^(F100-1)/12</f>
        <v>19891.875</v>
      </c>
      <c r="Y100" s="15" t="n">
        <f aca="false">P100*Ipotesi!$C$61*(1+Ipotesi!$C$66)^(F100-1)/12</f>
        <v>22102.0833333333</v>
      </c>
      <c r="Z100" s="15" t="n">
        <f aca="false">Q100*Ipotesi!$C$62*(1+Ipotesi!$C$66)^(F100-1)/12</f>
        <v>15913.5</v>
      </c>
      <c r="AA100" s="15" t="n">
        <f aca="false">R100*Ipotesi!$C$63*(1+Ipotesi!$C$66)^(F100-1)/12</f>
        <v>3094.29166666667</v>
      </c>
      <c r="AB100" s="15" t="n">
        <f aca="false">SUM(V100:AA100)</f>
        <v>74273.6666666667</v>
      </c>
      <c r="AC100" s="15" t="n">
        <f aca="false">(S100*Ipotesi!$C$64+T100*Ipotesi!$C$65+U100*Ipotesi!$C$63)*(1+Ipotesi!$C$66)^(F100-1)/12</f>
        <v>25417.3958333333</v>
      </c>
      <c r="AD100" s="15" t="n">
        <f aca="false">INDEX(Ipotesi!$C$48:$G$48,1,F100)*G100/12</f>
        <v>60</v>
      </c>
      <c r="AE100" s="15" t="n">
        <f aca="false">INDEX(Ipotesi!$C$50:$G$50,1,F100)*G100/12</f>
        <v>6.66666666666667</v>
      </c>
      <c r="AF100" s="15" t="n">
        <f aca="false">(S100*Parametri_v3!$C$7*Parametri_v3!$C$8+Parametri_v3!$C$10)/12</f>
        <v>64.1666666666667</v>
      </c>
      <c r="AG100" s="15" t="n">
        <f aca="false">AD100+AE100*(1+Parametri_v3!$C$9)</f>
        <v>70</v>
      </c>
      <c r="AH100" s="16" t="n">
        <f aca="false">IF(AG100=0,1,MIN(1,AF100/AG100))</f>
        <v>0.916666666666667</v>
      </c>
      <c r="AI100" s="15" t="n">
        <f aca="false">AD100*AH100</f>
        <v>55</v>
      </c>
      <c r="AJ100" s="15" t="n">
        <f aca="false">AE100*AH100</f>
        <v>6.11111111111111</v>
      </c>
      <c r="AK100" s="15" t="n">
        <f aca="false">AI100*INDEX(Ipotesi!$C$49:$G$49,1,F100)*H100</f>
        <v>46750</v>
      </c>
      <c r="AL100" s="15" t="n">
        <f aca="false">AJ100*INDEX(Ipotesi!$C$51:$G$51,1,F100)*H100</f>
        <v>13750</v>
      </c>
      <c r="AM100" s="15" t="n">
        <f aca="false">AK100+AL100</f>
        <v>60500</v>
      </c>
      <c r="AN100" s="15" t="n">
        <f aca="false">INDEX(Ipotesi!$C$30:$G$30,1,F100)*G100/12</f>
        <v>41.6666666666667</v>
      </c>
      <c r="AO100" s="15" t="n">
        <f aca="false">O100*Parametri_v3!$C$7*Parametri_v3!$C$11*(1-Parametri_v3!$C$14)/12</f>
        <v>46.2</v>
      </c>
      <c r="AP100" s="15" t="n">
        <f aca="false">MIN(AN100,AO100)</f>
        <v>41.6666666666667</v>
      </c>
      <c r="AQ100" s="15" t="n">
        <f aca="false">AP100*INDEX(Ipotesi!$C$31:$G$31,1,F100)*H100</f>
        <v>41666.6666666667</v>
      </c>
      <c r="AR100" s="15" t="n">
        <f aca="false">INDEX(Ipotesi!$C$75:$G$75,1,F100)*J100/12</f>
        <v>20000</v>
      </c>
      <c r="AS100" s="15" t="n">
        <f aca="false">INDEX(Ipotesi!$C$81:$G$81,1,F100)*J100/12</f>
        <v>1250</v>
      </c>
      <c r="AT100" s="15" t="n">
        <f aca="false">AR100*Parametri_v3!$C$15+Z100*Parametri_v3!$C$16</f>
        <v>31139.45</v>
      </c>
      <c r="AU100" s="15" t="n">
        <f aca="false">Q100*Parametri_v3!$C$16*Parametri_v3!$C$17</f>
        <v>280</v>
      </c>
      <c r="AV100" s="17" t="n">
        <f aca="false">BD99</f>
        <v>82.7492685481789</v>
      </c>
      <c r="AW100" s="17" t="n">
        <f aca="false">AV100*(1-(1-INDEX(Ipotesi!$C$34:$G$34,1,F100))^(1/12))</f>
        <v>0.723361912433902</v>
      </c>
      <c r="AX100" s="15" t="n">
        <f aca="false">ROUND(INDEX(Ipotesi!$C$32:$G$32,1,F100)*Ipotesi!D8,0)</f>
        <v>130</v>
      </c>
      <c r="AY100" s="15" t="n">
        <f aca="false">MAX(0,(AX100-(AV100-AW100))/(13-E100))</f>
        <v>47.974093364255</v>
      </c>
      <c r="AZ100" s="15" t="n">
        <f aca="false">MIN(P100*Parametri_v3!$C$22,Q100*(1-Parametri_v3!$C$16)*Parametri_v3!$C$23)</f>
        <v>180</v>
      </c>
      <c r="BA100" s="15" t="n">
        <f aca="false">IF(OR(INDEX(Ipotesi!$C$35:$G$35,1,F100)&lt;=0,36-Parametri_v3!$C$21&lt;1),0,INDEX($AT$65:$AT$124,MAX(1,36-Parametri_v3!$C$21))/(INDEX(Ipotesi!$C$35:$G$35,1,F100)*Ipotesi!D27))</f>
        <v>6.22789</v>
      </c>
      <c r="BB100" s="15" t="n">
        <f aca="false">IF(36-Parametri_v3!$C$21&lt;1,0,INDEX($AU$65:$AU$124,MAX(1,36-Parametri_v3!$C$21)))*Parametri_v3!$C$18*Parametri_v3!$C$19*Parametri_v3!$C$20</f>
        <v>10.5</v>
      </c>
      <c r="BC100" s="17" t="n">
        <f aca="false">MAX(0,MIN(AY100,BA100,BB100,MAX(0,AZ100-(AV100-AW100))))</f>
        <v>6.22789</v>
      </c>
      <c r="BD100" s="17" t="n">
        <f aca="false">AV100-AW100+BC100</f>
        <v>88.253796635745</v>
      </c>
      <c r="BE100" s="17" t="n">
        <f aca="false">(AV100+BD100)/2</f>
        <v>85.5015325919619</v>
      </c>
      <c r="BF100" s="15" t="n">
        <f aca="false">BE100*INDEX(Ipotesi!$C$33:$G$33,1,F100)*H100/12</f>
        <v>39188.2024379826</v>
      </c>
      <c r="BG100" s="15" t="n">
        <f aca="false">BD100*INDEX(Ipotesi!$C$33:$G$33,1,F100)*H100</f>
        <v>485395.881496597</v>
      </c>
      <c r="BH100" s="15" t="n">
        <f aca="false">AM100*INDEX(Ipotesi!$C$37:$G$37,1,F100)</f>
        <v>6050</v>
      </c>
      <c r="BI100" s="15" t="n">
        <f aca="false">AQ100+BF100+BH100</f>
        <v>86904.8691046492</v>
      </c>
      <c r="BJ100" s="15" t="n">
        <f aca="false">INDEX(Ipotesi!$C$68:$G$68,1,F100)*Ipotesi!$C$69/12</f>
        <v>2400</v>
      </c>
      <c r="BK100" s="15" t="n">
        <f aca="false">INDEX(Ipotesi!$C$68:$G$68,1,F100)*(1-Ipotesi!$C$69)/12</f>
        <v>3600</v>
      </c>
      <c r="BL100" s="15" t="n">
        <f aca="false">(AQ100+BF100)*Ipotesi!$C$67</f>
        <v>2425.64607313948</v>
      </c>
      <c r="BM100" s="15" t="n">
        <f aca="false">AM100*Ipotesi!$C$67</f>
        <v>1815</v>
      </c>
      <c r="BN100" s="15" t="n">
        <f aca="false">INDEX(Ipotesi!$C$72:$G$72,1,F100)/12*Ipotesi!D126+BF100*Ipotesi!$C$73</f>
        <v>4385.0561950386</v>
      </c>
      <c r="BO100" s="15" t="n">
        <f aca="false">INDEX(Ipotesi!$C$74:$G$74,1,F100)/12*Ipotesi!D126</f>
        <v>2916.66666666667</v>
      </c>
      <c r="BP100" s="15" t="n">
        <f aca="false">INDEX(Ipotesi!$C$76:$G$76,1,F100)/12</f>
        <v>1083.33333333333</v>
      </c>
      <c r="BQ100" s="15" t="n">
        <f aca="false">INDEX(Ipotesi!$C$77:$G$77,1,F100)/12*Ipotesi!D126</f>
        <v>2083.33333333333</v>
      </c>
      <c r="BR100" s="15" t="n">
        <f aca="false">INDEX(Ipotesi!$C$78:$G$78,1,F100)/12</f>
        <v>1666.66666666667</v>
      </c>
      <c r="BS100" s="15" t="n">
        <f aca="false">SUM(M100:R100)*(Ipotesi!$C$85+Ipotesi!$C$86)/12</f>
        <v>4812.5</v>
      </c>
      <c r="BT100" s="15" t="n">
        <f aca="false">BI100*Ipotesi!$C$87</f>
        <v>2607.14607313948</v>
      </c>
      <c r="BU100" s="15" t="n">
        <f aca="false">INDEX(Ipotesi!$C$55:$G$55,1,F100)*K100/12</f>
        <v>1500</v>
      </c>
      <c r="BV100" s="15" t="n">
        <f aca="false">INDEX(Ipotesi!$C$80:$G$80,1,F100)/12*Ipotesi!D126</f>
        <v>1250</v>
      </c>
      <c r="BW100" s="15" t="n">
        <f aca="false">INDEX(Ipotesi!$C$82:$G$82,1,F100)/12</f>
        <v>1000</v>
      </c>
      <c r="BX100" s="15" t="n">
        <f aca="false">INDEX(Ipotesi!$C$83:$G$83,1,F100)/12</f>
        <v>666.666666666667</v>
      </c>
      <c r="BY100" s="15" t="n">
        <f aca="false">SUM(S100:U100)*(Ipotesi!$C$85+Ipotesi!$C$86)/12</f>
        <v>1895.83333333333</v>
      </c>
      <c r="BZ100" s="15" t="n">
        <f aca="false">AM100*Ipotesi!$C$87</f>
        <v>1815</v>
      </c>
      <c r="CA100" s="15" t="n">
        <f aca="false">AB100+BJ100+BL100+BN100+BO100+AR100+BP100+BQ100+BR100+BS100+BT100</f>
        <v>118654.015007984</v>
      </c>
      <c r="CB100" s="15" t="n">
        <f aca="false">AC100+BK100+BM100+BH100+BU100+BV100+AS100+BW100+BX100+BY100+BZ100</f>
        <v>46259.8958333333</v>
      </c>
      <c r="CC100" s="15" t="n">
        <f aca="false">BI100-CA100</f>
        <v>-31749.145903335</v>
      </c>
      <c r="CD100" s="15" t="n">
        <f aca="false">AM100-CB100</f>
        <v>14240.1041666667</v>
      </c>
      <c r="CE100" s="15" t="n">
        <f aca="false">INDEX(Ipotesi!$C$79:$G$79,1,F100)/12</f>
        <v>2500</v>
      </c>
      <c r="CF100" s="15" t="n">
        <f aca="false">INDEX(Ipotesi!$C$84:$G$84,1,F100)/12</f>
        <v>416.666666666667</v>
      </c>
      <c r="CG100" s="15" t="n">
        <f aca="false">Y100*MAX(0,Parametri_v3!$C$12-IF(P100=0,0,MIN(1,BE100/(P100*Parametri_v3!$C$22))))+W100*Parametri_v3!$C$13+X100*Parametri_v3!$C$14</f>
        <v>25395.2260030495</v>
      </c>
      <c r="CH100" s="15" t="n">
        <f aca="false">AB100*Parametri_v3!$C$32</f>
        <v>3713.68333333333</v>
      </c>
      <c r="CI100" s="15" t="n">
        <f aca="false">AC100*Parametri_v3!$C$32</f>
        <v>1270.86979166667</v>
      </c>
      <c r="CJ100" s="15" t="n">
        <f aca="false">CA100-AB100</f>
        <v>44380.3483413176</v>
      </c>
      <c r="CK100" s="15" t="n">
        <f aca="false">CB100-AC100-BH100</f>
        <v>14792.5</v>
      </c>
      <c r="CL100" s="15" t="n">
        <f aca="false">BF100*Ipotesi!$C$73+INDEX(Ipotesi!$C$72:$G$72,1,F100)/12*Ipotesi!D126*Parametri_v3!$C$58+Z100*(1-Parametri_v3!$C$16)</f>
        <v>9159.10619503861</v>
      </c>
      <c r="CM100" s="16" t="n">
        <f aca="false">IF(BF100=0,0,1-CL100/BF100)</f>
        <v>0.766278991501757</v>
      </c>
    </row>
    <row r="101" customFormat="false" ht="18" hidden="false" customHeight="true" outlineLevel="0" collapsed="false">
      <c r="A101" s="68" t="n">
        <f aca="false">2</f>
        <v>2</v>
      </c>
      <c r="B101" s="68" t="n">
        <f aca="false">37</f>
        <v>37</v>
      </c>
      <c r="C101" s="18" t="n">
        <f aca="false">EDATE(Parametri_v3!$C$5,37-1)</f>
        <v>47484</v>
      </c>
      <c r="D101" s="68" t="n">
        <f aca="false">YEAR(C101)</f>
        <v>2030</v>
      </c>
      <c r="E101" s="68" t="n">
        <f aca="false">MONTH(C101)</f>
        <v>1</v>
      </c>
      <c r="F101" s="68" t="n">
        <f aca="false">INT((37-1)/12)+1</f>
        <v>4</v>
      </c>
      <c r="G101" s="15" t="n">
        <f aca="false">Ipotesi!D7</f>
        <v>1</v>
      </c>
      <c r="H101" s="15" t="n">
        <f aca="false">Ipotesi!D9</f>
        <v>1</v>
      </c>
      <c r="I101" s="15" t="n">
        <f aca="false">Ipotesi!D10</f>
        <v>1</v>
      </c>
      <c r="J101" s="15" t="n">
        <f aca="false">Ipotesi!D11</f>
        <v>1</v>
      </c>
      <c r="K101" s="15" t="n">
        <f aca="false">Ipotesi!D12</f>
        <v>1</v>
      </c>
      <c r="L101" s="15" t="n">
        <f aca="false">Ipotesi!D13</f>
        <v>90</v>
      </c>
      <c r="M101" s="17" t="n">
        <f aca="false">INDEX(Ipotesi!$C$40:$G$40,1,F101)</f>
        <v>1</v>
      </c>
      <c r="N101" s="17" t="n">
        <f aca="false">INDEX(Ipotesi!$C$41:$G$41,1,F101)</f>
        <v>1</v>
      </c>
      <c r="O101" s="17" t="n">
        <f aca="false">INDEX(Ipotesi!$C$42:$G$42,1,F101)*Ipotesi!D125</f>
        <v>6.5</v>
      </c>
      <c r="P101" s="17" t="n">
        <f aca="false">INDEX(Ipotesi!$C$43:$G$43,1,F101)*I101</f>
        <v>6</v>
      </c>
      <c r="Q101" s="17" t="n">
        <f aca="false">INDEX(Ipotesi!$C$44:$G$44,1,F101)*I101</f>
        <v>5</v>
      </c>
      <c r="R101" s="17" t="n">
        <f aca="false">INDEX(Ipotesi!$C$45:$G$45,1,F101)*I101</f>
        <v>1.5</v>
      </c>
      <c r="S101" s="17" t="n">
        <f aca="false">INDEX(Ipotesi!$C$52:$G$52,1,F101)*Ipotesi!D125</f>
        <v>7</v>
      </c>
      <c r="T101" s="17" t="n">
        <f aca="false">INDEX(Ipotesi!$C$53:$G$53,1,F101)*I101</f>
        <v>1</v>
      </c>
      <c r="U101" s="17" t="n">
        <f aca="false">INDEX(Ipotesi!$C$54:$G$54,1,F101)*I101</f>
        <v>0.5</v>
      </c>
      <c r="V101" s="15" t="n">
        <f aca="false">M101*INDEX(Ipotesi!$C$58:$G$58,1,F101)*K101/12</f>
        <v>7916.66666666667</v>
      </c>
      <c r="W101" s="15" t="n">
        <f aca="false">N101*Ipotesi!$C$59*(1+Ipotesi!$C$66)^(F101-1)/12</f>
        <v>6374.24083333333</v>
      </c>
      <c r="X101" s="15" t="n">
        <f aca="false">O101*Ipotesi!$C$60*(1+Ipotesi!$C$66)^(F101-1)/12</f>
        <v>29594.6895833333</v>
      </c>
      <c r="Y101" s="15" t="n">
        <f aca="false">P101*Ipotesi!$C$61*(1+Ipotesi!$C$66)^(F101-1)/12</f>
        <v>27318.175</v>
      </c>
      <c r="Z101" s="15" t="n">
        <f aca="false">Q101*Ipotesi!$C$62*(1+Ipotesi!$C$66)^(F101-1)/12</f>
        <v>20488.63125</v>
      </c>
      <c r="AA101" s="15" t="n">
        <f aca="false">R101*Ipotesi!$C$63*(1+Ipotesi!$C$66)^(F101-1)/12</f>
        <v>4780.680625</v>
      </c>
      <c r="AB101" s="15" t="n">
        <f aca="false">SUM(V101:AA101)</f>
        <v>96473.0839583333</v>
      </c>
      <c r="AC101" s="15" t="n">
        <f aca="false">(S101*Ipotesi!$C$64+T101*Ipotesi!$C$65+U101*Ipotesi!$C$63)*(1+Ipotesi!$C$66)^(F101-1)/12</f>
        <v>33829.0067083333</v>
      </c>
      <c r="AD101" s="15" t="n">
        <f aca="false">INDEX(Ipotesi!$C$48:$G$48,1,F101)*G101/12</f>
        <v>79.1666666666667</v>
      </c>
      <c r="AE101" s="15" t="n">
        <f aca="false">INDEX(Ipotesi!$C$50:$G$50,1,F101)*G101/12</f>
        <v>8.33333333333333</v>
      </c>
      <c r="AF101" s="15" t="n">
        <f aca="false">(S101*Parametri_v3!$C$7*Parametri_v3!$C$8+Parametri_v3!$C$10)/12</f>
        <v>89.8333333333333</v>
      </c>
      <c r="AG101" s="15" t="n">
        <f aca="false">AD101+AE101*(1+Parametri_v3!$C$9)</f>
        <v>91.6666666666667</v>
      </c>
      <c r="AH101" s="16" t="n">
        <f aca="false">IF(AG101=0,1,MIN(1,AF101/AG101))</f>
        <v>0.98</v>
      </c>
      <c r="AI101" s="15" t="n">
        <f aca="false">AD101*AH101</f>
        <v>77.5833333333333</v>
      </c>
      <c r="AJ101" s="15" t="n">
        <f aca="false">AE101*AH101</f>
        <v>8.16666666666667</v>
      </c>
      <c r="AK101" s="15" t="n">
        <f aca="false">AI101*INDEX(Ipotesi!$C$49:$G$49,1,F101)*H101</f>
        <v>69825</v>
      </c>
      <c r="AL101" s="15" t="n">
        <f aca="false">AJ101*INDEX(Ipotesi!$C$51:$G$51,1,F101)*H101</f>
        <v>20416.6666666667</v>
      </c>
      <c r="AM101" s="15" t="n">
        <f aca="false">AK101+AL101</f>
        <v>90241.6666666667</v>
      </c>
      <c r="AN101" s="15" t="n">
        <f aca="false">INDEX(Ipotesi!$C$30:$G$30,1,F101)*G101/12</f>
        <v>61.6666666666667</v>
      </c>
      <c r="AO101" s="15" t="n">
        <f aca="false">O101*Parametri_v3!$C$7*Parametri_v3!$C$11*(1-Parametri_v3!$C$14)/12</f>
        <v>66.7333333333333</v>
      </c>
      <c r="AP101" s="15" t="n">
        <f aca="false">MIN(AN101,AO101)</f>
        <v>61.6666666666667</v>
      </c>
      <c r="AQ101" s="15" t="n">
        <f aca="false">AP101*INDEX(Ipotesi!$C$31:$G$31,1,F101)*H101</f>
        <v>64750</v>
      </c>
      <c r="AR101" s="15" t="n">
        <f aca="false">INDEX(Ipotesi!$C$75:$G$75,1,F101)*J101/12</f>
        <v>27916.6666666667</v>
      </c>
      <c r="AS101" s="15" t="n">
        <f aca="false">INDEX(Ipotesi!$C$81:$G$81,1,F101)*J101/12</f>
        <v>1666.66666666667</v>
      </c>
      <c r="AT101" s="15" t="n">
        <f aca="false">AR101*Parametri_v3!$C$15+Z101*Parametri_v3!$C$16</f>
        <v>42258.7085416667</v>
      </c>
      <c r="AU101" s="15" t="n">
        <f aca="false">Q101*Parametri_v3!$C$16*Parametri_v3!$C$17</f>
        <v>350</v>
      </c>
      <c r="AV101" s="17" t="n">
        <f aca="false">BD100</f>
        <v>88.253796635745</v>
      </c>
      <c r="AW101" s="17" t="n">
        <f aca="false">AV101*(1-(1-INDEX(Ipotesi!$C$34:$G$34,1,F101))^(1/12))</f>
        <v>0.771480355464605</v>
      </c>
      <c r="AX101" s="15" t="n">
        <f aca="false">ROUND(INDEX(Ipotesi!$C$32:$G$32,1,F101)*Ipotesi!D8,0)</f>
        <v>310</v>
      </c>
      <c r="AY101" s="15" t="n">
        <f aca="false">MAX(0,(AX101-(AV101-AW101))/(13-E101))</f>
        <v>18.5431403099766</v>
      </c>
      <c r="AZ101" s="15" t="n">
        <f aca="false">MIN(P101*Parametri_v3!$C$22,Q101*(1-Parametri_v3!$C$16)*Parametri_v3!$C$23)</f>
        <v>225</v>
      </c>
      <c r="BA101" s="15" t="n">
        <f aca="false">IF(OR(INDEX(Ipotesi!$C$35:$G$35,1,F101)&lt;=0,37-Parametri_v3!$C$21&lt;1),0,INDEX($AT$65:$AT$124,MAX(1,37-Parametri_v3!$C$21))/(INDEX(Ipotesi!$C$35:$G$35,1,F101)*Ipotesi!D27))</f>
        <v>5.18990833333333</v>
      </c>
      <c r="BB101" s="15" t="n">
        <f aca="false">IF(37-Parametri_v3!$C$21&lt;1,0,INDEX($AU$65:$AU$124,MAX(1,37-Parametri_v3!$C$21)))*Parametri_v3!$C$18*Parametri_v3!$C$19*Parametri_v3!$C$20</f>
        <v>10.5</v>
      </c>
      <c r="BC101" s="17" t="n">
        <f aca="false">MAX(0,MIN(AY101,BA101,BB101,MAX(0,AZ101-(AV101-AW101))))</f>
        <v>5.18990833333333</v>
      </c>
      <c r="BD101" s="17" t="n">
        <f aca="false">AV101-AW101+BC101</f>
        <v>92.6722246136137</v>
      </c>
      <c r="BE101" s="17" t="n">
        <f aca="false">(AV101+BD101)/2</f>
        <v>90.4630106246794</v>
      </c>
      <c r="BF101" s="15" t="n">
        <f aca="false">BE101*INDEX(Ipotesi!$C$33:$G$33,1,F101)*H101/12</f>
        <v>45231.5053123397</v>
      </c>
      <c r="BG101" s="15" t="n">
        <f aca="false">BD101*INDEX(Ipotesi!$C$33:$G$33,1,F101)*H101</f>
        <v>556033.347681682</v>
      </c>
      <c r="BH101" s="15" t="n">
        <f aca="false">AM101*INDEX(Ipotesi!$C$37:$G$37,1,F101)</f>
        <v>9024.16666666667</v>
      </c>
      <c r="BI101" s="15" t="n">
        <f aca="false">AQ101+BF101+BH101</f>
        <v>119005.671979006</v>
      </c>
      <c r="BJ101" s="15" t="n">
        <f aca="false">INDEX(Ipotesi!$C$68:$G$68,1,F101)*Ipotesi!$C$69/12</f>
        <v>3000</v>
      </c>
      <c r="BK101" s="15" t="n">
        <f aca="false">INDEX(Ipotesi!$C$68:$G$68,1,F101)*(1-Ipotesi!$C$69)/12</f>
        <v>4500</v>
      </c>
      <c r="BL101" s="15" t="n">
        <f aca="false">(AQ101+BF101)*Ipotesi!$C$67</f>
        <v>3299.44515937019</v>
      </c>
      <c r="BM101" s="15" t="n">
        <f aca="false">AM101*Ipotesi!$C$67</f>
        <v>2707.25</v>
      </c>
      <c r="BN101" s="15" t="n">
        <f aca="false">INDEX(Ipotesi!$C$72:$G$72,1,F101)/12*Ipotesi!D126+BF101*Ipotesi!$C$73</f>
        <v>4868.52042498717</v>
      </c>
      <c r="BO101" s="15" t="n">
        <f aca="false">INDEX(Ipotesi!$C$74:$G$74,1,F101)/12*Ipotesi!D126</f>
        <v>4166.66666666667</v>
      </c>
      <c r="BP101" s="15" t="n">
        <f aca="false">INDEX(Ipotesi!$C$76:$G$76,1,F101)/12</f>
        <v>1500</v>
      </c>
      <c r="BQ101" s="15" t="n">
        <f aca="false">INDEX(Ipotesi!$C$77:$G$77,1,F101)/12*Ipotesi!D126</f>
        <v>2083.33333333333</v>
      </c>
      <c r="BR101" s="15" t="n">
        <f aca="false">INDEX(Ipotesi!$C$78:$G$78,1,F101)/12</f>
        <v>2000</v>
      </c>
      <c r="BS101" s="15" t="n">
        <f aca="false">SUM(M101:R101)*(Ipotesi!$C$85+Ipotesi!$C$86)/12</f>
        <v>6125</v>
      </c>
      <c r="BT101" s="15" t="n">
        <f aca="false">BI101*Ipotesi!$C$87</f>
        <v>3570.17015937019</v>
      </c>
      <c r="BU101" s="15" t="n">
        <f aca="false">INDEX(Ipotesi!$C$55:$G$55,1,F101)*K101/12</f>
        <v>2000</v>
      </c>
      <c r="BV101" s="15" t="n">
        <f aca="false">INDEX(Ipotesi!$C$80:$G$80,1,F101)/12*Ipotesi!D126</f>
        <v>1666.66666666667</v>
      </c>
      <c r="BW101" s="15" t="n">
        <f aca="false">INDEX(Ipotesi!$C$82:$G$82,1,F101)/12</f>
        <v>1250</v>
      </c>
      <c r="BX101" s="15" t="n">
        <f aca="false">INDEX(Ipotesi!$C$83:$G$83,1,F101)/12</f>
        <v>750</v>
      </c>
      <c r="BY101" s="15" t="n">
        <f aca="false">SUM(S101:U101)*(Ipotesi!$C$85+Ipotesi!$C$86)/12</f>
        <v>2479.16666666667</v>
      </c>
      <c r="BZ101" s="15" t="n">
        <f aca="false">AM101*Ipotesi!$C$87</f>
        <v>2707.25</v>
      </c>
      <c r="CA101" s="15" t="n">
        <f aca="false">AB101+BJ101+BL101+BN101+BO101+AR101+BP101+BQ101+BR101+BS101+BT101</f>
        <v>155002.886368728</v>
      </c>
      <c r="CB101" s="15" t="n">
        <f aca="false">AC101+BK101+BM101+BH101+BU101+BV101+AS101+BW101+BX101+BY101+BZ101</f>
        <v>62580.173375</v>
      </c>
      <c r="CC101" s="15" t="n">
        <f aca="false">BI101-CA101</f>
        <v>-35997.2143897212</v>
      </c>
      <c r="CD101" s="15" t="n">
        <f aca="false">AM101-CB101</f>
        <v>27661.4932916667</v>
      </c>
      <c r="CE101" s="15" t="n">
        <f aca="false">INDEX(Ipotesi!$C$79:$G$79,1,F101)/12</f>
        <v>3333.33333333333</v>
      </c>
      <c r="CF101" s="15" t="n">
        <f aca="false">INDEX(Ipotesi!$C$84:$G$84,1,F101)/12</f>
        <v>666.666666666667</v>
      </c>
      <c r="CG101" s="15" t="n">
        <f aca="false">Y101*MAX(0,Parametri_v3!$C$12-IF(P101=0,0,MIN(1,BE101/(P101*Parametri_v3!$C$22))))+W101*Parametri_v3!$C$13+X101*Parametri_v3!$C$14</f>
        <v>32305.4260745469</v>
      </c>
      <c r="CH101" s="15" t="n">
        <f aca="false">AB101*Parametri_v3!$C$32</f>
        <v>4823.65419791667</v>
      </c>
      <c r="CI101" s="15" t="n">
        <f aca="false">AC101*Parametri_v3!$C$32</f>
        <v>1691.45033541667</v>
      </c>
      <c r="CJ101" s="15" t="n">
        <f aca="false">CA101-AB101</f>
        <v>58529.8024103942</v>
      </c>
      <c r="CK101" s="15" t="n">
        <f aca="false">CB101-AC101-BH101</f>
        <v>19727</v>
      </c>
      <c r="CL101" s="15" t="n">
        <f aca="false">BF101*Ipotesi!$C$73+INDEX(Ipotesi!$C$72:$G$72,1,F101)/12*Ipotesi!D126*Parametri_v3!$C$58+Z101*(1-Parametri_v3!$C$16)</f>
        <v>11015.1097999872</v>
      </c>
      <c r="CM101" s="16" t="n">
        <f aca="false">IF(BF101=0,0,1-CL101/BF101)</f>
        <v>0.75647262402779</v>
      </c>
    </row>
    <row r="102" customFormat="false" ht="18" hidden="false" customHeight="true" outlineLevel="0" collapsed="false">
      <c r="A102" s="68" t="n">
        <f aca="false">2</f>
        <v>2</v>
      </c>
      <c r="B102" s="68" t="n">
        <f aca="false">38</f>
        <v>38</v>
      </c>
      <c r="C102" s="18" t="n">
        <f aca="false">EDATE(Parametri_v3!$C$5,38-1)</f>
        <v>47515</v>
      </c>
      <c r="D102" s="68" t="n">
        <f aca="false">YEAR(C102)</f>
        <v>2030</v>
      </c>
      <c r="E102" s="68" t="n">
        <f aca="false">MONTH(C102)</f>
        <v>2</v>
      </c>
      <c r="F102" s="68" t="n">
        <f aca="false">INT((38-1)/12)+1</f>
        <v>4</v>
      </c>
      <c r="G102" s="15" t="n">
        <f aca="false">Ipotesi!D7</f>
        <v>1</v>
      </c>
      <c r="H102" s="15" t="n">
        <f aca="false">Ipotesi!D9</f>
        <v>1</v>
      </c>
      <c r="I102" s="15" t="n">
        <f aca="false">Ipotesi!D10</f>
        <v>1</v>
      </c>
      <c r="J102" s="15" t="n">
        <f aca="false">Ipotesi!D11</f>
        <v>1</v>
      </c>
      <c r="K102" s="15" t="n">
        <f aca="false">Ipotesi!D12</f>
        <v>1</v>
      </c>
      <c r="L102" s="15" t="n">
        <f aca="false">Ipotesi!D13</f>
        <v>90</v>
      </c>
      <c r="M102" s="17" t="n">
        <f aca="false">INDEX(Ipotesi!$C$40:$G$40,1,F102)</f>
        <v>1</v>
      </c>
      <c r="N102" s="17" t="n">
        <f aca="false">INDEX(Ipotesi!$C$41:$G$41,1,F102)</f>
        <v>1</v>
      </c>
      <c r="O102" s="17" t="n">
        <f aca="false">INDEX(Ipotesi!$C$42:$G$42,1,F102)*Ipotesi!D125</f>
        <v>6.5</v>
      </c>
      <c r="P102" s="17" t="n">
        <f aca="false">INDEX(Ipotesi!$C$43:$G$43,1,F102)*I102</f>
        <v>6</v>
      </c>
      <c r="Q102" s="17" t="n">
        <f aca="false">INDEX(Ipotesi!$C$44:$G$44,1,F102)*I102</f>
        <v>5</v>
      </c>
      <c r="R102" s="17" t="n">
        <f aca="false">INDEX(Ipotesi!$C$45:$G$45,1,F102)*I102</f>
        <v>1.5</v>
      </c>
      <c r="S102" s="17" t="n">
        <f aca="false">INDEX(Ipotesi!$C$52:$G$52,1,F102)*Ipotesi!D125</f>
        <v>7</v>
      </c>
      <c r="T102" s="17" t="n">
        <f aca="false">INDEX(Ipotesi!$C$53:$G$53,1,F102)*I102</f>
        <v>1</v>
      </c>
      <c r="U102" s="17" t="n">
        <f aca="false">INDEX(Ipotesi!$C$54:$G$54,1,F102)*I102</f>
        <v>0.5</v>
      </c>
      <c r="V102" s="15" t="n">
        <f aca="false">M102*INDEX(Ipotesi!$C$58:$G$58,1,F102)*K102/12</f>
        <v>7916.66666666667</v>
      </c>
      <c r="W102" s="15" t="n">
        <f aca="false">N102*Ipotesi!$C$59*(1+Ipotesi!$C$66)^(F102-1)/12</f>
        <v>6374.24083333333</v>
      </c>
      <c r="X102" s="15" t="n">
        <f aca="false">O102*Ipotesi!$C$60*(1+Ipotesi!$C$66)^(F102-1)/12</f>
        <v>29594.6895833333</v>
      </c>
      <c r="Y102" s="15" t="n">
        <f aca="false">P102*Ipotesi!$C$61*(1+Ipotesi!$C$66)^(F102-1)/12</f>
        <v>27318.175</v>
      </c>
      <c r="Z102" s="15" t="n">
        <f aca="false">Q102*Ipotesi!$C$62*(1+Ipotesi!$C$66)^(F102-1)/12</f>
        <v>20488.63125</v>
      </c>
      <c r="AA102" s="15" t="n">
        <f aca="false">R102*Ipotesi!$C$63*(1+Ipotesi!$C$66)^(F102-1)/12</f>
        <v>4780.680625</v>
      </c>
      <c r="AB102" s="15" t="n">
        <f aca="false">SUM(V102:AA102)</f>
        <v>96473.0839583333</v>
      </c>
      <c r="AC102" s="15" t="n">
        <f aca="false">(S102*Ipotesi!$C$64+T102*Ipotesi!$C$65+U102*Ipotesi!$C$63)*(1+Ipotesi!$C$66)^(F102-1)/12</f>
        <v>33829.0067083333</v>
      </c>
      <c r="AD102" s="15" t="n">
        <f aca="false">INDEX(Ipotesi!$C$48:$G$48,1,F102)*G102/12</f>
        <v>79.1666666666667</v>
      </c>
      <c r="AE102" s="15" t="n">
        <f aca="false">INDEX(Ipotesi!$C$50:$G$50,1,F102)*G102/12</f>
        <v>8.33333333333333</v>
      </c>
      <c r="AF102" s="15" t="n">
        <f aca="false">(S102*Parametri_v3!$C$7*Parametri_v3!$C$8+Parametri_v3!$C$10)/12</f>
        <v>89.8333333333333</v>
      </c>
      <c r="AG102" s="15" t="n">
        <f aca="false">AD102+AE102*(1+Parametri_v3!$C$9)</f>
        <v>91.6666666666667</v>
      </c>
      <c r="AH102" s="16" t="n">
        <f aca="false">IF(AG102=0,1,MIN(1,AF102/AG102))</f>
        <v>0.98</v>
      </c>
      <c r="AI102" s="15" t="n">
        <f aca="false">AD102*AH102</f>
        <v>77.5833333333333</v>
      </c>
      <c r="AJ102" s="15" t="n">
        <f aca="false">AE102*AH102</f>
        <v>8.16666666666667</v>
      </c>
      <c r="AK102" s="15" t="n">
        <f aca="false">AI102*INDEX(Ipotesi!$C$49:$G$49,1,F102)*H102</f>
        <v>69825</v>
      </c>
      <c r="AL102" s="15" t="n">
        <f aca="false">AJ102*INDEX(Ipotesi!$C$51:$G$51,1,F102)*H102</f>
        <v>20416.6666666667</v>
      </c>
      <c r="AM102" s="15" t="n">
        <f aca="false">AK102+AL102</f>
        <v>90241.6666666667</v>
      </c>
      <c r="AN102" s="15" t="n">
        <f aca="false">INDEX(Ipotesi!$C$30:$G$30,1,F102)*G102/12</f>
        <v>61.6666666666667</v>
      </c>
      <c r="AO102" s="15" t="n">
        <f aca="false">O102*Parametri_v3!$C$7*Parametri_v3!$C$11*(1-Parametri_v3!$C$14)/12</f>
        <v>66.7333333333333</v>
      </c>
      <c r="AP102" s="15" t="n">
        <f aca="false">MIN(AN102,AO102)</f>
        <v>61.6666666666667</v>
      </c>
      <c r="AQ102" s="15" t="n">
        <f aca="false">AP102*INDEX(Ipotesi!$C$31:$G$31,1,F102)*H102</f>
        <v>64750</v>
      </c>
      <c r="AR102" s="15" t="n">
        <f aca="false">INDEX(Ipotesi!$C$75:$G$75,1,F102)*J102/12</f>
        <v>27916.6666666667</v>
      </c>
      <c r="AS102" s="15" t="n">
        <f aca="false">INDEX(Ipotesi!$C$81:$G$81,1,F102)*J102/12</f>
        <v>1666.66666666667</v>
      </c>
      <c r="AT102" s="15" t="n">
        <f aca="false">AR102*Parametri_v3!$C$15+Z102*Parametri_v3!$C$16</f>
        <v>42258.7085416667</v>
      </c>
      <c r="AU102" s="15" t="n">
        <f aca="false">Q102*Parametri_v3!$C$16*Parametri_v3!$C$17</f>
        <v>350</v>
      </c>
      <c r="AV102" s="17" t="n">
        <f aca="false">BD101</f>
        <v>92.6722246136137</v>
      </c>
      <c r="AW102" s="17" t="n">
        <f aca="false">AV102*(1-(1-INDEX(Ipotesi!$C$34:$G$34,1,F102))^(1/12))</f>
        <v>0.810104533878481</v>
      </c>
      <c r="AX102" s="15" t="n">
        <f aca="false">ROUND(INDEX(Ipotesi!$C$32:$G$32,1,F102)*Ipotesi!D8,0)</f>
        <v>310</v>
      </c>
      <c r="AY102" s="15" t="n">
        <f aca="false">MAX(0,(AX102-(AV102-AW102))/(13-E102))</f>
        <v>19.8307163563877</v>
      </c>
      <c r="AZ102" s="15" t="n">
        <f aca="false">MIN(P102*Parametri_v3!$C$22,Q102*(1-Parametri_v3!$C$16)*Parametri_v3!$C$23)</f>
        <v>225</v>
      </c>
      <c r="BA102" s="15" t="n">
        <f aca="false">IF(OR(INDEX(Ipotesi!$C$35:$G$35,1,F102)&lt;=0,38-Parametri_v3!$C$21&lt;1),0,INDEX($AT$65:$AT$124,MAX(1,38-Parametri_v3!$C$21))/(INDEX(Ipotesi!$C$35:$G$35,1,F102)*Ipotesi!D27))</f>
        <v>5.18990833333333</v>
      </c>
      <c r="BB102" s="15" t="n">
        <f aca="false">IF(38-Parametri_v3!$C$21&lt;1,0,INDEX($AU$65:$AU$124,MAX(1,38-Parametri_v3!$C$21)))*Parametri_v3!$C$18*Parametri_v3!$C$19*Parametri_v3!$C$20</f>
        <v>10.5</v>
      </c>
      <c r="BC102" s="17" t="n">
        <f aca="false">MAX(0,MIN(AY102,BA102,BB102,MAX(0,AZ102-(AV102-AW102))))</f>
        <v>5.18990833333333</v>
      </c>
      <c r="BD102" s="17" t="n">
        <f aca="false">AV102-AW102+BC102</f>
        <v>97.0520284130686</v>
      </c>
      <c r="BE102" s="17" t="n">
        <f aca="false">(AV102+BD102)/2</f>
        <v>94.8621265133411</v>
      </c>
      <c r="BF102" s="15" t="n">
        <f aca="false">BE102*INDEX(Ipotesi!$C$33:$G$33,1,F102)*H102/12</f>
        <v>47431.0632566706</v>
      </c>
      <c r="BG102" s="15" t="n">
        <f aca="false">BD102*INDEX(Ipotesi!$C$33:$G$33,1,F102)*H102</f>
        <v>582312.170478411</v>
      </c>
      <c r="BH102" s="15" t="n">
        <f aca="false">AM102*INDEX(Ipotesi!$C$37:$G$37,1,F102)</f>
        <v>9024.16666666667</v>
      </c>
      <c r="BI102" s="15" t="n">
        <f aca="false">AQ102+BF102+BH102</f>
        <v>121205.229923337</v>
      </c>
      <c r="BJ102" s="15" t="n">
        <f aca="false">INDEX(Ipotesi!$C$68:$G$68,1,F102)*Ipotesi!$C$69/12</f>
        <v>3000</v>
      </c>
      <c r="BK102" s="15" t="n">
        <f aca="false">INDEX(Ipotesi!$C$68:$G$68,1,F102)*(1-Ipotesi!$C$69)/12</f>
        <v>4500</v>
      </c>
      <c r="BL102" s="15" t="n">
        <f aca="false">(AQ102+BF102)*Ipotesi!$C$67</f>
        <v>3365.43189770012</v>
      </c>
      <c r="BM102" s="15" t="n">
        <f aca="false">AM102*Ipotesi!$C$67</f>
        <v>2707.25</v>
      </c>
      <c r="BN102" s="15" t="n">
        <f aca="false">INDEX(Ipotesi!$C$72:$G$72,1,F102)/12*Ipotesi!D126+BF102*Ipotesi!$C$73</f>
        <v>5044.48506053365</v>
      </c>
      <c r="BO102" s="15" t="n">
        <f aca="false">INDEX(Ipotesi!$C$74:$G$74,1,F102)/12*Ipotesi!D126</f>
        <v>4166.66666666667</v>
      </c>
      <c r="BP102" s="15" t="n">
        <f aca="false">INDEX(Ipotesi!$C$76:$G$76,1,F102)/12</f>
        <v>1500</v>
      </c>
      <c r="BQ102" s="15" t="n">
        <f aca="false">INDEX(Ipotesi!$C$77:$G$77,1,F102)/12*Ipotesi!D126</f>
        <v>2083.33333333333</v>
      </c>
      <c r="BR102" s="15" t="n">
        <f aca="false">INDEX(Ipotesi!$C$78:$G$78,1,F102)/12</f>
        <v>2000</v>
      </c>
      <c r="BS102" s="15" t="n">
        <f aca="false">SUM(M102:R102)*(Ipotesi!$C$85+Ipotesi!$C$86)/12</f>
        <v>6125</v>
      </c>
      <c r="BT102" s="15" t="n">
        <f aca="false">BI102*Ipotesi!$C$87</f>
        <v>3636.15689770012</v>
      </c>
      <c r="BU102" s="15" t="n">
        <f aca="false">INDEX(Ipotesi!$C$55:$G$55,1,F102)*K102/12</f>
        <v>2000</v>
      </c>
      <c r="BV102" s="15" t="n">
        <f aca="false">INDEX(Ipotesi!$C$80:$G$80,1,F102)/12*Ipotesi!D126</f>
        <v>1666.66666666667</v>
      </c>
      <c r="BW102" s="15" t="n">
        <f aca="false">INDEX(Ipotesi!$C$82:$G$82,1,F102)/12</f>
        <v>1250</v>
      </c>
      <c r="BX102" s="15" t="n">
        <f aca="false">INDEX(Ipotesi!$C$83:$G$83,1,F102)/12</f>
        <v>750</v>
      </c>
      <c r="BY102" s="15" t="n">
        <f aca="false">SUM(S102:U102)*(Ipotesi!$C$85+Ipotesi!$C$86)/12</f>
        <v>2479.16666666667</v>
      </c>
      <c r="BZ102" s="15" t="n">
        <f aca="false">AM102*Ipotesi!$C$87</f>
        <v>2707.25</v>
      </c>
      <c r="CA102" s="15" t="n">
        <f aca="false">AB102+BJ102+BL102+BN102+BO102+AR102+BP102+BQ102+BR102+BS102+BT102</f>
        <v>155310.824480934</v>
      </c>
      <c r="CB102" s="15" t="n">
        <f aca="false">AC102+BK102+BM102+BH102+BU102+BV102+AS102+BW102+BX102+BY102+BZ102</f>
        <v>62580.173375</v>
      </c>
      <c r="CC102" s="15" t="n">
        <f aca="false">BI102-CA102</f>
        <v>-34105.5945575967</v>
      </c>
      <c r="CD102" s="15" t="n">
        <f aca="false">AM102-CB102</f>
        <v>27661.4932916667</v>
      </c>
      <c r="CE102" s="15" t="n">
        <f aca="false">INDEX(Ipotesi!$C$79:$G$79,1,F102)/12</f>
        <v>3333.33333333333</v>
      </c>
      <c r="CF102" s="15" t="n">
        <f aca="false">INDEX(Ipotesi!$C$84:$G$84,1,F102)/12</f>
        <v>666.666666666667</v>
      </c>
      <c r="CG102" s="15" t="n">
        <f aca="false">Y102*MAX(0,Parametri_v3!$C$12-IF(P102=0,0,MIN(1,BE102/(P102*Parametri_v3!$C$22))))+W102*Parametri_v3!$C$13+X102*Parametri_v3!$C$14</f>
        <v>32105.1330450607</v>
      </c>
      <c r="CH102" s="15" t="n">
        <f aca="false">AB102*Parametri_v3!$C$32</f>
        <v>4823.65419791667</v>
      </c>
      <c r="CI102" s="15" t="n">
        <f aca="false">AC102*Parametri_v3!$C$32</f>
        <v>1691.45033541667</v>
      </c>
      <c r="CJ102" s="15" t="n">
        <f aca="false">CA102-AB102</f>
        <v>58837.7405226006</v>
      </c>
      <c r="CK102" s="15" t="n">
        <f aca="false">CB102-AC102-BH102</f>
        <v>19727</v>
      </c>
      <c r="CL102" s="15" t="n">
        <f aca="false">BF102*Ipotesi!$C$73+INDEX(Ipotesi!$C$72:$G$72,1,F102)/12*Ipotesi!D126*Parametri_v3!$C$58+Z102*(1-Parametri_v3!$C$16)</f>
        <v>11191.0744355336</v>
      </c>
      <c r="CM102" s="16" t="n">
        <f aca="false">IF(BF102=0,0,1-CL102/BF102)</f>
        <v>0.764056007452885</v>
      </c>
    </row>
    <row r="103" customFormat="false" ht="18" hidden="false" customHeight="true" outlineLevel="0" collapsed="false">
      <c r="A103" s="68" t="n">
        <f aca="false">2</f>
        <v>2</v>
      </c>
      <c r="B103" s="68" t="n">
        <f aca="false">39</f>
        <v>39</v>
      </c>
      <c r="C103" s="18" t="n">
        <f aca="false">EDATE(Parametri_v3!$C$5,39-1)</f>
        <v>47543</v>
      </c>
      <c r="D103" s="68" t="n">
        <f aca="false">YEAR(C103)</f>
        <v>2030</v>
      </c>
      <c r="E103" s="68" t="n">
        <f aca="false">MONTH(C103)</f>
        <v>3</v>
      </c>
      <c r="F103" s="68" t="n">
        <f aca="false">INT((39-1)/12)+1</f>
        <v>4</v>
      </c>
      <c r="G103" s="15" t="n">
        <f aca="false">Ipotesi!D7</f>
        <v>1</v>
      </c>
      <c r="H103" s="15" t="n">
        <f aca="false">Ipotesi!D9</f>
        <v>1</v>
      </c>
      <c r="I103" s="15" t="n">
        <f aca="false">Ipotesi!D10</f>
        <v>1</v>
      </c>
      <c r="J103" s="15" t="n">
        <f aca="false">Ipotesi!D11</f>
        <v>1</v>
      </c>
      <c r="K103" s="15" t="n">
        <f aca="false">Ipotesi!D12</f>
        <v>1</v>
      </c>
      <c r="L103" s="15" t="n">
        <f aca="false">Ipotesi!D13</f>
        <v>90</v>
      </c>
      <c r="M103" s="17" t="n">
        <f aca="false">INDEX(Ipotesi!$C$40:$G$40,1,F103)</f>
        <v>1</v>
      </c>
      <c r="N103" s="17" t="n">
        <f aca="false">INDEX(Ipotesi!$C$41:$G$41,1,F103)</f>
        <v>1</v>
      </c>
      <c r="O103" s="17" t="n">
        <f aca="false">INDEX(Ipotesi!$C$42:$G$42,1,F103)*Ipotesi!D125</f>
        <v>6.5</v>
      </c>
      <c r="P103" s="17" t="n">
        <f aca="false">INDEX(Ipotesi!$C$43:$G$43,1,F103)*I103</f>
        <v>6</v>
      </c>
      <c r="Q103" s="17" t="n">
        <f aca="false">INDEX(Ipotesi!$C$44:$G$44,1,F103)*I103</f>
        <v>5</v>
      </c>
      <c r="R103" s="17" t="n">
        <f aca="false">INDEX(Ipotesi!$C$45:$G$45,1,F103)*I103</f>
        <v>1.5</v>
      </c>
      <c r="S103" s="17" t="n">
        <f aca="false">INDEX(Ipotesi!$C$52:$G$52,1,F103)*Ipotesi!D125</f>
        <v>7</v>
      </c>
      <c r="T103" s="17" t="n">
        <f aca="false">INDEX(Ipotesi!$C$53:$G$53,1,F103)*I103</f>
        <v>1</v>
      </c>
      <c r="U103" s="17" t="n">
        <f aca="false">INDEX(Ipotesi!$C$54:$G$54,1,F103)*I103</f>
        <v>0.5</v>
      </c>
      <c r="V103" s="15" t="n">
        <f aca="false">M103*INDEX(Ipotesi!$C$58:$G$58,1,F103)*K103/12</f>
        <v>7916.66666666667</v>
      </c>
      <c r="W103" s="15" t="n">
        <f aca="false">N103*Ipotesi!$C$59*(1+Ipotesi!$C$66)^(F103-1)/12</f>
        <v>6374.24083333333</v>
      </c>
      <c r="X103" s="15" t="n">
        <f aca="false">O103*Ipotesi!$C$60*(1+Ipotesi!$C$66)^(F103-1)/12</f>
        <v>29594.6895833333</v>
      </c>
      <c r="Y103" s="15" t="n">
        <f aca="false">P103*Ipotesi!$C$61*(1+Ipotesi!$C$66)^(F103-1)/12</f>
        <v>27318.175</v>
      </c>
      <c r="Z103" s="15" t="n">
        <f aca="false">Q103*Ipotesi!$C$62*(1+Ipotesi!$C$66)^(F103-1)/12</f>
        <v>20488.63125</v>
      </c>
      <c r="AA103" s="15" t="n">
        <f aca="false">R103*Ipotesi!$C$63*(1+Ipotesi!$C$66)^(F103-1)/12</f>
        <v>4780.680625</v>
      </c>
      <c r="AB103" s="15" t="n">
        <f aca="false">SUM(V103:AA103)</f>
        <v>96473.0839583333</v>
      </c>
      <c r="AC103" s="15" t="n">
        <f aca="false">(S103*Ipotesi!$C$64+T103*Ipotesi!$C$65+U103*Ipotesi!$C$63)*(1+Ipotesi!$C$66)^(F103-1)/12</f>
        <v>33829.0067083333</v>
      </c>
      <c r="AD103" s="15" t="n">
        <f aca="false">INDEX(Ipotesi!$C$48:$G$48,1,F103)*G103/12</f>
        <v>79.1666666666667</v>
      </c>
      <c r="AE103" s="15" t="n">
        <f aca="false">INDEX(Ipotesi!$C$50:$G$50,1,F103)*G103/12</f>
        <v>8.33333333333333</v>
      </c>
      <c r="AF103" s="15" t="n">
        <f aca="false">(S103*Parametri_v3!$C$7*Parametri_v3!$C$8+Parametri_v3!$C$10)/12</f>
        <v>89.8333333333333</v>
      </c>
      <c r="AG103" s="15" t="n">
        <f aca="false">AD103+AE103*(1+Parametri_v3!$C$9)</f>
        <v>91.6666666666667</v>
      </c>
      <c r="AH103" s="16" t="n">
        <f aca="false">IF(AG103=0,1,MIN(1,AF103/AG103))</f>
        <v>0.98</v>
      </c>
      <c r="AI103" s="15" t="n">
        <f aca="false">AD103*AH103</f>
        <v>77.5833333333333</v>
      </c>
      <c r="AJ103" s="15" t="n">
        <f aca="false">AE103*AH103</f>
        <v>8.16666666666667</v>
      </c>
      <c r="AK103" s="15" t="n">
        <f aca="false">AI103*INDEX(Ipotesi!$C$49:$G$49,1,F103)*H103</f>
        <v>69825</v>
      </c>
      <c r="AL103" s="15" t="n">
        <f aca="false">AJ103*INDEX(Ipotesi!$C$51:$G$51,1,F103)*H103</f>
        <v>20416.6666666667</v>
      </c>
      <c r="AM103" s="15" t="n">
        <f aca="false">AK103+AL103</f>
        <v>90241.6666666667</v>
      </c>
      <c r="AN103" s="15" t="n">
        <f aca="false">INDEX(Ipotesi!$C$30:$G$30,1,F103)*G103/12</f>
        <v>61.6666666666667</v>
      </c>
      <c r="AO103" s="15" t="n">
        <f aca="false">O103*Parametri_v3!$C$7*Parametri_v3!$C$11*(1-Parametri_v3!$C$14)/12</f>
        <v>66.7333333333333</v>
      </c>
      <c r="AP103" s="15" t="n">
        <f aca="false">MIN(AN103,AO103)</f>
        <v>61.6666666666667</v>
      </c>
      <c r="AQ103" s="15" t="n">
        <f aca="false">AP103*INDEX(Ipotesi!$C$31:$G$31,1,F103)*H103</f>
        <v>64750</v>
      </c>
      <c r="AR103" s="15" t="n">
        <f aca="false">INDEX(Ipotesi!$C$75:$G$75,1,F103)*J103/12</f>
        <v>27916.6666666667</v>
      </c>
      <c r="AS103" s="15" t="n">
        <f aca="false">INDEX(Ipotesi!$C$81:$G$81,1,F103)*J103/12</f>
        <v>1666.66666666667</v>
      </c>
      <c r="AT103" s="15" t="n">
        <f aca="false">AR103*Parametri_v3!$C$15+Z103*Parametri_v3!$C$16</f>
        <v>42258.7085416667</v>
      </c>
      <c r="AU103" s="15" t="n">
        <f aca="false">Q103*Parametri_v3!$C$16*Parametri_v3!$C$17</f>
        <v>350</v>
      </c>
      <c r="AV103" s="17" t="n">
        <f aca="false">BD102</f>
        <v>97.0520284130686</v>
      </c>
      <c r="AW103" s="17" t="n">
        <f aca="false">AV103*(1-(1-INDEX(Ipotesi!$C$34:$G$34,1,F103))^(1/12))</f>
        <v>0.848391074751218</v>
      </c>
      <c r="AX103" s="15" t="n">
        <f aca="false">ROUND(INDEX(Ipotesi!$C$32:$G$32,1,F103)*Ipotesi!D8,0)</f>
        <v>310</v>
      </c>
      <c r="AY103" s="15" t="n">
        <f aca="false">MAX(0,(AX103-(AV103-AW103))/(13-E103))</f>
        <v>21.3796362661683</v>
      </c>
      <c r="AZ103" s="15" t="n">
        <f aca="false">MIN(P103*Parametri_v3!$C$22,Q103*(1-Parametri_v3!$C$16)*Parametri_v3!$C$23)</f>
        <v>225</v>
      </c>
      <c r="BA103" s="15" t="n">
        <f aca="false">IF(OR(INDEX(Ipotesi!$C$35:$G$35,1,F103)&lt;=0,39-Parametri_v3!$C$21&lt;1),0,INDEX($AT$65:$AT$124,MAX(1,39-Parametri_v3!$C$21))/(INDEX(Ipotesi!$C$35:$G$35,1,F103)*Ipotesi!D27))</f>
        <v>5.18990833333333</v>
      </c>
      <c r="BB103" s="15" t="n">
        <f aca="false">IF(39-Parametri_v3!$C$21&lt;1,0,INDEX($AU$65:$AU$124,MAX(1,39-Parametri_v3!$C$21)))*Parametri_v3!$C$18*Parametri_v3!$C$19*Parametri_v3!$C$20</f>
        <v>10.5</v>
      </c>
      <c r="BC103" s="17" t="n">
        <f aca="false">MAX(0,MIN(AY103,BA103,BB103,MAX(0,AZ103-(AV103-AW103))))</f>
        <v>5.18990833333333</v>
      </c>
      <c r="BD103" s="17" t="n">
        <f aca="false">AV103-AW103+BC103</f>
        <v>101.393545671651</v>
      </c>
      <c r="BE103" s="17" t="n">
        <f aca="false">(AV103+BD103)/2</f>
        <v>99.2227870423596</v>
      </c>
      <c r="BF103" s="15" t="n">
        <f aca="false">BE103*INDEX(Ipotesi!$C$33:$G$33,1,F103)*H103/12</f>
        <v>49611.3935211798</v>
      </c>
      <c r="BG103" s="15" t="n">
        <f aca="false">BD103*INDEX(Ipotesi!$C$33:$G$33,1,F103)*H103</f>
        <v>608361.274029904</v>
      </c>
      <c r="BH103" s="15" t="n">
        <f aca="false">AM103*INDEX(Ipotesi!$C$37:$G$37,1,F103)</f>
        <v>9024.16666666667</v>
      </c>
      <c r="BI103" s="15" t="n">
        <f aca="false">AQ103+BF103+BH103</f>
        <v>123385.560187847</v>
      </c>
      <c r="BJ103" s="15" t="n">
        <f aca="false">INDEX(Ipotesi!$C$68:$G$68,1,F103)*Ipotesi!$C$69/12</f>
        <v>3000</v>
      </c>
      <c r="BK103" s="15" t="n">
        <f aca="false">INDEX(Ipotesi!$C$68:$G$68,1,F103)*(1-Ipotesi!$C$69)/12</f>
        <v>4500</v>
      </c>
      <c r="BL103" s="15" t="n">
        <f aca="false">(AQ103+BF103)*Ipotesi!$C$67</f>
        <v>3430.84180563539</v>
      </c>
      <c r="BM103" s="15" t="n">
        <f aca="false">AM103*Ipotesi!$C$67</f>
        <v>2707.25</v>
      </c>
      <c r="BN103" s="15" t="n">
        <f aca="false">INDEX(Ipotesi!$C$72:$G$72,1,F103)/12*Ipotesi!D126+BF103*Ipotesi!$C$73</f>
        <v>5218.91148169439</v>
      </c>
      <c r="BO103" s="15" t="n">
        <f aca="false">INDEX(Ipotesi!$C$74:$G$74,1,F103)/12*Ipotesi!D126</f>
        <v>4166.66666666667</v>
      </c>
      <c r="BP103" s="15" t="n">
        <f aca="false">INDEX(Ipotesi!$C$76:$G$76,1,F103)/12</f>
        <v>1500</v>
      </c>
      <c r="BQ103" s="15" t="n">
        <f aca="false">INDEX(Ipotesi!$C$77:$G$77,1,F103)/12*Ipotesi!D126</f>
        <v>2083.33333333333</v>
      </c>
      <c r="BR103" s="15" t="n">
        <f aca="false">INDEX(Ipotesi!$C$78:$G$78,1,F103)/12</f>
        <v>2000</v>
      </c>
      <c r="BS103" s="15" t="n">
        <f aca="false">SUM(M103:R103)*(Ipotesi!$C$85+Ipotesi!$C$86)/12</f>
        <v>6125</v>
      </c>
      <c r="BT103" s="15" t="n">
        <f aca="false">BI103*Ipotesi!$C$87</f>
        <v>3701.56680563539</v>
      </c>
      <c r="BU103" s="15" t="n">
        <f aca="false">INDEX(Ipotesi!$C$55:$G$55,1,F103)*K103/12</f>
        <v>2000</v>
      </c>
      <c r="BV103" s="15" t="n">
        <f aca="false">INDEX(Ipotesi!$C$80:$G$80,1,F103)/12*Ipotesi!D126</f>
        <v>1666.66666666667</v>
      </c>
      <c r="BW103" s="15" t="n">
        <f aca="false">INDEX(Ipotesi!$C$82:$G$82,1,F103)/12</f>
        <v>1250</v>
      </c>
      <c r="BX103" s="15" t="n">
        <f aca="false">INDEX(Ipotesi!$C$83:$G$83,1,F103)/12</f>
        <v>750</v>
      </c>
      <c r="BY103" s="15" t="n">
        <f aca="false">SUM(S103:U103)*(Ipotesi!$C$85+Ipotesi!$C$86)/12</f>
        <v>2479.16666666667</v>
      </c>
      <c r="BZ103" s="15" t="n">
        <f aca="false">AM103*Ipotesi!$C$87</f>
        <v>2707.25</v>
      </c>
      <c r="CA103" s="15" t="n">
        <f aca="false">AB103+BJ103+BL103+BN103+BO103+AR103+BP103+BQ103+BR103+BS103+BT103</f>
        <v>155616.070717965</v>
      </c>
      <c r="CB103" s="15" t="n">
        <f aca="false">AC103+BK103+BM103+BH103+BU103+BV103+AS103+BW103+BX103+BY103+BZ103</f>
        <v>62580.173375</v>
      </c>
      <c r="CC103" s="15" t="n">
        <f aca="false">BI103-CA103</f>
        <v>-32230.5105301187</v>
      </c>
      <c r="CD103" s="15" t="n">
        <f aca="false">AM103-CB103</f>
        <v>27661.4932916667</v>
      </c>
      <c r="CE103" s="15" t="n">
        <f aca="false">INDEX(Ipotesi!$C$79:$G$79,1,F103)/12</f>
        <v>3333.33333333333</v>
      </c>
      <c r="CF103" s="15" t="n">
        <f aca="false">INDEX(Ipotesi!$C$84:$G$84,1,F103)/12</f>
        <v>666.666666666667</v>
      </c>
      <c r="CG103" s="15" t="n">
        <f aca="false">Y103*MAX(0,Parametri_v3!$C$12-IF(P103=0,0,MIN(1,BE103/(P103*Parametri_v3!$C$22))))+W103*Parametri_v3!$C$13+X103*Parametri_v3!$C$14</f>
        <v>31906.5908993151</v>
      </c>
      <c r="CH103" s="15" t="n">
        <f aca="false">AB103*Parametri_v3!$C$32</f>
        <v>4823.65419791667</v>
      </c>
      <c r="CI103" s="15" t="n">
        <f aca="false">AC103*Parametri_v3!$C$32</f>
        <v>1691.45033541667</v>
      </c>
      <c r="CJ103" s="15" t="n">
        <f aca="false">CA103-AB103</f>
        <v>59142.9867596319</v>
      </c>
      <c r="CK103" s="15" t="n">
        <f aca="false">CB103-AC103-BH103</f>
        <v>19727</v>
      </c>
      <c r="CL103" s="15" t="n">
        <f aca="false">BF103*Ipotesi!$C$73+INDEX(Ipotesi!$C$72:$G$72,1,F103)/12*Ipotesi!D126*Parametri_v3!$C$58+Z103*(1-Parametri_v3!$C$16)</f>
        <v>11365.5008566944</v>
      </c>
      <c r="CM103" s="16" t="n">
        <f aca="false">IF(BF103=0,0,1-CL103/BF103)</f>
        <v>0.770909461516289</v>
      </c>
    </row>
    <row r="104" customFormat="false" ht="18" hidden="false" customHeight="true" outlineLevel="0" collapsed="false">
      <c r="A104" s="68" t="n">
        <f aca="false">2</f>
        <v>2</v>
      </c>
      <c r="B104" s="68" t="n">
        <f aca="false">40</f>
        <v>40</v>
      </c>
      <c r="C104" s="18" t="n">
        <f aca="false">EDATE(Parametri_v3!$C$5,40-1)</f>
        <v>47574</v>
      </c>
      <c r="D104" s="68" t="n">
        <f aca="false">YEAR(C104)</f>
        <v>2030</v>
      </c>
      <c r="E104" s="68" t="n">
        <f aca="false">MONTH(C104)</f>
        <v>4</v>
      </c>
      <c r="F104" s="68" t="n">
        <f aca="false">INT((40-1)/12)+1</f>
        <v>4</v>
      </c>
      <c r="G104" s="15" t="n">
        <f aca="false">Ipotesi!D7</f>
        <v>1</v>
      </c>
      <c r="H104" s="15" t="n">
        <f aca="false">Ipotesi!D9</f>
        <v>1</v>
      </c>
      <c r="I104" s="15" t="n">
        <f aca="false">Ipotesi!D10</f>
        <v>1</v>
      </c>
      <c r="J104" s="15" t="n">
        <f aca="false">Ipotesi!D11</f>
        <v>1</v>
      </c>
      <c r="K104" s="15" t="n">
        <f aca="false">Ipotesi!D12</f>
        <v>1</v>
      </c>
      <c r="L104" s="15" t="n">
        <f aca="false">Ipotesi!D13</f>
        <v>90</v>
      </c>
      <c r="M104" s="17" t="n">
        <f aca="false">INDEX(Ipotesi!$C$40:$G$40,1,F104)</f>
        <v>1</v>
      </c>
      <c r="N104" s="17" t="n">
        <f aca="false">INDEX(Ipotesi!$C$41:$G$41,1,F104)</f>
        <v>1</v>
      </c>
      <c r="O104" s="17" t="n">
        <f aca="false">INDEX(Ipotesi!$C$42:$G$42,1,F104)*Ipotesi!D125</f>
        <v>6.5</v>
      </c>
      <c r="P104" s="17" t="n">
        <f aca="false">INDEX(Ipotesi!$C$43:$G$43,1,F104)*I104</f>
        <v>6</v>
      </c>
      <c r="Q104" s="17" t="n">
        <f aca="false">INDEX(Ipotesi!$C$44:$G$44,1,F104)*I104</f>
        <v>5</v>
      </c>
      <c r="R104" s="17" t="n">
        <f aca="false">INDEX(Ipotesi!$C$45:$G$45,1,F104)*I104</f>
        <v>1.5</v>
      </c>
      <c r="S104" s="17" t="n">
        <f aca="false">INDEX(Ipotesi!$C$52:$G$52,1,F104)*Ipotesi!D125</f>
        <v>7</v>
      </c>
      <c r="T104" s="17" t="n">
        <f aca="false">INDEX(Ipotesi!$C$53:$G$53,1,F104)*I104</f>
        <v>1</v>
      </c>
      <c r="U104" s="17" t="n">
        <f aca="false">INDEX(Ipotesi!$C$54:$G$54,1,F104)*I104</f>
        <v>0.5</v>
      </c>
      <c r="V104" s="15" t="n">
        <f aca="false">M104*INDEX(Ipotesi!$C$58:$G$58,1,F104)*K104/12</f>
        <v>7916.66666666667</v>
      </c>
      <c r="W104" s="15" t="n">
        <f aca="false">N104*Ipotesi!$C$59*(1+Ipotesi!$C$66)^(F104-1)/12</f>
        <v>6374.24083333333</v>
      </c>
      <c r="X104" s="15" t="n">
        <f aca="false">O104*Ipotesi!$C$60*(1+Ipotesi!$C$66)^(F104-1)/12</f>
        <v>29594.6895833333</v>
      </c>
      <c r="Y104" s="15" t="n">
        <f aca="false">P104*Ipotesi!$C$61*(1+Ipotesi!$C$66)^(F104-1)/12</f>
        <v>27318.175</v>
      </c>
      <c r="Z104" s="15" t="n">
        <f aca="false">Q104*Ipotesi!$C$62*(1+Ipotesi!$C$66)^(F104-1)/12</f>
        <v>20488.63125</v>
      </c>
      <c r="AA104" s="15" t="n">
        <f aca="false">R104*Ipotesi!$C$63*(1+Ipotesi!$C$66)^(F104-1)/12</f>
        <v>4780.680625</v>
      </c>
      <c r="AB104" s="15" t="n">
        <f aca="false">SUM(V104:AA104)</f>
        <v>96473.0839583333</v>
      </c>
      <c r="AC104" s="15" t="n">
        <f aca="false">(S104*Ipotesi!$C$64+T104*Ipotesi!$C$65+U104*Ipotesi!$C$63)*(1+Ipotesi!$C$66)^(F104-1)/12</f>
        <v>33829.0067083333</v>
      </c>
      <c r="AD104" s="15" t="n">
        <f aca="false">INDEX(Ipotesi!$C$48:$G$48,1,F104)*G104/12</f>
        <v>79.1666666666667</v>
      </c>
      <c r="AE104" s="15" t="n">
        <f aca="false">INDEX(Ipotesi!$C$50:$G$50,1,F104)*G104/12</f>
        <v>8.33333333333333</v>
      </c>
      <c r="AF104" s="15" t="n">
        <f aca="false">(S104*Parametri_v3!$C$7*Parametri_v3!$C$8+Parametri_v3!$C$10)/12</f>
        <v>89.8333333333333</v>
      </c>
      <c r="AG104" s="15" t="n">
        <f aca="false">AD104+AE104*(1+Parametri_v3!$C$9)</f>
        <v>91.6666666666667</v>
      </c>
      <c r="AH104" s="16" t="n">
        <f aca="false">IF(AG104=0,1,MIN(1,AF104/AG104))</f>
        <v>0.98</v>
      </c>
      <c r="AI104" s="15" t="n">
        <f aca="false">AD104*AH104</f>
        <v>77.5833333333333</v>
      </c>
      <c r="AJ104" s="15" t="n">
        <f aca="false">AE104*AH104</f>
        <v>8.16666666666667</v>
      </c>
      <c r="AK104" s="15" t="n">
        <f aca="false">AI104*INDEX(Ipotesi!$C$49:$G$49,1,F104)*H104</f>
        <v>69825</v>
      </c>
      <c r="AL104" s="15" t="n">
        <f aca="false">AJ104*INDEX(Ipotesi!$C$51:$G$51,1,F104)*H104</f>
        <v>20416.6666666667</v>
      </c>
      <c r="AM104" s="15" t="n">
        <f aca="false">AK104+AL104</f>
        <v>90241.6666666667</v>
      </c>
      <c r="AN104" s="15" t="n">
        <f aca="false">INDEX(Ipotesi!$C$30:$G$30,1,F104)*G104/12</f>
        <v>61.6666666666667</v>
      </c>
      <c r="AO104" s="15" t="n">
        <f aca="false">O104*Parametri_v3!$C$7*Parametri_v3!$C$11*(1-Parametri_v3!$C$14)/12</f>
        <v>66.7333333333333</v>
      </c>
      <c r="AP104" s="15" t="n">
        <f aca="false">MIN(AN104,AO104)</f>
        <v>61.6666666666667</v>
      </c>
      <c r="AQ104" s="15" t="n">
        <f aca="false">AP104*INDEX(Ipotesi!$C$31:$G$31,1,F104)*H104</f>
        <v>64750</v>
      </c>
      <c r="AR104" s="15" t="n">
        <f aca="false">INDEX(Ipotesi!$C$75:$G$75,1,F104)*J104/12</f>
        <v>27916.6666666667</v>
      </c>
      <c r="AS104" s="15" t="n">
        <f aca="false">INDEX(Ipotesi!$C$81:$G$81,1,F104)*J104/12</f>
        <v>1666.66666666667</v>
      </c>
      <c r="AT104" s="15" t="n">
        <f aca="false">AR104*Parametri_v3!$C$15+Z104*Parametri_v3!$C$16</f>
        <v>42258.7085416667</v>
      </c>
      <c r="AU104" s="15" t="n">
        <f aca="false">Q104*Parametri_v3!$C$16*Parametri_v3!$C$17</f>
        <v>350</v>
      </c>
      <c r="AV104" s="17" t="n">
        <f aca="false">BD103</f>
        <v>101.393545671651</v>
      </c>
      <c r="AW104" s="17" t="n">
        <f aca="false">AV104*(1-(1-INDEX(Ipotesi!$C$34:$G$34,1,F104))^(1/12))</f>
        <v>0.886342929578844</v>
      </c>
      <c r="AX104" s="15" t="n">
        <f aca="false">ROUND(INDEX(Ipotesi!$C$32:$G$32,1,F104)*Ipotesi!D8,0)</f>
        <v>310</v>
      </c>
      <c r="AY104" s="15" t="n">
        <f aca="false">MAX(0,(AX104-(AV104-AW104))/(13-E104))</f>
        <v>23.2769774731031</v>
      </c>
      <c r="AZ104" s="15" t="n">
        <f aca="false">MIN(P104*Parametri_v3!$C$22,Q104*(1-Parametri_v3!$C$16)*Parametri_v3!$C$23)</f>
        <v>225</v>
      </c>
      <c r="BA104" s="15" t="n">
        <f aca="false">IF(OR(INDEX(Ipotesi!$C$35:$G$35,1,F104)&lt;=0,40-Parametri_v3!$C$21&lt;1),0,INDEX($AT$65:$AT$124,MAX(1,40-Parametri_v3!$C$21))/(INDEX(Ipotesi!$C$35:$G$35,1,F104)*Ipotesi!D27))</f>
        <v>7.04311809027778</v>
      </c>
      <c r="BB104" s="15" t="n">
        <f aca="false">IF(40-Parametri_v3!$C$21&lt;1,0,INDEX($AU$65:$AU$124,MAX(1,40-Parametri_v3!$C$21)))*Parametri_v3!$C$18*Parametri_v3!$C$19*Parametri_v3!$C$20</f>
        <v>13.125</v>
      </c>
      <c r="BC104" s="17" t="n">
        <f aca="false">MAX(0,MIN(AY104,BA104,BB104,MAX(0,AZ104-(AV104-AW104))))</f>
        <v>7.04311809027778</v>
      </c>
      <c r="BD104" s="17" t="n">
        <f aca="false">AV104-AW104+BC104</f>
        <v>107.55032083235</v>
      </c>
      <c r="BE104" s="17" t="n">
        <f aca="false">(AV104+BD104)/2</f>
        <v>104.471933252</v>
      </c>
      <c r="BF104" s="15" t="n">
        <f aca="false">BE104*INDEX(Ipotesi!$C$33:$G$33,1,F104)*H104/12</f>
        <v>52235.9666260001</v>
      </c>
      <c r="BG104" s="15" t="n">
        <f aca="false">BD104*INDEX(Ipotesi!$C$33:$G$33,1,F104)*H104</f>
        <v>645301.924994098</v>
      </c>
      <c r="BH104" s="15" t="n">
        <f aca="false">AM104*INDEX(Ipotesi!$C$37:$G$37,1,F104)</f>
        <v>9024.16666666667</v>
      </c>
      <c r="BI104" s="15" t="n">
        <f aca="false">AQ104+BF104+BH104</f>
        <v>126010.133292667</v>
      </c>
      <c r="BJ104" s="15" t="n">
        <f aca="false">INDEX(Ipotesi!$C$68:$G$68,1,F104)*Ipotesi!$C$69/12</f>
        <v>3000</v>
      </c>
      <c r="BK104" s="15" t="n">
        <f aca="false">INDEX(Ipotesi!$C$68:$G$68,1,F104)*(1-Ipotesi!$C$69)/12</f>
        <v>4500</v>
      </c>
      <c r="BL104" s="15" t="n">
        <f aca="false">(AQ104+BF104)*Ipotesi!$C$67</f>
        <v>3509.57899878</v>
      </c>
      <c r="BM104" s="15" t="n">
        <f aca="false">AM104*Ipotesi!$C$67</f>
        <v>2707.25</v>
      </c>
      <c r="BN104" s="15" t="n">
        <f aca="false">INDEX(Ipotesi!$C$72:$G$72,1,F104)/12*Ipotesi!D126+BF104*Ipotesi!$C$73</f>
        <v>5428.87733008001</v>
      </c>
      <c r="BO104" s="15" t="n">
        <f aca="false">INDEX(Ipotesi!$C$74:$G$74,1,F104)/12*Ipotesi!D126</f>
        <v>4166.66666666667</v>
      </c>
      <c r="BP104" s="15" t="n">
        <f aca="false">INDEX(Ipotesi!$C$76:$G$76,1,F104)/12</f>
        <v>1500</v>
      </c>
      <c r="BQ104" s="15" t="n">
        <f aca="false">INDEX(Ipotesi!$C$77:$G$77,1,F104)/12*Ipotesi!D126</f>
        <v>2083.33333333333</v>
      </c>
      <c r="BR104" s="15" t="n">
        <f aca="false">INDEX(Ipotesi!$C$78:$G$78,1,F104)/12</f>
        <v>2000</v>
      </c>
      <c r="BS104" s="15" t="n">
        <f aca="false">SUM(M104:R104)*(Ipotesi!$C$85+Ipotesi!$C$86)/12</f>
        <v>6125</v>
      </c>
      <c r="BT104" s="15" t="n">
        <f aca="false">BI104*Ipotesi!$C$87</f>
        <v>3780.30399878</v>
      </c>
      <c r="BU104" s="15" t="n">
        <f aca="false">INDEX(Ipotesi!$C$55:$G$55,1,F104)*K104/12</f>
        <v>2000</v>
      </c>
      <c r="BV104" s="15" t="n">
        <f aca="false">INDEX(Ipotesi!$C$80:$G$80,1,F104)/12*Ipotesi!D126</f>
        <v>1666.66666666667</v>
      </c>
      <c r="BW104" s="15" t="n">
        <f aca="false">INDEX(Ipotesi!$C$82:$G$82,1,F104)/12</f>
        <v>1250</v>
      </c>
      <c r="BX104" s="15" t="n">
        <f aca="false">INDEX(Ipotesi!$C$83:$G$83,1,F104)/12</f>
        <v>750</v>
      </c>
      <c r="BY104" s="15" t="n">
        <f aca="false">SUM(S104:U104)*(Ipotesi!$C$85+Ipotesi!$C$86)/12</f>
        <v>2479.16666666667</v>
      </c>
      <c r="BZ104" s="15" t="n">
        <f aca="false">AM104*Ipotesi!$C$87</f>
        <v>2707.25</v>
      </c>
      <c r="CA104" s="15" t="n">
        <f aca="false">AB104+BJ104+BL104+BN104+BO104+AR104+BP104+BQ104+BR104+BS104+BT104</f>
        <v>155983.51095264</v>
      </c>
      <c r="CB104" s="15" t="n">
        <f aca="false">AC104+BK104+BM104+BH104+BU104+BV104+AS104+BW104+BX104+BY104+BZ104</f>
        <v>62580.173375</v>
      </c>
      <c r="CC104" s="15" t="n">
        <f aca="false">BI104-CA104</f>
        <v>-29973.3776599733</v>
      </c>
      <c r="CD104" s="15" t="n">
        <f aca="false">AM104-CB104</f>
        <v>27661.4932916667</v>
      </c>
      <c r="CE104" s="15" t="n">
        <f aca="false">INDEX(Ipotesi!$C$79:$G$79,1,F104)/12</f>
        <v>3333.33333333333</v>
      </c>
      <c r="CF104" s="15" t="n">
        <f aca="false">INDEX(Ipotesi!$C$84:$G$84,1,F104)/12</f>
        <v>666.666666666667</v>
      </c>
      <c r="CG104" s="15" t="n">
        <f aca="false">Y104*MAX(0,Parametri_v3!$C$12-IF(P104=0,0,MIN(1,BE104/(P104*Parametri_v3!$C$22))))+W104*Parametri_v3!$C$13+X104*Parametri_v3!$C$14</f>
        <v>31667.5957413892</v>
      </c>
      <c r="CH104" s="15" t="n">
        <f aca="false">AB104*Parametri_v3!$C$32</f>
        <v>4823.65419791667</v>
      </c>
      <c r="CI104" s="15" t="n">
        <f aca="false">AC104*Parametri_v3!$C$32</f>
        <v>1691.45033541667</v>
      </c>
      <c r="CJ104" s="15" t="n">
        <f aca="false">CA104-AB104</f>
        <v>59510.4269943067</v>
      </c>
      <c r="CK104" s="15" t="n">
        <f aca="false">CB104-AC104-BH104</f>
        <v>19727</v>
      </c>
      <c r="CL104" s="15" t="n">
        <f aca="false">BF104*Ipotesi!$C$73+INDEX(Ipotesi!$C$72:$G$72,1,F104)/12*Ipotesi!D126*Parametri_v3!$C$58+Z104*(1-Parametri_v3!$C$16)</f>
        <v>11575.46670508</v>
      </c>
      <c r="CM104" s="16" t="n">
        <f aca="false">IF(BF104=0,0,1-CL104/BF104)</f>
        <v>0.778400449867077</v>
      </c>
    </row>
    <row r="105" customFormat="false" ht="18" hidden="false" customHeight="true" outlineLevel="0" collapsed="false">
      <c r="A105" s="68" t="n">
        <f aca="false">2</f>
        <v>2</v>
      </c>
      <c r="B105" s="68" t="n">
        <f aca="false">41</f>
        <v>41</v>
      </c>
      <c r="C105" s="18" t="n">
        <f aca="false">EDATE(Parametri_v3!$C$5,41-1)</f>
        <v>47604</v>
      </c>
      <c r="D105" s="68" t="n">
        <f aca="false">YEAR(C105)</f>
        <v>2030</v>
      </c>
      <c r="E105" s="68" t="n">
        <f aca="false">MONTH(C105)</f>
        <v>5</v>
      </c>
      <c r="F105" s="68" t="n">
        <f aca="false">INT((41-1)/12)+1</f>
        <v>4</v>
      </c>
      <c r="G105" s="15" t="n">
        <f aca="false">Ipotesi!D7</f>
        <v>1</v>
      </c>
      <c r="H105" s="15" t="n">
        <f aca="false">Ipotesi!D9</f>
        <v>1</v>
      </c>
      <c r="I105" s="15" t="n">
        <f aca="false">Ipotesi!D10</f>
        <v>1</v>
      </c>
      <c r="J105" s="15" t="n">
        <f aca="false">Ipotesi!D11</f>
        <v>1</v>
      </c>
      <c r="K105" s="15" t="n">
        <f aca="false">Ipotesi!D12</f>
        <v>1</v>
      </c>
      <c r="L105" s="15" t="n">
        <f aca="false">Ipotesi!D13</f>
        <v>90</v>
      </c>
      <c r="M105" s="17" t="n">
        <f aca="false">INDEX(Ipotesi!$C$40:$G$40,1,F105)</f>
        <v>1</v>
      </c>
      <c r="N105" s="17" t="n">
        <f aca="false">INDEX(Ipotesi!$C$41:$G$41,1,F105)</f>
        <v>1</v>
      </c>
      <c r="O105" s="17" t="n">
        <f aca="false">INDEX(Ipotesi!$C$42:$G$42,1,F105)*Ipotesi!D125</f>
        <v>6.5</v>
      </c>
      <c r="P105" s="17" t="n">
        <f aca="false">INDEX(Ipotesi!$C$43:$G$43,1,F105)*I105</f>
        <v>6</v>
      </c>
      <c r="Q105" s="17" t="n">
        <f aca="false">INDEX(Ipotesi!$C$44:$G$44,1,F105)*I105</f>
        <v>5</v>
      </c>
      <c r="R105" s="17" t="n">
        <f aca="false">INDEX(Ipotesi!$C$45:$G$45,1,F105)*I105</f>
        <v>1.5</v>
      </c>
      <c r="S105" s="17" t="n">
        <f aca="false">INDEX(Ipotesi!$C$52:$G$52,1,F105)*Ipotesi!D125</f>
        <v>7</v>
      </c>
      <c r="T105" s="17" t="n">
        <f aca="false">INDEX(Ipotesi!$C$53:$G$53,1,F105)*I105</f>
        <v>1</v>
      </c>
      <c r="U105" s="17" t="n">
        <f aca="false">INDEX(Ipotesi!$C$54:$G$54,1,F105)*I105</f>
        <v>0.5</v>
      </c>
      <c r="V105" s="15" t="n">
        <f aca="false">M105*INDEX(Ipotesi!$C$58:$G$58,1,F105)*K105/12</f>
        <v>7916.66666666667</v>
      </c>
      <c r="W105" s="15" t="n">
        <f aca="false">N105*Ipotesi!$C$59*(1+Ipotesi!$C$66)^(F105-1)/12</f>
        <v>6374.24083333333</v>
      </c>
      <c r="X105" s="15" t="n">
        <f aca="false">O105*Ipotesi!$C$60*(1+Ipotesi!$C$66)^(F105-1)/12</f>
        <v>29594.6895833333</v>
      </c>
      <c r="Y105" s="15" t="n">
        <f aca="false">P105*Ipotesi!$C$61*(1+Ipotesi!$C$66)^(F105-1)/12</f>
        <v>27318.175</v>
      </c>
      <c r="Z105" s="15" t="n">
        <f aca="false">Q105*Ipotesi!$C$62*(1+Ipotesi!$C$66)^(F105-1)/12</f>
        <v>20488.63125</v>
      </c>
      <c r="AA105" s="15" t="n">
        <f aca="false">R105*Ipotesi!$C$63*(1+Ipotesi!$C$66)^(F105-1)/12</f>
        <v>4780.680625</v>
      </c>
      <c r="AB105" s="15" t="n">
        <f aca="false">SUM(V105:AA105)</f>
        <v>96473.0839583333</v>
      </c>
      <c r="AC105" s="15" t="n">
        <f aca="false">(S105*Ipotesi!$C$64+T105*Ipotesi!$C$65+U105*Ipotesi!$C$63)*(1+Ipotesi!$C$66)^(F105-1)/12</f>
        <v>33829.0067083333</v>
      </c>
      <c r="AD105" s="15" t="n">
        <f aca="false">INDEX(Ipotesi!$C$48:$G$48,1,F105)*G105/12</f>
        <v>79.1666666666667</v>
      </c>
      <c r="AE105" s="15" t="n">
        <f aca="false">INDEX(Ipotesi!$C$50:$G$50,1,F105)*G105/12</f>
        <v>8.33333333333333</v>
      </c>
      <c r="AF105" s="15" t="n">
        <f aca="false">(S105*Parametri_v3!$C$7*Parametri_v3!$C$8+Parametri_v3!$C$10)/12</f>
        <v>89.8333333333333</v>
      </c>
      <c r="AG105" s="15" t="n">
        <f aca="false">AD105+AE105*(1+Parametri_v3!$C$9)</f>
        <v>91.6666666666667</v>
      </c>
      <c r="AH105" s="16" t="n">
        <f aca="false">IF(AG105=0,1,MIN(1,AF105/AG105))</f>
        <v>0.98</v>
      </c>
      <c r="AI105" s="15" t="n">
        <f aca="false">AD105*AH105</f>
        <v>77.5833333333333</v>
      </c>
      <c r="AJ105" s="15" t="n">
        <f aca="false">AE105*AH105</f>
        <v>8.16666666666667</v>
      </c>
      <c r="AK105" s="15" t="n">
        <f aca="false">AI105*INDEX(Ipotesi!$C$49:$G$49,1,F105)*H105</f>
        <v>69825</v>
      </c>
      <c r="AL105" s="15" t="n">
        <f aca="false">AJ105*INDEX(Ipotesi!$C$51:$G$51,1,F105)*H105</f>
        <v>20416.6666666667</v>
      </c>
      <c r="AM105" s="15" t="n">
        <f aca="false">AK105+AL105</f>
        <v>90241.6666666667</v>
      </c>
      <c r="AN105" s="15" t="n">
        <f aca="false">INDEX(Ipotesi!$C$30:$G$30,1,F105)*G105/12</f>
        <v>61.6666666666667</v>
      </c>
      <c r="AO105" s="15" t="n">
        <f aca="false">O105*Parametri_v3!$C$7*Parametri_v3!$C$11*(1-Parametri_v3!$C$14)/12</f>
        <v>66.7333333333333</v>
      </c>
      <c r="AP105" s="15" t="n">
        <f aca="false">MIN(AN105,AO105)</f>
        <v>61.6666666666667</v>
      </c>
      <c r="AQ105" s="15" t="n">
        <f aca="false">AP105*INDEX(Ipotesi!$C$31:$G$31,1,F105)*H105</f>
        <v>64750</v>
      </c>
      <c r="AR105" s="15" t="n">
        <f aca="false">INDEX(Ipotesi!$C$75:$G$75,1,F105)*J105/12</f>
        <v>27916.6666666667</v>
      </c>
      <c r="AS105" s="15" t="n">
        <f aca="false">INDEX(Ipotesi!$C$81:$G$81,1,F105)*J105/12</f>
        <v>1666.66666666667</v>
      </c>
      <c r="AT105" s="15" t="n">
        <f aca="false">AR105*Parametri_v3!$C$15+Z105*Parametri_v3!$C$16</f>
        <v>42258.7085416667</v>
      </c>
      <c r="AU105" s="15" t="n">
        <f aca="false">Q105*Parametri_v3!$C$16*Parametri_v3!$C$17</f>
        <v>350</v>
      </c>
      <c r="AV105" s="17" t="n">
        <f aca="false">BD104</f>
        <v>107.55032083235</v>
      </c>
      <c r="AW105" s="17" t="n">
        <f aca="false">AV105*(1-(1-INDEX(Ipotesi!$C$34:$G$34,1,F105))^(1/12))</f>
        <v>0.940163062769214</v>
      </c>
      <c r="AX105" s="15" t="n">
        <f aca="false">ROUND(INDEX(Ipotesi!$C$32:$G$32,1,F105)*Ipotesi!D8,0)</f>
        <v>310</v>
      </c>
      <c r="AY105" s="15" t="n">
        <f aca="false">MAX(0,(AX105-(AV105-AW105))/(13-E105))</f>
        <v>25.4237302788025</v>
      </c>
      <c r="AZ105" s="15" t="n">
        <f aca="false">MIN(P105*Parametri_v3!$C$22,Q105*(1-Parametri_v3!$C$16)*Parametri_v3!$C$23)</f>
        <v>225</v>
      </c>
      <c r="BA105" s="15" t="n">
        <f aca="false">IF(OR(INDEX(Ipotesi!$C$35:$G$35,1,F105)&lt;=0,41-Parametri_v3!$C$21&lt;1),0,INDEX($AT$65:$AT$124,MAX(1,41-Parametri_v3!$C$21))/(INDEX(Ipotesi!$C$35:$G$35,1,F105)*Ipotesi!D27))</f>
        <v>7.04311809027778</v>
      </c>
      <c r="BB105" s="15" t="n">
        <f aca="false">IF(41-Parametri_v3!$C$21&lt;1,0,INDEX($AU$65:$AU$124,MAX(1,41-Parametri_v3!$C$21)))*Parametri_v3!$C$18*Parametri_v3!$C$19*Parametri_v3!$C$20</f>
        <v>13.125</v>
      </c>
      <c r="BC105" s="17" t="n">
        <f aca="false">MAX(0,MIN(AY105,BA105,BB105,MAX(0,AZ105-(AV105-AW105))))</f>
        <v>7.04311809027778</v>
      </c>
      <c r="BD105" s="17" t="n">
        <f aca="false">AV105-AW105+BC105</f>
        <v>113.653275859858</v>
      </c>
      <c r="BE105" s="17" t="n">
        <f aca="false">(AV105+BD105)/2</f>
        <v>110.601798346104</v>
      </c>
      <c r="BF105" s="15" t="n">
        <f aca="false">BE105*INDEX(Ipotesi!$C$33:$G$33,1,F105)*H105/12</f>
        <v>55300.8991730519</v>
      </c>
      <c r="BG105" s="15" t="n">
        <f aca="false">BD105*INDEX(Ipotesi!$C$33:$G$33,1,F105)*H105</f>
        <v>681919.655159149</v>
      </c>
      <c r="BH105" s="15" t="n">
        <f aca="false">AM105*INDEX(Ipotesi!$C$37:$G$37,1,F105)</f>
        <v>9024.16666666667</v>
      </c>
      <c r="BI105" s="15" t="n">
        <f aca="false">AQ105+BF105+BH105</f>
        <v>129075.065839719</v>
      </c>
      <c r="BJ105" s="15" t="n">
        <f aca="false">INDEX(Ipotesi!$C$68:$G$68,1,F105)*Ipotesi!$C$69/12</f>
        <v>3000</v>
      </c>
      <c r="BK105" s="15" t="n">
        <f aca="false">INDEX(Ipotesi!$C$68:$G$68,1,F105)*(1-Ipotesi!$C$69)/12</f>
        <v>4500</v>
      </c>
      <c r="BL105" s="15" t="n">
        <f aca="false">(AQ105+BF105)*Ipotesi!$C$67</f>
        <v>3601.52697519156</v>
      </c>
      <c r="BM105" s="15" t="n">
        <f aca="false">AM105*Ipotesi!$C$67</f>
        <v>2707.25</v>
      </c>
      <c r="BN105" s="15" t="n">
        <f aca="false">INDEX(Ipotesi!$C$72:$G$72,1,F105)/12*Ipotesi!D126+BF105*Ipotesi!$C$73</f>
        <v>5674.07193384416</v>
      </c>
      <c r="BO105" s="15" t="n">
        <f aca="false">INDEX(Ipotesi!$C$74:$G$74,1,F105)/12*Ipotesi!D126</f>
        <v>4166.66666666667</v>
      </c>
      <c r="BP105" s="15" t="n">
        <f aca="false">INDEX(Ipotesi!$C$76:$G$76,1,F105)/12</f>
        <v>1500</v>
      </c>
      <c r="BQ105" s="15" t="n">
        <f aca="false">INDEX(Ipotesi!$C$77:$G$77,1,F105)/12*Ipotesi!D126</f>
        <v>2083.33333333333</v>
      </c>
      <c r="BR105" s="15" t="n">
        <f aca="false">INDEX(Ipotesi!$C$78:$G$78,1,F105)/12</f>
        <v>2000</v>
      </c>
      <c r="BS105" s="15" t="n">
        <f aca="false">SUM(M105:R105)*(Ipotesi!$C$85+Ipotesi!$C$86)/12</f>
        <v>6125</v>
      </c>
      <c r="BT105" s="15" t="n">
        <f aca="false">BI105*Ipotesi!$C$87</f>
        <v>3872.25197519156</v>
      </c>
      <c r="BU105" s="15" t="n">
        <f aca="false">INDEX(Ipotesi!$C$55:$G$55,1,F105)*K105/12</f>
        <v>2000</v>
      </c>
      <c r="BV105" s="15" t="n">
        <f aca="false">INDEX(Ipotesi!$C$80:$G$80,1,F105)/12*Ipotesi!D126</f>
        <v>1666.66666666667</v>
      </c>
      <c r="BW105" s="15" t="n">
        <f aca="false">INDEX(Ipotesi!$C$82:$G$82,1,F105)/12</f>
        <v>1250</v>
      </c>
      <c r="BX105" s="15" t="n">
        <f aca="false">INDEX(Ipotesi!$C$83:$G$83,1,F105)/12</f>
        <v>750</v>
      </c>
      <c r="BY105" s="15" t="n">
        <f aca="false">SUM(S105:U105)*(Ipotesi!$C$85+Ipotesi!$C$86)/12</f>
        <v>2479.16666666667</v>
      </c>
      <c r="BZ105" s="15" t="n">
        <f aca="false">AM105*Ipotesi!$C$87</f>
        <v>2707.25</v>
      </c>
      <c r="CA105" s="15" t="n">
        <f aca="false">AB105+BJ105+BL105+BN105+BO105+AR105+BP105+BQ105+BR105+BS105+BT105</f>
        <v>156412.601509227</v>
      </c>
      <c r="CB105" s="15" t="n">
        <f aca="false">AC105+BK105+BM105+BH105+BU105+BV105+AS105+BW105+BX105+BY105+BZ105</f>
        <v>62580.173375</v>
      </c>
      <c r="CC105" s="15" t="n">
        <f aca="false">BI105-CA105</f>
        <v>-27337.5356695087</v>
      </c>
      <c r="CD105" s="15" t="n">
        <f aca="false">AM105-CB105</f>
        <v>27661.4932916667</v>
      </c>
      <c r="CE105" s="15" t="n">
        <f aca="false">INDEX(Ipotesi!$C$79:$G$79,1,F105)/12</f>
        <v>3333.33333333333</v>
      </c>
      <c r="CF105" s="15" t="n">
        <f aca="false">INDEX(Ipotesi!$C$84:$G$84,1,F105)/12</f>
        <v>666.666666666667</v>
      </c>
      <c r="CG105" s="15" t="n">
        <f aca="false">Y105*MAX(0,Parametri_v3!$C$12-IF(P105=0,0,MIN(1,BE105/(P105*Parametri_v3!$C$22))))+W105*Parametri_v3!$C$13+X105*Parametri_v3!$C$14</f>
        <v>31388.5011957774</v>
      </c>
      <c r="CH105" s="15" t="n">
        <f aca="false">AB105*Parametri_v3!$C$32</f>
        <v>4823.65419791667</v>
      </c>
      <c r="CI105" s="15" t="n">
        <f aca="false">AC105*Parametri_v3!$C$32</f>
        <v>1691.45033541667</v>
      </c>
      <c r="CJ105" s="15" t="n">
        <f aca="false">CA105-AB105</f>
        <v>59939.5175508939</v>
      </c>
      <c r="CK105" s="15" t="n">
        <f aca="false">CB105-AC105-BH105</f>
        <v>19727</v>
      </c>
      <c r="CL105" s="15" t="n">
        <f aca="false">BF105*Ipotesi!$C$73+INDEX(Ipotesi!$C$72:$G$72,1,F105)/12*Ipotesi!D126*Parametri_v3!$C$58+Z105*(1-Parametri_v3!$C$16)</f>
        <v>11820.6613088442</v>
      </c>
      <c r="CM105" s="16" t="n">
        <f aca="false">IF(BF105=0,0,1-CL105/BF105)</f>
        <v>0.786248298208425</v>
      </c>
    </row>
    <row r="106" customFormat="false" ht="18" hidden="false" customHeight="true" outlineLevel="0" collapsed="false">
      <c r="A106" s="68" t="n">
        <f aca="false">2</f>
        <v>2</v>
      </c>
      <c r="B106" s="68" t="n">
        <f aca="false">42</f>
        <v>42</v>
      </c>
      <c r="C106" s="18" t="n">
        <f aca="false">EDATE(Parametri_v3!$C$5,42-1)</f>
        <v>47635</v>
      </c>
      <c r="D106" s="68" t="n">
        <f aca="false">YEAR(C106)</f>
        <v>2030</v>
      </c>
      <c r="E106" s="68" t="n">
        <f aca="false">MONTH(C106)</f>
        <v>6</v>
      </c>
      <c r="F106" s="68" t="n">
        <f aca="false">INT((42-1)/12)+1</f>
        <v>4</v>
      </c>
      <c r="G106" s="15" t="n">
        <f aca="false">Ipotesi!D7</f>
        <v>1</v>
      </c>
      <c r="H106" s="15" t="n">
        <f aca="false">Ipotesi!D9</f>
        <v>1</v>
      </c>
      <c r="I106" s="15" t="n">
        <f aca="false">Ipotesi!D10</f>
        <v>1</v>
      </c>
      <c r="J106" s="15" t="n">
        <f aca="false">Ipotesi!D11</f>
        <v>1</v>
      </c>
      <c r="K106" s="15" t="n">
        <f aca="false">Ipotesi!D12</f>
        <v>1</v>
      </c>
      <c r="L106" s="15" t="n">
        <f aca="false">Ipotesi!D13</f>
        <v>90</v>
      </c>
      <c r="M106" s="17" t="n">
        <f aca="false">INDEX(Ipotesi!$C$40:$G$40,1,F106)</f>
        <v>1</v>
      </c>
      <c r="N106" s="17" t="n">
        <f aca="false">INDEX(Ipotesi!$C$41:$G$41,1,F106)</f>
        <v>1</v>
      </c>
      <c r="O106" s="17" t="n">
        <f aca="false">INDEX(Ipotesi!$C$42:$G$42,1,F106)*Ipotesi!D125</f>
        <v>6.5</v>
      </c>
      <c r="P106" s="17" t="n">
        <f aca="false">INDEX(Ipotesi!$C$43:$G$43,1,F106)*I106</f>
        <v>6</v>
      </c>
      <c r="Q106" s="17" t="n">
        <f aca="false">INDEX(Ipotesi!$C$44:$G$44,1,F106)*I106</f>
        <v>5</v>
      </c>
      <c r="R106" s="17" t="n">
        <f aca="false">INDEX(Ipotesi!$C$45:$G$45,1,F106)*I106</f>
        <v>1.5</v>
      </c>
      <c r="S106" s="17" t="n">
        <f aca="false">INDEX(Ipotesi!$C$52:$G$52,1,F106)*Ipotesi!D125</f>
        <v>7</v>
      </c>
      <c r="T106" s="17" t="n">
        <f aca="false">INDEX(Ipotesi!$C$53:$G$53,1,F106)*I106</f>
        <v>1</v>
      </c>
      <c r="U106" s="17" t="n">
        <f aca="false">INDEX(Ipotesi!$C$54:$G$54,1,F106)*I106</f>
        <v>0.5</v>
      </c>
      <c r="V106" s="15" t="n">
        <f aca="false">M106*INDEX(Ipotesi!$C$58:$G$58,1,F106)*K106/12</f>
        <v>7916.66666666667</v>
      </c>
      <c r="W106" s="15" t="n">
        <f aca="false">N106*Ipotesi!$C$59*(1+Ipotesi!$C$66)^(F106-1)/12</f>
        <v>6374.24083333333</v>
      </c>
      <c r="X106" s="15" t="n">
        <f aca="false">O106*Ipotesi!$C$60*(1+Ipotesi!$C$66)^(F106-1)/12</f>
        <v>29594.6895833333</v>
      </c>
      <c r="Y106" s="15" t="n">
        <f aca="false">P106*Ipotesi!$C$61*(1+Ipotesi!$C$66)^(F106-1)/12</f>
        <v>27318.175</v>
      </c>
      <c r="Z106" s="15" t="n">
        <f aca="false">Q106*Ipotesi!$C$62*(1+Ipotesi!$C$66)^(F106-1)/12</f>
        <v>20488.63125</v>
      </c>
      <c r="AA106" s="15" t="n">
        <f aca="false">R106*Ipotesi!$C$63*(1+Ipotesi!$C$66)^(F106-1)/12</f>
        <v>4780.680625</v>
      </c>
      <c r="AB106" s="15" t="n">
        <f aca="false">SUM(V106:AA106)</f>
        <v>96473.0839583333</v>
      </c>
      <c r="AC106" s="15" t="n">
        <f aca="false">(S106*Ipotesi!$C$64+T106*Ipotesi!$C$65+U106*Ipotesi!$C$63)*(1+Ipotesi!$C$66)^(F106-1)/12</f>
        <v>33829.0067083333</v>
      </c>
      <c r="AD106" s="15" t="n">
        <f aca="false">INDEX(Ipotesi!$C$48:$G$48,1,F106)*G106/12</f>
        <v>79.1666666666667</v>
      </c>
      <c r="AE106" s="15" t="n">
        <f aca="false">INDEX(Ipotesi!$C$50:$G$50,1,F106)*G106/12</f>
        <v>8.33333333333333</v>
      </c>
      <c r="AF106" s="15" t="n">
        <f aca="false">(S106*Parametri_v3!$C$7*Parametri_v3!$C$8+Parametri_v3!$C$10)/12</f>
        <v>89.8333333333333</v>
      </c>
      <c r="AG106" s="15" t="n">
        <f aca="false">AD106+AE106*(1+Parametri_v3!$C$9)</f>
        <v>91.6666666666667</v>
      </c>
      <c r="AH106" s="16" t="n">
        <f aca="false">IF(AG106=0,1,MIN(1,AF106/AG106))</f>
        <v>0.98</v>
      </c>
      <c r="AI106" s="15" t="n">
        <f aca="false">AD106*AH106</f>
        <v>77.5833333333333</v>
      </c>
      <c r="AJ106" s="15" t="n">
        <f aca="false">AE106*AH106</f>
        <v>8.16666666666667</v>
      </c>
      <c r="AK106" s="15" t="n">
        <f aca="false">AI106*INDEX(Ipotesi!$C$49:$G$49,1,F106)*H106</f>
        <v>69825</v>
      </c>
      <c r="AL106" s="15" t="n">
        <f aca="false">AJ106*INDEX(Ipotesi!$C$51:$G$51,1,F106)*H106</f>
        <v>20416.6666666667</v>
      </c>
      <c r="AM106" s="15" t="n">
        <f aca="false">AK106+AL106</f>
        <v>90241.6666666667</v>
      </c>
      <c r="AN106" s="15" t="n">
        <f aca="false">INDEX(Ipotesi!$C$30:$G$30,1,F106)*G106/12</f>
        <v>61.6666666666667</v>
      </c>
      <c r="AO106" s="15" t="n">
        <f aca="false">O106*Parametri_v3!$C$7*Parametri_v3!$C$11*(1-Parametri_v3!$C$14)/12</f>
        <v>66.7333333333333</v>
      </c>
      <c r="AP106" s="15" t="n">
        <f aca="false">MIN(AN106,AO106)</f>
        <v>61.6666666666667</v>
      </c>
      <c r="AQ106" s="15" t="n">
        <f aca="false">AP106*INDEX(Ipotesi!$C$31:$G$31,1,F106)*H106</f>
        <v>64750</v>
      </c>
      <c r="AR106" s="15" t="n">
        <f aca="false">INDEX(Ipotesi!$C$75:$G$75,1,F106)*J106/12</f>
        <v>27916.6666666667</v>
      </c>
      <c r="AS106" s="15" t="n">
        <f aca="false">INDEX(Ipotesi!$C$81:$G$81,1,F106)*J106/12</f>
        <v>1666.66666666667</v>
      </c>
      <c r="AT106" s="15" t="n">
        <f aca="false">AR106*Parametri_v3!$C$15+Z106*Parametri_v3!$C$16</f>
        <v>42258.7085416667</v>
      </c>
      <c r="AU106" s="15" t="n">
        <f aca="false">Q106*Parametri_v3!$C$16*Parametri_v3!$C$17</f>
        <v>350</v>
      </c>
      <c r="AV106" s="17" t="n">
        <f aca="false">BD105</f>
        <v>113.653275859858</v>
      </c>
      <c r="AW106" s="17" t="n">
        <f aca="false">AV106*(1-(1-INDEX(Ipotesi!$C$34:$G$34,1,F106))^(1/12))</f>
        <v>0.993512721293705</v>
      </c>
      <c r="AX106" s="15" t="n">
        <f aca="false">ROUND(INDEX(Ipotesi!$C$32:$G$32,1,F106)*Ipotesi!D8,0)</f>
        <v>310</v>
      </c>
      <c r="AY106" s="15" t="n">
        <f aca="false">MAX(0,(AX106-(AV106-AW106))/(13-E106))</f>
        <v>28.1914624087765</v>
      </c>
      <c r="AZ106" s="15" t="n">
        <f aca="false">MIN(P106*Parametri_v3!$C$22,Q106*(1-Parametri_v3!$C$16)*Parametri_v3!$C$23)</f>
        <v>225</v>
      </c>
      <c r="BA106" s="15" t="n">
        <f aca="false">IF(OR(INDEX(Ipotesi!$C$35:$G$35,1,F106)&lt;=0,42-Parametri_v3!$C$21&lt;1),0,INDEX($AT$65:$AT$124,MAX(1,42-Parametri_v3!$C$21))/(INDEX(Ipotesi!$C$35:$G$35,1,F106)*Ipotesi!D27))</f>
        <v>7.04311809027778</v>
      </c>
      <c r="BB106" s="15" t="n">
        <f aca="false">IF(42-Parametri_v3!$C$21&lt;1,0,INDEX($AU$65:$AU$124,MAX(1,42-Parametri_v3!$C$21)))*Parametri_v3!$C$18*Parametri_v3!$C$19*Parametri_v3!$C$20</f>
        <v>13.125</v>
      </c>
      <c r="BC106" s="17" t="n">
        <f aca="false">MAX(0,MIN(AY106,BA106,BB106,MAX(0,AZ106-(AV106-AW106))))</f>
        <v>7.04311809027778</v>
      </c>
      <c r="BD106" s="17" t="n">
        <f aca="false">AV106-AW106+BC106</f>
        <v>119.702881228842</v>
      </c>
      <c r="BE106" s="17" t="n">
        <f aca="false">(AV106+BD106)/2</f>
        <v>116.67807854435</v>
      </c>
      <c r="BF106" s="15" t="n">
        <f aca="false">BE106*INDEX(Ipotesi!$C$33:$G$33,1,F106)*H106/12</f>
        <v>58339.0392721751</v>
      </c>
      <c r="BG106" s="15" t="n">
        <f aca="false">BD106*INDEX(Ipotesi!$C$33:$G$33,1,F106)*H106</f>
        <v>718217.287373054</v>
      </c>
      <c r="BH106" s="15" t="n">
        <f aca="false">AM106*INDEX(Ipotesi!$C$37:$G$37,1,F106)</f>
        <v>9024.16666666667</v>
      </c>
      <c r="BI106" s="15" t="n">
        <f aca="false">AQ106+BF106+BH106</f>
        <v>132113.205938842</v>
      </c>
      <c r="BJ106" s="15" t="n">
        <f aca="false">INDEX(Ipotesi!$C$68:$G$68,1,F106)*Ipotesi!$C$69/12</f>
        <v>3000</v>
      </c>
      <c r="BK106" s="15" t="n">
        <f aca="false">INDEX(Ipotesi!$C$68:$G$68,1,F106)*(1-Ipotesi!$C$69)/12</f>
        <v>4500</v>
      </c>
      <c r="BL106" s="15" t="n">
        <f aca="false">(AQ106+BF106)*Ipotesi!$C$67</f>
        <v>3692.67117816525</v>
      </c>
      <c r="BM106" s="15" t="n">
        <f aca="false">AM106*Ipotesi!$C$67</f>
        <v>2707.25</v>
      </c>
      <c r="BN106" s="15" t="n">
        <f aca="false">INDEX(Ipotesi!$C$72:$G$72,1,F106)/12*Ipotesi!D126+BF106*Ipotesi!$C$73</f>
        <v>5917.12314177401</v>
      </c>
      <c r="BO106" s="15" t="n">
        <f aca="false">INDEX(Ipotesi!$C$74:$G$74,1,F106)/12*Ipotesi!D126</f>
        <v>4166.66666666667</v>
      </c>
      <c r="BP106" s="15" t="n">
        <f aca="false">INDEX(Ipotesi!$C$76:$G$76,1,F106)/12</f>
        <v>1500</v>
      </c>
      <c r="BQ106" s="15" t="n">
        <f aca="false">INDEX(Ipotesi!$C$77:$G$77,1,F106)/12*Ipotesi!D126</f>
        <v>2083.33333333333</v>
      </c>
      <c r="BR106" s="15" t="n">
        <f aca="false">INDEX(Ipotesi!$C$78:$G$78,1,F106)/12</f>
        <v>2000</v>
      </c>
      <c r="BS106" s="15" t="n">
        <f aca="false">SUM(M106:R106)*(Ipotesi!$C$85+Ipotesi!$C$86)/12</f>
        <v>6125</v>
      </c>
      <c r="BT106" s="15" t="n">
        <f aca="false">BI106*Ipotesi!$C$87</f>
        <v>3963.39617816525</v>
      </c>
      <c r="BU106" s="15" t="n">
        <f aca="false">INDEX(Ipotesi!$C$55:$G$55,1,F106)*K106/12</f>
        <v>2000</v>
      </c>
      <c r="BV106" s="15" t="n">
        <f aca="false">INDEX(Ipotesi!$C$80:$G$80,1,F106)/12*Ipotesi!D126</f>
        <v>1666.66666666667</v>
      </c>
      <c r="BW106" s="15" t="n">
        <f aca="false">INDEX(Ipotesi!$C$82:$G$82,1,F106)/12</f>
        <v>1250</v>
      </c>
      <c r="BX106" s="15" t="n">
        <f aca="false">INDEX(Ipotesi!$C$83:$G$83,1,F106)/12</f>
        <v>750</v>
      </c>
      <c r="BY106" s="15" t="n">
        <f aca="false">SUM(S106:U106)*(Ipotesi!$C$85+Ipotesi!$C$86)/12</f>
        <v>2479.16666666667</v>
      </c>
      <c r="BZ106" s="15" t="n">
        <f aca="false">AM106*Ipotesi!$C$87</f>
        <v>2707.25</v>
      </c>
      <c r="CA106" s="15" t="n">
        <f aca="false">AB106+BJ106+BL106+BN106+BO106+AR106+BP106+BQ106+BR106+BS106+BT106</f>
        <v>156837.941123105</v>
      </c>
      <c r="CB106" s="15" t="n">
        <f aca="false">AC106+BK106+BM106+BH106+BU106+BV106+AS106+BW106+BX106+BY106+BZ106</f>
        <v>62580.173375</v>
      </c>
      <c r="CC106" s="15" t="n">
        <f aca="false">BI106-CA106</f>
        <v>-24724.7351842627</v>
      </c>
      <c r="CD106" s="15" t="n">
        <f aca="false">AM106-CB106</f>
        <v>27661.4932916667</v>
      </c>
      <c r="CE106" s="15" t="n">
        <f aca="false">INDEX(Ipotesi!$C$79:$G$79,1,F106)/12</f>
        <v>3333.33333333333</v>
      </c>
      <c r="CF106" s="15" t="n">
        <f aca="false">INDEX(Ipotesi!$C$84:$G$84,1,F106)/12</f>
        <v>666.666666666667</v>
      </c>
      <c r="CG106" s="15" t="n">
        <f aca="false">Y106*MAX(0,Parametri_v3!$C$12-IF(P106=0,0,MIN(1,BE106/(P106*Parametri_v3!$C$22))))+W106*Parametri_v3!$C$13+X106*Parametri_v3!$C$14</f>
        <v>31111.8463861028</v>
      </c>
      <c r="CH106" s="15" t="n">
        <f aca="false">AB106*Parametri_v3!$C$32</f>
        <v>4823.65419791667</v>
      </c>
      <c r="CI106" s="15" t="n">
        <f aca="false">AC106*Parametri_v3!$C$32</f>
        <v>1691.45033541667</v>
      </c>
      <c r="CJ106" s="15" t="n">
        <f aca="false">CA106-AB106</f>
        <v>60364.8571647712</v>
      </c>
      <c r="CK106" s="15" t="n">
        <f aca="false">CB106-AC106-BH106</f>
        <v>19727</v>
      </c>
      <c r="CL106" s="15" t="n">
        <f aca="false">BF106*Ipotesi!$C$73+INDEX(Ipotesi!$C$72:$G$72,1,F106)/12*Ipotesi!D126*Parametri_v3!$C$58+Z106*(1-Parametri_v3!$C$16)</f>
        <v>12063.712516774</v>
      </c>
      <c r="CM106" s="16" t="n">
        <f aca="false">IF(BF106=0,0,1-CL106/BF106)</f>
        <v>0.793213726738078</v>
      </c>
    </row>
    <row r="107" customFormat="false" ht="18" hidden="false" customHeight="true" outlineLevel="0" collapsed="false">
      <c r="A107" s="68" t="n">
        <f aca="false">2</f>
        <v>2</v>
      </c>
      <c r="B107" s="68" t="n">
        <f aca="false">43</f>
        <v>43</v>
      </c>
      <c r="C107" s="18" t="n">
        <f aca="false">EDATE(Parametri_v3!$C$5,43-1)</f>
        <v>47665</v>
      </c>
      <c r="D107" s="68" t="n">
        <f aca="false">YEAR(C107)</f>
        <v>2030</v>
      </c>
      <c r="E107" s="68" t="n">
        <f aca="false">MONTH(C107)</f>
        <v>7</v>
      </c>
      <c r="F107" s="68" t="n">
        <f aca="false">INT((43-1)/12)+1</f>
        <v>4</v>
      </c>
      <c r="G107" s="15" t="n">
        <f aca="false">Ipotesi!D7</f>
        <v>1</v>
      </c>
      <c r="H107" s="15" t="n">
        <f aca="false">Ipotesi!D9</f>
        <v>1</v>
      </c>
      <c r="I107" s="15" t="n">
        <f aca="false">Ipotesi!D10</f>
        <v>1</v>
      </c>
      <c r="J107" s="15" t="n">
        <f aca="false">Ipotesi!D11</f>
        <v>1</v>
      </c>
      <c r="K107" s="15" t="n">
        <f aca="false">Ipotesi!D12</f>
        <v>1</v>
      </c>
      <c r="L107" s="15" t="n">
        <f aca="false">Ipotesi!D13</f>
        <v>90</v>
      </c>
      <c r="M107" s="17" t="n">
        <f aca="false">INDEX(Ipotesi!$C$40:$G$40,1,F107)</f>
        <v>1</v>
      </c>
      <c r="N107" s="17" t="n">
        <f aca="false">INDEX(Ipotesi!$C$41:$G$41,1,F107)</f>
        <v>1</v>
      </c>
      <c r="O107" s="17" t="n">
        <f aca="false">INDEX(Ipotesi!$C$42:$G$42,1,F107)*Ipotesi!D125</f>
        <v>6.5</v>
      </c>
      <c r="P107" s="17" t="n">
        <f aca="false">INDEX(Ipotesi!$C$43:$G$43,1,F107)*I107</f>
        <v>6</v>
      </c>
      <c r="Q107" s="17" t="n">
        <f aca="false">INDEX(Ipotesi!$C$44:$G$44,1,F107)*I107</f>
        <v>5</v>
      </c>
      <c r="R107" s="17" t="n">
        <f aca="false">INDEX(Ipotesi!$C$45:$G$45,1,F107)*I107</f>
        <v>1.5</v>
      </c>
      <c r="S107" s="17" t="n">
        <f aca="false">INDEX(Ipotesi!$C$52:$G$52,1,F107)*Ipotesi!D125</f>
        <v>7</v>
      </c>
      <c r="T107" s="17" t="n">
        <f aca="false">INDEX(Ipotesi!$C$53:$G$53,1,F107)*I107</f>
        <v>1</v>
      </c>
      <c r="U107" s="17" t="n">
        <f aca="false">INDEX(Ipotesi!$C$54:$G$54,1,F107)*I107</f>
        <v>0.5</v>
      </c>
      <c r="V107" s="15" t="n">
        <f aca="false">M107*INDEX(Ipotesi!$C$58:$G$58,1,F107)*K107/12</f>
        <v>7916.66666666667</v>
      </c>
      <c r="W107" s="15" t="n">
        <f aca="false">N107*Ipotesi!$C$59*(1+Ipotesi!$C$66)^(F107-1)/12</f>
        <v>6374.24083333333</v>
      </c>
      <c r="X107" s="15" t="n">
        <f aca="false">O107*Ipotesi!$C$60*(1+Ipotesi!$C$66)^(F107-1)/12</f>
        <v>29594.6895833333</v>
      </c>
      <c r="Y107" s="15" t="n">
        <f aca="false">P107*Ipotesi!$C$61*(1+Ipotesi!$C$66)^(F107-1)/12</f>
        <v>27318.175</v>
      </c>
      <c r="Z107" s="15" t="n">
        <f aca="false">Q107*Ipotesi!$C$62*(1+Ipotesi!$C$66)^(F107-1)/12</f>
        <v>20488.63125</v>
      </c>
      <c r="AA107" s="15" t="n">
        <f aca="false">R107*Ipotesi!$C$63*(1+Ipotesi!$C$66)^(F107-1)/12</f>
        <v>4780.680625</v>
      </c>
      <c r="AB107" s="15" t="n">
        <f aca="false">SUM(V107:AA107)</f>
        <v>96473.0839583333</v>
      </c>
      <c r="AC107" s="15" t="n">
        <f aca="false">(S107*Ipotesi!$C$64+T107*Ipotesi!$C$65+U107*Ipotesi!$C$63)*(1+Ipotesi!$C$66)^(F107-1)/12</f>
        <v>33829.0067083333</v>
      </c>
      <c r="AD107" s="15" t="n">
        <f aca="false">INDEX(Ipotesi!$C$48:$G$48,1,F107)*G107/12</f>
        <v>79.1666666666667</v>
      </c>
      <c r="AE107" s="15" t="n">
        <f aca="false">INDEX(Ipotesi!$C$50:$G$50,1,F107)*G107/12</f>
        <v>8.33333333333333</v>
      </c>
      <c r="AF107" s="15" t="n">
        <f aca="false">(S107*Parametri_v3!$C$7*Parametri_v3!$C$8+Parametri_v3!$C$10)/12</f>
        <v>89.8333333333333</v>
      </c>
      <c r="AG107" s="15" t="n">
        <f aca="false">AD107+AE107*(1+Parametri_v3!$C$9)</f>
        <v>91.6666666666667</v>
      </c>
      <c r="AH107" s="16" t="n">
        <f aca="false">IF(AG107=0,1,MIN(1,AF107/AG107))</f>
        <v>0.98</v>
      </c>
      <c r="AI107" s="15" t="n">
        <f aca="false">AD107*AH107</f>
        <v>77.5833333333333</v>
      </c>
      <c r="AJ107" s="15" t="n">
        <f aca="false">AE107*AH107</f>
        <v>8.16666666666667</v>
      </c>
      <c r="AK107" s="15" t="n">
        <f aca="false">AI107*INDEX(Ipotesi!$C$49:$G$49,1,F107)*H107</f>
        <v>69825</v>
      </c>
      <c r="AL107" s="15" t="n">
        <f aca="false">AJ107*INDEX(Ipotesi!$C$51:$G$51,1,F107)*H107</f>
        <v>20416.6666666667</v>
      </c>
      <c r="AM107" s="15" t="n">
        <f aca="false">AK107+AL107</f>
        <v>90241.6666666667</v>
      </c>
      <c r="AN107" s="15" t="n">
        <f aca="false">INDEX(Ipotesi!$C$30:$G$30,1,F107)*G107/12</f>
        <v>61.6666666666667</v>
      </c>
      <c r="AO107" s="15" t="n">
        <f aca="false">O107*Parametri_v3!$C$7*Parametri_v3!$C$11*(1-Parametri_v3!$C$14)/12</f>
        <v>66.7333333333333</v>
      </c>
      <c r="AP107" s="15" t="n">
        <f aca="false">MIN(AN107,AO107)</f>
        <v>61.6666666666667</v>
      </c>
      <c r="AQ107" s="15" t="n">
        <f aca="false">AP107*INDEX(Ipotesi!$C$31:$G$31,1,F107)*H107</f>
        <v>64750</v>
      </c>
      <c r="AR107" s="15" t="n">
        <f aca="false">INDEX(Ipotesi!$C$75:$G$75,1,F107)*J107/12</f>
        <v>27916.6666666667</v>
      </c>
      <c r="AS107" s="15" t="n">
        <f aca="false">INDEX(Ipotesi!$C$81:$G$81,1,F107)*J107/12</f>
        <v>1666.66666666667</v>
      </c>
      <c r="AT107" s="15" t="n">
        <f aca="false">AR107*Parametri_v3!$C$15+Z107*Parametri_v3!$C$16</f>
        <v>42258.7085416667</v>
      </c>
      <c r="AU107" s="15" t="n">
        <f aca="false">Q107*Parametri_v3!$C$16*Parametri_v3!$C$17</f>
        <v>350</v>
      </c>
      <c r="AV107" s="17" t="n">
        <f aca="false">BD106</f>
        <v>119.702881228842</v>
      </c>
      <c r="AW107" s="17" t="n">
        <f aca="false">AV107*(1-(1-INDEX(Ipotesi!$C$34:$G$34,1,F107))^(1/12))</f>
        <v>1.04639601785881</v>
      </c>
      <c r="AX107" s="15" t="n">
        <f aca="false">ROUND(INDEX(Ipotesi!$C$32:$G$32,1,F107)*Ipotesi!D8,0)</f>
        <v>310</v>
      </c>
      <c r="AY107" s="15" t="n">
        <f aca="false">MAX(0,(AX107-(AV107-AW107))/(13-E107))</f>
        <v>31.8905857981694</v>
      </c>
      <c r="AZ107" s="15" t="n">
        <f aca="false">MIN(P107*Parametri_v3!$C$22,Q107*(1-Parametri_v3!$C$16)*Parametri_v3!$C$23)</f>
        <v>225</v>
      </c>
      <c r="BA107" s="15" t="n">
        <f aca="false">IF(OR(INDEX(Ipotesi!$C$35:$G$35,1,F107)&lt;=0,43-Parametri_v3!$C$21&lt;1),0,INDEX($AT$65:$AT$124,MAX(1,43-Parametri_v3!$C$21))/(INDEX(Ipotesi!$C$35:$G$35,1,F107)*Ipotesi!D27))</f>
        <v>7.04311809027778</v>
      </c>
      <c r="BB107" s="15" t="n">
        <f aca="false">IF(43-Parametri_v3!$C$21&lt;1,0,INDEX($AU$65:$AU$124,MAX(1,43-Parametri_v3!$C$21)))*Parametri_v3!$C$18*Parametri_v3!$C$19*Parametri_v3!$C$20</f>
        <v>13.125</v>
      </c>
      <c r="BC107" s="17" t="n">
        <f aca="false">MAX(0,MIN(AY107,BA107,BB107,MAX(0,AZ107-(AV107-AW107))))</f>
        <v>7.04311809027778</v>
      </c>
      <c r="BD107" s="17" t="n">
        <f aca="false">AV107-AW107+BC107</f>
        <v>125.699603301261</v>
      </c>
      <c r="BE107" s="17" t="n">
        <f aca="false">(AV107+BD107)/2</f>
        <v>122.701242265052</v>
      </c>
      <c r="BF107" s="15" t="n">
        <f aca="false">BE107*INDEX(Ipotesi!$C$33:$G$33,1,F107)*H107/12</f>
        <v>61350.6211325259</v>
      </c>
      <c r="BG107" s="15" t="n">
        <f aca="false">BD107*INDEX(Ipotesi!$C$33:$G$33,1,F107)*H107</f>
        <v>754197.619807567</v>
      </c>
      <c r="BH107" s="15" t="n">
        <f aca="false">AM107*INDEX(Ipotesi!$C$37:$G$37,1,F107)</f>
        <v>9024.16666666667</v>
      </c>
      <c r="BI107" s="15" t="n">
        <f aca="false">AQ107+BF107+BH107</f>
        <v>135124.787799193</v>
      </c>
      <c r="BJ107" s="15" t="n">
        <f aca="false">INDEX(Ipotesi!$C$68:$G$68,1,F107)*Ipotesi!$C$69/12</f>
        <v>3000</v>
      </c>
      <c r="BK107" s="15" t="n">
        <f aca="false">INDEX(Ipotesi!$C$68:$G$68,1,F107)*(1-Ipotesi!$C$69)/12</f>
        <v>4500</v>
      </c>
      <c r="BL107" s="15" t="n">
        <f aca="false">(AQ107+BF107)*Ipotesi!$C$67</f>
        <v>3783.01863397578</v>
      </c>
      <c r="BM107" s="15" t="n">
        <f aca="false">AM107*Ipotesi!$C$67</f>
        <v>2707.25</v>
      </c>
      <c r="BN107" s="15" t="n">
        <f aca="false">INDEX(Ipotesi!$C$72:$G$72,1,F107)/12*Ipotesi!D126+BF107*Ipotesi!$C$73</f>
        <v>6158.04969060207</v>
      </c>
      <c r="BO107" s="15" t="n">
        <f aca="false">INDEX(Ipotesi!$C$74:$G$74,1,F107)/12*Ipotesi!D126</f>
        <v>4166.66666666667</v>
      </c>
      <c r="BP107" s="15" t="n">
        <f aca="false">INDEX(Ipotesi!$C$76:$G$76,1,F107)/12</f>
        <v>1500</v>
      </c>
      <c r="BQ107" s="15" t="n">
        <f aca="false">INDEX(Ipotesi!$C$77:$G$77,1,F107)/12*Ipotesi!D126</f>
        <v>2083.33333333333</v>
      </c>
      <c r="BR107" s="15" t="n">
        <f aca="false">INDEX(Ipotesi!$C$78:$G$78,1,F107)/12</f>
        <v>2000</v>
      </c>
      <c r="BS107" s="15" t="n">
        <f aca="false">SUM(M107:R107)*(Ipotesi!$C$85+Ipotesi!$C$86)/12</f>
        <v>6125</v>
      </c>
      <c r="BT107" s="15" t="n">
        <f aca="false">BI107*Ipotesi!$C$87</f>
        <v>4053.74363397578</v>
      </c>
      <c r="BU107" s="15" t="n">
        <f aca="false">INDEX(Ipotesi!$C$55:$G$55,1,F107)*K107/12</f>
        <v>2000</v>
      </c>
      <c r="BV107" s="15" t="n">
        <f aca="false">INDEX(Ipotesi!$C$80:$G$80,1,F107)/12*Ipotesi!D126</f>
        <v>1666.66666666667</v>
      </c>
      <c r="BW107" s="15" t="n">
        <f aca="false">INDEX(Ipotesi!$C$82:$G$82,1,F107)/12</f>
        <v>1250</v>
      </c>
      <c r="BX107" s="15" t="n">
        <f aca="false">INDEX(Ipotesi!$C$83:$G$83,1,F107)/12</f>
        <v>750</v>
      </c>
      <c r="BY107" s="15" t="n">
        <f aca="false">SUM(S107:U107)*(Ipotesi!$C$85+Ipotesi!$C$86)/12</f>
        <v>2479.16666666667</v>
      </c>
      <c r="BZ107" s="15" t="n">
        <f aca="false">AM107*Ipotesi!$C$87</f>
        <v>2707.25</v>
      </c>
      <c r="CA107" s="15" t="n">
        <f aca="false">AB107+BJ107+BL107+BN107+BO107+AR107+BP107+BQ107+BR107+BS107+BT107</f>
        <v>157259.562583554</v>
      </c>
      <c r="CB107" s="15" t="n">
        <f aca="false">AC107+BK107+BM107+BH107+BU107+BV107+AS107+BW107+BX107+BY107+BZ107</f>
        <v>62580.173375</v>
      </c>
      <c r="CC107" s="15" t="n">
        <f aca="false">BI107-CA107</f>
        <v>-22134.7747843611</v>
      </c>
      <c r="CD107" s="15" t="n">
        <f aca="false">AM107-CB107</f>
        <v>27661.4932916667</v>
      </c>
      <c r="CE107" s="15" t="n">
        <f aca="false">INDEX(Ipotesi!$C$79:$G$79,1,F107)/12</f>
        <v>3333.33333333333</v>
      </c>
      <c r="CF107" s="15" t="n">
        <f aca="false">INDEX(Ipotesi!$C$84:$G$84,1,F107)/12</f>
        <v>666.666666666667</v>
      </c>
      <c r="CG107" s="15" t="n">
        <f aca="false">Y107*MAX(0,Parametri_v3!$C$12-IF(P107=0,0,MIN(1,BE107/(P107*Parametri_v3!$C$22))))+W107*Parametri_v3!$C$13+X107*Parametri_v3!$C$14</f>
        <v>30837.6099851432</v>
      </c>
      <c r="CH107" s="15" t="n">
        <f aca="false">AB107*Parametri_v3!$C$32</f>
        <v>4823.65419791667</v>
      </c>
      <c r="CI107" s="15" t="n">
        <f aca="false">AC107*Parametri_v3!$C$32</f>
        <v>1691.45033541667</v>
      </c>
      <c r="CJ107" s="15" t="n">
        <f aca="false">CA107-AB107</f>
        <v>60786.4786252203</v>
      </c>
      <c r="CK107" s="15" t="n">
        <f aca="false">CB107-AC107-BH107</f>
        <v>19727</v>
      </c>
      <c r="CL107" s="15" t="n">
        <f aca="false">BF107*Ipotesi!$C$73+INDEX(Ipotesi!$C$72:$G$72,1,F107)/12*Ipotesi!D126*Parametri_v3!$C$58+Z107*(1-Parametri_v3!$C$16)</f>
        <v>12304.6390656021</v>
      </c>
      <c r="CM107" s="16" t="n">
        <f aca="false">IF(BF107=0,0,1-CL107/BF107)</f>
        <v>0.79943741663149</v>
      </c>
    </row>
    <row r="108" customFormat="false" ht="18" hidden="false" customHeight="true" outlineLevel="0" collapsed="false">
      <c r="A108" s="68" t="n">
        <f aca="false">2</f>
        <v>2</v>
      </c>
      <c r="B108" s="68" t="n">
        <f aca="false">44</f>
        <v>44</v>
      </c>
      <c r="C108" s="18" t="n">
        <f aca="false">EDATE(Parametri_v3!$C$5,44-1)</f>
        <v>47696</v>
      </c>
      <c r="D108" s="68" t="n">
        <f aca="false">YEAR(C108)</f>
        <v>2030</v>
      </c>
      <c r="E108" s="68" t="n">
        <f aca="false">MONTH(C108)</f>
        <v>8</v>
      </c>
      <c r="F108" s="68" t="n">
        <f aca="false">INT((44-1)/12)+1</f>
        <v>4</v>
      </c>
      <c r="G108" s="15" t="n">
        <f aca="false">Ipotesi!D7</f>
        <v>1</v>
      </c>
      <c r="H108" s="15" t="n">
        <f aca="false">Ipotesi!D9</f>
        <v>1</v>
      </c>
      <c r="I108" s="15" t="n">
        <f aca="false">Ipotesi!D10</f>
        <v>1</v>
      </c>
      <c r="J108" s="15" t="n">
        <f aca="false">Ipotesi!D11</f>
        <v>1</v>
      </c>
      <c r="K108" s="15" t="n">
        <f aca="false">Ipotesi!D12</f>
        <v>1</v>
      </c>
      <c r="L108" s="15" t="n">
        <f aca="false">Ipotesi!D13</f>
        <v>90</v>
      </c>
      <c r="M108" s="17" t="n">
        <f aca="false">INDEX(Ipotesi!$C$40:$G$40,1,F108)</f>
        <v>1</v>
      </c>
      <c r="N108" s="17" t="n">
        <f aca="false">INDEX(Ipotesi!$C$41:$G$41,1,F108)</f>
        <v>1</v>
      </c>
      <c r="O108" s="17" t="n">
        <f aca="false">INDEX(Ipotesi!$C$42:$G$42,1,F108)*Ipotesi!D125</f>
        <v>6.5</v>
      </c>
      <c r="P108" s="17" t="n">
        <f aca="false">INDEX(Ipotesi!$C$43:$G$43,1,F108)*I108</f>
        <v>6</v>
      </c>
      <c r="Q108" s="17" t="n">
        <f aca="false">INDEX(Ipotesi!$C$44:$G$44,1,F108)*I108</f>
        <v>5</v>
      </c>
      <c r="R108" s="17" t="n">
        <f aca="false">INDEX(Ipotesi!$C$45:$G$45,1,F108)*I108</f>
        <v>1.5</v>
      </c>
      <c r="S108" s="17" t="n">
        <f aca="false">INDEX(Ipotesi!$C$52:$G$52,1,F108)*Ipotesi!D125</f>
        <v>7</v>
      </c>
      <c r="T108" s="17" t="n">
        <f aca="false">INDEX(Ipotesi!$C$53:$G$53,1,F108)*I108</f>
        <v>1</v>
      </c>
      <c r="U108" s="17" t="n">
        <f aca="false">INDEX(Ipotesi!$C$54:$G$54,1,F108)*I108</f>
        <v>0.5</v>
      </c>
      <c r="V108" s="15" t="n">
        <f aca="false">M108*INDEX(Ipotesi!$C$58:$G$58,1,F108)*K108/12</f>
        <v>7916.66666666667</v>
      </c>
      <c r="W108" s="15" t="n">
        <f aca="false">N108*Ipotesi!$C$59*(1+Ipotesi!$C$66)^(F108-1)/12</f>
        <v>6374.24083333333</v>
      </c>
      <c r="X108" s="15" t="n">
        <f aca="false">O108*Ipotesi!$C$60*(1+Ipotesi!$C$66)^(F108-1)/12</f>
        <v>29594.6895833333</v>
      </c>
      <c r="Y108" s="15" t="n">
        <f aca="false">P108*Ipotesi!$C$61*(1+Ipotesi!$C$66)^(F108-1)/12</f>
        <v>27318.175</v>
      </c>
      <c r="Z108" s="15" t="n">
        <f aca="false">Q108*Ipotesi!$C$62*(1+Ipotesi!$C$66)^(F108-1)/12</f>
        <v>20488.63125</v>
      </c>
      <c r="AA108" s="15" t="n">
        <f aca="false">R108*Ipotesi!$C$63*(1+Ipotesi!$C$66)^(F108-1)/12</f>
        <v>4780.680625</v>
      </c>
      <c r="AB108" s="15" t="n">
        <f aca="false">SUM(V108:AA108)</f>
        <v>96473.0839583333</v>
      </c>
      <c r="AC108" s="15" t="n">
        <f aca="false">(S108*Ipotesi!$C$64+T108*Ipotesi!$C$65+U108*Ipotesi!$C$63)*(1+Ipotesi!$C$66)^(F108-1)/12</f>
        <v>33829.0067083333</v>
      </c>
      <c r="AD108" s="15" t="n">
        <f aca="false">INDEX(Ipotesi!$C$48:$G$48,1,F108)*G108/12</f>
        <v>79.1666666666667</v>
      </c>
      <c r="AE108" s="15" t="n">
        <f aca="false">INDEX(Ipotesi!$C$50:$G$50,1,F108)*G108/12</f>
        <v>8.33333333333333</v>
      </c>
      <c r="AF108" s="15" t="n">
        <f aca="false">(S108*Parametri_v3!$C$7*Parametri_v3!$C$8+Parametri_v3!$C$10)/12</f>
        <v>89.8333333333333</v>
      </c>
      <c r="AG108" s="15" t="n">
        <f aca="false">AD108+AE108*(1+Parametri_v3!$C$9)</f>
        <v>91.6666666666667</v>
      </c>
      <c r="AH108" s="16" t="n">
        <f aca="false">IF(AG108=0,1,MIN(1,AF108/AG108))</f>
        <v>0.98</v>
      </c>
      <c r="AI108" s="15" t="n">
        <f aca="false">AD108*AH108</f>
        <v>77.5833333333333</v>
      </c>
      <c r="AJ108" s="15" t="n">
        <f aca="false">AE108*AH108</f>
        <v>8.16666666666667</v>
      </c>
      <c r="AK108" s="15" t="n">
        <f aca="false">AI108*INDEX(Ipotesi!$C$49:$G$49,1,F108)*H108</f>
        <v>69825</v>
      </c>
      <c r="AL108" s="15" t="n">
        <f aca="false">AJ108*INDEX(Ipotesi!$C$51:$G$51,1,F108)*H108</f>
        <v>20416.6666666667</v>
      </c>
      <c r="AM108" s="15" t="n">
        <f aca="false">AK108+AL108</f>
        <v>90241.6666666667</v>
      </c>
      <c r="AN108" s="15" t="n">
        <f aca="false">INDEX(Ipotesi!$C$30:$G$30,1,F108)*G108/12</f>
        <v>61.6666666666667</v>
      </c>
      <c r="AO108" s="15" t="n">
        <f aca="false">O108*Parametri_v3!$C$7*Parametri_v3!$C$11*(1-Parametri_v3!$C$14)/12</f>
        <v>66.7333333333333</v>
      </c>
      <c r="AP108" s="15" t="n">
        <f aca="false">MIN(AN108,AO108)</f>
        <v>61.6666666666667</v>
      </c>
      <c r="AQ108" s="15" t="n">
        <f aca="false">AP108*INDEX(Ipotesi!$C$31:$G$31,1,F108)*H108</f>
        <v>64750</v>
      </c>
      <c r="AR108" s="15" t="n">
        <f aca="false">INDEX(Ipotesi!$C$75:$G$75,1,F108)*J108/12</f>
        <v>27916.6666666667</v>
      </c>
      <c r="AS108" s="15" t="n">
        <f aca="false">INDEX(Ipotesi!$C$81:$G$81,1,F108)*J108/12</f>
        <v>1666.66666666667</v>
      </c>
      <c r="AT108" s="15" t="n">
        <f aca="false">AR108*Parametri_v3!$C$15+Z108*Parametri_v3!$C$16</f>
        <v>42258.7085416667</v>
      </c>
      <c r="AU108" s="15" t="n">
        <f aca="false">Q108*Parametri_v3!$C$16*Parametri_v3!$C$17</f>
        <v>350</v>
      </c>
      <c r="AV108" s="17" t="n">
        <f aca="false">BD107</f>
        <v>125.699603301261</v>
      </c>
      <c r="AW108" s="17" t="n">
        <f aca="false">AV108*(1-(1-INDEX(Ipotesi!$C$34:$G$34,1,F108))^(1/12))</f>
        <v>1.09881702921934</v>
      </c>
      <c r="AX108" s="15" t="n">
        <f aca="false">ROUND(INDEX(Ipotesi!$C$32:$G$32,1,F108)*Ipotesi!D8,0)</f>
        <v>310</v>
      </c>
      <c r="AY108" s="15" t="n">
        <f aca="false">MAX(0,(AX108-(AV108-AW108))/(13-E108))</f>
        <v>37.0798427455916</v>
      </c>
      <c r="AZ108" s="15" t="n">
        <f aca="false">MIN(P108*Parametri_v3!$C$22,Q108*(1-Parametri_v3!$C$16)*Parametri_v3!$C$23)</f>
        <v>225</v>
      </c>
      <c r="BA108" s="15" t="n">
        <f aca="false">IF(OR(INDEX(Ipotesi!$C$35:$G$35,1,F108)&lt;=0,44-Parametri_v3!$C$21&lt;1),0,INDEX($AT$65:$AT$124,MAX(1,44-Parametri_v3!$C$21))/(INDEX(Ipotesi!$C$35:$G$35,1,F108)*Ipotesi!D27))</f>
        <v>7.04311809027778</v>
      </c>
      <c r="BB108" s="15" t="n">
        <f aca="false">IF(44-Parametri_v3!$C$21&lt;1,0,INDEX($AU$65:$AU$124,MAX(1,44-Parametri_v3!$C$21)))*Parametri_v3!$C$18*Parametri_v3!$C$19*Parametri_v3!$C$20</f>
        <v>13.125</v>
      </c>
      <c r="BC108" s="17" t="n">
        <f aca="false">MAX(0,MIN(AY108,BA108,BB108,MAX(0,AZ108-(AV108-AW108))))</f>
        <v>7.04311809027778</v>
      </c>
      <c r="BD108" s="17" t="n">
        <f aca="false">AV108-AW108+BC108</f>
        <v>131.64390436232</v>
      </c>
      <c r="BE108" s="17" t="n">
        <f aca="false">(AV108+BD108)/2</f>
        <v>128.67175383179</v>
      </c>
      <c r="BF108" s="15" t="n">
        <f aca="false">BE108*INDEX(Ipotesi!$C$33:$G$33,1,F108)*H108/12</f>
        <v>64335.8769158952</v>
      </c>
      <c r="BG108" s="15" t="n">
        <f aca="false">BD108*INDEX(Ipotesi!$C$33:$G$33,1,F108)*H108</f>
        <v>789863.426173918</v>
      </c>
      <c r="BH108" s="15" t="n">
        <f aca="false">AM108*INDEX(Ipotesi!$C$37:$G$37,1,F108)</f>
        <v>9024.16666666667</v>
      </c>
      <c r="BI108" s="15" t="n">
        <f aca="false">AQ108+BF108+BH108</f>
        <v>138110.043582562</v>
      </c>
      <c r="BJ108" s="15" t="n">
        <f aca="false">INDEX(Ipotesi!$C$68:$G$68,1,F108)*Ipotesi!$C$69/12</f>
        <v>3000</v>
      </c>
      <c r="BK108" s="15" t="n">
        <f aca="false">INDEX(Ipotesi!$C$68:$G$68,1,F108)*(1-Ipotesi!$C$69)/12</f>
        <v>4500</v>
      </c>
      <c r="BL108" s="15" t="n">
        <f aca="false">(AQ108+BF108)*Ipotesi!$C$67</f>
        <v>3872.57630747686</v>
      </c>
      <c r="BM108" s="15" t="n">
        <f aca="false">AM108*Ipotesi!$C$67</f>
        <v>2707.25</v>
      </c>
      <c r="BN108" s="15" t="n">
        <f aca="false">INDEX(Ipotesi!$C$72:$G$72,1,F108)/12*Ipotesi!D126+BF108*Ipotesi!$C$73</f>
        <v>6396.87015327162</v>
      </c>
      <c r="BO108" s="15" t="n">
        <f aca="false">INDEX(Ipotesi!$C$74:$G$74,1,F108)/12*Ipotesi!D126</f>
        <v>4166.66666666667</v>
      </c>
      <c r="BP108" s="15" t="n">
        <f aca="false">INDEX(Ipotesi!$C$76:$G$76,1,F108)/12</f>
        <v>1500</v>
      </c>
      <c r="BQ108" s="15" t="n">
        <f aca="false">INDEX(Ipotesi!$C$77:$G$77,1,F108)/12*Ipotesi!D126</f>
        <v>2083.33333333333</v>
      </c>
      <c r="BR108" s="15" t="n">
        <f aca="false">INDEX(Ipotesi!$C$78:$G$78,1,F108)/12</f>
        <v>2000</v>
      </c>
      <c r="BS108" s="15" t="n">
        <f aca="false">SUM(M108:R108)*(Ipotesi!$C$85+Ipotesi!$C$86)/12</f>
        <v>6125</v>
      </c>
      <c r="BT108" s="15" t="n">
        <f aca="false">BI108*Ipotesi!$C$87</f>
        <v>4143.30130747686</v>
      </c>
      <c r="BU108" s="15" t="n">
        <f aca="false">INDEX(Ipotesi!$C$55:$G$55,1,F108)*K108/12</f>
        <v>2000</v>
      </c>
      <c r="BV108" s="15" t="n">
        <f aca="false">INDEX(Ipotesi!$C$80:$G$80,1,F108)/12*Ipotesi!D126</f>
        <v>1666.66666666667</v>
      </c>
      <c r="BW108" s="15" t="n">
        <f aca="false">INDEX(Ipotesi!$C$82:$G$82,1,F108)/12</f>
        <v>1250</v>
      </c>
      <c r="BX108" s="15" t="n">
        <f aca="false">INDEX(Ipotesi!$C$83:$G$83,1,F108)/12</f>
        <v>750</v>
      </c>
      <c r="BY108" s="15" t="n">
        <f aca="false">SUM(S108:U108)*(Ipotesi!$C$85+Ipotesi!$C$86)/12</f>
        <v>2479.16666666667</v>
      </c>
      <c r="BZ108" s="15" t="n">
        <f aca="false">AM108*Ipotesi!$C$87</f>
        <v>2707.25</v>
      </c>
      <c r="CA108" s="15" t="n">
        <f aca="false">AB108+BJ108+BL108+BN108+BO108+AR108+BP108+BQ108+BR108+BS108+BT108</f>
        <v>157677.498393225</v>
      </c>
      <c r="CB108" s="15" t="n">
        <f aca="false">AC108+BK108+BM108+BH108+BU108+BV108+AS108+BW108+BX108+BY108+BZ108</f>
        <v>62580.173375</v>
      </c>
      <c r="CC108" s="15" t="n">
        <f aca="false">BI108-CA108</f>
        <v>-19567.4548106635</v>
      </c>
      <c r="CD108" s="15" t="n">
        <f aca="false">AM108-CB108</f>
        <v>27661.4932916667</v>
      </c>
      <c r="CE108" s="15" t="n">
        <f aca="false">INDEX(Ipotesi!$C$79:$G$79,1,F108)/12</f>
        <v>3333.33333333333</v>
      </c>
      <c r="CF108" s="15" t="n">
        <f aca="false">INDEX(Ipotesi!$C$84:$G$84,1,F108)/12</f>
        <v>666.666666666667</v>
      </c>
      <c r="CG108" s="15" t="n">
        <f aca="false">Y108*MAX(0,Parametri_v3!$C$12-IF(P108=0,0,MIN(1,BE108/(P108*Parametri_v3!$C$22))))+W108*Parametri_v3!$C$13+X108*Parametri_v3!$C$14</f>
        <v>30565.7708521104</v>
      </c>
      <c r="CH108" s="15" t="n">
        <f aca="false">AB108*Parametri_v3!$C$32</f>
        <v>4823.65419791667</v>
      </c>
      <c r="CI108" s="15" t="n">
        <f aca="false">AC108*Parametri_v3!$C$32</f>
        <v>1691.45033541667</v>
      </c>
      <c r="CJ108" s="15" t="n">
        <f aca="false">CA108-AB108</f>
        <v>61204.414434892</v>
      </c>
      <c r="CK108" s="15" t="n">
        <f aca="false">CB108-AC108-BH108</f>
        <v>19727</v>
      </c>
      <c r="CL108" s="15" t="n">
        <f aca="false">BF108*Ipotesi!$C$73+INDEX(Ipotesi!$C$72:$G$72,1,F108)/12*Ipotesi!D126*Parametri_v3!$C$58+Z108*(1-Parametri_v3!$C$16)</f>
        <v>12543.4595282716</v>
      </c>
      <c r="CM108" s="16" t="n">
        <f aca="false">IF(BF108=0,0,1-CL108/BF108)</f>
        <v>0.80503165372768</v>
      </c>
    </row>
    <row r="109" customFormat="false" ht="18" hidden="false" customHeight="true" outlineLevel="0" collapsed="false">
      <c r="A109" s="68" t="n">
        <f aca="false">2</f>
        <v>2</v>
      </c>
      <c r="B109" s="68" t="n">
        <f aca="false">45</f>
        <v>45</v>
      </c>
      <c r="C109" s="18" t="n">
        <f aca="false">EDATE(Parametri_v3!$C$5,45-1)</f>
        <v>47727</v>
      </c>
      <c r="D109" s="68" t="n">
        <f aca="false">YEAR(C109)</f>
        <v>2030</v>
      </c>
      <c r="E109" s="68" t="n">
        <f aca="false">MONTH(C109)</f>
        <v>9</v>
      </c>
      <c r="F109" s="68" t="n">
        <f aca="false">INT((45-1)/12)+1</f>
        <v>4</v>
      </c>
      <c r="G109" s="15" t="n">
        <f aca="false">Ipotesi!D7</f>
        <v>1</v>
      </c>
      <c r="H109" s="15" t="n">
        <f aca="false">Ipotesi!D9</f>
        <v>1</v>
      </c>
      <c r="I109" s="15" t="n">
        <f aca="false">Ipotesi!D10</f>
        <v>1</v>
      </c>
      <c r="J109" s="15" t="n">
        <f aca="false">Ipotesi!D11</f>
        <v>1</v>
      </c>
      <c r="K109" s="15" t="n">
        <f aca="false">Ipotesi!D12</f>
        <v>1</v>
      </c>
      <c r="L109" s="15" t="n">
        <f aca="false">Ipotesi!D13</f>
        <v>90</v>
      </c>
      <c r="M109" s="17" t="n">
        <f aca="false">INDEX(Ipotesi!$C$40:$G$40,1,F109)</f>
        <v>1</v>
      </c>
      <c r="N109" s="17" t="n">
        <f aca="false">INDEX(Ipotesi!$C$41:$G$41,1,F109)</f>
        <v>1</v>
      </c>
      <c r="O109" s="17" t="n">
        <f aca="false">INDEX(Ipotesi!$C$42:$G$42,1,F109)*Ipotesi!D125</f>
        <v>6.5</v>
      </c>
      <c r="P109" s="17" t="n">
        <f aca="false">INDEX(Ipotesi!$C$43:$G$43,1,F109)*I109</f>
        <v>6</v>
      </c>
      <c r="Q109" s="17" t="n">
        <f aca="false">INDEX(Ipotesi!$C$44:$G$44,1,F109)*I109</f>
        <v>5</v>
      </c>
      <c r="R109" s="17" t="n">
        <f aca="false">INDEX(Ipotesi!$C$45:$G$45,1,F109)*I109</f>
        <v>1.5</v>
      </c>
      <c r="S109" s="17" t="n">
        <f aca="false">INDEX(Ipotesi!$C$52:$G$52,1,F109)*Ipotesi!D125</f>
        <v>7</v>
      </c>
      <c r="T109" s="17" t="n">
        <f aca="false">INDEX(Ipotesi!$C$53:$G$53,1,F109)*I109</f>
        <v>1</v>
      </c>
      <c r="U109" s="17" t="n">
        <f aca="false">INDEX(Ipotesi!$C$54:$G$54,1,F109)*I109</f>
        <v>0.5</v>
      </c>
      <c r="V109" s="15" t="n">
        <f aca="false">M109*INDEX(Ipotesi!$C$58:$G$58,1,F109)*K109/12</f>
        <v>7916.66666666667</v>
      </c>
      <c r="W109" s="15" t="n">
        <f aca="false">N109*Ipotesi!$C$59*(1+Ipotesi!$C$66)^(F109-1)/12</f>
        <v>6374.24083333333</v>
      </c>
      <c r="X109" s="15" t="n">
        <f aca="false">O109*Ipotesi!$C$60*(1+Ipotesi!$C$66)^(F109-1)/12</f>
        <v>29594.6895833333</v>
      </c>
      <c r="Y109" s="15" t="n">
        <f aca="false">P109*Ipotesi!$C$61*(1+Ipotesi!$C$66)^(F109-1)/12</f>
        <v>27318.175</v>
      </c>
      <c r="Z109" s="15" t="n">
        <f aca="false">Q109*Ipotesi!$C$62*(1+Ipotesi!$C$66)^(F109-1)/12</f>
        <v>20488.63125</v>
      </c>
      <c r="AA109" s="15" t="n">
        <f aca="false">R109*Ipotesi!$C$63*(1+Ipotesi!$C$66)^(F109-1)/12</f>
        <v>4780.680625</v>
      </c>
      <c r="AB109" s="15" t="n">
        <f aca="false">SUM(V109:AA109)</f>
        <v>96473.0839583333</v>
      </c>
      <c r="AC109" s="15" t="n">
        <f aca="false">(S109*Ipotesi!$C$64+T109*Ipotesi!$C$65+U109*Ipotesi!$C$63)*(1+Ipotesi!$C$66)^(F109-1)/12</f>
        <v>33829.0067083333</v>
      </c>
      <c r="AD109" s="15" t="n">
        <f aca="false">INDEX(Ipotesi!$C$48:$G$48,1,F109)*G109/12</f>
        <v>79.1666666666667</v>
      </c>
      <c r="AE109" s="15" t="n">
        <f aca="false">INDEX(Ipotesi!$C$50:$G$50,1,F109)*G109/12</f>
        <v>8.33333333333333</v>
      </c>
      <c r="AF109" s="15" t="n">
        <f aca="false">(S109*Parametri_v3!$C$7*Parametri_v3!$C$8+Parametri_v3!$C$10)/12</f>
        <v>89.8333333333333</v>
      </c>
      <c r="AG109" s="15" t="n">
        <f aca="false">AD109+AE109*(1+Parametri_v3!$C$9)</f>
        <v>91.6666666666667</v>
      </c>
      <c r="AH109" s="16" t="n">
        <f aca="false">IF(AG109=0,1,MIN(1,AF109/AG109))</f>
        <v>0.98</v>
      </c>
      <c r="AI109" s="15" t="n">
        <f aca="false">AD109*AH109</f>
        <v>77.5833333333333</v>
      </c>
      <c r="AJ109" s="15" t="n">
        <f aca="false">AE109*AH109</f>
        <v>8.16666666666667</v>
      </c>
      <c r="AK109" s="15" t="n">
        <f aca="false">AI109*INDEX(Ipotesi!$C$49:$G$49,1,F109)*H109</f>
        <v>69825</v>
      </c>
      <c r="AL109" s="15" t="n">
        <f aca="false">AJ109*INDEX(Ipotesi!$C$51:$G$51,1,F109)*H109</f>
        <v>20416.6666666667</v>
      </c>
      <c r="AM109" s="15" t="n">
        <f aca="false">AK109+AL109</f>
        <v>90241.6666666667</v>
      </c>
      <c r="AN109" s="15" t="n">
        <f aca="false">INDEX(Ipotesi!$C$30:$G$30,1,F109)*G109/12</f>
        <v>61.6666666666667</v>
      </c>
      <c r="AO109" s="15" t="n">
        <f aca="false">O109*Parametri_v3!$C$7*Parametri_v3!$C$11*(1-Parametri_v3!$C$14)/12</f>
        <v>66.7333333333333</v>
      </c>
      <c r="AP109" s="15" t="n">
        <f aca="false">MIN(AN109,AO109)</f>
        <v>61.6666666666667</v>
      </c>
      <c r="AQ109" s="15" t="n">
        <f aca="false">AP109*INDEX(Ipotesi!$C$31:$G$31,1,F109)*H109</f>
        <v>64750</v>
      </c>
      <c r="AR109" s="15" t="n">
        <f aca="false">INDEX(Ipotesi!$C$75:$G$75,1,F109)*J109/12</f>
        <v>27916.6666666667</v>
      </c>
      <c r="AS109" s="15" t="n">
        <f aca="false">INDEX(Ipotesi!$C$81:$G$81,1,F109)*J109/12</f>
        <v>1666.66666666667</v>
      </c>
      <c r="AT109" s="15" t="n">
        <f aca="false">AR109*Parametri_v3!$C$15+Z109*Parametri_v3!$C$16</f>
        <v>42258.7085416667</v>
      </c>
      <c r="AU109" s="15" t="n">
        <f aca="false">Q109*Parametri_v3!$C$16*Parametri_v3!$C$17</f>
        <v>350</v>
      </c>
      <c r="AV109" s="17" t="n">
        <f aca="false">BD108</f>
        <v>131.64390436232</v>
      </c>
      <c r="AW109" s="17" t="n">
        <f aca="false">AV109*(1-(1-INDEX(Ipotesi!$C$34:$G$34,1,F109))^(1/12))</f>
        <v>1.1507797964927</v>
      </c>
      <c r="AX109" s="15" t="n">
        <f aca="false">ROUND(INDEX(Ipotesi!$C$32:$G$32,1,F109)*Ipotesi!D8,0)</f>
        <v>310</v>
      </c>
      <c r="AY109" s="15" t="n">
        <f aca="false">MAX(0,(AX109-(AV109-AW109))/(13-E109))</f>
        <v>44.8767188585433</v>
      </c>
      <c r="AZ109" s="15" t="n">
        <f aca="false">MIN(P109*Parametri_v3!$C$22,Q109*(1-Parametri_v3!$C$16)*Parametri_v3!$C$23)</f>
        <v>225</v>
      </c>
      <c r="BA109" s="15" t="n">
        <f aca="false">IF(OR(INDEX(Ipotesi!$C$35:$G$35,1,F109)&lt;=0,45-Parametri_v3!$C$21&lt;1),0,INDEX($AT$65:$AT$124,MAX(1,45-Parametri_v3!$C$21))/(INDEX(Ipotesi!$C$35:$G$35,1,F109)*Ipotesi!D27))</f>
        <v>7.04311809027778</v>
      </c>
      <c r="BB109" s="15" t="n">
        <f aca="false">IF(45-Parametri_v3!$C$21&lt;1,0,INDEX($AU$65:$AU$124,MAX(1,45-Parametri_v3!$C$21)))*Parametri_v3!$C$18*Parametri_v3!$C$19*Parametri_v3!$C$20</f>
        <v>13.125</v>
      </c>
      <c r="BC109" s="17" t="n">
        <f aca="false">MAX(0,MIN(AY109,BA109,BB109,MAX(0,AZ109-(AV109-AW109))))</f>
        <v>7.04311809027778</v>
      </c>
      <c r="BD109" s="17" t="n">
        <f aca="false">AV109-AW109+BC109</f>
        <v>137.536242656105</v>
      </c>
      <c r="BE109" s="17" t="n">
        <f aca="false">(AV109+BD109)/2</f>
        <v>134.590073509212</v>
      </c>
      <c r="BF109" s="15" t="n">
        <f aca="false">BE109*INDEX(Ipotesi!$C$33:$G$33,1,F109)*H109/12</f>
        <v>67295.0367546061</v>
      </c>
      <c r="BG109" s="15" t="n">
        <f aca="false">BD109*INDEX(Ipotesi!$C$33:$G$33,1,F109)*H109</f>
        <v>825217.455936628</v>
      </c>
      <c r="BH109" s="15" t="n">
        <f aca="false">AM109*INDEX(Ipotesi!$C$37:$G$37,1,F109)</f>
        <v>9024.16666666667</v>
      </c>
      <c r="BI109" s="15" t="n">
        <f aca="false">AQ109+BF109+BH109</f>
        <v>141069.203421273</v>
      </c>
      <c r="BJ109" s="15" t="n">
        <f aca="false">INDEX(Ipotesi!$C$68:$G$68,1,F109)*Ipotesi!$C$69/12</f>
        <v>3000</v>
      </c>
      <c r="BK109" s="15" t="n">
        <f aca="false">INDEX(Ipotesi!$C$68:$G$68,1,F109)*(1-Ipotesi!$C$69)/12</f>
        <v>4500</v>
      </c>
      <c r="BL109" s="15" t="n">
        <f aca="false">(AQ109+BF109)*Ipotesi!$C$67</f>
        <v>3961.35110263818</v>
      </c>
      <c r="BM109" s="15" t="n">
        <f aca="false">AM109*Ipotesi!$C$67</f>
        <v>2707.25</v>
      </c>
      <c r="BN109" s="15" t="n">
        <f aca="false">INDEX(Ipotesi!$C$72:$G$72,1,F109)/12*Ipotesi!D126+BF109*Ipotesi!$C$73</f>
        <v>6633.60294036849</v>
      </c>
      <c r="BO109" s="15" t="n">
        <f aca="false">INDEX(Ipotesi!$C$74:$G$74,1,F109)/12*Ipotesi!D126</f>
        <v>4166.66666666667</v>
      </c>
      <c r="BP109" s="15" t="n">
        <f aca="false">INDEX(Ipotesi!$C$76:$G$76,1,F109)/12</f>
        <v>1500</v>
      </c>
      <c r="BQ109" s="15" t="n">
        <f aca="false">INDEX(Ipotesi!$C$77:$G$77,1,F109)/12*Ipotesi!D126</f>
        <v>2083.33333333333</v>
      </c>
      <c r="BR109" s="15" t="n">
        <f aca="false">INDEX(Ipotesi!$C$78:$G$78,1,F109)/12</f>
        <v>2000</v>
      </c>
      <c r="BS109" s="15" t="n">
        <f aca="false">SUM(M109:R109)*(Ipotesi!$C$85+Ipotesi!$C$86)/12</f>
        <v>6125</v>
      </c>
      <c r="BT109" s="15" t="n">
        <f aca="false">BI109*Ipotesi!$C$87</f>
        <v>4232.07610263818</v>
      </c>
      <c r="BU109" s="15" t="n">
        <f aca="false">INDEX(Ipotesi!$C$55:$G$55,1,F109)*K109/12</f>
        <v>2000</v>
      </c>
      <c r="BV109" s="15" t="n">
        <f aca="false">INDEX(Ipotesi!$C$80:$G$80,1,F109)/12*Ipotesi!D126</f>
        <v>1666.66666666667</v>
      </c>
      <c r="BW109" s="15" t="n">
        <f aca="false">INDEX(Ipotesi!$C$82:$G$82,1,F109)/12</f>
        <v>1250</v>
      </c>
      <c r="BX109" s="15" t="n">
        <f aca="false">INDEX(Ipotesi!$C$83:$G$83,1,F109)/12</f>
        <v>750</v>
      </c>
      <c r="BY109" s="15" t="n">
        <f aca="false">SUM(S109:U109)*(Ipotesi!$C$85+Ipotesi!$C$86)/12</f>
        <v>2479.16666666667</v>
      </c>
      <c r="BZ109" s="15" t="n">
        <f aca="false">AM109*Ipotesi!$C$87</f>
        <v>2707.25</v>
      </c>
      <c r="CA109" s="15" t="n">
        <f aca="false">AB109+BJ109+BL109+BN109+BO109+AR109+BP109+BQ109+BR109+BS109+BT109</f>
        <v>158091.780770645</v>
      </c>
      <c r="CB109" s="15" t="n">
        <f aca="false">AC109+BK109+BM109+BH109+BU109+BV109+AS109+BW109+BX109+BY109+BZ109</f>
        <v>62580.173375</v>
      </c>
      <c r="CC109" s="15" t="n">
        <f aca="false">BI109-CA109</f>
        <v>-17022.5773493721</v>
      </c>
      <c r="CD109" s="15" t="n">
        <f aca="false">AM109-CB109</f>
        <v>27661.4932916667</v>
      </c>
      <c r="CE109" s="15" t="n">
        <f aca="false">INDEX(Ipotesi!$C$79:$G$79,1,F109)/12</f>
        <v>3333.33333333333</v>
      </c>
      <c r="CF109" s="15" t="n">
        <f aca="false">INDEX(Ipotesi!$C$84:$G$84,1,F109)/12</f>
        <v>666.666666666667</v>
      </c>
      <c r="CG109" s="15" t="n">
        <f aca="false">Y109*MAX(0,Parametri_v3!$C$12-IF(P109=0,0,MIN(1,BE109/(P109*Parametri_v3!$C$22))))+W109*Parametri_v3!$C$13+X109*Parametri_v3!$C$14</f>
        <v>30296.3080310208</v>
      </c>
      <c r="CH109" s="15" t="n">
        <f aca="false">AB109*Parametri_v3!$C$32</f>
        <v>4823.65419791667</v>
      </c>
      <c r="CI109" s="15" t="n">
        <f aca="false">AC109*Parametri_v3!$C$32</f>
        <v>1691.45033541667</v>
      </c>
      <c r="CJ109" s="15" t="n">
        <f aca="false">CA109-AB109</f>
        <v>61618.6968123115</v>
      </c>
      <c r="CK109" s="15" t="n">
        <f aca="false">CB109-AC109-BH109</f>
        <v>19727</v>
      </c>
      <c r="CL109" s="15" t="n">
        <f aca="false">BF109*Ipotesi!$C$73+INDEX(Ipotesi!$C$72:$G$72,1,F109)/12*Ipotesi!D126*Parametri_v3!$C$58+Z109*(1-Parametri_v3!$C$16)</f>
        <v>12780.1923153685</v>
      </c>
      <c r="CM109" s="16" t="n">
        <f aca="false">IF(BF109=0,0,1-CL109/BF109)</f>
        <v>0.810087148596531</v>
      </c>
    </row>
    <row r="110" customFormat="false" ht="18" hidden="false" customHeight="true" outlineLevel="0" collapsed="false">
      <c r="A110" s="68" t="n">
        <f aca="false">2</f>
        <v>2</v>
      </c>
      <c r="B110" s="68" t="n">
        <f aca="false">46</f>
        <v>46</v>
      </c>
      <c r="C110" s="18" t="n">
        <f aca="false">EDATE(Parametri_v3!$C$5,46-1)</f>
        <v>47757</v>
      </c>
      <c r="D110" s="68" t="n">
        <f aca="false">YEAR(C110)</f>
        <v>2030</v>
      </c>
      <c r="E110" s="68" t="n">
        <f aca="false">MONTH(C110)</f>
        <v>10</v>
      </c>
      <c r="F110" s="68" t="n">
        <f aca="false">INT((46-1)/12)+1</f>
        <v>4</v>
      </c>
      <c r="G110" s="15" t="n">
        <f aca="false">Ipotesi!D7</f>
        <v>1</v>
      </c>
      <c r="H110" s="15" t="n">
        <f aca="false">Ipotesi!D9</f>
        <v>1</v>
      </c>
      <c r="I110" s="15" t="n">
        <f aca="false">Ipotesi!D10</f>
        <v>1</v>
      </c>
      <c r="J110" s="15" t="n">
        <f aca="false">Ipotesi!D11</f>
        <v>1</v>
      </c>
      <c r="K110" s="15" t="n">
        <f aca="false">Ipotesi!D12</f>
        <v>1</v>
      </c>
      <c r="L110" s="15" t="n">
        <f aca="false">Ipotesi!D13</f>
        <v>90</v>
      </c>
      <c r="M110" s="17" t="n">
        <f aca="false">INDEX(Ipotesi!$C$40:$G$40,1,F110)</f>
        <v>1</v>
      </c>
      <c r="N110" s="17" t="n">
        <f aca="false">INDEX(Ipotesi!$C$41:$G$41,1,F110)</f>
        <v>1</v>
      </c>
      <c r="O110" s="17" t="n">
        <f aca="false">INDEX(Ipotesi!$C$42:$G$42,1,F110)*Ipotesi!D125</f>
        <v>6.5</v>
      </c>
      <c r="P110" s="17" t="n">
        <f aca="false">INDEX(Ipotesi!$C$43:$G$43,1,F110)*I110</f>
        <v>6</v>
      </c>
      <c r="Q110" s="17" t="n">
        <f aca="false">INDEX(Ipotesi!$C$44:$G$44,1,F110)*I110</f>
        <v>5</v>
      </c>
      <c r="R110" s="17" t="n">
        <f aca="false">INDEX(Ipotesi!$C$45:$G$45,1,F110)*I110</f>
        <v>1.5</v>
      </c>
      <c r="S110" s="17" t="n">
        <f aca="false">INDEX(Ipotesi!$C$52:$G$52,1,F110)*Ipotesi!D125</f>
        <v>7</v>
      </c>
      <c r="T110" s="17" t="n">
        <f aca="false">INDEX(Ipotesi!$C$53:$G$53,1,F110)*I110</f>
        <v>1</v>
      </c>
      <c r="U110" s="17" t="n">
        <f aca="false">INDEX(Ipotesi!$C$54:$G$54,1,F110)*I110</f>
        <v>0.5</v>
      </c>
      <c r="V110" s="15" t="n">
        <f aca="false">M110*INDEX(Ipotesi!$C$58:$G$58,1,F110)*K110/12</f>
        <v>7916.66666666667</v>
      </c>
      <c r="W110" s="15" t="n">
        <f aca="false">N110*Ipotesi!$C$59*(1+Ipotesi!$C$66)^(F110-1)/12</f>
        <v>6374.24083333333</v>
      </c>
      <c r="X110" s="15" t="n">
        <f aca="false">O110*Ipotesi!$C$60*(1+Ipotesi!$C$66)^(F110-1)/12</f>
        <v>29594.6895833333</v>
      </c>
      <c r="Y110" s="15" t="n">
        <f aca="false">P110*Ipotesi!$C$61*(1+Ipotesi!$C$66)^(F110-1)/12</f>
        <v>27318.175</v>
      </c>
      <c r="Z110" s="15" t="n">
        <f aca="false">Q110*Ipotesi!$C$62*(1+Ipotesi!$C$66)^(F110-1)/12</f>
        <v>20488.63125</v>
      </c>
      <c r="AA110" s="15" t="n">
        <f aca="false">R110*Ipotesi!$C$63*(1+Ipotesi!$C$66)^(F110-1)/12</f>
        <v>4780.680625</v>
      </c>
      <c r="AB110" s="15" t="n">
        <f aca="false">SUM(V110:AA110)</f>
        <v>96473.0839583333</v>
      </c>
      <c r="AC110" s="15" t="n">
        <f aca="false">(S110*Ipotesi!$C$64+T110*Ipotesi!$C$65+U110*Ipotesi!$C$63)*(1+Ipotesi!$C$66)^(F110-1)/12</f>
        <v>33829.0067083333</v>
      </c>
      <c r="AD110" s="15" t="n">
        <f aca="false">INDEX(Ipotesi!$C$48:$G$48,1,F110)*G110/12</f>
        <v>79.1666666666667</v>
      </c>
      <c r="AE110" s="15" t="n">
        <f aca="false">INDEX(Ipotesi!$C$50:$G$50,1,F110)*G110/12</f>
        <v>8.33333333333333</v>
      </c>
      <c r="AF110" s="15" t="n">
        <f aca="false">(S110*Parametri_v3!$C$7*Parametri_v3!$C$8+Parametri_v3!$C$10)/12</f>
        <v>89.8333333333333</v>
      </c>
      <c r="AG110" s="15" t="n">
        <f aca="false">AD110+AE110*(1+Parametri_v3!$C$9)</f>
        <v>91.6666666666667</v>
      </c>
      <c r="AH110" s="16" t="n">
        <f aca="false">IF(AG110=0,1,MIN(1,AF110/AG110))</f>
        <v>0.98</v>
      </c>
      <c r="AI110" s="15" t="n">
        <f aca="false">AD110*AH110</f>
        <v>77.5833333333333</v>
      </c>
      <c r="AJ110" s="15" t="n">
        <f aca="false">AE110*AH110</f>
        <v>8.16666666666667</v>
      </c>
      <c r="AK110" s="15" t="n">
        <f aca="false">AI110*INDEX(Ipotesi!$C$49:$G$49,1,F110)*H110</f>
        <v>69825</v>
      </c>
      <c r="AL110" s="15" t="n">
        <f aca="false">AJ110*INDEX(Ipotesi!$C$51:$G$51,1,F110)*H110</f>
        <v>20416.6666666667</v>
      </c>
      <c r="AM110" s="15" t="n">
        <f aca="false">AK110+AL110</f>
        <v>90241.6666666667</v>
      </c>
      <c r="AN110" s="15" t="n">
        <f aca="false">INDEX(Ipotesi!$C$30:$G$30,1,F110)*G110/12</f>
        <v>61.6666666666667</v>
      </c>
      <c r="AO110" s="15" t="n">
        <f aca="false">O110*Parametri_v3!$C$7*Parametri_v3!$C$11*(1-Parametri_v3!$C$14)/12</f>
        <v>66.7333333333333</v>
      </c>
      <c r="AP110" s="15" t="n">
        <f aca="false">MIN(AN110,AO110)</f>
        <v>61.6666666666667</v>
      </c>
      <c r="AQ110" s="15" t="n">
        <f aca="false">AP110*INDEX(Ipotesi!$C$31:$G$31,1,F110)*H110</f>
        <v>64750</v>
      </c>
      <c r="AR110" s="15" t="n">
        <f aca="false">INDEX(Ipotesi!$C$75:$G$75,1,F110)*J110/12</f>
        <v>27916.6666666667</v>
      </c>
      <c r="AS110" s="15" t="n">
        <f aca="false">INDEX(Ipotesi!$C$81:$G$81,1,F110)*J110/12</f>
        <v>1666.66666666667</v>
      </c>
      <c r="AT110" s="15" t="n">
        <f aca="false">AR110*Parametri_v3!$C$15+Z110*Parametri_v3!$C$16</f>
        <v>42258.7085416667</v>
      </c>
      <c r="AU110" s="15" t="n">
        <f aca="false">Q110*Parametri_v3!$C$16*Parametri_v3!$C$17</f>
        <v>350</v>
      </c>
      <c r="AV110" s="17" t="n">
        <f aca="false">BD109</f>
        <v>137.536242656105</v>
      </c>
      <c r="AW110" s="17" t="n">
        <f aca="false">AV110*(1-(1-INDEX(Ipotesi!$C$34:$G$34,1,F110))^(1/12))</f>
        <v>1.20228832547043</v>
      </c>
      <c r="AX110" s="15" t="n">
        <f aca="false">ROUND(INDEX(Ipotesi!$C$32:$G$32,1,F110)*Ipotesi!D8,0)</f>
        <v>310</v>
      </c>
      <c r="AY110" s="15" t="n">
        <f aca="false">MAX(0,(AX110-(AV110-AW110))/(13-E110))</f>
        <v>57.8886818897886</v>
      </c>
      <c r="AZ110" s="15" t="n">
        <f aca="false">MIN(P110*Parametri_v3!$C$22,Q110*(1-Parametri_v3!$C$16)*Parametri_v3!$C$23)</f>
        <v>225</v>
      </c>
      <c r="BA110" s="15" t="n">
        <f aca="false">IF(OR(INDEX(Ipotesi!$C$35:$G$35,1,F110)&lt;=0,46-Parametri_v3!$C$21&lt;1),0,INDEX($AT$65:$AT$124,MAX(1,46-Parametri_v3!$C$21))/(INDEX(Ipotesi!$C$35:$G$35,1,F110)*Ipotesi!D27))</f>
        <v>7.04311809027778</v>
      </c>
      <c r="BB110" s="15" t="n">
        <f aca="false">IF(46-Parametri_v3!$C$21&lt;1,0,INDEX($AU$65:$AU$124,MAX(1,46-Parametri_v3!$C$21)))*Parametri_v3!$C$18*Parametri_v3!$C$19*Parametri_v3!$C$20</f>
        <v>13.125</v>
      </c>
      <c r="BC110" s="17" t="n">
        <f aca="false">MAX(0,MIN(AY110,BA110,BB110,MAX(0,AZ110-(AV110-AW110))))</f>
        <v>7.04311809027778</v>
      </c>
      <c r="BD110" s="17" t="n">
        <f aca="false">AV110-AW110+BC110</f>
        <v>143.377072420912</v>
      </c>
      <c r="BE110" s="17" t="n">
        <f aca="false">(AV110+BD110)/2</f>
        <v>140.456657538508</v>
      </c>
      <c r="BF110" s="15" t="n">
        <f aca="false">BE110*INDEX(Ipotesi!$C$33:$G$33,1,F110)*H110/12</f>
        <v>70228.3287692542</v>
      </c>
      <c r="BG110" s="15" t="n">
        <f aca="false">BD110*INDEX(Ipotesi!$C$33:$G$33,1,F110)*H110</f>
        <v>860262.434525473</v>
      </c>
      <c r="BH110" s="15" t="n">
        <f aca="false">AM110*INDEX(Ipotesi!$C$37:$G$37,1,F110)</f>
        <v>9024.16666666667</v>
      </c>
      <c r="BI110" s="15" t="n">
        <f aca="false">AQ110+BF110+BH110</f>
        <v>144002.495435921</v>
      </c>
      <c r="BJ110" s="15" t="n">
        <f aca="false">INDEX(Ipotesi!$C$68:$G$68,1,F110)*Ipotesi!$C$69/12</f>
        <v>3000</v>
      </c>
      <c r="BK110" s="15" t="n">
        <f aca="false">INDEX(Ipotesi!$C$68:$G$68,1,F110)*(1-Ipotesi!$C$69)/12</f>
        <v>4500</v>
      </c>
      <c r="BL110" s="15" t="n">
        <f aca="false">(AQ110+BF110)*Ipotesi!$C$67</f>
        <v>4049.34986307763</v>
      </c>
      <c r="BM110" s="15" t="n">
        <f aca="false">AM110*Ipotesi!$C$67</f>
        <v>2707.25</v>
      </c>
      <c r="BN110" s="15" t="n">
        <f aca="false">INDEX(Ipotesi!$C$72:$G$72,1,F110)/12*Ipotesi!D126+BF110*Ipotesi!$C$73</f>
        <v>6868.26630154034</v>
      </c>
      <c r="BO110" s="15" t="n">
        <f aca="false">INDEX(Ipotesi!$C$74:$G$74,1,F110)/12*Ipotesi!D126</f>
        <v>4166.66666666667</v>
      </c>
      <c r="BP110" s="15" t="n">
        <f aca="false">INDEX(Ipotesi!$C$76:$G$76,1,F110)/12</f>
        <v>1500</v>
      </c>
      <c r="BQ110" s="15" t="n">
        <f aca="false">INDEX(Ipotesi!$C$77:$G$77,1,F110)/12*Ipotesi!D126</f>
        <v>2083.33333333333</v>
      </c>
      <c r="BR110" s="15" t="n">
        <f aca="false">INDEX(Ipotesi!$C$78:$G$78,1,F110)/12</f>
        <v>2000</v>
      </c>
      <c r="BS110" s="15" t="n">
        <f aca="false">SUM(M110:R110)*(Ipotesi!$C$85+Ipotesi!$C$86)/12</f>
        <v>6125</v>
      </c>
      <c r="BT110" s="15" t="n">
        <f aca="false">BI110*Ipotesi!$C$87</f>
        <v>4320.07486307763</v>
      </c>
      <c r="BU110" s="15" t="n">
        <f aca="false">INDEX(Ipotesi!$C$55:$G$55,1,F110)*K110/12</f>
        <v>2000</v>
      </c>
      <c r="BV110" s="15" t="n">
        <f aca="false">INDEX(Ipotesi!$C$80:$G$80,1,F110)/12*Ipotesi!D126</f>
        <v>1666.66666666667</v>
      </c>
      <c r="BW110" s="15" t="n">
        <f aca="false">INDEX(Ipotesi!$C$82:$G$82,1,F110)/12</f>
        <v>1250</v>
      </c>
      <c r="BX110" s="15" t="n">
        <f aca="false">INDEX(Ipotesi!$C$83:$G$83,1,F110)/12</f>
        <v>750</v>
      </c>
      <c r="BY110" s="15" t="n">
        <f aca="false">SUM(S110:U110)*(Ipotesi!$C$85+Ipotesi!$C$86)/12</f>
        <v>2479.16666666667</v>
      </c>
      <c r="BZ110" s="15" t="n">
        <f aca="false">AM110*Ipotesi!$C$87</f>
        <v>2707.25</v>
      </c>
      <c r="CA110" s="15" t="n">
        <f aca="false">AB110+BJ110+BL110+BN110+BO110+AR110+BP110+BQ110+BR110+BS110+BT110</f>
        <v>158502.441652696</v>
      </c>
      <c r="CB110" s="15" t="n">
        <f aca="false">AC110+BK110+BM110+BH110+BU110+BV110+AS110+BW110+BX110+BY110+BZ110</f>
        <v>62580.173375</v>
      </c>
      <c r="CC110" s="15" t="n">
        <f aca="false">BI110-CA110</f>
        <v>-14499.9462167748</v>
      </c>
      <c r="CD110" s="15" t="n">
        <f aca="false">AM110-CB110</f>
        <v>27661.4932916667</v>
      </c>
      <c r="CE110" s="15" t="n">
        <f aca="false">INDEX(Ipotesi!$C$79:$G$79,1,F110)/12</f>
        <v>3333.33333333333</v>
      </c>
      <c r="CF110" s="15" t="n">
        <f aca="false">INDEX(Ipotesi!$C$84:$G$84,1,F110)/12</f>
        <v>666.666666666667</v>
      </c>
      <c r="CG110" s="15" t="n">
        <f aca="false">Y110*MAX(0,Parametri_v3!$C$12-IF(P110=0,0,MIN(1,BE110/(P110*Parametri_v3!$C$22))))+W110*Parametri_v3!$C$13+X110*Parametri_v3!$C$14</f>
        <v>30029.2007490799</v>
      </c>
      <c r="CH110" s="15" t="n">
        <f aca="false">AB110*Parametri_v3!$C$32</f>
        <v>4823.65419791667</v>
      </c>
      <c r="CI110" s="15" t="n">
        <f aca="false">AC110*Parametri_v3!$C$32</f>
        <v>1691.45033541667</v>
      </c>
      <c r="CJ110" s="15" t="n">
        <f aca="false">CA110-AB110</f>
        <v>62029.3576943623</v>
      </c>
      <c r="CK110" s="15" t="n">
        <f aca="false">CB110-AC110-BH110</f>
        <v>19727</v>
      </c>
      <c r="CL110" s="15" t="n">
        <f aca="false">BF110*Ipotesi!$C$73+INDEX(Ipotesi!$C$72:$G$72,1,F110)/12*Ipotesi!D126*Parametri_v3!$C$58+Z110*(1-Parametri_v3!$C$16)</f>
        <v>13014.8556765403</v>
      </c>
      <c r="CM110" s="16" t="n">
        <f aca="false">IF(BF110=0,0,1-CL110/BF110)</f>
        <v>0.814677981028103</v>
      </c>
    </row>
    <row r="111" customFormat="false" ht="18" hidden="false" customHeight="true" outlineLevel="0" collapsed="false">
      <c r="A111" s="68" t="n">
        <f aca="false">2</f>
        <v>2</v>
      </c>
      <c r="B111" s="68" t="n">
        <f aca="false">47</f>
        <v>47</v>
      </c>
      <c r="C111" s="18" t="n">
        <f aca="false">EDATE(Parametri_v3!$C$5,47-1)</f>
        <v>47788</v>
      </c>
      <c r="D111" s="68" t="n">
        <f aca="false">YEAR(C111)</f>
        <v>2030</v>
      </c>
      <c r="E111" s="68" t="n">
        <f aca="false">MONTH(C111)</f>
        <v>11</v>
      </c>
      <c r="F111" s="68" t="n">
        <f aca="false">INT((47-1)/12)+1</f>
        <v>4</v>
      </c>
      <c r="G111" s="15" t="n">
        <f aca="false">Ipotesi!D7</f>
        <v>1</v>
      </c>
      <c r="H111" s="15" t="n">
        <f aca="false">Ipotesi!D9</f>
        <v>1</v>
      </c>
      <c r="I111" s="15" t="n">
        <f aca="false">Ipotesi!D10</f>
        <v>1</v>
      </c>
      <c r="J111" s="15" t="n">
        <f aca="false">Ipotesi!D11</f>
        <v>1</v>
      </c>
      <c r="K111" s="15" t="n">
        <f aca="false">Ipotesi!D12</f>
        <v>1</v>
      </c>
      <c r="L111" s="15" t="n">
        <f aca="false">Ipotesi!D13</f>
        <v>90</v>
      </c>
      <c r="M111" s="17" t="n">
        <f aca="false">INDEX(Ipotesi!$C$40:$G$40,1,F111)</f>
        <v>1</v>
      </c>
      <c r="N111" s="17" t="n">
        <f aca="false">INDEX(Ipotesi!$C$41:$G$41,1,F111)</f>
        <v>1</v>
      </c>
      <c r="O111" s="17" t="n">
        <f aca="false">INDEX(Ipotesi!$C$42:$G$42,1,F111)*Ipotesi!D125</f>
        <v>6.5</v>
      </c>
      <c r="P111" s="17" t="n">
        <f aca="false">INDEX(Ipotesi!$C$43:$G$43,1,F111)*I111</f>
        <v>6</v>
      </c>
      <c r="Q111" s="17" t="n">
        <f aca="false">INDEX(Ipotesi!$C$44:$G$44,1,F111)*I111</f>
        <v>5</v>
      </c>
      <c r="R111" s="17" t="n">
        <f aca="false">INDEX(Ipotesi!$C$45:$G$45,1,F111)*I111</f>
        <v>1.5</v>
      </c>
      <c r="S111" s="17" t="n">
        <f aca="false">INDEX(Ipotesi!$C$52:$G$52,1,F111)*Ipotesi!D125</f>
        <v>7</v>
      </c>
      <c r="T111" s="17" t="n">
        <f aca="false">INDEX(Ipotesi!$C$53:$G$53,1,F111)*I111</f>
        <v>1</v>
      </c>
      <c r="U111" s="17" t="n">
        <f aca="false">INDEX(Ipotesi!$C$54:$G$54,1,F111)*I111</f>
        <v>0.5</v>
      </c>
      <c r="V111" s="15" t="n">
        <f aca="false">M111*INDEX(Ipotesi!$C$58:$G$58,1,F111)*K111/12</f>
        <v>7916.66666666667</v>
      </c>
      <c r="W111" s="15" t="n">
        <f aca="false">N111*Ipotesi!$C$59*(1+Ipotesi!$C$66)^(F111-1)/12</f>
        <v>6374.24083333333</v>
      </c>
      <c r="X111" s="15" t="n">
        <f aca="false">O111*Ipotesi!$C$60*(1+Ipotesi!$C$66)^(F111-1)/12</f>
        <v>29594.6895833333</v>
      </c>
      <c r="Y111" s="15" t="n">
        <f aca="false">P111*Ipotesi!$C$61*(1+Ipotesi!$C$66)^(F111-1)/12</f>
        <v>27318.175</v>
      </c>
      <c r="Z111" s="15" t="n">
        <f aca="false">Q111*Ipotesi!$C$62*(1+Ipotesi!$C$66)^(F111-1)/12</f>
        <v>20488.63125</v>
      </c>
      <c r="AA111" s="15" t="n">
        <f aca="false">R111*Ipotesi!$C$63*(1+Ipotesi!$C$66)^(F111-1)/12</f>
        <v>4780.680625</v>
      </c>
      <c r="AB111" s="15" t="n">
        <f aca="false">SUM(V111:AA111)</f>
        <v>96473.0839583333</v>
      </c>
      <c r="AC111" s="15" t="n">
        <f aca="false">(S111*Ipotesi!$C$64+T111*Ipotesi!$C$65+U111*Ipotesi!$C$63)*(1+Ipotesi!$C$66)^(F111-1)/12</f>
        <v>33829.0067083333</v>
      </c>
      <c r="AD111" s="15" t="n">
        <f aca="false">INDEX(Ipotesi!$C$48:$G$48,1,F111)*G111/12</f>
        <v>79.1666666666667</v>
      </c>
      <c r="AE111" s="15" t="n">
        <f aca="false">INDEX(Ipotesi!$C$50:$G$50,1,F111)*G111/12</f>
        <v>8.33333333333333</v>
      </c>
      <c r="AF111" s="15" t="n">
        <f aca="false">(S111*Parametri_v3!$C$7*Parametri_v3!$C$8+Parametri_v3!$C$10)/12</f>
        <v>89.8333333333333</v>
      </c>
      <c r="AG111" s="15" t="n">
        <f aca="false">AD111+AE111*(1+Parametri_v3!$C$9)</f>
        <v>91.6666666666667</v>
      </c>
      <c r="AH111" s="16" t="n">
        <f aca="false">IF(AG111=0,1,MIN(1,AF111/AG111))</f>
        <v>0.98</v>
      </c>
      <c r="AI111" s="15" t="n">
        <f aca="false">AD111*AH111</f>
        <v>77.5833333333333</v>
      </c>
      <c r="AJ111" s="15" t="n">
        <f aca="false">AE111*AH111</f>
        <v>8.16666666666667</v>
      </c>
      <c r="AK111" s="15" t="n">
        <f aca="false">AI111*INDEX(Ipotesi!$C$49:$G$49,1,F111)*H111</f>
        <v>69825</v>
      </c>
      <c r="AL111" s="15" t="n">
        <f aca="false">AJ111*INDEX(Ipotesi!$C$51:$G$51,1,F111)*H111</f>
        <v>20416.6666666667</v>
      </c>
      <c r="AM111" s="15" t="n">
        <f aca="false">AK111+AL111</f>
        <v>90241.6666666667</v>
      </c>
      <c r="AN111" s="15" t="n">
        <f aca="false">INDEX(Ipotesi!$C$30:$G$30,1,F111)*G111/12</f>
        <v>61.6666666666667</v>
      </c>
      <c r="AO111" s="15" t="n">
        <f aca="false">O111*Parametri_v3!$C$7*Parametri_v3!$C$11*(1-Parametri_v3!$C$14)/12</f>
        <v>66.7333333333333</v>
      </c>
      <c r="AP111" s="15" t="n">
        <f aca="false">MIN(AN111,AO111)</f>
        <v>61.6666666666667</v>
      </c>
      <c r="AQ111" s="15" t="n">
        <f aca="false">AP111*INDEX(Ipotesi!$C$31:$G$31,1,F111)*H111</f>
        <v>64750</v>
      </c>
      <c r="AR111" s="15" t="n">
        <f aca="false">INDEX(Ipotesi!$C$75:$G$75,1,F111)*J111/12</f>
        <v>27916.6666666667</v>
      </c>
      <c r="AS111" s="15" t="n">
        <f aca="false">INDEX(Ipotesi!$C$81:$G$81,1,F111)*J111/12</f>
        <v>1666.66666666667</v>
      </c>
      <c r="AT111" s="15" t="n">
        <f aca="false">AR111*Parametri_v3!$C$15+Z111*Parametri_v3!$C$16</f>
        <v>42258.7085416667</v>
      </c>
      <c r="AU111" s="15" t="n">
        <f aca="false">Q111*Parametri_v3!$C$16*Parametri_v3!$C$17</f>
        <v>350</v>
      </c>
      <c r="AV111" s="17" t="n">
        <f aca="false">BD110</f>
        <v>143.377072420912</v>
      </c>
      <c r="AW111" s="17" t="n">
        <f aca="false">AV111*(1-(1-INDEX(Ipotesi!$C$34:$G$34,1,F111))^(1/12))</f>
        <v>1.25334658692699</v>
      </c>
      <c r="AX111" s="15" t="n">
        <f aca="false">ROUND(INDEX(Ipotesi!$C$32:$G$32,1,F111)*Ipotesi!D8,0)</f>
        <v>310</v>
      </c>
      <c r="AY111" s="15" t="n">
        <f aca="false">MAX(0,(AX111-(AV111-AW111))/(13-E111))</f>
        <v>83.9381370830075</v>
      </c>
      <c r="AZ111" s="15" t="n">
        <f aca="false">MIN(P111*Parametri_v3!$C$22,Q111*(1-Parametri_v3!$C$16)*Parametri_v3!$C$23)</f>
        <v>225</v>
      </c>
      <c r="BA111" s="15" t="n">
        <f aca="false">IF(OR(INDEX(Ipotesi!$C$35:$G$35,1,F111)&lt;=0,47-Parametri_v3!$C$21&lt;1),0,INDEX($AT$65:$AT$124,MAX(1,47-Parametri_v3!$C$21))/(INDEX(Ipotesi!$C$35:$G$35,1,F111)*Ipotesi!D27))</f>
        <v>7.04311809027778</v>
      </c>
      <c r="BB111" s="15" t="n">
        <f aca="false">IF(47-Parametri_v3!$C$21&lt;1,0,INDEX($AU$65:$AU$124,MAX(1,47-Parametri_v3!$C$21)))*Parametri_v3!$C$18*Parametri_v3!$C$19*Parametri_v3!$C$20</f>
        <v>13.125</v>
      </c>
      <c r="BC111" s="17" t="n">
        <f aca="false">MAX(0,MIN(AY111,BA111,BB111,MAX(0,AZ111-(AV111-AW111))))</f>
        <v>7.04311809027778</v>
      </c>
      <c r="BD111" s="17" t="n">
        <f aca="false">AV111-AW111+BC111</f>
        <v>149.166843924263</v>
      </c>
      <c r="BE111" s="17" t="n">
        <f aca="false">(AV111+BD111)/2</f>
        <v>146.271958172587</v>
      </c>
      <c r="BF111" s="15" t="n">
        <f aca="false">BE111*INDEX(Ipotesi!$C$33:$G$33,1,F111)*H111/12</f>
        <v>73135.9790862937</v>
      </c>
      <c r="BG111" s="15" t="n">
        <f aca="false">BD111*INDEX(Ipotesi!$C$33:$G$33,1,F111)*H111</f>
        <v>895001.063545577</v>
      </c>
      <c r="BH111" s="15" t="n">
        <f aca="false">AM111*INDEX(Ipotesi!$C$37:$G$37,1,F111)</f>
        <v>9024.16666666667</v>
      </c>
      <c r="BI111" s="15" t="n">
        <f aca="false">AQ111+BF111+BH111</f>
        <v>146910.14575296</v>
      </c>
      <c r="BJ111" s="15" t="n">
        <f aca="false">INDEX(Ipotesi!$C$68:$G$68,1,F111)*Ipotesi!$C$69/12</f>
        <v>3000</v>
      </c>
      <c r="BK111" s="15" t="n">
        <f aca="false">INDEX(Ipotesi!$C$68:$G$68,1,F111)*(1-Ipotesi!$C$69)/12</f>
        <v>4500</v>
      </c>
      <c r="BL111" s="15" t="n">
        <f aca="false">(AQ111+BF111)*Ipotesi!$C$67</f>
        <v>4136.57937258881</v>
      </c>
      <c r="BM111" s="15" t="n">
        <f aca="false">AM111*Ipotesi!$C$67</f>
        <v>2707.25</v>
      </c>
      <c r="BN111" s="15" t="n">
        <f aca="false">INDEX(Ipotesi!$C$72:$G$72,1,F111)/12*Ipotesi!D126+BF111*Ipotesi!$C$73</f>
        <v>7100.8783269035</v>
      </c>
      <c r="BO111" s="15" t="n">
        <f aca="false">INDEX(Ipotesi!$C$74:$G$74,1,F111)/12*Ipotesi!D126</f>
        <v>4166.66666666667</v>
      </c>
      <c r="BP111" s="15" t="n">
        <f aca="false">INDEX(Ipotesi!$C$76:$G$76,1,F111)/12</f>
        <v>1500</v>
      </c>
      <c r="BQ111" s="15" t="n">
        <f aca="false">INDEX(Ipotesi!$C$77:$G$77,1,F111)/12*Ipotesi!D126</f>
        <v>2083.33333333333</v>
      </c>
      <c r="BR111" s="15" t="n">
        <f aca="false">INDEX(Ipotesi!$C$78:$G$78,1,F111)/12</f>
        <v>2000</v>
      </c>
      <c r="BS111" s="15" t="n">
        <f aca="false">SUM(M111:R111)*(Ipotesi!$C$85+Ipotesi!$C$86)/12</f>
        <v>6125</v>
      </c>
      <c r="BT111" s="15" t="n">
        <f aca="false">BI111*Ipotesi!$C$87</f>
        <v>4407.30437258881</v>
      </c>
      <c r="BU111" s="15" t="n">
        <f aca="false">INDEX(Ipotesi!$C$55:$G$55,1,F111)*K111/12</f>
        <v>2000</v>
      </c>
      <c r="BV111" s="15" t="n">
        <f aca="false">INDEX(Ipotesi!$C$80:$G$80,1,F111)/12*Ipotesi!D126</f>
        <v>1666.66666666667</v>
      </c>
      <c r="BW111" s="15" t="n">
        <f aca="false">INDEX(Ipotesi!$C$82:$G$82,1,F111)/12</f>
        <v>1250</v>
      </c>
      <c r="BX111" s="15" t="n">
        <f aca="false">INDEX(Ipotesi!$C$83:$G$83,1,F111)/12</f>
        <v>750</v>
      </c>
      <c r="BY111" s="15" t="n">
        <f aca="false">SUM(S111:U111)*(Ipotesi!$C$85+Ipotesi!$C$86)/12</f>
        <v>2479.16666666667</v>
      </c>
      <c r="BZ111" s="15" t="n">
        <f aca="false">AM111*Ipotesi!$C$87</f>
        <v>2707.25</v>
      </c>
      <c r="CA111" s="15" t="n">
        <f aca="false">AB111+BJ111+BL111+BN111+BO111+AR111+BP111+BQ111+BR111+BS111+BT111</f>
        <v>158909.512697081</v>
      </c>
      <c r="CB111" s="15" t="n">
        <f aca="false">AC111+BK111+BM111+BH111+BU111+BV111+AS111+BW111+BX111+BY111+BZ111</f>
        <v>62580.173375</v>
      </c>
      <c r="CC111" s="15" t="n">
        <f aca="false">BI111-CA111</f>
        <v>-11999.3669441208</v>
      </c>
      <c r="CD111" s="15" t="n">
        <f aca="false">AM111-CB111</f>
        <v>27661.4932916667</v>
      </c>
      <c r="CE111" s="15" t="n">
        <f aca="false">INDEX(Ipotesi!$C$79:$G$79,1,F111)/12</f>
        <v>3333.33333333333</v>
      </c>
      <c r="CF111" s="15" t="n">
        <f aca="false">INDEX(Ipotesi!$C$84:$G$84,1,F111)/12</f>
        <v>666.666666666667</v>
      </c>
      <c r="CG111" s="15" t="n">
        <f aca="false">Y111*MAX(0,Parametri_v3!$C$12-IF(P111=0,0,MIN(1,BE111/(P111*Parametri_v3!$C$22))))+W111*Parametri_v3!$C$13+X111*Parametri_v3!$C$14</f>
        <v>29764.428415081</v>
      </c>
      <c r="CH111" s="15" t="n">
        <f aca="false">AB111*Parametri_v3!$C$32</f>
        <v>4823.65419791667</v>
      </c>
      <c r="CI111" s="15" t="n">
        <f aca="false">AC111*Parametri_v3!$C$32</f>
        <v>1691.45033541667</v>
      </c>
      <c r="CJ111" s="15" t="n">
        <f aca="false">CA111-AB111</f>
        <v>62436.4287387478</v>
      </c>
      <c r="CK111" s="15" t="n">
        <f aca="false">CB111-AC111-BH111</f>
        <v>19727</v>
      </c>
      <c r="CL111" s="15" t="n">
        <f aca="false">BF111*Ipotesi!$C$73+INDEX(Ipotesi!$C$72:$G$72,1,F111)/12*Ipotesi!D126*Parametri_v3!$C$58+Z111*(1-Parametri_v3!$C$16)</f>
        <v>13247.4677019035</v>
      </c>
      <c r="CM111" s="16" t="n">
        <f aca="false">IF(BF111=0,0,1-CL111/BF111)</f>
        <v>0.818865244337911</v>
      </c>
    </row>
    <row r="112" customFormat="false" ht="18" hidden="false" customHeight="true" outlineLevel="0" collapsed="false">
      <c r="A112" s="68" t="n">
        <f aca="false">2</f>
        <v>2</v>
      </c>
      <c r="B112" s="68" t="n">
        <f aca="false">48</f>
        <v>48</v>
      </c>
      <c r="C112" s="18" t="n">
        <f aca="false">EDATE(Parametri_v3!$C$5,48-1)</f>
        <v>47818</v>
      </c>
      <c r="D112" s="68" t="n">
        <f aca="false">YEAR(C112)</f>
        <v>2030</v>
      </c>
      <c r="E112" s="68" t="n">
        <f aca="false">MONTH(C112)</f>
        <v>12</v>
      </c>
      <c r="F112" s="68" t="n">
        <f aca="false">INT((48-1)/12)+1</f>
        <v>4</v>
      </c>
      <c r="G112" s="15" t="n">
        <f aca="false">Ipotesi!D7</f>
        <v>1</v>
      </c>
      <c r="H112" s="15" t="n">
        <f aca="false">Ipotesi!D9</f>
        <v>1</v>
      </c>
      <c r="I112" s="15" t="n">
        <f aca="false">Ipotesi!D10</f>
        <v>1</v>
      </c>
      <c r="J112" s="15" t="n">
        <f aca="false">Ipotesi!D11</f>
        <v>1</v>
      </c>
      <c r="K112" s="15" t="n">
        <f aca="false">Ipotesi!D12</f>
        <v>1</v>
      </c>
      <c r="L112" s="15" t="n">
        <f aca="false">Ipotesi!D13</f>
        <v>90</v>
      </c>
      <c r="M112" s="17" t="n">
        <f aca="false">INDEX(Ipotesi!$C$40:$G$40,1,F112)</f>
        <v>1</v>
      </c>
      <c r="N112" s="17" t="n">
        <f aca="false">INDEX(Ipotesi!$C$41:$G$41,1,F112)</f>
        <v>1</v>
      </c>
      <c r="O112" s="17" t="n">
        <f aca="false">INDEX(Ipotesi!$C$42:$G$42,1,F112)*Ipotesi!D125</f>
        <v>6.5</v>
      </c>
      <c r="P112" s="17" t="n">
        <f aca="false">INDEX(Ipotesi!$C$43:$G$43,1,F112)*I112</f>
        <v>6</v>
      </c>
      <c r="Q112" s="17" t="n">
        <f aca="false">INDEX(Ipotesi!$C$44:$G$44,1,F112)*I112</f>
        <v>5</v>
      </c>
      <c r="R112" s="17" t="n">
        <f aca="false">INDEX(Ipotesi!$C$45:$G$45,1,F112)*I112</f>
        <v>1.5</v>
      </c>
      <c r="S112" s="17" t="n">
        <f aca="false">INDEX(Ipotesi!$C$52:$G$52,1,F112)*Ipotesi!D125</f>
        <v>7</v>
      </c>
      <c r="T112" s="17" t="n">
        <f aca="false">INDEX(Ipotesi!$C$53:$G$53,1,F112)*I112</f>
        <v>1</v>
      </c>
      <c r="U112" s="17" t="n">
        <f aca="false">INDEX(Ipotesi!$C$54:$G$54,1,F112)*I112</f>
        <v>0.5</v>
      </c>
      <c r="V112" s="15" t="n">
        <f aca="false">M112*INDEX(Ipotesi!$C$58:$G$58,1,F112)*K112/12</f>
        <v>7916.66666666667</v>
      </c>
      <c r="W112" s="15" t="n">
        <f aca="false">N112*Ipotesi!$C$59*(1+Ipotesi!$C$66)^(F112-1)/12</f>
        <v>6374.24083333333</v>
      </c>
      <c r="X112" s="15" t="n">
        <f aca="false">O112*Ipotesi!$C$60*(1+Ipotesi!$C$66)^(F112-1)/12</f>
        <v>29594.6895833333</v>
      </c>
      <c r="Y112" s="15" t="n">
        <f aca="false">P112*Ipotesi!$C$61*(1+Ipotesi!$C$66)^(F112-1)/12</f>
        <v>27318.175</v>
      </c>
      <c r="Z112" s="15" t="n">
        <f aca="false">Q112*Ipotesi!$C$62*(1+Ipotesi!$C$66)^(F112-1)/12</f>
        <v>20488.63125</v>
      </c>
      <c r="AA112" s="15" t="n">
        <f aca="false">R112*Ipotesi!$C$63*(1+Ipotesi!$C$66)^(F112-1)/12</f>
        <v>4780.680625</v>
      </c>
      <c r="AB112" s="15" t="n">
        <f aca="false">SUM(V112:AA112)</f>
        <v>96473.0839583333</v>
      </c>
      <c r="AC112" s="15" t="n">
        <f aca="false">(S112*Ipotesi!$C$64+T112*Ipotesi!$C$65+U112*Ipotesi!$C$63)*(1+Ipotesi!$C$66)^(F112-1)/12</f>
        <v>33829.0067083333</v>
      </c>
      <c r="AD112" s="15" t="n">
        <f aca="false">INDEX(Ipotesi!$C$48:$G$48,1,F112)*G112/12</f>
        <v>79.1666666666667</v>
      </c>
      <c r="AE112" s="15" t="n">
        <f aca="false">INDEX(Ipotesi!$C$50:$G$50,1,F112)*G112/12</f>
        <v>8.33333333333333</v>
      </c>
      <c r="AF112" s="15" t="n">
        <f aca="false">(S112*Parametri_v3!$C$7*Parametri_v3!$C$8+Parametri_v3!$C$10)/12</f>
        <v>89.8333333333333</v>
      </c>
      <c r="AG112" s="15" t="n">
        <f aca="false">AD112+AE112*(1+Parametri_v3!$C$9)</f>
        <v>91.6666666666667</v>
      </c>
      <c r="AH112" s="16" t="n">
        <f aca="false">IF(AG112=0,1,MIN(1,AF112/AG112))</f>
        <v>0.98</v>
      </c>
      <c r="AI112" s="15" t="n">
        <f aca="false">AD112*AH112</f>
        <v>77.5833333333333</v>
      </c>
      <c r="AJ112" s="15" t="n">
        <f aca="false">AE112*AH112</f>
        <v>8.16666666666667</v>
      </c>
      <c r="AK112" s="15" t="n">
        <f aca="false">AI112*INDEX(Ipotesi!$C$49:$G$49,1,F112)*H112</f>
        <v>69825</v>
      </c>
      <c r="AL112" s="15" t="n">
        <f aca="false">AJ112*INDEX(Ipotesi!$C$51:$G$51,1,F112)*H112</f>
        <v>20416.6666666667</v>
      </c>
      <c r="AM112" s="15" t="n">
        <f aca="false">AK112+AL112</f>
        <v>90241.6666666667</v>
      </c>
      <c r="AN112" s="15" t="n">
        <f aca="false">INDEX(Ipotesi!$C$30:$G$30,1,F112)*G112/12</f>
        <v>61.6666666666667</v>
      </c>
      <c r="AO112" s="15" t="n">
        <f aca="false">O112*Parametri_v3!$C$7*Parametri_v3!$C$11*(1-Parametri_v3!$C$14)/12</f>
        <v>66.7333333333333</v>
      </c>
      <c r="AP112" s="15" t="n">
        <f aca="false">MIN(AN112,AO112)</f>
        <v>61.6666666666667</v>
      </c>
      <c r="AQ112" s="15" t="n">
        <f aca="false">AP112*INDEX(Ipotesi!$C$31:$G$31,1,F112)*H112</f>
        <v>64750</v>
      </c>
      <c r="AR112" s="15" t="n">
        <f aca="false">INDEX(Ipotesi!$C$75:$G$75,1,F112)*J112/12</f>
        <v>27916.6666666667</v>
      </c>
      <c r="AS112" s="15" t="n">
        <f aca="false">INDEX(Ipotesi!$C$81:$G$81,1,F112)*J112/12</f>
        <v>1666.66666666667</v>
      </c>
      <c r="AT112" s="15" t="n">
        <f aca="false">AR112*Parametri_v3!$C$15+Z112*Parametri_v3!$C$16</f>
        <v>42258.7085416667</v>
      </c>
      <c r="AU112" s="15" t="n">
        <f aca="false">Q112*Parametri_v3!$C$16*Parametri_v3!$C$17</f>
        <v>350</v>
      </c>
      <c r="AV112" s="17" t="n">
        <f aca="false">BD111</f>
        <v>149.166843924263</v>
      </c>
      <c r="AW112" s="17" t="n">
        <f aca="false">AV112*(1-(1-INDEX(Ipotesi!$C$34:$G$34,1,F112))^(1/12))</f>
        <v>1.30395851692587</v>
      </c>
      <c r="AX112" s="15" t="n">
        <f aca="false">ROUND(INDEX(Ipotesi!$C$32:$G$32,1,F112)*Ipotesi!D8,0)</f>
        <v>310</v>
      </c>
      <c r="AY112" s="15" t="n">
        <f aca="false">MAX(0,(AX112-(AV112-AW112))/(13-E112))</f>
        <v>162.137114592663</v>
      </c>
      <c r="AZ112" s="15" t="n">
        <f aca="false">MIN(P112*Parametri_v3!$C$22,Q112*(1-Parametri_v3!$C$16)*Parametri_v3!$C$23)</f>
        <v>225</v>
      </c>
      <c r="BA112" s="15" t="n">
        <f aca="false">IF(OR(INDEX(Ipotesi!$C$35:$G$35,1,F112)&lt;=0,48-Parametri_v3!$C$21&lt;1),0,INDEX($AT$65:$AT$124,MAX(1,48-Parametri_v3!$C$21))/(INDEX(Ipotesi!$C$35:$G$35,1,F112)*Ipotesi!D27))</f>
        <v>7.04311809027778</v>
      </c>
      <c r="BB112" s="15" t="n">
        <f aca="false">IF(48-Parametri_v3!$C$21&lt;1,0,INDEX($AU$65:$AU$124,MAX(1,48-Parametri_v3!$C$21)))*Parametri_v3!$C$18*Parametri_v3!$C$19*Parametri_v3!$C$20</f>
        <v>13.125</v>
      </c>
      <c r="BC112" s="17" t="n">
        <f aca="false">MAX(0,MIN(AY112,BA112,BB112,MAX(0,AZ112-(AV112-AW112))))</f>
        <v>7.04311809027778</v>
      </c>
      <c r="BD112" s="17" t="n">
        <f aca="false">AV112-AW112+BC112</f>
        <v>154.906003497615</v>
      </c>
      <c r="BE112" s="17" t="n">
        <f aca="false">(AV112+BD112)/2</f>
        <v>152.036423710939</v>
      </c>
      <c r="BF112" s="15" t="n">
        <f aca="false">BE112*INDEX(Ipotesi!$C$33:$G$33,1,F112)*H112/12</f>
        <v>76018.2118554694</v>
      </c>
      <c r="BG112" s="15" t="n">
        <f aca="false">BD112*INDEX(Ipotesi!$C$33:$G$33,1,F112)*H112</f>
        <v>929436.020985689</v>
      </c>
      <c r="BH112" s="15" t="n">
        <f aca="false">AM112*INDEX(Ipotesi!$C$37:$G$37,1,F112)</f>
        <v>9024.16666666667</v>
      </c>
      <c r="BI112" s="15" t="n">
        <f aca="false">AQ112+BF112+BH112</f>
        <v>149792.378522136</v>
      </c>
      <c r="BJ112" s="15" t="n">
        <f aca="false">INDEX(Ipotesi!$C$68:$G$68,1,F112)*Ipotesi!$C$69/12</f>
        <v>3000</v>
      </c>
      <c r="BK112" s="15" t="n">
        <f aca="false">INDEX(Ipotesi!$C$68:$G$68,1,F112)*(1-Ipotesi!$C$69)/12</f>
        <v>4500</v>
      </c>
      <c r="BL112" s="15" t="n">
        <f aca="false">(AQ112+BF112)*Ipotesi!$C$67</f>
        <v>4223.04635566408</v>
      </c>
      <c r="BM112" s="15" t="n">
        <f aca="false">AM112*Ipotesi!$C$67</f>
        <v>2707.25</v>
      </c>
      <c r="BN112" s="15" t="n">
        <f aca="false">INDEX(Ipotesi!$C$72:$G$72,1,F112)/12*Ipotesi!D126+BF112*Ipotesi!$C$73</f>
        <v>7331.45694843755</v>
      </c>
      <c r="BO112" s="15" t="n">
        <f aca="false">INDEX(Ipotesi!$C$74:$G$74,1,F112)/12*Ipotesi!D126</f>
        <v>4166.66666666667</v>
      </c>
      <c r="BP112" s="15" t="n">
        <f aca="false">INDEX(Ipotesi!$C$76:$G$76,1,F112)/12</f>
        <v>1500</v>
      </c>
      <c r="BQ112" s="15" t="n">
        <f aca="false">INDEX(Ipotesi!$C$77:$G$77,1,F112)/12*Ipotesi!D126</f>
        <v>2083.33333333333</v>
      </c>
      <c r="BR112" s="15" t="n">
        <f aca="false">INDEX(Ipotesi!$C$78:$G$78,1,F112)/12</f>
        <v>2000</v>
      </c>
      <c r="BS112" s="15" t="n">
        <f aca="false">SUM(M112:R112)*(Ipotesi!$C$85+Ipotesi!$C$86)/12</f>
        <v>6125</v>
      </c>
      <c r="BT112" s="15" t="n">
        <f aca="false">BI112*Ipotesi!$C$87</f>
        <v>4493.77135566408</v>
      </c>
      <c r="BU112" s="15" t="n">
        <f aca="false">INDEX(Ipotesi!$C$55:$G$55,1,F112)*K112/12</f>
        <v>2000</v>
      </c>
      <c r="BV112" s="15" t="n">
        <f aca="false">INDEX(Ipotesi!$C$80:$G$80,1,F112)/12*Ipotesi!D126</f>
        <v>1666.66666666667</v>
      </c>
      <c r="BW112" s="15" t="n">
        <f aca="false">INDEX(Ipotesi!$C$82:$G$82,1,F112)/12</f>
        <v>1250</v>
      </c>
      <c r="BX112" s="15" t="n">
        <f aca="false">INDEX(Ipotesi!$C$83:$G$83,1,F112)/12</f>
        <v>750</v>
      </c>
      <c r="BY112" s="15" t="n">
        <f aca="false">SUM(S112:U112)*(Ipotesi!$C$85+Ipotesi!$C$86)/12</f>
        <v>2479.16666666667</v>
      </c>
      <c r="BZ112" s="15" t="n">
        <f aca="false">AM112*Ipotesi!$C$87</f>
        <v>2707.25</v>
      </c>
      <c r="CA112" s="15" t="n">
        <f aca="false">AB112+BJ112+BL112+BN112+BO112+AR112+BP112+BQ112+BR112+BS112+BT112</f>
        <v>159313.025284766</v>
      </c>
      <c r="CB112" s="15" t="n">
        <f aca="false">AC112+BK112+BM112+BH112+BU112+BV112+AS112+BW112+BX112+BY112+BZ112</f>
        <v>62580.173375</v>
      </c>
      <c r="CC112" s="15" t="n">
        <f aca="false">BI112-CA112</f>
        <v>-9520.64676262965</v>
      </c>
      <c r="CD112" s="15" t="n">
        <f aca="false">AM112-CB112</f>
        <v>27661.4932916667</v>
      </c>
      <c r="CE112" s="15" t="n">
        <f aca="false">INDEX(Ipotesi!$C$79:$G$79,1,F112)/12</f>
        <v>3333.33333333333</v>
      </c>
      <c r="CF112" s="15" t="n">
        <f aca="false">INDEX(Ipotesi!$C$84:$G$84,1,F112)/12</f>
        <v>666.666666666667</v>
      </c>
      <c r="CG112" s="15" t="n">
        <f aca="false">Y112*MAX(0,Parametri_v3!$C$12-IF(P112=0,0,MIN(1,BE112/(P112*Parametri_v3!$C$22))))+W112*Parametri_v3!$C$13+X112*Parametri_v3!$C$14</f>
        <v>29501.9706178174</v>
      </c>
      <c r="CH112" s="15" t="n">
        <f aca="false">AB112*Parametri_v3!$C$32</f>
        <v>4823.65419791667</v>
      </c>
      <c r="CI112" s="15" t="n">
        <f aca="false">AC112*Parametri_v3!$C$32</f>
        <v>1691.45033541667</v>
      </c>
      <c r="CJ112" s="15" t="n">
        <f aca="false">CA112-AB112</f>
        <v>62839.9413264324</v>
      </c>
      <c r="CK112" s="15" t="n">
        <f aca="false">CB112-AC112-BH112</f>
        <v>19727</v>
      </c>
      <c r="CL112" s="15" t="n">
        <f aca="false">BF112*Ipotesi!$C$73+INDEX(Ipotesi!$C$72:$G$72,1,F112)/12*Ipotesi!D126*Parametri_v3!$C$58+Z112*(1-Parametri_v3!$C$16)</f>
        <v>13478.0463234376</v>
      </c>
      <c r="CM112" s="16" t="n">
        <f aca="false">IF(BF112=0,0,1-CL112/BF112)</f>
        <v>0.822699771614428</v>
      </c>
    </row>
    <row r="113" customFormat="false" ht="18" hidden="false" customHeight="true" outlineLevel="0" collapsed="false">
      <c r="A113" s="68" t="n">
        <f aca="false">2</f>
        <v>2</v>
      </c>
      <c r="B113" s="68" t="n">
        <f aca="false">49</f>
        <v>49</v>
      </c>
      <c r="C113" s="18" t="n">
        <f aca="false">EDATE(Parametri_v3!$C$5,49-1)</f>
        <v>47849</v>
      </c>
      <c r="D113" s="68" t="n">
        <f aca="false">YEAR(C113)</f>
        <v>2031</v>
      </c>
      <c r="E113" s="68" t="n">
        <f aca="false">MONTH(C113)</f>
        <v>1</v>
      </c>
      <c r="F113" s="68" t="n">
        <f aca="false">INT((49-1)/12)+1</f>
        <v>5</v>
      </c>
      <c r="G113" s="15" t="n">
        <f aca="false">Ipotesi!D7</f>
        <v>1</v>
      </c>
      <c r="H113" s="15" t="n">
        <f aca="false">Ipotesi!D9</f>
        <v>1</v>
      </c>
      <c r="I113" s="15" t="n">
        <f aca="false">Ipotesi!D10</f>
        <v>1</v>
      </c>
      <c r="J113" s="15" t="n">
        <f aca="false">Ipotesi!D11</f>
        <v>1</v>
      </c>
      <c r="K113" s="15" t="n">
        <f aca="false">Ipotesi!D12</f>
        <v>1</v>
      </c>
      <c r="L113" s="15" t="n">
        <f aca="false">Ipotesi!D13</f>
        <v>90</v>
      </c>
      <c r="M113" s="17" t="n">
        <f aca="false">INDEX(Ipotesi!$C$40:$G$40,1,F113)</f>
        <v>1</v>
      </c>
      <c r="N113" s="17" t="n">
        <f aca="false">INDEX(Ipotesi!$C$41:$G$41,1,F113)</f>
        <v>1</v>
      </c>
      <c r="O113" s="17" t="n">
        <f aca="false">INDEX(Ipotesi!$C$42:$G$42,1,F113)*Ipotesi!D125</f>
        <v>8.5</v>
      </c>
      <c r="P113" s="17" t="n">
        <f aca="false">INDEX(Ipotesi!$C$43:$G$43,1,F113)*I113</f>
        <v>7</v>
      </c>
      <c r="Q113" s="17" t="n">
        <f aca="false">INDEX(Ipotesi!$C$44:$G$44,1,F113)*I113</f>
        <v>6</v>
      </c>
      <c r="R113" s="17" t="n">
        <f aca="false">INDEX(Ipotesi!$C$45:$G$45,1,F113)*I113</f>
        <v>2</v>
      </c>
      <c r="S113" s="17" t="n">
        <f aca="false">INDEX(Ipotesi!$C$52:$G$52,1,F113)*Ipotesi!D125</f>
        <v>9</v>
      </c>
      <c r="T113" s="17" t="n">
        <f aca="false">INDEX(Ipotesi!$C$53:$G$53,1,F113)*I113</f>
        <v>1</v>
      </c>
      <c r="U113" s="17" t="n">
        <f aca="false">INDEX(Ipotesi!$C$54:$G$54,1,F113)*I113</f>
        <v>1</v>
      </c>
      <c r="V113" s="15" t="n">
        <f aca="false">M113*INDEX(Ipotesi!$C$58:$G$58,1,F113)*K113/12</f>
        <v>8333.33333333333</v>
      </c>
      <c r="W113" s="15" t="n">
        <f aca="false">N113*Ipotesi!$C$59*(1+Ipotesi!$C$66)^(F113-1)/12</f>
        <v>6565.46805833334</v>
      </c>
      <c r="X113" s="15" t="n">
        <f aca="false">O113*Ipotesi!$C$60*(1+Ipotesi!$C$66)^(F113-1)/12</f>
        <v>39861.7703541667</v>
      </c>
      <c r="Y113" s="15" t="n">
        <f aca="false">P113*Ipotesi!$C$61*(1+Ipotesi!$C$66)^(F113-1)/12</f>
        <v>32827.3402916667</v>
      </c>
      <c r="Z113" s="15" t="n">
        <f aca="false">Q113*Ipotesi!$C$62*(1+Ipotesi!$C$66)^(F113-1)/12</f>
        <v>25323.948225</v>
      </c>
      <c r="AA113" s="15" t="n">
        <f aca="false">R113*Ipotesi!$C$63*(1+Ipotesi!$C$66)^(F113-1)/12</f>
        <v>6565.46805833334</v>
      </c>
      <c r="AB113" s="15" t="n">
        <f aca="false">SUM(V113:AA113)</f>
        <v>119477.328320833</v>
      </c>
      <c r="AC113" s="15" t="n">
        <f aca="false">(S113*Ipotesi!$C$64+T113*Ipotesi!$C$65+U113*Ipotesi!$C$63)*(1+Ipotesi!$C$66)^(F113-1)/12</f>
        <v>44363.8055941667</v>
      </c>
      <c r="AD113" s="15" t="n">
        <f aca="false">INDEX(Ipotesi!$C$48:$G$48,1,F113)*G113/12</f>
        <v>95.8333333333333</v>
      </c>
      <c r="AE113" s="15" t="n">
        <f aca="false">INDEX(Ipotesi!$C$50:$G$50,1,F113)*G113/12</f>
        <v>9.58333333333333</v>
      </c>
      <c r="AF113" s="15" t="n">
        <f aca="false">(S113*Parametri_v3!$C$7*Parametri_v3!$C$8+Parametri_v3!$C$10)/12</f>
        <v>115.5</v>
      </c>
      <c r="AG113" s="15" t="n">
        <f aca="false">AD113+AE113*(1+Parametri_v3!$C$9)</f>
        <v>110.208333333333</v>
      </c>
      <c r="AH113" s="16" t="n">
        <f aca="false">IF(AG113=0,1,MIN(1,AF113/AG113))</f>
        <v>1</v>
      </c>
      <c r="AI113" s="15" t="n">
        <f aca="false">AD113*AH113</f>
        <v>95.8333333333333</v>
      </c>
      <c r="AJ113" s="15" t="n">
        <f aca="false">AE113*AH113</f>
        <v>9.58333333333333</v>
      </c>
      <c r="AK113" s="15" t="n">
        <f aca="false">AI113*INDEX(Ipotesi!$C$49:$G$49,1,F113)*H113</f>
        <v>91041.6666666667</v>
      </c>
      <c r="AL113" s="15" t="n">
        <f aca="false">AJ113*INDEX(Ipotesi!$C$51:$G$51,1,F113)*H113</f>
        <v>24916.6666666667</v>
      </c>
      <c r="AM113" s="15" t="n">
        <f aca="false">AK113+AL113</f>
        <v>115958.333333333</v>
      </c>
      <c r="AN113" s="15" t="n">
        <f aca="false">INDEX(Ipotesi!$C$30:$G$30,1,F113)*G113/12</f>
        <v>81.6666666666667</v>
      </c>
      <c r="AO113" s="15" t="n">
        <f aca="false">O113*Parametri_v3!$C$7*Parametri_v3!$C$11*(1-Parametri_v3!$C$14)/12</f>
        <v>87.2666666666667</v>
      </c>
      <c r="AP113" s="15" t="n">
        <f aca="false">MIN(AN113,AO113)</f>
        <v>81.6666666666667</v>
      </c>
      <c r="AQ113" s="15" t="n">
        <f aca="false">AP113*INDEX(Ipotesi!$C$31:$G$31,1,F113)*H113</f>
        <v>89833.3333333333</v>
      </c>
      <c r="AR113" s="15" t="n">
        <f aca="false">INDEX(Ipotesi!$C$75:$G$75,1,F113)*J113/12</f>
        <v>35833.3333333333</v>
      </c>
      <c r="AS113" s="15" t="n">
        <f aca="false">INDEX(Ipotesi!$C$81:$G$81,1,F113)*J113/12</f>
        <v>2083.33333333333</v>
      </c>
      <c r="AT113" s="15" t="n">
        <f aca="false">AR113*Parametri_v3!$C$15+Z113*Parametri_v3!$C$16</f>
        <v>53560.0970908333</v>
      </c>
      <c r="AU113" s="15" t="n">
        <f aca="false">Q113*Parametri_v3!$C$16*Parametri_v3!$C$17</f>
        <v>420</v>
      </c>
      <c r="AV113" s="17" t="n">
        <f aca="false">BD112</f>
        <v>154.906003497615</v>
      </c>
      <c r="AW113" s="17" t="n">
        <f aca="false">AV113*(1-(1-INDEX(Ipotesi!$C$34:$G$34,1,F113))^(1/12))</f>
        <v>1.35412801712304</v>
      </c>
      <c r="AX113" s="15" t="n">
        <f aca="false">ROUND(INDEX(Ipotesi!$C$32:$G$32,1,F113)*Ipotesi!D8,0)</f>
        <v>560</v>
      </c>
      <c r="AY113" s="15" t="n">
        <f aca="false">MAX(0,(AX113-(AV113-AW113))/(13-E113))</f>
        <v>33.8706770432924</v>
      </c>
      <c r="AZ113" s="15" t="n">
        <f aca="false">MIN(P113*Parametri_v3!$C$22,Q113*(1-Parametri_v3!$C$16)*Parametri_v3!$C$23)</f>
        <v>270</v>
      </c>
      <c r="BA113" s="15" t="n">
        <f aca="false">IF(OR(INDEX(Ipotesi!$C$35:$G$35,1,F113)&lt;=0,49-Parametri_v3!$C$21&lt;1),0,INDEX($AT$65:$AT$124,MAX(1,49-Parametri_v3!$C$21))/(INDEX(Ipotesi!$C$35:$G$35,1,F113)*Ipotesi!D27))</f>
        <v>6.50133977564103</v>
      </c>
      <c r="BB113" s="15" t="n">
        <f aca="false">IF(49-Parametri_v3!$C$21&lt;1,0,INDEX($AU$65:$AU$124,MAX(1,49-Parametri_v3!$C$21)))*Parametri_v3!$C$18*Parametri_v3!$C$19*Parametri_v3!$C$20</f>
        <v>13.125</v>
      </c>
      <c r="BC113" s="17" t="n">
        <f aca="false">MAX(0,MIN(AY113,BA113,BB113,MAX(0,AZ113-(AV113-AW113))))</f>
        <v>6.50133977564103</v>
      </c>
      <c r="BD113" s="17" t="n">
        <f aca="false">AV113-AW113+BC113</f>
        <v>160.053215256133</v>
      </c>
      <c r="BE113" s="17" t="n">
        <f aca="false">(AV113+BD113)/2</f>
        <v>157.479609376874</v>
      </c>
      <c r="BF113" s="15" t="n">
        <f aca="false">BE113*INDEX(Ipotesi!$C$33:$G$33,1,F113)*H113/12</f>
        <v>81364.4648447181</v>
      </c>
      <c r="BG113" s="15" t="n">
        <f aca="false">BD113*INDEX(Ipotesi!$C$33:$G$33,1,F113)*H113</f>
        <v>992329.934588023</v>
      </c>
      <c r="BH113" s="15" t="n">
        <f aca="false">AM113*INDEX(Ipotesi!$C$37:$G$37,1,F113)</f>
        <v>11595.8333333333</v>
      </c>
      <c r="BI113" s="15" t="n">
        <f aca="false">AQ113+BF113+BH113</f>
        <v>182793.631511385</v>
      </c>
      <c r="BJ113" s="15" t="n">
        <f aca="false">INDEX(Ipotesi!$C$68:$G$68,1,F113)*Ipotesi!$C$69/12</f>
        <v>3333.33333333333</v>
      </c>
      <c r="BK113" s="15" t="n">
        <f aca="false">INDEX(Ipotesi!$C$68:$G$68,1,F113)*(1-Ipotesi!$C$69)/12</f>
        <v>5000</v>
      </c>
      <c r="BL113" s="15" t="n">
        <f aca="false">(AQ113+BF113)*Ipotesi!$C$67</f>
        <v>5135.93394534154</v>
      </c>
      <c r="BM113" s="15" t="n">
        <f aca="false">AM113*Ipotesi!$C$67</f>
        <v>3478.75</v>
      </c>
      <c r="BN113" s="15" t="n">
        <f aca="false">INDEX(Ipotesi!$C$72:$G$72,1,F113)/12*Ipotesi!D126+BF113*Ipotesi!$C$73</f>
        <v>7759.15718757745</v>
      </c>
      <c r="BO113" s="15" t="n">
        <f aca="false">INDEX(Ipotesi!$C$74:$G$74,1,F113)/12*Ipotesi!D126</f>
        <v>5416.66666666667</v>
      </c>
      <c r="BP113" s="15" t="n">
        <f aca="false">INDEX(Ipotesi!$C$76:$G$76,1,F113)/12</f>
        <v>1916.66666666667</v>
      </c>
      <c r="BQ113" s="15" t="n">
        <f aca="false">INDEX(Ipotesi!$C$77:$G$77,1,F113)/12*Ipotesi!D126</f>
        <v>2500</v>
      </c>
      <c r="BR113" s="15" t="n">
        <f aca="false">INDEX(Ipotesi!$C$78:$G$78,1,F113)/12</f>
        <v>2333.33333333333</v>
      </c>
      <c r="BS113" s="15" t="n">
        <f aca="false">SUM(M113:R113)*(Ipotesi!$C$85+Ipotesi!$C$86)/12</f>
        <v>7437.5</v>
      </c>
      <c r="BT113" s="15" t="n">
        <f aca="false">BI113*Ipotesi!$C$87</f>
        <v>5483.80894534154</v>
      </c>
      <c r="BU113" s="15" t="n">
        <f aca="false">INDEX(Ipotesi!$C$55:$G$55,1,F113)*K113/12</f>
        <v>2000</v>
      </c>
      <c r="BV113" s="15" t="n">
        <f aca="false">INDEX(Ipotesi!$C$80:$G$80,1,F113)/12*Ipotesi!D126</f>
        <v>2083.33333333333</v>
      </c>
      <c r="BW113" s="15" t="n">
        <f aca="false">INDEX(Ipotesi!$C$82:$G$82,1,F113)/12</f>
        <v>1500</v>
      </c>
      <c r="BX113" s="15" t="n">
        <f aca="false">INDEX(Ipotesi!$C$83:$G$83,1,F113)/12</f>
        <v>833.333333333333</v>
      </c>
      <c r="BY113" s="15" t="n">
        <f aca="false">SUM(S113:U113)*(Ipotesi!$C$85+Ipotesi!$C$86)/12</f>
        <v>3208.33333333333</v>
      </c>
      <c r="BZ113" s="15" t="n">
        <f aca="false">AM113*Ipotesi!$C$87</f>
        <v>3478.75</v>
      </c>
      <c r="CA113" s="15" t="n">
        <f aca="false">AB113+BJ113+BL113+BN113+BO113+AR113+BP113+BQ113+BR113+BS113+BT113</f>
        <v>196627.061732427</v>
      </c>
      <c r="CB113" s="15" t="n">
        <f aca="false">AC113+BK113+BM113+BH113+BU113+BV113+AS113+BW113+BX113+BY113+BZ113</f>
        <v>79625.4722608333</v>
      </c>
      <c r="CC113" s="15" t="n">
        <f aca="false">BI113-CA113</f>
        <v>-13833.4302210424</v>
      </c>
      <c r="CD113" s="15" t="n">
        <f aca="false">AM113-CB113</f>
        <v>36332.8610725</v>
      </c>
      <c r="CE113" s="15" t="n">
        <f aca="false">INDEX(Ipotesi!$C$79:$G$79,1,F113)/12</f>
        <v>4166.66666666667</v>
      </c>
      <c r="CF113" s="15" t="n">
        <f aca="false">INDEX(Ipotesi!$C$84:$G$84,1,F113)/12</f>
        <v>666.666666666667</v>
      </c>
      <c r="CG113" s="15" t="n">
        <f aca="false">Y113*MAX(0,Parametri_v3!$C$12-IF(P113=0,0,MIN(1,BE113/(P113*Parametri_v3!$C$22))))+W113*Parametri_v3!$C$13+X113*Parametri_v3!$C$14</f>
        <v>36697.2330687904</v>
      </c>
      <c r="CH113" s="15" t="n">
        <f aca="false">AB113*Parametri_v3!$C$32</f>
        <v>5973.86641604167</v>
      </c>
      <c r="CI113" s="15" t="n">
        <f aca="false">AC113*Parametri_v3!$C$32</f>
        <v>2218.19027970833</v>
      </c>
      <c r="CJ113" s="15" t="n">
        <f aca="false">CA113-AB113</f>
        <v>77149.7334115939</v>
      </c>
      <c r="CK113" s="15" t="n">
        <f aca="false">CB113-AC113-BH113</f>
        <v>23665.8333333333</v>
      </c>
      <c r="CL113" s="15" t="n">
        <f aca="false">BF113*Ipotesi!$C$73+INDEX(Ipotesi!$C$72:$G$72,1,F113)/12*Ipotesi!D126*Parametri_v3!$C$58+Z113*(1-Parametri_v3!$C$16)</f>
        <v>15356.3416550775</v>
      </c>
      <c r="CM113" s="16" t="n">
        <f aca="false">IF(BF113=0,0,1-CL113/BF113)</f>
        <v>0.811264761780409</v>
      </c>
    </row>
    <row r="114" customFormat="false" ht="18" hidden="false" customHeight="true" outlineLevel="0" collapsed="false">
      <c r="A114" s="68" t="n">
        <f aca="false">2</f>
        <v>2</v>
      </c>
      <c r="B114" s="68" t="n">
        <f aca="false">50</f>
        <v>50</v>
      </c>
      <c r="C114" s="18" t="n">
        <f aca="false">EDATE(Parametri_v3!$C$5,50-1)</f>
        <v>47880</v>
      </c>
      <c r="D114" s="68" t="n">
        <f aca="false">YEAR(C114)</f>
        <v>2031</v>
      </c>
      <c r="E114" s="68" t="n">
        <f aca="false">MONTH(C114)</f>
        <v>2</v>
      </c>
      <c r="F114" s="68" t="n">
        <f aca="false">INT((50-1)/12)+1</f>
        <v>5</v>
      </c>
      <c r="G114" s="15" t="n">
        <f aca="false">Ipotesi!D7</f>
        <v>1</v>
      </c>
      <c r="H114" s="15" t="n">
        <f aca="false">Ipotesi!D9</f>
        <v>1</v>
      </c>
      <c r="I114" s="15" t="n">
        <f aca="false">Ipotesi!D10</f>
        <v>1</v>
      </c>
      <c r="J114" s="15" t="n">
        <f aca="false">Ipotesi!D11</f>
        <v>1</v>
      </c>
      <c r="K114" s="15" t="n">
        <f aca="false">Ipotesi!D12</f>
        <v>1</v>
      </c>
      <c r="L114" s="15" t="n">
        <f aca="false">Ipotesi!D13</f>
        <v>90</v>
      </c>
      <c r="M114" s="17" t="n">
        <f aca="false">INDEX(Ipotesi!$C$40:$G$40,1,F114)</f>
        <v>1</v>
      </c>
      <c r="N114" s="17" t="n">
        <f aca="false">INDEX(Ipotesi!$C$41:$G$41,1,F114)</f>
        <v>1</v>
      </c>
      <c r="O114" s="17" t="n">
        <f aca="false">INDEX(Ipotesi!$C$42:$G$42,1,F114)*Ipotesi!D125</f>
        <v>8.5</v>
      </c>
      <c r="P114" s="17" t="n">
        <f aca="false">INDEX(Ipotesi!$C$43:$G$43,1,F114)*I114</f>
        <v>7</v>
      </c>
      <c r="Q114" s="17" t="n">
        <f aca="false">INDEX(Ipotesi!$C$44:$G$44,1,F114)*I114</f>
        <v>6</v>
      </c>
      <c r="R114" s="17" t="n">
        <f aca="false">INDEX(Ipotesi!$C$45:$G$45,1,F114)*I114</f>
        <v>2</v>
      </c>
      <c r="S114" s="17" t="n">
        <f aca="false">INDEX(Ipotesi!$C$52:$G$52,1,F114)*Ipotesi!D125</f>
        <v>9</v>
      </c>
      <c r="T114" s="17" t="n">
        <f aca="false">INDEX(Ipotesi!$C$53:$G$53,1,F114)*I114</f>
        <v>1</v>
      </c>
      <c r="U114" s="17" t="n">
        <f aca="false">INDEX(Ipotesi!$C$54:$G$54,1,F114)*I114</f>
        <v>1</v>
      </c>
      <c r="V114" s="15" t="n">
        <f aca="false">M114*INDEX(Ipotesi!$C$58:$G$58,1,F114)*K114/12</f>
        <v>8333.33333333333</v>
      </c>
      <c r="W114" s="15" t="n">
        <f aca="false">N114*Ipotesi!$C$59*(1+Ipotesi!$C$66)^(F114-1)/12</f>
        <v>6565.46805833334</v>
      </c>
      <c r="X114" s="15" t="n">
        <f aca="false">O114*Ipotesi!$C$60*(1+Ipotesi!$C$66)^(F114-1)/12</f>
        <v>39861.7703541667</v>
      </c>
      <c r="Y114" s="15" t="n">
        <f aca="false">P114*Ipotesi!$C$61*(1+Ipotesi!$C$66)^(F114-1)/12</f>
        <v>32827.3402916667</v>
      </c>
      <c r="Z114" s="15" t="n">
        <f aca="false">Q114*Ipotesi!$C$62*(1+Ipotesi!$C$66)^(F114-1)/12</f>
        <v>25323.948225</v>
      </c>
      <c r="AA114" s="15" t="n">
        <f aca="false">R114*Ipotesi!$C$63*(1+Ipotesi!$C$66)^(F114-1)/12</f>
        <v>6565.46805833334</v>
      </c>
      <c r="AB114" s="15" t="n">
        <f aca="false">SUM(V114:AA114)</f>
        <v>119477.328320833</v>
      </c>
      <c r="AC114" s="15" t="n">
        <f aca="false">(S114*Ipotesi!$C$64+T114*Ipotesi!$C$65+U114*Ipotesi!$C$63)*(1+Ipotesi!$C$66)^(F114-1)/12</f>
        <v>44363.8055941667</v>
      </c>
      <c r="AD114" s="15" t="n">
        <f aca="false">INDEX(Ipotesi!$C$48:$G$48,1,F114)*G114/12</f>
        <v>95.8333333333333</v>
      </c>
      <c r="AE114" s="15" t="n">
        <f aca="false">INDEX(Ipotesi!$C$50:$G$50,1,F114)*G114/12</f>
        <v>9.58333333333333</v>
      </c>
      <c r="AF114" s="15" t="n">
        <f aca="false">(S114*Parametri_v3!$C$7*Parametri_v3!$C$8+Parametri_v3!$C$10)/12</f>
        <v>115.5</v>
      </c>
      <c r="AG114" s="15" t="n">
        <f aca="false">AD114+AE114*(1+Parametri_v3!$C$9)</f>
        <v>110.208333333333</v>
      </c>
      <c r="AH114" s="16" t="n">
        <f aca="false">IF(AG114=0,1,MIN(1,AF114/AG114))</f>
        <v>1</v>
      </c>
      <c r="AI114" s="15" t="n">
        <f aca="false">AD114*AH114</f>
        <v>95.8333333333333</v>
      </c>
      <c r="AJ114" s="15" t="n">
        <f aca="false">AE114*AH114</f>
        <v>9.58333333333333</v>
      </c>
      <c r="AK114" s="15" t="n">
        <f aca="false">AI114*INDEX(Ipotesi!$C$49:$G$49,1,F114)*H114</f>
        <v>91041.6666666667</v>
      </c>
      <c r="AL114" s="15" t="n">
        <f aca="false">AJ114*INDEX(Ipotesi!$C$51:$G$51,1,F114)*H114</f>
        <v>24916.6666666667</v>
      </c>
      <c r="AM114" s="15" t="n">
        <f aca="false">AK114+AL114</f>
        <v>115958.333333333</v>
      </c>
      <c r="AN114" s="15" t="n">
        <f aca="false">INDEX(Ipotesi!$C$30:$G$30,1,F114)*G114/12</f>
        <v>81.6666666666667</v>
      </c>
      <c r="AO114" s="15" t="n">
        <f aca="false">O114*Parametri_v3!$C$7*Parametri_v3!$C$11*(1-Parametri_v3!$C$14)/12</f>
        <v>87.2666666666667</v>
      </c>
      <c r="AP114" s="15" t="n">
        <f aca="false">MIN(AN114,AO114)</f>
        <v>81.6666666666667</v>
      </c>
      <c r="AQ114" s="15" t="n">
        <f aca="false">AP114*INDEX(Ipotesi!$C$31:$G$31,1,F114)*H114</f>
        <v>89833.3333333333</v>
      </c>
      <c r="AR114" s="15" t="n">
        <f aca="false">INDEX(Ipotesi!$C$75:$G$75,1,F114)*J114/12</f>
        <v>35833.3333333333</v>
      </c>
      <c r="AS114" s="15" t="n">
        <f aca="false">INDEX(Ipotesi!$C$81:$G$81,1,F114)*J114/12</f>
        <v>2083.33333333333</v>
      </c>
      <c r="AT114" s="15" t="n">
        <f aca="false">AR114*Parametri_v3!$C$15+Z114*Parametri_v3!$C$16</f>
        <v>53560.0970908333</v>
      </c>
      <c r="AU114" s="15" t="n">
        <f aca="false">Q114*Parametri_v3!$C$16*Parametri_v3!$C$17</f>
        <v>420</v>
      </c>
      <c r="AV114" s="17" t="n">
        <f aca="false">BD113</f>
        <v>160.053215256133</v>
      </c>
      <c r="AW114" s="17" t="n">
        <f aca="false">AV114*(1-(1-INDEX(Ipotesi!$C$34:$G$34,1,F114))^(1/12))</f>
        <v>1.39912293981744</v>
      </c>
      <c r="AX114" s="15" t="n">
        <f aca="false">ROUND(INDEX(Ipotesi!$C$32:$G$32,1,F114)*Ipotesi!D8,0)</f>
        <v>560</v>
      </c>
      <c r="AY114" s="15" t="n">
        <f aca="false">MAX(0,(AX114-(AV114-AW114))/(13-E114))</f>
        <v>36.4859916076077</v>
      </c>
      <c r="AZ114" s="15" t="n">
        <f aca="false">MIN(P114*Parametri_v3!$C$22,Q114*(1-Parametri_v3!$C$16)*Parametri_v3!$C$23)</f>
        <v>270</v>
      </c>
      <c r="BA114" s="15" t="n">
        <f aca="false">IF(OR(INDEX(Ipotesi!$C$35:$G$35,1,F114)&lt;=0,50-Parametri_v3!$C$21&lt;1),0,INDEX($AT$65:$AT$124,MAX(1,50-Parametri_v3!$C$21))/(INDEX(Ipotesi!$C$35:$G$35,1,F114)*Ipotesi!D27))</f>
        <v>6.50133977564103</v>
      </c>
      <c r="BB114" s="15" t="n">
        <f aca="false">IF(50-Parametri_v3!$C$21&lt;1,0,INDEX($AU$65:$AU$124,MAX(1,50-Parametri_v3!$C$21)))*Parametri_v3!$C$18*Parametri_v3!$C$19*Parametri_v3!$C$20</f>
        <v>13.125</v>
      </c>
      <c r="BC114" s="17" t="n">
        <f aca="false">MAX(0,MIN(AY114,BA114,BB114,MAX(0,AZ114-(AV114-AW114))))</f>
        <v>6.50133977564103</v>
      </c>
      <c r="BD114" s="17" t="n">
        <f aca="false">AV114-AW114+BC114</f>
        <v>165.155432091956</v>
      </c>
      <c r="BE114" s="17" t="n">
        <f aca="false">(AV114+BD114)/2</f>
        <v>162.604323674045</v>
      </c>
      <c r="BF114" s="15" t="n">
        <f aca="false">BE114*INDEX(Ipotesi!$C$33:$G$33,1,F114)*H114/12</f>
        <v>84012.2338982563</v>
      </c>
      <c r="BG114" s="15" t="n">
        <f aca="false">BD114*INDEX(Ipotesi!$C$33:$G$33,1,F114)*H114</f>
        <v>1023963.67897013</v>
      </c>
      <c r="BH114" s="15" t="n">
        <f aca="false">AM114*INDEX(Ipotesi!$C$37:$G$37,1,F114)</f>
        <v>11595.8333333333</v>
      </c>
      <c r="BI114" s="15" t="n">
        <f aca="false">AQ114+BF114+BH114</f>
        <v>185441.400564923</v>
      </c>
      <c r="BJ114" s="15" t="n">
        <f aca="false">INDEX(Ipotesi!$C$68:$G$68,1,F114)*Ipotesi!$C$69/12</f>
        <v>3333.33333333333</v>
      </c>
      <c r="BK114" s="15" t="n">
        <f aca="false">INDEX(Ipotesi!$C$68:$G$68,1,F114)*(1-Ipotesi!$C$69)/12</f>
        <v>5000</v>
      </c>
      <c r="BL114" s="15" t="n">
        <f aca="false">(AQ114+BF114)*Ipotesi!$C$67</f>
        <v>5215.36701694769</v>
      </c>
      <c r="BM114" s="15" t="n">
        <f aca="false">AM114*Ipotesi!$C$67</f>
        <v>3478.75</v>
      </c>
      <c r="BN114" s="15" t="n">
        <f aca="false">INDEX(Ipotesi!$C$72:$G$72,1,F114)/12*Ipotesi!D126+BF114*Ipotesi!$C$73</f>
        <v>7970.97871186051</v>
      </c>
      <c r="BO114" s="15" t="n">
        <f aca="false">INDEX(Ipotesi!$C$74:$G$74,1,F114)/12*Ipotesi!D126</f>
        <v>5416.66666666667</v>
      </c>
      <c r="BP114" s="15" t="n">
        <f aca="false">INDEX(Ipotesi!$C$76:$G$76,1,F114)/12</f>
        <v>1916.66666666667</v>
      </c>
      <c r="BQ114" s="15" t="n">
        <f aca="false">INDEX(Ipotesi!$C$77:$G$77,1,F114)/12*Ipotesi!D126</f>
        <v>2500</v>
      </c>
      <c r="BR114" s="15" t="n">
        <f aca="false">INDEX(Ipotesi!$C$78:$G$78,1,F114)/12</f>
        <v>2333.33333333333</v>
      </c>
      <c r="BS114" s="15" t="n">
        <f aca="false">SUM(M114:R114)*(Ipotesi!$C$85+Ipotesi!$C$86)/12</f>
        <v>7437.5</v>
      </c>
      <c r="BT114" s="15" t="n">
        <f aca="false">BI114*Ipotesi!$C$87</f>
        <v>5563.24201694769</v>
      </c>
      <c r="BU114" s="15" t="n">
        <f aca="false">INDEX(Ipotesi!$C$55:$G$55,1,F114)*K114/12</f>
        <v>2000</v>
      </c>
      <c r="BV114" s="15" t="n">
        <f aca="false">INDEX(Ipotesi!$C$80:$G$80,1,F114)/12*Ipotesi!D126</f>
        <v>2083.33333333333</v>
      </c>
      <c r="BW114" s="15" t="n">
        <f aca="false">INDEX(Ipotesi!$C$82:$G$82,1,F114)/12</f>
        <v>1500</v>
      </c>
      <c r="BX114" s="15" t="n">
        <f aca="false">INDEX(Ipotesi!$C$83:$G$83,1,F114)/12</f>
        <v>833.333333333333</v>
      </c>
      <c r="BY114" s="15" t="n">
        <f aca="false">SUM(S114:U114)*(Ipotesi!$C$85+Ipotesi!$C$86)/12</f>
        <v>3208.33333333333</v>
      </c>
      <c r="BZ114" s="15" t="n">
        <f aca="false">AM114*Ipotesi!$C$87</f>
        <v>3478.75</v>
      </c>
      <c r="CA114" s="15" t="n">
        <f aca="false">AB114+BJ114+BL114+BN114+BO114+AR114+BP114+BQ114+BR114+BS114+BT114</f>
        <v>196997.749399923</v>
      </c>
      <c r="CB114" s="15" t="n">
        <f aca="false">AC114+BK114+BM114+BH114+BU114+BV114+AS114+BW114+BX114+BY114+BZ114</f>
        <v>79625.4722608333</v>
      </c>
      <c r="CC114" s="15" t="n">
        <f aca="false">BI114-CA114</f>
        <v>-11556.3488349995</v>
      </c>
      <c r="CD114" s="15" t="n">
        <f aca="false">AM114-CB114</f>
        <v>36332.8610725</v>
      </c>
      <c r="CE114" s="15" t="n">
        <f aca="false">INDEX(Ipotesi!$C$79:$G$79,1,F114)/12</f>
        <v>4166.66666666667</v>
      </c>
      <c r="CF114" s="15" t="n">
        <f aca="false">INDEX(Ipotesi!$C$84:$G$84,1,F114)/12</f>
        <v>666.666666666667</v>
      </c>
      <c r="CG114" s="15" t="n">
        <f aca="false">Y114*MAX(0,Parametri_v3!$C$12-IF(P114=0,0,MIN(1,BE114/(P114*Parametri_v3!$C$22))))+W114*Parametri_v3!$C$13+X114*Parametri_v3!$C$14</f>
        <v>36456.9034400321</v>
      </c>
      <c r="CH114" s="15" t="n">
        <f aca="false">AB114*Parametri_v3!$C$32</f>
        <v>5973.86641604167</v>
      </c>
      <c r="CI114" s="15" t="n">
        <f aca="false">AC114*Parametri_v3!$C$32</f>
        <v>2218.19027970833</v>
      </c>
      <c r="CJ114" s="15" t="n">
        <f aca="false">CA114-AB114</f>
        <v>77520.4210790892</v>
      </c>
      <c r="CK114" s="15" t="n">
        <f aca="false">CB114-AC114-BH114</f>
        <v>23665.8333333333</v>
      </c>
      <c r="CL114" s="15" t="n">
        <f aca="false">BF114*Ipotesi!$C$73+INDEX(Ipotesi!$C$72:$G$72,1,F114)/12*Ipotesi!D126*Parametri_v3!$C$58+Z114*(1-Parametri_v3!$C$16)</f>
        <v>15568.1631793605</v>
      </c>
      <c r="CM114" s="16" t="n">
        <f aca="false">IF(BF114=0,0,1-CL114/BF114)</f>
        <v>0.814691712659201</v>
      </c>
    </row>
    <row r="115" customFormat="false" ht="18" hidden="false" customHeight="true" outlineLevel="0" collapsed="false">
      <c r="A115" s="68" t="n">
        <f aca="false">2</f>
        <v>2</v>
      </c>
      <c r="B115" s="68" t="n">
        <f aca="false">51</f>
        <v>51</v>
      </c>
      <c r="C115" s="18" t="n">
        <f aca="false">EDATE(Parametri_v3!$C$5,51-1)</f>
        <v>47908</v>
      </c>
      <c r="D115" s="68" t="n">
        <f aca="false">YEAR(C115)</f>
        <v>2031</v>
      </c>
      <c r="E115" s="68" t="n">
        <f aca="false">MONTH(C115)</f>
        <v>3</v>
      </c>
      <c r="F115" s="68" t="n">
        <f aca="false">INT((51-1)/12)+1</f>
        <v>5</v>
      </c>
      <c r="G115" s="15" t="n">
        <f aca="false">Ipotesi!D7</f>
        <v>1</v>
      </c>
      <c r="H115" s="15" t="n">
        <f aca="false">Ipotesi!D9</f>
        <v>1</v>
      </c>
      <c r="I115" s="15" t="n">
        <f aca="false">Ipotesi!D10</f>
        <v>1</v>
      </c>
      <c r="J115" s="15" t="n">
        <f aca="false">Ipotesi!D11</f>
        <v>1</v>
      </c>
      <c r="K115" s="15" t="n">
        <f aca="false">Ipotesi!D12</f>
        <v>1</v>
      </c>
      <c r="L115" s="15" t="n">
        <f aca="false">Ipotesi!D13</f>
        <v>90</v>
      </c>
      <c r="M115" s="17" t="n">
        <f aca="false">INDEX(Ipotesi!$C$40:$G$40,1,F115)</f>
        <v>1</v>
      </c>
      <c r="N115" s="17" t="n">
        <f aca="false">INDEX(Ipotesi!$C$41:$G$41,1,F115)</f>
        <v>1</v>
      </c>
      <c r="O115" s="17" t="n">
        <f aca="false">INDEX(Ipotesi!$C$42:$G$42,1,F115)*Ipotesi!D125</f>
        <v>8.5</v>
      </c>
      <c r="P115" s="17" t="n">
        <f aca="false">INDEX(Ipotesi!$C$43:$G$43,1,F115)*I115</f>
        <v>7</v>
      </c>
      <c r="Q115" s="17" t="n">
        <f aca="false">INDEX(Ipotesi!$C$44:$G$44,1,F115)*I115</f>
        <v>6</v>
      </c>
      <c r="R115" s="17" t="n">
        <f aca="false">INDEX(Ipotesi!$C$45:$G$45,1,F115)*I115</f>
        <v>2</v>
      </c>
      <c r="S115" s="17" t="n">
        <f aca="false">INDEX(Ipotesi!$C$52:$G$52,1,F115)*Ipotesi!D125</f>
        <v>9</v>
      </c>
      <c r="T115" s="17" t="n">
        <f aca="false">INDEX(Ipotesi!$C$53:$G$53,1,F115)*I115</f>
        <v>1</v>
      </c>
      <c r="U115" s="17" t="n">
        <f aca="false">INDEX(Ipotesi!$C$54:$G$54,1,F115)*I115</f>
        <v>1</v>
      </c>
      <c r="V115" s="15" t="n">
        <f aca="false">M115*INDEX(Ipotesi!$C$58:$G$58,1,F115)*K115/12</f>
        <v>8333.33333333333</v>
      </c>
      <c r="W115" s="15" t="n">
        <f aca="false">N115*Ipotesi!$C$59*(1+Ipotesi!$C$66)^(F115-1)/12</f>
        <v>6565.46805833334</v>
      </c>
      <c r="X115" s="15" t="n">
        <f aca="false">O115*Ipotesi!$C$60*(1+Ipotesi!$C$66)^(F115-1)/12</f>
        <v>39861.7703541667</v>
      </c>
      <c r="Y115" s="15" t="n">
        <f aca="false">P115*Ipotesi!$C$61*(1+Ipotesi!$C$66)^(F115-1)/12</f>
        <v>32827.3402916667</v>
      </c>
      <c r="Z115" s="15" t="n">
        <f aca="false">Q115*Ipotesi!$C$62*(1+Ipotesi!$C$66)^(F115-1)/12</f>
        <v>25323.948225</v>
      </c>
      <c r="AA115" s="15" t="n">
        <f aca="false">R115*Ipotesi!$C$63*(1+Ipotesi!$C$66)^(F115-1)/12</f>
        <v>6565.46805833334</v>
      </c>
      <c r="AB115" s="15" t="n">
        <f aca="false">SUM(V115:AA115)</f>
        <v>119477.328320833</v>
      </c>
      <c r="AC115" s="15" t="n">
        <f aca="false">(S115*Ipotesi!$C$64+T115*Ipotesi!$C$65+U115*Ipotesi!$C$63)*(1+Ipotesi!$C$66)^(F115-1)/12</f>
        <v>44363.8055941667</v>
      </c>
      <c r="AD115" s="15" t="n">
        <f aca="false">INDEX(Ipotesi!$C$48:$G$48,1,F115)*G115/12</f>
        <v>95.8333333333333</v>
      </c>
      <c r="AE115" s="15" t="n">
        <f aca="false">INDEX(Ipotesi!$C$50:$G$50,1,F115)*G115/12</f>
        <v>9.58333333333333</v>
      </c>
      <c r="AF115" s="15" t="n">
        <f aca="false">(S115*Parametri_v3!$C$7*Parametri_v3!$C$8+Parametri_v3!$C$10)/12</f>
        <v>115.5</v>
      </c>
      <c r="AG115" s="15" t="n">
        <f aca="false">AD115+AE115*(1+Parametri_v3!$C$9)</f>
        <v>110.208333333333</v>
      </c>
      <c r="AH115" s="16" t="n">
        <f aca="false">IF(AG115=0,1,MIN(1,AF115/AG115))</f>
        <v>1</v>
      </c>
      <c r="AI115" s="15" t="n">
        <f aca="false">AD115*AH115</f>
        <v>95.8333333333333</v>
      </c>
      <c r="AJ115" s="15" t="n">
        <f aca="false">AE115*AH115</f>
        <v>9.58333333333333</v>
      </c>
      <c r="AK115" s="15" t="n">
        <f aca="false">AI115*INDEX(Ipotesi!$C$49:$G$49,1,F115)*H115</f>
        <v>91041.6666666667</v>
      </c>
      <c r="AL115" s="15" t="n">
        <f aca="false">AJ115*INDEX(Ipotesi!$C$51:$G$51,1,F115)*H115</f>
        <v>24916.6666666667</v>
      </c>
      <c r="AM115" s="15" t="n">
        <f aca="false">AK115+AL115</f>
        <v>115958.333333333</v>
      </c>
      <c r="AN115" s="15" t="n">
        <f aca="false">INDEX(Ipotesi!$C$30:$G$30,1,F115)*G115/12</f>
        <v>81.6666666666667</v>
      </c>
      <c r="AO115" s="15" t="n">
        <f aca="false">O115*Parametri_v3!$C$7*Parametri_v3!$C$11*(1-Parametri_v3!$C$14)/12</f>
        <v>87.2666666666667</v>
      </c>
      <c r="AP115" s="15" t="n">
        <f aca="false">MIN(AN115,AO115)</f>
        <v>81.6666666666667</v>
      </c>
      <c r="AQ115" s="15" t="n">
        <f aca="false">AP115*INDEX(Ipotesi!$C$31:$G$31,1,F115)*H115</f>
        <v>89833.3333333333</v>
      </c>
      <c r="AR115" s="15" t="n">
        <f aca="false">INDEX(Ipotesi!$C$75:$G$75,1,F115)*J115/12</f>
        <v>35833.3333333333</v>
      </c>
      <c r="AS115" s="15" t="n">
        <f aca="false">INDEX(Ipotesi!$C$81:$G$81,1,F115)*J115/12</f>
        <v>2083.33333333333</v>
      </c>
      <c r="AT115" s="15" t="n">
        <f aca="false">AR115*Parametri_v3!$C$15+Z115*Parametri_v3!$C$16</f>
        <v>53560.0970908333</v>
      </c>
      <c r="AU115" s="15" t="n">
        <f aca="false">Q115*Parametri_v3!$C$16*Parametri_v3!$C$17</f>
        <v>420</v>
      </c>
      <c r="AV115" s="17" t="n">
        <f aca="false">BD114</f>
        <v>165.155432091956</v>
      </c>
      <c r="AW115" s="17" t="n">
        <f aca="false">AV115*(1-(1-INDEX(Ipotesi!$C$34:$G$34,1,F115))^(1/12))</f>
        <v>1.44372453440272</v>
      </c>
      <c r="AX115" s="15" t="n">
        <f aca="false">ROUND(INDEX(Ipotesi!$C$32:$G$32,1,F115)*Ipotesi!D8,0)</f>
        <v>560</v>
      </c>
      <c r="AY115" s="15" t="n">
        <f aca="false">MAX(0,(AX115-(AV115-AW115))/(13-E115))</f>
        <v>39.6288292442446</v>
      </c>
      <c r="AZ115" s="15" t="n">
        <f aca="false">MIN(P115*Parametri_v3!$C$22,Q115*(1-Parametri_v3!$C$16)*Parametri_v3!$C$23)</f>
        <v>270</v>
      </c>
      <c r="BA115" s="15" t="n">
        <f aca="false">IF(OR(INDEX(Ipotesi!$C$35:$G$35,1,F115)&lt;=0,51-Parametri_v3!$C$21&lt;1),0,INDEX($AT$65:$AT$124,MAX(1,51-Parametri_v3!$C$21))/(INDEX(Ipotesi!$C$35:$G$35,1,F115)*Ipotesi!D27))</f>
        <v>6.50133977564103</v>
      </c>
      <c r="BB115" s="15" t="n">
        <f aca="false">IF(51-Parametri_v3!$C$21&lt;1,0,INDEX($AU$65:$AU$124,MAX(1,51-Parametri_v3!$C$21)))*Parametri_v3!$C$18*Parametri_v3!$C$19*Parametri_v3!$C$20</f>
        <v>13.125</v>
      </c>
      <c r="BC115" s="17" t="n">
        <f aca="false">MAX(0,MIN(AY115,BA115,BB115,MAX(0,AZ115-(AV115-AW115))))</f>
        <v>6.50133977564103</v>
      </c>
      <c r="BD115" s="17" t="n">
        <f aca="false">AV115-AW115+BC115</f>
        <v>170.213047333195</v>
      </c>
      <c r="BE115" s="17" t="n">
        <f aca="false">(AV115+BD115)/2</f>
        <v>167.684239712575</v>
      </c>
      <c r="BF115" s="15" t="n">
        <f aca="false">BE115*INDEX(Ipotesi!$C$33:$G$33,1,F115)*H115/12</f>
        <v>86636.8571848307</v>
      </c>
      <c r="BG115" s="15" t="n">
        <f aca="false">BD115*INDEX(Ipotesi!$C$33:$G$33,1,F115)*H115</f>
        <v>1055320.89346581</v>
      </c>
      <c r="BH115" s="15" t="n">
        <f aca="false">AM115*INDEX(Ipotesi!$C$37:$G$37,1,F115)</f>
        <v>11595.8333333333</v>
      </c>
      <c r="BI115" s="15" t="n">
        <f aca="false">AQ115+BF115+BH115</f>
        <v>188066.023851497</v>
      </c>
      <c r="BJ115" s="15" t="n">
        <f aca="false">INDEX(Ipotesi!$C$68:$G$68,1,F115)*Ipotesi!$C$69/12</f>
        <v>3333.33333333333</v>
      </c>
      <c r="BK115" s="15" t="n">
        <f aca="false">INDEX(Ipotesi!$C$68:$G$68,1,F115)*(1-Ipotesi!$C$69)/12</f>
        <v>5000</v>
      </c>
      <c r="BL115" s="15" t="n">
        <f aca="false">(AQ115+BF115)*Ipotesi!$C$67</f>
        <v>5294.10571554492</v>
      </c>
      <c r="BM115" s="15" t="n">
        <f aca="false">AM115*Ipotesi!$C$67</f>
        <v>3478.75</v>
      </c>
      <c r="BN115" s="15" t="n">
        <f aca="false">INDEX(Ipotesi!$C$72:$G$72,1,F115)/12*Ipotesi!D126+BF115*Ipotesi!$C$73</f>
        <v>8180.94857478645</v>
      </c>
      <c r="BO115" s="15" t="n">
        <f aca="false">INDEX(Ipotesi!$C$74:$G$74,1,F115)/12*Ipotesi!D126</f>
        <v>5416.66666666667</v>
      </c>
      <c r="BP115" s="15" t="n">
        <f aca="false">INDEX(Ipotesi!$C$76:$G$76,1,F115)/12</f>
        <v>1916.66666666667</v>
      </c>
      <c r="BQ115" s="15" t="n">
        <f aca="false">INDEX(Ipotesi!$C$77:$G$77,1,F115)/12*Ipotesi!D126</f>
        <v>2500</v>
      </c>
      <c r="BR115" s="15" t="n">
        <f aca="false">INDEX(Ipotesi!$C$78:$G$78,1,F115)/12</f>
        <v>2333.33333333333</v>
      </c>
      <c r="BS115" s="15" t="n">
        <f aca="false">SUM(M115:R115)*(Ipotesi!$C$85+Ipotesi!$C$86)/12</f>
        <v>7437.5</v>
      </c>
      <c r="BT115" s="15" t="n">
        <f aca="false">BI115*Ipotesi!$C$87</f>
        <v>5641.98071554492</v>
      </c>
      <c r="BU115" s="15" t="n">
        <f aca="false">INDEX(Ipotesi!$C$55:$G$55,1,F115)*K115/12</f>
        <v>2000</v>
      </c>
      <c r="BV115" s="15" t="n">
        <f aca="false">INDEX(Ipotesi!$C$80:$G$80,1,F115)/12*Ipotesi!D126</f>
        <v>2083.33333333333</v>
      </c>
      <c r="BW115" s="15" t="n">
        <f aca="false">INDEX(Ipotesi!$C$82:$G$82,1,F115)/12</f>
        <v>1500</v>
      </c>
      <c r="BX115" s="15" t="n">
        <f aca="false">INDEX(Ipotesi!$C$83:$G$83,1,F115)/12</f>
        <v>833.333333333333</v>
      </c>
      <c r="BY115" s="15" t="n">
        <f aca="false">SUM(S115:U115)*(Ipotesi!$C$85+Ipotesi!$C$86)/12</f>
        <v>3208.33333333333</v>
      </c>
      <c r="BZ115" s="15" t="n">
        <f aca="false">AM115*Ipotesi!$C$87</f>
        <v>3478.75</v>
      </c>
      <c r="CA115" s="15" t="n">
        <f aca="false">AB115+BJ115+BL115+BN115+BO115+AR115+BP115+BQ115+BR115+BS115+BT115</f>
        <v>197365.196660043</v>
      </c>
      <c r="CB115" s="15" t="n">
        <f aca="false">AC115+BK115+BM115+BH115+BU115+BV115+AS115+BW115+BX115+BY115+BZ115</f>
        <v>79625.4722608333</v>
      </c>
      <c r="CC115" s="15" t="n">
        <f aca="false">BI115-CA115</f>
        <v>-9299.17280854564</v>
      </c>
      <c r="CD115" s="15" t="n">
        <f aca="false">AM115-CB115</f>
        <v>36332.8610725</v>
      </c>
      <c r="CE115" s="15" t="n">
        <f aca="false">INDEX(Ipotesi!$C$79:$G$79,1,F115)/12</f>
        <v>4166.66666666667</v>
      </c>
      <c r="CF115" s="15" t="n">
        <f aca="false">INDEX(Ipotesi!$C$84:$G$84,1,F115)/12</f>
        <v>666.666666666667</v>
      </c>
      <c r="CG115" s="15" t="n">
        <f aca="false">Y115*MAX(0,Parametri_v3!$C$12-IF(P115=0,0,MIN(1,BE115/(P115*Parametri_v3!$C$22))))+W115*Parametri_v3!$C$13+X115*Parametri_v3!$C$14</f>
        <v>36218.6746793894</v>
      </c>
      <c r="CH115" s="15" t="n">
        <f aca="false">AB115*Parametri_v3!$C$32</f>
        <v>5973.86641604167</v>
      </c>
      <c r="CI115" s="15" t="n">
        <f aca="false">AC115*Parametri_v3!$C$32</f>
        <v>2218.19027970833</v>
      </c>
      <c r="CJ115" s="15" t="n">
        <f aca="false">CA115-AB115</f>
        <v>77887.8683392096</v>
      </c>
      <c r="CK115" s="15" t="n">
        <f aca="false">CB115-AC115-BH115</f>
        <v>23665.8333333333</v>
      </c>
      <c r="CL115" s="15" t="n">
        <f aca="false">BF115*Ipotesi!$C$73+INDEX(Ipotesi!$C$72:$G$72,1,F115)/12*Ipotesi!D126*Parametri_v3!$C$58+Z115*(1-Parametri_v3!$C$16)</f>
        <v>15778.1330422865</v>
      </c>
      <c r="CM115" s="16" t="n">
        <f aca="false">IF(BF115=0,0,1-CL115/BF115)</f>
        <v>0.817881978236751</v>
      </c>
    </row>
    <row r="116" customFormat="false" ht="18" hidden="false" customHeight="true" outlineLevel="0" collapsed="false">
      <c r="A116" s="68" t="n">
        <f aca="false">2</f>
        <v>2</v>
      </c>
      <c r="B116" s="68" t="n">
        <f aca="false">52</f>
        <v>52</v>
      </c>
      <c r="C116" s="18" t="n">
        <f aca="false">EDATE(Parametri_v3!$C$5,52-1)</f>
        <v>47939</v>
      </c>
      <c r="D116" s="68" t="n">
        <f aca="false">YEAR(C116)</f>
        <v>2031</v>
      </c>
      <c r="E116" s="68" t="n">
        <f aca="false">MONTH(C116)</f>
        <v>4</v>
      </c>
      <c r="F116" s="68" t="n">
        <f aca="false">INT((52-1)/12)+1</f>
        <v>5</v>
      </c>
      <c r="G116" s="15" t="n">
        <f aca="false">Ipotesi!D7</f>
        <v>1</v>
      </c>
      <c r="H116" s="15" t="n">
        <f aca="false">Ipotesi!D9</f>
        <v>1</v>
      </c>
      <c r="I116" s="15" t="n">
        <f aca="false">Ipotesi!D10</f>
        <v>1</v>
      </c>
      <c r="J116" s="15" t="n">
        <f aca="false">Ipotesi!D11</f>
        <v>1</v>
      </c>
      <c r="K116" s="15" t="n">
        <f aca="false">Ipotesi!D12</f>
        <v>1</v>
      </c>
      <c r="L116" s="15" t="n">
        <f aca="false">Ipotesi!D13</f>
        <v>90</v>
      </c>
      <c r="M116" s="17" t="n">
        <f aca="false">INDEX(Ipotesi!$C$40:$G$40,1,F116)</f>
        <v>1</v>
      </c>
      <c r="N116" s="17" t="n">
        <f aca="false">INDEX(Ipotesi!$C$41:$G$41,1,F116)</f>
        <v>1</v>
      </c>
      <c r="O116" s="17" t="n">
        <f aca="false">INDEX(Ipotesi!$C$42:$G$42,1,F116)*Ipotesi!D125</f>
        <v>8.5</v>
      </c>
      <c r="P116" s="17" t="n">
        <f aca="false">INDEX(Ipotesi!$C$43:$G$43,1,F116)*I116</f>
        <v>7</v>
      </c>
      <c r="Q116" s="17" t="n">
        <f aca="false">INDEX(Ipotesi!$C$44:$G$44,1,F116)*I116</f>
        <v>6</v>
      </c>
      <c r="R116" s="17" t="n">
        <f aca="false">INDEX(Ipotesi!$C$45:$G$45,1,F116)*I116</f>
        <v>2</v>
      </c>
      <c r="S116" s="17" t="n">
        <f aca="false">INDEX(Ipotesi!$C$52:$G$52,1,F116)*Ipotesi!D125</f>
        <v>9</v>
      </c>
      <c r="T116" s="17" t="n">
        <f aca="false">INDEX(Ipotesi!$C$53:$G$53,1,F116)*I116</f>
        <v>1</v>
      </c>
      <c r="U116" s="17" t="n">
        <f aca="false">INDEX(Ipotesi!$C$54:$G$54,1,F116)*I116</f>
        <v>1</v>
      </c>
      <c r="V116" s="15" t="n">
        <f aca="false">M116*INDEX(Ipotesi!$C$58:$G$58,1,F116)*K116/12</f>
        <v>8333.33333333333</v>
      </c>
      <c r="W116" s="15" t="n">
        <f aca="false">N116*Ipotesi!$C$59*(1+Ipotesi!$C$66)^(F116-1)/12</f>
        <v>6565.46805833334</v>
      </c>
      <c r="X116" s="15" t="n">
        <f aca="false">O116*Ipotesi!$C$60*(1+Ipotesi!$C$66)^(F116-1)/12</f>
        <v>39861.7703541667</v>
      </c>
      <c r="Y116" s="15" t="n">
        <f aca="false">P116*Ipotesi!$C$61*(1+Ipotesi!$C$66)^(F116-1)/12</f>
        <v>32827.3402916667</v>
      </c>
      <c r="Z116" s="15" t="n">
        <f aca="false">Q116*Ipotesi!$C$62*(1+Ipotesi!$C$66)^(F116-1)/12</f>
        <v>25323.948225</v>
      </c>
      <c r="AA116" s="15" t="n">
        <f aca="false">R116*Ipotesi!$C$63*(1+Ipotesi!$C$66)^(F116-1)/12</f>
        <v>6565.46805833334</v>
      </c>
      <c r="AB116" s="15" t="n">
        <f aca="false">SUM(V116:AA116)</f>
        <v>119477.328320833</v>
      </c>
      <c r="AC116" s="15" t="n">
        <f aca="false">(S116*Ipotesi!$C$64+T116*Ipotesi!$C$65+U116*Ipotesi!$C$63)*(1+Ipotesi!$C$66)^(F116-1)/12</f>
        <v>44363.8055941667</v>
      </c>
      <c r="AD116" s="15" t="n">
        <f aca="false">INDEX(Ipotesi!$C$48:$G$48,1,F116)*G116/12</f>
        <v>95.8333333333333</v>
      </c>
      <c r="AE116" s="15" t="n">
        <f aca="false">INDEX(Ipotesi!$C$50:$G$50,1,F116)*G116/12</f>
        <v>9.58333333333333</v>
      </c>
      <c r="AF116" s="15" t="n">
        <f aca="false">(S116*Parametri_v3!$C$7*Parametri_v3!$C$8+Parametri_v3!$C$10)/12</f>
        <v>115.5</v>
      </c>
      <c r="AG116" s="15" t="n">
        <f aca="false">AD116+AE116*(1+Parametri_v3!$C$9)</f>
        <v>110.208333333333</v>
      </c>
      <c r="AH116" s="16" t="n">
        <f aca="false">IF(AG116=0,1,MIN(1,AF116/AG116))</f>
        <v>1</v>
      </c>
      <c r="AI116" s="15" t="n">
        <f aca="false">AD116*AH116</f>
        <v>95.8333333333333</v>
      </c>
      <c r="AJ116" s="15" t="n">
        <f aca="false">AE116*AH116</f>
        <v>9.58333333333333</v>
      </c>
      <c r="AK116" s="15" t="n">
        <f aca="false">AI116*INDEX(Ipotesi!$C$49:$G$49,1,F116)*H116</f>
        <v>91041.6666666667</v>
      </c>
      <c r="AL116" s="15" t="n">
        <f aca="false">AJ116*INDEX(Ipotesi!$C$51:$G$51,1,F116)*H116</f>
        <v>24916.6666666667</v>
      </c>
      <c r="AM116" s="15" t="n">
        <f aca="false">AK116+AL116</f>
        <v>115958.333333333</v>
      </c>
      <c r="AN116" s="15" t="n">
        <f aca="false">INDEX(Ipotesi!$C$30:$G$30,1,F116)*G116/12</f>
        <v>81.6666666666667</v>
      </c>
      <c r="AO116" s="15" t="n">
        <f aca="false">O116*Parametri_v3!$C$7*Parametri_v3!$C$11*(1-Parametri_v3!$C$14)/12</f>
        <v>87.2666666666667</v>
      </c>
      <c r="AP116" s="15" t="n">
        <f aca="false">MIN(AN116,AO116)</f>
        <v>81.6666666666667</v>
      </c>
      <c r="AQ116" s="15" t="n">
        <f aca="false">AP116*INDEX(Ipotesi!$C$31:$G$31,1,F116)*H116</f>
        <v>89833.3333333333</v>
      </c>
      <c r="AR116" s="15" t="n">
        <f aca="false">INDEX(Ipotesi!$C$75:$G$75,1,F116)*J116/12</f>
        <v>35833.3333333333</v>
      </c>
      <c r="AS116" s="15" t="n">
        <f aca="false">INDEX(Ipotesi!$C$81:$G$81,1,F116)*J116/12</f>
        <v>2083.33333333333</v>
      </c>
      <c r="AT116" s="15" t="n">
        <f aca="false">AR116*Parametri_v3!$C$15+Z116*Parametri_v3!$C$16</f>
        <v>53560.0970908333</v>
      </c>
      <c r="AU116" s="15" t="n">
        <f aca="false">Q116*Parametri_v3!$C$16*Parametri_v3!$C$17</f>
        <v>420</v>
      </c>
      <c r="AV116" s="17" t="n">
        <f aca="false">BD115</f>
        <v>170.213047333195</v>
      </c>
      <c r="AW116" s="17" t="n">
        <f aca="false">AV116*(1-(1-INDEX(Ipotesi!$C$34:$G$34,1,F116))^(1/12))</f>
        <v>1.48793623920017</v>
      </c>
      <c r="AX116" s="15" t="n">
        <f aca="false">ROUND(INDEX(Ipotesi!$C$32:$G$32,1,F116)*Ipotesi!D8,0)</f>
        <v>560</v>
      </c>
      <c r="AY116" s="15" t="n">
        <f aca="false">MAX(0,(AX116-(AV116-AW116))/(13-E116))</f>
        <v>43.4749876562228</v>
      </c>
      <c r="AZ116" s="15" t="n">
        <f aca="false">MIN(P116*Parametri_v3!$C$22,Q116*(1-Parametri_v3!$C$16)*Parametri_v3!$C$23)</f>
        <v>270</v>
      </c>
      <c r="BA116" s="15" t="n">
        <f aca="false">IF(OR(INDEX(Ipotesi!$C$35:$G$35,1,F116)&lt;=0,52-Parametri_v3!$C$21&lt;1),0,INDEX($AT$65:$AT$124,MAX(1,52-Parametri_v3!$C$21))/(INDEX(Ipotesi!$C$35:$G$35,1,F116)*Ipotesi!D27))</f>
        <v>8.24001493705128</v>
      </c>
      <c r="BB116" s="15" t="n">
        <f aca="false">IF(52-Parametri_v3!$C$21&lt;1,0,INDEX($AU$65:$AU$124,MAX(1,52-Parametri_v3!$C$21)))*Parametri_v3!$C$18*Parametri_v3!$C$19*Parametri_v3!$C$20</f>
        <v>15.75</v>
      </c>
      <c r="BC116" s="17" t="n">
        <f aca="false">MAX(0,MIN(AY116,BA116,BB116,MAX(0,AZ116-(AV116-AW116))))</f>
        <v>8.24001493705128</v>
      </c>
      <c r="BD116" s="17" t="n">
        <f aca="false">AV116-AW116+BC116</f>
        <v>176.965126031046</v>
      </c>
      <c r="BE116" s="17" t="n">
        <f aca="false">(AV116+BD116)/2</f>
        <v>173.58908668212</v>
      </c>
      <c r="BF116" s="15" t="n">
        <f aca="false">BE116*INDEX(Ipotesi!$C$33:$G$33,1,F116)*H116/12</f>
        <v>89687.6947857621</v>
      </c>
      <c r="BG116" s="15" t="n">
        <f aca="false">BD116*INDEX(Ipotesi!$C$33:$G$33,1,F116)*H116</f>
        <v>1097183.78139248</v>
      </c>
      <c r="BH116" s="15" t="n">
        <f aca="false">AM116*INDEX(Ipotesi!$C$37:$G$37,1,F116)</f>
        <v>11595.8333333333</v>
      </c>
      <c r="BI116" s="15" t="n">
        <f aca="false">AQ116+BF116+BH116</f>
        <v>191116.861452429</v>
      </c>
      <c r="BJ116" s="15" t="n">
        <f aca="false">INDEX(Ipotesi!$C$68:$G$68,1,F116)*Ipotesi!$C$69/12</f>
        <v>3333.33333333333</v>
      </c>
      <c r="BK116" s="15" t="n">
        <f aca="false">INDEX(Ipotesi!$C$68:$G$68,1,F116)*(1-Ipotesi!$C$69)/12</f>
        <v>5000</v>
      </c>
      <c r="BL116" s="15" t="n">
        <f aca="false">(AQ116+BF116)*Ipotesi!$C$67</f>
        <v>5385.63084357286</v>
      </c>
      <c r="BM116" s="15" t="n">
        <f aca="false">AM116*Ipotesi!$C$67</f>
        <v>3478.75</v>
      </c>
      <c r="BN116" s="15" t="n">
        <f aca="false">INDEX(Ipotesi!$C$72:$G$72,1,F116)/12*Ipotesi!D126+BF116*Ipotesi!$C$73</f>
        <v>8425.01558286097</v>
      </c>
      <c r="BO116" s="15" t="n">
        <f aca="false">INDEX(Ipotesi!$C$74:$G$74,1,F116)/12*Ipotesi!D126</f>
        <v>5416.66666666667</v>
      </c>
      <c r="BP116" s="15" t="n">
        <f aca="false">INDEX(Ipotesi!$C$76:$G$76,1,F116)/12</f>
        <v>1916.66666666667</v>
      </c>
      <c r="BQ116" s="15" t="n">
        <f aca="false">INDEX(Ipotesi!$C$77:$G$77,1,F116)/12*Ipotesi!D126</f>
        <v>2500</v>
      </c>
      <c r="BR116" s="15" t="n">
        <f aca="false">INDEX(Ipotesi!$C$78:$G$78,1,F116)/12</f>
        <v>2333.33333333333</v>
      </c>
      <c r="BS116" s="15" t="n">
        <f aca="false">SUM(M116:R116)*(Ipotesi!$C$85+Ipotesi!$C$86)/12</f>
        <v>7437.5</v>
      </c>
      <c r="BT116" s="15" t="n">
        <f aca="false">BI116*Ipotesi!$C$87</f>
        <v>5733.50584357286</v>
      </c>
      <c r="BU116" s="15" t="n">
        <f aca="false">INDEX(Ipotesi!$C$55:$G$55,1,F116)*K116/12</f>
        <v>2000</v>
      </c>
      <c r="BV116" s="15" t="n">
        <f aca="false">INDEX(Ipotesi!$C$80:$G$80,1,F116)/12*Ipotesi!D126</f>
        <v>2083.33333333333</v>
      </c>
      <c r="BW116" s="15" t="n">
        <f aca="false">INDEX(Ipotesi!$C$82:$G$82,1,F116)/12</f>
        <v>1500</v>
      </c>
      <c r="BX116" s="15" t="n">
        <f aca="false">INDEX(Ipotesi!$C$83:$G$83,1,F116)/12</f>
        <v>833.333333333333</v>
      </c>
      <c r="BY116" s="15" t="n">
        <f aca="false">SUM(S116:U116)*(Ipotesi!$C$85+Ipotesi!$C$86)/12</f>
        <v>3208.33333333333</v>
      </c>
      <c r="BZ116" s="15" t="n">
        <f aca="false">AM116*Ipotesi!$C$87</f>
        <v>3478.75</v>
      </c>
      <c r="CA116" s="15" t="n">
        <f aca="false">AB116+BJ116+BL116+BN116+BO116+AR116+BP116+BQ116+BR116+BS116+BT116</f>
        <v>197792.313924173</v>
      </c>
      <c r="CB116" s="15" t="n">
        <f aca="false">AC116+BK116+BM116+BH116+BU116+BV116+AS116+BW116+BX116+BY116+BZ116</f>
        <v>79625.4722608333</v>
      </c>
      <c r="CC116" s="15" t="n">
        <f aca="false">BI116-CA116</f>
        <v>-6675.45247174462</v>
      </c>
      <c r="CD116" s="15" t="n">
        <f aca="false">AM116-CB116</f>
        <v>36332.8610725</v>
      </c>
      <c r="CE116" s="15" t="n">
        <f aca="false">INDEX(Ipotesi!$C$79:$G$79,1,F116)/12</f>
        <v>4166.66666666667</v>
      </c>
      <c r="CF116" s="15" t="n">
        <f aca="false">INDEX(Ipotesi!$C$84:$G$84,1,F116)/12</f>
        <v>666.666666666667</v>
      </c>
      <c r="CG116" s="15" t="n">
        <f aca="false">Y116*MAX(0,Parametri_v3!$C$12-IF(P116=0,0,MIN(1,BE116/(P116*Parametri_v3!$C$22))))+W116*Parametri_v3!$C$13+X116*Parametri_v3!$C$14</f>
        <v>35941.7597924758</v>
      </c>
      <c r="CH116" s="15" t="n">
        <f aca="false">AB116*Parametri_v3!$C$32</f>
        <v>5973.86641604167</v>
      </c>
      <c r="CI116" s="15" t="n">
        <f aca="false">AC116*Parametri_v3!$C$32</f>
        <v>2218.19027970833</v>
      </c>
      <c r="CJ116" s="15" t="n">
        <f aca="false">CA116-AB116</f>
        <v>78314.98560334</v>
      </c>
      <c r="CK116" s="15" t="n">
        <f aca="false">CB116-AC116-BH116</f>
        <v>23665.8333333333</v>
      </c>
      <c r="CL116" s="15" t="n">
        <f aca="false">BF116*Ipotesi!$C$73+INDEX(Ipotesi!$C$72:$G$72,1,F116)/12*Ipotesi!D126*Parametri_v3!$C$58+Z116*(1-Parametri_v3!$C$16)</f>
        <v>16022.200050361</v>
      </c>
      <c r="CM116" s="16" t="n">
        <f aca="false">IF(BF116=0,0,1-CL116/BF116)</f>
        <v>0.821355648747207</v>
      </c>
    </row>
    <row r="117" customFormat="false" ht="18" hidden="false" customHeight="true" outlineLevel="0" collapsed="false">
      <c r="A117" s="68" t="n">
        <f aca="false">2</f>
        <v>2</v>
      </c>
      <c r="B117" s="68" t="n">
        <f aca="false">53</f>
        <v>53</v>
      </c>
      <c r="C117" s="18" t="n">
        <f aca="false">EDATE(Parametri_v3!$C$5,53-1)</f>
        <v>47969</v>
      </c>
      <c r="D117" s="68" t="n">
        <f aca="false">YEAR(C117)</f>
        <v>2031</v>
      </c>
      <c r="E117" s="68" t="n">
        <f aca="false">MONTH(C117)</f>
        <v>5</v>
      </c>
      <c r="F117" s="68" t="n">
        <f aca="false">INT((53-1)/12)+1</f>
        <v>5</v>
      </c>
      <c r="G117" s="15" t="n">
        <f aca="false">Ipotesi!D7</f>
        <v>1</v>
      </c>
      <c r="H117" s="15" t="n">
        <f aca="false">Ipotesi!D9</f>
        <v>1</v>
      </c>
      <c r="I117" s="15" t="n">
        <f aca="false">Ipotesi!D10</f>
        <v>1</v>
      </c>
      <c r="J117" s="15" t="n">
        <f aca="false">Ipotesi!D11</f>
        <v>1</v>
      </c>
      <c r="K117" s="15" t="n">
        <f aca="false">Ipotesi!D12</f>
        <v>1</v>
      </c>
      <c r="L117" s="15" t="n">
        <f aca="false">Ipotesi!D13</f>
        <v>90</v>
      </c>
      <c r="M117" s="17" t="n">
        <f aca="false">INDEX(Ipotesi!$C$40:$G$40,1,F117)</f>
        <v>1</v>
      </c>
      <c r="N117" s="17" t="n">
        <f aca="false">INDEX(Ipotesi!$C$41:$G$41,1,F117)</f>
        <v>1</v>
      </c>
      <c r="O117" s="17" t="n">
        <f aca="false">INDEX(Ipotesi!$C$42:$G$42,1,F117)*Ipotesi!D125</f>
        <v>8.5</v>
      </c>
      <c r="P117" s="17" t="n">
        <f aca="false">INDEX(Ipotesi!$C$43:$G$43,1,F117)*I117</f>
        <v>7</v>
      </c>
      <c r="Q117" s="17" t="n">
        <f aca="false">INDEX(Ipotesi!$C$44:$G$44,1,F117)*I117</f>
        <v>6</v>
      </c>
      <c r="R117" s="17" t="n">
        <f aca="false">INDEX(Ipotesi!$C$45:$G$45,1,F117)*I117</f>
        <v>2</v>
      </c>
      <c r="S117" s="17" t="n">
        <f aca="false">INDEX(Ipotesi!$C$52:$G$52,1,F117)*Ipotesi!D125</f>
        <v>9</v>
      </c>
      <c r="T117" s="17" t="n">
        <f aca="false">INDEX(Ipotesi!$C$53:$G$53,1,F117)*I117</f>
        <v>1</v>
      </c>
      <c r="U117" s="17" t="n">
        <f aca="false">INDEX(Ipotesi!$C$54:$G$54,1,F117)*I117</f>
        <v>1</v>
      </c>
      <c r="V117" s="15" t="n">
        <f aca="false">M117*INDEX(Ipotesi!$C$58:$G$58,1,F117)*K117/12</f>
        <v>8333.33333333333</v>
      </c>
      <c r="W117" s="15" t="n">
        <f aca="false">N117*Ipotesi!$C$59*(1+Ipotesi!$C$66)^(F117-1)/12</f>
        <v>6565.46805833334</v>
      </c>
      <c r="X117" s="15" t="n">
        <f aca="false">O117*Ipotesi!$C$60*(1+Ipotesi!$C$66)^(F117-1)/12</f>
        <v>39861.7703541667</v>
      </c>
      <c r="Y117" s="15" t="n">
        <f aca="false">P117*Ipotesi!$C$61*(1+Ipotesi!$C$66)^(F117-1)/12</f>
        <v>32827.3402916667</v>
      </c>
      <c r="Z117" s="15" t="n">
        <f aca="false">Q117*Ipotesi!$C$62*(1+Ipotesi!$C$66)^(F117-1)/12</f>
        <v>25323.948225</v>
      </c>
      <c r="AA117" s="15" t="n">
        <f aca="false">R117*Ipotesi!$C$63*(1+Ipotesi!$C$66)^(F117-1)/12</f>
        <v>6565.46805833334</v>
      </c>
      <c r="AB117" s="15" t="n">
        <f aca="false">SUM(V117:AA117)</f>
        <v>119477.328320833</v>
      </c>
      <c r="AC117" s="15" t="n">
        <f aca="false">(S117*Ipotesi!$C$64+T117*Ipotesi!$C$65+U117*Ipotesi!$C$63)*(1+Ipotesi!$C$66)^(F117-1)/12</f>
        <v>44363.8055941667</v>
      </c>
      <c r="AD117" s="15" t="n">
        <f aca="false">INDEX(Ipotesi!$C$48:$G$48,1,F117)*G117/12</f>
        <v>95.8333333333333</v>
      </c>
      <c r="AE117" s="15" t="n">
        <f aca="false">INDEX(Ipotesi!$C$50:$G$50,1,F117)*G117/12</f>
        <v>9.58333333333333</v>
      </c>
      <c r="AF117" s="15" t="n">
        <f aca="false">(S117*Parametri_v3!$C$7*Parametri_v3!$C$8+Parametri_v3!$C$10)/12</f>
        <v>115.5</v>
      </c>
      <c r="AG117" s="15" t="n">
        <f aca="false">AD117+AE117*(1+Parametri_v3!$C$9)</f>
        <v>110.208333333333</v>
      </c>
      <c r="AH117" s="16" t="n">
        <f aca="false">IF(AG117=0,1,MIN(1,AF117/AG117))</f>
        <v>1</v>
      </c>
      <c r="AI117" s="15" t="n">
        <f aca="false">AD117*AH117</f>
        <v>95.8333333333333</v>
      </c>
      <c r="AJ117" s="15" t="n">
        <f aca="false">AE117*AH117</f>
        <v>9.58333333333333</v>
      </c>
      <c r="AK117" s="15" t="n">
        <f aca="false">AI117*INDEX(Ipotesi!$C$49:$G$49,1,F117)*H117</f>
        <v>91041.6666666667</v>
      </c>
      <c r="AL117" s="15" t="n">
        <f aca="false">AJ117*INDEX(Ipotesi!$C$51:$G$51,1,F117)*H117</f>
        <v>24916.6666666667</v>
      </c>
      <c r="AM117" s="15" t="n">
        <f aca="false">AK117+AL117</f>
        <v>115958.333333333</v>
      </c>
      <c r="AN117" s="15" t="n">
        <f aca="false">INDEX(Ipotesi!$C$30:$G$30,1,F117)*G117/12</f>
        <v>81.6666666666667</v>
      </c>
      <c r="AO117" s="15" t="n">
        <f aca="false">O117*Parametri_v3!$C$7*Parametri_v3!$C$11*(1-Parametri_v3!$C$14)/12</f>
        <v>87.2666666666667</v>
      </c>
      <c r="AP117" s="15" t="n">
        <f aca="false">MIN(AN117,AO117)</f>
        <v>81.6666666666667</v>
      </c>
      <c r="AQ117" s="15" t="n">
        <f aca="false">AP117*INDEX(Ipotesi!$C$31:$G$31,1,F117)*H117</f>
        <v>89833.3333333333</v>
      </c>
      <c r="AR117" s="15" t="n">
        <f aca="false">INDEX(Ipotesi!$C$75:$G$75,1,F117)*J117/12</f>
        <v>35833.3333333333</v>
      </c>
      <c r="AS117" s="15" t="n">
        <f aca="false">INDEX(Ipotesi!$C$81:$G$81,1,F117)*J117/12</f>
        <v>2083.33333333333</v>
      </c>
      <c r="AT117" s="15" t="n">
        <f aca="false">AR117*Parametri_v3!$C$15+Z117*Parametri_v3!$C$16</f>
        <v>53560.0970908333</v>
      </c>
      <c r="AU117" s="15" t="n">
        <f aca="false">Q117*Parametri_v3!$C$16*Parametri_v3!$C$17</f>
        <v>420</v>
      </c>
      <c r="AV117" s="17" t="n">
        <f aca="false">BD116</f>
        <v>176.965126031046</v>
      </c>
      <c r="AW117" s="17" t="n">
        <f aca="false">AV117*(1-(1-INDEX(Ipotesi!$C$34:$G$34,1,F117))^(1/12))</f>
        <v>1.54696028431228</v>
      </c>
      <c r="AX117" s="15" t="n">
        <f aca="false">ROUND(INDEX(Ipotesi!$C$32:$G$32,1,F117)*Ipotesi!D8,0)</f>
        <v>560</v>
      </c>
      <c r="AY117" s="15" t="n">
        <f aca="false">MAX(0,(AX117-(AV117-AW117))/(13-E117))</f>
        <v>48.0727292816583</v>
      </c>
      <c r="AZ117" s="15" t="n">
        <f aca="false">MIN(P117*Parametri_v3!$C$22,Q117*(1-Parametri_v3!$C$16)*Parametri_v3!$C$23)</f>
        <v>270</v>
      </c>
      <c r="BA117" s="15" t="n">
        <f aca="false">IF(OR(INDEX(Ipotesi!$C$35:$G$35,1,F117)&lt;=0,53-Parametri_v3!$C$21&lt;1),0,INDEX($AT$65:$AT$124,MAX(1,53-Parametri_v3!$C$21))/(INDEX(Ipotesi!$C$35:$G$35,1,F117)*Ipotesi!D27))</f>
        <v>8.24001493705128</v>
      </c>
      <c r="BB117" s="15" t="n">
        <f aca="false">IF(53-Parametri_v3!$C$21&lt;1,0,INDEX($AU$65:$AU$124,MAX(1,53-Parametri_v3!$C$21)))*Parametri_v3!$C$18*Parametri_v3!$C$19*Parametri_v3!$C$20</f>
        <v>15.75</v>
      </c>
      <c r="BC117" s="17" t="n">
        <f aca="false">MAX(0,MIN(AY117,BA117,BB117,MAX(0,AZ117-(AV117-AW117))))</f>
        <v>8.24001493705128</v>
      </c>
      <c r="BD117" s="17" t="n">
        <f aca="false">AV117-AW117+BC117</f>
        <v>183.658180683785</v>
      </c>
      <c r="BE117" s="17" t="n">
        <f aca="false">(AV117+BD117)/2</f>
        <v>180.311653357415</v>
      </c>
      <c r="BF117" s="15" t="n">
        <f aca="false">BE117*INDEX(Ipotesi!$C$33:$G$33,1,F117)*H117/12</f>
        <v>93161.0209013312</v>
      </c>
      <c r="BG117" s="15" t="n">
        <f aca="false">BD117*INDEX(Ipotesi!$C$33:$G$33,1,F117)*H117</f>
        <v>1138680.72023947</v>
      </c>
      <c r="BH117" s="15" t="n">
        <f aca="false">AM117*INDEX(Ipotesi!$C$37:$G$37,1,F117)</f>
        <v>11595.8333333333</v>
      </c>
      <c r="BI117" s="15" t="n">
        <f aca="false">AQ117+BF117+BH117</f>
        <v>194590.187567998</v>
      </c>
      <c r="BJ117" s="15" t="n">
        <f aca="false">INDEX(Ipotesi!$C$68:$G$68,1,F117)*Ipotesi!$C$69/12</f>
        <v>3333.33333333333</v>
      </c>
      <c r="BK117" s="15" t="n">
        <f aca="false">INDEX(Ipotesi!$C$68:$G$68,1,F117)*(1-Ipotesi!$C$69)/12</f>
        <v>5000</v>
      </c>
      <c r="BL117" s="15" t="n">
        <f aca="false">(AQ117+BF117)*Ipotesi!$C$67</f>
        <v>5489.83062703994</v>
      </c>
      <c r="BM117" s="15" t="n">
        <f aca="false">AM117*Ipotesi!$C$67</f>
        <v>3478.75</v>
      </c>
      <c r="BN117" s="15" t="n">
        <f aca="false">INDEX(Ipotesi!$C$72:$G$72,1,F117)/12*Ipotesi!D126+BF117*Ipotesi!$C$73</f>
        <v>8702.8816721065</v>
      </c>
      <c r="BO117" s="15" t="n">
        <f aca="false">INDEX(Ipotesi!$C$74:$G$74,1,F117)/12*Ipotesi!D126</f>
        <v>5416.66666666667</v>
      </c>
      <c r="BP117" s="15" t="n">
        <f aca="false">INDEX(Ipotesi!$C$76:$G$76,1,F117)/12</f>
        <v>1916.66666666667</v>
      </c>
      <c r="BQ117" s="15" t="n">
        <f aca="false">INDEX(Ipotesi!$C$77:$G$77,1,F117)/12*Ipotesi!D126</f>
        <v>2500</v>
      </c>
      <c r="BR117" s="15" t="n">
        <f aca="false">INDEX(Ipotesi!$C$78:$G$78,1,F117)/12</f>
        <v>2333.33333333333</v>
      </c>
      <c r="BS117" s="15" t="n">
        <f aca="false">SUM(M117:R117)*(Ipotesi!$C$85+Ipotesi!$C$86)/12</f>
        <v>7437.5</v>
      </c>
      <c r="BT117" s="15" t="n">
        <f aca="false">BI117*Ipotesi!$C$87</f>
        <v>5837.70562703994</v>
      </c>
      <c r="BU117" s="15" t="n">
        <f aca="false">INDEX(Ipotesi!$C$55:$G$55,1,F117)*K117/12</f>
        <v>2000</v>
      </c>
      <c r="BV117" s="15" t="n">
        <f aca="false">INDEX(Ipotesi!$C$80:$G$80,1,F117)/12*Ipotesi!D126</f>
        <v>2083.33333333333</v>
      </c>
      <c r="BW117" s="15" t="n">
        <f aca="false">INDEX(Ipotesi!$C$82:$G$82,1,F117)/12</f>
        <v>1500</v>
      </c>
      <c r="BX117" s="15" t="n">
        <f aca="false">INDEX(Ipotesi!$C$83:$G$83,1,F117)/12</f>
        <v>833.333333333333</v>
      </c>
      <c r="BY117" s="15" t="n">
        <f aca="false">SUM(S117:U117)*(Ipotesi!$C$85+Ipotesi!$C$86)/12</f>
        <v>3208.33333333333</v>
      </c>
      <c r="BZ117" s="15" t="n">
        <f aca="false">AM117*Ipotesi!$C$87</f>
        <v>3478.75</v>
      </c>
      <c r="CA117" s="15" t="n">
        <f aca="false">AB117+BJ117+BL117+BN117+BO117+AR117+BP117+BQ117+BR117+BS117+BT117</f>
        <v>198278.579580353</v>
      </c>
      <c r="CB117" s="15" t="n">
        <f aca="false">AC117+BK117+BM117+BH117+BU117+BV117+AS117+BW117+BX117+BY117+BZ117</f>
        <v>79625.4722608333</v>
      </c>
      <c r="CC117" s="15" t="n">
        <f aca="false">BI117-CA117</f>
        <v>-3688.39201235518</v>
      </c>
      <c r="CD117" s="15" t="n">
        <f aca="false">AM117-CB117</f>
        <v>36332.8610725</v>
      </c>
      <c r="CE117" s="15" t="n">
        <f aca="false">INDEX(Ipotesi!$C$79:$G$79,1,F117)/12</f>
        <v>4166.66666666667</v>
      </c>
      <c r="CF117" s="15" t="n">
        <f aca="false">INDEX(Ipotesi!$C$84:$G$84,1,F117)/12</f>
        <v>666.666666666667</v>
      </c>
      <c r="CG117" s="15" t="n">
        <f aca="false">Y117*MAX(0,Parametri_v3!$C$12-IF(P117=0,0,MIN(1,BE117/(P117*Parametri_v3!$C$22))))+W117*Parametri_v3!$C$13+X117*Parametri_v3!$C$14</f>
        <v>35626.4969583568</v>
      </c>
      <c r="CH117" s="15" t="n">
        <f aca="false">AB117*Parametri_v3!$C$32</f>
        <v>5973.86641604167</v>
      </c>
      <c r="CI117" s="15" t="n">
        <f aca="false">AC117*Parametri_v3!$C$32</f>
        <v>2218.19027970833</v>
      </c>
      <c r="CJ117" s="15" t="n">
        <f aca="false">CA117-AB117</f>
        <v>78801.2512595197</v>
      </c>
      <c r="CK117" s="15" t="n">
        <f aca="false">CB117-AC117-BH117</f>
        <v>23665.8333333333</v>
      </c>
      <c r="CL117" s="15" t="n">
        <f aca="false">BF117*Ipotesi!$C$73+INDEX(Ipotesi!$C$72:$G$72,1,F117)/12*Ipotesi!D126*Parametri_v3!$C$58+Z117*(1-Parametri_v3!$C$16)</f>
        <v>16300.0661396065</v>
      </c>
      <c r="CM117" s="16" t="n">
        <f aca="false">IF(BF117=0,0,1-CL117/BF117)</f>
        <v>0.825033410090361</v>
      </c>
    </row>
    <row r="118" customFormat="false" ht="18" hidden="false" customHeight="true" outlineLevel="0" collapsed="false">
      <c r="A118" s="68" t="n">
        <f aca="false">2</f>
        <v>2</v>
      </c>
      <c r="B118" s="68" t="n">
        <f aca="false">54</f>
        <v>54</v>
      </c>
      <c r="C118" s="18" t="n">
        <f aca="false">EDATE(Parametri_v3!$C$5,54-1)</f>
        <v>48000</v>
      </c>
      <c r="D118" s="68" t="n">
        <f aca="false">YEAR(C118)</f>
        <v>2031</v>
      </c>
      <c r="E118" s="68" t="n">
        <f aca="false">MONTH(C118)</f>
        <v>6</v>
      </c>
      <c r="F118" s="68" t="n">
        <f aca="false">INT((54-1)/12)+1</f>
        <v>5</v>
      </c>
      <c r="G118" s="15" t="n">
        <f aca="false">Ipotesi!D7</f>
        <v>1</v>
      </c>
      <c r="H118" s="15" t="n">
        <f aca="false">Ipotesi!D9</f>
        <v>1</v>
      </c>
      <c r="I118" s="15" t="n">
        <f aca="false">Ipotesi!D10</f>
        <v>1</v>
      </c>
      <c r="J118" s="15" t="n">
        <f aca="false">Ipotesi!D11</f>
        <v>1</v>
      </c>
      <c r="K118" s="15" t="n">
        <f aca="false">Ipotesi!D12</f>
        <v>1</v>
      </c>
      <c r="L118" s="15" t="n">
        <f aca="false">Ipotesi!D13</f>
        <v>90</v>
      </c>
      <c r="M118" s="17" t="n">
        <f aca="false">INDEX(Ipotesi!$C$40:$G$40,1,F118)</f>
        <v>1</v>
      </c>
      <c r="N118" s="17" t="n">
        <f aca="false">INDEX(Ipotesi!$C$41:$G$41,1,F118)</f>
        <v>1</v>
      </c>
      <c r="O118" s="17" t="n">
        <f aca="false">INDEX(Ipotesi!$C$42:$G$42,1,F118)*Ipotesi!D125</f>
        <v>8.5</v>
      </c>
      <c r="P118" s="17" t="n">
        <f aca="false">INDEX(Ipotesi!$C$43:$G$43,1,F118)*I118</f>
        <v>7</v>
      </c>
      <c r="Q118" s="17" t="n">
        <f aca="false">INDEX(Ipotesi!$C$44:$G$44,1,F118)*I118</f>
        <v>6</v>
      </c>
      <c r="R118" s="17" t="n">
        <f aca="false">INDEX(Ipotesi!$C$45:$G$45,1,F118)*I118</f>
        <v>2</v>
      </c>
      <c r="S118" s="17" t="n">
        <f aca="false">INDEX(Ipotesi!$C$52:$G$52,1,F118)*Ipotesi!D125</f>
        <v>9</v>
      </c>
      <c r="T118" s="17" t="n">
        <f aca="false">INDEX(Ipotesi!$C$53:$G$53,1,F118)*I118</f>
        <v>1</v>
      </c>
      <c r="U118" s="17" t="n">
        <f aca="false">INDEX(Ipotesi!$C$54:$G$54,1,F118)*I118</f>
        <v>1</v>
      </c>
      <c r="V118" s="15" t="n">
        <f aca="false">M118*INDEX(Ipotesi!$C$58:$G$58,1,F118)*K118/12</f>
        <v>8333.33333333333</v>
      </c>
      <c r="W118" s="15" t="n">
        <f aca="false">N118*Ipotesi!$C$59*(1+Ipotesi!$C$66)^(F118-1)/12</f>
        <v>6565.46805833334</v>
      </c>
      <c r="X118" s="15" t="n">
        <f aca="false">O118*Ipotesi!$C$60*(1+Ipotesi!$C$66)^(F118-1)/12</f>
        <v>39861.7703541667</v>
      </c>
      <c r="Y118" s="15" t="n">
        <f aca="false">P118*Ipotesi!$C$61*(1+Ipotesi!$C$66)^(F118-1)/12</f>
        <v>32827.3402916667</v>
      </c>
      <c r="Z118" s="15" t="n">
        <f aca="false">Q118*Ipotesi!$C$62*(1+Ipotesi!$C$66)^(F118-1)/12</f>
        <v>25323.948225</v>
      </c>
      <c r="AA118" s="15" t="n">
        <f aca="false">R118*Ipotesi!$C$63*(1+Ipotesi!$C$66)^(F118-1)/12</f>
        <v>6565.46805833334</v>
      </c>
      <c r="AB118" s="15" t="n">
        <f aca="false">SUM(V118:AA118)</f>
        <v>119477.328320833</v>
      </c>
      <c r="AC118" s="15" t="n">
        <f aca="false">(S118*Ipotesi!$C$64+T118*Ipotesi!$C$65+U118*Ipotesi!$C$63)*(1+Ipotesi!$C$66)^(F118-1)/12</f>
        <v>44363.8055941667</v>
      </c>
      <c r="AD118" s="15" t="n">
        <f aca="false">INDEX(Ipotesi!$C$48:$G$48,1,F118)*G118/12</f>
        <v>95.8333333333333</v>
      </c>
      <c r="AE118" s="15" t="n">
        <f aca="false">INDEX(Ipotesi!$C$50:$G$50,1,F118)*G118/12</f>
        <v>9.58333333333333</v>
      </c>
      <c r="AF118" s="15" t="n">
        <f aca="false">(S118*Parametri_v3!$C$7*Parametri_v3!$C$8+Parametri_v3!$C$10)/12</f>
        <v>115.5</v>
      </c>
      <c r="AG118" s="15" t="n">
        <f aca="false">AD118+AE118*(1+Parametri_v3!$C$9)</f>
        <v>110.208333333333</v>
      </c>
      <c r="AH118" s="16" t="n">
        <f aca="false">IF(AG118=0,1,MIN(1,AF118/AG118))</f>
        <v>1</v>
      </c>
      <c r="AI118" s="15" t="n">
        <f aca="false">AD118*AH118</f>
        <v>95.8333333333333</v>
      </c>
      <c r="AJ118" s="15" t="n">
        <f aca="false">AE118*AH118</f>
        <v>9.58333333333333</v>
      </c>
      <c r="AK118" s="15" t="n">
        <f aca="false">AI118*INDEX(Ipotesi!$C$49:$G$49,1,F118)*H118</f>
        <v>91041.6666666667</v>
      </c>
      <c r="AL118" s="15" t="n">
        <f aca="false">AJ118*INDEX(Ipotesi!$C$51:$G$51,1,F118)*H118</f>
        <v>24916.6666666667</v>
      </c>
      <c r="AM118" s="15" t="n">
        <f aca="false">AK118+AL118</f>
        <v>115958.333333333</v>
      </c>
      <c r="AN118" s="15" t="n">
        <f aca="false">INDEX(Ipotesi!$C$30:$G$30,1,F118)*G118/12</f>
        <v>81.6666666666667</v>
      </c>
      <c r="AO118" s="15" t="n">
        <f aca="false">O118*Parametri_v3!$C$7*Parametri_v3!$C$11*(1-Parametri_v3!$C$14)/12</f>
        <v>87.2666666666667</v>
      </c>
      <c r="AP118" s="15" t="n">
        <f aca="false">MIN(AN118,AO118)</f>
        <v>81.6666666666667</v>
      </c>
      <c r="AQ118" s="15" t="n">
        <f aca="false">AP118*INDEX(Ipotesi!$C$31:$G$31,1,F118)*H118</f>
        <v>89833.3333333333</v>
      </c>
      <c r="AR118" s="15" t="n">
        <f aca="false">INDEX(Ipotesi!$C$75:$G$75,1,F118)*J118/12</f>
        <v>35833.3333333333</v>
      </c>
      <c r="AS118" s="15" t="n">
        <f aca="false">INDEX(Ipotesi!$C$81:$G$81,1,F118)*J118/12</f>
        <v>2083.33333333333</v>
      </c>
      <c r="AT118" s="15" t="n">
        <f aca="false">AR118*Parametri_v3!$C$15+Z118*Parametri_v3!$C$16</f>
        <v>53560.0970908333</v>
      </c>
      <c r="AU118" s="15" t="n">
        <f aca="false">Q118*Parametri_v3!$C$16*Parametri_v3!$C$17</f>
        <v>420</v>
      </c>
      <c r="AV118" s="17" t="n">
        <f aca="false">BD117</f>
        <v>183.658180683785</v>
      </c>
      <c r="AW118" s="17" t="n">
        <f aca="false">AV118*(1-(1-INDEX(Ipotesi!$C$34:$G$34,1,F118))^(1/12))</f>
        <v>1.60546836418504</v>
      </c>
      <c r="AX118" s="15" t="n">
        <f aca="false">ROUND(INDEX(Ipotesi!$C$32:$G$32,1,F118)*Ipotesi!D8,0)</f>
        <v>560</v>
      </c>
      <c r="AY118" s="15" t="n">
        <f aca="false">MAX(0,(AX118-(AV118-AW118))/(13-E118))</f>
        <v>53.9924696686286</v>
      </c>
      <c r="AZ118" s="15" t="n">
        <f aca="false">MIN(P118*Parametri_v3!$C$22,Q118*(1-Parametri_v3!$C$16)*Parametri_v3!$C$23)</f>
        <v>270</v>
      </c>
      <c r="BA118" s="15" t="n">
        <f aca="false">IF(OR(INDEX(Ipotesi!$C$35:$G$35,1,F118)&lt;=0,54-Parametri_v3!$C$21&lt;1),0,INDEX($AT$65:$AT$124,MAX(1,54-Parametri_v3!$C$21))/(INDEX(Ipotesi!$C$35:$G$35,1,F118)*Ipotesi!D27))</f>
        <v>8.24001493705128</v>
      </c>
      <c r="BB118" s="15" t="n">
        <f aca="false">IF(54-Parametri_v3!$C$21&lt;1,0,INDEX($AU$65:$AU$124,MAX(1,54-Parametri_v3!$C$21)))*Parametri_v3!$C$18*Parametri_v3!$C$19*Parametri_v3!$C$20</f>
        <v>15.75</v>
      </c>
      <c r="BC118" s="17" t="n">
        <f aca="false">MAX(0,MIN(AY118,BA118,BB118,MAX(0,AZ118-(AV118-AW118))))</f>
        <v>8.24001493705128</v>
      </c>
      <c r="BD118" s="17" t="n">
        <f aca="false">AV118-AW118+BC118</f>
        <v>190.292727256651</v>
      </c>
      <c r="BE118" s="17" t="n">
        <f aca="false">(AV118+BD118)/2</f>
        <v>186.975453970218</v>
      </c>
      <c r="BF118" s="15" t="n">
        <f aca="false">BE118*INDEX(Ipotesi!$C$33:$G$33,1,F118)*H118/12</f>
        <v>96603.9845512792</v>
      </c>
      <c r="BG118" s="15" t="n">
        <f aca="false">BD118*INDEX(Ipotesi!$C$33:$G$33,1,F118)*H118</f>
        <v>1179814.90899124</v>
      </c>
      <c r="BH118" s="15" t="n">
        <f aca="false">AM118*INDEX(Ipotesi!$C$37:$G$37,1,F118)</f>
        <v>11595.8333333333</v>
      </c>
      <c r="BI118" s="15" t="n">
        <f aca="false">AQ118+BF118+BH118</f>
        <v>198033.151217946</v>
      </c>
      <c r="BJ118" s="15" t="n">
        <f aca="false">INDEX(Ipotesi!$C$68:$G$68,1,F118)*Ipotesi!$C$69/12</f>
        <v>3333.33333333333</v>
      </c>
      <c r="BK118" s="15" t="n">
        <f aca="false">INDEX(Ipotesi!$C$68:$G$68,1,F118)*(1-Ipotesi!$C$69)/12</f>
        <v>5000</v>
      </c>
      <c r="BL118" s="15" t="n">
        <f aca="false">(AQ118+BF118)*Ipotesi!$C$67</f>
        <v>5593.11953653838</v>
      </c>
      <c r="BM118" s="15" t="n">
        <f aca="false">AM118*Ipotesi!$C$67</f>
        <v>3478.75</v>
      </c>
      <c r="BN118" s="15" t="n">
        <f aca="false">INDEX(Ipotesi!$C$72:$G$72,1,F118)/12*Ipotesi!D126+BF118*Ipotesi!$C$73</f>
        <v>8978.31876410234</v>
      </c>
      <c r="BO118" s="15" t="n">
        <f aca="false">INDEX(Ipotesi!$C$74:$G$74,1,F118)/12*Ipotesi!D126</f>
        <v>5416.66666666667</v>
      </c>
      <c r="BP118" s="15" t="n">
        <f aca="false">INDEX(Ipotesi!$C$76:$G$76,1,F118)/12</f>
        <v>1916.66666666667</v>
      </c>
      <c r="BQ118" s="15" t="n">
        <f aca="false">INDEX(Ipotesi!$C$77:$G$77,1,F118)/12*Ipotesi!D126</f>
        <v>2500</v>
      </c>
      <c r="BR118" s="15" t="n">
        <f aca="false">INDEX(Ipotesi!$C$78:$G$78,1,F118)/12</f>
        <v>2333.33333333333</v>
      </c>
      <c r="BS118" s="15" t="n">
        <f aca="false">SUM(M118:R118)*(Ipotesi!$C$85+Ipotesi!$C$86)/12</f>
        <v>7437.5</v>
      </c>
      <c r="BT118" s="15" t="n">
        <f aca="false">BI118*Ipotesi!$C$87</f>
        <v>5940.99453653838</v>
      </c>
      <c r="BU118" s="15" t="n">
        <f aca="false">INDEX(Ipotesi!$C$55:$G$55,1,F118)*K118/12</f>
        <v>2000</v>
      </c>
      <c r="BV118" s="15" t="n">
        <f aca="false">INDEX(Ipotesi!$C$80:$G$80,1,F118)/12*Ipotesi!D126</f>
        <v>2083.33333333333</v>
      </c>
      <c r="BW118" s="15" t="n">
        <f aca="false">INDEX(Ipotesi!$C$82:$G$82,1,F118)/12</f>
        <v>1500</v>
      </c>
      <c r="BX118" s="15" t="n">
        <f aca="false">INDEX(Ipotesi!$C$83:$G$83,1,F118)/12</f>
        <v>833.333333333333</v>
      </c>
      <c r="BY118" s="15" t="n">
        <f aca="false">SUM(S118:U118)*(Ipotesi!$C$85+Ipotesi!$C$86)/12</f>
        <v>3208.33333333333</v>
      </c>
      <c r="BZ118" s="15" t="n">
        <f aca="false">AM118*Ipotesi!$C$87</f>
        <v>3478.75</v>
      </c>
      <c r="CA118" s="15" t="n">
        <f aca="false">AB118+BJ118+BL118+BN118+BO118+AR118+BP118+BQ118+BR118+BS118+BT118</f>
        <v>198760.594491346</v>
      </c>
      <c r="CB118" s="15" t="n">
        <f aca="false">AC118+BK118+BM118+BH118+BU118+BV118+AS118+BW118+BX118+BY118+BZ118</f>
        <v>79625.4722608333</v>
      </c>
      <c r="CC118" s="15" t="n">
        <f aca="false">BI118-CA118</f>
        <v>-727.443273399869</v>
      </c>
      <c r="CD118" s="15" t="n">
        <f aca="false">AM118-CB118</f>
        <v>36332.8610725</v>
      </c>
      <c r="CE118" s="15" t="n">
        <f aca="false">INDEX(Ipotesi!$C$79:$G$79,1,F118)/12</f>
        <v>4166.66666666667</v>
      </c>
      <c r="CF118" s="15" t="n">
        <f aca="false">INDEX(Ipotesi!$C$84:$G$84,1,F118)/12</f>
        <v>666.666666666667</v>
      </c>
      <c r="CG118" s="15" t="n">
        <f aca="false">Y118*MAX(0,Parametri_v3!$C$12-IF(P118=0,0,MIN(1,BE118/(P118*Parametri_v3!$C$22))))+W118*Parametri_v3!$C$13+X118*Parametri_v3!$C$14</f>
        <v>35313.9900292821</v>
      </c>
      <c r="CH118" s="15" t="n">
        <f aca="false">AB118*Parametri_v3!$C$32</f>
        <v>5973.86641604167</v>
      </c>
      <c r="CI118" s="15" t="n">
        <f aca="false">AC118*Parametri_v3!$C$32</f>
        <v>2218.19027970833</v>
      </c>
      <c r="CJ118" s="15" t="n">
        <f aca="false">CA118-AB118</f>
        <v>79283.2661705124</v>
      </c>
      <c r="CK118" s="15" t="n">
        <f aca="false">CB118-AC118-BH118</f>
        <v>23665.8333333333</v>
      </c>
      <c r="CL118" s="15" t="n">
        <f aca="false">BF118*Ipotesi!$C$73+INDEX(Ipotesi!$C$72:$G$72,1,F118)/12*Ipotesi!D126*Parametri_v3!$C$58+Z118*(1-Parametri_v3!$C$16)</f>
        <v>16575.5032316023</v>
      </c>
      <c r="CM118" s="16" t="n">
        <f aca="false">IF(BF118=0,0,1-CL118/BF118)</f>
        <v>0.828418017035273</v>
      </c>
    </row>
    <row r="119" customFormat="false" ht="18" hidden="false" customHeight="true" outlineLevel="0" collapsed="false">
      <c r="A119" s="68" t="n">
        <f aca="false">2</f>
        <v>2</v>
      </c>
      <c r="B119" s="68" t="n">
        <f aca="false">55</f>
        <v>55</v>
      </c>
      <c r="C119" s="18" t="n">
        <f aca="false">EDATE(Parametri_v3!$C$5,55-1)</f>
        <v>48030</v>
      </c>
      <c r="D119" s="68" t="n">
        <f aca="false">YEAR(C119)</f>
        <v>2031</v>
      </c>
      <c r="E119" s="68" t="n">
        <f aca="false">MONTH(C119)</f>
        <v>7</v>
      </c>
      <c r="F119" s="68" t="n">
        <f aca="false">INT((55-1)/12)+1</f>
        <v>5</v>
      </c>
      <c r="G119" s="15" t="n">
        <f aca="false">Ipotesi!D7</f>
        <v>1</v>
      </c>
      <c r="H119" s="15" t="n">
        <f aca="false">Ipotesi!D9</f>
        <v>1</v>
      </c>
      <c r="I119" s="15" t="n">
        <f aca="false">Ipotesi!D10</f>
        <v>1</v>
      </c>
      <c r="J119" s="15" t="n">
        <f aca="false">Ipotesi!D11</f>
        <v>1</v>
      </c>
      <c r="K119" s="15" t="n">
        <f aca="false">Ipotesi!D12</f>
        <v>1</v>
      </c>
      <c r="L119" s="15" t="n">
        <f aca="false">Ipotesi!D13</f>
        <v>90</v>
      </c>
      <c r="M119" s="17" t="n">
        <f aca="false">INDEX(Ipotesi!$C$40:$G$40,1,F119)</f>
        <v>1</v>
      </c>
      <c r="N119" s="17" t="n">
        <f aca="false">INDEX(Ipotesi!$C$41:$G$41,1,F119)</f>
        <v>1</v>
      </c>
      <c r="O119" s="17" t="n">
        <f aca="false">INDEX(Ipotesi!$C$42:$G$42,1,F119)*Ipotesi!D125</f>
        <v>8.5</v>
      </c>
      <c r="P119" s="17" t="n">
        <f aca="false">INDEX(Ipotesi!$C$43:$G$43,1,F119)*I119</f>
        <v>7</v>
      </c>
      <c r="Q119" s="17" t="n">
        <f aca="false">INDEX(Ipotesi!$C$44:$G$44,1,F119)*I119</f>
        <v>6</v>
      </c>
      <c r="R119" s="17" t="n">
        <f aca="false">INDEX(Ipotesi!$C$45:$G$45,1,F119)*I119</f>
        <v>2</v>
      </c>
      <c r="S119" s="17" t="n">
        <f aca="false">INDEX(Ipotesi!$C$52:$G$52,1,F119)*Ipotesi!D125</f>
        <v>9</v>
      </c>
      <c r="T119" s="17" t="n">
        <f aca="false">INDEX(Ipotesi!$C$53:$G$53,1,F119)*I119</f>
        <v>1</v>
      </c>
      <c r="U119" s="17" t="n">
        <f aca="false">INDEX(Ipotesi!$C$54:$G$54,1,F119)*I119</f>
        <v>1</v>
      </c>
      <c r="V119" s="15" t="n">
        <f aca="false">M119*INDEX(Ipotesi!$C$58:$G$58,1,F119)*K119/12</f>
        <v>8333.33333333333</v>
      </c>
      <c r="W119" s="15" t="n">
        <f aca="false">N119*Ipotesi!$C$59*(1+Ipotesi!$C$66)^(F119-1)/12</f>
        <v>6565.46805833334</v>
      </c>
      <c r="X119" s="15" t="n">
        <f aca="false">O119*Ipotesi!$C$60*(1+Ipotesi!$C$66)^(F119-1)/12</f>
        <v>39861.7703541667</v>
      </c>
      <c r="Y119" s="15" t="n">
        <f aca="false">P119*Ipotesi!$C$61*(1+Ipotesi!$C$66)^(F119-1)/12</f>
        <v>32827.3402916667</v>
      </c>
      <c r="Z119" s="15" t="n">
        <f aca="false">Q119*Ipotesi!$C$62*(1+Ipotesi!$C$66)^(F119-1)/12</f>
        <v>25323.948225</v>
      </c>
      <c r="AA119" s="15" t="n">
        <f aca="false">R119*Ipotesi!$C$63*(1+Ipotesi!$C$66)^(F119-1)/12</f>
        <v>6565.46805833334</v>
      </c>
      <c r="AB119" s="15" t="n">
        <f aca="false">SUM(V119:AA119)</f>
        <v>119477.328320833</v>
      </c>
      <c r="AC119" s="15" t="n">
        <f aca="false">(S119*Ipotesi!$C$64+T119*Ipotesi!$C$65+U119*Ipotesi!$C$63)*(1+Ipotesi!$C$66)^(F119-1)/12</f>
        <v>44363.8055941667</v>
      </c>
      <c r="AD119" s="15" t="n">
        <f aca="false">INDEX(Ipotesi!$C$48:$G$48,1,F119)*G119/12</f>
        <v>95.8333333333333</v>
      </c>
      <c r="AE119" s="15" t="n">
        <f aca="false">INDEX(Ipotesi!$C$50:$G$50,1,F119)*G119/12</f>
        <v>9.58333333333333</v>
      </c>
      <c r="AF119" s="15" t="n">
        <f aca="false">(S119*Parametri_v3!$C$7*Parametri_v3!$C$8+Parametri_v3!$C$10)/12</f>
        <v>115.5</v>
      </c>
      <c r="AG119" s="15" t="n">
        <f aca="false">AD119+AE119*(1+Parametri_v3!$C$9)</f>
        <v>110.208333333333</v>
      </c>
      <c r="AH119" s="16" t="n">
        <f aca="false">IF(AG119=0,1,MIN(1,AF119/AG119))</f>
        <v>1</v>
      </c>
      <c r="AI119" s="15" t="n">
        <f aca="false">AD119*AH119</f>
        <v>95.8333333333333</v>
      </c>
      <c r="AJ119" s="15" t="n">
        <f aca="false">AE119*AH119</f>
        <v>9.58333333333333</v>
      </c>
      <c r="AK119" s="15" t="n">
        <f aca="false">AI119*INDEX(Ipotesi!$C$49:$G$49,1,F119)*H119</f>
        <v>91041.6666666667</v>
      </c>
      <c r="AL119" s="15" t="n">
        <f aca="false">AJ119*INDEX(Ipotesi!$C$51:$G$51,1,F119)*H119</f>
        <v>24916.6666666667</v>
      </c>
      <c r="AM119" s="15" t="n">
        <f aca="false">AK119+AL119</f>
        <v>115958.333333333</v>
      </c>
      <c r="AN119" s="15" t="n">
        <f aca="false">INDEX(Ipotesi!$C$30:$G$30,1,F119)*G119/12</f>
        <v>81.6666666666667</v>
      </c>
      <c r="AO119" s="15" t="n">
        <f aca="false">O119*Parametri_v3!$C$7*Parametri_v3!$C$11*(1-Parametri_v3!$C$14)/12</f>
        <v>87.2666666666667</v>
      </c>
      <c r="AP119" s="15" t="n">
        <f aca="false">MIN(AN119,AO119)</f>
        <v>81.6666666666667</v>
      </c>
      <c r="AQ119" s="15" t="n">
        <f aca="false">AP119*INDEX(Ipotesi!$C$31:$G$31,1,F119)*H119</f>
        <v>89833.3333333333</v>
      </c>
      <c r="AR119" s="15" t="n">
        <f aca="false">INDEX(Ipotesi!$C$75:$G$75,1,F119)*J119/12</f>
        <v>35833.3333333333</v>
      </c>
      <c r="AS119" s="15" t="n">
        <f aca="false">INDEX(Ipotesi!$C$81:$G$81,1,F119)*J119/12</f>
        <v>2083.33333333333</v>
      </c>
      <c r="AT119" s="15" t="n">
        <f aca="false">AR119*Parametri_v3!$C$15+Z119*Parametri_v3!$C$16</f>
        <v>53560.0970908333</v>
      </c>
      <c r="AU119" s="15" t="n">
        <f aca="false">Q119*Parametri_v3!$C$16*Parametri_v3!$C$17</f>
        <v>420</v>
      </c>
      <c r="AV119" s="17" t="n">
        <f aca="false">BD118</f>
        <v>190.292727256651</v>
      </c>
      <c r="AW119" s="17" t="n">
        <f aca="false">AV119*(1-(1-INDEX(Ipotesi!$C$34:$G$34,1,F119))^(1/12))</f>
        <v>1.66346498918586</v>
      </c>
      <c r="AX119" s="15" t="n">
        <f aca="false">ROUND(INDEX(Ipotesi!$C$32:$G$32,1,F119)*Ipotesi!D8,0)</f>
        <v>560</v>
      </c>
      <c r="AY119" s="15" t="n">
        <f aca="false">MAX(0,(AX119-(AV119-AW119))/(13-E119))</f>
        <v>61.8951229554225</v>
      </c>
      <c r="AZ119" s="15" t="n">
        <f aca="false">MIN(P119*Parametri_v3!$C$22,Q119*(1-Parametri_v3!$C$16)*Parametri_v3!$C$23)</f>
        <v>270</v>
      </c>
      <c r="BA119" s="15" t="n">
        <f aca="false">IF(OR(INDEX(Ipotesi!$C$35:$G$35,1,F119)&lt;=0,55-Parametri_v3!$C$21&lt;1),0,INDEX($AT$65:$AT$124,MAX(1,55-Parametri_v3!$C$21))/(INDEX(Ipotesi!$C$35:$G$35,1,F119)*Ipotesi!D27))</f>
        <v>8.24001493705128</v>
      </c>
      <c r="BB119" s="15" t="n">
        <f aca="false">IF(55-Parametri_v3!$C$21&lt;1,0,INDEX($AU$65:$AU$124,MAX(1,55-Parametri_v3!$C$21)))*Parametri_v3!$C$18*Parametri_v3!$C$19*Parametri_v3!$C$20</f>
        <v>15.75</v>
      </c>
      <c r="BC119" s="17" t="n">
        <f aca="false">MAX(0,MIN(AY119,BA119,BB119,MAX(0,AZ119-(AV119-AW119))))</f>
        <v>8.24001493705128</v>
      </c>
      <c r="BD119" s="17" t="n">
        <f aca="false">AV119-AW119+BC119</f>
        <v>196.869277204516</v>
      </c>
      <c r="BE119" s="17" t="n">
        <f aca="false">(AV119+BD119)/2</f>
        <v>193.581002230584</v>
      </c>
      <c r="BF119" s="15" t="n">
        <f aca="false">BE119*INDEX(Ipotesi!$C$33:$G$33,1,F119)*H119/12</f>
        <v>100016.851152468</v>
      </c>
      <c r="BG119" s="15" t="n">
        <f aca="false">BD119*INDEX(Ipotesi!$C$33:$G$33,1,F119)*H119</f>
        <v>1220589.518668</v>
      </c>
      <c r="BH119" s="15" t="n">
        <f aca="false">AM119*INDEX(Ipotesi!$C$37:$G$37,1,F119)</f>
        <v>11595.8333333333</v>
      </c>
      <c r="BI119" s="15" t="n">
        <f aca="false">AQ119+BF119+BH119</f>
        <v>201446.017819135</v>
      </c>
      <c r="BJ119" s="15" t="n">
        <f aca="false">INDEX(Ipotesi!$C$68:$G$68,1,F119)*Ipotesi!$C$69/12</f>
        <v>3333.33333333333</v>
      </c>
      <c r="BK119" s="15" t="n">
        <f aca="false">INDEX(Ipotesi!$C$68:$G$68,1,F119)*(1-Ipotesi!$C$69)/12</f>
        <v>5000</v>
      </c>
      <c r="BL119" s="15" t="n">
        <f aca="false">(AQ119+BF119)*Ipotesi!$C$67</f>
        <v>5695.50553457405</v>
      </c>
      <c r="BM119" s="15" t="n">
        <f aca="false">AM119*Ipotesi!$C$67</f>
        <v>3478.75</v>
      </c>
      <c r="BN119" s="15" t="n">
        <f aca="false">INDEX(Ipotesi!$C$72:$G$72,1,F119)/12*Ipotesi!D126+BF119*Ipotesi!$C$73</f>
        <v>9251.34809219746</v>
      </c>
      <c r="BO119" s="15" t="n">
        <f aca="false">INDEX(Ipotesi!$C$74:$G$74,1,F119)/12*Ipotesi!D126</f>
        <v>5416.66666666667</v>
      </c>
      <c r="BP119" s="15" t="n">
        <f aca="false">INDEX(Ipotesi!$C$76:$G$76,1,F119)/12</f>
        <v>1916.66666666667</v>
      </c>
      <c r="BQ119" s="15" t="n">
        <f aca="false">INDEX(Ipotesi!$C$77:$G$77,1,F119)/12*Ipotesi!D126</f>
        <v>2500</v>
      </c>
      <c r="BR119" s="15" t="n">
        <f aca="false">INDEX(Ipotesi!$C$78:$G$78,1,F119)/12</f>
        <v>2333.33333333333</v>
      </c>
      <c r="BS119" s="15" t="n">
        <f aca="false">SUM(M119:R119)*(Ipotesi!$C$85+Ipotesi!$C$86)/12</f>
        <v>7437.5</v>
      </c>
      <c r="BT119" s="15" t="n">
        <f aca="false">BI119*Ipotesi!$C$87</f>
        <v>6043.38053457405</v>
      </c>
      <c r="BU119" s="15" t="n">
        <f aca="false">INDEX(Ipotesi!$C$55:$G$55,1,F119)*K119/12</f>
        <v>2000</v>
      </c>
      <c r="BV119" s="15" t="n">
        <f aca="false">INDEX(Ipotesi!$C$80:$G$80,1,F119)/12*Ipotesi!D126</f>
        <v>2083.33333333333</v>
      </c>
      <c r="BW119" s="15" t="n">
        <f aca="false">INDEX(Ipotesi!$C$82:$G$82,1,F119)/12</f>
        <v>1500</v>
      </c>
      <c r="BX119" s="15" t="n">
        <f aca="false">INDEX(Ipotesi!$C$83:$G$83,1,F119)/12</f>
        <v>833.333333333333</v>
      </c>
      <c r="BY119" s="15" t="n">
        <f aca="false">SUM(S119:U119)*(Ipotesi!$C$85+Ipotesi!$C$86)/12</f>
        <v>3208.33333333333</v>
      </c>
      <c r="BZ119" s="15" t="n">
        <f aca="false">AM119*Ipotesi!$C$87</f>
        <v>3478.75</v>
      </c>
      <c r="CA119" s="15" t="n">
        <f aca="false">AB119+BJ119+BL119+BN119+BO119+AR119+BP119+BQ119+BR119+BS119+BT119</f>
        <v>199238.395815512</v>
      </c>
      <c r="CB119" s="15" t="n">
        <f aca="false">AC119+BK119+BM119+BH119+BU119+BV119+AS119+BW119+BX119+BY119+BZ119</f>
        <v>79625.4722608333</v>
      </c>
      <c r="CC119" s="15" t="n">
        <f aca="false">BI119-CA119</f>
        <v>2207.6220036227</v>
      </c>
      <c r="CD119" s="15" t="n">
        <f aca="false">AM119-CB119</f>
        <v>36332.8610725</v>
      </c>
      <c r="CE119" s="15" t="n">
        <f aca="false">INDEX(Ipotesi!$C$79:$G$79,1,F119)/12</f>
        <v>4166.66666666667</v>
      </c>
      <c r="CF119" s="15" t="n">
        <f aca="false">INDEX(Ipotesi!$C$84:$G$84,1,F119)/12</f>
        <v>666.666666666667</v>
      </c>
      <c r="CG119" s="15" t="n">
        <f aca="false">Y119*MAX(0,Parametri_v3!$C$12-IF(P119=0,0,MIN(1,BE119/(P119*Parametri_v3!$C$22))))+W119*Parametri_v3!$C$13+X119*Parametri_v3!$C$14</f>
        <v>35004.214914202</v>
      </c>
      <c r="CH119" s="15" t="n">
        <f aca="false">AB119*Parametri_v3!$C$32</f>
        <v>5973.86641604167</v>
      </c>
      <c r="CI119" s="15" t="n">
        <f aca="false">AC119*Parametri_v3!$C$32</f>
        <v>2218.19027970833</v>
      </c>
      <c r="CJ119" s="15" t="n">
        <f aca="false">CA119-AB119</f>
        <v>79761.0674946789</v>
      </c>
      <c r="CK119" s="15" t="n">
        <f aca="false">CB119-AC119-BH119</f>
        <v>23665.8333333333</v>
      </c>
      <c r="CL119" s="15" t="n">
        <f aca="false">BF119*Ipotesi!$C$73+INDEX(Ipotesi!$C$72:$G$72,1,F119)/12*Ipotesi!D126*Parametri_v3!$C$58+Z119*(1-Parametri_v3!$C$16)</f>
        <v>16848.5325596975</v>
      </c>
      <c r="CM119" s="16" t="n">
        <f aca="false">IF(BF119=0,0,1-CL119/BF119)</f>
        <v>0.831543061338603</v>
      </c>
    </row>
    <row r="120" customFormat="false" ht="18" hidden="false" customHeight="true" outlineLevel="0" collapsed="false">
      <c r="A120" s="68" t="n">
        <f aca="false">2</f>
        <v>2</v>
      </c>
      <c r="B120" s="68" t="n">
        <f aca="false">56</f>
        <v>56</v>
      </c>
      <c r="C120" s="18" t="n">
        <f aca="false">EDATE(Parametri_v3!$C$5,56-1)</f>
        <v>48061</v>
      </c>
      <c r="D120" s="68" t="n">
        <f aca="false">YEAR(C120)</f>
        <v>2031</v>
      </c>
      <c r="E120" s="68" t="n">
        <f aca="false">MONTH(C120)</f>
        <v>8</v>
      </c>
      <c r="F120" s="68" t="n">
        <f aca="false">INT((56-1)/12)+1</f>
        <v>5</v>
      </c>
      <c r="G120" s="15" t="n">
        <f aca="false">Ipotesi!D7</f>
        <v>1</v>
      </c>
      <c r="H120" s="15" t="n">
        <f aca="false">Ipotesi!D9</f>
        <v>1</v>
      </c>
      <c r="I120" s="15" t="n">
        <f aca="false">Ipotesi!D10</f>
        <v>1</v>
      </c>
      <c r="J120" s="15" t="n">
        <f aca="false">Ipotesi!D11</f>
        <v>1</v>
      </c>
      <c r="K120" s="15" t="n">
        <f aca="false">Ipotesi!D12</f>
        <v>1</v>
      </c>
      <c r="L120" s="15" t="n">
        <f aca="false">Ipotesi!D13</f>
        <v>90</v>
      </c>
      <c r="M120" s="17" t="n">
        <f aca="false">INDEX(Ipotesi!$C$40:$G$40,1,F120)</f>
        <v>1</v>
      </c>
      <c r="N120" s="17" t="n">
        <f aca="false">INDEX(Ipotesi!$C$41:$G$41,1,F120)</f>
        <v>1</v>
      </c>
      <c r="O120" s="17" t="n">
        <f aca="false">INDEX(Ipotesi!$C$42:$G$42,1,F120)*Ipotesi!D125</f>
        <v>8.5</v>
      </c>
      <c r="P120" s="17" t="n">
        <f aca="false">INDEX(Ipotesi!$C$43:$G$43,1,F120)*I120</f>
        <v>7</v>
      </c>
      <c r="Q120" s="17" t="n">
        <f aca="false">INDEX(Ipotesi!$C$44:$G$44,1,F120)*I120</f>
        <v>6</v>
      </c>
      <c r="R120" s="17" t="n">
        <f aca="false">INDEX(Ipotesi!$C$45:$G$45,1,F120)*I120</f>
        <v>2</v>
      </c>
      <c r="S120" s="17" t="n">
        <f aca="false">INDEX(Ipotesi!$C$52:$G$52,1,F120)*Ipotesi!D125</f>
        <v>9</v>
      </c>
      <c r="T120" s="17" t="n">
        <f aca="false">INDEX(Ipotesi!$C$53:$G$53,1,F120)*I120</f>
        <v>1</v>
      </c>
      <c r="U120" s="17" t="n">
        <f aca="false">INDEX(Ipotesi!$C$54:$G$54,1,F120)*I120</f>
        <v>1</v>
      </c>
      <c r="V120" s="15" t="n">
        <f aca="false">M120*INDEX(Ipotesi!$C$58:$G$58,1,F120)*K120/12</f>
        <v>8333.33333333333</v>
      </c>
      <c r="W120" s="15" t="n">
        <f aca="false">N120*Ipotesi!$C$59*(1+Ipotesi!$C$66)^(F120-1)/12</f>
        <v>6565.46805833334</v>
      </c>
      <c r="X120" s="15" t="n">
        <f aca="false">O120*Ipotesi!$C$60*(1+Ipotesi!$C$66)^(F120-1)/12</f>
        <v>39861.7703541667</v>
      </c>
      <c r="Y120" s="15" t="n">
        <f aca="false">P120*Ipotesi!$C$61*(1+Ipotesi!$C$66)^(F120-1)/12</f>
        <v>32827.3402916667</v>
      </c>
      <c r="Z120" s="15" t="n">
        <f aca="false">Q120*Ipotesi!$C$62*(1+Ipotesi!$C$66)^(F120-1)/12</f>
        <v>25323.948225</v>
      </c>
      <c r="AA120" s="15" t="n">
        <f aca="false">R120*Ipotesi!$C$63*(1+Ipotesi!$C$66)^(F120-1)/12</f>
        <v>6565.46805833334</v>
      </c>
      <c r="AB120" s="15" t="n">
        <f aca="false">SUM(V120:AA120)</f>
        <v>119477.328320833</v>
      </c>
      <c r="AC120" s="15" t="n">
        <f aca="false">(S120*Ipotesi!$C$64+T120*Ipotesi!$C$65+U120*Ipotesi!$C$63)*(1+Ipotesi!$C$66)^(F120-1)/12</f>
        <v>44363.8055941667</v>
      </c>
      <c r="AD120" s="15" t="n">
        <f aca="false">INDEX(Ipotesi!$C$48:$G$48,1,F120)*G120/12</f>
        <v>95.8333333333333</v>
      </c>
      <c r="AE120" s="15" t="n">
        <f aca="false">INDEX(Ipotesi!$C$50:$G$50,1,F120)*G120/12</f>
        <v>9.58333333333333</v>
      </c>
      <c r="AF120" s="15" t="n">
        <f aca="false">(S120*Parametri_v3!$C$7*Parametri_v3!$C$8+Parametri_v3!$C$10)/12</f>
        <v>115.5</v>
      </c>
      <c r="AG120" s="15" t="n">
        <f aca="false">AD120+AE120*(1+Parametri_v3!$C$9)</f>
        <v>110.208333333333</v>
      </c>
      <c r="AH120" s="16" t="n">
        <f aca="false">IF(AG120=0,1,MIN(1,AF120/AG120))</f>
        <v>1</v>
      </c>
      <c r="AI120" s="15" t="n">
        <f aca="false">AD120*AH120</f>
        <v>95.8333333333333</v>
      </c>
      <c r="AJ120" s="15" t="n">
        <f aca="false">AE120*AH120</f>
        <v>9.58333333333333</v>
      </c>
      <c r="AK120" s="15" t="n">
        <f aca="false">AI120*INDEX(Ipotesi!$C$49:$G$49,1,F120)*H120</f>
        <v>91041.6666666667</v>
      </c>
      <c r="AL120" s="15" t="n">
        <f aca="false">AJ120*INDEX(Ipotesi!$C$51:$G$51,1,F120)*H120</f>
        <v>24916.6666666667</v>
      </c>
      <c r="AM120" s="15" t="n">
        <f aca="false">AK120+AL120</f>
        <v>115958.333333333</v>
      </c>
      <c r="AN120" s="15" t="n">
        <f aca="false">INDEX(Ipotesi!$C$30:$G$30,1,F120)*G120/12</f>
        <v>81.6666666666667</v>
      </c>
      <c r="AO120" s="15" t="n">
        <f aca="false">O120*Parametri_v3!$C$7*Parametri_v3!$C$11*(1-Parametri_v3!$C$14)/12</f>
        <v>87.2666666666667</v>
      </c>
      <c r="AP120" s="15" t="n">
        <f aca="false">MIN(AN120,AO120)</f>
        <v>81.6666666666667</v>
      </c>
      <c r="AQ120" s="15" t="n">
        <f aca="false">AP120*INDEX(Ipotesi!$C$31:$G$31,1,F120)*H120</f>
        <v>89833.3333333333</v>
      </c>
      <c r="AR120" s="15" t="n">
        <f aca="false">INDEX(Ipotesi!$C$75:$G$75,1,F120)*J120/12</f>
        <v>35833.3333333333</v>
      </c>
      <c r="AS120" s="15" t="n">
        <f aca="false">INDEX(Ipotesi!$C$81:$G$81,1,F120)*J120/12</f>
        <v>2083.33333333333</v>
      </c>
      <c r="AT120" s="15" t="n">
        <f aca="false">AR120*Parametri_v3!$C$15+Z120*Parametri_v3!$C$16</f>
        <v>53560.0970908333</v>
      </c>
      <c r="AU120" s="15" t="n">
        <f aca="false">Q120*Parametri_v3!$C$16*Parametri_v3!$C$17</f>
        <v>420</v>
      </c>
      <c r="AV120" s="17" t="n">
        <f aca="false">BD119</f>
        <v>196.869277204516</v>
      </c>
      <c r="AW120" s="17" t="n">
        <f aca="false">AV120*(1-(1-INDEX(Ipotesi!$C$34:$G$34,1,F120))^(1/12))</f>
        <v>1.72095463025423</v>
      </c>
      <c r="AX120" s="15" t="n">
        <f aca="false">ROUND(INDEX(Ipotesi!$C$32:$G$32,1,F120)*Ipotesi!D8,0)</f>
        <v>560</v>
      </c>
      <c r="AY120" s="15" t="n">
        <f aca="false">MAX(0,(AX120-(AV120-AW120))/(13-E120))</f>
        <v>72.9703354851476</v>
      </c>
      <c r="AZ120" s="15" t="n">
        <f aca="false">MIN(P120*Parametri_v3!$C$22,Q120*(1-Parametri_v3!$C$16)*Parametri_v3!$C$23)</f>
        <v>270</v>
      </c>
      <c r="BA120" s="15" t="n">
        <f aca="false">IF(OR(INDEX(Ipotesi!$C$35:$G$35,1,F120)&lt;=0,56-Parametri_v3!$C$21&lt;1),0,INDEX($AT$65:$AT$124,MAX(1,56-Parametri_v3!$C$21))/(INDEX(Ipotesi!$C$35:$G$35,1,F120)*Ipotesi!D27))</f>
        <v>8.24001493705128</v>
      </c>
      <c r="BB120" s="15" t="n">
        <f aca="false">IF(56-Parametri_v3!$C$21&lt;1,0,INDEX($AU$65:$AU$124,MAX(1,56-Parametri_v3!$C$21)))*Parametri_v3!$C$18*Parametri_v3!$C$19*Parametri_v3!$C$20</f>
        <v>15.75</v>
      </c>
      <c r="BC120" s="17" t="n">
        <f aca="false">MAX(0,MIN(AY120,BA120,BB120,MAX(0,AZ120-(AV120-AW120))))</f>
        <v>8.24001493705128</v>
      </c>
      <c r="BD120" s="17" t="n">
        <f aca="false">AV120-AW120+BC120</f>
        <v>203.388337511314</v>
      </c>
      <c r="BE120" s="17" t="n">
        <f aca="false">(AV120+BD120)/2</f>
        <v>200.128807357915</v>
      </c>
      <c r="BF120" s="15" t="n">
        <f aca="false">BE120*INDEX(Ipotesi!$C$33:$G$33,1,F120)*H120/12</f>
        <v>103399.883801589</v>
      </c>
      <c r="BG120" s="15" t="n">
        <f aca="false">BD120*INDEX(Ipotesi!$C$33:$G$33,1,F120)*H120</f>
        <v>1261007.69257014</v>
      </c>
      <c r="BH120" s="15" t="n">
        <f aca="false">AM120*INDEX(Ipotesi!$C$37:$G$37,1,F120)</f>
        <v>11595.8333333333</v>
      </c>
      <c r="BI120" s="15" t="n">
        <f aca="false">AQ120+BF120+BH120</f>
        <v>204829.050468256</v>
      </c>
      <c r="BJ120" s="15" t="n">
        <f aca="false">INDEX(Ipotesi!$C$68:$G$68,1,F120)*Ipotesi!$C$69/12</f>
        <v>3333.33333333333</v>
      </c>
      <c r="BK120" s="15" t="n">
        <f aca="false">INDEX(Ipotesi!$C$68:$G$68,1,F120)*(1-Ipotesi!$C$69)/12</f>
        <v>5000</v>
      </c>
      <c r="BL120" s="15" t="n">
        <f aca="false">(AQ120+BF120)*Ipotesi!$C$67</f>
        <v>5796.99651404768</v>
      </c>
      <c r="BM120" s="15" t="n">
        <f aca="false">AM120*Ipotesi!$C$67</f>
        <v>3478.75</v>
      </c>
      <c r="BN120" s="15" t="n">
        <f aca="false">INDEX(Ipotesi!$C$72:$G$72,1,F120)/12*Ipotesi!D126+BF120*Ipotesi!$C$73</f>
        <v>9521.99070412715</v>
      </c>
      <c r="BO120" s="15" t="n">
        <f aca="false">INDEX(Ipotesi!$C$74:$G$74,1,F120)/12*Ipotesi!D126</f>
        <v>5416.66666666667</v>
      </c>
      <c r="BP120" s="15" t="n">
        <f aca="false">INDEX(Ipotesi!$C$76:$G$76,1,F120)/12</f>
        <v>1916.66666666667</v>
      </c>
      <c r="BQ120" s="15" t="n">
        <f aca="false">INDEX(Ipotesi!$C$77:$G$77,1,F120)/12*Ipotesi!D126</f>
        <v>2500</v>
      </c>
      <c r="BR120" s="15" t="n">
        <f aca="false">INDEX(Ipotesi!$C$78:$G$78,1,F120)/12</f>
        <v>2333.33333333333</v>
      </c>
      <c r="BS120" s="15" t="n">
        <f aca="false">SUM(M120:R120)*(Ipotesi!$C$85+Ipotesi!$C$86)/12</f>
        <v>7437.5</v>
      </c>
      <c r="BT120" s="15" t="n">
        <f aca="false">BI120*Ipotesi!$C$87</f>
        <v>6144.87151404768</v>
      </c>
      <c r="BU120" s="15" t="n">
        <f aca="false">INDEX(Ipotesi!$C$55:$G$55,1,F120)*K120/12</f>
        <v>2000</v>
      </c>
      <c r="BV120" s="15" t="n">
        <f aca="false">INDEX(Ipotesi!$C$80:$G$80,1,F120)/12*Ipotesi!D126</f>
        <v>2083.33333333333</v>
      </c>
      <c r="BW120" s="15" t="n">
        <f aca="false">INDEX(Ipotesi!$C$82:$G$82,1,F120)/12</f>
        <v>1500</v>
      </c>
      <c r="BX120" s="15" t="n">
        <f aca="false">INDEX(Ipotesi!$C$83:$G$83,1,F120)/12</f>
        <v>833.333333333333</v>
      </c>
      <c r="BY120" s="15" t="n">
        <f aca="false">SUM(S120:U120)*(Ipotesi!$C$85+Ipotesi!$C$86)/12</f>
        <v>3208.33333333333</v>
      </c>
      <c r="BZ120" s="15" t="n">
        <f aca="false">AM120*Ipotesi!$C$87</f>
        <v>3478.75</v>
      </c>
      <c r="CA120" s="15" t="n">
        <f aca="false">AB120+BJ120+BL120+BN120+BO120+AR120+BP120+BQ120+BR120+BS120+BT120</f>
        <v>199712.020386389</v>
      </c>
      <c r="CB120" s="15" t="n">
        <f aca="false">AC120+BK120+BM120+BH120+BU120+BV120+AS120+BW120+BX120+BY120+BZ120</f>
        <v>79625.4722608333</v>
      </c>
      <c r="CC120" s="15" t="n">
        <f aca="false">BI120-CA120</f>
        <v>5117.03008186689</v>
      </c>
      <c r="CD120" s="15" t="n">
        <f aca="false">AM120-CB120</f>
        <v>36332.8610725</v>
      </c>
      <c r="CE120" s="15" t="n">
        <f aca="false">INDEX(Ipotesi!$C$79:$G$79,1,F120)/12</f>
        <v>4166.66666666667</v>
      </c>
      <c r="CF120" s="15" t="n">
        <f aca="false">INDEX(Ipotesi!$C$84:$G$84,1,F120)/12</f>
        <v>666.666666666667</v>
      </c>
      <c r="CG120" s="15" t="n">
        <f aca="false">Y120*MAX(0,Parametri_v3!$C$12-IF(P120=0,0,MIN(1,BE120/(P120*Parametri_v3!$C$22))))+W120*Parametri_v3!$C$13+X120*Parametri_v3!$C$14</f>
        <v>34697.1477326614</v>
      </c>
      <c r="CH120" s="15" t="n">
        <f aca="false">AB120*Parametri_v3!$C$32</f>
        <v>5973.86641604167</v>
      </c>
      <c r="CI120" s="15" t="n">
        <f aca="false">AC120*Parametri_v3!$C$32</f>
        <v>2218.19027970833</v>
      </c>
      <c r="CJ120" s="15" t="n">
        <f aca="false">CA120-AB120</f>
        <v>80234.6920655558</v>
      </c>
      <c r="CK120" s="15" t="n">
        <f aca="false">CB120-AC120-BH120</f>
        <v>23665.8333333333</v>
      </c>
      <c r="CL120" s="15" t="n">
        <f aca="false">BF120*Ipotesi!$C$73+INDEX(Ipotesi!$C$72:$G$72,1,F120)/12*Ipotesi!D126*Parametri_v3!$C$58+Z120*(1-Parametri_v3!$C$16)</f>
        <v>17119.1751716272</v>
      </c>
      <c r="CM120" s="16" t="n">
        <f aca="false">IF(BF120=0,0,1-CL120/BF120)</f>
        <v>0.834437191394948</v>
      </c>
    </row>
    <row r="121" customFormat="false" ht="18" hidden="false" customHeight="true" outlineLevel="0" collapsed="false">
      <c r="A121" s="68" t="n">
        <f aca="false">2</f>
        <v>2</v>
      </c>
      <c r="B121" s="68" t="n">
        <f aca="false">57</f>
        <v>57</v>
      </c>
      <c r="C121" s="18" t="n">
        <f aca="false">EDATE(Parametri_v3!$C$5,57-1)</f>
        <v>48092</v>
      </c>
      <c r="D121" s="68" t="n">
        <f aca="false">YEAR(C121)</f>
        <v>2031</v>
      </c>
      <c r="E121" s="68" t="n">
        <f aca="false">MONTH(C121)</f>
        <v>9</v>
      </c>
      <c r="F121" s="68" t="n">
        <f aca="false">INT((57-1)/12)+1</f>
        <v>5</v>
      </c>
      <c r="G121" s="15" t="n">
        <f aca="false">Ipotesi!D7</f>
        <v>1</v>
      </c>
      <c r="H121" s="15" t="n">
        <f aca="false">Ipotesi!D9</f>
        <v>1</v>
      </c>
      <c r="I121" s="15" t="n">
        <f aca="false">Ipotesi!D10</f>
        <v>1</v>
      </c>
      <c r="J121" s="15" t="n">
        <f aca="false">Ipotesi!D11</f>
        <v>1</v>
      </c>
      <c r="K121" s="15" t="n">
        <f aca="false">Ipotesi!D12</f>
        <v>1</v>
      </c>
      <c r="L121" s="15" t="n">
        <f aca="false">Ipotesi!D13</f>
        <v>90</v>
      </c>
      <c r="M121" s="17" t="n">
        <f aca="false">INDEX(Ipotesi!$C$40:$G$40,1,F121)</f>
        <v>1</v>
      </c>
      <c r="N121" s="17" t="n">
        <f aca="false">INDEX(Ipotesi!$C$41:$G$41,1,F121)</f>
        <v>1</v>
      </c>
      <c r="O121" s="17" t="n">
        <f aca="false">INDEX(Ipotesi!$C$42:$G$42,1,F121)*Ipotesi!D125</f>
        <v>8.5</v>
      </c>
      <c r="P121" s="17" t="n">
        <f aca="false">INDEX(Ipotesi!$C$43:$G$43,1,F121)*I121</f>
        <v>7</v>
      </c>
      <c r="Q121" s="17" t="n">
        <f aca="false">INDEX(Ipotesi!$C$44:$G$44,1,F121)*I121</f>
        <v>6</v>
      </c>
      <c r="R121" s="17" t="n">
        <f aca="false">INDEX(Ipotesi!$C$45:$G$45,1,F121)*I121</f>
        <v>2</v>
      </c>
      <c r="S121" s="17" t="n">
        <f aca="false">INDEX(Ipotesi!$C$52:$G$52,1,F121)*Ipotesi!D125</f>
        <v>9</v>
      </c>
      <c r="T121" s="17" t="n">
        <f aca="false">INDEX(Ipotesi!$C$53:$G$53,1,F121)*I121</f>
        <v>1</v>
      </c>
      <c r="U121" s="17" t="n">
        <f aca="false">INDEX(Ipotesi!$C$54:$G$54,1,F121)*I121</f>
        <v>1</v>
      </c>
      <c r="V121" s="15" t="n">
        <f aca="false">M121*INDEX(Ipotesi!$C$58:$G$58,1,F121)*K121/12</f>
        <v>8333.33333333333</v>
      </c>
      <c r="W121" s="15" t="n">
        <f aca="false">N121*Ipotesi!$C$59*(1+Ipotesi!$C$66)^(F121-1)/12</f>
        <v>6565.46805833334</v>
      </c>
      <c r="X121" s="15" t="n">
        <f aca="false">O121*Ipotesi!$C$60*(1+Ipotesi!$C$66)^(F121-1)/12</f>
        <v>39861.7703541667</v>
      </c>
      <c r="Y121" s="15" t="n">
        <f aca="false">P121*Ipotesi!$C$61*(1+Ipotesi!$C$66)^(F121-1)/12</f>
        <v>32827.3402916667</v>
      </c>
      <c r="Z121" s="15" t="n">
        <f aca="false">Q121*Ipotesi!$C$62*(1+Ipotesi!$C$66)^(F121-1)/12</f>
        <v>25323.948225</v>
      </c>
      <c r="AA121" s="15" t="n">
        <f aca="false">R121*Ipotesi!$C$63*(1+Ipotesi!$C$66)^(F121-1)/12</f>
        <v>6565.46805833334</v>
      </c>
      <c r="AB121" s="15" t="n">
        <f aca="false">SUM(V121:AA121)</f>
        <v>119477.328320833</v>
      </c>
      <c r="AC121" s="15" t="n">
        <f aca="false">(S121*Ipotesi!$C$64+T121*Ipotesi!$C$65+U121*Ipotesi!$C$63)*(1+Ipotesi!$C$66)^(F121-1)/12</f>
        <v>44363.8055941667</v>
      </c>
      <c r="AD121" s="15" t="n">
        <f aca="false">INDEX(Ipotesi!$C$48:$G$48,1,F121)*G121/12</f>
        <v>95.8333333333333</v>
      </c>
      <c r="AE121" s="15" t="n">
        <f aca="false">INDEX(Ipotesi!$C$50:$G$50,1,F121)*G121/12</f>
        <v>9.58333333333333</v>
      </c>
      <c r="AF121" s="15" t="n">
        <f aca="false">(S121*Parametri_v3!$C$7*Parametri_v3!$C$8+Parametri_v3!$C$10)/12</f>
        <v>115.5</v>
      </c>
      <c r="AG121" s="15" t="n">
        <f aca="false">AD121+AE121*(1+Parametri_v3!$C$9)</f>
        <v>110.208333333333</v>
      </c>
      <c r="AH121" s="16" t="n">
        <f aca="false">IF(AG121=0,1,MIN(1,AF121/AG121))</f>
        <v>1</v>
      </c>
      <c r="AI121" s="15" t="n">
        <f aca="false">AD121*AH121</f>
        <v>95.8333333333333</v>
      </c>
      <c r="AJ121" s="15" t="n">
        <f aca="false">AE121*AH121</f>
        <v>9.58333333333333</v>
      </c>
      <c r="AK121" s="15" t="n">
        <f aca="false">AI121*INDEX(Ipotesi!$C$49:$G$49,1,F121)*H121</f>
        <v>91041.6666666667</v>
      </c>
      <c r="AL121" s="15" t="n">
        <f aca="false">AJ121*INDEX(Ipotesi!$C$51:$G$51,1,F121)*H121</f>
        <v>24916.6666666667</v>
      </c>
      <c r="AM121" s="15" t="n">
        <f aca="false">AK121+AL121</f>
        <v>115958.333333333</v>
      </c>
      <c r="AN121" s="15" t="n">
        <f aca="false">INDEX(Ipotesi!$C$30:$G$30,1,F121)*G121/12</f>
        <v>81.6666666666667</v>
      </c>
      <c r="AO121" s="15" t="n">
        <f aca="false">O121*Parametri_v3!$C$7*Parametri_v3!$C$11*(1-Parametri_v3!$C$14)/12</f>
        <v>87.2666666666667</v>
      </c>
      <c r="AP121" s="15" t="n">
        <f aca="false">MIN(AN121,AO121)</f>
        <v>81.6666666666667</v>
      </c>
      <c r="AQ121" s="15" t="n">
        <f aca="false">AP121*INDEX(Ipotesi!$C$31:$G$31,1,F121)*H121</f>
        <v>89833.3333333333</v>
      </c>
      <c r="AR121" s="15" t="n">
        <f aca="false">INDEX(Ipotesi!$C$75:$G$75,1,F121)*J121/12</f>
        <v>35833.3333333333</v>
      </c>
      <c r="AS121" s="15" t="n">
        <f aca="false">INDEX(Ipotesi!$C$81:$G$81,1,F121)*J121/12</f>
        <v>2083.33333333333</v>
      </c>
      <c r="AT121" s="15" t="n">
        <f aca="false">AR121*Parametri_v3!$C$15+Z121*Parametri_v3!$C$16</f>
        <v>53560.0970908333</v>
      </c>
      <c r="AU121" s="15" t="n">
        <f aca="false">Q121*Parametri_v3!$C$16*Parametri_v3!$C$17</f>
        <v>420</v>
      </c>
      <c r="AV121" s="17" t="n">
        <f aca="false">BD120</f>
        <v>203.388337511314</v>
      </c>
      <c r="AW121" s="17" t="n">
        <f aca="false">AV121*(1-(1-INDEX(Ipotesi!$C$34:$G$34,1,F121))^(1/12))</f>
        <v>1.77794171924645</v>
      </c>
      <c r="AX121" s="15" t="n">
        <f aca="false">ROUND(INDEX(Ipotesi!$C$32:$G$32,1,F121)*Ipotesi!D8,0)</f>
        <v>560</v>
      </c>
      <c r="AY121" s="15" t="n">
        <f aca="false">MAX(0,(AX121-(AV121-AW121))/(13-E121))</f>
        <v>89.5974010519832</v>
      </c>
      <c r="AZ121" s="15" t="n">
        <f aca="false">MIN(P121*Parametri_v3!$C$22,Q121*(1-Parametri_v3!$C$16)*Parametri_v3!$C$23)</f>
        <v>270</v>
      </c>
      <c r="BA121" s="15" t="n">
        <f aca="false">IF(OR(INDEX(Ipotesi!$C$35:$G$35,1,F121)&lt;=0,57-Parametri_v3!$C$21&lt;1),0,INDEX($AT$65:$AT$124,MAX(1,57-Parametri_v3!$C$21))/(INDEX(Ipotesi!$C$35:$G$35,1,F121)*Ipotesi!D27))</f>
        <v>8.24001493705128</v>
      </c>
      <c r="BB121" s="15" t="n">
        <f aca="false">IF(57-Parametri_v3!$C$21&lt;1,0,INDEX($AU$65:$AU$124,MAX(1,57-Parametri_v3!$C$21)))*Parametri_v3!$C$18*Parametri_v3!$C$19*Parametri_v3!$C$20</f>
        <v>15.75</v>
      </c>
      <c r="BC121" s="17" t="n">
        <f aca="false">MAX(0,MIN(AY121,BA121,BB121,MAX(0,AZ121-(AV121-AW121))))</f>
        <v>8.24001493705128</v>
      </c>
      <c r="BD121" s="17" t="n">
        <f aca="false">AV121-AW121+BC121</f>
        <v>209.850410729118</v>
      </c>
      <c r="BE121" s="17" t="n">
        <f aca="false">(AV121+BD121)/2</f>
        <v>206.619374120216</v>
      </c>
      <c r="BF121" s="15" t="n">
        <f aca="false">BE121*INDEX(Ipotesi!$C$33:$G$33,1,F121)*H121/12</f>
        <v>106753.343295445</v>
      </c>
      <c r="BG121" s="15" t="n">
        <f aca="false">BD121*INDEX(Ipotesi!$C$33:$G$33,1,F121)*H121</f>
        <v>1301072.54652053</v>
      </c>
      <c r="BH121" s="15" t="n">
        <f aca="false">AM121*INDEX(Ipotesi!$C$37:$G$37,1,F121)</f>
        <v>11595.8333333333</v>
      </c>
      <c r="BI121" s="15" t="n">
        <f aca="false">AQ121+BF121+BH121</f>
        <v>208182.509962112</v>
      </c>
      <c r="BJ121" s="15" t="n">
        <f aca="false">INDEX(Ipotesi!$C$68:$G$68,1,F121)*Ipotesi!$C$69/12</f>
        <v>3333.33333333333</v>
      </c>
      <c r="BK121" s="15" t="n">
        <f aca="false">INDEX(Ipotesi!$C$68:$G$68,1,F121)*(1-Ipotesi!$C$69)/12</f>
        <v>5000</v>
      </c>
      <c r="BL121" s="15" t="n">
        <f aca="false">(AQ121+BF121)*Ipotesi!$C$67</f>
        <v>5897.60029886335</v>
      </c>
      <c r="BM121" s="15" t="n">
        <f aca="false">AM121*Ipotesi!$C$67</f>
        <v>3478.75</v>
      </c>
      <c r="BN121" s="15" t="n">
        <f aca="false">INDEX(Ipotesi!$C$72:$G$72,1,F121)/12*Ipotesi!D126+BF121*Ipotesi!$C$73</f>
        <v>9790.26746363559</v>
      </c>
      <c r="BO121" s="15" t="n">
        <f aca="false">INDEX(Ipotesi!$C$74:$G$74,1,F121)/12*Ipotesi!D126</f>
        <v>5416.66666666667</v>
      </c>
      <c r="BP121" s="15" t="n">
        <f aca="false">INDEX(Ipotesi!$C$76:$G$76,1,F121)/12</f>
        <v>1916.66666666667</v>
      </c>
      <c r="BQ121" s="15" t="n">
        <f aca="false">INDEX(Ipotesi!$C$77:$G$77,1,F121)/12*Ipotesi!D126</f>
        <v>2500</v>
      </c>
      <c r="BR121" s="15" t="n">
        <f aca="false">INDEX(Ipotesi!$C$78:$G$78,1,F121)/12</f>
        <v>2333.33333333333</v>
      </c>
      <c r="BS121" s="15" t="n">
        <f aca="false">SUM(M121:R121)*(Ipotesi!$C$85+Ipotesi!$C$86)/12</f>
        <v>7437.5</v>
      </c>
      <c r="BT121" s="15" t="n">
        <f aca="false">BI121*Ipotesi!$C$87</f>
        <v>6245.47529886335</v>
      </c>
      <c r="BU121" s="15" t="n">
        <f aca="false">INDEX(Ipotesi!$C$55:$G$55,1,F121)*K121/12</f>
        <v>2000</v>
      </c>
      <c r="BV121" s="15" t="n">
        <f aca="false">INDEX(Ipotesi!$C$80:$G$80,1,F121)/12*Ipotesi!D126</f>
        <v>2083.33333333333</v>
      </c>
      <c r="BW121" s="15" t="n">
        <f aca="false">INDEX(Ipotesi!$C$82:$G$82,1,F121)/12</f>
        <v>1500</v>
      </c>
      <c r="BX121" s="15" t="n">
        <f aca="false">INDEX(Ipotesi!$C$83:$G$83,1,F121)/12</f>
        <v>833.333333333333</v>
      </c>
      <c r="BY121" s="15" t="n">
        <f aca="false">SUM(S121:U121)*(Ipotesi!$C$85+Ipotesi!$C$86)/12</f>
        <v>3208.33333333333</v>
      </c>
      <c r="BZ121" s="15" t="n">
        <f aca="false">AM121*Ipotesi!$C$87</f>
        <v>3478.75</v>
      </c>
      <c r="CA121" s="15" t="n">
        <f aca="false">AB121+BJ121+BL121+BN121+BO121+AR121+BP121+BQ121+BR121+BS121+BT121</f>
        <v>200181.504715529</v>
      </c>
      <c r="CB121" s="15" t="n">
        <f aca="false">AC121+BK121+BM121+BH121+BU121+BV121+AS121+BW121+BX121+BY121+BZ121</f>
        <v>79625.4722608333</v>
      </c>
      <c r="CC121" s="15" t="n">
        <f aca="false">BI121-CA121</f>
        <v>8001.00524658262</v>
      </c>
      <c r="CD121" s="15" t="n">
        <f aca="false">AM121-CB121</f>
        <v>36332.8610725</v>
      </c>
      <c r="CE121" s="15" t="n">
        <f aca="false">INDEX(Ipotesi!$C$79:$G$79,1,F121)/12</f>
        <v>4166.66666666667</v>
      </c>
      <c r="CF121" s="15" t="n">
        <f aca="false">INDEX(Ipotesi!$C$84:$G$84,1,F121)/12</f>
        <v>666.666666666667</v>
      </c>
      <c r="CG121" s="15" t="n">
        <f aca="false">Y121*MAX(0,Parametri_v3!$C$12-IF(P121=0,0,MIN(1,BE121/(P121*Parametri_v3!$C$22))))+W121*Parametri_v3!$C$13+X121*Parametri_v3!$C$14</f>
        <v>34392.7648129588</v>
      </c>
      <c r="CH121" s="15" t="n">
        <f aca="false">AB121*Parametri_v3!$C$32</f>
        <v>5973.86641604167</v>
      </c>
      <c r="CI121" s="15" t="n">
        <f aca="false">AC121*Parametri_v3!$C$32</f>
        <v>2218.19027970833</v>
      </c>
      <c r="CJ121" s="15" t="n">
        <f aca="false">CA121-AB121</f>
        <v>80704.1763946956</v>
      </c>
      <c r="CK121" s="15" t="n">
        <f aca="false">CB121-AC121-BH121</f>
        <v>23665.8333333333</v>
      </c>
      <c r="CL121" s="15" t="n">
        <f aca="false">BF121*Ipotesi!$C$73+INDEX(Ipotesi!$C$72:$G$72,1,F121)/12*Ipotesi!D126*Parametri_v3!$C$58+Z121*(1-Parametri_v3!$C$16)</f>
        <v>17387.4519311356</v>
      </c>
      <c r="CM121" s="16" t="n">
        <f aca="false">IF(BF121=0,0,1-CL121/BF121)</f>
        <v>0.837124989303473</v>
      </c>
    </row>
    <row r="122" customFormat="false" ht="18" hidden="false" customHeight="true" outlineLevel="0" collapsed="false">
      <c r="A122" s="68" t="n">
        <f aca="false">2</f>
        <v>2</v>
      </c>
      <c r="B122" s="68" t="n">
        <f aca="false">58</f>
        <v>58</v>
      </c>
      <c r="C122" s="18" t="n">
        <f aca="false">EDATE(Parametri_v3!$C$5,58-1)</f>
        <v>48122</v>
      </c>
      <c r="D122" s="68" t="n">
        <f aca="false">YEAR(C122)</f>
        <v>2031</v>
      </c>
      <c r="E122" s="68" t="n">
        <f aca="false">MONTH(C122)</f>
        <v>10</v>
      </c>
      <c r="F122" s="68" t="n">
        <f aca="false">INT((58-1)/12)+1</f>
        <v>5</v>
      </c>
      <c r="G122" s="15" t="n">
        <f aca="false">Ipotesi!D7</f>
        <v>1</v>
      </c>
      <c r="H122" s="15" t="n">
        <f aca="false">Ipotesi!D9</f>
        <v>1</v>
      </c>
      <c r="I122" s="15" t="n">
        <f aca="false">Ipotesi!D10</f>
        <v>1</v>
      </c>
      <c r="J122" s="15" t="n">
        <f aca="false">Ipotesi!D11</f>
        <v>1</v>
      </c>
      <c r="K122" s="15" t="n">
        <f aca="false">Ipotesi!D12</f>
        <v>1</v>
      </c>
      <c r="L122" s="15" t="n">
        <f aca="false">Ipotesi!D13</f>
        <v>90</v>
      </c>
      <c r="M122" s="17" t="n">
        <f aca="false">INDEX(Ipotesi!$C$40:$G$40,1,F122)</f>
        <v>1</v>
      </c>
      <c r="N122" s="17" t="n">
        <f aca="false">INDEX(Ipotesi!$C$41:$G$41,1,F122)</f>
        <v>1</v>
      </c>
      <c r="O122" s="17" t="n">
        <f aca="false">INDEX(Ipotesi!$C$42:$G$42,1,F122)*Ipotesi!D125</f>
        <v>8.5</v>
      </c>
      <c r="P122" s="17" t="n">
        <f aca="false">INDEX(Ipotesi!$C$43:$G$43,1,F122)*I122</f>
        <v>7</v>
      </c>
      <c r="Q122" s="17" t="n">
        <f aca="false">INDEX(Ipotesi!$C$44:$G$44,1,F122)*I122</f>
        <v>6</v>
      </c>
      <c r="R122" s="17" t="n">
        <f aca="false">INDEX(Ipotesi!$C$45:$G$45,1,F122)*I122</f>
        <v>2</v>
      </c>
      <c r="S122" s="17" t="n">
        <f aca="false">INDEX(Ipotesi!$C$52:$G$52,1,F122)*Ipotesi!D125</f>
        <v>9</v>
      </c>
      <c r="T122" s="17" t="n">
        <f aca="false">INDEX(Ipotesi!$C$53:$G$53,1,F122)*I122</f>
        <v>1</v>
      </c>
      <c r="U122" s="17" t="n">
        <f aca="false">INDEX(Ipotesi!$C$54:$G$54,1,F122)*I122</f>
        <v>1</v>
      </c>
      <c r="V122" s="15" t="n">
        <f aca="false">M122*INDEX(Ipotesi!$C$58:$G$58,1,F122)*K122/12</f>
        <v>8333.33333333333</v>
      </c>
      <c r="W122" s="15" t="n">
        <f aca="false">N122*Ipotesi!$C$59*(1+Ipotesi!$C$66)^(F122-1)/12</f>
        <v>6565.46805833334</v>
      </c>
      <c r="X122" s="15" t="n">
        <f aca="false">O122*Ipotesi!$C$60*(1+Ipotesi!$C$66)^(F122-1)/12</f>
        <v>39861.7703541667</v>
      </c>
      <c r="Y122" s="15" t="n">
        <f aca="false">P122*Ipotesi!$C$61*(1+Ipotesi!$C$66)^(F122-1)/12</f>
        <v>32827.3402916667</v>
      </c>
      <c r="Z122" s="15" t="n">
        <f aca="false">Q122*Ipotesi!$C$62*(1+Ipotesi!$C$66)^(F122-1)/12</f>
        <v>25323.948225</v>
      </c>
      <c r="AA122" s="15" t="n">
        <f aca="false">R122*Ipotesi!$C$63*(1+Ipotesi!$C$66)^(F122-1)/12</f>
        <v>6565.46805833334</v>
      </c>
      <c r="AB122" s="15" t="n">
        <f aca="false">SUM(V122:AA122)</f>
        <v>119477.328320833</v>
      </c>
      <c r="AC122" s="15" t="n">
        <f aca="false">(S122*Ipotesi!$C$64+T122*Ipotesi!$C$65+U122*Ipotesi!$C$63)*(1+Ipotesi!$C$66)^(F122-1)/12</f>
        <v>44363.8055941667</v>
      </c>
      <c r="AD122" s="15" t="n">
        <f aca="false">INDEX(Ipotesi!$C$48:$G$48,1,F122)*G122/12</f>
        <v>95.8333333333333</v>
      </c>
      <c r="AE122" s="15" t="n">
        <f aca="false">INDEX(Ipotesi!$C$50:$G$50,1,F122)*G122/12</f>
        <v>9.58333333333333</v>
      </c>
      <c r="AF122" s="15" t="n">
        <f aca="false">(S122*Parametri_v3!$C$7*Parametri_v3!$C$8+Parametri_v3!$C$10)/12</f>
        <v>115.5</v>
      </c>
      <c r="AG122" s="15" t="n">
        <f aca="false">AD122+AE122*(1+Parametri_v3!$C$9)</f>
        <v>110.208333333333</v>
      </c>
      <c r="AH122" s="16" t="n">
        <f aca="false">IF(AG122=0,1,MIN(1,AF122/AG122))</f>
        <v>1</v>
      </c>
      <c r="AI122" s="15" t="n">
        <f aca="false">AD122*AH122</f>
        <v>95.8333333333333</v>
      </c>
      <c r="AJ122" s="15" t="n">
        <f aca="false">AE122*AH122</f>
        <v>9.58333333333333</v>
      </c>
      <c r="AK122" s="15" t="n">
        <f aca="false">AI122*INDEX(Ipotesi!$C$49:$G$49,1,F122)*H122</f>
        <v>91041.6666666667</v>
      </c>
      <c r="AL122" s="15" t="n">
        <f aca="false">AJ122*INDEX(Ipotesi!$C$51:$G$51,1,F122)*H122</f>
        <v>24916.6666666667</v>
      </c>
      <c r="AM122" s="15" t="n">
        <f aca="false">AK122+AL122</f>
        <v>115958.333333333</v>
      </c>
      <c r="AN122" s="15" t="n">
        <f aca="false">INDEX(Ipotesi!$C$30:$G$30,1,F122)*G122/12</f>
        <v>81.6666666666667</v>
      </c>
      <c r="AO122" s="15" t="n">
        <f aca="false">O122*Parametri_v3!$C$7*Parametri_v3!$C$11*(1-Parametri_v3!$C$14)/12</f>
        <v>87.2666666666667</v>
      </c>
      <c r="AP122" s="15" t="n">
        <f aca="false">MIN(AN122,AO122)</f>
        <v>81.6666666666667</v>
      </c>
      <c r="AQ122" s="15" t="n">
        <f aca="false">AP122*INDEX(Ipotesi!$C$31:$G$31,1,F122)*H122</f>
        <v>89833.3333333333</v>
      </c>
      <c r="AR122" s="15" t="n">
        <f aca="false">INDEX(Ipotesi!$C$75:$G$75,1,F122)*J122/12</f>
        <v>35833.3333333333</v>
      </c>
      <c r="AS122" s="15" t="n">
        <f aca="false">INDEX(Ipotesi!$C$81:$G$81,1,F122)*J122/12</f>
        <v>2083.33333333333</v>
      </c>
      <c r="AT122" s="15" t="n">
        <f aca="false">AR122*Parametri_v3!$C$15+Z122*Parametri_v3!$C$16</f>
        <v>53560.0970908333</v>
      </c>
      <c r="AU122" s="15" t="n">
        <f aca="false">Q122*Parametri_v3!$C$16*Parametri_v3!$C$17</f>
        <v>420</v>
      </c>
      <c r="AV122" s="17" t="n">
        <f aca="false">BD121</f>
        <v>209.850410729118</v>
      </c>
      <c r="AW122" s="17" t="n">
        <f aca="false">AV122*(1-(1-INDEX(Ipotesi!$C$34:$G$34,1,F122))^(1/12))</f>
        <v>1.83443064927727</v>
      </c>
      <c r="AX122" s="15" t="n">
        <f aca="false">ROUND(INDEX(Ipotesi!$C$32:$G$32,1,F122)*Ipotesi!D8,0)</f>
        <v>560</v>
      </c>
      <c r="AY122" s="15" t="n">
        <f aca="false">MAX(0,(AX122-(AV122-AW122))/(13-E122))</f>
        <v>117.328006640053</v>
      </c>
      <c r="AZ122" s="15" t="n">
        <f aca="false">MIN(P122*Parametri_v3!$C$22,Q122*(1-Parametri_v3!$C$16)*Parametri_v3!$C$23)</f>
        <v>270</v>
      </c>
      <c r="BA122" s="15" t="n">
        <f aca="false">IF(OR(INDEX(Ipotesi!$C$35:$G$35,1,F122)&lt;=0,58-Parametri_v3!$C$21&lt;1),0,INDEX($AT$65:$AT$124,MAX(1,58-Parametri_v3!$C$21))/(INDEX(Ipotesi!$C$35:$G$35,1,F122)*Ipotesi!D27))</f>
        <v>8.24001493705128</v>
      </c>
      <c r="BB122" s="15" t="n">
        <f aca="false">IF(58-Parametri_v3!$C$21&lt;1,0,INDEX($AU$65:$AU$124,MAX(1,58-Parametri_v3!$C$21)))*Parametri_v3!$C$18*Parametri_v3!$C$19*Parametri_v3!$C$20</f>
        <v>15.75</v>
      </c>
      <c r="BC122" s="17" t="n">
        <f aca="false">MAX(0,MIN(AY122,BA122,BB122,MAX(0,AZ122-(AV122-AW122))))</f>
        <v>8.24001493705128</v>
      </c>
      <c r="BD122" s="17" t="n">
        <f aca="false">AV122-AW122+BC122</f>
        <v>216.255995016892</v>
      </c>
      <c r="BE122" s="17" t="n">
        <f aca="false">(AV122+BD122)/2</f>
        <v>213.053202873005</v>
      </c>
      <c r="BF122" s="15" t="n">
        <f aca="false">BE122*INDEX(Ipotesi!$C$33:$G$33,1,F122)*H122/12</f>
        <v>110077.488151053</v>
      </c>
      <c r="BG122" s="15" t="n">
        <f aca="false">BD122*INDEX(Ipotesi!$C$33:$G$33,1,F122)*H122</f>
        <v>1340787.16910473</v>
      </c>
      <c r="BH122" s="15" t="n">
        <f aca="false">AM122*INDEX(Ipotesi!$C$37:$G$37,1,F122)</f>
        <v>11595.8333333333</v>
      </c>
      <c r="BI122" s="15" t="n">
        <f aca="false">AQ122+BF122+BH122</f>
        <v>211506.654817719</v>
      </c>
      <c r="BJ122" s="15" t="n">
        <f aca="false">INDEX(Ipotesi!$C$68:$G$68,1,F122)*Ipotesi!$C$69/12</f>
        <v>3333.33333333333</v>
      </c>
      <c r="BK122" s="15" t="n">
        <f aca="false">INDEX(Ipotesi!$C$68:$G$68,1,F122)*(1-Ipotesi!$C$69)/12</f>
        <v>5000</v>
      </c>
      <c r="BL122" s="15" t="n">
        <f aca="false">(AQ122+BF122)*Ipotesi!$C$67</f>
        <v>5997.32464453158</v>
      </c>
      <c r="BM122" s="15" t="n">
        <f aca="false">AM122*Ipotesi!$C$67</f>
        <v>3478.75</v>
      </c>
      <c r="BN122" s="15" t="n">
        <f aca="false">INDEX(Ipotesi!$C$72:$G$72,1,F122)/12*Ipotesi!D126+BF122*Ipotesi!$C$73</f>
        <v>10056.1990520842</v>
      </c>
      <c r="BO122" s="15" t="n">
        <f aca="false">INDEX(Ipotesi!$C$74:$G$74,1,F122)/12*Ipotesi!D126</f>
        <v>5416.66666666667</v>
      </c>
      <c r="BP122" s="15" t="n">
        <f aca="false">INDEX(Ipotesi!$C$76:$G$76,1,F122)/12</f>
        <v>1916.66666666667</v>
      </c>
      <c r="BQ122" s="15" t="n">
        <f aca="false">INDEX(Ipotesi!$C$77:$G$77,1,F122)/12*Ipotesi!D126</f>
        <v>2500</v>
      </c>
      <c r="BR122" s="15" t="n">
        <f aca="false">INDEX(Ipotesi!$C$78:$G$78,1,F122)/12</f>
        <v>2333.33333333333</v>
      </c>
      <c r="BS122" s="15" t="n">
        <f aca="false">SUM(M122:R122)*(Ipotesi!$C$85+Ipotesi!$C$86)/12</f>
        <v>7437.5</v>
      </c>
      <c r="BT122" s="15" t="n">
        <f aca="false">BI122*Ipotesi!$C$87</f>
        <v>6345.19964453158</v>
      </c>
      <c r="BU122" s="15" t="n">
        <f aca="false">INDEX(Ipotesi!$C$55:$G$55,1,F122)*K122/12</f>
        <v>2000</v>
      </c>
      <c r="BV122" s="15" t="n">
        <f aca="false">INDEX(Ipotesi!$C$80:$G$80,1,F122)/12*Ipotesi!D126</f>
        <v>2083.33333333333</v>
      </c>
      <c r="BW122" s="15" t="n">
        <f aca="false">INDEX(Ipotesi!$C$82:$G$82,1,F122)/12</f>
        <v>1500</v>
      </c>
      <c r="BX122" s="15" t="n">
        <f aca="false">INDEX(Ipotesi!$C$83:$G$83,1,F122)/12</f>
        <v>833.333333333333</v>
      </c>
      <c r="BY122" s="15" t="n">
        <f aca="false">SUM(S122:U122)*(Ipotesi!$C$85+Ipotesi!$C$86)/12</f>
        <v>3208.33333333333</v>
      </c>
      <c r="BZ122" s="15" t="n">
        <f aca="false">AM122*Ipotesi!$C$87</f>
        <v>3478.75</v>
      </c>
      <c r="CA122" s="15" t="n">
        <f aca="false">AB122+BJ122+BL122+BN122+BO122+AR122+BP122+BQ122+BR122+BS122+BT122</f>
        <v>200646.884995314</v>
      </c>
      <c r="CB122" s="15" t="n">
        <f aca="false">AC122+BK122+BM122+BH122+BU122+BV122+AS122+BW122+BX122+BY122+BZ122</f>
        <v>79625.4722608333</v>
      </c>
      <c r="CC122" s="15" t="n">
        <f aca="false">BI122-CA122</f>
        <v>10859.7698224054</v>
      </c>
      <c r="CD122" s="15" t="n">
        <f aca="false">AM122-CB122</f>
        <v>36332.8610725</v>
      </c>
      <c r="CE122" s="15" t="n">
        <f aca="false">INDEX(Ipotesi!$C$79:$G$79,1,F122)/12</f>
        <v>4166.66666666667</v>
      </c>
      <c r="CF122" s="15" t="n">
        <f aca="false">INDEX(Ipotesi!$C$84:$G$84,1,F122)/12</f>
        <v>666.666666666667</v>
      </c>
      <c r="CG122" s="15" t="n">
        <f aca="false">Y122*MAX(0,Parametri_v3!$C$12-IF(P122=0,0,MIN(1,BE122/(P122*Parametri_v3!$C$22))))+W122*Parametri_v3!$C$13+X122*Parametri_v3!$C$14</f>
        <v>34091.0426903215</v>
      </c>
      <c r="CH122" s="15" t="n">
        <f aca="false">AB122*Parametri_v3!$C$32</f>
        <v>5973.86641604167</v>
      </c>
      <c r="CI122" s="15" t="n">
        <f aca="false">AC122*Parametri_v3!$C$32</f>
        <v>2218.19027970833</v>
      </c>
      <c r="CJ122" s="15" t="n">
        <f aca="false">CA122-AB122</f>
        <v>81169.5566744807</v>
      </c>
      <c r="CK122" s="15" t="n">
        <f aca="false">CB122-AC122-BH122</f>
        <v>23665.8333333333</v>
      </c>
      <c r="CL122" s="15" t="n">
        <f aca="false">BF122*Ipotesi!$C$73+INDEX(Ipotesi!$C$72:$G$72,1,F122)/12*Ipotesi!D126*Parametri_v3!$C$58+Z122*(1-Parametri_v3!$C$16)</f>
        <v>17653.3835195842</v>
      </c>
      <c r="CM122" s="16" t="n">
        <f aca="false">IF(BF122=0,0,1-CL122/BF122)</f>
        <v>0.839627667599396</v>
      </c>
    </row>
    <row r="123" customFormat="false" ht="18" hidden="false" customHeight="true" outlineLevel="0" collapsed="false">
      <c r="A123" s="68" t="n">
        <f aca="false">2</f>
        <v>2</v>
      </c>
      <c r="B123" s="68" t="n">
        <f aca="false">59</f>
        <v>59</v>
      </c>
      <c r="C123" s="18" t="n">
        <f aca="false">EDATE(Parametri_v3!$C$5,59-1)</f>
        <v>48153</v>
      </c>
      <c r="D123" s="68" t="n">
        <f aca="false">YEAR(C123)</f>
        <v>2031</v>
      </c>
      <c r="E123" s="68" t="n">
        <f aca="false">MONTH(C123)</f>
        <v>11</v>
      </c>
      <c r="F123" s="68" t="n">
        <f aca="false">INT((59-1)/12)+1</f>
        <v>5</v>
      </c>
      <c r="G123" s="15" t="n">
        <f aca="false">Ipotesi!D7</f>
        <v>1</v>
      </c>
      <c r="H123" s="15" t="n">
        <f aca="false">Ipotesi!D9</f>
        <v>1</v>
      </c>
      <c r="I123" s="15" t="n">
        <f aca="false">Ipotesi!D10</f>
        <v>1</v>
      </c>
      <c r="J123" s="15" t="n">
        <f aca="false">Ipotesi!D11</f>
        <v>1</v>
      </c>
      <c r="K123" s="15" t="n">
        <f aca="false">Ipotesi!D12</f>
        <v>1</v>
      </c>
      <c r="L123" s="15" t="n">
        <f aca="false">Ipotesi!D13</f>
        <v>90</v>
      </c>
      <c r="M123" s="17" t="n">
        <f aca="false">INDEX(Ipotesi!$C$40:$G$40,1,F123)</f>
        <v>1</v>
      </c>
      <c r="N123" s="17" t="n">
        <f aca="false">INDEX(Ipotesi!$C$41:$G$41,1,F123)</f>
        <v>1</v>
      </c>
      <c r="O123" s="17" t="n">
        <f aca="false">INDEX(Ipotesi!$C$42:$G$42,1,F123)*Ipotesi!D125</f>
        <v>8.5</v>
      </c>
      <c r="P123" s="17" t="n">
        <f aca="false">INDEX(Ipotesi!$C$43:$G$43,1,F123)*I123</f>
        <v>7</v>
      </c>
      <c r="Q123" s="17" t="n">
        <f aca="false">INDEX(Ipotesi!$C$44:$G$44,1,F123)*I123</f>
        <v>6</v>
      </c>
      <c r="R123" s="17" t="n">
        <f aca="false">INDEX(Ipotesi!$C$45:$G$45,1,F123)*I123</f>
        <v>2</v>
      </c>
      <c r="S123" s="17" t="n">
        <f aca="false">INDEX(Ipotesi!$C$52:$G$52,1,F123)*Ipotesi!D125</f>
        <v>9</v>
      </c>
      <c r="T123" s="17" t="n">
        <f aca="false">INDEX(Ipotesi!$C$53:$G$53,1,F123)*I123</f>
        <v>1</v>
      </c>
      <c r="U123" s="17" t="n">
        <f aca="false">INDEX(Ipotesi!$C$54:$G$54,1,F123)*I123</f>
        <v>1</v>
      </c>
      <c r="V123" s="15" t="n">
        <f aca="false">M123*INDEX(Ipotesi!$C$58:$G$58,1,F123)*K123/12</f>
        <v>8333.33333333333</v>
      </c>
      <c r="W123" s="15" t="n">
        <f aca="false">N123*Ipotesi!$C$59*(1+Ipotesi!$C$66)^(F123-1)/12</f>
        <v>6565.46805833334</v>
      </c>
      <c r="X123" s="15" t="n">
        <f aca="false">O123*Ipotesi!$C$60*(1+Ipotesi!$C$66)^(F123-1)/12</f>
        <v>39861.7703541667</v>
      </c>
      <c r="Y123" s="15" t="n">
        <f aca="false">P123*Ipotesi!$C$61*(1+Ipotesi!$C$66)^(F123-1)/12</f>
        <v>32827.3402916667</v>
      </c>
      <c r="Z123" s="15" t="n">
        <f aca="false">Q123*Ipotesi!$C$62*(1+Ipotesi!$C$66)^(F123-1)/12</f>
        <v>25323.948225</v>
      </c>
      <c r="AA123" s="15" t="n">
        <f aca="false">R123*Ipotesi!$C$63*(1+Ipotesi!$C$66)^(F123-1)/12</f>
        <v>6565.46805833334</v>
      </c>
      <c r="AB123" s="15" t="n">
        <f aca="false">SUM(V123:AA123)</f>
        <v>119477.328320833</v>
      </c>
      <c r="AC123" s="15" t="n">
        <f aca="false">(S123*Ipotesi!$C$64+T123*Ipotesi!$C$65+U123*Ipotesi!$C$63)*(1+Ipotesi!$C$66)^(F123-1)/12</f>
        <v>44363.8055941667</v>
      </c>
      <c r="AD123" s="15" t="n">
        <f aca="false">INDEX(Ipotesi!$C$48:$G$48,1,F123)*G123/12</f>
        <v>95.8333333333333</v>
      </c>
      <c r="AE123" s="15" t="n">
        <f aca="false">INDEX(Ipotesi!$C$50:$G$50,1,F123)*G123/12</f>
        <v>9.58333333333333</v>
      </c>
      <c r="AF123" s="15" t="n">
        <f aca="false">(S123*Parametri_v3!$C$7*Parametri_v3!$C$8+Parametri_v3!$C$10)/12</f>
        <v>115.5</v>
      </c>
      <c r="AG123" s="15" t="n">
        <f aca="false">AD123+AE123*(1+Parametri_v3!$C$9)</f>
        <v>110.208333333333</v>
      </c>
      <c r="AH123" s="16" t="n">
        <f aca="false">IF(AG123=0,1,MIN(1,AF123/AG123))</f>
        <v>1</v>
      </c>
      <c r="AI123" s="15" t="n">
        <f aca="false">AD123*AH123</f>
        <v>95.8333333333333</v>
      </c>
      <c r="AJ123" s="15" t="n">
        <f aca="false">AE123*AH123</f>
        <v>9.58333333333333</v>
      </c>
      <c r="AK123" s="15" t="n">
        <f aca="false">AI123*INDEX(Ipotesi!$C$49:$G$49,1,F123)*H123</f>
        <v>91041.6666666667</v>
      </c>
      <c r="AL123" s="15" t="n">
        <f aca="false">AJ123*INDEX(Ipotesi!$C$51:$G$51,1,F123)*H123</f>
        <v>24916.6666666667</v>
      </c>
      <c r="AM123" s="15" t="n">
        <f aca="false">AK123+AL123</f>
        <v>115958.333333333</v>
      </c>
      <c r="AN123" s="15" t="n">
        <f aca="false">INDEX(Ipotesi!$C$30:$G$30,1,F123)*G123/12</f>
        <v>81.6666666666667</v>
      </c>
      <c r="AO123" s="15" t="n">
        <f aca="false">O123*Parametri_v3!$C$7*Parametri_v3!$C$11*(1-Parametri_v3!$C$14)/12</f>
        <v>87.2666666666667</v>
      </c>
      <c r="AP123" s="15" t="n">
        <f aca="false">MIN(AN123,AO123)</f>
        <v>81.6666666666667</v>
      </c>
      <c r="AQ123" s="15" t="n">
        <f aca="false">AP123*INDEX(Ipotesi!$C$31:$G$31,1,F123)*H123</f>
        <v>89833.3333333333</v>
      </c>
      <c r="AR123" s="15" t="n">
        <f aca="false">INDEX(Ipotesi!$C$75:$G$75,1,F123)*J123/12</f>
        <v>35833.3333333333</v>
      </c>
      <c r="AS123" s="15" t="n">
        <f aca="false">INDEX(Ipotesi!$C$81:$G$81,1,F123)*J123/12</f>
        <v>2083.33333333333</v>
      </c>
      <c r="AT123" s="15" t="n">
        <f aca="false">AR123*Parametri_v3!$C$15+Z123*Parametri_v3!$C$16</f>
        <v>53560.0970908333</v>
      </c>
      <c r="AU123" s="15" t="n">
        <f aca="false">Q123*Parametri_v3!$C$16*Parametri_v3!$C$17</f>
        <v>420</v>
      </c>
      <c r="AV123" s="17" t="n">
        <f aca="false">BD122</f>
        <v>216.255995016892</v>
      </c>
      <c r="AW123" s="17" t="n">
        <f aca="false">AV123*(1-(1-INDEX(Ipotesi!$C$34:$G$34,1,F123))^(1/12))</f>
        <v>1.89042577505851</v>
      </c>
      <c r="AX123" s="15" t="n">
        <f aca="false">ROUND(INDEX(Ipotesi!$C$32:$G$32,1,F123)*Ipotesi!D8,0)</f>
        <v>560</v>
      </c>
      <c r="AY123" s="15" t="n">
        <f aca="false">MAX(0,(AX123-(AV123-AW123))/(13-E123))</f>
        <v>172.817215379083</v>
      </c>
      <c r="AZ123" s="15" t="n">
        <f aca="false">MIN(P123*Parametri_v3!$C$22,Q123*(1-Parametri_v3!$C$16)*Parametri_v3!$C$23)</f>
        <v>270</v>
      </c>
      <c r="BA123" s="15" t="n">
        <f aca="false">IF(OR(INDEX(Ipotesi!$C$35:$G$35,1,F123)&lt;=0,59-Parametri_v3!$C$21&lt;1),0,INDEX($AT$65:$AT$124,MAX(1,59-Parametri_v3!$C$21))/(INDEX(Ipotesi!$C$35:$G$35,1,F123)*Ipotesi!D27))</f>
        <v>8.24001493705128</v>
      </c>
      <c r="BB123" s="15" t="n">
        <f aca="false">IF(59-Parametri_v3!$C$21&lt;1,0,INDEX($AU$65:$AU$124,MAX(1,59-Parametri_v3!$C$21)))*Parametri_v3!$C$18*Parametri_v3!$C$19*Parametri_v3!$C$20</f>
        <v>15.75</v>
      </c>
      <c r="BC123" s="17" t="n">
        <f aca="false">MAX(0,MIN(AY123,BA123,BB123,MAX(0,AZ123-(AV123-AW123))))</f>
        <v>8.24001493705128</v>
      </c>
      <c r="BD123" s="17" t="n">
        <f aca="false">AV123-AW123+BC123</f>
        <v>222.605584178885</v>
      </c>
      <c r="BE123" s="17" t="n">
        <f aca="false">(AV123+BD123)/2</f>
        <v>219.430789597889</v>
      </c>
      <c r="BF123" s="15" t="n">
        <f aca="false">BE123*INDEX(Ipotesi!$C$33:$G$33,1,F123)*H123/12</f>
        <v>113372.574625576</v>
      </c>
      <c r="BG123" s="15" t="n">
        <f aca="false">BD123*INDEX(Ipotesi!$C$33:$G$33,1,F123)*H123</f>
        <v>1380154.62190909</v>
      </c>
      <c r="BH123" s="15" t="n">
        <f aca="false">AM123*INDEX(Ipotesi!$C$37:$G$37,1,F123)</f>
        <v>11595.8333333333</v>
      </c>
      <c r="BI123" s="15" t="n">
        <f aca="false">AQ123+BF123+BH123</f>
        <v>214801.741292243</v>
      </c>
      <c r="BJ123" s="15" t="n">
        <f aca="false">INDEX(Ipotesi!$C$68:$G$68,1,F123)*Ipotesi!$C$69/12</f>
        <v>3333.33333333333</v>
      </c>
      <c r="BK123" s="15" t="n">
        <f aca="false">INDEX(Ipotesi!$C$68:$G$68,1,F123)*(1-Ipotesi!$C$69)/12</f>
        <v>5000</v>
      </c>
      <c r="BL123" s="15" t="n">
        <f aca="false">(AQ123+BF123)*Ipotesi!$C$67</f>
        <v>6096.17723876728</v>
      </c>
      <c r="BM123" s="15" t="n">
        <f aca="false">AM123*Ipotesi!$C$67</f>
        <v>3478.75</v>
      </c>
      <c r="BN123" s="15" t="n">
        <f aca="false">INDEX(Ipotesi!$C$72:$G$72,1,F123)/12*Ipotesi!D126+BF123*Ipotesi!$C$73</f>
        <v>10319.8059700461</v>
      </c>
      <c r="BO123" s="15" t="n">
        <f aca="false">INDEX(Ipotesi!$C$74:$G$74,1,F123)/12*Ipotesi!D126</f>
        <v>5416.66666666667</v>
      </c>
      <c r="BP123" s="15" t="n">
        <f aca="false">INDEX(Ipotesi!$C$76:$G$76,1,F123)/12</f>
        <v>1916.66666666667</v>
      </c>
      <c r="BQ123" s="15" t="n">
        <f aca="false">INDEX(Ipotesi!$C$77:$G$77,1,F123)/12*Ipotesi!D126</f>
        <v>2500</v>
      </c>
      <c r="BR123" s="15" t="n">
        <f aca="false">INDEX(Ipotesi!$C$78:$G$78,1,F123)/12</f>
        <v>2333.33333333333</v>
      </c>
      <c r="BS123" s="15" t="n">
        <f aca="false">SUM(M123:R123)*(Ipotesi!$C$85+Ipotesi!$C$86)/12</f>
        <v>7437.5</v>
      </c>
      <c r="BT123" s="15" t="n">
        <f aca="false">BI123*Ipotesi!$C$87</f>
        <v>6444.05223876728</v>
      </c>
      <c r="BU123" s="15" t="n">
        <f aca="false">INDEX(Ipotesi!$C$55:$G$55,1,F123)*K123/12</f>
        <v>2000</v>
      </c>
      <c r="BV123" s="15" t="n">
        <f aca="false">INDEX(Ipotesi!$C$80:$G$80,1,F123)/12*Ipotesi!D126</f>
        <v>2083.33333333333</v>
      </c>
      <c r="BW123" s="15" t="n">
        <f aca="false">INDEX(Ipotesi!$C$82:$G$82,1,F123)/12</f>
        <v>1500</v>
      </c>
      <c r="BX123" s="15" t="n">
        <f aca="false">INDEX(Ipotesi!$C$83:$G$83,1,F123)/12</f>
        <v>833.333333333333</v>
      </c>
      <c r="BY123" s="15" t="n">
        <f aca="false">SUM(S123:U123)*(Ipotesi!$C$85+Ipotesi!$C$86)/12</f>
        <v>3208.33333333333</v>
      </c>
      <c r="BZ123" s="15" t="n">
        <f aca="false">AM123*Ipotesi!$C$87</f>
        <v>3478.75</v>
      </c>
      <c r="CA123" s="15" t="n">
        <f aca="false">AB123+BJ123+BL123+BN123+BO123+AR123+BP123+BQ123+BR123+BS123+BT123</f>
        <v>201108.197101747</v>
      </c>
      <c r="CB123" s="15" t="n">
        <f aca="false">AC123+BK123+BM123+BH123+BU123+BV123+AS123+BW123+BX123+BY123+BZ123</f>
        <v>79625.4722608333</v>
      </c>
      <c r="CC123" s="15" t="n">
        <f aca="false">BI123-CA123</f>
        <v>13693.5441904952</v>
      </c>
      <c r="CD123" s="15" t="n">
        <f aca="false">AM123-CB123</f>
        <v>36332.8610725</v>
      </c>
      <c r="CE123" s="15" t="n">
        <f aca="false">INDEX(Ipotesi!$C$79:$G$79,1,F123)/12</f>
        <v>4166.66666666667</v>
      </c>
      <c r="CF123" s="15" t="n">
        <f aca="false">INDEX(Ipotesi!$C$84:$G$84,1,F123)/12</f>
        <v>666.666666666667</v>
      </c>
      <c r="CG123" s="15" t="n">
        <f aca="false">Y123*MAX(0,Parametri_v3!$C$12-IF(P123=0,0,MIN(1,BE123/(P123*Parametri_v3!$C$22))))+W123*Parametri_v3!$C$13+X123*Parametri_v3!$C$14</f>
        <v>33791.9581050967</v>
      </c>
      <c r="CH123" s="15" t="n">
        <f aca="false">AB123*Parametri_v3!$C$32</f>
        <v>5973.86641604167</v>
      </c>
      <c r="CI123" s="15" t="n">
        <f aca="false">AC123*Parametri_v3!$C$32</f>
        <v>2218.19027970833</v>
      </c>
      <c r="CJ123" s="15" t="n">
        <f aca="false">CA123-AB123</f>
        <v>81630.8687809139</v>
      </c>
      <c r="CK123" s="15" t="n">
        <f aca="false">CB123-AC123-BH123</f>
        <v>23665.8333333333</v>
      </c>
      <c r="CL123" s="15" t="n">
        <f aca="false">BF123*Ipotesi!$C$73+INDEX(Ipotesi!$C$72:$G$72,1,F123)/12*Ipotesi!D126*Parametri_v3!$C$58+Z123*(1-Parametri_v3!$C$16)</f>
        <v>17916.9904375461</v>
      </c>
      <c r="CM123" s="16" t="n">
        <f aca="false">IF(BF123=0,0,1-CL123/BF123)</f>
        <v>0.84196362747588</v>
      </c>
    </row>
    <row r="124" customFormat="false" ht="18" hidden="false" customHeight="true" outlineLevel="0" collapsed="false">
      <c r="A124" s="68" t="n">
        <f aca="false">2</f>
        <v>2</v>
      </c>
      <c r="B124" s="68" t="n">
        <f aca="false">60</f>
        <v>60</v>
      </c>
      <c r="C124" s="18" t="n">
        <f aca="false">EDATE(Parametri_v3!$C$5,60-1)</f>
        <v>48183</v>
      </c>
      <c r="D124" s="68" t="n">
        <f aca="false">YEAR(C124)</f>
        <v>2031</v>
      </c>
      <c r="E124" s="68" t="n">
        <f aca="false">MONTH(C124)</f>
        <v>12</v>
      </c>
      <c r="F124" s="68" t="n">
        <f aca="false">INT((60-1)/12)+1</f>
        <v>5</v>
      </c>
      <c r="G124" s="15" t="n">
        <f aca="false">Ipotesi!D7</f>
        <v>1</v>
      </c>
      <c r="H124" s="15" t="n">
        <f aca="false">Ipotesi!D9</f>
        <v>1</v>
      </c>
      <c r="I124" s="15" t="n">
        <f aca="false">Ipotesi!D10</f>
        <v>1</v>
      </c>
      <c r="J124" s="15" t="n">
        <f aca="false">Ipotesi!D11</f>
        <v>1</v>
      </c>
      <c r="K124" s="15" t="n">
        <f aca="false">Ipotesi!D12</f>
        <v>1</v>
      </c>
      <c r="L124" s="15" t="n">
        <f aca="false">Ipotesi!D13</f>
        <v>90</v>
      </c>
      <c r="M124" s="17" t="n">
        <f aca="false">INDEX(Ipotesi!$C$40:$G$40,1,F124)</f>
        <v>1</v>
      </c>
      <c r="N124" s="17" t="n">
        <f aca="false">INDEX(Ipotesi!$C$41:$G$41,1,F124)</f>
        <v>1</v>
      </c>
      <c r="O124" s="17" t="n">
        <f aca="false">INDEX(Ipotesi!$C$42:$G$42,1,F124)*Ipotesi!D125</f>
        <v>8.5</v>
      </c>
      <c r="P124" s="17" t="n">
        <f aca="false">INDEX(Ipotesi!$C$43:$G$43,1,F124)*I124</f>
        <v>7</v>
      </c>
      <c r="Q124" s="17" t="n">
        <f aca="false">INDEX(Ipotesi!$C$44:$G$44,1,F124)*I124</f>
        <v>6</v>
      </c>
      <c r="R124" s="17" t="n">
        <f aca="false">INDEX(Ipotesi!$C$45:$G$45,1,F124)*I124</f>
        <v>2</v>
      </c>
      <c r="S124" s="17" t="n">
        <f aca="false">INDEX(Ipotesi!$C$52:$G$52,1,F124)*Ipotesi!D125</f>
        <v>9</v>
      </c>
      <c r="T124" s="17" t="n">
        <f aca="false">INDEX(Ipotesi!$C$53:$G$53,1,F124)*I124</f>
        <v>1</v>
      </c>
      <c r="U124" s="17" t="n">
        <f aca="false">INDEX(Ipotesi!$C$54:$G$54,1,F124)*I124</f>
        <v>1</v>
      </c>
      <c r="V124" s="15" t="n">
        <f aca="false">M124*INDEX(Ipotesi!$C$58:$G$58,1,F124)*K124/12</f>
        <v>8333.33333333333</v>
      </c>
      <c r="W124" s="15" t="n">
        <f aca="false">N124*Ipotesi!$C$59*(1+Ipotesi!$C$66)^(F124-1)/12</f>
        <v>6565.46805833334</v>
      </c>
      <c r="X124" s="15" t="n">
        <f aca="false">O124*Ipotesi!$C$60*(1+Ipotesi!$C$66)^(F124-1)/12</f>
        <v>39861.7703541667</v>
      </c>
      <c r="Y124" s="15" t="n">
        <f aca="false">P124*Ipotesi!$C$61*(1+Ipotesi!$C$66)^(F124-1)/12</f>
        <v>32827.3402916667</v>
      </c>
      <c r="Z124" s="15" t="n">
        <f aca="false">Q124*Ipotesi!$C$62*(1+Ipotesi!$C$66)^(F124-1)/12</f>
        <v>25323.948225</v>
      </c>
      <c r="AA124" s="15" t="n">
        <f aca="false">R124*Ipotesi!$C$63*(1+Ipotesi!$C$66)^(F124-1)/12</f>
        <v>6565.46805833334</v>
      </c>
      <c r="AB124" s="15" t="n">
        <f aca="false">SUM(V124:AA124)</f>
        <v>119477.328320833</v>
      </c>
      <c r="AC124" s="15" t="n">
        <f aca="false">(S124*Ipotesi!$C$64+T124*Ipotesi!$C$65+U124*Ipotesi!$C$63)*(1+Ipotesi!$C$66)^(F124-1)/12</f>
        <v>44363.8055941667</v>
      </c>
      <c r="AD124" s="15" t="n">
        <f aca="false">INDEX(Ipotesi!$C$48:$G$48,1,F124)*G124/12</f>
        <v>95.8333333333333</v>
      </c>
      <c r="AE124" s="15" t="n">
        <f aca="false">INDEX(Ipotesi!$C$50:$G$50,1,F124)*G124/12</f>
        <v>9.58333333333333</v>
      </c>
      <c r="AF124" s="15" t="n">
        <f aca="false">(S124*Parametri_v3!$C$7*Parametri_v3!$C$8+Parametri_v3!$C$10)/12</f>
        <v>115.5</v>
      </c>
      <c r="AG124" s="15" t="n">
        <f aca="false">AD124+AE124*(1+Parametri_v3!$C$9)</f>
        <v>110.208333333333</v>
      </c>
      <c r="AH124" s="16" t="n">
        <f aca="false">IF(AG124=0,1,MIN(1,AF124/AG124))</f>
        <v>1</v>
      </c>
      <c r="AI124" s="15" t="n">
        <f aca="false">AD124*AH124</f>
        <v>95.8333333333333</v>
      </c>
      <c r="AJ124" s="15" t="n">
        <f aca="false">AE124*AH124</f>
        <v>9.58333333333333</v>
      </c>
      <c r="AK124" s="15" t="n">
        <f aca="false">AI124*INDEX(Ipotesi!$C$49:$G$49,1,F124)*H124</f>
        <v>91041.6666666667</v>
      </c>
      <c r="AL124" s="15" t="n">
        <f aca="false">AJ124*INDEX(Ipotesi!$C$51:$G$51,1,F124)*H124</f>
        <v>24916.6666666667</v>
      </c>
      <c r="AM124" s="15" t="n">
        <f aca="false">AK124+AL124</f>
        <v>115958.333333333</v>
      </c>
      <c r="AN124" s="15" t="n">
        <f aca="false">INDEX(Ipotesi!$C$30:$G$30,1,F124)*G124/12</f>
        <v>81.6666666666667</v>
      </c>
      <c r="AO124" s="15" t="n">
        <f aca="false">O124*Parametri_v3!$C$7*Parametri_v3!$C$11*(1-Parametri_v3!$C$14)/12</f>
        <v>87.2666666666667</v>
      </c>
      <c r="AP124" s="15" t="n">
        <f aca="false">MIN(AN124,AO124)</f>
        <v>81.6666666666667</v>
      </c>
      <c r="AQ124" s="15" t="n">
        <f aca="false">AP124*INDEX(Ipotesi!$C$31:$G$31,1,F124)*H124</f>
        <v>89833.3333333333</v>
      </c>
      <c r="AR124" s="15" t="n">
        <f aca="false">INDEX(Ipotesi!$C$75:$G$75,1,F124)*J124/12</f>
        <v>35833.3333333333</v>
      </c>
      <c r="AS124" s="15" t="n">
        <f aca="false">INDEX(Ipotesi!$C$81:$G$81,1,F124)*J124/12</f>
        <v>2083.33333333333</v>
      </c>
      <c r="AT124" s="15" t="n">
        <f aca="false">AR124*Parametri_v3!$C$15+Z124*Parametri_v3!$C$16</f>
        <v>53560.0970908333</v>
      </c>
      <c r="AU124" s="15" t="n">
        <f aca="false">Q124*Parametri_v3!$C$16*Parametri_v3!$C$17</f>
        <v>420</v>
      </c>
      <c r="AV124" s="17" t="n">
        <f aca="false">BD123</f>
        <v>222.605584178885</v>
      </c>
      <c r="AW124" s="17" t="n">
        <f aca="false">AV124*(1-(1-INDEX(Ipotesi!$C$34:$G$34,1,F124))^(1/12))</f>
        <v>1.94593141323481</v>
      </c>
      <c r="AX124" s="15" t="n">
        <f aca="false">ROUND(INDEX(Ipotesi!$C$32:$G$32,1,F124)*Ipotesi!D8,0)</f>
        <v>560</v>
      </c>
      <c r="AY124" s="15" t="n">
        <f aca="false">MAX(0,(AX124-(AV124-AW124))/(13-E124))</f>
        <v>339.34034723435</v>
      </c>
      <c r="AZ124" s="15" t="n">
        <f aca="false">MIN(P124*Parametri_v3!$C$22,Q124*(1-Parametri_v3!$C$16)*Parametri_v3!$C$23)</f>
        <v>270</v>
      </c>
      <c r="BA124" s="15" t="n">
        <f aca="false">IF(OR(INDEX(Ipotesi!$C$35:$G$35,1,F124)&lt;=0,60-Parametri_v3!$C$21&lt;1),0,INDEX($AT$65:$AT$124,MAX(1,60-Parametri_v3!$C$21))/(INDEX(Ipotesi!$C$35:$G$35,1,F124)*Ipotesi!D27))</f>
        <v>8.24001493705128</v>
      </c>
      <c r="BB124" s="15" t="n">
        <f aca="false">IF(60-Parametri_v3!$C$21&lt;1,0,INDEX($AU$65:$AU$124,MAX(1,60-Parametri_v3!$C$21)))*Parametri_v3!$C$18*Parametri_v3!$C$19*Parametri_v3!$C$20</f>
        <v>15.75</v>
      </c>
      <c r="BC124" s="17" t="n">
        <f aca="false">MAX(0,MIN(AY124,BA124,BB124,MAX(0,AZ124-(AV124-AW124))))</f>
        <v>8.24001493705128</v>
      </c>
      <c r="BD124" s="17" t="n">
        <f aca="false">AV124-AW124+BC124</f>
        <v>228.899667702702</v>
      </c>
      <c r="BE124" s="17" t="n">
        <f aca="false">(AV124+BD124)/2</f>
        <v>225.752625940793</v>
      </c>
      <c r="BF124" s="15" t="n">
        <f aca="false">BE124*INDEX(Ipotesi!$C$33:$G$33,1,F124)*H124/12</f>
        <v>116638.856736077</v>
      </c>
      <c r="BG124" s="15" t="n">
        <f aca="false">BD124*INDEX(Ipotesi!$C$33:$G$33,1,F124)*H124</f>
        <v>1419177.93975675</v>
      </c>
      <c r="BH124" s="15" t="n">
        <f aca="false">AM124*INDEX(Ipotesi!$C$37:$G$37,1,F124)</f>
        <v>11595.8333333333</v>
      </c>
      <c r="BI124" s="15" t="n">
        <f aca="false">AQ124+BF124+BH124</f>
        <v>218068.023402743</v>
      </c>
      <c r="BJ124" s="15" t="n">
        <f aca="false">INDEX(Ipotesi!$C$68:$G$68,1,F124)*Ipotesi!$C$69/12</f>
        <v>3333.33333333333</v>
      </c>
      <c r="BK124" s="15" t="n">
        <f aca="false">INDEX(Ipotesi!$C$68:$G$68,1,F124)*(1-Ipotesi!$C$69)/12</f>
        <v>5000</v>
      </c>
      <c r="BL124" s="15" t="n">
        <f aca="false">(AQ124+BF124)*Ipotesi!$C$67</f>
        <v>6194.1657020823</v>
      </c>
      <c r="BM124" s="15" t="n">
        <f aca="false">AM124*Ipotesi!$C$67</f>
        <v>3478.75</v>
      </c>
      <c r="BN124" s="15" t="n">
        <f aca="false">INDEX(Ipotesi!$C$72:$G$72,1,F124)/12*Ipotesi!D126+BF124*Ipotesi!$C$73</f>
        <v>10581.1085388861</v>
      </c>
      <c r="BO124" s="15" t="n">
        <f aca="false">INDEX(Ipotesi!$C$74:$G$74,1,F124)/12*Ipotesi!D126</f>
        <v>5416.66666666667</v>
      </c>
      <c r="BP124" s="15" t="n">
        <f aca="false">INDEX(Ipotesi!$C$76:$G$76,1,F124)/12</f>
        <v>1916.66666666667</v>
      </c>
      <c r="BQ124" s="15" t="n">
        <f aca="false">INDEX(Ipotesi!$C$77:$G$77,1,F124)/12*Ipotesi!D126</f>
        <v>2500</v>
      </c>
      <c r="BR124" s="15" t="n">
        <f aca="false">INDEX(Ipotesi!$C$78:$G$78,1,F124)/12</f>
        <v>2333.33333333333</v>
      </c>
      <c r="BS124" s="15" t="n">
        <f aca="false">SUM(M124:R124)*(Ipotesi!$C$85+Ipotesi!$C$86)/12</f>
        <v>7437.5</v>
      </c>
      <c r="BT124" s="15" t="n">
        <f aca="false">BI124*Ipotesi!$C$87</f>
        <v>6542.0407020823</v>
      </c>
      <c r="BU124" s="15" t="n">
        <f aca="false">INDEX(Ipotesi!$C$55:$G$55,1,F124)*K124/12</f>
        <v>2000</v>
      </c>
      <c r="BV124" s="15" t="n">
        <f aca="false">INDEX(Ipotesi!$C$80:$G$80,1,F124)/12*Ipotesi!D126</f>
        <v>2083.33333333333</v>
      </c>
      <c r="BW124" s="15" t="n">
        <f aca="false">INDEX(Ipotesi!$C$82:$G$82,1,F124)/12</f>
        <v>1500</v>
      </c>
      <c r="BX124" s="15" t="n">
        <f aca="false">INDEX(Ipotesi!$C$83:$G$83,1,F124)/12</f>
        <v>833.333333333333</v>
      </c>
      <c r="BY124" s="15" t="n">
        <f aca="false">SUM(S124:U124)*(Ipotesi!$C$85+Ipotesi!$C$86)/12</f>
        <v>3208.33333333333</v>
      </c>
      <c r="BZ124" s="15" t="n">
        <f aca="false">AM124*Ipotesi!$C$87</f>
        <v>3478.75</v>
      </c>
      <c r="CA124" s="15" t="n">
        <f aca="false">AB124+BJ124+BL124+BN124+BO124+AR124+BP124+BQ124+BR124+BS124+BT124</f>
        <v>201565.476597217</v>
      </c>
      <c r="CB124" s="15" t="n">
        <f aca="false">AC124+BK124+BM124+BH124+BU124+BV124+AS124+BW124+BX124+BY124+BZ124</f>
        <v>79625.4722608333</v>
      </c>
      <c r="CC124" s="15" t="n">
        <f aca="false">BI124-CA124</f>
        <v>16502.5468055258</v>
      </c>
      <c r="CD124" s="15" t="n">
        <f aca="false">AM124-CB124</f>
        <v>36332.8610725</v>
      </c>
      <c r="CE124" s="15" t="n">
        <f aca="false">INDEX(Ipotesi!$C$79:$G$79,1,F124)/12</f>
        <v>4166.66666666667</v>
      </c>
      <c r="CF124" s="15" t="n">
        <f aca="false">INDEX(Ipotesi!$C$84:$G$84,1,F124)/12</f>
        <v>666.666666666667</v>
      </c>
      <c r="CG124" s="15" t="n">
        <f aca="false">Y124*MAX(0,Parametri_v3!$C$12-IF(P124=0,0,MIN(1,BE124/(P124*Parametri_v3!$C$22))))+W124*Parametri_v3!$C$13+X124*Parametri_v3!$C$14</f>
        <v>33495.4880009584</v>
      </c>
      <c r="CH124" s="15" t="n">
        <f aca="false">AB124*Parametri_v3!$C$32</f>
        <v>5973.86641604167</v>
      </c>
      <c r="CI124" s="15" t="n">
        <f aca="false">AC124*Parametri_v3!$C$32</f>
        <v>2218.19027970833</v>
      </c>
      <c r="CJ124" s="15" t="n">
        <f aca="false">CA124-AB124</f>
        <v>82088.1482763841</v>
      </c>
      <c r="CK124" s="15" t="n">
        <f aca="false">CB124-AC124-BH124</f>
        <v>23665.8333333333</v>
      </c>
      <c r="CL124" s="15" t="n">
        <f aca="false">BF124*Ipotesi!$C$73+INDEX(Ipotesi!$C$72:$G$72,1,F124)/12*Ipotesi!D126*Parametri_v3!$C$58+Z124*(1-Parametri_v3!$C$16)</f>
        <v>18178.2930063861</v>
      </c>
      <c r="CM124" s="16" t="n">
        <f aca="false">IF(BF124=0,0,1-CL124/BF124)</f>
        <v>0.844148909590919</v>
      </c>
    </row>
    <row r="125" customFormat="false" ht="18" hidden="false" customHeight="true" outlineLevel="0" collapsed="false">
      <c r="A125" s="68" t="n">
        <f aca="false">3</f>
        <v>3</v>
      </c>
      <c r="B125" s="68" t="n">
        <f aca="false">1</f>
        <v>1</v>
      </c>
      <c r="C125" s="18" t="n">
        <f aca="false">EDATE(Parametri_v3!$C$5,1-1)</f>
        <v>46388</v>
      </c>
      <c r="D125" s="68" t="n">
        <f aca="false">YEAR(C125)</f>
        <v>2027</v>
      </c>
      <c r="E125" s="68" t="n">
        <f aca="false">MONTH(C125)</f>
        <v>1</v>
      </c>
      <c r="F125" s="68" t="n">
        <f aca="false">INT((1-1)/12)+1</f>
        <v>1</v>
      </c>
      <c r="G125" s="15" t="n">
        <f aca="false">Ipotesi!E7</f>
        <v>1.25</v>
      </c>
      <c r="H125" s="15" t="n">
        <f aca="false">Ipotesi!E9</f>
        <v>1</v>
      </c>
      <c r="I125" s="15" t="n">
        <f aca="false">Ipotesi!E10</f>
        <v>1</v>
      </c>
      <c r="J125" s="15" t="n">
        <f aca="false">Ipotesi!E11</f>
        <v>1</v>
      </c>
      <c r="K125" s="15" t="n">
        <f aca="false">Ipotesi!E12</f>
        <v>1</v>
      </c>
      <c r="L125" s="15" t="n">
        <f aca="false">Ipotesi!E13</f>
        <v>90</v>
      </c>
      <c r="M125" s="17" t="n">
        <f aca="false">INDEX(Ipotesi!$C$40:$G$40,1,F125)</f>
        <v>1</v>
      </c>
      <c r="N125" s="17" t="n">
        <f aca="false">INDEX(Ipotesi!$C$41:$G$41,1,F125)</f>
        <v>0.75</v>
      </c>
      <c r="O125" s="17" t="n">
        <f aca="false">INDEX(Ipotesi!$C$42:$G$42,1,F125)*Ipotesi!E125</f>
        <v>1</v>
      </c>
      <c r="P125" s="17" t="n">
        <f aca="false">INDEX(Ipotesi!$C$43:$G$43,1,F125)*I125</f>
        <v>1</v>
      </c>
      <c r="Q125" s="17" t="n">
        <f aca="false">INDEX(Ipotesi!$C$44:$G$44,1,F125)*I125</f>
        <v>0.5</v>
      </c>
      <c r="R125" s="17" t="n">
        <f aca="false">INDEX(Ipotesi!$C$45:$G$45,1,F125)*I125</f>
        <v>0</v>
      </c>
      <c r="S125" s="17" t="n">
        <f aca="false">INDEX(Ipotesi!$C$52:$G$52,1,F125)*Ipotesi!E125</f>
        <v>1.5</v>
      </c>
      <c r="T125" s="17" t="n">
        <f aca="false">INDEX(Ipotesi!$C$53:$G$53,1,F125)*I125</f>
        <v>0</v>
      </c>
      <c r="U125" s="17" t="n">
        <f aca="false">INDEX(Ipotesi!$C$54:$G$54,1,F125)*I125</f>
        <v>0</v>
      </c>
      <c r="V125" s="15" t="n">
        <f aca="false">M125*INDEX(Ipotesi!$C$58:$G$58,1,F125)*K125/12</f>
        <v>3333.33333333333</v>
      </c>
      <c r="W125" s="15" t="n">
        <f aca="false">N125*Ipotesi!$C$59*(1+Ipotesi!$C$66)^(F125-1)/12</f>
        <v>4375</v>
      </c>
      <c r="X125" s="15" t="n">
        <f aca="false">O125*Ipotesi!$C$60*(1+Ipotesi!$C$66)^(F125-1)/12</f>
        <v>4166.66666666667</v>
      </c>
      <c r="Y125" s="15" t="n">
        <f aca="false">P125*Ipotesi!$C$61*(1+Ipotesi!$C$66)^(F125-1)/12</f>
        <v>4166.66666666667</v>
      </c>
      <c r="Z125" s="15" t="n">
        <f aca="false">Q125*Ipotesi!$C$62*(1+Ipotesi!$C$66)^(F125-1)/12</f>
        <v>1875</v>
      </c>
      <c r="AA125" s="15" t="n">
        <f aca="false">R125*Ipotesi!$C$63*(1+Ipotesi!$C$66)^(F125-1)/12</f>
        <v>0</v>
      </c>
      <c r="AB125" s="15" t="n">
        <f aca="false">SUM(V125:AA125)</f>
        <v>17916.6666666667</v>
      </c>
      <c r="AC125" s="15" t="n">
        <f aca="false">(S125*Ipotesi!$C$64+T125*Ipotesi!$C$65+U125*Ipotesi!$C$63)*(1+Ipotesi!$C$66)^(F125-1)/12</f>
        <v>5250</v>
      </c>
      <c r="AD125" s="15" t="n">
        <f aca="false">INDEX(Ipotesi!$C$48:$G$48,1,F125)*G125/12</f>
        <v>20.8333333333333</v>
      </c>
      <c r="AE125" s="15" t="n">
        <f aca="false">INDEX(Ipotesi!$C$50:$G$50,1,F125)*G125/12</f>
        <v>2.60416666666667</v>
      </c>
      <c r="AF125" s="15" t="n">
        <f aca="false">(S125*Parametri_v3!$C$7*Parametri_v3!$C$8+Parametri_v3!$C$10)/12</f>
        <v>19.25</v>
      </c>
      <c r="AG125" s="15" t="n">
        <f aca="false">AD125+AE125*(1+Parametri_v3!$C$9)</f>
        <v>24.7395833333333</v>
      </c>
      <c r="AH125" s="16" t="n">
        <f aca="false">IF(AG125=0,1,MIN(1,AF125/AG125))</f>
        <v>0.778105263157895</v>
      </c>
      <c r="AI125" s="15" t="n">
        <f aca="false">AD125*AH125</f>
        <v>16.2105263157895</v>
      </c>
      <c r="AJ125" s="15" t="n">
        <f aca="false">AE125*AH125</f>
        <v>2.02631578947368</v>
      </c>
      <c r="AK125" s="15" t="n">
        <f aca="false">AI125*INDEX(Ipotesi!$C$49:$G$49,1,F125)*H125</f>
        <v>12157.8947368421</v>
      </c>
      <c r="AL125" s="15" t="n">
        <f aca="false">AJ125*INDEX(Ipotesi!$C$51:$G$51,1,F125)*H125</f>
        <v>4052.63157894737</v>
      </c>
      <c r="AM125" s="15" t="n">
        <f aca="false">AK125+AL125</f>
        <v>16210.5263157895</v>
      </c>
      <c r="AN125" s="15" t="n">
        <f aca="false">INDEX(Ipotesi!$C$30:$G$30,1,F125)*G125/12</f>
        <v>10.4166666666667</v>
      </c>
      <c r="AO125" s="15" t="n">
        <f aca="false">O125*Parametri_v3!$C$7*Parametri_v3!$C$11*(1-Parametri_v3!$C$14)/12</f>
        <v>10.2666666666667</v>
      </c>
      <c r="AP125" s="15" t="n">
        <f aca="false">MIN(AN125,AO125)</f>
        <v>10.2666666666667</v>
      </c>
      <c r="AQ125" s="15" t="n">
        <f aca="false">AP125*INDEX(Ipotesi!$C$31:$G$31,1,F125)*H125</f>
        <v>9240</v>
      </c>
      <c r="AR125" s="15" t="n">
        <f aca="false">INDEX(Ipotesi!$C$75:$G$75,1,F125)*J125/12</f>
        <v>2083.33333333333</v>
      </c>
      <c r="AS125" s="15" t="n">
        <f aca="false">INDEX(Ipotesi!$C$81:$G$81,1,F125)*J125/12</f>
        <v>416.666666666667</v>
      </c>
      <c r="AT125" s="15" t="n">
        <f aca="false">AR125*Parametri_v3!$C$15+Z125*Parametri_v3!$C$16</f>
        <v>3395.83333333333</v>
      </c>
      <c r="AU125" s="15" t="n">
        <f aca="false">Q125*Parametri_v3!$C$16*Parametri_v3!$C$17</f>
        <v>35</v>
      </c>
      <c r="AV125" s="17" t="n">
        <f aca="false">0</f>
        <v>0</v>
      </c>
      <c r="AW125" s="17" t="n">
        <f aca="false">AV125*(1-(1-INDEX(Ipotesi!$C$34:$G$34,1,F125))^(1/12))</f>
        <v>0</v>
      </c>
      <c r="AX125" s="15" t="n">
        <f aca="false">ROUND(INDEX(Ipotesi!$C$32:$G$32,1,F125)*Ipotesi!E8,0)</f>
        <v>7</v>
      </c>
      <c r="AY125" s="15" t="n">
        <f aca="false">MAX(0,(AX125-(AV125-AW125))/(13-E125))</f>
        <v>0.583333333333333</v>
      </c>
      <c r="AZ125" s="15" t="n">
        <f aca="false">MIN(P125*Parametri_v3!$C$22,Q125*(1-Parametri_v3!$C$16)*Parametri_v3!$C$23)</f>
        <v>22.5</v>
      </c>
      <c r="BA125" s="15" t="n">
        <f aca="false">IF(OR(INDEX(Ipotesi!$C$35:$G$35,1,F125)&lt;=0,1-Parametri_v3!$C$21&lt;1),0,INDEX($AT$125:$AT$184,MAX(1,1-Parametri_v3!$C$21))/(INDEX(Ipotesi!$C$35:$G$35,1,F125)*Ipotesi!E27))</f>
        <v>0</v>
      </c>
      <c r="BB125" s="15" t="n">
        <f aca="false">IF(1-Parametri_v3!$C$21&lt;1,0,INDEX($AU$125:$AU$184,MAX(1,1-Parametri_v3!$C$21)))*Parametri_v3!$C$18*Parametri_v3!$C$19*Parametri_v3!$C$20</f>
        <v>0</v>
      </c>
      <c r="BC125" s="17" t="n">
        <f aca="false">MAX(0,MIN(AY125,BA125,BB125,MAX(0,AZ125-(AV125-AW125))))</f>
        <v>0</v>
      </c>
      <c r="BD125" s="17" t="n">
        <f aca="false">AV125-AW125+BC125</f>
        <v>0</v>
      </c>
      <c r="BE125" s="17" t="n">
        <f aca="false">(AV125+BD125)/2</f>
        <v>0</v>
      </c>
      <c r="BF125" s="15" t="n">
        <f aca="false">BE125*INDEX(Ipotesi!$C$33:$G$33,1,F125)*H125/12</f>
        <v>0</v>
      </c>
      <c r="BG125" s="15" t="n">
        <f aca="false">BD125*INDEX(Ipotesi!$C$33:$G$33,1,F125)*H125</f>
        <v>0</v>
      </c>
      <c r="BH125" s="15" t="n">
        <f aca="false">AM125*INDEX(Ipotesi!$C$37:$G$37,1,F125)</f>
        <v>1621.05263157895</v>
      </c>
      <c r="BI125" s="15" t="n">
        <f aca="false">AQ125+BF125+BH125</f>
        <v>10861.0526315789</v>
      </c>
      <c r="BJ125" s="15" t="n">
        <f aca="false">INDEX(Ipotesi!$C$68:$G$68,1,F125)*Ipotesi!$C$69/12</f>
        <v>1000</v>
      </c>
      <c r="BK125" s="15" t="n">
        <f aca="false">INDEX(Ipotesi!$C$68:$G$68,1,F125)*(1-Ipotesi!$C$69)/12</f>
        <v>1500</v>
      </c>
      <c r="BL125" s="15" t="n">
        <f aca="false">(AQ125+BF125)*Ipotesi!$C$67</f>
        <v>277.2</v>
      </c>
      <c r="BM125" s="15" t="n">
        <f aca="false">AM125*Ipotesi!$C$67</f>
        <v>486.315789473684</v>
      </c>
      <c r="BN125" s="15" t="n">
        <f aca="false">INDEX(Ipotesi!$C$72:$G$72,1,F125)/12*Ipotesi!E126+BF125*Ipotesi!$C$73</f>
        <v>1250</v>
      </c>
      <c r="BO125" s="15" t="n">
        <f aca="false">INDEX(Ipotesi!$C$74:$G$74,1,F125)/12*Ipotesi!E126</f>
        <v>1000</v>
      </c>
      <c r="BP125" s="15" t="n">
        <f aca="false">INDEX(Ipotesi!$C$76:$G$76,1,F125)/12</f>
        <v>500</v>
      </c>
      <c r="BQ125" s="15" t="n">
        <f aca="false">INDEX(Ipotesi!$C$77:$G$77,1,F125)/12*Ipotesi!E126</f>
        <v>1250</v>
      </c>
      <c r="BR125" s="15" t="n">
        <f aca="false">INDEX(Ipotesi!$C$78:$G$78,1,F125)/12</f>
        <v>1000</v>
      </c>
      <c r="BS125" s="15" t="n">
        <f aca="false">SUM(M125:R125)*(Ipotesi!$C$85+Ipotesi!$C$86)/12</f>
        <v>1239.58333333333</v>
      </c>
      <c r="BT125" s="15" t="n">
        <f aca="false">BI125*Ipotesi!$C$87</f>
        <v>325.831578947368</v>
      </c>
      <c r="BU125" s="15" t="n">
        <f aca="false">INDEX(Ipotesi!$C$55:$G$55,1,F125)*K125/12</f>
        <v>500</v>
      </c>
      <c r="BV125" s="15" t="n">
        <f aca="false">INDEX(Ipotesi!$C$80:$G$80,1,F125)/12*Ipotesi!E126</f>
        <v>500</v>
      </c>
      <c r="BW125" s="15" t="n">
        <f aca="false">INDEX(Ipotesi!$C$82:$G$82,1,F125)/12</f>
        <v>416.666666666667</v>
      </c>
      <c r="BX125" s="15" t="n">
        <f aca="false">INDEX(Ipotesi!$C$83:$G$83,1,F125)/12</f>
        <v>500</v>
      </c>
      <c r="BY125" s="15" t="n">
        <f aca="false">SUM(S125:U125)*(Ipotesi!$C$85+Ipotesi!$C$86)/12</f>
        <v>437.5</v>
      </c>
      <c r="BZ125" s="15" t="n">
        <f aca="false">AM125*Ipotesi!$C$87</f>
        <v>486.315789473684</v>
      </c>
      <c r="CA125" s="15" t="n">
        <f aca="false">AB125+BJ125+BL125+BN125+BO125+AR125+BP125+BQ125+BR125+BS125+BT125</f>
        <v>27842.6149122807</v>
      </c>
      <c r="CB125" s="15" t="n">
        <f aca="false">AC125+BK125+BM125+BH125+BU125+BV125+AS125+BW125+BX125+BY125+BZ125</f>
        <v>12114.5175438596</v>
      </c>
      <c r="CC125" s="15" t="n">
        <f aca="false">BI125-CA125</f>
        <v>-16981.5622807018</v>
      </c>
      <c r="CD125" s="15" t="n">
        <f aca="false">AM125-CB125</f>
        <v>4096.00877192982</v>
      </c>
      <c r="CE125" s="15" t="n">
        <f aca="false">INDEX(Ipotesi!$C$79:$G$79,1,F125)/12</f>
        <v>1666.66666666667</v>
      </c>
      <c r="CF125" s="15" t="n">
        <f aca="false">INDEX(Ipotesi!$C$84:$G$84,1,F125)/12</f>
        <v>250</v>
      </c>
      <c r="CG125" s="15" t="n">
        <f aca="false">Y125*MAX(0,Parametri_v3!$C$12-IF(P125=0,0,MIN(1,BE125/(P125*Parametri_v3!$C$22))))+W125*Parametri_v3!$C$13+X125*Parametri_v3!$C$14</f>
        <v>7187.5</v>
      </c>
      <c r="CH125" s="15" t="n">
        <f aca="false">AB125*Parametri_v3!$C$32</f>
        <v>895.833333333334</v>
      </c>
      <c r="CI125" s="15" t="n">
        <f aca="false">AC125*Parametri_v3!$C$32</f>
        <v>262.5</v>
      </c>
      <c r="CJ125" s="15" t="n">
        <f aca="false">CA125-AB125</f>
        <v>9925.94824561403</v>
      </c>
      <c r="CK125" s="15" t="n">
        <f aca="false">CB125-AC125-BH125</f>
        <v>5243.4649122807</v>
      </c>
      <c r="CL125" s="15" t="n">
        <f aca="false">BF125*Ipotesi!$C$73+INDEX(Ipotesi!$C$72:$G$72,1,F125)/12*Ipotesi!E126*Parametri_v3!$C$58+Z125*(1-Parametri_v3!$C$16)</f>
        <v>1812.5</v>
      </c>
      <c r="CM125" s="16" t="n">
        <f aca="false">IF(BF125=0,0,1-CL125/BF125)</f>
        <v>0</v>
      </c>
    </row>
    <row r="126" customFormat="false" ht="18" hidden="false" customHeight="true" outlineLevel="0" collapsed="false">
      <c r="A126" s="68" t="n">
        <f aca="false">3</f>
        <v>3</v>
      </c>
      <c r="B126" s="68" t="n">
        <f aca="false">2</f>
        <v>2</v>
      </c>
      <c r="C126" s="18" t="n">
        <f aca="false">EDATE(Parametri_v3!$C$5,2-1)</f>
        <v>46419</v>
      </c>
      <c r="D126" s="68" t="n">
        <f aca="false">YEAR(C126)</f>
        <v>2027</v>
      </c>
      <c r="E126" s="68" t="n">
        <f aca="false">MONTH(C126)</f>
        <v>2</v>
      </c>
      <c r="F126" s="68" t="n">
        <f aca="false">INT((2-1)/12)+1</f>
        <v>1</v>
      </c>
      <c r="G126" s="15" t="n">
        <f aca="false">Ipotesi!E7</f>
        <v>1.25</v>
      </c>
      <c r="H126" s="15" t="n">
        <f aca="false">Ipotesi!E9</f>
        <v>1</v>
      </c>
      <c r="I126" s="15" t="n">
        <f aca="false">Ipotesi!E10</f>
        <v>1</v>
      </c>
      <c r="J126" s="15" t="n">
        <f aca="false">Ipotesi!E11</f>
        <v>1</v>
      </c>
      <c r="K126" s="15" t="n">
        <f aca="false">Ipotesi!E12</f>
        <v>1</v>
      </c>
      <c r="L126" s="15" t="n">
        <f aca="false">Ipotesi!E13</f>
        <v>90</v>
      </c>
      <c r="M126" s="17" t="n">
        <f aca="false">INDEX(Ipotesi!$C$40:$G$40,1,F126)</f>
        <v>1</v>
      </c>
      <c r="N126" s="17" t="n">
        <f aca="false">INDEX(Ipotesi!$C$41:$G$41,1,F126)</f>
        <v>0.75</v>
      </c>
      <c r="O126" s="17" t="n">
        <f aca="false">INDEX(Ipotesi!$C$42:$G$42,1,F126)*Ipotesi!E125</f>
        <v>1</v>
      </c>
      <c r="P126" s="17" t="n">
        <f aca="false">INDEX(Ipotesi!$C$43:$G$43,1,F126)*I126</f>
        <v>1</v>
      </c>
      <c r="Q126" s="17" t="n">
        <f aca="false">INDEX(Ipotesi!$C$44:$G$44,1,F126)*I126</f>
        <v>0.5</v>
      </c>
      <c r="R126" s="17" t="n">
        <f aca="false">INDEX(Ipotesi!$C$45:$G$45,1,F126)*I126</f>
        <v>0</v>
      </c>
      <c r="S126" s="17" t="n">
        <f aca="false">INDEX(Ipotesi!$C$52:$G$52,1,F126)*Ipotesi!E125</f>
        <v>1.5</v>
      </c>
      <c r="T126" s="17" t="n">
        <f aca="false">INDEX(Ipotesi!$C$53:$G$53,1,F126)*I126</f>
        <v>0</v>
      </c>
      <c r="U126" s="17" t="n">
        <f aca="false">INDEX(Ipotesi!$C$54:$G$54,1,F126)*I126</f>
        <v>0</v>
      </c>
      <c r="V126" s="15" t="n">
        <f aca="false">M126*INDEX(Ipotesi!$C$58:$G$58,1,F126)*K126/12</f>
        <v>3333.33333333333</v>
      </c>
      <c r="W126" s="15" t="n">
        <f aca="false">N126*Ipotesi!$C$59*(1+Ipotesi!$C$66)^(F126-1)/12</f>
        <v>4375</v>
      </c>
      <c r="X126" s="15" t="n">
        <f aca="false">O126*Ipotesi!$C$60*(1+Ipotesi!$C$66)^(F126-1)/12</f>
        <v>4166.66666666667</v>
      </c>
      <c r="Y126" s="15" t="n">
        <f aca="false">P126*Ipotesi!$C$61*(1+Ipotesi!$C$66)^(F126-1)/12</f>
        <v>4166.66666666667</v>
      </c>
      <c r="Z126" s="15" t="n">
        <f aca="false">Q126*Ipotesi!$C$62*(1+Ipotesi!$C$66)^(F126-1)/12</f>
        <v>1875</v>
      </c>
      <c r="AA126" s="15" t="n">
        <f aca="false">R126*Ipotesi!$C$63*(1+Ipotesi!$C$66)^(F126-1)/12</f>
        <v>0</v>
      </c>
      <c r="AB126" s="15" t="n">
        <f aca="false">SUM(V126:AA126)</f>
        <v>17916.6666666667</v>
      </c>
      <c r="AC126" s="15" t="n">
        <f aca="false">(S126*Ipotesi!$C$64+T126*Ipotesi!$C$65+U126*Ipotesi!$C$63)*(1+Ipotesi!$C$66)^(F126-1)/12</f>
        <v>5250</v>
      </c>
      <c r="AD126" s="15" t="n">
        <f aca="false">INDEX(Ipotesi!$C$48:$G$48,1,F126)*G126/12</f>
        <v>20.8333333333333</v>
      </c>
      <c r="AE126" s="15" t="n">
        <f aca="false">INDEX(Ipotesi!$C$50:$G$50,1,F126)*G126/12</f>
        <v>2.60416666666667</v>
      </c>
      <c r="AF126" s="15" t="n">
        <f aca="false">(S126*Parametri_v3!$C$7*Parametri_v3!$C$8+Parametri_v3!$C$10)/12</f>
        <v>19.25</v>
      </c>
      <c r="AG126" s="15" t="n">
        <f aca="false">AD126+AE126*(1+Parametri_v3!$C$9)</f>
        <v>24.7395833333333</v>
      </c>
      <c r="AH126" s="16" t="n">
        <f aca="false">IF(AG126=0,1,MIN(1,AF126/AG126))</f>
        <v>0.778105263157895</v>
      </c>
      <c r="AI126" s="15" t="n">
        <f aca="false">AD126*AH126</f>
        <v>16.2105263157895</v>
      </c>
      <c r="AJ126" s="15" t="n">
        <f aca="false">AE126*AH126</f>
        <v>2.02631578947368</v>
      </c>
      <c r="AK126" s="15" t="n">
        <f aca="false">AI126*INDEX(Ipotesi!$C$49:$G$49,1,F126)*H126</f>
        <v>12157.8947368421</v>
      </c>
      <c r="AL126" s="15" t="n">
        <f aca="false">AJ126*INDEX(Ipotesi!$C$51:$G$51,1,F126)*H126</f>
        <v>4052.63157894737</v>
      </c>
      <c r="AM126" s="15" t="n">
        <f aca="false">AK126+AL126</f>
        <v>16210.5263157895</v>
      </c>
      <c r="AN126" s="15" t="n">
        <f aca="false">INDEX(Ipotesi!$C$30:$G$30,1,F126)*G126/12</f>
        <v>10.4166666666667</v>
      </c>
      <c r="AO126" s="15" t="n">
        <f aca="false">O126*Parametri_v3!$C$7*Parametri_v3!$C$11*(1-Parametri_v3!$C$14)/12</f>
        <v>10.2666666666667</v>
      </c>
      <c r="AP126" s="15" t="n">
        <f aca="false">MIN(AN126,AO126)</f>
        <v>10.2666666666667</v>
      </c>
      <c r="AQ126" s="15" t="n">
        <f aca="false">AP126*INDEX(Ipotesi!$C$31:$G$31,1,F126)*H126</f>
        <v>9240</v>
      </c>
      <c r="AR126" s="15" t="n">
        <f aca="false">INDEX(Ipotesi!$C$75:$G$75,1,F126)*J126/12</f>
        <v>2083.33333333333</v>
      </c>
      <c r="AS126" s="15" t="n">
        <f aca="false">INDEX(Ipotesi!$C$81:$G$81,1,F126)*J126/12</f>
        <v>416.666666666667</v>
      </c>
      <c r="AT126" s="15" t="n">
        <f aca="false">AR126*Parametri_v3!$C$15+Z126*Parametri_v3!$C$16</f>
        <v>3395.83333333333</v>
      </c>
      <c r="AU126" s="15" t="n">
        <f aca="false">Q126*Parametri_v3!$C$16*Parametri_v3!$C$17</f>
        <v>35</v>
      </c>
      <c r="AV126" s="17" t="n">
        <f aca="false">BD125</f>
        <v>0</v>
      </c>
      <c r="AW126" s="17" t="n">
        <f aca="false">AV126*(1-(1-INDEX(Ipotesi!$C$34:$G$34,1,F126))^(1/12))</f>
        <v>0</v>
      </c>
      <c r="AX126" s="15" t="n">
        <f aca="false">ROUND(INDEX(Ipotesi!$C$32:$G$32,1,F126)*Ipotesi!E8,0)</f>
        <v>7</v>
      </c>
      <c r="AY126" s="15" t="n">
        <f aca="false">MAX(0,(AX126-(AV126-AW126))/(13-E126))</f>
        <v>0.636363636363636</v>
      </c>
      <c r="AZ126" s="15" t="n">
        <f aca="false">MIN(P126*Parametri_v3!$C$22,Q126*(1-Parametri_v3!$C$16)*Parametri_v3!$C$23)</f>
        <v>22.5</v>
      </c>
      <c r="BA126" s="15" t="n">
        <f aca="false">IF(OR(INDEX(Ipotesi!$C$35:$G$35,1,F126)&lt;=0,2-Parametri_v3!$C$21&lt;1),0,INDEX($AT$125:$AT$184,MAX(1,2-Parametri_v3!$C$21))/(INDEX(Ipotesi!$C$35:$G$35,1,F126)*Ipotesi!E27))</f>
        <v>0</v>
      </c>
      <c r="BB126" s="15" t="n">
        <f aca="false">IF(2-Parametri_v3!$C$21&lt;1,0,INDEX($AU$125:$AU$184,MAX(1,2-Parametri_v3!$C$21)))*Parametri_v3!$C$18*Parametri_v3!$C$19*Parametri_v3!$C$20</f>
        <v>0</v>
      </c>
      <c r="BC126" s="17" t="n">
        <f aca="false">MAX(0,MIN(AY126,BA126,BB126,MAX(0,AZ126-(AV126-AW126))))</f>
        <v>0</v>
      </c>
      <c r="BD126" s="17" t="n">
        <f aca="false">AV126-AW126+BC126</f>
        <v>0</v>
      </c>
      <c r="BE126" s="17" t="n">
        <f aca="false">(AV126+BD126)/2</f>
        <v>0</v>
      </c>
      <c r="BF126" s="15" t="n">
        <f aca="false">BE126*INDEX(Ipotesi!$C$33:$G$33,1,F126)*H126/12</f>
        <v>0</v>
      </c>
      <c r="BG126" s="15" t="n">
        <f aca="false">BD126*INDEX(Ipotesi!$C$33:$G$33,1,F126)*H126</f>
        <v>0</v>
      </c>
      <c r="BH126" s="15" t="n">
        <f aca="false">AM126*INDEX(Ipotesi!$C$37:$G$37,1,F126)</f>
        <v>1621.05263157895</v>
      </c>
      <c r="BI126" s="15" t="n">
        <f aca="false">AQ126+BF126+BH126</f>
        <v>10861.0526315789</v>
      </c>
      <c r="BJ126" s="15" t="n">
        <f aca="false">INDEX(Ipotesi!$C$68:$G$68,1,F126)*Ipotesi!$C$69/12</f>
        <v>1000</v>
      </c>
      <c r="BK126" s="15" t="n">
        <f aca="false">INDEX(Ipotesi!$C$68:$G$68,1,F126)*(1-Ipotesi!$C$69)/12</f>
        <v>1500</v>
      </c>
      <c r="BL126" s="15" t="n">
        <f aca="false">(AQ126+BF126)*Ipotesi!$C$67</f>
        <v>277.2</v>
      </c>
      <c r="BM126" s="15" t="n">
        <f aca="false">AM126*Ipotesi!$C$67</f>
        <v>486.315789473684</v>
      </c>
      <c r="BN126" s="15" t="n">
        <f aca="false">INDEX(Ipotesi!$C$72:$G$72,1,F126)/12*Ipotesi!E126+BF126*Ipotesi!$C$73</f>
        <v>1250</v>
      </c>
      <c r="BO126" s="15" t="n">
        <f aca="false">INDEX(Ipotesi!$C$74:$G$74,1,F126)/12*Ipotesi!E126</f>
        <v>1000</v>
      </c>
      <c r="BP126" s="15" t="n">
        <f aca="false">INDEX(Ipotesi!$C$76:$G$76,1,F126)/12</f>
        <v>500</v>
      </c>
      <c r="BQ126" s="15" t="n">
        <f aca="false">INDEX(Ipotesi!$C$77:$G$77,1,F126)/12*Ipotesi!E126</f>
        <v>1250</v>
      </c>
      <c r="BR126" s="15" t="n">
        <f aca="false">INDEX(Ipotesi!$C$78:$G$78,1,F126)/12</f>
        <v>1000</v>
      </c>
      <c r="BS126" s="15" t="n">
        <f aca="false">SUM(M126:R126)*(Ipotesi!$C$85+Ipotesi!$C$86)/12</f>
        <v>1239.58333333333</v>
      </c>
      <c r="BT126" s="15" t="n">
        <f aca="false">BI126*Ipotesi!$C$87</f>
        <v>325.831578947368</v>
      </c>
      <c r="BU126" s="15" t="n">
        <f aca="false">INDEX(Ipotesi!$C$55:$G$55,1,F126)*K126/12</f>
        <v>500</v>
      </c>
      <c r="BV126" s="15" t="n">
        <f aca="false">INDEX(Ipotesi!$C$80:$G$80,1,F126)/12*Ipotesi!E126</f>
        <v>500</v>
      </c>
      <c r="BW126" s="15" t="n">
        <f aca="false">INDEX(Ipotesi!$C$82:$G$82,1,F126)/12</f>
        <v>416.666666666667</v>
      </c>
      <c r="BX126" s="15" t="n">
        <f aca="false">INDEX(Ipotesi!$C$83:$G$83,1,F126)/12</f>
        <v>500</v>
      </c>
      <c r="BY126" s="15" t="n">
        <f aca="false">SUM(S126:U126)*(Ipotesi!$C$85+Ipotesi!$C$86)/12</f>
        <v>437.5</v>
      </c>
      <c r="BZ126" s="15" t="n">
        <f aca="false">AM126*Ipotesi!$C$87</f>
        <v>486.315789473684</v>
      </c>
      <c r="CA126" s="15" t="n">
        <f aca="false">AB126+BJ126+BL126+BN126+BO126+AR126+BP126+BQ126+BR126+BS126+BT126</f>
        <v>27842.6149122807</v>
      </c>
      <c r="CB126" s="15" t="n">
        <f aca="false">AC126+BK126+BM126+BH126+BU126+BV126+AS126+BW126+BX126+BY126+BZ126</f>
        <v>12114.5175438596</v>
      </c>
      <c r="CC126" s="15" t="n">
        <f aca="false">BI126-CA126</f>
        <v>-16981.5622807018</v>
      </c>
      <c r="CD126" s="15" t="n">
        <f aca="false">AM126-CB126</f>
        <v>4096.00877192982</v>
      </c>
      <c r="CE126" s="15" t="n">
        <f aca="false">INDEX(Ipotesi!$C$79:$G$79,1,F126)/12</f>
        <v>1666.66666666667</v>
      </c>
      <c r="CF126" s="15" t="n">
        <f aca="false">INDEX(Ipotesi!$C$84:$G$84,1,F126)/12</f>
        <v>250</v>
      </c>
      <c r="CG126" s="15" t="n">
        <f aca="false">Y126*MAX(0,Parametri_v3!$C$12-IF(P126=0,0,MIN(1,BE126/(P126*Parametri_v3!$C$22))))+W126*Parametri_v3!$C$13+X126*Parametri_v3!$C$14</f>
        <v>7187.5</v>
      </c>
      <c r="CH126" s="15" t="n">
        <f aca="false">AB126*Parametri_v3!$C$32</f>
        <v>895.833333333334</v>
      </c>
      <c r="CI126" s="15" t="n">
        <f aca="false">AC126*Parametri_v3!$C$32</f>
        <v>262.5</v>
      </c>
      <c r="CJ126" s="15" t="n">
        <f aca="false">CA126-AB126</f>
        <v>9925.94824561403</v>
      </c>
      <c r="CK126" s="15" t="n">
        <f aca="false">CB126-AC126-BH126</f>
        <v>5243.4649122807</v>
      </c>
      <c r="CL126" s="15" t="n">
        <f aca="false">BF126*Ipotesi!$C$73+INDEX(Ipotesi!$C$72:$G$72,1,F126)/12*Ipotesi!E126*Parametri_v3!$C$58+Z126*(1-Parametri_v3!$C$16)</f>
        <v>1812.5</v>
      </c>
      <c r="CM126" s="16" t="n">
        <f aca="false">IF(BF126=0,0,1-CL126/BF126)</f>
        <v>0</v>
      </c>
    </row>
    <row r="127" customFormat="false" ht="18" hidden="false" customHeight="true" outlineLevel="0" collapsed="false">
      <c r="A127" s="68" t="n">
        <f aca="false">3</f>
        <v>3</v>
      </c>
      <c r="B127" s="68" t="n">
        <f aca="false">3</f>
        <v>3</v>
      </c>
      <c r="C127" s="18" t="n">
        <f aca="false">EDATE(Parametri_v3!$C$5,3-1)</f>
        <v>46447</v>
      </c>
      <c r="D127" s="68" t="n">
        <f aca="false">YEAR(C127)</f>
        <v>2027</v>
      </c>
      <c r="E127" s="68" t="n">
        <f aca="false">MONTH(C127)</f>
        <v>3</v>
      </c>
      <c r="F127" s="68" t="n">
        <f aca="false">INT((3-1)/12)+1</f>
        <v>1</v>
      </c>
      <c r="G127" s="15" t="n">
        <f aca="false">Ipotesi!E7</f>
        <v>1.25</v>
      </c>
      <c r="H127" s="15" t="n">
        <f aca="false">Ipotesi!E9</f>
        <v>1</v>
      </c>
      <c r="I127" s="15" t="n">
        <f aca="false">Ipotesi!E10</f>
        <v>1</v>
      </c>
      <c r="J127" s="15" t="n">
        <f aca="false">Ipotesi!E11</f>
        <v>1</v>
      </c>
      <c r="K127" s="15" t="n">
        <f aca="false">Ipotesi!E12</f>
        <v>1</v>
      </c>
      <c r="L127" s="15" t="n">
        <f aca="false">Ipotesi!E13</f>
        <v>90</v>
      </c>
      <c r="M127" s="17" t="n">
        <f aca="false">INDEX(Ipotesi!$C$40:$G$40,1,F127)</f>
        <v>1</v>
      </c>
      <c r="N127" s="17" t="n">
        <f aca="false">INDEX(Ipotesi!$C$41:$G$41,1,F127)</f>
        <v>0.75</v>
      </c>
      <c r="O127" s="17" t="n">
        <f aca="false">INDEX(Ipotesi!$C$42:$G$42,1,F127)*Ipotesi!E125</f>
        <v>1</v>
      </c>
      <c r="P127" s="17" t="n">
        <f aca="false">INDEX(Ipotesi!$C$43:$G$43,1,F127)*I127</f>
        <v>1</v>
      </c>
      <c r="Q127" s="17" t="n">
        <f aca="false">INDEX(Ipotesi!$C$44:$G$44,1,F127)*I127</f>
        <v>0.5</v>
      </c>
      <c r="R127" s="17" t="n">
        <f aca="false">INDEX(Ipotesi!$C$45:$G$45,1,F127)*I127</f>
        <v>0</v>
      </c>
      <c r="S127" s="17" t="n">
        <f aca="false">INDEX(Ipotesi!$C$52:$G$52,1,F127)*Ipotesi!E125</f>
        <v>1.5</v>
      </c>
      <c r="T127" s="17" t="n">
        <f aca="false">INDEX(Ipotesi!$C$53:$G$53,1,F127)*I127</f>
        <v>0</v>
      </c>
      <c r="U127" s="17" t="n">
        <f aca="false">INDEX(Ipotesi!$C$54:$G$54,1,F127)*I127</f>
        <v>0</v>
      </c>
      <c r="V127" s="15" t="n">
        <f aca="false">M127*INDEX(Ipotesi!$C$58:$G$58,1,F127)*K127/12</f>
        <v>3333.33333333333</v>
      </c>
      <c r="W127" s="15" t="n">
        <f aca="false">N127*Ipotesi!$C$59*(1+Ipotesi!$C$66)^(F127-1)/12</f>
        <v>4375</v>
      </c>
      <c r="X127" s="15" t="n">
        <f aca="false">O127*Ipotesi!$C$60*(1+Ipotesi!$C$66)^(F127-1)/12</f>
        <v>4166.66666666667</v>
      </c>
      <c r="Y127" s="15" t="n">
        <f aca="false">P127*Ipotesi!$C$61*(1+Ipotesi!$C$66)^(F127-1)/12</f>
        <v>4166.66666666667</v>
      </c>
      <c r="Z127" s="15" t="n">
        <f aca="false">Q127*Ipotesi!$C$62*(1+Ipotesi!$C$66)^(F127-1)/12</f>
        <v>1875</v>
      </c>
      <c r="AA127" s="15" t="n">
        <f aca="false">R127*Ipotesi!$C$63*(1+Ipotesi!$C$66)^(F127-1)/12</f>
        <v>0</v>
      </c>
      <c r="AB127" s="15" t="n">
        <f aca="false">SUM(V127:AA127)</f>
        <v>17916.6666666667</v>
      </c>
      <c r="AC127" s="15" t="n">
        <f aca="false">(S127*Ipotesi!$C$64+T127*Ipotesi!$C$65+U127*Ipotesi!$C$63)*(1+Ipotesi!$C$66)^(F127-1)/12</f>
        <v>5250</v>
      </c>
      <c r="AD127" s="15" t="n">
        <f aca="false">INDEX(Ipotesi!$C$48:$G$48,1,F127)*G127/12</f>
        <v>20.8333333333333</v>
      </c>
      <c r="AE127" s="15" t="n">
        <f aca="false">INDEX(Ipotesi!$C$50:$G$50,1,F127)*G127/12</f>
        <v>2.60416666666667</v>
      </c>
      <c r="AF127" s="15" t="n">
        <f aca="false">(S127*Parametri_v3!$C$7*Parametri_v3!$C$8+Parametri_v3!$C$10)/12</f>
        <v>19.25</v>
      </c>
      <c r="AG127" s="15" t="n">
        <f aca="false">AD127+AE127*(1+Parametri_v3!$C$9)</f>
        <v>24.7395833333333</v>
      </c>
      <c r="AH127" s="16" t="n">
        <f aca="false">IF(AG127=0,1,MIN(1,AF127/AG127))</f>
        <v>0.778105263157895</v>
      </c>
      <c r="AI127" s="15" t="n">
        <f aca="false">AD127*AH127</f>
        <v>16.2105263157895</v>
      </c>
      <c r="AJ127" s="15" t="n">
        <f aca="false">AE127*AH127</f>
        <v>2.02631578947368</v>
      </c>
      <c r="AK127" s="15" t="n">
        <f aca="false">AI127*INDEX(Ipotesi!$C$49:$G$49,1,F127)*H127</f>
        <v>12157.8947368421</v>
      </c>
      <c r="AL127" s="15" t="n">
        <f aca="false">AJ127*INDEX(Ipotesi!$C$51:$G$51,1,F127)*H127</f>
        <v>4052.63157894737</v>
      </c>
      <c r="AM127" s="15" t="n">
        <f aca="false">AK127+AL127</f>
        <v>16210.5263157895</v>
      </c>
      <c r="AN127" s="15" t="n">
        <f aca="false">INDEX(Ipotesi!$C$30:$G$30,1,F127)*G127/12</f>
        <v>10.4166666666667</v>
      </c>
      <c r="AO127" s="15" t="n">
        <f aca="false">O127*Parametri_v3!$C$7*Parametri_v3!$C$11*(1-Parametri_v3!$C$14)/12</f>
        <v>10.2666666666667</v>
      </c>
      <c r="AP127" s="15" t="n">
        <f aca="false">MIN(AN127,AO127)</f>
        <v>10.2666666666667</v>
      </c>
      <c r="AQ127" s="15" t="n">
        <f aca="false">AP127*INDEX(Ipotesi!$C$31:$G$31,1,F127)*H127</f>
        <v>9240</v>
      </c>
      <c r="AR127" s="15" t="n">
        <f aca="false">INDEX(Ipotesi!$C$75:$G$75,1,F127)*J127/12</f>
        <v>2083.33333333333</v>
      </c>
      <c r="AS127" s="15" t="n">
        <f aca="false">INDEX(Ipotesi!$C$81:$G$81,1,F127)*J127/12</f>
        <v>416.666666666667</v>
      </c>
      <c r="AT127" s="15" t="n">
        <f aca="false">AR127*Parametri_v3!$C$15+Z127*Parametri_v3!$C$16</f>
        <v>3395.83333333333</v>
      </c>
      <c r="AU127" s="15" t="n">
        <f aca="false">Q127*Parametri_v3!$C$16*Parametri_v3!$C$17</f>
        <v>35</v>
      </c>
      <c r="AV127" s="17" t="n">
        <f aca="false">BD126</f>
        <v>0</v>
      </c>
      <c r="AW127" s="17" t="n">
        <f aca="false">AV127*(1-(1-INDEX(Ipotesi!$C$34:$G$34,1,F127))^(1/12))</f>
        <v>0</v>
      </c>
      <c r="AX127" s="15" t="n">
        <f aca="false">ROUND(INDEX(Ipotesi!$C$32:$G$32,1,F127)*Ipotesi!E8,0)</f>
        <v>7</v>
      </c>
      <c r="AY127" s="15" t="n">
        <f aca="false">MAX(0,(AX127-(AV127-AW127))/(13-E127))</f>
        <v>0.7</v>
      </c>
      <c r="AZ127" s="15" t="n">
        <f aca="false">MIN(P127*Parametri_v3!$C$22,Q127*(1-Parametri_v3!$C$16)*Parametri_v3!$C$23)</f>
        <v>22.5</v>
      </c>
      <c r="BA127" s="15" t="n">
        <f aca="false">IF(OR(INDEX(Ipotesi!$C$35:$G$35,1,F127)&lt;=0,3-Parametri_v3!$C$21&lt;1),0,INDEX($AT$125:$AT$184,MAX(1,3-Parametri_v3!$C$21))/(INDEX(Ipotesi!$C$35:$G$35,1,F127)*Ipotesi!E27))</f>
        <v>0</v>
      </c>
      <c r="BB127" s="15" t="n">
        <f aca="false">IF(3-Parametri_v3!$C$21&lt;1,0,INDEX($AU$125:$AU$184,MAX(1,3-Parametri_v3!$C$21)))*Parametri_v3!$C$18*Parametri_v3!$C$19*Parametri_v3!$C$20</f>
        <v>0</v>
      </c>
      <c r="BC127" s="17" t="n">
        <f aca="false">MAX(0,MIN(AY127,BA127,BB127,MAX(0,AZ127-(AV127-AW127))))</f>
        <v>0</v>
      </c>
      <c r="BD127" s="17" t="n">
        <f aca="false">AV127-AW127+BC127</f>
        <v>0</v>
      </c>
      <c r="BE127" s="17" t="n">
        <f aca="false">(AV127+BD127)/2</f>
        <v>0</v>
      </c>
      <c r="BF127" s="15" t="n">
        <f aca="false">BE127*INDEX(Ipotesi!$C$33:$G$33,1,F127)*H127/12</f>
        <v>0</v>
      </c>
      <c r="BG127" s="15" t="n">
        <f aca="false">BD127*INDEX(Ipotesi!$C$33:$G$33,1,F127)*H127</f>
        <v>0</v>
      </c>
      <c r="BH127" s="15" t="n">
        <f aca="false">AM127*INDEX(Ipotesi!$C$37:$G$37,1,F127)</f>
        <v>1621.05263157895</v>
      </c>
      <c r="BI127" s="15" t="n">
        <f aca="false">AQ127+BF127+BH127</f>
        <v>10861.0526315789</v>
      </c>
      <c r="BJ127" s="15" t="n">
        <f aca="false">INDEX(Ipotesi!$C$68:$G$68,1,F127)*Ipotesi!$C$69/12</f>
        <v>1000</v>
      </c>
      <c r="BK127" s="15" t="n">
        <f aca="false">INDEX(Ipotesi!$C$68:$G$68,1,F127)*(1-Ipotesi!$C$69)/12</f>
        <v>1500</v>
      </c>
      <c r="BL127" s="15" t="n">
        <f aca="false">(AQ127+BF127)*Ipotesi!$C$67</f>
        <v>277.2</v>
      </c>
      <c r="BM127" s="15" t="n">
        <f aca="false">AM127*Ipotesi!$C$67</f>
        <v>486.315789473684</v>
      </c>
      <c r="BN127" s="15" t="n">
        <f aca="false">INDEX(Ipotesi!$C$72:$G$72,1,F127)/12*Ipotesi!E126+BF127*Ipotesi!$C$73</f>
        <v>1250</v>
      </c>
      <c r="BO127" s="15" t="n">
        <f aca="false">INDEX(Ipotesi!$C$74:$G$74,1,F127)/12*Ipotesi!E126</f>
        <v>1000</v>
      </c>
      <c r="BP127" s="15" t="n">
        <f aca="false">INDEX(Ipotesi!$C$76:$G$76,1,F127)/12</f>
        <v>500</v>
      </c>
      <c r="BQ127" s="15" t="n">
        <f aca="false">INDEX(Ipotesi!$C$77:$G$77,1,F127)/12*Ipotesi!E126</f>
        <v>1250</v>
      </c>
      <c r="BR127" s="15" t="n">
        <f aca="false">INDEX(Ipotesi!$C$78:$G$78,1,F127)/12</f>
        <v>1000</v>
      </c>
      <c r="BS127" s="15" t="n">
        <f aca="false">SUM(M127:R127)*(Ipotesi!$C$85+Ipotesi!$C$86)/12</f>
        <v>1239.58333333333</v>
      </c>
      <c r="BT127" s="15" t="n">
        <f aca="false">BI127*Ipotesi!$C$87</f>
        <v>325.831578947368</v>
      </c>
      <c r="BU127" s="15" t="n">
        <f aca="false">INDEX(Ipotesi!$C$55:$G$55,1,F127)*K127/12</f>
        <v>500</v>
      </c>
      <c r="BV127" s="15" t="n">
        <f aca="false">INDEX(Ipotesi!$C$80:$G$80,1,F127)/12*Ipotesi!E126</f>
        <v>500</v>
      </c>
      <c r="BW127" s="15" t="n">
        <f aca="false">INDEX(Ipotesi!$C$82:$G$82,1,F127)/12</f>
        <v>416.666666666667</v>
      </c>
      <c r="BX127" s="15" t="n">
        <f aca="false">INDEX(Ipotesi!$C$83:$G$83,1,F127)/12</f>
        <v>500</v>
      </c>
      <c r="BY127" s="15" t="n">
        <f aca="false">SUM(S127:U127)*(Ipotesi!$C$85+Ipotesi!$C$86)/12</f>
        <v>437.5</v>
      </c>
      <c r="BZ127" s="15" t="n">
        <f aca="false">AM127*Ipotesi!$C$87</f>
        <v>486.315789473684</v>
      </c>
      <c r="CA127" s="15" t="n">
        <f aca="false">AB127+BJ127+BL127+BN127+BO127+AR127+BP127+BQ127+BR127+BS127+BT127</f>
        <v>27842.6149122807</v>
      </c>
      <c r="CB127" s="15" t="n">
        <f aca="false">AC127+BK127+BM127+BH127+BU127+BV127+AS127+BW127+BX127+BY127+BZ127</f>
        <v>12114.5175438596</v>
      </c>
      <c r="CC127" s="15" t="n">
        <f aca="false">BI127-CA127</f>
        <v>-16981.5622807018</v>
      </c>
      <c r="CD127" s="15" t="n">
        <f aca="false">AM127-CB127</f>
        <v>4096.00877192982</v>
      </c>
      <c r="CE127" s="15" t="n">
        <f aca="false">INDEX(Ipotesi!$C$79:$G$79,1,F127)/12</f>
        <v>1666.66666666667</v>
      </c>
      <c r="CF127" s="15" t="n">
        <f aca="false">INDEX(Ipotesi!$C$84:$G$84,1,F127)/12</f>
        <v>250</v>
      </c>
      <c r="CG127" s="15" t="n">
        <f aca="false">Y127*MAX(0,Parametri_v3!$C$12-IF(P127=0,0,MIN(1,BE127/(P127*Parametri_v3!$C$22))))+W127*Parametri_v3!$C$13+X127*Parametri_v3!$C$14</f>
        <v>7187.5</v>
      </c>
      <c r="CH127" s="15" t="n">
        <f aca="false">AB127*Parametri_v3!$C$32</f>
        <v>895.833333333334</v>
      </c>
      <c r="CI127" s="15" t="n">
        <f aca="false">AC127*Parametri_v3!$C$32</f>
        <v>262.5</v>
      </c>
      <c r="CJ127" s="15" t="n">
        <f aca="false">CA127-AB127</f>
        <v>9925.94824561403</v>
      </c>
      <c r="CK127" s="15" t="n">
        <f aca="false">CB127-AC127-BH127</f>
        <v>5243.4649122807</v>
      </c>
      <c r="CL127" s="15" t="n">
        <f aca="false">BF127*Ipotesi!$C$73+INDEX(Ipotesi!$C$72:$G$72,1,F127)/12*Ipotesi!E126*Parametri_v3!$C$58+Z127*(1-Parametri_v3!$C$16)</f>
        <v>1812.5</v>
      </c>
      <c r="CM127" s="16" t="n">
        <f aca="false">IF(BF127=0,0,1-CL127/BF127)</f>
        <v>0</v>
      </c>
    </row>
    <row r="128" customFormat="false" ht="18" hidden="false" customHeight="true" outlineLevel="0" collapsed="false">
      <c r="A128" s="68" t="n">
        <f aca="false">3</f>
        <v>3</v>
      </c>
      <c r="B128" s="68" t="n">
        <f aca="false">4</f>
        <v>4</v>
      </c>
      <c r="C128" s="18" t="n">
        <f aca="false">EDATE(Parametri_v3!$C$5,4-1)</f>
        <v>46478</v>
      </c>
      <c r="D128" s="68" t="n">
        <f aca="false">YEAR(C128)</f>
        <v>2027</v>
      </c>
      <c r="E128" s="68" t="n">
        <f aca="false">MONTH(C128)</f>
        <v>4</v>
      </c>
      <c r="F128" s="68" t="n">
        <f aca="false">INT((4-1)/12)+1</f>
        <v>1</v>
      </c>
      <c r="G128" s="15" t="n">
        <f aca="false">Ipotesi!E7</f>
        <v>1.25</v>
      </c>
      <c r="H128" s="15" t="n">
        <f aca="false">Ipotesi!E9</f>
        <v>1</v>
      </c>
      <c r="I128" s="15" t="n">
        <f aca="false">Ipotesi!E10</f>
        <v>1</v>
      </c>
      <c r="J128" s="15" t="n">
        <f aca="false">Ipotesi!E11</f>
        <v>1</v>
      </c>
      <c r="K128" s="15" t="n">
        <f aca="false">Ipotesi!E12</f>
        <v>1</v>
      </c>
      <c r="L128" s="15" t="n">
        <f aca="false">Ipotesi!E13</f>
        <v>90</v>
      </c>
      <c r="M128" s="17" t="n">
        <f aca="false">INDEX(Ipotesi!$C$40:$G$40,1,F128)</f>
        <v>1</v>
      </c>
      <c r="N128" s="17" t="n">
        <f aca="false">INDEX(Ipotesi!$C$41:$G$41,1,F128)</f>
        <v>0.75</v>
      </c>
      <c r="O128" s="17" t="n">
        <f aca="false">INDEX(Ipotesi!$C$42:$G$42,1,F128)*Ipotesi!E125</f>
        <v>1</v>
      </c>
      <c r="P128" s="17" t="n">
        <f aca="false">INDEX(Ipotesi!$C$43:$G$43,1,F128)*I128</f>
        <v>1</v>
      </c>
      <c r="Q128" s="17" t="n">
        <f aca="false">INDEX(Ipotesi!$C$44:$G$44,1,F128)*I128</f>
        <v>0.5</v>
      </c>
      <c r="R128" s="17" t="n">
        <f aca="false">INDEX(Ipotesi!$C$45:$G$45,1,F128)*I128</f>
        <v>0</v>
      </c>
      <c r="S128" s="17" t="n">
        <f aca="false">INDEX(Ipotesi!$C$52:$G$52,1,F128)*Ipotesi!E125</f>
        <v>1.5</v>
      </c>
      <c r="T128" s="17" t="n">
        <f aca="false">INDEX(Ipotesi!$C$53:$G$53,1,F128)*I128</f>
        <v>0</v>
      </c>
      <c r="U128" s="17" t="n">
        <f aca="false">INDEX(Ipotesi!$C$54:$G$54,1,F128)*I128</f>
        <v>0</v>
      </c>
      <c r="V128" s="15" t="n">
        <f aca="false">M128*INDEX(Ipotesi!$C$58:$G$58,1,F128)*K128/12</f>
        <v>3333.33333333333</v>
      </c>
      <c r="W128" s="15" t="n">
        <f aca="false">N128*Ipotesi!$C$59*(1+Ipotesi!$C$66)^(F128-1)/12</f>
        <v>4375</v>
      </c>
      <c r="X128" s="15" t="n">
        <f aca="false">O128*Ipotesi!$C$60*(1+Ipotesi!$C$66)^(F128-1)/12</f>
        <v>4166.66666666667</v>
      </c>
      <c r="Y128" s="15" t="n">
        <f aca="false">P128*Ipotesi!$C$61*(1+Ipotesi!$C$66)^(F128-1)/12</f>
        <v>4166.66666666667</v>
      </c>
      <c r="Z128" s="15" t="n">
        <f aca="false">Q128*Ipotesi!$C$62*(1+Ipotesi!$C$66)^(F128-1)/12</f>
        <v>1875</v>
      </c>
      <c r="AA128" s="15" t="n">
        <f aca="false">R128*Ipotesi!$C$63*(1+Ipotesi!$C$66)^(F128-1)/12</f>
        <v>0</v>
      </c>
      <c r="AB128" s="15" t="n">
        <f aca="false">SUM(V128:AA128)</f>
        <v>17916.6666666667</v>
      </c>
      <c r="AC128" s="15" t="n">
        <f aca="false">(S128*Ipotesi!$C$64+T128*Ipotesi!$C$65+U128*Ipotesi!$C$63)*(1+Ipotesi!$C$66)^(F128-1)/12</f>
        <v>5250</v>
      </c>
      <c r="AD128" s="15" t="n">
        <f aca="false">INDEX(Ipotesi!$C$48:$G$48,1,F128)*G128/12</f>
        <v>20.8333333333333</v>
      </c>
      <c r="AE128" s="15" t="n">
        <f aca="false">INDEX(Ipotesi!$C$50:$G$50,1,F128)*G128/12</f>
        <v>2.60416666666667</v>
      </c>
      <c r="AF128" s="15" t="n">
        <f aca="false">(S128*Parametri_v3!$C$7*Parametri_v3!$C$8+Parametri_v3!$C$10)/12</f>
        <v>19.25</v>
      </c>
      <c r="AG128" s="15" t="n">
        <f aca="false">AD128+AE128*(1+Parametri_v3!$C$9)</f>
        <v>24.7395833333333</v>
      </c>
      <c r="AH128" s="16" t="n">
        <f aca="false">IF(AG128=0,1,MIN(1,AF128/AG128))</f>
        <v>0.778105263157895</v>
      </c>
      <c r="AI128" s="15" t="n">
        <f aca="false">AD128*AH128</f>
        <v>16.2105263157895</v>
      </c>
      <c r="AJ128" s="15" t="n">
        <f aca="false">AE128*AH128</f>
        <v>2.02631578947368</v>
      </c>
      <c r="AK128" s="15" t="n">
        <f aca="false">AI128*INDEX(Ipotesi!$C$49:$G$49,1,F128)*H128</f>
        <v>12157.8947368421</v>
      </c>
      <c r="AL128" s="15" t="n">
        <f aca="false">AJ128*INDEX(Ipotesi!$C$51:$G$51,1,F128)*H128</f>
        <v>4052.63157894737</v>
      </c>
      <c r="AM128" s="15" t="n">
        <f aca="false">AK128+AL128</f>
        <v>16210.5263157895</v>
      </c>
      <c r="AN128" s="15" t="n">
        <f aca="false">INDEX(Ipotesi!$C$30:$G$30,1,F128)*G128/12</f>
        <v>10.4166666666667</v>
      </c>
      <c r="AO128" s="15" t="n">
        <f aca="false">O128*Parametri_v3!$C$7*Parametri_v3!$C$11*(1-Parametri_v3!$C$14)/12</f>
        <v>10.2666666666667</v>
      </c>
      <c r="AP128" s="15" t="n">
        <f aca="false">MIN(AN128,AO128)</f>
        <v>10.2666666666667</v>
      </c>
      <c r="AQ128" s="15" t="n">
        <f aca="false">AP128*INDEX(Ipotesi!$C$31:$G$31,1,F128)*H128</f>
        <v>9240</v>
      </c>
      <c r="AR128" s="15" t="n">
        <f aca="false">INDEX(Ipotesi!$C$75:$G$75,1,F128)*J128/12</f>
        <v>2083.33333333333</v>
      </c>
      <c r="AS128" s="15" t="n">
        <f aca="false">INDEX(Ipotesi!$C$81:$G$81,1,F128)*J128/12</f>
        <v>416.666666666667</v>
      </c>
      <c r="AT128" s="15" t="n">
        <f aca="false">AR128*Parametri_v3!$C$15+Z128*Parametri_v3!$C$16</f>
        <v>3395.83333333333</v>
      </c>
      <c r="AU128" s="15" t="n">
        <f aca="false">Q128*Parametri_v3!$C$16*Parametri_v3!$C$17</f>
        <v>35</v>
      </c>
      <c r="AV128" s="17" t="n">
        <f aca="false">BD127</f>
        <v>0</v>
      </c>
      <c r="AW128" s="17" t="n">
        <f aca="false">AV128*(1-(1-INDEX(Ipotesi!$C$34:$G$34,1,F128))^(1/12))</f>
        <v>0</v>
      </c>
      <c r="AX128" s="15" t="n">
        <f aca="false">ROUND(INDEX(Ipotesi!$C$32:$G$32,1,F128)*Ipotesi!E8,0)</f>
        <v>7</v>
      </c>
      <c r="AY128" s="15" t="n">
        <f aca="false">MAX(0,(AX128-(AV128-AW128))/(13-E128))</f>
        <v>0.777777777777778</v>
      </c>
      <c r="AZ128" s="15" t="n">
        <f aca="false">MIN(P128*Parametri_v3!$C$22,Q128*(1-Parametri_v3!$C$16)*Parametri_v3!$C$23)</f>
        <v>22.5</v>
      </c>
      <c r="BA128" s="15" t="n">
        <f aca="false">IF(OR(INDEX(Ipotesi!$C$35:$G$35,1,F128)&lt;=0,4-Parametri_v3!$C$21&lt;1),0,INDEX($AT$125:$AT$184,MAX(1,4-Parametri_v3!$C$21))/(INDEX(Ipotesi!$C$35:$G$35,1,F128)*Ipotesi!E27))</f>
        <v>0.848958333333333</v>
      </c>
      <c r="BB128" s="15" t="n">
        <f aca="false">IF(4-Parametri_v3!$C$21&lt;1,0,INDEX($AU$125:$AU$184,MAX(1,4-Parametri_v3!$C$21)))*Parametri_v3!$C$18*Parametri_v3!$C$19*Parametri_v3!$C$20</f>
        <v>1.3125</v>
      </c>
      <c r="BC128" s="17" t="n">
        <f aca="false">MAX(0,MIN(AY128,BA128,BB128,MAX(0,AZ128-(AV128-AW128))))</f>
        <v>0.777777777777778</v>
      </c>
      <c r="BD128" s="17" t="n">
        <f aca="false">AV128-AW128+BC128</f>
        <v>0.777777777777778</v>
      </c>
      <c r="BE128" s="17" t="n">
        <f aca="false">(AV128+BD128)/2</f>
        <v>0.388888888888889</v>
      </c>
      <c r="BF128" s="15" t="n">
        <f aca="false">BE128*INDEX(Ipotesi!$C$33:$G$33,1,F128)*H128/12</f>
        <v>64.8148148148148</v>
      </c>
      <c r="BG128" s="15" t="n">
        <f aca="false">BD128*INDEX(Ipotesi!$C$33:$G$33,1,F128)*H128</f>
        <v>1555.55555555556</v>
      </c>
      <c r="BH128" s="15" t="n">
        <f aca="false">AM128*INDEX(Ipotesi!$C$37:$G$37,1,F128)</f>
        <v>1621.05263157895</v>
      </c>
      <c r="BI128" s="15" t="n">
        <f aca="false">AQ128+BF128+BH128</f>
        <v>10925.8674463938</v>
      </c>
      <c r="BJ128" s="15" t="n">
        <f aca="false">INDEX(Ipotesi!$C$68:$G$68,1,F128)*Ipotesi!$C$69/12</f>
        <v>1000</v>
      </c>
      <c r="BK128" s="15" t="n">
        <f aca="false">INDEX(Ipotesi!$C$68:$G$68,1,F128)*(1-Ipotesi!$C$69)/12</f>
        <v>1500</v>
      </c>
      <c r="BL128" s="15" t="n">
        <f aca="false">(AQ128+BF128)*Ipotesi!$C$67</f>
        <v>279.144444444444</v>
      </c>
      <c r="BM128" s="15" t="n">
        <f aca="false">AM128*Ipotesi!$C$67</f>
        <v>486.315789473684</v>
      </c>
      <c r="BN128" s="15" t="n">
        <f aca="false">INDEX(Ipotesi!$C$72:$G$72,1,F128)/12*Ipotesi!E126+BF128*Ipotesi!$C$73</f>
        <v>1255.18518518519</v>
      </c>
      <c r="BO128" s="15" t="n">
        <f aca="false">INDEX(Ipotesi!$C$74:$G$74,1,F128)/12*Ipotesi!E126</f>
        <v>1000</v>
      </c>
      <c r="BP128" s="15" t="n">
        <f aca="false">INDEX(Ipotesi!$C$76:$G$76,1,F128)/12</f>
        <v>500</v>
      </c>
      <c r="BQ128" s="15" t="n">
        <f aca="false">INDEX(Ipotesi!$C$77:$G$77,1,F128)/12*Ipotesi!E126</f>
        <v>1250</v>
      </c>
      <c r="BR128" s="15" t="n">
        <f aca="false">INDEX(Ipotesi!$C$78:$G$78,1,F128)/12</f>
        <v>1000</v>
      </c>
      <c r="BS128" s="15" t="n">
        <f aca="false">SUM(M128:R128)*(Ipotesi!$C$85+Ipotesi!$C$86)/12</f>
        <v>1239.58333333333</v>
      </c>
      <c r="BT128" s="15" t="n">
        <f aca="false">BI128*Ipotesi!$C$87</f>
        <v>327.776023391813</v>
      </c>
      <c r="BU128" s="15" t="n">
        <f aca="false">INDEX(Ipotesi!$C$55:$G$55,1,F128)*K128/12</f>
        <v>500</v>
      </c>
      <c r="BV128" s="15" t="n">
        <f aca="false">INDEX(Ipotesi!$C$80:$G$80,1,F128)/12*Ipotesi!E126</f>
        <v>500</v>
      </c>
      <c r="BW128" s="15" t="n">
        <f aca="false">INDEX(Ipotesi!$C$82:$G$82,1,F128)/12</f>
        <v>416.666666666667</v>
      </c>
      <c r="BX128" s="15" t="n">
        <f aca="false">INDEX(Ipotesi!$C$83:$G$83,1,F128)/12</f>
        <v>500</v>
      </c>
      <c r="BY128" s="15" t="n">
        <f aca="false">SUM(S128:U128)*(Ipotesi!$C$85+Ipotesi!$C$86)/12</f>
        <v>437.5</v>
      </c>
      <c r="BZ128" s="15" t="n">
        <f aca="false">AM128*Ipotesi!$C$87</f>
        <v>486.315789473684</v>
      </c>
      <c r="CA128" s="15" t="n">
        <f aca="false">AB128+BJ128+BL128+BN128+BO128+AR128+BP128+BQ128+BR128+BS128+BT128</f>
        <v>27851.6889863548</v>
      </c>
      <c r="CB128" s="15" t="n">
        <f aca="false">AC128+BK128+BM128+BH128+BU128+BV128+AS128+BW128+BX128+BY128+BZ128</f>
        <v>12114.5175438596</v>
      </c>
      <c r="CC128" s="15" t="n">
        <f aca="false">BI128-CA128</f>
        <v>-16925.821539961</v>
      </c>
      <c r="CD128" s="15" t="n">
        <f aca="false">AM128-CB128</f>
        <v>4096.00877192982</v>
      </c>
      <c r="CE128" s="15" t="n">
        <f aca="false">INDEX(Ipotesi!$C$79:$G$79,1,F128)/12</f>
        <v>1666.66666666667</v>
      </c>
      <c r="CF128" s="15" t="n">
        <f aca="false">INDEX(Ipotesi!$C$84:$G$84,1,F128)/12</f>
        <v>250</v>
      </c>
      <c r="CG128" s="15" t="n">
        <f aca="false">Y128*MAX(0,Parametri_v3!$C$12-IF(P128=0,0,MIN(1,BE128/(P128*Parametri_v3!$C$22))))+W128*Parametri_v3!$C$13+X128*Parametri_v3!$C$14</f>
        <v>7171.2962962963</v>
      </c>
      <c r="CH128" s="15" t="n">
        <f aca="false">AB128*Parametri_v3!$C$32</f>
        <v>895.833333333334</v>
      </c>
      <c r="CI128" s="15" t="n">
        <f aca="false">AC128*Parametri_v3!$C$32</f>
        <v>262.5</v>
      </c>
      <c r="CJ128" s="15" t="n">
        <f aca="false">CA128-AB128</f>
        <v>9935.02231968811</v>
      </c>
      <c r="CK128" s="15" t="n">
        <f aca="false">CB128-AC128-BH128</f>
        <v>5243.4649122807</v>
      </c>
      <c r="CL128" s="15" t="n">
        <f aca="false">BF128*Ipotesi!$C$73+INDEX(Ipotesi!$C$72:$G$72,1,F128)/12*Ipotesi!E126*Parametri_v3!$C$58+Z128*(1-Parametri_v3!$C$16)</f>
        <v>1817.68518518519</v>
      </c>
      <c r="CM128" s="16" t="n">
        <f aca="false">IF(BF128=0,0,1-CL128/BF128)</f>
        <v>-27.0442857142857</v>
      </c>
    </row>
    <row r="129" customFormat="false" ht="18" hidden="false" customHeight="true" outlineLevel="0" collapsed="false">
      <c r="A129" s="68" t="n">
        <f aca="false">3</f>
        <v>3</v>
      </c>
      <c r="B129" s="68" t="n">
        <f aca="false">5</f>
        <v>5</v>
      </c>
      <c r="C129" s="18" t="n">
        <f aca="false">EDATE(Parametri_v3!$C$5,5-1)</f>
        <v>46508</v>
      </c>
      <c r="D129" s="68" t="n">
        <f aca="false">YEAR(C129)</f>
        <v>2027</v>
      </c>
      <c r="E129" s="68" t="n">
        <f aca="false">MONTH(C129)</f>
        <v>5</v>
      </c>
      <c r="F129" s="68" t="n">
        <f aca="false">INT((5-1)/12)+1</f>
        <v>1</v>
      </c>
      <c r="G129" s="15" t="n">
        <f aca="false">Ipotesi!E7</f>
        <v>1.25</v>
      </c>
      <c r="H129" s="15" t="n">
        <f aca="false">Ipotesi!E9</f>
        <v>1</v>
      </c>
      <c r="I129" s="15" t="n">
        <f aca="false">Ipotesi!E10</f>
        <v>1</v>
      </c>
      <c r="J129" s="15" t="n">
        <f aca="false">Ipotesi!E11</f>
        <v>1</v>
      </c>
      <c r="K129" s="15" t="n">
        <f aca="false">Ipotesi!E12</f>
        <v>1</v>
      </c>
      <c r="L129" s="15" t="n">
        <f aca="false">Ipotesi!E13</f>
        <v>90</v>
      </c>
      <c r="M129" s="17" t="n">
        <f aca="false">INDEX(Ipotesi!$C$40:$G$40,1,F129)</f>
        <v>1</v>
      </c>
      <c r="N129" s="17" t="n">
        <f aca="false">INDEX(Ipotesi!$C$41:$G$41,1,F129)</f>
        <v>0.75</v>
      </c>
      <c r="O129" s="17" t="n">
        <f aca="false">INDEX(Ipotesi!$C$42:$G$42,1,F129)*Ipotesi!E125</f>
        <v>1</v>
      </c>
      <c r="P129" s="17" t="n">
        <f aca="false">INDEX(Ipotesi!$C$43:$G$43,1,F129)*I129</f>
        <v>1</v>
      </c>
      <c r="Q129" s="17" t="n">
        <f aca="false">INDEX(Ipotesi!$C$44:$G$44,1,F129)*I129</f>
        <v>0.5</v>
      </c>
      <c r="R129" s="17" t="n">
        <f aca="false">INDEX(Ipotesi!$C$45:$G$45,1,F129)*I129</f>
        <v>0</v>
      </c>
      <c r="S129" s="17" t="n">
        <f aca="false">INDEX(Ipotesi!$C$52:$G$52,1,F129)*Ipotesi!E125</f>
        <v>1.5</v>
      </c>
      <c r="T129" s="17" t="n">
        <f aca="false">INDEX(Ipotesi!$C$53:$G$53,1,F129)*I129</f>
        <v>0</v>
      </c>
      <c r="U129" s="17" t="n">
        <f aca="false">INDEX(Ipotesi!$C$54:$G$54,1,F129)*I129</f>
        <v>0</v>
      </c>
      <c r="V129" s="15" t="n">
        <f aca="false">M129*INDEX(Ipotesi!$C$58:$G$58,1,F129)*K129/12</f>
        <v>3333.33333333333</v>
      </c>
      <c r="W129" s="15" t="n">
        <f aca="false">N129*Ipotesi!$C$59*(1+Ipotesi!$C$66)^(F129-1)/12</f>
        <v>4375</v>
      </c>
      <c r="X129" s="15" t="n">
        <f aca="false">O129*Ipotesi!$C$60*(1+Ipotesi!$C$66)^(F129-1)/12</f>
        <v>4166.66666666667</v>
      </c>
      <c r="Y129" s="15" t="n">
        <f aca="false">P129*Ipotesi!$C$61*(1+Ipotesi!$C$66)^(F129-1)/12</f>
        <v>4166.66666666667</v>
      </c>
      <c r="Z129" s="15" t="n">
        <f aca="false">Q129*Ipotesi!$C$62*(1+Ipotesi!$C$66)^(F129-1)/12</f>
        <v>1875</v>
      </c>
      <c r="AA129" s="15" t="n">
        <f aca="false">R129*Ipotesi!$C$63*(1+Ipotesi!$C$66)^(F129-1)/12</f>
        <v>0</v>
      </c>
      <c r="AB129" s="15" t="n">
        <f aca="false">SUM(V129:AA129)</f>
        <v>17916.6666666667</v>
      </c>
      <c r="AC129" s="15" t="n">
        <f aca="false">(S129*Ipotesi!$C$64+T129*Ipotesi!$C$65+U129*Ipotesi!$C$63)*(1+Ipotesi!$C$66)^(F129-1)/12</f>
        <v>5250</v>
      </c>
      <c r="AD129" s="15" t="n">
        <f aca="false">INDEX(Ipotesi!$C$48:$G$48,1,F129)*G129/12</f>
        <v>20.8333333333333</v>
      </c>
      <c r="AE129" s="15" t="n">
        <f aca="false">INDEX(Ipotesi!$C$50:$G$50,1,F129)*G129/12</f>
        <v>2.60416666666667</v>
      </c>
      <c r="AF129" s="15" t="n">
        <f aca="false">(S129*Parametri_v3!$C$7*Parametri_v3!$C$8+Parametri_v3!$C$10)/12</f>
        <v>19.25</v>
      </c>
      <c r="AG129" s="15" t="n">
        <f aca="false">AD129+AE129*(1+Parametri_v3!$C$9)</f>
        <v>24.7395833333333</v>
      </c>
      <c r="AH129" s="16" t="n">
        <f aca="false">IF(AG129=0,1,MIN(1,AF129/AG129))</f>
        <v>0.778105263157895</v>
      </c>
      <c r="AI129" s="15" t="n">
        <f aca="false">AD129*AH129</f>
        <v>16.2105263157895</v>
      </c>
      <c r="AJ129" s="15" t="n">
        <f aca="false">AE129*AH129</f>
        <v>2.02631578947368</v>
      </c>
      <c r="AK129" s="15" t="n">
        <f aca="false">AI129*INDEX(Ipotesi!$C$49:$G$49,1,F129)*H129</f>
        <v>12157.8947368421</v>
      </c>
      <c r="AL129" s="15" t="n">
        <f aca="false">AJ129*INDEX(Ipotesi!$C$51:$G$51,1,F129)*H129</f>
        <v>4052.63157894737</v>
      </c>
      <c r="AM129" s="15" t="n">
        <f aca="false">AK129+AL129</f>
        <v>16210.5263157895</v>
      </c>
      <c r="AN129" s="15" t="n">
        <f aca="false">INDEX(Ipotesi!$C$30:$G$30,1,F129)*G129/12</f>
        <v>10.4166666666667</v>
      </c>
      <c r="AO129" s="15" t="n">
        <f aca="false">O129*Parametri_v3!$C$7*Parametri_v3!$C$11*(1-Parametri_v3!$C$14)/12</f>
        <v>10.2666666666667</v>
      </c>
      <c r="AP129" s="15" t="n">
        <f aca="false">MIN(AN129,AO129)</f>
        <v>10.2666666666667</v>
      </c>
      <c r="AQ129" s="15" t="n">
        <f aca="false">AP129*INDEX(Ipotesi!$C$31:$G$31,1,F129)*H129</f>
        <v>9240</v>
      </c>
      <c r="AR129" s="15" t="n">
        <f aca="false">INDEX(Ipotesi!$C$75:$G$75,1,F129)*J129/12</f>
        <v>2083.33333333333</v>
      </c>
      <c r="AS129" s="15" t="n">
        <f aca="false">INDEX(Ipotesi!$C$81:$G$81,1,F129)*J129/12</f>
        <v>416.666666666667</v>
      </c>
      <c r="AT129" s="15" t="n">
        <f aca="false">AR129*Parametri_v3!$C$15+Z129*Parametri_v3!$C$16</f>
        <v>3395.83333333333</v>
      </c>
      <c r="AU129" s="15" t="n">
        <f aca="false">Q129*Parametri_v3!$C$16*Parametri_v3!$C$17</f>
        <v>35</v>
      </c>
      <c r="AV129" s="17" t="n">
        <f aca="false">BD128</f>
        <v>0.777777777777778</v>
      </c>
      <c r="AW129" s="17" t="n">
        <f aca="false">AV129*(1-(1-INDEX(Ipotesi!$C$34:$G$34,1,F129))^(1/12))</f>
        <v>0</v>
      </c>
      <c r="AX129" s="15" t="n">
        <f aca="false">ROUND(INDEX(Ipotesi!$C$32:$G$32,1,F129)*Ipotesi!E8,0)</f>
        <v>7</v>
      </c>
      <c r="AY129" s="15" t="n">
        <f aca="false">MAX(0,(AX129-(AV129-AW129))/(13-E129))</f>
        <v>0.777777777777778</v>
      </c>
      <c r="AZ129" s="15" t="n">
        <f aca="false">MIN(P129*Parametri_v3!$C$22,Q129*(1-Parametri_v3!$C$16)*Parametri_v3!$C$23)</f>
        <v>22.5</v>
      </c>
      <c r="BA129" s="15" t="n">
        <f aca="false">IF(OR(INDEX(Ipotesi!$C$35:$G$35,1,F129)&lt;=0,5-Parametri_v3!$C$21&lt;1),0,INDEX($AT$125:$AT$184,MAX(1,5-Parametri_v3!$C$21))/(INDEX(Ipotesi!$C$35:$G$35,1,F129)*Ipotesi!E27))</f>
        <v>0.848958333333333</v>
      </c>
      <c r="BB129" s="15" t="n">
        <f aca="false">IF(5-Parametri_v3!$C$21&lt;1,0,INDEX($AU$125:$AU$184,MAX(1,5-Parametri_v3!$C$21)))*Parametri_v3!$C$18*Parametri_v3!$C$19*Parametri_v3!$C$20</f>
        <v>1.3125</v>
      </c>
      <c r="BC129" s="17" t="n">
        <f aca="false">MAX(0,MIN(AY129,BA129,BB129,MAX(0,AZ129-(AV129-AW129))))</f>
        <v>0.777777777777778</v>
      </c>
      <c r="BD129" s="17" t="n">
        <f aca="false">AV129-AW129+BC129</f>
        <v>1.55555555555556</v>
      </c>
      <c r="BE129" s="17" t="n">
        <f aca="false">(AV129+BD129)/2</f>
        <v>1.16666666666667</v>
      </c>
      <c r="BF129" s="15" t="n">
        <f aca="false">BE129*INDEX(Ipotesi!$C$33:$G$33,1,F129)*H129/12</f>
        <v>194.444444444444</v>
      </c>
      <c r="BG129" s="15" t="n">
        <f aca="false">BD129*INDEX(Ipotesi!$C$33:$G$33,1,F129)*H129</f>
        <v>3111.11111111111</v>
      </c>
      <c r="BH129" s="15" t="n">
        <f aca="false">AM129*INDEX(Ipotesi!$C$37:$G$37,1,F129)</f>
        <v>1621.05263157895</v>
      </c>
      <c r="BI129" s="15" t="n">
        <f aca="false">AQ129+BF129+BH129</f>
        <v>11055.4970760234</v>
      </c>
      <c r="BJ129" s="15" t="n">
        <f aca="false">INDEX(Ipotesi!$C$68:$G$68,1,F129)*Ipotesi!$C$69/12</f>
        <v>1000</v>
      </c>
      <c r="BK129" s="15" t="n">
        <f aca="false">INDEX(Ipotesi!$C$68:$G$68,1,F129)*(1-Ipotesi!$C$69)/12</f>
        <v>1500</v>
      </c>
      <c r="BL129" s="15" t="n">
        <f aca="false">(AQ129+BF129)*Ipotesi!$C$67</f>
        <v>283.033333333333</v>
      </c>
      <c r="BM129" s="15" t="n">
        <f aca="false">AM129*Ipotesi!$C$67</f>
        <v>486.315789473684</v>
      </c>
      <c r="BN129" s="15" t="n">
        <f aca="false">INDEX(Ipotesi!$C$72:$G$72,1,F129)/12*Ipotesi!E126+BF129*Ipotesi!$C$73</f>
        <v>1265.55555555556</v>
      </c>
      <c r="BO129" s="15" t="n">
        <f aca="false">INDEX(Ipotesi!$C$74:$G$74,1,F129)/12*Ipotesi!E126</f>
        <v>1000</v>
      </c>
      <c r="BP129" s="15" t="n">
        <f aca="false">INDEX(Ipotesi!$C$76:$G$76,1,F129)/12</f>
        <v>500</v>
      </c>
      <c r="BQ129" s="15" t="n">
        <f aca="false">INDEX(Ipotesi!$C$77:$G$77,1,F129)/12*Ipotesi!E126</f>
        <v>1250</v>
      </c>
      <c r="BR129" s="15" t="n">
        <f aca="false">INDEX(Ipotesi!$C$78:$G$78,1,F129)/12</f>
        <v>1000</v>
      </c>
      <c r="BS129" s="15" t="n">
        <f aca="false">SUM(M129:R129)*(Ipotesi!$C$85+Ipotesi!$C$86)/12</f>
        <v>1239.58333333333</v>
      </c>
      <c r="BT129" s="15" t="n">
        <f aca="false">BI129*Ipotesi!$C$87</f>
        <v>331.664912280702</v>
      </c>
      <c r="BU129" s="15" t="n">
        <f aca="false">INDEX(Ipotesi!$C$55:$G$55,1,F129)*K129/12</f>
        <v>500</v>
      </c>
      <c r="BV129" s="15" t="n">
        <f aca="false">INDEX(Ipotesi!$C$80:$G$80,1,F129)/12*Ipotesi!E126</f>
        <v>500</v>
      </c>
      <c r="BW129" s="15" t="n">
        <f aca="false">INDEX(Ipotesi!$C$82:$G$82,1,F129)/12</f>
        <v>416.666666666667</v>
      </c>
      <c r="BX129" s="15" t="n">
        <f aca="false">INDEX(Ipotesi!$C$83:$G$83,1,F129)/12</f>
        <v>500</v>
      </c>
      <c r="BY129" s="15" t="n">
        <f aca="false">SUM(S129:U129)*(Ipotesi!$C$85+Ipotesi!$C$86)/12</f>
        <v>437.5</v>
      </c>
      <c r="BZ129" s="15" t="n">
        <f aca="false">AM129*Ipotesi!$C$87</f>
        <v>486.315789473684</v>
      </c>
      <c r="CA129" s="15" t="n">
        <f aca="false">AB129+BJ129+BL129+BN129+BO129+AR129+BP129+BQ129+BR129+BS129+BT129</f>
        <v>27869.8371345029</v>
      </c>
      <c r="CB129" s="15" t="n">
        <f aca="false">AC129+BK129+BM129+BH129+BU129+BV129+AS129+BW129+BX129+BY129+BZ129</f>
        <v>12114.5175438596</v>
      </c>
      <c r="CC129" s="15" t="n">
        <f aca="false">BI129-CA129</f>
        <v>-16814.3400584795</v>
      </c>
      <c r="CD129" s="15" t="n">
        <f aca="false">AM129-CB129</f>
        <v>4096.00877192982</v>
      </c>
      <c r="CE129" s="15" t="n">
        <f aca="false">INDEX(Ipotesi!$C$79:$G$79,1,F129)/12</f>
        <v>1666.66666666667</v>
      </c>
      <c r="CF129" s="15" t="n">
        <f aca="false">INDEX(Ipotesi!$C$84:$G$84,1,F129)/12</f>
        <v>250</v>
      </c>
      <c r="CG129" s="15" t="n">
        <f aca="false">Y129*MAX(0,Parametri_v3!$C$12-IF(P129=0,0,MIN(1,BE129/(P129*Parametri_v3!$C$22))))+W129*Parametri_v3!$C$13+X129*Parametri_v3!$C$14</f>
        <v>7138.88888888889</v>
      </c>
      <c r="CH129" s="15" t="n">
        <f aca="false">AB129*Parametri_v3!$C$32</f>
        <v>895.833333333334</v>
      </c>
      <c r="CI129" s="15" t="n">
        <f aca="false">AC129*Parametri_v3!$C$32</f>
        <v>262.5</v>
      </c>
      <c r="CJ129" s="15" t="n">
        <f aca="false">CA129-AB129</f>
        <v>9953.17046783626</v>
      </c>
      <c r="CK129" s="15" t="n">
        <f aca="false">CB129-AC129-BH129</f>
        <v>5243.4649122807</v>
      </c>
      <c r="CL129" s="15" t="n">
        <f aca="false">BF129*Ipotesi!$C$73+INDEX(Ipotesi!$C$72:$G$72,1,F129)/12*Ipotesi!E126*Parametri_v3!$C$58+Z129*(1-Parametri_v3!$C$16)</f>
        <v>1828.05555555556</v>
      </c>
      <c r="CM129" s="16" t="n">
        <f aca="false">IF(BF129=0,0,1-CL129/BF129)</f>
        <v>-8.40142857142857</v>
      </c>
    </row>
    <row r="130" customFormat="false" ht="18" hidden="false" customHeight="true" outlineLevel="0" collapsed="false">
      <c r="A130" s="68" t="n">
        <f aca="false">3</f>
        <v>3</v>
      </c>
      <c r="B130" s="68" t="n">
        <f aca="false">6</f>
        <v>6</v>
      </c>
      <c r="C130" s="18" t="n">
        <f aca="false">EDATE(Parametri_v3!$C$5,6-1)</f>
        <v>46539</v>
      </c>
      <c r="D130" s="68" t="n">
        <f aca="false">YEAR(C130)</f>
        <v>2027</v>
      </c>
      <c r="E130" s="68" t="n">
        <f aca="false">MONTH(C130)</f>
        <v>6</v>
      </c>
      <c r="F130" s="68" t="n">
        <f aca="false">INT((6-1)/12)+1</f>
        <v>1</v>
      </c>
      <c r="G130" s="15" t="n">
        <f aca="false">Ipotesi!E7</f>
        <v>1.25</v>
      </c>
      <c r="H130" s="15" t="n">
        <f aca="false">Ipotesi!E9</f>
        <v>1</v>
      </c>
      <c r="I130" s="15" t="n">
        <f aca="false">Ipotesi!E10</f>
        <v>1</v>
      </c>
      <c r="J130" s="15" t="n">
        <f aca="false">Ipotesi!E11</f>
        <v>1</v>
      </c>
      <c r="K130" s="15" t="n">
        <f aca="false">Ipotesi!E12</f>
        <v>1</v>
      </c>
      <c r="L130" s="15" t="n">
        <f aca="false">Ipotesi!E13</f>
        <v>90</v>
      </c>
      <c r="M130" s="17" t="n">
        <f aca="false">INDEX(Ipotesi!$C$40:$G$40,1,F130)</f>
        <v>1</v>
      </c>
      <c r="N130" s="17" t="n">
        <f aca="false">INDEX(Ipotesi!$C$41:$G$41,1,F130)</f>
        <v>0.75</v>
      </c>
      <c r="O130" s="17" t="n">
        <f aca="false">INDEX(Ipotesi!$C$42:$G$42,1,F130)*Ipotesi!E125</f>
        <v>1</v>
      </c>
      <c r="P130" s="17" t="n">
        <f aca="false">INDEX(Ipotesi!$C$43:$G$43,1,F130)*I130</f>
        <v>1</v>
      </c>
      <c r="Q130" s="17" t="n">
        <f aca="false">INDEX(Ipotesi!$C$44:$G$44,1,F130)*I130</f>
        <v>0.5</v>
      </c>
      <c r="R130" s="17" t="n">
        <f aca="false">INDEX(Ipotesi!$C$45:$G$45,1,F130)*I130</f>
        <v>0</v>
      </c>
      <c r="S130" s="17" t="n">
        <f aca="false">INDEX(Ipotesi!$C$52:$G$52,1,F130)*Ipotesi!E125</f>
        <v>1.5</v>
      </c>
      <c r="T130" s="17" t="n">
        <f aca="false">INDEX(Ipotesi!$C$53:$G$53,1,F130)*I130</f>
        <v>0</v>
      </c>
      <c r="U130" s="17" t="n">
        <f aca="false">INDEX(Ipotesi!$C$54:$G$54,1,F130)*I130</f>
        <v>0</v>
      </c>
      <c r="V130" s="15" t="n">
        <f aca="false">M130*INDEX(Ipotesi!$C$58:$G$58,1,F130)*K130/12</f>
        <v>3333.33333333333</v>
      </c>
      <c r="W130" s="15" t="n">
        <f aca="false">N130*Ipotesi!$C$59*(1+Ipotesi!$C$66)^(F130-1)/12</f>
        <v>4375</v>
      </c>
      <c r="X130" s="15" t="n">
        <f aca="false">O130*Ipotesi!$C$60*(1+Ipotesi!$C$66)^(F130-1)/12</f>
        <v>4166.66666666667</v>
      </c>
      <c r="Y130" s="15" t="n">
        <f aca="false">P130*Ipotesi!$C$61*(1+Ipotesi!$C$66)^(F130-1)/12</f>
        <v>4166.66666666667</v>
      </c>
      <c r="Z130" s="15" t="n">
        <f aca="false">Q130*Ipotesi!$C$62*(1+Ipotesi!$C$66)^(F130-1)/12</f>
        <v>1875</v>
      </c>
      <c r="AA130" s="15" t="n">
        <f aca="false">R130*Ipotesi!$C$63*(1+Ipotesi!$C$66)^(F130-1)/12</f>
        <v>0</v>
      </c>
      <c r="AB130" s="15" t="n">
        <f aca="false">SUM(V130:AA130)</f>
        <v>17916.6666666667</v>
      </c>
      <c r="AC130" s="15" t="n">
        <f aca="false">(S130*Ipotesi!$C$64+T130*Ipotesi!$C$65+U130*Ipotesi!$C$63)*(1+Ipotesi!$C$66)^(F130-1)/12</f>
        <v>5250</v>
      </c>
      <c r="AD130" s="15" t="n">
        <f aca="false">INDEX(Ipotesi!$C$48:$G$48,1,F130)*G130/12</f>
        <v>20.8333333333333</v>
      </c>
      <c r="AE130" s="15" t="n">
        <f aca="false">INDEX(Ipotesi!$C$50:$G$50,1,F130)*G130/12</f>
        <v>2.60416666666667</v>
      </c>
      <c r="AF130" s="15" t="n">
        <f aca="false">(S130*Parametri_v3!$C$7*Parametri_v3!$C$8+Parametri_v3!$C$10)/12</f>
        <v>19.25</v>
      </c>
      <c r="AG130" s="15" t="n">
        <f aca="false">AD130+AE130*(1+Parametri_v3!$C$9)</f>
        <v>24.7395833333333</v>
      </c>
      <c r="AH130" s="16" t="n">
        <f aca="false">IF(AG130=0,1,MIN(1,AF130/AG130))</f>
        <v>0.778105263157895</v>
      </c>
      <c r="AI130" s="15" t="n">
        <f aca="false">AD130*AH130</f>
        <v>16.2105263157895</v>
      </c>
      <c r="AJ130" s="15" t="n">
        <f aca="false">AE130*AH130</f>
        <v>2.02631578947368</v>
      </c>
      <c r="AK130" s="15" t="n">
        <f aca="false">AI130*INDEX(Ipotesi!$C$49:$G$49,1,F130)*H130</f>
        <v>12157.8947368421</v>
      </c>
      <c r="AL130" s="15" t="n">
        <f aca="false">AJ130*INDEX(Ipotesi!$C$51:$G$51,1,F130)*H130</f>
        <v>4052.63157894737</v>
      </c>
      <c r="AM130" s="15" t="n">
        <f aca="false">AK130+AL130</f>
        <v>16210.5263157895</v>
      </c>
      <c r="AN130" s="15" t="n">
        <f aca="false">INDEX(Ipotesi!$C$30:$G$30,1,F130)*G130/12</f>
        <v>10.4166666666667</v>
      </c>
      <c r="AO130" s="15" t="n">
        <f aca="false">O130*Parametri_v3!$C$7*Parametri_v3!$C$11*(1-Parametri_v3!$C$14)/12</f>
        <v>10.2666666666667</v>
      </c>
      <c r="AP130" s="15" t="n">
        <f aca="false">MIN(AN130,AO130)</f>
        <v>10.2666666666667</v>
      </c>
      <c r="AQ130" s="15" t="n">
        <f aca="false">AP130*INDEX(Ipotesi!$C$31:$G$31,1,F130)*H130</f>
        <v>9240</v>
      </c>
      <c r="AR130" s="15" t="n">
        <f aca="false">INDEX(Ipotesi!$C$75:$G$75,1,F130)*J130/12</f>
        <v>2083.33333333333</v>
      </c>
      <c r="AS130" s="15" t="n">
        <f aca="false">INDEX(Ipotesi!$C$81:$G$81,1,F130)*J130/12</f>
        <v>416.666666666667</v>
      </c>
      <c r="AT130" s="15" t="n">
        <f aca="false">AR130*Parametri_v3!$C$15+Z130*Parametri_v3!$C$16</f>
        <v>3395.83333333333</v>
      </c>
      <c r="AU130" s="15" t="n">
        <f aca="false">Q130*Parametri_v3!$C$16*Parametri_v3!$C$17</f>
        <v>35</v>
      </c>
      <c r="AV130" s="17" t="n">
        <f aca="false">BD129</f>
        <v>1.55555555555556</v>
      </c>
      <c r="AW130" s="17" t="n">
        <f aca="false">AV130*(1-(1-INDEX(Ipotesi!$C$34:$G$34,1,F130))^(1/12))</f>
        <v>0</v>
      </c>
      <c r="AX130" s="15" t="n">
        <f aca="false">ROUND(INDEX(Ipotesi!$C$32:$G$32,1,F130)*Ipotesi!E8,0)</f>
        <v>7</v>
      </c>
      <c r="AY130" s="15" t="n">
        <f aca="false">MAX(0,(AX130-(AV130-AW130))/(13-E130))</f>
        <v>0.777777777777778</v>
      </c>
      <c r="AZ130" s="15" t="n">
        <f aca="false">MIN(P130*Parametri_v3!$C$22,Q130*(1-Parametri_v3!$C$16)*Parametri_v3!$C$23)</f>
        <v>22.5</v>
      </c>
      <c r="BA130" s="15" t="n">
        <f aca="false">IF(OR(INDEX(Ipotesi!$C$35:$G$35,1,F130)&lt;=0,6-Parametri_v3!$C$21&lt;1),0,INDEX($AT$125:$AT$184,MAX(1,6-Parametri_v3!$C$21))/(INDEX(Ipotesi!$C$35:$G$35,1,F130)*Ipotesi!E27))</f>
        <v>0.848958333333333</v>
      </c>
      <c r="BB130" s="15" t="n">
        <f aca="false">IF(6-Parametri_v3!$C$21&lt;1,0,INDEX($AU$125:$AU$184,MAX(1,6-Parametri_v3!$C$21)))*Parametri_v3!$C$18*Parametri_v3!$C$19*Parametri_v3!$C$20</f>
        <v>1.3125</v>
      </c>
      <c r="BC130" s="17" t="n">
        <f aca="false">MAX(0,MIN(AY130,BA130,BB130,MAX(0,AZ130-(AV130-AW130))))</f>
        <v>0.777777777777778</v>
      </c>
      <c r="BD130" s="17" t="n">
        <f aca="false">AV130-AW130+BC130</f>
        <v>2.33333333333333</v>
      </c>
      <c r="BE130" s="17" t="n">
        <f aca="false">(AV130+BD130)/2</f>
        <v>1.94444444444444</v>
      </c>
      <c r="BF130" s="15" t="n">
        <f aca="false">BE130*INDEX(Ipotesi!$C$33:$G$33,1,F130)*H130/12</f>
        <v>324.074074074074</v>
      </c>
      <c r="BG130" s="15" t="n">
        <f aca="false">BD130*INDEX(Ipotesi!$C$33:$G$33,1,F130)*H130</f>
        <v>4666.66666666667</v>
      </c>
      <c r="BH130" s="15" t="n">
        <f aca="false">AM130*INDEX(Ipotesi!$C$37:$G$37,1,F130)</f>
        <v>1621.05263157895</v>
      </c>
      <c r="BI130" s="15" t="n">
        <f aca="false">AQ130+BF130+BH130</f>
        <v>11185.126705653</v>
      </c>
      <c r="BJ130" s="15" t="n">
        <f aca="false">INDEX(Ipotesi!$C$68:$G$68,1,F130)*Ipotesi!$C$69/12</f>
        <v>1000</v>
      </c>
      <c r="BK130" s="15" t="n">
        <f aca="false">INDEX(Ipotesi!$C$68:$G$68,1,F130)*(1-Ipotesi!$C$69)/12</f>
        <v>1500</v>
      </c>
      <c r="BL130" s="15" t="n">
        <f aca="false">(AQ130+BF130)*Ipotesi!$C$67</f>
        <v>286.922222222222</v>
      </c>
      <c r="BM130" s="15" t="n">
        <f aca="false">AM130*Ipotesi!$C$67</f>
        <v>486.315789473684</v>
      </c>
      <c r="BN130" s="15" t="n">
        <f aca="false">INDEX(Ipotesi!$C$72:$G$72,1,F130)/12*Ipotesi!E126+BF130*Ipotesi!$C$73</f>
        <v>1275.92592592593</v>
      </c>
      <c r="BO130" s="15" t="n">
        <f aca="false">INDEX(Ipotesi!$C$74:$G$74,1,F130)/12*Ipotesi!E126</f>
        <v>1000</v>
      </c>
      <c r="BP130" s="15" t="n">
        <f aca="false">INDEX(Ipotesi!$C$76:$G$76,1,F130)/12</f>
        <v>500</v>
      </c>
      <c r="BQ130" s="15" t="n">
        <f aca="false">INDEX(Ipotesi!$C$77:$G$77,1,F130)/12*Ipotesi!E126</f>
        <v>1250</v>
      </c>
      <c r="BR130" s="15" t="n">
        <f aca="false">INDEX(Ipotesi!$C$78:$G$78,1,F130)/12</f>
        <v>1000</v>
      </c>
      <c r="BS130" s="15" t="n">
        <f aca="false">SUM(M130:R130)*(Ipotesi!$C$85+Ipotesi!$C$86)/12</f>
        <v>1239.58333333333</v>
      </c>
      <c r="BT130" s="15" t="n">
        <f aca="false">BI130*Ipotesi!$C$87</f>
        <v>335.553801169591</v>
      </c>
      <c r="BU130" s="15" t="n">
        <f aca="false">INDEX(Ipotesi!$C$55:$G$55,1,F130)*K130/12</f>
        <v>500</v>
      </c>
      <c r="BV130" s="15" t="n">
        <f aca="false">INDEX(Ipotesi!$C$80:$G$80,1,F130)/12*Ipotesi!E126</f>
        <v>500</v>
      </c>
      <c r="BW130" s="15" t="n">
        <f aca="false">INDEX(Ipotesi!$C$82:$G$82,1,F130)/12</f>
        <v>416.666666666667</v>
      </c>
      <c r="BX130" s="15" t="n">
        <f aca="false">INDEX(Ipotesi!$C$83:$G$83,1,F130)/12</f>
        <v>500</v>
      </c>
      <c r="BY130" s="15" t="n">
        <f aca="false">SUM(S130:U130)*(Ipotesi!$C$85+Ipotesi!$C$86)/12</f>
        <v>437.5</v>
      </c>
      <c r="BZ130" s="15" t="n">
        <f aca="false">AM130*Ipotesi!$C$87</f>
        <v>486.315789473684</v>
      </c>
      <c r="CA130" s="15" t="n">
        <f aca="false">AB130+BJ130+BL130+BN130+BO130+AR130+BP130+BQ130+BR130+BS130+BT130</f>
        <v>27887.9852826511</v>
      </c>
      <c r="CB130" s="15" t="n">
        <f aca="false">AC130+BK130+BM130+BH130+BU130+BV130+AS130+BW130+BX130+BY130+BZ130</f>
        <v>12114.5175438596</v>
      </c>
      <c r="CC130" s="15" t="n">
        <f aca="false">BI130-CA130</f>
        <v>-16702.8585769981</v>
      </c>
      <c r="CD130" s="15" t="n">
        <f aca="false">AM130-CB130</f>
        <v>4096.00877192982</v>
      </c>
      <c r="CE130" s="15" t="n">
        <f aca="false">INDEX(Ipotesi!$C$79:$G$79,1,F130)/12</f>
        <v>1666.66666666667</v>
      </c>
      <c r="CF130" s="15" t="n">
        <f aca="false">INDEX(Ipotesi!$C$84:$G$84,1,F130)/12</f>
        <v>250</v>
      </c>
      <c r="CG130" s="15" t="n">
        <f aca="false">Y130*MAX(0,Parametri_v3!$C$12-IF(P130=0,0,MIN(1,BE130/(P130*Parametri_v3!$C$22))))+W130*Parametri_v3!$C$13+X130*Parametri_v3!$C$14</f>
        <v>7106.48148148148</v>
      </c>
      <c r="CH130" s="15" t="n">
        <f aca="false">AB130*Parametri_v3!$C$32</f>
        <v>895.833333333334</v>
      </c>
      <c r="CI130" s="15" t="n">
        <f aca="false">AC130*Parametri_v3!$C$32</f>
        <v>262.5</v>
      </c>
      <c r="CJ130" s="15" t="n">
        <f aca="false">CA130-AB130</f>
        <v>9971.3186159844</v>
      </c>
      <c r="CK130" s="15" t="n">
        <f aca="false">CB130-AC130-BH130</f>
        <v>5243.4649122807</v>
      </c>
      <c r="CL130" s="15" t="n">
        <f aca="false">BF130*Ipotesi!$C$73+INDEX(Ipotesi!$C$72:$G$72,1,F130)/12*Ipotesi!E126*Parametri_v3!$C$58+Z130*(1-Parametri_v3!$C$16)</f>
        <v>1838.42592592593</v>
      </c>
      <c r="CM130" s="16" t="n">
        <f aca="false">IF(BF130=0,0,1-CL130/BF130)</f>
        <v>-4.67285714285714</v>
      </c>
    </row>
    <row r="131" customFormat="false" ht="18" hidden="false" customHeight="true" outlineLevel="0" collapsed="false">
      <c r="A131" s="68" t="n">
        <f aca="false">3</f>
        <v>3</v>
      </c>
      <c r="B131" s="68" t="n">
        <f aca="false">7</f>
        <v>7</v>
      </c>
      <c r="C131" s="18" t="n">
        <f aca="false">EDATE(Parametri_v3!$C$5,7-1)</f>
        <v>46569</v>
      </c>
      <c r="D131" s="68" t="n">
        <f aca="false">YEAR(C131)</f>
        <v>2027</v>
      </c>
      <c r="E131" s="68" t="n">
        <f aca="false">MONTH(C131)</f>
        <v>7</v>
      </c>
      <c r="F131" s="68" t="n">
        <f aca="false">INT((7-1)/12)+1</f>
        <v>1</v>
      </c>
      <c r="G131" s="15" t="n">
        <f aca="false">Ipotesi!E7</f>
        <v>1.25</v>
      </c>
      <c r="H131" s="15" t="n">
        <f aca="false">Ipotesi!E9</f>
        <v>1</v>
      </c>
      <c r="I131" s="15" t="n">
        <f aca="false">Ipotesi!E10</f>
        <v>1</v>
      </c>
      <c r="J131" s="15" t="n">
        <f aca="false">Ipotesi!E11</f>
        <v>1</v>
      </c>
      <c r="K131" s="15" t="n">
        <f aca="false">Ipotesi!E12</f>
        <v>1</v>
      </c>
      <c r="L131" s="15" t="n">
        <f aca="false">Ipotesi!E13</f>
        <v>90</v>
      </c>
      <c r="M131" s="17" t="n">
        <f aca="false">INDEX(Ipotesi!$C$40:$G$40,1,F131)</f>
        <v>1</v>
      </c>
      <c r="N131" s="17" t="n">
        <f aca="false">INDEX(Ipotesi!$C$41:$G$41,1,F131)</f>
        <v>0.75</v>
      </c>
      <c r="O131" s="17" t="n">
        <f aca="false">INDEX(Ipotesi!$C$42:$G$42,1,F131)*Ipotesi!E125</f>
        <v>1</v>
      </c>
      <c r="P131" s="17" t="n">
        <f aca="false">INDEX(Ipotesi!$C$43:$G$43,1,F131)*I131</f>
        <v>1</v>
      </c>
      <c r="Q131" s="17" t="n">
        <f aca="false">INDEX(Ipotesi!$C$44:$G$44,1,F131)*I131</f>
        <v>0.5</v>
      </c>
      <c r="R131" s="17" t="n">
        <f aca="false">INDEX(Ipotesi!$C$45:$G$45,1,F131)*I131</f>
        <v>0</v>
      </c>
      <c r="S131" s="17" t="n">
        <f aca="false">INDEX(Ipotesi!$C$52:$G$52,1,F131)*Ipotesi!E125</f>
        <v>1.5</v>
      </c>
      <c r="T131" s="17" t="n">
        <f aca="false">INDEX(Ipotesi!$C$53:$G$53,1,F131)*I131</f>
        <v>0</v>
      </c>
      <c r="U131" s="17" t="n">
        <f aca="false">INDEX(Ipotesi!$C$54:$G$54,1,F131)*I131</f>
        <v>0</v>
      </c>
      <c r="V131" s="15" t="n">
        <f aca="false">M131*INDEX(Ipotesi!$C$58:$G$58,1,F131)*K131/12</f>
        <v>3333.33333333333</v>
      </c>
      <c r="W131" s="15" t="n">
        <f aca="false">N131*Ipotesi!$C$59*(1+Ipotesi!$C$66)^(F131-1)/12</f>
        <v>4375</v>
      </c>
      <c r="X131" s="15" t="n">
        <f aca="false">O131*Ipotesi!$C$60*(1+Ipotesi!$C$66)^(F131-1)/12</f>
        <v>4166.66666666667</v>
      </c>
      <c r="Y131" s="15" t="n">
        <f aca="false">P131*Ipotesi!$C$61*(1+Ipotesi!$C$66)^(F131-1)/12</f>
        <v>4166.66666666667</v>
      </c>
      <c r="Z131" s="15" t="n">
        <f aca="false">Q131*Ipotesi!$C$62*(1+Ipotesi!$C$66)^(F131-1)/12</f>
        <v>1875</v>
      </c>
      <c r="AA131" s="15" t="n">
        <f aca="false">R131*Ipotesi!$C$63*(1+Ipotesi!$C$66)^(F131-1)/12</f>
        <v>0</v>
      </c>
      <c r="AB131" s="15" t="n">
        <f aca="false">SUM(V131:AA131)</f>
        <v>17916.6666666667</v>
      </c>
      <c r="AC131" s="15" t="n">
        <f aca="false">(S131*Ipotesi!$C$64+T131*Ipotesi!$C$65+U131*Ipotesi!$C$63)*(1+Ipotesi!$C$66)^(F131-1)/12</f>
        <v>5250</v>
      </c>
      <c r="AD131" s="15" t="n">
        <f aca="false">INDEX(Ipotesi!$C$48:$G$48,1,F131)*G131/12</f>
        <v>20.8333333333333</v>
      </c>
      <c r="AE131" s="15" t="n">
        <f aca="false">INDEX(Ipotesi!$C$50:$G$50,1,F131)*G131/12</f>
        <v>2.60416666666667</v>
      </c>
      <c r="AF131" s="15" t="n">
        <f aca="false">(S131*Parametri_v3!$C$7*Parametri_v3!$C$8+Parametri_v3!$C$10)/12</f>
        <v>19.25</v>
      </c>
      <c r="AG131" s="15" t="n">
        <f aca="false">AD131+AE131*(1+Parametri_v3!$C$9)</f>
        <v>24.7395833333333</v>
      </c>
      <c r="AH131" s="16" t="n">
        <f aca="false">IF(AG131=0,1,MIN(1,AF131/AG131))</f>
        <v>0.778105263157895</v>
      </c>
      <c r="AI131" s="15" t="n">
        <f aca="false">AD131*AH131</f>
        <v>16.2105263157895</v>
      </c>
      <c r="AJ131" s="15" t="n">
        <f aca="false">AE131*AH131</f>
        <v>2.02631578947368</v>
      </c>
      <c r="AK131" s="15" t="n">
        <f aca="false">AI131*INDEX(Ipotesi!$C$49:$G$49,1,F131)*H131</f>
        <v>12157.8947368421</v>
      </c>
      <c r="AL131" s="15" t="n">
        <f aca="false">AJ131*INDEX(Ipotesi!$C$51:$G$51,1,F131)*H131</f>
        <v>4052.63157894737</v>
      </c>
      <c r="AM131" s="15" t="n">
        <f aca="false">AK131+AL131</f>
        <v>16210.5263157895</v>
      </c>
      <c r="AN131" s="15" t="n">
        <f aca="false">INDEX(Ipotesi!$C$30:$G$30,1,F131)*G131/12</f>
        <v>10.4166666666667</v>
      </c>
      <c r="AO131" s="15" t="n">
        <f aca="false">O131*Parametri_v3!$C$7*Parametri_v3!$C$11*(1-Parametri_v3!$C$14)/12</f>
        <v>10.2666666666667</v>
      </c>
      <c r="AP131" s="15" t="n">
        <f aca="false">MIN(AN131,AO131)</f>
        <v>10.2666666666667</v>
      </c>
      <c r="AQ131" s="15" t="n">
        <f aca="false">AP131*INDEX(Ipotesi!$C$31:$G$31,1,F131)*H131</f>
        <v>9240</v>
      </c>
      <c r="AR131" s="15" t="n">
        <f aca="false">INDEX(Ipotesi!$C$75:$G$75,1,F131)*J131/12</f>
        <v>2083.33333333333</v>
      </c>
      <c r="AS131" s="15" t="n">
        <f aca="false">INDEX(Ipotesi!$C$81:$G$81,1,F131)*J131/12</f>
        <v>416.666666666667</v>
      </c>
      <c r="AT131" s="15" t="n">
        <f aca="false">AR131*Parametri_v3!$C$15+Z131*Parametri_v3!$C$16</f>
        <v>3395.83333333333</v>
      </c>
      <c r="AU131" s="15" t="n">
        <f aca="false">Q131*Parametri_v3!$C$16*Parametri_v3!$C$17</f>
        <v>35</v>
      </c>
      <c r="AV131" s="17" t="n">
        <f aca="false">BD130</f>
        <v>2.33333333333333</v>
      </c>
      <c r="AW131" s="17" t="n">
        <f aca="false">AV131*(1-(1-INDEX(Ipotesi!$C$34:$G$34,1,F131))^(1/12))</f>
        <v>0</v>
      </c>
      <c r="AX131" s="15" t="n">
        <f aca="false">ROUND(INDEX(Ipotesi!$C$32:$G$32,1,F131)*Ipotesi!E8,0)</f>
        <v>7</v>
      </c>
      <c r="AY131" s="15" t="n">
        <f aca="false">MAX(0,(AX131-(AV131-AW131))/(13-E131))</f>
        <v>0.777777777777778</v>
      </c>
      <c r="AZ131" s="15" t="n">
        <f aca="false">MIN(P131*Parametri_v3!$C$22,Q131*(1-Parametri_v3!$C$16)*Parametri_v3!$C$23)</f>
        <v>22.5</v>
      </c>
      <c r="BA131" s="15" t="n">
        <f aca="false">IF(OR(INDEX(Ipotesi!$C$35:$G$35,1,F131)&lt;=0,7-Parametri_v3!$C$21&lt;1),0,INDEX($AT$125:$AT$184,MAX(1,7-Parametri_v3!$C$21))/(INDEX(Ipotesi!$C$35:$G$35,1,F131)*Ipotesi!E27))</f>
        <v>0.848958333333333</v>
      </c>
      <c r="BB131" s="15" t="n">
        <f aca="false">IF(7-Parametri_v3!$C$21&lt;1,0,INDEX($AU$125:$AU$184,MAX(1,7-Parametri_v3!$C$21)))*Parametri_v3!$C$18*Parametri_v3!$C$19*Parametri_v3!$C$20</f>
        <v>1.3125</v>
      </c>
      <c r="BC131" s="17" t="n">
        <f aca="false">MAX(0,MIN(AY131,BA131,BB131,MAX(0,AZ131-(AV131-AW131))))</f>
        <v>0.777777777777778</v>
      </c>
      <c r="BD131" s="17" t="n">
        <f aca="false">AV131-AW131+BC131</f>
        <v>3.11111111111111</v>
      </c>
      <c r="BE131" s="17" t="n">
        <f aca="false">(AV131+BD131)/2</f>
        <v>2.72222222222222</v>
      </c>
      <c r="BF131" s="15" t="n">
        <f aca="false">BE131*INDEX(Ipotesi!$C$33:$G$33,1,F131)*H131/12</f>
        <v>453.703703703704</v>
      </c>
      <c r="BG131" s="15" t="n">
        <f aca="false">BD131*INDEX(Ipotesi!$C$33:$G$33,1,F131)*H131</f>
        <v>6222.22222222222</v>
      </c>
      <c r="BH131" s="15" t="n">
        <f aca="false">AM131*INDEX(Ipotesi!$C$37:$G$37,1,F131)</f>
        <v>1621.05263157895</v>
      </c>
      <c r="BI131" s="15" t="n">
        <f aca="false">AQ131+BF131+BH131</f>
        <v>11314.7563352827</v>
      </c>
      <c r="BJ131" s="15" t="n">
        <f aca="false">INDEX(Ipotesi!$C$68:$G$68,1,F131)*Ipotesi!$C$69/12</f>
        <v>1000</v>
      </c>
      <c r="BK131" s="15" t="n">
        <f aca="false">INDEX(Ipotesi!$C$68:$G$68,1,F131)*(1-Ipotesi!$C$69)/12</f>
        <v>1500</v>
      </c>
      <c r="BL131" s="15" t="n">
        <f aca="false">(AQ131+BF131)*Ipotesi!$C$67</f>
        <v>290.811111111111</v>
      </c>
      <c r="BM131" s="15" t="n">
        <f aca="false">AM131*Ipotesi!$C$67</f>
        <v>486.315789473684</v>
      </c>
      <c r="BN131" s="15" t="n">
        <f aca="false">INDEX(Ipotesi!$C$72:$G$72,1,F131)/12*Ipotesi!E126+BF131*Ipotesi!$C$73</f>
        <v>1286.2962962963</v>
      </c>
      <c r="BO131" s="15" t="n">
        <f aca="false">INDEX(Ipotesi!$C$74:$G$74,1,F131)/12*Ipotesi!E126</f>
        <v>1000</v>
      </c>
      <c r="BP131" s="15" t="n">
        <f aca="false">INDEX(Ipotesi!$C$76:$G$76,1,F131)/12</f>
        <v>500</v>
      </c>
      <c r="BQ131" s="15" t="n">
        <f aca="false">INDEX(Ipotesi!$C$77:$G$77,1,F131)/12*Ipotesi!E126</f>
        <v>1250</v>
      </c>
      <c r="BR131" s="15" t="n">
        <f aca="false">INDEX(Ipotesi!$C$78:$G$78,1,F131)/12</f>
        <v>1000</v>
      </c>
      <c r="BS131" s="15" t="n">
        <f aca="false">SUM(M131:R131)*(Ipotesi!$C$85+Ipotesi!$C$86)/12</f>
        <v>1239.58333333333</v>
      </c>
      <c r="BT131" s="15" t="n">
        <f aca="false">BI131*Ipotesi!$C$87</f>
        <v>339.44269005848</v>
      </c>
      <c r="BU131" s="15" t="n">
        <f aca="false">INDEX(Ipotesi!$C$55:$G$55,1,F131)*K131/12</f>
        <v>500</v>
      </c>
      <c r="BV131" s="15" t="n">
        <f aca="false">INDEX(Ipotesi!$C$80:$G$80,1,F131)/12*Ipotesi!E126</f>
        <v>500</v>
      </c>
      <c r="BW131" s="15" t="n">
        <f aca="false">INDEX(Ipotesi!$C$82:$G$82,1,F131)/12</f>
        <v>416.666666666667</v>
      </c>
      <c r="BX131" s="15" t="n">
        <f aca="false">INDEX(Ipotesi!$C$83:$G$83,1,F131)/12</f>
        <v>500</v>
      </c>
      <c r="BY131" s="15" t="n">
        <f aca="false">SUM(S131:U131)*(Ipotesi!$C$85+Ipotesi!$C$86)/12</f>
        <v>437.5</v>
      </c>
      <c r="BZ131" s="15" t="n">
        <f aca="false">AM131*Ipotesi!$C$87</f>
        <v>486.315789473684</v>
      </c>
      <c r="CA131" s="15" t="n">
        <f aca="false">AB131+BJ131+BL131+BN131+BO131+AR131+BP131+BQ131+BR131+BS131+BT131</f>
        <v>27906.1334307992</v>
      </c>
      <c r="CB131" s="15" t="n">
        <f aca="false">AC131+BK131+BM131+BH131+BU131+BV131+AS131+BW131+BX131+BY131+BZ131</f>
        <v>12114.5175438596</v>
      </c>
      <c r="CC131" s="15" t="n">
        <f aca="false">BI131-CA131</f>
        <v>-16591.3770955166</v>
      </c>
      <c r="CD131" s="15" t="n">
        <f aca="false">AM131-CB131</f>
        <v>4096.00877192982</v>
      </c>
      <c r="CE131" s="15" t="n">
        <f aca="false">INDEX(Ipotesi!$C$79:$G$79,1,F131)/12</f>
        <v>1666.66666666667</v>
      </c>
      <c r="CF131" s="15" t="n">
        <f aca="false">INDEX(Ipotesi!$C$84:$G$84,1,F131)/12</f>
        <v>250</v>
      </c>
      <c r="CG131" s="15" t="n">
        <f aca="false">Y131*MAX(0,Parametri_v3!$C$12-IF(P131=0,0,MIN(1,BE131/(P131*Parametri_v3!$C$22))))+W131*Parametri_v3!$C$13+X131*Parametri_v3!$C$14</f>
        <v>7074.07407407408</v>
      </c>
      <c r="CH131" s="15" t="n">
        <f aca="false">AB131*Parametri_v3!$C$32</f>
        <v>895.833333333334</v>
      </c>
      <c r="CI131" s="15" t="n">
        <f aca="false">AC131*Parametri_v3!$C$32</f>
        <v>262.5</v>
      </c>
      <c r="CJ131" s="15" t="n">
        <f aca="false">CA131-AB131</f>
        <v>9989.46676413255</v>
      </c>
      <c r="CK131" s="15" t="n">
        <f aca="false">CB131-AC131-BH131</f>
        <v>5243.4649122807</v>
      </c>
      <c r="CL131" s="15" t="n">
        <f aca="false">BF131*Ipotesi!$C$73+INDEX(Ipotesi!$C$72:$G$72,1,F131)/12*Ipotesi!E126*Parametri_v3!$C$58+Z131*(1-Parametri_v3!$C$16)</f>
        <v>1848.7962962963</v>
      </c>
      <c r="CM131" s="16" t="n">
        <f aca="false">IF(BF131=0,0,1-CL131/BF131)</f>
        <v>-3.07489795918367</v>
      </c>
    </row>
    <row r="132" customFormat="false" ht="18" hidden="false" customHeight="true" outlineLevel="0" collapsed="false">
      <c r="A132" s="68" t="n">
        <f aca="false">3</f>
        <v>3</v>
      </c>
      <c r="B132" s="68" t="n">
        <f aca="false">8</f>
        <v>8</v>
      </c>
      <c r="C132" s="18" t="n">
        <f aca="false">EDATE(Parametri_v3!$C$5,8-1)</f>
        <v>46600</v>
      </c>
      <c r="D132" s="68" t="n">
        <f aca="false">YEAR(C132)</f>
        <v>2027</v>
      </c>
      <c r="E132" s="68" t="n">
        <f aca="false">MONTH(C132)</f>
        <v>8</v>
      </c>
      <c r="F132" s="68" t="n">
        <f aca="false">INT((8-1)/12)+1</f>
        <v>1</v>
      </c>
      <c r="G132" s="15" t="n">
        <f aca="false">Ipotesi!E7</f>
        <v>1.25</v>
      </c>
      <c r="H132" s="15" t="n">
        <f aca="false">Ipotesi!E9</f>
        <v>1</v>
      </c>
      <c r="I132" s="15" t="n">
        <f aca="false">Ipotesi!E10</f>
        <v>1</v>
      </c>
      <c r="J132" s="15" t="n">
        <f aca="false">Ipotesi!E11</f>
        <v>1</v>
      </c>
      <c r="K132" s="15" t="n">
        <f aca="false">Ipotesi!E12</f>
        <v>1</v>
      </c>
      <c r="L132" s="15" t="n">
        <f aca="false">Ipotesi!E13</f>
        <v>90</v>
      </c>
      <c r="M132" s="17" t="n">
        <f aca="false">INDEX(Ipotesi!$C$40:$G$40,1,F132)</f>
        <v>1</v>
      </c>
      <c r="N132" s="17" t="n">
        <f aca="false">INDEX(Ipotesi!$C$41:$G$41,1,F132)</f>
        <v>0.75</v>
      </c>
      <c r="O132" s="17" t="n">
        <f aca="false">INDEX(Ipotesi!$C$42:$G$42,1,F132)*Ipotesi!E125</f>
        <v>1</v>
      </c>
      <c r="P132" s="17" t="n">
        <f aca="false">INDEX(Ipotesi!$C$43:$G$43,1,F132)*I132</f>
        <v>1</v>
      </c>
      <c r="Q132" s="17" t="n">
        <f aca="false">INDEX(Ipotesi!$C$44:$G$44,1,F132)*I132</f>
        <v>0.5</v>
      </c>
      <c r="R132" s="17" t="n">
        <f aca="false">INDEX(Ipotesi!$C$45:$G$45,1,F132)*I132</f>
        <v>0</v>
      </c>
      <c r="S132" s="17" t="n">
        <f aca="false">INDEX(Ipotesi!$C$52:$G$52,1,F132)*Ipotesi!E125</f>
        <v>1.5</v>
      </c>
      <c r="T132" s="17" t="n">
        <f aca="false">INDEX(Ipotesi!$C$53:$G$53,1,F132)*I132</f>
        <v>0</v>
      </c>
      <c r="U132" s="17" t="n">
        <f aca="false">INDEX(Ipotesi!$C$54:$G$54,1,F132)*I132</f>
        <v>0</v>
      </c>
      <c r="V132" s="15" t="n">
        <f aca="false">M132*INDEX(Ipotesi!$C$58:$G$58,1,F132)*K132/12</f>
        <v>3333.33333333333</v>
      </c>
      <c r="W132" s="15" t="n">
        <f aca="false">N132*Ipotesi!$C$59*(1+Ipotesi!$C$66)^(F132-1)/12</f>
        <v>4375</v>
      </c>
      <c r="X132" s="15" t="n">
        <f aca="false">O132*Ipotesi!$C$60*(1+Ipotesi!$C$66)^(F132-1)/12</f>
        <v>4166.66666666667</v>
      </c>
      <c r="Y132" s="15" t="n">
        <f aca="false">P132*Ipotesi!$C$61*(1+Ipotesi!$C$66)^(F132-1)/12</f>
        <v>4166.66666666667</v>
      </c>
      <c r="Z132" s="15" t="n">
        <f aca="false">Q132*Ipotesi!$C$62*(1+Ipotesi!$C$66)^(F132-1)/12</f>
        <v>1875</v>
      </c>
      <c r="AA132" s="15" t="n">
        <f aca="false">R132*Ipotesi!$C$63*(1+Ipotesi!$C$66)^(F132-1)/12</f>
        <v>0</v>
      </c>
      <c r="AB132" s="15" t="n">
        <f aca="false">SUM(V132:AA132)</f>
        <v>17916.6666666667</v>
      </c>
      <c r="AC132" s="15" t="n">
        <f aca="false">(S132*Ipotesi!$C$64+T132*Ipotesi!$C$65+U132*Ipotesi!$C$63)*(1+Ipotesi!$C$66)^(F132-1)/12</f>
        <v>5250</v>
      </c>
      <c r="AD132" s="15" t="n">
        <f aca="false">INDEX(Ipotesi!$C$48:$G$48,1,F132)*G132/12</f>
        <v>20.8333333333333</v>
      </c>
      <c r="AE132" s="15" t="n">
        <f aca="false">INDEX(Ipotesi!$C$50:$G$50,1,F132)*G132/12</f>
        <v>2.60416666666667</v>
      </c>
      <c r="AF132" s="15" t="n">
        <f aca="false">(S132*Parametri_v3!$C$7*Parametri_v3!$C$8+Parametri_v3!$C$10)/12</f>
        <v>19.25</v>
      </c>
      <c r="AG132" s="15" t="n">
        <f aca="false">AD132+AE132*(1+Parametri_v3!$C$9)</f>
        <v>24.7395833333333</v>
      </c>
      <c r="AH132" s="16" t="n">
        <f aca="false">IF(AG132=0,1,MIN(1,AF132/AG132))</f>
        <v>0.778105263157895</v>
      </c>
      <c r="AI132" s="15" t="n">
        <f aca="false">AD132*AH132</f>
        <v>16.2105263157895</v>
      </c>
      <c r="AJ132" s="15" t="n">
        <f aca="false">AE132*AH132</f>
        <v>2.02631578947368</v>
      </c>
      <c r="AK132" s="15" t="n">
        <f aca="false">AI132*INDEX(Ipotesi!$C$49:$G$49,1,F132)*H132</f>
        <v>12157.8947368421</v>
      </c>
      <c r="AL132" s="15" t="n">
        <f aca="false">AJ132*INDEX(Ipotesi!$C$51:$G$51,1,F132)*H132</f>
        <v>4052.63157894737</v>
      </c>
      <c r="AM132" s="15" t="n">
        <f aca="false">AK132+AL132</f>
        <v>16210.5263157895</v>
      </c>
      <c r="AN132" s="15" t="n">
        <f aca="false">INDEX(Ipotesi!$C$30:$G$30,1,F132)*G132/12</f>
        <v>10.4166666666667</v>
      </c>
      <c r="AO132" s="15" t="n">
        <f aca="false">O132*Parametri_v3!$C$7*Parametri_v3!$C$11*(1-Parametri_v3!$C$14)/12</f>
        <v>10.2666666666667</v>
      </c>
      <c r="AP132" s="15" t="n">
        <f aca="false">MIN(AN132,AO132)</f>
        <v>10.2666666666667</v>
      </c>
      <c r="AQ132" s="15" t="n">
        <f aca="false">AP132*INDEX(Ipotesi!$C$31:$G$31,1,F132)*H132</f>
        <v>9240</v>
      </c>
      <c r="AR132" s="15" t="n">
        <f aca="false">INDEX(Ipotesi!$C$75:$G$75,1,F132)*J132/12</f>
        <v>2083.33333333333</v>
      </c>
      <c r="AS132" s="15" t="n">
        <f aca="false">INDEX(Ipotesi!$C$81:$G$81,1,F132)*J132/12</f>
        <v>416.666666666667</v>
      </c>
      <c r="AT132" s="15" t="n">
        <f aca="false">AR132*Parametri_v3!$C$15+Z132*Parametri_v3!$C$16</f>
        <v>3395.83333333333</v>
      </c>
      <c r="AU132" s="15" t="n">
        <f aca="false">Q132*Parametri_v3!$C$16*Parametri_v3!$C$17</f>
        <v>35</v>
      </c>
      <c r="AV132" s="17" t="n">
        <f aca="false">BD131</f>
        <v>3.11111111111111</v>
      </c>
      <c r="AW132" s="17" t="n">
        <f aca="false">AV132*(1-(1-INDEX(Ipotesi!$C$34:$G$34,1,F132))^(1/12))</f>
        <v>0</v>
      </c>
      <c r="AX132" s="15" t="n">
        <f aca="false">ROUND(INDEX(Ipotesi!$C$32:$G$32,1,F132)*Ipotesi!E8,0)</f>
        <v>7</v>
      </c>
      <c r="AY132" s="15" t="n">
        <f aca="false">MAX(0,(AX132-(AV132-AW132))/(13-E132))</f>
        <v>0.777777777777778</v>
      </c>
      <c r="AZ132" s="15" t="n">
        <f aca="false">MIN(P132*Parametri_v3!$C$22,Q132*(1-Parametri_v3!$C$16)*Parametri_v3!$C$23)</f>
        <v>22.5</v>
      </c>
      <c r="BA132" s="15" t="n">
        <f aca="false">IF(OR(INDEX(Ipotesi!$C$35:$G$35,1,F132)&lt;=0,8-Parametri_v3!$C$21&lt;1),0,INDEX($AT$125:$AT$184,MAX(1,8-Parametri_v3!$C$21))/(INDEX(Ipotesi!$C$35:$G$35,1,F132)*Ipotesi!E27))</f>
        <v>0.848958333333333</v>
      </c>
      <c r="BB132" s="15" t="n">
        <f aca="false">IF(8-Parametri_v3!$C$21&lt;1,0,INDEX($AU$125:$AU$184,MAX(1,8-Parametri_v3!$C$21)))*Parametri_v3!$C$18*Parametri_v3!$C$19*Parametri_v3!$C$20</f>
        <v>1.3125</v>
      </c>
      <c r="BC132" s="17" t="n">
        <f aca="false">MAX(0,MIN(AY132,BA132,BB132,MAX(0,AZ132-(AV132-AW132))))</f>
        <v>0.777777777777778</v>
      </c>
      <c r="BD132" s="17" t="n">
        <f aca="false">AV132-AW132+BC132</f>
        <v>3.88888888888889</v>
      </c>
      <c r="BE132" s="17" t="n">
        <f aca="false">(AV132+BD132)/2</f>
        <v>3.5</v>
      </c>
      <c r="BF132" s="15" t="n">
        <f aca="false">BE132*INDEX(Ipotesi!$C$33:$G$33,1,F132)*H132/12</f>
        <v>583.333333333333</v>
      </c>
      <c r="BG132" s="15" t="n">
        <f aca="false">BD132*INDEX(Ipotesi!$C$33:$G$33,1,F132)*H132</f>
        <v>7777.77777777778</v>
      </c>
      <c r="BH132" s="15" t="n">
        <f aca="false">AM132*INDEX(Ipotesi!$C$37:$G$37,1,F132)</f>
        <v>1621.05263157895</v>
      </c>
      <c r="BI132" s="15" t="n">
        <f aca="false">AQ132+BF132+BH132</f>
        <v>11444.3859649123</v>
      </c>
      <c r="BJ132" s="15" t="n">
        <f aca="false">INDEX(Ipotesi!$C$68:$G$68,1,F132)*Ipotesi!$C$69/12</f>
        <v>1000</v>
      </c>
      <c r="BK132" s="15" t="n">
        <f aca="false">INDEX(Ipotesi!$C$68:$G$68,1,F132)*(1-Ipotesi!$C$69)/12</f>
        <v>1500</v>
      </c>
      <c r="BL132" s="15" t="n">
        <f aca="false">(AQ132+BF132)*Ipotesi!$C$67</f>
        <v>294.7</v>
      </c>
      <c r="BM132" s="15" t="n">
        <f aca="false">AM132*Ipotesi!$C$67</f>
        <v>486.315789473684</v>
      </c>
      <c r="BN132" s="15" t="n">
        <f aca="false">INDEX(Ipotesi!$C$72:$G$72,1,F132)/12*Ipotesi!E126+BF132*Ipotesi!$C$73</f>
        <v>1296.66666666667</v>
      </c>
      <c r="BO132" s="15" t="n">
        <f aca="false">INDEX(Ipotesi!$C$74:$G$74,1,F132)/12*Ipotesi!E126</f>
        <v>1000</v>
      </c>
      <c r="BP132" s="15" t="n">
        <f aca="false">INDEX(Ipotesi!$C$76:$G$76,1,F132)/12</f>
        <v>500</v>
      </c>
      <c r="BQ132" s="15" t="n">
        <f aca="false">INDEX(Ipotesi!$C$77:$G$77,1,F132)/12*Ipotesi!E126</f>
        <v>1250</v>
      </c>
      <c r="BR132" s="15" t="n">
        <f aca="false">INDEX(Ipotesi!$C$78:$G$78,1,F132)/12</f>
        <v>1000</v>
      </c>
      <c r="BS132" s="15" t="n">
        <f aca="false">SUM(M132:R132)*(Ipotesi!$C$85+Ipotesi!$C$86)/12</f>
        <v>1239.58333333333</v>
      </c>
      <c r="BT132" s="15" t="n">
        <f aca="false">BI132*Ipotesi!$C$87</f>
        <v>343.331578947368</v>
      </c>
      <c r="BU132" s="15" t="n">
        <f aca="false">INDEX(Ipotesi!$C$55:$G$55,1,F132)*K132/12</f>
        <v>500</v>
      </c>
      <c r="BV132" s="15" t="n">
        <f aca="false">INDEX(Ipotesi!$C$80:$G$80,1,F132)/12*Ipotesi!E126</f>
        <v>500</v>
      </c>
      <c r="BW132" s="15" t="n">
        <f aca="false">INDEX(Ipotesi!$C$82:$G$82,1,F132)/12</f>
        <v>416.666666666667</v>
      </c>
      <c r="BX132" s="15" t="n">
        <f aca="false">INDEX(Ipotesi!$C$83:$G$83,1,F132)/12</f>
        <v>500</v>
      </c>
      <c r="BY132" s="15" t="n">
        <f aca="false">SUM(S132:U132)*(Ipotesi!$C$85+Ipotesi!$C$86)/12</f>
        <v>437.5</v>
      </c>
      <c r="BZ132" s="15" t="n">
        <f aca="false">AM132*Ipotesi!$C$87</f>
        <v>486.315789473684</v>
      </c>
      <c r="CA132" s="15" t="n">
        <f aca="false">AB132+BJ132+BL132+BN132+BO132+AR132+BP132+BQ132+BR132+BS132+BT132</f>
        <v>27924.2815789474</v>
      </c>
      <c r="CB132" s="15" t="n">
        <f aca="false">AC132+BK132+BM132+BH132+BU132+BV132+AS132+BW132+BX132+BY132+BZ132</f>
        <v>12114.5175438596</v>
      </c>
      <c r="CC132" s="15" t="n">
        <f aca="false">BI132-CA132</f>
        <v>-16479.8956140351</v>
      </c>
      <c r="CD132" s="15" t="n">
        <f aca="false">AM132-CB132</f>
        <v>4096.00877192982</v>
      </c>
      <c r="CE132" s="15" t="n">
        <f aca="false">INDEX(Ipotesi!$C$79:$G$79,1,F132)/12</f>
        <v>1666.66666666667</v>
      </c>
      <c r="CF132" s="15" t="n">
        <f aca="false">INDEX(Ipotesi!$C$84:$G$84,1,F132)/12</f>
        <v>250</v>
      </c>
      <c r="CG132" s="15" t="n">
        <f aca="false">Y132*MAX(0,Parametri_v3!$C$12-IF(P132=0,0,MIN(1,BE132/(P132*Parametri_v3!$C$22))))+W132*Parametri_v3!$C$13+X132*Parametri_v3!$C$14</f>
        <v>7041.66666666667</v>
      </c>
      <c r="CH132" s="15" t="n">
        <f aca="false">AB132*Parametri_v3!$C$32</f>
        <v>895.833333333334</v>
      </c>
      <c r="CI132" s="15" t="n">
        <f aca="false">AC132*Parametri_v3!$C$32</f>
        <v>262.5</v>
      </c>
      <c r="CJ132" s="15" t="n">
        <f aca="false">CA132-AB132</f>
        <v>10007.6149122807</v>
      </c>
      <c r="CK132" s="15" t="n">
        <f aca="false">CB132-AC132-BH132</f>
        <v>5243.4649122807</v>
      </c>
      <c r="CL132" s="15" t="n">
        <f aca="false">BF132*Ipotesi!$C$73+INDEX(Ipotesi!$C$72:$G$72,1,F132)/12*Ipotesi!E126*Parametri_v3!$C$58+Z132*(1-Parametri_v3!$C$16)</f>
        <v>1859.16666666667</v>
      </c>
      <c r="CM132" s="16" t="n">
        <f aca="false">IF(BF132=0,0,1-CL132/BF132)</f>
        <v>-2.18714285714286</v>
      </c>
    </row>
    <row r="133" customFormat="false" ht="18" hidden="false" customHeight="true" outlineLevel="0" collapsed="false">
      <c r="A133" s="68" t="n">
        <f aca="false">3</f>
        <v>3</v>
      </c>
      <c r="B133" s="68" t="n">
        <f aca="false">9</f>
        <v>9</v>
      </c>
      <c r="C133" s="18" t="n">
        <f aca="false">EDATE(Parametri_v3!$C$5,9-1)</f>
        <v>46631</v>
      </c>
      <c r="D133" s="68" t="n">
        <f aca="false">YEAR(C133)</f>
        <v>2027</v>
      </c>
      <c r="E133" s="68" t="n">
        <f aca="false">MONTH(C133)</f>
        <v>9</v>
      </c>
      <c r="F133" s="68" t="n">
        <f aca="false">INT((9-1)/12)+1</f>
        <v>1</v>
      </c>
      <c r="G133" s="15" t="n">
        <f aca="false">Ipotesi!E7</f>
        <v>1.25</v>
      </c>
      <c r="H133" s="15" t="n">
        <f aca="false">Ipotesi!E9</f>
        <v>1</v>
      </c>
      <c r="I133" s="15" t="n">
        <f aca="false">Ipotesi!E10</f>
        <v>1</v>
      </c>
      <c r="J133" s="15" t="n">
        <f aca="false">Ipotesi!E11</f>
        <v>1</v>
      </c>
      <c r="K133" s="15" t="n">
        <f aca="false">Ipotesi!E12</f>
        <v>1</v>
      </c>
      <c r="L133" s="15" t="n">
        <f aca="false">Ipotesi!E13</f>
        <v>90</v>
      </c>
      <c r="M133" s="17" t="n">
        <f aca="false">INDEX(Ipotesi!$C$40:$G$40,1,F133)</f>
        <v>1</v>
      </c>
      <c r="N133" s="17" t="n">
        <f aca="false">INDEX(Ipotesi!$C$41:$G$41,1,F133)</f>
        <v>0.75</v>
      </c>
      <c r="O133" s="17" t="n">
        <f aca="false">INDEX(Ipotesi!$C$42:$G$42,1,F133)*Ipotesi!E125</f>
        <v>1</v>
      </c>
      <c r="P133" s="17" t="n">
        <f aca="false">INDEX(Ipotesi!$C$43:$G$43,1,F133)*I133</f>
        <v>1</v>
      </c>
      <c r="Q133" s="17" t="n">
        <f aca="false">INDEX(Ipotesi!$C$44:$G$44,1,F133)*I133</f>
        <v>0.5</v>
      </c>
      <c r="R133" s="17" t="n">
        <f aca="false">INDEX(Ipotesi!$C$45:$G$45,1,F133)*I133</f>
        <v>0</v>
      </c>
      <c r="S133" s="17" t="n">
        <f aca="false">INDEX(Ipotesi!$C$52:$G$52,1,F133)*Ipotesi!E125</f>
        <v>1.5</v>
      </c>
      <c r="T133" s="17" t="n">
        <f aca="false">INDEX(Ipotesi!$C$53:$G$53,1,F133)*I133</f>
        <v>0</v>
      </c>
      <c r="U133" s="17" t="n">
        <f aca="false">INDEX(Ipotesi!$C$54:$G$54,1,F133)*I133</f>
        <v>0</v>
      </c>
      <c r="V133" s="15" t="n">
        <f aca="false">M133*INDEX(Ipotesi!$C$58:$G$58,1,F133)*K133/12</f>
        <v>3333.33333333333</v>
      </c>
      <c r="W133" s="15" t="n">
        <f aca="false">N133*Ipotesi!$C$59*(1+Ipotesi!$C$66)^(F133-1)/12</f>
        <v>4375</v>
      </c>
      <c r="X133" s="15" t="n">
        <f aca="false">O133*Ipotesi!$C$60*(1+Ipotesi!$C$66)^(F133-1)/12</f>
        <v>4166.66666666667</v>
      </c>
      <c r="Y133" s="15" t="n">
        <f aca="false">P133*Ipotesi!$C$61*(1+Ipotesi!$C$66)^(F133-1)/12</f>
        <v>4166.66666666667</v>
      </c>
      <c r="Z133" s="15" t="n">
        <f aca="false">Q133*Ipotesi!$C$62*(1+Ipotesi!$C$66)^(F133-1)/12</f>
        <v>1875</v>
      </c>
      <c r="AA133" s="15" t="n">
        <f aca="false">R133*Ipotesi!$C$63*(1+Ipotesi!$C$66)^(F133-1)/12</f>
        <v>0</v>
      </c>
      <c r="AB133" s="15" t="n">
        <f aca="false">SUM(V133:AA133)</f>
        <v>17916.6666666667</v>
      </c>
      <c r="AC133" s="15" t="n">
        <f aca="false">(S133*Ipotesi!$C$64+T133*Ipotesi!$C$65+U133*Ipotesi!$C$63)*(1+Ipotesi!$C$66)^(F133-1)/12</f>
        <v>5250</v>
      </c>
      <c r="AD133" s="15" t="n">
        <f aca="false">INDEX(Ipotesi!$C$48:$G$48,1,F133)*G133/12</f>
        <v>20.8333333333333</v>
      </c>
      <c r="AE133" s="15" t="n">
        <f aca="false">INDEX(Ipotesi!$C$50:$G$50,1,F133)*G133/12</f>
        <v>2.60416666666667</v>
      </c>
      <c r="AF133" s="15" t="n">
        <f aca="false">(S133*Parametri_v3!$C$7*Parametri_v3!$C$8+Parametri_v3!$C$10)/12</f>
        <v>19.25</v>
      </c>
      <c r="AG133" s="15" t="n">
        <f aca="false">AD133+AE133*(1+Parametri_v3!$C$9)</f>
        <v>24.7395833333333</v>
      </c>
      <c r="AH133" s="16" t="n">
        <f aca="false">IF(AG133=0,1,MIN(1,AF133/AG133))</f>
        <v>0.778105263157895</v>
      </c>
      <c r="AI133" s="15" t="n">
        <f aca="false">AD133*AH133</f>
        <v>16.2105263157895</v>
      </c>
      <c r="AJ133" s="15" t="n">
        <f aca="false">AE133*AH133</f>
        <v>2.02631578947368</v>
      </c>
      <c r="AK133" s="15" t="n">
        <f aca="false">AI133*INDEX(Ipotesi!$C$49:$G$49,1,F133)*H133</f>
        <v>12157.8947368421</v>
      </c>
      <c r="AL133" s="15" t="n">
        <f aca="false">AJ133*INDEX(Ipotesi!$C$51:$G$51,1,F133)*H133</f>
        <v>4052.63157894737</v>
      </c>
      <c r="AM133" s="15" t="n">
        <f aca="false">AK133+AL133</f>
        <v>16210.5263157895</v>
      </c>
      <c r="AN133" s="15" t="n">
        <f aca="false">INDEX(Ipotesi!$C$30:$G$30,1,F133)*G133/12</f>
        <v>10.4166666666667</v>
      </c>
      <c r="AO133" s="15" t="n">
        <f aca="false">O133*Parametri_v3!$C$7*Parametri_v3!$C$11*(1-Parametri_v3!$C$14)/12</f>
        <v>10.2666666666667</v>
      </c>
      <c r="AP133" s="15" t="n">
        <f aca="false">MIN(AN133,AO133)</f>
        <v>10.2666666666667</v>
      </c>
      <c r="AQ133" s="15" t="n">
        <f aca="false">AP133*INDEX(Ipotesi!$C$31:$G$31,1,F133)*H133</f>
        <v>9240</v>
      </c>
      <c r="AR133" s="15" t="n">
        <f aca="false">INDEX(Ipotesi!$C$75:$G$75,1,F133)*J133/12</f>
        <v>2083.33333333333</v>
      </c>
      <c r="AS133" s="15" t="n">
        <f aca="false">INDEX(Ipotesi!$C$81:$G$81,1,F133)*J133/12</f>
        <v>416.666666666667</v>
      </c>
      <c r="AT133" s="15" t="n">
        <f aca="false">AR133*Parametri_v3!$C$15+Z133*Parametri_v3!$C$16</f>
        <v>3395.83333333333</v>
      </c>
      <c r="AU133" s="15" t="n">
        <f aca="false">Q133*Parametri_v3!$C$16*Parametri_v3!$C$17</f>
        <v>35</v>
      </c>
      <c r="AV133" s="17" t="n">
        <f aca="false">BD132</f>
        <v>3.88888888888889</v>
      </c>
      <c r="AW133" s="17" t="n">
        <f aca="false">AV133*(1-(1-INDEX(Ipotesi!$C$34:$G$34,1,F133))^(1/12))</f>
        <v>0</v>
      </c>
      <c r="AX133" s="15" t="n">
        <f aca="false">ROUND(INDEX(Ipotesi!$C$32:$G$32,1,F133)*Ipotesi!E8,0)</f>
        <v>7</v>
      </c>
      <c r="AY133" s="15" t="n">
        <f aca="false">MAX(0,(AX133-(AV133-AW133))/(13-E133))</f>
        <v>0.777777777777778</v>
      </c>
      <c r="AZ133" s="15" t="n">
        <f aca="false">MIN(P133*Parametri_v3!$C$22,Q133*(1-Parametri_v3!$C$16)*Parametri_v3!$C$23)</f>
        <v>22.5</v>
      </c>
      <c r="BA133" s="15" t="n">
        <f aca="false">IF(OR(INDEX(Ipotesi!$C$35:$G$35,1,F133)&lt;=0,9-Parametri_v3!$C$21&lt;1),0,INDEX($AT$125:$AT$184,MAX(1,9-Parametri_v3!$C$21))/(INDEX(Ipotesi!$C$35:$G$35,1,F133)*Ipotesi!E27))</f>
        <v>0.848958333333333</v>
      </c>
      <c r="BB133" s="15" t="n">
        <f aca="false">IF(9-Parametri_v3!$C$21&lt;1,0,INDEX($AU$125:$AU$184,MAX(1,9-Parametri_v3!$C$21)))*Parametri_v3!$C$18*Parametri_v3!$C$19*Parametri_v3!$C$20</f>
        <v>1.3125</v>
      </c>
      <c r="BC133" s="17" t="n">
        <f aca="false">MAX(0,MIN(AY133,BA133,BB133,MAX(0,AZ133-(AV133-AW133))))</f>
        <v>0.777777777777778</v>
      </c>
      <c r="BD133" s="17" t="n">
        <f aca="false">AV133-AW133+BC133</f>
        <v>4.66666666666667</v>
      </c>
      <c r="BE133" s="17" t="n">
        <f aca="false">(AV133+BD133)/2</f>
        <v>4.27777777777778</v>
      </c>
      <c r="BF133" s="15" t="n">
        <f aca="false">BE133*INDEX(Ipotesi!$C$33:$G$33,1,F133)*H133/12</f>
        <v>712.962962962963</v>
      </c>
      <c r="BG133" s="15" t="n">
        <f aca="false">BD133*INDEX(Ipotesi!$C$33:$G$33,1,F133)*H133</f>
        <v>9333.33333333333</v>
      </c>
      <c r="BH133" s="15" t="n">
        <f aca="false">AM133*INDEX(Ipotesi!$C$37:$G$37,1,F133)</f>
        <v>1621.05263157895</v>
      </c>
      <c r="BI133" s="15" t="n">
        <f aca="false">AQ133+BF133+BH133</f>
        <v>11574.0155945419</v>
      </c>
      <c r="BJ133" s="15" t="n">
        <f aca="false">INDEX(Ipotesi!$C$68:$G$68,1,F133)*Ipotesi!$C$69/12</f>
        <v>1000</v>
      </c>
      <c r="BK133" s="15" t="n">
        <f aca="false">INDEX(Ipotesi!$C$68:$G$68,1,F133)*(1-Ipotesi!$C$69)/12</f>
        <v>1500</v>
      </c>
      <c r="BL133" s="15" t="n">
        <f aca="false">(AQ133+BF133)*Ipotesi!$C$67</f>
        <v>298.588888888889</v>
      </c>
      <c r="BM133" s="15" t="n">
        <f aca="false">AM133*Ipotesi!$C$67</f>
        <v>486.315789473684</v>
      </c>
      <c r="BN133" s="15" t="n">
        <f aca="false">INDEX(Ipotesi!$C$72:$G$72,1,F133)/12*Ipotesi!E126+BF133*Ipotesi!$C$73</f>
        <v>1307.03703703704</v>
      </c>
      <c r="BO133" s="15" t="n">
        <f aca="false">INDEX(Ipotesi!$C$74:$G$74,1,F133)/12*Ipotesi!E126</f>
        <v>1000</v>
      </c>
      <c r="BP133" s="15" t="n">
        <f aca="false">INDEX(Ipotesi!$C$76:$G$76,1,F133)/12</f>
        <v>500</v>
      </c>
      <c r="BQ133" s="15" t="n">
        <f aca="false">INDEX(Ipotesi!$C$77:$G$77,1,F133)/12*Ipotesi!E126</f>
        <v>1250</v>
      </c>
      <c r="BR133" s="15" t="n">
        <f aca="false">INDEX(Ipotesi!$C$78:$G$78,1,F133)/12</f>
        <v>1000</v>
      </c>
      <c r="BS133" s="15" t="n">
        <f aca="false">SUM(M133:R133)*(Ipotesi!$C$85+Ipotesi!$C$86)/12</f>
        <v>1239.58333333333</v>
      </c>
      <c r="BT133" s="15" t="n">
        <f aca="false">BI133*Ipotesi!$C$87</f>
        <v>347.220467836257</v>
      </c>
      <c r="BU133" s="15" t="n">
        <f aca="false">INDEX(Ipotesi!$C$55:$G$55,1,F133)*K133/12</f>
        <v>500</v>
      </c>
      <c r="BV133" s="15" t="n">
        <f aca="false">INDEX(Ipotesi!$C$80:$G$80,1,F133)/12*Ipotesi!E126</f>
        <v>500</v>
      </c>
      <c r="BW133" s="15" t="n">
        <f aca="false">INDEX(Ipotesi!$C$82:$G$82,1,F133)/12</f>
        <v>416.666666666667</v>
      </c>
      <c r="BX133" s="15" t="n">
        <f aca="false">INDEX(Ipotesi!$C$83:$G$83,1,F133)/12</f>
        <v>500</v>
      </c>
      <c r="BY133" s="15" t="n">
        <f aca="false">SUM(S133:U133)*(Ipotesi!$C$85+Ipotesi!$C$86)/12</f>
        <v>437.5</v>
      </c>
      <c r="BZ133" s="15" t="n">
        <f aca="false">AM133*Ipotesi!$C$87</f>
        <v>486.315789473684</v>
      </c>
      <c r="CA133" s="15" t="n">
        <f aca="false">AB133+BJ133+BL133+BN133+BO133+AR133+BP133+BQ133+BR133+BS133+BT133</f>
        <v>27942.4297270955</v>
      </c>
      <c r="CB133" s="15" t="n">
        <f aca="false">AC133+BK133+BM133+BH133+BU133+BV133+AS133+BW133+BX133+BY133+BZ133</f>
        <v>12114.5175438596</v>
      </c>
      <c r="CC133" s="15" t="n">
        <f aca="false">BI133-CA133</f>
        <v>-16368.4141325536</v>
      </c>
      <c r="CD133" s="15" t="n">
        <f aca="false">AM133-CB133</f>
        <v>4096.00877192982</v>
      </c>
      <c r="CE133" s="15" t="n">
        <f aca="false">INDEX(Ipotesi!$C$79:$G$79,1,F133)/12</f>
        <v>1666.66666666667</v>
      </c>
      <c r="CF133" s="15" t="n">
        <f aca="false">INDEX(Ipotesi!$C$84:$G$84,1,F133)/12</f>
        <v>250</v>
      </c>
      <c r="CG133" s="15" t="n">
        <f aca="false">Y133*MAX(0,Parametri_v3!$C$12-IF(P133=0,0,MIN(1,BE133/(P133*Parametri_v3!$C$22))))+W133*Parametri_v3!$C$13+X133*Parametri_v3!$C$14</f>
        <v>7009.25925925926</v>
      </c>
      <c r="CH133" s="15" t="n">
        <f aca="false">AB133*Parametri_v3!$C$32</f>
        <v>895.833333333334</v>
      </c>
      <c r="CI133" s="15" t="n">
        <f aca="false">AC133*Parametri_v3!$C$32</f>
        <v>262.5</v>
      </c>
      <c r="CJ133" s="15" t="n">
        <f aca="false">CA133-AB133</f>
        <v>10025.7630604288</v>
      </c>
      <c r="CK133" s="15" t="n">
        <f aca="false">CB133-AC133-BH133</f>
        <v>5243.4649122807</v>
      </c>
      <c r="CL133" s="15" t="n">
        <f aca="false">BF133*Ipotesi!$C$73+INDEX(Ipotesi!$C$72:$G$72,1,F133)/12*Ipotesi!E126*Parametri_v3!$C$58+Z133*(1-Parametri_v3!$C$16)</f>
        <v>1869.53703703704</v>
      </c>
      <c r="CM133" s="16" t="n">
        <f aca="false">IF(BF133=0,0,1-CL133/BF133)</f>
        <v>-1.62220779220779</v>
      </c>
    </row>
    <row r="134" customFormat="false" ht="18" hidden="false" customHeight="true" outlineLevel="0" collapsed="false">
      <c r="A134" s="68" t="n">
        <f aca="false">3</f>
        <v>3</v>
      </c>
      <c r="B134" s="68" t="n">
        <f aca="false">10</f>
        <v>10</v>
      </c>
      <c r="C134" s="18" t="n">
        <f aca="false">EDATE(Parametri_v3!$C$5,10-1)</f>
        <v>46661</v>
      </c>
      <c r="D134" s="68" t="n">
        <f aca="false">YEAR(C134)</f>
        <v>2027</v>
      </c>
      <c r="E134" s="68" t="n">
        <f aca="false">MONTH(C134)</f>
        <v>10</v>
      </c>
      <c r="F134" s="68" t="n">
        <f aca="false">INT((10-1)/12)+1</f>
        <v>1</v>
      </c>
      <c r="G134" s="15" t="n">
        <f aca="false">Ipotesi!E7</f>
        <v>1.25</v>
      </c>
      <c r="H134" s="15" t="n">
        <f aca="false">Ipotesi!E9</f>
        <v>1</v>
      </c>
      <c r="I134" s="15" t="n">
        <f aca="false">Ipotesi!E10</f>
        <v>1</v>
      </c>
      <c r="J134" s="15" t="n">
        <f aca="false">Ipotesi!E11</f>
        <v>1</v>
      </c>
      <c r="K134" s="15" t="n">
        <f aca="false">Ipotesi!E12</f>
        <v>1</v>
      </c>
      <c r="L134" s="15" t="n">
        <f aca="false">Ipotesi!E13</f>
        <v>90</v>
      </c>
      <c r="M134" s="17" t="n">
        <f aca="false">INDEX(Ipotesi!$C$40:$G$40,1,F134)</f>
        <v>1</v>
      </c>
      <c r="N134" s="17" t="n">
        <f aca="false">INDEX(Ipotesi!$C$41:$G$41,1,F134)</f>
        <v>0.75</v>
      </c>
      <c r="O134" s="17" t="n">
        <f aca="false">INDEX(Ipotesi!$C$42:$G$42,1,F134)*Ipotesi!E125</f>
        <v>1</v>
      </c>
      <c r="P134" s="17" t="n">
        <f aca="false">INDEX(Ipotesi!$C$43:$G$43,1,F134)*I134</f>
        <v>1</v>
      </c>
      <c r="Q134" s="17" t="n">
        <f aca="false">INDEX(Ipotesi!$C$44:$G$44,1,F134)*I134</f>
        <v>0.5</v>
      </c>
      <c r="R134" s="17" t="n">
        <f aca="false">INDEX(Ipotesi!$C$45:$G$45,1,F134)*I134</f>
        <v>0</v>
      </c>
      <c r="S134" s="17" t="n">
        <f aca="false">INDEX(Ipotesi!$C$52:$G$52,1,F134)*Ipotesi!E125</f>
        <v>1.5</v>
      </c>
      <c r="T134" s="17" t="n">
        <f aca="false">INDEX(Ipotesi!$C$53:$G$53,1,F134)*I134</f>
        <v>0</v>
      </c>
      <c r="U134" s="17" t="n">
        <f aca="false">INDEX(Ipotesi!$C$54:$G$54,1,F134)*I134</f>
        <v>0</v>
      </c>
      <c r="V134" s="15" t="n">
        <f aca="false">M134*INDEX(Ipotesi!$C$58:$G$58,1,F134)*K134/12</f>
        <v>3333.33333333333</v>
      </c>
      <c r="W134" s="15" t="n">
        <f aca="false">N134*Ipotesi!$C$59*(1+Ipotesi!$C$66)^(F134-1)/12</f>
        <v>4375</v>
      </c>
      <c r="X134" s="15" t="n">
        <f aca="false">O134*Ipotesi!$C$60*(1+Ipotesi!$C$66)^(F134-1)/12</f>
        <v>4166.66666666667</v>
      </c>
      <c r="Y134" s="15" t="n">
        <f aca="false">P134*Ipotesi!$C$61*(1+Ipotesi!$C$66)^(F134-1)/12</f>
        <v>4166.66666666667</v>
      </c>
      <c r="Z134" s="15" t="n">
        <f aca="false">Q134*Ipotesi!$C$62*(1+Ipotesi!$C$66)^(F134-1)/12</f>
        <v>1875</v>
      </c>
      <c r="AA134" s="15" t="n">
        <f aca="false">R134*Ipotesi!$C$63*(1+Ipotesi!$C$66)^(F134-1)/12</f>
        <v>0</v>
      </c>
      <c r="AB134" s="15" t="n">
        <f aca="false">SUM(V134:AA134)</f>
        <v>17916.6666666667</v>
      </c>
      <c r="AC134" s="15" t="n">
        <f aca="false">(S134*Ipotesi!$C$64+T134*Ipotesi!$C$65+U134*Ipotesi!$C$63)*(1+Ipotesi!$C$66)^(F134-1)/12</f>
        <v>5250</v>
      </c>
      <c r="AD134" s="15" t="n">
        <f aca="false">INDEX(Ipotesi!$C$48:$G$48,1,F134)*G134/12</f>
        <v>20.8333333333333</v>
      </c>
      <c r="AE134" s="15" t="n">
        <f aca="false">INDEX(Ipotesi!$C$50:$G$50,1,F134)*G134/12</f>
        <v>2.60416666666667</v>
      </c>
      <c r="AF134" s="15" t="n">
        <f aca="false">(S134*Parametri_v3!$C$7*Parametri_v3!$C$8+Parametri_v3!$C$10)/12</f>
        <v>19.25</v>
      </c>
      <c r="AG134" s="15" t="n">
        <f aca="false">AD134+AE134*(1+Parametri_v3!$C$9)</f>
        <v>24.7395833333333</v>
      </c>
      <c r="AH134" s="16" t="n">
        <f aca="false">IF(AG134=0,1,MIN(1,AF134/AG134))</f>
        <v>0.778105263157895</v>
      </c>
      <c r="AI134" s="15" t="n">
        <f aca="false">AD134*AH134</f>
        <v>16.2105263157895</v>
      </c>
      <c r="AJ134" s="15" t="n">
        <f aca="false">AE134*AH134</f>
        <v>2.02631578947368</v>
      </c>
      <c r="AK134" s="15" t="n">
        <f aca="false">AI134*INDEX(Ipotesi!$C$49:$G$49,1,F134)*H134</f>
        <v>12157.8947368421</v>
      </c>
      <c r="AL134" s="15" t="n">
        <f aca="false">AJ134*INDEX(Ipotesi!$C$51:$G$51,1,F134)*H134</f>
        <v>4052.63157894737</v>
      </c>
      <c r="AM134" s="15" t="n">
        <f aca="false">AK134+AL134</f>
        <v>16210.5263157895</v>
      </c>
      <c r="AN134" s="15" t="n">
        <f aca="false">INDEX(Ipotesi!$C$30:$G$30,1,F134)*G134/12</f>
        <v>10.4166666666667</v>
      </c>
      <c r="AO134" s="15" t="n">
        <f aca="false">O134*Parametri_v3!$C$7*Parametri_v3!$C$11*(1-Parametri_v3!$C$14)/12</f>
        <v>10.2666666666667</v>
      </c>
      <c r="AP134" s="15" t="n">
        <f aca="false">MIN(AN134,AO134)</f>
        <v>10.2666666666667</v>
      </c>
      <c r="AQ134" s="15" t="n">
        <f aca="false">AP134*INDEX(Ipotesi!$C$31:$G$31,1,F134)*H134</f>
        <v>9240</v>
      </c>
      <c r="AR134" s="15" t="n">
        <f aca="false">INDEX(Ipotesi!$C$75:$G$75,1,F134)*J134/12</f>
        <v>2083.33333333333</v>
      </c>
      <c r="AS134" s="15" t="n">
        <f aca="false">INDEX(Ipotesi!$C$81:$G$81,1,F134)*J134/12</f>
        <v>416.666666666667</v>
      </c>
      <c r="AT134" s="15" t="n">
        <f aca="false">AR134*Parametri_v3!$C$15+Z134*Parametri_v3!$C$16</f>
        <v>3395.83333333333</v>
      </c>
      <c r="AU134" s="15" t="n">
        <f aca="false">Q134*Parametri_v3!$C$16*Parametri_v3!$C$17</f>
        <v>35</v>
      </c>
      <c r="AV134" s="17" t="n">
        <f aca="false">BD133</f>
        <v>4.66666666666667</v>
      </c>
      <c r="AW134" s="17" t="n">
        <f aca="false">AV134*(1-(1-INDEX(Ipotesi!$C$34:$G$34,1,F134))^(1/12))</f>
        <v>0</v>
      </c>
      <c r="AX134" s="15" t="n">
        <f aca="false">ROUND(INDEX(Ipotesi!$C$32:$G$32,1,F134)*Ipotesi!E8,0)</f>
        <v>7</v>
      </c>
      <c r="AY134" s="15" t="n">
        <f aca="false">MAX(0,(AX134-(AV134-AW134))/(13-E134))</f>
        <v>0.777777777777778</v>
      </c>
      <c r="AZ134" s="15" t="n">
        <f aca="false">MIN(P134*Parametri_v3!$C$22,Q134*(1-Parametri_v3!$C$16)*Parametri_v3!$C$23)</f>
        <v>22.5</v>
      </c>
      <c r="BA134" s="15" t="n">
        <f aca="false">IF(OR(INDEX(Ipotesi!$C$35:$G$35,1,F134)&lt;=0,10-Parametri_v3!$C$21&lt;1),0,INDEX($AT$125:$AT$184,MAX(1,10-Parametri_v3!$C$21))/(INDEX(Ipotesi!$C$35:$G$35,1,F134)*Ipotesi!E27))</f>
        <v>0.848958333333333</v>
      </c>
      <c r="BB134" s="15" t="n">
        <f aca="false">IF(10-Parametri_v3!$C$21&lt;1,0,INDEX($AU$125:$AU$184,MAX(1,10-Parametri_v3!$C$21)))*Parametri_v3!$C$18*Parametri_v3!$C$19*Parametri_v3!$C$20</f>
        <v>1.3125</v>
      </c>
      <c r="BC134" s="17" t="n">
        <f aca="false">MAX(0,MIN(AY134,BA134,BB134,MAX(0,AZ134-(AV134-AW134))))</f>
        <v>0.777777777777778</v>
      </c>
      <c r="BD134" s="17" t="n">
        <f aca="false">AV134-AW134+BC134</f>
        <v>5.44444444444445</v>
      </c>
      <c r="BE134" s="17" t="n">
        <f aca="false">(AV134+BD134)/2</f>
        <v>5.05555555555556</v>
      </c>
      <c r="BF134" s="15" t="n">
        <f aca="false">BE134*INDEX(Ipotesi!$C$33:$G$33,1,F134)*H134/12</f>
        <v>842.592592592593</v>
      </c>
      <c r="BG134" s="15" t="n">
        <f aca="false">BD134*INDEX(Ipotesi!$C$33:$G$33,1,F134)*H134</f>
        <v>10888.8888888889</v>
      </c>
      <c r="BH134" s="15" t="n">
        <f aca="false">AM134*INDEX(Ipotesi!$C$37:$G$37,1,F134)</f>
        <v>1621.05263157895</v>
      </c>
      <c r="BI134" s="15" t="n">
        <f aca="false">AQ134+BF134+BH134</f>
        <v>11703.6452241715</v>
      </c>
      <c r="BJ134" s="15" t="n">
        <f aca="false">INDEX(Ipotesi!$C$68:$G$68,1,F134)*Ipotesi!$C$69/12</f>
        <v>1000</v>
      </c>
      <c r="BK134" s="15" t="n">
        <f aca="false">INDEX(Ipotesi!$C$68:$G$68,1,F134)*(1-Ipotesi!$C$69)/12</f>
        <v>1500</v>
      </c>
      <c r="BL134" s="15" t="n">
        <f aca="false">(AQ134+BF134)*Ipotesi!$C$67</f>
        <v>302.477777777778</v>
      </c>
      <c r="BM134" s="15" t="n">
        <f aca="false">AM134*Ipotesi!$C$67</f>
        <v>486.315789473684</v>
      </c>
      <c r="BN134" s="15" t="n">
        <f aca="false">INDEX(Ipotesi!$C$72:$G$72,1,F134)/12*Ipotesi!E126+BF134*Ipotesi!$C$73</f>
        <v>1317.40740740741</v>
      </c>
      <c r="BO134" s="15" t="n">
        <f aca="false">INDEX(Ipotesi!$C$74:$G$74,1,F134)/12*Ipotesi!E126</f>
        <v>1000</v>
      </c>
      <c r="BP134" s="15" t="n">
        <f aca="false">INDEX(Ipotesi!$C$76:$G$76,1,F134)/12</f>
        <v>500</v>
      </c>
      <c r="BQ134" s="15" t="n">
        <f aca="false">INDEX(Ipotesi!$C$77:$G$77,1,F134)/12*Ipotesi!E126</f>
        <v>1250</v>
      </c>
      <c r="BR134" s="15" t="n">
        <f aca="false">INDEX(Ipotesi!$C$78:$G$78,1,F134)/12</f>
        <v>1000</v>
      </c>
      <c r="BS134" s="15" t="n">
        <f aca="false">SUM(M134:R134)*(Ipotesi!$C$85+Ipotesi!$C$86)/12</f>
        <v>1239.58333333333</v>
      </c>
      <c r="BT134" s="15" t="n">
        <f aca="false">BI134*Ipotesi!$C$87</f>
        <v>351.109356725146</v>
      </c>
      <c r="BU134" s="15" t="n">
        <f aca="false">INDEX(Ipotesi!$C$55:$G$55,1,F134)*K134/12</f>
        <v>500</v>
      </c>
      <c r="BV134" s="15" t="n">
        <f aca="false">INDEX(Ipotesi!$C$80:$G$80,1,F134)/12*Ipotesi!E126</f>
        <v>500</v>
      </c>
      <c r="BW134" s="15" t="n">
        <f aca="false">INDEX(Ipotesi!$C$82:$G$82,1,F134)/12</f>
        <v>416.666666666667</v>
      </c>
      <c r="BX134" s="15" t="n">
        <f aca="false">INDEX(Ipotesi!$C$83:$G$83,1,F134)/12</f>
        <v>500</v>
      </c>
      <c r="BY134" s="15" t="n">
        <f aca="false">SUM(S134:U134)*(Ipotesi!$C$85+Ipotesi!$C$86)/12</f>
        <v>437.5</v>
      </c>
      <c r="BZ134" s="15" t="n">
        <f aca="false">AM134*Ipotesi!$C$87</f>
        <v>486.315789473684</v>
      </c>
      <c r="CA134" s="15" t="n">
        <f aca="false">AB134+BJ134+BL134+BN134+BO134+AR134+BP134+BQ134+BR134+BS134+BT134</f>
        <v>27960.5778752437</v>
      </c>
      <c r="CB134" s="15" t="n">
        <f aca="false">AC134+BK134+BM134+BH134+BU134+BV134+AS134+BW134+BX134+BY134+BZ134</f>
        <v>12114.5175438596</v>
      </c>
      <c r="CC134" s="15" t="n">
        <f aca="false">BI134-CA134</f>
        <v>-16256.9326510721</v>
      </c>
      <c r="CD134" s="15" t="n">
        <f aca="false">AM134-CB134</f>
        <v>4096.00877192982</v>
      </c>
      <c r="CE134" s="15" t="n">
        <f aca="false">INDEX(Ipotesi!$C$79:$G$79,1,F134)/12</f>
        <v>1666.66666666667</v>
      </c>
      <c r="CF134" s="15" t="n">
        <f aca="false">INDEX(Ipotesi!$C$84:$G$84,1,F134)/12</f>
        <v>250</v>
      </c>
      <c r="CG134" s="15" t="n">
        <f aca="false">Y134*MAX(0,Parametri_v3!$C$12-IF(P134=0,0,MIN(1,BE134/(P134*Parametri_v3!$C$22))))+W134*Parametri_v3!$C$13+X134*Parametri_v3!$C$14</f>
        <v>6976.85185185185</v>
      </c>
      <c r="CH134" s="15" t="n">
        <f aca="false">AB134*Parametri_v3!$C$32</f>
        <v>895.833333333334</v>
      </c>
      <c r="CI134" s="15" t="n">
        <f aca="false">AC134*Parametri_v3!$C$32</f>
        <v>262.5</v>
      </c>
      <c r="CJ134" s="15" t="n">
        <f aca="false">CA134-AB134</f>
        <v>10043.911208577</v>
      </c>
      <c r="CK134" s="15" t="n">
        <f aca="false">CB134-AC134-BH134</f>
        <v>5243.4649122807</v>
      </c>
      <c r="CL134" s="15" t="n">
        <f aca="false">BF134*Ipotesi!$C$73+INDEX(Ipotesi!$C$72:$G$72,1,F134)/12*Ipotesi!E126*Parametri_v3!$C$58+Z134*(1-Parametri_v3!$C$16)</f>
        <v>1879.90740740741</v>
      </c>
      <c r="CM134" s="16" t="n">
        <f aca="false">IF(BF134=0,0,1-CL134/BF134)</f>
        <v>-1.2310989010989</v>
      </c>
    </row>
    <row r="135" customFormat="false" ht="18" hidden="false" customHeight="true" outlineLevel="0" collapsed="false">
      <c r="A135" s="68" t="n">
        <f aca="false">3</f>
        <v>3</v>
      </c>
      <c r="B135" s="68" t="n">
        <f aca="false">11</f>
        <v>11</v>
      </c>
      <c r="C135" s="18" t="n">
        <f aca="false">EDATE(Parametri_v3!$C$5,11-1)</f>
        <v>46692</v>
      </c>
      <c r="D135" s="68" t="n">
        <f aca="false">YEAR(C135)</f>
        <v>2027</v>
      </c>
      <c r="E135" s="68" t="n">
        <f aca="false">MONTH(C135)</f>
        <v>11</v>
      </c>
      <c r="F135" s="68" t="n">
        <f aca="false">INT((11-1)/12)+1</f>
        <v>1</v>
      </c>
      <c r="G135" s="15" t="n">
        <f aca="false">Ipotesi!E7</f>
        <v>1.25</v>
      </c>
      <c r="H135" s="15" t="n">
        <f aca="false">Ipotesi!E9</f>
        <v>1</v>
      </c>
      <c r="I135" s="15" t="n">
        <f aca="false">Ipotesi!E10</f>
        <v>1</v>
      </c>
      <c r="J135" s="15" t="n">
        <f aca="false">Ipotesi!E11</f>
        <v>1</v>
      </c>
      <c r="K135" s="15" t="n">
        <f aca="false">Ipotesi!E12</f>
        <v>1</v>
      </c>
      <c r="L135" s="15" t="n">
        <f aca="false">Ipotesi!E13</f>
        <v>90</v>
      </c>
      <c r="M135" s="17" t="n">
        <f aca="false">INDEX(Ipotesi!$C$40:$G$40,1,F135)</f>
        <v>1</v>
      </c>
      <c r="N135" s="17" t="n">
        <f aca="false">INDEX(Ipotesi!$C$41:$G$41,1,F135)</f>
        <v>0.75</v>
      </c>
      <c r="O135" s="17" t="n">
        <f aca="false">INDEX(Ipotesi!$C$42:$G$42,1,F135)*Ipotesi!E125</f>
        <v>1</v>
      </c>
      <c r="P135" s="17" t="n">
        <f aca="false">INDEX(Ipotesi!$C$43:$G$43,1,F135)*I135</f>
        <v>1</v>
      </c>
      <c r="Q135" s="17" t="n">
        <f aca="false">INDEX(Ipotesi!$C$44:$G$44,1,F135)*I135</f>
        <v>0.5</v>
      </c>
      <c r="R135" s="17" t="n">
        <f aca="false">INDEX(Ipotesi!$C$45:$G$45,1,F135)*I135</f>
        <v>0</v>
      </c>
      <c r="S135" s="17" t="n">
        <f aca="false">INDEX(Ipotesi!$C$52:$G$52,1,F135)*Ipotesi!E125</f>
        <v>1.5</v>
      </c>
      <c r="T135" s="17" t="n">
        <f aca="false">INDEX(Ipotesi!$C$53:$G$53,1,F135)*I135</f>
        <v>0</v>
      </c>
      <c r="U135" s="17" t="n">
        <f aca="false">INDEX(Ipotesi!$C$54:$G$54,1,F135)*I135</f>
        <v>0</v>
      </c>
      <c r="V135" s="15" t="n">
        <f aca="false">M135*INDEX(Ipotesi!$C$58:$G$58,1,F135)*K135/12</f>
        <v>3333.33333333333</v>
      </c>
      <c r="W135" s="15" t="n">
        <f aca="false">N135*Ipotesi!$C$59*(1+Ipotesi!$C$66)^(F135-1)/12</f>
        <v>4375</v>
      </c>
      <c r="X135" s="15" t="n">
        <f aca="false">O135*Ipotesi!$C$60*(1+Ipotesi!$C$66)^(F135-1)/12</f>
        <v>4166.66666666667</v>
      </c>
      <c r="Y135" s="15" t="n">
        <f aca="false">P135*Ipotesi!$C$61*(1+Ipotesi!$C$66)^(F135-1)/12</f>
        <v>4166.66666666667</v>
      </c>
      <c r="Z135" s="15" t="n">
        <f aca="false">Q135*Ipotesi!$C$62*(1+Ipotesi!$C$66)^(F135-1)/12</f>
        <v>1875</v>
      </c>
      <c r="AA135" s="15" t="n">
        <f aca="false">R135*Ipotesi!$C$63*(1+Ipotesi!$C$66)^(F135-1)/12</f>
        <v>0</v>
      </c>
      <c r="AB135" s="15" t="n">
        <f aca="false">SUM(V135:AA135)</f>
        <v>17916.6666666667</v>
      </c>
      <c r="AC135" s="15" t="n">
        <f aca="false">(S135*Ipotesi!$C$64+T135*Ipotesi!$C$65+U135*Ipotesi!$C$63)*(1+Ipotesi!$C$66)^(F135-1)/12</f>
        <v>5250</v>
      </c>
      <c r="AD135" s="15" t="n">
        <f aca="false">INDEX(Ipotesi!$C$48:$G$48,1,F135)*G135/12</f>
        <v>20.8333333333333</v>
      </c>
      <c r="AE135" s="15" t="n">
        <f aca="false">INDEX(Ipotesi!$C$50:$G$50,1,F135)*G135/12</f>
        <v>2.60416666666667</v>
      </c>
      <c r="AF135" s="15" t="n">
        <f aca="false">(S135*Parametri_v3!$C$7*Parametri_v3!$C$8+Parametri_v3!$C$10)/12</f>
        <v>19.25</v>
      </c>
      <c r="AG135" s="15" t="n">
        <f aca="false">AD135+AE135*(1+Parametri_v3!$C$9)</f>
        <v>24.7395833333333</v>
      </c>
      <c r="AH135" s="16" t="n">
        <f aca="false">IF(AG135=0,1,MIN(1,AF135/AG135))</f>
        <v>0.778105263157895</v>
      </c>
      <c r="AI135" s="15" t="n">
        <f aca="false">AD135*AH135</f>
        <v>16.2105263157895</v>
      </c>
      <c r="AJ135" s="15" t="n">
        <f aca="false">AE135*AH135</f>
        <v>2.02631578947368</v>
      </c>
      <c r="AK135" s="15" t="n">
        <f aca="false">AI135*INDEX(Ipotesi!$C$49:$G$49,1,F135)*H135</f>
        <v>12157.8947368421</v>
      </c>
      <c r="AL135" s="15" t="n">
        <f aca="false">AJ135*INDEX(Ipotesi!$C$51:$G$51,1,F135)*H135</f>
        <v>4052.63157894737</v>
      </c>
      <c r="AM135" s="15" t="n">
        <f aca="false">AK135+AL135</f>
        <v>16210.5263157895</v>
      </c>
      <c r="AN135" s="15" t="n">
        <f aca="false">INDEX(Ipotesi!$C$30:$G$30,1,F135)*G135/12</f>
        <v>10.4166666666667</v>
      </c>
      <c r="AO135" s="15" t="n">
        <f aca="false">O135*Parametri_v3!$C$7*Parametri_v3!$C$11*(1-Parametri_v3!$C$14)/12</f>
        <v>10.2666666666667</v>
      </c>
      <c r="AP135" s="15" t="n">
        <f aca="false">MIN(AN135,AO135)</f>
        <v>10.2666666666667</v>
      </c>
      <c r="AQ135" s="15" t="n">
        <f aca="false">AP135*INDEX(Ipotesi!$C$31:$G$31,1,F135)*H135</f>
        <v>9240</v>
      </c>
      <c r="AR135" s="15" t="n">
        <f aca="false">INDEX(Ipotesi!$C$75:$G$75,1,F135)*J135/12</f>
        <v>2083.33333333333</v>
      </c>
      <c r="AS135" s="15" t="n">
        <f aca="false">INDEX(Ipotesi!$C$81:$G$81,1,F135)*J135/12</f>
        <v>416.666666666667</v>
      </c>
      <c r="AT135" s="15" t="n">
        <f aca="false">AR135*Parametri_v3!$C$15+Z135*Parametri_v3!$C$16</f>
        <v>3395.83333333333</v>
      </c>
      <c r="AU135" s="15" t="n">
        <f aca="false">Q135*Parametri_v3!$C$16*Parametri_v3!$C$17</f>
        <v>35</v>
      </c>
      <c r="AV135" s="17" t="n">
        <f aca="false">BD134</f>
        <v>5.44444444444445</v>
      </c>
      <c r="AW135" s="17" t="n">
        <f aca="false">AV135*(1-(1-INDEX(Ipotesi!$C$34:$G$34,1,F135))^(1/12))</f>
        <v>0</v>
      </c>
      <c r="AX135" s="15" t="n">
        <f aca="false">ROUND(INDEX(Ipotesi!$C$32:$G$32,1,F135)*Ipotesi!E8,0)</f>
        <v>7</v>
      </c>
      <c r="AY135" s="15" t="n">
        <f aca="false">MAX(0,(AX135-(AV135-AW135))/(13-E135))</f>
        <v>0.777777777777778</v>
      </c>
      <c r="AZ135" s="15" t="n">
        <f aca="false">MIN(P135*Parametri_v3!$C$22,Q135*(1-Parametri_v3!$C$16)*Parametri_v3!$C$23)</f>
        <v>22.5</v>
      </c>
      <c r="BA135" s="15" t="n">
        <f aca="false">IF(OR(INDEX(Ipotesi!$C$35:$G$35,1,F135)&lt;=0,11-Parametri_v3!$C$21&lt;1),0,INDEX($AT$125:$AT$184,MAX(1,11-Parametri_v3!$C$21))/(INDEX(Ipotesi!$C$35:$G$35,1,F135)*Ipotesi!E27))</f>
        <v>0.848958333333333</v>
      </c>
      <c r="BB135" s="15" t="n">
        <f aca="false">IF(11-Parametri_v3!$C$21&lt;1,0,INDEX($AU$125:$AU$184,MAX(1,11-Parametri_v3!$C$21)))*Parametri_v3!$C$18*Parametri_v3!$C$19*Parametri_v3!$C$20</f>
        <v>1.3125</v>
      </c>
      <c r="BC135" s="17" t="n">
        <f aca="false">MAX(0,MIN(AY135,BA135,BB135,MAX(0,AZ135-(AV135-AW135))))</f>
        <v>0.777777777777778</v>
      </c>
      <c r="BD135" s="17" t="n">
        <f aca="false">AV135-AW135+BC135</f>
        <v>6.22222222222222</v>
      </c>
      <c r="BE135" s="17" t="n">
        <f aca="false">(AV135+BD135)/2</f>
        <v>5.83333333333333</v>
      </c>
      <c r="BF135" s="15" t="n">
        <f aca="false">BE135*INDEX(Ipotesi!$C$33:$G$33,1,F135)*H135/12</f>
        <v>972.222222222222</v>
      </c>
      <c r="BG135" s="15" t="n">
        <f aca="false">BD135*INDEX(Ipotesi!$C$33:$G$33,1,F135)*H135</f>
        <v>12444.4444444444</v>
      </c>
      <c r="BH135" s="15" t="n">
        <f aca="false">AM135*INDEX(Ipotesi!$C$37:$G$37,1,F135)</f>
        <v>1621.05263157895</v>
      </c>
      <c r="BI135" s="15" t="n">
        <f aca="false">AQ135+BF135+BH135</f>
        <v>11833.2748538012</v>
      </c>
      <c r="BJ135" s="15" t="n">
        <f aca="false">INDEX(Ipotesi!$C$68:$G$68,1,F135)*Ipotesi!$C$69/12</f>
        <v>1000</v>
      </c>
      <c r="BK135" s="15" t="n">
        <f aca="false">INDEX(Ipotesi!$C$68:$G$68,1,F135)*(1-Ipotesi!$C$69)/12</f>
        <v>1500</v>
      </c>
      <c r="BL135" s="15" t="n">
        <f aca="false">(AQ135+BF135)*Ipotesi!$C$67</f>
        <v>306.366666666667</v>
      </c>
      <c r="BM135" s="15" t="n">
        <f aca="false">AM135*Ipotesi!$C$67</f>
        <v>486.315789473684</v>
      </c>
      <c r="BN135" s="15" t="n">
        <f aca="false">INDEX(Ipotesi!$C$72:$G$72,1,F135)/12*Ipotesi!E126+BF135*Ipotesi!$C$73</f>
        <v>1327.77777777778</v>
      </c>
      <c r="BO135" s="15" t="n">
        <f aca="false">INDEX(Ipotesi!$C$74:$G$74,1,F135)/12*Ipotesi!E126</f>
        <v>1000</v>
      </c>
      <c r="BP135" s="15" t="n">
        <f aca="false">INDEX(Ipotesi!$C$76:$G$76,1,F135)/12</f>
        <v>500</v>
      </c>
      <c r="BQ135" s="15" t="n">
        <f aca="false">INDEX(Ipotesi!$C$77:$G$77,1,F135)/12*Ipotesi!E126</f>
        <v>1250</v>
      </c>
      <c r="BR135" s="15" t="n">
        <f aca="false">INDEX(Ipotesi!$C$78:$G$78,1,F135)/12</f>
        <v>1000</v>
      </c>
      <c r="BS135" s="15" t="n">
        <f aca="false">SUM(M135:R135)*(Ipotesi!$C$85+Ipotesi!$C$86)/12</f>
        <v>1239.58333333333</v>
      </c>
      <c r="BT135" s="15" t="n">
        <f aca="false">BI135*Ipotesi!$C$87</f>
        <v>354.998245614035</v>
      </c>
      <c r="BU135" s="15" t="n">
        <f aca="false">INDEX(Ipotesi!$C$55:$G$55,1,F135)*K135/12</f>
        <v>500</v>
      </c>
      <c r="BV135" s="15" t="n">
        <f aca="false">INDEX(Ipotesi!$C$80:$G$80,1,F135)/12*Ipotesi!E126</f>
        <v>500</v>
      </c>
      <c r="BW135" s="15" t="n">
        <f aca="false">INDEX(Ipotesi!$C$82:$G$82,1,F135)/12</f>
        <v>416.666666666667</v>
      </c>
      <c r="BX135" s="15" t="n">
        <f aca="false">INDEX(Ipotesi!$C$83:$G$83,1,F135)/12</f>
        <v>500</v>
      </c>
      <c r="BY135" s="15" t="n">
        <f aca="false">SUM(S135:U135)*(Ipotesi!$C$85+Ipotesi!$C$86)/12</f>
        <v>437.5</v>
      </c>
      <c r="BZ135" s="15" t="n">
        <f aca="false">AM135*Ipotesi!$C$87</f>
        <v>486.315789473684</v>
      </c>
      <c r="CA135" s="15" t="n">
        <f aca="false">AB135+BJ135+BL135+BN135+BO135+AR135+BP135+BQ135+BR135+BS135+BT135</f>
        <v>27978.7260233918</v>
      </c>
      <c r="CB135" s="15" t="n">
        <f aca="false">AC135+BK135+BM135+BH135+BU135+BV135+AS135+BW135+BX135+BY135+BZ135</f>
        <v>12114.5175438596</v>
      </c>
      <c r="CC135" s="15" t="n">
        <f aca="false">BI135-CA135</f>
        <v>-16145.4511695906</v>
      </c>
      <c r="CD135" s="15" t="n">
        <f aca="false">AM135-CB135</f>
        <v>4096.00877192982</v>
      </c>
      <c r="CE135" s="15" t="n">
        <f aca="false">INDEX(Ipotesi!$C$79:$G$79,1,F135)/12</f>
        <v>1666.66666666667</v>
      </c>
      <c r="CF135" s="15" t="n">
        <f aca="false">INDEX(Ipotesi!$C$84:$G$84,1,F135)/12</f>
        <v>250</v>
      </c>
      <c r="CG135" s="15" t="n">
        <f aca="false">Y135*MAX(0,Parametri_v3!$C$12-IF(P135=0,0,MIN(1,BE135/(P135*Parametri_v3!$C$22))))+W135*Parametri_v3!$C$13+X135*Parametri_v3!$C$14</f>
        <v>6944.44444444445</v>
      </c>
      <c r="CH135" s="15" t="n">
        <f aca="false">AB135*Parametri_v3!$C$32</f>
        <v>895.833333333334</v>
      </c>
      <c r="CI135" s="15" t="n">
        <f aca="false">AC135*Parametri_v3!$C$32</f>
        <v>262.5</v>
      </c>
      <c r="CJ135" s="15" t="n">
        <f aca="false">CA135-AB135</f>
        <v>10062.0593567251</v>
      </c>
      <c r="CK135" s="15" t="n">
        <f aca="false">CB135-AC135-BH135</f>
        <v>5243.4649122807</v>
      </c>
      <c r="CL135" s="15" t="n">
        <f aca="false">BF135*Ipotesi!$C$73+INDEX(Ipotesi!$C$72:$G$72,1,F135)/12*Ipotesi!E126*Parametri_v3!$C$58+Z135*(1-Parametri_v3!$C$16)</f>
        <v>1890.27777777778</v>
      </c>
      <c r="CM135" s="16" t="n">
        <f aca="false">IF(BF135=0,0,1-CL135/BF135)</f>
        <v>-0.944285714285714</v>
      </c>
    </row>
    <row r="136" customFormat="false" ht="18" hidden="false" customHeight="true" outlineLevel="0" collapsed="false">
      <c r="A136" s="68" t="n">
        <f aca="false">3</f>
        <v>3</v>
      </c>
      <c r="B136" s="68" t="n">
        <f aca="false">12</f>
        <v>12</v>
      </c>
      <c r="C136" s="18" t="n">
        <f aca="false">EDATE(Parametri_v3!$C$5,12-1)</f>
        <v>46722</v>
      </c>
      <c r="D136" s="68" t="n">
        <f aca="false">YEAR(C136)</f>
        <v>2027</v>
      </c>
      <c r="E136" s="68" t="n">
        <f aca="false">MONTH(C136)</f>
        <v>12</v>
      </c>
      <c r="F136" s="68" t="n">
        <f aca="false">INT((12-1)/12)+1</f>
        <v>1</v>
      </c>
      <c r="G136" s="15" t="n">
        <f aca="false">Ipotesi!E7</f>
        <v>1.25</v>
      </c>
      <c r="H136" s="15" t="n">
        <f aca="false">Ipotesi!E9</f>
        <v>1</v>
      </c>
      <c r="I136" s="15" t="n">
        <f aca="false">Ipotesi!E10</f>
        <v>1</v>
      </c>
      <c r="J136" s="15" t="n">
        <f aca="false">Ipotesi!E11</f>
        <v>1</v>
      </c>
      <c r="K136" s="15" t="n">
        <f aca="false">Ipotesi!E12</f>
        <v>1</v>
      </c>
      <c r="L136" s="15" t="n">
        <f aca="false">Ipotesi!E13</f>
        <v>90</v>
      </c>
      <c r="M136" s="17" t="n">
        <f aca="false">INDEX(Ipotesi!$C$40:$G$40,1,F136)</f>
        <v>1</v>
      </c>
      <c r="N136" s="17" t="n">
        <f aca="false">INDEX(Ipotesi!$C$41:$G$41,1,F136)</f>
        <v>0.75</v>
      </c>
      <c r="O136" s="17" t="n">
        <f aca="false">INDEX(Ipotesi!$C$42:$G$42,1,F136)*Ipotesi!E125</f>
        <v>1</v>
      </c>
      <c r="P136" s="17" t="n">
        <f aca="false">INDEX(Ipotesi!$C$43:$G$43,1,F136)*I136</f>
        <v>1</v>
      </c>
      <c r="Q136" s="17" t="n">
        <f aca="false">INDEX(Ipotesi!$C$44:$G$44,1,F136)*I136</f>
        <v>0.5</v>
      </c>
      <c r="R136" s="17" t="n">
        <f aca="false">INDEX(Ipotesi!$C$45:$G$45,1,F136)*I136</f>
        <v>0</v>
      </c>
      <c r="S136" s="17" t="n">
        <f aca="false">INDEX(Ipotesi!$C$52:$G$52,1,F136)*Ipotesi!E125</f>
        <v>1.5</v>
      </c>
      <c r="T136" s="17" t="n">
        <f aca="false">INDEX(Ipotesi!$C$53:$G$53,1,F136)*I136</f>
        <v>0</v>
      </c>
      <c r="U136" s="17" t="n">
        <f aca="false">INDEX(Ipotesi!$C$54:$G$54,1,F136)*I136</f>
        <v>0</v>
      </c>
      <c r="V136" s="15" t="n">
        <f aca="false">M136*INDEX(Ipotesi!$C$58:$G$58,1,F136)*K136/12</f>
        <v>3333.33333333333</v>
      </c>
      <c r="W136" s="15" t="n">
        <f aca="false">N136*Ipotesi!$C$59*(1+Ipotesi!$C$66)^(F136-1)/12</f>
        <v>4375</v>
      </c>
      <c r="X136" s="15" t="n">
        <f aca="false">O136*Ipotesi!$C$60*(1+Ipotesi!$C$66)^(F136-1)/12</f>
        <v>4166.66666666667</v>
      </c>
      <c r="Y136" s="15" t="n">
        <f aca="false">P136*Ipotesi!$C$61*(1+Ipotesi!$C$66)^(F136-1)/12</f>
        <v>4166.66666666667</v>
      </c>
      <c r="Z136" s="15" t="n">
        <f aca="false">Q136*Ipotesi!$C$62*(1+Ipotesi!$C$66)^(F136-1)/12</f>
        <v>1875</v>
      </c>
      <c r="AA136" s="15" t="n">
        <f aca="false">R136*Ipotesi!$C$63*(1+Ipotesi!$C$66)^(F136-1)/12</f>
        <v>0</v>
      </c>
      <c r="AB136" s="15" t="n">
        <f aca="false">SUM(V136:AA136)</f>
        <v>17916.6666666667</v>
      </c>
      <c r="AC136" s="15" t="n">
        <f aca="false">(S136*Ipotesi!$C$64+T136*Ipotesi!$C$65+U136*Ipotesi!$C$63)*(1+Ipotesi!$C$66)^(F136-1)/12</f>
        <v>5250</v>
      </c>
      <c r="AD136" s="15" t="n">
        <f aca="false">INDEX(Ipotesi!$C$48:$G$48,1,F136)*G136/12</f>
        <v>20.8333333333333</v>
      </c>
      <c r="AE136" s="15" t="n">
        <f aca="false">INDEX(Ipotesi!$C$50:$G$50,1,F136)*G136/12</f>
        <v>2.60416666666667</v>
      </c>
      <c r="AF136" s="15" t="n">
        <f aca="false">(S136*Parametri_v3!$C$7*Parametri_v3!$C$8+Parametri_v3!$C$10)/12</f>
        <v>19.25</v>
      </c>
      <c r="AG136" s="15" t="n">
        <f aca="false">AD136+AE136*(1+Parametri_v3!$C$9)</f>
        <v>24.7395833333333</v>
      </c>
      <c r="AH136" s="16" t="n">
        <f aca="false">IF(AG136=0,1,MIN(1,AF136/AG136))</f>
        <v>0.778105263157895</v>
      </c>
      <c r="AI136" s="15" t="n">
        <f aca="false">AD136*AH136</f>
        <v>16.2105263157895</v>
      </c>
      <c r="AJ136" s="15" t="n">
        <f aca="false">AE136*AH136</f>
        <v>2.02631578947368</v>
      </c>
      <c r="AK136" s="15" t="n">
        <f aca="false">AI136*INDEX(Ipotesi!$C$49:$G$49,1,F136)*H136</f>
        <v>12157.8947368421</v>
      </c>
      <c r="AL136" s="15" t="n">
        <f aca="false">AJ136*INDEX(Ipotesi!$C$51:$G$51,1,F136)*H136</f>
        <v>4052.63157894737</v>
      </c>
      <c r="AM136" s="15" t="n">
        <f aca="false">AK136+AL136</f>
        <v>16210.5263157895</v>
      </c>
      <c r="AN136" s="15" t="n">
        <f aca="false">INDEX(Ipotesi!$C$30:$G$30,1,F136)*G136/12</f>
        <v>10.4166666666667</v>
      </c>
      <c r="AO136" s="15" t="n">
        <f aca="false">O136*Parametri_v3!$C$7*Parametri_v3!$C$11*(1-Parametri_v3!$C$14)/12</f>
        <v>10.2666666666667</v>
      </c>
      <c r="AP136" s="15" t="n">
        <f aca="false">MIN(AN136,AO136)</f>
        <v>10.2666666666667</v>
      </c>
      <c r="AQ136" s="15" t="n">
        <f aca="false">AP136*INDEX(Ipotesi!$C$31:$G$31,1,F136)*H136</f>
        <v>9240</v>
      </c>
      <c r="AR136" s="15" t="n">
        <f aca="false">INDEX(Ipotesi!$C$75:$G$75,1,F136)*J136/12</f>
        <v>2083.33333333333</v>
      </c>
      <c r="AS136" s="15" t="n">
        <f aca="false">INDEX(Ipotesi!$C$81:$G$81,1,F136)*J136/12</f>
        <v>416.666666666667</v>
      </c>
      <c r="AT136" s="15" t="n">
        <f aca="false">AR136*Parametri_v3!$C$15+Z136*Parametri_v3!$C$16</f>
        <v>3395.83333333333</v>
      </c>
      <c r="AU136" s="15" t="n">
        <f aca="false">Q136*Parametri_v3!$C$16*Parametri_v3!$C$17</f>
        <v>35</v>
      </c>
      <c r="AV136" s="17" t="n">
        <f aca="false">BD135</f>
        <v>6.22222222222222</v>
      </c>
      <c r="AW136" s="17" t="n">
        <f aca="false">AV136*(1-(1-INDEX(Ipotesi!$C$34:$G$34,1,F136))^(1/12))</f>
        <v>0</v>
      </c>
      <c r="AX136" s="15" t="n">
        <f aca="false">ROUND(INDEX(Ipotesi!$C$32:$G$32,1,F136)*Ipotesi!E8,0)</f>
        <v>7</v>
      </c>
      <c r="AY136" s="15" t="n">
        <f aca="false">MAX(0,(AX136-(AV136-AW136))/(13-E136))</f>
        <v>0.777777777777778</v>
      </c>
      <c r="AZ136" s="15" t="n">
        <f aca="false">MIN(P136*Parametri_v3!$C$22,Q136*(1-Parametri_v3!$C$16)*Parametri_v3!$C$23)</f>
        <v>22.5</v>
      </c>
      <c r="BA136" s="15" t="n">
        <f aca="false">IF(OR(INDEX(Ipotesi!$C$35:$G$35,1,F136)&lt;=0,12-Parametri_v3!$C$21&lt;1),0,INDEX($AT$125:$AT$184,MAX(1,12-Parametri_v3!$C$21))/(INDEX(Ipotesi!$C$35:$G$35,1,F136)*Ipotesi!E27))</f>
        <v>0.848958333333333</v>
      </c>
      <c r="BB136" s="15" t="n">
        <f aca="false">IF(12-Parametri_v3!$C$21&lt;1,0,INDEX($AU$125:$AU$184,MAX(1,12-Parametri_v3!$C$21)))*Parametri_v3!$C$18*Parametri_v3!$C$19*Parametri_v3!$C$20</f>
        <v>1.3125</v>
      </c>
      <c r="BC136" s="17" t="n">
        <f aca="false">MAX(0,MIN(AY136,BA136,BB136,MAX(0,AZ136-(AV136-AW136))))</f>
        <v>0.777777777777778</v>
      </c>
      <c r="BD136" s="17" t="n">
        <f aca="false">AV136-AW136+BC136</f>
        <v>7</v>
      </c>
      <c r="BE136" s="17" t="n">
        <f aca="false">(AV136+BD136)/2</f>
        <v>6.61111111111111</v>
      </c>
      <c r="BF136" s="15" t="n">
        <f aca="false">BE136*INDEX(Ipotesi!$C$33:$G$33,1,F136)*H136/12</f>
        <v>1101.85185185185</v>
      </c>
      <c r="BG136" s="15" t="n">
        <f aca="false">BD136*INDEX(Ipotesi!$C$33:$G$33,1,F136)*H136</f>
        <v>14000</v>
      </c>
      <c r="BH136" s="15" t="n">
        <f aca="false">AM136*INDEX(Ipotesi!$C$37:$G$37,1,F136)</f>
        <v>1621.05263157895</v>
      </c>
      <c r="BI136" s="15" t="n">
        <f aca="false">AQ136+BF136+BH136</f>
        <v>11962.9044834308</v>
      </c>
      <c r="BJ136" s="15" t="n">
        <f aca="false">INDEX(Ipotesi!$C$68:$G$68,1,F136)*Ipotesi!$C$69/12</f>
        <v>1000</v>
      </c>
      <c r="BK136" s="15" t="n">
        <f aca="false">INDEX(Ipotesi!$C$68:$G$68,1,F136)*(1-Ipotesi!$C$69)/12</f>
        <v>1500</v>
      </c>
      <c r="BL136" s="15" t="n">
        <f aca="false">(AQ136+BF136)*Ipotesi!$C$67</f>
        <v>310.255555555556</v>
      </c>
      <c r="BM136" s="15" t="n">
        <f aca="false">AM136*Ipotesi!$C$67</f>
        <v>486.315789473684</v>
      </c>
      <c r="BN136" s="15" t="n">
        <f aca="false">INDEX(Ipotesi!$C$72:$G$72,1,F136)/12*Ipotesi!E126+BF136*Ipotesi!$C$73</f>
        <v>1338.14814814815</v>
      </c>
      <c r="BO136" s="15" t="n">
        <f aca="false">INDEX(Ipotesi!$C$74:$G$74,1,F136)/12*Ipotesi!E126</f>
        <v>1000</v>
      </c>
      <c r="BP136" s="15" t="n">
        <f aca="false">INDEX(Ipotesi!$C$76:$G$76,1,F136)/12</f>
        <v>500</v>
      </c>
      <c r="BQ136" s="15" t="n">
        <f aca="false">INDEX(Ipotesi!$C$77:$G$77,1,F136)/12*Ipotesi!E126</f>
        <v>1250</v>
      </c>
      <c r="BR136" s="15" t="n">
        <f aca="false">INDEX(Ipotesi!$C$78:$G$78,1,F136)/12</f>
        <v>1000</v>
      </c>
      <c r="BS136" s="15" t="n">
        <f aca="false">SUM(M136:R136)*(Ipotesi!$C$85+Ipotesi!$C$86)/12</f>
        <v>1239.58333333333</v>
      </c>
      <c r="BT136" s="15" t="n">
        <f aca="false">BI136*Ipotesi!$C$87</f>
        <v>358.887134502924</v>
      </c>
      <c r="BU136" s="15" t="n">
        <f aca="false">INDEX(Ipotesi!$C$55:$G$55,1,F136)*K136/12</f>
        <v>500</v>
      </c>
      <c r="BV136" s="15" t="n">
        <f aca="false">INDEX(Ipotesi!$C$80:$G$80,1,F136)/12*Ipotesi!E126</f>
        <v>500</v>
      </c>
      <c r="BW136" s="15" t="n">
        <f aca="false">INDEX(Ipotesi!$C$82:$G$82,1,F136)/12</f>
        <v>416.666666666667</v>
      </c>
      <c r="BX136" s="15" t="n">
        <f aca="false">INDEX(Ipotesi!$C$83:$G$83,1,F136)/12</f>
        <v>500</v>
      </c>
      <c r="BY136" s="15" t="n">
        <f aca="false">SUM(S136:U136)*(Ipotesi!$C$85+Ipotesi!$C$86)/12</f>
        <v>437.5</v>
      </c>
      <c r="BZ136" s="15" t="n">
        <f aca="false">AM136*Ipotesi!$C$87</f>
        <v>486.315789473684</v>
      </c>
      <c r="CA136" s="15" t="n">
        <f aca="false">AB136+BJ136+BL136+BN136+BO136+AR136+BP136+BQ136+BR136+BS136+BT136</f>
        <v>27996.87417154</v>
      </c>
      <c r="CB136" s="15" t="n">
        <f aca="false">AC136+BK136+BM136+BH136+BU136+BV136+AS136+BW136+BX136+BY136+BZ136</f>
        <v>12114.5175438596</v>
      </c>
      <c r="CC136" s="15" t="n">
        <f aca="false">BI136-CA136</f>
        <v>-16033.9696881092</v>
      </c>
      <c r="CD136" s="15" t="n">
        <f aca="false">AM136-CB136</f>
        <v>4096.00877192982</v>
      </c>
      <c r="CE136" s="15" t="n">
        <f aca="false">INDEX(Ipotesi!$C$79:$G$79,1,F136)/12</f>
        <v>1666.66666666667</v>
      </c>
      <c r="CF136" s="15" t="n">
        <f aca="false">INDEX(Ipotesi!$C$84:$G$84,1,F136)/12</f>
        <v>250</v>
      </c>
      <c r="CG136" s="15" t="n">
        <f aca="false">Y136*MAX(0,Parametri_v3!$C$12-IF(P136=0,0,MIN(1,BE136/(P136*Parametri_v3!$C$22))))+W136*Parametri_v3!$C$13+X136*Parametri_v3!$C$14</f>
        <v>6912.03703703704</v>
      </c>
      <c r="CH136" s="15" t="n">
        <f aca="false">AB136*Parametri_v3!$C$32</f>
        <v>895.833333333334</v>
      </c>
      <c r="CI136" s="15" t="n">
        <f aca="false">AC136*Parametri_v3!$C$32</f>
        <v>262.5</v>
      </c>
      <c r="CJ136" s="15" t="n">
        <f aca="false">CA136-AB136</f>
        <v>10080.2075048733</v>
      </c>
      <c r="CK136" s="15" t="n">
        <f aca="false">CB136-AC136-BH136</f>
        <v>5243.4649122807</v>
      </c>
      <c r="CL136" s="15" t="n">
        <f aca="false">BF136*Ipotesi!$C$73+INDEX(Ipotesi!$C$72:$G$72,1,F136)/12*Ipotesi!E126*Parametri_v3!$C$58+Z136*(1-Parametri_v3!$C$16)</f>
        <v>1900.64814814815</v>
      </c>
      <c r="CM136" s="16" t="n">
        <f aca="false">IF(BF136=0,0,1-CL136/BF136)</f>
        <v>-0.724957983193278</v>
      </c>
    </row>
    <row r="137" customFormat="false" ht="18" hidden="false" customHeight="true" outlineLevel="0" collapsed="false">
      <c r="A137" s="68" t="n">
        <f aca="false">3</f>
        <v>3</v>
      </c>
      <c r="B137" s="68" t="n">
        <f aca="false">13</f>
        <v>13</v>
      </c>
      <c r="C137" s="18" t="n">
        <f aca="false">EDATE(Parametri_v3!$C$5,13-1)</f>
        <v>46753</v>
      </c>
      <c r="D137" s="68" t="n">
        <f aca="false">YEAR(C137)</f>
        <v>2028</v>
      </c>
      <c r="E137" s="68" t="n">
        <f aca="false">MONTH(C137)</f>
        <v>1</v>
      </c>
      <c r="F137" s="68" t="n">
        <f aca="false">INT((13-1)/12)+1</f>
        <v>2</v>
      </c>
      <c r="G137" s="15" t="n">
        <f aca="false">Ipotesi!E7</f>
        <v>1.25</v>
      </c>
      <c r="H137" s="15" t="n">
        <f aca="false">Ipotesi!E9</f>
        <v>1</v>
      </c>
      <c r="I137" s="15" t="n">
        <f aca="false">Ipotesi!E10</f>
        <v>1</v>
      </c>
      <c r="J137" s="15" t="n">
        <f aca="false">Ipotesi!E11</f>
        <v>1</v>
      </c>
      <c r="K137" s="15" t="n">
        <f aca="false">Ipotesi!E12</f>
        <v>1</v>
      </c>
      <c r="L137" s="15" t="n">
        <f aca="false">Ipotesi!E13</f>
        <v>90</v>
      </c>
      <c r="M137" s="17" t="n">
        <f aca="false">INDEX(Ipotesi!$C$40:$G$40,1,F137)</f>
        <v>1</v>
      </c>
      <c r="N137" s="17" t="n">
        <f aca="false">INDEX(Ipotesi!$C$41:$G$41,1,F137)</f>
        <v>1</v>
      </c>
      <c r="O137" s="17" t="n">
        <f aca="false">INDEX(Ipotesi!$C$42:$G$42,1,F137)*Ipotesi!E125</f>
        <v>2.5</v>
      </c>
      <c r="P137" s="17" t="n">
        <f aca="false">INDEX(Ipotesi!$C$43:$G$43,1,F137)*I137</f>
        <v>2.5</v>
      </c>
      <c r="Q137" s="17" t="n">
        <f aca="false">INDEX(Ipotesi!$C$44:$G$44,1,F137)*I137</f>
        <v>1.5</v>
      </c>
      <c r="R137" s="17" t="n">
        <f aca="false">INDEX(Ipotesi!$C$45:$G$45,1,F137)*I137</f>
        <v>0.5</v>
      </c>
      <c r="S137" s="17" t="n">
        <f aca="false">INDEX(Ipotesi!$C$52:$G$52,1,F137)*Ipotesi!E125</f>
        <v>3</v>
      </c>
      <c r="T137" s="17" t="n">
        <f aca="false">INDEX(Ipotesi!$C$53:$G$53,1,F137)*I137</f>
        <v>1</v>
      </c>
      <c r="U137" s="17" t="n">
        <f aca="false">INDEX(Ipotesi!$C$54:$G$54,1,F137)*I137</f>
        <v>0</v>
      </c>
      <c r="V137" s="15" t="n">
        <f aca="false">M137*INDEX(Ipotesi!$C$58:$G$58,1,F137)*K137/12</f>
        <v>5000</v>
      </c>
      <c r="W137" s="15" t="n">
        <f aca="false">N137*Ipotesi!$C$59*(1+Ipotesi!$C$66)^(F137-1)/12</f>
        <v>6008.33333333333</v>
      </c>
      <c r="X137" s="15" t="n">
        <f aca="false">O137*Ipotesi!$C$60*(1+Ipotesi!$C$66)^(F137-1)/12</f>
        <v>10729.1666666667</v>
      </c>
      <c r="Y137" s="15" t="n">
        <f aca="false">P137*Ipotesi!$C$61*(1+Ipotesi!$C$66)^(F137-1)/12</f>
        <v>10729.1666666667</v>
      </c>
      <c r="Z137" s="15" t="n">
        <f aca="false">Q137*Ipotesi!$C$62*(1+Ipotesi!$C$66)^(F137-1)/12</f>
        <v>5793.75</v>
      </c>
      <c r="AA137" s="15" t="n">
        <f aca="false">R137*Ipotesi!$C$63*(1+Ipotesi!$C$66)^(F137-1)/12</f>
        <v>1502.08333333333</v>
      </c>
      <c r="AB137" s="15" t="n">
        <f aca="false">SUM(V137:AA137)</f>
        <v>39762.5</v>
      </c>
      <c r="AC137" s="15" t="n">
        <f aca="false">(S137*Ipotesi!$C$64+T137*Ipotesi!$C$65+U137*Ipotesi!$C$63)*(1+Ipotesi!$C$66)^(F137-1)/12</f>
        <v>15965</v>
      </c>
      <c r="AD137" s="15" t="n">
        <f aca="false">INDEX(Ipotesi!$C$48:$G$48,1,F137)*G137/12</f>
        <v>46.875</v>
      </c>
      <c r="AE137" s="15" t="n">
        <f aca="false">INDEX(Ipotesi!$C$50:$G$50,1,F137)*G137/12</f>
        <v>5.72916666666667</v>
      </c>
      <c r="AF137" s="15" t="n">
        <f aca="false">(S137*Parametri_v3!$C$7*Parametri_v3!$C$8+Parametri_v3!$C$10)/12</f>
        <v>38.5</v>
      </c>
      <c r="AG137" s="15" t="n">
        <f aca="false">AD137+AE137*(1+Parametri_v3!$C$9)</f>
        <v>55.46875</v>
      </c>
      <c r="AH137" s="16" t="n">
        <f aca="false">IF(AG137=0,1,MIN(1,AF137/AG137))</f>
        <v>0.694084507042253</v>
      </c>
      <c r="AI137" s="15" t="n">
        <f aca="false">AD137*AH137</f>
        <v>32.5352112676056</v>
      </c>
      <c r="AJ137" s="15" t="n">
        <f aca="false">AE137*AH137</f>
        <v>3.97652582159624</v>
      </c>
      <c r="AK137" s="15" t="n">
        <f aca="false">AI137*INDEX(Ipotesi!$C$49:$G$49,1,F137)*H137</f>
        <v>26028.1690140845</v>
      </c>
      <c r="AL137" s="15" t="n">
        <f aca="false">AJ137*INDEX(Ipotesi!$C$51:$G$51,1,F137)*H137</f>
        <v>7953.05164319249</v>
      </c>
      <c r="AM137" s="15" t="n">
        <f aca="false">AK137+AL137</f>
        <v>33981.220657277</v>
      </c>
      <c r="AN137" s="15" t="n">
        <f aca="false">INDEX(Ipotesi!$C$30:$G$30,1,F137)*G137/12</f>
        <v>28.125</v>
      </c>
      <c r="AO137" s="15" t="n">
        <f aca="false">O137*Parametri_v3!$C$7*Parametri_v3!$C$11*(1-Parametri_v3!$C$14)/12</f>
        <v>25.6666666666667</v>
      </c>
      <c r="AP137" s="15" t="n">
        <f aca="false">MIN(AN137,AO137)</f>
        <v>25.6666666666667</v>
      </c>
      <c r="AQ137" s="15" t="n">
        <f aca="false">AP137*INDEX(Ipotesi!$C$31:$G$31,1,F137)*H137</f>
        <v>24383.3333333333</v>
      </c>
      <c r="AR137" s="15" t="n">
        <f aca="false">INDEX(Ipotesi!$C$75:$G$75,1,F137)*J137/12</f>
        <v>4583.33333333333</v>
      </c>
      <c r="AS137" s="15" t="n">
        <f aca="false">INDEX(Ipotesi!$C$81:$G$81,1,F137)*J137/12</f>
        <v>833.333333333333</v>
      </c>
      <c r="AT137" s="15" t="n">
        <f aca="false">AR137*Parametri_v3!$C$15+Z137*Parametri_v3!$C$16</f>
        <v>8638.95833333333</v>
      </c>
      <c r="AU137" s="15" t="n">
        <f aca="false">Q137*Parametri_v3!$C$16*Parametri_v3!$C$17</f>
        <v>105</v>
      </c>
      <c r="AV137" s="17" t="n">
        <f aca="false">BD136</f>
        <v>7</v>
      </c>
      <c r="AW137" s="17" t="n">
        <f aca="false">AV137*(1-(1-INDEX(Ipotesi!$C$34:$G$34,1,F137))^(1/12))</f>
        <v>0.0611912766828771</v>
      </c>
      <c r="AX137" s="15" t="n">
        <f aca="false">ROUND(INDEX(Ipotesi!$C$32:$G$32,1,F137)*Ipotesi!E8,0)</f>
        <v>49</v>
      </c>
      <c r="AY137" s="15" t="n">
        <f aca="false">MAX(0,(AX137-(AV137-AW137))/(13-E137))</f>
        <v>3.50509927305691</v>
      </c>
      <c r="AZ137" s="15" t="n">
        <f aca="false">MIN(P137*Parametri_v3!$C$22,Q137*(1-Parametri_v3!$C$16)*Parametri_v3!$C$23)</f>
        <v>67.5</v>
      </c>
      <c r="BA137" s="15" t="n">
        <f aca="false">IF(OR(INDEX(Ipotesi!$C$35:$G$35,1,F137)&lt;=0,13-Parametri_v3!$C$21&lt;1),0,INDEX($AT$125:$AT$184,MAX(1,13-Parametri_v3!$C$21))/(INDEX(Ipotesi!$C$35:$G$35,1,F137)*Ipotesi!E27))</f>
        <v>1.41493055555556</v>
      </c>
      <c r="BB137" s="15" t="n">
        <f aca="false">IF(13-Parametri_v3!$C$21&lt;1,0,INDEX($AU$125:$AU$184,MAX(1,13-Parametri_v3!$C$21)))*Parametri_v3!$C$18*Parametri_v3!$C$19*Parametri_v3!$C$20</f>
        <v>1.3125</v>
      </c>
      <c r="BC137" s="17" t="n">
        <f aca="false">MAX(0,MIN(AY137,BA137,BB137,MAX(0,AZ137-(AV137-AW137))))</f>
        <v>1.3125</v>
      </c>
      <c r="BD137" s="17" t="n">
        <f aca="false">AV137-AW137+BC137</f>
        <v>8.25130872331712</v>
      </c>
      <c r="BE137" s="17" t="n">
        <f aca="false">(AV137+BD137)/2</f>
        <v>7.62565436165856</v>
      </c>
      <c r="BF137" s="15" t="n">
        <f aca="false">BE137*INDEX(Ipotesi!$C$33:$G$33,1,F137)*H137/12</f>
        <v>2541.88478721952</v>
      </c>
      <c r="BG137" s="15" t="n">
        <f aca="false">BD137*INDEX(Ipotesi!$C$33:$G$33,1,F137)*H137</f>
        <v>33005.2348932685</v>
      </c>
      <c r="BH137" s="15" t="n">
        <f aca="false">AM137*INDEX(Ipotesi!$C$37:$G$37,1,F137)</f>
        <v>3398.1220657277</v>
      </c>
      <c r="BI137" s="15" t="n">
        <f aca="false">AQ137+BF137+BH137</f>
        <v>30323.3401862806</v>
      </c>
      <c r="BJ137" s="15" t="n">
        <f aca="false">INDEX(Ipotesi!$C$68:$G$68,1,F137)*Ipotesi!$C$69/12</f>
        <v>1600</v>
      </c>
      <c r="BK137" s="15" t="n">
        <f aca="false">INDEX(Ipotesi!$C$68:$G$68,1,F137)*(1-Ipotesi!$C$69)/12</f>
        <v>2400</v>
      </c>
      <c r="BL137" s="15" t="n">
        <f aca="false">(AQ137+BF137)*Ipotesi!$C$67</f>
        <v>807.756543616586</v>
      </c>
      <c r="BM137" s="15" t="n">
        <f aca="false">AM137*Ipotesi!$C$67</f>
        <v>1019.43661971831</v>
      </c>
      <c r="BN137" s="15" t="n">
        <f aca="false">INDEX(Ipotesi!$C$72:$G$72,1,F137)/12*Ipotesi!E126+BF137*Ipotesi!$C$73</f>
        <v>1453.35078297756</v>
      </c>
      <c r="BO137" s="15" t="n">
        <f aca="false">INDEX(Ipotesi!$C$74:$G$74,1,F137)/12*Ipotesi!E126</f>
        <v>1833.33333333333</v>
      </c>
      <c r="BP137" s="15" t="n">
        <f aca="false">INDEX(Ipotesi!$C$76:$G$76,1,F137)/12</f>
        <v>750</v>
      </c>
      <c r="BQ137" s="15" t="n">
        <f aca="false">INDEX(Ipotesi!$C$77:$G$77,1,F137)/12*Ipotesi!E126</f>
        <v>1666.66666666667</v>
      </c>
      <c r="BR137" s="15" t="n">
        <f aca="false">INDEX(Ipotesi!$C$78:$G$78,1,F137)/12</f>
        <v>1250</v>
      </c>
      <c r="BS137" s="15" t="n">
        <f aca="false">SUM(M137:R137)*(Ipotesi!$C$85+Ipotesi!$C$86)/12</f>
        <v>2625</v>
      </c>
      <c r="BT137" s="15" t="n">
        <f aca="false">BI137*Ipotesi!$C$87</f>
        <v>909.700205588417</v>
      </c>
      <c r="BU137" s="15" t="n">
        <f aca="false">INDEX(Ipotesi!$C$55:$G$55,1,F137)*K137/12</f>
        <v>1000</v>
      </c>
      <c r="BV137" s="15" t="n">
        <f aca="false">INDEX(Ipotesi!$C$80:$G$80,1,F137)/12*Ipotesi!E126</f>
        <v>833.333333333333</v>
      </c>
      <c r="BW137" s="15" t="n">
        <f aca="false">INDEX(Ipotesi!$C$82:$G$82,1,F137)/12</f>
        <v>666.666666666667</v>
      </c>
      <c r="BX137" s="15" t="n">
        <f aca="false">INDEX(Ipotesi!$C$83:$G$83,1,F137)/12</f>
        <v>583.333333333333</v>
      </c>
      <c r="BY137" s="15" t="n">
        <f aca="false">SUM(S137:U137)*(Ipotesi!$C$85+Ipotesi!$C$86)/12</f>
        <v>1166.66666666667</v>
      </c>
      <c r="BZ137" s="15" t="n">
        <f aca="false">AM137*Ipotesi!$C$87</f>
        <v>1019.43661971831</v>
      </c>
      <c r="CA137" s="15" t="n">
        <f aca="false">AB137+BJ137+BL137+BN137+BO137+AR137+BP137+BQ137+BR137+BS137+BT137</f>
        <v>57241.6408655159</v>
      </c>
      <c r="CB137" s="15" t="n">
        <f aca="false">AC137+BK137+BM137+BH137+BU137+BV137+AS137+BW137+BX137+BY137+BZ137</f>
        <v>28885.3286384977</v>
      </c>
      <c r="CC137" s="15" t="n">
        <f aca="false">BI137-CA137</f>
        <v>-26918.3006792353</v>
      </c>
      <c r="CD137" s="15" t="n">
        <f aca="false">AM137-CB137</f>
        <v>5095.89201877935</v>
      </c>
      <c r="CE137" s="15" t="n">
        <f aca="false">INDEX(Ipotesi!$C$79:$G$79,1,F137)/12</f>
        <v>2083.33333333333</v>
      </c>
      <c r="CF137" s="15" t="n">
        <f aca="false">INDEX(Ipotesi!$C$84:$G$84,1,F137)/12</f>
        <v>416.666666666667</v>
      </c>
      <c r="CG137" s="15" t="n">
        <f aca="false">Y137*MAX(0,Parametri_v3!$C$12-IF(P137=0,0,MIN(1,BE137/(P137*Parametri_v3!$C$22))))+W137*Parametri_v3!$C$13+X137*Parametri_v3!$C$14</f>
        <v>15551.8990003122</v>
      </c>
      <c r="CH137" s="15" t="n">
        <f aca="false">AB137*Parametri_v3!$C$32</f>
        <v>1988.125</v>
      </c>
      <c r="CI137" s="15" t="n">
        <f aca="false">AC137*Parametri_v3!$C$32</f>
        <v>798.25</v>
      </c>
      <c r="CJ137" s="15" t="n">
        <f aca="false">CA137-AB137</f>
        <v>17479.1408655159</v>
      </c>
      <c r="CK137" s="15" t="n">
        <f aca="false">CB137-AC137-BH137</f>
        <v>9522.20657276995</v>
      </c>
      <c r="CL137" s="15" t="n">
        <f aca="false">BF137*Ipotesi!$C$73+INDEX(Ipotesi!$C$72:$G$72,1,F137)/12*Ipotesi!E126*Parametri_v3!$C$58+Z137*(1-Parametri_v3!$C$16)</f>
        <v>3191.47578297756</v>
      </c>
      <c r="CM137" s="16" t="n">
        <f aca="false">IF(BF137=0,0,1-CL137/BF137)</f>
        <v>-0.255554854029638</v>
      </c>
    </row>
    <row r="138" customFormat="false" ht="18" hidden="false" customHeight="true" outlineLevel="0" collapsed="false">
      <c r="A138" s="68" t="n">
        <f aca="false">3</f>
        <v>3</v>
      </c>
      <c r="B138" s="68" t="n">
        <f aca="false">14</f>
        <v>14</v>
      </c>
      <c r="C138" s="18" t="n">
        <f aca="false">EDATE(Parametri_v3!$C$5,14-1)</f>
        <v>46784</v>
      </c>
      <c r="D138" s="68" t="n">
        <f aca="false">YEAR(C138)</f>
        <v>2028</v>
      </c>
      <c r="E138" s="68" t="n">
        <f aca="false">MONTH(C138)</f>
        <v>2</v>
      </c>
      <c r="F138" s="68" t="n">
        <f aca="false">INT((14-1)/12)+1</f>
        <v>2</v>
      </c>
      <c r="G138" s="15" t="n">
        <f aca="false">Ipotesi!E7</f>
        <v>1.25</v>
      </c>
      <c r="H138" s="15" t="n">
        <f aca="false">Ipotesi!E9</f>
        <v>1</v>
      </c>
      <c r="I138" s="15" t="n">
        <f aca="false">Ipotesi!E10</f>
        <v>1</v>
      </c>
      <c r="J138" s="15" t="n">
        <f aca="false">Ipotesi!E11</f>
        <v>1</v>
      </c>
      <c r="K138" s="15" t="n">
        <f aca="false">Ipotesi!E12</f>
        <v>1</v>
      </c>
      <c r="L138" s="15" t="n">
        <f aca="false">Ipotesi!E13</f>
        <v>90</v>
      </c>
      <c r="M138" s="17" t="n">
        <f aca="false">INDEX(Ipotesi!$C$40:$G$40,1,F138)</f>
        <v>1</v>
      </c>
      <c r="N138" s="17" t="n">
        <f aca="false">INDEX(Ipotesi!$C$41:$G$41,1,F138)</f>
        <v>1</v>
      </c>
      <c r="O138" s="17" t="n">
        <f aca="false">INDEX(Ipotesi!$C$42:$G$42,1,F138)*Ipotesi!E125</f>
        <v>2.5</v>
      </c>
      <c r="P138" s="17" t="n">
        <f aca="false">INDEX(Ipotesi!$C$43:$G$43,1,F138)*I138</f>
        <v>2.5</v>
      </c>
      <c r="Q138" s="17" t="n">
        <f aca="false">INDEX(Ipotesi!$C$44:$G$44,1,F138)*I138</f>
        <v>1.5</v>
      </c>
      <c r="R138" s="17" t="n">
        <f aca="false">INDEX(Ipotesi!$C$45:$G$45,1,F138)*I138</f>
        <v>0.5</v>
      </c>
      <c r="S138" s="17" t="n">
        <f aca="false">INDEX(Ipotesi!$C$52:$G$52,1,F138)*Ipotesi!E125</f>
        <v>3</v>
      </c>
      <c r="T138" s="17" t="n">
        <f aca="false">INDEX(Ipotesi!$C$53:$G$53,1,F138)*I138</f>
        <v>1</v>
      </c>
      <c r="U138" s="17" t="n">
        <f aca="false">INDEX(Ipotesi!$C$54:$G$54,1,F138)*I138</f>
        <v>0</v>
      </c>
      <c r="V138" s="15" t="n">
        <f aca="false">M138*INDEX(Ipotesi!$C$58:$G$58,1,F138)*K138/12</f>
        <v>5000</v>
      </c>
      <c r="W138" s="15" t="n">
        <f aca="false">N138*Ipotesi!$C$59*(1+Ipotesi!$C$66)^(F138-1)/12</f>
        <v>6008.33333333333</v>
      </c>
      <c r="X138" s="15" t="n">
        <f aca="false">O138*Ipotesi!$C$60*(1+Ipotesi!$C$66)^(F138-1)/12</f>
        <v>10729.1666666667</v>
      </c>
      <c r="Y138" s="15" t="n">
        <f aca="false">P138*Ipotesi!$C$61*(1+Ipotesi!$C$66)^(F138-1)/12</f>
        <v>10729.1666666667</v>
      </c>
      <c r="Z138" s="15" t="n">
        <f aca="false">Q138*Ipotesi!$C$62*(1+Ipotesi!$C$66)^(F138-1)/12</f>
        <v>5793.75</v>
      </c>
      <c r="AA138" s="15" t="n">
        <f aca="false">R138*Ipotesi!$C$63*(1+Ipotesi!$C$66)^(F138-1)/12</f>
        <v>1502.08333333333</v>
      </c>
      <c r="AB138" s="15" t="n">
        <f aca="false">SUM(V138:AA138)</f>
        <v>39762.5</v>
      </c>
      <c r="AC138" s="15" t="n">
        <f aca="false">(S138*Ipotesi!$C$64+T138*Ipotesi!$C$65+U138*Ipotesi!$C$63)*(1+Ipotesi!$C$66)^(F138-1)/12</f>
        <v>15965</v>
      </c>
      <c r="AD138" s="15" t="n">
        <f aca="false">INDEX(Ipotesi!$C$48:$G$48,1,F138)*G138/12</f>
        <v>46.875</v>
      </c>
      <c r="AE138" s="15" t="n">
        <f aca="false">INDEX(Ipotesi!$C$50:$G$50,1,F138)*G138/12</f>
        <v>5.72916666666667</v>
      </c>
      <c r="AF138" s="15" t="n">
        <f aca="false">(S138*Parametri_v3!$C$7*Parametri_v3!$C$8+Parametri_v3!$C$10)/12</f>
        <v>38.5</v>
      </c>
      <c r="AG138" s="15" t="n">
        <f aca="false">AD138+AE138*(1+Parametri_v3!$C$9)</f>
        <v>55.46875</v>
      </c>
      <c r="AH138" s="16" t="n">
        <f aca="false">IF(AG138=0,1,MIN(1,AF138/AG138))</f>
        <v>0.694084507042253</v>
      </c>
      <c r="AI138" s="15" t="n">
        <f aca="false">AD138*AH138</f>
        <v>32.5352112676056</v>
      </c>
      <c r="AJ138" s="15" t="n">
        <f aca="false">AE138*AH138</f>
        <v>3.97652582159624</v>
      </c>
      <c r="AK138" s="15" t="n">
        <f aca="false">AI138*INDEX(Ipotesi!$C$49:$G$49,1,F138)*H138</f>
        <v>26028.1690140845</v>
      </c>
      <c r="AL138" s="15" t="n">
        <f aca="false">AJ138*INDEX(Ipotesi!$C$51:$G$51,1,F138)*H138</f>
        <v>7953.05164319249</v>
      </c>
      <c r="AM138" s="15" t="n">
        <f aca="false">AK138+AL138</f>
        <v>33981.220657277</v>
      </c>
      <c r="AN138" s="15" t="n">
        <f aca="false">INDEX(Ipotesi!$C$30:$G$30,1,F138)*G138/12</f>
        <v>28.125</v>
      </c>
      <c r="AO138" s="15" t="n">
        <f aca="false">O138*Parametri_v3!$C$7*Parametri_v3!$C$11*(1-Parametri_v3!$C$14)/12</f>
        <v>25.6666666666667</v>
      </c>
      <c r="AP138" s="15" t="n">
        <f aca="false">MIN(AN138,AO138)</f>
        <v>25.6666666666667</v>
      </c>
      <c r="AQ138" s="15" t="n">
        <f aca="false">AP138*INDEX(Ipotesi!$C$31:$G$31,1,F138)*H138</f>
        <v>24383.3333333333</v>
      </c>
      <c r="AR138" s="15" t="n">
        <f aca="false">INDEX(Ipotesi!$C$75:$G$75,1,F138)*J138/12</f>
        <v>4583.33333333333</v>
      </c>
      <c r="AS138" s="15" t="n">
        <f aca="false">INDEX(Ipotesi!$C$81:$G$81,1,F138)*J138/12</f>
        <v>833.333333333333</v>
      </c>
      <c r="AT138" s="15" t="n">
        <f aca="false">AR138*Parametri_v3!$C$15+Z138*Parametri_v3!$C$16</f>
        <v>8638.95833333333</v>
      </c>
      <c r="AU138" s="15" t="n">
        <f aca="false">Q138*Parametri_v3!$C$16*Parametri_v3!$C$17</f>
        <v>105</v>
      </c>
      <c r="AV138" s="17" t="n">
        <f aca="false">BD137</f>
        <v>8.25130872331712</v>
      </c>
      <c r="AW138" s="17" t="n">
        <f aca="false">AV138*(1-(1-INDEX(Ipotesi!$C$34:$G$34,1,F138))^(1/12))</f>
        <v>0.0721297307263336</v>
      </c>
      <c r="AX138" s="15" t="n">
        <f aca="false">ROUND(INDEX(Ipotesi!$C$32:$G$32,1,F138)*Ipotesi!E8,0)</f>
        <v>49</v>
      </c>
      <c r="AY138" s="15" t="n">
        <f aca="false">MAX(0,(AX138-(AV138-AW138))/(13-E138))</f>
        <v>3.71098372794629</v>
      </c>
      <c r="AZ138" s="15" t="n">
        <f aca="false">MIN(P138*Parametri_v3!$C$22,Q138*(1-Parametri_v3!$C$16)*Parametri_v3!$C$23)</f>
        <v>67.5</v>
      </c>
      <c r="BA138" s="15" t="n">
        <f aca="false">IF(OR(INDEX(Ipotesi!$C$35:$G$35,1,F138)&lt;=0,14-Parametri_v3!$C$21&lt;1),0,INDEX($AT$125:$AT$184,MAX(1,14-Parametri_v3!$C$21))/(INDEX(Ipotesi!$C$35:$G$35,1,F138)*Ipotesi!E27))</f>
        <v>1.41493055555556</v>
      </c>
      <c r="BB138" s="15" t="n">
        <f aca="false">IF(14-Parametri_v3!$C$21&lt;1,0,INDEX($AU$125:$AU$184,MAX(1,14-Parametri_v3!$C$21)))*Parametri_v3!$C$18*Parametri_v3!$C$19*Parametri_v3!$C$20</f>
        <v>1.3125</v>
      </c>
      <c r="BC138" s="17" t="n">
        <f aca="false">MAX(0,MIN(AY138,BA138,BB138,MAX(0,AZ138-(AV138-AW138))))</f>
        <v>1.3125</v>
      </c>
      <c r="BD138" s="17" t="n">
        <f aca="false">AV138-AW138+BC138</f>
        <v>9.49167899259079</v>
      </c>
      <c r="BE138" s="17" t="n">
        <f aca="false">(AV138+BD138)/2</f>
        <v>8.87149385795396</v>
      </c>
      <c r="BF138" s="15" t="n">
        <f aca="false">BE138*INDEX(Ipotesi!$C$33:$G$33,1,F138)*H138/12</f>
        <v>2957.16461931799</v>
      </c>
      <c r="BG138" s="15" t="n">
        <f aca="false">BD138*INDEX(Ipotesi!$C$33:$G$33,1,F138)*H138</f>
        <v>37966.7159703632</v>
      </c>
      <c r="BH138" s="15" t="n">
        <f aca="false">AM138*INDEX(Ipotesi!$C$37:$G$37,1,F138)</f>
        <v>3398.1220657277</v>
      </c>
      <c r="BI138" s="15" t="n">
        <f aca="false">AQ138+BF138+BH138</f>
        <v>30738.620018379</v>
      </c>
      <c r="BJ138" s="15" t="n">
        <f aca="false">INDEX(Ipotesi!$C$68:$G$68,1,F138)*Ipotesi!$C$69/12</f>
        <v>1600</v>
      </c>
      <c r="BK138" s="15" t="n">
        <f aca="false">INDEX(Ipotesi!$C$68:$G$68,1,F138)*(1-Ipotesi!$C$69)/12</f>
        <v>2400</v>
      </c>
      <c r="BL138" s="15" t="n">
        <f aca="false">(AQ138+BF138)*Ipotesi!$C$67</f>
        <v>820.21493857954</v>
      </c>
      <c r="BM138" s="15" t="n">
        <f aca="false">AM138*Ipotesi!$C$67</f>
        <v>1019.43661971831</v>
      </c>
      <c r="BN138" s="15" t="n">
        <f aca="false">INDEX(Ipotesi!$C$72:$G$72,1,F138)/12*Ipotesi!E126+BF138*Ipotesi!$C$73</f>
        <v>1486.57316954544</v>
      </c>
      <c r="BO138" s="15" t="n">
        <f aca="false">INDEX(Ipotesi!$C$74:$G$74,1,F138)/12*Ipotesi!E126</f>
        <v>1833.33333333333</v>
      </c>
      <c r="BP138" s="15" t="n">
        <f aca="false">INDEX(Ipotesi!$C$76:$G$76,1,F138)/12</f>
        <v>750</v>
      </c>
      <c r="BQ138" s="15" t="n">
        <f aca="false">INDEX(Ipotesi!$C$77:$G$77,1,F138)/12*Ipotesi!E126</f>
        <v>1666.66666666667</v>
      </c>
      <c r="BR138" s="15" t="n">
        <f aca="false">INDEX(Ipotesi!$C$78:$G$78,1,F138)/12</f>
        <v>1250</v>
      </c>
      <c r="BS138" s="15" t="n">
        <f aca="false">SUM(M138:R138)*(Ipotesi!$C$85+Ipotesi!$C$86)/12</f>
        <v>2625</v>
      </c>
      <c r="BT138" s="15" t="n">
        <f aca="false">BI138*Ipotesi!$C$87</f>
        <v>922.158600551371</v>
      </c>
      <c r="BU138" s="15" t="n">
        <f aca="false">INDEX(Ipotesi!$C$55:$G$55,1,F138)*K138/12</f>
        <v>1000</v>
      </c>
      <c r="BV138" s="15" t="n">
        <f aca="false">INDEX(Ipotesi!$C$80:$G$80,1,F138)/12*Ipotesi!E126</f>
        <v>833.333333333333</v>
      </c>
      <c r="BW138" s="15" t="n">
        <f aca="false">INDEX(Ipotesi!$C$82:$G$82,1,F138)/12</f>
        <v>666.666666666667</v>
      </c>
      <c r="BX138" s="15" t="n">
        <f aca="false">INDEX(Ipotesi!$C$83:$G$83,1,F138)/12</f>
        <v>583.333333333333</v>
      </c>
      <c r="BY138" s="15" t="n">
        <f aca="false">SUM(S138:U138)*(Ipotesi!$C$85+Ipotesi!$C$86)/12</f>
        <v>1166.66666666667</v>
      </c>
      <c r="BZ138" s="15" t="n">
        <f aca="false">AM138*Ipotesi!$C$87</f>
        <v>1019.43661971831</v>
      </c>
      <c r="CA138" s="15" t="n">
        <f aca="false">AB138+BJ138+BL138+BN138+BO138+AR138+BP138+BQ138+BR138+BS138+BT138</f>
        <v>57299.7800420097</v>
      </c>
      <c r="CB138" s="15" t="n">
        <f aca="false">AC138+BK138+BM138+BH138+BU138+BV138+AS138+BW138+BX138+BY138+BZ138</f>
        <v>28885.3286384977</v>
      </c>
      <c r="CC138" s="15" t="n">
        <f aca="false">BI138-CA138</f>
        <v>-26561.1600236307</v>
      </c>
      <c r="CD138" s="15" t="n">
        <f aca="false">AM138-CB138</f>
        <v>5095.89201877935</v>
      </c>
      <c r="CE138" s="15" t="n">
        <f aca="false">INDEX(Ipotesi!$C$79:$G$79,1,F138)/12</f>
        <v>2083.33333333333</v>
      </c>
      <c r="CF138" s="15" t="n">
        <f aca="false">INDEX(Ipotesi!$C$84:$G$84,1,F138)/12</f>
        <v>416.666666666667</v>
      </c>
      <c r="CG138" s="15" t="n">
        <f aca="false">Y138*MAX(0,Parametri_v3!$C$12-IF(P138=0,0,MIN(1,BE138/(P138*Parametri_v3!$C$22))))+W138*Parametri_v3!$C$13+X138*Parametri_v3!$C$14</f>
        <v>15498.4317219295</v>
      </c>
      <c r="CH138" s="15" t="n">
        <f aca="false">AB138*Parametri_v3!$C$32</f>
        <v>1988.125</v>
      </c>
      <c r="CI138" s="15" t="n">
        <f aca="false">AC138*Parametri_v3!$C$32</f>
        <v>798.25</v>
      </c>
      <c r="CJ138" s="15" t="n">
        <f aca="false">CA138-AB138</f>
        <v>17537.2800420097</v>
      </c>
      <c r="CK138" s="15" t="n">
        <f aca="false">CB138-AC138-BH138</f>
        <v>9522.20657276995</v>
      </c>
      <c r="CL138" s="15" t="n">
        <f aca="false">BF138*Ipotesi!$C$73+INDEX(Ipotesi!$C$72:$G$72,1,F138)/12*Ipotesi!E126*Parametri_v3!$C$58+Z138*(1-Parametri_v3!$C$16)</f>
        <v>3224.69816954544</v>
      </c>
      <c r="CM138" s="16" t="n">
        <f aca="false">IF(BF138=0,0,1-CL138/BF138)</f>
        <v>-0.0904696169025432</v>
      </c>
    </row>
    <row r="139" customFormat="false" ht="18" hidden="false" customHeight="true" outlineLevel="0" collapsed="false">
      <c r="A139" s="68" t="n">
        <f aca="false">3</f>
        <v>3</v>
      </c>
      <c r="B139" s="68" t="n">
        <f aca="false">15</f>
        <v>15</v>
      </c>
      <c r="C139" s="18" t="n">
        <f aca="false">EDATE(Parametri_v3!$C$5,15-1)</f>
        <v>46813</v>
      </c>
      <c r="D139" s="68" t="n">
        <f aca="false">YEAR(C139)</f>
        <v>2028</v>
      </c>
      <c r="E139" s="68" t="n">
        <f aca="false">MONTH(C139)</f>
        <v>3</v>
      </c>
      <c r="F139" s="68" t="n">
        <f aca="false">INT((15-1)/12)+1</f>
        <v>2</v>
      </c>
      <c r="G139" s="15" t="n">
        <f aca="false">Ipotesi!E7</f>
        <v>1.25</v>
      </c>
      <c r="H139" s="15" t="n">
        <f aca="false">Ipotesi!E9</f>
        <v>1</v>
      </c>
      <c r="I139" s="15" t="n">
        <f aca="false">Ipotesi!E10</f>
        <v>1</v>
      </c>
      <c r="J139" s="15" t="n">
        <f aca="false">Ipotesi!E11</f>
        <v>1</v>
      </c>
      <c r="K139" s="15" t="n">
        <f aca="false">Ipotesi!E12</f>
        <v>1</v>
      </c>
      <c r="L139" s="15" t="n">
        <f aca="false">Ipotesi!E13</f>
        <v>90</v>
      </c>
      <c r="M139" s="17" t="n">
        <f aca="false">INDEX(Ipotesi!$C$40:$G$40,1,F139)</f>
        <v>1</v>
      </c>
      <c r="N139" s="17" t="n">
        <f aca="false">INDEX(Ipotesi!$C$41:$G$41,1,F139)</f>
        <v>1</v>
      </c>
      <c r="O139" s="17" t="n">
        <f aca="false">INDEX(Ipotesi!$C$42:$G$42,1,F139)*Ipotesi!E125</f>
        <v>2.5</v>
      </c>
      <c r="P139" s="17" t="n">
        <f aca="false">INDEX(Ipotesi!$C$43:$G$43,1,F139)*I139</f>
        <v>2.5</v>
      </c>
      <c r="Q139" s="17" t="n">
        <f aca="false">INDEX(Ipotesi!$C$44:$G$44,1,F139)*I139</f>
        <v>1.5</v>
      </c>
      <c r="R139" s="17" t="n">
        <f aca="false">INDEX(Ipotesi!$C$45:$G$45,1,F139)*I139</f>
        <v>0.5</v>
      </c>
      <c r="S139" s="17" t="n">
        <f aca="false">INDEX(Ipotesi!$C$52:$G$52,1,F139)*Ipotesi!E125</f>
        <v>3</v>
      </c>
      <c r="T139" s="17" t="n">
        <f aca="false">INDEX(Ipotesi!$C$53:$G$53,1,F139)*I139</f>
        <v>1</v>
      </c>
      <c r="U139" s="17" t="n">
        <f aca="false">INDEX(Ipotesi!$C$54:$G$54,1,F139)*I139</f>
        <v>0</v>
      </c>
      <c r="V139" s="15" t="n">
        <f aca="false">M139*INDEX(Ipotesi!$C$58:$G$58,1,F139)*K139/12</f>
        <v>5000</v>
      </c>
      <c r="W139" s="15" t="n">
        <f aca="false">N139*Ipotesi!$C$59*(1+Ipotesi!$C$66)^(F139-1)/12</f>
        <v>6008.33333333333</v>
      </c>
      <c r="X139" s="15" t="n">
        <f aca="false">O139*Ipotesi!$C$60*(1+Ipotesi!$C$66)^(F139-1)/12</f>
        <v>10729.1666666667</v>
      </c>
      <c r="Y139" s="15" t="n">
        <f aca="false">P139*Ipotesi!$C$61*(1+Ipotesi!$C$66)^(F139-1)/12</f>
        <v>10729.1666666667</v>
      </c>
      <c r="Z139" s="15" t="n">
        <f aca="false">Q139*Ipotesi!$C$62*(1+Ipotesi!$C$66)^(F139-1)/12</f>
        <v>5793.75</v>
      </c>
      <c r="AA139" s="15" t="n">
        <f aca="false">R139*Ipotesi!$C$63*(1+Ipotesi!$C$66)^(F139-1)/12</f>
        <v>1502.08333333333</v>
      </c>
      <c r="AB139" s="15" t="n">
        <f aca="false">SUM(V139:AA139)</f>
        <v>39762.5</v>
      </c>
      <c r="AC139" s="15" t="n">
        <f aca="false">(S139*Ipotesi!$C$64+T139*Ipotesi!$C$65+U139*Ipotesi!$C$63)*(1+Ipotesi!$C$66)^(F139-1)/12</f>
        <v>15965</v>
      </c>
      <c r="AD139" s="15" t="n">
        <f aca="false">INDEX(Ipotesi!$C$48:$G$48,1,F139)*G139/12</f>
        <v>46.875</v>
      </c>
      <c r="AE139" s="15" t="n">
        <f aca="false">INDEX(Ipotesi!$C$50:$G$50,1,F139)*G139/12</f>
        <v>5.72916666666667</v>
      </c>
      <c r="AF139" s="15" t="n">
        <f aca="false">(S139*Parametri_v3!$C$7*Parametri_v3!$C$8+Parametri_v3!$C$10)/12</f>
        <v>38.5</v>
      </c>
      <c r="AG139" s="15" t="n">
        <f aca="false">AD139+AE139*(1+Parametri_v3!$C$9)</f>
        <v>55.46875</v>
      </c>
      <c r="AH139" s="16" t="n">
        <f aca="false">IF(AG139=0,1,MIN(1,AF139/AG139))</f>
        <v>0.694084507042253</v>
      </c>
      <c r="AI139" s="15" t="n">
        <f aca="false">AD139*AH139</f>
        <v>32.5352112676056</v>
      </c>
      <c r="AJ139" s="15" t="n">
        <f aca="false">AE139*AH139</f>
        <v>3.97652582159624</v>
      </c>
      <c r="AK139" s="15" t="n">
        <f aca="false">AI139*INDEX(Ipotesi!$C$49:$G$49,1,F139)*H139</f>
        <v>26028.1690140845</v>
      </c>
      <c r="AL139" s="15" t="n">
        <f aca="false">AJ139*INDEX(Ipotesi!$C$51:$G$51,1,F139)*H139</f>
        <v>7953.05164319249</v>
      </c>
      <c r="AM139" s="15" t="n">
        <f aca="false">AK139+AL139</f>
        <v>33981.220657277</v>
      </c>
      <c r="AN139" s="15" t="n">
        <f aca="false">INDEX(Ipotesi!$C$30:$G$30,1,F139)*G139/12</f>
        <v>28.125</v>
      </c>
      <c r="AO139" s="15" t="n">
        <f aca="false">O139*Parametri_v3!$C$7*Parametri_v3!$C$11*(1-Parametri_v3!$C$14)/12</f>
        <v>25.6666666666667</v>
      </c>
      <c r="AP139" s="15" t="n">
        <f aca="false">MIN(AN139,AO139)</f>
        <v>25.6666666666667</v>
      </c>
      <c r="AQ139" s="15" t="n">
        <f aca="false">AP139*INDEX(Ipotesi!$C$31:$G$31,1,F139)*H139</f>
        <v>24383.3333333333</v>
      </c>
      <c r="AR139" s="15" t="n">
        <f aca="false">INDEX(Ipotesi!$C$75:$G$75,1,F139)*J139/12</f>
        <v>4583.33333333333</v>
      </c>
      <c r="AS139" s="15" t="n">
        <f aca="false">INDEX(Ipotesi!$C$81:$G$81,1,F139)*J139/12</f>
        <v>833.333333333333</v>
      </c>
      <c r="AT139" s="15" t="n">
        <f aca="false">AR139*Parametri_v3!$C$15+Z139*Parametri_v3!$C$16</f>
        <v>8638.95833333333</v>
      </c>
      <c r="AU139" s="15" t="n">
        <f aca="false">Q139*Parametri_v3!$C$16*Parametri_v3!$C$17</f>
        <v>105</v>
      </c>
      <c r="AV139" s="17" t="n">
        <f aca="false">BD138</f>
        <v>9.49167899259079</v>
      </c>
      <c r="AW139" s="17" t="n">
        <f aca="false">AV139*(1-(1-INDEX(Ipotesi!$C$34:$G$34,1,F139))^(1/12))</f>
        <v>0.0829725650600964</v>
      </c>
      <c r="AX139" s="15" t="n">
        <f aca="false">ROUND(INDEX(Ipotesi!$C$32:$G$32,1,F139)*Ipotesi!E8,0)</f>
        <v>49</v>
      </c>
      <c r="AY139" s="15" t="n">
        <f aca="false">MAX(0,(AX139-(AV139-AW139))/(13-E139))</f>
        <v>3.95912935724693</v>
      </c>
      <c r="AZ139" s="15" t="n">
        <f aca="false">MIN(P139*Parametri_v3!$C$22,Q139*(1-Parametri_v3!$C$16)*Parametri_v3!$C$23)</f>
        <v>67.5</v>
      </c>
      <c r="BA139" s="15" t="n">
        <f aca="false">IF(OR(INDEX(Ipotesi!$C$35:$G$35,1,F139)&lt;=0,15-Parametri_v3!$C$21&lt;1),0,INDEX($AT$125:$AT$184,MAX(1,15-Parametri_v3!$C$21))/(INDEX(Ipotesi!$C$35:$G$35,1,F139)*Ipotesi!E27))</f>
        <v>1.41493055555556</v>
      </c>
      <c r="BB139" s="15" t="n">
        <f aca="false">IF(15-Parametri_v3!$C$21&lt;1,0,INDEX($AU$125:$AU$184,MAX(1,15-Parametri_v3!$C$21)))*Parametri_v3!$C$18*Parametri_v3!$C$19*Parametri_v3!$C$20</f>
        <v>1.3125</v>
      </c>
      <c r="BC139" s="17" t="n">
        <f aca="false">MAX(0,MIN(AY139,BA139,BB139,MAX(0,AZ139-(AV139-AW139))))</f>
        <v>1.3125</v>
      </c>
      <c r="BD139" s="17" t="n">
        <f aca="false">AV139-AW139+BC139</f>
        <v>10.7212064275307</v>
      </c>
      <c r="BE139" s="17" t="n">
        <f aca="false">(AV139+BD139)/2</f>
        <v>10.1064427100607</v>
      </c>
      <c r="BF139" s="15" t="n">
        <f aca="false">BE139*INDEX(Ipotesi!$C$33:$G$33,1,F139)*H139/12</f>
        <v>3368.81423668691</v>
      </c>
      <c r="BG139" s="15" t="n">
        <f aca="false">BD139*INDEX(Ipotesi!$C$33:$G$33,1,F139)*H139</f>
        <v>42884.8257101228</v>
      </c>
      <c r="BH139" s="15" t="n">
        <f aca="false">AM139*INDEX(Ipotesi!$C$37:$G$37,1,F139)</f>
        <v>3398.1220657277</v>
      </c>
      <c r="BI139" s="15" t="n">
        <f aca="false">AQ139+BF139+BH139</f>
        <v>31150.269635748</v>
      </c>
      <c r="BJ139" s="15" t="n">
        <f aca="false">INDEX(Ipotesi!$C$68:$G$68,1,F139)*Ipotesi!$C$69/12</f>
        <v>1600</v>
      </c>
      <c r="BK139" s="15" t="n">
        <f aca="false">INDEX(Ipotesi!$C$68:$G$68,1,F139)*(1-Ipotesi!$C$69)/12</f>
        <v>2400</v>
      </c>
      <c r="BL139" s="15" t="n">
        <f aca="false">(AQ139+BF139)*Ipotesi!$C$67</f>
        <v>832.564427100607</v>
      </c>
      <c r="BM139" s="15" t="n">
        <f aca="false">AM139*Ipotesi!$C$67</f>
        <v>1019.43661971831</v>
      </c>
      <c r="BN139" s="15" t="n">
        <f aca="false">INDEX(Ipotesi!$C$72:$G$72,1,F139)/12*Ipotesi!E126+BF139*Ipotesi!$C$73</f>
        <v>1519.50513893495</v>
      </c>
      <c r="BO139" s="15" t="n">
        <f aca="false">INDEX(Ipotesi!$C$74:$G$74,1,F139)/12*Ipotesi!E126</f>
        <v>1833.33333333333</v>
      </c>
      <c r="BP139" s="15" t="n">
        <f aca="false">INDEX(Ipotesi!$C$76:$G$76,1,F139)/12</f>
        <v>750</v>
      </c>
      <c r="BQ139" s="15" t="n">
        <f aca="false">INDEX(Ipotesi!$C$77:$G$77,1,F139)/12*Ipotesi!E126</f>
        <v>1666.66666666667</v>
      </c>
      <c r="BR139" s="15" t="n">
        <f aca="false">INDEX(Ipotesi!$C$78:$G$78,1,F139)/12</f>
        <v>1250</v>
      </c>
      <c r="BS139" s="15" t="n">
        <f aca="false">SUM(M139:R139)*(Ipotesi!$C$85+Ipotesi!$C$86)/12</f>
        <v>2625</v>
      </c>
      <c r="BT139" s="15" t="n">
        <f aca="false">BI139*Ipotesi!$C$87</f>
        <v>934.508089072439</v>
      </c>
      <c r="BU139" s="15" t="n">
        <f aca="false">INDEX(Ipotesi!$C$55:$G$55,1,F139)*K139/12</f>
        <v>1000</v>
      </c>
      <c r="BV139" s="15" t="n">
        <f aca="false">INDEX(Ipotesi!$C$80:$G$80,1,F139)/12*Ipotesi!E126</f>
        <v>833.333333333333</v>
      </c>
      <c r="BW139" s="15" t="n">
        <f aca="false">INDEX(Ipotesi!$C$82:$G$82,1,F139)/12</f>
        <v>666.666666666667</v>
      </c>
      <c r="BX139" s="15" t="n">
        <f aca="false">INDEX(Ipotesi!$C$83:$G$83,1,F139)/12</f>
        <v>583.333333333333</v>
      </c>
      <c r="BY139" s="15" t="n">
        <f aca="false">SUM(S139:U139)*(Ipotesi!$C$85+Ipotesi!$C$86)/12</f>
        <v>1166.66666666667</v>
      </c>
      <c r="BZ139" s="15" t="n">
        <f aca="false">AM139*Ipotesi!$C$87</f>
        <v>1019.43661971831</v>
      </c>
      <c r="CA139" s="15" t="n">
        <f aca="false">AB139+BJ139+BL139+BN139+BO139+AR139+BP139+BQ139+BR139+BS139+BT139</f>
        <v>57357.4109884413</v>
      </c>
      <c r="CB139" s="15" t="n">
        <f aca="false">AC139+BK139+BM139+BH139+BU139+BV139+AS139+BW139+BX139+BY139+BZ139</f>
        <v>28885.3286384977</v>
      </c>
      <c r="CC139" s="15" t="n">
        <f aca="false">BI139-CA139</f>
        <v>-26207.1413526934</v>
      </c>
      <c r="CD139" s="15" t="n">
        <f aca="false">AM139-CB139</f>
        <v>5095.89201877935</v>
      </c>
      <c r="CE139" s="15" t="n">
        <f aca="false">INDEX(Ipotesi!$C$79:$G$79,1,F139)/12</f>
        <v>2083.33333333333</v>
      </c>
      <c r="CF139" s="15" t="n">
        <f aca="false">INDEX(Ipotesi!$C$84:$G$84,1,F139)/12</f>
        <v>416.666666666667</v>
      </c>
      <c r="CG139" s="15" t="n">
        <f aca="false">Y139*MAX(0,Parametri_v3!$C$12-IF(P139=0,0,MIN(1,BE139/(P139*Parametri_v3!$C$22))))+W139*Parametri_v3!$C$13+X139*Parametri_v3!$C$14</f>
        <v>15445.4318336932</v>
      </c>
      <c r="CH139" s="15" t="n">
        <f aca="false">AB139*Parametri_v3!$C$32</f>
        <v>1988.125</v>
      </c>
      <c r="CI139" s="15" t="n">
        <f aca="false">AC139*Parametri_v3!$C$32</f>
        <v>798.25</v>
      </c>
      <c r="CJ139" s="15" t="n">
        <f aca="false">CA139-AB139</f>
        <v>17594.9109884413</v>
      </c>
      <c r="CK139" s="15" t="n">
        <f aca="false">CB139-AC139-BH139</f>
        <v>9522.20657276995</v>
      </c>
      <c r="CL139" s="15" t="n">
        <f aca="false">BF139*Ipotesi!$C$73+INDEX(Ipotesi!$C$72:$G$72,1,F139)/12*Ipotesi!E126*Parametri_v3!$C$58+Z139*(1-Parametri_v3!$C$16)</f>
        <v>3257.63013893495</v>
      </c>
      <c r="CM139" s="16" t="n">
        <f aca="false">IF(BF139=0,0,1-CL139/BF139)</f>
        <v>0.0330039265867343</v>
      </c>
    </row>
    <row r="140" customFormat="false" ht="18" hidden="false" customHeight="true" outlineLevel="0" collapsed="false">
      <c r="A140" s="68" t="n">
        <f aca="false">3</f>
        <v>3</v>
      </c>
      <c r="B140" s="68" t="n">
        <f aca="false">16</f>
        <v>16</v>
      </c>
      <c r="C140" s="18" t="n">
        <f aca="false">EDATE(Parametri_v3!$C$5,16-1)</f>
        <v>46844</v>
      </c>
      <c r="D140" s="68" t="n">
        <f aca="false">YEAR(C140)</f>
        <v>2028</v>
      </c>
      <c r="E140" s="68" t="n">
        <f aca="false">MONTH(C140)</f>
        <v>4</v>
      </c>
      <c r="F140" s="68" t="n">
        <f aca="false">INT((16-1)/12)+1</f>
        <v>2</v>
      </c>
      <c r="G140" s="15" t="n">
        <f aca="false">Ipotesi!E7</f>
        <v>1.25</v>
      </c>
      <c r="H140" s="15" t="n">
        <f aca="false">Ipotesi!E9</f>
        <v>1</v>
      </c>
      <c r="I140" s="15" t="n">
        <f aca="false">Ipotesi!E10</f>
        <v>1</v>
      </c>
      <c r="J140" s="15" t="n">
        <f aca="false">Ipotesi!E11</f>
        <v>1</v>
      </c>
      <c r="K140" s="15" t="n">
        <f aca="false">Ipotesi!E12</f>
        <v>1</v>
      </c>
      <c r="L140" s="15" t="n">
        <f aca="false">Ipotesi!E13</f>
        <v>90</v>
      </c>
      <c r="M140" s="17" t="n">
        <f aca="false">INDEX(Ipotesi!$C$40:$G$40,1,F140)</f>
        <v>1</v>
      </c>
      <c r="N140" s="17" t="n">
        <f aca="false">INDEX(Ipotesi!$C$41:$G$41,1,F140)</f>
        <v>1</v>
      </c>
      <c r="O140" s="17" t="n">
        <f aca="false">INDEX(Ipotesi!$C$42:$G$42,1,F140)*Ipotesi!E125</f>
        <v>2.5</v>
      </c>
      <c r="P140" s="17" t="n">
        <f aca="false">INDEX(Ipotesi!$C$43:$G$43,1,F140)*I140</f>
        <v>2.5</v>
      </c>
      <c r="Q140" s="17" t="n">
        <f aca="false">INDEX(Ipotesi!$C$44:$G$44,1,F140)*I140</f>
        <v>1.5</v>
      </c>
      <c r="R140" s="17" t="n">
        <f aca="false">INDEX(Ipotesi!$C$45:$G$45,1,F140)*I140</f>
        <v>0.5</v>
      </c>
      <c r="S140" s="17" t="n">
        <f aca="false">INDEX(Ipotesi!$C$52:$G$52,1,F140)*Ipotesi!E125</f>
        <v>3</v>
      </c>
      <c r="T140" s="17" t="n">
        <f aca="false">INDEX(Ipotesi!$C$53:$G$53,1,F140)*I140</f>
        <v>1</v>
      </c>
      <c r="U140" s="17" t="n">
        <f aca="false">INDEX(Ipotesi!$C$54:$G$54,1,F140)*I140</f>
        <v>0</v>
      </c>
      <c r="V140" s="15" t="n">
        <f aca="false">M140*INDEX(Ipotesi!$C$58:$G$58,1,F140)*K140/12</f>
        <v>5000</v>
      </c>
      <c r="W140" s="15" t="n">
        <f aca="false">N140*Ipotesi!$C$59*(1+Ipotesi!$C$66)^(F140-1)/12</f>
        <v>6008.33333333333</v>
      </c>
      <c r="X140" s="15" t="n">
        <f aca="false">O140*Ipotesi!$C$60*(1+Ipotesi!$C$66)^(F140-1)/12</f>
        <v>10729.1666666667</v>
      </c>
      <c r="Y140" s="15" t="n">
        <f aca="false">P140*Ipotesi!$C$61*(1+Ipotesi!$C$66)^(F140-1)/12</f>
        <v>10729.1666666667</v>
      </c>
      <c r="Z140" s="15" t="n">
        <f aca="false">Q140*Ipotesi!$C$62*(1+Ipotesi!$C$66)^(F140-1)/12</f>
        <v>5793.75</v>
      </c>
      <c r="AA140" s="15" t="n">
        <f aca="false">R140*Ipotesi!$C$63*(1+Ipotesi!$C$66)^(F140-1)/12</f>
        <v>1502.08333333333</v>
      </c>
      <c r="AB140" s="15" t="n">
        <f aca="false">SUM(V140:AA140)</f>
        <v>39762.5</v>
      </c>
      <c r="AC140" s="15" t="n">
        <f aca="false">(S140*Ipotesi!$C$64+T140*Ipotesi!$C$65+U140*Ipotesi!$C$63)*(1+Ipotesi!$C$66)^(F140-1)/12</f>
        <v>15965</v>
      </c>
      <c r="AD140" s="15" t="n">
        <f aca="false">INDEX(Ipotesi!$C$48:$G$48,1,F140)*G140/12</f>
        <v>46.875</v>
      </c>
      <c r="AE140" s="15" t="n">
        <f aca="false">INDEX(Ipotesi!$C$50:$G$50,1,F140)*G140/12</f>
        <v>5.72916666666667</v>
      </c>
      <c r="AF140" s="15" t="n">
        <f aca="false">(S140*Parametri_v3!$C$7*Parametri_v3!$C$8+Parametri_v3!$C$10)/12</f>
        <v>38.5</v>
      </c>
      <c r="AG140" s="15" t="n">
        <f aca="false">AD140+AE140*(1+Parametri_v3!$C$9)</f>
        <v>55.46875</v>
      </c>
      <c r="AH140" s="16" t="n">
        <f aca="false">IF(AG140=0,1,MIN(1,AF140/AG140))</f>
        <v>0.694084507042253</v>
      </c>
      <c r="AI140" s="15" t="n">
        <f aca="false">AD140*AH140</f>
        <v>32.5352112676056</v>
      </c>
      <c r="AJ140" s="15" t="n">
        <f aca="false">AE140*AH140</f>
        <v>3.97652582159624</v>
      </c>
      <c r="AK140" s="15" t="n">
        <f aca="false">AI140*INDEX(Ipotesi!$C$49:$G$49,1,F140)*H140</f>
        <v>26028.1690140845</v>
      </c>
      <c r="AL140" s="15" t="n">
        <f aca="false">AJ140*INDEX(Ipotesi!$C$51:$G$51,1,F140)*H140</f>
        <v>7953.05164319249</v>
      </c>
      <c r="AM140" s="15" t="n">
        <f aca="false">AK140+AL140</f>
        <v>33981.220657277</v>
      </c>
      <c r="AN140" s="15" t="n">
        <f aca="false">INDEX(Ipotesi!$C$30:$G$30,1,F140)*G140/12</f>
        <v>28.125</v>
      </c>
      <c r="AO140" s="15" t="n">
        <f aca="false">O140*Parametri_v3!$C$7*Parametri_v3!$C$11*(1-Parametri_v3!$C$14)/12</f>
        <v>25.6666666666667</v>
      </c>
      <c r="AP140" s="15" t="n">
        <f aca="false">MIN(AN140,AO140)</f>
        <v>25.6666666666667</v>
      </c>
      <c r="AQ140" s="15" t="n">
        <f aca="false">AP140*INDEX(Ipotesi!$C$31:$G$31,1,F140)*H140</f>
        <v>24383.3333333333</v>
      </c>
      <c r="AR140" s="15" t="n">
        <f aca="false">INDEX(Ipotesi!$C$75:$G$75,1,F140)*J140/12</f>
        <v>4583.33333333333</v>
      </c>
      <c r="AS140" s="15" t="n">
        <f aca="false">INDEX(Ipotesi!$C$81:$G$81,1,F140)*J140/12</f>
        <v>833.333333333333</v>
      </c>
      <c r="AT140" s="15" t="n">
        <f aca="false">AR140*Parametri_v3!$C$15+Z140*Parametri_v3!$C$16</f>
        <v>8638.95833333333</v>
      </c>
      <c r="AU140" s="15" t="n">
        <f aca="false">Q140*Parametri_v3!$C$16*Parametri_v3!$C$17</f>
        <v>105</v>
      </c>
      <c r="AV140" s="17" t="n">
        <f aca="false">BD139</f>
        <v>10.7212064275307</v>
      </c>
      <c r="AW140" s="17" t="n">
        <f aca="false">AV140*(1-(1-INDEX(Ipotesi!$C$34:$G$34,1,F140))^(1/12))</f>
        <v>0.0937206155544672</v>
      </c>
      <c r="AX140" s="15" t="n">
        <f aca="false">ROUND(INDEX(Ipotesi!$C$32:$G$32,1,F140)*Ipotesi!E8,0)</f>
        <v>49</v>
      </c>
      <c r="AY140" s="15" t="n">
        <f aca="false">MAX(0,(AX140-(AV140-AW140))/(13-E140))</f>
        <v>4.2636126875582</v>
      </c>
      <c r="AZ140" s="15" t="n">
        <f aca="false">MIN(P140*Parametri_v3!$C$22,Q140*(1-Parametri_v3!$C$16)*Parametri_v3!$C$23)</f>
        <v>67.5</v>
      </c>
      <c r="BA140" s="15" t="n">
        <f aca="false">IF(OR(INDEX(Ipotesi!$C$35:$G$35,1,F140)&lt;=0,16-Parametri_v3!$C$21&lt;1),0,INDEX($AT$125:$AT$184,MAX(1,16-Parametri_v3!$C$21))/(INDEX(Ipotesi!$C$35:$G$35,1,F140)*Ipotesi!E27))</f>
        <v>3.59956597222222</v>
      </c>
      <c r="BB140" s="15" t="n">
        <f aca="false">IF(16-Parametri_v3!$C$21&lt;1,0,INDEX($AU$125:$AU$184,MAX(1,16-Parametri_v3!$C$21)))*Parametri_v3!$C$18*Parametri_v3!$C$19*Parametri_v3!$C$20</f>
        <v>3.9375</v>
      </c>
      <c r="BC140" s="17" t="n">
        <f aca="false">MAX(0,MIN(AY140,BA140,BB140,MAX(0,AZ140-(AV140-AW140))))</f>
        <v>3.59956597222222</v>
      </c>
      <c r="BD140" s="17" t="n">
        <f aca="false">AV140-AW140+BC140</f>
        <v>14.2270517841984</v>
      </c>
      <c r="BE140" s="17" t="n">
        <f aca="false">(AV140+BD140)/2</f>
        <v>12.4741291058646</v>
      </c>
      <c r="BF140" s="15" t="n">
        <f aca="false">BE140*INDEX(Ipotesi!$C$33:$G$33,1,F140)*H140/12</f>
        <v>4158.04303528819</v>
      </c>
      <c r="BG140" s="15" t="n">
        <f aca="false">BD140*INDEX(Ipotesi!$C$33:$G$33,1,F140)*H140</f>
        <v>56908.2071367938</v>
      </c>
      <c r="BH140" s="15" t="n">
        <f aca="false">AM140*INDEX(Ipotesi!$C$37:$G$37,1,F140)</f>
        <v>3398.1220657277</v>
      </c>
      <c r="BI140" s="15" t="n">
        <f aca="false">AQ140+BF140+BH140</f>
        <v>31939.4984343492</v>
      </c>
      <c r="BJ140" s="15" t="n">
        <f aca="false">INDEX(Ipotesi!$C$68:$G$68,1,F140)*Ipotesi!$C$69/12</f>
        <v>1600</v>
      </c>
      <c r="BK140" s="15" t="n">
        <f aca="false">INDEX(Ipotesi!$C$68:$G$68,1,F140)*(1-Ipotesi!$C$69)/12</f>
        <v>2400</v>
      </c>
      <c r="BL140" s="15" t="n">
        <f aca="false">(AQ140+BF140)*Ipotesi!$C$67</f>
        <v>856.241291058646</v>
      </c>
      <c r="BM140" s="15" t="n">
        <f aca="false">AM140*Ipotesi!$C$67</f>
        <v>1019.43661971831</v>
      </c>
      <c r="BN140" s="15" t="n">
        <f aca="false">INDEX(Ipotesi!$C$72:$G$72,1,F140)/12*Ipotesi!E126+BF140*Ipotesi!$C$73</f>
        <v>1582.64344282306</v>
      </c>
      <c r="BO140" s="15" t="n">
        <f aca="false">INDEX(Ipotesi!$C$74:$G$74,1,F140)/12*Ipotesi!E126</f>
        <v>1833.33333333333</v>
      </c>
      <c r="BP140" s="15" t="n">
        <f aca="false">INDEX(Ipotesi!$C$76:$G$76,1,F140)/12</f>
        <v>750</v>
      </c>
      <c r="BQ140" s="15" t="n">
        <f aca="false">INDEX(Ipotesi!$C$77:$G$77,1,F140)/12*Ipotesi!E126</f>
        <v>1666.66666666667</v>
      </c>
      <c r="BR140" s="15" t="n">
        <f aca="false">INDEX(Ipotesi!$C$78:$G$78,1,F140)/12</f>
        <v>1250</v>
      </c>
      <c r="BS140" s="15" t="n">
        <f aca="false">SUM(M140:R140)*(Ipotesi!$C$85+Ipotesi!$C$86)/12</f>
        <v>2625</v>
      </c>
      <c r="BT140" s="15" t="n">
        <f aca="false">BI140*Ipotesi!$C$87</f>
        <v>958.184953030477</v>
      </c>
      <c r="BU140" s="15" t="n">
        <f aca="false">INDEX(Ipotesi!$C$55:$G$55,1,F140)*K140/12</f>
        <v>1000</v>
      </c>
      <c r="BV140" s="15" t="n">
        <f aca="false">INDEX(Ipotesi!$C$80:$G$80,1,F140)/12*Ipotesi!E126</f>
        <v>833.333333333333</v>
      </c>
      <c r="BW140" s="15" t="n">
        <f aca="false">INDEX(Ipotesi!$C$82:$G$82,1,F140)/12</f>
        <v>666.666666666667</v>
      </c>
      <c r="BX140" s="15" t="n">
        <f aca="false">INDEX(Ipotesi!$C$83:$G$83,1,F140)/12</f>
        <v>583.333333333333</v>
      </c>
      <c r="BY140" s="15" t="n">
        <f aca="false">SUM(S140:U140)*(Ipotesi!$C$85+Ipotesi!$C$86)/12</f>
        <v>1166.66666666667</v>
      </c>
      <c r="BZ140" s="15" t="n">
        <f aca="false">AM140*Ipotesi!$C$87</f>
        <v>1019.43661971831</v>
      </c>
      <c r="CA140" s="15" t="n">
        <f aca="false">AB140+BJ140+BL140+BN140+BO140+AR140+BP140+BQ140+BR140+BS140+BT140</f>
        <v>57467.9030202455</v>
      </c>
      <c r="CB140" s="15" t="n">
        <f aca="false">AC140+BK140+BM140+BH140+BU140+BV140+AS140+BW140+BX140+BY140+BZ140</f>
        <v>28885.3286384977</v>
      </c>
      <c r="CC140" s="15" t="n">
        <f aca="false">BI140-CA140</f>
        <v>-25528.4045858963</v>
      </c>
      <c r="CD140" s="15" t="n">
        <f aca="false">AM140-CB140</f>
        <v>5095.89201877935</v>
      </c>
      <c r="CE140" s="15" t="n">
        <f aca="false">INDEX(Ipotesi!$C$79:$G$79,1,F140)/12</f>
        <v>2083.33333333333</v>
      </c>
      <c r="CF140" s="15" t="n">
        <f aca="false">INDEX(Ipotesi!$C$84:$G$84,1,F140)/12</f>
        <v>416.666666666667</v>
      </c>
      <c r="CG140" s="15" t="n">
        <f aca="false">Y140*MAX(0,Parametri_v3!$C$12-IF(P140=0,0,MIN(1,BE140/(P140*Parametri_v3!$C$22))))+W140*Parametri_v3!$C$13+X140*Parametri_v3!$C$14</f>
        <v>15343.8186258733</v>
      </c>
      <c r="CH140" s="15" t="n">
        <f aca="false">AB140*Parametri_v3!$C$32</f>
        <v>1988.125</v>
      </c>
      <c r="CI140" s="15" t="n">
        <f aca="false">AC140*Parametri_v3!$C$32</f>
        <v>798.25</v>
      </c>
      <c r="CJ140" s="15" t="n">
        <f aca="false">CA140-AB140</f>
        <v>17705.4030202455</v>
      </c>
      <c r="CK140" s="15" t="n">
        <f aca="false">CB140-AC140-BH140</f>
        <v>9522.20657276995</v>
      </c>
      <c r="CL140" s="15" t="n">
        <f aca="false">BF140*Ipotesi!$C$73+INDEX(Ipotesi!$C$72:$G$72,1,F140)/12*Ipotesi!E126*Parametri_v3!$C$58+Z140*(1-Parametri_v3!$C$16)</f>
        <v>3320.76844282306</v>
      </c>
      <c r="CM140" s="16" t="n">
        <f aca="false">IF(BF140=0,0,1-CL140/BF140)</f>
        <v>0.20136265674968</v>
      </c>
    </row>
    <row r="141" customFormat="false" ht="18" hidden="false" customHeight="true" outlineLevel="0" collapsed="false">
      <c r="A141" s="68" t="n">
        <f aca="false">3</f>
        <v>3</v>
      </c>
      <c r="B141" s="68" t="n">
        <f aca="false">17</f>
        <v>17</v>
      </c>
      <c r="C141" s="18" t="n">
        <f aca="false">EDATE(Parametri_v3!$C$5,17-1)</f>
        <v>46874</v>
      </c>
      <c r="D141" s="68" t="n">
        <f aca="false">YEAR(C141)</f>
        <v>2028</v>
      </c>
      <c r="E141" s="68" t="n">
        <f aca="false">MONTH(C141)</f>
        <v>5</v>
      </c>
      <c r="F141" s="68" t="n">
        <f aca="false">INT((17-1)/12)+1</f>
        <v>2</v>
      </c>
      <c r="G141" s="15" t="n">
        <f aca="false">Ipotesi!E7</f>
        <v>1.25</v>
      </c>
      <c r="H141" s="15" t="n">
        <f aca="false">Ipotesi!E9</f>
        <v>1</v>
      </c>
      <c r="I141" s="15" t="n">
        <f aca="false">Ipotesi!E10</f>
        <v>1</v>
      </c>
      <c r="J141" s="15" t="n">
        <f aca="false">Ipotesi!E11</f>
        <v>1</v>
      </c>
      <c r="K141" s="15" t="n">
        <f aca="false">Ipotesi!E12</f>
        <v>1</v>
      </c>
      <c r="L141" s="15" t="n">
        <f aca="false">Ipotesi!E13</f>
        <v>90</v>
      </c>
      <c r="M141" s="17" t="n">
        <f aca="false">INDEX(Ipotesi!$C$40:$G$40,1,F141)</f>
        <v>1</v>
      </c>
      <c r="N141" s="17" t="n">
        <f aca="false">INDEX(Ipotesi!$C$41:$G$41,1,F141)</f>
        <v>1</v>
      </c>
      <c r="O141" s="17" t="n">
        <f aca="false">INDEX(Ipotesi!$C$42:$G$42,1,F141)*Ipotesi!E125</f>
        <v>2.5</v>
      </c>
      <c r="P141" s="17" t="n">
        <f aca="false">INDEX(Ipotesi!$C$43:$G$43,1,F141)*I141</f>
        <v>2.5</v>
      </c>
      <c r="Q141" s="17" t="n">
        <f aca="false">INDEX(Ipotesi!$C$44:$G$44,1,F141)*I141</f>
        <v>1.5</v>
      </c>
      <c r="R141" s="17" t="n">
        <f aca="false">INDEX(Ipotesi!$C$45:$G$45,1,F141)*I141</f>
        <v>0.5</v>
      </c>
      <c r="S141" s="17" t="n">
        <f aca="false">INDEX(Ipotesi!$C$52:$G$52,1,F141)*Ipotesi!E125</f>
        <v>3</v>
      </c>
      <c r="T141" s="17" t="n">
        <f aca="false">INDEX(Ipotesi!$C$53:$G$53,1,F141)*I141</f>
        <v>1</v>
      </c>
      <c r="U141" s="17" t="n">
        <f aca="false">INDEX(Ipotesi!$C$54:$G$54,1,F141)*I141</f>
        <v>0</v>
      </c>
      <c r="V141" s="15" t="n">
        <f aca="false">M141*INDEX(Ipotesi!$C$58:$G$58,1,F141)*K141/12</f>
        <v>5000</v>
      </c>
      <c r="W141" s="15" t="n">
        <f aca="false">N141*Ipotesi!$C$59*(1+Ipotesi!$C$66)^(F141-1)/12</f>
        <v>6008.33333333333</v>
      </c>
      <c r="X141" s="15" t="n">
        <f aca="false">O141*Ipotesi!$C$60*(1+Ipotesi!$C$66)^(F141-1)/12</f>
        <v>10729.1666666667</v>
      </c>
      <c r="Y141" s="15" t="n">
        <f aca="false">P141*Ipotesi!$C$61*(1+Ipotesi!$C$66)^(F141-1)/12</f>
        <v>10729.1666666667</v>
      </c>
      <c r="Z141" s="15" t="n">
        <f aca="false">Q141*Ipotesi!$C$62*(1+Ipotesi!$C$66)^(F141-1)/12</f>
        <v>5793.75</v>
      </c>
      <c r="AA141" s="15" t="n">
        <f aca="false">R141*Ipotesi!$C$63*(1+Ipotesi!$C$66)^(F141-1)/12</f>
        <v>1502.08333333333</v>
      </c>
      <c r="AB141" s="15" t="n">
        <f aca="false">SUM(V141:AA141)</f>
        <v>39762.5</v>
      </c>
      <c r="AC141" s="15" t="n">
        <f aca="false">(S141*Ipotesi!$C$64+T141*Ipotesi!$C$65+U141*Ipotesi!$C$63)*(1+Ipotesi!$C$66)^(F141-1)/12</f>
        <v>15965</v>
      </c>
      <c r="AD141" s="15" t="n">
        <f aca="false">INDEX(Ipotesi!$C$48:$G$48,1,F141)*G141/12</f>
        <v>46.875</v>
      </c>
      <c r="AE141" s="15" t="n">
        <f aca="false">INDEX(Ipotesi!$C$50:$G$50,1,F141)*G141/12</f>
        <v>5.72916666666667</v>
      </c>
      <c r="AF141" s="15" t="n">
        <f aca="false">(S141*Parametri_v3!$C$7*Parametri_v3!$C$8+Parametri_v3!$C$10)/12</f>
        <v>38.5</v>
      </c>
      <c r="AG141" s="15" t="n">
        <f aca="false">AD141+AE141*(1+Parametri_v3!$C$9)</f>
        <v>55.46875</v>
      </c>
      <c r="AH141" s="16" t="n">
        <f aca="false">IF(AG141=0,1,MIN(1,AF141/AG141))</f>
        <v>0.694084507042253</v>
      </c>
      <c r="AI141" s="15" t="n">
        <f aca="false">AD141*AH141</f>
        <v>32.5352112676056</v>
      </c>
      <c r="AJ141" s="15" t="n">
        <f aca="false">AE141*AH141</f>
        <v>3.97652582159624</v>
      </c>
      <c r="AK141" s="15" t="n">
        <f aca="false">AI141*INDEX(Ipotesi!$C$49:$G$49,1,F141)*H141</f>
        <v>26028.1690140845</v>
      </c>
      <c r="AL141" s="15" t="n">
        <f aca="false">AJ141*INDEX(Ipotesi!$C$51:$G$51,1,F141)*H141</f>
        <v>7953.05164319249</v>
      </c>
      <c r="AM141" s="15" t="n">
        <f aca="false">AK141+AL141</f>
        <v>33981.220657277</v>
      </c>
      <c r="AN141" s="15" t="n">
        <f aca="false">INDEX(Ipotesi!$C$30:$G$30,1,F141)*G141/12</f>
        <v>28.125</v>
      </c>
      <c r="AO141" s="15" t="n">
        <f aca="false">O141*Parametri_v3!$C$7*Parametri_v3!$C$11*(1-Parametri_v3!$C$14)/12</f>
        <v>25.6666666666667</v>
      </c>
      <c r="AP141" s="15" t="n">
        <f aca="false">MIN(AN141,AO141)</f>
        <v>25.6666666666667</v>
      </c>
      <c r="AQ141" s="15" t="n">
        <f aca="false">AP141*INDEX(Ipotesi!$C$31:$G$31,1,F141)*H141</f>
        <v>24383.3333333333</v>
      </c>
      <c r="AR141" s="15" t="n">
        <f aca="false">INDEX(Ipotesi!$C$75:$G$75,1,F141)*J141/12</f>
        <v>4583.33333333333</v>
      </c>
      <c r="AS141" s="15" t="n">
        <f aca="false">INDEX(Ipotesi!$C$81:$G$81,1,F141)*J141/12</f>
        <v>833.333333333333</v>
      </c>
      <c r="AT141" s="15" t="n">
        <f aca="false">AR141*Parametri_v3!$C$15+Z141*Parametri_v3!$C$16</f>
        <v>8638.95833333333</v>
      </c>
      <c r="AU141" s="15" t="n">
        <f aca="false">Q141*Parametri_v3!$C$16*Parametri_v3!$C$17</f>
        <v>105</v>
      </c>
      <c r="AV141" s="17" t="n">
        <f aca="false">BD140</f>
        <v>14.2270517841984</v>
      </c>
      <c r="AW141" s="17" t="n">
        <f aca="false">AV141*(1-(1-INDEX(Ipotesi!$C$34:$G$34,1,F141))^(1/12))</f>
        <v>0.124367351729787</v>
      </c>
      <c r="AX141" s="15" t="n">
        <f aca="false">ROUND(INDEX(Ipotesi!$C$32:$G$32,1,F141)*Ipotesi!E8,0)</f>
        <v>49</v>
      </c>
      <c r="AY141" s="15" t="n">
        <f aca="false">MAX(0,(AX141-(AV141-AW141))/(13-E141))</f>
        <v>4.36216444594142</v>
      </c>
      <c r="AZ141" s="15" t="n">
        <f aca="false">MIN(P141*Parametri_v3!$C$22,Q141*(1-Parametri_v3!$C$16)*Parametri_v3!$C$23)</f>
        <v>67.5</v>
      </c>
      <c r="BA141" s="15" t="n">
        <f aca="false">IF(OR(INDEX(Ipotesi!$C$35:$G$35,1,F141)&lt;=0,17-Parametri_v3!$C$21&lt;1),0,INDEX($AT$125:$AT$184,MAX(1,17-Parametri_v3!$C$21))/(INDEX(Ipotesi!$C$35:$G$35,1,F141)*Ipotesi!E27))</f>
        <v>3.59956597222222</v>
      </c>
      <c r="BB141" s="15" t="n">
        <f aca="false">IF(17-Parametri_v3!$C$21&lt;1,0,INDEX($AU$125:$AU$184,MAX(1,17-Parametri_v3!$C$21)))*Parametri_v3!$C$18*Parametri_v3!$C$19*Parametri_v3!$C$20</f>
        <v>3.9375</v>
      </c>
      <c r="BC141" s="17" t="n">
        <f aca="false">MAX(0,MIN(AY141,BA141,BB141,MAX(0,AZ141-(AV141-AW141))))</f>
        <v>3.59956597222222</v>
      </c>
      <c r="BD141" s="17" t="n">
        <f aca="false">AV141-AW141+BC141</f>
        <v>17.7022504046909</v>
      </c>
      <c r="BE141" s="17" t="n">
        <f aca="false">(AV141+BD141)/2</f>
        <v>15.9646510944447</v>
      </c>
      <c r="BF141" s="15" t="n">
        <f aca="false">BE141*INDEX(Ipotesi!$C$33:$G$33,1,F141)*H141/12</f>
        <v>5321.55036481489</v>
      </c>
      <c r="BG141" s="15" t="n">
        <f aca="false">BD141*INDEX(Ipotesi!$C$33:$G$33,1,F141)*H141</f>
        <v>70809.0016187635</v>
      </c>
      <c r="BH141" s="15" t="n">
        <f aca="false">AM141*INDEX(Ipotesi!$C$37:$G$37,1,F141)</f>
        <v>3398.1220657277</v>
      </c>
      <c r="BI141" s="15" t="n">
        <f aca="false">AQ141+BF141+BH141</f>
        <v>33103.0057638759</v>
      </c>
      <c r="BJ141" s="15" t="n">
        <f aca="false">INDEX(Ipotesi!$C$68:$G$68,1,F141)*Ipotesi!$C$69/12</f>
        <v>1600</v>
      </c>
      <c r="BK141" s="15" t="n">
        <f aca="false">INDEX(Ipotesi!$C$68:$G$68,1,F141)*(1-Ipotesi!$C$69)/12</f>
        <v>2400</v>
      </c>
      <c r="BL141" s="15" t="n">
        <f aca="false">(AQ141+BF141)*Ipotesi!$C$67</f>
        <v>891.146510944447</v>
      </c>
      <c r="BM141" s="15" t="n">
        <f aca="false">AM141*Ipotesi!$C$67</f>
        <v>1019.43661971831</v>
      </c>
      <c r="BN141" s="15" t="n">
        <f aca="false">INDEX(Ipotesi!$C$72:$G$72,1,F141)/12*Ipotesi!E126+BF141*Ipotesi!$C$73</f>
        <v>1675.72402918519</v>
      </c>
      <c r="BO141" s="15" t="n">
        <f aca="false">INDEX(Ipotesi!$C$74:$G$74,1,F141)/12*Ipotesi!E126</f>
        <v>1833.33333333333</v>
      </c>
      <c r="BP141" s="15" t="n">
        <f aca="false">INDEX(Ipotesi!$C$76:$G$76,1,F141)/12</f>
        <v>750</v>
      </c>
      <c r="BQ141" s="15" t="n">
        <f aca="false">INDEX(Ipotesi!$C$77:$G$77,1,F141)/12*Ipotesi!E126</f>
        <v>1666.66666666667</v>
      </c>
      <c r="BR141" s="15" t="n">
        <f aca="false">INDEX(Ipotesi!$C$78:$G$78,1,F141)/12</f>
        <v>1250</v>
      </c>
      <c r="BS141" s="15" t="n">
        <f aca="false">SUM(M141:R141)*(Ipotesi!$C$85+Ipotesi!$C$86)/12</f>
        <v>2625</v>
      </c>
      <c r="BT141" s="15" t="n">
        <f aca="false">BI141*Ipotesi!$C$87</f>
        <v>993.090172916278</v>
      </c>
      <c r="BU141" s="15" t="n">
        <f aca="false">INDEX(Ipotesi!$C$55:$G$55,1,F141)*K141/12</f>
        <v>1000</v>
      </c>
      <c r="BV141" s="15" t="n">
        <f aca="false">INDEX(Ipotesi!$C$80:$G$80,1,F141)/12*Ipotesi!E126</f>
        <v>833.333333333333</v>
      </c>
      <c r="BW141" s="15" t="n">
        <f aca="false">INDEX(Ipotesi!$C$82:$G$82,1,F141)/12</f>
        <v>666.666666666667</v>
      </c>
      <c r="BX141" s="15" t="n">
        <f aca="false">INDEX(Ipotesi!$C$83:$G$83,1,F141)/12</f>
        <v>583.333333333333</v>
      </c>
      <c r="BY141" s="15" t="n">
        <f aca="false">SUM(S141:U141)*(Ipotesi!$C$85+Ipotesi!$C$86)/12</f>
        <v>1166.66666666667</v>
      </c>
      <c r="BZ141" s="15" t="n">
        <f aca="false">AM141*Ipotesi!$C$87</f>
        <v>1019.43661971831</v>
      </c>
      <c r="CA141" s="15" t="n">
        <f aca="false">AB141+BJ141+BL141+BN141+BO141+AR141+BP141+BQ141+BR141+BS141+BT141</f>
        <v>57630.7940463793</v>
      </c>
      <c r="CB141" s="15" t="n">
        <f aca="false">AC141+BK141+BM141+BH141+BU141+BV141+AS141+BW141+BX141+BY141+BZ141</f>
        <v>28885.3286384977</v>
      </c>
      <c r="CC141" s="15" t="n">
        <f aca="false">BI141-CA141</f>
        <v>-24527.7882825033</v>
      </c>
      <c r="CD141" s="15" t="n">
        <f aca="false">AM141-CB141</f>
        <v>5095.89201877935</v>
      </c>
      <c r="CE141" s="15" t="n">
        <f aca="false">INDEX(Ipotesi!$C$79:$G$79,1,F141)/12</f>
        <v>2083.33333333333</v>
      </c>
      <c r="CF141" s="15" t="n">
        <f aca="false">INDEX(Ipotesi!$C$84:$G$84,1,F141)/12</f>
        <v>416.666666666667</v>
      </c>
      <c r="CG141" s="15" t="n">
        <f aca="false">Y141*MAX(0,Parametri_v3!$C$12-IF(P141=0,0,MIN(1,BE141/(P141*Parametri_v3!$C$22))))+W141*Parametri_v3!$C$13+X141*Parametri_v3!$C$14</f>
        <v>15194.0170571967</v>
      </c>
      <c r="CH141" s="15" t="n">
        <f aca="false">AB141*Parametri_v3!$C$32</f>
        <v>1988.125</v>
      </c>
      <c r="CI141" s="15" t="n">
        <f aca="false">AC141*Parametri_v3!$C$32</f>
        <v>798.25</v>
      </c>
      <c r="CJ141" s="15" t="n">
        <f aca="false">CA141-AB141</f>
        <v>17868.2940463793</v>
      </c>
      <c r="CK141" s="15" t="n">
        <f aca="false">CB141-AC141-BH141</f>
        <v>9522.20657276995</v>
      </c>
      <c r="CL141" s="15" t="n">
        <f aca="false">BF141*Ipotesi!$C$73+INDEX(Ipotesi!$C$72:$G$72,1,F141)/12*Ipotesi!E126*Parametri_v3!$C$58+Z141*(1-Parametri_v3!$C$16)</f>
        <v>3413.84902918519</v>
      </c>
      <c r="CM141" s="16" t="n">
        <f aca="false">IF(BF141=0,0,1-CL141/BF141)</f>
        <v>0.358486005928473</v>
      </c>
    </row>
    <row r="142" customFormat="false" ht="18" hidden="false" customHeight="true" outlineLevel="0" collapsed="false">
      <c r="A142" s="68" t="n">
        <f aca="false">3</f>
        <v>3</v>
      </c>
      <c r="B142" s="68" t="n">
        <f aca="false">18</f>
        <v>18</v>
      </c>
      <c r="C142" s="18" t="n">
        <f aca="false">EDATE(Parametri_v3!$C$5,18-1)</f>
        <v>46905</v>
      </c>
      <c r="D142" s="68" t="n">
        <f aca="false">YEAR(C142)</f>
        <v>2028</v>
      </c>
      <c r="E142" s="68" t="n">
        <f aca="false">MONTH(C142)</f>
        <v>6</v>
      </c>
      <c r="F142" s="68" t="n">
        <f aca="false">INT((18-1)/12)+1</f>
        <v>2</v>
      </c>
      <c r="G142" s="15" t="n">
        <f aca="false">Ipotesi!E7</f>
        <v>1.25</v>
      </c>
      <c r="H142" s="15" t="n">
        <f aca="false">Ipotesi!E9</f>
        <v>1</v>
      </c>
      <c r="I142" s="15" t="n">
        <f aca="false">Ipotesi!E10</f>
        <v>1</v>
      </c>
      <c r="J142" s="15" t="n">
        <f aca="false">Ipotesi!E11</f>
        <v>1</v>
      </c>
      <c r="K142" s="15" t="n">
        <f aca="false">Ipotesi!E12</f>
        <v>1</v>
      </c>
      <c r="L142" s="15" t="n">
        <f aca="false">Ipotesi!E13</f>
        <v>90</v>
      </c>
      <c r="M142" s="17" t="n">
        <f aca="false">INDEX(Ipotesi!$C$40:$G$40,1,F142)</f>
        <v>1</v>
      </c>
      <c r="N142" s="17" t="n">
        <f aca="false">INDEX(Ipotesi!$C$41:$G$41,1,F142)</f>
        <v>1</v>
      </c>
      <c r="O142" s="17" t="n">
        <f aca="false">INDEX(Ipotesi!$C$42:$G$42,1,F142)*Ipotesi!E125</f>
        <v>2.5</v>
      </c>
      <c r="P142" s="17" t="n">
        <f aca="false">INDEX(Ipotesi!$C$43:$G$43,1,F142)*I142</f>
        <v>2.5</v>
      </c>
      <c r="Q142" s="17" t="n">
        <f aca="false">INDEX(Ipotesi!$C$44:$G$44,1,F142)*I142</f>
        <v>1.5</v>
      </c>
      <c r="R142" s="17" t="n">
        <f aca="false">INDEX(Ipotesi!$C$45:$G$45,1,F142)*I142</f>
        <v>0.5</v>
      </c>
      <c r="S142" s="17" t="n">
        <f aca="false">INDEX(Ipotesi!$C$52:$G$52,1,F142)*Ipotesi!E125</f>
        <v>3</v>
      </c>
      <c r="T142" s="17" t="n">
        <f aca="false">INDEX(Ipotesi!$C$53:$G$53,1,F142)*I142</f>
        <v>1</v>
      </c>
      <c r="U142" s="17" t="n">
        <f aca="false">INDEX(Ipotesi!$C$54:$G$54,1,F142)*I142</f>
        <v>0</v>
      </c>
      <c r="V142" s="15" t="n">
        <f aca="false">M142*INDEX(Ipotesi!$C$58:$G$58,1,F142)*K142/12</f>
        <v>5000</v>
      </c>
      <c r="W142" s="15" t="n">
        <f aca="false">N142*Ipotesi!$C$59*(1+Ipotesi!$C$66)^(F142-1)/12</f>
        <v>6008.33333333333</v>
      </c>
      <c r="X142" s="15" t="n">
        <f aca="false">O142*Ipotesi!$C$60*(1+Ipotesi!$C$66)^(F142-1)/12</f>
        <v>10729.1666666667</v>
      </c>
      <c r="Y142" s="15" t="n">
        <f aca="false">P142*Ipotesi!$C$61*(1+Ipotesi!$C$66)^(F142-1)/12</f>
        <v>10729.1666666667</v>
      </c>
      <c r="Z142" s="15" t="n">
        <f aca="false">Q142*Ipotesi!$C$62*(1+Ipotesi!$C$66)^(F142-1)/12</f>
        <v>5793.75</v>
      </c>
      <c r="AA142" s="15" t="n">
        <f aca="false">R142*Ipotesi!$C$63*(1+Ipotesi!$C$66)^(F142-1)/12</f>
        <v>1502.08333333333</v>
      </c>
      <c r="AB142" s="15" t="n">
        <f aca="false">SUM(V142:AA142)</f>
        <v>39762.5</v>
      </c>
      <c r="AC142" s="15" t="n">
        <f aca="false">(S142*Ipotesi!$C$64+T142*Ipotesi!$C$65+U142*Ipotesi!$C$63)*(1+Ipotesi!$C$66)^(F142-1)/12</f>
        <v>15965</v>
      </c>
      <c r="AD142" s="15" t="n">
        <f aca="false">INDEX(Ipotesi!$C$48:$G$48,1,F142)*G142/12</f>
        <v>46.875</v>
      </c>
      <c r="AE142" s="15" t="n">
        <f aca="false">INDEX(Ipotesi!$C$50:$G$50,1,F142)*G142/12</f>
        <v>5.72916666666667</v>
      </c>
      <c r="AF142" s="15" t="n">
        <f aca="false">(S142*Parametri_v3!$C$7*Parametri_v3!$C$8+Parametri_v3!$C$10)/12</f>
        <v>38.5</v>
      </c>
      <c r="AG142" s="15" t="n">
        <f aca="false">AD142+AE142*(1+Parametri_v3!$C$9)</f>
        <v>55.46875</v>
      </c>
      <c r="AH142" s="16" t="n">
        <f aca="false">IF(AG142=0,1,MIN(1,AF142/AG142))</f>
        <v>0.694084507042253</v>
      </c>
      <c r="AI142" s="15" t="n">
        <f aca="false">AD142*AH142</f>
        <v>32.5352112676056</v>
      </c>
      <c r="AJ142" s="15" t="n">
        <f aca="false">AE142*AH142</f>
        <v>3.97652582159624</v>
      </c>
      <c r="AK142" s="15" t="n">
        <f aca="false">AI142*INDEX(Ipotesi!$C$49:$G$49,1,F142)*H142</f>
        <v>26028.1690140845</v>
      </c>
      <c r="AL142" s="15" t="n">
        <f aca="false">AJ142*INDEX(Ipotesi!$C$51:$G$51,1,F142)*H142</f>
        <v>7953.05164319249</v>
      </c>
      <c r="AM142" s="15" t="n">
        <f aca="false">AK142+AL142</f>
        <v>33981.220657277</v>
      </c>
      <c r="AN142" s="15" t="n">
        <f aca="false">INDEX(Ipotesi!$C$30:$G$30,1,F142)*G142/12</f>
        <v>28.125</v>
      </c>
      <c r="AO142" s="15" t="n">
        <f aca="false">O142*Parametri_v3!$C$7*Parametri_v3!$C$11*(1-Parametri_v3!$C$14)/12</f>
        <v>25.6666666666667</v>
      </c>
      <c r="AP142" s="15" t="n">
        <f aca="false">MIN(AN142,AO142)</f>
        <v>25.6666666666667</v>
      </c>
      <c r="AQ142" s="15" t="n">
        <f aca="false">AP142*INDEX(Ipotesi!$C$31:$G$31,1,F142)*H142</f>
        <v>24383.3333333333</v>
      </c>
      <c r="AR142" s="15" t="n">
        <f aca="false">INDEX(Ipotesi!$C$75:$G$75,1,F142)*J142/12</f>
        <v>4583.33333333333</v>
      </c>
      <c r="AS142" s="15" t="n">
        <f aca="false">INDEX(Ipotesi!$C$81:$G$81,1,F142)*J142/12</f>
        <v>833.333333333333</v>
      </c>
      <c r="AT142" s="15" t="n">
        <f aca="false">AR142*Parametri_v3!$C$15+Z142*Parametri_v3!$C$16</f>
        <v>8638.95833333333</v>
      </c>
      <c r="AU142" s="15" t="n">
        <f aca="false">Q142*Parametri_v3!$C$16*Parametri_v3!$C$17</f>
        <v>105</v>
      </c>
      <c r="AV142" s="17" t="n">
        <f aca="false">BD141</f>
        <v>17.7022504046909</v>
      </c>
      <c r="AW142" s="17" t="n">
        <f aca="false">AV142*(1-(1-INDEX(Ipotesi!$C$34:$G$34,1,F142))^(1/12))</f>
        <v>0.15474618606043</v>
      </c>
      <c r="AX142" s="15" t="n">
        <f aca="false">ROUND(INDEX(Ipotesi!$C$32:$G$32,1,F142)*Ipotesi!E8,0)</f>
        <v>49</v>
      </c>
      <c r="AY142" s="15" t="n">
        <f aca="false">MAX(0,(AX142-(AV142-AW142))/(13-E142))</f>
        <v>4.49321368305279</v>
      </c>
      <c r="AZ142" s="15" t="n">
        <f aca="false">MIN(P142*Parametri_v3!$C$22,Q142*(1-Parametri_v3!$C$16)*Parametri_v3!$C$23)</f>
        <v>67.5</v>
      </c>
      <c r="BA142" s="15" t="n">
        <f aca="false">IF(OR(INDEX(Ipotesi!$C$35:$G$35,1,F142)&lt;=0,18-Parametri_v3!$C$21&lt;1),0,INDEX($AT$125:$AT$184,MAX(1,18-Parametri_v3!$C$21))/(INDEX(Ipotesi!$C$35:$G$35,1,F142)*Ipotesi!E27))</f>
        <v>3.59956597222222</v>
      </c>
      <c r="BB142" s="15" t="n">
        <f aca="false">IF(18-Parametri_v3!$C$21&lt;1,0,INDEX($AU$125:$AU$184,MAX(1,18-Parametri_v3!$C$21)))*Parametri_v3!$C$18*Parametri_v3!$C$19*Parametri_v3!$C$20</f>
        <v>3.9375</v>
      </c>
      <c r="BC142" s="17" t="n">
        <f aca="false">MAX(0,MIN(AY142,BA142,BB142,MAX(0,AZ142-(AV142-AW142))))</f>
        <v>3.59956597222222</v>
      </c>
      <c r="BD142" s="17" t="n">
        <f aca="false">AV142-AW142+BC142</f>
        <v>21.1470701908527</v>
      </c>
      <c r="BE142" s="17" t="n">
        <f aca="false">(AV142+BD142)/2</f>
        <v>19.4246602977718</v>
      </c>
      <c r="BF142" s="15" t="n">
        <f aca="false">BE142*INDEX(Ipotesi!$C$33:$G$33,1,F142)*H142/12</f>
        <v>6474.88676592393</v>
      </c>
      <c r="BG142" s="15" t="n">
        <f aca="false">BD142*INDEX(Ipotesi!$C$33:$G$33,1,F142)*H142</f>
        <v>84588.2807634107</v>
      </c>
      <c r="BH142" s="15" t="n">
        <f aca="false">AM142*INDEX(Ipotesi!$C$37:$G$37,1,F142)</f>
        <v>3398.1220657277</v>
      </c>
      <c r="BI142" s="15" t="n">
        <f aca="false">AQ142+BF142+BH142</f>
        <v>34256.342164985</v>
      </c>
      <c r="BJ142" s="15" t="n">
        <f aca="false">INDEX(Ipotesi!$C$68:$G$68,1,F142)*Ipotesi!$C$69/12</f>
        <v>1600</v>
      </c>
      <c r="BK142" s="15" t="n">
        <f aca="false">INDEX(Ipotesi!$C$68:$G$68,1,F142)*(1-Ipotesi!$C$69)/12</f>
        <v>2400</v>
      </c>
      <c r="BL142" s="15" t="n">
        <f aca="false">(AQ142+BF142)*Ipotesi!$C$67</f>
        <v>925.746602977718</v>
      </c>
      <c r="BM142" s="15" t="n">
        <f aca="false">AM142*Ipotesi!$C$67</f>
        <v>1019.43661971831</v>
      </c>
      <c r="BN142" s="15" t="n">
        <f aca="false">INDEX(Ipotesi!$C$72:$G$72,1,F142)/12*Ipotesi!E126+BF142*Ipotesi!$C$73</f>
        <v>1767.99094127391</v>
      </c>
      <c r="BO142" s="15" t="n">
        <f aca="false">INDEX(Ipotesi!$C$74:$G$74,1,F142)/12*Ipotesi!E126</f>
        <v>1833.33333333333</v>
      </c>
      <c r="BP142" s="15" t="n">
        <f aca="false">INDEX(Ipotesi!$C$76:$G$76,1,F142)/12</f>
        <v>750</v>
      </c>
      <c r="BQ142" s="15" t="n">
        <f aca="false">INDEX(Ipotesi!$C$77:$G$77,1,F142)/12*Ipotesi!E126</f>
        <v>1666.66666666667</v>
      </c>
      <c r="BR142" s="15" t="n">
        <f aca="false">INDEX(Ipotesi!$C$78:$G$78,1,F142)/12</f>
        <v>1250</v>
      </c>
      <c r="BS142" s="15" t="n">
        <f aca="false">SUM(M142:R142)*(Ipotesi!$C$85+Ipotesi!$C$86)/12</f>
        <v>2625</v>
      </c>
      <c r="BT142" s="15" t="n">
        <f aca="false">BI142*Ipotesi!$C$87</f>
        <v>1027.69026494955</v>
      </c>
      <c r="BU142" s="15" t="n">
        <f aca="false">INDEX(Ipotesi!$C$55:$G$55,1,F142)*K142/12</f>
        <v>1000</v>
      </c>
      <c r="BV142" s="15" t="n">
        <f aca="false">INDEX(Ipotesi!$C$80:$G$80,1,F142)/12*Ipotesi!E126</f>
        <v>833.333333333333</v>
      </c>
      <c r="BW142" s="15" t="n">
        <f aca="false">INDEX(Ipotesi!$C$82:$G$82,1,F142)/12</f>
        <v>666.666666666667</v>
      </c>
      <c r="BX142" s="15" t="n">
        <f aca="false">INDEX(Ipotesi!$C$83:$G$83,1,F142)/12</f>
        <v>583.333333333333</v>
      </c>
      <c r="BY142" s="15" t="n">
        <f aca="false">SUM(S142:U142)*(Ipotesi!$C$85+Ipotesi!$C$86)/12</f>
        <v>1166.66666666667</v>
      </c>
      <c r="BZ142" s="15" t="n">
        <f aca="false">AM142*Ipotesi!$C$87</f>
        <v>1019.43661971831</v>
      </c>
      <c r="CA142" s="15" t="n">
        <f aca="false">AB142+BJ142+BL142+BN142+BO142+AR142+BP142+BQ142+BR142+BS142+BT142</f>
        <v>57792.2611425345</v>
      </c>
      <c r="CB142" s="15" t="n">
        <f aca="false">AC142+BK142+BM142+BH142+BU142+BV142+AS142+BW142+BX142+BY142+BZ142</f>
        <v>28885.3286384977</v>
      </c>
      <c r="CC142" s="15" t="n">
        <f aca="false">BI142-CA142</f>
        <v>-23535.9189775496</v>
      </c>
      <c r="CD142" s="15" t="n">
        <f aca="false">AM142-CB142</f>
        <v>5095.89201877935</v>
      </c>
      <c r="CE142" s="15" t="n">
        <f aca="false">INDEX(Ipotesi!$C$79:$G$79,1,F142)/12</f>
        <v>2083.33333333333</v>
      </c>
      <c r="CF142" s="15" t="n">
        <f aca="false">INDEX(Ipotesi!$C$84:$G$84,1,F142)/12</f>
        <v>416.666666666667</v>
      </c>
      <c r="CG142" s="15" t="n">
        <f aca="false">Y142*MAX(0,Parametri_v3!$C$12-IF(P142=0,0,MIN(1,BE142/(P142*Parametri_v3!$C$22))))+W142*Parametri_v3!$C$13+X142*Parametri_v3!$C$14</f>
        <v>15045.524995554</v>
      </c>
      <c r="CH142" s="15" t="n">
        <f aca="false">AB142*Parametri_v3!$C$32</f>
        <v>1988.125</v>
      </c>
      <c r="CI142" s="15" t="n">
        <f aca="false">AC142*Parametri_v3!$C$32</f>
        <v>798.25</v>
      </c>
      <c r="CJ142" s="15" t="n">
        <f aca="false">CA142-AB142</f>
        <v>18029.7611425345</v>
      </c>
      <c r="CK142" s="15" t="n">
        <f aca="false">CB142-AC142-BH142</f>
        <v>9522.20657276995</v>
      </c>
      <c r="CL142" s="15" t="n">
        <f aca="false">BF142*Ipotesi!$C$73+INDEX(Ipotesi!$C$72:$G$72,1,F142)/12*Ipotesi!E126*Parametri_v3!$C$58+Z142*(1-Parametri_v3!$C$16)</f>
        <v>3506.11594127391</v>
      </c>
      <c r="CM142" s="16" t="n">
        <f aca="false">IF(BF142=0,0,1-CL142/BF142)</f>
        <v>0.458505442948296</v>
      </c>
    </row>
    <row r="143" customFormat="false" ht="18" hidden="false" customHeight="true" outlineLevel="0" collapsed="false">
      <c r="A143" s="68" t="n">
        <f aca="false">3</f>
        <v>3</v>
      </c>
      <c r="B143" s="68" t="n">
        <f aca="false">19</f>
        <v>19</v>
      </c>
      <c r="C143" s="18" t="n">
        <f aca="false">EDATE(Parametri_v3!$C$5,19-1)</f>
        <v>46935</v>
      </c>
      <c r="D143" s="68" t="n">
        <f aca="false">YEAR(C143)</f>
        <v>2028</v>
      </c>
      <c r="E143" s="68" t="n">
        <f aca="false">MONTH(C143)</f>
        <v>7</v>
      </c>
      <c r="F143" s="68" t="n">
        <f aca="false">INT((19-1)/12)+1</f>
        <v>2</v>
      </c>
      <c r="G143" s="15" t="n">
        <f aca="false">Ipotesi!E7</f>
        <v>1.25</v>
      </c>
      <c r="H143" s="15" t="n">
        <f aca="false">Ipotesi!E9</f>
        <v>1</v>
      </c>
      <c r="I143" s="15" t="n">
        <f aca="false">Ipotesi!E10</f>
        <v>1</v>
      </c>
      <c r="J143" s="15" t="n">
        <f aca="false">Ipotesi!E11</f>
        <v>1</v>
      </c>
      <c r="K143" s="15" t="n">
        <f aca="false">Ipotesi!E12</f>
        <v>1</v>
      </c>
      <c r="L143" s="15" t="n">
        <f aca="false">Ipotesi!E13</f>
        <v>90</v>
      </c>
      <c r="M143" s="17" t="n">
        <f aca="false">INDEX(Ipotesi!$C$40:$G$40,1,F143)</f>
        <v>1</v>
      </c>
      <c r="N143" s="17" t="n">
        <f aca="false">INDEX(Ipotesi!$C$41:$G$41,1,F143)</f>
        <v>1</v>
      </c>
      <c r="O143" s="17" t="n">
        <f aca="false">INDEX(Ipotesi!$C$42:$G$42,1,F143)*Ipotesi!E125</f>
        <v>2.5</v>
      </c>
      <c r="P143" s="17" t="n">
        <f aca="false">INDEX(Ipotesi!$C$43:$G$43,1,F143)*I143</f>
        <v>2.5</v>
      </c>
      <c r="Q143" s="17" t="n">
        <f aca="false">INDEX(Ipotesi!$C$44:$G$44,1,F143)*I143</f>
        <v>1.5</v>
      </c>
      <c r="R143" s="17" t="n">
        <f aca="false">INDEX(Ipotesi!$C$45:$G$45,1,F143)*I143</f>
        <v>0.5</v>
      </c>
      <c r="S143" s="17" t="n">
        <f aca="false">INDEX(Ipotesi!$C$52:$G$52,1,F143)*Ipotesi!E125</f>
        <v>3</v>
      </c>
      <c r="T143" s="17" t="n">
        <f aca="false">INDEX(Ipotesi!$C$53:$G$53,1,F143)*I143</f>
        <v>1</v>
      </c>
      <c r="U143" s="17" t="n">
        <f aca="false">INDEX(Ipotesi!$C$54:$G$54,1,F143)*I143</f>
        <v>0</v>
      </c>
      <c r="V143" s="15" t="n">
        <f aca="false">M143*INDEX(Ipotesi!$C$58:$G$58,1,F143)*K143/12</f>
        <v>5000</v>
      </c>
      <c r="W143" s="15" t="n">
        <f aca="false">N143*Ipotesi!$C$59*(1+Ipotesi!$C$66)^(F143-1)/12</f>
        <v>6008.33333333333</v>
      </c>
      <c r="X143" s="15" t="n">
        <f aca="false">O143*Ipotesi!$C$60*(1+Ipotesi!$C$66)^(F143-1)/12</f>
        <v>10729.1666666667</v>
      </c>
      <c r="Y143" s="15" t="n">
        <f aca="false">P143*Ipotesi!$C$61*(1+Ipotesi!$C$66)^(F143-1)/12</f>
        <v>10729.1666666667</v>
      </c>
      <c r="Z143" s="15" t="n">
        <f aca="false">Q143*Ipotesi!$C$62*(1+Ipotesi!$C$66)^(F143-1)/12</f>
        <v>5793.75</v>
      </c>
      <c r="AA143" s="15" t="n">
        <f aca="false">R143*Ipotesi!$C$63*(1+Ipotesi!$C$66)^(F143-1)/12</f>
        <v>1502.08333333333</v>
      </c>
      <c r="AB143" s="15" t="n">
        <f aca="false">SUM(V143:AA143)</f>
        <v>39762.5</v>
      </c>
      <c r="AC143" s="15" t="n">
        <f aca="false">(S143*Ipotesi!$C$64+T143*Ipotesi!$C$65+U143*Ipotesi!$C$63)*(1+Ipotesi!$C$66)^(F143-1)/12</f>
        <v>15965</v>
      </c>
      <c r="AD143" s="15" t="n">
        <f aca="false">INDEX(Ipotesi!$C$48:$G$48,1,F143)*G143/12</f>
        <v>46.875</v>
      </c>
      <c r="AE143" s="15" t="n">
        <f aca="false">INDEX(Ipotesi!$C$50:$G$50,1,F143)*G143/12</f>
        <v>5.72916666666667</v>
      </c>
      <c r="AF143" s="15" t="n">
        <f aca="false">(S143*Parametri_v3!$C$7*Parametri_v3!$C$8+Parametri_v3!$C$10)/12</f>
        <v>38.5</v>
      </c>
      <c r="AG143" s="15" t="n">
        <f aca="false">AD143+AE143*(1+Parametri_v3!$C$9)</f>
        <v>55.46875</v>
      </c>
      <c r="AH143" s="16" t="n">
        <f aca="false">IF(AG143=0,1,MIN(1,AF143/AG143))</f>
        <v>0.694084507042253</v>
      </c>
      <c r="AI143" s="15" t="n">
        <f aca="false">AD143*AH143</f>
        <v>32.5352112676056</v>
      </c>
      <c r="AJ143" s="15" t="n">
        <f aca="false">AE143*AH143</f>
        <v>3.97652582159624</v>
      </c>
      <c r="AK143" s="15" t="n">
        <f aca="false">AI143*INDEX(Ipotesi!$C$49:$G$49,1,F143)*H143</f>
        <v>26028.1690140845</v>
      </c>
      <c r="AL143" s="15" t="n">
        <f aca="false">AJ143*INDEX(Ipotesi!$C$51:$G$51,1,F143)*H143</f>
        <v>7953.05164319249</v>
      </c>
      <c r="AM143" s="15" t="n">
        <f aca="false">AK143+AL143</f>
        <v>33981.220657277</v>
      </c>
      <c r="AN143" s="15" t="n">
        <f aca="false">INDEX(Ipotesi!$C$30:$G$30,1,F143)*G143/12</f>
        <v>28.125</v>
      </c>
      <c r="AO143" s="15" t="n">
        <f aca="false">O143*Parametri_v3!$C$7*Parametri_v3!$C$11*(1-Parametri_v3!$C$14)/12</f>
        <v>25.6666666666667</v>
      </c>
      <c r="AP143" s="15" t="n">
        <f aca="false">MIN(AN143,AO143)</f>
        <v>25.6666666666667</v>
      </c>
      <c r="AQ143" s="15" t="n">
        <f aca="false">AP143*INDEX(Ipotesi!$C$31:$G$31,1,F143)*H143</f>
        <v>24383.3333333333</v>
      </c>
      <c r="AR143" s="15" t="n">
        <f aca="false">INDEX(Ipotesi!$C$75:$G$75,1,F143)*J143/12</f>
        <v>4583.33333333333</v>
      </c>
      <c r="AS143" s="15" t="n">
        <f aca="false">INDEX(Ipotesi!$C$81:$G$81,1,F143)*J143/12</f>
        <v>833.333333333333</v>
      </c>
      <c r="AT143" s="15" t="n">
        <f aca="false">AR143*Parametri_v3!$C$15+Z143*Parametri_v3!$C$16</f>
        <v>8638.95833333333</v>
      </c>
      <c r="AU143" s="15" t="n">
        <f aca="false">Q143*Parametri_v3!$C$16*Parametri_v3!$C$17</f>
        <v>105</v>
      </c>
      <c r="AV143" s="17" t="n">
        <f aca="false">BD142</f>
        <v>21.1470701908527</v>
      </c>
      <c r="AW143" s="17" t="n">
        <f aca="false">AV143*(1-(1-INDEX(Ipotesi!$C$34:$G$34,1,F143))^(1/12))</f>
        <v>0.184859460440098</v>
      </c>
      <c r="AX143" s="15" t="n">
        <f aca="false">ROUND(INDEX(Ipotesi!$C$32:$G$32,1,F143)*Ipotesi!E8,0)</f>
        <v>49</v>
      </c>
      <c r="AY143" s="15" t="n">
        <f aca="false">MAX(0,(AX143-(AV143-AW143))/(13-E143))</f>
        <v>4.67296487826457</v>
      </c>
      <c r="AZ143" s="15" t="n">
        <f aca="false">MIN(P143*Parametri_v3!$C$22,Q143*(1-Parametri_v3!$C$16)*Parametri_v3!$C$23)</f>
        <v>67.5</v>
      </c>
      <c r="BA143" s="15" t="n">
        <f aca="false">IF(OR(INDEX(Ipotesi!$C$35:$G$35,1,F143)&lt;=0,19-Parametri_v3!$C$21&lt;1),0,INDEX($AT$125:$AT$184,MAX(1,19-Parametri_v3!$C$21))/(INDEX(Ipotesi!$C$35:$G$35,1,F143)*Ipotesi!E27))</f>
        <v>3.59956597222222</v>
      </c>
      <c r="BB143" s="15" t="n">
        <f aca="false">IF(19-Parametri_v3!$C$21&lt;1,0,INDEX($AU$125:$AU$184,MAX(1,19-Parametri_v3!$C$21)))*Parametri_v3!$C$18*Parametri_v3!$C$19*Parametri_v3!$C$20</f>
        <v>3.9375</v>
      </c>
      <c r="BC143" s="17" t="n">
        <f aca="false">MAX(0,MIN(AY143,BA143,BB143,MAX(0,AZ143-(AV143-AW143))))</f>
        <v>3.59956597222222</v>
      </c>
      <c r="BD143" s="17" t="n">
        <f aca="false">AV143-AW143+BC143</f>
        <v>24.5617767026348</v>
      </c>
      <c r="BE143" s="17" t="n">
        <f aca="false">(AV143+BD143)/2</f>
        <v>22.8544234467437</v>
      </c>
      <c r="BF143" s="15" t="n">
        <f aca="false">BE143*INDEX(Ipotesi!$C$33:$G$33,1,F143)*H143/12</f>
        <v>7618.14114891458</v>
      </c>
      <c r="BG143" s="15" t="n">
        <f aca="false">BD143*INDEX(Ipotesi!$C$33:$G$33,1,F143)*H143</f>
        <v>98247.1068105392</v>
      </c>
      <c r="BH143" s="15" t="n">
        <f aca="false">AM143*INDEX(Ipotesi!$C$37:$G$37,1,F143)</f>
        <v>3398.1220657277</v>
      </c>
      <c r="BI143" s="15" t="n">
        <f aca="false">AQ143+BF143+BH143</f>
        <v>35399.5965479756</v>
      </c>
      <c r="BJ143" s="15" t="n">
        <f aca="false">INDEX(Ipotesi!$C$68:$G$68,1,F143)*Ipotesi!$C$69/12</f>
        <v>1600</v>
      </c>
      <c r="BK143" s="15" t="n">
        <f aca="false">INDEX(Ipotesi!$C$68:$G$68,1,F143)*(1-Ipotesi!$C$69)/12</f>
        <v>2400</v>
      </c>
      <c r="BL143" s="15" t="n">
        <f aca="false">(AQ143+BF143)*Ipotesi!$C$67</f>
        <v>960.044234467437</v>
      </c>
      <c r="BM143" s="15" t="n">
        <f aca="false">AM143*Ipotesi!$C$67</f>
        <v>1019.43661971831</v>
      </c>
      <c r="BN143" s="15" t="n">
        <f aca="false">INDEX(Ipotesi!$C$72:$G$72,1,F143)/12*Ipotesi!E126+BF143*Ipotesi!$C$73</f>
        <v>1859.45129191317</v>
      </c>
      <c r="BO143" s="15" t="n">
        <f aca="false">INDEX(Ipotesi!$C$74:$G$74,1,F143)/12*Ipotesi!E126</f>
        <v>1833.33333333333</v>
      </c>
      <c r="BP143" s="15" t="n">
        <f aca="false">INDEX(Ipotesi!$C$76:$G$76,1,F143)/12</f>
        <v>750</v>
      </c>
      <c r="BQ143" s="15" t="n">
        <f aca="false">INDEX(Ipotesi!$C$77:$G$77,1,F143)/12*Ipotesi!E126</f>
        <v>1666.66666666667</v>
      </c>
      <c r="BR143" s="15" t="n">
        <f aca="false">INDEX(Ipotesi!$C$78:$G$78,1,F143)/12</f>
        <v>1250</v>
      </c>
      <c r="BS143" s="15" t="n">
        <f aca="false">SUM(M143:R143)*(Ipotesi!$C$85+Ipotesi!$C$86)/12</f>
        <v>2625</v>
      </c>
      <c r="BT143" s="15" t="n">
        <f aca="false">BI143*Ipotesi!$C$87</f>
        <v>1061.98789643927</v>
      </c>
      <c r="BU143" s="15" t="n">
        <f aca="false">INDEX(Ipotesi!$C$55:$G$55,1,F143)*K143/12</f>
        <v>1000</v>
      </c>
      <c r="BV143" s="15" t="n">
        <f aca="false">INDEX(Ipotesi!$C$80:$G$80,1,F143)/12*Ipotesi!E126</f>
        <v>833.333333333333</v>
      </c>
      <c r="BW143" s="15" t="n">
        <f aca="false">INDEX(Ipotesi!$C$82:$G$82,1,F143)/12</f>
        <v>666.666666666667</v>
      </c>
      <c r="BX143" s="15" t="n">
        <f aca="false">INDEX(Ipotesi!$C$83:$G$83,1,F143)/12</f>
        <v>583.333333333333</v>
      </c>
      <c r="BY143" s="15" t="n">
        <f aca="false">SUM(S143:U143)*(Ipotesi!$C$85+Ipotesi!$C$86)/12</f>
        <v>1166.66666666667</v>
      </c>
      <c r="BZ143" s="15" t="n">
        <f aca="false">AM143*Ipotesi!$C$87</f>
        <v>1019.43661971831</v>
      </c>
      <c r="CA143" s="15" t="n">
        <f aca="false">AB143+BJ143+BL143+BN143+BO143+AR143+BP143+BQ143+BR143+BS143+BT143</f>
        <v>57952.3167561532</v>
      </c>
      <c r="CB143" s="15" t="n">
        <f aca="false">AC143+BK143+BM143+BH143+BU143+BV143+AS143+BW143+BX143+BY143+BZ143</f>
        <v>28885.3286384977</v>
      </c>
      <c r="CC143" s="15" t="n">
        <f aca="false">BI143-CA143</f>
        <v>-22552.7202081776</v>
      </c>
      <c r="CD143" s="15" t="n">
        <f aca="false">AM143-CB143</f>
        <v>5095.89201877935</v>
      </c>
      <c r="CE143" s="15" t="n">
        <f aca="false">INDEX(Ipotesi!$C$79:$G$79,1,F143)/12</f>
        <v>2083.33333333333</v>
      </c>
      <c r="CF143" s="15" t="n">
        <f aca="false">INDEX(Ipotesi!$C$84:$G$84,1,F143)/12</f>
        <v>416.666666666667</v>
      </c>
      <c r="CG143" s="15" t="n">
        <f aca="false">Y143*MAX(0,Parametri_v3!$C$12-IF(P143=0,0,MIN(1,BE143/(P143*Parametri_v3!$C$22))))+W143*Parametri_v3!$C$13+X143*Parametri_v3!$C$14</f>
        <v>14898.3309937439</v>
      </c>
      <c r="CH143" s="15" t="n">
        <f aca="false">AB143*Parametri_v3!$C$32</f>
        <v>1988.125</v>
      </c>
      <c r="CI143" s="15" t="n">
        <f aca="false">AC143*Parametri_v3!$C$32</f>
        <v>798.25</v>
      </c>
      <c r="CJ143" s="15" t="n">
        <f aca="false">CA143-AB143</f>
        <v>18189.8167561532</v>
      </c>
      <c r="CK143" s="15" t="n">
        <f aca="false">CB143-AC143-BH143</f>
        <v>9522.20657276995</v>
      </c>
      <c r="CL143" s="15" t="n">
        <f aca="false">BF143*Ipotesi!$C$73+INDEX(Ipotesi!$C$72:$G$72,1,F143)/12*Ipotesi!E126*Parametri_v3!$C$58+Z143*(1-Parametri_v3!$C$16)</f>
        <v>3597.57629191317</v>
      </c>
      <c r="CM143" s="16" t="n">
        <f aca="false">IF(BF143=0,0,1-CL143/BF143)</f>
        <v>0.527761927537173</v>
      </c>
    </row>
    <row r="144" customFormat="false" ht="18" hidden="false" customHeight="true" outlineLevel="0" collapsed="false">
      <c r="A144" s="68" t="n">
        <f aca="false">3</f>
        <v>3</v>
      </c>
      <c r="B144" s="68" t="n">
        <f aca="false">20</f>
        <v>20</v>
      </c>
      <c r="C144" s="18" t="n">
        <f aca="false">EDATE(Parametri_v3!$C$5,20-1)</f>
        <v>46966</v>
      </c>
      <c r="D144" s="68" t="n">
        <f aca="false">YEAR(C144)</f>
        <v>2028</v>
      </c>
      <c r="E144" s="68" t="n">
        <f aca="false">MONTH(C144)</f>
        <v>8</v>
      </c>
      <c r="F144" s="68" t="n">
        <f aca="false">INT((20-1)/12)+1</f>
        <v>2</v>
      </c>
      <c r="G144" s="15" t="n">
        <f aca="false">Ipotesi!E7</f>
        <v>1.25</v>
      </c>
      <c r="H144" s="15" t="n">
        <f aca="false">Ipotesi!E9</f>
        <v>1</v>
      </c>
      <c r="I144" s="15" t="n">
        <f aca="false">Ipotesi!E10</f>
        <v>1</v>
      </c>
      <c r="J144" s="15" t="n">
        <f aca="false">Ipotesi!E11</f>
        <v>1</v>
      </c>
      <c r="K144" s="15" t="n">
        <f aca="false">Ipotesi!E12</f>
        <v>1</v>
      </c>
      <c r="L144" s="15" t="n">
        <f aca="false">Ipotesi!E13</f>
        <v>90</v>
      </c>
      <c r="M144" s="17" t="n">
        <f aca="false">INDEX(Ipotesi!$C$40:$G$40,1,F144)</f>
        <v>1</v>
      </c>
      <c r="N144" s="17" t="n">
        <f aca="false">INDEX(Ipotesi!$C$41:$G$41,1,F144)</f>
        <v>1</v>
      </c>
      <c r="O144" s="17" t="n">
        <f aca="false">INDEX(Ipotesi!$C$42:$G$42,1,F144)*Ipotesi!E125</f>
        <v>2.5</v>
      </c>
      <c r="P144" s="17" t="n">
        <f aca="false">INDEX(Ipotesi!$C$43:$G$43,1,F144)*I144</f>
        <v>2.5</v>
      </c>
      <c r="Q144" s="17" t="n">
        <f aca="false">INDEX(Ipotesi!$C$44:$G$44,1,F144)*I144</f>
        <v>1.5</v>
      </c>
      <c r="R144" s="17" t="n">
        <f aca="false">INDEX(Ipotesi!$C$45:$G$45,1,F144)*I144</f>
        <v>0.5</v>
      </c>
      <c r="S144" s="17" t="n">
        <f aca="false">INDEX(Ipotesi!$C$52:$G$52,1,F144)*Ipotesi!E125</f>
        <v>3</v>
      </c>
      <c r="T144" s="17" t="n">
        <f aca="false">INDEX(Ipotesi!$C$53:$G$53,1,F144)*I144</f>
        <v>1</v>
      </c>
      <c r="U144" s="17" t="n">
        <f aca="false">INDEX(Ipotesi!$C$54:$G$54,1,F144)*I144</f>
        <v>0</v>
      </c>
      <c r="V144" s="15" t="n">
        <f aca="false">M144*INDEX(Ipotesi!$C$58:$G$58,1,F144)*K144/12</f>
        <v>5000</v>
      </c>
      <c r="W144" s="15" t="n">
        <f aca="false">N144*Ipotesi!$C$59*(1+Ipotesi!$C$66)^(F144-1)/12</f>
        <v>6008.33333333333</v>
      </c>
      <c r="X144" s="15" t="n">
        <f aca="false">O144*Ipotesi!$C$60*(1+Ipotesi!$C$66)^(F144-1)/12</f>
        <v>10729.1666666667</v>
      </c>
      <c r="Y144" s="15" t="n">
        <f aca="false">P144*Ipotesi!$C$61*(1+Ipotesi!$C$66)^(F144-1)/12</f>
        <v>10729.1666666667</v>
      </c>
      <c r="Z144" s="15" t="n">
        <f aca="false">Q144*Ipotesi!$C$62*(1+Ipotesi!$C$66)^(F144-1)/12</f>
        <v>5793.75</v>
      </c>
      <c r="AA144" s="15" t="n">
        <f aca="false">R144*Ipotesi!$C$63*(1+Ipotesi!$C$66)^(F144-1)/12</f>
        <v>1502.08333333333</v>
      </c>
      <c r="AB144" s="15" t="n">
        <f aca="false">SUM(V144:AA144)</f>
        <v>39762.5</v>
      </c>
      <c r="AC144" s="15" t="n">
        <f aca="false">(S144*Ipotesi!$C$64+T144*Ipotesi!$C$65+U144*Ipotesi!$C$63)*(1+Ipotesi!$C$66)^(F144-1)/12</f>
        <v>15965</v>
      </c>
      <c r="AD144" s="15" t="n">
        <f aca="false">INDEX(Ipotesi!$C$48:$G$48,1,F144)*G144/12</f>
        <v>46.875</v>
      </c>
      <c r="AE144" s="15" t="n">
        <f aca="false">INDEX(Ipotesi!$C$50:$G$50,1,F144)*G144/12</f>
        <v>5.72916666666667</v>
      </c>
      <c r="AF144" s="15" t="n">
        <f aca="false">(S144*Parametri_v3!$C$7*Parametri_v3!$C$8+Parametri_v3!$C$10)/12</f>
        <v>38.5</v>
      </c>
      <c r="AG144" s="15" t="n">
        <f aca="false">AD144+AE144*(1+Parametri_v3!$C$9)</f>
        <v>55.46875</v>
      </c>
      <c r="AH144" s="16" t="n">
        <f aca="false">IF(AG144=0,1,MIN(1,AF144/AG144))</f>
        <v>0.694084507042253</v>
      </c>
      <c r="AI144" s="15" t="n">
        <f aca="false">AD144*AH144</f>
        <v>32.5352112676056</v>
      </c>
      <c r="AJ144" s="15" t="n">
        <f aca="false">AE144*AH144</f>
        <v>3.97652582159624</v>
      </c>
      <c r="AK144" s="15" t="n">
        <f aca="false">AI144*INDEX(Ipotesi!$C$49:$G$49,1,F144)*H144</f>
        <v>26028.1690140845</v>
      </c>
      <c r="AL144" s="15" t="n">
        <f aca="false">AJ144*INDEX(Ipotesi!$C$51:$G$51,1,F144)*H144</f>
        <v>7953.05164319249</v>
      </c>
      <c r="AM144" s="15" t="n">
        <f aca="false">AK144+AL144</f>
        <v>33981.220657277</v>
      </c>
      <c r="AN144" s="15" t="n">
        <f aca="false">INDEX(Ipotesi!$C$30:$G$30,1,F144)*G144/12</f>
        <v>28.125</v>
      </c>
      <c r="AO144" s="15" t="n">
        <f aca="false">O144*Parametri_v3!$C$7*Parametri_v3!$C$11*(1-Parametri_v3!$C$14)/12</f>
        <v>25.6666666666667</v>
      </c>
      <c r="AP144" s="15" t="n">
        <f aca="false">MIN(AN144,AO144)</f>
        <v>25.6666666666667</v>
      </c>
      <c r="AQ144" s="15" t="n">
        <f aca="false">AP144*INDEX(Ipotesi!$C$31:$G$31,1,F144)*H144</f>
        <v>24383.3333333333</v>
      </c>
      <c r="AR144" s="15" t="n">
        <f aca="false">INDEX(Ipotesi!$C$75:$G$75,1,F144)*J144/12</f>
        <v>4583.33333333333</v>
      </c>
      <c r="AS144" s="15" t="n">
        <f aca="false">INDEX(Ipotesi!$C$81:$G$81,1,F144)*J144/12</f>
        <v>833.333333333333</v>
      </c>
      <c r="AT144" s="15" t="n">
        <f aca="false">AR144*Parametri_v3!$C$15+Z144*Parametri_v3!$C$16</f>
        <v>8638.95833333333</v>
      </c>
      <c r="AU144" s="15" t="n">
        <f aca="false">Q144*Parametri_v3!$C$16*Parametri_v3!$C$17</f>
        <v>105</v>
      </c>
      <c r="AV144" s="17" t="n">
        <f aca="false">BD143</f>
        <v>24.5617767026348</v>
      </c>
      <c r="AW144" s="17" t="n">
        <f aca="false">AV144*(1-(1-INDEX(Ipotesi!$C$34:$G$34,1,F144))^(1/12))</f>
        <v>0.214709496290567</v>
      </c>
      <c r="AX144" s="15" t="n">
        <f aca="false">ROUND(INDEX(Ipotesi!$C$32:$G$32,1,F144)*Ipotesi!E8,0)</f>
        <v>49</v>
      </c>
      <c r="AY144" s="15" t="n">
        <f aca="false">MAX(0,(AX144-(AV144-AW144))/(13-E144))</f>
        <v>4.93058655873115</v>
      </c>
      <c r="AZ144" s="15" t="n">
        <f aca="false">MIN(P144*Parametri_v3!$C$22,Q144*(1-Parametri_v3!$C$16)*Parametri_v3!$C$23)</f>
        <v>67.5</v>
      </c>
      <c r="BA144" s="15" t="n">
        <f aca="false">IF(OR(INDEX(Ipotesi!$C$35:$G$35,1,F144)&lt;=0,20-Parametri_v3!$C$21&lt;1),0,INDEX($AT$125:$AT$184,MAX(1,20-Parametri_v3!$C$21))/(INDEX(Ipotesi!$C$35:$G$35,1,F144)*Ipotesi!E27))</f>
        <v>3.59956597222222</v>
      </c>
      <c r="BB144" s="15" t="n">
        <f aca="false">IF(20-Parametri_v3!$C$21&lt;1,0,INDEX($AU$125:$AU$184,MAX(1,20-Parametri_v3!$C$21)))*Parametri_v3!$C$18*Parametri_v3!$C$19*Parametri_v3!$C$20</f>
        <v>3.9375</v>
      </c>
      <c r="BC144" s="17" t="n">
        <f aca="false">MAX(0,MIN(AY144,BA144,BB144,MAX(0,AZ144-(AV144-AW144))))</f>
        <v>3.59956597222222</v>
      </c>
      <c r="BD144" s="17" t="n">
        <f aca="false">AV144-AW144+BC144</f>
        <v>27.9466331785665</v>
      </c>
      <c r="BE144" s="17" t="n">
        <f aca="false">(AV144+BD144)/2</f>
        <v>26.2542049406006</v>
      </c>
      <c r="BF144" s="15" t="n">
        <f aca="false">BE144*INDEX(Ipotesi!$C$33:$G$33,1,F144)*H144/12</f>
        <v>8751.40164686688</v>
      </c>
      <c r="BG144" s="15" t="n">
        <f aca="false">BD144*INDEX(Ipotesi!$C$33:$G$33,1,F144)*H144</f>
        <v>111786.532714266</v>
      </c>
      <c r="BH144" s="15" t="n">
        <f aca="false">AM144*INDEX(Ipotesi!$C$37:$G$37,1,F144)</f>
        <v>3398.1220657277</v>
      </c>
      <c r="BI144" s="15" t="n">
        <f aca="false">AQ144+BF144+BH144</f>
        <v>36532.8570459279</v>
      </c>
      <c r="BJ144" s="15" t="n">
        <f aca="false">INDEX(Ipotesi!$C$68:$G$68,1,F144)*Ipotesi!$C$69/12</f>
        <v>1600</v>
      </c>
      <c r="BK144" s="15" t="n">
        <f aca="false">INDEX(Ipotesi!$C$68:$G$68,1,F144)*(1-Ipotesi!$C$69)/12</f>
        <v>2400</v>
      </c>
      <c r="BL144" s="15" t="n">
        <f aca="false">(AQ144+BF144)*Ipotesi!$C$67</f>
        <v>994.042049406006</v>
      </c>
      <c r="BM144" s="15" t="n">
        <f aca="false">AM144*Ipotesi!$C$67</f>
        <v>1019.43661971831</v>
      </c>
      <c r="BN144" s="15" t="n">
        <f aca="false">INDEX(Ipotesi!$C$72:$G$72,1,F144)/12*Ipotesi!E126+BF144*Ipotesi!$C$73</f>
        <v>1950.11213174935</v>
      </c>
      <c r="BO144" s="15" t="n">
        <f aca="false">INDEX(Ipotesi!$C$74:$G$74,1,F144)/12*Ipotesi!E126</f>
        <v>1833.33333333333</v>
      </c>
      <c r="BP144" s="15" t="n">
        <f aca="false">INDEX(Ipotesi!$C$76:$G$76,1,F144)/12</f>
        <v>750</v>
      </c>
      <c r="BQ144" s="15" t="n">
        <f aca="false">INDEX(Ipotesi!$C$77:$G$77,1,F144)/12*Ipotesi!E126</f>
        <v>1666.66666666667</v>
      </c>
      <c r="BR144" s="15" t="n">
        <f aca="false">INDEX(Ipotesi!$C$78:$G$78,1,F144)/12</f>
        <v>1250</v>
      </c>
      <c r="BS144" s="15" t="n">
        <f aca="false">SUM(M144:R144)*(Ipotesi!$C$85+Ipotesi!$C$86)/12</f>
        <v>2625</v>
      </c>
      <c r="BT144" s="15" t="n">
        <f aca="false">BI144*Ipotesi!$C$87</f>
        <v>1095.98571137784</v>
      </c>
      <c r="BU144" s="15" t="n">
        <f aca="false">INDEX(Ipotesi!$C$55:$G$55,1,F144)*K144/12</f>
        <v>1000</v>
      </c>
      <c r="BV144" s="15" t="n">
        <f aca="false">INDEX(Ipotesi!$C$80:$G$80,1,F144)/12*Ipotesi!E126</f>
        <v>833.333333333333</v>
      </c>
      <c r="BW144" s="15" t="n">
        <f aca="false">INDEX(Ipotesi!$C$82:$G$82,1,F144)/12</f>
        <v>666.666666666667</v>
      </c>
      <c r="BX144" s="15" t="n">
        <f aca="false">INDEX(Ipotesi!$C$83:$G$83,1,F144)/12</f>
        <v>583.333333333333</v>
      </c>
      <c r="BY144" s="15" t="n">
        <f aca="false">SUM(S144:U144)*(Ipotesi!$C$85+Ipotesi!$C$86)/12</f>
        <v>1166.66666666667</v>
      </c>
      <c r="BZ144" s="15" t="n">
        <f aca="false">AM144*Ipotesi!$C$87</f>
        <v>1019.43661971831</v>
      </c>
      <c r="CA144" s="15" t="n">
        <f aca="false">AB144+BJ144+BL144+BN144+BO144+AR144+BP144+BQ144+BR144+BS144+BT144</f>
        <v>58110.9732258665</v>
      </c>
      <c r="CB144" s="15" t="n">
        <f aca="false">AC144+BK144+BM144+BH144+BU144+BV144+AS144+BW144+BX144+BY144+BZ144</f>
        <v>28885.3286384977</v>
      </c>
      <c r="CC144" s="15" t="n">
        <f aca="false">BI144-CA144</f>
        <v>-21578.1161799386</v>
      </c>
      <c r="CD144" s="15" t="n">
        <f aca="false">AM144-CB144</f>
        <v>5095.89201877935</v>
      </c>
      <c r="CE144" s="15" t="n">
        <f aca="false">INDEX(Ipotesi!$C$79:$G$79,1,F144)/12</f>
        <v>2083.33333333333</v>
      </c>
      <c r="CF144" s="15" t="n">
        <f aca="false">INDEX(Ipotesi!$C$84:$G$84,1,F144)/12</f>
        <v>416.666666666667</v>
      </c>
      <c r="CG144" s="15" t="n">
        <f aca="false">Y144*MAX(0,Parametri_v3!$C$12-IF(P144=0,0,MIN(1,BE144/(P144*Parametri_v3!$C$22))))+W144*Parametri_v3!$C$13+X144*Parametri_v3!$C$14</f>
        <v>14752.4237046326</v>
      </c>
      <c r="CH144" s="15" t="n">
        <f aca="false">AB144*Parametri_v3!$C$32</f>
        <v>1988.125</v>
      </c>
      <c r="CI144" s="15" t="n">
        <f aca="false">AC144*Parametri_v3!$C$32</f>
        <v>798.25</v>
      </c>
      <c r="CJ144" s="15" t="n">
        <f aca="false">CA144-AB144</f>
        <v>18348.4732258665</v>
      </c>
      <c r="CK144" s="15" t="n">
        <f aca="false">CB144-AC144-BH144</f>
        <v>9522.20657276995</v>
      </c>
      <c r="CL144" s="15" t="n">
        <f aca="false">BF144*Ipotesi!$C$73+INDEX(Ipotesi!$C$72:$G$72,1,F144)/12*Ipotesi!E126*Parametri_v3!$C$58+Z144*(1-Parametri_v3!$C$16)</f>
        <v>3688.23713174935</v>
      </c>
      <c r="CM144" s="16" t="n">
        <f aca="false">IF(BF144=0,0,1-CL144/BF144)</f>
        <v>0.578554695513285</v>
      </c>
    </row>
    <row r="145" customFormat="false" ht="18" hidden="false" customHeight="true" outlineLevel="0" collapsed="false">
      <c r="A145" s="68" t="n">
        <f aca="false">3</f>
        <v>3</v>
      </c>
      <c r="B145" s="68" t="n">
        <f aca="false">21</f>
        <v>21</v>
      </c>
      <c r="C145" s="18" t="n">
        <f aca="false">EDATE(Parametri_v3!$C$5,21-1)</f>
        <v>46997</v>
      </c>
      <c r="D145" s="68" t="n">
        <f aca="false">YEAR(C145)</f>
        <v>2028</v>
      </c>
      <c r="E145" s="68" t="n">
        <f aca="false">MONTH(C145)</f>
        <v>9</v>
      </c>
      <c r="F145" s="68" t="n">
        <f aca="false">INT((21-1)/12)+1</f>
        <v>2</v>
      </c>
      <c r="G145" s="15" t="n">
        <f aca="false">Ipotesi!E7</f>
        <v>1.25</v>
      </c>
      <c r="H145" s="15" t="n">
        <f aca="false">Ipotesi!E9</f>
        <v>1</v>
      </c>
      <c r="I145" s="15" t="n">
        <f aca="false">Ipotesi!E10</f>
        <v>1</v>
      </c>
      <c r="J145" s="15" t="n">
        <f aca="false">Ipotesi!E11</f>
        <v>1</v>
      </c>
      <c r="K145" s="15" t="n">
        <f aca="false">Ipotesi!E12</f>
        <v>1</v>
      </c>
      <c r="L145" s="15" t="n">
        <f aca="false">Ipotesi!E13</f>
        <v>90</v>
      </c>
      <c r="M145" s="17" t="n">
        <f aca="false">INDEX(Ipotesi!$C$40:$G$40,1,F145)</f>
        <v>1</v>
      </c>
      <c r="N145" s="17" t="n">
        <f aca="false">INDEX(Ipotesi!$C$41:$G$41,1,F145)</f>
        <v>1</v>
      </c>
      <c r="O145" s="17" t="n">
        <f aca="false">INDEX(Ipotesi!$C$42:$G$42,1,F145)*Ipotesi!E125</f>
        <v>2.5</v>
      </c>
      <c r="P145" s="17" t="n">
        <f aca="false">INDEX(Ipotesi!$C$43:$G$43,1,F145)*I145</f>
        <v>2.5</v>
      </c>
      <c r="Q145" s="17" t="n">
        <f aca="false">INDEX(Ipotesi!$C$44:$G$44,1,F145)*I145</f>
        <v>1.5</v>
      </c>
      <c r="R145" s="17" t="n">
        <f aca="false">INDEX(Ipotesi!$C$45:$G$45,1,F145)*I145</f>
        <v>0.5</v>
      </c>
      <c r="S145" s="17" t="n">
        <f aca="false">INDEX(Ipotesi!$C$52:$G$52,1,F145)*Ipotesi!E125</f>
        <v>3</v>
      </c>
      <c r="T145" s="17" t="n">
        <f aca="false">INDEX(Ipotesi!$C$53:$G$53,1,F145)*I145</f>
        <v>1</v>
      </c>
      <c r="U145" s="17" t="n">
        <f aca="false">INDEX(Ipotesi!$C$54:$G$54,1,F145)*I145</f>
        <v>0</v>
      </c>
      <c r="V145" s="15" t="n">
        <f aca="false">M145*INDEX(Ipotesi!$C$58:$G$58,1,F145)*K145/12</f>
        <v>5000</v>
      </c>
      <c r="W145" s="15" t="n">
        <f aca="false">N145*Ipotesi!$C$59*(1+Ipotesi!$C$66)^(F145-1)/12</f>
        <v>6008.33333333333</v>
      </c>
      <c r="X145" s="15" t="n">
        <f aca="false">O145*Ipotesi!$C$60*(1+Ipotesi!$C$66)^(F145-1)/12</f>
        <v>10729.1666666667</v>
      </c>
      <c r="Y145" s="15" t="n">
        <f aca="false">P145*Ipotesi!$C$61*(1+Ipotesi!$C$66)^(F145-1)/12</f>
        <v>10729.1666666667</v>
      </c>
      <c r="Z145" s="15" t="n">
        <f aca="false">Q145*Ipotesi!$C$62*(1+Ipotesi!$C$66)^(F145-1)/12</f>
        <v>5793.75</v>
      </c>
      <c r="AA145" s="15" t="n">
        <f aca="false">R145*Ipotesi!$C$63*(1+Ipotesi!$C$66)^(F145-1)/12</f>
        <v>1502.08333333333</v>
      </c>
      <c r="AB145" s="15" t="n">
        <f aca="false">SUM(V145:AA145)</f>
        <v>39762.5</v>
      </c>
      <c r="AC145" s="15" t="n">
        <f aca="false">(S145*Ipotesi!$C$64+T145*Ipotesi!$C$65+U145*Ipotesi!$C$63)*(1+Ipotesi!$C$66)^(F145-1)/12</f>
        <v>15965</v>
      </c>
      <c r="AD145" s="15" t="n">
        <f aca="false">INDEX(Ipotesi!$C$48:$G$48,1,F145)*G145/12</f>
        <v>46.875</v>
      </c>
      <c r="AE145" s="15" t="n">
        <f aca="false">INDEX(Ipotesi!$C$50:$G$50,1,F145)*G145/12</f>
        <v>5.72916666666667</v>
      </c>
      <c r="AF145" s="15" t="n">
        <f aca="false">(S145*Parametri_v3!$C$7*Parametri_v3!$C$8+Parametri_v3!$C$10)/12</f>
        <v>38.5</v>
      </c>
      <c r="AG145" s="15" t="n">
        <f aca="false">AD145+AE145*(1+Parametri_v3!$C$9)</f>
        <v>55.46875</v>
      </c>
      <c r="AH145" s="16" t="n">
        <f aca="false">IF(AG145=0,1,MIN(1,AF145/AG145))</f>
        <v>0.694084507042253</v>
      </c>
      <c r="AI145" s="15" t="n">
        <f aca="false">AD145*AH145</f>
        <v>32.5352112676056</v>
      </c>
      <c r="AJ145" s="15" t="n">
        <f aca="false">AE145*AH145</f>
        <v>3.97652582159624</v>
      </c>
      <c r="AK145" s="15" t="n">
        <f aca="false">AI145*INDEX(Ipotesi!$C$49:$G$49,1,F145)*H145</f>
        <v>26028.1690140845</v>
      </c>
      <c r="AL145" s="15" t="n">
        <f aca="false">AJ145*INDEX(Ipotesi!$C$51:$G$51,1,F145)*H145</f>
        <v>7953.05164319249</v>
      </c>
      <c r="AM145" s="15" t="n">
        <f aca="false">AK145+AL145</f>
        <v>33981.220657277</v>
      </c>
      <c r="AN145" s="15" t="n">
        <f aca="false">INDEX(Ipotesi!$C$30:$G$30,1,F145)*G145/12</f>
        <v>28.125</v>
      </c>
      <c r="AO145" s="15" t="n">
        <f aca="false">O145*Parametri_v3!$C$7*Parametri_v3!$C$11*(1-Parametri_v3!$C$14)/12</f>
        <v>25.6666666666667</v>
      </c>
      <c r="AP145" s="15" t="n">
        <f aca="false">MIN(AN145,AO145)</f>
        <v>25.6666666666667</v>
      </c>
      <c r="AQ145" s="15" t="n">
        <f aca="false">AP145*INDEX(Ipotesi!$C$31:$G$31,1,F145)*H145</f>
        <v>24383.3333333333</v>
      </c>
      <c r="AR145" s="15" t="n">
        <f aca="false">INDEX(Ipotesi!$C$75:$G$75,1,F145)*J145/12</f>
        <v>4583.33333333333</v>
      </c>
      <c r="AS145" s="15" t="n">
        <f aca="false">INDEX(Ipotesi!$C$81:$G$81,1,F145)*J145/12</f>
        <v>833.333333333333</v>
      </c>
      <c r="AT145" s="15" t="n">
        <f aca="false">AR145*Parametri_v3!$C$15+Z145*Parametri_v3!$C$16</f>
        <v>8638.95833333333</v>
      </c>
      <c r="AU145" s="15" t="n">
        <f aca="false">Q145*Parametri_v3!$C$16*Parametri_v3!$C$17</f>
        <v>105</v>
      </c>
      <c r="AV145" s="17" t="n">
        <f aca="false">BD144</f>
        <v>27.9466331785665</v>
      </c>
      <c r="AW145" s="17" t="n">
        <f aca="false">AV145*(1-(1-INDEX(Ipotesi!$C$34:$G$34,1,F145))^(1/12))</f>
        <v>0.244298594740647</v>
      </c>
      <c r="AX145" s="15" t="n">
        <f aca="false">ROUND(INDEX(Ipotesi!$C$32:$G$32,1,F145)*Ipotesi!E8,0)</f>
        <v>49</v>
      </c>
      <c r="AY145" s="15" t="n">
        <f aca="false">MAX(0,(AX145-(AV145-AW145))/(13-E145))</f>
        <v>5.32441635404355</v>
      </c>
      <c r="AZ145" s="15" t="n">
        <f aca="false">MIN(P145*Parametri_v3!$C$22,Q145*(1-Parametri_v3!$C$16)*Parametri_v3!$C$23)</f>
        <v>67.5</v>
      </c>
      <c r="BA145" s="15" t="n">
        <f aca="false">IF(OR(INDEX(Ipotesi!$C$35:$G$35,1,F145)&lt;=0,21-Parametri_v3!$C$21&lt;1),0,INDEX($AT$125:$AT$184,MAX(1,21-Parametri_v3!$C$21))/(INDEX(Ipotesi!$C$35:$G$35,1,F145)*Ipotesi!E27))</f>
        <v>3.59956597222222</v>
      </c>
      <c r="BB145" s="15" t="n">
        <f aca="false">IF(21-Parametri_v3!$C$21&lt;1,0,INDEX($AU$125:$AU$184,MAX(1,21-Parametri_v3!$C$21)))*Parametri_v3!$C$18*Parametri_v3!$C$19*Parametri_v3!$C$20</f>
        <v>3.9375</v>
      </c>
      <c r="BC145" s="17" t="n">
        <f aca="false">MAX(0,MIN(AY145,BA145,BB145,MAX(0,AZ145-(AV145-AW145))))</f>
        <v>3.59956597222222</v>
      </c>
      <c r="BD145" s="17" t="n">
        <f aca="false">AV145-AW145+BC145</f>
        <v>31.301900556048</v>
      </c>
      <c r="BE145" s="17" t="n">
        <f aca="false">(AV145+BD145)/2</f>
        <v>29.6242668673072</v>
      </c>
      <c r="BF145" s="15" t="n">
        <f aca="false">BE145*INDEX(Ipotesi!$C$33:$G$33,1,F145)*H145/12</f>
        <v>9874.75562243575</v>
      </c>
      <c r="BG145" s="15" t="n">
        <f aca="false">BD145*INDEX(Ipotesi!$C$33:$G$33,1,F145)*H145</f>
        <v>125207.602224192</v>
      </c>
      <c r="BH145" s="15" t="n">
        <f aca="false">AM145*INDEX(Ipotesi!$C$37:$G$37,1,F145)</f>
        <v>3398.1220657277</v>
      </c>
      <c r="BI145" s="15" t="n">
        <f aca="false">AQ145+BF145+BH145</f>
        <v>37656.2110214968</v>
      </c>
      <c r="BJ145" s="15" t="n">
        <f aca="false">INDEX(Ipotesi!$C$68:$G$68,1,F145)*Ipotesi!$C$69/12</f>
        <v>1600</v>
      </c>
      <c r="BK145" s="15" t="n">
        <f aca="false">INDEX(Ipotesi!$C$68:$G$68,1,F145)*(1-Ipotesi!$C$69)/12</f>
        <v>2400</v>
      </c>
      <c r="BL145" s="15" t="n">
        <f aca="false">(AQ145+BF145)*Ipotesi!$C$67</f>
        <v>1027.74266867307</v>
      </c>
      <c r="BM145" s="15" t="n">
        <f aca="false">AM145*Ipotesi!$C$67</f>
        <v>1019.43661971831</v>
      </c>
      <c r="BN145" s="15" t="n">
        <f aca="false">INDEX(Ipotesi!$C$72:$G$72,1,F145)/12*Ipotesi!E126+BF145*Ipotesi!$C$73</f>
        <v>2039.98044979486</v>
      </c>
      <c r="BO145" s="15" t="n">
        <f aca="false">INDEX(Ipotesi!$C$74:$G$74,1,F145)/12*Ipotesi!E126</f>
        <v>1833.33333333333</v>
      </c>
      <c r="BP145" s="15" t="n">
        <f aca="false">INDEX(Ipotesi!$C$76:$G$76,1,F145)/12</f>
        <v>750</v>
      </c>
      <c r="BQ145" s="15" t="n">
        <f aca="false">INDEX(Ipotesi!$C$77:$G$77,1,F145)/12*Ipotesi!E126</f>
        <v>1666.66666666667</v>
      </c>
      <c r="BR145" s="15" t="n">
        <f aca="false">INDEX(Ipotesi!$C$78:$G$78,1,F145)/12</f>
        <v>1250</v>
      </c>
      <c r="BS145" s="15" t="n">
        <f aca="false">SUM(M145:R145)*(Ipotesi!$C$85+Ipotesi!$C$86)/12</f>
        <v>2625</v>
      </c>
      <c r="BT145" s="15" t="n">
        <f aca="false">BI145*Ipotesi!$C$87</f>
        <v>1129.6863306449</v>
      </c>
      <c r="BU145" s="15" t="n">
        <f aca="false">INDEX(Ipotesi!$C$55:$G$55,1,F145)*K145/12</f>
        <v>1000</v>
      </c>
      <c r="BV145" s="15" t="n">
        <f aca="false">INDEX(Ipotesi!$C$80:$G$80,1,F145)/12*Ipotesi!E126</f>
        <v>833.333333333333</v>
      </c>
      <c r="BW145" s="15" t="n">
        <f aca="false">INDEX(Ipotesi!$C$82:$G$82,1,F145)/12</f>
        <v>666.666666666667</v>
      </c>
      <c r="BX145" s="15" t="n">
        <f aca="false">INDEX(Ipotesi!$C$83:$G$83,1,F145)/12</f>
        <v>583.333333333333</v>
      </c>
      <c r="BY145" s="15" t="n">
        <f aca="false">SUM(S145:U145)*(Ipotesi!$C$85+Ipotesi!$C$86)/12</f>
        <v>1166.66666666667</v>
      </c>
      <c r="BZ145" s="15" t="n">
        <f aca="false">AM145*Ipotesi!$C$87</f>
        <v>1019.43661971831</v>
      </c>
      <c r="CA145" s="15" t="n">
        <f aca="false">AB145+BJ145+BL145+BN145+BO145+AR145+BP145+BQ145+BR145+BS145+BT145</f>
        <v>58268.2427824462</v>
      </c>
      <c r="CB145" s="15" t="n">
        <f aca="false">AC145+BK145+BM145+BH145+BU145+BV145+AS145+BW145+BX145+BY145+BZ145</f>
        <v>28885.3286384977</v>
      </c>
      <c r="CC145" s="15" t="n">
        <f aca="false">BI145-CA145</f>
        <v>-20612.0317609494</v>
      </c>
      <c r="CD145" s="15" t="n">
        <f aca="false">AM145-CB145</f>
        <v>5095.89201877935</v>
      </c>
      <c r="CE145" s="15" t="n">
        <f aca="false">INDEX(Ipotesi!$C$79:$G$79,1,F145)/12</f>
        <v>2083.33333333333</v>
      </c>
      <c r="CF145" s="15" t="n">
        <f aca="false">INDEX(Ipotesi!$C$84:$G$84,1,F145)/12</f>
        <v>416.666666666667</v>
      </c>
      <c r="CG145" s="15" t="n">
        <f aca="false">Y145*MAX(0,Parametri_v3!$C$12-IF(P145=0,0,MIN(1,BE145/(P145*Parametri_v3!$C$22))))+W145*Parametri_v3!$C$13+X145*Parametri_v3!$C$14</f>
        <v>14607.7918802781</v>
      </c>
      <c r="CH145" s="15" t="n">
        <f aca="false">AB145*Parametri_v3!$C$32</f>
        <v>1988.125</v>
      </c>
      <c r="CI145" s="15" t="n">
        <f aca="false">AC145*Parametri_v3!$C$32</f>
        <v>798.25</v>
      </c>
      <c r="CJ145" s="15" t="n">
        <f aca="false">CA145-AB145</f>
        <v>18505.7427824462</v>
      </c>
      <c r="CK145" s="15" t="n">
        <f aca="false">CB145-AC145-BH145</f>
        <v>9522.20657276995</v>
      </c>
      <c r="CL145" s="15" t="n">
        <f aca="false">BF145*Ipotesi!$C$73+INDEX(Ipotesi!$C$72:$G$72,1,F145)/12*Ipotesi!E126*Parametri_v3!$C$58+Z145*(1-Parametri_v3!$C$16)</f>
        <v>3778.10544979486</v>
      </c>
      <c r="CM145" s="16" t="n">
        <f aca="false">IF(BF145=0,0,1-CL145/BF145)</f>
        <v>0.61739757476014</v>
      </c>
    </row>
    <row r="146" customFormat="false" ht="18" hidden="false" customHeight="true" outlineLevel="0" collapsed="false">
      <c r="A146" s="68" t="n">
        <f aca="false">3</f>
        <v>3</v>
      </c>
      <c r="B146" s="68" t="n">
        <f aca="false">22</f>
        <v>22</v>
      </c>
      <c r="C146" s="18" t="n">
        <f aca="false">EDATE(Parametri_v3!$C$5,22-1)</f>
        <v>47027</v>
      </c>
      <c r="D146" s="68" t="n">
        <f aca="false">YEAR(C146)</f>
        <v>2028</v>
      </c>
      <c r="E146" s="68" t="n">
        <f aca="false">MONTH(C146)</f>
        <v>10</v>
      </c>
      <c r="F146" s="68" t="n">
        <f aca="false">INT((22-1)/12)+1</f>
        <v>2</v>
      </c>
      <c r="G146" s="15" t="n">
        <f aca="false">Ipotesi!E7</f>
        <v>1.25</v>
      </c>
      <c r="H146" s="15" t="n">
        <f aca="false">Ipotesi!E9</f>
        <v>1</v>
      </c>
      <c r="I146" s="15" t="n">
        <f aca="false">Ipotesi!E10</f>
        <v>1</v>
      </c>
      <c r="J146" s="15" t="n">
        <f aca="false">Ipotesi!E11</f>
        <v>1</v>
      </c>
      <c r="K146" s="15" t="n">
        <f aca="false">Ipotesi!E12</f>
        <v>1</v>
      </c>
      <c r="L146" s="15" t="n">
        <f aca="false">Ipotesi!E13</f>
        <v>90</v>
      </c>
      <c r="M146" s="17" t="n">
        <f aca="false">INDEX(Ipotesi!$C$40:$G$40,1,F146)</f>
        <v>1</v>
      </c>
      <c r="N146" s="17" t="n">
        <f aca="false">INDEX(Ipotesi!$C$41:$G$41,1,F146)</f>
        <v>1</v>
      </c>
      <c r="O146" s="17" t="n">
        <f aca="false">INDEX(Ipotesi!$C$42:$G$42,1,F146)*Ipotesi!E125</f>
        <v>2.5</v>
      </c>
      <c r="P146" s="17" t="n">
        <f aca="false">INDEX(Ipotesi!$C$43:$G$43,1,F146)*I146</f>
        <v>2.5</v>
      </c>
      <c r="Q146" s="17" t="n">
        <f aca="false">INDEX(Ipotesi!$C$44:$G$44,1,F146)*I146</f>
        <v>1.5</v>
      </c>
      <c r="R146" s="17" t="n">
        <f aca="false">INDEX(Ipotesi!$C$45:$G$45,1,F146)*I146</f>
        <v>0.5</v>
      </c>
      <c r="S146" s="17" t="n">
        <f aca="false">INDEX(Ipotesi!$C$52:$G$52,1,F146)*Ipotesi!E125</f>
        <v>3</v>
      </c>
      <c r="T146" s="17" t="n">
        <f aca="false">INDEX(Ipotesi!$C$53:$G$53,1,F146)*I146</f>
        <v>1</v>
      </c>
      <c r="U146" s="17" t="n">
        <f aca="false">INDEX(Ipotesi!$C$54:$G$54,1,F146)*I146</f>
        <v>0</v>
      </c>
      <c r="V146" s="15" t="n">
        <f aca="false">M146*INDEX(Ipotesi!$C$58:$G$58,1,F146)*K146/12</f>
        <v>5000</v>
      </c>
      <c r="W146" s="15" t="n">
        <f aca="false">N146*Ipotesi!$C$59*(1+Ipotesi!$C$66)^(F146-1)/12</f>
        <v>6008.33333333333</v>
      </c>
      <c r="X146" s="15" t="n">
        <f aca="false">O146*Ipotesi!$C$60*(1+Ipotesi!$C$66)^(F146-1)/12</f>
        <v>10729.1666666667</v>
      </c>
      <c r="Y146" s="15" t="n">
        <f aca="false">P146*Ipotesi!$C$61*(1+Ipotesi!$C$66)^(F146-1)/12</f>
        <v>10729.1666666667</v>
      </c>
      <c r="Z146" s="15" t="n">
        <f aca="false">Q146*Ipotesi!$C$62*(1+Ipotesi!$C$66)^(F146-1)/12</f>
        <v>5793.75</v>
      </c>
      <c r="AA146" s="15" t="n">
        <f aca="false">R146*Ipotesi!$C$63*(1+Ipotesi!$C$66)^(F146-1)/12</f>
        <v>1502.08333333333</v>
      </c>
      <c r="AB146" s="15" t="n">
        <f aca="false">SUM(V146:AA146)</f>
        <v>39762.5</v>
      </c>
      <c r="AC146" s="15" t="n">
        <f aca="false">(S146*Ipotesi!$C$64+T146*Ipotesi!$C$65+U146*Ipotesi!$C$63)*(1+Ipotesi!$C$66)^(F146-1)/12</f>
        <v>15965</v>
      </c>
      <c r="AD146" s="15" t="n">
        <f aca="false">INDEX(Ipotesi!$C$48:$G$48,1,F146)*G146/12</f>
        <v>46.875</v>
      </c>
      <c r="AE146" s="15" t="n">
        <f aca="false">INDEX(Ipotesi!$C$50:$G$50,1,F146)*G146/12</f>
        <v>5.72916666666667</v>
      </c>
      <c r="AF146" s="15" t="n">
        <f aca="false">(S146*Parametri_v3!$C$7*Parametri_v3!$C$8+Parametri_v3!$C$10)/12</f>
        <v>38.5</v>
      </c>
      <c r="AG146" s="15" t="n">
        <f aca="false">AD146+AE146*(1+Parametri_v3!$C$9)</f>
        <v>55.46875</v>
      </c>
      <c r="AH146" s="16" t="n">
        <f aca="false">IF(AG146=0,1,MIN(1,AF146/AG146))</f>
        <v>0.694084507042253</v>
      </c>
      <c r="AI146" s="15" t="n">
        <f aca="false">AD146*AH146</f>
        <v>32.5352112676056</v>
      </c>
      <c r="AJ146" s="15" t="n">
        <f aca="false">AE146*AH146</f>
        <v>3.97652582159624</v>
      </c>
      <c r="AK146" s="15" t="n">
        <f aca="false">AI146*INDEX(Ipotesi!$C$49:$G$49,1,F146)*H146</f>
        <v>26028.1690140845</v>
      </c>
      <c r="AL146" s="15" t="n">
        <f aca="false">AJ146*INDEX(Ipotesi!$C$51:$G$51,1,F146)*H146</f>
        <v>7953.05164319249</v>
      </c>
      <c r="AM146" s="15" t="n">
        <f aca="false">AK146+AL146</f>
        <v>33981.220657277</v>
      </c>
      <c r="AN146" s="15" t="n">
        <f aca="false">INDEX(Ipotesi!$C$30:$G$30,1,F146)*G146/12</f>
        <v>28.125</v>
      </c>
      <c r="AO146" s="15" t="n">
        <f aca="false">O146*Parametri_v3!$C$7*Parametri_v3!$C$11*(1-Parametri_v3!$C$14)/12</f>
        <v>25.6666666666667</v>
      </c>
      <c r="AP146" s="15" t="n">
        <f aca="false">MIN(AN146,AO146)</f>
        <v>25.6666666666667</v>
      </c>
      <c r="AQ146" s="15" t="n">
        <f aca="false">AP146*INDEX(Ipotesi!$C$31:$G$31,1,F146)*H146</f>
        <v>24383.3333333333</v>
      </c>
      <c r="AR146" s="15" t="n">
        <f aca="false">INDEX(Ipotesi!$C$75:$G$75,1,F146)*J146/12</f>
        <v>4583.33333333333</v>
      </c>
      <c r="AS146" s="15" t="n">
        <f aca="false">INDEX(Ipotesi!$C$81:$G$81,1,F146)*J146/12</f>
        <v>833.333333333333</v>
      </c>
      <c r="AT146" s="15" t="n">
        <f aca="false">AR146*Parametri_v3!$C$15+Z146*Parametri_v3!$C$16</f>
        <v>8638.95833333333</v>
      </c>
      <c r="AU146" s="15" t="n">
        <f aca="false">Q146*Parametri_v3!$C$16*Parametri_v3!$C$17</f>
        <v>105</v>
      </c>
      <c r="AV146" s="17" t="n">
        <f aca="false">BD145</f>
        <v>31.301900556048</v>
      </c>
      <c r="AW146" s="17" t="n">
        <f aca="false">AV146*(1-(1-INDEX(Ipotesi!$C$34:$G$34,1,F146))^(1/12))</f>
        <v>0.273629036803577</v>
      </c>
      <c r="AX146" s="15" t="n">
        <f aca="false">ROUND(INDEX(Ipotesi!$C$32:$G$32,1,F146)*Ipotesi!E8,0)</f>
        <v>49</v>
      </c>
      <c r="AY146" s="15" t="n">
        <f aca="false">MAX(0,(AX146-(AV146-AW146))/(13-E146))</f>
        <v>5.99057616025185</v>
      </c>
      <c r="AZ146" s="15" t="n">
        <f aca="false">MIN(P146*Parametri_v3!$C$22,Q146*(1-Parametri_v3!$C$16)*Parametri_v3!$C$23)</f>
        <v>67.5</v>
      </c>
      <c r="BA146" s="15" t="n">
        <f aca="false">IF(OR(INDEX(Ipotesi!$C$35:$G$35,1,F146)&lt;=0,22-Parametri_v3!$C$21&lt;1),0,INDEX($AT$125:$AT$184,MAX(1,22-Parametri_v3!$C$21))/(INDEX(Ipotesi!$C$35:$G$35,1,F146)*Ipotesi!E27))</f>
        <v>3.59956597222222</v>
      </c>
      <c r="BB146" s="15" t="n">
        <f aca="false">IF(22-Parametri_v3!$C$21&lt;1,0,INDEX($AU$125:$AU$184,MAX(1,22-Parametri_v3!$C$21)))*Parametri_v3!$C$18*Parametri_v3!$C$19*Parametri_v3!$C$20</f>
        <v>3.9375</v>
      </c>
      <c r="BC146" s="17" t="n">
        <f aca="false">MAX(0,MIN(AY146,BA146,BB146,MAX(0,AZ146-(AV146-AW146))))</f>
        <v>3.59956597222222</v>
      </c>
      <c r="BD146" s="17" t="n">
        <f aca="false">AV146-AW146+BC146</f>
        <v>34.6278374914667</v>
      </c>
      <c r="BE146" s="17" t="n">
        <f aca="false">(AV146+BD146)/2</f>
        <v>32.9648690237574</v>
      </c>
      <c r="BF146" s="15" t="n">
        <f aca="false">BE146*INDEX(Ipotesi!$C$33:$G$33,1,F146)*H146/12</f>
        <v>10988.2896745858</v>
      </c>
      <c r="BG146" s="15" t="n">
        <f aca="false">BD146*INDEX(Ipotesi!$C$33:$G$33,1,F146)*H146</f>
        <v>138511.349965867</v>
      </c>
      <c r="BH146" s="15" t="n">
        <f aca="false">AM146*INDEX(Ipotesi!$C$37:$G$37,1,F146)</f>
        <v>3398.1220657277</v>
      </c>
      <c r="BI146" s="15" t="n">
        <f aca="false">AQ146+BF146+BH146</f>
        <v>38769.7450736468</v>
      </c>
      <c r="BJ146" s="15" t="n">
        <f aca="false">INDEX(Ipotesi!$C$68:$G$68,1,F146)*Ipotesi!$C$69/12</f>
        <v>1600</v>
      </c>
      <c r="BK146" s="15" t="n">
        <f aca="false">INDEX(Ipotesi!$C$68:$G$68,1,F146)*(1-Ipotesi!$C$69)/12</f>
        <v>2400</v>
      </c>
      <c r="BL146" s="15" t="n">
        <f aca="false">(AQ146+BF146)*Ipotesi!$C$67</f>
        <v>1061.14869023757</v>
      </c>
      <c r="BM146" s="15" t="n">
        <f aca="false">AM146*Ipotesi!$C$67</f>
        <v>1019.43661971831</v>
      </c>
      <c r="BN146" s="15" t="n">
        <f aca="false">INDEX(Ipotesi!$C$72:$G$72,1,F146)/12*Ipotesi!E126+BF146*Ipotesi!$C$73</f>
        <v>2129.06317396686</v>
      </c>
      <c r="BO146" s="15" t="n">
        <f aca="false">INDEX(Ipotesi!$C$74:$G$74,1,F146)/12*Ipotesi!E126</f>
        <v>1833.33333333333</v>
      </c>
      <c r="BP146" s="15" t="n">
        <f aca="false">INDEX(Ipotesi!$C$76:$G$76,1,F146)/12</f>
        <v>750</v>
      </c>
      <c r="BQ146" s="15" t="n">
        <f aca="false">INDEX(Ipotesi!$C$77:$G$77,1,F146)/12*Ipotesi!E126</f>
        <v>1666.66666666667</v>
      </c>
      <c r="BR146" s="15" t="n">
        <f aca="false">INDEX(Ipotesi!$C$78:$G$78,1,F146)/12</f>
        <v>1250</v>
      </c>
      <c r="BS146" s="15" t="n">
        <f aca="false">SUM(M146:R146)*(Ipotesi!$C$85+Ipotesi!$C$86)/12</f>
        <v>2625</v>
      </c>
      <c r="BT146" s="15" t="n">
        <f aca="false">BI146*Ipotesi!$C$87</f>
        <v>1163.0923522094</v>
      </c>
      <c r="BU146" s="15" t="n">
        <f aca="false">INDEX(Ipotesi!$C$55:$G$55,1,F146)*K146/12</f>
        <v>1000</v>
      </c>
      <c r="BV146" s="15" t="n">
        <f aca="false">INDEX(Ipotesi!$C$80:$G$80,1,F146)/12*Ipotesi!E126</f>
        <v>833.333333333333</v>
      </c>
      <c r="BW146" s="15" t="n">
        <f aca="false">INDEX(Ipotesi!$C$82:$G$82,1,F146)/12</f>
        <v>666.666666666667</v>
      </c>
      <c r="BX146" s="15" t="n">
        <f aca="false">INDEX(Ipotesi!$C$83:$G$83,1,F146)/12</f>
        <v>583.333333333333</v>
      </c>
      <c r="BY146" s="15" t="n">
        <f aca="false">SUM(S146:U146)*(Ipotesi!$C$85+Ipotesi!$C$86)/12</f>
        <v>1166.66666666667</v>
      </c>
      <c r="BZ146" s="15" t="n">
        <f aca="false">AM146*Ipotesi!$C$87</f>
        <v>1019.43661971831</v>
      </c>
      <c r="CA146" s="15" t="n">
        <f aca="false">AB146+BJ146+BL146+BN146+BO146+AR146+BP146+BQ146+BR146+BS146+BT146</f>
        <v>58424.1375497472</v>
      </c>
      <c r="CB146" s="15" t="n">
        <f aca="false">AC146+BK146+BM146+BH146+BU146+BV146+AS146+BW146+BX146+BY146+BZ146</f>
        <v>28885.3286384977</v>
      </c>
      <c r="CC146" s="15" t="n">
        <f aca="false">BI146-CA146</f>
        <v>-19654.3924761004</v>
      </c>
      <c r="CD146" s="15" t="n">
        <f aca="false">AM146-CB146</f>
        <v>5095.89201877935</v>
      </c>
      <c r="CE146" s="15" t="n">
        <f aca="false">INDEX(Ipotesi!$C$79:$G$79,1,F146)/12</f>
        <v>2083.33333333333</v>
      </c>
      <c r="CF146" s="15" t="n">
        <f aca="false">INDEX(Ipotesi!$C$84:$G$84,1,F146)/12</f>
        <v>416.666666666667</v>
      </c>
      <c r="CG146" s="15" t="n">
        <f aca="false">Y146*MAX(0,Parametri_v3!$C$12-IF(P146=0,0,MIN(1,BE146/(P146*Parametri_v3!$C$22))))+W146*Parametri_v3!$C$13+X146*Parametri_v3!$C$14</f>
        <v>14464.4243710637</v>
      </c>
      <c r="CH146" s="15" t="n">
        <f aca="false">AB146*Parametri_v3!$C$32</f>
        <v>1988.125</v>
      </c>
      <c r="CI146" s="15" t="n">
        <f aca="false">AC146*Parametri_v3!$C$32</f>
        <v>798.25</v>
      </c>
      <c r="CJ146" s="15" t="n">
        <f aca="false">CA146-AB146</f>
        <v>18661.6375497472</v>
      </c>
      <c r="CK146" s="15" t="n">
        <f aca="false">CB146-AC146-BH146</f>
        <v>9522.20657276995</v>
      </c>
      <c r="CL146" s="15" t="n">
        <f aca="false">BF146*Ipotesi!$C$73+INDEX(Ipotesi!$C$72:$G$72,1,F146)/12*Ipotesi!E126*Parametri_v3!$C$58+Z146*(1-Parametri_v3!$C$16)</f>
        <v>3867.18817396686</v>
      </c>
      <c r="CM146" s="16" t="n">
        <f aca="false">IF(BF146=0,0,1-CL146/BF146)</f>
        <v>0.648062775145884</v>
      </c>
    </row>
    <row r="147" customFormat="false" ht="18" hidden="false" customHeight="true" outlineLevel="0" collapsed="false">
      <c r="A147" s="68" t="n">
        <f aca="false">3</f>
        <v>3</v>
      </c>
      <c r="B147" s="68" t="n">
        <f aca="false">23</f>
        <v>23</v>
      </c>
      <c r="C147" s="18" t="n">
        <f aca="false">EDATE(Parametri_v3!$C$5,23-1)</f>
        <v>47058</v>
      </c>
      <c r="D147" s="68" t="n">
        <f aca="false">YEAR(C147)</f>
        <v>2028</v>
      </c>
      <c r="E147" s="68" t="n">
        <f aca="false">MONTH(C147)</f>
        <v>11</v>
      </c>
      <c r="F147" s="68" t="n">
        <f aca="false">INT((23-1)/12)+1</f>
        <v>2</v>
      </c>
      <c r="G147" s="15" t="n">
        <f aca="false">Ipotesi!E7</f>
        <v>1.25</v>
      </c>
      <c r="H147" s="15" t="n">
        <f aca="false">Ipotesi!E9</f>
        <v>1</v>
      </c>
      <c r="I147" s="15" t="n">
        <f aca="false">Ipotesi!E10</f>
        <v>1</v>
      </c>
      <c r="J147" s="15" t="n">
        <f aca="false">Ipotesi!E11</f>
        <v>1</v>
      </c>
      <c r="K147" s="15" t="n">
        <f aca="false">Ipotesi!E12</f>
        <v>1</v>
      </c>
      <c r="L147" s="15" t="n">
        <f aca="false">Ipotesi!E13</f>
        <v>90</v>
      </c>
      <c r="M147" s="17" t="n">
        <f aca="false">INDEX(Ipotesi!$C$40:$G$40,1,F147)</f>
        <v>1</v>
      </c>
      <c r="N147" s="17" t="n">
        <f aca="false">INDEX(Ipotesi!$C$41:$G$41,1,F147)</f>
        <v>1</v>
      </c>
      <c r="O147" s="17" t="n">
        <f aca="false">INDEX(Ipotesi!$C$42:$G$42,1,F147)*Ipotesi!E125</f>
        <v>2.5</v>
      </c>
      <c r="P147" s="17" t="n">
        <f aca="false">INDEX(Ipotesi!$C$43:$G$43,1,F147)*I147</f>
        <v>2.5</v>
      </c>
      <c r="Q147" s="17" t="n">
        <f aca="false">INDEX(Ipotesi!$C$44:$G$44,1,F147)*I147</f>
        <v>1.5</v>
      </c>
      <c r="R147" s="17" t="n">
        <f aca="false">INDEX(Ipotesi!$C$45:$G$45,1,F147)*I147</f>
        <v>0.5</v>
      </c>
      <c r="S147" s="17" t="n">
        <f aca="false">INDEX(Ipotesi!$C$52:$G$52,1,F147)*Ipotesi!E125</f>
        <v>3</v>
      </c>
      <c r="T147" s="17" t="n">
        <f aca="false">INDEX(Ipotesi!$C$53:$G$53,1,F147)*I147</f>
        <v>1</v>
      </c>
      <c r="U147" s="17" t="n">
        <f aca="false">INDEX(Ipotesi!$C$54:$G$54,1,F147)*I147</f>
        <v>0</v>
      </c>
      <c r="V147" s="15" t="n">
        <f aca="false">M147*INDEX(Ipotesi!$C$58:$G$58,1,F147)*K147/12</f>
        <v>5000</v>
      </c>
      <c r="W147" s="15" t="n">
        <f aca="false">N147*Ipotesi!$C$59*(1+Ipotesi!$C$66)^(F147-1)/12</f>
        <v>6008.33333333333</v>
      </c>
      <c r="X147" s="15" t="n">
        <f aca="false">O147*Ipotesi!$C$60*(1+Ipotesi!$C$66)^(F147-1)/12</f>
        <v>10729.1666666667</v>
      </c>
      <c r="Y147" s="15" t="n">
        <f aca="false">P147*Ipotesi!$C$61*(1+Ipotesi!$C$66)^(F147-1)/12</f>
        <v>10729.1666666667</v>
      </c>
      <c r="Z147" s="15" t="n">
        <f aca="false">Q147*Ipotesi!$C$62*(1+Ipotesi!$C$66)^(F147-1)/12</f>
        <v>5793.75</v>
      </c>
      <c r="AA147" s="15" t="n">
        <f aca="false">R147*Ipotesi!$C$63*(1+Ipotesi!$C$66)^(F147-1)/12</f>
        <v>1502.08333333333</v>
      </c>
      <c r="AB147" s="15" t="n">
        <f aca="false">SUM(V147:AA147)</f>
        <v>39762.5</v>
      </c>
      <c r="AC147" s="15" t="n">
        <f aca="false">(S147*Ipotesi!$C$64+T147*Ipotesi!$C$65+U147*Ipotesi!$C$63)*(1+Ipotesi!$C$66)^(F147-1)/12</f>
        <v>15965</v>
      </c>
      <c r="AD147" s="15" t="n">
        <f aca="false">INDEX(Ipotesi!$C$48:$G$48,1,F147)*G147/12</f>
        <v>46.875</v>
      </c>
      <c r="AE147" s="15" t="n">
        <f aca="false">INDEX(Ipotesi!$C$50:$G$50,1,F147)*G147/12</f>
        <v>5.72916666666667</v>
      </c>
      <c r="AF147" s="15" t="n">
        <f aca="false">(S147*Parametri_v3!$C$7*Parametri_v3!$C$8+Parametri_v3!$C$10)/12</f>
        <v>38.5</v>
      </c>
      <c r="AG147" s="15" t="n">
        <f aca="false">AD147+AE147*(1+Parametri_v3!$C$9)</f>
        <v>55.46875</v>
      </c>
      <c r="AH147" s="16" t="n">
        <f aca="false">IF(AG147=0,1,MIN(1,AF147/AG147))</f>
        <v>0.694084507042253</v>
      </c>
      <c r="AI147" s="15" t="n">
        <f aca="false">AD147*AH147</f>
        <v>32.5352112676056</v>
      </c>
      <c r="AJ147" s="15" t="n">
        <f aca="false">AE147*AH147</f>
        <v>3.97652582159624</v>
      </c>
      <c r="AK147" s="15" t="n">
        <f aca="false">AI147*INDEX(Ipotesi!$C$49:$G$49,1,F147)*H147</f>
        <v>26028.1690140845</v>
      </c>
      <c r="AL147" s="15" t="n">
        <f aca="false">AJ147*INDEX(Ipotesi!$C$51:$G$51,1,F147)*H147</f>
        <v>7953.05164319249</v>
      </c>
      <c r="AM147" s="15" t="n">
        <f aca="false">AK147+AL147</f>
        <v>33981.220657277</v>
      </c>
      <c r="AN147" s="15" t="n">
        <f aca="false">INDEX(Ipotesi!$C$30:$G$30,1,F147)*G147/12</f>
        <v>28.125</v>
      </c>
      <c r="AO147" s="15" t="n">
        <f aca="false">O147*Parametri_v3!$C$7*Parametri_v3!$C$11*(1-Parametri_v3!$C$14)/12</f>
        <v>25.6666666666667</v>
      </c>
      <c r="AP147" s="15" t="n">
        <f aca="false">MIN(AN147,AO147)</f>
        <v>25.6666666666667</v>
      </c>
      <c r="AQ147" s="15" t="n">
        <f aca="false">AP147*INDEX(Ipotesi!$C$31:$G$31,1,F147)*H147</f>
        <v>24383.3333333333</v>
      </c>
      <c r="AR147" s="15" t="n">
        <f aca="false">INDEX(Ipotesi!$C$75:$G$75,1,F147)*J147/12</f>
        <v>4583.33333333333</v>
      </c>
      <c r="AS147" s="15" t="n">
        <f aca="false">INDEX(Ipotesi!$C$81:$G$81,1,F147)*J147/12</f>
        <v>833.333333333333</v>
      </c>
      <c r="AT147" s="15" t="n">
        <f aca="false">AR147*Parametri_v3!$C$15+Z147*Parametri_v3!$C$16</f>
        <v>8638.95833333333</v>
      </c>
      <c r="AU147" s="15" t="n">
        <f aca="false">Q147*Parametri_v3!$C$16*Parametri_v3!$C$17</f>
        <v>105</v>
      </c>
      <c r="AV147" s="17" t="n">
        <f aca="false">BD146</f>
        <v>34.6278374914667</v>
      </c>
      <c r="AW147" s="17" t="n">
        <f aca="false">AV147*(1-(1-INDEX(Ipotesi!$C$34:$G$34,1,F147))^(1/12))</f>
        <v>0.302703083552863</v>
      </c>
      <c r="AX147" s="15" t="n">
        <f aca="false">ROUND(INDEX(Ipotesi!$C$32:$G$32,1,F147)*Ipotesi!E8,0)</f>
        <v>49</v>
      </c>
      <c r="AY147" s="15" t="n">
        <f aca="false">MAX(0,(AX147-(AV147-AW147))/(13-E147))</f>
        <v>7.33743279604309</v>
      </c>
      <c r="AZ147" s="15" t="n">
        <f aca="false">MIN(P147*Parametri_v3!$C$22,Q147*(1-Parametri_v3!$C$16)*Parametri_v3!$C$23)</f>
        <v>67.5</v>
      </c>
      <c r="BA147" s="15" t="n">
        <f aca="false">IF(OR(INDEX(Ipotesi!$C$35:$G$35,1,F147)&lt;=0,23-Parametri_v3!$C$21&lt;1),0,INDEX($AT$125:$AT$184,MAX(1,23-Parametri_v3!$C$21))/(INDEX(Ipotesi!$C$35:$G$35,1,F147)*Ipotesi!E27))</f>
        <v>3.59956597222222</v>
      </c>
      <c r="BB147" s="15" t="n">
        <f aca="false">IF(23-Parametri_v3!$C$21&lt;1,0,INDEX($AU$125:$AU$184,MAX(1,23-Parametri_v3!$C$21)))*Parametri_v3!$C$18*Parametri_v3!$C$19*Parametri_v3!$C$20</f>
        <v>3.9375</v>
      </c>
      <c r="BC147" s="17" t="n">
        <f aca="false">MAX(0,MIN(AY147,BA147,BB147,MAX(0,AZ147-(AV147-AW147))))</f>
        <v>3.59956597222222</v>
      </c>
      <c r="BD147" s="17" t="n">
        <f aca="false">AV147-AW147+BC147</f>
        <v>37.924700380136</v>
      </c>
      <c r="BE147" s="17" t="n">
        <f aca="false">(AV147+BD147)/2</f>
        <v>36.2762689358014</v>
      </c>
      <c r="BF147" s="15" t="n">
        <f aca="false">BE147*INDEX(Ipotesi!$C$33:$G$33,1,F147)*H147/12</f>
        <v>12092.0896452671</v>
      </c>
      <c r="BG147" s="15" t="n">
        <f aca="false">BD147*INDEX(Ipotesi!$C$33:$G$33,1,F147)*H147</f>
        <v>151698.801520544</v>
      </c>
      <c r="BH147" s="15" t="n">
        <f aca="false">AM147*INDEX(Ipotesi!$C$37:$G$37,1,F147)</f>
        <v>3398.1220657277</v>
      </c>
      <c r="BI147" s="15" t="n">
        <f aca="false">AQ147+BF147+BH147</f>
        <v>39873.5450443282</v>
      </c>
      <c r="BJ147" s="15" t="n">
        <f aca="false">INDEX(Ipotesi!$C$68:$G$68,1,F147)*Ipotesi!$C$69/12</f>
        <v>1600</v>
      </c>
      <c r="BK147" s="15" t="n">
        <f aca="false">INDEX(Ipotesi!$C$68:$G$68,1,F147)*(1-Ipotesi!$C$69)/12</f>
        <v>2400</v>
      </c>
      <c r="BL147" s="15" t="n">
        <f aca="false">(AQ147+BF147)*Ipotesi!$C$67</f>
        <v>1094.26268935801</v>
      </c>
      <c r="BM147" s="15" t="n">
        <f aca="false">AM147*Ipotesi!$C$67</f>
        <v>1019.43661971831</v>
      </c>
      <c r="BN147" s="15" t="n">
        <f aca="false">INDEX(Ipotesi!$C$72:$G$72,1,F147)/12*Ipotesi!E126+BF147*Ipotesi!$C$73</f>
        <v>2217.36717162137</v>
      </c>
      <c r="BO147" s="15" t="n">
        <f aca="false">INDEX(Ipotesi!$C$74:$G$74,1,F147)/12*Ipotesi!E126</f>
        <v>1833.33333333333</v>
      </c>
      <c r="BP147" s="15" t="n">
        <f aca="false">INDEX(Ipotesi!$C$76:$G$76,1,F147)/12</f>
        <v>750</v>
      </c>
      <c r="BQ147" s="15" t="n">
        <f aca="false">INDEX(Ipotesi!$C$77:$G$77,1,F147)/12*Ipotesi!E126</f>
        <v>1666.66666666667</v>
      </c>
      <c r="BR147" s="15" t="n">
        <f aca="false">INDEX(Ipotesi!$C$78:$G$78,1,F147)/12</f>
        <v>1250</v>
      </c>
      <c r="BS147" s="15" t="n">
        <f aca="false">SUM(M147:R147)*(Ipotesi!$C$85+Ipotesi!$C$86)/12</f>
        <v>2625</v>
      </c>
      <c r="BT147" s="15" t="n">
        <f aca="false">BI147*Ipotesi!$C$87</f>
        <v>1196.20635132984</v>
      </c>
      <c r="BU147" s="15" t="n">
        <f aca="false">INDEX(Ipotesi!$C$55:$G$55,1,F147)*K147/12</f>
        <v>1000</v>
      </c>
      <c r="BV147" s="15" t="n">
        <f aca="false">INDEX(Ipotesi!$C$80:$G$80,1,F147)/12*Ipotesi!E126</f>
        <v>833.333333333333</v>
      </c>
      <c r="BW147" s="15" t="n">
        <f aca="false">INDEX(Ipotesi!$C$82:$G$82,1,F147)/12</f>
        <v>666.666666666667</v>
      </c>
      <c r="BX147" s="15" t="n">
        <f aca="false">INDEX(Ipotesi!$C$83:$G$83,1,F147)/12</f>
        <v>583.333333333333</v>
      </c>
      <c r="BY147" s="15" t="n">
        <f aca="false">SUM(S147:U147)*(Ipotesi!$C$85+Ipotesi!$C$86)/12</f>
        <v>1166.66666666667</v>
      </c>
      <c r="BZ147" s="15" t="n">
        <f aca="false">AM147*Ipotesi!$C$87</f>
        <v>1019.43661971831</v>
      </c>
      <c r="CA147" s="15" t="n">
        <f aca="false">AB147+BJ147+BL147+BN147+BO147+AR147+BP147+BQ147+BR147+BS147+BT147</f>
        <v>58578.6695456426</v>
      </c>
      <c r="CB147" s="15" t="n">
        <f aca="false">AC147+BK147+BM147+BH147+BU147+BV147+AS147+BW147+BX147+BY147+BZ147</f>
        <v>28885.3286384977</v>
      </c>
      <c r="CC147" s="15" t="n">
        <f aca="false">BI147-CA147</f>
        <v>-18705.1245013144</v>
      </c>
      <c r="CD147" s="15" t="n">
        <f aca="false">AM147-CB147</f>
        <v>5095.89201877935</v>
      </c>
      <c r="CE147" s="15" t="n">
        <f aca="false">INDEX(Ipotesi!$C$79:$G$79,1,F147)/12</f>
        <v>2083.33333333333</v>
      </c>
      <c r="CF147" s="15" t="n">
        <f aca="false">INDEX(Ipotesi!$C$84:$G$84,1,F147)/12</f>
        <v>416.666666666667</v>
      </c>
      <c r="CG147" s="15" t="n">
        <f aca="false">Y147*MAX(0,Parametri_v3!$C$12-IF(P147=0,0,MIN(1,BE147/(P147*Parametri_v3!$C$22))))+W147*Parametri_v3!$C$13+X147*Parametri_v3!$C$14</f>
        <v>14322.3101248385</v>
      </c>
      <c r="CH147" s="15" t="n">
        <f aca="false">AB147*Parametri_v3!$C$32</f>
        <v>1988.125</v>
      </c>
      <c r="CI147" s="15" t="n">
        <f aca="false">AC147*Parametri_v3!$C$32</f>
        <v>798.25</v>
      </c>
      <c r="CJ147" s="15" t="n">
        <f aca="false">CA147-AB147</f>
        <v>18816.1695456426</v>
      </c>
      <c r="CK147" s="15" t="n">
        <f aca="false">CB147-AC147-BH147</f>
        <v>9522.20657276995</v>
      </c>
      <c r="CL147" s="15" t="n">
        <f aca="false">BF147*Ipotesi!$C$73+INDEX(Ipotesi!$C$72:$G$72,1,F147)/12*Ipotesi!E126*Parametri_v3!$C$58+Z147*(1-Parametri_v3!$C$16)</f>
        <v>3955.49217162137</v>
      </c>
      <c r="CM147" s="16" t="n">
        <f aca="false">IF(BF147=0,0,1-CL147/BF147)</f>
        <v>0.672885970278135</v>
      </c>
    </row>
    <row r="148" customFormat="false" ht="18" hidden="false" customHeight="true" outlineLevel="0" collapsed="false">
      <c r="A148" s="68" t="n">
        <f aca="false">3</f>
        <v>3</v>
      </c>
      <c r="B148" s="68" t="n">
        <f aca="false">24</f>
        <v>24</v>
      </c>
      <c r="C148" s="18" t="n">
        <f aca="false">EDATE(Parametri_v3!$C$5,24-1)</f>
        <v>47088</v>
      </c>
      <c r="D148" s="68" t="n">
        <f aca="false">YEAR(C148)</f>
        <v>2028</v>
      </c>
      <c r="E148" s="68" t="n">
        <f aca="false">MONTH(C148)</f>
        <v>12</v>
      </c>
      <c r="F148" s="68" t="n">
        <f aca="false">INT((24-1)/12)+1</f>
        <v>2</v>
      </c>
      <c r="G148" s="15" t="n">
        <f aca="false">Ipotesi!E7</f>
        <v>1.25</v>
      </c>
      <c r="H148" s="15" t="n">
        <f aca="false">Ipotesi!E9</f>
        <v>1</v>
      </c>
      <c r="I148" s="15" t="n">
        <f aca="false">Ipotesi!E10</f>
        <v>1</v>
      </c>
      <c r="J148" s="15" t="n">
        <f aca="false">Ipotesi!E11</f>
        <v>1</v>
      </c>
      <c r="K148" s="15" t="n">
        <f aca="false">Ipotesi!E12</f>
        <v>1</v>
      </c>
      <c r="L148" s="15" t="n">
        <f aca="false">Ipotesi!E13</f>
        <v>90</v>
      </c>
      <c r="M148" s="17" t="n">
        <f aca="false">INDEX(Ipotesi!$C$40:$G$40,1,F148)</f>
        <v>1</v>
      </c>
      <c r="N148" s="17" t="n">
        <f aca="false">INDEX(Ipotesi!$C$41:$G$41,1,F148)</f>
        <v>1</v>
      </c>
      <c r="O148" s="17" t="n">
        <f aca="false">INDEX(Ipotesi!$C$42:$G$42,1,F148)*Ipotesi!E125</f>
        <v>2.5</v>
      </c>
      <c r="P148" s="17" t="n">
        <f aca="false">INDEX(Ipotesi!$C$43:$G$43,1,F148)*I148</f>
        <v>2.5</v>
      </c>
      <c r="Q148" s="17" t="n">
        <f aca="false">INDEX(Ipotesi!$C$44:$G$44,1,F148)*I148</f>
        <v>1.5</v>
      </c>
      <c r="R148" s="17" t="n">
        <f aca="false">INDEX(Ipotesi!$C$45:$G$45,1,F148)*I148</f>
        <v>0.5</v>
      </c>
      <c r="S148" s="17" t="n">
        <f aca="false">INDEX(Ipotesi!$C$52:$G$52,1,F148)*Ipotesi!E125</f>
        <v>3</v>
      </c>
      <c r="T148" s="17" t="n">
        <f aca="false">INDEX(Ipotesi!$C$53:$G$53,1,F148)*I148</f>
        <v>1</v>
      </c>
      <c r="U148" s="17" t="n">
        <f aca="false">INDEX(Ipotesi!$C$54:$G$54,1,F148)*I148</f>
        <v>0</v>
      </c>
      <c r="V148" s="15" t="n">
        <f aca="false">M148*INDEX(Ipotesi!$C$58:$G$58,1,F148)*K148/12</f>
        <v>5000</v>
      </c>
      <c r="W148" s="15" t="n">
        <f aca="false">N148*Ipotesi!$C$59*(1+Ipotesi!$C$66)^(F148-1)/12</f>
        <v>6008.33333333333</v>
      </c>
      <c r="X148" s="15" t="n">
        <f aca="false">O148*Ipotesi!$C$60*(1+Ipotesi!$C$66)^(F148-1)/12</f>
        <v>10729.1666666667</v>
      </c>
      <c r="Y148" s="15" t="n">
        <f aca="false">P148*Ipotesi!$C$61*(1+Ipotesi!$C$66)^(F148-1)/12</f>
        <v>10729.1666666667</v>
      </c>
      <c r="Z148" s="15" t="n">
        <f aca="false">Q148*Ipotesi!$C$62*(1+Ipotesi!$C$66)^(F148-1)/12</f>
        <v>5793.75</v>
      </c>
      <c r="AA148" s="15" t="n">
        <f aca="false">R148*Ipotesi!$C$63*(1+Ipotesi!$C$66)^(F148-1)/12</f>
        <v>1502.08333333333</v>
      </c>
      <c r="AB148" s="15" t="n">
        <f aca="false">SUM(V148:AA148)</f>
        <v>39762.5</v>
      </c>
      <c r="AC148" s="15" t="n">
        <f aca="false">(S148*Ipotesi!$C$64+T148*Ipotesi!$C$65+U148*Ipotesi!$C$63)*(1+Ipotesi!$C$66)^(F148-1)/12</f>
        <v>15965</v>
      </c>
      <c r="AD148" s="15" t="n">
        <f aca="false">INDEX(Ipotesi!$C$48:$G$48,1,F148)*G148/12</f>
        <v>46.875</v>
      </c>
      <c r="AE148" s="15" t="n">
        <f aca="false">INDEX(Ipotesi!$C$50:$G$50,1,F148)*G148/12</f>
        <v>5.72916666666667</v>
      </c>
      <c r="AF148" s="15" t="n">
        <f aca="false">(S148*Parametri_v3!$C$7*Parametri_v3!$C$8+Parametri_v3!$C$10)/12</f>
        <v>38.5</v>
      </c>
      <c r="AG148" s="15" t="n">
        <f aca="false">AD148+AE148*(1+Parametri_v3!$C$9)</f>
        <v>55.46875</v>
      </c>
      <c r="AH148" s="16" t="n">
        <f aca="false">IF(AG148=0,1,MIN(1,AF148/AG148))</f>
        <v>0.694084507042253</v>
      </c>
      <c r="AI148" s="15" t="n">
        <f aca="false">AD148*AH148</f>
        <v>32.5352112676056</v>
      </c>
      <c r="AJ148" s="15" t="n">
        <f aca="false">AE148*AH148</f>
        <v>3.97652582159624</v>
      </c>
      <c r="AK148" s="15" t="n">
        <f aca="false">AI148*INDEX(Ipotesi!$C$49:$G$49,1,F148)*H148</f>
        <v>26028.1690140845</v>
      </c>
      <c r="AL148" s="15" t="n">
        <f aca="false">AJ148*INDEX(Ipotesi!$C$51:$G$51,1,F148)*H148</f>
        <v>7953.05164319249</v>
      </c>
      <c r="AM148" s="15" t="n">
        <f aca="false">AK148+AL148</f>
        <v>33981.220657277</v>
      </c>
      <c r="AN148" s="15" t="n">
        <f aca="false">INDEX(Ipotesi!$C$30:$G$30,1,F148)*G148/12</f>
        <v>28.125</v>
      </c>
      <c r="AO148" s="15" t="n">
        <f aca="false">O148*Parametri_v3!$C$7*Parametri_v3!$C$11*(1-Parametri_v3!$C$14)/12</f>
        <v>25.6666666666667</v>
      </c>
      <c r="AP148" s="15" t="n">
        <f aca="false">MIN(AN148,AO148)</f>
        <v>25.6666666666667</v>
      </c>
      <c r="AQ148" s="15" t="n">
        <f aca="false">AP148*INDEX(Ipotesi!$C$31:$G$31,1,F148)*H148</f>
        <v>24383.3333333333</v>
      </c>
      <c r="AR148" s="15" t="n">
        <f aca="false">INDEX(Ipotesi!$C$75:$G$75,1,F148)*J148/12</f>
        <v>4583.33333333333</v>
      </c>
      <c r="AS148" s="15" t="n">
        <f aca="false">INDEX(Ipotesi!$C$81:$G$81,1,F148)*J148/12</f>
        <v>833.333333333333</v>
      </c>
      <c r="AT148" s="15" t="n">
        <f aca="false">AR148*Parametri_v3!$C$15+Z148*Parametri_v3!$C$16</f>
        <v>8638.95833333333</v>
      </c>
      <c r="AU148" s="15" t="n">
        <f aca="false">Q148*Parametri_v3!$C$16*Parametri_v3!$C$17</f>
        <v>105</v>
      </c>
      <c r="AV148" s="17" t="n">
        <f aca="false">BD147</f>
        <v>37.924700380136</v>
      </c>
      <c r="AW148" s="17" t="n">
        <f aca="false">AV148*(1-(1-INDEX(Ipotesi!$C$34:$G$34,1,F148))^(1/12))</f>
        <v>0.331522976296588</v>
      </c>
      <c r="AX148" s="15" t="n">
        <f aca="false">ROUND(INDEX(Ipotesi!$C$32:$G$32,1,F148)*Ipotesi!E8,0)</f>
        <v>49</v>
      </c>
      <c r="AY148" s="15" t="n">
        <f aca="false">MAX(0,(AX148-(AV148-AW148))/(13-E148))</f>
        <v>11.4068225961606</v>
      </c>
      <c r="AZ148" s="15" t="n">
        <f aca="false">MIN(P148*Parametri_v3!$C$22,Q148*(1-Parametri_v3!$C$16)*Parametri_v3!$C$23)</f>
        <v>67.5</v>
      </c>
      <c r="BA148" s="15" t="n">
        <f aca="false">IF(OR(INDEX(Ipotesi!$C$35:$G$35,1,F148)&lt;=0,24-Parametri_v3!$C$21&lt;1),0,INDEX($AT$125:$AT$184,MAX(1,24-Parametri_v3!$C$21))/(INDEX(Ipotesi!$C$35:$G$35,1,F148)*Ipotesi!E27))</f>
        <v>3.59956597222222</v>
      </c>
      <c r="BB148" s="15" t="n">
        <f aca="false">IF(24-Parametri_v3!$C$21&lt;1,0,INDEX($AU$125:$AU$184,MAX(1,24-Parametri_v3!$C$21)))*Parametri_v3!$C$18*Parametri_v3!$C$19*Parametri_v3!$C$20</f>
        <v>3.9375</v>
      </c>
      <c r="BC148" s="17" t="n">
        <f aca="false">MAX(0,MIN(AY148,BA148,BB148,MAX(0,AZ148-(AV148-AW148))))</f>
        <v>3.59956597222222</v>
      </c>
      <c r="BD148" s="17" t="n">
        <f aca="false">AV148-AW148+BC148</f>
        <v>41.1927433760617</v>
      </c>
      <c r="BE148" s="17" t="n">
        <f aca="false">(AV148+BD148)/2</f>
        <v>39.5587218780989</v>
      </c>
      <c r="BF148" s="15" t="n">
        <f aca="false">BE148*INDEX(Ipotesi!$C$33:$G$33,1,F148)*H148/12</f>
        <v>13186.240626033</v>
      </c>
      <c r="BG148" s="15" t="n">
        <f aca="false">BD148*INDEX(Ipotesi!$C$33:$G$33,1,F148)*H148</f>
        <v>164770.973504247</v>
      </c>
      <c r="BH148" s="15" t="n">
        <f aca="false">AM148*INDEX(Ipotesi!$C$37:$G$37,1,F148)</f>
        <v>3398.1220657277</v>
      </c>
      <c r="BI148" s="15" t="n">
        <f aca="false">AQ148+BF148+BH148</f>
        <v>40967.696025094</v>
      </c>
      <c r="BJ148" s="15" t="n">
        <f aca="false">INDEX(Ipotesi!$C$68:$G$68,1,F148)*Ipotesi!$C$69/12</f>
        <v>1600</v>
      </c>
      <c r="BK148" s="15" t="n">
        <f aca="false">INDEX(Ipotesi!$C$68:$G$68,1,F148)*(1-Ipotesi!$C$69)/12</f>
        <v>2400</v>
      </c>
      <c r="BL148" s="15" t="n">
        <f aca="false">(AQ148+BF148)*Ipotesi!$C$67</f>
        <v>1127.08721878099</v>
      </c>
      <c r="BM148" s="15" t="n">
        <f aca="false">AM148*Ipotesi!$C$67</f>
        <v>1019.43661971831</v>
      </c>
      <c r="BN148" s="15" t="n">
        <f aca="false">INDEX(Ipotesi!$C$72:$G$72,1,F148)/12*Ipotesi!E126+BF148*Ipotesi!$C$73</f>
        <v>2304.89925008264</v>
      </c>
      <c r="BO148" s="15" t="n">
        <f aca="false">INDEX(Ipotesi!$C$74:$G$74,1,F148)/12*Ipotesi!E126</f>
        <v>1833.33333333333</v>
      </c>
      <c r="BP148" s="15" t="n">
        <f aca="false">INDEX(Ipotesi!$C$76:$G$76,1,F148)/12</f>
        <v>750</v>
      </c>
      <c r="BQ148" s="15" t="n">
        <f aca="false">INDEX(Ipotesi!$C$77:$G$77,1,F148)/12*Ipotesi!E126</f>
        <v>1666.66666666667</v>
      </c>
      <c r="BR148" s="15" t="n">
        <f aca="false">INDEX(Ipotesi!$C$78:$G$78,1,F148)/12</f>
        <v>1250</v>
      </c>
      <c r="BS148" s="15" t="n">
        <f aca="false">SUM(M148:R148)*(Ipotesi!$C$85+Ipotesi!$C$86)/12</f>
        <v>2625</v>
      </c>
      <c r="BT148" s="15" t="n">
        <f aca="false">BI148*Ipotesi!$C$87</f>
        <v>1229.03088075282</v>
      </c>
      <c r="BU148" s="15" t="n">
        <f aca="false">INDEX(Ipotesi!$C$55:$G$55,1,F148)*K148/12</f>
        <v>1000</v>
      </c>
      <c r="BV148" s="15" t="n">
        <f aca="false">INDEX(Ipotesi!$C$80:$G$80,1,F148)/12*Ipotesi!E126</f>
        <v>833.333333333333</v>
      </c>
      <c r="BW148" s="15" t="n">
        <f aca="false">INDEX(Ipotesi!$C$82:$G$82,1,F148)/12</f>
        <v>666.666666666667</v>
      </c>
      <c r="BX148" s="15" t="n">
        <f aca="false">INDEX(Ipotesi!$C$83:$G$83,1,F148)/12</f>
        <v>583.333333333333</v>
      </c>
      <c r="BY148" s="15" t="n">
        <f aca="false">SUM(S148:U148)*(Ipotesi!$C$85+Ipotesi!$C$86)/12</f>
        <v>1166.66666666667</v>
      </c>
      <c r="BZ148" s="15" t="n">
        <f aca="false">AM148*Ipotesi!$C$87</f>
        <v>1019.43661971831</v>
      </c>
      <c r="CA148" s="15" t="n">
        <f aca="false">AB148+BJ148+BL148+BN148+BO148+AR148+BP148+BQ148+BR148+BS148+BT148</f>
        <v>58731.8506829498</v>
      </c>
      <c r="CB148" s="15" t="n">
        <f aca="false">AC148+BK148+BM148+BH148+BU148+BV148+AS148+BW148+BX148+BY148+BZ148</f>
        <v>28885.3286384977</v>
      </c>
      <c r="CC148" s="15" t="n">
        <f aca="false">BI148-CA148</f>
        <v>-17764.1546578558</v>
      </c>
      <c r="CD148" s="15" t="n">
        <f aca="false">AM148-CB148</f>
        <v>5095.89201877935</v>
      </c>
      <c r="CE148" s="15" t="n">
        <f aca="false">INDEX(Ipotesi!$C$79:$G$79,1,F148)/12</f>
        <v>2083.33333333333</v>
      </c>
      <c r="CF148" s="15" t="n">
        <f aca="false">INDEX(Ipotesi!$C$84:$G$84,1,F148)/12</f>
        <v>416.666666666667</v>
      </c>
      <c r="CG148" s="15" t="n">
        <f aca="false">Y148*MAX(0,Parametri_v3!$C$12-IF(P148=0,0,MIN(1,BE148/(P148*Parametri_v3!$C$22))))+W148*Parametri_v3!$C$13+X148*Parametri_v3!$C$14</f>
        <v>14181.4381860649</v>
      </c>
      <c r="CH148" s="15" t="n">
        <f aca="false">AB148*Parametri_v3!$C$32</f>
        <v>1988.125</v>
      </c>
      <c r="CI148" s="15" t="n">
        <f aca="false">AC148*Parametri_v3!$C$32</f>
        <v>798.25</v>
      </c>
      <c r="CJ148" s="15" t="n">
        <f aca="false">CA148-AB148</f>
        <v>18969.3506829498</v>
      </c>
      <c r="CK148" s="15" t="n">
        <f aca="false">CB148-AC148-BH148</f>
        <v>9522.20657276995</v>
      </c>
      <c r="CL148" s="15" t="n">
        <f aca="false">BF148*Ipotesi!$C$73+INDEX(Ipotesi!$C$72:$G$72,1,F148)/12*Ipotesi!E126*Parametri_v3!$C$58+Z148*(1-Parametri_v3!$C$16)</f>
        <v>4043.02425008264</v>
      </c>
      <c r="CM148" s="16" t="n">
        <f aca="false">IF(BF148=0,0,1-CL148/BF148)</f>
        <v>0.693390681639717</v>
      </c>
    </row>
    <row r="149" customFormat="false" ht="18" hidden="false" customHeight="true" outlineLevel="0" collapsed="false">
      <c r="A149" s="68" t="n">
        <f aca="false">3</f>
        <v>3</v>
      </c>
      <c r="B149" s="68" t="n">
        <f aca="false">25</f>
        <v>25</v>
      </c>
      <c r="C149" s="18" t="n">
        <f aca="false">EDATE(Parametri_v3!$C$5,25-1)</f>
        <v>47119</v>
      </c>
      <c r="D149" s="68" t="n">
        <f aca="false">YEAR(C149)</f>
        <v>2029</v>
      </c>
      <c r="E149" s="68" t="n">
        <f aca="false">MONTH(C149)</f>
        <v>1</v>
      </c>
      <c r="F149" s="68" t="n">
        <f aca="false">INT((25-1)/12)+1</f>
        <v>3</v>
      </c>
      <c r="G149" s="15" t="n">
        <f aca="false">Ipotesi!E7</f>
        <v>1.25</v>
      </c>
      <c r="H149" s="15" t="n">
        <f aca="false">Ipotesi!E9</f>
        <v>1</v>
      </c>
      <c r="I149" s="15" t="n">
        <f aca="false">Ipotesi!E10</f>
        <v>1</v>
      </c>
      <c r="J149" s="15" t="n">
        <f aca="false">Ipotesi!E11</f>
        <v>1</v>
      </c>
      <c r="K149" s="15" t="n">
        <f aca="false">Ipotesi!E12</f>
        <v>1</v>
      </c>
      <c r="L149" s="15" t="n">
        <f aca="false">Ipotesi!E13</f>
        <v>90</v>
      </c>
      <c r="M149" s="17" t="n">
        <f aca="false">INDEX(Ipotesi!$C$40:$G$40,1,F149)</f>
        <v>1</v>
      </c>
      <c r="N149" s="17" t="n">
        <f aca="false">INDEX(Ipotesi!$C$41:$G$41,1,F149)</f>
        <v>1</v>
      </c>
      <c r="O149" s="17" t="n">
        <f aca="false">INDEX(Ipotesi!$C$42:$G$42,1,F149)*Ipotesi!E125</f>
        <v>4.5</v>
      </c>
      <c r="P149" s="17" t="n">
        <f aca="false">INDEX(Ipotesi!$C$43:$G$43,1,F149)*I149</f>
        <v>5</v>
      </c>
      <c r="Q149" s="17" t="n">
        <f aca="false">INDEX(Ipotesi!$C$44:$G$44,1,F149)*I149</f>
        <v>4</v>
      </c>
      <c r="R149" s="17" t="n">
        <f aca="false">INDEX(Ipotesi!$C$45:$G$45,1,F149)*I149</f>
        <v>1</v>
      </c>
      <c r="S149" s="17" t="n">
        <f aca="false">INDEX(Ipotesi!$C$52:$G$52,1,F149)*Ipotesi!E125</f>
        <v>5</v>
      </c>
      <c r="T149" s="17" t="n">
        <f aca="false">INDEX(Ipotesi!$C$53:$G$53,1,F149)*I149</f>
        <v>1</v>
      </c>
      <c r="U149" s="17" t="n">
        <f aca="false">INDEX(Ipotesi!$C$54:$G$54,1,F149)*I149</f>
        <v>0.5</v>
      </c>
      <c r="V149" s="15" t="n">
        <f aca="false">M149*INDEX(Ipotesi!$C$58:$G$58,1,F149)*K149/12</f>
        <v>7083.33333333333</v>
      </c>
      <c r="W149" s="15" t="n">
        <f aca="false">N149*Ipotesi!$C$59*(1+Ipotesi!$C$66)^(F149-1)/12</f>
        <v>6188.58333333333</v>
      </c>
      <c r="X149" s="15" t="n">
        <f aca="false">O149*Ipotesi!$C$60*(1+Ipotesi!$C$66)^(F149-1)/12</f>
        <v>19891.875</v>
      </c>
      <c r="Y149" s="15" t="n">
        <f aca="false">P149*Ipotesi!$C$61*(1+Ipotesi!$C$66)^(F149-1)/12</f>
        <v>22102.0833333333</v>
      </c>
      <c r="Z149" s="15" t="n">
        <f aca="false">Q149*Ipotesi!$C$62*(1+Ipotesi!$C$66)^(F149-1)/12</f>
        <v>15913.5</v>
      </c>
      <c r="AA149" s="15" t="n">
        <f aca="false">R149*Ipotesi!$C$63*(1+Ipotesi!$C$66)^(F149-1)/12</f>
        <v>3094.29166666667</v>
      </c>
      <c r="AB149" s="15" t="n">
        <f aca="false">SUM(V149:AA149)</f>
        <v>74273.6666666667</v>
      </c>
      <c r="AC149" s="15" t="n">
        <f aca="false">(S149*Ipotesi!$C$64+T149*Ipotesi!$C$65+U149*Ipotesi!$C$63)*(1+Ipotesi!$C$66)^(F149-1)/12</f>
        <v>25417.3958333333</v>
      </c>
      <c r="AD149" s="15" t="n">
        <f aca="false">INDEX(Ipotesi!$C$48:$G$48,1,F149)*G149/12</f>
        <v>75</v>
      </c>
      <c r="AE149" s="15" t="n">
        <f aca="false">INDEX(Ipotesi!$C$50:$G$50,1,F149)*G149/12</f>
        <v>8.33333333333333</v>
      </c>
      <c r="AF149" s="15" t="n">
        <f aca="false">(S149*Parametri_v3!$C$7*Parametri_v3!$C$8+Parametri_v3!$C$10)/12</f>
        <v>64.1666666666667</v>
      </c>
      <c r="AG149" s="15" t="n">
        <f aca="false">AD149+AE149*(1+Parametri_v3!$C$9)</f>
        <v>87.5</v>
      </c>
      <c r="AH149" s="16" t="n">
        <f aca="false">IF(AG149=0,1,MIN(1,AF149/AG149))</f>
        <v>0.733333333333333</v>
      </c>
      <c r="AI149" s="15" t="n">
        <f aca="false">AD149*AH149</f>
        <v>55</v>
      </c>
      <c r="AJ149" s="15" t="n">
        <f aca="false">AE149*AH149</f>
        <v>6.11111111111111</v>
      </c>
      <c r="AK149" s="15" t="n">
        <f aca="false">AI149*INDEX(Ipotesi!$C$49:$G$49,1,F149)*H149</f>
        <v>46750</v>
      </c>
      <c r="AL149" s="15" t="n">
        <f aca="false">AJ149*INDEX(Ipotesi!$C$51:$G$51,1,F149)*H149</f>
        <v>13750</v>
      </c>
      <c r="AM149" s="15" t="n">
        <f aca="false">AK149+AL149</f>
        <v>60500</v>
      </c>
      <c r="AN149" s="15" t="n">
        <f aca="false">INDEX(Ipotesi!$C$30:$G$30,1,F149)*G149/12</f>
        <v>52.0833333333333</v>
      </c>
      <c r="AO149" s="15" t="n">
        <f aca="false">O149*Parametri_v3!$C$7*Parametri_v3!$C$11*(1-Parametri_v3!$C$14)/12</f>
        <v>46.2</v>
      </c>
      <c r="AP149" s="15" t="n">
        <f aca="false">MIN(AN149,AO149)</f>
        <v>46.2</v>
      </c>
      <c r="AQ149" s="15" t="n">
        <f aca="false">AP149*INDEX(Ipotesi!$C$31:$G$31,1,F149)*H149</f>
        <v>46200</v>
      </c>
      <c r="AR149" s="15" t="n">
        <f aca="false">INDEX(Ipotesi!$C$75:$G$75,1,F149)*J149/12</f>
        <v>20000</v>
      </c>
      <c r="AS149" s="15" t="n">
        <f aca="false">INDEX(Ipotesi!$C$81:$G$81,1,F149)*J149/12</f>
        <v>1250</v>
      </c>
      <c r="AT149" s="15" t="n">
        <f aca="false">AR149*Parametri_v3!$C$15+Z149*Parametri_v3!$C$16</f>
        <v>31139.45</v>
      </c>
      <c r="AU149" s="15" t="n">
        <f aca="false">Q149*Parametri_v3!$C$16*Parametri_v3!$C$17</f>
        <v>280</v>
      </c>
      <c r="AV149" s="17" t="n">
        <f aca="false">BD148</f>
        <v>41.1927433760617</v>
      </c>
      <c r="AW149" s="17" t="n">
        <f aca="false">AV149*(1-(1-INDEX(Ipotesi!$C$34:$G$34,1,F149))^(1/12))</f>
        <v>0.360090936750192</v>
      </c>
      <c r="AX149" s="15" t="n">
        <f aca="false">ROUND(INDEX(Ipotesi!$C$32:$G$32,1,F149)*Ipotesi!E8,0)</f>
        <v>182</v>
      </c>
      <c r="AY149" s="15" t="n">
        <f aca="false">MAX(0,(AX149-(AV149-AW149))/(13-E149))</f>
        <v>11.7639456300574</v>
      </c>
      <c r="AZ149" s="15" t="n">
        <f aca="false">MIN(P149*Parametri_v3!$C$22,Q149*(1-Parametri_v3!$C$16)*Parametri_v3!$C$23)</f>
        <v>180</v>
      </c>
      <c r="BA149" s="15" t="n">
        <f aca="false">IF(OR(INDEX(Ipotesi!$C$35:$G$35,1,F149)&lt;=0,25-Parametri_v3!$C$21&lt;1),0,INDEX($AT$125:$AT$184,MAX(1,25-Parametri_v3!$C$21))/(INDEX(Ipotesi!$C$35:$G$35,1,F149)*Ipotesi!E27))</f>
        <v>2.15973958333333</v>
      </c>
      <c r="BB149" s="15" t="n">
        <f aca="false">IF(25-Parametri_v3!$C$21&lt;1,0,INDEX($AU$125:$AU$184,MAX(1,25-Parametri_v3!$C$21)))*Parametri_v3!$C$18*Parametri_v3!$C$19*Parametri_v3!$C$20</f>
        <v>3.9375</v>
      </c>
      <c r="BC149" s="17" t="n">
        <f aca="false">MAX(0,MIN(AY149,BA149,BB149,MAX(0,AZ149-(AV149-AW149))))</f>
        <v>2.15973958333333</v>
      </c>
      <c r="BD149" s="17" t="n">
        <f aca="false">AV149-AW149+BC149</f>
        <v>42.9923920226448</v>
      </c>
      <c r="BE149" s="17" t="n">
        <f aca="false">(AV149+BD149)/2</f>
        <v>42.0925676993532</v>
      </c>
      <c r="BF149" s="15" t="n">
        <f aca="false">BE149*INDEX(Ipotesi!$C$33:$G$33,1,F149)*H149/12</f>
        <v>19292.4268622036</v>
      </c>
      <c r="BG149" s="15" t="n">
        <f aca="false">BD149*INDEX(Ipotesi!$C$33:$G$33,1,F149)*H149</f>
        <v>236458.156124546</v>
      </c>
      <c r="BH149" s="15" t="n">
        <f aca="false">AM149*INDEX(Ipotesi!$C$37:$G$37,1,F149)</f>
        <v>6050</v>
      </c>
      <c r="BI149" s="15" t="n">
        <f aca="false">AQ149+BF149+BH149</f>
        <v>71542.4268622036</v>
      </c>
      <c r="BJ149" s="15" t="n">
        <f aca="false">INDEX(Ipotesi!$C$68:$G$68,1,F149)*Ipotesi!$C$69/12</f>
        <v>2400</v>
      </c>
      <c r="BK149" s="15" t="n">
        <f aca="false">INDEX(Ipotesi!$C$68:$G$68,1,F149)*(1-Ipotesi!$C$69)/12</f>
        <v>3600</v>
      </c>
      <c r="BL149" s="15" t="n">
        <f aca="false">(AQ149+BF149)*Ipotesi!$C$67</f>
        <v>1964.77280586611</v>
      </c>
      <c r="BM149" s="15" t="n">
        <f aca="false">AM149*Ipotesi!$C$67</f>
        <v>1815</v>
      </c>
      <c r="BN149" s="15" t="n">
        <f aca="false">INDEX(Ipotesi!$C$72:$G$72,1,F149)/12*Ipotesi!E126+BF149*Ipotesi!$C$73</f>
        <v>2793.39414897629</v>
      </c>
      <c r="BO149" s="15" t="n">
        <f aca="false">INDEX(Ipotesi!$C$74:$G$74,1,F149)/12*Ipotesi!E126</f>
        <v>2916.66666666667</v>
      </c>
      <c r="BP149" s="15" t="n">
        <f aca="false">INDEX(Ipotesi!$C$76:$G$76,1,F149)/12</f>
        <v>1083.33333333333</v>
      </c>
      <c r="BQ149" s="15" t="n">
        <f aca="false">INDEX(Ipotesi!$C$77:$G$77,1,F149)/12*Ipotesi!E126</f>
        <v>2083.33333333333</v>
      </c>
      <c r="BR149" s="15" t="n">
        <f aca="false">INDEX(Ipotesi!$C$78:$G$78,1,F149)/12</f>
        <v>1666.66666666667</v>
      </c>
      <c r="BS149" s="15" t="n">
        <f aca="false">SUM(M149:R149)*(Ipotesi!$C$85+Ipotesi!$C$86)/12</f>
        <v>4812.5</v>
      </c>
      <c r="BT149" s="15" t="n">
        <f aca="false">BI149*Ipotesi!$C$87</f>
        <v>2146.27280586611</v>
      </c>
      <c r="BU149" s="15" t="n">
        <f aca="false">INDEX(Ipotesi!$C$55:$G$55,1,F149)*K149/12</f>
        <v>1500</v>
      </c>
      <c r="BV149" s="15" t="n">
        <f aca="false">INDEX(Ipotesi!$C$80:$G$80,1,F149)/12*Ipotesi!E126</f>
        <v>1250</v>
      </c>
      <c r="BW149" s="15" t="n">
        <f aca="false">INDEX(Ipotesi!$C$82:$G$82,1,F149)/12</f>
        <v>1000</v>
      </c>
      <c r="BX149" s="15" t="n">
        <f aca="false">INDEX(Ipotesi!$C$83:$G$83,1,F149)/12</f>
        <v>666.666666666667</v>
      </c>
      <c r="BY149" s="15" t="n">
        <f aca="false">SUM(S149:U149)*(Ipotesi!$C$85+Ipotesi!$C$86)/12</f>
        <v>1895.83333333333</v>
      </c>
      <c r="BZ149" s="15" t="n">
        <f aca="false">AM149*Ipotesi!$C$87</f>
        <v>1815</v>
      </c>
      <c r="CA149" s="15" t="n">
        <f aca="false">AB149+BJ149+BL149+BN149+BO149+AR149+BP149+BQ149+BR149+BS149+BT149</f>
        <v>116140.606427375</v>
      </c>
      <c r="CB149" s="15" t="n">
        <f aca="false">AC149+BK149+BM149+BH149+BU149+BV149+AS149+BW149+BX149+BY149+BZ149</f>
        <v>46259.8958333333</v>
      </c>
      <c r="CC149" s="15" t="n">
        <f aca="false">BI149-CA149</f>
        <v>-44598.1795651716</v>
      </c>
      <c r="CD149" s="15" t="n">
        <f aca="false">AM149-CB149</f>
        <v>14240.1041666667</v>
      </c>
      <c r="CE149" s="15" t="n">
        <f aca="false">INDEX(Ipotesi!$C$79:$G$79,1,F149)/12</f>
        <v>2500</v>
      </c>
      <c r="CF149" s="15" t="n">
        <f aca="false">INDEX(Ipotesi!$C$84:$G$84,1,F149)/12</f>
        <v>416.666666666667</v>
      </c>
      <c r="CG149" s="15" t="n">
        <f aca="false">Y149*MAX(0,Parametri_v3!$C$12-IF(P149=0,0,MIN(1,BE149/(P149*Parametri_v3!$C$22))))+W149*Parametri_v3!$C$13+X149*Parametri_v3!$C$14</f>
        <v>27314.0831219898</v>
      </c>
      <c r="CH149" s="15" t="n">
        <f aca="false">AB149*Parametri_v3!$C$32</f>
        <v>3713.68333333333</v>
      </c>
      <c r="CI149" s="15" t="n">
        <f aca="false">AC149*Parametri_v3!$C$32</f>
        <v>1270.86979166667</v>
      </c>
      <c r="CJ149" s="15" t="n">
        <f aca="false">CA149-AB149</f>
        <v>41866.9397607085</v>
      </c>
      <c r="CK149" s="15" t="n">
        <f aca="false">CB149-AC149-BH149</f>
        <v>14792.5</v>
      </c>
      <c r="CL149" s="15" t="n">
        <f aca="false">BF149*Ipotesi!$C$73+INDEX(Ipotesi!$C$72:$G$72,1,F149)/12*Ipotesi!E126*Parametri_v3!$C$58+Z149*(1-Parametri_v3!$C$16)</f>
        <v>7567.44414897629</v>
      </c>
      <c r="CM149" s="16" t="n">
        <f aca="false">IF(BF149=0,0,1-CL149/BF149)</f>
        <v>0.607750533251889</v>
      </c>
    </row>
    <row r="150" customFormat="false" ht="18" hidden="false" customHeight="true" outlineLevel="0" collapsed="false">
      <c r="A150" s="68" t="n">
        <f aca="false">3</f>
        <v>3</v>
      </c>
      <c r="B150" s="68" t="n">
        <f aca="false">26</f>
        <v>26</v>
      </c>
      <c r="C150" s="18" t="n">
        <f aca="false">EDATE(Parametri_v3!$C$5,26-1)</f>
        <v>47150</v>
      </c>
      <c r="D150" s="68" t="n">
        <f aca="false">YEAR(C150)</f>
        <v>2029</v>
      </c>
      <c r="E150" s="68" t="n">
        <f aca="false">MONTH(C150)</f>
        <v>2</v>
      </c>
      <c r="F150" s="68" t="n">
        <f aca="false">INT((26-1)/12)+1</f>
        <v>3</v>
      </c>
      <c r="G150" s="15" t="n">
        <f aca="false">Ipotesi!E7</f>
        <v>1.25</v>
      </c>
      <c r="H150" s="15" t="n">
        <f aca="false">Ipotesi!E9</f>
        <v>1</v>
      </c>
      <c r="I150" s="15" t="n">
        <f aca="false">Ipotesi!E10</f>
        <v>1</v>
      </c>
      <c r="J150" s="15" t="n">
        <f aca="false">Ipotesi!E11</f>
        <v>1</v>
      </c>
      <c r="K150" s="15" t="n">
        <f aca="false">Ipotesi!E12</f>
        <v>1</v>
      </c>
      <c r="L150" s="15" t="n">
        <f aca="false">Ipotesi!E13</f>
        <v>90</v>
      </c>
      <c r="M150" s="17" t="n">
        <f aca="false">INDEX(Ipotesi!$C$40:$G$40,1,F150)</f>
        <v>1</v>
      </c>
      <c r="N150" s="17" t="n">
        <f aca="false">INDEX(Ipotesi!$C$41:$G$41,1,F150)</f>
        <v>1</v>
      </c>
      <c r="O150" s="17" t="n">
        <f aca="false">INDEX(Ipotesi!$C$42:$G$42,1,F150)*Ipotesi!E125</f>
        <v>4.5</v>
      </c>
      <c r="P150" s="17" t="n">
        <f aca="false">INDEX(Ipotesi!$C$43:$G$43,1,F150)*I150</f>
        <v>5</v>
      </c>
      <c r="Q150" s="17" t="n">
        <f aca="false">INDEX(Ipotesi!$C$44:$G$44,1,F150)*I150</f>
        <v>4</v>
      </c>
      <c r="R150" s="17" t="n">
        <f aca="false">INDEX(Ipotesi!$C$45:$G$45,1,F150)*I150</f>
        <v>1</v>
      </c>
      <c r="S150" s="17" t="n">
        <f aca="false">INDEX(Ipotesi!$C$52:$G$52,1,F150)*Ipotesi!E125</f>
        <v>5</v>
      </c>
      <c r="T150" s="17" t="n">
        <f aca="false">INDEX(Ipotesi!$C$53:$G$53,1,F150)*I150</f>
        <v>1</v>
      </c>
      <c r="U150" s="17" t="n">
        <f aca="false">INDEX(Ipotesi!$C$54:$G$54,1,F150)*I150</f>
        <v>0.5</v>
      </c>
      <c r="V150" s="15" t="n">
        <f aca="false">M150*INDEX(Ipotesi!$C$58:$G$58,1,F150)*K150/12</f>
        <v>7083.33333333333</v>
      </c>
      <c r="W150" s="15" t="n">
        <f aca="false">N150*Ipotesi!$C$59*(1+Ipotesi!$C$66)^(F150-1)/12</f>
        <v>6188.58333333333</v>
      </c>
      <c r="X150" s="15" t="n">
        <f aca="false">O150*Ipotesi!$C$60*(1+Ipotesi!$C$66)^(F150-1)/12</f>
        <v>19891.875</v>
      </c>
      <c r="Y150" s="15" t="n">
        <f aca="false">P150*Ipotesi!$C$61*(1+Ipotesi!$C$66)^(F150-1)/12</f>
        <v>22102.0833333333</v>
      </c>
      <c r="Z150" s="15" t="n">
        <f aca="false">Q150*Ipotesi!$C$62*(1+Ipotesi!$C$66)^(F150-1)/12</f>
        <v>15913.5</v>
      </c>
      <c r="AA150" s="15" t="n">
        <f aca="false">R150*Ipotesi!$C$63*(1+Ipotesi!$C$66)^(F150-1)/12</f>
        <v>3094.29166666667</v>
      </c>
      <c r="AB150" s="15" t="n">
        <f aca="false">SUM(V150:AA150)</f>
        <v>74273.6666666667</v>
      </c>
      <c r="AC150" s="15" t="n">
        <f aca="false">(S150*Ipotesi!$C$64+T150*Ipotesi!$C$65+U150*Ipotesi!$C$63)*(1+Ipotesi!$C$66)^(F150-1)/12</f>
        <v>25417.3958333333</v>
      </c>
      <c r="AD150" s="15" t="n">
        <f aca="false">INDEX(Ipotesi!$C$48:$G$48,1,F150)*G150/12</f>
        <v>75</v>
      </c>
      <c r="AE150" s="15" t="n">
        <f aca="false">INDEX(Ipotesi!$C$50:$G$50,1,F150)*G150/12</f>
        <v>8.33333333333333</v>
      </c>
      <c r="AF150" s="15" t="n">
        <f aca="false">(S150*Parametri_v3!$C$7*Parametri_v3!$C$8+Parametri_v3!$C$10)/12</f>
        <v>64.1666666666667</v>
      </c>
      <c r="AG150" s="15" t="n">
        <f aca="false">AD150+AE150*(1+Parametri_v3!$C$9)</f>
        <v>87.5</v>
      </c>
      <c r="AH150" s="16" t="n">
        <f aca="false">IF(AG150=0,1,MIN(1,AF150/AG150))</f>
        <v>0.733333333333333</v>
      </c>
      <c r="AI150" s="15" t="n">
        <f aca="false">AD150*AH150</f>
        <v>55</v>
      </c>
      <c r="AJ150" s="15" t="n">
        <f aca="false">AE150*AH150</f>
        <v>6.11111111111111</v>
      </c>
      <c r="AK150" s="15" t="n">
        <f aca="false">AI150*INDEX(Ipotesi!$C$49:$G$49,1,F150)*H150</f>
        <v>46750</v>
      </c>
      <c r="AL150" s="15" t="n">
        <f aca="false">AJ150*INDEX(Ipotesi!$C$51:$G$51,1,F150)*H150</f>
        <v>13750</v>
      </c>
      <c r="AM150" s="15" t="n">
        <f aca="false">AK150+AL150</f>
        <v>60500</v>
      </c>
      <c r="AN150" s="15" t="n">
        <f aca="false">INDEX(Ipotesi!$C$30:$G$30,1,F150)*G150/12</f>
        <v>52.0833333333333</v>
      </c>
      <c r="AO150" s="15" t="n">
        <f aca="false">O150*Parametri_v3!$C$7*Parametri_v3!$C$11*(1-Parametri_v3!$C$14)/12</f>
        <v>46.2</v>
      </c>
      <c r="AP150" s="15" t="n">
        <f aca="false">MIN(AN150,AO150)</f>
        <v>46.2</v>
      </c>
      <c r="AQ150" s="15" t="n">
        <f aca="false">AP150*INDEX(Ipotesi!$C$31:$G$31,1,F150)*H150</f>
        <v>46200</v>
      </c>
      <c r="AR150" s="15" t="n">
        <f aca="false">INDEX(Ipotesi!$C$75:$G$75,1,F150)*J150/12</f>
        <v>20000</v>
      </c>
      <c r="AS150" s="15" t="n">
        <f aca="false">INDEX(Ipotesi!$C$81:$G$81,1,F150)*J150/12</f>
        <v>1250</v>
      </c>
      <c r="AT150" s="15" t="n">
        <f aca="false">AR150*Parametri_v3!$C$15+Z150*Parametri_v3!$C$16</f>
        <v>31139.45</v>
      </c>
      <c r="AU150" s="15" t="n">
        <f aca="false">Q150*Parametri_v3!$C$16*Parametri_v3!$C$17</f>
        <v>280</v>
      </c>
      <c r="AV150" s="17" t="n">
        <f aca="false">BD149</f>
        <v>42.9923920226448</v>
      </c>
      <c r="AW150" s="17" t="n">
        <f aca="false">AV150*(1-(1-INDEX(Ipotesi!$C$34:$G$34,1,F150))^(1/12))</f>
        <v>0.375822765073768</v>
      </c>
      <c r="AX150" s="15" t="n">
        <f aca="false">ROUND(INDEX(Ipotesi!$C$32:$G$32,1,F150)*Ipotesi!E8,0)</f>
        <v>182</v>
      </c>
      <c r="AY150" s="15" t="n">
        <f aca="false">MAX(0,(AX150-(AV150-AW150))/(13-E150))</f>
        <v>12.6712209765845</v>
      </c>
      <c r="AZ150" s="15" t="n">
        <f aca="false">MIN(P150*Parametri_v3!$C$22,Q150*(1-Parametri_v3!$C$16)*Parametri_v3!$C$23)</f>
        <v>180</v>
      </c>
      <c r="BA150" s="15" t="n">
        <f aca="false">IF(OR(INDEX(Ipotesi!$C$35:$G$35,1,F150)&lt;=0,26-Parametri_v3!$C$21&lt;1),0,INDEX($AT$125:$AT$184,MAX(1,26-Parametri_v3!$C$21))/(INDEX(Ipotesi!$C$35:$G$35,1,F150)*Ipotesi!E27))</f>
        <v>2.15973958333333</v>
      </c>
      <c r="BB150" s="15" t="n">
        <f aca="false">IF(26-Parametri_v3!$C$21&lt;1,0,INDEX($AU$125:$AU$184,MAX(1,26-Parametri_v3!$C$21)))*Parametri_v3!$C$18*Parametri_v3!$C$19*Parametri_v3!$C$20</f>
        <v>3.9375</v>
      </c>
      <c r="BC150" s="17" t="n">
        <f aca="false">MAX(0,MIN(AY150,BA150,BB150,MAX(0,AZ150-(AV150-AW150))))</f>
        <v>2.15973958333333</v>
      </c>
      <c r="BD150" s="17" t="n">
        <f aca="false">AV150-AW150+BC150</f>
        <v>44.7763088409044</v>
      </c>
      <c r="BE150" s="17" t="n">
        <f aca="false">(AV150+BD150)/2</f>
        <v>43.8843504317746</v>
      </c>
      <c r="BF150" s="15" t="n">
        <f aca="false">BE150*INDEX(Ipotesi!$C$33:$G$33,1,F150)*H150/12</f>
        <v>20113.6606145634</v>
      </c>
      <c r="BG150" s="15" t="n">
        <f aca="false">BD150*INDEX(Ipotesi!$C$33:$G$33,1,F150)*H150</f>
        <v>246269.698624974</v>
      </c>
      <c r="BH150" s="15" t="n">
        <f aca="false">AM150*INDEX(Ipotesi!$C$37:$G$37,1,F150)</f>
        <v>6050</v>
      </c>
      <c r="BI150" s="15" t="n">
        <f aca="false">AQ150+BF150+BH150</f>
        <v>72363.6606145634</v>
      </c>
      <c r="BJ150" s="15" t="n">
        <f aca="false">INDEX(Ipotesi!$C$68:$G$68,1,F150)*Ipotesi!$C$69/12</f>
        <v>2400</v>
      </c>
      <c r="BK150" s="15" t="n">
        <f aca="false">INDEX(Ipotesi!$C$68:$G$68,1,F150)*(1-Ipotesi!$C$69)/12</f>
        <v>3600</v>
      </c>
      <c r="BL150" s="15" t="n">
        <f aca="false">(AQ150+BF150)*Ipotesi!$C$67</f>
        <v>1989.4098184369</v>
      </c>
      <c r="BM150" s="15" t="n">
        <f aca="false">AM150*Ipotesi!$C$67</f>
        <v>1815</v>
      </c>
      <c r="BN150" s="15" t="n">
        <f aca="false">INDEX(Ipotesi!$C$72:$G$72,1,F150)/12*Ipotesi!E126+BF150*Ipotesi!$C$73</f>
        <v>2859.09284916507</v>
      </c>
      <c r="BO150" s="15" t="n">
        <f aca="false">INDEX(Ipotesi!$C$74:$G$74,1,F150)/12*Ipotesi!E126</f>
        <v>2916.66666666667</v>
      </c>
      <c r="BP150" s="15" t="n">
        <f aca="false">INDEX(Ipotesi!$C$76:$G$76,1,F150)/12</f>
        <v>1083.33333333333</v>
      </c>
      <c r="BQ150" s="15" t="n">
        <f aca="false">INDEX(Ipotesi!$C$77:$G$77,1,F150)/12*Ipotesi!E126</f>
        <v>2083.33333333333</v>
      </c>
      <c r="BR150" s="15" t="n">
        <f aca="false">INDEX(Ipotesi!$C$78:$G$78,1,F150)/12</f>
        <v>1666.66666666667</v>
      </c>
      <c r="BS150" s="15" t="n">
        <f aca="false">SUM(M150:R150)*(Ipotesi!$C$85+Ipotesi!$C$86)/12</f>
        <v>4812.5</v>
      </c>
      <c r="BT150" s="15" t="n">
        <f aca="false">BI150*Ipotesi!$C$87</f>
        <v>2170.9098184369</v>
      </c>
      <c r="BU150" s="15" t="n">
        <f aca="false">INDEX(Ipotesi!$C$55:$G$55,1,F150)*K150/12</f>
        <v>1500</v>
      </c>
      <c r="BV150" s="15" t="n">
        <f aca="false">INDEX(Ipotesi!$C$80:$G$80,1,F150)/12*Ipotesi!E126</f>
        <v>1250</v>
      </c>
      <c r="BW150" s="15" t="n">
        <f aca="false">INDEX(Ipotesi!$C$82:$G$82,1,F150)/12</f>
        <v>1000</v>
      </c>
      <c r="BX150" s="15" t="n">
        <f aca="false">INDEX(Ipotesi!$C$83:$G$83,1,F150)/12</f>
        <v>666.666666666667</v>
      </c>
      <c r="BY150" s="15" t="n">
        <f aca="false">SUM(S150:U150)*(Ipotesi!$C$85+Ipotesi!$C$86)/12</f>
        <v>1895.83333333333</v>
      </c>
      <c r="BZ150" s="15" t="n">
        <f aca="false">AM150*Ipotesi!$C$87</f>
        <v>1815</v>
      </c>
      <c r="CA150" s="15" t="n">
        <f aca="false">AB150+BJ150+BL150+BN150+BO150+AR150+BP150+BQ150+BR150+BS150+BT150</f>
        <v>116255.579152706</v>
      </c>
      <c r="CB150" s="15" t="n">
        <f aca="false">AC150+BK150+BM150+BH150+BU150+BV150+AS150+BW150+BX150+BY150+BZ150</f>
        <v>46259.8958333333</v>
      </c>
      <c r="CC150" s="15" t="n">
        <f aca="false">BI150-CA150</f>
        <v>-43891.9185381422</v>
      </c>
      <c r="CD150" s="15" t="n">
        <f aca="false">AM150-CB150</f>
        <v>14240.1041666667</v>
      </c>
      <c r="CE150" s="15" t="n">
        <f aca="false">INDEX(Ipotesi!$C$79:$G$79,1,F150)/12</f>
        <v>2500</v>
      </c>
      <c r="CF150" s="15" t="n">
        <f aca="false">INDEX(Ipotesi!$C$84:$G$84,1,F150)/12</f>
        <v>416.666666666667</v>
      </c>
      <c r="CG150" s="15" t="n">
        <f aca="false">Y150*MAX(0,Parametri_v3!$C$12-IF(P150=0,0,MIN(1,BE150/(P150*Parametri_v3!$C$22))))+W150*Parametri_v3!$C$13+X150*Parametri_v3!$C$14</f>
        <v>27234.8788594554</v>
      </c>
      <c r="CH150" s="15" t="n">
        <f aca="false">AB150*Parametri_v3!$C$32</f>
        <v>3713.68333333333</v>
      </c>
      <c r="CI150" s="15" t="n">
        <f aca="false">AC150*Parametri_v3!$C$32</f>
        <v>1270.86979166667</v>
      </c>
      <c r="CJ150" s="15" t="n">
        <f aca="false">CA150-AB150</f>
        <v>41981.9124860389</v>
      </c>
      <c r="CK150" s="15" t="n">
        <f aca="false">CB150-AC150-BH150</f>
        <v>14792.5</v>
      </c>
      <c r="CL150" s="15" t="n">
        <f aca="false">BF150*Ipotesi!$C$73+INDEX(Ipotesi!$C$72:$G$72,1,F150)/12*Ipotesi!E126*Parametri_v3!$C$58+Z150*(1-Parametri_v3!$C$16)</f>
        <v>7633.14284916507</v>
      </c>
      <c r="CM150" s="16" t="n">
        <f aca="false">IF(BF150=0,0,1-CL150/BF150)</f>
        <v>0.62049957014596</v>
      </c>
    </row>
    <row r="151" customFormat="false" ht="18" hidden="false" customHeight="true" outlineLevel="0" collapsed="false">
      <c r="A151" s="68" t="n">
        <f aca="false">3</f>
        <v>3</v>
      </c>
      <c r="B151" s="68" t="n">
        <f aca="false">27</f>
        <v>27</v>
      </c>
      <c r="C151" s="18" t="n">
        <f aca="false">EDATE(Parametri_v3!$C$5,27-1)</f>
        <v>47178</v>
      </c>
      <c r="D151" s="68" t="n">
        <f aca="false">YEAR(C151)</f>
        <v>2029</v>
      </c>
      <c r="E151" s="68" t="n">
        <f aca="false">MONTH(C151)</f>
        <v>3</v>
      </c>
      <c r="F151" s="68" t="n">
        <f aca="false">INT((27-1)/12)+1</f>
        <v>3</v>
      </c>
      <c r="G151" s="15" t="n">
        <f aca="false">Ipotesi!E7</f>
        <v>1.25</v>
      </c>
      <c r="H151" s="15" t="n">
        <f aca="false">Ipotesi!E9</f>
        <v>1</v>
      </c>
      <c r="I151" s="15" t="n">
        <f aca="false">Ipotesi!E10</f>
        <v>1</v>
      </c>
      <c r="J151" s="15" t="n">
        <f aca="false">Ipotesi!E11</f>
        <v>1</v>
      </c>
      <c r="K151" s="15" t="n">
        <f aca="false">Ipotesi!E12</f>
        <v>1</v>
      </c>
      <c r="L151" s="15" t="n">
        <f aca="false">Ipotesi!E13</f>
        <v>90</v>
      </c>
      <c r="M151" s="17" t="n">
        <f aca="false">INDEX(Ipotesi!$C$40:$G$40,1,F151)</f>
        <v>1</v>
      </c>
      <c r="N151" s="17" t="n">
        <f aca="false">INDEX(Ipotesi!$C$41:$G$41,1,F151)</f>
        <v>1</v>
      </c>
      <c r="O151" s="17" t="n">
        <f aca="false">INDEX(Ipotesi!$C$42:$G$42,1,F151)*Ipotesi!E125</f>
        <v>4.5</v>
      </c>
      <c r="P151" s="17" t="n">
        <f aca="false">INDEX(Ipotesi!$C$43:$G$43,1,F151)*I151</f>
        <v>5</v>
      </c>
      <c r="Q151" s="17" t="n">
        <f aca="false">INDEX(Ipotesi!$C$44:$G$44,1,F151)*I151</f>
        <v>4</v>
      </c>
      <c r="R151" s="17" t="n">
        <f aca="false">INDEX(Ipotesi!$C$45:$G$45,1,F151)*I151</f>
        <v>1</v>
      </c>
      <c r="S151" s="17" t="n">
        <f aca="false">INDEX(Ipotesi!$C$52:$G$52,1,F151)*Ipotesi!E125</f>
        <v>5</v>
      </c>
      <c r="T151" s="17" t="n">
        <f aca="false">INDEX(Ipotesi!$C$53:$G$53,1,F151)*I151</f>
        <v>1</v>
      </c>
      <c r="U151" s="17" t="n">
        <f aca="false">INDEX(Ipotesi!$C$54:$G$54,1,F151)*I151</f>
        <v>0.5</v>
      </c>
      <c r="V151" s="15" t="n">
        <f aca="false">M151*INDEX(Ipotesi!$C$58:$G$58,1,F151)*K151/12</f>
        <v>7083.33333333333</v>
      </c>
      <c r="W151" s="15" t="n">
        <f aca="false">N151*Ipotesi!$C$59*(1+Ipotesi!$C$66)^(F151-1)/12</f>
        <v>6188.58333333333</v>
      </c>
      <c r="X151" s="15" t="n">
        <f aca="false">O151*Ipotesi!$C$60*(1+Ipotesi!$C$66)^(F151-1)/12</f>
        <v>19891.875</v>
      </c>
      <c r="Y151" s="15" t="n">
        <f aca="false">P151*Ipotesi!$C$61*(1+Ipotesi!$C$66)^(F151-1)/12</f>
        <v>22102.0833333333</v>
      </c>
      <c r="Z151" s="15" t="n">
        <f aca="false">Q151*Ipotesi!$C$62*(1+Ipotesi!$C$66)^(F151-1)/12</f>
        <v>15913.5</v>
      </c>
      <c r="AA151" s="15" t="n">
        <f aca="false">R151*Ipotesi!$C$63*(1+Ipotesi!$C$66)^(F151-1)/12</f>
        <v>3094.29166666667</v>
      </c>
      <c r="AB151" s="15" t="n">
        <f aca="false">SUM(V151:AA151)</f>
        <v>74273.6666666667</v>
      </c>
      <c r="AC151" s="15" t="n">
        <f aca="false">(S151*Ipotesi!$C$64+T151*Ipotesi!$C$65+U151*Ipotesi!$C$63)*(1+Ipotesi!$C$66)^(F151-1)/12</f>
        <v>25417.3958333333</v>
      </c>
      <c r="AD151" s="15" t="n">
        <f aca="false">INDEX(Ipotesi!$C$48:$G$48,1,F151)*G151/12</f>
        <v>75</v>
      </c>
      <c r="AE151" s="15" t="n">
        <f aca="false">INDEX(Ipotesi!$C$50:$G$50,1,F151)*G151/12</f>
        <v>8.33333333333333</v>
      </c>
      <c r="AF151" s="15" t="n">
        <f aca="false">(S151*Parametri_v3!$C$7*Parametri_v3!$C$8+Parametri_v3!$C$10)/12</f>
        <v>64.1666666666667</v>
      </c>
      <c r="AG151" s="15" t="n">
        <f aca="false">AD151+AE151*(1+Parametri_v3!$C$9)</f>
        <v>87.5</v>
      </c>
      <c r="AH151" s="16" t="n">
        <f aca="false">IF(AG151=0,1,MIN(1,AF151/AG151))</f>
        <v>0.733333333333333</v>
      </c>
      <c r="AI151" s="15" t="n">
        <f aca="false">AD151*AH151</f>
        <v>55</v>
      </c>
      <c r="AJ151" s="15" t="n">
        <f aca="false">AE151*AH151</f>
        <v>6.11111111111111</v>
      </c>
      <c r="AK151" s="15" t="n">
        <f aca="false">AI151*INDEX(Ipotesi!$C$49:$G$49,1,F151)*H151</f>
        <v>46750</v>
      </c>
      <c r="AL151" s="15" t="n">
        <f aca="false">AJ151*INDEX(Ipotesi!$C$51:$G$51,1,F151)*H151</f>
        <v>13750</v>
      </c>
      <c r="AM151" s="15" t="n">
        <f aca="false">AK151+AL151</f>
        <v>60500</v>
      </c>
      <c r="AN151" s="15" t="n">
        <f aca="false">INDEX(Ipotesi!$C$30:$G$30,1,F151)*G151/12</f>
        <v>52.0833333333333</v>
      </c>
      <c r="AO151" s="15" t="n">
        <f aca="false">O151*Parametri_v3!$C$7*Parametri_v3!$C$11*(1-Parametri_v3!$C$14)/12</f>
        <v>46.2</v>
      </c>
      <c r="AP151" s="15" t="n">
        <f aca="false">MIN(AN151,AO151)</f>
        <v>46.2</v>
      </c>
      <c r="AQ151" s="15" t="n">
        <f aca="false">AP151*INDEX(Ipotesi!$C$31:$G$31,1,F151)*H151</f>
        <v>46200</v>
      </c>
      <c r="AR151" s="15" t="n">
        <f aca="false">INDEX(Ipotesi!$C$75:$G$75,1,F151)*J151/12</f>
        <v>20000</v>
      </c>
      <c r="AS151" s="15" t="n">
        <f aca="false">INDEX(Ipotesi!$C$81:$G$81,1,F151)*J151/12</f>
        <v>1250</v>
      </c>
      <c r="AT151" s="15" t="n">
        <f aca="false">AR151*Parametri_v3!$C$15+Z151*Parametri_v3!$C$16</f>
        <v>31139.45</v>
      </c>
      <c r="AU151" s="15" t="n">
        <f aca="false">Q151*Parametri_v3!$C$16*Parametri_v3!$C$17</f>
        <v>280</v>
      </c>
      <c r="AV151" s="17" t="n">
        <f aca="false">BD150</f>
        <v>44.7763088409044</v>
      </c>
      <c r="AW151" s="17" t="n">
        <f aca="false">AV151*(1-(1-INDEX(Ipotesi!$C$34:$G$34,1,F151))^(1/12))</f>
        <v>0.391417071874533</v>
      </c>
      <c r="AX151" s="15" t="n">
        <f aca="false">ROUND(INDEX(Ipotesi!$C$32:$G$32,1,F151)*Ipotesi!E8,0)</f>
        <v>182</v>
      </c>
      <c r="AY151" s="15" t="n">
        <f aca="false">MAX(0,(AX151-(AV151-AW151))/(13-E151))</f>
        <v>13.761510823097</v>
      </c>
      <c r="AZ151" s="15" t="n">
        <f aca="false">MIN(P151*Parametri_v3!$C$22,Q151*(1-Parametri_v3!$C$16)*Parametri_v3!$C$23)</f>
        <v>180</v>
      </c>
      <c r="BA151" s="15" t="n">
        <f aca="false">IF(OR(INDEX(Ipotesi!$C$35:$G$35,1,F151)&lt;=0,27-Parametri_v3!$C$21&lt;1),0,INDEX($AT$125:$AT$184,MAX(1,27-Parametri_v3!$C$21))/(INDEX(Ipotesi!$C$35:$G$35,1,F151)*Ipotesi!E27))</f>
        <v>2.15973958333333</v>
      </c>
      <c r="BB151" s="15" t="n">
        <f aca="false">IF(27-Parametri_v3!$C$21&lt;1,0,INDEX($AU$125:$AU$184,MAX(1,27-Parametri_v3!$C$21)))*Parametri_v3!$C$18*Parametri_v3!$C$19*Parametri_v3!$C$20</f>
        <v>3.9375</v>
      </c>
      <c r="BC151" s="17" t="n">
        <f aca="false">MAX(0,MIN(AY151,BA151,BB151,MAX(0,AZ151-(AV151-AW151))))</f>
        <v>2.15973958333333</v>
      </c>
      <c r="BD151" s="17" t="n">
        <f aca="false">AV151-AW151+BC151</f>
        <v>46.5446313523632</v>
      </c>
      <c r="BE151" s="17" t="n">
        <f aca="false">(AV151+BD151)/2</f>
        <v>45.6604700966338</v>
      </c>
      <c r="BF151" s="15" t="n">
        <f aca="false">BE151*INDEX(Ipotesi!$C$33:$G$33,1,F151)*H151/12</f>
        <v>20927.7154609571</v>
      </c>
      <c r="BG151" s="15" t="n">
        <f aca="false">BD151*INDEX(Ipotesi!$C$33:$G$33,1,F151)*H151</f>
        <v>255995.472437997</v>
      </c>
      <c r="BH151" s="15" t="n">
        <f aca="false">AM151*INDEX(Ipotesi!$C$37:$G$37,1,F151)</f>
        <v>6050</v>
      </c>
      <c r="BI151" s="15" t="n">
        <f aca="false">AQ151+BF151+BH151</f>
        <v>73177.7154609571</v>
      </c>
      <c r="BJ151" s="15" t="n">
        <f aca="false">INDEX(Ipotesi!$C$68:$G$68,1,F151)*Ipotesi!$C$69/12</f>
        <v>2400</v>
      </c>
      <c r="BK151" s="15" t="n">
        <f aca="false">INDEX(Ipotesi!$C$68:$G$68,1,F151)*(1-Ipotesi!$C$69)/12</f>
        <v>3600</v>
      </c>
      <c r="BL151" s="15" t="n">
        <f aca="false">(AQ151+BF151)*Ipotesi!$C$67</f>
        <v>2013.83146382871</v>
      </c>
      <c r="BM151" s="15" t="n">
        <f aca="false">AM151*Ipotesi!$C$67</f>
        <v>1815</v>
      </c>
      <c r="BN151" s="15" t="n">
        <f aca="false">INDEX(Ipotesi!$C$72:$G$72,1,F151)/12*Ipotesi!E126+BF151*Ipotesi!$C$73</f>
        <v>2924.21723687657</v>
      </c>
      <c r="BO151" s="15" t="n">
        <f aca="false">INDEX(Ipotesi!$C$74:$G$74,1,F151)/12*Ipotesi!E126</f>
        <v>2916.66666666667</v>
      </c>
      <c r="BP151" s="15" t="n">
        <f aca="false">INDEX(Ipotesi!$C$76:$G$76,1,F151)/12</f>
        <v>1083.33333333333</v>
      </c>
      <c r="BQ151" s="15" t="n">
        <f aca="false">INDEX(Ipotesi!$C$77:$G$77,1,F151)/12*Ipotesi!E126</f>
        <v>2083.33333333333</v>
      </c>
      <c r="BR151" s="15" t="n">
        <f aca="false">INDEX(Ipotesi!$C$78:$G$78,1,F151)/12</f>
        <v>1666.66666666667</v>
      </c>
      <c r="BS151" s="15" t="n">
        <f aca="false">SUM(M151:R151)*(Ipotesi!$C$85+Ipotesi!$C$86)/12</f>
        <v>4812.5</v>
      </c>
      <c r="BT151" s="15" t="n">
        <f aca="false">BI151*Ipotesi!$C$87</f>
        <v>2195.33146382871</v>
      </c>
      <c r="BU151" s="15" t="n">
        <f aca="false">INDEX(Ipotesi!$C$55:$G$55,1,F151)*K151/12</f>
        <v>1500</v>
      </c>
      <c r="BV151" s="15" t="n">
        <f aca="false">INDEX(Ipotesi!$C$80:$G$80,1,F151)/12*Ipotesi!E126</f>
        <v>1250</v>
      </c>
      <c r="BW151" s="15" t="n">
        <f aca="false">INDEX(Ipotesi!$C$82:$G$82,1,F151)/12</f>
        <v>1000</v>
      </c>
      <c r="BX151" s="15" t="n">
        <f aca="false">INDEX(Ipotesi!$C$83:$G$83,1,F151)/12</f>
        <v>666.666666666667</v>
      </c>
      <c r="BY151" s="15" t="n">
        <f aca="false">SUM(S151:U151)*(Ipotesi!$C$85+Ipotesi!$C$86)/12</f>
        <v>1895.83333333333</v>
      </c>
      <c r="BZ151" s="15" t="n">
        <f aca="false">AM151*Ipotesi!$C$87</f>
        <v>1815</v>
      </c>
      <c r="CA151" s="15" t="n">
        <f aca="false">AB151+BJ151+BL151+BN151+BO151+AR151+BP151+BQ151+BR151+BS151+BT151</f>
        <v>116369.546831201</v>
      </c>
      <c r="CB151" s="15" t="n">
        <f aca="false">AC151+BK151+BM151+BH151+BU151+BV151+AS151+BW151+BX151+BY151+BZ151</f>
        <v>46259.8958333333</v>
      </c>
      <c r="CC151" s="15" t="n">
        <f aca="false">BI151-CA151</f>
        <v>-43191.8313702435</v>
      </c>
      <c r="CD151" s="15" t="n">
        <f aca="false">AM151-CB151</f>
        <v>14240.1041666667</v>
      </c>
      <c r="CE151" s="15" t="n">
        <f aca="false">INDEX(Ipotesi!$C$79:$G$79,1,F151)/12</f>
        <v>2500</v>
      </c>
      <c r="CF151" s="15" t="n">
        <f aca="false">INDEX(Ipotesi!$C$84:$G$84,1,F151)/12</f>
        <v>416.666666666667</v>
      </c>
      <c r="CG151" s="15" t="n">
        <f aca="false">Y151*MAX(0,Parametri_v3!$C$12-IF(P151=0,0,MIN(1,BE151/(P151*Parametri_v3!$C$22))))+W151*Parametri_v3!$C$13+X151*Parametri_v3!$C$14</f>
        <v>27156.3669697701</v>
      </c>
      <c r="CH151" s="15" t="n">
        <f aca="false">AB151*Parametri_v3!$C$32</f>
        <v>3713.68333333333</v>
      </c>
      <c r="CI151" s="15" t="n">
        <f aca="false">AC151*Parametri_v3!$C$32</f>
        <v>1270.86979166667</v>
      </c>
      <c r="CJ151" s="15" t="n">
        <f aca="false">CA151-AB151</f>
        <v>42095.880164534</v>
      </c>
      <c r="CK151" s="15" t="n">
        <f aca="false">CB151-AC151-BH151</f>
        <v>14792.5</v>
      </c>
      <c r="CL151" s="15" t="n">
        <f aca="false">BF151*Ipotesi!$C$73+INDEX(Ipotesi!$C$72:$G$72,1,F151)/12*Ipotesi!E126*Parametri_v3!$C$58+Z151*(1-Parametri_v3!$C$16)</f>
        <v>7698.26723687657</v>
      </c>
      <c r="CM151" s="16" t="n">
        <f aca="false">IF(BF151=0,0,1-CL151/BF151)</f>
        <v>0.632149660518918</v>
      </c>
    </row>
    <row r="152" customFormat="false" ht="18" hidden="false" customHeight="true" outlineLevel="0" collapsed="false">
      <c r="A152" s="68" t="n">
        <f aca="false">3</f>
        <v>3</v>
      </c>
      <c r="B152" s="68" t="n">
        <f aca="false">28</f>
        <v>28</v>
      </c>
      <c r="C152" s="18" t="n">
        <f aca="false">EDATE(Parametri_v3!$C$5,28-1)</f>
        <v>47209</v>
      </c>
      <c r="D152" s="68" t="n">
        <f aca="false">YEAR(C152)</f>
        <v>2029</v>
      </c>
      <c r="E152" s="68" t="n">
        <f aca="false">MONTH(C152)</f>
        <v>4</v>
      </c>
      <c r="F152" s="68" t="n">
        <f aca="false">INT((28-1)/12)+1</f>
        <v>3</v>
      </c>
      <c r="G152" s="15" t="n">
        <f aca="false">Ipotesi!E7</f>
        <v>1.25</v>
      </c>
      <c r="H152" s="15" t="n">
        <f aca="false">Ipotesi!E9</f>
        <v>1</v>
      </c>
      <c r="I152" s="15" t="n">
        <f aca="false">Ipotesi!E10</f>
        <v>1</v>
      </c>
      <c r="J152" s="15" t="n">
        <f aca="false">Ipotesi!E11</f>
        <v>1</v>
      </c>
      <c r="K152" s="15" t="n">
        <f aca="false">Ipotesi!E12</f>
        <v>1</v>
      </c>
      <c r="L152" s="15" t="n">
        <f aca="false">Ipotesi!E13</f>
        <v>90</v>
      </c>
      <c r="M152" s="17" t="n">
        <f aca="false">INDEX(Ipotesi!$C$40:$G$40,1,F152)</f>
        <v>1</v>
      </c>
      <c r="N152" s="17" t="n">
        <f aca="false">INDEX(Ipotesi!$C$41:$G$41,1,F152)</f>
        <v>1</v>
      </c>
      <c r="O152" s="17" t="n">
        <f aca="false">INDEX(Ipotesi!$C$42:$G$42,1,F152)*Ipotesi!E125</f>
        <v>4.5</v>
      </c>
      <c r="P152" s="17" t="n">
        <f aca="false">INDEX(Ipotesi!$C$43:$G$43,1,F152)*I152</f>
        <v>5</v>
      </c>
      <c r="Q152" s="17" t="n">
        <f aca="false">INDEX(Ipotesi!$C$44:$G$44,1,F152)*I152</f>
        <v>4</v>
      </c>
      <c r="R152" s="17" t="n">
        <f aca="false">INDEX(Ipotesi!$C$45:$G$45,1,F152)*I152</f>
        <v>1</v>
      </c>
      <c r="S152" s="17" t="n">
        <f aca="false">INDEX(Ipotesi!$C$52:$G$52,1,F152)*Ipotesi!E125</f>
        <v>5</v>
      </c>
      <c r="T152" s="17" t="n">
        <f aca="false">INDEX(Ipotesi!$C$53:$G$53,1,F152)*I152</f>
        <v>1</v>
      </c>
      <c r="U152" s="17" t="n">
        <f aca="false">INDEX(Ipotesi!$C$54:$G$54,1,F152)*I152</f>
        <v>0.5</v>
      </c>
      <c r="V152" s="15" t="n">
        <f aca="false">M152*INDEX(Ipotesi!$C$58:$G$58,1,F152)*K152/12</f>
        <v>7083.33333333333</v>
      </c>
      <c r="W152" s="15" t="n">
        <f aca="false">N152*Ipotesi!$C$59*(1+Ipotesi!$C$66)^(F152-1)/12</f>
        <v>6188.58333333333</v>
      </c>
      <c r="X152" s="15" t="n">
        <f aca="false">O152*Ipotesi!$C$60*(1+Ipotesi!$C$66)^(F152-1)/12</f>
        <v>19891.875</v>
      </c>
      <c r="Y152" s="15" t="n">
        <f aca="false">P152*Ipotesi!$C$61*(1+Ipotesi!$C$66)^(F152-1)/12</f>
        <v>22102.0833333333</v>
      </c>
      <c r="Z152" s="15" t="n">
        <f aca="false">Q152*Ipotesi!$C$62*(1+Ipotesi!$C$66)^(F152-1)/12</f>
        <v>15913.5</v>
      </c>
      <c r="AA152" s="15" t="n">
        <f aca="false">R152*Ipotesi!$C$63*(1+Ipotesi!$C$66)^(F152-1)/12</f>
        <v>3094.29166666667</v>
      </c>
      <c r="AB152" s="15" t="n">
        <f aca="false">SUM(V152:AA152)</f>
        <v>74273.6666666667</v>
      </c>
      <c r="AC152" s="15" t="n">
        <f aca="false">(S152*Ipotesi!$C$64+T152*Ipotesi!$C$65+U152*Ipotesi!$C$63)*(1+Ipotesi!$C$66)^(F152-1)/12</f>
        <v>25417.3958333333</v>
      </c>
      <c r="AD152" s="15" t="n">
        <f aca="false">INDEX(Ipotesi!$C$48:$G$48,1,F152)*G152/12</f>
        <v>75</v>
      </c>
      <c r="AE152" s="15" t="n">
        <f aca="false">INDEX(Ipotesi!$C$50:$G$50,1,F152)*G152/12</f>
        <v>8.33333333333333</v>
      </c>
      <c r="AF152" s="15" t="n">
        <f aca="false">(S152*Parametri_v3!$C$7*Parametri_v3!$C$8+Parametri_v3!$C$10)/12</f>
        <v>64.1666666666667</v>
      </c>
      <c r="AG152" s="15" t="n">
        <f aca="false">AD152+AE152*(1+Parametri_v3!$C$9)</f>
        <v>87.5</v>
      </c>
      <c r="AH152" s="16" t="n">
        <f aca="false">IF(AG152=0,1,MIN(1,AF152/AG152))</f>
        <v>0.733333333333333</v>
      </c>
      <c r="AI152" s="15" t="n">
        <f aca="false">AD152*AH152</f>
        <v>55</v>
      </c>
      <c r="AJ152" s="15" t="n">
        <f aca="false">AE152*AH152</f>
        <v>6.11111111111111</v>
      </c>
      <c r="AK152" s="15" t="n">
        <f aca="false">AI152*INDEX(Ipotesi!$C$49:$G$49,1,F152)*H152</f>
        <v>46750</v>
      </c>
      <c r="AL152" s="15" t="n">
        <f aca="false">AJ152*INDEX(Ipotesi!$C$51:$G$51,1,F152)*H152</f>
        <v>13750</v>
      </c>
      <c r="AM152" s="15" t="n">
        <f aca="false">AK152+AL152</f>
        <v>60500</v>
      </c>
      <c r="AN152" s="15" t="n">
        <f aca="false">INDEX(Ipotesi!$C$30:$G$30,1,F152)*G152/12</f>
        <v>52.0833333333333</v>
      </c>
      <c r="AO152" s="15" t="n">
        <f aca="false">O152*Parametri_v3!$C$7*Parametri_v3!$C$11*(1-Parametri_v3!$C$14)/12</f>
        <v>46.2</v>
      </c>
      <c r="AP152" s="15" t="n">
        <f aca="false">MIN(AN152,AO152)</f>
        <v>46.2</v>
      </c>
      <c r="AQ152" s="15" t="n">
        <f aca="false">AP152*INDEX(Ipotesi!$C$31:$G$31,1,F152)*H152</f>
        <v>46200</v>
      </c>
      <c r="AR152" s="15" t="n">
        <f aca="false">INDEX(Ipotesi!$C$75:$G$75,1,F152)*J152/12</f>
        <v>20000</v>
      </c>
      <c r="AS152" s="15" t="n">
        <f aca="false">INDEX(Ipotesi!$C$81:$G$81,1,F152)*J152/12</f>
        <v>1250</v>
      </c>
      <c r="AT152" s="15" t="n">
        <f aca="false">AR152*Parametri_v3!$C$15+Z152*Parametri_v3!$C$16</f>
        <v>31139.45</v>
      </c>
      <c r="AU152" s="15" t="n">
        <f aca="false">Q152*Parametri_v3!$C$16*Parametri_v3!$C$17</f>
        <v>280</v>
      </c>
      <c r="AV152" s="17" t="n">
        <f aca="false">BD151</f>
        <v>46.5446313523632</v>
      </c>
      <c r="AW152" s="17" t="n">
        <f aca="false">AV152*(1-(1-INDEX(Ipotesi!$C$34:$G$34,1,F152))^(1/12))</f>
        <v>0.406875059312138</v>
      </c>
      <c r="AX152" s="15" t="n">
        <f aca="false">ROUND(INDEX(Ipotesi!$C$32:$G$32,1,F152)*Ipotesi!E8,0)</f>
        <v>182</v>
      </c>
      <c r="AY152" s="15" t="n">
        <f aca="false">MAX(0,(AX152-(AV152-AW152))/(13-E152))</f>
        <v>15.0958048563277</v>
      </c>
      <c r="AZ152" s="15" t="n">
        <f aca="false">MIN(P152*Parametri_v3!$C$22,Q152*(1-Parametri_v3!$C$16)*Parametri_v3!$C$23)</f>
        <v>180</v>
      </c>
      <c r="BA152" s="15" t="n">
        <f aca="false">IF(OR(INDEX(Ipotesi!$C$35:$G$35,1,F152)&lt;=0,28-Parametri_v3!$C$21&lt;1),0,INDEX($AT$125:$AT$184,MAX(1,28-Parametri_v3!$C$21))/(INDEX(Ipotesi!$C$35:$G$35,1,F152)*Ipotesi!E27))</f>
        <v>7.7848625</v>
      </c>
      <c r="BB152" s="15" t="n">
        <f aca="false">IF(28-Parametri_v3!$C$21&lt;1,0,INDEX($AU$125:$AU$184,MAX(1,28-Parametri_v3!$C$21)))*Parametri_v3!$C$18*Parametri_v3!$C$19*Parametri_v3!$C$20</f>
        <v>10.5</v>
      </c>
      <c r="BC152" s="17" t="n">
        <f aca="false">MAX(0,MIN(AY152,BA152,BB152,MAX(0,AZ152-(AV152-AW152))))</f>
        <v>7.7848625</v>
      </c>
      <c r="BD152" s="17" t="n">
        <f aca="false">AV152-AW152+BC152</f>
        <v>53.922618793051</v>
      </c>
      <c r="BE152" s="17" t="n">
        <f aca="false">(AV152+BD152)/2</f>
        <v>50.2336250727071</v>
      </c>
      <c r="BF152" s="15" t="n">
        <f aca="false">BE152*INDEX(Ipotesi!$C$33:$G$33,1,F152)*H152/12</f>
        <v>23023.7448249908</v>
      </c>
      <c r="BG152" s="15" t="n">
        <f aca="false">BD152*INDEX(Ipotesi!$C$33:$G$33,1,F152)*H152</f>
        <v>296574.403361781</v>
      </c>
      <c r="BH152" s="15" t="n">
        <f aca="false">AM152*INDEX(Ipotesi!$C$37:$G$37,1,F152)</f>
        <v>6050</v>
      </c>
      <c r="BI152" s="15" t="n">
        <f aca="false">AQ152+BF152+BH152</f>
        <v>75273.7448249908</v>
      </c>
      <c r="BJ152" s="15" t="n">
        <f aca="false">INDEX(Ipotesi!$C$68:$G$68,1,F152)*Ipotesi!$C$69/12</f>
        <v>2400</v>
      </c>
      <c r="BK152" s="15" t="n">
        <f aca="false">INDEX(Ipotesi!$C$68:$G$68,1,F152)*(1-Ipotesi!$C$69)/12</f>
        <v>3600</v>
      </c>
      <c r="BL152" s="15" t="n">
        <f aca="false">(AQ152+BF152)*Ipotesi!$C$67</f>
        <v>2076.71234474972</v>
      </c>
      <c r="BM152" s="15" t="n">
        <f aca="false">AM152*Ipotesi!$C$67</f>
        <v>1815</v>
      </c>
      <c r="BN152" s="15" t="n">
        <f aca="false">INDEX(Ipotesi!$C$72:$G$72,1,F152)/12*Ipotesi!E126+BF152*Ipotesi!$C$73</f>
        <v>3091.89958599926</v>
      </c>
      <c r="BO152" s="15" t="n">
        <f aca="false">INDEX(Ipotesi!$C$74:$G$74,1,F152)/12*Ipotesi!E126</f>
        <v>2916.66666666667</v>
      </c>
      <c r="BP152" s="15" t="n">
        <f aca="false">INDEX(Ipotesi!$C$76:$G$76,1,F152)/12</f>
        <v>1083.33333333333</v>
      </c>
      <c r="BQ152" s="15" t="n">
        <f aca="false">INDEX(Ipotesi!$C$77:$G$77,1,F152)/12*Ipotesi!E126</f>
        <v>2083.33333333333</v>
      </c>
      <c r="BR152" s="15" t="n">
        <f aca="false">INDEX(Ipotesi!$C$78:$G$78,1,F152)/12</f>
        <v>1666.66666666667</v>
      </c>
      <c r="BS152" s="15" t="n">
        <f aca="false">SUM(M152:R152)*(Ipotesi!$C$85+Ipotesi!$C$86)/12</f>
        <v>4812.5</v>
      </c>
      <c r="BT152" s="15" t="n">
        <f aca="false">BI152*Ipotesi!$C$87</f>
        <v>2258.21234474972</v>
      </c>
      <c r="BU152" s="15" t="n">
        <f aca="false">INDEX(Ipotesi!$C$55:$G$55,1,F152)*K152/12</f>
        <v>1500</v>
      </c>
      <c r="BV152" s="15" t="n">
        <f aca="false">INDEX(Ipotesi!$C$80:$G$80,1,F152)/12*Ipotesi!E126</f>
        <v>1250</v>
      </c>
      <c r="BW152" s="15" t="n">
        <f aca="false">INDEX(Ipotesi!$C$82:$G$82,1,F152)/12</f>
        <v>1000</v>
      </c>
      <c r="BX152" s="15" t="n">
        <f aca="false">INDEX(Ipotesi!$C$83:$G$83,1,F152)/12</f>
        <v>666.666666666667</v>
      </c>
      <c r="BY152" s="15" t="n">
        <f aca="false">SUM(S152:U152)*(Ipotesi!$C$85+Ipotesi!$C$86)/12</f>
        <v>1895.83333333333</v>
      </c>
      <c r="BZ152" s="15" t="n">
        <f aca="false">AM152*Ipotesi!$C$87</f>
        <v>1815</v>
      </c>
      <c r="CA152" s="15" t="n">
        <f aca="false">AB152+BJ152+BL152+BN152+BO152+AR152+BP152+BQ152+BR152+BS152+BT152</f>
        <v>116662.990942165</v>
      </c>
      <c r="CB152" s="15" t="n">
        <f aca="false">AC152+BK152+BM152+BH152+BU152+BV152+AS152+BW152+BX152+BY152+BZ152</f>
        <v>46259.8958333333</v>
      </c>
      <c r="CC152" s="15" t="n">
        <f aca="false">BI152-CA152</f>
        <v>-41389.2461171746</v>
      </c>
      <c r="CD152" s="15" t="n">
        <f aca="false">AM152-CB152</f>
        <v>14240.1041666667</v>
      </c>
      <c r="CE152" s="15" t="n">
        <f aca="false">INDEX(Ipotesi!$C$79:$G$79,1,F152)/12</f>
        <v>2500</v>
      </c>
      <c r="CF152" s="15" t="n">
        <f aca="false">INDEX(Ipotesi!$C$84:$G$84,1,F152)/12</f>
        <v>416.666666666667</v>
      </c>
      <c r="CG152" s="15" t="n">
        <f aca="false">Y152*MAX(0,Parametri_v3!$C$12-IF(P152=0,0,MIN(1,BE152/(P152*Parametri_v3!$C$22))))+W152*Parametri_v3!$C$13+X152*Parametri_v3!$C$14</f>
        <v>26954.2144650152</v>
      </c>
      <c r="CH152" s="15" t="n">
        <f aca="false">AB152*Parametri_v3!$C$32</f>
        <v>3713.68333333333</v>
      </c>
      <c r="CI152" s="15" t="n">
        <f aca="false">AC152*Parametri_v3!$C$32</f>
        <v>1270.86979166667</v>
      </c>
      <c r="CJ152" s="15" t="n">
        <f aca="false">CA152-AB152</f>
        <v>42389.3242754987</v>
      </c>
      <c r="CK152" s="15" t="n">
        <f aca="false">CB152-AC152-BH152</f>
        <v>14792.5</v>
      </c>
      <c r="CL152" s="15" t="n">
        <f aca="false">BF152*Ipotesi!$C$73+INDEX(Ipotesi!$C$72:$G$72,1,F152)/12*Ipotesi!E126*Parametri_v3!$C$58+Z152*(1-Parametri_v3!$C$16)</f>
        <v>7865.94958599926</v>
      </c>
      <c r="CM152" s="16" t="n">
        <f aca="false">IF(BF152=0,0,1-CL152/BF152)</f>
        <v>0.658354900743111</v>
      </c>
    </row>
    <row r="153" customFormat="false" ht="18" hidden="false" customHeight="true" outlineLevel="0" collapsed="false">
      <c r="A153" s="68" t="n">
        <f aca="false">3</f>
        <v>3</v>
      </c>
      <c r="B153" s="68" t="n">
        <f aca="false">29</f>
        <v>29</v>
      </c>
      <c r="C153" s="18" t="n">
        <f aca="false">EDATE(Parametri_v3!$C$5,29-1)</f>
        <v>47239</v>
      </c>
      <c r="D153" s="68" t="n">
        <f aca="false">YEAR(C153)</f>
        <v>2029</v>
      </c>
      <c r="E153" s="68" t="n">
        <f aca="false">MONTH(C153)</f>
        <v>5</v>
      </c>
      <c r="F153" s="68" t="n">
        <f aca="false">INT((29-1)/12)+1</f>
        <v>3</v>
      </c>
      <c r="G153" s="15" t="n">
        <f aca="false">Ipotesi!E7</f>
        <v>1.25</v>
      </c>
      <c r="H153" s="15" t="n">
        <f aca="false">Ipotesi!E9</f>
        <v>1</v>
      </c>
      <c r="I153" s="15" t="n">
        <f aca="false">Ipotesi!E10</f>
        <v>1</v>
      </c>
      <c r="J153" s="15" t="n">
        <f aca="false">Ipotesi!E11</f>
        <v>1</v>
      </c>
      <c r="K153" s="15" t="n">
        <f aca="false">Ipotesi!E12</f>
        <v>1</v>
      </c>
      <c r="L153" s="15" t="n">
        <f aca="false">Ipotesi!E13</f>
        <v>90</v>
      </c>
      <c r="M153" s="17" t="n">
        <f aca="false">INDEX(Ipotesi!$C$40:$G$40,1,F153)</f>
        <v>1</v>
      </c>
      <c r="N153" s="17" t="n">
        <f aca="false">INDEX(Ipotesi!$C$41:$G$41,1,F153)</f>
        <v>1</v>
      </c>
      <c r="O153" s="17" t="n">
        <f aca="false">INDEX(Ipotesi!$C$42:$G$42,1,F153)*Ipotesi!E125</f>
        <v>4.5</v>
      </c>
      <c r="P153" s="17" t="n">
        <f aca="false">INDEX(Ipotesi!$C$43:$G$43,1,F153)*I153</f>
        <v>5</v>
      </c>
      <c r="Q153" s="17" t="n">
        <f aca="false">INDEX(Ipotesi!$C$44:$G$44,1,F153)*I153</f>
        <v>4</v>
      </c>
      <c r="R153" s="17" t="n">
        <f aca="false">INDEX(Ipotesi!$C$45:$G$45,1,F153)*I153</f>
        <v>1</v>
      </c>
      <c r="S153" s="17" t="n">
        <f aca="false">INDEX(Ipotesi!$C$52:$G$52,1,F153)*Ipotesi!E125</f>
        <v>5</v>
      </c>
      <c r="T153" s="17" t="n">
        <f aca="false">INDEX(Ipotesi!$C$53:$G$53,1,F153)*I153</f>
        <v>1</v>
      </c>
      <c r="U153" s="17" t="n">
        <f aca="false">INDEX(Ipotesi!$C$54:$G$54,1,F153)*I153</f>
        <v>0.5</v>
      </c>
      <c r="V153" s="15" t="n">
        <f aca="false">M153*INDEX(Ipotesi!$C$58:$G$58,1,F153)*K153/12</f>
        <v>7083.33333333333</v>
      </c>
      <c r="W153" s="15" t="n">
        <f aca="false">N153*Ipotesi!$C$59*(1+Ipotesi!$C$66)^(F153-1)/12</f>
        <v>6188.58333333333</v>
      </c>
      <c r="X153" s="15" t="n">
        <f aca="false">O153*Ipotesi!$C$60*(1+Ipotesi!$C$66)^(F153-1)/12</f>
        <v>19891.875</v>
      </c>
      <c r="Y153" s="15" t="n">
        <f aca="false">P153*Ipotesi!$C$61*(1+Ipotesi!$C$66)^(F153-1)/12</f>
        <v>22102.0833333333</v>
      </c>
      <c r="Z153" s="15" t="n">
        <f aca="false">Q153*Ipotesi!$C$62*(1+Ipotesi!$C$66)^(F153-1)/12</f>
        <v>15913.5</v>
      </c>
      <c r="AA153" s="15" t="n">
        <f aca="false">R153*Ipotesi!$C$63*(1+Ipotesi!$C$66)^(F153-1)/12</f>
        <v>3094.29166666667</v>
      </c>
      <c r="AB153" s="15" t="n">
        <f aca="false">SUM(V153:AA153)</f>
        <v>74273.6666666667</v>
      </c>
      <c r="AC153" s="15" t="n">
        <f aca="false">(S153*Ipotesi!$C$64+T153*Ipotesi!$C$65+U153*Ipotesi!$C$63)*(1+Ipotesi!$C$66)^(F153-1)/12</f>
        <v>25417.3958333333</v>
      </c>
      <c r="AD153" s="15" t="n">
        <f aca="false">INDEX(Ipotesi!$C$48:$G$48,1,F153)*G153/12</f>
        <v>75</v>
      </c>
      <c r="AE153" s="15" t="n">
        <f aca="false">INDEX(Ipotesi!$C$50:$G$50,1,F153)*G153/12</f>
        <v>8.33333333333333</v>
      </c>
      <c r="AF153" s="15" t="n">
        <f aca="false">(S153*Parametri_v3!$C$7*Parametri_v3!$C$8+Parametri_v3!$C$10)/12</f>
        <v>64.1666666666667</v>
      </c>
      <c r="AG153" s="15" t="n">
        <f aca="false">AD153+AE153*(1+Parametri_v3!$C$9)</f>
        <v>87.5</v>
      </c>
      <c r="AH153" s="16" t="n">
        <f aca="false">IF(AG153=0,1,MIN(1,AF153/AG153))</f>
        <v>0.733333333333333</v>
      </c>
      <c r="AI153" s="15" t="n">
        <f aca="false">AD153*AH153</f>
        <v>55</v>
      </c>
      <c r="AJ153" s="15" t="n">
        <f aca="false">AE153*AH153</f>
        <v>6.11111111111111</v>
      </c>
      <c r="AK153" s="15" t="n">
        <f aca="false">AI153*INDEX(Ipotesi!$C$49:$G$49,1,F153)*H153</f>
        <v>46750</v>
      </c>
      <c r="AL153" s="15" t="n">
        <f aca="false">AJ153*INDEX(Ipotesi!$C$51:$G$51,1,F153)*H153</f>
        <v>13750</v>
      </c>
      <c r="AM153" s="15" t="n">
        <f aca="false">AK153+AL153</f>
        <v>60500</v>
      </c>
      <c r="AN153" s="15" t="n">
        <f aca="false">INDEX(Ipotesi!$C$30:$G$30,1,F153)*G153/12</f>
        <v>52.0833333333333</v>
      </c>
      <c r="AO153" s="15" t="n">
        <f aca="false">O153*Parametri_v3!$C$7*Parametri_v3!$C$11*(1-Parametri_v3!$C$14)/12</f>
        <v>46.2</v>
      </c>
      <c r="AP153" s="15" t="n">
        <f aca="false">MIN(AN153,AO153)</f>
        <v>46.2</v>
      </c>
      <c r="AQ153" s="15" t="n">
        <f aca="false">AP153*INDEX(Ipotesi!$C$31:$G$31,1,F153)*H153</f>
        <v>46200</v>
      </c>
      <c r="AR153" s="15" t="n">
        <f aca="false">INDEX(Ipotesi!$C$75:$G$75,1,F153)*J153/12</f>
        <v>20000</v>
      </c>
      <c r="AS153" s="15" t="n">
        <f aca="false">INDEX(Ipotesi!$C$81:$G$81,1,F153)*J153/12</f>
        <v>1250</v>
      </c>
      <c r="AT153" s="15" t="n">
        <f aca="false">AR153*Parametri_v3!$C$15+Z153*Parametri_v3!$C$16</f>
        <v>31139.45</v>
      </c>
      <c r="AU153" s="15" t="n">
        <f aca="false">Q153*Parametri_v3!$C$16*Parametri_v3!$C$17</f>
        <v>280</v>
      </c>
      <c r="AV153" s="17" t="n">
        <f aca="false">BD152</f>
        <v>53.922618793051</v>
      </c>
      <c r="AW153" s="17" t="n">
        <f aca="false">AV153*(1-(1-INDEX(Ipotesi!$C$34:$G$34,1,F153))^(1/12))</f>
        <v>0.47137055514727</v>
      </c>
      <c r="AX153" s="15" t="n">
        <f aca="false">ROUND(INDEX(Ipotesi!$C$32:$G$32,1,F153)*Ipotesi!E8,0)</f>
        <v>182</v>
      </c>
      <c r="AY153" s="15" t="n">
        <f aca="false">MAX(0,(AX153-(AV153-AW153))/(13-E153))</f>
        <v>16.068593970262</v>
      </c>
      <c r="AZ153" s="15" t="n">
        <f aca="false">MIN(P153*Parametri_v3!$C$22,Q153*(1-Parametri_v3!$C$16)*Parametri_v3!$C$23)</f>
        <v>180</v>
      </c>
      <c r="BA153" s="15" t="n">
        <f aca="false">IF(OR(INDEX(Ipotesi!$C$35:$G$35,1,F153)&lt;=0,29-Parametri_v3!$C$21&lt;1),0,INDEX($AT$125:$AT$184,MAX(1,29-Parametri_v3!$C$21))/(INDEX(Ipotesi!$C$35:$G$35,1,F153)*Ipotesi!E27))</f>
        <v>7.7848625</v>
      </c>
      <c r="BB153" s="15" t="n">
        <f aca="false">IF(29-Parametri_v3!$C$21&lt;1,0,INDEX($AU$125:$AU$184,MAX(1,29-Parametri_v3!$C$21)))*Parametri_v3!$C$18*Parametri_v3!$C$19*Parametri_v3!$C$20</f>
        <v>10.5</v>
      </c>
      <c r="BC153" s="17" t="n">
        <f aca="false">MAX(0,MIN(AY153,BA153,BB153,MAX(0,AZ153-(AV153-AW153))))</f>
        <v>7.7848625</v>
      </c>
      <c r="BD153" s="17" t="n">
        <f aca="false">AV153-AW153+BC153</f>
        <v>61.2361107379038</v>
      </c>
      <c r="BE153" s="17" t="n">
        <f aca="false">(AV153+BD153)/2</f>
        <v>57.5793647654774</v>
      </c>
      <c r="BF153" s="15" t="n">
        <f aca="false">BE153*INDEX(Ipotesi!$C$33:$G$33,1,F153)*H153/12</f>
        <v>26390.5421841771</v>
      </c>
      <c r="BG153" s="15" t="n">
        <f aca="false">BD153*INDEX(Ipotesi!$C$33:$G$33,1,F153)*H153</f>
        <v>336798.609058471</v>
      </c>
      <c r="BH153" s="15" t="n">
        <f aca="false">AM153*INDEX(Ipotesi!$C$37:$G$37,1,F153)</f>
        <v>6050</v>
      </c>
      <c r="BI153" s="15" t="n">
        <f aca="false">AQ153+BF153+BH153</f>
        <v>78640.5421841772</v>
      </c>
      <c r="BJ153" s="15" t="n">
        <f aca="false">INDEX(Ipotesi!$C$68:$G$68,1,F153)*Ipotesi!$C$69/12</f>
        <v>2400</v>
      </c>
      <c r="BK153" s="15" t="n">
        <f aca="false">INDEX(Ipotesi!$C$68:$G$68,1,F153)*(1-Ipotesi!$C$69)/12</f>
        <v>3600</v>
      </c>
      <c r="BL153" s="15" t="n">
        <f aca="false">(AQ153+BF153)*Ipotesi!$C$67</f>
        <v>2177.71626552531</v>
      </c>
      <c r="BM153" s="15" t="n">
        <f aca="false">AM153*Ipotesi!$C$67</f>
        <v>1815</v>
      </c>
      <c r="BN153" s="15" t="n">
        <f aca="false">INDEX(Ipotesi!$C$72:$G$72,1,F153)/12*Ipotesi!E126+BF153*Ipotesi!$C$73</f>
        <v>3361.24337473417</v>
      </c>
      <c r="BO153" s="15" t="n">
        <f aca="false">INDEX(Ipotesi!$C$74:$G$74,1,F153)/12*Ipotesi!E126</f>
        <v>2916.66666666667</v>
      </c>
      <c r="BP153" s="15" t="n">
        <f aca="false">INDEX(Ipotesi!$C$76:$G$76,1,F153)/12</f>
        <v>1083.33333333333</v>
      </c>
      <c r="BQ153" s="15" t="n">
        <f aca="false">INDEX(Ipotesi!$C$77:$G$77,1,F153)/12*Ipotesi!E126</f>
        <v>2083.33333333333</v>
      </c>
      <c r="BR153" s="15" t="n">
        <f aca="false">INDEX(Ipotesi!$C$78:$G$78,1,F153)/12</f>
        <v>1666.66666666667</v>
      </c>
      <c r="BS153" s="15" t="n">
        <f aca="false">SUM(M153:R153)*(Ipotesi!$C$85+Ipotesi!$C$86)/12</f>
        <v>4812.5</v>
      </c>
      <c r="BT153" s="15" t="n">
        <f aca="false">BI153*Ipotesi!$C$87</f>
        <v>2359.21626552531</v>
      </c>
      <c r="BU153" s="15" t="n">
        <f aca="false">INDEX(Ipotesi!$C$55:$G$55,1,F153)*K153/12</f>
        <v>1500</v>
      </c>
      <c r="BV153" s="15" t="n">
        <f aca="false">INDEX(Ipotesi!$C$80:$G$80,1,F153)/12*Ipotesi!E126</f>
        <v>1250</v>
      </c>
      <c r="BW153" s="15" t="n">
        <f aca="false">INDEX(Ipotesi!$C$82:$G$82,1,F153)/12</f>
        <v>1000</v>
      </c>
      <c r="BX153" s="15" t="n">
        <f aca="false">INDEX(Ipotesi!$C$83:$G$83,1,F153)/12</f>
        <v>666.666666666667</v>
      </c>
      <c r="BY153" s="15" t="n">
        <f aca="false">SUM(S153:U153)*(Ipotesi!$C$85+Ipotesi!$C$86)/12</f>
        <v>1895.83333333333</v>
      </c>
      <c r="BZ153" s="15" t="n">
        <f aca="false">AM153*Ipotesi!$C$87</f>
        <v>1815</v>
      </c>
      <c r="CA153" s="15" t="n">
        <f aca="false">AB153+BJ153+BL153+BN153+BO153+AR153+BP153+BQ153+BR153+BS153+BT153</f>
        <v>117134.342572451</v>
      </c>
      <c r="CB153" s="15" t="n">
        <f aca="false">AC153+BK153+BM153+BH153+BU153+BV153+AS153+BW153+BX153+BY153+BZ153</f>
        <v>46259.8958333333</v>
      </c>
      <c r="CC153" s="15" t="n">
        <f aca="false">BI153-CA153</f>
        <v>-38493.8003882743</v>
      </c>
      <c r="CD153" s="15" t="n">
        <f aca="false">AM153-CB153</f>
        <v>14240.1041666667</v>
      </c>
      <c r="CE153" s="15" t="n">
        <f aca="false">INDEX(Ipotesi!$C$79:$G$79,1,F153)/12</f>
        <v>2500</v>
      </c>
      <c r="CF153" s="15" t="n">
        <f aca="false">INDEX(Ipotesi!$C$84:$G$84,1,F153)/12</f>
        <v>416.666666666667</v>
      </c>
      <c r="CG153" s="15" t="n">
        <f aca="false">Y153*MAX(0,Parametri_v3!$C$12-IF(P153=0,0,MIN(1,BE153/(P153*Parametri_v3!$C$22))))+W153*Parametri_v3!$C$13+X153*Parametri_v3!$C$14</f>
        <v>26629.502163346</v>
      </c>
      <c r="CH153" s="15" t="n">
        <f aca="false">AB153*Parametri_v3!$C$32</f>
        <v>3713.68333333333</v>
      </c>
      <c r="CI153" s="15" t="n">
        <f aca="false">AC153*Parametri_v3!$C$32</f>
        <v>1270.86979166667</v>
      </c>
      <c r="CJ153" s="15" t="n">
        <f aca="false">CA153-AB153</f>
        <v>42860.6759057848</v>
      </c>
      <c r="CK153" s="15" t="n">
        <f aca="false">CB153-AC153-BH153</f>
        <v>14792.5</v>
      </c>
      <c r="CL153" s="15" t="n">
        <f aca="false">BF153*Ipotesi!$C$73+INDEX(Ipotesi!$C$72:$G$72,1,F153)/12*Ipotesi!E126*Parametri_v3!$C$58+Z153*(1-Parametri_v3!$C$16)</f>
        <v>8135.29337473417</v>
      </c>
      <c r="CM153" s="16" t="n">
        <f aca="false">IF(BF153=0,0,1-CL153/BF153)</f>
        <v>0.691734511630769</v>
      </c>
    </row>
    <row r="154" customFormat="false" ht="18" hidden="false" customHeight="true" outlineLevel="0" collapsed="false">
      <c r="A154" s="68" t="n">
        <f aca="false">3</f>
        <v>3</v>
      </c>
      <c r="B154" s="68" t="n">
        <f aca="false">30</f>
        <v>30</v>
      </c>
      <c r="C154" s="18" t="n">
        <f aca="false">EDATE(Parametri_v3!$C$5,30-1)</f>
        <v>47270</v>
      </c>
      <c r="D154" s="68" t="n">
        <f aca="false">YEAR(C154)</f>
        <v>2029</v>
      </c>
      <c r="E154" s="68" t="n">
        <f aca="false">MONTH(C154)</f>
        <v>6</v>
      </c>
      <c r="F154" s="68" t="n">
        <f aca="false">INT((30-1)/12)+1</f>
        <v>3</v>
      </c>
      <c r="G154" s="15" t="n">
        <f aca="false">Ipotesi!E7</f>
        <v>1.25</v>
      </c>
      <c r="H154" s="15" t="n">
        <f aca="false">Ipotesi!E9</f>
        <v>1</v>
      </c>
      <c r="I154" s="15" t="n">
        <f aca="false">Ipotesi!E10</f>
        <v>1</v>
      </c>
      <c r="J154" s="15" t="n">
        <f aca="false">Ipotesi!E11</f>
        <v>1</v>
      </c>
      <c r="K154" s="15" t="n">
        <f aca="false">Ipotesi!E12</f>
        <v>1</v>
      </c>
      <c r="L154" s="15" t="n">
        <f aca="false">Ipotesi!E13</f>
        <v>90</v>
      </c>
      <c r="M154" s="17" t="n">
        <f aca="false">INDEX(Ipotesi!$C$40:$G$40,1,F154)</f>
        <v>1</v>
      </c>
      <c r="N154" s="17" t="n">
        <f aca="false">INDEX(Ipotesi!$C$41:$G$41,1,F154)</f>
        <v>1</v>
      </c>
      <c r="O154" s="17" t="n">
        <f aca="false">INDEX(Ipotesi!$C$42:$G$42,1,F154)*Ipotesi!E125</f>
        <v>4.5</v>
      </c>
      <c r="P154" s="17" t="n">
        <f aca="false">INDEX(Ipotesi!$C$43:$G$43,1,F154)*I154</f>
        <v>5</v>
      </c>
      <c r="Q154" s="17" t="n">
        <f aca="false">INDEX(Ipotesi!$C$44:$G$44,1,F154)*I154</f>
        <v>4</v>
      </c>
      <c r="R154" s="17" t="n">
        <f aca="false">INDEX(Ipotesi!$C$45:$G$45,1,F154)*I154</f>
        <v>1</v>
      </c>
      <c r="S154" s="17" t="n">
        <f aca="false">INDEX(Ipotesi!$C$52:$G$52,1,F154)*Ipotesi!E125</f>
        <v>5</v>
      </c>
      <c r="T154" s="17" t="n">
        <f aca="false">INDEX(Ipotesi!$C$53:$G$53,1,F154)*I154</f>
        <v>1</v>
      </c>
      <c r="U154" s="17" t="n">
        <f aca="false">INDEX(Ipotesi!$C$54:$G$54,1,F154)*I154</f>
        <v>0.5</v>
      </c>
      <c r="V154" s="15" t="n">
        <f aca="false">M154*INDEX(Ipotesi!$C$58:$G$58,1,F154)*K154/12</f>
        <v>7083.33333333333</v>
      </c>
      <c r="W154" s="15" t="n">
        <f aca="false">N154*Ipotesi!$C$59*(1+Ipotesi!$C$66)^(F154-1)/12</f>
        <v>6188.58333333333</v>
      </c>
      <c r="X154" s="15" t="n">
        <f aca="false">O154*Ipotesi!$C$60*(1+Ipotesi!$C$66)^(F154-1)/12</f>
        <v>19891.875</v>
      </c>
      <c r="Y154" s="15" t="n">
        <f aca="false">P154*Ipotesi!$C$61*(1+Ipotesi!$C$66)^(F154-1)/12</f>
        <v>22102.0833333333</v>
      </c>
      <c r="Z154" s="15" t="n">
        <f aca="false">Q154*Ipotesi!$C$62*(1+Ipotesi!$C$66)^(F154-1)/12</f>
        <v>15913.5</v>
      </c>
      <c r="AA154" s="15" t="n">
        <f aca="false">R154*Ipotesi!$C$63*(1+Ipotesi!$C$66)^(F154-1)/12</f>
        <v>3094.29166666667</v>
      </c>
      <c r="AB154" s="15" t="n">
        <f aca="false">SUM(V154:AA154)</f>
        <v>74273.6666666667</v>
      </c>
      <c r="AC154" s="15" t="n">
        <f aca="false">(S154*Ipotesi!$C$64+T154*Ipotesi!$C$65+U154*Ipotesi!$C$63)*(1+Ipotesi!$C$66)^(F154-1)/12</f>
        <v>25417.3958333333</v>
      </c>
      <c r="AD154" s="15" t="n">
        <f aca="false">INDEX(Ipotesi!$C$48:$G$48,1,F154)*G154/12</f>
        <v>75</v>
      </c>
      <c r="AE154" s="15" t="n">
        <f aca="false">INDEX(Ipotesi!$C$50:$G$50,1,F154)*G154/12</f>
        <v>8.33333333333333</v>
      </c>
      <c r="AF154" s="15" t="n">
        <f aca="false">(S154*Parametri_v3!$C$7*Parametri_v3!$C$8+Parametri_v3!$C$10)/12</f>
        <v>64.1666666666667</v>
      </c>
      <c r="AG154" s="15" t="n">
        <f aca="false">AD154+AE154*(1+Parametri_v3!$C$9)</f>
        <v>87.5</v>
      </c>
      <c r="AH154" s="16" t="n">
        <f aca="false">IF(AG154=0,1,MIN(1,AF154/AG154))</f>
        <v>0.733333333333333</v>
      </c>
      <c r="AI154" s="15" t="n">
        <f aca="false">AD154*AH154</f>
        <v>55</v>
      </c>
      <c r="AJ154" s="15" t="n">
        <f aca="false">AE154*AH154</f>
        <v>6.11111111111111</v>
      </c>
      <c r="AK154" s="15" t="n">
        <f aca="false">AI154*INDEX(Ipotesi!$C$49:$G$49,1,F154)*H154</f>
        <v>46750</v>
      </c>
      <c r="AL154" s="15" t="n">
        <f aca="false">AJ154*INDEX(Ipotesi!$C$51:$G$51,1,F154)*H154</f>
        <v>13750</v>
      </c>
      <c r="AM154" s="15" t="n">
        <f aca="false">AK154+AL154</f>
        <v>60500</v>
      </c>
      <c r="AN154" s="15" t="n">
        <f aca="false">INDEX(Ipotesi!$C$30:$G$30,1,F154)*G154/12</f>
        <v>52.0833333333333</v>
      </c>
      <c r="AO154" s="15" t="n">
        <f aca="false">O154*Parametri_v3!$C$7*Parametri_v3!$C$11*(1-Parametri_v3!$C$14)/12</f>
        <v>46.2</v>
      </c>
      <c r="AP154" s="15" t="n">
        <f aca="false">MIN(AN154,AO154)</f>
        <v>46.2</v>
      </c>
      <c r="AQ154" s="15" t="n">
        <f aca="false">AP154*INDEX(Ipotesi!$C$31:$G$31,1,F154)*H154</f>
        <v>46200</v>
      </c>
      <c r="AR154" s="15" t="n">
        <f aca="false">INDEX(Ipotesi!$C$75:$G$75,1,F154)*J154/12</f>
        <v>20000</v>
      </c>
      <c r="AS154" s="15" t="n">
        <f aca="false">INDEX(Ipotesi!$C$81:$G$81,1,F154)*J154/12</f>
        <v>1250</v>
      </c>
      <c r="AT154" s="15" t="n">
        <f aca="false">AR154*Parametri_v3!$C$15+Z154*Parametri_v3!$C$16</f>
        <v>31139.45</v>
      </c>
      <c r="AU154" s="15" t="n">
        <f aca="false">Q154*Parametri_v3!$C$16*Parametri_v3!$C$17</f>
        <v>280</v>
      </c>
      <c r="AV154" s="17" t="n">
        <f aca="false">BD153</f>
        <v>61.2361107379038</v>
      </c>
      <c r="AW154" s="17" t="n">
        <f aca="false">AV154*(1-(1-INDEX(Ipotesi!$C$34:$G$34,1,F154))^(1/12))</f>
        <v>0.535302256449481</v>
      </c>
      <c r="AX154" s="15" t="n">
        <f aca="false">ROUND(INDEX(Ipotesi!$C$32:$G$32,1,F154)*Ipotesi!E8,0)</f>
        <v>182</v>
      </c>
      <c r="AY154" s="15" t="n">
        <f aca="false">MAX(0,(AX154-(AV154-AW154))/(13-E154))</f>
        <v>17.3284559312208</v>
      </c>
      <c r="AZ154" s="15" t="n">
        <f aca="false">MIN(P154*Parametri_v3!$C$22,Q154*(1-Parametri_v3!$C$16)*Parametri_v3!$C$23)</f>
        <v>180</v>
      </c>
      <c r="BA154" s="15" t="n">
        <f aca="false">IF(OR(INDEX(Ipotesi!$C$35:$G$35,1,F154)&lt;=0,30-Parametri_v3!$C$21&lt;1),0,INDEX($AT$125:$AT$184,MAX(1,30-Parametri_v3!$C$21))/(INDEX(Ipotesi!$C$35:$G$35,1,F154)*Ipotesi!E27))</f>
        <v>7.7848625</v>
      </c>
      <c r="BB154" s="15" t="n">
        <f aca="false">IF(30-Parametri_v3!$C$21&lt;1,0,INDEX($AU$125:$AU$184,MAX(1,30-Parametri_v3!$C$21)))*Parametri_v3!$C$18*Parametri_v3!$C$19*Parametri_v3!$C$20</f>
        <v>10.5</v>
      </c>
      <c r="BC154" s="17" t="n">
        <f aca="false">MAX(0,MIN(AY154,BA154,BB154,MAX(0,AZ154-(AV154-AW154))))</f>
        <v>7.7848625</v>
      </c>
      <c r="BD154" s="17" t="n">
        <f aca="false">AV154-AW154+BC154</f>
        <v>68.4856709814543</v>
      </c>
      <c r="BE154" s="17" t="n">
        <f aca="false">(AV154+BD154)/2</f>
        <v>64.860890859679</v>
      </c>
      <c r="BF154" s="15" t="n">
        <f aca="false">BE154*INDEX(Ipotesi!$C$33:$G$33,1,F154)*H154/12</f>
        <v>29727.9083106862</v>
      </c>
      <c r="BG154" s="15" t="n">
        <f aca="false">BD154*INDEX(Ipotesi!$C$33:$G$33,1,F154)*H154</f>
        <v>376671.190397999</v>
      </c>
      <c r="BH154" s="15" t="n">
        <f aca="false">AM154*INDEX(Ipotesi!$C$37:$G$37,1,F154)</f>
        <v>6050</v>
      </c>
      <c r="BI154" s="15" t="n">
        <f aca="false">AQ154+BF154+BH154</f>
        <v>81977.9083106862</v>
      </c>
      <c r="BJ154" s="15" t="n">
        <f aca="false">INDEX(Ipotesi!$C$68:$G$68,1,F154)*Ipotesi!$C$69/12</f>
        <v>2400</v>
      </c>
      <c r="BK154" s="15" t="n">
        <f aca="false">INDEX(Ipotesi!$C$68:$G$68,1,F154)*(1-Ipotesi!$C$69)/12</f>
        <v>3600</v>
      </c>
      <c r="BL154" s="15" t="n">
        <f aca="false">(AQ154+BF154)*Ipotesi!$C$67</f>
        <v>2277.83724932059</v>
      </c>
      <c r="BM154" s="15" t="n">
        <f aca="false">AM154*Ipotesi!$C$67</f>
        <v>1815</v>
      </c>
      <c r="BN154" s="15" t="n">
        <f aca="false">INDEX(Ipotesi!$C$72:$G$72,1,F154)/12*Ipotesi!E126+BF154*Ipotesi!$C$73</f>
        <v>3628.2326648549</v>
      </c>
      <c r="BO154" s="15" t="n">
        <f aca="false">INDEX(Ipotesi!$C$74:$G$74,1,F154)/12*Ipotesi!E126</f>
        <v>2916.66666666667</v>
      </c>
      <c r="BP154" s="15" t="n">
        <f aca="false">INDEX(Ipotesi!$C$76:$G$76,1,F154)/12</f>
        <v>1083.33333333333</v>
      </c>
      <c r="BQ154" s="15" t="n">
        <f aca="false">INDEX(Ipotesi!$C$77:$G$77,1,F154)/12*Ipotesi!E126</f>
        <v>2083.33333333333</v>
      </c>
      <c r="BR154" s="15" t="n">
        <f aca="false">INDEX(Ipotesi!$C$78:$G$78,1,F154)/12</f>
        <v>1666.66666666667</v>
      </c>
      <c r="BS154" s="15" t="n">
        <f aca="false">SUM(M154:R154)*(Ipotesi!$C$85+Ipotesi!$C$86)/12</f>
        <v>4812.5</v>
      </c>
      <c r="BT154" s="15" t="n">
        <f aca="false">BI154*Ipotesi!$C$87</f>
        <v>2459.33724932059</v>
      </c>
      <c r="BU154" s="15" t="n">
        <f aca="false">INDEX(Ipotesi!$C$55:$G$55,1,F154)*K154/12</f>
        <v>1500</v>
      </c>
      <c r="BV154" s="15" t="n">
        <f aca="false">INDEX(Ipotesi!$C$80:$G$80,1,F154)/12*Ipotesi!E126</f>
        <v>1250</v>
      </c>
      <c r="BW154" s="15" t="n">
        <f aca="false">INDEX(Ipotesi!$C$82:$G$82,1,F154)/12</f>
        <v>1000</v>
      </c>
      <c r="BX154" s="15" t="n">
        <f aca="false">INDEX(Ipotesi!$C$83:$G$83,1,F154)/12</f>
        <v>666.666666666667</v>
      </c>
      <c r="BY154" s="15" t="n">
        <f aca="false">SUM(S154:U154)*(Ipotesi!$C$85+Ipotesi!$C$86)/12</f>
        <v>1895.83333333333</v>
      </c>
      <c r="BZ154" s="15" t="n">
        <f aca="false">AM154*Ipotesi!$C$87</f>
        <v>1815</v>
      </c>
      <c r="CA154" s="15" t="n">
        <f aca="false">AB154+BJ154+BL154+BN154+BO154+AR154+BP154+BQ154+BR154+BS154+BT154</f>
        <v>117601.573830163</v>
      </c>
      <c r="CB154" s="15" t="n">
        <f aca="false">AC154+BK154+BM154+BH154+BU154+BV154+AS154+BW154+BX154+BY154+BZ154</f>
        <v>46259.8958333333</v>
      </c>
      <c r="CC154" s="15" t="n">
        <f aca="false">BI154-CA154</f>
        <v>-35623.6655194765</v>
      </c>
      <c r="CD154" s="15" t="n">
        <f aca="false">AM154-CB154</f>
        <v>14240.1041666667</v>
      </c>
      <c r="CE154" s="15" t="n">
        <f aca="false">INDEX(Ipotesi!$C$79:$G$79,1,F154)/12</f>
        <v>2500</v>
      </c>
      <c r="CF154" s="15" t="n">
        <f aca="false">INDEX(Ipotesi!$C$84:$G$84,1,F154)/12</f>
        <v>416.666666666667</v>
      </c>
      <c r="CG154" s="15" t="n">
        <f aca="false">Y154*MAX(0,Parametri_v3!$C$12-IF(P154=0,0,MIN(1,BE154/(P154*Parametri_v3!$C$22))))+W154*Parametri_v3!$C$13+X154*Parametri_v3!$C$14</f>
        <v>26307.6283702903</v>
      </c>
      <c r="CH154" s="15" t="n">
        <f aca="false">AB154*Parametri_v3!$C$32</f>
        <v>3713.68333333333</v>
      </c>
      <c r="CI154" s="15" t="n">
        <f aca="false">AC154*Parametri_v3!$C$32</f>
        <v>1270.86979166667</v>
      </c>
      <c r="CJ154" s="15" t="n">
        <f aca="false">CA154-AB154</f>
        <v>43327.9071634961</v>
      </c>
      <c r="CK154" s="15" t="n">
        <f aca="false">CB154-AC154-BH154</f>
        <v>14792.5</v>
      </c>
      <c r="CL154" s="15" t="n">
        <f aca="false">BF154*Ipotesi!$C$73+INDEX(Ipotesi!$C$72:$G$72,1,F154)/12*Ipotesi!E126*Parametri_v3!$C$58+Z154*(1-Parametri_v3!$C$16)</f>
        <v>8402.2826648549</v>
      </c>
      <c r="CM154" s="16" t="n">
        <f aca="false">IF(BF154=0,0,1-CL154/BF154)</f>
        <v>0.717360448739189</v>
      </c>
    </row>
    <row r="155" customFormat="false" ht="18" hidden="false" customHeight="true" outlineLevel="0" collapsed="false">
      <c r="A155" s="68" t="n">
        <f aca="false">3</f>
        <v>3</v>
      </c>
      <c r="B155" s="68" t="n">
        <f aca="false">31</f>
        <v>31</v>
      </c>
      <c r="C155" s="18" t="n">
        <f aca="false">EDATE(Parametri_v3!$C$5,31-1)</f>
        <v>47300</v>
      </c>
      <c r="D155" s="68" t="n">
        <f aca="false">YEAR(C155)</f>
        <v>2029</v>
      </c>
      <c r="E155" s="68" t="n">
        <f aca="false">MONTH(C155)</f>
        <v>7</v>
      </c>
      <c r="F155" s="68" t="n">
        <f aca="false">INT((31-1)/12)+1</f>
        <v>3</v>
      </c>
      <c r="G155" s="15" t="n">
        <f aca="false">Ipotesi!E7</f>
        <v>1.25</v>
      </c>
      <c r="H155" s="15" t="n">
        <f aca="false">Ipotesi!E9</f>
        <v>1</v>
      </c>
      <c r="I155" s="15" t="n">
        <f aca="false">Ipotesi!E10</f>
        <v>1</v>
      </c>
      <c r="J155" s="15" t="n">
        <f aca="false">Ipotesi!E11</f>
        <v>1</v>
      </c>
      <c r="K155" s="15" t="n">
        <f aca="false">Ipotesi!E12</f>
        <v>1</v>
      </c>
      <c r="L155" s="15" t="n">
        <f aca="false">Ipotesi!E13</f>
        <v>90</v>
      </c>
      <c r="M155" s="17" t="n">
        <f aca="false">INDEX(Ipotesi!$C$40:$G$40,1,F155)</f>
        <v>1</v>
      </c>
      <c r="N155" s="17" t="n">
        <f aca="false">INDEX(Ipotesi!$C$41:$G$41,1,F155)</f>
        <v>1</v>
      </c>
      <c r="O155" s="17" t="n">
        <f aca="false">INDEX(Ipotesi!$C$42:$G$42,1,F155)*Ipotesi!E125</f>
        <v>4.5</v>
      </c>
      <c r="P155" s="17" t="n">
        <f aca="false">INDEX(Ipotesi!$C$43:$G$43,1,F155)*I155</f>
        <v>5</v>
      </c>
      <c r="Q155" s="17" t="n">
        <f aca="false">INDEX(Ipotesi!$C$44:$G$44,1,F155)*I155</f>
        <v>4</v>
      </c>
      <c r="R155" s="17" t="n">
        <f aca="false">INDEX(Ipotesi!$C$45:$G$45,1,F155)*I155</f>
        <v>1</v>
      </c>
      <c r="S155" s="17" t="n">
        <f aca="false">INDEX(Ipotesi!$C$52:$G$52,1,F155)*Ipotesi!E125</f>
        <v>5</v>
      </c>
      <c r="T155" s="17" t="n">
        <f aca="false">INDEX(Ipotesi!$C$53:$G$53,1,F155)*I155</f>
        <v>1</v>
      </c>
      <c r="U155" s="17" t="n">
        <f aca="false">INDEX(Ipotesi!$C$54:$G$54,1,F155)*I155</f>
        <v>0.5</v>
      </c>
      <c r="V155" s="15" t="n">
        <f aca="false">M155*INDEX(Ipotesi!$C$58:$G$58,1,F155)*K155/12</f>
        <v>7083.33333333333</v>
      </c>
      <c r="W155" s="15" t="n">
        <f aca="false">N155*Ipotesi!$C$59*(1+Ipotesi!$C$66)^(F155-1)/12</f>
        <v>6188.58333333333</v>
      </c>
      <c r="X155" s="15" t="n">
        <f aca="false">O155*Ipotesi!$C$60*(1+Ipotesi!$C$66)^(F155-1)/12</f>
        <v>19891.875</v>
      </c>
      <c r="Y155" s="15" t="n">
        <f aca="false">P155*Ipotesi!$C$61*(1+Ipotesi!$C$66)^(F155-1)/12</f>
        <v>22102.0833333333</v>
      </c>
      <c r="Z155" s="15" t="n">
        <f aca="false">Q155*Ipotesi!$C$62*(1+Ipotesi!$C$66)^(F155-1)/12</f>
        <v>15913.5</v>
      </c>
      <c r="AA155" s="15" t="n">
        <f aca="false">R155*Ipotesi!$C$63*(1+Ipotesi!$C$66)^(F155-1)/12</f>
        <v>3094.29166666667</v>
      </c>
      <c r="AB155" s="15" t="n">
        <f aca="false">SUM(V155:AA155)</f>
        <v>74273.6666666667</v>
      </c>
      <c r="AC155" s="15" t="n">
        <f aca="false">(S155*Ipotesi!$C$64+T155*Ipotesi!$C$65+U155*Ipotesi!$C$63)*(1+Ipotesi!$C$66)^(F155-1)/12</f>
        <v>25417.3958333333</v>
      </c>
      <c r="AD155" s="15" t="n">
        <f aca="false">INDEX(Ipotesi!$C$48:$G$48,1,F155)*G155/12</f>
        <v>75</v>
      </c>
      <c r="AE155" s="15" t="n">
        <f aca="false">INDEX(Ipotesi!$C$50:$G$50,1,F155)*G155/12</f>
        <v>8.33333333333333</v>
      </c>
      <c r="AF155" s="15" t="n">
        <f aca="false">(S155*Parametri_v3!$C$7*Parametri_v3!$C$8+Parametri_v3!$C$10)/12</f>
        <v>64.1666666666667</v>
      </c>
      <c r="AG155" s="15" t="n">
        <f aca="false">AD155+AE155*(1+Parametri_v3!$C$9)</f>
        <v>87.5</v>
      </c>
      <c r="AH155" s="16" t="n">
        <f aca="false">IF(AG155=0,1,MIN(1,AF155/AG155))</f>
        <v>0.733333333333333</v>
      </c>
      <c r="AI155" s="15" t="n">
        <f aca="false">AD155*AH155</f>
        <v>55</v>
      </c>
      <c r="AJ155" s="15" t="n">
        <f aca="false">AE155*AH155</f>
        <v>6.11111111111111</v>
      </c>
      <c r="AK155" s="15" t="n">
        <f aca="false">AI155*INDEX(Ipotesi!$C$49:$G$49,1,F155)*H155</f>
        <v>46750</v>
      </c>
      <c r="AL155" s="15" t="n">
        <f aca="false">AJ155*INDEX(Ipotesi!$C$51:$G$51,1,F155)*H155</f>
        <v>13750</v>
      </c>
      <c r="AM155" s="15" t="n">
        <f aca="false">AK155+AL155</f>
        <v>60500</v>
      </c>
      <c r="AN155" s="15" t="n">
        <f aca="false">INDEX(Ipotesi!$C$30:$G$30,1,F155)*G155/12</f>
        <v>52.0833333333333</v>
      </c>
      <c r="AO155" s="15" t="n">
        <f aca="false">O155*Parametri_v3!$C$7*Parametri_v3!$C$11*(1-Parametri_v3!$C$14)/12</f>
        <v>46.2</v>
      </c>
      <c r="AP155" s="15" t="n">
        <f aca="false">MIN(AN155,AO155)</f>
        <v>46.2</v>
      </c>
      <c r="AQ155" s="15" t="n">
        <f aca="false">AP155*INDEX(Ipotesi!$C$31:$G$31,1,F155)*H155</f>
        <v>46200</v>
      </c>
      <c r="AR155" s="15" t="n">
        <f aca="false">INDEX(Ipotesi!$C$75:$G$75,1,F155)*J155/12</f>
        <v>20000</v>
      </c>
      <c r="AS155" s="15" t="n">
        <f aca="false">INDEX(Ipotesi!$C$81:$G$81,1,F155)*J155/12</f>
        <v>1250</v>
      </c>
      <c r="AT155" s="15" t="n">
        <f aca="false">AR155*Parametri_v3!$C$15+Z155*Parametri_v3!$C$16</f>
        <v>31139.45</v>
      </c>
      <c r="AU155" s="15" t="n">
        <f aca="false">Q155*Parametri_v3!$C$16*Parametri_v3!$C$17</f>
        <v>280</v>
      </c>
      <c r="AV155" s="17" t="n">
        <f aca="false">BD154</f>
        <v>68.4856709814543</v>
      </c>
      <c r="AW155" s="17" t="n">
        <f aca="false">AV155*(1-(1-INDEX(Ipotesi!$C$34:$G$34,1,F155))^(1/12))</f>
        <v>0.598675091691236</v>
      </c>
      <c r="AX155" s="15" t="n">
        <f aca="false">ROUND(INDEX(Ipotesi!$C$32:$G$32,1,F155)*Ipotesi!E8,0)</f>
        <v>182</v>
      </c>
      <c r="AY155" s="15" t="n">
        <f aca="false">MAX(0,(AX155-(AV155-AW155))/(13-E155))</f>
        <v>19.0188340183728</v>
      </c>
      <c r="AZ155" s="15" t="n">
        <f aca="false">MIN(P155*Parametri_v3!$C$22,Q155*(1-Parametri_v3!$C$16)*Parametri_v3!$C$23)</f>
        <v>180</v>
      </c>
      <c r="BA155" s="15" t="n">
        <f aca="false">IF(OR(INDEX(Ipotesi!$C$35:$G$35,1,F155)&lt;=0,31-Parametri_v3!$C$21&lt;1),0,INDEX($AT$125:$AT$184,MAX(1,31-Parametri_v3!$C$21))/(INDEX(Ipotesi!$C$35:$G$35,1,F155)*Ipotesi!E27))</f>
        <v>7.7848625</v>
      </c>
      <c r="BB155" s="15" t="n">
        <f aca="false">IF(31-Parametri_v3!$C$21&lt;1,0,INDEX($AU$125:$AU$184,MAX(1,31-Parametri_v3!$C$21)))*Parametri_v3!$C$18*Parametri_v3!$C$19*Parametri_v3!$C$20</f>
        <v>10.5</v>
      </c>
      <c r="BC155" s="17" t="n">
        <f aca="false">MAX(0,MIN(AY155,BA155,BB155,MAX(0,AZ155-(AV155-AW155))))</f>
        <v>7.7848625</v>
      </c>
      <c r="BD155" s="17" t="n">
        <f aca="false">AV155-AW155+BC155</f>
        <v>75.6718583897631</v>
      </c>
      <c r="BE155" s="17" t="n">
        <f aca="false">(AV155+BD155)/2</f>
        <v>72.0787646856087</v>
      </c>
      <c r="BF155" s="15" t="n">
        <f aca="false">BE155*INDEX(Ipotesi!$C$33:$G$33,1,F155)*H155/12</f>
        <v>33036.100480904</v>
      </c>
      <c r="BG155" s="15" t="n">
        <f aca="false">BD155*INDEX(Ipotesi!$C$33:$G$33,1,F155)*H155</f>
        <v>416195.221143697</v>
      </c>
      <c r="BH155" s="15" t="n">
        <f aca="false">AM155*INDEX(Ipotesi!$C$37:$G$37,1,F155)</f>
        <v>6050</v>
      </c>
      <c r="BI155" s="15" t="n">
        <f aca="false">AQ155+BF155+BH155</f>
        <v>85286.100480904</v>
      </c>
      <c r="BJ155" s="15" t="n">
        <f aca="false">INDEX(Ipotesi!$C$68:$G$68,1,F155)*Ipotesi!$C$69/12</f>
        <v>2400</v>
      </c>
      <c r="BK155" s="15" t="n">
        <f aca="false">INDEX(Ipotesi!$C$68:$G$68,1,F155)*(1-Ipotesi!$C$69)/12</f>
        <v>3600</v>
      </c>
      <c r="BL155" s="15" t="n">
        <f aca="false">(AQ155+BF155)*Ipotesi!$C$67</f>
        <v>2377.08301442712</v>
      </c>
      <c r="BM155" s="15" t="n">
        <f aca="false">AM155*Ipotesi!$C$67</f>
        <v>1815</v>
      </c>
      <c r="BN155" s="15" t="n">
        <f aca="false">INDEX(Ipotesi!$C$72:$G$72,1,F155)/12*Ipotesi!E126+BF155*Ipotesi!$C$73</f>
        <v>3892.88803847232</v>
      </c>
      <c r="BO155" s="15" t="n">
        <f aca="false">INDEX(Ipotesi!$C$74:$G$74,1,F155)/12*Ipotesi!E126</f>
        <v>2916.66666666667</v>
      </c>
      <c r="BP155" s="15" t="n">
        <f aca="false">INDEX(Ipotesi!$C$76:$G$76,1,F155)/12</f>
        <v>1083.33333333333</v>
      </c>
      <c r="BQ155" s="15" t="n">
        <f aca="false">INDEX(Ipotesi!$C$77:$G$77,1,F155)/12*Ipotesi!E126</f>
        <v>2083.33333333333</v>
      </c>
      <c r="BR155" s="15" t="n">
        <f aca="false">INDEX(Ipotesi!$C$78:$G$78,1,F155)/12</f>
        <v>1666.66666666667</v>
      </c>
      <c r="BS155" s="15" t="n">
        <f aca="false">SUM(M155:R155)*(Ipotesi!$C$85+Ipotesi!$C$86)/12</f>
        <v>4812.5</v>
      </c>
      <c r="BT155" s="15" t="n">
        <f aca="false">BI155*Ipotesi!$C$87</f>
        <v>2558.58301442712</v>
      </c>
      <c r="BU155" s="15" t="n">
        <f aca="false">INDEX(Ipotesi!$C$55:$G$55,1,F155)*K155/12</f>
        <v>1500</v>
      </c>
      <c r="BV155" s="15" t="n">
        <f aca="false">INDEX(Ipotesi!$C$80:$G$80,1,F155)/12*Ipotesi!E126</f>
        <v>1250</v>
      </c>
      <c r="BW155" s="15" t="n">
        <f aca="false">INDEX(Ipotesi!$C$82:$G$82,1,F155)/12</f>
        <v>1000</v>
      </c>
      <c r="BX155" s="15" t="n">
        <f aca="false">INDEX(Ipotesi!$C$83:$G$83,1,F155)/12</f>
        <v>666.666666666667</v>
      </c>
      <c r="BY155" s="15" t="n">
        <f aca="false">SUM(S155:U155)*(Ipotesi!$C$85+Ipotesi!$C$86)/12</f>
        <v>1895.83333333333</v>
      </c>
      <c r="BZ155" s="15" t="n">
        <f aca="false">AM155*Ipotesi!$C$87</f>
        <v>1815</v>
      </c>
      <c r="CA155" s="15" t="n">
        <f aca="false">AB155+BJ155+BL155+BN155+BO155+AR155+BP155+BQ155+BR155+BS155+BT155</f>
        <v>118064.720733993</v>
      </c>
      <c r="CB155" s="15" t="n">
        <f aca="false">AC155+BK155+BM155+BH155+BU155+BV155+AS155+BW155+BX155+BY155+BZ155</f>
        <v>46259.8958333333</v>
      </c>
      <c r="CC155" s="15" t="n">
        <f aca="false">BI155-CA155</f>
        <v>-32778.6202530893</v>
      </c>
      <c r="CD155" s="15" t="n">
        <f aca="false">AM155-CB155</f>
        <v>14240.1041666667</v>
      </c>
      <c r="CE155" s="15" t="n">
        <f aca="false">INDEX(Ipotesi!$C$79:$G$79,1,F155)/12</f>
        <v>2500</v>
      </c>
      <c r="CF155" s="15" t="n">
        <f aca="false">INDEX(Ipotesi!$C$84:$G$84,1,F155)/12</f>
        <v>416.666666666667</v>
      </c>
      <c r="CG155" s="15" t="n">
        <f aca="false">Y155*MAX(0,Parametri_v3!$C$12-IF(P155=0,0,MIN(1,BE155/(P155*Parametri_v3!$C$22))))+W155*Parametri_v3!$C$13+X155*Parametri_v3!$C$14</f>
        <v>25988.5682727099</v>
      </c>
      <c r="CH155" s="15" t="n">
        <f aca="false">AB155*Parametri_v3!$C$32</f>
        <v>3713.68333333333</v>
      </c>
      <c r="CI155" s="15" t="n">
        <f aca="false">AC155*Parametri_v3!$C$32</f>
        <v>1270.86979166667</v>
      </c>
      <c r="CJ155" s="15" t="n">
        <f aca="false">CA155-AB155</f>
        <v>43791.0540673266</v>
      </c>
      <c r="CK155" s="15" t="n">
        <f aca="false">CB155-AC155-BH155</f>
        <v>14792.5</v>
      </c>
      <c r="CL155" s="15" t="n">
        <f aca="false">BF155*Ipotesi!$C$73+INDEX(Ipotesi!$C$72:$G$72,1,F155)/12*Ipotesi!E126*Parametri_v3!$C$58+Z155*(1-Parametri_v3!$C$16)</f>
        <v>8666.93803847232</v>
      </c>
      <c r="CM155" s="16" t="n">
        <f aca="false">IF(BF155=0,0,1-CL155/BF155)</f>
        <v>0.737652510062981</v>
      </c>
    </row>
    <row r="156" customFormat="false" ht="18" hidden="false" customHeight="true" outlineLevel="0" collapsed="false">
      <c r="A156" s="68" t="n">
        <f aca="false">3</f>
        <v>3</v>
      </c>
      <c r="B156" s="68" t="n">
        <f aca="false">32</f>
        <v>32</v>
      </c>
      <c r="C156" s="18" t="n">
        <f aca="false">EDATE(Parametri_v3!$C$5,32-1)</f>
        <v>47331</v>
      </c>
      <c r="D156" s="68" t="n">
        <f aca="false">YEAR(C156)</f>
        <v>2029</v>
      </c>
      <c r="E156" s="68" t="n">
        <f aca="false">MONTH(C156)</f>
        <v>8</v>
      </c>
      <c r="F156" s="68" t="n">
        <f aca="false">INT((32-1)/12)+1</f>
        <v>3</v>
      </c>
      <c r="G156" s="15" t="n">
        <f aca="false">Ipotesi!E7</f>
        <v>1.25</v>
      </c>
      <c r="H156" s="15" t="n">
        <f aca="false">Ipotesi!E9</f>
        <v>1</v>
      </c>
      <c r="I156" s="15" t="n">
        <f aca="false">Ipotesi!E10</f>
        <v>1</v>
      </c>
      <c r="J156" s="15" t="n">
        <f aca="false">Ipotesi!E11</f>
        <v>1</v>
      </c>
      <c r="K156" s="15" t="n">
        <f aca="false">Ipotesi!E12</f>
        <v>1</v>
      </c>
      <c r="L156" s="15" t="n">
        <f aca="false">Ipotesi!E13</f>
        <v>90</v>
      </c>
      <c r="M156" s="17" t="n">
        <f aca="false">INDEX(Ipotesi!$C$40:$G$40,1,F156)</f>
        <v>1</v>
      </c>
      <c r="N156" s="17" t="n">
        <f aca="false">INDEX(Ipotesi!$C$41:$G$41,1,F156)</f>
        <v>1</v>
      </c>
      <c r="O156" s="17" t="n">
        <f aca="false">INDEX(Ipotesi!$C$42:$G$42,1,F156)*Ipotesi!E125</f>
        <v>4.5</v>
      </c>
      <c r="P156" s="17" t="n">
        <f aca="false">INDEX(Ipotesi!$C$43:$G$43,1,F156)*I156</f>
        <v>5</v>
      </c>
      <c r="Q156" s="17" t="n">
        <f aca="false">INDEX(Ipotesi!$C$44:$G$44,1,F156)*I156</f>
        <v>4</v>
      </c>
      <c r="R156" s="17" t="n">
        <f aca="false">INDEX(Ipotesi!$C$45:$G$45,1,F156)*I156</f>
        <v>1</v>
      </c>
      <c r="S156" s="17" t="n">
        <f aca="false">INDEX(Ipotesi!$C$52:$G$52,1,F156)*Ipotesi!E125</f>
        <v>5</v>
      </c>
      <c r="T156" s="17" t="n">
        <f aca="false">INDEX(Ipotesi!$C$53:$G$53,1,F156)*I156</f>
        <v>1</v>
      </c>
      <c r="U156" s="17" t="n">
        <f aca="false">INDEX(Ipotesi!$C$54:$G$54,1,F156)*I156</f>
        <v>0.5</v>
      </c>
      <c r="V156" s="15" t="n">
        <f aca="false">M156*INDEX(Ipotesi!$C$58:$G$58,1,F156)*K156/12</f>
        <v>7083.33333333333</v>
      </c>
      <c r="W156" s="15" t="n">
        <f aca="false">N156*Ipotesi!$C$59*(1+Ipotesi!$C$66)^(F156-1)/12</f>
        <v>6188.58333333333</v>
      </c>
      <c r="X156" s="15" t="n">
        <f aca="false">O156*Ipotesi!$C$60*(1+Ipotesi!$C$66)^(F156-1)/12</f>
        <v>19891.875</v>
      </c>
      <c r="Y156" s="15" t="n">
        <f aca="false">P156*Ipotesi!$C$61*(1+Ipotesi!$C$66)^(F156-1)/12</f>
        <v>22102.0833333333</v>
      </c>
      <c r="Z156" s="15" t="n">
        <f aca="false">Q156*Ipotesi!$C$62*(1+Ipotesi!$C$66)^(F156-1)/12</f>
        <v>15913.5</v>
      </c>
      <c r="AA156" s="15" t="n">
        <f aca="false">R156*Ipotesi!$C$63*(1+Ipotesi!$C$66)^(F156-1)/12</f>
        <v>3094.29166666667</v>
      </c>
      <c r="AB156" s="15" t="n">
        <f aca="false">SUM(V156:AA156)</f>
        <v>74273.6666666667</v>
      </c>
      <c r="AC156" s="15" t="n">
        <f aca="false">(S156*Ipotesi!$C$64+T156*Ipotesi!$C$65+U156*Ipotesi!$C$63)*(1+Ipotesi!$C$66)^(F156-1)/12</f>
        <v>25417.3958333333</v>
      </c>
      <c r="AD156" s="15" t="n">
        <f aca="false">INDEX(Ipotesi!$C$48:$G$48,1,F156)*G156/12</f>
        <v>75</v>
      </c>
      <c r="AE156" s="15" t="n">
        <f aca="false">INDEX(Ipotesi!$C$50:$G$50,1,F156)*G156/12</f>
        <v>8.33333333333333</v>
      </c>
      <c r="AF156" s="15" t="n">
        <f aca="false">(S156*Parametri_v3!$C$7*Parametri_v3!$C$8+Parametri_v3!$C$10)/12</f>
        <v>64.1666666666667</v>
      </c>
      <c r="AG156" s="15" t="n">
        <f aca="false">AD156+AE156*(1+Parametri_v3!$C$9)</f>
        <v>87.5</v>
      </c>
      <c r="AH156" s="16" t="n">
        <f aca="false">IF(AG156=0,1,MIN(1,AF156/AG156))</f>
        <v>0.733333333333333</v>
      </c>
      <c r="AI156" s="15" t="n">
        <f aca="false">AD156*AH156</f>
        <v>55</v>
      </c>
      <c r="AJ156" s="15" t="n">
        <f aca="false">AE156*AH156</f>
        <v>6.11111111111111</v>
      </c>
      <c r="AK156" s="15" t="n">
        <f aca="false">AI156*INDEX(Ipotesi!$C$49:$G$49,1,F156)*H156</f>
        <v>46750</v>
      </c>
      <c r="AL156" s="15" t="n">
        <f aca="false">AJ156*INDEX(Ipotesi!$C$51:$G$51,1,F156)*H156</f>
        <v>13750</v>
      </c>
      <c r="AM156" s="15" t="n">
        <f aca="false">AK156+AL156</f>
        <v>60500</v>
      </c>
      <c r="AN156" s="15" t="n">
        <f aca="false">INDEX(Ipotesi!$C$30:$G$30,1,F156)*G156/12</f>
        <v>52.0833333333333</v>
      </c>
      <c r="AO156" s="15" t="n">
        <f aca="false">O156*Parametri_v3!$C$7*Parametri_v3!$C$11*(1-Parametri_v3!$C$14)/12</f>
        <v>46.2</v>
      </c>
      <c r="AP156" s="15" t="n">
        <f aca="false">MIN(AN156,AO156)</f>
        <v>46.2</v>
      </c>
      <c r="AQ156" s="15" t="n">
        <f aca="false">AP156*INDEX(Ipotesi!$C$31:$G$31,1,F156)*H156</f>
        <v>46200</v>
      </c>
      <c r="AR156" s="15" t="n">
        <f aca="false">INDEX(Ipotesi!$C$75:$G$75,1,F156)*J156/12</f>
        <v>20000</v>
      </c>
      <c r="AS156" s="15" t="n">
        <f aca="false">INDEX(Ipotesi!$C$81:$G$81,1,F156)*J156/12</f>
        <v>1250</v>
      </c>
      <c r="AT156" s="15" t="n">
        <f aca="false">AR156*Parametri_v3!$C$15+Z156*Parametri_v3!$C$16</f>
        <v>31139.45</v>
      </c>
      <c r="AU156" s="15" t="n">
        <f aca="false">Q156*Parametri_v3!$C$16*Parametri_v3!$C$17</f>
        <v>280</v>
      </c>
      <c r="AV156" s="17" t="n">
        <f aca="false">BD155</f>
        <v>75.6718583897631</v>
      </c>
      <c r="AW156" s="17" t="n">
        <f aca="false">AV156*(1-(1-INDEX(Ipotesi!$C$34:$G$34,1,F156))^(1/12))</f>
        <v>0.661493946262212</v>
      </c>
      <c r="AX156" s="15" t="n">
        <f aca="false">ROUND(INDEX(Ipotesi!$C$32:$G$32,1,F156)*Ipotesi!E8,0)</f>
        <v>182</v>
      </c>
      <c r="AY156" s="15" t="n">
        <f aca="false">MAX(0,(AX156-(AV156-AW156))/(13-E156))</f>
        <v>21.3979271112998</v>
      </c>
      <c r="AZ156" s="15" t="n">
        <f aca="false">MIN(P156*Parametri_v3!$C$22,Q156*(1-Parametri_v3!$C$16)*Parametri_v3!$C$23)</f>
        <v>180</v>
      </c>
      <c r="BA156" s="15" t="n">
        <f aca="false">IF(OR(INDEX(Ipotesi!$C$35:$G$35,1,F156)&lt;=0,32-Parametri_v3!$C$21&lt;1),0,INDEX($AT$125:$AT$184,MAX(1,32-Parametri_v3!$C$21))/(INDEX(Ipotesi!$C$35:$G$35,1,F156)*Ipotesi!E27))</f>
        <v>7.7848625</v>
      </c>
      <c r="BB156" s="15" t="n">
        <f aca="false">IF(32-Parametri_v3!$C$21&lt;1,0,INDEX($AU$125:$AU$184,MAX(1,32-Parametri_v3!$C$21)))*Parametri_v3!$C$18*Parametri_v3!$C$19*Parametri_v3!$C$20</f>
        <v>10.5</v>
      </c>
      <c r="BC156" s="17" t="n">
        <f aca="false">MAX(0,MIN(AY156,BA156,BB156,MAX(0,AZ156-(AV156-AW156))))</f>
        <v>7.7848625</v>
      </c>
      <c r="BD156" s="17" t="n">
        <f aca="false">AV156-AW156+BC156</f>
        <v>82.7952269435009</v>
      </c>
      <c r="BE156" s="17" t="n">
        <f aca="false">(AV156+BD156)/2</f>
        <v>79.233542666632</v>
      </c>
      <c r="BF156" s="15" t="n">
        <f aca="false">BE156*INDEX(Ipotesi!$C$33:$G$33,1,F156)*H156/12</f>
        <v>36315.3737222063</v>
      </c>
      <c r="BG156" s="15" t="n">
        <f aca="false">BD156*INDEX(Ipotesi!$C$33:$G$33,1,F156)*H156</f>
        <v>455373.748189255</v>
      </c>
      <c r="BH156" s="15" t="n">
        <f aca="false">AM156*INDEX(Ipotesi!$C$37:$G$37,1,F156)</f>
        <v>6050</v>
      </c>
      <c r="BI156" s="15" t="n">
        <f aca="false">AQ156+BF156+BH156</f>
        <v>88565.3737222063</v>
      </c>
      <c r="BJ156" s="15" t="n">
        <f aca="false">INDEX(Ipotesi!$C$68:$G$68,1,F156)*Ipotesi!$C$69/12</f>
        <v>2400</v>
      </c>
      <c r="BK156" s="15" t="n">
        <f aca="false">INDEX(Ipotesi!$C$68:$G$68,1,F156)*(1-Ipotesi!$C$69)/12</f>
        <v>3600</v>
      </c>
      <c r="BL156" s="15" t="n">
        <f aca="false">(AQ156+BF156)*Ipotesi!$C$67</f>
        <v>2475.46121166619</v>
      </c>
      <c r="BM156" s="15" t="n">
        <f aca="false">AM156*Ipotesi!$C$67</f>
        <v>1815</v>
      </c>
      <c r="BN156" s="15" t="n">
        <f aca="false">INDEX(Ipotesi!$C$72:$G$72,1,F156)/12*Ipotesi!E126+BF156*Ipotesi!$C$73</f>
        <v>4155.22989777651</v>
      </c>
      <c r="BO156" s="15" t="n">
        <f aca="false">INDEX(Ipotesi!$C$74:$G$74,1,F156)/12*Ipotesi!E126</f>
        <v>2916.66666666667</v>
      </c>
      <c r="BP156" s="15" t="n">
        <f aca="false">INDEX(Ipotesi!$C$76:$G$76,1,F156)/12</f>
        <v>1083.33333333333</v>
      </c>
      <c r="BQ156" s="15" t="n">
        <f aca="false">INDEX(Ipotesi!$C$77:$G$77,1,F156)/12*Ipotesi!E126</f>
        <v>2083.33333333333</v>
      </c>
      <c r="BR156" s="15" t="n">
        <f aca="false">INDEX(Ipotesi!$C$78:$G$78,1,F156)/12</f>
        <v>1666.66666666667</v>
      </c>
      <c r="BS156" s="15" t="n">
        <f aca="false">SUM(M156:R156)*(Ipotesi!$C$85+Ipotesi!$C$86)/12</f>
        <v>4812.5</v>
      </c>
      <c r="BT156" s="15" t="n">
        <f aca="false">BI156*Ipotesi!$C$87</f>
        <v>2656.96121166619</v>
      </c>
      <c r="BU156" s="15" t="n">
        <f aca="false">INDEX(Ipotesi!$C$55:$G$55,1,F156)*K156/12</f>
        <v>1500</v>
      </c>
      <c r="BV156" s="15" t="n">
        <f aca="false">INDEX(Ipotesi!$C$80:$G$80,1,F156)/12*Ipotesi!E126</f>
        <v>1250</v>
      </c>
      <c r="BW156" s="15" t="n">
        <f aca="false">INDEX(Ipotesi!$C$82:$G$82,1,F156)/12</f>
        <v>1000</v>
      </c>
      <c r="BX156" s="15" t="n">
        <f aca="false">INDEX(Ipotesi!$C$83:$G$83,1,F156)/12</f>
        <v>666.666666666667</v>
      </c>
      <c r="BY156" s="15" t="n">
        <f aca="false">SUM(S156:U156)*(Ipotesi!$C$85+Ipotesi!$C$86)/12</f>
        <v>1895.83333333333</v>
      </c>
      <c r="BZ156" s="15" t="n">
        <f aca="false">AM156*Ipotesi!$C$87</f>
        <v>1815</v>
      </c>
      <c r="CA156" s="15" t="n">
        <f aca="false">AB156+BJ156+BL156+BN156+BO156+AR156+BP156+BQ156+BR156+BS156+BT156</f>
        <v>118523.818987776</v>
      </c>
      <c r="CB156" s="15" t="n">
        <f aca="false">AC156+BK156+BM156+BH156+BU156+BV156+AS156+BW156+BX156+BY156+BZ156</f>
        <v>46259.8958333333</v>
      </c>
      <c r="CC156" s="15" t="n">
        <f aca="false">BI156-CA156</f>
        <v>-29958.4452655692</v>
      </c>
      <c r="CD156" s="15" t="n">
        <f aca="false">AM156-CB156</f>
        <v>14240.1041666667</v>
      </c>
      <c r="CE156" s="15" t="n">
        <f aca="false">INDEX(Ipotesi!$C$79:$G$79,1,F156)/12</f>
        <v>2500</v>
      </c>
      <c r="CF156" s="15" t="n">
        <f aca="false">INDEX(Ipotesi!$C$84:$G$84,1,F156)/12</f>
        <v>416.666666666667</v>
      </c>
      <c r="CG156" s="15" t="n">
        <f aca="false">Y156*MAX(0,Parametri_v3!$C$12-IF(P156=0,0,MIN(1,BE156/(P156*Parametri_v3!$C$22))))+W156*Parametri_v3!$C$13+X156*Parametri_v3!$C$14</f>
        <v>25672.2972743738</v>
      </c>
      <c r="CH156" s="15" t="n">
        <f aca="false">AB156*Parametri_v3!$C$32</f>
        <v>3713.68333333333</v>
      </c>
      <c r="CI156" s="15" t="n">
        <f aca="false">AC156*Parametri_v3!$C$32</f>
        <v>1270.86979166667</v>
      </c>
      <c r="CJ156" s="15" t="n">
        <f aca="false">CA156-AB156</f>
        <v>44250.1523211089</v>
      </c>
      <c r="CK156" s="15" t="n">
        <f aca="false">CB156-AC156-BH156</f>
        <v>14792.5</v>
      </c>
      <c r="CL156" s="15" t="n">
        <f aca="false">BF156*Ipotesi!$C$73+INDEX(Ipotesi!$C$72:$G$72,1,F156)/12*Ipotesi!E126*Parametri_v3!$C$58+Z156*(1-Parametri_v3!$C$16)</f>
        <v>8929.27989777651</v>
      </c>
      <c r="CM156" s="16" t="n">
        <f aca="false">IF(BF156=0,0,1-CL156/BF156)</f>
        <v>0.754118463269004</v>
      </c>
    </row>
    <row r="157" customFormat="false" ht="18" hidden="false" customHeight="true" outlineLevel="0" collapsed="false">
      <c r="A157" s="68" t="n">
        <f aca="false">3</f>
        <v>3</v>
      </c>
      <c r="B157" s="68" t="n">
        <f aca="false">33</f>
        <v>33</v>
      </c>
      <c r="C157" s="18" t="n">
        <f aca="false">EDATE(Parametri_v3!$C$5,33-1)</f>
        <v>47362</v>
      </c>
      <c r="D157" s="68" t="n">
        <f aca="false">YEAR(C157)</f>
        <v>2029</v>
      </c>
      <c r="E157" s="68" t="n">
        <f aca="false">MONTH(C157)</f>
        <v>9</v>
      </c>
      <c r="F157" s="68" t="n">
        <f aca="false">INT((33-1)/12)+1</f>
        <v>3</v>
      </c>
      <c r="G157" s="15" t="n">
        <f aca="false">Ipotesi!E7</f>
        <v>1.25</v>
      </c>
      <c r="H157" s="15" t="n">
        <f aca="false">Ipotesi!E9</f>
        <v>1</v>
      </c>
      <c r="I157" s="15" t="n">
        <f aca="false">Ipotesi!E10</f>
        <v>1</v>
      </c>
      <c r="J157" s="15" t="n">
        <f aca="false">Ipotesi!E11</f>
        <v>1</v>
      </c>
      <c r="K157" s="15" t="n">
        <f aca="false">Ipotesi!E12</f>
        <v>1</v>
      </c>
      <c r="L157" s="15" t="n">
        <f aca="false">Ipotesi!E13</f>
        <v>90</v>
      </c>
      <c r="M157" s="17" t="n">
        <f aca="false">INDEX(Ipotesi!$C$40:$G$40,1,F157)</f>
        <v>1</v>
      </c>
      <c r="N157" s="17" t="n">
        <f aca="false">INDEX(Ipotesi!$C$41:$G$41,1,F157)</f>
        <v>1</v>
      </c>
      <c r="O157" s="17" t="n">
        <f aca="false">INDEX(Ipotesi!$C$42:$G$42,1,F157)*Ipotesi!E125</f>
        <v>4.5</v>
      </c>
      <c r="P157" s="17" t="n">
        <f aca="false">INDEX(Ipotesi!$C$43:$G$43,1,F157)*I157</f>
        <v>5</v>
      </c>
      <c r="Q157" s="17" t="n">
        <f aca="false">INDEX(Ipotesi!$C$44:$G$44,1,F157)*I157</f>
        <v>4</v>
      </c>
      <c r="R157" s="17" t="n">
        <f aca="false">INDEX(Ipotesi!$C$45:$G$45,1,F157)*I157</f>
        <v>1</v>
      </c>
      <c r="S157" s="17" t="n">
        <f aca="false">INDEX(Ipotesi!$C$52:$G$52,1,F157)*Ipotesi!E125</f>
        <v>5</v>
      </c>
      <c r="T157" s="17" t="n">
        <f aca="false">INDEX(Ipotesi!$C$53:$G$53,1,F157)*I157</f>
        <v>1</v>
      </c>
      <c r="U157" s="17" t="n">
        <f aca="false">INDEX(Ipotesi!$C$54:$G$54,1,F157)*I157</f>
        <v>0.5</v>
      </c>
      <c r="V157" s="15" t="n">
        <f aca="false">M157*INDEX(Ipotesi!$C$58:$G$58,1,F157)*K157/12</f>
        <v>7083.33333333333</v>
      </c>
      <c r="W157" s="15" t="n">
        <f aca="false">N157*Ipotesi!$C$59*(1+Ipotesi!$C$66)^(F157-1)/12</f>
        <v>6188.58333333333</v>
      </c>
      <c r="X157" s="15" t="n">
        <f aca="false">O157*Ipotesi!$C$60*(1+Ipotesi!$C$66)^(F157-1)/12</f>
        <v>19891.875</v>
      </c>
      <c r="Y157" s="15" t="n">
        <f aca="false">P157*Ipotesi!$C$61*(1+Ipotesi!$C$66)^(F157-1)/12</f>
        <v>22102.0833333333</v>
      </c>
      <c r="Z157" s="15" t="n">
        <f aca="false">Q157*Ipotesi!$C$62*(1+Ipotesi!$C$66)^(F157-1)/12</f>
        <v>15913.5</v>
      </c>
      <c r="AA157" s="15" t="n">
        <f aca="false">R157*Ipotesi!$C$63*(1+Ipotesi!$C$66)^(F157-1)/12</f>
        <v>3094.29166666667</v>
      </c>
      <c r="AB157" s="15" t="n">
        <f aca="false">SUM(V157:AA157)</f>
        <v>74273.6666666667</v>
      </c>
      <c r="AC157" s="15" t="n">
        <f aca="false">(S157*Ipotesi!$C$64+T157*Ipotesi!$C$65+U157*Ipotesi!$C$63)*(1+Ipotesi!$C$66)^(F157-1)/12</f>
        <v>25417.3958333333</v>
      </c>
      <c r="AD157" s="15" t="n">
        <f aca="false">INDEX(Ipotesi!$C$48:$G$48,1,F157)*G157/12</f>
        <v>75</v>
      </c>
      <c r="AE157" s="15" t="n">
        <f aca="false">INDEX(Ipotesi!$C$50:$G$50,1,F157)*G157/12</f>
        <v>8.33333333333333</v>
      </c>
      <c r="AF157" s="15" t="n">
        <f aca="false">(S157*Parametri_v3!$C$7*Parametri_v3!$C$8+Parametri_v3!$C$10)/12</f>
        <v>64.1666666666667</v>
      </c>
      <c r="AG157" s="15" t="n">
        <f aca="false">AD157+AE157*(1+Parametri_v3!$C$9)</f>
        <v>87.5</v>
      </c>
      <c r="AH157" s="16" t="n">
        <f aca="false">IF(AG157=0,1,MIN(1,AF157/AG157))</f>
        <v>0.733333333333333</v>
      </c>
      <c r="AI157" s="15" t="n">
        <f aca="false">AD157*AH157</f>
        <v>55</v>
      </c>
      <c r="AJ157" s="15" t="n">
        <f aca="false">AE157*AH157</f>
        <v>6.11111111111111</v>
      </c>
      <c r="AK157" s="15" t="n">
        <f aca="false">AI157*INDEX(Ipotesi!$C$49:$G$49,1,F157)*H157</f>
        <v>46750</v>
      </c>
      <c r="AL157" s="15" t="n">
        <f aca="false">AJ157*INDEX(Ipotesi!$C$51:$G$51,1,F157)*H157</f>
        <v>13750</v>
      </c>
      <c r="AM157" s="15" t="n">
        <f aca="false">AK157+AL157</f>
        <v>60500</v>
      </c>
      <c r="AN157" s="15" t="n">
        <f aca="false">INDEX(Ipotesi!$C$30:$G$30,1,F157)*G157/12</f>
        <v>52.0833333333333</v>
      </c>
      <c r="AO157" s="15" t="n">
        <f aca="false">O157*Parametri_v3!$C$7*Parametri_v3!$C$11*(1-Parametri_v3!$C$14)/12</f>
        <v>46.2</v>
      </c>
      <c r="AP157" s="15" t="n">
        <f aca="false">MIN(AN157,AO157)</f>
        <v>46.2</v>
      </c>
      <c r="AQ157" s="15" t="n">
        <f aca="false">AP157*INDEX(Ipotesi!$C$31:$G$31,1,F157)*H157</f>
        <v>46200</v>
      </c>
      <c r="AR157" s="15" t="n">
        <f aca="false">INDEX(Ipotesi!$C$75:$G$75,1,F157)*J157/12</f>
        <v>20000</v>
      </c>
      <c r="AS157" s="15" t="n">
        <f aca="false">INDEX(Ipotesi!$C$81:$G$81,1,F157)*J157/12</f>
        <v>1250</v>
      </c>
      <c r="AT157" s="15" t="n">
        <f aca="false">AR157*Parametri_v3!$C$15+Z157*Parametri_v3!$C$16</f>
        <v>31139.45</v>
      </c>
      <c r="AU157" s="15" t="n">
        <f aca="false">Q157*Parametri_v3!$C$16*Parametri_v3!$C$17</f>
        <v>280</v>
      </c>
      <c r="AV157" s="17" t="n">
        <f aca="false">BD156</f>
        <v>82.7952269435009</v>
      </c>
      <c r="AW157" s="17" t="n">
        <f aca="false">AV157*(1-(1-INDEX(Ipotesi!$C$34:$G$34,1,F157))^(1/12))</f>
        <v>0.723763662845908</v>
      </c>
      <c r="AX157" s="15" t="n">
        <f aca="false">ROUND(INDEX(Ipotesi!$C$32:$G$32,1,F157)*Ipotesi!E8,0)</f>
        <v>182</v>
      </c>
      <c r="AY157" s="15" t="n">
        <f aca="false">MAX(0,(AX157-(AV157-AW157))/(13-E157))</f>
        <v>24.9821341798363</v>
      </c>
      <c r="AZ157" s="15" t="n">
        <f aca="false">MIN(P157*Parametri_v3!$C$22,Q157*(1-Parametri_v3!$C$16)*Parametri_v3!$C$23)</f>
        <v>180</v>
      </c>
      <c r="BA157" s="15" t="n">
        <f aca="false">IF(OR(INDEX(Ipotesi!$C$35:$G$35,1,F157)&lt;=0,33-Parametri_v3!$C$21&lt;1),0,INDEX($AT$125:$AT$184,MAX(1,33-Parametri_v3!$C$21))/(INDEX(Ipotesi!$C$35:$G$35,1,F157)*Ipotesi!E27))</f>
        <v>7.7848625</v>
      </c>
      <c r="BB157" s="15" t="n">
        <f aca="false">IF(33-Parametri_v3!$C$21&lt;1,0,INDEX($AU$125:$AU$184,MAX(1,33-Parametri_v3!$C$21)))*Parametri_v3!$C$18*Parametri_v3!$C$19*Parametri_v3!$C$20</f>
        <v>10.5</v>
      </c>
      <c r="BC157" s="17" t="n">
        <f aca="false">MAX(0,MIN(AY157,BA157,BB157,MAX(0,AZ157-(AV157-AW157))))</f>
        <v>7.7848625</v>
      </c>
      <c r="BD157" s="17" t="n">
        <f aca="false">AV157-AW157+BC157</f>
        <v>89.8563257806549</v>
      </c>
      <c r="BE157" s="17" t="n">
        <f aca="false">(AV157+BD157)/2</f>
        <v>86.3257763620779</v>
      </c>
      <c r="BF157" s="15" t="n">
        <f aca="false">BE157*INDEX(Ipotesi!$C$33:$G$33,1,F157)*H157/12</f>
        <v>39565.980832619</v>
      </c>
      <c r="BG157" s="15" t="n">
        <f aca="false">BD157*INDEX(Ipotesi!$C$33:$G$33,1,F157)*H157</f>
        <v>494209.791793602</v>
      </c>
      <c r="BH157" s="15" t="n">
        <f aca="false">AM157*INDEX(Ipotesi!$C$37:$G$37,1,F157)</f>
        <v>6050</v>
      </c>
      <c r="BI157" s="15" t="n">
        <f aca="false">AQ157+BF157+BH157</f>
        <v>91815.980832619</v>
      </c>
      <c r="BJ157" s="15" t="n">
        <f aca="false">INDEX(Ipotesi!$C$68:$G$68,1,F157)*Ipotesi!$C$69/12</f>
        <v>2400</v>
      </c>
      <c r="BK157" s="15" t="n">
        <f aca="false">INDEX(Ipotesi!$C$68:$G$68,1,F157)*(1-Ipotesi!$C$69)/12</f>
        <v>3600</v>
      </c>
      <c r="BL157" s="15" t="n">
        <f aca="false">(AQ157+BF157)*Ipotesi!$C$67</f>
        <v>2572.97942497857</v>
      </c>
      <c r="BM157" s="15" t="n">
        <f aca="false">AM157*Ipotesi!$C$67</f>
        <v>1815</v>
      </c>
      <c r="BN157" s="15" t="n">
        <f aca="false">INDEX(Ipotesi!$C$72:$G$72,1,F157)/12*Ipotesi!E126+BF157*Ipotesi!$C$73</f>
        <v>4415.27846660952</v>
      </c>
      <c r="BO157" s="15" t="n">
        <f aca="false">INDEX(Ipotesi!$C$74:$G$74,1,F157)/12*Ipotesi!E126</f>
        <v>2916.66666666667</v>
      </c>
      <c r="BP157" s="15" t="n">
        <f aca="false">INDEX(Ipotesi!$C$76:$G$76,1,F157)/12</f>
        <v>1083.33333333333</v>
      </c>
      <c r="BQ157" s="15" t="n">
        <f aca="false">INDEX(Ipotesi!$C$77:$G$77,1,F157)/12*Ipotesi!E126</f>
        <v>2083.33333333333</v>
      </c>
      <c r="BR157" s="15" t="n">
        <f aca="false">INDEX(Ipotesi!$C$78:$G$78,1,F157)/12</f>
        <v>1666.66666666667</v>
      </c>
      <c r="BS157" s="15" t="n">
        <f aca="false">SUM(M157:R157)*(Ipotesi!$C$85+Ipotesi!$C$86)/12</f>
        <v>4812.5</v>
      </c>
      <c r="BT157" s="15" t="n">
        <f aca="false">BI157*Ipotesi!$C$87</f>
        <v>2754.47942497857</v>
      </c>
      <c r="BU157" s="15" t="n">
        <f aca="false">INDEX(Ipotesi!$C$55:$G$55,1,F157)*K157/12</f>
        <v>1500</v>
      </c>
      <c r="BV157" s="15" t="n">
        <f aca="false">INDEX(Ipotesi!$C$80:$G$80,1,F157)/12*Ipotesi!E126</f>
        <v>1250</v>
      </c>
      <c r="BW157" s="15" t="n">
        <f aca="false">INDEX(Ipotesi!$C$82:$G$82,1,F157)/12</f>
        <v>1000</v>
      </c>
      <c r="BX157" s="15" t="n">
        <f aca="false">INDEX(Ipotesi!$C$83:$G$83,1,F157)/12</f>
        <v>666.666666666667</v>
      </c>
      <c r="BY157" s="15" t="n">
        <f aca="false">SUM(S157:U157)*(Ipotesi!$C$85+Ipotesi!$C$86)/12</f>
        <v>1895.83333333333</v>
      </c>
      <c r="BZ157" s="15" t="n">
        <f aca="false">AM157*Ipotesi!$C$87</f>
        <v>1815</v>
      </c>
      <c r="CA157" s="15" t="n">
        <f aca="false">AB157+BJ157+BL157+BN157+BO157+AR157+BP157+BQ157+BR157+BS157+BT157</f>
        <v>118978.903983233</v>
      </c>
      <c r="CB157" s="15" t="n">
        <f aca="false">AC157+BK157+BM157+BH157+BU157+BV157+AS157+BW157+BX157+BY157+BZ157</f>
        <v>46259.8958333333</v>
      </c>
      <c r="CC157" s="15" t="n">
        <f aca="false">BI157-CA157</f>
        <v>-27162.9231506143</v>
      </c>
      <c r="CD157" s="15" t="n">
        <f aca="false">AM157-CB157</f>
        <v>14240.1041666667</v>
      </c>
      <c r="CE157" s="15" t="n">
        <f aca="false">INDEX(Ipotesi!$C$79:$G$79,1,F157)/12</f>
        <v>2500</v>
      </c>
      <c r="CF157" s="15" t="n">
        <f aca="false">INDEX(Ipotesi!$C$84:$G$84,1,F157)/12</f>
        <v>416.666666666667</v>
      </c>
      <c r="CG157" s="15" t="n">
        <f aca="false">Y157*MAX(0,Parametri_v3!$C$12-IF(P157=0,0,MIN(1,BE157/(P157*Parametri_v3!$C$22))))+W157*Parametri_v3!$C$13+X157*Parametri_v3!$C$14</f>
        <v>25358.7909940613</v>
      </c>
      <c r="CH157" s="15" t="n">
        <f aca="false">AB157*Parametri_v3!$C$32</f>
        <v>3713.68333333333</v>
      </c>
      <c r="CI157" s="15" t="n">
        <f aca="false">AC157*Parametri_v3!$C$32</f>
        <v>1270.86979166667</v>
      </c>
      <c r="CJ157" s="15" t="n">
        <f aca="false">CA157-AB157</f>
        <v>44705.2373165667</v>
      </c>
      <c r="CK157" s="15" t="n">
        <f aca="false">CB157-AC157-BH157</f>
        <v>14792.5</v>
      </c>
      <c r="CL157" s="15" t="n">
        <f aca="false">BF157*Ipotesi!$C$73+INDEX(Ipotesi!$C$72:$G$72,1,F157)/12*Ipotesi!E126*Parametri_v3!$C$58+Z157*(1-Parametri_v3!$C$16)</f>
        <v>9189.32846660952</v>
      </c>
      <c r="CM157" s="16" t="n">
        <f aca="false">IF(BF157=0,0,1-CL157/BF157)</f>
        <v>0.767746729052812</v>
      </c>
    </row>
    <row r="158" customFormat="false" ht="18" hidden="false" customHeight="true" outlineLevel="0" collapsed="false">
      <c r="A158" s="68" t="n">
        <f aca="false">3</f>
        <v>3</v>
      </c>
      <c r="B158" s="68" t="n">
        <f aca="false">34</f>
        <v>34</v>
      </c>
      <c r="C158" s="18" t="n">
        <f aca="false">EDATE(Parametri_v3!$C$5,34-1)</f>
        <v>47392</v>
      </c>
      <c r="D158" s="68" t="n">
        <f aca="false">YEAR(C158)</f>
        <v>2029</v>
      </c>
      <c r="E158" s="68" t="n">
        <f aca="false">MONTH(C158)</f>
        <v>10</v>
      </c>
      <c r="F158" s="68" t="n">
        <f aca="false">INT((34-1)/12)+1</f>
        <v>3</v>
      </c>
      <c r="G158" s="15" t="n">
        <f aca="false">Ipotesi!E7</f>
        <v>1.25</v>
      </c>
      <c r="H158" s="15" t="n">
        <f aca="false">Ipotesi!E9</f>
        <v>1</v>
      </c>
      <c r="I158" s="15" t="n">
        <f aca="false">Ipotesi!E10</f>
        <v>1</v>
      </c>
      <c r="J158" s="15" t="n">
        <f aca="false">Ipotesi!E11</f>
        <v>1</v>
      </c>
      <c r="K158" s="15" t="n">
        <f aca="false">Ipotesi!E12</f>
        <v>1</v>
      </c>
      <c r="L158" s="15" t="n">
        <f aca="false">Ipotesi!E13</f>
        <v>90</v>
      </c>
      <c r="M158" s="17" t="n">
        <f aca="false">INDEX(Ipotesi!$C$40:$G$40,1,F158)</f>
        <v>1</v>
      </c>
      <c r="N158" s="17" t="n">
        <f aca="false">INDEX(Ipotesi!$C$41:$G$41,1,F158)</f>
        <v>1</v>
      </c>
      <c r="O158" s="17" t="n">
        <f aca="false">INDEX(Ipotesi!$C$42:$G$42,1,F158)*Ipotesi!E125</f>
        <v>4.5</v>
      </c>
      <c r="P158" s="17" t="n">
        <f aca="false">INDEX(Ipotesi!$C$43:$G$43,1,F158)*I158</f>
        <v>5</v>
      </c>
      <c r="Q158" s="17" t="n">
        <f aca="false">INDEX(Ipotesi!$C$44:$G$44,1,F158)*I158</f>
        <v>4</v>
      </c>
      <c r="R158" s="17" t="n">
        <f aca="false">INDEX(Ipotesi!$C$45:$G$45,1,F158)*I158</f>
        <v>1</v>
      </c>
      <c r="S158" s="17" t="n">
        <f aca="false">INDEX(Ipotesi!$C$52:$G$52,1,F158)*Ipotesi!E125</f>
        <v>5</v>
      </c>
      <c r="T158" s="17" t="n">
        <f aca="false">INDEX(Ipotesi!$C$53:$G$53,1,F158)*I158</f>
        <v>1</v>
      </c>
      <c r="U158" s="17" t="n">
        <f aca="false">INDEX(Ipotesi!$C$54:$G$54,1,F158)*I158</f>
        <v>0.5</v>
      </c>
      <c r="V158" s="15" t="n">
        <f aca="false">M158*INDEX(Ipotesi!$C$58:$G$58,1,F158)*K158/12</f>
        <v>7083.33333333333</v>
      </c>
      <c r="W158" s="15" t="n">
        <f aca="false">N158*Ipotesi!$C$59*(1+Ipotesi!$C$66)^(F158-1)/12</f>
        <v>6188.58333333333</v>
      </c>
      <c r="X158" s="15" t="n">
        <f aca="false">O158*Ipotesi!$C$60*(1+Ipotesi!$C$66)^(F158-1)/12</f>
        <v>19891.875</v>
      </c>
      <c r="Y158" s="15" t="n">
        <f aca="false">P158*Ipotesi!$C$61*(1+Ipotesi!$C$66)^(F158-1)/12</f>
        <v>22102.0833333333</v>
      </c>
      <c r="Z158" s="15" t="n">
        <f aca="false">Q158*Ipotesi!$C$62*(1+Ipotesi!$C$66)^(F158-1)/12</f>
        <v>15913.5</v>
      </c>
      <c r="AA158" s="15" t="n">
        <f aca="false">R158*Ipotesi!$C$63*(1+Ipotesi!$C$66)^(F158-1)/12</f>
        <v>3094.29166666667</v>
      </c>
      <c r="AB158" s="15" t="n">
        <f aca="false">SUM(V158:AA158)</f>
        <v>74273.6666666667</v>
      </c>
      <c r="AC158" s="15" t="n">
        <f aca="false">(S158*Ipotesi!$C$64+T158*Ipotesi!$C$65+U158*Ipotesi!$C$63)*(1+Ipotesi!$C$66)^(F158-1)/12</f>
        <v>25417.3958333333</v>
      </c>
      <c r="AD158" s="15" t="n">
        <f aca="false">INDEX(Ipotesi!$C$48:$G$48,1,F158)*G158/12</f>
        <v>75</v>
      </c>
      <c r="AE158" s="15" t="n">
        <f aca="false">INDEX(Ipotesi!$C$50:$G$50,1,F158)*G158/12</f>
        <v>8.33333333333333</v>
      </c>
      <c r="AF158" s="15" t="n">
        <f aca="false">(S158*Parametri_v3!$C$7*Parametri_v3!$C$8+Parametri_v3!$C$10)/12</f>
        <v>64.1666666666667</v>
      </c>
      <c r="AG158" s="15" t="n">
        <f aca="false">AD158+AE158*(1+Parametri_v3!$C$9)</f>
        <v>87.5</v>
      </c>
      <c r="AH158" s="16" t="n">
        <f aca="false">IF(AG158=0,1,MIN(1,AF158/AG158))</f>
        <v>0.733333333333333</v>
      </c>
      <c r="AI158" s="15" t="n">
        <f aca="false">AD158*AH158</f>
        <v>55</v>
      </c>
      <c r="AJ158" s="15" t="n">
        <f aca="false">AE158*AH158</f>
        <v>6.11111111111111</v>
      </c>
      <c r="AK158" s="15" t="n">
        <f aca="false">AI158*INDEX(Ipotesi!$C$49:$G$49,1,F158)*H158</f>
        <v>46750</v>
      </c>
      <c r="AL158" s="15" t="n">
        <f aca="false">AJ158*INDEX(Ipotesi!$C$51:$G$51,1,F158)*H158</f>
        <v>13750</v>
      </c>
      <c r="AM158" s="15" t="n">
        <f aca="false">AK158+AL158</f>
        <v>60500</v>
      </c>
      <c r="AN158" s="15" t="n">
        <f aca="false">INDEX(Ipotesi!$C$30:$G$30,1,F158)*G158/12</f>
        <v>52.0833333333333</v>
      </c>
      <c r="AO158" s="15" t="n">
        <f aca="false">O158*Parametri_v3!$C$7*Parametri_v3!$C$11*(1-Parametri_v3!$C$14)/12</f>
        <v>46.2</v>
      </c>
      <c r="AP158" s="15" t="n">
        <f aca="false">MIN(AN158,AO158)</f>
        <v>46.2</v>
      </c>
      <c r="AQ158" s="15" t="n">
        <f aca="false">AP158*INDEX(Ipotesi!$C$31:$G$31,1,F158)*H158</f>
        <v>46200</v>
      </c>
      <c r="AR158" s="15" t="n">
        <f aca="false">INDEX(Ipotesi!$C$75:$G$75,1,F158)*J158/12</f>
        <v>20000</v>
      </c>
      <c r="AS158" s="15" t="n">
        <f aca="false">INDEX(Ipotesi!$C$81:$G$81,1,F158)*J158/12</f>
        <v>1250</v>
      </c>
      <c r="AT158" s="15" t="n">
        <f aca="false">AR158*Parametri_v3!$C$15+Z158*Parametri_v3!$C$16</f>
        <v>31139.45</v>
      </c>
      <c r="AU158" s="15" t="n">
        <f aca="false">Q158*Parametri_v3!$C$16*Parametri_v3!$C$17</f>
        <v>280</v>
      </c>
      <c r="AV158" s="17" t="n">
        <f aca="false">BD157</f>
        <v>89.8563257806549</v>
      </c>
      <c r="AW158" s="17" t="n">
        <f aca="false">AV158*(1-(1-INDEX(Ipotesi!$C$34:$G$34,1,F158))^(1/12))</f>
        <v>0.785489041792971</v>
      </c>
      <c r="AX158" s="15" t="n">
        <f aca="false">ROUND(INDEX(Ipotesi!$C$32:$G$32,1,F158)*Ipotesi!E8,0)</f>
        <v>182</v>
      </c>
      <c r="AY158" s="15" t="n">
        <f aca="false">MAX(0,(AX158-(AV158-AW158))/(13-E158))</f>
        <v>30.9763877537127</v>
      </c>
      <c r="AZ158" s="15" t="n">
        <f aca="false">MIN(P158*Parametri_v3!$C$22,Q158*(1-Parametri_v3!$C$16)*Parametri_v3!$C$23)</f>
        <v>180</v>
      </c>
      <c r="BA158" s="15" t="n">
        <f aca="false">IF(OR(INDEX(Ipotesi!$C$35:$G$35,1,F158)&lt;=0,34-Parametri_v3!$C$21&lt;1),0,INDEX($AT$125:$AT$184,MAX(1,34-Parametri_v3!$C$21))/(INDEX(Ipotesi!$C$35:$G$35,1,F158)*Ipotesi!E27))</f>
        <v>7.7848625</v>
      </c>
      <c r="BB158" s="15" t="n">
        <f aca="false">IF(34-Parametri_v3!$C$21&lt;1,0,INDEX($AU$125:$AU$184,MAX(1,34-Parametri_v3!$C$21)))*Parametri_v3!$C$18*Parametri_v3!$C$19*Parametri_v3!$C$20</f>
        <v>10.5</v>
      </c>
      <c r="BC158" s="17" t="n">
        <f aca="false">MAX(0,MIN(AY158,BA158,BB158,MAX(0,AZ158-(AV158-AW158))))</f>
        <v>7.7848625</v>
      </c>
      <c r="BD158" s="17" t="n">
        <f aca="false">AV158-AW158+BC158</f>
        <v>96.855699238862</v>
      </c>
      <c r="BE158" s="17" t="n">
        <f aca="false">(AV158+BD158)/2</f>
        <v>93.3560125097585</v>
      </c>
      <c r="BF158" s="15" t="n">
        <f aca="false">BE158*INDEX(Ipotesi!$C$33:$G$33,1,F158)*H158/12</f>
        <v>42788.172400306</v>
      </c>
      <c r="BG158" s="15" t="n">
        <f aca="false">BD158*INDEX(Ipotesi!$C$33:$G$33,1,F158)*H158</f>
        <v>532706.345813741</v>
      </c>
      <c r="BH158" s="15" t="n">
        <f aca="false">AM158*INDEX(Ipotesi!$C$37:$G$37,1,F158)</f>
        <v>6050</v>
      </c>
      <c r="BI158" s="15" t="n">
        <f aca="false">AQ158+BF158+BH158</f>
        <v>95038.172400306</v>
      </c>
      <c r="BJ158" s="15" t="n">
        <f aca="false">INDEX(Ipotesi!$C$68:$G$68,1,F158)*Ipotesi!$C$69/12</f>
        <v>2400</v>
      </c>
      <c r="BK158" s="15" t="n">
        <f aca="false">INDEX(Ipotesi!$C$68:$G$68,1,F158)*(1-Ipotesi!$C$69)/12</f>
        <v>3600</v>
      </c>
      <c r="BL158" s="15" t="n">
        <f aca="false">(AQ158+BF158)*Ipotesi!$C$67</f>
        <v>2669.64517200918</v>
      </c>
      <c r="BM158" s="15" t="n">
        <f aca="false">AM158*Ipotesi!$C$67</f>
        <v>1815</v>
      </c>
      <c r="BN158" s="15" t="n">
        <f aca="false">INDEX(Ipotesi!$C$72:$G$72,1,F158)/12*Ipotesi!E126+BF158*Ipotesi!$C$73</f>
        <v>4673.05379202448</v>
      </c>
      <c r="BO158" s="15" t="n">
        <f aca="false">INDEX(Ipotesi!$C$74:$G$74,1,F158)/12*Ipotesi!E126</f>
        <v>2916.66666666667</v>
      </c>
      <c r="BP158" s="15" t="n">
        <f aca="false">INDEX(Ipotesi!$C$76:$G$76,1,F158)/12</f>
        <v>1083.33333333333</v>
      </c>
      <c r="BQ158" s="15" t="n">
        <f aca="false">INDEX(Ipotesi!$C$77:$G$77,1,F158)/12*Ipotesi!E126</f>
        <v>2083.33333333333</v>
      </c>
      <c r="BR158" s="15" t="n">
        <f aca="false">INDEX(Ipotesi!$C$78:$G$78,1,F158)/12</f>
        <v>1666.66666666667</v>
      </c>
      <c r="BS158" s="15" t="n">
        <f aca="false">SUM(M158:R158)*(Ipotesi!$C$85+Ipotesi!$C$86)/12</f>
        <v>4812.5</v>
      </c>
      <c r="BT158" s="15" t="n">
        <f aca="false">BI158*Ipotesi!$C$87</f>
        <v>2851.14517200918</v>
      </c>
      <c r="BU158" s="15" t="n">
        <f aca="false">INDEX(Ipotesi!$C$55:$G$55,1,F158)*K158/12</f>
        <v>1500</v>
      </c>
      <c r="BV158" s="15" t="n">
        <f aca="false">INDEX(Ipotesi!$C$80:$G$80,1,F158)/12*Ipotesi!E126</f>
        <v>1250</v>
      </c>
      <c r="BW158" s="15" t="n">
        <f aca="false">INDEX(Ipotesi!$C$82:$G$82,1,F158)/12</f>
        <v>1000</v>
      </c>
      <c r="BX158" s="15" t="n">
        <f aca="false">INDEX(Ipotesi!$C$83:$G$83,1,F158)/12</f>
        <v>666.666666666667</v>
      </c>
      <c r="BY158" s="15" t="n">
        <f aca="false">SUM(S158:U158)*(Ipotesi!$C$85+Ipotesi!$C$86)/12</f>
        <v>1895.83333333333</v>
      </c>
      <c r="BZ158" s="15" t="n">
        <f aca="false">AM158*Ipotesi!$C$87</f>
        <v>1815</v>
      </c>
      <c r="CA158" s="15" t="n">
        <f aca="false">AB158+BJ158+BL158+BN158+BO158+AR158+BP158+BQ158+BR158+BS158+BT158</f>
        <v>119430.01080271</v>
      </c>
      <c r="CB158" s="15" t="n">
        <f aca="false">AC158+BK158+BM158+BH158+BU158+BV158+AS158+BW158+BX158+BY158+BZ158</f>
        <v>46259.8958333333</v>
      </c>
      <c r="CC158" s="15" t="n">
        <f aca="false">BI158-CA158</f>
        <v>-24391.8384024035</v>
      </c>
      <c r="CD158" s="15" t="n">
        <f aca="false">AM158-CB158</f>
        <v>14240.1041666667</v>
      </c>
      <c r="CE158" s="15" t="n">
        <f aca="false">INDEX(Ipotesi!$C$79:$G$79,1,F158)/12</f>
        <v>2500</v>
      </c>
      <c r="CF158" s="15" t="n">
        <f aca="false">INDEX(Ipotesi!$C$84:$G$84,1,F158)/12</f>
        <v>416.666666666667</v>
      </c>
      <c r="CG158" s="15" t="n">
        <f aca="false">Y158*MAX(0,Parametri_v3!$C$12-IF(P158=0,0,MIN(1,BE158/(P158*Parametri_v3!$C$22))))+W158*Parametri_v3!$C$13+X158*Parametri_v3!$C$14</f>
        <v>25048.0252636832</v>
      </c>
      <c r="CH158" s="15" t="n">
        <f aca="false">AB158*Parametri_v3!$C$32</f>
        <v>3713.68333333333</v>
      </c>
      <c r="CI158" s="15" t="n">
        <f aca="false">AC158*Parametri_v3!$C$32</f>
        <v>1270.86979166667</v>
      </c>
      <c r="CJ158" s="15" t="n">
        <f aca="false">CA158-AB158</f>
        <v>45156.3441360428</v>
      </c>
      <c r="CK158" s="15" t="n">
        <f aca="false">CB158-AC158-BH158</f>
        <v>14792.5</v>
      </c>
      <c r="CL158" s="15" t="n">
        <f aca="false">BF158*Ipotesi!$C$73+INDEX(Ipotesi!$C$72:$G$72,1,F158)/12*Ipotesi!E126*Parametri_v3!$C$58+Z158*(1-Parametri_v3!$C$16)</f>
        <v>9447.10379202448</v>
      </c>
      <c r="CM158" s="16" t="n">
        <f aca="false">IF(BF158=0,0,1-CL158/BF158)</f>
        <v>0.779212262126042</v>
      </c>
    </row>
    <row r="159" customFormat="false" ht="18" hidden="false" customHeight="true" outlineLevel="0" collapsed="false">
      <c r="A159" s="68" t="n">
        <f aca="false">3</f>
        <v>3</v>
      </c>
      <c r="B159" s="68" t="n">
        <f aca="false">35</f>
        <v>35</v>
      </c>
      <c r="C159" s="18" t="n">
        <f aca="false">EDATE(Parametri_v3!$C$5,35-1)</f>
        <v>47423</v>
      </c>
      <c r="D159" s="68" t="n">
        <f aca="false">YEAR(C159)</f>
        <v>2029</v>
      </c>
      <c r="E159" s="68" t="n">
        <f aca="false">MONTH(C159)</f>
        <v>11</v>
      </c>
      <c r="F159" s="68" t="n">
        <f aca="false">INT((35-1)/12)+1</f>
        <v>3</v>
      </c>
      <c r="G159" s="15" t="n">
        <f aca="false">Ipotesi!E7</f>
        <v>1.25</v>
      </c>
      <c r="H159" s="15" t="n">
        <f aca="false">Ipotesi!E9</f>
        <v>1</v>
      </c>
      <c r="I159" s="15" t="n">
        <f aca="false">Ipotesi!E10</f>
        <v>1</v>
      </c>
      <c r="J159" s="15" t="n">
        <f aca="false">Ipotesi!E11</f>
        <v>1</v>
      </c>
      <c r="K159" s="15" t="n">
        <f aca="false">Ipotesi!E12</f>
        <v>1</v>
      </c>
      <c r="L159" s="15" t="n">
        <f aca="false">Ipotesi!E13</f>
        <v>90</v>
      </c>
      <c r="M159" s="17" t="n">
        <f aca="false">INDEX(Ipotesi!$C$40:$G$40,1,F159)</f>
        <v>1</v>
      </c>
      <c r="N159" s="17" t="n">
        <f aca="false">INDEX(Ipotesi!$C$41:$G$41,1,F159)</f>
        <v>1</v>
      </c>
      <c r="O159" s="17" t="n">
        <f aca="false">INDEX(Ipotesi!$C$42:$G$42,1,F159)*Ipotesi!E125</f>
        <v>4.5</v>
      </c>
      <c r="P159" s="17" t="n">
        <f aca="false">INDEX(Ipotesi!$C$43:$G$43,1,F159)*I159</f>
        <v>5</v>
      </c>
      <c r="Q159" s="17" t="n">
        <f aca="false">INDEX(Ipotesi!$C$44:$G$44,1,F159)*I159</f>
        <v>4</v>
      </c>
      <c r="R159" s="17" t="n">
        <f aca="false">INDEX(Ipotesi!$C$45:$G$45,1,F159)*I159</f>
        <v>1</v>
      </c>
      <c r="S159" s="17" t="n">
        <f aca="false">INDEX(Ipotesi!$C$52:$G$52,1,F159)*Ipotesi!E125</f>
        <v>5</v>
      </c>
      <c r="T159" s="17" t="n">
        <f aca="false">INDEX(Ipotesi!$C$53:$G$53,1,F159)*I159</f>
        <v>1</v>
      </c>
      <c r="U159" s="17" t="n">
        <f aca="false">INDEX(Ipotesi!$C$54:$G$54,1,F159)*I159</f>
        <v>0.5</v>
      </c>
      <c r="V159" s="15" t="n">
        <f aca="false">M159*INDEX(Ipotesi!$C$58:$G$58,1,F159)*K159/12</f>
        <v>7083.33333333333</v>
      </c>
      <c r="W159" s="15" t="n">
        <f aca="false">N159*Ipotesi!$C$59*(1+Ipotesi!$C$66)^(F159-1)/12</f>
        <v>6188.58333333333</v>
      </c>
      <c r="X159" s="15" t="n">
        <f aca="false">O159*Ipotesi!$C$60*(1+Ipotesi!$C$66)^(F159-1)/12</f>
        <v>19891.875</v>
      </c>
      <c r="Y159" s="15" t="n">
        <f aca="false">P159*Ipotesi!$C$61*(1+Ipotesi!$C$66)^(F159-1)/12</f>
        <v>22102.0833333333</v>
      </c>
      <c r="Z159" s="15" t="n">
        <f aca="false">Q159*Ipotesi!$C$62*(1+Ipotesi!$C$66)^(F159-1)/12</f>
        <v>15913.5</v>
      </c>
      <c r="AA159" s="15" t="n">
        <f aca="false">R159*Ipotesi!$C$63*(1+Ipotesi!$C$66)^(F159-1)/12</f>
        <v>3094.29166666667</v>
      </c>
      <c r="AB159" s="15" t="n">
        <f aca="false">SUM(V159:AA159)</f>
        <v>74273.6666666667</v>
      </c>
      <c r="AC159" s="15" t="n">
        <f aca="false">(S159*Ipotesi!$C$64+T159*Ipotesi!$C$65+U159*Ipotesi!$C$63)*(1+Ipotesi!$C$66)^(F159-1)/12</f>
        <v>25417.3958333333</v>
      </c>
      <c r="AD159" s="15" t="n">
        <f aca="false">INDEX(Ipotesi!$C$48:$G$48,1,F159)*G159/12</f>
        <v>75</v>
      </c>
      <c r="AE159" s="15" t="n">
        <f aca="false">INDEX(Ipotesi!$C$50:$G$50,1,F159)*G159/12</f>
        <v>8.33333333333333</v>
      </c>
      <c r="AF159" s="15" t="n">
        <f aca="false">(S159*Parametri_v3!$C$7*Parametri_v3!$C$8+Parametri_v3!$C$10)/12</f>
        <v>64.1666666666667</v>
      </c>
      <c r="AG159" s="15" t="n">
        <f aca="false">AD159+AE159*(1+Parametri_v3!$C$9)</f>
        <v>87.5</v>
      </c>
      <c r="AH159" s="16" t="n">
        <f aca="false">IF(AG159=0,1,MIN(1,AF159/AG159))</f>
        <v>0.733333333333333</v>
      </c>
      <c r="AI159" s="15" t="n">
        <f aca="false">AD159*AH159</f>
        <v>55</v>
      </c>
      <c r="AJ159" s="15" t="n">
        <f aca="false">AE159*AH159</f>
        <v>6.11111111111111</v>
      </c>
      <c r="AK159" s="15" t="n">
        <f aca="false">AI159*INDEX(Ipotesi!$C$49:$G$49,1,F159)*H159</f>
        <v>46750</v>
      </c>
      <c r="AL159" s="15" t="n">
        <f aca="false">AJ159*INDEX(Ipotesi!$C$51:$G$51,1,F159)*H159</f>
        <v>13750</v>
      </c>
      <c r="AM159" s="15" t="n">
        <f aca="false">AK159+AL159</f>
        <v>60500</v>
      </c>
      <c r="AN159" s="15" t="n">
        <f aca="false">INDEX(Ipotesi!$C$30:$G$30,1,F159)*G159/12</f>
        <v>52.0833333333333</v>
      </c>
      <c r="AO159" s="15" t="n">
        <f aca="false">O159*Parametri_v3!$C$7*Parametri_v3!$C$11*(1-Parametri_v3!$C$14)/12</f>
        <v>46.2</v>
      </c>
      <c r="AP159" s="15" t="n">
        <f aca="false">MIN(AN159,AO159)</f>
        <v>46.2</v>
      </c>
      <c r="AQ159" s="15" t="n">
        <f aca="false">AP159*INDEX(Ipotesi!$C$31:$G$31,1,F159)*H159</f>
        <v>46200</v>
      </c>
      <c r="AR159" s="15" t="n">
        <f aca="false">INDEX(Ipotesi!$C$75:$G$75,1,F159)*J159/12</f>
        <v>20000</v>
      </c>
      <c r="AS159" s="15" t="n">
        <f aca="false">INDEX(Ipotesi!$C$81:$G$81,1,F159)*J159/12</f>
        <v>1250</v>
      </c>
      <c r="AT159" s="15" t="n">
        <f aca="false">AR159*Parametri_v3!$C$15+Z159*Parametri_v3!$C$16</f>
        <v>31139.45</v>
      </c>
      <c r="AU159" s="15" t="n">
        <f aca="false">Q159*Parametri_v3!$C$16*Parametri_v3!$C$17</f>
        <v>280</v>
      </c>
      <c r="AV159" s="17" t="n">
        <f aca="false">BD158</f>
        <v>96.855699238862</v>
      </c>
      <c r="AW159" s="17" t="n">
        <f aca="false">AV159*(1-(1-INDEX(Ipotesi!$C$34:$G$34,1,F159))^(1/12))</f>
        <v>0.846674841491247</v>
      </c>
      <c r="AX159" s="15" t="n">
        <f aca="false">ROUND(INDEX(Ipotesi!$C$32:$G$32,1,F159)*Ipotesi!E8,0)</f>
        <v>182</v>
      </c>
      <c r="AY159" s="15" t="n">
        <f aca="false">MAX(0,(AX159-(AV159-AW159))/(13-E159))</f>
        <v>42.9954878013146</v>
      </c>
      <c r="AZ159" s="15" t="n">
        <f aca="false">MIN(P159*Parametri_v3!$C$22,Q159*(1-Parametri_v3!$C$16)*Parametri_v3!$C$23)</f>
        <v>180</v>
      </c>
      <c r="BA159" s="15" t="n">
        <f aca="false">IF(OR(INDEX(Ipotesi!$C$35:$G$35,1,F159)&lt;=0,35-Parametri_v3!$C$21&lt;1),0,INDEX($AT$125:$AT$184,MAX(1,35-Parametri_v3!$C$21))/(INDEX(Ipotesi!$C$35:$G$35,1,F159)*Ipotesi!E27))</f>
        <v>7.7848625</v>
      </c>
      <c r="BB159" s="15" t="n">
        <f aca="false">IF(35-Parametri_v3!$C$21&lt;1,0,INDEX($AU$125:$AU$184,MAX(1,35-Parametri_v3!$C$21)))*Parametri_v3!$C$18*Parametri_v3!$C$19*Parametri_v3!$C$20</f>
        <v>10.5</v>
      </c>
      <c r="BC159" s="17" t="n">
        <f aca="false">MAX(0,MIN(AY159,BA159,BB159,MAX(0,AZ159-(AV159-AW159))))</f>
        <v>7.7848625</v>
      </c>
      <c r="BD159" s="17" t="n">
        <f aca="false">AV159-AW159+BC159</f>
        <v>103.793886897371</v>
      </c>
      <c r="BE159" s="17" t="n">
        <f aca="false">(AV159+BD159)/2</f>
        <v>100.324793068116</v>
      </c>
      <c r="BF159" s="15" t="n">
        <f aca="false">BE159*INDEX(Ipotesi!$C$33:$G$33,1,F159)*H159/12</f>
        <v>45982.1968228867</v>
      </c>
      <c r="BG159" s="15" t="n">
        <f aca="false">BD159*INDEX(Ipotesi!$C$33:$G$33,1,F159)*H159</f>
        <v>570866.377935539</v>
      </c>
      <c r="BH159" s="15" t="n">
        <f aca="false">AM159*INDEX(Ipotesi!$C$37:$G$37,1,F159)</f>
        <v>6050</v>
      </c>
      <c r="BI159" s="15" t="n">
        <f aca="false">AQ159+BF159+BH159</f>
        <v>98232.1968228867</v>
      </c>
      <c r="BJ159" s="15" t="n">
        <f aca="false">INDEX(Ipotesi!$C$68:$G$68,1,F159)*Ipotesi!$C$69/12</f>
        <v>2400</v>
      </c>
      <c r="BK159" s="15" t="n">
        <f aca="false">INDEX(Ipotesi!$C$68:$G$68,1,F159)*(1-Ipotesi!$C$69)/12</f>
        <v>3600</v>
      </c>
      <c r="BL159" s="15" t="n">
        <f aca="false">(AQ159+BF159)*Ipotesi!$C$67</f>
        <v>2765.4659046866</v>
      </c>
      <c r="BM159" s="15" t="n">
        <f aca="false">AM159*Ipotesi!$C$67</f>
        <v>1815</v>
      </c>
      <c r="BN159" s="15" t="n">
        <f aca="false">INDEX(Ipotesi!$C$72:$G$72,1,F159)/12*Ipotesi!E126+BF159*Ipotesi!$C$73</f>
        <v>4928.57574583093</v>
      </c>
      <c r="BO159" s="15" t="n">
        <f aca="false">INDEX(Ipotesi!$C$74:$G$74,1,F159)/12*Ipotesi!E126</f>
        <v>2916.66666666667</v>
      </c>
      <c r="BP159" s="15" t="n">
        <f aca="false">INDEX(Ipotesi!$C$76:$G$76,1,F159)/12</f>
        <v>1083.33333333333</v>
      </c>
      <c r="BQ159" s="15" t="n">
        <f aca="false">INDEX(Ipotesi!$C$77:$G$77,1,F159)/12*Ipotesi!E126</f>
        <v>2083.33333333333</v>
      </c>
      <c r="BR159" s="15" t="n">
        <f aca="false">INDEX(Ipotesi!$C$78:$G$78,1,F159)/12</f>
        <v>1666.66666666667</v>
      </c>
      <c r="BS159" s="15" t="n">
        <f aca="false">SUM(M159:R159)*(Ipotesi!$C$85+Ipotesi!$C$86)/12</f>
        <v>4812.5</v>
      </c>
      <c r="BT159" s="15" t="n">
        <f aca="false">BI159*Ipotesi!$C$87</f>
        <v>2946.9659046866</v>
      </c>
      <c r="BU159" s="15" t="n">
        <f aca="false">INDEX(Ipotesi!$C$55:$G$55,1,F159)*K159/12</f>
        <v>1500</v>
      </c>
      <c r="BV159" s="15" t="n">
        <f aca="false">INDEX(Ipotesi!$C$80:$G$80,1,F159)/12*Ipotesi!E126</f>
        <v>1250</v>
      </c>
      <c r="BW159" s="15" t="n">
        <f aca="false">INDEX(Ipotesi!$C$82:$G$82,1,F159)/12</f>
        <v>1000</v>
      </c>
      <c r="BX159" s="15" t="n">
        <f aca="false">INDEX(Ipotesi!$C$83:$G$83,1,F159)/12</f>
        <v>666.666666666667</v>
      </c>
      <c r="BY159" s="15" t="n">
        <f aca="false">SUM(S159:U159)*(Ipotesi!$C$85+Ipotesi!$C$86)/12</f>
        <v>1895.83333333333</v>
      </c>
      <c r="BZ159" s="15" t="n">
        <f aca="false">AM159*Ipotesi!$C$87</f>
        <v>1815</v>
      </c>
      <c r="CA159" s="15" t="n">
        <f aca="false">AB159+BJ159+BL159+BN159+BO159+AR159+BP159+BQ159+BR159+BS159+BT159</f>
        <v>119877.174221871</v>
      </c>
      <c r="CB159" s="15" t="n">
        <f aca="false">AC159+BK159+BM159+BH159+BU159+BV159+AS159+BW159+BX159+BY159+BZ159</f>
        <v>46259.8958333333</v>
      </c>
      <c r="CC159" s="15" t="n">
        <f aca="false">BI159-CA159</f>
        <v>-21644.9773989842</v>
      </c>
      <c r="CD159" s="15" t="n">
        <f aca="false">AM159-CB159</f>
        <v>14240.1041666667</v>
      </c>
      <c r="CE159" s="15" t="n">
        <f aca="false">INDEX(Ipotesi!$C$79:$G$79,1,F159)/12</f>
        <v>2500</v>
      </c>
      <c r="CF159" s="15" t="n">
        <f aca="false">INDEX(Ipotesi!$C$84:$G$84,1,F159)/12</f>
        <v>416.666666666667</v>
      </c>
      <c r="CG159" s="15" t="n">
        <f aca="false">Y159*MAX(0,Parametri_v3!$C$12-IF(P159=0,0,MIN(1,BE159/(P159*Parametri_v3!$C$22))))+W159*Parametri_v3!$C$13+X159*Parametri_v3!$C$14</f>
        <v>24739.9761264181</v>
      </c>
      <c r="CH159" s="15" t="n">
        <f aca="false">AB159*Parametri_v3!$C$32</f>
        <v>3713.68333333333</v>
      </c>
      <c r="CI159" s="15" t="n">
        <f aca="false">AC159*Parametri_v3!$C$32</f>
        <v>1270.86979166667</v>
      </c>
      <c r="CJ159" s="15" t="n">
        <f aca="false">CA159-AB159</f>
        <v>45603.5075552041</v>
      </c>
      <c r="CK159" s="15" t="n">
        <f aca="false">CB159-AC159-BH159</f>
        <v>14792.5</v>
      </c>
      <c r="CL159" s="15" t="n">
        <f aca="false">BF159*Ipotesi!$C$73+INDEX(Ipotesi!$C$72:$G$72,1,F159)/12*Ipotesi!E126*Parametri_v3!$C$58+Z159*(1-Parametri_v3!$C$16)</f>
        <v>9702.62574583093</v>
      </c>
      <c r="CM159" s="16" t="n">
        <f aca="false">IF(BF159=0,0,1-CL159/BF159)</f>
        <v>0.788991687735074</v>
      </c>
    </row>
    <row r="160" customFormat="false" ht="18" hidden="false" customHeight="true" outlineLevel="0" collapsed="false">
      <c r="A160" s="68" t="n">
        <f aca="false">3</f>
        <v>3</v>
      </c>
      <c r="B160" s="68" t="n">
        <f aca="false">36</f>
        <v>36</v>
      </c>
      <c r="C160" s="18" t="n">
        <f aca="false">EDATE(Parametri_v3!$C$5,36-1)</f>
        <v>47453</v>
      </c>
      <c r="D160" s="68" t="n">
        <f aca="false">YEAR(C160)</f>
        <v>2029</v>
      </c>
      <c r="E160" s="68" t="n">
        <f aca="false">MONTH(C160)</f>
        <v>12</v>
      </c>
      <c r="F160" s="68" t="n">
        <f aca="false">INT((36-1)/12)+1</f>
        <v>3</v>
      </c>
      <c r="G160" s="15" t="n">
        <f aca="false">Ipotesi!E7</f>
        <v>1.25</v>
      </c>
      <c r="H160" s="15" t="n">
        <f aca="false">Ipotesi!E9</f>
        <v>1</v>
      </c>
      <c r="I160" s="15" t="n">
        <f aca="false">Ipotesi!E10</f>
        <v>1</v>
      </c>
      <c r="J160" s="15" t="n">
        <f aca="false">Ipotesi!E11</f>
        <v>1</v>
      </c>
      <c r="K160" s="15" t="n">
        <f aca="false">Ipotesi!E12</f>
        <v>1</v>
      </c>
      <c r="L160" s="15" t="n">
        <f aca="false">Ipotesi!E13</f>
        <v>90</v>
      </c>
      <c r="M160" s="17" t="n">
        <f aca="false">INDEX(Ipotesi!$C$40:$G$40,1,F160)</f>
        <v>1</v>
      </c>
      <c r="N160" s="17" t="n">
        <f aca="false">INDEX(Ipotesi!$C$41:$G$41,1,F160)</f>
        <v>1</v>
      </c>
      <c r="O160" s="17" t="n">
        <f aca="false">INDEX(Ipotesi!$C$42:$G$42,1,F160)*Ipotesi!E125</f>
        <v>4.5</v>
      </c>
      <c r="P160" s="17" t="n">
        <f aca="false">INDEX(Ipotesi!$C$43:$G$43,1,F160)*I160</f>
        <v>5</v>
      </c>
      <c r="Q160" s="17" t="n">
        <f aca="false">INDEX(Ipotesi!$C$44:$G$44,1,F160)*I160</f>
        <v>4</v>
      </c>
      <c r="R160" s="17" t="n">
        <f aca="false">INDEX(Ipotesi!$C$45:$G$45,1,F160)*I160</f>
        <v>1</v>
      </c>
      <c r="S160" s="17" t="n">
        <f aca="false">INDEX(Ipotesi!$C$52:$G$52,1,F160)*Ipotesi!E125</f>
        <v>5</v>
      </c>
      <c r="T160" s="17" t="n">
        <f aca="false">INDEX(Ipotesi!$C$53:$G$53,1,F160)*I160</f>
        <v>1</v>
      </c>
      <c r="U160" s="17" t="n">
        <f aca="false">INDEX(Ipotesi!$C$54:$G$54,1,F160)*I160</f>
        <v>0.5</v>
      </c>
      <c r="V160" s="15" t="n">
        <f aca="false">M160*INDEX(Ipotesi!$C$58:$G$58,1,F160)*K160/12</f>
        <v>7083.33333333333</v>
      </c>
      <c r="W160" s="15" t="n">
        <f aca="false">N160*Ipotesi!$C$59*(1+Ipotesi!$C$66)^(F160-1)/12</f>
        <v>6188.58333333333</v>
      </c>
      <c r="X160" s="15" t="n">
        <f aca="false">O160*Ipotesi!$C$60*(1+Ipotesi!$C$66)^(F160-1)/12</f>
        <v>19891.875</v>
      </c>
      <c r="Y160" s="15" t="n">
        <f aca="false">P160*Ipotesi!$C$61*(1+Ipotesi!$C$66)^(F160-1)/12</f>
        <v>22102.0833333333</v>
      </c>
      <c r="Z160" s="15" t="n">
        <f aca="false">Q160*Ipotesi!$C$62*(1+Ipotesi!$C$66)^(F160-1)/12</f>
        <v>15913.5</v>
      </c>
      <c r="AA160" s="15" t="n">
        <f aca="false">R160*Ipotesi!$C$63*(1+Ipotesi!$C$66)^(F160-1)/12</f>
        <v>3094.29166666667</v>
      </c>
      <c r="AB160" s="15" t="n">
        <f aca="false">SUM(V160:AA160)</f>
        <v>74273.6666666667</v>
      </c>
      <c r="AC160" s="15" t="n">
        <f aca="false">(S160*Ipotesi!$C$64+T160*Ipotesi!$C$65+U160*Ipotesi!$C$63)*(1+Ipotesi!$C$66)^(F160-1)/12</f>
        <v>25417.3958333333</v>
      </c>
      <c r="AD160" s="15" t="n">
        <f aca="false">INDEX(Ipotesi!$C$48:$G$48,1,F160)*G160/12</f>
        <v>75</v>
      </c>
      <c r="AE160" s="15" t="n">
        <f aca="false">INDEX(Ipotesi!$C$50:$G$50,1,F160)*G160/12</f>
        <v>8.33333333333333</v>
      </c>
      <c r="AF160" s="15" t="n">
        <f aca="false">(S160*Parametri_v3!$C$7*Parametri_v3!$C$8+Parametri_v3!$C$10)/12</f>
        <v>64.1666666666667</v>
      </c>
      <c r="AG160" s="15" t="n">
        <f aca="false">AD160+AE160*(1+Parametri_v3!$C$9)</f>
        <v>87.5</v>
      </c>
      <c r="AH160" s="16" t="n">
        <f aca="false">IF(AG160=0,1,MIN(1,AF160/AG160))</f>
        <v>0.733333333333333</v>
      </c>
      <c r="AI160" s="15" t="n">
        <f aca="false">AD160*AH160</f>
        <v>55</v>
      </c>
      <c r="AJ160" s="15" t="n">
        <f aca="false">AE160*AH160</f>
        <v>6.11111111111111</v>
      </c>
      <c r="AK160" s="15" t="n">
        <f aca="false">AI160*INDEX(Ipotesi!$C$49:$G$49,1,F160)*H160</f>
        <v>46750</v>
      </c>
      <c r="AL160" s="15" t="n">
        <f aca="false">AJ160*INDEX(Ipotesi!$C$51:$G$51,1,F160)*H160</f>
        <v>13750</v>
      </c>
      <c r="AM160" s="15" t="n">
        <f aca="false">AK160+AL160</f>
        <v>60500</v>
      </c>
      <c r="AN160" s="15" t="n">
        <f aca="false">INDEX(Ipotesi!$C$30:$G$30,1,F160)*G160/12</f>
        <v>52.0833333333333</v>
      </c>
      <c r="AO160" s="15" t="n">
        <f aca="false">O160*Parametri_v3!$C$7*Parametri_v3!$C$11*(1-Parametri_v3!$C$14)/12</f>
        <v>46.2</v>
      </c>
      <c r="AP160" s="15" t="n">
        <f aca="false">MIN(AN160,AO160)</f>
        <v>46.2</v>
      </c>
      <c r="AQ160" s="15" t="n">
        <f aca="false">AP160*INDEX(Ipotesi!$C$31:$G$31,1,F160)*H160</f>
        <v>46200</v>
      </c>
      <c r="AR160" s="15" t="n">
        <f aca="false">INDEX(Ipotesi!$C$75:$G$75,1,F160)*J160/12</f>
        <v>20000</v>
      </c>
      <c r="AS160" s="15" t="n">
        <f aca="false">INDEX(Ipotesi!$C$81:$G$81,1,F160)*J160/12</f>
        <v>1250</v>
      </c>
      <c r="AT160" s="15" t="n">
        <f aca="false">AR160*Parametri_v3!$C$15+Z160*Parametri_v3!$C$16</f>
        <v>31139.45</v>
      </c>
      <c r="AU160" s="15" t="n">
        <f aca="false">Q160*Parametri_v3!$C$16*Parametri_v3!$C$17</f>
        <v>280</v>
      </c>
      <c r="AV160" s="17" t="n">
        <f aca="false">BD159</f>
        <v>103.793886897371</v>
      </c>
      <c r="AW160" s="17" t="n">
        <f aca="false">AV160*(1-(1-INDEX(Ipotesi!$C$34:$G$34,1,F160))^(1/12))</f>
        <v>0.907325778732608</v>
      </c>
      <c r="AX160" s="15" t="n">
        <f aca="false">ROUND(INDEX(Ipotesi!$C$32:$G$32,1,F160)*Ipotesi!E8,0)</f>
        <v>182</v>
      </c>
      <c r="AY160" s="15" t="n">
        <f aca="false">MAX(0,(AX160-(AV160-AW160))/(13-E160))</f>
        <v>79.1134388813619</v>
      </c>
      <c r="AZ160" s="15" t="n">
        <f aca="false">MIN(P160*Parametri_v3!$C$22,Q160*(1-Parametri_v3!$C$16)*Parametri_v3!$C$23)</f>
        <v>180</v>
      </c>
      <c r="BA160" s="15" t="n">
        <f aca="false">IF(OR(INDEX(Ipotesi!$C$35:$G$35,1,F160)&lt;=0,36-Parametri_v3!$C$21&lt;1),0,INDEX($AT$125:$AT$184,MAX(1,36-Parametri_v3!$C$21))/(INDEX(Ipotesi!$C$35:$G$35,1,F160)*Ipotesi!E27))</f>
        <v>7.7848625</v>
      </c>
      <c r="BB160" s="15" t="n">
        <f aca="false">IF(36-Parametri_v3!$C$21&lt;1,0,INDEX($AU$125:$AU$184,MAX(1,36-Parametri_v3!$C$21)))*Parametri_v3!$C$18*Parametri_v3!$C$19*Parametri_v3!$C$20</f>
        <v>10.5</v>
      </c>
      <c r="BC160" s="17" t="n">
        <f aca="false">MAX(0,MIN(AY160,BA160,BB160,MAX(0,AZ160-(AV160-AW160))))</f>
        <v>7.7848625</v>
      </c>
      <c r="BD160" s="17" t="n">
        <f aca="false">AV160-AW160+BC160</f>
        <v>110.671423618638</v>
      </c>
      <c r="BE160" s="17" t="n">
        <f aca="false">(AV160+BD160)/2</f>
        <v>107.232655258004</v>
      </c>
      <c r="BF160" s="15" t="n">
        <f aca="false">BE160*INDEX(Ipotesi!$C$33:$G$33,1,F160)*H160/12</f>
        <v>49148.3003265854</v>
      </c>
      <c r="BG160" s="15" t="n">
        <f aca="false">BD160*INDEX(Ipotesi!$C$33:$G$33,1,F160)*H160</f>
        <v>608692.82990251</v>
      </c>
      <c r="BH160" s="15" t="n">
        <f aca="false">AM160*INDEX(Ipotesi!$C$37:$G$37,1,F160)</f>
        <v>6050</v>
      </c>
      <c r="BI160" s="15" t="n">
        <f aca="false">AQ160+BF160+BH160</f>
        <v>101398.300326585</v>
      </c>
      <c r="BJ160" s="15" t="n">
        <f aca="false">INDEX(Ipotesi!$C$68:$G$68,1,F160)*Ipotesi!$C$69/12</f>
        <v>2400</v>
      </c>
      <c r="BK160" s="15" t="n">
        <f aca="false">INDEX(Ipotesi!$C$68:$G$68,1,F160)*(1-Ipotesi!$C$69)/12</f>
        <v>3600</v>
      </c>
      <c r="BL160" s="15" t="n">
        <f aca="false">(AQ160+BF160)*Ipotesi!$C$67</f>
        <v>2860.44900979756</v>
      </c>
      <c r="BM160" s="15" t="n">
        <f aca="false">AM160*Ipotesi!$C$67</f>
        <v>1815</v>
      </c>
      <c r="BN160" s="15" t="n">
        <f aca="false">INDEX(Ipotesi!$C$72:$G$72,1,F160)/12*Ipotesi!E126+BF160*Ipotesi!$C$73</f>
        <v>5181.86402612683</v>
      </c>
      <c r="BO160" s="15" t="n">
        <f aca="false">INDEX(Ipotesi!$C$74:$G$74,1,F160)/12*Ipotesi!E126</f>
        <v>2916.66666666667</v>
      </c>
      <c r="BP160" s="15" t="n">
        <f aca="false">INDEX(Ipotesi!$C$76:$G$76,1,F160)/12</f>
        <v>1083.33333333333</v>
      </c>
      <c r="BQ160" s="15" t="n">
        <f aca="false">INDEX(Ipotesi!$C$77:$G$77,1,F160)/12*Ipotesi!E126</f>
        <v>2083.33333333333</v>
      </c>
      <c r="BR160" s="15" t="n">
        <f aca="false">INDEX(Ipotesi!$C$78:$G$78,1,F160)/12</f>
        <v>1666.66666666667</v>
      </c>
      <c r="BS160" s="15" t="n">
        <f aca="false">SUM(M160:R160)*(Ipotesi!$C$85+Ipotesi!$C$86)/12</f>
        <v>4812.5</v>
      </c>
      <c r="BT160" s="15" t="n">
        <f aca="false">BI160*Ipotesi!$C$87</f>
        <v>3041.94900979756</v>
      </c>
      <c r="BU160" s="15" t="n">
        <f aca="false">INDEX(Ipotesi!$C$55:$G$55,1,F160)*K160/12</f>
        <v>1500</v>
      </c>
      <c r="BV160" s="15" t="n">
        <f aca="false">INDEX(Ipotesi!$C$80:$G$80,1,F160)/12*Ipotesi!E126</f>
        <v>1250</v>
      </c>
      <c r="BW160" s="15" t="n">
        <f aca="false">INDEX(Ipotesi!$C$82:$G$82,1,F160)/12</f>
        <v>1000</v>
      </c>
      <c r="BX160" s="15" t="n">
        <f aca="false">INDEX(Ipotesi!$C$83:$G$83,1,F160)/12</f>
        <v>666.666666666667</v>
      </c>
      <c r="BY160" s="15" t="n">
        <f aca="false">SUM(S160:U160)*(Ipotesi!$C$85+Ipotesi!$C$86)/12</f>
        <v>1895.83333333333</v>
      </c>
      <c r="BZ160" s="15" t="n">
        <f aca="false">AM160*Ipotesi!$C$87</f>
        <v>1815</v>
      </c>
      <c r="CA160" s="15" t="n">
        <f aca="false">AB160+BJ160+BL160+BN160+BO160+AR160+BP160+BQ160+BR160+BS160+BT160</f>
        <v>120320.428712389</v>
      </c>
      <c r="CB160" s="15" t="n">
        <f aca="false">AC160+BK160+BM160+BH160+BU160+BV160+AS160+BW160+BX160+BY160+BZ160</f>
        <v>46259.8958333333</v>
      </c>
      <c r="CC160" s="15" t="n">
        <f aca="false">BI160-CA160</f>
        <v>-18922.1283858033</v>
      </c>
      <c r="CD160" s="15" t="n">
        <f aca="false">AM160-CB160</f>
        <v>14240.1041666667</v>
      </c>
      <c r="CE160" s="15" t="n">
        <f aca="false">INDEX(Ipotesi!$C$79:$G$79,1,F160)/12</f>
        <v>2500</v>
      </c>
      <c r="CF160" s="15" t="n">
        <f aca="false">INDEX(Ipotesi!$C$84:$G$84,1,F160)/12</f>
        <v>416.666666666667</v>
      </c>
      <c r="CG160" s="15" t="n">
        <f aca="false">Y160*MAX(0,Parametri_v3!$C$12-IF(P160=0,0,MIN(1,BE160/(P160*Parametri_v3!$C$22))))+W160*Parametri_v3!$C$13+X160*Parametri_v3!$C$14</f>
        <v>24434.619834866</v>
      </c>
      <c r="CH160" s="15" t="n">
        <f aca="false">AB160*Parametri_v3!$C$32</f>
        <v>3713.68333333333</v>
      </c>
      <c r="CI160" s="15" t="n">
        <f aca="false">AC160*Parametri_v3!$C$32</f>
        <v>1270.86979166667</v>
      </c>
      <c r="CJ160" s="15" t="n">
        <f aca="false">CA160-AB160</f>
        <v>46046.762045722</v>
      </c>
      <c r="CK160" s="15" t="n">
        <f aca="false">CB160-AC160-BH160</f>
        <v>14792.5</v>
      </c>
      <c r="CL160" s="15" t="n">
        <f aca="false">BF160*Ipotesi!$C$73+INDEX(Ipotesi!$C$72:$G$72,1,F160)/12*Ipotesi!E126*Parametri_v3!$C$58+Z160*(1-Parametri_v3!$C$16)</f>
        <v>9955.91402612683</v>
      </c>
      <c r="CM160" s="16" t="n">
        <f aca="false">IF(BF160=0,0,1-CL160/BF160)</f>
        <v>0.797431163235131</v>
      </c>
    </row>
    <row r="161" customFormat="false" ht="18" hidden="false" customHeight="true" outlineLevel="0" collapsed="false">
      <c r="A161" s="68" t="n">
        <f aca="false">3</f>
        <v>3</v>
      </c>
      <c r="B161" s="68" t="n">
        <f aca="false">37</f>
        <v>37</v>
      </c>
      <c r="C161" s="18" t="n">
        <f aca="false">EDATE(Parametri_v3!$C$5,37-1)</f>
        <v>47484</v>
      </c>
      <c r="D161" s="68" t="n">
        <f aca="false">YEAR(C161)</f>
        <v>2030</v>
      </c>
      <c r="E161" s="68" t="n">
        <f aca="false">MONTH(C161)</f>
        <v>1</v>
      </c>
      <c r="F161" s="68" t="n">
        <f aca="false">INT((37-1)/12)+1</f>
        <v>4</v>
      </c>
      <c r="G161" s="15" t="n">
        <f aca="false">Ipotesi!E7</f>
        <v>1.25</v>
      </c>
      <c r="H161" s="15" t="n">
        <f aca="false">Ipotesi!E9</f>
        <v>1</v>
      </c>
      <c r="I161" s="15" t="n">
        <f aca="false">Ipotesi!E10</f>
        <v>1</v>
      </c>
      <c r="J161" s="15" t="n">
        <f aca="false">Ipotesi!E11</f>
        <v>1</v>
      </c>
      <c r="K161" s="15" t="n">
        <f aca="false">Ipotesi!E12</f>
        <v>1</v>
      </c>
      <c r="L161" s="15" t="n">
        <f aca="false">Ipotesi!E13</f>
        <v>90</v>
      </c>
      <c r="M161" s="17" t="n">
        <f aca="false">INDEX(Ipotesi!$C$40:$G$40,1,F161)</f>
        <v>1</v>
      </c>
      <c r="N161" s="17" t="n">
        <f aca="false">INDEX(Ipotesi!$C$41:$G$41,1,F161)</f>
        <v>1</v>
      </c>
      <c r="O161" s="17" t="n">
        <f aca="false">INDEX(Ipotesi!$C$42:$G$42,1,F161)*Ipotesi!E125</f>
        <v>6.5</v>
      </c>
      <c r="P161" s="17" t="n">
        <f aca="false">INDEX(Ipotesi!$C$43:$G$43,1,F161)*I161</f>
        <v>6</v>
      </c>
      <c r="Q161" s="17" t="n">
        <f aca="false">INDEX(Ipotesi!$C$44:$G$44,1,F161)*I161</f>
        <v>5</v>
      </c>
      <c r="R161" s="17" t="n">
        <f aca="false">INDEX(Ipotesi!$C$45:$G$45,1,F161)*I161</f>
        <v>1.5</v>
      </c>
      <c r="S161" s="17" t="n">
        <f aca="false">INDEX(Ipotesi!$C$52:$G$52,1,F161)*Ipotesi!E125</f>
        <v>7</v>
      </c>
      <c r="T161" s="17" t="n">
        <f aca="false">INDEX(Ipotesi!$C$53:$G$53,1,F161)*I161</f>
        <v>1</v>
      </c>
      <c r="U161" s="17" t="n">
        <f aca="false">INDEX(Ipotesi!$C$54:$G$54,1,F161)*I161</f>
        <v>0.5</v>
      </c>
      <c r="V161" s="15" t="n">
        <f aca="false">M161*INDEX(Ipotesi!$C$58:$G$58,1,F161)*K161/12</f>
        <v>7916.66666666667</v>
      </c>
      <c r="W161" s="15" t="n">
        <f aca="false">N161*Ipotesi!$C$59*(1+Ipotesi!$C$66)^(F161-1)/12</f>
        <v>6374.24083333333</v>
      </c>
      <c r="X161" s="15" t="n">
        <f aca="false">O161*Ipotesi!$C$60*(1+Ipotesi!$C$66)^(F161-1)/12</f>
        <v>29594.6895833333</v>
      </c>
      <c r="Y161" s="15" t="n">
        <f aca="false">P161*Ipotesi!$C$61*(1+Ipotesi!$C$66)^(F161-1)/12</f>
        <v>27318.175</v>
      </c>
      <c r="Z161" s="15" t="n">
        <f aca="false">Q161*Ipotesi!$C$62*(1+Ipotesi!$C$66)^(F161-1)/12</f>
        <v>20488.63125</v>
      </c>
      <c r="AA161" s="15" t="n">
        <f aca="false">R161*Ipotesi!$C$63*(1+Ipotesi!$C$66)^(F161-1)/12</f>
        <v>4780.680625</v>
      </c>
      <c r="AB161" s="15" t="n">
        <f aca="false">SUM(V161:AA161)</f>
        <v>96473.0839583333</v>
      </c>
      <c r="AC161" s="15" t="n">
        <f aca="false">(S161*Ipotesi!$C$64+T161*Ipotesi!$C$65+U161*Ipotesi!$C$63)*(1+Ipotesi!$C$66)^(F161-1)/12</f>
        <v>33829.0067083333</v>
      </c>
      <c r="AD161" s="15" t="n">
        <f aca="false">INDEX(Ipotesi!$C$48:$G$48,1,F161)*G161/12</f>
        <v>98.9583333333333</v>
      </c>
      <c r="AE161" s="15" t="n">
        <f aca="false">INDEX(Ipotesi!$C$50:$G$50,1,F161)*G161/12</f>
        <v>10.4166666666667</v>
      </c>
      <c r="AF161" s="15" t="n">
        <f aca="false">(S161*Parametri_v3!$C$7*Parametri_v3!$C$8+Parametri_v3!$C$10)/12</f>
        <v>89.8333333333333</v>
      </c>
      <c r="AG161" s="15" t="n">
        <f aca="false">AD161+AE161*(1+Parametri_v3!$C$9)</f>
        <v>114.583333333333</v>
      </c>
      <c r="AH161" s="16" t="n">
        <f aca="false">IF(AG161=0,1,MIN(1,AF161/AG161))</f>
        <v>0.784</v>
      </c>
      <c r="AI161" s="15" t="n">
        <f aca="false">AD161*AH161</f>
        <v>77.5833333333333</v>
      </c>
      <c r="AJ161" s="15" t="n">
        <f aca="false">AE161*AH161</f>
        <v>8.16666666666667</v>
      </c>
      <c r="AK161" s="15" t="n">
        <f aca="false">AI161*INDEX(Ipotesi!$C$49:$G$49,1,F161)*H161</f>
        <v>69825</v>
      </c>
      <c r="AL161" s="15" t="n">
        <f aca="false">AJ161*INDEX(Ipotesi!$C$51:$G$51,1,F161)*H161</f>
        <v>20416.6666666667</v>
      </c>
      <c r="AM161" s="15" t="n">
        <f aca="false">AK161+AL161</f>
        <v>90241.6666666667</v>
      </c>
      <c r="AN161" s="15" t="n">
        <f aca="false">INDEX(Ipotesi!$C$30:$G$30,1,F161)*G161/12</f>
        <v>77.0833333333333</v>
      </c>
      <c r="AO161" s="15" t="n">
        <f aca="false">O161*Parametri_v3!$C$7*Parametri_v3!$C$11*(1-Parametri_v3!$C$14)/12</f>
        <v>66.7333333333333</v>
      </c>
      <c r="AP161" s="15" t="n">
        <f aca="false">MIN(AN161,AO161)</f>
        <v>66.7333333333333</v>
      </c>
      <c r="AQ161" s="15" t="n">
        <f aca="false">AP161*INDEX(Ipotesi!$C$31:$G$31,1,F161)*H161</f>
        <v>70070</v>
      </c>
      <c r="AR161" s="15" t="n">
        <f aca="false">INDEX(Ipotesi!$C$75:$G$75,1,F161)*J161/12</f>
        <v>27916.6666666667</v>
      </c>
      <c r="AS161" s="15" t="n">
        <f aca="false">INDEX(Ipotesi!$C$81:$G$81,1,F161)*J161/12</f>
        <v>1666.66666666667</v>
      </c>
      <c r="AT161" s="15" t="n">
        <f aca="false">AR161*Parametri_v3!$C$15+Z161*Parametri_v3!$C$16</f>
        <v>42258.7085416667</v>
      </c>
      <c r="AU161" s="15" t="n">
        <f aca="false">Q161*Parametri_v3!$C$16*Parametri_v3!$C$17</f>
        <v>350</v>
      </c>
      <c r="AV161" s="17" t="n">
        <f aca="false">BD160</f>
        <v>110.671423618638</v>
      </c>
      <c r="AW161" s="17" t="n">
        <f aca="false">AV161*(1-(1-INDEX(Ipotesi!$C$34:$G$34,1,F161))^(1/12))</f>
        <v>0.967446529076568</v>
      </c>
      <c r="AX161" s="15" t="n">
        <f aca="false">ROUND(INDEX(Ipotesi!$C$32:$G$32,1,F161)*Ipotesi!E8,0)</f>
        <v>434</v>
      </c>
      <c r="AY161" s="15" t="n">
        <f aca="false">MAX(0,(AX161-(AV161-AW161))/(13-E161))</f>
        <v>27.0246685758699</v>
      </c>
      <c r="AZ161" s="15" t="n">
        <f aca="false">MIN(P161*Parametri_v3!$C$22,Q161*(1-Parametri_v3!$C$16)*Parametri_v3!$C$23)</f>
        <v>225</v>
      </c>
      <c r="BA161" s="15" t="n">
        <f aca="false">IF(OR(INDEX(Ipotesi!$C$35:$G$35,1,F161)&lt;=0,37-Parametri_v3!$C$21&lt;1),0,INDEX($AT$125:$AT$184,MAX(1,37-Parametri_v3!$C$21))/(INDEX(Ipotesi!$C$35:$G$35,1,F161)*Ipotesi!E27))</f>
        <v>6.48738541666667</v>
      </c>
      <c r="BB161" s="15" t="n">
        <f aca="false">IF(37-Parametri_v3!$C$21&lt;1,0,INDEX($AU$125:$AU$184,MAX(1,37-Parametri_v3!$C$21)))*Parametri_v3!$C$18*Parametri_v3!$C$19*Parametri_v3!$C$20</f>
        <v>10.5</v>
      </c>
      <c r="BC161" s="17" t="n">
        <f aca="false">MAX(0,MIN(AY161,BA161,BB161,MAX(0,AZ161-(AV161-AW161))))</f>
        <v>6.48738541666667</v>
      </c>
      <c r="BD161" s="17" t="n">
        <f aca="false">AV161-AW161+BC161</f>
        <v>116.191362506228</v>
      </c>
      <c r="BE161" s="17" t="n">
        <f aca="false">(AV161+BD161)/2</f>
        <v>113.431393062433</v>
      </c>
      <c r="BF161" s="15" t="n">
        <f aca="false">BE161*INDEX(Ipotesi!$C$33:$G$33,1,F161)*H161/12</f>
        <v>56715.6965312166</v>
      </c>
      <c r="BG161" s="15" t="n">
        <f aca="false">BD161*INDEX(Ipotesi!$C$33:$G$33,1,F161)*H161</f>
        <v>697148.175037369</v>
      </c>
      <c r="BH161" s="15" t="n">
        <f aca="false">AM161*INDEX(Ipotesi!$C$37:$G$37,1,F161)</f>
        <v>9024.16666666667</v>
      </c>
      <c r="BI161" s="15" t="n">
        <f aca="false">AQ161+BF161+BH161</f>
        <v>135809.863197883</v>
      </c>
      <c r="BJ161" s="15" t="n">
        <f aca="false">INDEX(Ipotesi!$C$68:$G$68,1,F161)*Ipotesi!$C$69/12</f>
        <v>3000</v>
      </c>
      <c r="BK161" s="15" t="n">
        <f aca="false">INDEX(Ipotesi!$C$68:$G$68,1,F161)*(1-Ipotesi!$C$69)/12</f>
        <v>4500</v>
      </c>
      <c r="BL161" s="15" t="n">
        <f aca="false">(AQ161+BF161)*Ipotesi!$C$67</f>
        <v>3803.5708959365</v>
      </c>
      <c r="BM161" s="15" t="n">
        <f aca="false">AM161*Ipotesi!$C$67</f>
        <v>2707.25</v>
      </c>
      <c r="BN161" s="15" t="n">
        <f aca="false">INDEX(Ipotesi!$C$72:$G$72,1,F161)/12*Ipotesi!E126+BF161*Ipotesi!$C$73</f>
        <v>5787.25572249733</v>
      </c>
      <c r="BO161" s="15" t="n">
        <f aca="false">INDEX(Ipotesi!$C$74:$G$74,1,F161)/12*Ipotesi!E126</f>
        <v>4166.66666666667</v>
      </c>
      <c r="BP161" s="15" t="n">
        <f aca="false">INDEX(Ipotesi!$C$76:$G$76,1,F161)/12</f>
        <v>1500</v>
      </c>
      <c r="BQ161" s="15" t="n">
        <f aca="false">INDEX(Ipotesi!$C$77:$G$77,1,F161)/12*Ipotesi!E126</f>
        <v>2083.33333333333</v>
      </c>
      <c r="BR161" s="15" t="n">
        <f aca="false">INDEX(Ipotesi!$C$78:$G$78,1,F161)/12</f>
        <v>2000</v>
      </c>
      <c r="BS161" s="15" t="n">
        <f aca="false">SUM(M161:R161)*(Ipotesi!$C$85+Ipotesi!$C$86)/12</f>
        <v>6125</v>
      </c>
      <c r="BT161" s="15" t="n">
        <f aca="false">BI161*Ipotesi!$C$87</f>
        <v>4074.2958959365</v>
      </c>
      <c r="BU161" s="15" t="n">
        <f aca="false">INDEX(Ipotesi!$C$55:$G$55,1,F161)*K161/12</f>
        <v>2000</v>
      </c>
      <c r="BV161" s="15" t="n">
        <f aca="false">INDEX(Ipotesi!$C$80:$G$80,1,F161)/12*Ipotesi!E126</f>
        <v>1666.66666666667</v>
      </c>
      <c r="BW161" s="15" t="n">
        <f aca="false">INDEX(Ipotesi!$C$82:$G$82,1,F161)/12</f>
        <v>1250</v>
      </c>
      <c r="BX161" s="15" t="n">
        <f aca="false">INDEX(Ipotesi!$C$83:$G$83,1,F161)/12</f>
        <v>750</v>
      </c>
      <c r="BY161" s="15" t="n">
        <f aca="false">SUM(S161:U161)*(Ipotesi!$C$85+Ipotesi!$C$86)/12</f>
        <v>2479.16666666667</v>
      </c>
      <c r="BZ161" s="15" t="n">
        <f aca="false">AM161*Ipotesi!$C$87</f>
        <v>2707.25</v>
      </c>
      <c r="CA161" s="15" t="n">
        <f aca="false">AB161+BJ161+BL161+BN161+BO161+AR161+BP161+BQ161+BR161+BS161+BT161</f>
        <v>156929.87313937</v>
      </c>
      <c r="CB161" s="15" t="n">
        <f aca="false">AC161+BK161+BM161+BH161+BU161+BV161+AS161+BW161+BX161+BY161+BZ161</f>
        <v>62580.173375</v>
      </c>
      <c r="CC161" s="15" t="n">
        <f aca="false">BI161-CA161</f>
        <v>-21120.0099414871</v>
      </c>
      <c r="CD161" s="15" t="n">
        <f aca="false">AM161-CB161</f>
        <v>27661.4932916667</v>
      </c>
      <c r="CE161" s="15" t="n">
        <f aca="false">INDEX(Ipotesi!$C$79:$G$79,1,F161)/12</f>
        <v>3333.33333333333</v>
      </c>
      <c r="CF161" s="15" t="n">
        <f aca="false">INDEX(Ipotesi!$C$84:$G$84,1,F161)/12</f>
        <v>666.666666666667</v>
      </c>
      <c r="CG161" s="15" t="n">
        <f aca="false">Y161*MAX(0,Parametri_v3!$C$12-IF(P161=0,0,MIN(1,BE161/(P161*Parametri_v3!$C$22))))+W161*Parametri_v3!$C$13+X161*Parametri_v3!$C$14</f>
        <v>31259.6689230444</v>
      </c>
      <c r="CH161" s="15" t="n">
        <f aca="false">AB161*Parametri_v3!$C$32</f>
        <v>4823.65419791667</v>
      </c>
      <c r="CI161" s="15" t="n">
        <f aca="false">AC161*Parametri_v3!$C$32</f>
        <v>1691.45033541667</v>
      </c>
      <c r="CJ161" s="15" t="n">
        <f aca="false">CA161-AB161</f>
        <v>60456.789181037</v>
      </c>
      <c r="CK161" s="15" t="n">
        <f aca="false">CB161-AC161-BH161</f>
        <v>19727</v>
      </c>
      <c r="CL161" s="15" t="n">
        <f aca="false">BF161*Ipotesi!$C$73+INDEX(Ipotesi!$C$72:$G$72,1,F161)/12*Ipotesi!E126*Parametri_v3!$C$58+Z161*(1-Parametri_v3!$C$16)</f>
        <v>11933.8450974973</v>
      </c>
      <c r="CM161" s="16" t="n">
        <f aca="false">IF(BF161=0,0,1-CL161/BF161)</f>
        <v>0.789584791735232</v>
      </c>
    </row>
    <row r="162" customFormat="false" ht="18" hidden="false" customHeight="true" outlineLevel="0" collapsed="false">
      <c r="A162" s="68" t="n">
        <f aca="false">3</f>
        <v>3</v>
      </c>
      <c r="B162" s="68" t="n">
        <f aca="false">38</f>
        <v>38</v>
      </c>
      <c r="C162" s="18" t="n">
        <f aca="false">EDATE(Parametri_v3!$C$5,38-1)</f>
        <v>47515</v>
      </c>
      <c r="D162" s="68" t="n">
        <f aca="false">YEAR(C162)</f>
        <v>2030</v>
      </c>
      <c r="E162" s="68" t="n">
        <f aca="false">MONTH(C162)</f>
        <v>2</v>
      </c>
      <c r="F162" s="68" t="n">
        <f aca="false">INT((38-1)/12)+1</f>
        <v>4</v>
      </c>
      <c r="G162" s="15" t="n">
        <f aca="false">Ipotesi!E7</f>
        <v>1.25</v>
      </c>
      <c r="H162" s="15" t="n">
        <f aca="false">Ipotesi!E9</f>
        <v>1</v>
      </c>
      <c r="I162" s="15" t="n">
        <f aca="false">Ipotesi!E10</f>
        <v>1</v>
      </c>
      <c r="J162" s="15" t="n">
        <f aca="false">Ipotesi!E11</f>
        <v>1</v>
      </c>
      <c r="K162" s="15" t="n">
        <f aca="false">Ipotesi!E12</f>
        <v>1</v>
      </c>
      <c r="L162" s="15" t="n">
        <f aca="false">Ipotesi!E13</f>
        <v>90</v>
      </c>
      <c r="M162" s="17" t="n">
        <f aca="false">INDEX(Ipotesi!$C$40:$G$40,1,F162)</f>
        <v>1</v>
      </c>
      <c r="N162" s="17" t="n">
        <f aca="false">INDEX(Ipotesi!$C$41:$G$41,1,F162)</f>
        <v>1</v>
      </c>
      <c r="O162" s="17" t="n">
        <f aca="false">INDEX(Ipotesi!$C$42:$G$42,1,F162)*Ipotesi!E125</f>
        <v>6.5</v>
      </c>
      <c r="P162" s="17" t="n">
        <f aca="false">INDEX(Ipotesi!$C$43:$G$43,1,F162)*I162</f>
        <v>6</v>
      </c>
      <c r="Q162" s="17" t="n">
        <f aca="false">INDEX(Ipotesi!$C$44:$G$44,1,F162)*I162</f>
        <v>5</v>
      </c>
      <c r="R162" s="17" t="n">
        <f aca="false">INDEX(Ipotesi!$C$45:$G$45,1,F162)*I162</f>
        <v>1.5</v>
      </c>
      <c r="S162" s="17" t="n">
        <f aca="false">INDEX(Ipotesi!$C$52:$G$52,1,F162)*Ipotesi!E125</f>
        <v>7</v>
      </c>
      <c r="T162" s="17" t="n">
        <f aca="false">INDEX(Ipotesi!$C$53:$G$53,1,F162)*I162</f>
        <v>1</v>
      </c>
      <c r="U162" s="17" t="n">
        <f aca="false">INDEX(Ipotesi!$C$54:$G$54,1,F162)*I162</f>
        <v>0.5</v>
      </c>
      <c r="V162" s="15" t="n">
        <f aca="false">M162*INDEX(Ipotesi!$C$58:$G$58,1,F162)*K162/12</f>
        <v>7916.66666666667</v>
      </c>
      <c r="W162" s="15" t="n">
        <f aca="false">N162*Ipotesi!$C$59*(1+Ipotesi!$C$66)^(F162-1)/12</f>
        <v>6374.24083333333</v>
      </c>
      <c r="X162" s="15" t="n">
        <f aca="false">O162*Ipotesi!$C$60*(1+Ipotesi!$C$66)^(F162-1)/12</f>
        <v>29594.6895833333</v>
      </c>
      <c r="Y162" s="15" t="n">
        <f aca="false">P162*Ipotesi!$C$61*(1+Ipotesi!$C$66)^(F162-1)/12</f>
        <v>27318.175</v>
      </c>
      <c r="Z162" s="15" t="n">
        <f aca="false">Q162*Ipotesi!$C$62*(1+Ipotesi!$C$66)^(F162-1)/12</f>
        <v>20488.63125</v>
      </c>
      <c r="AA162" s="15" t="n">
        <f aca="false">R162*Ipotesi!$C$63*(1+Ipotesi!$C$66)^(F162-1)/12</f>
        <v>4780.680625</v>
      </c>
      <c r="AB162" s="15" t="n">
        <f aca="false">SUM(V162:AA162)</f>
        <v>96473.0839583333</v>
      </c>
      <c r="AC162" s="15" t="n">
        <f aca="false">(S162*Ipotesi!$C$64+T162*Ipotesi!$C$65+U162*Ipotesi!$C$63)*(1+Ipotesi!$C$66)^(F162-1)/12</f>
        <v>33829.0067083333</v>
      </c>
      <c r="AD162" s="15" t="n">
        <f aca="false">INDEX(Ipotesi!$C$48:$G$48,1,F162)*G162/12</f>
        <v>98.9583333333333</v>
      </c>
      <c r="AE162" s="15" t="n">
        <f aca="false">INDEX(Ipotesi!$C$50:$G$50,1,F162)*G162/12</f>
        <v>10.4166666666667</v>
      </c>
      <c r="AF162" s="15" t="n">
        <f aca="false">(S162*Parametri_v3!$C$7*Parametri_v3!$C$8+Parametri_v3!$C$10)/12</f>
        <v>89.8333333333333</v>
      </c>
      <c r="AG162" s="15" t="n">
        <f aca="false">AD162+AE162*(1+Parametri_v3!$C$9)</f>
        <v>114.583333333333</v>
      </c>
      <c r="AH162" s="16" t="n">
        <f aca="false">IF(AG162=0,1,MIN(1,AF162/AG162))</f>
        <v>0.784</v>
      </c>
      <c r="AI162" s="15" t="n">
        <f aca="false">AD162*AH162</f>
        <v>77.5833333333333</v>
      </c>
      <c r="AJ162" s="15" t="n">
        <f aca="false">AE162*AH162</f>
        <v>8.16666666666667</v>
      </c>
      <c r="AK162" s="15" t="n">
        <f aca="false">AI162*INDEX(Ipotesi!$C$49:$G$49,1,F162)*H162</f>
        <v>69825</v>
      </c>
      <c r="AL162" s="15" t="n">
        <f aca="false">AJ162*INDEX(Ipotesi!$C$51:$G$51,1,F162)*H162</f>
        <v>20416.6666666667</v>
      </c>
      <c r="AM162" s="15" t="n">
        <f aca="false">AK162+AL162</f>
        <v>90241.6666666667</v>
      </c>
      <c r="AN162" s="15" t="n">
        <f aca="false">INDEX(Ipotesi!$C$30:$G$30,1,F162)*G162/12</f>
        <v>77.0833333333333</v>
      </c>
      <c r="AO162" s="15" t="n">
        <f aca="false">O162*Parametri_v3!$C$7*Parametri_v3!$C$11*(1-Parametri_v3!$C$14)/12</f>
        <v>66.7333333333333</v>
      </c>
      <c r="AP162" s="15" t="n">
        <f aca="false">MIN(AN162,AO162)</f>
        <v>66.7333333333333</v>
      </c>
      <c r="AQ162" s="15" t="n">
        <f aca="false">AP162*INDEX(Ipotesi!$C$31:$G$31,1,F162)*H162</f>
        <v>70070</v>
      </c>
      <c r="AR162" s="15" t="n">
        <f aca="false">INDEX(Ipotesi!$C$75:$G$75,1,F162)*J162/12</f>
        <v>27916.6666666667</v>
      </c>
      <c r="AS162" s="15" t="n">
        <f aca="false">INDEX(Ipotesi!$C$81:$G$81,1,F162)*J162/12</f>
        <v>1666.66666666667</v>
      </c>
      <c r="AT162" s="15" t="n">
        <f aca="false">AR162*Parametri_v3!$C$15+Z162*Parametri_v3!$C$16</f>
        <v>42258.7085416667</v>
      </c>
      <c r="AU162" s="15" t="n">
        <f aca="false">Q162*Parametri_v3!$C$16*Parametri_v3!$C$17</f>
        <v>350</v>
      </c>
      <c r="AV162" s="17" t="n">
        <f aca="false">BD161</f>
        <v>116.191362506228</v>
      </c>
      <c r="AW162" s="17" t="n">
        <f aca="false">AV162*(1-(1-INDEX(Ipotesi!$C$34:$G$34,1,F162))^(1/12))</f>
        <v>1.01569968732558</v>
      </c>
      <c r="AX162" s="15" t="n">
        <f aca="false">ROUND(INDEX(Ipotesi!$C$32:$G$32,1,F162)*Ipotesi!E8,0)</f>
        <v>434</v>
      </c>
      <c r="AY162" s="15" t="n">
        <f aca="false">MAX(0,(AX162-(AV162-AW162))/(13-E162))</f>
        <v>28.984030652827</v>
      </c>
      <c r="AZ162" s="15" t="n">
        <f aca="false">MIN(P162*Parametri_v3!$C$22,Q162*(1-Parametri_v3!$C$16)*Parametri_v3!$C$23)</f>
        <v>225</v>
      </c>
      <c r="BA162" s="15" t="n">
        <f aca="false">IF(OR(INDEX(Ipotesi!$C$35:$G$35,1,F162)&lt;=0,38-Parametri_v3!$C$21&lt;1),0,INDEX($AT$125:$AT$184,MAX(1,38-Parametri_v3!$C$21))/(INDEX(Ipotesi!$C$35:$G$35,1,F162)*Ipotesi!E27))</f>
        <v>6.48738541666667</v>
      </c>
      <c r="BB162" s="15" t="n">
        <f aca="false">IF(38-Parametri_v3!$C$21&lt;1,0,INDEX($AU$125:$AU$184,MAX(1,38-Parametri_v3!$C$21)))*Parametri_v3!$C$18*Parametri_v3!$C$19*Parametri_v3!$C$20</f>
        <v>10.5</v>
      </c>
      <c r="BC162" s="17" t="n">
        <f aca="false">MAX(0,MIN(AY162,BA162,BB162,MAX(0,AZ162-(AV162-AW162))))</f>
        <v>6.48738541666667</v>
      </c>
      <c r="BD162" s="17" t="n">
        <f aca="false">AV162-AW162+BC162</f>
        <v>121.663048235569</v>
      </c>
      <c r="BE162" s="17" t="n">
        <f aca="false">(AV162+BD162)/2</f>
        <v>118.927205370899</v>
      </c>
      <c r="BF162" s="15" t="n">
        <f aca="false">BE162*INDEX(Ipotesi!$C$33:$G$33,1,F162)*H162/12</f>
        <v>59463.6026854494</v>
      </c>
      <c r="BG162" s="15" t="n">
        <f aca="false">BD162*INDEX(Ipotesi!$C$33:$G$33,1,F162)*H162</f>
        <v>729978.289413416</v>
      </c>
      <c r="BH162" s="15" t="n">
        <f aca="false">AM162*INDEX(Ipotesi!$C$37:$G$37,1,F162)</f>
        <v>9024.16666666667</v>
      </c>
      <c r="BI162" s="15" t="n">
        <f aca="false">AQ162+BF162+BH162</f>
        <v>138557.769352116</v>
      </c>
      <c r="BJ162" s="15" t="n">
        <f aca="false">INDEX(Ipotesi!$C$68:$G$68,1,F162)*Ipotesi!$C$69/12</f>
        <v>3000</v>
      </c>
      <c r="BK162" s="15" t="n">
        <f aca="false">INDEX(Ipotesi!$C$68:$G$68,1,F162)*(1-Ipotesi!$C$69)/12</f>
        <v>4500</v>
      </c>
      <c r="BL162" s="15" t="n">
        <f aca="false">(AQ162+BF162)*Ipotesi!$C$67</f>
        <v>3886.00808056348</v>
      </c>
      <c r="BM162" s="15" t="n">
        <f aca="false">AM162*Ipotesi!$C$67</f>
        <v>2707.25</v>
      </c>
      <c r="BN162" s="15" t="n">
        <f aca="false">INDEX(Ipotesi!$C$72:$G$72,1,F162)/12*Ipotesi!E126+BF162*Ipotesi!$C$73</f>
        <v>6007.08821483595</v>
      </c>
      <c r="BO162" s="15" t="n">
        <f aca="false">INDEX(Ipotesi!$C$74:$G$74,1,F162)/12*Ipotesi!E126</f>
        <v>4166.66666666667</v>
      </c>
      <c r="BP162" s="15" t="n">
        <f aca="false">INDEX(Ipotesi!$C$76:$G$76,1,F162)/12</f>
        <v>1500</v>
      </c>
      <c r="BQ162" s="15" t="n">
        <f aca="false">INDEX(Ipotesi!$C$77:$G$77,1,F162)/12*Ipotesi!E126</f>
        <v>2083.33333333333</v>
      </c>
      <c r="BR162" s="15" t="n">
        <f aca="false">INDEX(Ipotesi!$C$78:$G$78,1,F162)/12</f>
        <v>2000</v>
      </c>
      <c r="BS162" s="15" t="n">
        <f aca="false">SUM(M162:R162)*(Ipotesi!$C$85+Ipotesi!$C$86)/12</f>
        <v>6125</v>
      </c>
      <c r="BT162" s="15" t="n">
        <f aca="false">BI162*Ipotesi!$C$87</f>
        <v>4156.73308056348</v>
      </c>
      <c r="BU162" s="15" t="n">
        <f aca="false">INDEX(Ipotesi!$C$55:$G$55,1,F162)*K162/12</f>
        <v>2000</v>
      </c>
      <c r="BV162" s="15" t="n">
        <f aca="false">INDEX(Ipotesi!$C$80:$G$80,1,F162)/12*Ipotesi!E126</f>
        <v>1666.66666666667</v>
      </c>
      <c r="BW162" s="15" t="n">
        <f aca="false">INDEX(Ipotesi!$C$82:$G$82,1,F162)/12</f>
        <v>1250</v>
      </c>
      <c r="BX162" s="15" t="n">
        <f aca="false">INDEX(Ipotesi!$C$83:$G$83,1,F162)/12</f>
        <v>750</v>
      </c>
      <c r="BY162" s="15" t="n">
        <f aca="false">SUM(S162:U162)*(Ipotesi!$C$85+Ipotesi!$C$86)/12</f>
        <v>2479.16666666667</v>
      </c>
      <c r="BZ162" s="15" t="n">
        <f aca="false">AM162*Ipotesi!$C$87</f>
        <v>2707.25</v>
      </c>
      <c r="CA162" s="15" t="n">
        <f aca="false">AB162+BJ162+BL162+BN162+BO162+AR162+BP162+BQ162+BR162+BS162+BT162</f>
        <v>157314.580000963</v>
      </c>
      <c r="CB162" s="15" t="n">
        <f aca="false">AC162+BK162+BM162+BH162+BU162+BV162+AS162+BW162+BX162+BY162+BZ162</f>
        <v>62580.173375</v>
      </c>
      <c r="CC162" s="15" t="n">
        <f aca="false">BI162-CA162</f>
        <v>-18756.8106488469</v>
      </c>
      <c r="CD162" s="15" t="n">
        <f aca="false">AM162-CB162</f>
        <v>27661.4932916667</v>
      </c>
      <c r="CE162" s="15" t="n">
        <f aca="false">INDEX(Ipotesi!$C$79:$G$79,1,F162)/12</f>
        <v>3333.33333333333</v>
      </c>
      <c r="CF162" s="15" t="n">
        <f aca="false">INDEX(Ipotesi!$C$84:$G$84,1,F162)/12</f>
        <v>666.666666666667</v>
      </c>
      <c r="CG162" s="15" t="n">
        <f aca="false">Y162*MAX(0,Parametri_v3!$C$12-IF(P162=0,0,MIN(1,BE162/(P162*Parametri_v3!$C$22))))+W162*Parametri_v3!$C$13+X162*Parametri_v3!$C$14</f>
        <v>31009.4429856947</v>
      </c>
      <c r="CH162" s="15" t="n">
        <f aca="false">AB162*Parametri_v3!$C$32</f>
        <v>4823.65419791667</v>
      </c>
      <c r="CI162" s="15" t="n">
        <f aca="false">AC162*Parametri_v3!$C$32</f>
        <v>1691.45033541667</v>
      </c>
      <c r="CJ162" s="15" t="n">
        <f aca="false">CA162-AB162</f>
        <v>60841.4960426296</v>
      </c>
      <c r="CK162" s="15" t="n">
        <f aca="false">CB162-AC162-BH162</f>
        <v>19727</v>
      </c>
      <c r="CL162" s="15" t="n">
        <f aca="false">BF162*Ipotesi!$C$73+INDEX(Ipotesi!$C$72:$G$72,1,F162)/12*Ipotesi!E126*Parametri_v3!$C$58+Z162*(1-Parametri_v3!$C$16)</f>
        <v>12153.677589836</v>
      </c>
      <c r="CM162" s="16" t="n">
        <f aca="false">IF(BF162=0,0,1-CL162/BF162)</f>
        <v>0.795611482638775</v>
      </c>
    </row>
    <row r="163" customFormat="false" ht="18" hidden="false" customHeight="true" outlineLevel="0" collapsed="false">
      <c r="A163" s="68" t="n">
        <f aca="false">3</f>
        <v>3</v>
      </c>
      <c r="B163" s="68" t="n">
        <f aca="false">39</f>
        <v>39</v>
      </c>
      <c r="C163" s="18" t="n">
        <f aca="false">EDATE(Parametri_v3!$C$5,39-1)</f>
        <v>47543</v>
      </c>
      <c r="D163" s="68" t="n">
        <f aca="false">YEAR(C163)</f>
        <v>2030</v>
      </c>
      <c r="E163" s="68" t="n">
        <f aca="false">MONTH(C163)</f>
        <v>3</v>
      </c>
      <c r="F163" s="68" t="n">
        <f aca="false">INT((39-1)/12)+1</f>
        <v>4</v>
      </c>
      <c r="G163" s="15" t="n">
        <f aca="false">Ipotesi!E7</f>
        <v>1.25</v>
      </c>
      <c r="H163" s="15" t="n">
        <f aca="false">Ipotesi!E9</f>
        <v>1</v>
      </c>
      <c r="I163" s="15" t="n">
        <f aca="false">Ipotesi!E10</f>
        <v>1</v>
      </c>
      <c r="J163" s="15" t="n">
        <f aca="false">Ipotesi!E11</f>
        <v>1</v>
      </c>
      <c r="K163" s="15" t="n">
        <f aca="false">Ipotesi!E12</f>
        <v>1</v>
      </c>
      <c r="L163" s="15" t="n">
        <f aca="false">Ipotesi!E13</f>
        <v>90</v>
      </c>
      <c r="M163" s="17" t="n">
        <f aca="false">INDEX(Ipotesi!$C$40:$G$40,1,F163)</f>
        <v>1</v>
      </c>
      <c r="N163" s="17" t="n">
        <f aca="false">INDEX(Ipotesi!$C$41:$G$41,1,F163)</f>
        <v>1</v>
      </c>
      <c r="O163" s="17" t="n">
        <f aca="false">INDEX(Ipotesi!$C$42:$G$42,1,F163)*Ipotesi!E125</f>
        <v>6.5</v>
      </c>
      <c r="P163" s="17" t="n">
        <f aca="false">INDEX(Ipotesi!$C$43:$G$43,1,F163)*I163</f>
        <v>6</v>
      </c>
      <c r="Q163" s="17" t="n">
        <f aca="false">INDEX(Ipotesi!$C$44:$G$44,1,F163)*I163</f>
        <v>5</v>
      </c>
      <c r="R163" s="17" t="n">
        <f aca="false">INDEX(Ipotesi!$C$45:$G$45,1,F163)*I163</f>
        <v>1.5</v>
      </c>
      <c r="S163" s="17" t="n">
        <f aca="false">INDEX(Ipotesi!$C$52:$G$52,1,F163)*Ipotesi!E125</f>
        <v>7</v>
      </c>
      <c r="T163" s="17" t="n">
        <f aca="false">INDEX(Ipotesi!$C$53:$G$53,1,F163)*I163</f>
        <v>1</v>
      </c>
      <c r="U163" s="17" t="n">
        <f aca="false">INDEX(Ipotesi!$C$54:$G$54,1,F163)*I163</f>
        <v>0.5</v>
      </c>
      <c r="V163" s="15" t="n">
        <f aca="false">M163*INDEX(Ipotesi!$C$58:$G$58,1,F163)*K163/12</f>
        <v>7916.66666666667</v>
      </c>
      <c r="W163" s="15" t="n">
        <f aca="false">N163*Ipotesi!$C$59*(1+Ipotesi!$C$66)^(F163-1)/12</f>
        <v>6374.24083333333</v>
      </c>
      <c r="X163" s="15" t="n">
        <f aca="false">O163*Ipotesi!$C$60*(1+Ipotesi!$C$66)^(F163-1)/12</f>
        <v>29594.6895833333</v>
      </c>
      <c r="Y163" s="15" t="n">
        <f aca="false">P163*Ipotesi!$C$61*(1+Ipotesi!$C$66)^(F163-1)/12</f>
        <v>27318.175</v>
      </c>
      <c r="Z163" s="15" t="n">
        <f aca="false">Q163*Ipotesi!$C$62*(1+Ipotesi!$C$66)^(F163-1)/12</f>
        <v>20488.63125</v>
      </c>
      <c r="AA163" s="15" t="n">
        <f aca="false">R163*Ipotesi!$C$63*(1+Ipotesi!$C$66)^(F163-1)/12</f>
        <v>4780.680625</v>
      </c>
      <c r="AB163" s="15" t="n">
        <f aca="false">SUM(V163:AA163)</f>
        <v>96473.0839583333</v>
      </c>
      <c r="AC163" s="15" t="n">
        <f aca="false">(S163*Ipotesi!$C$64+T163*Ipotesi!$C$65+U163*Ipotesi!$C$63)*(1+Ipotesi!$C$66)^(F163-1)/12</f>
        <v>33829.0067083333</v>
      </c>
      <c r="AD163" s="15" t="n">
        <f aca="false">INDEX(Ipotesi!$C$48:$G$48,1,F163)*G163/12</f>
        <v>98.9583333333333</v>
      </c>
      <c r="AE163" s="15" t="n">
        <f aca="false">INDEX(Ipotesi!$C$50:$G$50,1,F163)*G163/12</f>
        <v>10.4166666666667</v>
      </c>
      <c r="AF163" s="15" t="n">
        <f aca="false">(S163*Parametri_v3!$C$7*Parametri_v3!$C$8+Parametri_v3!$C$10)/12</f>
        <v>89.8333333333333</v>
      </c>
      <c r="AG163" s="15" t="n">
        <f aca="false">AD163+AE163*(1+Parametri_v3!$C$9)</f>
        <v>114.583333333333</v>
      </c>
      <c r="AH163" s="16" t="n">
        <f aca="false">IF(AG163=0,1,MIN(1,AF163/AG163))</f>
        <v>0.784</v>
      </c>
      <c r="AI163" s="15" t="n">
        <f aca="false">AD163*AH163</f>
        <v>77.5833333333333</v>
      </c>
      <c r="AJ163" s="15" t="n">
        <f aca="false">AE163*AH163</f>
        <v>8.16666666666667</v>
      </c>
      <c r="AK163" s="15" t="n">
        <f aca="false">AI163*INDEX(Ipotesi!$C$49:$G$49,1,F163)*H163</f>
        <v>69825</v>
      </c>
      <c r="AL163" s="15" t="n">
        <f aca="false">AJ163*INDEX(Ipotesi!$C$51:$G$51,1,F163)*H163</f>
        <v>20416.6666666667</v>
      </c>
      <c r="AM163" s="15" t="n">
        <f aca="false">AK163+AL163</f>
        <v>90241.6666666667</v>
      </c>
      <c r="AN163" s="15" t="n">
        <f aca="false">INDEX(Ipotesi!$C$30:$G$30,1,F163)*G163/12</f>
        <v>77.0833333333333</v>
      </c>
      <c r="AO163" s="15" t="n">
        <f aca="false">O163*Parametri_v3!$C$7*Parametri_v3!$C$11*(1-Parametri_v3!$C$14)/12</f>
        <v>66.7333333333333</v>
      </c>
      <c r="AP163" s="15" t="n">
        <f aca="false">MIN(AN163,AO163)</f>
        <v>66.7333333333333</v>
      </c>
      <c r="AQ163" s="15" t="n">
        <f aca="false">AP163*INDEX(Ipotesi!$C$31:$G$31,1,F163)*H163</f>
        <v>70070</v>
      </c>
      <c r="AR163" s="15" t="n">
        <f aca="false">INDEX(Ipotesi!$C$75:$G$75,1,F163)*J163/12</f>
        <v>27916.6666666667</v>
      </c>
      <c r="AS163" s="15" t="n">
        <f aca="false">INDEX(Ipotesi!$C$81:$G$81,1,F163)*J163/12</f>
        <v>1666.66666666667</v>
      </c>
      <c r="AT163" s="15" t="n">
        <f aca="false">AR163*Parametri_v3!$C$15+Z163*Parametri_v3!$C$16</f>
        <v>42258.7085416667</v>
      </c>
      <c r="AU163" s="15" t="n">
        <f aca="false">Q163*Parametri_v3!$C$16*Parametri_v3!$C$17</f>
        <v>350</v>
      </c>
      <c r="AV163" s="17" t="n">
        <f aca="false">BD162</f>
        <v>121.663048235569</v>
      </c>
      <c r="AW163" s="17" t="n">
        <f aca="false">AV163*(1-(1-INDEX(Ipotesi!$C$34:$G$34,1,F163))^(1/12))</f>
        <v>1.06353103523785</v>
      </c>
      <c r="AX163" s="15" t="n">
        <f aca="false">ROUND(INDEX(Ipotesi!$C$32:$G$32,1,F163)*Ipotesi!E8,0)</f>
        <v>434</v>
      </c>
      <c r="AY163" s="15" t="n">
        <f aca="false">MAX(0,(AX163-(AV163-AW163))/(13-E163))</f>
        <v>31.3400482799669</v>
      </c>
      <c r="AZ163" s="15" t="n">
        <f aca="false">MIN(P163*Parametri_v3!$C$22,Q163*(1-Parametri_v3!$C$16)*Parametri_v3!$C$23)</f>
        <v>225</v>
      </c>
      <c r="BA163" s="15" t="n">
        <f aca="false">IF(OR(INDEX(Ipotesi!$C$35:$G$35,1,F163)&lt;=0,39-Parametri_v3!$C$21&lt;1),0,INDEX($AT$125:$AT$184,MAX(1,39-Parametri_v3!$C$21))/(INDEX(Ipotesi!$C$35:$G$35,1,F163)*Ipotesi!E27))</f>
        <v>6.48738541666667</v>
      </c>
      <c r="BB163" s="15" t="n">
        <f aca="false">IF(39-Parametri_v3!$C$21&lt;1,0,INDEX($AU$125:$AU$184,MAX(1,39-Parametri_v3!$C$21)))*Parametri_v3!$C$18*Parametri_v3!$C$19*Parametri_v3!$C$20</f>
        <v>10.5</v>
      </c>
      <c r="BC163" s="17" t="n">
        <f aca="false">MAX(0,MIN(AY163,BA163,BB163,MAX(0,AZ163-(AV163-AW163))))</f>
        <v>6.48738541666667</v>
      </c>
      <c r="BD163" s="17" t="n">
        <f aca="false">AV163-AW163+BC163</f>
        <v>127.086902616998</v>
      </c>
      <c r="BE163" s="17" t="n">
        <f aca="false">(AV163+BD163)/2</f>
        <v>124.374975426284</v>
      </c>
      <c r="BF163" s="15" t="n">
        <f aca="false">BE163*INDEX(Ipotesi!$C$33:$G$33,1,F163)*H163/12</f>
        <v>62187.4877131419</v>
      </c>
      <c r="BG163" s="15" t="n">
        <f aca="false">BD163*INDEX(Ipotesi!$C$33:$G$33,1,F163)*H163</f>
        <v>762521.415701989</v>
      </c>
      <c r="BH163" s="15" t="n">
        <f aca="false">AM163*INDEX(Ipotesi!$C$37:$G$37,1,F163)</f>
        <v>9024.16666666667</v>
      </c>
      <c r="BI163" s="15" t="n">
        <f aca="false">AQ163+BF163+BH163</f>
        <v>141281.654379809</v>
      </c>
      <c r="BJ163" s="15" t="n">
        <f aca="false">INDEX(Ipotesi!$C$68:$G$68,1,F163)*Ipotesi!$C$69/12</f>
        <v>3000</v>
      </c>
      <c r="BK163" s="15" t="n">
        <f aca="false">INDEX(Ipotesi!$C$68:$G$68,1,F163)*(1-Ipotesi!$C$69)/12</f>
        <v>4500</v>
      </c>
      <c r="BL163" s="15" t="n">
        <f aca="false">(AQ163+BF163)*Ipotesi!$C$67</f>
        <v>3967.72463139426</v>
      </c>
      <c r="BM163" s="15" t="n">
        <f aca="false">AM163*Ipotesi!$C$67</f>
        <v>2707.25</v>
      </c>
      <c r="BN163" s="15" t="n">
        <f aca="false">INDEX(Ipotesi!$C$72:$G$72,1,F163)/12*Ipotesi!E126+BF163*Ipotesi!$C$73</f>
        <v>6224.99901705135</v>
      </c>
      <c r="BO163" s="15" t="n">
        <f aca="false">INDEX(Ipotesi!$C$74:$G$74,1,F163)/12*Ipotesi!E126</f>
        <v>4166.66666666667</v>
      </c>
      <c r="BP163" s="15" t="n">
        <f aca="false">INDEX(Ipotesi!$C$76:$G$76,1,F163)/12</f>
        <v>1500</v>
      </c>
      <c r="BQ163" s="15" t="n">
        <f aca="false">INDEX(Ipotesi!$C$77:$G$77,1,F163)/12*Ipotesi!E126</f>
        <v>2083.33333333333</v>
      </c>
      <c r="BR163" s="15" t="n">
        <f aca="false">INDEX(Ipotesi!$C$78:$G$78,1,F163)/12</f>
        <v>2000</v>
      </c>
      <c r="BS163" s="15" t="n">
        <f aca="false">SUM(M163:R163)*(Ipotesi!$C$85+Ipotesi!$C$86)/12</f>
        <v>6125</v>
      </c>
      <c r="BT163" s="15" t="n">
        <f aca="false">BI163*Ipotesi!$C$87</f>
        <v>4238.44963139426</v>
      </c>
      <c r="BU163" s="15" t="n">
        <f aca="false">INDEX(Ipotesi!$C$55:$G$55,1,F163)*K163/12</f>
        <v>2000</v>
      </c>
      <c r="BV163" s="15" t="n">
        <f aca="false">INDEX(Ipotesi!$C$80:$G$80,1,F163)/12*Ipotesi!E126</f>
        <v>1666.66666666667</v>
      </c>
      <c r="BW163" s="15" t="n">
        <f aca="false">INDEX(Ipotesi!$C$82:$G$82,1,F163)/12</f>
        <v>1250</v>
      </c>
      <c r="BX163" s="15" t="n">
        <f aca="false">INDEX(Ipotesi!$C$83:$G$83,1,F163)/12</f>
        <v>750</v>
      </c>
      <c r="BY163" s="15" t="n">
        <f aca="false">SUM(S163:U163)*(Ipotesi!$C$85+Ipotesi!$C$86)/12</f>
        <v>2479.16666666667</v>
      </c>
      <c r="BZ163" s="15" t="n">
        <f aca="false">AM163*Ipotesi!$C$87</f>
        <v>2707.25</v>
      </c>
      <c r="CA163" s="15" t="n">
        <f aca="false">AB163+BJ163+BL163+BN163+BO163+AR163+BP163+BQ163+BR163+BS163+BT163</f>
        <v>157695.92390484</v>
      </c>
      <c r="CB163" s="15" t="n">
        <f aca="false">AC163+BK163+BM163+BH163+BU163+BV163+AS163+BW163+BX163+BY163+BZ163</f>
        <v>62580.173375</v>
      </c>
      <c r="CC163" s="15" t="n">
        <f aca="false">BI163-CA163</f>
        <v>-16414.2695250314</v>
      </c>
      <c r="CD163" s="15" t="n">
        <f aca="false">AM163-CB163</f>
        <v>27661.4932916667</v>
      </c>
      <c r="CE163" s="15" t="n">
        <f aca="false">INDEX(Ipotesi!$C$79:$G$79,1,F163)/12</f>
        <v>3333.33333333333</v>
      </c>
      <c r="CF163" s="15" t="n">
        <f aca="false">INDEX(Ipotesi!$C$84:$G$84,1,F163)/12</f>
        <v>666.666666666667</v>
      </c>
      <c r="CG163" s="15" t="n">
        <f aca="false">Y163*MAX(0,Parametri_v3!$C$12-IF(P163=0,0,MIN(1,BE163/(P163*Parametri_v3!$C$22))))+W163*Parametri_v3!$C$13+X163*Parametri_v3!$C$14</f>
        <v>30761.4044261401</v>
      </c>
      <c r="CH163" s="15" t="n">
        <f aca="false">AB163*Parametri_v3!$C$32</f>
        <v>4823.65419791667</v>
      </c>
      <c r="CI163" s="15" t="n">
        <f aca="false">AC163*Parametri_v3!$C$32</f>
        <v>1691.45033541667</v>
      </c>
      <c r="CJ163" s="15" t="n">
        <f aca="false">CA163-AB163</f>
        <v>61222.8399465065</v>
      </c>
      <c r="CK163" s="15" t="n">
        <f aca="false">CB163-AC163-BH163</f>
        <v>19727</v>
      </c>
      <c r="CL163" s="15" t="n">
        <f aca="false">BF163*Ipotesi!$C$73+INDEX(Ipotesi!$C$72:$G$72,1,F163)/12*Ipotesi!E126*Parametri_v3!$C$58+Z163*(1-Parametri_v3!$C$16)</f>
        <v>12371.5883920514</v>
      </c>
      <c r="CM163" s="16" t="n">
        <f aca="false">IF(BF163=0,0,1-CL163/BF163)</f>
        <v>0.801059845846821</v>
      </c>
    </row>
    <row r="164" customFormat="false" ht="18" hidden="false" customHeight="true" outlineLevel="0" collapsed="false">
      <c r="A164" s="68" t="n">
        <f aca="false">3</f>
        <v>3</v>
      </c>
      <c r="B164" s="68" t="n">
        <f aca="false">40</f>
        <v>40</v>
      </c>
      <c r="C164" s="18" t="n">
        <f aca="false">EDATE(Parametri_v3!$C$5,40-1)</f>
        <v>47574</v>
      </c>
      <c r="D164" s="68" t="n">
        <f aca="false">YEAR(C164)</f>
        <v>2030</v>
      </c>
      <c r="E164" s="68" t="n">
        <f aca="false">MONTH(C164)</f>
        <v>4</v>
      </c>
      <c r="F164" s="68" t="n">
        <f aca="false">INT((40-1)/12)+1</f>
        <v>4</v>
      </c>
      <c r="G164" s="15" t="n">
        <f aca="false">Ipotesi!E7</f>
        <v>1.25</v>
      </c>
      <c r="H164" s="15" t="n">
        <f aca="false">Ipotesi!E9</f>
        <v>1</v>
      </c>
      <c r="I164" s="15" t="n">
        <f aca="false">Ipotesi!E10</f>
        <v>1</v>
      </c>
      <c r="J164" s="15" t="n">
        <f aca="false">Ipotesi!E11</f>
        <v>1</v>
      </c>
      <c r="K164" s="15" t="n">
        <f aca="false">Ipotesi!E12</f>
        <v>1</v>
      </c>
      <c r="L164" s="15" t="n">
        <f aca="false">Ipotesi!E13</f>
        <v>90</v>
      </c>
      <c r="M164" s="17" t="n">
        <f aca="false">INDEX(Ipotesi!$C$40:$G$40,1,F164)</f>
        <v>1</v>
      </c>
      <c r="N164" s="17" t="n">
        <f aca="false">INDEX(Ipotesi!$C$41:$G$41,1,F164)</f>
        <v>1</v>
      </c>
      <c r="O164" s="17" t="n">
        <f aca="false">INDEX(Ipotesi!$C$42:$G$42,1,F164)*Ipotesi!E125</f>
        <v>6.5</v>
      </c>
      <c r="P164" s="17" t="n">
        <f aca="false">INDEX(Ipotesi!$C$43:$G$43,1,F164)*I164</f>
        <v>6</v>
      </c>
      <c r="Q164" s="17" t="n">
        <f aca="false">INDEX(Ipotesi!$C$44:$G$44,1,F164)*I164</f>
        <v>5</v>
      </c>
      <c r="R164" s="17" t="n">
        <f aca="false">INDEX(Ipotesi!$C$45:$G$45,1,F164)*I164</f>
        <v>1.5</v>
      </c>
      <c r="S164" s="17" t="n">
        <f aca="false">INDEX(Ipotesi!$C$52:$G$52,1,F164)*Ipotesi!E125</f>
        <v>7</v>
      </c>
      <c r="T164" s="17" t="n">
        <f aca="false">INDEX(Ipotesi!$C$53:$G$53,1,F164)*I164</f>
        <v>1</v>
      </c>
      <c r="U164" s="17" t="n">
        <f aca="false">INDEX(Ipotesi!$C$54:$G$54,1,F164)*I164</f>
        <v>0.5</v>
      </c>
      <c r="V164" s="15" t="n">
        <f aca="false">M164*INDEX(Ipotesi!$C$58:$G$58,1,F164)*K164/12</f>
        <v>7916.66666666667</v>
      </c>
      <c r="W164" s="15" t="n">
        <f aca="false">N164*Ipotesi!$C$59*(1+Ipotesi!$C$66)^(F164-1)/12</f>
        <v>6374.24083333333</v>
      </c>
      <c r="X164" s="15" t="n">
        <f aca="false">O164*Ipotesi!$C$60*(1+Ipotesi!$C$66)^(F164-1)/12</f>
        <v>29594.6895833333</v>
      </c>
      <c r="Y164" s="15" t="n">
        <f aca="false">P164*Ipotesi!$C$61*(1+Ipotesi!$C$66)^(F164-1)/12</f>
        <v>27318.175</v>
      </c>
      <c r="Z164" s="15" t="n">
        <f aca="false">Q164*Ipotesi!$C$62*(1+Ipotesi!$C$66)^(F164-1)/12</f>
        <v>20488.63125</v>
      </c>
      <c r="AA164" s="15" t="n">
        <f aca="false">R164*Ipotesi!$C$63*(1+Ipotesi!$C$66)^(F164-1)/12</f>
        <v>4780.680625</v>
      </c>
      <c r="AB164" s="15" t="n">
        <f aca="false">SUM(V164:AA164)</f>
        <v>96473.0839583333</v>
      </c>
      <c r="AC164" s="15" t="n">
        <f aca="false">(S164*Ipotesi!$C$64+T164*Ipotesi!$C$65+U164*Ipotesi!$C$63)*(1+Ipotesi!$C$66)^(F164-1)/12</f>
        <v>33829.0067083333</v>
      </c>
      <c r="AD164" s="15" t="n">
        <f aca="false">INDEX(Ipotesi!$C$48:$G$48,1,F164)*G164/12</f>
        <v>98.9583333333333</v>
      </c>
      <c r="AE164" s="15" t="n">
        <f aca="false">INDEX(Ipotesi!$C$50:$G$50,1,F164)*G164/12</f>
        <v>10.4166666666667</v>
      </c>
      <c r="AF164" s="15" t="n">
        <f aca="false">(S164*Parametri_v3!$C$7*Parametri_v3!$C$8+Parametri_v3!$C$10)/12</f>
        <v>89.8333333333333</v>
      </c>
      <c r="AG164" s="15" t="n">
        <f aca="false">AD164+AE164*(1+Parametri_v3!$C$9)</f>
        <v>114.583333333333</v>
      </c>
      <c r="AH164" s="16" t="n">
        <f aca="false">IF(AG164=0,1,MIN(1,AF164/AG164))</f>
        <v>0.784</v>
      </c>
      <c r="AI164" s="15" t="n">
        <f aca="false">AD164*AH164</f>
        <v>77.5833333333333</v>
      </c>
      <c r="AJ164" s="15" t="n">
        <f aca="false">AE164*AH164</f>
        <v>8.16666666666667</v>
      </c>
      <c r="AK164" s="15" t="n">
        <f aca="false">AI164*INDEX(Ipotesi!$C$49:$G$49,1,F164)*H164</f>
        <v>69825</v>
      </c>
      <c r="AL164" s="15" t="n">
        <f aca="false">AJ164*INDEX(Ipotesi!$C$51:$G$51,1,F164)*H164</f>
        <v>20416.6666666667</v>
      </c>
      <c r="AM164" s="15" t="n">
        <f aca="false">AK164+AL164</f>
        <v>90241.6666666667</v>
      </c>
      <c r="AN164" s="15" t="n">
        <f aca="false">INDEX(Ipotesi!$C$30:$G$30,1,F164)*G164/12</f>
        <v>77.0833333333333</v>
      </c>
      <c r="AO164" s="15" t="n">
        <f aca="false">O164*Parametri_v3!$C$7*Parametri_v3!$C$11*(1-Parametri_v3!$C$14)/12</f>
        <v>66.7333333333333</v>
      </c>
      <c r="AP164" s="15" t="n">
        <f aca="false">MIN(AN164,AO164)</f>
        <v>66.7333333333333</v>
      </c>
      <c r="AQ164" s="15" t="n">
        <f aca="false">AP164*INDEX(Ipotesi!$C$31:$G$31,1,F164)*H164</f>
        <v>70070</v>
      </c>
      <c r="AR164" s="15" t="n">
        <f aca="false">INDEX(Ipotesi!$C$75:$G$75,1,F164)*J164/12</f>
        <v>27916.6666666667</v>
      </c>
      <c r="AS164" s="15" t="n">
        <f aca="false">INDEX(Ipotesi!$C$81:$G$81,1,F164)*J164/12</f>
        <v>1666.66666666667</v>
      </c>
      <c r="AT164" s="15" t="n">
        <f aca="false">AR164*Parametri_v3!$C$15+Z164*Parametri_v3!$C$16</f>
        <v>42258.7085416667</v>
      </c>
      <c r="AU164" s="15" t="n">
        <f aca="false">Q164*Parametri_v3!$C$16*Parametri_v3!$C$17</f>
        <v>350</v>
      </c>
      <c r="AV164" s="17" t="n">
        <f aca="false">BD163</f>
        <v>127.086902616998</v>
      </c>
      <c r="AW164" s="17" t="n">
        <f aca="false">AV164*(1-(1-INDEX(Ipotesi!$C$34:$G$34,1,F164))^(1/12))</f>
        <v>1.11094426011523</v>
      </c>
      <c r="AX164" s="15" t="n">
        <f aca="false">ROUND(INDEX(Ipotesi!$C$32:$G$32,1,F164)*Ipotesi!E8,0)</f>
        <v>434</v>
      </c>
      <c r="AY164" s="15" t="n">
        <f aca="false">MAX(0,(AX164-(AV164-AW164))/(13-E164))</f>
        <v>34.2248935159019</v>
      </c>
      <c r="AZ164" s="15" t="n">
        <f aca="false">MIN(P164*Parametri_v3!$C$22,Q164*(1-Parametri_v3!$C$16)*Parametri_v3!$C$23)</f>
        <v>225</v>
      </c>
      <c r="BA164" s="15" t="n">
        <f aca="false">IF(OR(INDEX(Ipotesi!$C$35:$G$35,1,F164)&lt;=0,40-Parametri_v3!$C$21&lt;1),0,INDEX($AT$125:$AT$184,MAX(1,40-Parametri_v3!$C$21))/(INDEX(Ipotesi!$C$35:$G$35,1,F164)*Ipotesi!E27))</f>
        <v>8.80389761284722</v>
      </c>
      <c r="BB164" s="15" t="n">
        <f aca="false">IF(40-Parametri_v3!$C$21&lt;1,0,INDEX($AU$125:$AU$184,MAX(1,40-Parametri_v3!$C$21)))*Parametri_v3!$C$18*Parametri_v3!$C$19*Parametri_v3!$C$20</f>
        <v>13.125</v>
      </c>
      <c r="BC164" s="17" t="n">
        <f aca="false">MAX(0,MIN(AY164,BA164,BB164,MAX(0,AZ164-(AV164-AW164))))</f>
        <v>8.80389761284722</v>
      </c>
      <c r="BD164" s="17" t="n">
        <f aca="false">AV164-AW164+BC164</f>
        <v>134.77985596973</v>
      </c>
      <c r="BE164" s="17" t="n">
        <f aca="false">(AV164+BD164)/2</f>
        <v>130.933379293364</v>
      </c>
      <c r="BF164" s="15" t="n">
        <f aca="false">BE164*INDEX(Ipotesi!$C$33:$G$33,1,F164)*H164/12</f>
        <v>65466.6896466821</v>
      </c>
      <c r="BG164" s="15" t="n">
        <f aca="false">BD164*INDEX(Ipotesi!$C$33:$G$33,1,F164)*H164</f>
        <v>808679.135818381</v>
      </c>
      <c r="BH164" s="15" t="n">
        <f aca="false">AM164*INDEX(Ipotesi!$C$37:$G$37,1,F164)</f>
        <v>9024.16666666667</v>
      </c>
      <c r="BI164" s="15" t="n">
        <f aca="false">AQ164+BF164+BH164</f>
        <v>144560.856313349</v>
      </c>
      <c r="BJ164" s="15" t="n">
        <f aca="false">INDEX(Ipotesi!$C$68:$G$68,1,F164)*Ipotesi!$C$69/12</f>
        <v>3000</v>
      </c>
      <c r="BK164" s="15" t="n">
        <f aca="false">INDEX(Ipotesi!$C$68:$G$68,1,F164)*(1-Ipotesi!$C$69)/12</f>
        <v>4500</v>
      </c>
      <c r="BL164" s="15" t="n">
        <f aca="false">(AQ164+BF164)*Ipotesi!$C$67</f>
        <v>4066.10068940046</v>
      </c>
      <c r="BM164" s="15" t="n">
        <f aca="false">AM164*Ipotesi!$C$67</f>
        <v>2707.25</v>
      </c>
      <c r="BN164" s="15" t="n">
        <f aca="false">INDEX(Ipotesi!$C$72:$G$72,1,F164)/12*Ipotesi!E126+BF164*Ipotesi!$C$73</f>
        <v>6487.33517173457</v>
      </c>
      <c r="BO164" s="15" t="n">
        <f aca="false">INDEX(Ipotesi!$C$74:$G$74,1,F164)/12*Ipotesi!E126</f>
        <v>4166.66666666667</v>
      </c>
      <c r="BP164" s="15" t="n">
        <f aca="false">INDEX(Ipotesi!$C$76:$G$76,1,F164)/12</f>
        <v>1500</v>
      </c>
      <c r="BQ164" s="15" t="n">
        <f aca="false">INDEX(Ipotesi!$C$77:$G$77,1,F164)/12*Ipotesi!E126</f>
        <v>2083.33333333333</v>
      </c>
      <c r="BR164" s="15" t="n">
        <f aca="false">INDEX(Ipotesi!$C$78:$G$78,1,F164)/12</f>
        <v>2000</v>
      </c>
      <c r="BS164" s="15" t="n">
        <f aca="false">SUM(M164:R164)*(Ipotesi!$C$85+Ipotesi!$C$86)/12</f>
        <v>6125</v>
      </c>
      <c r="BT164" s="15" t="n">
        <f aca="false">BI164*Ipotesi!$C$87</f>
        <v>4336.82568940046</v>
      </c>
      <c r="BU164" s="15" t="n">
        <f aca="false">INDEX(Ipotesi!$C$55:$G$55,1,F164)*K164/12</f>
        <v>2000</v>
      </c>
      <c r="BV164" s="15" t="n">
        <f aca="false">INDEX(Ipotesi!$C$80:$G$80,1,F164)/12*Ipotesi!E126</f>
        <v>1666.66666666667</v>
      </c>
      <c r="BW164" s="15" t="n">
        <f aca="false">INDEX(Ipotesi!$C$82:$G$82,1,F164)/12</f>
        <v>1250</v>
      </c>
      <c r="BX164" s="15" t="n">
        <f aca="false">INDEX(Ipotesi!$C$83:$G$83,1,F164)/12</f>
        <v>750</v>
      </c>
      <c r="BY164" s="15" t="n">
        <f aca="false">SUM(S164:U164)*(Ipotesi!$C$85+Ipotesi!$C$86)/12</f>
        <v>2479.16666666667</v>
      </c>
      <c r="BZ164" s="15" t="n">
        <f aca="false">AM164*Ipotesi!$C$87</f>
        <v>2707.25</v>
      </c>
      <c r="CA164" s="15" t="n">
        <f aca="false">AB164+BJ164+BL164+BN164+BO164+AR164+BP164+BQ164+BR164+BS164+BT164</f>
        <v>158155.012175536</v>
      </c>
      <c r="CB164" s="15" t="n">
        <f aca="false">AC164+BK164+BM164+BH164+BU164+BV164+AS164+BW164+BX164+BY164+BZ164</f>
        <v>62580.173375</v>
      </c>
      <c r="CC164" s="15" t="n">
        <f aca="false">BI164-CA164</f>
        <v>-13594.1558621868</v>
      </c>
      <c r="CD164" s="15" t="n">
        <f aca="false">AM164-CB164</f>
        <v>27661.4932916667</v>
      </c>
      <c r="CE164" s="15" t="n">
        <f aca="false">INDEX(Ipotesi!$C$79:$G$79,1,F164)/12</f>
        <v>3333.33333333333</v>
      </c>
      <c r="CF164" s="15" t="n">
        <f aca="false">INDEX(Ipotesi!$C$84:$G$84,1,F164)/12</f>
        <v>666.666666666667</v>
      </c>
      <c r="CG164" s="15" t="n">
        <f aca="false">Y164*MAX(0,Parametri_v3!$C$12-IF(P164=0,0,MIN(1,BE164/(P164*Parametri_v3!$C$22))))+W164*Parametri_v3!$C$13+X164*Parametri_v3!$C$14</f>
        <v>30462.7983852042</v>
      </c>
      <c r="CH164" s="15" t="n">
        <f aca="false">AB164*Parametri_v3!$C$32</f>
        <v>4823.65419791667</v>
      </c>
      <c r="CI164" s="15" t="n">
        <f aca="false">AC164*Parametri_v3!$C$32</f>
        <v>1691.45033541667</v>
      </c>
      <c r="CJ164" s="15" t="n">
        <f aca="false">CA164-AB164</f>
        <v>61681.9282172022</v>
      </c>
      <c r="CK164" s="15" t="n">
        <f aca="false">CB164-AC164-BH164</f>
        <v>19727</v>
      </c>
      <c r="CL164" s="15" t="n">
        <f aca="false">BF164*Ipotesi!$C$73+INDEX(Ipotesi!$C$72:$G$72,1,F164)/12*Ipotesi!E126*Parametri_v3!$C$58+Z164*(1-Parametri_v3!$C$16)</f>
        <v>12633.9245467346</v>
      </c>
      <c r="CM164" s="16" t="n">
        <f aca="false">IF(BF164=0,0,1-CL164/BF164)</f>
        <v>0.807017513564246</v>
      </c>
    </row>
    <row r="165" customFormat="false" ht="18" hidden="false" customHeight="true" outlineLevel="0" collapsed="false">
      <c r="A165" s="68" t="n">
        <f aca="false">3</f>
        <v>3</v>
      </c>
      <c r="B165" s="68" t="n">
        <f aca="false">41</f>
        <v>41</v>
      </c>
      <c r="C165" s="18" t="n">
        <f aca="false">EDATE(Parametri_v3!$C$5,41-1)</f>
        <v>47604</v>
      </c>
      <c r="D165" s="68" t="n">
        <f aca="false">YEAR(C165)</f>
        <v>2030</v>
      </c>
      <c r="E165" s="68" t="n">
        <f aca="false">MONTH(C165)</f>
        <v>5</v>
      </c>
      <c r="F165" s="68" t="n">
        <f aca="false">INT((41-1)/12)+1</f>
        <v>4</v>
      </c>
      <c r="G165" s="15" t="n">
        <f aca="false">Ipotesi!E7</f>
        <v>1.25</v>
      </c>
      <c r="H165" s="15" t="n">
        <f aca="false">Ipotesi!E9</f>
        <v>1</v>
      </c>
      <c r="I165" s="15" t="n">
        <f aca="false">Ipotesi!E10</f>
        <v>1</v>
      </c>
      <c r="J165" s="15" t="n">
        <f aca="false">Ipotesi!E11</f>
        <v>1</v>
      </c>
      <c r="K165" s="15" t="n">
        <f aca="false">Ipotesi!E12</f>
        <v>1</v>
      </c>
      <c r="L165" s="15" t="n">
        <f aca="false">Ipotesi!E13</f>
        <v>90</v>
      </c>
      <c r="M165" s="17" t="n">
        <f aca="false">INDEX(Ipotesi!$C$40:$G$40,1,F165)</f>
        <v>1</v>
      </c>
      <c r="N165" s="17" t="n">
        <f aca="false">INDEX(Ipotesi!$C$41:$G$41,1,F165)</f>
        <v>1</v>
      </c>
      <c r="O165" s="17" t="n">
        <f aca="false">INDEX(Ipotesi!$C$42:$G$42,1,F165)*Ipotesi!E125</f>
        <v>6.5</v>
      </c>
      <c r="P165" s="17" t="n">
        <f aca="false">INDEX(Ipotesi!$C$43:$G$43,1,F165)*I165</f>
        <v>6</v>
      </c>
      <c r="Q165" s="17" t="n">
        <f aca="false">INDEX(Ipotesi!$C$44:$G$44,1,F165)*I165</f>
        <v>5</v>
      </c>
      <c r="R165" s="17" t="n">
        <f aca="false">INDEX(Ipotesi!$C$45:$G$45,1,F165)*I165</f>
        <v>1.5</v>
      </c>
      <c r="S165" s="17" t="n">
        <f aca="false">INDEX(Ipotesi!$C$52:$G$52,1,F165)*Ipotesi!E125</f>
        <v>7</v>
      </c>
      <c r="T165" s="17" t="n">
        <f aca="false">INDEX(Ipotesi!$C$53:$G$53,1,F165)*I165</f>
        <v>1</v>
      </c>
      <c r="U165" s="17" t="n">
        <f aca="false">INDEX(Ipotesi!$C$54:$G$54,1,F165)*I165</f>
        <v>0.5</v>
      </c>
      <c r="V165" s="15" t="n">
        <f aca="false">M165*INDEX(Ipotesi!$C$58:$G$58,1,F165)*K165/12</f>
        <v>7916.66666666667</v>
      </c>
      <c r="W165" s="15" t="n">
        <f aca="false">N165*Ipotesi!$C$59*(1+Ipotesi!$C$66)^(F165-1)/12</f>
        <v>6374.24083333333</v>
      </c>
      <c r="X165" s="15" t="n">
        <f aca="false">O165*Ipotesi!$C$60*(1+Ipotesi!$C$66)^(F165-1)/12</f>
        <v>29594.6895833333</v>
      </c>
      <c r="Y165" s="15" t="n">
        <f aca="false">P165*Ipotesi!$C$61*(1+Ipotesi!$C$66)^(F165-1)/12</f>
        <v>27318.175</v>
      </c>
      <c r="Z165" s="15" t="n">
        <f aca="false">Q165*Ipotesi!$C$62*(1+Ipotesi!$C$66)^(F165-1)/12</f>
        <v>20488.63125</v>
      </c>
      <c r="AA165" s="15" t="n">
        <f aca="false">R165*Ipotesi!$C$63*(1+Ipotesi!$C$66)^(F165-1)/12</f>
        <v>4780.680625</v>
      </c>
      <c r="AB165" s="15" t="n">
        <f aca="false">SUM(V165:AA165)</f>
        <v>96473.0839583333</v>
      </c>
      <c r="AC165" s="15" t="n">
        <f aca="false">(S165*Ipotesi!$C$64+T165*Ipotesi!$C$65+U165*Ipotesi!$C$63)*(1+Ipotesi!$C$66)^(F165-1)/12</f>
        <v>33829.0067083333</v>
      </c>
      <c r="AD165" s="15" t="n">
        <f aca="false">INDEX(Ipotesi!$C$48:$G$48,1,F165)*G165/12</f>
        <v>98.9583333333333</v>
      </c>
      <c r="AE165" s="15" t="n">
        <f aca="false">INDEX(Ipotesi!$C$50:$G$50,1,F165)*G165/12</f>
        <v>10.4166666666667</v>
      </c>
      <c r="AF165" s="15" t="n">
        <f aca="false">(S165*Parametri_v3!$C$7*Parametri_v3!$C$8+Parametri_v3!$C$10)/12</f>
        <v>89.8333333333333</v>
      </c>
      <c r="AG165" s="15" t="n">
        <f aca="false">AD165+AE165*(1+Parametri_v3!$C$9)</f>
        <v>114.583333333333</v>
      </c>
      <c r="AH165" s="16" t="n">
        <f aca="false">IF(AG165=0,1,MIN(1,AF165/AG165))</f>
        <v>0.784</v>
      </c>
      <c r="AI165" s="15" t="n">
        <f aca="false">AD165*AH165</f>
        <v>77.5833333333333</v>
      </c>
      <c r="AJ165" s="15" t="n">
        <f aca="false">AE165*AH165</f>
        <v>8.16666666666667</v>
      </c>
      <c r="AK165" s="15" t="n">
        <f aca="false">AI165*INDEX(Ipotesi!$C$49:$G$49,1,F165)*H165</f>
        <v>69825</v>
      </c>
      <c r="AL165" s="15" t="n">
        <f aca="false">AJ165*INDEX(Ipotesi!$C$51:$G$51,1,F165)*H165</f>
        <v>20416.6666666667</v>
      </c>
      <c r="AM165" s="15" t="n">
        <f aca="false">AK165+AL165</f>
        <v>90241.6666666667</v>
      </c>
      <c r="AN165" s="15" t="n">
        <f aca="false">INDEX(Ipotesi!$C$30:$G$30,1,F165)*G165/12</f>
        <v>77.0833333333333</v>
      </c>
      <c r="AO165" s="15" t="n">
        <f aca="false">O165*Parametri_v3!$C$7*Parametri_v3!$C$11*(1-Parametri_v3!$C$14)/12</f>
        <v>66.7333333333333</v>
      </c>
      <c r="AP165" s="15" t="n">
        <f aca="false">MIN(AN165,AO165)</f>
        <v>66.7333333333333</v>
      </c>
      <c r="AQ165" s="15" t="n">
        <f aca="false">AP165*INDEX(Ipotesi!$C$31:$G$31,1,F165)*H165</f>
        <v>70070</v>
      </c>
      <c r="AR165" s="15" t="n">
        <f aca="false">INDEX(Ipotesi!$C$75:$G$75,1,F165)*J165/12</f>
        <v>27916.6666666667</v>
      </c>
      <c r="AS165" s="15" t="n">
        <f aca="false">INDEX(Ipotesi!$C$81:$G$81,1,F165)*J165/12</f>
        <v>1666.66666666667</v>
      </c>
      <c r="AT165" s="15" t="n">
        <f aca="false">AR165*Parametri_v3!$C$15+Z165*Parametri_v3!$C$16</f>
        <v>42258.7085416667</v>
      </c>
      <c r="AU165" s="15" t="n">
        <f aca="false">Q165*Parametri_v3!$C$16*Parametri_v3!$C$17</f>
        <v>350</v>
      </c>
      <c r="AV165" s="17" t="n">
        <f aca="false">BD164</f>
        <v>134.77985596973</v>
      </c>
      <c r="AW165" s="17" t="n">
        <f aca="false">AV165*(1-(1-INDEX(Ipotesi!$C$34:$G$34,1,F165))^(1/12))</f>
        <v>1.17819306541744</v>
      </c>
      <c r="AX165" s="15" t="n">
        <f aca="false">ROUND(INDEX(Ipotesi!$C$32:$G$32,1,F165)*Ipotesi!E8,0)</f>
        <v>434</v>
      </c>
      <c r="AY165" s="15" t="n">
        <f aca="false">MAX(0,(AX165-(AV165-AW165))/(13-E165))</f>
        <v>37.5497921369609</v>
      </c>
      <c r="AZ165" s="15" t="n">
        <f aca="false">MIN(P165*Parametri_v3!$C$22,Q165*(1-Parametri_v3!$C$16)*Parametri_v3!$C$23)</f>
        <v>225</v>
      </c>
      <c r="BA165" s="15" t="n">
        <f aca="false">IF(OR(INDEX(Ipotesi!$C$35:$G$35,1,F165)&lt;=0,41-Parametri_v3!$C$21&lt;1),0,INDEX($AT$125:$AT$184,MAX(1,41-Parametri_v3!$C$21))/(INDEX(Ipotesi!$C$35:$G$35,1,F165)*Ipotesi!E27))</f>
        <v>8.80389761284722</v>
      </c>
      <c r="BB165" s="15" t="n">
        <f aca="false">IF(41-Parametri_v3!$C$21&lt;1,0,INDEX($AU$125:$AU$184,MAX(1,41-Parametri_v3!$C$21)))*Parametri_v3!$C$18*Parametri_v3!$C$19*Parametri_v3!$C$20</f>
        <v>13.125</v>
      </c>
      <c r="BC165" s="17" t="n">
        <f aca="false">MAX(0,MIN(AY165,BA165,BB165,MAX(0,AZ165-(AV165-AW165))))</f>
        <v>8.80389761284722</v>
      </c>
      <c r="BD165" s="17" t="n">
        <f aca="false">AV165-AW165+BC165</f>
        <v>142.40556051716</v>
      </c>
      <c r="BE165" s="17" t="n">
        <f aca="false">(AV165+BD165)/2</f>
        <v>138.592708243445</v>
      </c>
      <c r="BF165" s="15" t="n">
        <f aca="false">BE165*INDEX(Ipotesi!$C$33:$G$33,1,F165)*H165/12</f>
        <v>69296.3541217225</v>
      </c>
      <c r="BG165" s="15" t="n">
        <f aca="false">BD165*INDEX(Ipotesi!$C$33:$G$33,1,F165)*H165</f>
        <v>854433.36310296</v>
      </c>
      <c r="BH165" s="15" t="n">
        <f aca="false">AM165*INDEX(Ipotesi!$C$37:$G$37,1,F165)</f>
        <v>9024.16666666667</v>
      </c>
      <c r="BI165" s="15" t="n">
        <f aca="false">AQ165+BF165+BH165</f>
        <v>148390.520788389</v>
      </c>
      <c r="BJ165" s="15" t="n">
        <f aca="false">INDEX(Ipotesi!$C$68:$G$68,1,F165)*Ipotesi!$C$69/12</f>
        <v>3000</v>
      </c>
      <c r="BK165" s="15" t="n">
        <f aca="false">INDEX(Ipotesi!$C$68:$G$68,1,F165)*(1-Ipotesi!$C$69)/12</f>
        <v>4500</v>
      </c>
      <c r="BL165" s="15" t="n">
        <f aca="false">(AQ165+BF165)*Ipotesi!$C$67</f>
        <v>4180.99062365168</v>
      </c>
      <c r="BM165" s="15" t="n">
        <f aca="false">AM165*Ipotesi!$C$67</f>
        <v>2707.25</v>
      </c>
      <c r="BN165" s="15" t="n">
        <f aca="false">INDEX(Ipotesi!$C$72:$G$72,1,F165)/12*Ipotesi!E126+BF165*Ipotesi!$C$73</f>
        <v>6793.7083297378</v>
      </c>
      <c r="BO165" s="15" t="n">
        <f aca="false">INDEX(Ipotesi!$C$74:$G$74,1,F165)/12*Ipotesi!E126</f>
        <v>4166.66666666667</v>
      </c>
      <c r="BP165" s="15" t="n">
        <f aca="false">INDEX(Ipotesi!$C$76:$G$76,1,F165)/12</f>
        <v>1500</v>
      </c>
      <c r="BQ165" s="15" t="n">
        <f aca="false">INDEX(Ipotesi!$C$77:$G$77,1,F165)/12*Ipotesi!E126</f>
        <v>2083.33333333333</v>
      </c>
      <c r="BR165" s="15" t="n">
        <f aca="false">INDEX(Ipotesi!$C$78:$G$78,1,F165)/12</f>
        <v>2000</v>
      </c>
      <c r="BS165" s="15" t="n">
        <f aca="false">SUM(M165:R165)*(Ipotesi!$C$85+Ipotesi!$C$86)/12</f>
        <v>6125</v>
      </c>
      <c r="BT165" s="15" t="n">
        <f aca="false">BI165*Ipotesi!$C$87</f>
        <v>4451.71562365168</v>
      </c>
      <c r="BU165" s="15" t="n">
        <f aca="false">INDEX(Ipotesi!$C$55:$G$55,1,F165)*K165/12</f>
        <v>2000</v>
      </c>
      <c r="BV165" s="15" t="n">
        <f aca="false">INDEX(Ipotesi!$C$80:$G$80,1,F165)/12*Ipotesi!E126</f>
        <v>1666.66666666667</v>
      </c>
      <c r="BW165" s="15" t="n">
        <f aca="false">INDEX(Ipotesi!$C$82:$G$82,1,F165)/12</f>
        <v>1250</v>
      </c>
      <c r="BX165" s="15" t="n">
        <f aca="false">INDEX(Ipotesi!$C$83:$G$83,1,F165)/12</f>
        <v>750</v>
      </c>
      <c r="BY165" s="15" t="n">
        <f aca="false">SUM(S165:U165)*(Ipotesi!$C$85+Ipotesi!$C$86)/12</f>
        <v>2479.16666666667</v>
      </c>
      <c r="BZ165" s="15" t="n">
        <f aca="false">AM165*Ipotesi!$C$87</f>
        <v>2707.25</v>
      </c>
      <c r="CA165" s="15" t="n">
        <f aca="false">AB165+BJ165+BL165+BN165+BO165+AR165+BP165+BQ165+BR165+BS165+BT165</f>
        <v>158691.165202041</v>
      </c>
      <c r="CB165" s="15" t="n">
        <f aca="false">AC165+BK165+BM165+BH165+BU165+BV165+AS165+BW165+BX165+BY165+BZ165</f>
        <v>62580.173375</v>
      </c>
      <c r="CC165" s="15" t="n">
        <f aca="false">BI165-CA165</f>
        <v>-10300.644413652</v>
      </c>
      <c r="CD165" s="15" t="n">
        <f aca="false">AM165-CB165</f>
        <v>27661.4932916667</v>
      </c>
      <c r="CE165" s="15" t="n">
        <f aca="false">INDEX(Ipotesi!$C$79:$G$79,1,F165)/12</f>
        <v>3333.33333333333</v>
      </c>
      <c r="CF165" s="15" t="n">
        <f aca="false">INDEX(Ipotesi!$C$84:$G$84,1,F165)/12</f>
        <v>666.666666666667</v>
      </c>
      <c r="CG165" s="15" t="n">
        <f aca="false">Y165*MAX(0,Parametri_v3!$C$12-IF(P165=0,0,MIN(1,BE165/(P165*Parametri_v3!$C$22))))+W165*Parametri_v3!$C$13+X165*Parametri_v3!$C$14</f>
        <v>30114.066904136</v>
      </c>
      <c r="CH165" s="15" t="n">
        <f aca="false">AB165*Parametri_v3!$C$32</f>
        <v>4823.65419791667</v>
      </c>
      <c r="CI165" s="15" t="n">
        <f aca="false">AC165*Parametri_v3!$C$32</f>
        <v>1691.45033541667</v>
      </c>
      <c r="CJ165" s="15" t="n">
        <f aca="false">CA165-AB165</f>
        <v>62218.0812437078</v>
      </c>
      <c r="CK165" s="15" t="n">
        <f aca="false">CB165-AC165-BH165</f>
        <v>19727</v>
      </c>
      <c r="CL165" s="15" t="n">
        <f aca="false">BF165*Ipotesi!$C$73+INDEX(Ipotesi!$C$72:$G$72,1,F165)/12*Ipotesi!E126*Parametri_v3!$C$58+Z165*(1-Parametri_v3!$C$16)</f>
        <v>12940.2977047378</v>
      </c>
      <c r="CM165" s="16" t="n">
        <f aca="false">IF(BF165=0,0,1-CL165/BF165)</f>
        <v>0.81326149306488</v>
      </c>
    </row>
    <row r="166" customFormat="false" ht="18" hidden="false" customHeight="true" outlineLevel="0" collapsed="false">
      <c r="A166" s="68" t="n">
        <f aca="false">3</f>
        <v>3</v>
      </c>
      <c r="B166" s="68" t="n">
        <f aca="false">42</f>
        <v>42</v>
      </c>
      <c r="C166" s="18" t="n">
        <f aca="false">EDATE(Parametri_v3!$C$5,42-1)</f>
        <v>47635</v>
      </c>
      <c r="D166" s="68" t="n">
        <f aca="false">YEAR(C166)</f>
        <v>2030</v>
      </c>
      <c r="E166" s="68" t="n">
        <f aca="false">MONTH(C166)</f>
        <v>6</v>
      </c>
      <c r="F166" s="68" t="n">
        <f aca="false">INT((42-1)/12)+1</f>
        <v>4</v>
      </c>
      <c r="G166" s="15" t="n">
        <f aca="false">Ipotesi!E7</f>
        <v>1.25</v>
      </c>
      <c r="H166" s="15" t="n">
        <f aca="false">Ipotesi!E9</f>
        <v>1</v>
      </c>
      <c r="I166" s="15" t="n">
        <f aca="false">Ipotesi!E10</f>
        <v>1</v>
      </c>
      <c r="J166" s="15" t="n">
        <f aca="false">Ipotesi!E11</f>
        <v>1</v>
      </c>
      <c r="K166" s="15" t="n">
        <f aca="false">Ipotesi!E12</f>
        <v>1</v>
      </c>
      <c r="L166" s="15" t="n">
        <f aca="false">Ipotesi!E13</f>
        <v>90</v>
      </c>
      <c r="M166" s="17" t="n">
        <f aca="false">INDEX(Ipotesi!$C$40:$G$40,1,F166)</f>
        <v>1</v>
      </c>
      <c r="N166" s="17" t="n">
        <f aca="false">INDEX(Ipotesi!$C$41:$G$41,1,F166)</f>
        <v>1</v>
      </c>
      <c r="O166" s="17" t="n">
        <f aca="false">INDEX(Ipotesi!$C$42:$G$42,1,F166)*Ipotesi!E125</f>
        <v>6.5</v>
      </c>
      <c r="P166" s="17" t="n">
        <f aca="false">INDEX(Ipotesi!$C$43:$G$43,1,F166)*I166</f>
        <v>6</v>
      </c>
      <c r="Q166" s="17" t="n">
        <f aca="false">INDEX(Ipotesi!$C$44:$G$44,1,F166)*I166</f>
        <v>5</v>
      </c>
      <c r="R166" s="17" t="n">
        <f aca="false">INDEX(Ipotesi!$C$45:$G$45,1,F166)*I166</f>
        <v>1.5</v>
      </c>
      <c r="S166" s="17" t="n">
        <f aca="false">INDEX(Ipotesi!$C$52:$G$52,1,F166)*Ipotesi!E125</f>
        <v>7</v>
      </c>
      <c r="T166" s="17" t="n">
        <f aca="false">INDEX(Ipotesi!$C$53:$G$53,1,F166)*I166</f>
        <v>1</v>
      </c>
      <c r="U166" s="17" t="n">
        <f aca="false">INDEX(Ipotesi!$C$54:$G$54,1,F166)*I166</f>
        <v>0.5</v>
      </c>
      <c r="V166" s="15" t="n">
        <f aca="false">M166*INDEX(Ipotesi!$C$58:$G$58,1,F166)*K166/12</f>
        <v>7916.66666666667</v>
      </c>
      <c r="W166" s="15" t="n">
        <f aca="false">N166*Ipotesi!$C$59*(1+Ipotesi!$C$66)^(F166-1)/12</f>
        <v>6374.24083333333</v>
      </c>
      <c r="X166" s="15" t="n">
        <f aca="false">O166*Ipotesi!$C$60*(1+Ipotesi!$C$66)^(F166-1)/12</f>
        <v>29594.6895833333</v>
      </c>
      <c r="Y166" s="15" t="n">
        <f aca="false">P166*Ipotesi!$C$61*(1+Ipotesi!$C$66)^(F166-1)/12</f>
        <v>27318.175</v>
      </c>
      <c r="Z166" s="15" t="n">
        <f aca="false">Q166*Ipotesi!$C$62*(1+Ipotesi!$C$66)^(F166-1)/12</f>
        <v>20488.63125</v>
      </c>
      <c r="AA166" s="15" t="n">
        <f aca="false">R166*Ipotesi!$C$63*(1+Ipotesi!$C$66)^(F166-1)/12</f>
        <v>4780.680625</v>
      </c>
      <c r="AB166" s="15" t="n">
        <f aca="false">SUM(V166:AA166)</f>
        <v>96473.0839583333</v>
      </c>
      <c r="AC166" s="15" t="n">
        <f aca="false">(S166*Ipotesi!$C$64+T166*Ipotesi!$C$65+U166*Ipotesi!$C$63)*(1+Ipotesi!$C$66)^(F166-1)/12</f>
        <v>33829.0067083333</v>
      </c>
      <c r="AD166" s="15" t="n">
        <f aca="false">INDEX(Ipotesi!$C$48:$G$48,1,F166)*G166/12</f>
        <v>98.9583333333333</v>
      </c>
      <c r="AE166" s="15" t="n">
        <f aca="false">INDEX(Ipotesi!$C$50:$G$50,1,F166)*G166/12</f>
        <v>10.4166666666667</v>
      </c>
      <c r="AF166" s="15" t="n">
        <f aca="false">(S166*Parametri_v3!$C$7*Parametri_v3!$C$8+Parametri_v3!$C$10)/12</f>
        <v>89.8333333333333</v>
      </c>
      <c r="AG166" s="15" t="n">
        <f aca="false">AD166+AE166*(1+Parametri_v3!$C$9)</f>
        <v>114.583333333333</v>
      </c>
      <c r="AH166" s="16" t="n">
        <f aca="false">IF(AG166=0,1,MIN(1,AF166/AG166))</f>
        <v>0.784</v>
      </c>
      <c r="AI166" s="15" t="n">
        <f aca="false">AD166*AH166</f>
        <v>77.5833333333333</v>
      </c>
      <c r="AJ166" s="15" t="n">
        <f aca="false">AE166*AH166</f>
        <v>8.16666666666667</v>
      </c>
      <c r="AK166" s="15" t="n">
        <f aca="false">AI166*INDEX(Ipotesi!$C$49:$G$49,1,F166)*H166</f>
        <v>69825</v>
      </c>
      <c r="AL166" s="15" t="n">
        <f aca="false">AJ166*INDEX(Ipotesi!$C$51:$G$51,1,F166)*H166</f>
        <v>20416.6666666667</v>
      </c>
      <c r="AM166" s="15" t="n">
        <f aca="false">AK166+AL166</f>
        <v>90241.6666666667</v>
      </c>
      <c r="AN166" s="15" t="n">
        <f aca="false">INDEX(Ipotesi!$C$30:$G$30,1,F166)*G166/12</f>
        <v>77.0833333333333</v>
      </c>
      <c r="AO166" s="15" t="n">
        <f aca="false">O166*Parametri_v3!$C$7*Parametri_v3!$C$11*(1-Parametri_v3!$C$14)/12</f>
        <v>66.7333333333333</v>
      </c>
      <c r="AP166" s="15" t="n">
        <f aca="false">MIN(AN166,AO166)</f>
        <v>66.7333333333333</v>
      </c>
      <c r="AQ166" s="15" t="n">
        <f aca="false">AP166*INDEX(Ipotesi!$C$31:$G$31,1,F166)*H166</f>
        <v>70070</v>
      </c>
      <c r="AR166" s="15" t="n">
        <f aca="false">INDEX(Ipotesi!$C$75:$G$75,1,F166)*J166/12</f>
        <v>27916.6666666667</v>
      </c>
      <c r="AS166" s="15" t="n">
        <f aca="false">INDEX(Ipotesi!$C$81:$G$81,1,F166)*J166/12</f>
        <v>1666.66666666667</v>
      </c>
      <c r="AT166" s="15" t="n">
        <f aca="false">AR166*Parametri_v3!$C$15+Z166*Parametri_v3!$C$16</f>
        <v>42258.7085416667</v>
      </c>
      <c r="AU166" s="15" t="n">
        <f aca="false">Q166*Parametri_v3!$C$16*Parametri_v3!$C$17</f>
        <v>350</v>
      </c>
      <c r="AV166" s="17" t="n">
        <f aca="false">BD165</f>
        <v>142.40556051716</v>
      </c>
      <c r="AW166" s="17" t="n">
        <f aca="false">AV166*(1-(1-INDEX(Ipotesi!$C$34:$G$34,1,F166))^(1/12))</f>
        <v>1.24485400782653</v>
      </c>
      <c r="AX166" s="15" t="n">
        <f aca="false">ROUND(INDEX(Ipotesi!$C$32:$G$32,1,F166)*Ipotesi!E8,0)</f>
        <v>434</v>
      </c>
      <c r="AY166" s="15" t="n">
        <f aca="false">MAX(0,(AX166-(AV166-AW166))/(13-E166))</f>
        <v>41.8341847843809</v>
      </c>
      <c r="AZ166" s="15" t="n">
        <f aca="false">MIN(P166*Parametri_v3!$C$22,Q166*(1-Parametri_v3!$C$16)*Parametri_v3!$C$23)</f>
        <v>225</v>
      </c>
      <c r="BA166" s="15" t="n">
        <f aca="false">IF(OR(INDEX(Ipotesi!$C$35:$G$35,1,F166)&lt;=0,42-Parametri_v3!$C$21&lt;1),0,INDEX($AT$125:$AT$184,MAX(1,42-Parametri_v3!$C$21))/(INDEX(Ipotesi!$C$35:$G$35,1,F166)*Ipotesi!E27))</f>
        <v>8.80389761284722</v>
      </c>
      <c r="BB166" s="15" t="n">
        <f aca="false">IF(42-Parametri_v3!$C$21&lt;1,0,INDEX($AU$125:$AU$184,MAX(1,42-Parametri_v3!$C$21)))*Parametri_v3!$C$18*Parametri_v3!$C$19*Parametri_v3!$C$20</f>
        <v>13.125</v>
      </c>
      <c r="BC166" s="17" t="n">
        <f aca="false">MAX(0,MIN(AY166,BA166,BB166,MAX(0,AZ166-(AV166-AW166))))</f>
        <v>8.80389761284722</v>
      </c>
      <c r="BD166" s="17" t="n">
        <f aca="false">AV166-AW166+BC166</f>
        <v>149.964604122181</v>
      </c>
      <c r="BE166" s="17" t="n">
        <f aca="false">(AV166+BD166)/2</f>
        <v>146.18508231967</v>
      </c>
      <c r="BF166" s="15" t="n">
        <f aca="false">BE166*INDEX(Ipotesi!$C$33:$G$33,1,F166)*H166/12</f>
        <v>73092.5411598351</v>
      </c>
      <c r="BG166" s="15" t="n">
        <f aca="false">BD166*INDEX(Ipotesi!$C$33:$G$33,1,F166)*H166</f>
        <v>899787.624733084</v>
      </c>
      <c r="BH166" s="15" t="n">
        <f aca="false">AM166*INDEX(Ipotesi!$C$37:$G$37,1,F166)</f>
        <v>9024.16666666667</v>
      </c>
      <c r="BI166" s="15" t="n">
        <f aca="false">AQ166+BF166+BH166</f>
        <v>152186.707826502</v>
      </c>
      <c r="BJ166" s="15" t="n">
        <f aca="false">INDEX(Ipotesi!$C$68:$G$68,1,F166)*Ipotesi!$C$69/12</f>
        <v>3000</v>
      </c>
      <c r="BK166" s="15" t="n">
        <f aca="false">INDEX(Ipotesi!$C$68:$G$68,1,F166)*(1-Ipotesi!$C$69)/12</f>
        <v>4500</v>
      </c>
      <c r="BL166" s="15" t="n">
        <f aca="false">(AQ166+BF166)*Ipotesi!$C$67</f>
        <v>4294.87623479505</v>
      </c>
      <c r="BM166" s="15" t="n">
        <f aca="false">AM166*Ipotesi!$C$67</f>
        <v>2707.25</v>
      </c>
      <c r="BN166" s="15" t="n">
        <f aca="false">INDEX(Ipotesi!$C$72:$G$72,1,F166)/12*Ipotesi!E126+BF166*Ipotesi!$C$73</f>
        <v>7097.40329278681</v>
      </c>
      <c r="BO166" s="15" t="n">
        <f aca="false">INDEX(Ipotesi!$C$74:$G$74,1,F166)/12*Ipotesi!E126</f>
        <v>4166.66666666667</v>
      </c>
      <c r="BP166" s="15" t="n">
        <f aca="false">INDEX(Ipotesi!$C$76:$G$76,1,F166)/12</f>
        <v>1500</v>
      </c>
      <c r="BQ166" s="15" t="n">
        <f aca="false">INDEX(Ipotesi!$C$77:$G$77,1,F166)/12*Ipotesi!E126</f>
        <v>2083.33333333333</v>
      </c>
      <c r="BR166" s="15" t="n">
        <f aca="false">INDEX(Ipotesi!$C$78:$G$78,1,F166)/12</f>
        <v>2000</v>
      </c>
      <c r="BS166" s="15" t="n">
        <f aca="false">SUM(M166:R166)*(Ipotesi!$C$85+Ipotesi!$C$86)/12</f>
        <v>6125</v>
      </c>
      <c r="BT166" s="15" t="n">
        <f aca="false">BI166*Ipotesi!$C$87</f>
        <v>4565.60123479505</v>
      </c>
      <c r="BU166" s="15" t="n">
        <f aca="false">INDEX(Ipotesi!$C$55:$G$55,1,F166)*K166/12</f>
        <v>2000</v>
      </c>
      <c r="BV166" s="15" t="n">
        <f aca="false">INDEX(Ipotesi!$C$80:$G$80,1,F166)/12*Ipotesi!E126</f>
        <v>1666.66666666667</v>
      </c>
      <c r="BW166" s="15" t="n">
        <f aca="false">INDEX(Ipotesi!$C$82:$G$82,1,F166)/12</f>
        <v>1250</v>
      </c>
      <c r="BX166" s="15" t="n">
        <f aca="false">INDEX(Ipotesi!$C$83:$G$83,1,F166)/12</f>
        <v>750</v>
      </c>
      <c r="BY166" s="15" t="n">
        <f aca="false">SUM(S166:U166)*(Ipotesi!$C$85+Ipotesi!$C$86)/12</f>
        <v>2479.16666666667</v>
      </c>
      <c r="BZ166" s="15" t="n">
        <f aca="false">AM166*Ipotesi!$C$87</f>
        <v>2707.25</v>
      </c>
      <c r="CA166" s="15" t="n">
        <f aca="false">AB166+BJ166+BL166+BN166+BO166+AR166+BP166+BQ166+BR166+BS166+BT166</f>
        <v>159222.631387377</v>
      </c>
      <c r="CB166" s="15" t="n">
        <f aca="false">AC166+BK166+BM166+BH166+BU166+BV166+AS166+BW166+BX166+BY166+BZ166</f>
        <v>62580.173375</v>
      </c>
      <c r="CC166" s="15" t="n">
        <f aca="false">BI166-CA166</f>
        <v>-7035.92356087515</v>
      </c>
      <c r="CD166" s="15" t="n">
        <f aca="false">AM166-CB166</f>
        <v>27661.4932916667</v>
      </c>
      <c r="CE166" s="15" t="n">
        <f aca="false">INDEX(Ipotesi!$C$79:$G$79,1,F166)/12</f>
        <v>3333.33333333333</v>
      </c>
      <c r="CF166" s="15" t="n">
        <f aca="false">INDEX(Ipotesi!$C$84:$G$84,1,F166)/12</f>
        <v>666.666666666667</v>
      </c>
      <c r="CG166" s="15" t="n">
        <f aca="false">Y166*MAX(0,Parametri_v3!$C$12-IF(P166=0,0,MIN(1,BE166/(P166*Parametri_v3!$C$22))))+W166*Parametri_v3!$C$13+X166*Parametri_v3!$C$14</f>
        <v>29768.3838980031</v>
      </c>
      <c r="CH166" s="15" t="n">
        <f aca="false">AB166*Parametri_v3!$C$32</f>
        <v>4823.65419791667</v>
      </c>
      <c r="CI166" s="15" t="n">
        <f aca="false">AC166*Parametri_v3!$C$32</f>
        <v>1691.45033541667</v>
      </c>
      <c r="CJ166" s="15" t="n">
        <f aca="false">CA166-AB166</f>
        <v>62749.5474290436</v>
      </c>
      <c r="CK166" s="15" t="n">
        <f aca="false">CB166-AC166-BH166</f>
        <v>19727</v>
      </c>
      <c r="CL166" s="15" t="n">
        <f aca="false">BF166*Ipotesi!$C$73+INDEX(Ipotesi!$C$72:$G$72,1,F166)/12*Ipotesi!E126*Parametri_v3!$C$58+Z166*(1-Parametri_v3!$C$16)</f>
        <v>13243.9926677868</v>
      </c>
      <c r="CM166" s="16" t="n">
        <f aca="false">IF(BF166=0,0,1-CL166/BF166)</f>
        <v>0.818805141295806</v>
      </c>
    </row>
    <row r="167" customFormat="false" ht="18" hidden="false" customHeight="true" outlineLevel="0" collapsed="false">
      <c r="A167" s="68" t="n">
        <f aca="false">3</f>
        <v>3</v>
      </c>
      <c r="B167" s="68" t="n">
        <f aca="false">43</f>
        <v>43</v>
      </c>
      <c r="C167" s="18" t="n">
        <f aca="false">EDATE(Parametri_v3!$C$5,43-1)</f>
        <v>47665</v>
      </c>
      <c r="D167" s="68" t="n">
        <f aca="false">YEAR(C167)</f>
        <v>2030</v>
      </c>
      <c r="E167" s="68" t="n">
        <f aca="false">MONTH(C167)</f>
        <v>7</v>
      </c>
      <c r="F167" s="68" t="n">
        <f aca="false">INT((43-1)/12)+1</f>
        <v>4</v>
      </c>
      <c r="G167" s="15" t="n">
        <f aca="false">Ipotesi!E7</f>
        <v>1.25</v>
      </c>
      <c r="H167" s="15" t="n">
        <f aca="false">Ipotesi!E9</f>
        <v>1</v>
      </c>
      <c r="I167" s="15" t="n">
        <f aca="false">Ipotesi!E10</f>
        <v>1</v>
      </c>
      <c r="J167" s="15" t="n">
        <f aca="false">Ipotesi!E11</f>
        <v>1</v>
      </c>
      <c r="K167" s="15" t="n">
        <f aca="false">Ipotesi!E12</f>
        <v>1</v>
      </c>
      <c r="L167" s="15" t="n">
        <f aca="false">Ipotesi!E13</f>
        <v>90</v>
      </c>
      <c r="M167" s="17" t="n">
        <f aca="false">INDEX(Ipotesi!$C$40:$G$40,1,F167)</f>
        <v>1</v>
      </c>
      <c r="N167" s="17" t="n">
        <f aca="false">INDEX(Ipotesi!$C$41:$G$41,1,F167)</f>
        <v>1</v>
      </c>
      <c r="O167" s="17" t="n">
        <f aca="false">INDEX(Ipotesi!$C$42:$G$42,1,F167)*Ipotesi!E125</f>
        <v>6.5</v>
      </c>
      <c r="P167" s="17" t="n">
        <f aca="false">INDEX(Ipotesi!$C$43:$G$43,1,F167)*I167</f>
        <v>6</v>
      </c>
      <c r="Q167" s="17" t="n">
        <f aca="false">INDEX(Ipotesi!$C$44:$G$44,1,F167)*I167</f>
        <v>5</v>
      </c>
      <c r="R167" s="17" t="n">
        <f aca="false">INDEX(Ipotesi!$C$45:$G$45,1,F167)*I167</f>
        <v>1.5</v>
      </c>
      <c r="S167" s="17" t="n">
        <f aca="false">INDEX(Ipotesi!$C$52:$G$52,1,F167)*Ipotesi!E125</f>
        <v>7</v>
      </c>
      <c r="T167" s="17" t="n">
        <f aca="false">INDEX(Ipotesi!$C$53:$G$53,1,F167)*I167</f>
        <v>1</v>
      </c>
      <c r="U167" s="17" t="n">
        <f aca="false">INDEX(Ipotesi!$C$54:$G$54,1,F167)*I167</f>
        <v>0.5</v>
      </c>
      <c r="V167" s="15" t="n">
        <f aca="false">M167*INDEX(Ipotesi!$C$58:$G$58,1,F167)*K167/12</f>
        <v>7916.66666666667</v>
      </c>
      <c r="W167" s="15" t="n">
        <f aca="false">N167*Ipotesi!$C$59*(1+Ipotesi!$C$66)^(F167-1)/12</f>
        <v>6374.24083333333</v>
      </c>
      <c r="X167" s="15" t="n">
        <f aca="false">O167*Ipotesi!$C$60*(1+Ipotesi!$C$66)^(F167-1)/12</f>
        <v>29594.6895833333</v>
      </c>
      <c r="Y167" s="15" t="n">
        <f aca="false">P167*Ipotesi!$C$61*(1+Ipotesi!$C$66)^(F167-1)/12</f>
        <v>27318.175</v>
      </c>
      <c r="Z167" s="15" t="n">
        <f aca="false">Q167*Ipotesi!$C$62*(1+Ipotesi!$C$66)^(F167-1)/12</f>
        <v>20488.63125</v>
      </c>
      <c r="AA167" s="15" t="n">
        <f aca="false">R167*Ipotesi!$C$63*(1+Ipotesi!$C$66)^(F167-1)/12</f>
        <v>4780.680625</v>
      </c>
      <c r="AB167" s="15" t="n">
        <f aca="false">SUM(V167:AA167)</f>
        <v>96473.0839583333</v>
      </c>
      <c r="AC167" s="15" t="n">
        <f aca="false">(S167*Ipotesi!$C$64+T167*Ipotesi!$C$65+U167*Ipotesi!$C$63)*(1+Ipotesi!$C$66)^(F167-1)/12</f>
        <v>33829.0067083333</v>
      </c>
      <c r="AD167" s="15" t="n">
        <f aca="false">INDEX(Ipotesi!$C$48:$G$48,1,F167)*G167/12</f>
        <v>98.9583333333333</v>
      </c>
      <c r="AE167" s="15" t="n">
        <f aca="false">INDEX(Ipotesi!$C$50:$G$50,1,F167)*G167/12</f>
        <v>10.4166666666667</v>
      </c>
      <c r="AF167" s="15" t="n">
        <f aca="false">(S167*Parametri_v3!$C$7*Parametri_v3!$C$8+Parametri_v3!$C$10)/12</f>
        <v>89.8333333333333</v>
      </c>
      <c r="AG167" s="15" t="n">
        <f aca="false">AD167+AE167*(1+Parametri_v3!$C$9)</f>
        <v>114.583333333333</v>
      </c>
      <c r="AH167" s="16" t="n">
        <f aca="false">IF(AG167=0,1,MIN(1,AF167/AG167))</f>
        <v>0.784</v>
      </c>
      <c r="AI167" s="15" t="n">
        <f aca="false">AD167*AH167</f>
        <v>77.5833333333333</v>
      </c>
      <c r="AJ167" s="15" t="n">
        <f aca="false">AE167*AH167</f>
        <v>8.16666666666667</v>
      </c>
      <c r="AK167" s="15" t="n">
        <f aca="false">AI167*INDEX(Ipotesi!$C$49:$G$49,1,F167)*H167</f>
        <v>69825</v>
      </c>
      <c r="AL167" s="15" t="n">
        <f aca="false">AJ167*INDEX(Ipotesi!$C$51:$G$51,1,F167)*H167</f>
        <v>20416.6666666667</v>
      </c>
      <c r="AM167" s="15" t="n">
        <f aca="false">AK167+AL167</f>
        <v>90241.6666666667</v>
      </c>
      <c r="AN167" s="15" t="n">
        <f aca="false">INDEX(Ipotesi!$C$30:$G$30,1,F167)*G167/12</f>
        <v>77.0833333333333</v>
      </c>
      <c r="AO167" s="15" t="n">
        <f aca="false">O167*Parametri_v3!$C$7*Parametri_v3!$C$11*(1-Parametri_v3!$C$14)/12</f>
        <v>66.7333333333333</v>
      </c>
      <c r="AP167" s="15" t="n">
        <f aca="false">MIN(AN167,AO167)</f>
        <v>66.7333333333333</v>
      </c>
      <c r="AQ167" s="15" t="n">
        <f aca="false">AP167*INDEX(Ipotesi!$C$31:$G$31,1,F167)*H167</f>
        <v>70070</v>
      </c>
      <c r="AR167" s="15" t="n">
        <f aca="false">INDEX(Ipotesi!$C$75:$G$75,1,F167)*J167/12</f>
        <v>27916.6666666667</v>
      </c>
      <c r="AS167" s="15" t="n">
        <f aca="false">INDEX(Ipotesi!$C$81:$G$81,1,F167)*J167/12</f>
        <v>1666.66666666667</v>
      </c>
      <c r="AT167" s="15" t="n">
        <f aca="false">AR167*Parametri_v3!$C$15+Z167*Parametri_v3!$C$16</f>
        <v>42258.7085416667</v>
      </c>
      <c r="AU167" s="15" t="n">
        <f aca="false">Q167*Parametri_v3!$C$16*Parametri_v3!$C$17</f>
        <v>350</v>
      </c>
      <c r="AV167" s="17" t="n">
        <f aca="false">BD166</f>
        <v>149.964604122181</v>
      </c>
      <c r="AW167" s="17" t="n">
        <f aca="false">AV167*(1-(1-INDEX(Ipotesi!$C$34:$G$34,1,F167))^(1/12))</f>
        <v>1.31093222621121</v>
      </c>
      <c r="AX167" s="15" t="n">
        <f aca="false">ROUND(INDEX(Ipotesi!$C$32:$G$32,1,F167)*Ipotesi!E8,0)</f>
        <v>434</v>
      </c>
      <c r="AY167" s="15" t="n">
        <f aca="false">MAX(0,(AX167-(AV167-AW167))/(13-E167))</f>
        <v>47.5577213506718</v>
      </c>
      <c r="AZ167" s="15" t="n">
        <f aca="false">MIN(P167*Parametri_v3!$C$22,Q167*(1-Parametri_v3!$C$16)*Parametri_v3!$C$23)</f>
        <v>225</v>
      </c>
      <c r="BA167" s="15" t="n">
        <f aca="false">IF(OR(INDEX(Ipotesi!$C$35:$G$35,1,F167)&lt;=0,43-Parametri_v3!$C$21&lt;1),0,INDEX($AT$125:$AT$184,MAX(1,43-Parametri_v3!$C$21))/(INDEX(Ipotesi!$C$35:$G$35,1,F167)*Ipotesi!E27))</f>
        <v>8.80389761284722</v>
      </c>
      <c r="BB167" s="15" t="n">
        <f aca="false">IF(43-Parametri_v3!$C$21&lt;1,0,INDEX($AU$125:$AU$184,MAX(1,43-Parametri_v3!$C$21)))*Parametri_v3!$C$18*Parametri_v3!$C$19*Parametri_v3!$C$20</f>
        <v>13.125</v>
      </c>
      <c r="BC167" s="17" t="n">
        <f aca="false">MAX(0,MIN(AY167,BA167,BB167,MAX(0,AZ167-(AV167-AW167))))</f>
        <v>8.80389761284722</v>
      </c>
      <c r="BD167" s="17" t="n">
        <f aca="false">AV167-AW167+BC167</f>
        <v>157.457569508817</v>
      </c>
      <c r="BE167" s="17" t="n">
        <f aca="false">(AV167+BD167)/2</f>
        <v>153.711086815499</v>
      </c>
      <c r="BF167" s="15" t="n">
        <f aca="false">BE167*INDEX(Ipotesi!$C$33:$G$33,1,F167)*H167/12</f>
        <v>76855.5434077493</v>
      </c>
      <c r="BG167" s="15" t="n">
        <f aca="false">BD167*INDEX(Ipotesi!$C$33:$G$33,1,F167)*H167</f>
        <v>944745.4170529</v>
      </c>
      <c r="BH167" s="15" t="n">
        <f aca="false">AM167*INDEX(Ipotesi!$C$37:$G$37,1,F167)</f>
        <v>9024.16666666667</v>
      </c>
      <c r="BI167" s="15" t="n">
        <f aca="false">AQ167+BF167+BH167</f>
        <v>155949.710074416</v>
      </c>
      <c r="BJ167" s="15" t="n">
        <f aca="false">INDEX(Ipotesi!$C$68:$G$68,1,F167)*Ipotesi!$C$69/12</f>
        <v>3000</v>
      </c>
      <c r="BK167" s="15" t="n">
        <f aca="false">INDEX(Ipotesi!$C$68:$G$68,1,F167)*(1-Ipotesi!$C$69)/12</f>
        <v>4500</v>
      </c>
      <c r="BL167" s="15" t="n">
        <f aca="false">(AQ167+BF167)*Ipotesi!$C$67</f>
        <v>4407.76630223248</v>
      </c>
      <c r="BM167" s="15" t="n">
        <f aca="false">AM167*Ipotesi!$C$67</f>
        <v>2707.25</v>
      </c>
      <c r="BN167" s="15" t="n">
        <f aca="false">INDEX(Ipotesi!$C$72:$G$72,1,F167)/12*Ipotesi!E126+BF167*Ipotesi!$C$73</f>
        <v>7398.44347261995</v>
      </c>
      <c r="BO167" s="15" t="n">
        <f aca="false">INDEX(Ipotesi!$C$74:$G$74,1,F167)/12*Ipotesi!E126</f>
        <v>4166.66666666667</v>
      </c>
      <c r="BP167" s="15" t="n">
        <f aca="false">INDEX(Ipotesi!$C$76:$G$76,1,F167)/12</f>
        <v>1500</v>
      </c>
      <c r="BQ167" s="15" t="n">
        <f aca="false">INDEX(Ipotesi!$C$77:$G$77,1,F167)/12*Ipotesi!E126</f>
        <v>2083.33333333333</v>
      </c>
      <c r="BR167" s="15" t="n">
        <f aca="false">INDEX(Ipotesi!$C$78:$G$78,1,F167)/12</f>
        <v>2000</v>
      </c>
      <c r="BS167" s="15" t="n">
        <f aca="false">SUM(M167:R167)*(Ipotesi!$C$85+Ipotesi!$C$86)/12</f>
        <v>6125</v>
      </c>
      <c r="BT167" s="15" t="n">
        <f aca="false">BI167*Ipotesi!$C$87</f>
        <v>4678.49130223248</v>
      </c>
      <c r="BU167" s="15" t="n">
        <f aca="false">INDEX(Ipotesi!$C$55:$G$55,1,F167)*K167/12</f>
        <v>2000</v>
      </c>
      <c r="BV167" s="15" t="n">
        <f aca="false">INDEX(Ipotesi!$C$80:$G$80,1,F167)/12*Ipotesi!E126</f>
        <v>1666.66666666667</v>
      </c>
      <c r="BW167" s="15" t="n">
        <f aca="false">INDEX(Ipotesi!$C$82:$G$82,1,F167)/12</f>
        <v>1250</v>
      </c>
      <c r="BX167" s="15" t="n">
        <f aca="false">INDEX(Ipotesi!$C$83:$G$83,1,F167)/12</f>
        <v>750</v>
      </c>
      <c r="BY167" s="15" t="n">
        <f aca="false">SUM(S167:U167)*(Ipotesi!$C$85+Ipotesi!$C$86)/12</f>
        <v>2479.16666666667</v>
      </c>
      <c r="BZ167" s="15" t="n">
        <f aca="false">AM167*Ipotesi!$C$87</f>
        <v>2707.25</v>
      </c>
      <c r="CA167" s="15" t="n">
        <f aca="false">AB167+BJ167+BL167+BN167+BO167+AR167+BP167+BQ167+BR167+BS167+BT167</f>
        <v>159749.451702085</v>
      </c>
      <c r="CB167" s="15" t="n">
        <f aca="false">AC167+BK167+BM167+BH167+BU167+BV167+AS167+BW167+BX167+BY167+BZ167</f>
        <v>62580.173375</v>
      </c>
      <c r="CC167" s="15" t="n">
        <f aca="false">BI167-CA167</f>
        <v>-3799.74162766893</v>
      </c>
      <c r="CD167" s="15" t="n">
        <f aca="false">AM167-CB167</f>
        <v>27661.4932916667</v>
      </c>
      <c r="CE167" s="15" t="n">
        <f aca="false">INDEX(Ipotesi!$C$79:$G$79,1,F167)/12</f>
        <v>3333.33333333333</v>
      </c>
      <c r="CF167" s="15" t="n">
        <f aca="false">INDEX(Ipotesi!$C$84:$G$84,1,F167)/12</f>
        <v>666.666666666667</v>
      </c>
      <c r="CG167" s="15" t="n">
        <f aca="false">Y167*MAX(0,Parametri_v3!$C$12-IF(P167=0,0,MIN(1,BE167/(P167*Parametri_v3!$C$22))))+W167*Parametri_v3!$C$13+X167*Parametri_v3!$C$14</f>
        <v>29425.7227182234</v>
      </c>
      <c r="CH167" s="15" t="n">
        <f aca="false">AB167*Parametri_v3!$C$32</f>
        <v>4823.65419791667</v>
      </c>
      <c r="CI167" s="15" t="n">
        <f aca="false">AC167*Parametri_v3!$C$32</f>
        <v>1691.45033541667</v>
      </c>
      <c r="CJ167" s="15" t="n">
        <f aca="false">CA167-AB167</f>
        <v>63276.3677437516</v>
      </c>
      <c r="CK167" s="15" t="n">
        <f aca="false">CB167-AC167-BH167</f>
        <v>19727</v>
      </c>
      <c r="CL167" s="15" t="n">
        <f aca="false">BF167*Ipotesi!$C$73+INDEX(Ipotesi!$C$72:$G$72,1,F167)/12*Ipotesi!E126*Parametri_v3!$C$58+Z167*(1-Parametri_v3!$C$16)</f>
        <v>13545.0328476199</v>
      </c>
      <c r="CM167" s="16" t="n">
        <f aca="false">IF(BF167=0,0,1-CL167/BF167)</f>
        <v>0.823759845457625</v>
      </c>
    </row>
    <row r="168" customFormat="false" ht="18" hidden="false" customHeight="true" outlineLevel="0" collapsed="false">
      <c r="A168" s="68" t="n">
        <f aca="false">3</f>
        <v>3</v>
      </c>
      <c r="B168" s="68" t="n">
        <f aca="false">44</f>
        <v>44</v>
      </c>
      <c r="C168" s="18" t="n">
        <f aca="false">EDATE(Parametri_v3!$C$5,44-1)</f>
        <v>47696</v>
      </c>
      <c r="D168" s="68" t="n">
        <f aca="false">YEAR(C168)</f>
        <v>2030</v>
      </c>
      <c r="E168" s="68" t="n">
        <f aca="false">MONTH(C168)</f>
        <v>8</v>
      </c>
      <c r="F168" s="68" t="n">
        <f aca="false">INT((44-1)/12)+1</f>
        <v>4</v>
      </c>
      <c r="G168" s="15" t="n">
        <f aca="false">Ipotesi!E7</f>
        <v>1.25</v>
      </c>
      <c r="H168" s="15" t="n">
        <f aca="false">Ipotesi!E9</f>
        <v>1</v>
      </c>
      <c r="I168" s="15" t="n">
        <f aca="false">Ipotesi!E10</f>
        <v>1</v>
      </c>
      <c r="J168" s="15" t="n">
        <f aca="false">Ipotesi!E11</f>
        <v>1</v>
      </c>
      <c r="K168" s="15" t="n">
        <f aca="false">Ipotesi!E12</f>
        <v>1</v>
      </c>
      <c r="L168" s="15" t="n">
        <f aca="false">Ipotesi!E13</f>
        <v>90</v>
      </c>
      <c r="M168" s="17" t="n">
        <f aca="false">INDEX(Ipotesi!$C$40:$G$40,1,F168)</f>
        <v>1</v>
      </c>
      <c r="N168" s="17" t="n">
        <f aca="false">INDEX(Ipotesi!$C$41:$G$41,1,F168)</f>
        <v>1</v>
      </c>
      <c r="O168" s="17" t="n">
        <f aca="false">INDEX(Ipotesi!$C$42:$G$42,1,F168)*Ipotesi!E125</f>
        <v>6.5</v>
      </c>
      <c r="P168" s="17" t="n">
        <f aca="false">INDEX(Ipotesi!$C$43:$G$43,1,F168)*I168</f>
        <v>6</v>
      </c>
      <c r="Q168" s="17" t="n">
        <f aca="false">INDEX(Ipotesi!$C$44:$G$44,1,F168)*I168</f>
        <v>5</v>
      </c>
      <c r="R168" s="17" t="n">
        <f aca="false">INDEX(Ipotesi!$C$45:$G$45,1,F168)*I168</f>
        <v>1.5</v>
      </c>
      <c r="S168" s="17" t="n">
        <f aca="false">INDEX(Ipotesi!$C$52:$G$52,1,F168)*Ipotesi!E125</f>
        <v>7</v>
      </c>
      <c r="T168" s="17" t="n">
        <f aca="false">INDEX(Ipotesi!$C$53:$G$53,1,F168)*I168</f>
        <v>1</v>
      </c>
      <c r="U168" s="17" t="n">
        <f aca="false">INDEX(Ipotesi!$C$54:$G$54,1,F168)*I168</f>
        <v>0.5</v>
      </c>
      <c r="V168" s="15" t="n">
        <f aca="false">M168*INDEX(Ipotesi!$C$58:$G$58,1,F168)*K168/12</f>
        <v>7916.66666666667</v>
      </c>
      <c r="W168" s="15" t="n">
        <f aca="false">N168*Ipotesi!$C$59*(1+Ipotesi!$C$66)^(F168-1)/12</f>
        <v>6374.24083333333</v>
      </c>
      <c r="X168" s="15" t="n">
        <f aca="false">O168*Ipotesi!$C$60*(1+Ipotesi!$C$66)^(F168-1)/12</f>
        <v>29594.6895833333</v>
      </c>
      <c r="Y168" s="15" t="n">
        <f aca="false">P168*Ipotesi!$C$61*(1+Ipotesi!$C$66)^(F168-1)/12</f>
        <v>27318.175</v>
      </c>
      <c r="Z168" s="15" t="n">
        <f aca="false">Q168*Ipotesi!$C$62*(1+Ipotesi!$C$66)^(F168-1)/12</f>
        <v>20488.63125</v>
      </c>
      <c r="AA168" s="15" t="n">
        <f aca="false">R168*Ipotesi!$C$63*(1+Ipotesi!$C$66)^(F168-1)/12</f>
        <v>4780.680625</v>
      </c>
      <c r="AB168" s="15" t="n">
        <f aca="false">SUM(V168:AA168)</f>
        <v>96473.0839583333</v>
      </c>
      <c r="AC168" s="15" t="n">
        <f aca="false">(S168*Ipotesi!$C$64+T168*Ipotesi!$C$65+U168*Ipotesi!$C$63)*(1+Ipotesi!$C$66)^(F168-1)/12</f>
        <v>33829.0067083333</v>
      </c>
      <c r="AD168" s="15" t="n">
        <f aca="false">INDEX(Ipotesi!$C$48:$G$48,1,F168)*G168/12</f>
        <v>98.9583333333333</v>
      </c>
      <c r="AE168" s="15" t="n">
        <f aca="false">INDEX(Ipotesi!$C$50:$G$50,1,F168)*G168/12</f>
        <v>10.4166666666667</v>
      </c>
      <c r="AF168" s="15" t="n">
        <f aca="false">(S168*Parametri_v3!$C$7*Parametri_v3!$C$8+Parametri_v3!$C$10)/12</f>
        <v>89.8333333333333</v>
      </c>
      <c r="AG168" s="15" t="n">
        <f aca="false">AD168+AE168*(1+Parametri_v3!$C$9)</f>
        <v>114.583333333333</v>
      </c>
      <c r="AH168" s="16" t="n">
        <f aca="false">IF(AG168=0,1,MIN(1,AF168/AG168))</f>
        <v>0.784</v>
      </c>
      <c r="AI168" s="15" t="n">
        <f aca="false">AD168*AH168</f>
        <v>77.5833333333333</v>
      </c>
      <c r="AJ168" s="15" t="n">
        <f aca="false">AE168*AH168</f>
        <v>8.16666666666667</v>
      </c>
      <c r="AK168" s="15" t="n">
        <f aca="false">AI168*INDEX(Ipotesi!$C$49:$G$49,1,F168)*H168</f>
        <v>69825</v>
      </c>
      <c r="AL168" s="15" t="n">
        <f aca="false">AJ168*INDEX(Ipotesi!$C$51:$G$51,1,F168)*H168</f>
        <v>20416.6666666667</v>
      </c>
      <c r="AM168" s="15" t="n">
        <f aca="false">AK168+AL168</f>
        <v>90241.6666666667</v>
      </c>
      <c r="AN168" s="15" t="n">
        <f aca="false">INDEX(Ipotesi!$C$30:$G$30,1,F168)*G168/12</f>
        <v>77.0833333333333</v>
      </c>
      <c r="AO168" s="15" t="n">
        <f aca="false">O168*Parametri_v3!$C$7*Parametri_v3!$C$11*(1-Parametri_v3!$C$14)/12</f>
        <v>66.7333333333333</v>
      </c>
      <c r="AP168" s="15" t="n">
        <f aca="false">MIN(AN168,AO168)</f>
        <v>66.7333333333333</v>
      </c>
      <c r="AQ168" s="15" t="n">
        <f aca="false">AP168*INDEX(Ipotesi!$C$31:$G$31,1,F168)*H168</f>
        <v>70070</v>
      </c>
      <c r="AR168" s="15" t="n">
        <f aca="false">INDEX(Ipotesi!$C$75:$G$75,1,F168)*J168/12</f>
        <v>27916.6666666667</v>
      </c>
      <c r="AS168" s="15" t="n">
        <f aca="false">INDEX(Ipotesi!$C$81:$G$81,1,F168)*J168/12</f>
        <v>1666.66666666667</v>
      </c>
      <c r="AT168" s="15" t="n">
        <f aca="false">AR168*Parametri_v3!$C$15+Z168*Parametri_v3!$C$16</f>
        <v>42258.7085416667</v>
      </c>
      <c r="AU168" s="15" t="n">
        <f aca="false">Q168*Parametri_v3!$C$16*Parametri_v3!$C$17</f>
        <v>350</v>
      </c>
      <c r="AV168" s="17" t="n">
        <f aca="false">BD167</f>
        <v>157.457569508817</v>
      </c>
      <c r="AW168" s="17" t="n">
        <f aca="false">AV168*(1-(1-INDEX(Ipotesi!$C$34:$G$34,1,F168))^(1/12))</f>
        <v>1.37643281451819</v>
      </c>
      <c r="AX168" s="15" t="n">
        <f aca="false">ROUND(INDEX(Ipotesi!$C$32:$G$32,1,F168)*Ipotesi!E8,0)</f>
        <v>434</v>
      </c>
      <c r="AY168" s="15" t="n">
        <f aca="false">MAX(0,(AX168-(AV168-AW168))/(13-E168))</f>
        <v>55.5837726611403</v>
      </c>
      <c r="AZ168" s="15" t="n">
        <f aca="false">MIN(P168*Parametri_v3!$C$22,Q168*(1-Parametri_v3!$C$16)*Parametri_v3!$C$23)</f>
        <v>225</v>
      </c>
      <c r="BA168" s="15" t="n">
        <f aca="false">IF(OR(INDEX(Ipotesi!$C$35:$G$35,1,F168)&lt;=0,44-Parametri_v3!$C$21&lt;1),0,INDEX($AT$125:$AT$184,MAX(1,44-Parametri_v3!$C$21))/(INDEX(Ipotesi!$C$35:$G$35,1,F168)*Ipotesi!E27))</f>
        <v>8.80389761284722</v>
      </c>
      <c r="BB168" s="15" t="n">
        <f aca="false">IF(44-Parametri_v3!$C$21&lt;1,0,INDEX($AU$125:$AU$184,MAX(1,44-Parametri_v3!$C$21)))*Parametri_v3!$C$18*Parametri_v3!$C$19*Parametri_v3!$C$20</f>
        <v>13.125</v>
      </c>
      <c r="BC168" s="17" t="n">
        <f aca="false">MAX(0,MIN(AY168,BA168,BB168,MAX(0,AZ168-(AV168-AW168))))</f>
        <v>8.80389761284722</v>
      </c>
      <c r="BD168" s="17" t="n">
        <f aca="false">AV168-AW168+BC168</f>
        <v>164.885034307146</v>
      </c>
      <c r="BE168" s="17" t="n">
        <f aca="false">(AV168+BD168)/2</f>
        <v>161.171301907981</v>
      </c>
      <c r="BF168" s="15" t="n">
        <f aca="false">BE168*INDEX(Ipotesi!$C$33:$G$33,1,F168)*H168/12</f>
        <v>80585.6509539906</v>
      </c>
      <c r="BG168" s="15" t="n">
        <f aca="false">BD168*INDEX(Ipotesi!$C$33:$G$33,1,F168)*H168</f>
        <v>989310.205842874</v>
      </c>
      <c r="BH168" s="15" t="n">
        <f aca="false">AM168*INDEX(Ipotesi!$C$37:$G$37,1,F168)</f>
        <v>9024.16666666667</v>
      </c>
      <c r="BI168" s="15" t="n">
        <f aca="false">AQ168+BF168+BH168</f>
        <v>159679.817620657</v>
      </c>
      <c r="BJ168" s="15" t="n">
        <f aca="false">INDEX(Ipotesi!$C$68:$G$68,1,F168)*Ipotesi!$C$69/12</f>
        <v>3000</v>
      </c>
      <c r="BK168" s="15" t="n">
        <f aca="false">INDEX(Ipotesi!$C$68:$G$68,1,F168)*(1-Ipotesi!$C$69)/12</f>
        <v>4500</v>
      </c>
      <c r="BL168" s="15" t="n">
        <f aca="false">(AQ168+BF168)*Ipotesi!$C$67</f>
        <v>4519.66952861972</v>
      </c>
      <c r="BM168" s="15" t="n">
        <f aca="false">AM168*Ipotesi!$C$67</f>
        <v>2707.25</v>
      </c>
      <c r="BN168" s="15" t="n">
        <f aca="false">INDEX(Ipotesi!$C$72:$G$72,1,F168)/12*Ipotesi!E126+BF168*Ipotesi!$C$73</f>
        <v>7696.85207631925</v>
      </c>
      <c r="BO168" s="15" t="n">
        <f aca="false">INDEX(Ipotesi!$C$74:$G$74,1,F168)/12*Ipotesi!E126</f>
        <v>4166.66666666667</v>
      </c>
      <c r="BP168" s="15" t="n">
        <f aca="false">INDEX(Ipotesi!$C$76:$G$76,1,F168)/12</f>
        <v>1500</v>
      </c>
      <c r="BQ168" s="15" t="n">
        <f aca="false">INDEX(Ipotesi!$C$77:$G$77,1,F168)/12*Ipotesi!E126</f>
        <v>2083.33333333333</v>
      </c>
      <c r="BR168" s="15" t="n">
        <f aca="false">INDEX(Ipotesi!$C$78:$G$78,1,F168)/12</f>
        <v>2000</v>
      </c>
      <c r="BS168" s="15" t="n">
        <f aca="false">SUM(M168:R168)*(Ipotesi!$C$85+Ipotesi!$C$86)/12</f>
        <v>6125</v>
      </c>
      <c r="BT168" s="15" t="n">
        <f aca="false">BI168*Ipotesi!$C$87</f>
        <v>4790.39452861972</v>
      </c>
      <c r="BU168" s="15" t="n">
        <f aca="false">INDEX(Ipotesi!$C$55:$G$55,1,F168)*K168/12</f>
        <v>2000</v>
      </c>
      <c r="BV168" s="15" t="n">
        <f aca="false">INDEX(Ipotesi!$C$80:$G$80,1,F168)/12*Ipotesi!E126</f>
        <v>1666.66666666667</v>
      </c>
      <c r="BW168" s="15" t="n">
        <f aca="false">INDEX(Ipotesi!$C$82:$G$82,1,F168)/12</f>
        <v>1250</v>
      </c>
      <c r="BX168" s="15" t="n">
        <f aca="false">INDEX(Ipotesi!$C$83:$G$83,1,F168)/12</f>
        <v>750</v>
      </c>
      <c r="BY168" s="15" t="n">
        <f aca="false">SUM(S168:U168)*(Ipotesi!$C$85+Ipotesi!$C$86)/12</f>
        <v>2479.16666666667</v>
      </c>
      <c r="BZ168" s="15" t="n">
        <f aca="false">AM168*Ipotesi!$C$87</f>
        <v>2707.25</v>
      </c>
      <c r="CA168" s="15" t="n">
        <f aca="false">AB168+BJ168+BL168+BN168+BO168+AR168+BP168+BQ168+BR168+BS168+BT168</f>
        <v>160271.666758559</v>
      </c>
      <c r="CB168" s="15" t="n">
        <f aca="false">AC168+BK168+BM168+BH168+BU168+BV168+AS168+BW168+BX168+BY168+BZ168</f>
        <v>62580.173375</v>
      </c>
      <c r="CC168" s="15" t="n">
        <f aca="false">BI168-CA168</f>
        <v>-591.849137901445</v>
      </c>
      <c r="CD168" s="15" t="n">
        <f aca="false">AM168-CB168</f>
        <v>27661.4932916667</v>
      </c>
      <c r="CE168" s="15" t="n">
        <f aca="false">INDEX(Ipotesi!$C$79:$G$79,1,F168)/12</f>
        <v>3333.33333333333</v>
      </c>
      <c r="CF168" s="15" t="n">
        <f aca="false">INDEX(Ipotesi!$C$84:$G$84,1,F168)/12</f>
        <v>666.666666666667</v>
      </c>
      <c r="CG168" s="15" t="n">
        <f aca="false">Y168*MAX(0,Parametri_v3!$C$12-IF(P168=0,0,MIN(1,BE168/(P168*Parametri_v3!$C$22))))+W168*Parametri_v3!$C$13+X168*Parametri_v3!$C$14</f>
        <v>29086.0569491666</v>
      </c>
      <c r="CH168" s="15" t="n">
        <f aca="false">AB168*Parametri_v3!$C$32</f>
        <v>4823.65419791667</v>
      </c>
      <c r="CI168" s="15" t="n">
        <f aca="false">AC168*Parametri_v3!$C$32</f>
        <v>1691.45033541667</v>
      </c>
      <c r="CJ168" s="15" t="n">
        <f aca="false">CA168-AB168</f>
        <v>63798.5828002254</v>
      </c>
      <c r="CK168" s="15" t="n">
        <f aca="false">CB168-AC168-BH168</f>
        <v>19727</v>
      </c>
      <c r="CL168" s="15" t="n">
        <f aca="false">BF168*Ipotesi!$C$73+INDEX(Ipotesi!$C$72:$G$72,1,F168)/12*Ipotesi!E126*Parametri_v3!$C$58+Z168*(1-Parametri_v3!$C$16)</f>
        <v>13843.4414513192</v>
      </c>
      <c r="CM168" s="16" t="n">
        <f aca="false">IF(BF168=0,0,1-CL168/BF168)</f>
        <v>0.828214560688689</v>
      </c>
    </row>
    <row r="169" customFormat="false" ht="18" hidden="false" customHeight="true" outlineLevel="0" collapsed="false">
      <c r="A169" s="68" t="n">
        <f aca="false">3</f>
        <v>3</v>
      </c>
      <c r="B169" s="68" t="n">
        <f aca="false">45</f>
        <v>45</v>
      </c>
      <c r="C169" s="18" t="n">
        <f aca="false">EDATE(Parametri_v3!$C$5,45-1)</f>
        <v>47727</v>
      </c>
      <c r="D169" s="68" t="n">
        <f aca="false">YEAR(C169)</f>
        <v>2030</v>
      </c>
      <c r="E169" s="68" t="n">
        <f aca="false">MONTH(C169)</f>
        <v>9</v>
      </c>
      <c r="F169" s="68" t="n">
        <f aca="false">INT((45-1)/12)+1</f>
        <v>4</v>
      </c>
      <c r="G169" s="15" t="n">
        <f aca="false">Ipotesi!E7</f>
        <v>1.25</v>
      </c>
      <c r="H169" s="15" t="n">
        <f aca="false">Ipotesi!E9</f>
        <v>1</v>
      </c>
      <c r="I169" s="15" t="n">
        <f aca="false">Ipotesi!E10</f>
        <v>1</v>
      </c>
      <c r="J169" s="15" t="n">
        <f aca="false">Ipotesi!E11</f>
        <v>1</v>
      </c>
      <c r="K169" s="15" t="n">
        <f aca="false">Ipotesi!E12</f>
        <v>1</v>
      </c>
      <c r="L169" s="15" t="n">
        <f aca="false">Ipotesi!E13</f>
        <v>90</v>
      </c>
      <c r="M169" s="17" t="n">
        <f aca="false">INDEX(Ipotesi!$C$40:$G$40,1,F169)</f>
        <v>1</v>
      </c>
      <c r="N169" s="17" t="n">
        <f aca="false">INDEX(Ipotesi!$C$41:$G$41,1,F169)</f>
        <v>1</v>
      </c>
      <c r="O169" s="17" t="n">
        <f aca="false">INDEX(Ipotesi!$C$42:$G$42,1,F169)*Ipotesi!E125</f>
        <v>6.5</v>
      </c>
      <c r="P169" s="17" t="n">
        <f aca="false">INDEX(Ipotesi!$C$43:$G$43,1,F169)*I169</f>
        <v>6</v>
      </c>
      <c r="Q169" s="17" t="n">
        <f aca="false">INDEX(Ipotesi!$C$44:$G$44,1,F169)*I169</f>
        <v>5</v>
      </c>
      <c r="R169" s="17" t="n">
        <f aca="false">INDEX(Ipotesi!$C$45:$G$45,1,F169)*I169</f>
        <v>1.5</v>
      </c>
      <c r="S169" s="17" t="n">
        <f aca="false">INDEX(Ipotesi!$C$52:$G$52,1,F169)*Ipotesi!E125</f>
        <v>7</v>
      </c>
      <c r="T169" s="17" t="n">
        <f aca="false">INDEX(Ipotesi!$C$53:$G$53,1,F169)*I169</f>
        <v>1</v>
      </c>
      <c r="U169" s="17" t="n">
        <f aca="false">INDEX(Ipotesi!$C$54:$G$54,1,F169)*I169</f>
        <v>0.5</v>
      </c>
      <c r="V169" s="15" t="n">
        <f aca="false">M169*INDEX(Ipotesi!$C$58:$G$58,1,F169)*K169/12</f>
        <v>7916.66666666667</v>
      </c>
      <c r="W169" s="15" t="n">
        <f aca="false">N169*Ipotesi!$C$59*(1+Ipotesi!$C$66)^(F169-1)/12</f>
        <v>6374.24083333333</v>
      </c>
      <c r="X169" s="15" t="n">
        <f aca="false">O169*Ipotesi!$C$60*(1+Ipotesi!$C$66)^(F169-1)/12</f>
        <v>29594.6895833333</v>
      </c>
      <c r="Y169" s="15" t="n">
        <f aca="false">P169*Ipotesi!$C$61*(1+Ipotesi!$C$66)^(F169-1)/12</f>
        <v>27318.175</v>
      </c>
      <c r="Z169" s="15" t="n">
        <f aca="false">Q169*Ipotesi!$C$62*(1+Ipotesi!$C$66)^(F169-1)/12</f>
        <v>20488.63125</v>
      </c>
      <c r="AA169" s="15" t="n">
        <f aca="false">R169*Ipotesi!$C$63*(1+Ipotesi!$C$66)^(F169-1)/12</f>
        <v>4780.680625</v>
      </c>
      <c r="AB169" s="15" t="n">
        <f aca="false">SUM(V169:AA169)</f>
        <v>96473.0839583333</v>
      </c>
      <c r="AC169" s="15" t="n">
        <f aca="false">(S169*Ipotesi!$C$64+T169*Ipotesi!$C$65+U169*Ipotesi!$C$63)*(1+Ipotesi!$C$66)^(F169-1)/12</f>
        <v>33829.0067083333</v>
      </c>
      <c r="AD169" s="15" t="n">
        <f aca="false">INDEX(Ipotesi!$C$48:$G$48,1,F169)*G169/12</f>
        <v>98.9583333333333</v>
      </c>
      <c r="AE169" s="15" t="n">
        <f aca="false">INDEX(Ipotesi!$C$50:$G$50,1,F169)*G169/12</f>
        <v>10.4166666666667</v>
      </c>
      <c r="AF169" s="15" t="n">
        <f aca="false">(S169*Parametri_v3!$C$7*Parametri_v3!$C$8+Parametri_v3!$C$10)/12</f>
        <v>89.8333333333333</v>
      </c>
      <c r="AG169" s="15" t="n">
        <f aca="false">AD169+AE169*(1+Parametri_v3!$C$9)</f>
        <v>114.583333333333</v>
      </c>
      <c r="AH169" s="16" t="n">
        <f aca="false">IF(AG169=0,1,MIN(1,AF169/AG169))</f>
        <v>0.784</v>
      </c>
      <c r="AI169" s="15" t="n">
        <f aca="false">AD169*AH169</f>
        <v>77.5833333333333</v>
      </c>
      <c r="AJ169" s="15" t="n">
        <f aca="false">AE169*AH169</f>
        <v>8.16666666666667</v>
      </c>
      <c r="AK169" s="15" t="n">
        <f aca="false">AI169*INDEX(Ipotesi!$C$49:$G$49,1,F169)*H169</f>
        <v>69825</v>
      </c>
      <c r="AL169" s="15" t="n">
        <f aca="false">AJ169*INDEX(Ipotesi!$C$51:$G$51,1,F169)*H169</f>
        <v>20416.6666666667</v>
      </c>
      <c r="AM169" s="15" t="n">
        <f aca="false">AK169+AL169</f>
        <v>90241.6666666667</v>
      </c>
      <c r="AN169" s="15" t="n">
        <f aca="false">INDEX(Ipotesi!$C$30:$G$30,1,F169)*G169/12</f>
        <v>77.0833333333333</v>
      </c>
      <c r="AO169" s="15" t="n">
        <f aca="false">O169*Parametri_v3!$C$7*Parametri_v3!$C$11*(1-Parametri_v3!$C$14)/12</f>
        <v>66.7333333333333</v>
      </c>
      <c r="AP169" s="15" t="n">
        <f aca="false">MIN(AN169,AO169)</f>
        <v>66.7333333333333</v>
      </c>
      <c r="AQ169" s="15" t="n">
        <f aca="false">AP169*INDEX(Ipotesi!$C$31:$G$31,1,F169)*H169</f>
        <v>70070</v>
      </c>
      <c r="AR169" s="15" t="n">
        <f aca="false">INDEX(Ipotesi!$C$75:$G$75,1,F169)*J169/12</f>
        <v>27916.6666666667</v>
      </c>
      <c r="AS169" s="15" t="n">
        <f aca="false">INDEX(Ipotesi!$C$81:$G$81,1,F169)*J169/12</f>
        <v>1666.66666666667</v>
      </c>
      <c r="AT169" s="15" t="n">
        <f aca="false">AR169*Parametri_v3!$C$15+Z169*Parametri_v3!$C$16</f>
        <v>42258.7085416667</v>
      </c>
      <c r="AU169" s="15" t="n">
        <f aca="false">Q169*Parametri_v3!$C$16*Parametri_v3!$C$17</f>
        <v>350</v>
      </c>
      <c r="AV169" s="17" t="n">
        <f aca="false">BD168</f>
        <v>164.885034307146</v>
      </c>
      <c r="AW169" s="17" t="n">
        <f aca="false">AV169*(1-(1-INDEX(Ipotesi!$C$34:$G$34,1,F169))^(1/12))</f>
        <v>1.44136082216489</v>
      </c>
      <c r="AX169" s="15" t="n">
        <f aca="false">ROUND(INDEX(Ipotesi!$C$32:$G$32,1,F169)*Ipotesi!E8,0)</f>
        <v>434</v>
      </c>
      <c r="AY169" s="15" t="n">
        <f aca="false">MAX(0,(AX169-(AV169-AW169))/(13-E169))</f>
        <v>67.6390816287548</v>
      </c>
      <c r="AZ169" s="15" t="n">
        <f aca="false">MIN(P169*Parametri_v3!$C$22,Q169*(1-Parametri_v3!$C$16)*Parametri_v3!$C$23)</f>
        <v>225</v>
      </c>
      <c r="BA169" s="15" t="n">
        <f aca="false">IF(OR(INDEX(Ipotesi!$C$35:$G$35,1,F169)&lt;=0,45-Parametri_v3!$C$21&lt;1),0,INDEX($AT$125:$AT$184,MAX(1,45-Parametri_v3!$C$21))/(INDEX(Ipotesi!$C$35:$G$35,1,F169)*Ipotesi!E27))</f>
        <v>8.80389761284722</v>
      </c>
      <c r="BB169" s="15" t="n">
        <f aca="false">IF(45-Parametri_v3!$C$21&lt;1,0,INDEX($AU$125:$AU$184,MAX(1,45-Parametri_v3!$C$21)))*Parametri_v3!$C$18*Parametri_v3!$C$19*Parametri_v3!$C$20</f>
        <v>13.125</v>
      </c>
      <c r="BC169" s="17" t="n">
        <f aca="false">MAX(0,MIN(AY169,BA169,BB169,MAX(0,AZ169-(AV169-AW169))))</f>
        <v>8.80389761284722</v>
      </c>
      <c r="BD169" s="17" t="n">
        <f aca="false">AV169-AW169+BC169</f>
        <v>172.247571097828</v>
      </c>
      <c r="BE169" s="17" t="n">
        <f aca="false">(AV169+BD169)/2</f>
        <v>168.566302702487</v>
      </c>
      <c r="BF169" s="15" t="n">
        <f aca="false">BE169*INDEX(Ipotesi!$C$33:$G$33,1,F169)*H169/12</f>
        <v>84283.1513512434</v>
      </c>
      <c r="BG169" s="15" t="n">
        <f aca="false">BD169*INDEX(Ipotesi!$C$33:$G$33,1,F169)*H169</f>
        <v>1033485.42658697</v>
      </c>
      <c r="BH169" s="15" t="n">
        <f aca="false">AM169*INDEX(Ipotesi!$C$37:$G$37,1,F169)</f>
        <v>9024.16666666667</v>
      </c>
      <c r="BI169" s="15" t="n">
        <f aca="false">AQ169+BF169+BH169</f>
        <v>163377.31801791</v>
      </c>
      <c r="BJ169" s="15" t="n">
        <f aca="false">INDEX(Ipotesi!$C$68:$G$68,1,F169)*Ipotesi!$C$69/12</f>
        <v>3000</v>
      </c>
      <c r="BK169" s="15" t="n">
        <f aca="false">INDEX(Ipotesi!$C$68:$G$68,1,F169)*(1-Ipotesi!$C$69)/12</f>
        <v>4500</v>
      </c>
      <c r="BL169" s="15" t="n">
        <f aca="false">(AQ169+BF169)*Ipotesi!$C$67</f>
        <v>4630.5945405373</v>
      </c>
      <c r="BM169" s="15" t="n">
        <f aca="false">AM169*Ipotesi!$C$67</f>
        <v>2707.25</v>
      </c>
      <c r="BN169" s="15" t="n">
        <f aca="false">INDEX(Ipotesi!$C$72:$G$72,1,F169)/12*Ipotesi!E126+BF169*Ipotesi!$C$73</f>
        <v>7992.65210809947</v>
      </c>
      <c r="BO169" s="15" t="n">
        <f aca="false">INDEX(Ipotesi!$C$74:$G$74,1,F169)/12*Ipotesi!E126</f>
        <v>4166.66666666667</v>
      </c>
      <c r="BP169" s="15" t="n">
        <f aca="false">INDEX(Ipotesi!$C$76:$G$76,1,F169)/12</f>
        <v>1500</v>
      </c>
      <c r="BQ169" s="15" t="n">
        <f aca="false">INDEX(Ipotesi!$C$77:$G$77,1,F169)/12*Ipotesi!E126</f>
        <v>2083.33333333333</v>
      </c>
      <c r="BR169" s="15" t="n">
        <f aca="false">INDEX(Ipotesi!$C$78:$G$78,1,F169)/12</f>
        <v>2000</v>
      </c>
      <c r="BS169" s="15" t="n">
        <f aca="false">SUM(M169:R169)*(Ipotesi!$C$85+Ipotesi!$C$86)/12</f>
        <v>6125</v>
      </c>
      <c r="BT169" s="15" t="n">
        <f aca="false">BI169*Ipotesi!$C$87</f>
        <v>4901.3195405373</v>
      </c>
      <c r="BU169" s="15" t="n">
        <f aca="false">INDEX(Ipotesi!$C$55:$G$55,1,F169)*K169/12</f>
        <v>2000</v>
      </c>
      <c r="BV169" s="15" t="n">
        <f aca="false">INDEX(Ipotesi!$C$80:$G$80,1,F169)/12*Ipotesi!E126</f>
        <v>1666.66666666667</v>
      </c>
      <c r="BW169" s="15" t="n">
        <f aca="false">INDEX(Ipotesi!$C$82:$G$82,1,F169)/12</f>
        <v>1250</v>
      </c>
      <c r="BX169" s="15" t="n">
        <f aca="false">INDEX(Ipotesi!$C$83:$G$83,1,F169)/12</f>
        <v>750</v>
      </c>
      <c r="BY169" s="15" t="n">
        <f aca="false">SUM(S169:U169)*(Ipotesi!$C$85+Ipotesi!$C$86)/12</f>
        <v>2479.16666666667</v>
      </c>
      <c r="BZ169" s="15" t="n">
        <f aca="false">AM169*Ipotesi!$C$87</f>
        <v>2707.25</v>
      </c>
      <c r="CA169" s="15" t="n">
        <f aca="false">AB169+BJ169+BL169+BN169+BO169+AR169+BP169+BQ169+BR169+BS169+BT169</f>
        <v>160789.316814174</v>
      </c>
      <c r="CB169" s="15" t="n">
        <f aca="false">AC169+BK169+BM169+BH169+BU169+BV169+AS169+BW169+BX169+BY169+BZ169</f>
        <v>62580.173375</v>
      </c>
      <c r="CC169" s="15" t="n">
        <f aca="false">BI169-CA169</f>
        <v>2588.00120373597</v>
      </c>
      <c r="CD169" s="15" t="n">
        <f aca="false">AM169-CB169</f>
        <v>27661.4932916667</v>
      </c>
      <c r="CE169" s="15" t="n">
        <f aca="false">INDEX(Ipotesi!$C$79:$G$79,1,F169)/12</f>
        <v>3333.33333333333</v>
      </c>
      <c r="CF169" s="15" t="n">
        <f aca="false">INDEX(Ipotesi!$C$84:$G$84,1,F169)/12</f>
        <v>666.666666666667</v>
      </c>
      <c r="CG169" s="15" t="n">
        <f aca="false">Y169*MAX(0,Parametri_v3!$C$12-IF(P169=0,0,MIN(1,BE169/(P169*Parametri_v3!$C$22))))+W169*Parametri_v3!$C$13+X169*Parametri_v3!$C$14</f>
        <v>28749.3604061175</v>
      </c>
      <c r="CH169" s="15" t="n">
        <f aca="false">AB169*Parametri_v3!$C$32</f>
        <v>4823.65419791667</v>
      </c>
      <c r="CI169" s="15" t="n">
        <f aca="false">AC169*Parametri_v3!$C$32</f>
        <v>1691.45033541667</v>
      </c>
      <c r="CJ169" s="15" t="n">
        <f aca="false">CA169-AB169</f>
        <v>64316.2328558408</v>
      </c>
      <c r="CK169" s="15" t="n">
        <f aca="false">CB169-AC169-BH169</f>
        <v>19727</v>
      </c>
      <c r="CL169" s="15" t="n">
        <f aca="false">BF169*Ipotesi!$C$73+INDEX(Ipotesi!$C$72:$G$72,1,F169)/12*Ipotesi!E126*Parametri_v3!$C$58+Z169*(1-Parametri_v3!$C$16)</f>
        <v>14139.2414830995</v>
      </c>
      <c r="CM169" s="16" t="n">
        <f aca="false">IF(BF169=0,0,1-CL169/BF169)</f>
        <v>0.832241186329456</v>
      </c>
    </row>
    <row r="170" customFormat="false" ht="18" hidden="false" customHeight="true" outlineLevel="0" collapsed="false">
      <c r="A170" s="68" t="n">
        <f aca="false">3</f>
        <v>3</v>
      </c>
      <c r="B170" s="68" t="n">
        <f aca="false">46</f>
        <v>46</v>
      </c>
      <c r="C170" s="18" t="n">
        <f aca="false">EDATE(Parametri_v3!$C$5,46-1)</f>
        <v>47757</v>
      </c>
      <c r="D170" s="68" t="n">
        <f aca="false">YEAR(C170)</f>
        <v>2030</v>
      </c>
      <c r="E170" s="68" t="n">
        <f aca="false">MONTH(C170)</f>
        <v>10</v>
      </c>
      <c r="F170" s="68" t="n">
        <f aca="false">INT((46-1)/12)+1</f>
        <v>4</v>
      </c>
      <c r="G170" s="15" t="n">
        <f aca="false">Ipotesi!E7</f>
        <v>1.25</v>
      </c>
      <c r="H170" s="15" t="n">
        <f aca="false">Ipotesi!E9</f>
        <v>1</v>
      </c>
      <c r="I170" s="15" t="n">
        <f aca="false">Ipotesi!E10</f>
        <v>1</v>
      </c>
      <c r="J170" s="15" t="n">
        <f aca="false">Ipotesi!E11</f>
        <v>1</v>
      </c>
      <c r="K170" s="15" t="n">
        <f aca="false">Ipotesi!E12</f>
        <v>1</v>
      </c>
      <c r="L170" s="15" t="n">
        <f aca="false">Ipotesi!E13</f>
        <v>90</v>
      </c>
      <c r="M170" s="17" t="n">
        <f aca="false">INDEX(Ipotesi!$C$40:$G$40,1,F170)</f>
        <v>1</v>
      </c>
      <c r="N170" s="17" t="n">
        <f aca="false">INDEX(Ipotesi!$C$41:$G$41,1,F170)</f>
        <v>1</v>
      </c>
      <c r="O170" s="17" t="n">
        <f aca="false">INDEX(Ipotesi!$C$42:$G$42,1,F170)*Ipotesi!E125</f>
        <v>6.5</v>
      </c>
      <c r="P170" s="17" t="n">
        <f aca="false">INDEX(Ipotesi!$C$43:$G$43,1,F170)*I170</f>
        <v>6</v>
      </c>
      <c r="Q170" s="17" t="n">
        <f aca="false">INDEX(Ipotesi!$C$44:$G$44,1,F170)*I170</f>
        <v>5</v>
      </c>
      <c r="R170" s="17" t="n">
        <f aca="false">INDEX(Ipotesi!$C$45:$G$45,1,F170)*I170</f>
        <v>1.5</v>
      </c>
      <c r="S170" s="17" t="n">
        <f aca="false">INDEX(Ipotesi!$C$52:$G$52,1,F170)*Ipotesi!E125</f>
        <v>7</v>
      </c>
      <c r="T170" s="17" t="n">
        <f aca="false">INDEX(Ipotesi!$C$53:$G$53,1,F170)*I170</f>
        <v>1</v>
      </c>
      <c r="U170" s="17" t="n">
        <f aca="false">INDEX(Ipotesi!$C$54:$G$54,1,F170)*I170</f>
        <v>0.5</v>
      </c>
      <c r="V170" s="15" t="n">
        <f aca="false">M170*INDEX(Ipotesi!$C$58:$G$58,1,F170)*K170/12</f>
        <v>7916.66666666667</v>
      </c>
      <c r="W170" s="15" t="n">
        <f aca="false">N170*Ipotesi!$C$59*(1+Ipotesi!$C$66)^(F170-1)/12</f>
        <v>6374.24083333333</v>
      </c>
      <c r="X170" s="15" t="n">
        <f aca="false">O170*Ipotesi!$C$60*(1+Ipotesi!$C$66)^(F170-1)/12</f>
        <v>29594.6895833333</v>
      </c>
      <c r="Y170" s="15" t="n">
        <f aca="false">P170*Ipotesi!$C$61*(1+Ipotesi!$C$66)^(F170-1)/12</f>
        <v>27318.175</v>
      </c>
      <c r="Z170" s="15" t="n">
        <f aca="false">Q170*Ipotesi!$C$62*(1+Ipotesi!$C$66)^(F170-1)/12</f>
        <v>20488.63125</v>
      </c>
      <c r="AA170" s="15" t="n">
        <f aca="false">R170*Ipotesi!$C$63*(1+Ipotesi!$C$66)^(F170-1)/12</f>
        <v>4780.680625</v>
      </c>
      <c r="AB170" s="15" t="n">
        <f aca="false">SUM(V170:AA170)</f>
        <v>96473.0839583333</v>
      </c>
      <c r="AC170" s="15" t="n">
        <f aca="false">(S170*Ipotesi!$C$64+T170*Ipotesi!$C$65+U170*Ipotesi!$C$63)*(1+Ipotesi!$C$66)^(F170-1)/12</f>
        <v>33829.0067083333</v>
      </c>
      <c r="AD170" s="15" t="n">
        <f aca="false">INDEX(Ipotesi!$C$48:$G$48,1,F170)*G170/12</f>
        <v>98.9583333333333</v>
      </c>
      <c r="AE170" s="15" t="n">
        <f aca="false">INDEX(Ipotesi!$C$50:$G$50,1,F170)*G170/12</f>
        <v>10.4166666666667</v>
      </c>
      <c r="AF170" s="15" t="n">
        <f aca="false">(S170*Parametri_v3!$C$7*Parametri_v3!$C$8+Parametri_v3!$C$10)/12</f>
        <v>89.8333333333333</v>
      </c>
      <c r="AG170" s="15" t="n">
        <f aca="false">AD170+AE170*(1+Parametri_v3!$C$9)</f>
        <v>114.583333333333</v>
      </c>
      <c r="AH170" s="16" t="n">
        <f aca="false">IF(AG170=0,1,MIN(1,AF170/AG170))</f>
        <v>0.784</v>
      </c>
      <c r="AI170" s="15" t="n">
        <f aca="false">AD170*AH170</f>
        <v>77.5833333333333</v>
      </c>
      <c r="AJ170" s="15" t="n">
        <f aca="false">AE170*AH170</f>
        <v>8.16666666666667</v>
      </c>
      <c r="AK170" s="15" t="n">
        <f aca="false">AI170*INDEX(Ipotesi!$C$49:$G$49,1,F170)*H170</f>
        <v>69825</v>
      </c>
      <c r="AL170" s="15" t="n">
        <f aca="false">AJ170*INDEX(Ipotesi!$C$51:$G$51,1,F170)*H170</f>
        <v>20416.6666666667</v>
      </c>
      <c r="AM170" s="15" t="n">
        <f aca="false">AK170+AL170</f>
        <v>90241.6666666667</v>
      </c>
      <c r="AN170" s="15" t="n">
        <f aca="false">INDEX(Ipotesi!$C$30:$G$30,1,F170)*G170/12</f>
        <v>77.0833333333333</v>
      </c>
      <c r="AO170" s="15" t="n">
        <f aca="false">O170*Parametri_v3!$C$7*Parametri_v3!$C$11*(1-Parametri_v3!$C$14)/12</f>
        <v>66.7333333333333</v>
      </c>
      <c r="AP170" s="15" t="n">
        <f aca="false">MIN(AN170,AO170)</f>
        <v>66.7333333333333</v>
      </c>
      <c r="AQ170" s="15" t="n">
        <f aca="false">AP170*INDEX(Ipotesi!$C$31:$G$31,1,F170)*H170</f>
        <v>70070</v>
      </c>
      <c r="AR170" s="15" t="n">
        <f aca="false">INDEX(Ipotesi!$C$75:$G$75,1,F170)*J170/12</f>
        <v>27916.6666666667</v>
      </c>
      <c r="AS170" s="15" t="n">
        <f aca="false">INDEX(Ipotesi!$C$81:$G$81,1,F170)*J170/12</f>
        <v>1666.66666666667</v>
      </c>
      <c r="AT170" s="15" t="n">
        <f aca="false">AR170*Parametri_v3!$C$15+Z170*Parametri_v3!$C$16</f>
        <v>42258.7085416667</v>
      </c>
      <c r="AU170" s="15" t="n">
        <f aca="false">Q170*Parametri_v3!$C$16*Parametri_v3!$C$17</f>
        <v>350</v>
      </c>
      <c r="AV170" s="17" t="n">
        <f aca="false">BD169</f>
        <v>172.247571097828</v>
      </c>
      <c r="AW170" s="17" t="n">
        <f aca="false">AV170*(1-(1-INDEX(Ipotesi!$C$34:$G$34,1,F170))^(1/12))</f>
        <v>1.50572125442868</v>
      </c>
      <c r="AX170" s="15" t="n">
        <f aca="false">ROUND(INDEX(Ipotesi!$C$32:$G$32,1,F170)*Ipotesi!E8,0)</f>
        <v>434</v>
      </c>
      <c r="AY170" s="15" t="n">
        <f aca="false">MAX(0,(AX170-(AV170-AW170))/(13-E170))</f>
        <v>87.7527167188669</v>
      </c>
      <c r="AZ170" s="15" t="n">
        <f aca="false">MIN(P170*Parametri_v3!$C$22,Q170*(1-Parametri_v3!$C$16)*Parametri_v3!$C$23)</f>
        <v>225</v>
      </c>
      <c r="BA170" s="15" t="n">
        <f aca="false">IF(OR(INDEX(Ipotesi!$C$35:$G$35,1,F170)&lt;=0,46-Parametri_v3!$C$21&lt;1),0,INDEX($AT$125:$AT$184,MAX(1,46-Parametri_v3!$C$21))/(INDEX(Ipotesi!$C$35:$G$35,1,F170)*Ipotesi!E27))</f>
        <v>8.80389761284722</v>
      </c>
      <c r="BB170" s="15" t="n">
        <f aca="false">IF(46-Parametri_v3!$C$21&lt;1,0,INDEX($AU$125:$AU$184,MAX(1,46-Parametri_v3!$C$21)))*Parametri_v3!$C$18*Parametri_v3!$C$19*Parametri_v3!$C$20</f>
        <v>13.125</v>
      </c>
      <c r="BC170" s="17" t="n">
        <f aca="false">MAX(0,MIN(AY170,BA170,BB170,MAX(0,AZ170-(AV170-AW170))))</f>
        <v>8.80389761284722</v>
      </c>
      <c r="BD170" s="17" t="n">
        <f aca="false">AV170-AW170+BC170</f>
        <v>179.545747456247</v>
      </c>
      <c r="BE170" s="17" t="n">
        <f aca="false">(AV170+BD170)/2</f>
        <v>175.896659277037</v>
      </c>
      <c r="BF170" s="15" t="n">
        <f aca="false">BE170*INDEX(Ipotesi!$C$33:$G$33,1,F170)*H170/12</f>
        <v>87948.3296385186</v>
      </c>
      <c r="BG170" s="15" t="n">
        <f aca="false">BD170*INDEX(Ipotesi!$C$33:$G$33,1,F170)*H170</f>
        <v>1077274.48473748</v>
      </c>
      <c r="BH170" s="15" t="n">
        <f aca="false">AM170*INDEX(Ipotesi!$C$37:$G$37,1,F170)</f>
        <v>9024.16666666667</v>
      </c>
      <c r="BI170" s="15" t="n">
        <f aca="false">AQ170+BF170+BH170</f>
        <v>167042.496305185</v>
      </c>
      <c r="BJ170" s="15" t="n">
        <f aca="false">INDEX(Ipotesi!$C$68:$G$68,1,F170)*Ipotesi!$C$69/12</f>
        <v>3000</v>
      </c>
      <c r="BK170" s="15" t="n">
        <f aca="false">INDEX(Ipotesi!$C$68:$G$68,1,F170)*(1-Ipotesi!$C$69)/12</f>
        <v>4500</v>
      </c>
      <c r="BL170" s="15" t="n">
        <f aca="false">(AQ170+BF170)*Ipotesi!$C$67</f>
        <v>4740.54988915556</v>
      </c>
      <c r="BM170" s="15" t="n">
        <f aca="false">AM170*Ipotesi!$C$67</f>
        <v>2707.25</v>
      </c>
      <c r="BN170" s="15" t="n">
        <f aca="false">INDEX(Ipotesi!$C$72:$G$72,1,F170)/12*Ipotesi!E126+BF170*Ipotesi!$C$73</f>
        <v>8285.86637108149</v>
      </c>
      <c r="BO170" s="15" t="n">
        <f aca="false">INDEX(Ipotesi!$C$74:$G$74,1,F170)/12*Ipotesi!E126</f>
        <v>4166.66666666667</v>
      </c>
      <c r="BP170" s="15" t="n">
        <f aca="false">INDEX(Ipotesi!$C$76:$G$76,1,F170)/12</f>
        <v>1500</v>
      </c>
      <c r="BQ170" s="15" t="n">
        <f aca="false">INDEX(Ipotesi!$C$77:$G$77,1,F170)/12*Ipotesi!E126</f>
        <v>2083.33333333333</v>
      </c>
      <c r="BR170" s="15" t="n">
        <f aca="false">INDEX(Ipotesi!$C$78:$G$78,1,F170)/12</f>
        <v>2000</v>
      </c>
      <c r="BS170" s="15" t="n">
        <f aca="false">SUM(M170:R170)*(Ipotesi!$C$85+Ipotesi!$C$86)/12</f>
        <v>6125</v>
      </c>
      <c r="BT170" s="15" t="n">
        <f aca="false">BI170*Ipotesi!$C$87</f>
        <v>5011.27488915556</v>
      </c>
      <c r="BU170" s="15" t="n">
        <f aca="false">INDEX(Ipotesi!$C$55:$G$55,1,F170)*K170/12</f>
        <v>2000</v>
      </c>
      <c r="BV170" s="15" t="n">
        <f aca="false">INDEX(Ipotesi!$C$80:$G$80,1,F170)/12*Ipotesi!E126</f>
        <v>1666.66666666667</v>
      </c>
      <c r="BW170" s="15" t="n">
        <f aca="false">INDEX(Ipotesi!$C$82:$G$82,1,F170)/12</f>
        <v>1250</v>
      </c>
      <c r="BX170" s="15" t="n">
        <f aca="false">INDEX(Ipotesi!$C$83:$G$83,1,F170)/12</f>
        <v>750</v>
      </c>
      <c r="BY170" s="15" t="n">
        <f aca="false">SUM(S170:U170)*(Ipotesi!$C$85+Ipotesi!$C$86)/12</f>
        <v>2479.16666666667</v>
      </c>
      <c r="BZ170" s="15" t="n">
        <f aca="false">AM170*Ipotesi!$C$87</f>
        <v>2707.25</v>
      </c>
      <c r="CA170" s="15" t="n">
        <f aca="false">AB170+BJ170+BL170+BN170+BO170+AR170+BP170+BQ170+BR170+BS170+BT170</f>
        <v>161302.441774393</v>
      </c>
      <c r="CB170" s="15" t="n">
        <f aca="false">AC170+BK170+BM170+BH170+BU170+BV170+AS170+BW170+BX170+BY170+BZ170</f>
        <v>62580.173375</v>
      </c>
      <c r="CC170" s="15" t="n">
        <f aca="false">BI170-CA170</f>
        <v>5740.05453079267</v>
      </c>
      <c r="CD170" s="15" t="n">
        <f aca="false">AM170-CB170</f>
        <v>27661.4932916667</v>
      </c>
      <c r="CE170" s="15" t="n">
        <f aca="false">INDEX(Ipotesi!$C$79:$G$79,1,F170)/12</f>
        <v>3333.33333333333</v>
      </c>
      <c r="CF170" s="15" t="n">
        <f aca="false">INDEX(Ipotesi!$C$84:$G$84,1,F170)/12</f>
        <v>666.666666666667</v>
      </c>
      <c r="CG170" s="15" t="n">
        <f aca="false">Y170*MAX(0,Parametri_v3!$C$12-IF(P170=0,0,MIN(1,BE170/(P170*Parametri_v3!$C$22))))+W170*Parametri_v3!$C$13+X170*Parametri_v3!$C$14</f>
        <v>28415.6071332575</v>
      </c>
      <c r="CH170" s="15" t="n">
        <f aca="false">AB170*Parametri_v3!$C$32</f>
        <v>4823.65419791667</v>
      </c>
      <c r="CI170" s="15" t="n">
        <f aca="false">AC170*Parametri_v3!$C$32</f>
        <v>1691.45033541667</v>
      </c>
      <c r="CJ170" s="15" t="n">
        <f aca="false">CA170-AB170</f>
        <v>64829.3578160593</v>
      </c>
      <c r="CK170" s="15" t="n">
        <f aca="false">CB170-AC170-BH170</f>
        <v>19727</v>
      </c>
      <c r="CL170" s="15" t="n">
        <f aca="false">BF170*Ipotesi!$C$73+INDEX(Ipotesi!$C$72:$G$72,1,F170)/12*Ipotesi!E126*Parametri_v3!$C$58+Z170*(1-Parametri_v3!$C$16)</f>
        <v>14432.4557460815</v>
      </c>
      <c r="CM170" s="16" t="n">
        <f aca="false">IF(BF170=0,0,1-CL170/BF170)</f>
        <v>0.835898466686052</v>
      </c>
    </row>
    <row r="171" customFormat="false" ht="18" hidden="false" customHeight="true" outlineLevel="0" collapsed="false">
      <c r="A171" s="68" t="n">
        <f aca="false">3</f>
        <v>3</v>
      </c>
      <c r="B171" s="68" t="n">
        <f aca="false">47</f>
        <v>47</v>
      </c>
      <c r="C171" s="18" t="n">
        <f aca="false">EDATE(Parametri_v3!$C$5,47-1)</f>
        <v>47788</v>
      </c>
      <c r="D171" s="68" t="n">
        <f aca="false">YEAR(C171)</f>
        <v>2030</v>
      </c>
      <c r="E171" s="68" t="n">
        <f aca="false">MONTH(C171)</f>
        <v>11</v>
      </c>
      <c r="F171" s="68" t="n">
        <f aca="false">INT((47-1)/12)+1</f>
        <v>4</v>
      </c>
      <c r="G171" s="15" t="n">
        <f aca="false">Ipotesi!E7</f>
        <v>1.25</v>
      </c>
      <c r="H171" s="15" t="n">
        <f aca="false">Ipotesi!E9</f>
        <v>1</v>
      </c>
      <c r="I171" s="15" t="n">
        <f aca="false">Ipotesi!E10</f>
        <v>1</v>
      </c>
      <c r="J171" s="15" t="n">
        <f aca="false">Ipotesi!E11</f>
        <v>1</v>
      </c>
      <c r="K171" s="15" t="n">
        <f aca="false">Ipotesi!E12</f>
        <v>1</v>
      </c>
      <c r="L171" s="15" t="n">
        <f aca="false">Ipotesi!E13</f>
        <v>90</v>
      </c>
      <c r="M171" s="17" t="n">
        <f aca="false">INDEX(Ipotesi!$C$40:$G$40,1,F171)</f>
        <v>1</v>
      </c>
      <c r="N171" s="17" t="n">
        <f aca="false">INDEX(Ipotesi!$C$41:$G$41,1,F171)</f>
        <v>1</v>
      </c>
      <c r="O171" s="17" t="n">
        <f aca="false">INDEX(Ipotesi!$C$42:$G$42,1,F171)*Ipotesi!E125</f>
        <v>6.5</v>
      </c>
      <c r="P171" s="17" t="n">
        <f aca="false">INDEX(Ipotesi!$C$43:$G$43,1,F171)*I171</f>
        <v>6</v>
      </c>
      <c r="Q171" s="17" t="n">
        <f aca="false">INDEX(Ipotesi!$C$44:$G$44,1,F171)*I171</f>
        <v>5</v>
      </c>
      <c r="R171" s="17" t="n">
        <f aca="false">INDEX(Ipotesi!$C$45:$G$45,1,F171)*I171</f>
        <v>1.5</v>
      </c>
      <c r="S171" s="17" t="n">
        <f aca="false">INDEX(Ipotesi!$C$52:$G$52,1,F171)*Ipotesi!E125</f>
        <v>7</v>
      </c>
      <c r="T171" s="17" t="n">
        <f aca="false">INDEX(Ipotesi!$C$53:$G$53,1,F171)*I171</f>
        <v>1</v>
      </c>
      <c r="U171" s="17" t="n">
        <f aca="false">INDEX(Ipotesi!$C$54:$G$54,1,F171)*I171</f>
        <v>0.5</v>
      </c>
      <c r="V171" s="15" t="n">
        <f aca="false">M171*INDEX(Ipotesi!$C$58:$G$58,1,F171)*K171/12</f>
        <v>7916.66666666667</v>
      </c>
      <c r="W171" s="15" t="n">
        <f aca="false">N171*Ipotesi!$C$59*(1+Ipotesi!$C$66)^(F171-1)/12</f>
        <v>6374.24083333333</v>
      </c>
      <c r="X171" s="15" t="n">
        <f aca="false">O171*Ipotesi!$C$60*(1+Ipotesi!$C$66)^(F171-1)/12</f>
        <v>29594.6895833333</v>
      </c>
      <c r="Y171" s="15" t="n">
        <f aca="false">P171*Ipotesi!$C$61*(1+Ipotesi!$C$66)^(F171-1)/12</f>
        <v>27318.175</v>
      </c>
      <c r="Z171" s="15" t="n">
        <f aca="false">Q171*Ipotesi!$C$62*(1+Ipotesi!$C$66)^(F171-1)/12</f>
        <v>20488.63125</v>
      </c>
      <c r="AA171" s="15" t="n">
        <f aca="false">R171*Ipotesi!$C$63*(1+Ipotesi!$C$66)^(F171-1)/12</f>
        <v>4780.680625</v>
      </c>
      <c r="AB171" s="15" t="n">
        <f aca="false">SUM(V171:AA171)</f>
        <v>96473.0839583333</v>
      </c>
      <c r="AC171" s="15" t="n">
        <f aca="false">(S171*Ipotesi!$C$64+T171*Ipotesi!$C$65+U171*Ipotesi!$C$63)*(1+Ipotesi!$C$66)^(F171-1)/12</f>
        <v>33829.0067083333</v>
      </c>
      <c r="AD171" s="15" t="n">
        <f aca="false">INDEX(Ipotesi!$C$48:$G$48,1,F171)*G171/12</f>
        <v>98.9583333333333</v>
      </c>
      <c r="AE171" s="15" t="n">
        <f aca="false">INDEX(Ipotesi!$C$50:$G$50,1,F171)*G171/12</f>
        <v>10.4166666666667</v>
      </c>
      <c r="AF171" s="15" t="n">
        <f aca="false">(S171*Parametri_v3!$C$7*Parametri_v3!$C$8+Parametri_v3!$C$10)/12</f>
        <v>89.8333333333333</v>
      </c>
      <c r="AG171" s="15" t="n">
        <f aca="false">AD171+AE171*(1+Parametri_v3!$C$9)</f>
        <v>114.583333333333</v>
      </c>
      <c r="AH171" s="16" t="n">
        <f aca="false">IF(AG171=0,1,MIN(1,AF171/AG171))</f>
        <v>0.784</v>
      </c>
      <c r="AI171" s="15" t="n">
        <f aca="false">AD171*AH171</f>
        <v>77.5833333333333</v>
      </c>
      <c r="AJ171" s="15" t="n">
        <f aca="false">AE171*AH171</f>
        <v>8.16666666666667</v>
      </c>
      <c r="AK171" s="15" t="n">
        <f aca="false">AI171*INDEX(Ipotesi!$C$49:$G$49,1,F171)*H171</f>
        <v>69825</v>
      </c>
      <c r="AL171" s="15" t="n">
        <f aca="false">AJ171*INDEX(Ipotesi!$C$51:$G$51,1,F171)*H171</f>
        <v>20416.6666666667</v>
      </c>
      <c r="AM171" s="15" t="n">
        <f aca="false">AK171+AL171</f>
        <v>90241.6666666667</v>
      </c>
      <c r="AN171" s="15" t="n">
        <f aca="false">INDEX(Ipotesi!$C$30:$G$30,1,F171)*G171/12</f>
        <v>77.0833333333333</v>
      </c>
      <c r="AO171" s="15" t="n">
        <f aca="false">O171*Parametri_v3!$C$7*Parametri_v3!$C$11*(1-Parametri_v3!$C$14)/12</f>
        <v>66.7333333333333</v>
      </c>
      <c r="AP171" s="15" t="n">
        <f aca="false">MIN(AN171,AO171)</f>
        <v>66.7333333333333</v>
      </c>
      <c r="AQ171" s="15" t="n">
        <f aca="false">AP171*INDEX(Ipotesi!$C$31:$G$31,1,F171)*H171</f>
        <v>70070</v>
      </c>
      <c r="AR171" s="15" t="n">
        <f aca="false">INDEX(Ipotesi!$C$75:$G$75,1,F171)*J171/12</f>
        <v>27916.6666666667</v>
      </c>
      <c r="AS171" s="15" t="n">
        <f aca="false">INDEX(Ipotesi!$C$81:$G$81,1,F171)*J171/12</f>
        <v>1666.66666666667</v>
      </c>
      <c r="AT171" s="15" t="n">
        <f aca="false">AR171*Parametri_v3!$C$15+Z171*Parametri_v3!$C$16</f>
        <v>42258.7085416667</v>
      </c>
      <c r="AU171" s="15" t="n">
        <f aca="false">Q171*Parametri_v3!$C$16*Parametri_v3!$C$17</f>
        <v>350</v>
      </c>
      <c r="AV171" s="17" t="n">
        <f aca="false">BD170</f>
        <v>179.545747456247</v>
      </c>
      <c r="AW171" s="17" t="n">
        <f aca="false">AV171*(1-(1-INDEX(Ipotesi!$C$34:$G$34,1,F171))^(1/12))</f>
        <v>1.56951907283274</v>
      </c>
      <c r="AX171" s="15" t="n">
        <f aca="false">ROUND(INDEX(Ipotesi!$C$32:$G$32,1,F171)*Ipotesi!E8,0)</f>
        <v>434</v>
      </c>
      <c r="AY171" s="15" t="n">
        <f aca="false">MAX(0,(AX171-(AV171-AW171))/(13-E171))</f>
        <v>128.011885808293</v>
      </c>
      <c r="AZ171" s="15" t="n">
        <f aca="false">MIN(P171*Parametri_v3!$C$22,Q171*(1-Parametri_v3!$C$16)*Parametri_v3!$C$23)</f>
        <v>225</v>
      </c>
      <c r="BA171" s="15" t="n">
        <f aca="false">IF(OR(INDEX(Ipotesi!$C$35:$G$35,1,F171)&lt;=0,47-Parametri_v3!$C$21&lt;1),0,INDEX($AT$125:$AT$184,MAX(1,47-Parametri_v3!$C$21))/(INDEX(Ipotesi!$C$35:$G$35,1,F171)*Ipotesi!E27))</f>
        <v>8.80389761284722</v>
      </c>
      <c r="BB171" s="15" t="n">
        <f aca="false">IF(47-Parametri_v3!$C$21&lt;1,0,INDEX($AU$125:$AU$184,MAX(1,47-Parametri_v3!$C$21)))*Parametri_v3!$C$18*Parametri_v3!$C$19*Parametri_v3!$C$20</f>
        <v>13.125</v>
      </c>
      <c r="BC171" s="17" t="n">
        <f aca="false">MAX(0,MIN(AY171,BA171,BB171,MAX(0,AZ171-(AV171-AW171))))</f>
        <v>8.80389761284722</v>
      </c>
      <c r="BD171" s="17" t="n">
        <f aca="false">AV171-AW171+BC171</f>
        <v>186.780125996261</v>
      </c>
      <c r="BE171" s="17" t="n">
        <f aca="false">(AV171+BD171)/2</f>
        <v>183.162936726254</v>
      </c>
      <c r="BF171" s="15" t="n">
        <f aca="false">BE171*INDEX(Ipotesi!$C$33:$G$33,1,F171)*H171/12</f>
        <v>91581.4683631269</v>
      </c>
      <c r="BG171" s="15" t="n">
        <f aca="false">BD171*INDEX(Ipotesi!$C$33:$G$33,1,F171)*H171</f>
        <v>1120680.75597757</v>
      </c>
      <c r="BH171" s="15" t="n">
        <f aca="false">AM171*INDEX(Ipotesi!$C$37:$G$37,1,F171)</f>
        <v>9024.16666666667</v>
      </c>
      <c r="BI171" s="15" t="n">
        <f aca="false">AQ171+BF171+BH171</f>
        <v>170675.635029794</v>
      </c>
      <c r="BJ171" s="15" t="n">
        <f aca="false">INDEX(Ipotesi!$C$68:$G$68,1,F171)*Ipotesi!$C$69/12</f>
        <v>3000</v>
      </c>
      <c r="BK171" s="15" t="n">
        <f aca="false">INDEX(Ipotesi!$C$68:$G$68,1,F171)*(1-Ipotesi!$C$69)/12</f>
        <v>4500</v>
      </c>
      <c r="BL171" s="15" t="n">
        <f aca="false">(AQ171+BF171)*Ipotesi!$C$67</f>
        <v>4849.54405089381</v>
      </c>
      <c r="BM171" s="15" t="n">
        <f aca="false">AM171*Ipotesi!$C$67</f>
        <v>2707.25</v>
      </c>
      <c r="BN171" s="15" t="n">
        <f aca="false">INDEX(Ipotesi!$C$72:$G$72,1,F171)/12*Ipotesi!E126+BF171*Ipotesi!$C$73</f>
        <v>8576.51746905015</v>
      </c>
      <c r="BO171" s="15" t="n">
        <f aca="false">INDEX(Ipotesi!$C$74:$G$74,1,F171)/12*Ipotesi!E126</f>
        <v>4166.66666666667</v>
      </c>
      <c r="BP171" s="15" t="n">
        <f aca="false">INDEX(Ipotesi!$C$76:$G$76,1,F171)/12</f>
        <v>1500</v>
      </c>
      <c r="BQ171" s="15" t="n">
        <f aca="false">INDEX(Ipotesi!$C$77:$G$77,1,F171)/12*Ipotesi!E126</f>
        <v>2083.33333333333</v>
      </c>
      <c r="BR171" s="15" t="n">
        <f aca="false">INDEX(Ipotesi!$C$78:$G$78,1,F171)/12</f>
        <v>2000</v>
      </c>
      <c r="BS171" s="15" t="n">
        <f aca="false">SUM(M171:R171)*(Ipotesi!$C$85+Ipotesi!$C$86)/12</f>
        <v>6125</v>
      </c>
      <c r="BT171" s="15" t="n">
        <f aca="false">BI171*Ipotesi!$C$87</f>
        <v>5120.26905089381</v>
      </c>
      <c r="BU171" s="15" t="n">
        <f aca="false">INDEX(Ipotesi!$C$55:$G$55,1,F171)*K171/12</f>
        <v>2000</v>
      </c>
      <c r="BV171" s="15" t="n">
        <f aca="false">INDEX(Ipotesi!$C$80:$G$80,1,F171)/12*Ipotesi!E126</f>
        <v>1666.66666666667</v>
      </c>
      <c r="BW171" s="15" t="n">
        <f aca="false">INDEX(Ipotesi!$C$82:$G$82,1,F171)/12</f>
        <v>1250</v>
      </c>
      <c r="BX171" s="15" t="n">
        <f aca="false">INDEX(Ipotesi!$C$83:$G$83,1,F171)/12</f>
        <v>750</v>
      </c>
      <c r="BY171" s="15" t="n">
        <f aca="false">SUM(S171:U171)*(Ipotesi!$C$85+Ipotesi!$C$86)/12</f>
        <v>2479.16666666667</v>
      </c>
      <c r="BZ171" s="15" t="n">
        <f aca="false">AM171*Ipotesi!$C$87</f>
        <v>2707.25</v>
      </c>
      <c r="CA171" s="15" t="n">
        <f aca="false">AB171+BJ171+BL171+BN171+BO171+AR171+BP171+BQ171+BR171+BS171+BT171</f>
        <v>161811.081195838</v>
      </c>
      <c r="CB171" s="15" t="n">
        <f aca="false">AC171+BK171+BM171+BH171+BU171+BV171+AS171+BW171+BX171+BY171+BZ171</f>
        <v>62580.173375</v>
      </c>
      <c r="CC171" s="15" t="n">
        <f aca="false">BI171-CA171</f>
        <v>8864.55383395578</v>
      </c>
      <c r="CD171" s="15" t="n">
        <f aca="false">AM171-CB171</f>
        <v>27661.4932916667</v>
      </c>
      <c r="CE171" s="15" t="n">
        <f aca="false">INDEX(Ipotesi!$C$79:$G$79,1,F171)/12</f>
        <v>3333.33333333333</v>
      </c>
      <c r="CF171" s="15" t="n">
        <f aca="false">INDEX(Ipotesi!$C$84:$G$84,1,F171)/12</f>
        <v>666.666666666667</v>
      </c>
      <c r="CG171" s="15" t="n">
        <f aca="false">Y171*MAX(0,Parametri_v3!$C$12-IF(P171=0,0,MIN(1,BE171/(P171*Parametri_v3!$C$22))))+W171*Parametri_v3!$C$13+X171*Parametri_v3!$C$14</f>
        <v>28084.7714016638</v>
      </c>
      <c r="CH171" s="15" t="n">
        <f aca="false">AB171*Parametri_v3!$C$32</f>
        <v>4823.65419791667</v>
      </c>
      <c r="CI171" s="15" t="n">
        <f aca="false">AC171*Parametri_v3!$C$32</f>
        <v>1691.45033541667</v>
      </c>
      <c r="CJ171" s="15" t="n">
        <f aca="false">CA171-AB171</f>
        <v>65337.9972375045</v>
      </c>
      <c r="CK171" s="15" t="n">
        <f aca="false">CB171-AC171-BH171</f>
        <v>19727</v>
      </c>
      <c r="CL171" s="15" t="n">
        <f aca="false">BF171*Ipotesi!$C$73+INDEX(Ipotesi!$C$72:$G$72,1,F171)/12*Ipotesi!E126*Parametri_v3!$C$58+Z171*(1-Parametri_v3!$C$16)</f>
        <v>14723.1068440502</v>
      </c>
      <c r="CM171" s="16" t="n">
        <f aca="false">IF(BF171=0,0,1-CL171/BF171)</f>
        <v>0.839234868066627</v>
      </c>
    </row>
    <row r="172" customFormat="false" ht="18" hidden="false" customHeight="true" outlineLevel="0" collapsed="false">
      <c r="A172" s="68" t="n">
        <f aca="false">3</f>
        <v>3</v>
      </c>
      <c r="B172" s="68" t="n">
        <f aca="false">48</f>
        <v>48</v>
      </c>
      <c r="C172" s="18" t="n">
        <f aca="false">EDATE(Parametri_v3!$C$5,48-1)</f>
        <v>47818</v>
      </c>
      <c r="D172" s="68" t="n">
        <f aca="false">YEAR(C172)</f>
        <v>2030</v>
      </c>
      <c r="E172" s="68" t="n">
        <f aca="false">MONTH(C172)</f>
        <v>12</v>
      </c>
      <c r="F172" s="68" t="n">
        <f aca="false">INT((48-1)/12)+1</f>
        <v>4</v>
      </c>
      <c r="G172" s="15" t="n">
        <f aca="false">Ipotesi!E7</f>
        <v>1.25</v>
      </c>
      <c r="H172" s="15" t="n">
        <f aca="false">Ipotesi!E9</f>
        <v>1</v>
      </c>
      <c r="I172" s="15" t="n">
        <f aca="false">Ipotesi!E10</f>
        <v>1</v>
      </c>
      <c r="J172" s="15" t="n">
        <f aca="false">Ipotesi!E11</f>
        <v>1</v>
      </c>
      <c r="K172" s="15" t="n">
        <f aca="false">Ipotesi!E12</f>
        <v>1</v>
      </c>
      <c r="L172" s="15" t="n">
        <f aca="false">Ipotesi!E13</f>
        <v>90</v>
      </c>
      <c r="M172" s="17" t="n">
        <f aca="false">INDEX(Ipotesi!$C$40:$G$40,1,F172)</f>
        <v>1</v>
      </c>
      <c r="N172" s="17" t="n">
        <f aca="false">INDEX(Ipotesi!$C$41:$G$41,1,F172)</f>
        <v>1</v>
      </c>
      <c r="O172" s="17" t="n">
        <f aca="false">INDEX(Ipotesi!$C$42:$G$42,1,F172)*Ipotesi!E125</f>
        <v>6.5</v>
      </c>
      <c r="P172" s="17" t="n">
        <f aca="false">INDEX(Ipotesi!$C$43:$G$43,1,F172)*I172</f>
        <v>6</v>
      </c>
      <c r="Q172" s="17" t="n">
        <f aca="false">INDEX(Ipotesi!$C$44:$G$44,1,F172)*I172</f>
        <v>5</v>
      </c>
      <c r="R172" s="17" t="n">
        <f aca="false">INDEX(Ipotesi!$C$45:$G$45,1,F172)*I172</f>
        <v>1.5</v>
      </c>
      <c r="S172" s="17" t="n">
        <f aca="false">INDEX(Ipotesi!$C$52:$G$52,1,F172)*Ipotesi!E125</f>
        <v>7</v>
      </c>
      <c r="T172" s="17" t="n">
        <f aca="false">INDEX(Ipotesi!$C$53:$G$53,1,F172)*I172</f>
        <v>1</v>
      </c>
      <c r="U172" s="17" t="n">
        <f aca="false">INDEX(Ipotesi!$C$54:$G$54,1,F172)*I172</f>
        <v>0.5</v>
      </c>
      <c r="V172" s="15" t="n">
        <f aca="false">M172*INDEX(Ipotesi!$C$58:$G$58,1,F172)*K172/12</f>
        <v>7916.66666666667</v>
      </c>
      <c r="W172" s="15" t="n">
        <f aca="false">N172*Ipotesi!$C$59*(1+Ipotesi!$C$66)^(F172-1)/12</f>
        <v>6374.24083333333</v>
      </c>
      <c r="X172" s="15" t="n">
        <f aca="false">O172*Ipotesi!$C$60*(1+Ipotesi!$C$66)^(F172-1)/12</f>
        <v>29594.6895833333</v>
      </c>
      <c r="Y172" s="15" t="n">
        <f aca="false">P172*Ipotesi!$C$61*(1+Ipotesi!$C$66)^(F172-1)/12</f>
        <v>27318.175</v>
      </c>
      <c r="Z172" s="15" t="n">
        <f aca="false">Q172*Ipotesi!$C$62*(1+Ipotesi!$C$66)^(F172-1)/12</f>
        <v>20488.63125</v>
      </c>
      <c r="AA172" s="15" t="n">
        <f aca="false">R172*Ipotesi!$C$63*(1+Ipotesi!$C$66)^(F172-1)/12</f>
        <v>4780.680625</v>
      </c>
      <c r="AB172" s="15" t="n">
        <f aca="false">SUM(V172:AA172)</f>
        <v>96473.0839583333</v>
      </c>
      <c r="AC172" s="15" t="n">
        <f aca="false">(S172*Ipotesi!$C$64+T172*Ipotesi!$C$65+U172*Ipotesi!$C$63)*(1+Ipotesi!$C$66)^(F172-1)/12</f>
        <v>33829.0067083333</v>
      </c>
      <c r="AD172" s="15" t="n">
        <f aca="false">INDEX(Ipotesi!$C$48:$G$48,1,F172)*G172/12</f>
        <v>98.9583333333333</v>
      </c>
      <c r="AE172" s="15" t="n">
        <f aca="false">INDEX(Ipotesi!$C$50:$G$50,1,F172)*G172/12</f>
        <v>10.4166666666667</v>
      </c>
      <c r="AF172" s="15" t="n">
        <f aca="false">(S172*Parametri_v3!$C$7*Parametri_v3!$C$8+Parametri_v3!$C$10)/12</f>
        <v>89.8333333333333</v>
      </c>
      <c r="AG172" s="15" t="n">
        <f aca="false">AD172+AE172*(1+Parametri_v3!$C$9)</f>
        <v>114.583333333333</v>
      </c>
      <c r="AH172" s="16" t="n">
        <f aca="false">IF(AG172=0,1,MIN(1,AF172/AG172))</f>
        <v>0.784</v>
      </c>
      <c r="AI172" s="15" t="n">
        <f aca="false">AD172*AH172</f>
        <v>77.5833333333333</v>
      </c>
      <c r="AJ172" s="15" t="n">
        <f aca="false">AE172*AH172</f>
        <v>8.16666666666667</v>
      </c>
      <c r="AK172" s="15" t="n">
        <f aca="false">AI172*INDEX(Ipotesi!$C$49:$G$49,1,F172)*H172</f>
        <v>69825</v>
      </c>
      <c r="AL172" s="15" t="n">
        <f aca="false">AJ172*INDEX(Ipotesi!$C$51:$G$51,1,F172)*H172</f>
        <v>20416.6666666667</v>
      </c>
      <c r="AM172" s="15" t="n">
        <f aca="false">AK172+AL172</f>
        <v>90241.6666666667</v>
      </c>
      <c r="AN172" s="15" t="n">
        <f aca="false">INDEX(Ipotesi!$C$30:$G$30,1,F172)*G172/12</f>
        <v>77.0833333333333</v>
      </c>
      <c r="AO172" s="15" t="n">
        <f aca="false">O172*Parametri_v3!$C$7*Parametri_v3!$C$11*(1-Parametri_v3!$C$14)/12</f>
        <v>66.7333333333333</v>
      </c>
      <c r="AP172" s="15" t="n">
        <f aca="false">MIN(AN172,AO172)</f>
        <v>66.7333333333333</v>
      </c>
      <c r="AQ172" s="15" t="n">
        <f aca="false">AP172*INDEX(Ipotesi!$C$31:$G$31,1,F172)*H172</f>
        <v>70070</v>
      </c>
      <c r="AR172" s="15" t="n">
        <f aca="false">INDEX(Ipotesi!$C$75:$G$75,1,F172)*J172/12</f>
        <v>27916.6666666667</v>
      </c>
      <c r="AS172" s="15" t="n">
        <f aca="false">INDEX(Ipotesi!$C$81:$G$81,1,F172)*J172/12</f>
        <v>1666.66666666667</v>
      </c>
      <c r="AT172" s="15" t="n">
        <f aca="false">AR172*Parametri_v3!$C$15+Z172*Parametri_v3!$C$16</f>
        <v>42258.7085416667</v>
      </c>
      <c r="AU172" s="15" t="n">
        <f aca="false">Q172*Parametri_v3!$C$16*Parametri_v3!$C$17</f>
        <v>350</v>
      </c>
      <c r="AV172" s="17" t="n">
        <f aca="false">BD171</f>
        <v>186.780125996261</v>
      </c>
      <c r="AW172" s="17" t="n">
        <f aca="false">AV172*(1-(1-INDEX(Ipotesi!$C$34:$G$34,1,F172))^(1/12))</f>
        <v>1.63275919552855</v>
      </c>
      <c r="AX172" s="15" t="n">
        <f aca="false">ROUND(INDEX(Ipotesi!$C$32:$G$32,1,F172)*Ipotesi!E8,0)</f>
        <v>434</v>
      </c>
      <c r="AY172" s="15" t="n">
        <f aca="false">MAX(0,(AX172-(AV172-AW172))/(13-E172))</f>
        <v>248.852633199268</v>
      </c>
      <c r="AZ172" s="15" t="n">
        <f aca="false">MIN(P172*Parametri_v3!$C$22,Q172*(1-Parametri_v3!$C$16)*Parametri_v3!$C$23)</f>
        <v>225</v>
      </c>
      <c r="BA172" s="15" t="n">
        <f aca="false">IF(OR(INDEX(Ipotesi!$C$35:$G$35,1,F172)&lt;=0,48-Parametri_v3!$C$21&lt;1),0,INDEX($AT$125:$AT$184,MAX(1,48-Parametri_v3!$C$21))/(INDEX(Ipotesi!$C$35:$G$35,1,F172)*Ipotesi!E27))</f>
        <v>8.80389761284722</v>
      </c>
      <c r="BB172" s="15" t="n">
        <f aca="false">IF(48-Parametri_v3!$C$21&lt;1,0,INDEX($AU$125:$AU$184,MAX(1,48-Parametri_v3!$C$21)))*Parametri_v3!$C$18*Parametri_v3!$C$19*Parametri_v3!$C$20</f>
        <v>13.125</v>
      </c>
      <c r="BC172" s="17" t="n">
        <f aca="false">MAX(0,MIN(AY172,BA172,BB172,MAX(0,AZ172-(AV172-AW172))))</f>
        <v>8.80389761284722</v>
      </c>
      <c r="BD172" s="17" t="n">
        <f aca="false">AV172-AW172+BC172</f>
        <v>193.95126441358</v>
      </c>
      <c r="BE172" s="17" t="n">
        <f aca="false">(AV172+BD172)/2</f>
        <v>190.36569520492</v>
      </c>
      <c r="BF172" s="15" t="n">
        <f aca="false">BE172*INDEX(Ipotesi!$C$33:$G$33,1,F172)*H172/12</f>
        <v>95182.8476024602</v>
      </c>
      <c r="BG172" s="15" t="n">
        <f aca="false">BD172*INDEX(Ipotesi!$C$33:$G$33,1,F172)*H172</f>
        <v>1163707.58648148</v>
      </c>
      <c r="BH172" s="15" t="n">
        <f aca="false">AM172*INDEX(Ipotesi!$C$37:$G$37,1,F172)</f>
        <v>9024.16666666667</v>
      </c>
      <c r="BI172" s="15" t="n">
        <f aca="false">AQ172+BF172+BH172</f>
        <v>174277.014269127</v>
      </c>
      <c r="BJ172" s="15" t="n">
        <f aca="false">INDEX(Ipotesi!$C$68:$G$68,1,F172)*Ipotesi!$C$69/12</f>
        <v>3000</v>
      </c>
      <c r="BK172" s="15" t="n">
        <f aca="false">INDEX(Ipotesi!$C$68:$G$68,1,F172)*(1-Ipotesi!$C$69)/12</f>
        <v>4500</v>
      </c>
      <c r="BL172" s="15" t="n">
        <f aca="false">(AQ172+BF172)*Ipotesi!$C$67</f>
        <v>4957.58542807381</v>
      </c>
      <c r="BM172" s="15" t="n">
        <f aca="false">AM172*Ipotesi!$C$67</f>
        <v>2707.25</v>
      </c>
      <c r="BN172" s="15" t="n">
        <f aca="false">INDEX(Ipotesi!$C$72:$G$72,1,F172)/12*Ipotesi!E126+BF172*Ipotesi!$C$73</f>
        <v>8864.62780819681</v>
      </c>
      <c r="BO172" s="15" t="n">
        <f aca="false">INDEX(Ipotesi!$C$74:$G$74,1,F172)/12*Ipotesi!E126</f>
        <v>4166.66666666667</v>
      </c>
      <c r="BP172" s="15" t="n">
        <f aca="false">INDEX(Ipotesi!$C$76:$G$76,1,F172)/12</f>
        <v>1500</v>
      </c>
      <c r="BQ172" s="15" t="n">
        <f aca="false">INDEX(Ipotesi!$C$77:$G$77,1,F172)/12*Ipotesi!E126</f>
        <v>2083.33333333333</v>
      </c>
      <c r="BR172" s="15" t="n">
        <f aca="false">INDEX(Ipotesi!$C$78:$G$78,1,F172)/12</f>
        <v>2000</v>
      </c>
      <c r="BS172" s="15" t="n">
        <f aca="false">SUM(M172:R172)*(Ipotesi!$C$85+Ipotesi!$C$86)/12</f>
        <v>6125</v>
      </c>
      <c r="BT172" s="15" t="n">
        <f aca="false">BI172*Ipotesi!$C$87</f>
        <v>5228.31042807381</v>
      </c>
      <c r="BU172" s="15" t="n">
        <f aca="false">INDEX(Ipotesi!$C$55:$G$55,1,F172)*K172/12</f>
        <v>2000</v>
      </c>
      <c r="BV172" s="15" t="n">
        <f aca="false">INDEX(Ipotesi!$C$80:$G$80,1,F172)/12*Ipotesi!E126</f>
        <v>1666.66666666667</v>
      </c>
      <c r="BW172" s="15" t="n">
        <f aca="false">INDEX(Ipotesi!$C$82:$G$82,1,F172)/12</f>
        <v>1250</v>
      </c>
      <c r="BX172" s="15" t="n">
        <f aca="false">INDEX(Ipotesi!$C$83:$G$83,1,F172)/12</f>
        <v>750</v>
      </c>
      <c r="BY172" s="15" t="n">
        <f aca="false">SUM(S172:U172)*(Ipotesi!$C$85+Ipotesi!$C$86)/12</f>
        <v>2479.16666666667</v>
      </c>
      <c r="BZ172" s="15" t="n">
        <f aca="false">AM172*Ipotesi!$C$87</f>
        <v>2707.25</v>
      </c>
      <c r="CA172" s="15" t="n">
        <f aca="false">AB172+BJ172+BL172+BN172+BO172+AR172+BP172+BQ172+BR172+BS172+BT172</f>
        <v>162315.274289344</v>
      </c>
      <c r="CB172" s="15" t="n">
        <f aca="false">AC172+BK172+BM172+BH172+BU172+BV172+AS172+BW172+BX172+BY172+BZ172</f>
        <v>62580.173375</v>
      </c>
      <c r="CC172" s="15" t="n">
        <f aca="false">BI172-CA172</f>
        <v>11961.7399797824</v>
      </c>
      <c r="CD172" s="15" t="n">
        <f aca="false">AM172-CB172</f>
        <v>27661.4932916667</v>
      </c>
      <c r="CE172" s="15" t="n">
        <f aca="false">INDEX(Ipotesi!$C$79:$G$79,1,F172)/12</f>
        <v>3333.33333333333</v>
      </c>
      <c r="CF172" s="15" t="n">
        <f aca="false">INDEX(Ipotesi!$C$84:$G$84,1,F172)/12</f>
        <v>666.666666666667</v>
      </c>
      <c r="CG172" s="15" t="n">
        <f aca="false">Y172*MAX(0,Parametri_v3!$C$12-IF(P172=0,0,MIN(1,BE172/(P172*Parametri_v3!$C$22))))+W172*Parametri_v3!$C$13+X172*Parametri_v3!$C$14</f>
        <v>27756.8277073255</v>
      </c>
      <c r="CH172" s="15" t="n">
        <f aca="false">AB172*Parametri_v3!$C$32</f>
        <v>4823.65419791667</v>
      </c>
      <c r="CI172" s="15" t="n">
        <f aca="false">AC172*Parametri_v3!$C$32</f>
        <v>1691.45033541667</v>
      </c>
      <c r="CJ172" s="15" t="n">
        <f aca="false">CA172-AB172</f>
        <v>65842.1903310111</v>
      </c>
      <c r="CK172" s="15" t="n">
        <f aca="false">CB172-AC172-BH172</f>
        <v>19727</v>
      </c>
      <c r="CL172" s="15" t="n">
        <f aca="false">BF172*Ipotesi!$C$73+INDEX(Ipotesi!$C$72:$G$72,1,F172)/12*Ipotesi!E126*Parametri_v3!$C$58+Z172*(1-Parametri_v3!$C$16)</f>
        <v>15011.2171831968</v>
      </c>
      <c r="CM172" s="16" t="n">
        <f aca="false">IF(BF172=0,0,1-CL172/BF172)</f>
        <v>0.842290732402832</v>
      </c>
    </row>
    <row r="173" customFormat="false" ht="18" hidden="false" customHeight="true" outlineLevel="0" collapsed="false">
      <c r="A173" s="68" t="n">
        <f aca="false">3</f>
        <v>3</v>
      </c>
      <c r="B173" s="68" t="n">
        <f aca="false">49</f>
        <v>49</v>
      </c>
      <c r="C173" s="18" t="n">
        <f aca="false">EDATE(Parametri_v3!$C$5,49-1)</f>
        <v>47849</v>
      </c>
      <c r="D173" s="68" t="n">
        <f aca="false">YEAR(C173)</f>
        <v>2031</v>
      </c>
      <c r="E173" s="68" t="n">
        <f aca="false">MONTH(C173)</f>
        <v>1</v>
      </c>
      <c r="F173" s="68" t="n">
        <f aca="false">INT((49-1)/12)+1</f>
        <v>5</v>
      </c>
      <c r="G173" s="15" t="n">
        <f aca="false">Ipotesi!E7</f>
        <v>1.25</v>
      </c>
      <c r="H173" s="15" t="n">
        <f aca="false">Ipotesi!E9</f>
        <v>1</v>
      </c>
      <c r="I173" s="15" t="n">
        <f aca="false">Ipotesi!E10</f>
        <v>1</v>
      </c>
      <c r="J173" s="15" t="n">
        <f aca="false">Ipotesi!E11</f>
        <v>1</v>
      </c>
      <c r="K173" s="15" t="n">
        <f aca="false">Ipotesi!E12</f>
        <v>1</v>
      </c>
      <c r="L173" s="15" t="n">
        <f aca="false">Ipotesi!E13</f>
        <v>90</v>
      </c>
      <c r="M173" s="17" t="n">
        <f aca="false">INDEX(Ipotesi!$C$40:$G$40,1,F173)</f>
        <v>1</v>
      </c>
      <c r="N173" s="17" t="n">
        <f aca="false">INDEX(Ipotesi!$C$41:$G$41,1,F173)</f>
        <v>1</v>
      </c>
      <c r="O173" s="17" t="n">
        <f aca="false">INDEX(Ipotesi!$C$42:$G$42,1,F173)*Ipotesi!E125</f>
        <v>8.5</v>
      </c>
      <c r="P173" s="17" t="n">
        <f aca="false">INDEX(Ipotesi!$C$43:$G$43,1,F173)*I173</f>
        <v>7</v>
      </c>
      <c r="Q173" s="17" t="n">
        <f aca="false">INDEX(Ipotesi!$C$44:$G$44,1,F173)*I173</f>
        <v>6</v>
      </c>
      <c r="R173" s="17" t="n">
        <f aca="false">INDEX(Ipotesi!$C$45:$G$45,1,F173)*I173</f>
        <v>2</v>
      </c>
      <c r="S173" s="17" t="n">
        <f aca="false">INDEX(Ipotesi!$C$52:$G$52,1,F173)*Ipotesi!E125</f>
        <v>9</v>
      </c>
      <c r="T173" s="17" t="n">
        <f aca="false">INDEX(Ipotesi!$C$53:$G$53,1,F173)*I173</f>
        <v>1</v>
      </c>
      <c r="U173" s="17" t="n">
        <f aca="false">INDEX(Ipotesi!$C$54:$G$54,1,F173)*I173</f>
        <v>1</v>
      </c>
      <c r="V173" s="15" t="n">
        <f aca="false">M173*INDEX(Ipotesi!$C$58:$G$58,1,F173)*K173/12</f>
        <v>8333.33333333333</v>
      </c>
      <c r="W173" s="15" t="n">
        <f aca="false">N173*Ipotesi!$C$59*(1+Ipotesi!$C$66)^(F173-1)/12</f>
        <v>6565.46805833334</v>
      </c>
      <c r="X173" s="15" t="n">
        <f aca="false">O173*Ipotesi!$C$60*(1+Ipotesi!$C$66)^(F173-1)/12</f>
        <v>39861.7703541667</v>
      </c>
      <c r="Y173" s="15" t="n">
        <f aca="false">P173*Ipotesi!$C$61*(1+Ipotesi!$C$66)^(F173-1)/12</f>
        <v>32827.3402916667</v>
      </c>
      <c r="Z173" s="15" t="n">
        <f aca="false">Q173*Ipotesi!$C$62*(1+Ipotesi!$C$66)^(F173-1)/12</f>
        <v>25323.948225</v>
      </c>
      <c r="AA173" s="15" t="n">
        <f aca="false">R173*Ipotesi!$C$63*(1+Ipotesi!$C$66)^(F173-1)/12</f>
        <v>6565.46805833334</v>
      </c>
      <c r="AB173" s="15" t="n">
        <f aca="false">SUM(V173:AA173)</f>
        <v>119477.328320833</v>
      </c>
      <c r="AC173" s="15" t="n">
        <f aca="false">(S173*Ipotesi!$C$64+T173*Ipotesi!$C$65+U173*Ipotesi!$C$63)*(1+Ipotesi!$C$66)^(F173-1)/12</f>
        <v>44363.8055941667</v>
      </c>
      <c r="AD173" s="15" t="n">
        <f aca="false">INDEX(Ipotesi!$C$48:$G$48,1,F173)*G173/12</f>
        <v>119.791666666667</v>
      </c>
      <c r="AE173" s="15" t="n">
        <f aca="false">INDEX(Ipotesi!$C$50:$G$50,1,F173)*G173/12</f>
        <v>11.9791666666667</v>
      </c>
      <c r="AF173" s="15" t="n">
        <f aca="false">(S173*Parametri_v3!$C$7*Parametri_v3!$C$8+Parametri_v3!$C$10)/12</f>
        <v>115.5</v>
      </c>
      <c r="AG173" s="15" t="n">
        <f aca="false">AD173+AE173*(1+Parametri_v3!$C$9)</f>
        <v>137.760416666667</v>
      </c>
      <c r="AH173" s="16" t="n">
        <f aca="false">IF(AG173=0,1,MIN(1,AF173/AG173))</f>
        <v>0.838412098298677</v>
      </c>
      <c r="AI173" s="15" t="n">
        <f aca="false">AD173*AH173</f>
        <v>100.434782608696</v>
      </c>
      <c r="AJ173" s="15" t="n">
        <f aca="false">AE173*AH173</f>
        <v>10.0434782608696</v>
      </c>
      <c r="AK173" s="15" t="n">
        <f aca="false">AI173*INDEX(Ipotesi!$C$49:$G$49,1,F173)*H173</f>
        <v>95413.0434782609</v>
      </c>
      <c r="AL173" s="15" t="n">
        <f aca="false">AJ173*INDEX(Ipotesi!$C$51:$G$51,1,F173)*H173</f>
        <v>26113.0434782609</v>
      </c>
      <c r="AM173" s="15" t="n">
        <f aca="false">AK173+AL173</f>
        <v>121526.086956522</v>
      </c>
      <c r="AN173" s="15" t="n">
        <f aca="false">INDEX(Ipotesi!$C$30:$G$30,1,F173)*G173/12</f>
        <v>102.083333333333</v>
      </c>
      <c r="AO173" s="15" t="n">
        <f aca="false">O173*Parametri_v3!$C$7*Parametri_v3!$C$11*(1-Parametri_v3!$C$14)/12</f>
        <v>87.2666666666667</v>
      </c>
      <c r="AP173" s="15" t="n">
        <f aca="false">MIN(AN173,AO173)</f>
        <v>87.2666666666667</v>
      </c>
      <c r="AQ173" s="15" t="n">
        <f aca="false">AP173*INDEX(Ipotesi!$C$31:$G$31,1,F173)*H173</f>
        <v>95993.3333333333</v>
      </c>
      <c r="AR173" s="15" t="n">
        <f aca="false">INDEX(Ipotesi!$C$75:$G$75,1,F173)*J173/12</f>
        <v>35833.3333333333</v>
      </c>
      <c r="AS173" s="15" t="n">
        <f aca="false">INDEX(Ipotesi!$C$81:$G$81,1,F173)*J173/12</f>
        <v>2083.33333333333</v>
      </c>
      <c r="AT173" s="15" t="n">
        <f aca="false">AR173*Parametri_v3!$C$15+Z173*Parametri_v3!$C$16</f>
        <v>53560.0970908333</v>
      </c>
      <c r="AU173" s="15" t="n">
        <f aca="false">Q173*Parametri_v3!$C$16*Parametri_v3!$C$17</f>
        <v>420</v>
      </c>
      <c r="AV173" s="17" t="n">
        <f aca="false">BD172</f>
        <v>193.95126441358</v>
      </c>
      <c r="AW173" s="17" t="n">
        <f aca="false">AV173*(1-(1-INDEX(Ipotesi!$C$34:$G$34,1,F173))^(1/12))</f>
        <v>1.69544649767503</v>
      </c>
      <c r="AX173" s="15" t="n">
        <f aca="false">ROUND(INDEX(Ipotesi!$C$32:$G$32,1,F173)*Ipotesi!E8,0)</f>
        <v>784</v>
      </c>
      <c r="AY173" s="15" t="n">
        <f aca="false">MAX(0,(AX173-(AV173-AW173))/(13-E173))</f>
        <v>49.3120151736746</v>
      </c>
      <c r="AZ173" s="15" t="n">
        <f aca="false">MIN(P173*Parametri_v3!$C$22,Q173*(1-Parametri_v3!$C$16)*Parametri_v3!$C$23)</f>
        <v>270</v>
      </c>
      <c r="BA173" s="15" t="n">
        <f aca="false">IF(OR(INDEX(Ipotesi!$C$35:$G$35,1,F173)&lt;=0,49-Parametri_v3!$C$21&lt;1),0,INDEX($AT$125:$AT$184,MAX(1,49-Parametri_v3!$C$21))/(INDEX(Ipotesi!$C$35:$G$35,1,F173)*Ipotesi!E27))</f>
        <v>8.12667471955128</v>
      </c>
      <c r="BB173" s="15" t="n">
        <f aca="false">IF(49-Parametri_v3!$C$21&lt;1,0,INDEX($AU$125:$AU$184,MAX(1,49-Parametri_v3!$C$21)))*Parametri_v3!$C$18*Parametri_v3!$C$19*Parametri_v3!$C$20</f>
        <v>13.125</v>
      </c>
      <c r="BC173" s="17" t="n">
        <f aca="false">MAX(0,MIN(AY173,BA173,BB173,MAX(0,AZ173-(AV173-AW173))))</f>
        <v>8.12667471955128</v>
      </c>
      <c r="BD173" s="17" t="n">
        <f aca="false">AV173-AW173+BC173</f>
        <v>200.382492635456</v>
      </c>
      <c r="BE173" s="17" t="n">
        <f aca="false">(AV173+BD173)/2</f>
        <v>197.166878524518</v>
      </c>
      <c r="BF173" s="15" t="n">
        <f aca="false">BE173*INDEX(Ipotesi!$C$33:$G$33,1,F173)*H173/12</f>
        <v>101869.553904334</v>
      </c>
      <c r="BG173" s="15" t="n">
        <f aca="false">BD173*INDEX(Ipotesi!$C$33:$G$33,1,F173)*H173</f>
        <v>1242371.45433983</v>
      </c>
      <c r="BH173" s="15" t="n">
        <f aca="false">AM173*INDEX(Ipotesi!$C$37:$G$37,1,F173)</f>
        <v>12152.6086956522</v>
      </c>
      <c r="BI173" s="15" t="n">
        <f aca="false">AQ173+BF173+BH173</f>
        <v>210015.49593332</v>
      </c>
      <c r="BJ173" s="15" t="n">
        <f aca="false">INDEX(Ipotesi!$C$68:$G$68,1,F173)*Ipotesi!$C$69/12</f>
        <v>3333.33333333333</v>
      </c>
      <c r="BK173" s="15" t="n">
        <f aca="false">INDEX(Ipotesi!$C$68:$G$68,1,F173)*(1-Ipotesi!$C$69)/12</f>
        <v>5000</v>
      </c>
      <c r="BL173" s="15" t="n">
        <f aca="false">(AQ173+BF173)*Ipotesi!$C$67</f>
        <v>5935.88661713003</v>
      </c>
      <c r="BM173" s="15" t="n">
        <f aca="false">AM173*Ipotesi!$C$67</f>
        <v>3645.78260869565</v>
      </c>
      <c r="BN173" s="15" t="n">
        <f aca="false">INDEX(Ipotesi!$C$72:$G$72,1,F173)/12*Ipotesi!E126+BF173*Ipotesi!$C$73</f>
        <v>9399.56431234674</v>
      </c>
      <c r="BO173" s="15" t="n">
        <f aca="false">INDEX(Ipotesi!$C$74:$G$74,1,F173)/12*Ipotesi!E126</f>
        <v>5416.66666666667</v>
      </c>
      <c r="BP173" s="15" t="n">
        <f aca="false">INDEX(Ipotesi!$C$76:$G$76,1,F173)/12</f>
        <v>1916.66666666667</v>
      </c>
      <c r="BQ173" s="15" t="n">
        <f aca="false">INDEX(Ipotesi!$C$77:$G$77,1,F173)/12*Ipotesi!E126</f>
        <v>2500</v>
      </c>
      <c r="BR173" s="15" t="n">
        <f aca="false">INDEX(Ipotesi!$C$78:$G$78,1,F173)/12</f>
        <v>2333.33333333333</v>
      </c>
      <c r="BS173" s="15" t="n">
        <f aca="false">SUM(M173:R173)*(Ipotesi!$C$85+Ipotesi!$C$86)/12</f>
        <v>7437.5</v>
      </c>
      <c r="BT173" s="15" t="n">
        <f aca="false">BI173*Ipotesi!$C$87</f>
        <v>6300.46487799959</v>
      </c>
      <c r="BU173" s="15" t="n">
        <f aca="false">INDEX(Ipotesi!$C$55:$G$55,1,F173)*K173/12</f>
        <v>2000</v>
      </c>
      <c r="BV173" s="15" t="n">
        <f aca="false">INDEX(Ipotesi!$C$80:$G$80,1,F173)/12*Ipotesi!E126</f>
        <v>2083.33333333333</v>
      </c>
      <c r="BW173" s="15" t="n">
        <f aca="false">INDEX(Ipotesi!$C$82:$G$82,1,F173)/12</f>
        <v>1500</v>
      </c>
      <c r="BX173" s="15" t="n">
        <f aca="false">INDEX(Ipotesi!$C$83:$G$83,1,F173)/12</f>
        <v>833.333333333333</v>
      </c>
      <c r="BY173" s="15" t="n">
        <f aca="false">SUM(S173:U173)*(Ipotesi!$C$85+Ipotesi!$C$86)/12</f>
        <v>3208.33333333333</v>
      </c>
      <c r="BZ173" s="15" t="n">
        <f aca="false">AM173*Ipotesi!$C$87</f>
        <v>3645.78260869565</v>
      </c>
      <c r="CA173" s="15" t="n">
        <f aca="false">AB173+BJ173+BL173+BN173+BO173+AR173+BP173+BQ173+BR173+BS173+BT173</f>
        <v>199884.077461643</v>
      </c>
      <c r="CB173" s="15" t="n">
        <f aca="false">AC173+BK173+BM173+BH173+BU173+BV173+AS173+BW173+BX173+BY173+BZ173</f>
        <v>80516.3128405435</v>
      </c>
      <c r="CC173" s="15" t="n">
        <f aca="false">BI173-CA173</f>
        <v>10131.4184716766</v>
      </c>
      <c r="CD173" s="15" t="n">
        <f aca="false">AM173-CB173</f>
        <v>41009.7741159783</v>
      </c>
      <c r="CE173" s="15" t="n">
        <f aca="false">INDEX(Ipotesi!$C$79:$G$79,1,F173)/12</f>
        <v>4166.66666666667</v>
      </c>
      <c r="CF173" s="15" t="n">
        <f aca="false">INDEX(Ipotesi!$C$84:$G$84,1,F173)/12</f>
        <v>666.666666666667</v>
      </c>
      <c r="CG173" s="15" t="n">
        <f aca="false">Y173*MAX(0,Parametri_v3!$C$12-IF(P173=0,0,MIN(1,BE173/(P173*Parametri_v3!$C$22))))+W173*Parametri_v3!$C$13+X173*Parametri_v3!$C$14</f>
        <v>34836.0509408523</v>
      </c>
      <c r="CH173" s="15" t="n">
        <f aca="false">AB173*Parametri_v3!$C$32</f>
        <v>5973.86641604167</v>
      </c>
      <c r="CI173" s="15" t="n">
        <f aca="false">AC173*Parametri_v3!$C$32</f>
        <v>2218.19027970833</v>
      </c>
      <c r="CJ173" s="15" t="n">
        <f aca="false">CA173-AB173</f>
        <v>80406.7491408097</v>
      </c>
      <c r="CK173" s="15" t="n">
        <f aca="false">CB173-AC173-BH173</f>
        <v>23999.8985507246</v>
      </c>
      <c r="CL173" s="15" t="n">
        <f aca="false">BF173*Ipotesi!$C$73+INDEX(Ipotesi!$C$72:$G$72,1,F173)/12*Ipotesi!E126*Parametri_v3!$C$58+Z173*(1-Parametri_v3!$C$16)</f>
        <v>16996.7487798467</v>
      </c>
      <c r="CM173" s="16" t="n">
        <f aca="false">IF(BF173=0,0,1-CL173/BF173)</f>
        <v>0.833151828702338</v>
      </c>
    </row>
    <row r="174" customFormat="false" ht="18" hidden="false" customHeight="true" outlineLevel="0" collapsed="false">
      <c r="A174" s="68" t="n">
        <f aca="false">3</f>
        <v>3</v>
      </c>
      <c r="B174" s="68" t="n">
        <f aca="false">50</f>
        <v>50</v>
      </c>
      <c r="C174" s="18" t="n">
        <f aca="false">EDATE(Parametri_v3!$C$5,50-1)</f>
        <v>47880</v>
      </c>
      <c r="D174" s="68" t="n">
        <f aca="false">YEAR(C174)</f>
        <v>2031</v>
      </c>
      <c r="E174" s="68" t="n">
        <f aca="false">MONTH(C174)</f>
        <v>2</v>
      </c>
      <c r="F174" s="68" t="n">
        <f aca="false">INT((50-1)/12)+1</f>
        <v>5</v>
      </c>
      <c r="G174" s="15" t="n">
        <f aca="false">Ipotesi!E7</f>
        <v>1.25</v>
      </c>
      <c r="H174" s="15" t="n">
        <f aca="false">Ipotesi!E9</f>
        <v>1</v>
      </c>
      <c r="I174" s="15" t="n">
        <f aca="false">Ipotesi!E10</f>
        <v>1</v>
      </c>
      <c r="J174" s="15" t="n">
        <f aca="false">Ipotesi!E11</f>
        <v>1</v>
      </c>
      <c r="K174" s="15" t="n">
        <f aca="false">Ipotesi!E12</f>
        <v>1</v>
      </c>
      <c r="L174" s="15" t="n">
        <f aca="false">Ipotesi!E13</f>
        <v>90</v>
      </c>
      <c r="M174" s="17" t="n">
        <f aca="false">INDEX(Ipotesi!$C$40:$G$40,1,F174)</f>
        <v>1</v>
      </c>
      <c r="N174" s="17" t="n">
        <f aca="false">INDEX(Ipotesi!$C$41:$G$41,1,F174)</f>
        <v>1</v>
      </c>
      <c r="O174" s="17" t="n">
        <f aca="false">INDEX(Ipotesi!$C$42:$G$42,1,F174)*Ipotesi!E125</f>
        <v>8.5</v>
      </c>
      <c r="P174" s="17" t="n">
        <f aca="false">INDEX(Ipotesi!$C$43:$G$43,1,F174)*I174</f>
        <v>7</v>
      </c>
      <c r="Q174" s="17" t="n">
        <f aca="false">INDEX(Ipotesi!$C$44:$G$44,1,F174)*I174</f>
        <v>6</v>
      </c>
      <c r="R174" s="17" t="n">
        <f aca="false">INDEX(Ipotesi!$C$45:$G$45,1,F174)*I174</f>
        <v>2</v>
      </c>
      <c r="S174" s="17" t="n">
        <f aca="false">INDEX(Ipotesi!$C$52:$G$52,1,F174)*Ipotesi!E125</f>
        <v>9</v>
      </c>
      <c r="T174" s="17" t="n">
        <f aca="false">INDEX(Ipotesi!$C$53:$G$53,1,F174)*I174</f>
        <v>1</v>
      </c>
      <c r="U174" s="17" t="n">
        <f aca="false">INDEX(Ipotesi!$C$54:$G$54,1,F174)*I174</f>
        <v>1</v>
      </c>
      <c r="V174" s="15" t="n">
        <f aca="false">M174*INDEX(Ipotesi!$C$58:$G$58,1,F174)*K174/12</f>
        <v>8333.33333333333</v>
      </c>
      <c r="W174" s="15" t="n">
        <f aca="false">N174*Ipotesi!$C$59*(1+Ipotesi!$C$66)^(F174-1)/12</f>
        <v>6565.46805833334</v>
      </c>
      <c r="X174" s="15" t="n">
        <f aca="false">O174*Ipotesi!$C$60*(1+Ipotesi!$C$66)^(F174-1)/12</f>
        <v>39861.7703541667</v>
      </c>
      <c r="Y174" s="15" t="n">
        <f aca="false">P174*Ipotesi!$C$61*(1+Ipotesi!$C$66)^(F174-1)/12</f>
        <v>32827.3402916667</v>
      </c>
      <c r="Z174" s="15" t="n">
        <f aca="false">Q174*Ipotesi!$C$62*(1+Ipotesi!$C$66)^(F174-1)/12</f>
        <v>25323.948225</v>
      </c>
      <c r="AA174" s="15" t="n">
        <f aca="false">R174*Ipotesi!$C$63*(1+Ipotesi!$C$66)^(F174-1)/12</f>
        <v>6565.46805833334</v>
      </c>
      <c r="AB174" s="15" t="n">
        <f aca="false">SUM(V174:AA174)</f>
        <v>119477.328320833</v>
      </c>
      <c r="AC174" s="15" t="n">
        <f aca="false">(S174*Ipotesi!$C$64+T174*Ipotesi!$C$65+U174*Ipotesi!$C$63)*(1+Ipotesi!$C$66)^(F174-1)/12</f>
        <v>44363.8055941667</v>
      </c>
      <c r="AD174" s="15" t="n">
        <f aca="false">INDEX(Ipotesi!$C$48:$G$48,1,F174)*G174/12</f>
        <v>119.791666666667</v>
      </c>
      <c r="AE174" s="15" t="n">
        <f aca="false">INDEX(Ipotesi!$C$50:$G$50,1,F174)*G174/12</f>
        <v>11.9791666666667</v>
      </c>
      <c r="AF174" s="15" t="n">
        <f aca="false">(S174*Parametri_v3!$C$7*Parametri_v3!$C$8+Parametri_v3!$C$10)/12</f>
        <v>115.5</v>
      </c>
      <c r="AG174" s="15" t="n">
        <f aca="false">AD174+AE174*(1+Parametri_v3!$C$9)</f>
        <v>137.760416666667</v>
      </c>
      <c r="AH174" s="16" t="n">
        <f aca="false">IF(AG174=0,1,MIN(1,AF174/AG174))</f>
        <v>0.838412098298677</v>
      </c>
      <c r="AI174" s="15" t="n">
        <f aca="false">AD174*AH174</f>
        <v>100.434782608696</v>
      </c>
      <c r="AJ174" s="15" t="n">
        <f aca="false">AE174*AH174</f>
        <v>10.0434782608696</v>
      </c>
      <c r="AK174" s="15" t="n">
        <f aca="false">AI174*INDEX(Ipotesi!$C$49:$G$49,1,F174)*H174</f>
        <v>95413.0434782609</v>
      </c>
      <c r="AL174" s="15" t="n">
        <f aca="false">AJ174*INDEX(Ipotesi!$C$51:$G$51,1,F174)*H174</f>
        <v>26113.0434782609</v>
      </c>
      <c r="AM174" s="15" t="n">
        <f aca="false">AK174+AL174</f>
        <v>121526.086956522</v>
      </c>
      <c r="AN174" s="15" t="n">
        <f aca="false">INDEX(Ipotesi!$C$30:$G$30,1,F174)*G174/12</f>
        <v>102.083333333333</v>
      </c>
      <c r="AO174" s="15" t="n">
        <f aca="false">O174*Parametri_v3!$C$7*Parametri_v3!$C$11*(1-Parametri_v3!$C$14)/12</f>
        <v>87.2666666666667</v>
      </c>
      <c r="AP174" s="15" t="n">
        <f aca="false">MIN(AN174,AO174)</f>
        <v>87.2666666666667</v>
      </c>
      <c r="AQ174" s="15" t="n">
        <f aca="false">AP174*INDEX(Ipotesi!$C$31:$G$31,1,F174)*H174</f>
        <v>95993.3333333333</v>
      </c>
      <c r="AR174" s="15" t="n">
        <f aca="false">INDEX(Ipotesi!$C$75:$G$75,1,F174)*J174/12</f>
        <v>35833.3333333333</v>
      </c>
      <c r="AS174" s="15" t="n">
        <f aca="false">INDEX(Ipotesi!$C$81:$G$81,1,F174)*J174/12</f>
        <v>2083.33333333333</v>
      </c>
      <c r="AT174" s="15" t="n">
        <f aca="false">AR174*Parametri_v3!$C$15+Z174*Parametri_v3!$C$16</f>
        <v>53560.0970908333</v>
      </c>
      <c r="AU174" s="15" t="n">
        <f aca="false">Q174*Parametri_v3!$C$16*Parametri_v3!$C$17</f>
        <v>420</v>
      </c>
      <c r="AV174" s="17" t="n">
        <f aca="false">BD173</f>
        <v>200.382492635456</v>
      </c>
      <c r="AW174" s="17" t="n">
        <f aca="false">AV174*(1-(1-INDEX(Ipotesi!$C$34:$G$34,1,F174))^(1/12))</f>
        <v>1.75166579275154</v>
      </c>
      <c r="AX174" s="15" t="n">
        <f aca="false">ROUND(INDEX(Ipotesi!$C$32:$G$32,1,F174)*Ipotesi!E8,0)</f>
        <v>784</v>
      </c>
      <c r="AY174" s="15" t="n">
        <f aca="false">MAX(0,(AX174-(AV174-AW174))/(13-E174))</f>
        <v>53.215379377936</v>
      </c>
      <c r="AZ174" s="15" t="n">
        <f aca="false">MIN(P174*Parametri_v3!$C$22,Q174*(1-Parametri_v3!$C$16)*Parametri_v3!$C$23)</f>
        <v>270</v>
      </c>
      <c r="BA174" s="15" t="n">
        <f aca="false">IF(OR(INDEX(Ipotesi!$C$35:$G$35,1,F174)&lt;=0,50-Parametri_v3!$C$21&lt;1),0,INDEX($AT$125:$AT$184,MAX(1,50-Parametri_v3!$C$21))/(INDEX(Ipotesi!$C$35:$G$35,1,F174)*Ipotesi!E27))</f>
        <v>8.12667471955128</v>
      </c>
      <c r="BB174" s="15" t="n">
        <f aca="false">IF(50-Parametri_v3!$C$21&lt;1,0,INDEX($AU$125:$AU$184,MAX(1,50-Parametri_v3!$C$21)))*Parametri_v3!$C$18*Parametri_v3!$C$19*Parametri_v3!$C$20</f>
        <v>13.125</v>
      </c>
      <c r="BC174" s="17" t="n">
        <f aca="false">MAX(0,MIN(AY174,BA174,BB174,MAX(0,AZ174-(AV174-AW174))))</f>
        <v>8.12667471955128</v>
      </c>
      <c r="BD174" s="17" t="n">
        <f aca="false">AV174-AW174+BC174</f>
        <v>206.757501562256</v>
      </c>
      <c r="BE174" s="17" t="n">
        <f aca="false">(AV174+BD174)/2</f>
        <v>203.569997098856</v>
      </c>
      <c r="BF174" s="15" t="n">
        <f aca="false">BE174*INDEX(Ipotesi!$C$33:$G$33,1,F174)*H174/12</f>
        <v>105177.831834409</v>
      </c>
      <c r="BG174" s="15" t="n">
        <f aca="false">BD174*INDEX(Ipotesi!$C$33:$G$33,1,F174)*H174</f>
        <v>1281896.50968599</v>
      </c>
      <c r="BH174" s="15" t="n">
        <f aca="false">AM174*INDEX(Ipotesi!$C$37:$G$37,1,F174)</f>
        <v>12152.6086956522</v>
      </c>
      <c r="BI174" s="15" t="n">
        <f aca="false">AQ174+BF174+BH174</f>
        <v>213323.773863394</v>
      </c>
      <c r="BJ174" s="15" t="n">
        <f aca="false">INDEX(Ipotesi!$C$68:$G$68,1,F174)*Ipotesi!$C$69/12</f>
        <v>3333.33333333333</v>
      </c>
      <c r="BK174" s="15" t="n">
        <f aca="false">INDEX(Ipotesi!$C$68:$G$68,1,F174)*(1-Ipotesi!$C$69)/12</f>
        <v>5000</v>
      </c>
      <c r="BL174" s="15" t="n">
        <f aca="false">(AQ174+BF174)*Ipotesi!$C$67</f>
        <v>6035.13495503227</v>
      </c>
      <c r="BM174" s="15" t="n">
        <f aca="false">AM174*Ipotesi!$C$67</f>
        <v>3645.78260869565</v>
      </c>
      <c r="BN174" s="15" t="n">
        <f aca="false">INDEX(Ipotesi!$C$72:$G$72,1,F174)/12*Ipotesi!E126+BF174*Ipotesi!$C$73</f>
        <v>9664.22654675271</v>
      </c>
      <c r="BO174" s="15" t="n">
        <f aca="false">INDEX(Ipotesi!$C$74:$G$74,1,F174)/12*Ipotesi!E126</f>
        <v>5416.66666666667</v>
      </c>
      <c r="BP174" s="15" t="n">
        <f aca="false">INDEX(Ipotesi!$C$76:$G$76,1,F174)/12</f>
        <v>1916.66666666667</v>
      </c>
      <c r="BQ174" s="15" t="n">
        <f aca="false">INDEX(Ipotesi!$C$77:$G$77,1,F174)/12*Ipotesi!E126</f>
        <v>2500</v>
      </c>
      <c r="BR174" s="15" t="n">
        <f aca="false">INDEX(Ipotesi!$C$78:$G$78,1,F174)/12</f>
        <v>2333.33333333333</v>
      </c>
      <c r="BS174" s="15" t="n">
        <f aca="false">SUM(M174:R174)*(Ipotesi!$C$85+Ipotesi!$C$86)/12</f>
        <v>7437.5</v>
      </c>
      <c r="BT174" s="15" t="n">
        <f aca="false">BI174*Ipotesi!$C$87</f>
        <v>6399.71321590183</v>
      </c>
      <c r="BU174" s="15" t="n">
        <f aca="false">INDEX(Ipotesi!$C$55:$G$55,1,F174)*K174/12</f>
        <v>2000</v>
      </c>
      <c r="BV174" s="15" t="n">
        <f aca="false">INDEX(Ipotesi!$C$80:$G$80,1,F174)/12*Ipotesi!E126</f>
        <v>2083.33333333333</v>
      </c>
      <c r="BW174" s="15" t="n">
        <f aca="false">INDEX(Ipotesi!$C$82:$G$82,1,F174)/12</f>
        <v>1500</v>
      </c>
      <c r="BX174" s="15" t="n">
        <f aca="false">INDEX(Ipotesi!$C$83:$G$83,1,F174)/12</f>
        <v>833.333333333333</v>
      </c>
      <c r="BY174" s="15" t="n">
        <f aca="false">SUM(S174:U174)*(Ipotesi!$C$85+Ipotesi!$C$86)/12</f>
        <v>3208.33333333333</v>
      </c>
      <c r="BZ174" s="15" t="n">
        <f aca="false">AM174*Ipotesi!$C$87</f>
        <v>3645.78260869565</v>
      </c>
      <c r="CA174" s="15" t="n">
        <f aca="false">AB174+BJ174+BL174+BN174+BO174+AR174+BP174+BQ174+BR174+BS174+BT174</f>
        <v>200347.236371854</v>
      </c>
      <c r="CB174" s="15" t="n">
        <f aca="false">AC174+BK174+BM174+BH174+BU174+BV174+AS174+BW174+BX174+BY174+BZ174</f>
        <v>80516.3128405435</v>
      </c>
      <c r="CC174" s="15" t="n">
        <f aca="false">BI174-CA174</f>
        <v>12976.5374915408</v>
      </c>
      <c r="CD174" s="15" t="n">
        <f aca="false">AM174-CB174</f>
        <v>41009.7741159783</v>
      </c>
      <c r="CE174" s="15" t="n">
        <f aca="false">INDEX(Ipotesi!$C$79:$G$79,1,F174)/12</f>
        <v>4166.66666666667</v>
      </c>
      <c r="CF174" s="15" t="n">
        <f aca="false">INDEX(Ipotesi!$C$84:$G$84,1,F174)/12</f>
        <v>666.666666666667</v>
      </c>
      <c r="CG174" s="15" t="n">
        <f aca="false">Y174*MAX(0,Parametri_v3!$C$12-IF(P174=0,0,MIN(1,BE174/(P174*Parametri_v3!$C$22))))+W174*Parametri_v3!$C$13+X174*Parametri_v3!$C$14</f>
        <v>34535.7690088985</v>
      </c>
      <c r="CH174" s="15" t="n">
        <f aca="false">AB174*Parametri_v3!$C$32</f>
        <v>5973.86641604167</v>
      </c>
      <c r="CI174" s="15" t="n">
        <f aca="false">AC174*Parametri_v3!$C$32</f>
        <v>2218.19027970833</v>
      </c>
      <c r="CJ174" s="15" t="n">
        <f aca="false">CA174-AB174</f>
        <v>80869.9080510202</v>
      </c>
      <c r="CK174" s="15" t="n">
        <f aca="false">CB174-AC174-BH174</f>
        <v>23999.8985507246</v>
      </c>
      <c r="CL174" s="15" t="n">
        <f aca="false">BF174*Ipotesi!$C$73+INDEX(Ipotesi!$C$72:$G$72,1,F174)/12*Ipotesi!E126*Parametri_v3!$C$58+Z174*(1-Parametri_v3!$C$16)</f>
        <v>17261.4110142527</v>
      </c>
      <c r="CM174" s="16" t="n">
        <f aca="false">IF(BF174=0,0,1-CL174/BF174)</f>
        <v>0.835883562979042</v>
      </c>
    </row>
    <row r="175" customFormat="false" ht="18" hidden="false" customHeight="true" outlineLevel="0" collapsed="false">
      <c r="A175" s="68" t="n">
        <f aca="false">3</f>
        <v>3</v>
      </c>
      <c r="B175" s="68" t="n">
        <f aca="false">51</f>
        <v>51</v>
      </c>
      <c r="C175" s="18" t="n">
        <f aca="false">EDATE(Parametri_v3!$C$5,51-1)</f>
        <v>47908</v>
      </c>
      <c r="D175" s="68" t="n">
        <f aca="false">YEAR(C175)</f>
        <v>2031</v>
      </c>
      <c r="E175" s="68" t="n">
        <f aca="false">MONTH(C175)</f>
        <v>3</v>
      </c>
      <c r="F175" s="68" t="n">
        <f aca="false">INT((51-1)/12)+1</f>
        <v>5</v>
      </c>
      <c r="G175" s="15" t="n">
        <f aca="false">Ipotesi!E7</f>
        <v>1.25</v>
      </c>
      <c r="H175" s="15" t="n">
        <f aca="false">Ipotesi!E9</f>
        <v>1</v>
      </c>
      <c r="I175" s="15" t="n">
        <f aca="false">Ipotesi!E10</f>
        <v>1</v>
      </c>
      <c r="J175" s="15" t="n">
        <f aca="false">Ipotesi!E11</f>
        <v>1</v>
      </c>
      <c r="K175" s="15" t="n">
        <f aca="false">Ipotesi!E12</f>
        <v>1</v>
      </c>
      <c r="L175" s="15" t="n">
        <f aca="false">Ipotesi!E13</f>
        <v>90</v>
      </c>
      <c r="M175" s="17" t="n">
        <f aca="false">INDEX(Ipotesi!$C$40:$G$40,1,F175)</f>
        <v>1</v>
      </c>
      <c r="N175" s="17" t="n">
        <f aca="false">INDEX(Ipotesi!$C$41:$G$41,1,F175)</f>
        <v>1</v>
      </c>
      <c r="O175" s="17" t="n">
        <f aca="false">INDEX(Ipotesi!$C$42:$G$42,1,F175)*Ipotesi!E125</f>
        <v>8.5</v>
      </c>
      <c r="P175" s="17" t="n">
        <f aca="false">INDEX(Ipotesi!$C$43:$G$43,1,F175)*I175</f>
        <v>7</v>
      </c>
      <c r="Q175" s="17" t="n">
        <f aca="false">INDEX(Ipotesi!$C$44:$G$44,1,F175)*I175</f>
        <v>6</v>
      </c>
      <c r="R175" s="17" t="n">
        <f aca="false">INDEX(Ipotesi!$C$45:$G$45,1,F175)*I175</f>
        <v>2</v>
      </c>
      <c r="S175" s="17" t="n">
        <f aca="false">INDEX(Ipotesi!$C$52:$G$52,1,F175)*Ipotesi!E125</f>
        <v>9</v>
      </c>
      <c r="T175" s="17" t="n">
        <f aca="false">INDEX(Ipotesi!$C$53:$G$53,1,F175)*I175</f>
        <v>1</v>
      </c>
      <c r="U175" s="17" t="n">
        <f aca="false">INDEX(Ipotesi!$C$54:$G$54,1,F175)*I175</f>
        <v>1</v>
      </c>
      <c r="V175" s="15" t="n">
        <f aca="false">M175*INDEX(Ipotesi!$C$58:$G$58,1,F175)*K175/12</f>
        <v>8333.33333333333</v>
      </c>
      <c r="W175" s="15" t="n">
        <f aca="false">N175*Ipotesi!$C$59*(1+Ipotesi!$C$66)^(F175-1)/12</f>
        <v>6565.46805833334</v>
      </c>
      <c r="X175" s="15" t="n">
        <f aca="false">O175*Ipotesi!$C$60*(1+Ipotesi!$C$66)^(F175-1)/12</f>
        <v>39861.7703541667</v>
      </c>
      <c r="Y175" s="15" t="n">
        <f aca="false">P175*Ipotesi!$C$61*(1+Ipotesi!$C$66)^(F175-1)/12</f>
        <v>32827.3402916667</v>
      </c>
      <c r="Z175" s="15" t="n">
        <f aca="false">Q175*Ipotesi!$C$62*(1+Ipotesi!$C$66)^(F175-1)/12</f>
        <v>25323.948225</v>
      </c>
      <c r="AA175" s="15" t="n">
        <f aca="false">R175*Ipotesi!$C$63*(1+Ipotesi!$C$66)^(F175-1)/12</f>
        <v>6565.46805833334</v>
      </c>
      <c r="AB175" s="15" t="n">
        <f aca="false">SUM(V175:AA175)</f>
        <v>119477.328320833</v>
      </c>
      <c r="AC175" s="15" t="n">
        <f aca="false">(S175*Ipotesi!$C$64+T175*Ipotesi!$C$65+U175*Ipotesi!$C$63)*(1+Ipotesi!$C$66)^(F175-1)/12</f>
        <v>44363.8055941667</v>
      </c>
      <c r="AD175" s="15" t="n">
        <f aca="false">INDEX(Ipotesi!$C$48:$G$48,1,F175)*G175/12</f>
        <v>119.791666666667</v>
      </c>
      <c r="AE175" s="15" t="n">
        <f aca="false">INDEX(Ipotesi!$C$50:$G$50,1,F175)*G175/12</f>
        <v>11.9791666666667</v>
      </c>
      <c r="AF175" s="15" t="n">
        <f aca="false">(S175*Parametri_v3!$C$7*Parametri_v3!$C$8+Parametri_v3!$C$10)/12</f>
        <v>115.5</v>
      </c>
      <c r="AG175" s="15" t="n">
        <f aca="false">AD175+AE175*(1+Parametri_v3!$C$9)</f>
        <v>137.760416666667</v>
      </c>
      <c r="AH175" s="16" t="n">
        <f aca="false">IF(AG175=0,1,MIN(1,AF175/AG175))</f>
        <v>0.838412098298677</v>
      </c>
      <c r="AI175" s="15" t="n">
        <f aca="false">AD175*AH175</f>
        <v>100.434782608696</v>
      </c>
      <c r="AJ175" s="15" t="n">
        <f aca="false">AE175*AH175</f>
        <v>10.0434782608696</v>
      </c>
      <c r="AK175" s="15" t="n">
        <f aca="false">AI175*INDEX(Ipotesi!$C$49:$G$49,1,F175)*H175</f>
        <v>95413.0434782609</v>
      </c>
      <c r="AL175" s="15" t="n">
        <f aca="false">AJ175*INDEX(Ipotesi!$C$51:$G$51,1,F175)*H175</f>
        <v>26113.0434782609</v>
      </c>
      <c r="AM175" s="15" t="n">
        <f aca="false">AK175+AL175</f>
        <v>121526.086956522</v>
      </c>
      <c r="AN175" s="15" t="n">
        <f aca="false">INDEX(Ipotesi!$C$30:$G$30,1,F175)*G175/12</f>
        <v>102.083333333333</v>
      </c>
      <c r="AO175" s="15" t="n">
        <f aca="false">O175*Parametri_v3!$C$7*Parametri_v3!$C$11*(1-Parametri_v3!$C$14)/12</f>
        <v>87.2666666666667</v>
      </c>
      <c r="AP175" s="15" t="n">
        <f aca="false">MIN(AN175,AO175)</f>
        <v>87.2666666666667</v>
      </c>
      <c r="AQ175" s="15" t="n">
        <f aca="false">AP175*INDEX(Ipotesi!$C$31:$G$31,1,F175)*H175</f>
        <v>95993.3333333333</v>
      </c>
      <c r="AR175" s="15" t="n">
        <f aca="false">INDEX(Ipotesi!$C$75:$G$75,1,F175)*J175/12</f>
        <v>35833.3333333333</v>
      </c>
      <c r="AS175" s="15" t="n">
        <f aca="false">INDEX(Ipotesi!$C$81:$G$81,1,F175)*J175/12</f>
        <v>2083.33333333333</v>
      </c>
      <c r="AT175" s="15" t="n">
        <f aca="false">AR175*Parametri_v3!$C$15+Z175*Parametri_v3!$C$16</f>
        <v>53560.0970908333</v>
      </c>
      <c r="AU175" s="15" t="n">
        <f aca="false">Q175*Parametri_v3!$C$16*Parametri_v3!$C$17</f>
        <v>420</v>
      </c>
      <c r="AV175" s="17" t="n">
        <f aca="false">BD174</f>
        <v>206.757501562256</v>
      </c>
      <c r="AW175" s="17" t="n">
        <f aca="false">AV175*(1-(1-INDEX(Ipotesi!$C$34:$G$34,1,F175))^(1/12))</f>
        <v>1.80739364062234</v>
      </c>
      <c r="AX175" s="15" t="n">
        <f aca="false">ROUND(INDEX(Ipotesi!$C$32:$G$32,1,F175)*Ipotesi!E8,0)</f>
        <v>784</v>
      </c>
      <c r="AY175" s="15" t="n">
        <f aca="false">MAX(0,(AX175-(AV175-AW175))/(13-E175))</f>
        <v>57.9049892078367</v>
      </c>
      <c r="AZ175" s="15" t="n">
        <f aca="false">MIN(P175*Parametri_v3!$C$22,Q175*(1-Parametri_v3!$C$16)*Parametri_v3!$C$23)</f>
        <v>270</v>
      </c>
      <c r="BA175" s="15" t="n">
        <f aca="false">IF(OR(INDEX(Ipotesi!$C$35:$G$35,1,F175)&lt;=0,51-Parametri_v3!$C$21&lt;1),0,INDEX($AT$125:$AT$184,MAX(1,51-Parametri_v3!$C$21))/(INDEX(Ipotesi!$C$35:$G$35,1,F175)*Ipotesi!E27))</f>
        <v>8.12667471955128</v>
      </c>
      <c r="BB175" s="15" t="n">
        <f aca="false">IF(51-Parametri_v3!$C$21&lt;1,0,INDEX($AU$125:$AU$184,MAX(1,51-Parametri_v3!$C$21)))*Parametri_v3!$C$18*Parametri_v3!$C$19*Parametri_v3!$C$20</f>
        <v>13.125</v>
      </c>
      <c r="BC175" s="17" t="n">
        <f aca="false">MAX(0,MIN(AY175,BA175,BB175,MAX(0,AZ175-(AV175-AW175))))</f>
        <v>8.12667471955128</v>
      </c>
      <c r="BD175" s="17" t="n">
        <f aca="false">AV175-AW175+BC175</f>
        <v>213.076782641185</v>
      </c>
      <c r="BE175" s="17" t="n">
        <f aca="false">(AV175+BD175)/2</f>
        <v>209.91714210172</v>
      </c>
      <c r="BF175" s="15" t="n">
        <f aca="false">BE175*INDEX(Ipotesi!$C$33:$G$33,1,F175)*H175/12</f>
        <v>108457.190085889</v>
      </c>
      <c r="BG175" s="15" t="n">
        <f aca="false">BD175*INDEX(Ipotesi!$C$33:$G$33,1,F175)*H175</f>
        <v>1321076.05237534</v>
      </c>
      <c r="BH175" s="15" t="n">
        <f aca="false">AM175*INDEX(Ipotesi!$C$37:$G$37,1,F175)</f>
        <v>12152.6086956522</v>
      </c>
      <c r="BI175" s="15" t="n">
        <f aca="false">AQ175+BF175+BH175</f>
        <v>216603.132114874</v>
      </c>
      <c r="BJ175" s="15" t="n">
        <f aca="false">INDEX(Ipotesi!$C$68:$G$68,1,F175)*Ipotesi!$C$69/12</f>
        <v>3333.33333333333</v>
      </c>
      <c r="BK175" s="15" t="n">
        <f aca="false">INDEX(Ipotesi!$C$68:$G$68,1,F175)*(1-Ipotesi!$C$69)/12</f>
        <v>5000</v>
      </c>
      <c r="BL175" s="15" t="n">
        <f aca="false">(AQ175+BF175)*Ipotesi!$C$67</f>
        <v>6133.51570257666</v>
      </c>
      <c r="BM175" s="15" t="n">
        <f aca="false">AM175*Ipotesi!$C$67</f>
        <v>3645.78260869565</v>
      </c>
      <c r="BN175" s="15" t="n">
        <f aca="false">INDEX(Ipotesi!$C$72:$G$72,1,F175)/12*Ipotesi!E126+BF175*Ipotesi!$C$73</f>
        <v>9926.5752068711</v>
      </c>
      <c r="BO175" s="15" t="n">
        <f aca="false">INDEX(Ipotesi!$C$74:$G$74,1,F175)/12*Ipotesi!E126</f>
        <v>5416.66666666667</v>
      </c>
      <c r="BP175" s="15" t="n">
        <f aca="false">INDEX(Ipotesi!$C$76:$G$76,1,F175)/12</f>
        <v>1916.66666666667</v>
      </c>
      <c r="BQ175" s="15" t="n">
        <f aca="false">INDEX(Ipotesi!$C$77:$G$77,1,F175)/12*Ipotesi!E126</f>
        <v>2500</v>
      </c>
      <c r="BR175" s="15" t="n">
        <f aca="false">INDEX(Ipotesi!$C$78:$G$78,1,F175)/12</f>
        <v>2333.33333333333</v>
      </c>
      <c r="BS175" s="15" t="n">
        <f aca="false">SUM(M175:R175)*(Ipotesi!$C$85+Ipotesi!$C$86)/12</f>
        <v>7437.5</v>
      </c>
      <c r="BT175" s="15" t="n">
        <f aca="false">BI175*Ipotesi!$C$87</f>
        <v>6498.09396344623</v>
      </c>
      <c r="BU175" s="15" t="n">
        <f aca="false">INDEX(Ipotesi!$C$55:$G$55,1,F175)*K175/12</f>
        <v>2000</v>
      </c>
      <c r="BV175" s="15" t="n">
        <f aca="false">INDEX(Ipotesi!$C$80:$G$80,1,F175)/12*Ipotesi!E126</f>
        <v>2083.33333333333</v>
      </c>
      <c r="BW175" s="15" t="n">
        <f aca="false">INDEX(Ipotesi!$C$82:$G$82,1,F175)/12</f>
        <v>1500</v>
      </c>
      <c r="BX175" s="15" t="n">
        <f aca="false">INDEX(Ipotesi!$C$83:$G$83,1,F175)/12</f>
        <v>833.333333333333</v>
      </c>
      <c r="BY175" s="15" t="n">
        <f aca="false">SUM(S175:U175)*(Ipotesi!$C$85+Ipotesi!$C$86)/12</f>
        <v>3208.33333333333</v>
      </c>
      <c r="BZ175" s="15" t="n">
        <f aca="false">AM175*Ipotesi!$C$87</f>
        <v>3645.78260869565</v>
      </c>
      <c r="CA175" s="15" t="n">
        <f aca="false">AB175+BJ175+BL175+BN175+BO175+AR175+BP175+BQ175+BR175+BS175+BT175</f>
        <v>200806.346527061</v>
      </c>
      <c r="CB175" s="15" t="n">
        <f aca="false">AC175+BK175+BM175+BH175+BU175+BV175+AS175+BW175+BX175+BY175+BZ175</f>
        <v>80516.3128405435</v>
      </c>
      <c r="CC175" s="15" t="n">
        <f aca="false">BI175-CA175</f>
        <v>15796.7855878136</v>
      </c>
      <c r="CD175" s="15" t="n">
        <f aca="false">AM175-CB175</f>
        <v>41009.7741159783</v>
      </c>
      <c r="CE175" s="15" t="n">
        <f aca="false">INDEX(Ipotesi!$C$79:$G$79,1,F175)/12</f>
        <v>4166.66666666667</v>
      </c>
      <c r="CF175" s="15" t="n">
        <f aca="false">INDEX(Ipotesi!$C$84:$G$84,1,F175)/12</f>
        <v>666.666666666667</v>
      </c>
      <c r="CG175" s="15" t="n">
        <f aca="false">Y175*MAX(0,Parametri_v3!$C$12-IF(P175=0,0,MIN(1,BE175/(P175*Parametri_v3!$C$22))))+W175*Parametri_v3!$C$13+X175*Parametri_v3!$C$14</f>
        <v>34238.1120247705</v>
      </c>
      <c r="CH175" s="15" t="n">
        <f aca="false">AB175*Parametri_v3!$C$32</f>
        <v>5973.86641604167</v>
      </c>
      <c r="CI175" s="15" t="n">
        <f aca="false">AC175*Parametri_v3!$C$32</f>
        <v>2218.19027970833</v>
      </c>
      <c r="CJ175" s="15" t="n">
        <f aca="false">CA175-AB175</f>
        <v>81329.0182062273</v>
      </c>
      <c r="CK175" s="15" t="n">
        <f aca="false">CB175-AC175-BH175</f>
        <v>23999.8985507246</v>
      </c>
      <c r="CL175" s="15" t="n">
        <f aca="false">BF175*Ipotesi!$C$73+INDEX(Ipotesi!$C$72:$G$72,1,F175)/12*Ipotesi!E126*Parametri_v3!$C$58+Z175*(1-Parametri_v3!$C$16)</f>
        <v>17523.7596743711</v>
      </c>
      <c r="CM175" s="16" t="n">
        <f aca="false">IF(BF175=0,0,1-CL175/BF175)</f>
        <v>0.838426943750859</v>
      </c>
    </row>
    <row r="176" customFormat="false" ht="18" hidden="false" customHeight="true" outlineLevel="0" collapsed="false">
      <c r="A176" s="68" t="n">
        <f aca="false">3</f>
        <v>3</v>
      </c>
      <c r="B176" s="68" t="n">
        <f aca="false">52</f>
        <v>52</v>
      </c>
      <c r="C176" s="18" t="n">
        <f aca="false">EDATE(Parametri_v3!$C$5,52-1)</f>
        <v>47939</v>
      </c>
      <c r="D176" s="68" t="n">
        <f aca="false">YEAR(C176)</f>
        <v>2031</v>
      </c>
      <c r="E176" s="68" t="n">
        <f aca="false">MONTH(C176)</f>
        <v>4</v>
      </c>
      <c r="F176" s="68" t="n">
        <f aca="false">INT((52-1)/12)+1</f>
        <v>5</v>
      </c>
      <c r="G176" s="15" t="n">
        <f aca="false">Ipotesi!E7</f>
        <v>1.25</v>
      </c>
      <c r="H176" s="15" t="n">
        <f aca="false">Ipotesi!E9</f>
        <v>1</v>
      </c>
      <c r="I176" s="15" t="n">
        <f aca="false">Ipotesi!E10</f>
        <v>1</v>
      </c>
      <c r="J176" s="15" t="n">
        <f aca="false">Ipotesi!E11</f>
        <v>1</v>
      </c>
      <c r="K176" s="15" t="n">
        <f aca="false">Ipotesi!E12</f>
        <v>1</v>
      </c>
      <c r="L176" s="15" t="n">
        <f aca="false">Ipotesi!E13</f>
        <v>90</v>
      </c>
      <c r="M176" s="17" t="n">
        <f aca="false">INDEX(Ipotesi!$C$40:$G$40,1,F176)</f>
        <v>1</v>
      </c>
      <c r="N176" s="17" t="n">
        <f aca="false">INDEX(Ipotesi!$C$41:$G$41,1,F176)</f>
        <v>1</v>
      </c>
      <c r="O176" s="17" t="n">
        <f aca="false">INDEX(Ipotesi!$C$42:$G$42,1,F176)*Ipotesi!E125</f>
        <v>8.5</v>
      </c>
      <c r="P176" s="17" t="n">
        <f aca="false">INDEX(Ipotesi!$C$43:$G$43,1,F176)*I176</f>
        <v>7</v>
      </c>
      <c r="Q176" s="17" t="n">
        <f aca="false">INDEX(Ipotesi!$C$44:$G$44,1,F176)*I176</f>
        <v>6</v>
      </c>
      <c r="R176" s="17" t="n">
        <f aca="false">INDEX(Ipotesi!$C$45:$G$45,1,F176)*I176</f>
        <v>2</v>
      </c>
      <c r="S176" s="17" t="n">
        <f aca="false">INDEX(Ipotesi!$C$52:$G$52,1,F176)*Ipotesi!E125</f>
        <v>9</v>
      </c>
      <c r="T176" s="17" t="n">
        <f aca="false">INDEX(Ipotesi!$C$53:$G$53,1,F176)*I176</f>
        <v>1</v>
      </c>
      <c r="U176" s="17" t="n">
        <f aca="false">INDEX(Ipotesi!$C$54:$G$54,1,F176)*I176</f>
        <v>1</v>
      </c>
      <c r="V176" s="15" t="n">
        <f aca="false">M176*INDEX(Ipotesi!$C$58:$G$58,1,F176)*K176/12</f>
        <v>8333.33333333333</v>
      </c>
      <c r="W176" s="15" t="n">
        <f aca="false">N176*Ipotesi!$C$59*(1+Ipotesi!$C$66)^(F176-1)/12</f>
        <v>6565.46805833334</v>
      </c>
      <c r="X176" s="15" t="n">
        <f aca="false">O176*Ipotesi!$C$60*(1+Ipotesi!$C$66)^(F176-1)/12</f>
        <v>39861.7703541667</v>
      </c>
      <c r="Y176" s="15" t="n">
        <f aca="false">P176*Ipotesi!$C$61*(1+Ipotesi!$C$66)^(F176-1)/12</f>
        <v>32827.3402916667</v>
      </c>
      <c r="Z176" s="15" t="n">
        <f aca="false">Q176*Ipotesi!$C$62*(1+Ipotesi!$C$66)^(F176-1)/12</f>
        <v>25323.948225</v>
      </c>
      <c r="AA176" s="15" t="n">
        <f aca="false">R176*Ipotesi!$C$63*(1+Ipotesi!$C$66)^(F176-1)/12</f>
        <v>6565.46805833334</v>
      </c>
      <c r="AB176" s="15" t="n">
        <f aca="false">SUM(V176:AA176)</f>
        <v>119477.328320833</v>
      </c>
      <c r="AC176" s="15" t="n">
        <f aca="false">(S176*Ipotesi!$C$64+T176*Ipotesi!$C$65+U176*Ipotesi!$C$63)*(1+Ipotesi!$C$66)^(F176-1)/12</f>
        <v>44363.8055941667</v>
      </c>
      <c r="AD176" s="15" t="n">
        <f aca="false">INDEX(Ipotesi!$C$48:$G$48,1,F176)*G176/12</f>
        <v>119.791666666667</v>
      </c>
      <c r="AE176" s="15" t="n">
        <f aca="false">INDEX(Ipotesi!$C$50:$G$50,1,F176)*G176/12</f>
        <v>11.9791666666667</v>
      </c>
      <c r="AF176" s="15" t="n">
        <f aca="false">(S176*Parametri_v3!$C$7*Parametri_v3!$C$8+Parametri_v3!$C$10)/12</f>
        <v>115.5</v>
      </c>
      <c r="AG176" s="15" t="n">
        <f aca="false">AD176+AE176*(1+Parametri_v3!$C$9)</f>
        <v>137.760416666667</v>
      </c>
      <c r="AH176" s="16" t="n">
        <f aca="false">IF(AG176=0,1,MIN(1,AF176/AG176))</f>
        <v>0.838412098298677</v>
      </c>
      <c r="AI176" s="15" t="n">
        <f aca="false">AD176*AH176</f>
        <v>100.434782608696</v>
      </c>
      <c r="AJ176" s="15" t="n">
        <f aca="false">AE176*AH176</f>
        <v>10.0434782608696</v>
      </c>
      <c r="AK176" s="15" t="n">
        <f aca="false">AI176*INDEX(Ipotesi!$C$49:$G$49,1,F176)*H176</f>
        <v>95413.0434782609</v>
      </c>
      <c r="AL176" s="15" t="n">
        <f aca="false">AJ176*INDEX(Ipotesi!$C$51:$G$51,1,F176)*H176</f>
        <v>26113.0434782609</v>
      </c>
      <c r="AM176" s="15" t="n">
        <f aca="false">AK176+AL176</f>
        <v>121526.086956522</v>
      </c>
      <c r="AN176" s="15" t="n">
        <f aca="false">INDEX(Ipotesi!$C$30:$G$30,1,F176)*G176/12</f>
        <v>102.083333333333</v>
      </c>
      <c r="AO176" s="15" t="n">
        <f aca="false">O176*Parametri_v3!$C$7*Parametri_v3!$C$11*(1-Parametri_v3!$C$14)/12</f>
        <v>87.2666666666667</v>
      </c>
      <c r="AP176" s="15" t="n">
        <f aca="false">MIN(AN176,AO176)</f>
        <v>87.2666666666667</v>
      </c>
      <c r="AQ176" s="15" t="n">
        <f aca="false">AP176*INDEX(Ipotesi!$C$31:$G$31,1,F176)*H176</f>
        <v>95993.3333333333</v>
      </c>
      <c r="AR176" s="15" t="n">
        <f aca="false">INDEX(Ipotesi!$C$75:$G$75,1,F176)*J176/12</f>
        <v>35833.3333333333</v>
      </c>
      <c r="AS176" s="15" t="n">
        <f aca="false">INDEX(Ipotesi!$C$81:$G$81,1,F176)*J176/12</f>
        <v>2083.33333333333</v>
      </c>
      <c r="AT176" s="15" t="n">
        <f aca="false">AR176*Parametri_v3!$C$15+Z176*Parametri_v3!$C$16</f>
        <v>53560.0970908333</v>
      </c>
      <c r="AU176" s="15" t="n">
        <f aca="false">Q176*Parametri_v3!$C$16*Parametri_v3!$C$17</f>
        <v>420</v>
      </c>
      <c r="AV176" s="17" t="n">
        <f aca="false">BD175</f>
        <v>213.076782641185</v>
      </c>
      <c r="AW176" s="17" t="n">
        <f aca="false">AV176*(1-(1-INDEX(Ipotesi!$C$34:$G$34,1,F176))^(1/12))</f>
        <v>1.86263433732771</v>
      </c>
      <c r="AX176" s="15" t="n">
        <f aca="false">ROUND(INDEX(Ipotesi!$C$32:$G$32,1,F176)*Ipotesi!E8,0)</f>
        <v>784</v>
      </c>
      <c r="AY176" s="15" t="n">
        <f aca="false">MAX(0,(AX176-(AV176-AW176))/(13-E176))</f>
        <v>63.6428724106826</v>
      </c>
      <c r="AZ176" s="15" t="n">
        <f aca="false">MIN(P176*Parametri_v3!$C$22,Q176*(1-Parametri_v3!$C$16)*Parametri_v3!$C$23)</f>
        <v>270</v>
      </c>
      <c r="BA176" s="15" t="n">
        <f aca="false">IF(OR(INDEX(Ipotesi!$C$35:$G$35,1,F176)&lt;=0,52-Parametri_v3!$C$21&lt;1),0,INDEX($AT$125:$AT$184,MAX(1,52-Parametri_v3!$C$21))/(INDEX(Ipotesi!$C$35:$G$35,1,F176)*Ipotesi!E27))</f>
        <v>10.3000186713141</v>
      </c>
      <c r="BB176" s="15" t="n">
        <f aca="false">IF(52-Parametri_v3!$C$21&lt;1,0,INDEX($AU$125:$AU$184,MAX(1,52-Parametri_v3!$C$21)))*Parametri_v3!$C$18*Parametri_v3!$C$19*Parametri_v3!$C$20</f>
        <v>15.75</v>
      </c>
      <c r="BC176" s="17" t="n">
        <f aca="false">MAX(0,MIN(AY176,BA176,BB176,MAX(0,AZ176-(AV176-AW176))))</f>
        <v>10.3000186713141</v>
      </c>
      <c r="BD176" s="17" t="n">
        <f aca="false">AV176-AW176+BC176</f>
        <v>221.514166975171</v>
      </c>
      <c r="BE176" s="17" t="n">
        <f aca="false">(AV176+BD176)/2</f>
        <v>217.295474808178</v>
      </c>
      <c r="BF176" s="15" t="n">
        <f aca="false">BE176*INDEX(Ipotesi!$C$33:$G$33,1,F176)*H176/12</f>
        <v>112269.328650892</v>
      </c>
      <c r="BG176" s="15" t="n">
        <f aca="false">BD176*INDEX(Ipotesi!$C$33:$G$33,1,F176)*H176</f>
        <v>1373387.83524606</v>
      </c>
      <c r="BH176" s="15" t="n">
        <f aca="false">AM176*INDEX(Ipotesi!$C$37:$G$37,1,F176)</f>
        <v>12152.6086956522</v>
      </c>
      <c r="BI176" s="15" t="n">
        <f aca="false">AQ176+BF176+BH176</f>
        <v>220415.270679877</v>
      </c>
      <c r="BJ176" s="15" t="n">
        <f aca="false">INDEX(Ipotesi!$C$68:$G$68,1,F176)*Ipotesi!$C$69/12</f>
        <v>3333.33333333333</v>
      </c>
      <c r="BK176" s="15" t="n">
        <f aca="false">INDEX(Ipotesi!$C$68:$G$68,1,F176)*(1-Ipotesi!$C$69)/12</f>
        <v>5000</v>
      </c>
      <c r="BL176" s="15" t="n">
        <f aca="false">(AQ176+BF176)*Ipotesi!$C$67</f>
        <v>6247.87985952676</v>
      </c>
      <c r="BM176" s="15" t="n">
        <f aca="false">AM176*Ipotesi!$C$67</f>
        <v>3645.78260869565</v>
      </c>
      <c r="BN176" s="15" t="n">
        <f aca="false">INDEX(Ipotesi!$C$72:$G$72,1,F176)/12*Ipotesi!E126+BF176*Ipotesi!$C$73</f>
        <v>10231.5462920714</v>
      </c>
      <c r="BO176" s="15" t="n">
        <f aca="false">INDEX(Ipotesi!$C$74:$G$74,1,F176)/12*Ipotesi!E126</f>
        <v>5416.66666666667</v>
      </c>
      <c r="BP176" s="15" t="n">
        <f aca="false">INDEX(Ipotesi!$C$76:$G$76,1,F176)/12</f>
        <v>1916.66666666667</v>
      </c>
      <c r="BQ176" s="15" t="n">
        <f aca="false">INDEX(Ipotesi!$C$77:$G$77,1,F176)/12*Ipotesi!E126</f>
        <v>2500</v>
      </c>
      <c r="BR176" s="15" t="n">
        <f aca="false">INDEX(Ipotesi!$C$78:$G$78,1,F176)/12</f>
        <v>2333.33333333333</v>
      </c>
      <c r="BS176" s="15" t="n">
        <f aca="false">SUM(M176:R176)*(Ipotesi!$C$85+Ipotesi!$C$86)/12</f>
        <v>7437.5</v>
      </c>
      <c r="BT176" s="15" t="n">
        <f aca="false">BI176*Ipotesi!$C$87</f>
        <v>6612.45812039632</v>
      </c>
      <c r="BU176" s="15" t="n">
        <f aca="false">INDEX(Ipotesi!$C$55:$G$55,1,F176)*K176/12</f>
        <v>2000</v>
      </c>
      <c r="BV176" s="15" t="n">
        <f aca="false">INDEX(Ipotesi!$C$80:$G$80,1,F176)/12*Ipotesi!E126</f>
        <v>2083.33333333333</v>
      </c>
      <c r="BW176" s="15" t="n">
        <f aca="false">INDEX(Ipotesi!$C$82:$G$82,1,F176)/12</f>
        <v>1500</v>
      </c>
      <c r="BX176" s="15" t="n">
        <f aca="false">INDEX(Ipotesi!$C$83:$G$83,1,F176)/12</f>
        <v>833.333333333333</v>
      </c>
      <c r="BY176" s="15" t="n">
        <f aca="false">SUM(S176:U176)*(Ipotesi!$C$85+Ipotesi!$C$86)/12</f>
        <v>3208.33333333333</v>
      </c>
      <c r="BZ176" s="15" t="n">
        <f aca="false">AM176*Ipotesi!$C$87</f>
        <v>3645.78260869565</v>
      </c>
      <c r="CA176" s="15" t="n">
        <f aca="false">AB176+BJ176+BL176+BN176+BO176+AR176+BP176+BQ176+BR176+BS176+BT176</f>
        <v>201340.045926161</v>
      </c>
      <c r="CB176" s="15" t="n">
        <f aca="false">AC176+BK176+BM176+BH176+BU176+BV176+AS176+BW176+BX176+BY176+BZ176</f>
        <v>80516.3128405435</v>
      </c>
      <c r="CC176" s="15" t="n">
        <f aca="false">BI176-CA176</f>
        <v>19075.2247537162</v>
      </c>
      <c r="CD176" s="15" t="n">
        <f aca="false">AM176-CB176</f>
        <v>41009.7741159783</v>
      </c>
      <c r="CE176" s="15" t="n">
        <f aca="false">INDEX(Ipotesi!$C$79:$G$79,1,F176)/12</f>
        <v>4166.66666666667</v>
      </c>
      <c r="CF176" s="15" t="n">
        <f aca="false">INDEX(Ipotesi!$C$84:$G$84,1,F176)/12</f>
        <v>666.666666666667</v>
      </c>
      <c r="CG176" s="15" t="n">
        <f aca="false">Y176*MAX(0,Parametri_v3!$C$12-IF(P176=0,0,MIN(1,BE176/(P176*Parametri_v3!$C$22))))+W176*Parametri_v3!$C$13+X176*Parametri_v3!$C$14</f>
        <v>33892.0962554276</v>
      </c>
      <c r="CH176" s="15" t="n">
        <f aca="false">AB176*Parametri_v3!$C$32</f>
        <v>5973.86641604167</v>
      </c>
      <c r="CI176" s="15" t="n">
        <f aca="false">AC176*Parametri_v3!$C$32</f>
        <v>2218.19027970833</v>
      </c>
      <c r="CJ176" s="15" t="n">
        <f aca="false">CA176-AB176</f>
        <v>81862.7176053278</v>
      </c>
      <c r="CK176" s="15" t="n">
        <f aca="false">CB176-AC176-BH176</f>
        <v>23999.8985507246</v>
      </c>
      <c r="CL176" s="15" t="n">
        <f aca="false">BF176*Ipotesi!$C$73+INDEX(Ipotesi!$C$72:$G$72,1,F176)/12*Ipotesi!E126*Parametri_v3!$C$58+Z176*(1-Parametri_v3!$C$16)</f>
        <v>17828.7307595714</v>
      </c>
      <c r="CM176" s="16" t="n">
        <f aca="false">IF(BF176=0,0,1-CL176/BF176)</f>
        <v>0.841196781224097</v>
      </c>
    </row>
    <row r="177" customFormat="false" ht="18" hidden="false" customHeight="true" outlineLevel="0" collapsed="false">
      <c r="A177" s="68" t="n">
        <f aca="false">3</f>
        <v>3</v>
      </c>
      <c r="B177" s="68" t="n">
        <f aca="false">53</f>
        <v>53</v>
      </c>
      <c r="C177" s="18" t="n">
        <f aca="false">EDATE(Parametri_v3!$C$5,53-1)</f>
        <v>47969</v>
      </c>
      <c r="D177" s="68" t="n">
        <f aca="false">YEAR(C177)</f>
        <v>2031</v>
      </c>
      <c r="E177" s="68" t="n">
        <f aca="false">MONTH(C177)</f>
        <v>5</v>
      </c>
      <c r="F177" s="68" t="n">
        <f aca="false">INT((53-1)/12)+1</f>
        <v>5</v>
      </c>
      <c r="G177" s="15" t="n">
        <f aca="false">Ipotesi!E7</f>
        <v>1.25</v>
      </c>
      <c r="H177" s="15" t="n">
        <f aca="false">Ipotesi!E9</f>
        <v>1</v>
      </c>
      <c r="I177" s="15" t="n">
        <f aca="false">Ipotesi!E10</f>
        <v>1</v>
      </c>
      <c r="J177" s="15" t="n">
        <f aca="false">Ipotesi!E11</f>
        <v>1</v>
      </c>
      <c r="K177" s="15" t="n">
        <f aca="false">Ipotesi!E12</f>
        <v>1</v>
      </c>
      <c r="L177" s="15" t="n">
        <f aca="false">Ipotesi!E13</f>
        <v>90</v>
      </c>
      <c r="M177" s="17" t="n">
        <f aca="false">INDEX(Ipotesi!$C$40:$G$40,1,F177)</f>
        <v>1</v>
      </c>
      <c r="N177" s="17" t="n">
        <f aca="false">INDEX(Ipotesi!$C$41:$G$41,1,F177)</f>
        <v>1</v>
      </c>
      <c r="O177" s="17" t="n">
        <f aca="false">INDEX(Ipotesi!$C$42:$G$42,1,F177)*Ipotesi!E125</f>
        <v>8.5</v>
      </c>
      <c r="P177" s="17" t="n">
        <f aca="false">INDEX(Ipotesi!$C$43:$G$43,1,F177)*I177</f>
        <v>7</v>
      </c>
      <c r="Q177" s="17" t="n">
        <f aca="false">INDEX(Ipotesi!$C$44:$G$44,1,F177)*I177</f>
        <v>6</v>
      </c>
      <c r="R177" s="17" t="n">
        <f aca="false">INDEX(Ipotesi!$C$45:$G$45,1,F177)*I177</f>
        <v>2</v>
      </c>
      <c r="S177" s="17" t="n">
        <f aca="false">INDEX(Ipotesi!$C$52:$G$52,1,F177)*Ipotesi!E125</f>
        <v>9</v>
      </c>
      <c r="T177" s="17" t="n">
        <f aca="false">INDEX(Ipotesi!$C$53:$G$53,1,F177)*I177</f>
        <v>1</v>
      </c>
      <c r="U177" s="17" t="n">
        <f aca="false">INDEX(Ipotesi!$C$54:$G$54,1,F177)*I177</f>
        <v>1</v>
      </c>
      <c r="V177" s="15" t="n">
        <f aca="false">M177*INDEX(Ipotesi!$C$58:$G$58,1,F177)*K177/12</f>
        <v>8333.33333333333</v>
      </c>
      <c r="W177" s="15" t="n">
        <f aca="false">N177*Ipotesi!$C$59*(1+Ipotesi!$C$66)^(F177-1)/12</f>
        <v>6565.46805833334</v>
      </c>
      <c r="X177" s="15" t="n">
        <f aca="false">O177*Ipotesi!$C$60*(1+Ipotesi!$C$66)^(F177-1)/12</f>
        <v>39861.7703541667</v>
      </c>
      <c r="Y177" s="15" t="n">
        <f aca="false">P177*Ipotesi!$C$61*(1+Ipotesi!$C$66)^(F177-1)/12</f>
        <v>32827.3402916667</v>
      </c>
      <c r="Z177" s="15" t="n">
        <f aca="false">Q177*Ipotesi!$C$62*(1+Ipotesi!$C$66)^(F177-1)/12</f>
        <v>25323.948225</v>
      </c>
      <c r="AA177" s="15" t="n">
        <f aca="false">R177*Ipotesi!$C$63*(1+Ipotesi!$C$66)^(F177-1)/12</f>
        <v>6565.46805833334</v>
      </c>
      <c r="AB177" s="15" t="n">
        <f aca="false">SUM(V177:AA177)</f>
        <v>119477.328320833</v>
      </c>
      <c r="AC177" s="15" t="n">
        <f aca="false">(S177*Ipotesi!$C$64+T177*Ipotesi!$C$65+U177*Ipotesi!$C$63)*(1+Ipotesi!$C$66)^(F177-1)/12</f>
        <v>44363.8055941667</v>
      </c>
      <c r="AD177" s="15" t="n">
        <f aca="false">INDEX(Ipotesi!$C$48:$G$48,1,F177)*G177/12</f>
        <v>119.791666666667</v>
      </c>
      <c r="AE177" s="15" t="n">
        <f aca="false">INDEX(Ipotesi!$C$50:$G$50,1,F177)*G177/12</f>
        <v>11.9791666666667</v>
      </c>
      <c r="AF177" s="15" t="n">
        <f aca="false">(S177*Parametri_v3!$C$7*Parametri_v3!$C$8+Parametri_v3!$C$10)/12</f>
        <v>115.5</v>
      </c>
      <c r="AG177" s="15" t="n">
        <f aca="false">AD177+AE177*(1+Parametri_v3!$C$9)</f>
        <v>137.760416666667</v>
      </c>
      <c r="AH177" s="16" t="n">
        <f aca="false">IF(AG177=0,1,MIN(1,AF177/AG177))</f>
        <v>0.838412098298677</v>
      </c>
      <c r="AI177" s="15" t="n">
        <f aca="false">AD177*AH177</f>
        <v>100.434782608696</v>
      </c>
      <c r="AJ177" s="15" t="n">
        <f aca="false">AE177*AH177</f>
        <v>10.0434782608696</v>
      </c>
      <c r="AK177" s="15" t="n">
        <f aca="false">AI177*INDEX(Ipotesi!$C$49:$G$49,1,F177)*H177</f>
        <v>95413.0434782609</v>
      </c>
      <c r="AL177" s="15" t="n">
        <f aca="false">AJ177*INDEX(Ipotesi!$C$51:$G$51,1,F177)*H177</f>
        <v>26113.0434782609</v>
      </c>
      <c r="AM177" s="15" t="n">
        <f aca="false">AK177+AL177</f>
        <v>121526.086956522</v>
      </c>
      <c r="AN177" s="15" t="n">
        <f aca="false">INDEX(Ipotesi!$C$30:$G$30,1,F177)*G177/12</f>
        <v>102.083333333333</v>
      </c>
      <c r="AO177" s="15" t="n">
        <f aca="false">O177*Parametri_v3!$C$7*Parametri_v3!$C$11*(1-Parametri_v3!$C$14)/12</f>
        <v>87.2666666666667</v>
      </c>
      <c r="AP177" s="15" t="n">
        <f aca="false">MIN(AN177,AO177)</f>
        <v>87.2666666666667</v>
      </c>
      <c r="AQ177" s="15" t="n">
        <f aca="false">AP177*INDEX(Ipotesi!$C$31:$G$31,1,F177)*H177</f>
        <v>95993.3333333333</v>
      </c>
      <c r="AR177" s="15" t="n">
        <f aca="false">INDEX(Ipotesi!$C$75:$G$75,1,F177)*J177/12</f>
        <v>35833.3333333333</v>
      </c>
      <c r="AS177" s="15" t="n">
        <f aca="false">INDEX(Ipotesi!$C$81:$G$81,1,F177)*J177/12</f>
        <v>2083.33333333333</v>
      </c>
      <c r="AT177" s="15" t="n">
        <f aca="false">AR177*Parametri_v3!$C$15+Z177*Parametri_v3!$C$16</f>
        <v>53560.0970908333</v>
      </c>
      <c r="AU177" s="15" t="n">
        <f aca="false">Q177*Parametri_v3!$C$16*Parametri_v3!$C$17</f>
        <v>420</v>
      </c>
      <c r="AV177" s="17" t="n">
        <f aca="false">BD176</f>
        <v>221.514166975171</v>
      </c>
      <c r="AW177" s="17" t="n">
        <f aca="false">AV177*(1-(1-INDEX(Ipotesi!$C$34:$G$34,1,F177))^(1/12))</f>
        <v>1.93639066865067</v>
      </c>
      <c r="AX177" s="15" t="n">
        <f aca="false">ROUND(INDEX(Ipotesi!$C$32:$G$32,1,F177)*Ipotesi!E8,0)</f>
        <v>784</v>
      </c>
      <c r="AY177" s="15" t="n">
        <f aca="false">MAX(0,(AX177-(AV177-AW177))/(13-E177))</f>
        <v>70.552777961685</v>
      </c>
      <c r="AZ177" s="15" t="n">
        <f aca="false">MIN(P177*Parametri_v3!$C$22,Q177*(1-Parametri_v3!$C$16)*Parametri_v3!$C$23)</f>
        <v>270</v>
      </c>
      <c r="BA177" s="15" t="n">
        <f aca="false">IF(OR(INDEX(Ipotesi!$C$35:$G$35,1,F177)&lt;=0,53-Parametri_v3!$C$21&lt;1),0,INDEX($AT$125:$AT$184,MAX(1,53-Parametri_v3!$C$21))/(INDEX(Ipotesi!$C$35:$G$35,1,F177)*Ipotesi!E27))</f>
        <v>10.3000186713141</v>
      </c>
      <c r="BB177" s="15" t="n">
        <f aca="false">IF(53-Parametri_v3!$C$21&lt;1,0,INDEX($AU$125:$AU$184,MAX(1,53-Parametri_v3!$C$21)))*Parametri_v3!$C$18*Parametri_v3!$C$19*Parametri_v3!$C$20</f>
        <v>15.75</v>
      </c>
      <c r="BC177" s="17" t="n">
        <f aca="false">MAX(0,MIN(AY177,BA177,BB177,MAX(0,AZ177-(AV177-AW177))))</f>
        <v>10.3000186713141</v>
      </c>
      <c r="BD177" s="17" t="n">
        <f aca="false">AV177-AW177+BC177</f>
        <v>229.877794977834</v>
      </c>
      <c r="BE177" s="17" t="n">
        <f aca="false">(AV177+BD177)/2</f>
        <v>225.695980976503</v>
      </c>
      <c r="BF177" s="15" t="n">
        <f aca="false">BE177*INDEX(Ipotesi!$C$33:$G$33,1,F177)*H177/12</f>
        <v>116609.590171193</v>
      </c>
      <c r="BG177" s="15" t="n">
        <f aca="false">BD177*INDEX(Ipotesi!$C$33:$G$33,1,F177)*H177</f>
        <v>1425242.32886257</v>
      </c>
      <c r="BH177" s="15" t="n">
        <f aca="false">AM177*INDEX(Ipotesi!$C$37:$G$37,1,F177)</f>
        <v>12152.6086956522</v>
      </c>
      <c r="BI177" s="15" t="n">
        <f aca="false">AQ177+BF177+BH177</f>
        <v>224755.532200179</v>
      </c>
      <c r="BJ177" s="15" t="n">
        <f aca="false">INDEX(Ipotesi!$C$68:$G$68,1,F177)*Ipotesi!$C$69/12</f>
        <v>3333.33333333333</v>
      </c>
      <c r="BK177" s="15" t="n">
        <f aca="false">INDEX(Ipotesi!$C$68:$G$68,1,F177)*(1-Ipotesi!$C$69)/12</f>
        <v>5000</v>
      </c>
      <c r="BL177" s="15" t="n">
        <f aca="false">(AQ177+BF177)*Ipotesi!$C$67</f>
        <v>6378.08770513579</v>
      </c>
      <c r="BM177" s="15" t="n">
        <f aca="false">AM177*Ipotesi!$C$67</f>
        <v>3645.78260869565</v>
      </c>
      <c r="BN177" s="15" t="n">
        <f aca="false">INDEX(Ipotesi!$C$72:$G$72,1,F177)/12*Ipotesi!E126+BF177*Ipotesi!$C$73</f>
        <v>10578.7672136954</v>
      </c>
      <c r="BO177" s="15" t="n">
        <f aca="false">INDEX(Ipotesi!$C$74:$G$74,1,F177)/12*Ipotesi!E126</f>
        <v>5416.66666666667</v>
      </c>
      <c r="BP177" s="15" t="n">
        <f aca="false">INDEX(Ipotesi!$C$76:$G$76,1,F177)/12</f>
        <v>1916.66666666667</v>
      </c>
      <c r="BQ177" s="15" t="n">
        <f aca="false">INDEX(Ipotesi!$C$77:$G$77,1,F177)/12*Ipotesi!E126</f>
        <v>2500</v>
      </c>
      <c r="BR177" s="15" t="n">
        <f aca="false">INDEX(Ipotesi!$C$78:$G$78,1,F177)/12</f>
        <v>2333.33333333333</v>
      </c>
      <c r="BS177" s="15" t="n">
        <f aca="false">SUM(M177:R177)*(Ipotesi!$C$85+Ipotesi!$C$86)/12</f>
        <v>7437.5</v>
      </c>
      <c r="BT177" s="15" t="n">
        <f aca="false">BI177*Ipotesi!$C$87</f>
        <v>6742.66596600536</v>
      </c>
      <c r="BU177" s="15" t="n">
        <f aca="false">INDEX(Ipotesi!$C$55:$G$55,1,F177)*K177/12</f>
        <v>2000</v>
      </c>
      <c r="BV177" s="15" t="n">
        <f aca="false">INDEX(Ipotesi!$C$80:$G$80,1,F177)/12*Ipotesi!E126</f>
        <v>2083.33333333333</v>
      </c>
      <c r="BW177" s="15" t="n">
        <f aca="false">INDEX(Ipotesi!$C$82:$G$82,1,F177)/12</f>
        <v>1500</v>
      </c>
      <c r="BX177" s="15" t="n">
        <f aca="false">INDEX(Ipotesi!$C$83:$G$83,1,F177)/12</f>
        <v>833.333333333333</v>
      </c>
      <c r="BY177" s="15" t="n">
        <f aca="false">SUM(S177:U177)*(Ipotesi!$C$85+Ipotesi!$C$86)/12</f>
        <v>3208.33333333333</v>
      </c>
      <c r="BZ177" s="15" t="n">
        <f aca="false">AM177*Ipotesi!$C$87</f>
        <v>3645.78260869565</v>
      </c>
      <c r="CA177" s="15" t="n">
        <f aca="false">AB177+BJ177+BL177+BN177+BO177+AR177+BP177+BQ177+BR177+BS177+BT177</f>
        <v>201947.682539003</v>
      </c>
      <c r="CB177" s="15" t="n">
        <f aca="false">AC177+BK177+BM177+BH177+BU177+BV177+AS177+BW177+BX177+BY177+BZ177</f>
        <v>80516.3128405435</v>
      </c>
      <c r="CC177" s="15" t="n">
        <f aca="false">BI177-CA177</f>
        <v>22807.8496611753</v>
      </c>
      <c r="CD177" s="15" t="n">
        <f aca="false">AM177-CB177</f>
        <v>41009.7741159783</v>
      </c>
      <c r="CE177" s="15" t="n">
        <f aca="false">INDEX(Ipotesi!$C$79:$G$79,1,F177)/12</f>
        <v>4166.66666666667</v>
      </c>
      <c r="CF177" s="15" t="n">
        <f aca="false">INDEX(Ipotesi!$C$84:$G$84,1,F177)/12</f>
        <v>666.666666666667</v>
      </c>
      <c r="CG177" s="15" t="n">
        <f aca="false">Y177*MAX(0,Parametri_v3!$C$12-IF(P177=0,0,MIN(1,BE177/(P177*Parametri_v3!$C$22))))+W177*Parametri_v3!$C$13+X177*Parametri_v3!$C$14</f>
        <v>33498.1444345564</v>
      </c>
      <c r="CH177" s="15" t="n">
        <f aca="false">AB177*Parametri_v3!$C$32</f>
        <v>5973.86641604167</v>
      </c>
      <c r="CI177" s="15" t="n">
        <f aca="false">AC177*Parametri_v3!$C$32</f>
        <v>2218.19027970833</v>
      </c>
      <c r="CJ177" s="15" t="n">
        <f aca="false">CA177-AB177</f>
        <v>82470.3542181699</v>
      </c>
      <c r="CK177" s="15" t="n">
        <f aca="false">CB177-AC177-BH177</f>
        <v>23999.8985507246</v>
      </c>
      <c r="CL177" s="15" t="n">
        <f aca="false">BF177*Ipotesi!$C$73+INDEX(Ipotesi!$C$72:$G$72,1,F177)/12*Ipotesi!E126*Parametri_v3!$C$58+Z177*(1-Parametri_v3!$C$16)</f>
        <v>18175.9516811955</v>
      </c>
      <c r="CM177" s="16" t="n">
        <f aca="false">IF(BF177=0,0,1-CL177/BF177)</f>
        <v>0.844129872555837</v>
      </c>
    </row>
    <row r="178" customFormat="false" ht="18" hidden="false" customHeight="true" outlineLevel="0" collapsed="false">
      <c r="A178" s="68" t="n">
        <f aca="false">3</f>
        <v>3</v>
      </c>
      <c r="B178" s="68" t="n">
        <f aca="false">54</f>
        <v>54</v>
      </c>
      <c r="C178" s="18" t="n">
        <f aca="false">EDATE(Parametri_v3!$C$5,54-1)</f>
        <v>48000</v>
      </c>
      <c r="D178" s="68" t="n">
        <f aca="false">YEAR(C178)</f>
        <v>2031</v>
      </c>
      <c r="E178" s="68" t="n">
        <f aca="false">MONTH(C178)</f>
        <v>6</v>
      </c>
      <c r="F178" s="68" t="n">
        <f aca="false">INT((54-1)/12)+1</f>
        <v>5</v>
      </c>
      <c r="G178" s="15" t="n">
        <f aca="false">Ipotesi!E7</f>
        <v>1.25</v>
      </c>
      <c r="H178" s="15" t="n">
        <f aca="false">Ipotesi!E9</f>
        <v>1</v>
      </c>
      <c r="I178" s="15" t="n">
        <f aca="false">Ipotesi!E10</f>
        <v>1</v>
      </c>
      <c r="J178" s="15" t="n">
        <f aca="false">Ipotesi!E11</f>
        <v>1</v>
      </c>
      <c r="K178" s="15" t="n">
        <f aca="false">Ipotesi!E12</f>
        <v>1</v>
      </c>
      <c r="L178" s="15" t="n">
        <f aca="false">Ipotesi!E13</f>
        <v>90</v>
      </c>
      <c r="M178" s="17" t="n">
        <f aca="false">INDEX(Ipotesi!$C$40:$G$40,1,F178)</f>
        <v>1</v>
      </c>
      <c r="N178" s="17" t="n">
        <f aca="false">INDEX(Ipotesi!$C$41:$G$41,1,F178)</f>
        <v>1</v>
      </c>
      <c r="O178" s="17" t="n">
        <f aca="false">INDEX(Ipotesi!$C$42:$G$42,1,F178)*Ipotesi!E125</f>
        <v>8.5</v>
      </c>
      <c r="P178" s="17" t="n">
        <f aca="false">INDEX(Ipotesi!$C$43:$G$43,1,F178)*I178</f>
        <v>7</v>
      </c>
      <c r="Q178" s="17" t="n">
        <f aca="false">INDEX(Ipotesi!$C$44:$G$44,1,F178)*I178</f>
        <v>6</v>
      </c>
      <c r="R178" s="17" t="n">
        <f aca="false">INDEX(Ipotesi!$C$45:$G$45,1,F178)*I178</f>
        <v>2</v>
      </c>
      <c r="S178" s="17" t="n">
        <f aca="false">INDEX(Ipotesi!$C$52:$G$52,1,F178)*Ipotesi!E125</f>
        <v>9</v>
      </c>
      <c r="T178" s="17" t="n">
        <f aca="false">INDEX(Ipotesi!$C$53:$G$53,1,F178)*I178</f>
        <v>1</v>
      </c>
      <c r="U178" s="17" t="n">
        <f aca="false">INDEX(Ipotesi!$C$54:$G$54,1,F178)*I178</f>
        <v>1</v>
      </c>
      <c r="V178" s="15" t="n">
        <f aca="false">M178*INDEX(Ipotesi!$C$58:$G$58,1,F178)*K178/12</f>
        <v>8333.33333333333</v>
      </c>
      <c r="W178" s="15" t="n">
        <f aca="false">N178*Ipotesi!$C$59*(1+Ipotesi!$C$66)^(F178-1)/12</f>
        <v>6565.46805833334</v>
      </c>
      <c r="X178" s="15" t="n">
        <f aca="false">O178*Ipotesi!$C$60*(1+Ipotesi!$C$66)^(F178-1)/12</f>
        <v>39861.7703541667</v>
      </c>
      <c r="Y178" s="15" t="n">
        <f aca="false">P178*Ipotesi!$C$61*(1+Ipotesi!$C$66)^(F178-1)/12</f>
        <v>32827.3402916667</v>
      </c>
      <c r="Z178" s="15" t="n">
        <f aca="false">Q178*Ipotesi!$C$62*(1+Ipotesi!$C$66)^(F178-1)/12</f>
        <v>25323.948225</v>
      </c>
      <c r="AA178" s="15" t="n">
        <f aca="false">R178*Ipotesi!$C$63*(1+Ipotesi!$C$66)^(F178-1)/12</f>
        <v>6565.46805833334</v>
      </c>
      <c r="AB178" s="15" t="n">
        <f aca="false">SUM(V178:AA178)</f>
        <v>119477.328320833</v>
      </c>
      <c r="AC178" s="15" t="n">
        <f aca="false">(S178*Ipotesi!$C$64+T178*Ipotesi!$C$65+U178*Ipotesi!$C$63)*(1+Ipotesi!$C$66)^(F178-1)/12</f>
        <v>44363.8055941667</v>
      </c>
      <c r="AD178" s="15" t="n">
        <f aca="false">INDEX(Ipotesi!$C$48:$G$48,1,F178)*G178/12</f>
        <v>119.791666666667</v>
      </c>
      <c r="AE178" s="15" t="n">
        <f aca="false">INDEX(Ipotesi!$C$50:$G$50,1,F178)*G178/12</f>
        <v>11.9791666666667</v>
      </c>
      <c r="AF178" s="15" t="n">
        <f aca="false">(S178*Parametri_v3!$C$7*Parametri_v3!$C$8+Parametri_v3!$C$10)/12</f>
        <v>115.5</v>
      </c>
      <c r="AG178" s="15" t="n">
        <f aca="false">AD178+AE178*(1+Parametri_v3!$C$9)</f>
        <v>137.760416666667</v>
      </c>
      <c r="AH178" s="16" t="n">
        <f aca="false">IF(AG178=0,1,MIN(1,AF178/AG178))</f>
        <v>0.838412098298677</v>
      </c>
      <c r="AI178" s="15" t="n">
        <f aca="false">AD178*AH178</f>
        <v>100.434782608696</v>
      </c>
      <c r="AJ178" s="15" t="n">
        <f aca="false">AE178*AH178</f>
        <v>10.0434782608696</v>
      </c>
      <c r="AK178" s="15" t="n">
        <f aca="false">AI178*INDEX(Ipotesi!$C$49:$G$49,1,F178)*H178</f>
        <v>95413.0434782609</v>
      </c>
      <c r="AL178" s="15" t="n">
        <f aca="false">AJ178*INDEX(Ipotesi!$C$51:$G$51,1,F178)*H178</f>
        <v>26113.0434782609</v>
      </c>
      <c r="AM178" s="15" t="n">
        <f aca="false">AK178+AL178</f>
        <v>121526.086956522</v>
      </c>
      <c r="AN178" s="15" t="n">
        <f aca="false">INDEX(Ipotesi!$C$30:$G$30,1,F178)*G178/12</f>
        <v>102.083333333333</v>
      </c>
      <c r="AO178" s="15" t="n">
        <f aca="false">O178*Parametri_v3!$C$7*Parametri_v3!$C$11*(1-Parametri_v3!$C$14)/12</f>
        <v>87.2666666666667</v>
      </c>
      <c r="AP178" s="15" t="n">
        <f aca="false">MIN(AN178,AO178)</f>
        <v>87.2666666666667</v>
      </c>
      <c r="AQ178" s="15" t="n">
        <f aca="false">AP178*INDEX(Ipotesi!$C$31:$G$31,1,F178)*H178</f>
        <v>95993.3333333333</v>
      </c>
      <c r="AR178" s="15" t="n">
        <f aca="false">INDEX(Ipotesi!$C$75:$G$75,1,F178)*J178/12</f>
        <v>35833.3333333333</v>
      </c>
      <c r="AS178" s="15" t="n">
        <f aca="false">INDEX(Ipotesi!$C$81:$G$81,1,F178)*J178/12</f>
        <v>2083.33333333333</v>
      </c>
      <c r="AT178" s="15" t="n">
        <f aca="false">AR178*Parametri_v3!$C$15+Z178*Parametri_v3!$C$16</f>
        <v>53560.0970908333</v>
      </c>
      <c r="AU178" s="15" t="n">
        <f aca="false">Q178*Parametri_v3!$C$16*Parametri_v3!$C$17</f>
        <v>420</v>
      </c>
      <c r="AV178" s="17" t="n">
        <f aca="false">BD177</f>
        <v>229.877794977834</v>
      </c>
      <c r="AW178" s="17" t="n">
        <f aca="false">AV178*(1-(1-INDEX(Ipotesi!$C$34:$G$34,1,F178))^(1/12))</f>
        <v>2.00950225081977</v>
      </c>
      <c r="AX178" s="15" t="n">
        <f aca="false">ROUND(INDEX(Ipotesi!$C$32:$G$32,1,F178)*Ipotesi!E8,0)</f>
        <v>784</v>
      </c>
      <c r="AY178" s="15" t="n">
        <f aca="false">MAX(0,(AX178-(AV178-AW178))/(13-E178))</f>
        <v>79.4473867532836</v>
      </c>
      <c r="AZ178" s="15" t="n">
        <f aca="false">MIN(P178*Parametri_v3!$C$22,Q178*(1-Parametri_v3!$C$16)*Parametri_v3!$C$23)</f>
        <v>270</v>
      </c>
      <c r="BA178" s="15" t="n">
        <f aca="false">IF(OR(INDEX(Ipotesi!$C$35:$G$35,1,F178)&lt;=0,54-Parametri_v3!$C$21&lt;1),0,INDEX($AT$125:$AT$184,MAX(1,54-Parametri_v3!$C$21))/(INDEX(Ipotesi!$C$35:$G$35,1,F178)*Ipotesi!E27))</f>
        <v>10.3000186713141</v>
      </c>
      <c r="BB178" s="15" t="n">
        <f aca="false">IF(54-Parametri_v3!$C$21&lt;1,0,INDEX($AU$125:$AU$184,MAX(1,54-Parametri_v3!$C$21)))*Parametri_v3!$C$18*Parametri_v3!$C$19*Parametri_v3!$C$20</f>
        <v>15.75</v>
      </c>
      <c r="BC178" s="17" t="n">
        <f aca="false">MAX(0,MIN(AY178,BA178,BB178,MAX(0,AZ178-(AV178-AW178))))</f>
        <v>10.3000186713141</v>
      </c>
      <c r="BD178" s="17" t="n">
        <f aca="false">AV178-AW178+BC178</f>
        <v>238.168311398329</v>
      </c>
      <c r="BE178" s="17" t="n">
        <f aca="false">(AV178+BD178)/2</f>
        <v>234.023053188082</v>
      </c>
      <c r="BF178" s="15" t="n">
        <f aca="false">BE178*INDEX(Ipotesi!$C$33:$G$33,1,F178)*H178/12</f>
        <v>120911.910813842</v>
      </c>
      <c r="BG178" s="15" t="n">
        <f aca="false">BD178*INDEX(Ipotesi!$C$33:$G$33,1,F178)*H178</f>
        <v>1476643.53066964</v>
      </c>
      <c r="BH178" s="15" t="n">
        <f aca="false">AM178*INDEX(Ipotesi!$C$37:$G$37,1,F178)</f>
        <v>12152.6086956522</v>
      </c>
      <c r="BI178" s="15" t="n">
        <f aca="false">AQ178+BF178+BH178</f>
        <v>229057.852842828</v>
      </c>
      <c r="BJ178" s="15" t="n">
        <f aca="false">INDEX(Ipotesi!$C$68:$G$68,1,F178)*Ipotesi!$C$69/12</f>
        <v>3333.33333333333</v>
      </c>
      <c r="BK178" s="15" t="n">
        <f aca="false">INDEX(Ipotesi!$C$68:$G$68,1,F178)*(1-Ipotesi!$C$69)/12</f>
        <v>5000</v>
      </c>
      <c r="BL178" s="15" t="n">
        <f aca="false">(AQ178+BF178)*Ipotesi!$C$67</f>
        <v>6507.15732441527</v>
      </c>
      <c r="BM178" s="15" t="n">
        <f aca="false">AM178*Ipotesi!$C$67</f>
        <v>3645.78260869565</v>
      </c>
      <c r="BN178" s="15" t="n">
        <f aca="false">INDEX(Ipotesi!$C$72:$G$72,1,F178)/12*Ipotesi!E126+BF178*Ipotesi!$C$73</f>
        <v>10922.9528651074</v>
      </c>
      <c r="BO178" s="15" t="n">
        <f aca="false">INDEX(Ipotesi!$C$74:$G$74,1,F178)/12*Ipotesi!E126</f>
        <v>5416.66666666667</v>
      </c>
      <c r="BP178" s="15" t="n">
        <f aca="false">INDEX(Ipotesi!$C$76:$G$76,1,F178)/12</f>
        <v>1916.66666666667</v>
      </c>
      <c r="BQ178" s="15" t="n">
        <f aca="false">INDEX(Ipotesi!$C$77:$G$77,1,F178)/12*Ipotesi!E126</f>
        <v>2500</v>
      </c>
      <c r="BR178" s="15" t="n">
        <f aca="false">INDEX(Ipotesi!$C$78:$G$78,1,F178)/12</f>
        <v>2333.33333333333</v>
      </c>
      <c r="BS178" s="15" t="n">
        <f aca="false">SUM(M178:R178)*(Ipotesi!$C$85+Ipotesi!$C$86)/12</f>
        <v>7437.5</v>
      </c>
      <c r="BT178" s="15" t="n">
        <f aca="false">BI178*Ipotesi!$C$87</f>
        <v>6871.73558528483</v>
      </c>
      <c r="BU178" s="15" t="n">
        <f aca="false">INDEX(Ipotesi!$C$55:$G$55,1,F178)*K178/12</f>
        <v>2000</v>
      </c>
      <c r="BV178" s="15" t="n">
        <f aca="false">INDEX(Ipotesi!$C$80:$G$80,1,F178)/12*Ipotesi!E126</f>
        <v>2083.33333333333</v>
      </c>
      <c r="BW178" s="15" t="n">
        <f aca="false">INDEX(Ipotesi!$C$82:$G$82,1,F178)/12</f>
        <v>1500</v>
      </c>
      <c r="BX178" s="15" t="n">
        <f aca="false">INDEX(Ipotesi!$C$83:$G$83,1,F178)/12</f>
        <v>833.333333333333</v>
      </c>
      <c r="BY178" s="15" t="n">
        <f aca="false">SUM(S178:U178)*(Ipotesi!$C$85+Ipotesi!$C$86)/12</f>
        <v>3208.33333333333</v>
      </c>
      <c r="BZ178" s="15" t="n">
        <f aca="false">AM178*Ipotesi!$C$87</f>
        <v>3645.78260869565</v>
      </c>
      <c r="CA178" s="15" t="n">
        <f aca="false">AB178+BJ178+BL178+BN178+BO178+AR178+BP178+BQ178+BR178+BS178+BT178</f>
        <v>202550.007428974</v>
      </c>
      <c r="CB178" s="15" t="n">
        <f aca="false">AC178+BK178+BM178+BH178+BU178+BV178+AS178+BW178+BX178+BY178+BZ178</f>
        <v>80516.3128405435</v>
      </c>
      <c r="CC178" s="15" t="n">
        <f aca="false">BI178-CA178</f>
        <v>26507.8454138535</v>
      </c>
      <c r="CD178" s="15" t="n">
        <f aca="false">AM178-CB178</f>
        <v>41009.7741159783</v>
      </c>
      <c r="CE178" s="15" t="n">
        <f aca="false">INDEX(Ipotesi!$C$79:$G$79,1,F178)/12</f>
        <v>4166.66666666667</v>
      </c>
      <c r="CF178" s="15" t="n">
        <f aca="false">INDEX(Ipotesi!$C$84:$G$84,1,F178)/12</f>
        <v>666.666666666667</v>
      </c>
      <c r="CG178" s="15" t="n">
        <f aca="false">Y178*MAX(0,Parametri_v3!$C$12-IF(P178=0,0,MIN(1,BE178/(P178*Parametri_v3!$C$22))))+W178*Parametri_v3!$C$13+X178*Parametri_v3!$C$14</f>
        <v>33107.6363872382</v>
      </c>
      <c r="CH178" s="15" t="n">
        <f aca="false">AB178*Parametri_v3!$C$32</f>
        <v>5973.86641604167</v>
      </c>
      <c r="CI178" s="15" t="n">
        <f aca="false">AC178*Parametri_v3!$C$32</f>
        <v>2218.19027970833</v>
      </c>
      <c r="CJ178" s="15" t="n">
        <f aca="false">CA178-AB178</f>
        <v>83072.6791081408</v>
      </c>
      <c r="CK178" s="15" t="n">
        <f aca="false">CB178-AC178-BH178</f>
        <v>23999.8985507246</v>
      </c>
      <c r="CL178" s="15" t="n">
        <f aca="false">BF178*Ipotesi!$C$73+INDEX(Ipotesi!$C$72:$G$72,1,F178)/12*Ipotesi!E126*Parametri_v3!$C$58+Z178*(1-Parametri_v3!$C$16)</f>
        <v>18520.1373326074</v>
      </c>
      <c r="CM178" s="16" t="n">
        <f aca="false">IF(BF178=0,0,1-CL178/BF178)</f>
        <v>0.846829504157607</v>
      </c>
    </row>
    <row r="179" customFormat="false" ht="18" hidden="false" customHeight="true" outlineLevel="0" collapsed="false">
      <c r="A179" s="68" t="n">
        <f aca="false">3</f>
        <v>3</v>
      </c>
      <c r="B179" s="68" t="n">
        <f aca="false">55</f>
        <v>55</v>
      </c>
      <c r="C179" s="18" t="n">
        <f aca="false">EDATE(Parametri_v3!$C$5,55-1)</f>
        <v>48030</v>
      </c>
      <c r="D179" s="68" t="n">
        <f aca="false">YEAR(C179)</f>
        <v>2031</v>
      </c>
      <c r="E179" s="68" t="n">
        <f aca="false">MONTH(C179)</f>
        <v>7</v>
      </c>
      <c r="F179" s="68" t="n">
        <f aca="false">INT((55-1)/12)+1</f>
        <v>5</v>
      </c>
      <c r="G179" s="15" t="n">
        <f aca="false">Ipotesi!E7</f>
        <v>1.25</v>
      </c>
      <c r="H179" s="15" t="n">
        <f aca="false">Ipotesi!E9</f>
        <v>1</v>
      </c>
      <c r="I179" s="15" t="n">
        <f aca="false">Ipotesi!E10</f>
        <v>1</v>
      </c>
      <c r="J179" s="15" t="n">
        <f aca="false">Ipotesi!E11</f>
        <v>1</v>
      </c>
      <c r="K179" s="15" t="n">
        <f aca="false">Ipotesi!E12</f>
        <v>1</v>
      </c>
      <c r="L179" s="15" t="n">
        <f aca="false">Ipotesi!E13</f>
        <v>90</v>
      </c>
      <c r="M179" s="17" t="n">
        <f aca="false">INDEX(Ipotesi!$C$40:$G$40,1,F179)</f>
        <v>1</v>
      </c>
      <c r="N179" s="17" t="n">
        <f aca="false">INDEX(Ipotesi!$C$41:$G$41,1,F179)</f>
        <v>1</v>
      </c>
      <c r="O179" s="17" t="n">
        <f aca="false">INDEX(Ipotesi!$C$42:$G$42,1,F179)*Ipotesi!E125</f>
        <v>8.5</v>
      </c>
      <c r="P179" s="17" t="n">
        <f aca="false">INDEX(Ipotesi!$C$43:$G$43,1,F179)*I179</f>
        <v>7</v>
      </c>
      <c r="Q179" s="17" t="n">
        <f aca="false">INDEX(Ipotesi!$C$44:$G$44,1,F179)*I179</f>
        <v>6</v>
      </c>
      <c r="R179" s="17" t="n">
        <f aca="false">INDEX(Ipotesi!$C$45:$G$45,1,F179)*I179</f>
        <v>2</v>
      </c>
      <c r="S179" s="17" t="n">
        <f aca="false">INDEX(Ipotesi!$C$52:$G$52,1,F179)*Ipotesi!E125</f>
        <v>9</v>
      </c>
      <c r="T179" s="17" t="n">
        <f aca="false">INDEX(Ipotesi!$C$53:$G$53,1,F179)*I179</f>
        <v>1</v>
      </c>
      <c r="U179" s="17" t="n">
        <f aca="false">INDEX(Ipotesi!$C$54:$G$54,1,F179)*I179</f>
        <v>1</v>
      </c>
      <c r="V179" s="15" t="n">
        <f aca="false">M179*INDEX(Ipotesi!$C$58:$G$58,1,F179)*K179/12</f>
        <v>8333.33333333333</v>
      </c>
      <c r="W179" s="15" t="n">
        <f aca="false">N179*Ipotesi!$C$59*(1+Ipotesi!$C$66)^(F179-1)/12</f>
        <v>6565.46805833334</v>
      </c>
      <c r="X179" s="15" t="n">
        <f aca="false">O179*Ipotesi!$C$60*(1+Ipotesi!$C$66)^(F179-1)/12</f>
        <v>39861.7703541667</v>
      </c>
      <c r="Y179" s="15" t="n">
        <f aca="false">P179*Ipotesi!$C$61*(1+Ipotesi!$C$66)^(F179-1)/12</f>
        <v>32827.3402916667</v>
      </c>
      <c r="Z179" s="15" t="n">
        <f aca="false">Q179*Ipotesi!$C$62*(1+Ipotesi!$C$66)^(F179-1)/12</f>
        <v>25323.948225</v>
      </c>
      <c r="AA179" s="15" t="n">
        <f aca="false">R179*Ipotesi!$C$63*(1+Ipotesi!$C$66)^(F179-1)/12</f>
        <v>6565.46805833334</v>
      </c>
      <c r="AB179" s="15" t="n">
        <f aca="false">SUM(V179:AA179)</f>
        <v>119477.328320833</v>
      </c>
      <c r="AC179" s="15" t="n">
        <f aca="false">(S179*Ipotesi!$C$64+T179*Ipotesi!$C$65+U179*Ipotesi!$C$63)*(1+Ipotesi!$C$66)^(F179-1)/12</f>
        <v>44363.8055941667</v>
      </c>
      <c r="AD179" s="15" t="n">
        <f aca="false">INDEX(Ipotesi!$C$48:$G$48,1,F179)*G179/12</f>
        <v>119.791666666667</v>
      </c>
      <c r="AE179" s="15" t="n">
        <f aca="false">INDEX(Ipotesi!$C$50:$G$50,1,F179)*G179/12</f>
        <v>11.9791666666667</v>
      </c>
      <c r="AF179" s="15" t="n">
        <f aca="false">(S179*Parametri_v3!$C$7*Parametri_v3!$C$8+Parametri_v3!$C$10)/12</f>
        <v>115.5</v>
      </c>
      <c r="AG179" s="15" t="n">
        <f aca="false">AD179+AE179*(1+Parametri_v3!$C$9)</f>
        <v>137.760416666667</v>
      </c>
      <c r="AH179" s="16" t="n">
        <f aca="false">IF(AG179=0,1,MIN(1,AF179/AG179))</f>
        <v>0.838412098298677</v>
      </c>
      <c r="AI179" s="15" t="n">
        <f aca="false">AD179*AH179</f>
        <v>100.434782608696</v>
      </c>
      <c r="AJ179" s="15" t="n">
        <f aca="false">AE179*AH179</f>
        <v>10.0434782608696</v>
      </c>
      <c r="AK179" s="15" t="n">
        <f aca="false">AI179*INDEX(Ipotesi!$C$49:$G$49,1,F179)*H179</f>
        <v>95413.0434782609</v>
      </c>
      <c r="AL179" s="15" t="n">
        <f aca="false">AJ179*INDEX(Ipotesi!$C$51:$G$51,1,F179)*H179</f>
        <v>26113.0434782609</v>
      </c>
      <c r="AM179" s="15" t="n">
        <f aca="false">AK179+AL179</f>
        <v>121526.086956522</v>
      </c>
      <c r="AN179" s="15" t="n">
        <f aca="false">INDEX(Ipotesi!$C$30:$G$30,1,F179)*G179/12</f>
        <v>102.083333333333</v>
      </c>
      <c r="AO179" s="15" t="n">
        <f aca="false">O179*Parametri_v3!$C$7*Parametri_v3!$C$11*(1-Parametri_v3!$C$14)/12</f>
        <v>87.2666666666667</v>
      </c>
      <c r="AP179" s="15" t="n">
        <f aca="false">MIN(AN179,AO179)</f>
        <v>87.2666666666667</v>
      </c>
      <c r="AQ179" s="15" t="n">
        <f aca="false">AP179*INDEX(Ipotesi!$C$31:$G$31,1,F179)*H179</f>
        <v>95993.3333333333</v>
      </c>
      <c r="AR179" s="15" t="n">
        <f aca="false">INDEX(Ipotesi!$C$75:$G$75,1,F179)*J179/12</f>
        <v>35833.3333333333</v>
      </c>
      <c r="AS179" s="15" t="n">
        <f aca="false">INDEX(Ipotesi!$C$81:$G$81,1,F179)*J179/12</f>
        <v>2083.33333333333</v>
      </c>
      <c r="AT179" s="15" t="n">
        <f aca="false">AR179*Parametri_v3!$C$15+Z179*Parametri_v3!$C$16</f>
        <v>53560.0970908333</v>
      </c>
      <c r="AU179" s="15" t="n">
        <f aca="false">Q179*Parametri_v3!$C$16*Parametri_v3!$C$17</f>
        <v>420</v>
      </c>
      <c r="AV179" s="17" t="n">
        <f aca="false">BD178</f>
        <v>238.168311398329</v>
      </c>
      <c r="AW179" s="17" t="n">
        <f aca="false">AV179*(1-(1-INDEX(Ipotesi!$C$34:$G$34,1,F179))^(1/12))</f>
        <v>2.08197471998125</v>
      </c>
      <c r="AX179" s="15" t="n">
        <f aca="false">ROUND(INDEX(Ipotesi!$C$32:$G$32,1,F179)*Ipotesi!E8,0)</f>
        <v>784</v>
      </c>
      <c r="AY179" s="15" t="n">
        <f aca="false">MAX(0,(AX179-(AV179-AW179))/(13-E179))</f>
        <v>91.3189438869421</v>
      </c>
      <c r="AZ179" s="15" t="n">
        <f aca="false">MIN(P179*Parametri_v3!$C$22,Q179*(1-Parametri_v3!$C$16)*Parametri_v3!$C$23)</f>
        <v>270</v>
      </c>
      <c r="BA179" s="15" t="n">
        <f aca="false">IF(OR(INDEX(Ipotesi!$C$35:$G$35,1,F179)&lt;=0,55-Parametri_v3!$C$21&lt;1),0,INDEX($AT$125:$AT$184,MAX(1,55-Parametri_v3!$C$21))/(INDEX(Ipotesi!$C$35:$G$35,1,F179)*Ipotesi!E27))</f>
        <v>10.3000186713141</v>
      </c>
      <c r="BB179" s="15" t="n">
        <f aca="false">IF(55-Parametri_v3!$C$21&lt;1,0,INDEX($AU$125:$AU$184,MAX(1,55-Parametri_v3!$C$21)))*Parametri_v3!$C$18*Parametri_v3!$C$19*Parametri_v3!$C$20</f>
        <v>15.75</v>
      </c>
      <c r="BC179" s="17" t="n">
        <f aca="false">MAX(0,MIN(AY179,BA179,BB179,MAX(0,AZ179-(AV179-AW179))))</f>
        <v>10.3000186713141</v>
      </c>
      <c r="BD179" s="17" t="n">
        <f aca="false">AV179-AW179+BC179</f>
        <v>246.386355349662</v>
      </c>
      <c r="BE179" s="17" t="n">
        <f aca="false">(AV179+BD179)/2</f>
        <v>242.277333373995</v>
      </c>
      <c r="BF179" s="15" t="n">
        <f aca="false">BE179*INDEX(Ipotesi!$C$33:$G$33,1,F179)*H179/12</f>
        <v>125176.622243231</v>
      </c>
      <c r="BG179" s="15" t="n">
        <f aca="false">BD179*INDEX(Ipotesi!$C$33:$G$33,1,F179)*H179</f>
        <v>1527595.4031679</v>
      </c>
      <c r="BH179" s="15" t="n">
        <f aca="false">AM179*INDEX(Ipotesi!$C$37:$G$37,1,F179)</f>
        <v>12152.6086956522</v>
      </c>
      <c r="BI179" s="15" t="n">
        <f aca="false">AQ179+BF179+BH179</f>
        <v>233322.564272216</v>
      </c>
      <c r="BJ179" s="15" t="n">
        <f aca="false">INDEX(Ipotesi!$C$68:$G$68,1,F179)*Ipotesi!$C$69/12</f>
        <v>3333.33333333333</v>
      </c>
      <c r="BK179" s="15" t="n">
        <f aca="false">INDEX(Ipotesi!$C$68:$G$68,1,F179)*(1-Ipotesi!$C$69)/12</f>
        <v>5000</v>
      </c>
      <c r="BL179" s="15" t="n">
        <f aca="false">(AQ179+BF179)*Ipotesi!$C$67</f>
        <v>6635.09866729693</v>
      </c>
      <c r="BM179" s="15" t="n">
        <f aca="false">AM179*Ipotesi!$C$67</f>
        <v>3645.78260869565</v>
      </c>
      <c r="BN179" s="15" t="n">
        <f aca="false">INDEX(Ipotesi!$C$72:$G$72,1,F179)/12*Ipotesi!E126+BF179*Ipotesi!$C$73</f>
        <v>11264.1297794585</v>
      </c>
      <c r="BO179" s="15" t="n">
        <f aca="false">INDEX(Ipotesi!$C$74:$G$74,1,F179)/12*Ipotesi!E126</f>
        <v>5416.66666666667</v>
      </c>
      <c r="BP179" s="15" t="n">
        <f aca="false">INDEX(Ipotesi!$C$76:$G$76,1,F179)/12</f>
        <v>1916.66666666667</v>
      </c>
      <c r="BQ179" s="15" t="n">
        <f aca="false">INDEX(Ipotesi!$C$77:$G$77,1,F179)/12*Ipotesi!E126</f>
        <v>2500</v>
      </c>
      <c r="BR179" s="15" t="n">
        <f aca="false">INDEX(Ipotesi!$C$78:$G$78,1,F179)/12</f>
        <v>2333.33333333333</v>
      </c>
      <c r="BS179" s="15" t="n">
        <f aca="false">SUM(M179:R179)*(Ipotesi!$C$85+Ipotesi!$C$86)/12</f>
        <v>7437.5</v>
      </c>
      <c r="BT179" s="15" t="n">
        <f aca="false">BI179*Ipotesi!$C$87</f>
        <v>6999.67692816649</v>
      </c>
      <c r="BU179" s="15" t="n">
        <f aca="false">INDEX(Ipotesi!$C$55:$G$55,1,F179)*K179/12</f>
        <v>2000</v>
      </c>
      <c r="BV179" s="15" t="n">
        <f aca="false">INDEX(Ipotesi!$C$80:$G$80,1,F179)/12*Ipotesi!E126</f>
        <v>2083.33333333333</v>
      </c>
      <c r="BW179" s="15" t="n">
        <f aca="false">INDEX(Ipotesi!$C$82:$G$82,1,F179)/12</f>
        <v>1500</v>
      </c>
      <c r="BX179" s="15" t="n">
        <f aca="false">INDEX(Ipotesi!$C$83:$G$83,1,F179)/12</f>
        <v>833.333333333333</v>
      </c>
      <c r="BY179" s="15" t="n">
        <f aca="false">SUM(S179:U179)*(Ipotesi!$C$85+Ipotesi!$C$86)/12</f>
        <v>3208.33333333333</v>
      </c>
      <c r="BZ179" s="15" t="n">
        <f aca="false">AM179*Ipotesi!$C$87</f>
        <v>3645.78260869565</v>
      </c>
      <c r="CA179" s="15" t="n">
        <f aca="false">AB179+BJ179+BL179+BN179+BO179+AR179+BP179+BQ179+BR179+BS179+BT179</f>
        <v>203147.067029089</v>
      </c>
      <c r="CB179" s="15" t="n">
        <f aca="false">AC179+BK179+BM179+BH179+BU179+BV179+AS179+BW179+BX179+BY179+BZ179</f>
        <v>80516.3128405435</v>
      </c>
      <c r="CC179" s="15" t="n">
        <f aca="false">BI179-CA179</f>
        <v>30175.4972431278</v>
      </c>
      <c r="CD179" s="15" t="n">
        <f aca="false">AM179-CB179</f>
        <v>41009.7741159783</v>
      </c>
      <c r="CE179" s="15" t="n">
        <f aca="false">INDEX(Ipotesi!$C$79:$G$79,1,F179)/12</f>
        <v>4166.66666666667</v>
      </c>
      <c r="CF179" s="15" t="n">
        <f aca="false">INDEX(Ipotesi!$C$84:$G$84,1,F179)/12</f>
        <v>666.666666666667</v>
      </c>
      <c r="CG179" s="15" t="n">
        <f aca="false">Y179*MAX(0,Parametri_v3!$C$12-IF(P179=0,0,MIN(1,BE179/(P179*Parametri_v3!$C$22))))+W179*Parametri_v3!$C$13+X179*Parametri_v3!$C$14</f>
        <v>32720.5420093442</v>
      </c>
      <c r="CH179" s="15" t="n">
        <f aca="false">AB179*Parametri_v3!$C$32</f>
        <v>5973.86641604167</v>
      </c>
      <c r="CI179" s="15" t="n">
        <f aca="false">AC179*Parametri_v3!$C$32</f>
        <v>2218.19027970833</v>
      </c>
      <c r="CJ179" s="15" t="n">
        <f aca="false">CA179-AB179</f>
        <v>83669.7387082552</v>
      </c>
      <c r="CK179" s="15" t="n">
        <f aca="false">CB179-AC179-BH179</f>
        <v>23999.8985507246</v>
      </c>
      <c r="CL179" s="15" t="n">
        <f aca="false">BF179*Ipotesi!$C$73+INDEX(Ipotesi!$C$72:$G$72,1,F179)/12*Ipotesi!E126*Parametri_v3!$C$58+Z179*(1-Parametri_v3!$C$16)</f>
        <v>18861.3142469585</v>
      </c>
      <c r="CM179" s="16" t="n">
        <f aca="false">IF(BF179=0,0,1-CL179/BF179)</f>
        <v>0.849322390163964</v>
      </c>
    </row>
    <row r="180" customFormat="false" ht="18" hidden="false" customHeight="true" outlineLevel="0" collapsed="false">
      <c r="A180" s="68" t="n">
        <f aca="false">3</f>
        <v>3</v>
      </c>
      <c r="B180" s="68" t="n">
        <f aca="false">56</f>
        <v>56</v>
      </c>
      <c r="C180" s="18" t="n">
        <f aca="false">EDATE(Parametri_v3!$C$5,56-1)</f>
        <v>48061</v>
      </c>
      <c r="D180" s="68" t="n">
        <f aca="false">YEAR(C180)</f>
        <v>2031</v>
      </c>
      <c r="E180" s="68" t="n">
        <f aca="false">MONTH(C180)</f>
        <v>8</v>
      </c>
      <c r="F180" s="68" t="n">
        <f aca="false">INT((56-1)/12)+1</f>
        <v>5</v>
      </c>
      <c r="G180" s="15" t="n">
        <f aca="false">Ipotesi!E7</f>
        <v>1.25</v>
      </c>
      <c r="H180" s="15" t="n">
        <f aca="false">Ipotesi!E9</f>
        <v>1</v>
      </c>
      <c r="I180" s="15" t="n">
        <f aca="false">Ipotesi!E10</f>
        <v>1</v>
      </c>
      <c r="J180" s="15" t="n">
        <f aca="false">Ipotesi!E11</f>
        <v>1</v>
      </c>
      <c r="K180" s="15" t="n">
        <f aca="false">Ipotesi!E12</f>
        <v>1</v>
      </c>
      <c r="L180" s="15" t="n">
        <f aca="false">Ipotesi!E13</f>
        <v>90</v>
      </c>
      <c r="M180" s="17" t="n">
        <f aca="false">INDEX(Ipotesi!$C$40:$G$40,1,F180)</f>
        <v>1</v>
      </c>
      <c r="N180" s="17" t="n">
        <f aca="false">INDEX(Ipotesi!$C$41:$G$41,1,F180)</f>
        <v>1</v>
      </c>
      <c r="O180" s="17" t="n">
        <f aca="false">INDEX(Ipotesi!$C$42:$G$42,1,F180)*Ipotesi!E125</f>
        <v>8.5</v>
      </c>
      <c r="P180" s="17" t="n">
        <f aca="false">INDEX(Ipotesi!$C$43:$G$43,1,F180)*I180</f>
        <v>7</v>
      </c>
      <c r="Q180" s="17" t="n">
        <f aca="false">INDEX(Ipotesi!$C$44:$G$44,1,F180)*I180</f>
        <v>6</v>
      </c>
      <c r="R180" s="17" t="n">
        <f aca="false">INDEX(Ipotesi!$C$45:$G$45,1,F180)*I180</f>
        <v>2</v>
      </c>
      <c r="S180" s="17" t="n">
        <f aca="false">INDEX(Ipotesi!$C$52:$G$52,1,F180)*Ipotesi!E125</f>
        <v>9</v>
      </c>
      <c r="T180" s="17" t="n">
        <f aca="false">INDEX(Ipotesi!$C$53:$G$53,1,F180)*I180</f>
        <v>1</v>
      </c>
      <c r="U180" s="17" t="n">
        <f aca="false">INDEX(Ipotesi!$C$54:$G$54,1,F180)*I180</f>
        <v>1</v>
      </c>
      <c r="V180" s="15" t="n">
        <f aca="false">M180*INDEX(Ipotesi!$C$58:$G$58,1,F180)*K180/12</f>
        <v>8333.33333333333</v>
      </c>
      <c r="W180" s="15" t="n">
        <f aca="false">N180*Ipotesi!$C$59*(1+Ipotesi!$C$66)^(F180-1)/12</f>
        <v>6565.46805833334</v>
      </c>
      <c r="X180" s="15" t="n">
        <f aca="false">O180*Ipotesi!$C$60*(1+Ipotesi!$C$66)^(F180-1)/12</f>
        <v>39861.7703541667</v>
      </c>
      <c r="Y180" s="15" t="n">
        <f aca="false">P180*Ipotesi!$C$61*(1+Ipotesi!$C$66)^(F180-1)/12</f>
        <v>32827.3402916667</v>
      </c>
      <c r="Z180" s="15" t="n">
        <f aca="false">Q180*Ipotesi!$C$62*(1+Ipotesi!$C$66)^(F180-1)/12</f>
        <v>25323.948225</v>
      </c>
      <c r="AA180" s="15" t="n">
        <f aca="false">R180*Ipotesi!$C$63*(1+Ipotesi!$C$66)^(F180-1)/12</f>
        <v>6565.46805833334</v>
      </c>
      <c r="AB180" s="15" t="n">
        <f aca="false">SUM(V180:AA180)</f>
        <v>119477.328320833</v>
      </c>
      <c r="AC180" s="15" t="n">
        <f aca="false">(S180*Ipotesi!$C$64+T180*Ipotesi!$C$65+U180*Ipotesi!$C$63)*(1+Ipotesi!$C$66)^(F180-1)/12</f>
        <v>44363.8055941667</v>
      </c>
      <c r="AD180" s="15" t="n">
        <f aca="false">INDEX(Ipotesi!$C$48:$G$48,1,F180)*G180/12</f>
        <v>119.791666666667</v>
      </c>
      <c r="AE180" s="15" t="n">
        <f aca="false">INDEX(Ipotesi!$C$50:$G$50,1,F180)*G180/12</f>
        <v>11.9791666666667</v>
      </c>
      <c r="AF180" s="15" t="n">
        <f aca="false">(S180*Parametri_v3!$C$7*Parametri_v3!$C$8+Parametri_v3!$C$10)/12</f>
        <v>115.5</v>
      </c>
      <c r="AG180" s="15" t="n">
        <f aca="false">AD180+AE180*(1+Parametri_v3!$C$9)</f>
        <v>137.760416666667</v>
      </c>
      <c r="AH180" s="16" t="n">
        <f aca="false">IF(AG180=0,1,MIN(1,AF180/AG180))</f>
        <v>0.838412098298677</v>
      </c>
      <c r="AI180" s="15" t="n">
        <f aca="false">AD180*AH180</f>
        <v>100.434782608696</v>
      </c>
      <c r="AJ180" s="15" t="n">
        <f aca="false">AE180*AH180</f>
        <v>10.0434782608696</v>
      </c>
      <c r="AK180" s="15" t="n">
        <f aca="false">AI180*INDEX(Ipotesi!$C$49:$G$49,1,F180)*H180</f>
        <v>95413.0434782609</v>
      </c>
      <c r="AL180" s="15" t="n">
        <f aca="false">AJ180*INDEX(Ipotesi!$C$51:$G$51,1,F180)*H180</f>
        <v>26113.0434782609</v>
      </c>
      <c r="AM180" s="15" t="n">
        <f aca="false">AK180+AL180</f>
        <v>121526.086956522</v>
      </c>
      <c r="AN180" s="15" t="n">
        <f aca="false">INDEX(Ipotesi!$C$30:$G$30,1,F180)*G180/12</f>
        <v>102.083333333333</v>
      </c>
      <c r="AO180" s="15" t="n">
        <f aca="false">O180*Parametri_v3!$C$7*Parametri_v3!$C$11*(1-Parametri_v3!$C$14)/12</f>
        <v>87.2666666666667</v>
      </c>
      <c r="AP180" s="15" t="n">
        <f aca="false">MIN(AN180,AO180)</f>
        <v>87.2666666666667</v>
      </c>
      <c r="AQ180" s="15" t="n">
        <f aca="false">AP180*INDEX(Ipotesi!$C$31:$G$31,1,F180)*H180</f>
        <v>95993.3333333333</v>
      </c>
      <c r="AR180" s="15" t="n">
        <f aca="false">INDEX(Ipotesi!$C$75:$G$75,1,F180)*J180/12</f>
        <v>35833.3333333333</v>
      </c>
      <c r="AS180" s="15" t="n">
        <f aca="false">INDEX(Ipotesi!$C$81:$G$81,1,F180)*J180/12</f>
        <v>2083.33333333333</v>
      </c>
      <c r="AT180" s="15" t="n">
        <f aca="false">AR180*Parametri_v3!$C$15+Z180*Parametri_v3!$C$16</f>
        <v>53560.0970908333</v>
      </c>
      <c r="AU180" s="15" t="n">
        <f aca="false">Q180*Parametri_v3!$C$16*Parametri_v3!$C$17</f>
        <v>420</v>
      </c>
      <c r="AV180" s="17" t="n">
        <f aca="false">BD179</f>
        <v>246.386355349662</v>
      </c>
      <c r="AW180" s="17" t="n">
        <f aca="false">AV180*(1-(1-INDEX(Ipotesi!$C$34:$G$34,1,F180))^(1/12))</f>
        <v>2.1538136630124</v>
      </c>
      <c r="AX180" s="15" t="n">
        <f aca="false">ROUND(INDEX(Ipotesi!$C$32:$G$32,1,F180)*Ipotesi!E8,0)</f>
        <v>784</v>
      </c>
      <c r="AY180" s="15" t="n">
        <f aca="false">MAX(0,(AX180-(AV180-AW180))/(13-E180))</f>
        <v>107.95349166267</v>
      </c>
      <c r="AZ180" s="15" t="n">
        <f aca="false">MIN(P180*Parametri_v3!$C$22,Q180*(1-Parametri_v3!$C$16)*Parametri_v3!$C$23)</f>
        <v>270</v>
      </c>
      <c r="BA180" s="15" t="n">
        <f aca="false">IF(OR(INDEX(Ipotesi!$C$35:$G$35,1,F180)&lt;=0,56-Parametri_v3!$C$21&lt;1),0,INDEX($AT$125:$AT$184,MAX(1,56-Parametri_v3!$C$21))/(INDEX(Ipotesi!$C$35:$G$35,1,F180)*Ipotesi!E27))</f>
        <v>10.3000186713141</v>
      </c>
      <c r="BB180" s="15" t="n">
        <f aca="false">IF(56-Parametri_v3!$C$21&lt;1,0,INDEX($AU$125:$AU$184,MAX(1,56-Parametri_v3!$C$21)))*Parametri_v3!$C$18*Parametri_v3!$C$19*Parametri_v3!$C$20</f>
        <v>15.75</v>
      </c>
      <c r="BC180" s="17" t="n">
        <f aca="false">MAX(0,MIN(AY180,BA180,BB180,MAX(0,AZ180-(AV180-AW180))))</f>
        <v>10.3000186713141</v>
      </c>
      <c r="BD180" s="17" t="n">
        <f aca="false">AV180-AW180+BC180</f>
        <v>254.532560357963</v>
      </c>
      <c r="BE180" s="17" t="n">
        <f aca="false">(AV180+BD180)/2</f>
        <v>250.459457853812</v>
      </c>
      <c r="BF180" s="15" t="n">
        <f aca="false">BE180*INDEX(Ipotesi!$C$33:$G$33,1,F180)*H180/12</f>
        <v>129404.05322447</v>
      </c>
      <c r="BG180" s="15" t="n">
        <f aca="false">BD180*INDEX(Ipotesi!$C$33:$G$33,1,F180)*H180</f>
        <v>1578101.87421937</v>
      </c>
      <c r="BH180" s="15" t="n">
        <f aca="false">AM180*INDEX(Ipotesi!$C$37:$G$37,1,F180)</f>
        <v>12152.6086956522</v>
      </c>
      <c r="BI180" s="15" t="n">
        <f aca="false">AQ180+BF180+BH180</f>
        <v>237549.995253455</v>
      </c>
      <c r="BJ180" s="15" t="n">
        <f aca="false">INDEX(Ipotesi!$C$68:$G$68,1,F180)*Ipotesi!$C$69/12</f>
        <v>3333.33333333333</v>
      </c>
      <c r="BK180" s="15" t="n">
        <f aca="false">INDEX(Ipotesi!$C$68:$G$68,1,F180)*(1-Ipotesi!$C$69)/12</f>
        <v>5000</v>
      </c>
      <c r="BL180" s="15" t="n">
        <f aca="false">(AQ180+BF180)*Ipotesi!$C$67</f>
        <v>6761.92159673409</v>
      </c>
      <c r="BM180" s="15" t="n">
        <f aca="false">AM180*Ipotesi!$C$67</f>
        <v>3645.78260869565</v>
      </c>
      <c r="BN180" s="15" t="n">
        <f aca="false">INDEX(Ipotesi!$C$72:$G$72,1,F180)/12*Ipotesi!E126+BF180*Ipotesi!$C$73</f>
        <v>11602.3242579576</v>
      </c>
      <c r="BO180" s="15" t="n">
        <f aca="false">INDEX(Ipotesi!$C$74:$G$74,1,F180)/12*Ipotesi!E126</f>
        <v>5416.66666666667</v>
      </c>
      <c r="BP180" s="15" t="n">
        <f aca="false">INDEX(Ipotesi!$C$76:$G$76,1,F180)/12</f>
        <v>1916.66666666667</v>
      </c>
      <c r="BQ180" s="15" t="n">
        <f aca="false">INDEX(Ipotesi!$C$77:$G$77,1,F180)/12*Ipotesi!E126</f>
        <v>2500</v>
      </c>
      <c r="BR180" s="15" t="n">
        <f aca="false">INDEX(Ipotesi!$C$78:$G$78,1,F180)/12</f>
        <v>2333.33333333333</v>
      </c>
      <c r="BS180" s="15" t="n">
        <f aca="false">SUM(M180:R180)*(Ipotesi!$C$85+Ipotesi!$C$86)/12</f>
        <v>7437.5</v>
      </c>
      <c r="BT180" s="15" t="n">
        <f aca="false">BI180*Ipotesi!$C$87</f>
        <v>7126.49985760366</v>
      </c>
      <c r="BU180" s="15" t="n">
        <f aca="false">INDEX(Ipotesi!$C$55:$G$55,1,F180)*K180/12</f>
        <v>2000</v>
      </c>
      <c r="BV180" s="15" t="n">
        <f aca="false">INDEX(Ipotesi!$C$80:$G$80,1,F180)/12*Ipotesi!E126</f>
        <v>2083.33333333333</v>
      </c>
      <c r="BW180" s="15" t="n">
        <f aca="false">INDEX(Ipotesi!$C$82:$G$82,1,F180)/12</f>
        <v>1500</v>
      </c>
      <c r="BX180" s="15" t="n">
        <f aca="false">INDEX(Ipotesi!$C$83:$G$83,1,F180)/12</f>
        <v>833.333333333333</v>
      </c>
      <c r="BY180" s="15" t="n">
        <f aca="false">SUM(S180:U180)*(Ipotesi!$C$85+Ipotesi!$C$86)/12</f>
        <v>3208.33333333333</v>
      </c>
      <c r="BZ180" s="15" t="n">
        <f aca="false">AM180*Ipotesi!$C$87</f>
        <v>3645.78260869565</v>
      </c>
      <c r="CA180" s="15" t="n">
        <f aca="false">AB180+BJ180+BL180+BN180+BO180+AR180+BP180+BQ180+BR180+BS180+BT180</f>
        <v>203738.907366462</v>
      </c>
      <c r="CB180" s="15" t="n">
        <f aca="false">AC180+BK180+BM180+BH180+BU180+BV180+AS180+BW180+BX180+BY180+BZ180</f>
        <v>80516.3128405435</v>
      </c>
      <c r="CC180" s="15" t="n">
        <f aca="false">BI180-CA180</f>
        <v>33811.0878869932</v>
      </c>
      <c r="CD180" s="15" t="n">
        <f aca="false">AM180-CB180</f>
        <v>41009.7741159783</v>
      </c>
      <c r="CE180" s="15" t="n">
        <f aca="false">INDEX(Ipotesi!$C$79:$G$79,1,F180)/12</f>
        <v>4166.66666666667</v>
      </c>
      <c r="CF180" s="15" t="n">
        <f aca="false">INDEX(Ipotesi!$C$84:$G$84,1,F180)/12</f>
        <v>666.666666666667</v>
      </c>
      <c r="CG180" s="15" t="n">
        <f aca="false">Y180*MAX(0,Parametri_v3!$C$12-IF(P180=0,0,MIN(1,BE180/(P180*Parametri_v3!$C$22))))+W180*Parametri_v3!$C$13+X180*Parametri_v3!$C$14</f>
        <v>32336.8314599046</v>
      </c>
      <c r="CH180" s="15" t="n">
        <f aca="false">AB180*Parametri_v3!$C$32</f>
        <v>5973.86641604167</v>
      </c>
      <c r="CI180" s="15" t="n">
        <f aca="false">AC180*Parametri_v3!$C$32</f>
        <v>2218.19027970833</v>
      </c>
      <c r="CJ180" s="15" t="n">
        <f aca="false">CA180-AB180</f>
        <v>84261.5790456287</v>
      </c>
      <c r="CK180" s="15" t="n">
        <f aca="false">CB180-AC180-BH180</f>
        <v>23999.8985507246</v>
      </c>
      <c r="CL180" s="15" t="n">
        <f aca="false">BF180*Ipotesi!$C$73+INDEX(Ipotesi!$C$72:$G$72,1,F180)/12*Ipotesi!E126*Parametri_v3!$C$58+Z180*(1-Parametri_v3!$C$16)</f>
        <v>19199.5087254576</v>
      </c>
      <c r="CM180" s="16" t="n">
        <f aca="false">IF(BF180=0,0,1-CL180/BF180)</f>
        <v>0.851631318748932</v>
      </c>
    </row>
    <row r="181" customFormat="false" ht="18" hidden="false" customHeight="true" outlineLevel="0" collapsed="false">
      <c r="A181" s="68" t="n">
        <f aca="false">3</f>
        <v>3</v>
      </c>
      <c r="B181" s="68" t="n">
        <f aca="false">57</f>
        <v>57</v>
      </c>
      <c r="C181" s="18" t="n">
        <f aca="false">EDATE(Parametri_v3!$C$5,57-1)</f>
        <v>48092</v>
      </c>
      <c r="D181" s="68" t="n">
        <f aca="false">YEAR(C181)</f>
        <v>2031</v>
      </c>
      <c r="E181" s="68" t="n">
        <f aca="false">MONTH(C181)</f>
        <v>9</v>
      </c>
      <c r="F181" s="68" t="n">
        <f aca="false">INT((57-1)/12)+1</f>
        <v>5</v>
      </c>
      <c r="G181" s="15" t="n">
        <f aca="false">Ipotesi!E7</f>
        <v>1.25</v>
      </c>
      <c r="H181" s="15" t="n">
        <f aca="false">Ipotesi!E9</f>
        <v>1</v>
      </c>
      <c r="I181" s="15" t="n">
        <f aca="false">Ipotesi!E10</f>
        <v>1</v>
      </c>
      <c r="J181" s="15" t="n">
        <f aca="false">Ipotesi!E11</f>
        <v>1</v>
      </c>
      <c r="K181" s="15" t="n">
        <f aca="false">Ipotesi!E12</f>
        <v>1</v>
      </c>
      <c r="L181" s="15" t="n">
        <f aca="false">Ipotesi!E13</f>
        <v>90</v>
      </c>
      <c r="M181" s="17" t="n">
        <f aca="false">INDEX(Ipotesi!$C$40:$G$40,1,F181)</f>
        <v>1</v>
      </c>
      <c r="N181" s="17" t="n">
        <f aca="false">INDEX(Ipotesi!$C$41:$G$41,1,F181)</f>
        <v>1</v>
      </c>
      <c r="O181" s="17" t="n">
        <f aca="false">INDEX(Ipotesi!$C$42:$G$42,1,F181)*Ipotesi!E125</f>
        <v>8.5</v>
      </c>
      <c r="P181" s="17" t="n">
        <f aca="false">INDEX(Ipotesi!$C$43:$G$43,1,F181)*I181</f>
        <v>7</v>
      </c>
      <c r="Q181" s="17" t="n">
        <f aca="false">INDEX(Ipotesi!$C$44:$G$44,1,F181)*I181</f>
        <v>6</v>
      </c>
      <c r="R181" s="17" t="n">
        <f aca="false">INDEX(Ipotesi!$C$45:$G$45,1,F181)*I181</f>
        <v>2</v>
      </c>
      <c r="S181" s="17" t="n">
        <f aca="false">INDEX(Ipotesi!$C$52:$G$52,1,F181)*Ipotesi!E125</f>
        <v>9</v>
      </c>
      <c r="T181" s="17" t="n">
        <f aca="false">INDEX(Ipotesi!$C$53:$G$53,1,F181)*I181</f>
        <v>1</v>
      </c>
      <c r="U181" s="17" t="n">
        <f aca="false">INDEX(Ipotesi!$C$54:$G$54,1,F181)*I181</f>
        <v>1</v>
      </c>
      <c r="V181" s="15" t="n">
        <f aca="false">M181*INDEX(Ipotesi!$C$58:$G$58,1,F181)*K181/12</f>
        <v>8333.33333333333</v>
      </c>
      <c r="W181" s="15" t="n">
        <f aca="false">N181*Ipotesi!$C$59*(1+Ipotesi!$C$66)^(F181-1)/12</f>
        <v>6565.46805833334</v>
      </c>
      <c r="X181" s="15" t="n">
        <f aca="false">O181*Ipotesi!$C$60*(1+Ipotesi!$C$66)^(F181-1)/12</f>
        <v>39861.7703541667</v>
      </c>
      <c r="Y181" s="15" t="n">
        <f aca="false">P181*Ipotesi!$C$61*(1+Ipotesi!$C$66)^(F181-1)/12</f>
        <v>32827.3402916667</v>
      </c>
      <c r="Z181" s="15" t="n">
        <f aca="false">Q181*Ipotesi!$C$62*(1+Ipotesi!$C$66)^(F181-1)/12</f>
        <v>25323.948225</v>
      </c>
      <c r="AA181" s="15" t="n">
        <f aca="false">R181*Ipotesi!$C$63*(1+Ipotesi!$C$66)^(F181-1)/12</f>
        <v>6565.46805833334</v>
      </c>
      <c r="AB181" s="15" t="n">
        <f aca="false">SUM(V181:AA181)</f>
        <v>119477.328320833</v>
      </c>
      <c r="AC181" s="15" t="n">
        <f aca="false">(S181*Ipotesi!$C$64+T181*Ipotesi!$C$65+U181*Ipotesi!$C$63)*(1+Ipotesi!$C$66)^(F181-1)/12</f>
        <v>44363.8055941667</v>
      </c>
      <c r="AD181" s="15" t="n">
        <f aca="false">INDEX(Ipotesi!$C$48:$G$48,1,F181)*G181/12</f>
        <v>119.791666666667</v>
      </c>
      <c r="AE181" s="15" t="n">
        <f aca="false">INDEX(Ipotesi!$C$50:$G$50,1,F181)*G181/12</f>
        <v>11.9791666666667</v>
      </c>
      <c r="AF181" s="15" t="n">
        <f aca="false">(S181*Parametri_v3!$C$7*Parametri_v3!$C$8+Parametri_v3!$C$10)/12</f>
        <v>115.5</v>
      </c>
      <c r="AG181" s="15" t="n">
        <f aca="false">AD181+AE181*(1+Parametri_v3!$C$9)</f>
        <v>137.760416666667</v>
      </c>
      <c r="AH181" s="16" t="n">
        <f aca="false">IF(AG181=0,1,MIN(1,AF181/AG181))</f>
        <v>0.838412098298677</v>
      </c>
      <c r="AI181" s="15" t="n">
        <f aca="false">AD181*AH181</f>
        <v>100.434782608696</v>
      </c>
      <c r="AJ181" s="15" t="n">
        <f aca="false">AE181*AH181</f>
        <v>10.0434782608696</v>
      </c>
      <c r="AK181" s="15" t="n">
        <f aca="false">AI181*INDEX(Ipotesi!$C$49:$G$49,1,F181)*H181</f>
        <v>95413.0434782609</v>
      </c>
      <c r="AL181" s="15" t="n">
        <f aca="false">AJ181*INDEX(Ipotesi!$C$51:$G$51,1,F181)*H181</f>
        <v>26113.0434782609</v>
      </c>
      <c r="AM181" s="15" t="n">
        <f aca="false">AK181+AL181</f>
        <v>121526.086956522</v>
      </c>
      <c r="AN181" s="15" t="n">
        <f aca="false">INDEX(Ipotesi!$C$30:$G$30,1,F181)*G181/12</f>
        <v>102.083333333333</v>
      </c>
      <c r="AO181" s="15" t="n">
        <f aca="false">O181*Parametri_v3!$C$7*Parametri_v3!$C$11*(1-Parametri_v3!$C$14)/12</f>
        <v>87.2666666666667</v>
      </c>
      <c r="AP181" s="15" t="n">
        <f aca="false">MIN(AN181,AO181)</f>
        <v>87.2666666666667</v>
      </c>
      <c r="AQ181" s="15" t="n">
        <f aca="false">AP181*INDEX(Ipotesi!$C$31:$G$31,1,F181)*H181</f>
        <v>95993.3333333333</v>
      </c>
      <c r="AR181" s="15" t="n">
        <f aca="false">INDEX(Ipotesi!$C$75:$G$75,1,F181)*J181/12</f>
        <v>35833.3333333333</v>
      </c>
      <c r="AS181" s="15" t="n">
        <f aca="false">INDEX(Ipotesi!$C$81:$G$81,1,F181)*J181/12</f>
        <v>2083.33333333333</v>
      </c>
      <c r="AT181" s="15" t="n">
        <f aca="false">AR181*Parametri_v3!$C$15+Z181*Parametri_v3!$C$16</f>
        <v>53560.0970908333</v>
      </c>
      <c r="AU181" s="15" t="n">
        <f aca="false">Q181*Parametri_v3!$C$16*Parametri_v3!$C$17</f>
        <v>420</v>
      </c>
      <c r="AV181" s="17" t="n">
        <f aca="false">BD180</f>
        <v>254.532560357963</v>
      </c>
      <c r="AW181" s="17" t="n">
        <f aca="false">AV181*(1-(1-INDEX(Ipotesi!$C$34:$G$34,1,F181))^(1/12))</f>
        <v>2.22502461795218</v>
      </c>
      <c r="AX181" s="15" t="n">
        <f aca="false">ROUND(INDEX(Ipotesi!$C$32:$G$32,1,F181)*Ipotesi!E8,0)</f>
        <v>784</v>
      </c>
      <c r="AY181" s="15" t="n">
        <f aca="false">MAX(0,(AX181-(AV181-AW181))/(13-E181))</f>
        <v>132.923116064997</v>
      </c>
      <c r="AZ181" s="15" t="n">
        <f aca="false">MIN(P181*Parametri_v3!$C$22,Q181*(1-Parametri_v3!$C$16)*Parametri_v3!$C$23)</f>
        <v>270</v>
      </c>
      <c r="BA181" s="15" t="n">
        <f aca="false">IF(OR(INDEX(Ipotesi!$C$35:$G$35,1,F181)&lt;=0,57-Parametri_v3!$C$21&lt;1),0,INDEX($AT$125:$AT$184,MAX(1,57-Parametri_v3!$C$21))/(INDEX(Ipotesi!$C$35:$G$35,1,F181)*Ipotesi!E27))</f>
        <v>10.3000186713141</v>
      </c>
      <c r="BB181" s="15" t="n">
        <f aca="false">IF(57-Parametri_v3!$C$21&lt;1,0,INDEX($AU$125:$AU$184,MAX(1,57-Parametri_v3!$C$21)))*Parametri_v3!$C$18*Parametri_v3!$C$19*Parametri_v3!$C$20</f>
        <v>15.75</v>
      </c>
      <c r="BC181" s="17" t="n">
        <f aca="false">MAX(0,MIN(AY181,BA181,BB181,MAX(0,AZ181-(AV181-AW181))))</f>
        <v>10.3000186713141</v>
      </c>
      <c r="BD181" s="17" t="n">
        <f aca="false">AV181-AW181+BC181</f>
        <v>262.607554411325</v>
      </c>
      <c r="BE181" s="17" t="n">
        <f aca="false">(AV181+BD181)/2</f>
        <v>258.570057384644</v>
      </c>
      <c r="BF181" s="15" t="n">
        <f aca="false">BE181*INDEX(Ipotesi!$C$33:$G$33,1,F181)*H181/12</f>
        <v>133594.529648733</v>
      </c>
      <c r="BG181" s="15" t="n">
        <f aca="false">BD181*INDEX(Ipotesi!$C$33:$G$33,1,F181)*H181</f>
        <v>1628166.83735022</v>
      </c>
      <c r="BH181" s="15" t="n">
        <f aca="false">AM181*INDEX(Ipotesi!$C$37:$G$37,1,F181)</f>
        <v>12152.6086956522</v>
      </c>
      <c r="BI181" s="15" t="n">
        <f aca="false">AQ181+BF181+BH181</f>
        <v>241740.471677718</v>
      </c>
      <c r="BJ181" s="15" t="n">
        <f aca="false">INDEX(Ipotesi!$C$68:$G$68,1,F181)*Ipotesi!$C$69/12</f>
        <v>3333.33333333333</v>
      </c>
      <c r="BK181" s="15" t="n">
        <f aca="false">INDEX(Ipotesi!$C$68:$G$68,1,F181)*(1-Ipotesi!$C$69)/12</f>
        <v>5000</v>
      </c>
      <c r="BL181" s="15" t="n">
        <f aca="false">(AQ181+BF181)*Ipotesi!$C$67</f>
        <v>6887.63588946199</v>
      </c>
      <c r="BM181" s="15" t="n">
        <f aca="false">AM181*Ipotesi!$C$67</f>
        <v>3645.78260869565</v>
      </c>
      <c r="BN181" s="15" t="n">
        <f aca="false">INDEX(Ipotesi!$C$72:$G$72,1,F181)/12*Ipotesi!E126+BF181*Ipotesi!$C$73</f>
        <v>11937.5623718986</v>
      </c>
      <c r="BO181" s="15" t="n">
        <f aca="false">INDEX(Ipotesi!$C$74:$G$74,1,F181)/12*Ipotesi!E126</f>
        <v>5416.66666666667</v>
      </c>
      <c r="BP181" s="15" t="n">
        <f aca="false">INDEX(Ipotesi!$C$76:$G$76,1,F181)/12</f>
        <v>1916.66666666667</v>
      </c>
      <c r="BQ181" s="15" t="n">
        <f aca="false">INDEX(Ipotesi!$C$77:$G$77,1,F181)/12*Ipotesi!E126</f>
        <v>2500</v>
      </c>
      <c r="BR181" s="15" t="n">
        <f aca="false">INDEX(Ipotesi!$C$78:$G$78,1,F181)/12</f>
        <v>2333.33333333333</v>
      </c>
      <c r="BS181" s="15" t="n">
        <f aca="false">SUM(M181:R181)*(Ipotesi!$C$85+Ipotesi!$C$86)/12</f>
        <v>7437.5</v>
      </c>
      <c r="BT181" s="15" t="n">
        <f aca="false">BI181*Ipotesi!$C$87</f>
        <v>7252.21415033155</v>
      </c>
      <c r="BU181" s="15" t="n">
        <f aca="false">INDEX(Ipotesi!$C$55:$G$55,1,F181)*K181/12</f>
        <v>2000</v>
      </c>
      <c r="BV181" s="15" t="n">
        <f aca="false">INDEX(Ipotesi!$C$80:$G$80,1,F181)/12*Ipotesi!E126</f>
        <v>2083.33333333333</v>
      </c>
      <c r="BW181" s="15" t="n">
        <f aca="false">INDEX(Ipotesi!$C$82:$G$82,1,F181)/12</f>
        <v>1500</v>
      </c>
      <c r="BX181" s="15" t="n">
        <f aca="false">INDEX(Ipotesi!$C$83:$G$83,1,F181)/12</f>
        <v>833.333333333333</v>
      </c>
      <c r="BY181" s="15" t="n">
        <f aca="false">SUM(S181:U181)*(Ipotesi!$C$85+Ipotesi!$C$86)/12</f>
        <v>3208.33333333333</v>
      </c>
      <c r="BZ181" s="15" t="n">
        <f aca="false">AM181*Ipotesi!$C$87</f>
        <v>3645.78260869565</v>
      </c>
      <c r="CA181" s="15" t="n">
        <f aca="false">AB181+BJ181+BL181+BN181+BO181+AR181+BP181+BQ181+BR181+BS181+BT181</f>
        <v>204325.574065859</v>
      </c>
      <c r="CB181" s="15" t="n">
        <f aca="false">AC181+BK181+BM181+BH181+BU181+BV181+AS181+BW181+BX181+BY181+BZ181</f>
        <v>80516.3128405435</v>
      </c>
      <c r="CC181" s="15" t="n">
        <f aca="false">BI181-CA181</f>
        <v>37414.8976118595</v>
      </c>
      <c r="CD181" s="15" t="n">
        <f aca="false">AM181-CB181</f>
        <v>41009.7741159783</v>
      </c>
      <c r="CE181" s="15" t="n">
        <f aca="false">INDEX(Ipotesi!$C$79:$G$79,1,F181)/12</f>
        <v>4166.66666666667</v>
      </c>
      <c r="CF181" s="15" t="n">
        <f aca="false">INDEX(Ipotesi!$C$84:$G$84,1,F181)/12</f>
        <v>666.666666666667</v>
      </c>
      <c r="CG181" s="15" t="n">
        <f aca="false">Y181*MAX(0,Parametri_v3!$C$12-IF(P181=0,0,MIN(1,BE181/(P181*Parametri_v3!$C$22))))+W181*Parametri_v3!$C$13+X181*Parametri_v3!$C$14</f>
        <v>31956.4751588074</v>
      </c>
      <c r="CH181" s="15" t="n">
        <f aca="false">AB181*Parametri_v3!$C$32</f>
        <v>5973.86641604167</v>
      </c>
      <c r="CI181" s="15" t="n">
        <f aca="false">AC181*Parametri_v3!$C$32</f>
        <v>2218.19027970833</v>
      </c>
      <c r="CJ181" s="15" t="n">
        <f aca="false">CA181-AB181</f>
        <v>84848.2457450255</v>
      </c>
      <c r="CK181" s="15" t="n">
        <f aca="false">CB181-AC181-BH181</f>
        <v>23999.8985507246</v>
      </c>
      <c r="CL181" s="15" t="n">
        <f aca="false">BF181*Ipotesi!$C$73+INDEX(Ipotesi!$C$72:$G$72,1,F181)/12*Ipotesi!E126*Parametri_v3!$C$58+Z181*(1-Parametri_v3!$C$16)</f>
        <v>19534.7468393986</v>
      </c>
      <c r="CM181" s="16" t="n">
        <f aca="false">IF(BF181=0,0,1-CL181/BF181)</f>
        <v>0.853775847777882</v>
      </c>
    </row>
    <row r="182" customFormat="false" ht="18" hidden="false" customHeight="true" outlineLevel="0" collapsed="false">
      <c r="A182" s="68" t="n">
        <f aca="false">3</f>
        <v>3</v>
      </c>
      <c r="B182" s="68" t="n">
        <f aca="false">58</f>
        <v>58</v>
      </c>
      <c r="C182" s="18" t="n">
        <f aca="false">EDATE(Parametri_v3!$C$5,58-1)</f>
        <v>48122</v>
      </c>
      <c r="D182" s="68" t="n">
        <f aca="false">YEAR(C182)</f>
        <v>2031</v>
      </c>
      <c r="E182" s="68" t="n">
        <f aca="false">MONTH(C182)</f>
        <v>10</v>
      </c>
      <c r="F182" s="68" t="n">
        <f aca="false">INT((58-1)/12)+1</f>
        <v>5</v>
      </c>
      <c r="G182" s="15" t="n">
        <f aca="false">Ipotesi!E7</f>
        <v>1.25</v>
      </c>
      <c r="H182" s="15" t="n">
        <f aca="false">Ipotesi!E9</f>
        <v>1</v>
      </c>
      <c r="I182" s="15" t="n">
        <f aca="false">Ipotesi!E10</f>
        <v>1</v>
      </c>
      <c r="J182" s="15" t="n">
        <f aca="false">Ipotesi!E11</f>
        <v>1</v>
      </c>
      <c r="K182" s="15" t="n">
        <f aca="false">Ipotesi!E12</f>
        <v>1</v>
      </c>
      <c r="L182" s="15" t="n">
        <f aca="false">Ipotesi!E13</f>
        <v>90</v>
      </c>
      <c r="M182" s="17" t="n">
        <f aca="false">INDEX(Ipotesi!$C$40:$G$40,1,F182)</f>
        <v>1</v>
      </c>
      <c r="N182" s="17" t="n">
        <f aca="false">INDEX(Ipotesi!$C$41:$G$41,1,F182)</f>
        <v>1</v>
      </c>
      <c r="O182" s="17" t="n">
        <f aca="false">INDEX(Ipotesi!$C$42:$G$42,1,F182)*Ipotesi!E125</f>
        <v>8.5</v>
      </c>
      <c r="P182" s="17" t="n">
        <f aca="false">INDEX(Ipotesi!$C$43:$G$43,1,F182)*I182</f>
        <v>7</v>
      </c>
      <c r="Q182" s="17" t="n">
        <f aca="false">INDEX(Ipotesi!$C$44:$G$44,1,F182)*I182</f>
        <v>6</v>
      </c>
      <c r="R182" s="17" t="n">
        <f aca="false">INDEX(Ipotesi!$C$45:$G$45,1,F182)*I182</f>
        <v>2</v>
      </c>
      <c r="S182" s="17" t="n">
        <f aca="false">INDEX(Ipotesi!$C$52:$G$52,1,F182)*Ipotesi!E125</f>
        <v>9</v>
      </c>
      <c r="T182" s="17" t="n">
        <f aca="false">INDEX(Ipotesi!$C$53:$G$53,1,F182)*I182</f>
        <v>1</v>
      </c>
      <c r="U182" s="17" t="n">
        <f aca="false">INDEX(Ipotesi!$C$54:$G$54,1,F182)*I182</f>
        <v>1</v>
      </c>
      <c r="V182" s="15" t="n">
        <f aca="false">M182*INDEX(Ipotesi!$C$58:$G$58,1,F182)*K182/12</f>
        <v>8333.33333333333</v>
      </c>
      <c r="W182" s="15" t="n">
        <f aca="false">N182*Ipotesi!$C$59*(1+Ipotesi!$C$66)^(F182-1)/12</f>
        <v>6565.46805833334</v>
      </c>
      <c r="X182" s="15" t="n">
        <f aca="false">O182*Ipotesi!$C$60*(1+Ipotesi!$C$66)^(F182-1)/12</f>
        <v>39861.7703541667</v>
      </c>
      <c r="Y182" s="15" t="n">
        <f aca="false">P182*Ipotesi!$C$61*(1+Ipotesi!$C$66)^(F182-1)/12</f>
        <v>32827.3402916667</v>
      </c>
      <c r="Z182" s="15" t="n">
        <f aca="false">Q182*Ipotesi!$C$62*(1+Ipotesi!$C$66)^(F182-1)/12</f>
        <v>25323.948225</v>
      </c>
      <c r="AA182" s="15" t="n">
        <f aca="false">R182*Ipotesi!$C$63*(1+Ipotesi!$C$66)^(F182-1)/12</f>
        <v>6565.46805833334</v>
      </c>
      <c r="AB182" s="15" t="n">
        <f aca="false">SUM(V182:AA182)</f>
        <v>119477.328320833</v>
      </c>
      <c r="AC182" s="15" t="n">
        <f aca="false">(S182*Ipotesi!$C$64+T182*Ipotesi!$C$65+U182*Ipotesi!$C$63)*(1+Ipotesi!$C$66)^(F182-1)/12</f>
        <v>44363.8055941667</v>
      </c>
      <c r="AD182" s="15" t="n">
        <f aca="false">INDEX(Ipotesi!$C$48:$G$48,1,F182)*G182/12</f>
        <v>119.791666666667</v>
      </c>
      <c r="AE182" s="15" t="n">
        <f aca="false">INDEX(Ipotesi!$C$50:$G$50,1,F182)*G182/12</f>
        <v>11.9791666666667</v>
      </c>
      <c r="AF182" s="15" t="n">
        <f aca="false">(S182*Parametri_v3!$C$7*Parametri_v3!$C$8+Parametri_v3!$C$10)/12</f>
        <v>115.5</v>
      </c>
      <c r="AG182" s="15" t="n">
        <f aca="false">AD182+AE182*(1+Parametri_v3!$C$9)</f>
        <v>137.760416666667</v>
      </c>
      <c r="AH182" s="16" t="n">
        <f aca="false">IF(AG182=0,1,MIN(1,AF182/AG182))</f>
        <v>0.838412098298677</v>
      </c>
      <c r="AI182" s="15" t="n">
        <f aca="false">AD182*AH182</f>
        <v>100.434782608696</v>
      </c>
      <c r="AJ182" s="15" t="n">
        <f aca="false">AE182*AH182</f>
        <v>10.0434782608696</v>
      </c>
      <c r="AK182" s="15" t="n">
        <f aca="false">AI182*INDEX(Ipotesi!$C$49:$G$49,1,F182)*H182</f>
        <v>95413.0434782609</v>
      </c>
      <c r="AL182" s="15" t="n">
        <f aca="false">AJ182*INDEX(Ipotesi!$C$51:$G$51,1,F182)*H182</f>
        <v>26113.0434782609</v>
      </c>
      <c r="AM182" s="15" t="n">
        <f aca="false">AK182+AL182</f>
        <v>121526.086956522</v>
      </c>
      <c r="AN182" s="15" t="n">
        <f aca="false">INDEX(Ipotesi!$C$30:$G$30,1,F182)*G182/12</f>
        <v>102.083333333333</v>
      </c>
      <c r="AO182" s="15" t="n">
        <f aca="false">O182*Parametri_v3!$C$7*Parametri_v3!$C$11*(1-Parametri_v3!$C$14)/12</f>
        <v>87.2666666666667</v>
      </c>
      <c r="AP182" s="15" t="n">
        <f aca="false">MIN(AN182,AO182)</f>
        <v>87.2666666666667</v>
      </c>
      <c r="AQ182" s="15" t="n">
        <f aca="false">AP182*INDEX(Ipotesi!$C$31:$G$31,1,F182)*H182</f>
        <v>95993.3333333333</v>
      </c>
      <c r="AR182" s="15" t="n">
        <f aca="false">INDEX(Ipotesi!$C$75:$G$75,1,F182)*J182/12</f>
        <v>35833.3333333333</v>
      </c>
      <c r="AS182" s="15" t="n">
        <f aca="false">INDEX(Ipotesi!$C$81:$G$81,1,F182)*J182/12</f>
        <v>2083.33333333333</v>
      </c>
      <c r="AT182" s="15" t="n">
        <f aca="false">AR182*Parametri_v3!$C$15+Z182*Parametri_v3!$C$16</f>
        <v>53560.0970908333</v>
      </c>
      <c r="AU182" s="15" t="n">
        <f aca="false">Q182*Parametri_v3!$C$16*Parametri_v3!$C$17</f>
        <v>420</v>
      </c>
      <c r="AV182" s="17" t="n">
        <f aca="false">BD181</f>
        <v>262.607554411325</v>
      </c>
      <c r="AW182" s="17" t="n">
        <f aca="false">AV182*(1-(1-INDEX(Ipotesi!$C$34:$G$34,1,F182))^(1/12))</f>
        <v>2.29561307442816</v>
      </c>
      <c r="AX182" s="15" t="n">
        <f aca="false">ROUND(INDEX(Ipotesi!$C$32:$G$32,1,F182)*Ipotesi!E8,0)</f>
        <v>784</v>
      </c>
      <c r="AY182" s="15" t="n">
        <f aca="false">MAX(0,(AX182-(AV182-AW182))/(13-E182))</f>
        <v>174.562686221034</v>
      </c>
      <c r="AZ182" s="15" t="n">
        <f aca="false">MIN(P182*Parametri_v3!$C$22,Q182*(1-Parametri_v3!$C$16)*Parametri_v3!$C$23)</f>
        <v>270</v>
      </c>
      <c r="BA182" s="15" t="n">
        <f aca="false">IF(OR(INDEX(Ipotesi!$C$35:$G$35,1,F182)&lt;=0,58-Parametri_v3!$C$21&lt;1),0,INDEX($AT$125:$AT$184,MAX(1,58-Parametri_v3!$C$21))/(INDEX(Ipotesi!$C$35:$G$35,1,F182)*Ipotesi!E27))</f>
        <v>10.3000186713141</v>
      </c>
      <c r="BB182" s="15" t="n">
        <f aca="false">IF(58-Parametri_v3!$C$21&lt;1,0,INDEX($AU$125:$AU$184,MAX(1,58-Parametri_v3!$C$21)))*Parametri_v3!$C$18*Parametri_v3!$C$19*Parametri_v3!$C$20</f>
        <v>15.75</v>
      </c>
      <c r="BC182" s="17" t="n">
        <f aca="false">MAX(0,MIN(AY182,BA182,BB182,MAX(0,AZ182-(AV182-AW182))))</f>
        <v>9.68805866310299</v>
      </c>
      <c r="BD182" s="17" t="n">
        <f aca="false">AV182-AW182+BC182</f>
        <v>270</v>
      </c>
      <c r="BE182" s="17" t="n">
        <f aca="false">(AV182+BD182)/2</f>
        <v>266.303777205663</v>
      </c>
      <c r="BF182" s="15" t="n">
        <f aca="false">BE182*INDEX(Ipotesi!$C$33:$G$33,1,F182)*H182/12</f>
        <v>137590.284889592</v>
      </c>
      <c r="BG182" s="15" t="n">
        <f aca="false">BD182*INDEX(Ipotesi!$C$33:$G$33,1,F182)*H182</f>
        <v>1674000</v>
      </c>
      <c r="BH182" s="15" t="n">
        <f aca="false">AM182*INDEX(Ipotesi!$C$37:$G$37,1,F182)</f>
        <v>12152.6086956522</v>
      </c>
      <c r="BI182" s="15" t="n">
        <f aca="false">AQ182+BF182+BH182</f>
        <v>245736.226918578</v>
      </c>
      <c r="BJ182" s="15" t="n">
        <f aca="false">INDEX(Ipotesi!$C$68:$G$68,1,F182)*Ipotesi!$C$69/12</f>
        <v>3333.33333333333</v>
      </c>
      <c r="BK182" s="15" t="n">
        <f aca="false">INDEX(Ipotesi!$C$68:$G$68,1,F182)*(1-Ipotesi!$C$69)/12</f>
        <v>5000</v>
      </c>
      <c r="BL182" s="15" t="n">
        <f aca="false">(AQ182+BF182)*Ipotesi!$C$67</f>
        <v>7007.50854668777</v>
      </c>
      <c r="BM182" s="15" t="n">
        <f aca="false">AM182*Ipotesi!$C$67</f>
        <v>3645.78260869565</v>
      </c>
      <c r="BN182" s="15" t="n">
        <f aca="false">INDEX(Ipotesi!$C$72:$G$72,1,F182)/12*Ipotesi!E126+BF182*Ipotesi!$C$73</f>
        <v>12257.2227911674</v>
      </c>
      <c r="BO182" s="15" t="n">
        <f aca="false">INDEX(Ipotesi!$C$74:$G$74,1,F182)/12*Ipotesi!E126</f>
        <v>5416.66666666667</v>
      </c>
      <c r="BP182" s="15" t="n">
        <f aca="false">INDEX(Ipotesi!$C$76:$G$76,1,F182)/12</f>
        <v>1916.66666666667</v>
      </c>
      <c r="BQ182" s="15" t="n">
        <f aca="false">INDEX(Ipotesi!$C$77:$G$77,1,F182)/12*Ipotesi!E126</f>
        <v>2500</v>
      </c>
      <c r="BR182" s="15" t="n">
        <f aca="false">INDEX(Ipotesi!$C$78:$G$78,1,F182)/12</f>
        <v>2333.33333333333</v>
      </c>
      <c r="BS182" s="15" t="n">
        <f aca="false">SUM(M182:R182)*(Ipotesi!$C$85+Ipotesi!$C$86)/12</f>
        <v>7437.5</v>
      </c>
      <c r="BT182" s="15" t="n">
        <f aca="false">BI182*Ipotesi!$C$87</f>
        <v>7372.08680755734</v>
      </c>
      <c r="BU182" s="15" t="n">
        <f aca="false">INDEX(Ipotesi!$C$55:$G$55,1,F182)*K182/12</f>
        <v>2000</v>
      </c>
      <c r="BV182" s="15" t="n">
        <f aca="false">INDEX(Ipotesi!$C$80:$G$80,1,F182)/12*Ipotesi!E126</f>
        <v>2083.33333333333</v>
      </c>
      <c r="BW182" s="15" t="n">
        <f aca="false">INDEX(Ipotesi!$C$82:$G$82,1,F182)/12</f>
        <v>1500</v>
      </c>
      <c r="BX182" s="15" t="n">
        <f aca="false">INDEX(Ipotesi!$C$83:$G$83,1,F182)/12</f>
        <v>833.333333333333</v>
      </c>
      <c r="BY182" s="15" t="n">
        <f aca="false">SUM(S182:U182)*(Ipotesi!$C$85+Ipotesi!$C$86)/12</f>
        <v>3208.33333333333</v>
      </c>
      <c r="BZ182" s="15" t="n">
        <f aca="false">AM182*Ipotesi!$C$87</f>
        <v>3645.78260869565</v>
      </c>
      <c r="CA182" s="15" t="n">
        <f aca="false">AB182+BJ182+BL182+BN182+BO182+AR182+BP182+BQ182+BR182+BS182+BT182</f>
        <v>204884.979799579</v>
      </c>
      <c r="CB182" s="15" t="n">
        <f aca="false">AC182+BK182+BM182+BH182+BU182+BV182+AS182+BW182+BX182+BY182+BZ182</f>
        <v>80516.3128405435</v>
      </c>
      <c r="CC182" s="15" t="n">
        <f aca="false">BI182-CA182</f>
        <v>40851.2471189987</v>
      </c>
      <c r="CD182" s="15" t="n">
        <f aca="false">AM182-CB182</f>
        <v>41009.7741159783</v>
      </c>
      <c r="CE182" s="15" t="n">
        <f aca="false">INDEX(Ipotesi!$C$79:$G$79,1,F182)/12</f>
        <v>4166.66666666667</v>
      </c>
      <c r="CF182" s="15" t="n">
        <f aca="false">INDEX(Ipotesi!$C$84:$G$84,1,F182)/12</f>
        <v>666.666666666667</v>
      </c>
      <c r="CG182" s="15" t="n">
        <f aca="false">Y182*MAX(0,Parametri_v3!$C$12-IF(P182=0,0,MIN(1,BE182/(P182*Parametri_v3!$C$22))))+W182*Parametri_v3!$C$13+X182*Parametri_v3!$C$14</f>
        <v>31593.7930841146</v>
      </c>
      <c r="CH182" s="15" t="n">
        <f aca="false">AB182*Parametri_v3!$C$32</f>
        <v>5973.86641604167</v>
      </c>
      <c r="CI182" s="15" t="n">
        <f aca="false">AC182*Parametri_v3!$C$32</f>
        <v>2218.19027970833</v>
      </c>
      <c r="CJ182" s="15" t="n">
        <f aca="false">CA182-AB182</f>
        <v>85407.6514787458</v>
      </c>
      <c r="CK182" s="15" t="n">
        <f aca="false">CB182-AC182-BH182</f>
        <v>23999.8985507246</v>
      </c>
      <c r="CL182" s="15" t="n">
        <f aca="false">BF182*Ipotesi!$C$73+INDEX(Ipotesi!$C$72:$G$72,1,F182)/12*Ipotesi!E126*Parametri_v3!$C$58+Z182*(1-Parametri_v3!$C$16)</f>
        <v>19854.4072586674</v>
      </c>
      <c r="CM182" s="16" t="n">
        <f aca="false">IF(BF182=0,0,1-CL182/BF182)</f>
        <v>0.855699061350158</v>
      </c>
    </row>
    <row r="183" customFormat="false" ht="18" hidden="false" customHeight="true" outlineLevel="0" collapsed="false">
      <c r="A183" s="68" t="n">
        <f aca="false">3</f>
        <v>3</v>
      </c>
      <c r="B183" s="68" t="n">
        <f aca="false">59</f>
        <v>59</v>
      </c>
      <c r="C183" s="18" t="n">
        <f aca="false">EDATE(Parametri_v3!$C$5,59-1)</f>
        <v>48153</v>
      </c>
      <c r="D183" s="68" t="n">
        <f aca="false">YEAR(C183)</f>
        <v>2031</v>
      </c>
      <c r="E183" s="68" t="n">
        <f aca="false">MONTH(C183)</f>
        <v>11</v>
      </c>
      <c r="F183" s="68" t="n">
        <f aca="false">INT((59-1)/12)+1</f>
        <v>5</v>
      </c>
      <c r="G183" s="15" t="n">
        <f aca="false">Ipotesi!E7</f>
        <v>1.25</v>
      </c>
      <c r="H183" s="15" t="n">
        <f aca="false">Ipotesi!E9</f>
        <v>1</v>
      </c>
      <c r="I183" s="15" t="n">
        <f aca="false">Ipotesi!E10</f>
        <v>1</v>
      </c>
      <c r="J183" s="15" t="n">
        <f aca="false">Ipotesi!E11</f>
        <v>1</v>
      </c>
      <c r="K183" s="15" t="n">
        <f aca="false">Ipotesi!E12</f>
        <v>1</v>
      </c>
      <c r="L183" s="15" t="n">
        <f aca="false">Ipotesi!E13</f>
        <v>90</v>
      </c>
      <c r="M183" s="17" t="n">
        <f aca="false">INDEX(Ipotesi!$C$40:$G$40,1,F183)</f>
        <v>1</v>
      </c>
      <c r="N183" s="17" t="n">
        <f aca="false">INDEX(Ipotesi!$C$41:$G$41,1,F183)</f>
        <v>1</v>
      </c>
      <c r="O183" s="17" t="n">
        <f aca="false">INDEX(Ipotesi!$C$42:$G$42,1,F183)*Ipotesi!E125</f>
        <v>8.5</v>
      </c>
      <c r="P183" s="17" t="n">
        <f aca="false">INDEX(Ipotesi!$C$43:$G$43,1,F183)*I183</f>
        <v>7</v>
      </c>
      <c r="Q183" s="17" t="n">
        <f aca="false">INDEX(Ipotesi!$C$44:$G$44,1,F183)*I183</f>
        <v>6</v>
      </c>
      <c r="R183" s="17" t="n">
        <f aca="false">INDEX(Ipotesi!$C$45:$G$45,1,F183)*I183</f>
        <v>2</v>
      </c>
      <c r="S183" s="17" t="n">
        <f aca="false">INDEX(Ipotesi!$C$52:$G$52,1,F183)*Ipotesi!E125</f>
        <v>9</v>
      </c>
      <c r="T183" s="17" t="n">
        <f aca="false">INDEX(Ipotesi!$C$53:$G$53,1,F183)*I183</f>
        <v>1</v>
      </c>
      <c r="U183" s="17" t="n">
        <f aca="false">INDEX(Ipotesi!$C$54:$G$54,1,F183)*I183</f>
        <v>1</v>
      </c>
      <c r="V183" s="15" t="n">
        <f aca="false">M183*INDEX(Ipotesi!$C$58:$G$58,1,F183)*K183/12</f>
        <v>8333.33333333333</v>
      </c>
      <c r="W183" s="15" t="n">
        <f aca="false">N183*Ipotesi!$C$59*(1+Ipotesi!$C$66)^(F183-1)/12</f>
        <v>6565.46805833334</v>
      </c>
      <c r="X183" s="15" t="n">
        <f aca="false">O183*Ipotesi!$C$60*(1+Ipotesi!$C$66)^(F183-1)/12</f>
        <v>39861.7703541667</v>
      </c>
      <c r="Y183" s="15" t="n">
        <f aca="false">P183*Ipotesi!$C$61*(1+Ipotesi!$C$66)^(F183-1)/12</f>
        <v>32827.3402916667</v>
      </c>
      <c r="Z183" s="15" t="n">
        <f aca="false">Q183*Ipotesi!$C$62*(1+Ipotesi!$C$66)^(F183-1)/12</f>
        <v>25323.948225</v>
      </c>
      <c r="AA183" s="15" t="n">
        <f aca="false">R183*Ipotesi!$C$63*(1+Ipotesi!$C$66)^(F183-1)/12</f>
        <v>6565.46805833334</v>
      </c>
      <c r="AB183" s="15" t="n">
        <f aca="false">SUM(V183:AA183)</f>
        <v>119477.328320833</v>
      </c>
      <c r="AC183" s="15" t="n">
        <f aca="false">(S183*Ipotesi!$C$64+T183*Ipotesi!$C$65+U183*Ipotesi!$C$63)*(1+Ipotesi!$C$66)^(F183-1)/12</f>
        <v>44363.8055941667</v>
      </c>
      <c r="AD183" s="15" t="n">
        <f aca="false">INDEX(Ipotesi!$C$48:$G$48,1,F183)*G183/12</f>
        <v>119.791666666667</v>
      </c>
      <c r="AE183" s="15" t="n">
        <f aca="false">INDEX(Ipotesi!$C$50:$G$50,1,F183)*G183/12</f>
        <v>11.9791666666667</v>
      </c>
      <c r="AF183" s="15" t="n">
        <f aca="false">(S183*Parametri_v3!$C$7*Parametri_v3!$C$8+Parametri_v3!$C$10)/12</f>
        <v>115.5</v>
      </c>
      <c r="AG183" s="15" t="n">
        <f aca="false">AD183+AE183*(1+Parametri_v3!$C$9)</f>
        <v>137.760416666667</v>
      </c>
      <c r="AH183" s="16" t="n">
        <f aca="false">IF(AG183=0,1,MIN(1,AF183/AG183))</f>
        <v>0.838412098298677</v>
      </c>
      <c r="AI183" s="15" t="n">
        <f aca="false">AD183*AH183</f>
        <v>100.434782608696</v>
      </c>
      <c r="AJ183" s="15" t="n">
        <f aca="false">AE183*AH183</f>
        <v>10.0434782608696</v>
      </c>
      <c r="AK183" s="15" t="n">
        <f aca="false">AI183*INDEX(Ipotesi!$C$49:$G$49,1,F183)*H183</f>
        <v>95413.0434782609</v>
      </c>
      <c r="AL183" s="15" t="n">
        <f aca="false">AJ183*INDEX(Ipotesi!$C$51:$G$51,1,F183)*H183</f>
        <v>26113.0434782609</v>
      </c>
      <c r="AM183" s="15" t="n">
        <f aca="false">AK183+AL183</f>
        <v>121526.086956522</v>
      </c>
      <c r="AN183" s="15" t="n">
        <f aca="false">INDEX(Ipotesi!$C$30:$G$30,1,F183)*G183/12</f>
        <v>102.083333333333</v>
      </c>
      <c r="AO183" s="15" t="n">
        <f aca="false">O183*Parametri_v3!$C$7*Parametri_v3!$C$11*(1-Parametri_v3!$C$14)/12</f>
        <v>87.2666666666667</v>
      </c>
      <c r="AP183" s="15" t="n">
        <f aca="false">MIN(AN183,AO183)</f>
        <v>87.2666666666667</v>
      </c>
      <c r="AQ183" s="15" t="n">
        <f aca="false">AP183*INDEX(Ipotesi!$C$31:$G$31,1,F183)*H183</f>
        <v>95993.3333333333</v>
      </c>
      <c r="AR183" s="15" t="n">
        <f aca="false">INDEX(Ipotesi!$C$75:$G$75,1,F183)*J183/12</f>
        <v>35833.3333333333</v>
      </c>
      <c r="AS183" s="15" t="n">
        <f aca="false">INDEX(Ipotesi!$C$81:$G$81,1,F183)*J183/12</f>
        <v>2083.33333333333</v>
      </c>
      <c r="AT183" s="15" t="n">
        <f aca="false">AR183*Parametri_v3!$C$15+Z183*Parametri_v3!$C$16</f>
        <v>53560.0970908333</v>
      </c>
      <c r="AU183" s="15" t="n">
        <f aca="false">Q183*Parametri_v3!$C$16*Parametri_v3!$C$17</f>
        <v>420</v>
      </c>
      <c r="AV183" s="17" t="n">
        <f aca="false">BD182</f>
        <v>270</v>
      </c>
      <c r="AW183" s="17" t="n">
        <f aca="false">AV183*(1-(1-INDEX(Ipotesi!$C$34:$G$34,1,F183))^(1/12))</f>
        <v>2.36023495776812</v>
      </c>
      <c r="AX183" s="15" t="n">
        <f aca="false">ROUND(INDEX(Ipotesi!$C$32:$G$32,1,F183)*Ipotesi!E8,0)</f>
        <v>784</v>
      </c>
      <c r="AY183" s="15" t="n">
        <f aca="false">MAX(0,(AX183-(AV183-AW183))/(13-E183))</f>
        <v>258.180117478884</v>
      </c>
      <c r="AZ183" s="15" t="n">
        <f aca="false">MIN(P183*Parametri_v3!$C$22,Q183*(1-Parametri_v3!$C$16)*Parametri_v3!$C$23)</f>
        <v>270</v>
      </c>
      <c r="BA183" s="15" t="n">
        <f aca="false">IF(OR(INDEX(Ipotesi!$C$35:$G$35,1,F183)&lt;=0,59-Parametri_v3!$C$21&lt;1),0,INDEX($AT$125:$AT$184,MAX(1,59-Parametri_v3!$C$21))/(INDEX(Ipotesi!$C$35:$G$35,1,F183)*Ipotesi!E27))</f>
        <v>10.3000186713141</v>
      </c>
      <c r="BB183" s="15" t="n">
        <f aca="false">IF(59-Parametri_v3!$C$21&lt;1,0,INDEX($AU$125:$AU$184,MAX(1,59-Parametri_v3!$C$21)))*Parametri_v3!$C$18*Parametri_v3!$C$19*Parametri_v3!$C$20</f>
        <v>15.75</v>
      </c>
      <c r="BC183" s="17" t="n">
        <f aca="false">MAX(0,MIN(AY183,BA183,BB183,MAX(0,AZ183-(AV183-AW183))))</f>
        <v>2.36023495776811</v>
      </c>
      <c r="BD183" s="17" t="n">
        <f aca="false">AV183-AW183+BC183</f>
        <v>270</v>
      </c>
      <c r="BE183" s="17" t="n">
        <f aca="false">(AV183+BD183)/2</f>
        <v>270</v>
      </c>
      <c r="BF183" s="15" t="n">
        <f aca="false">BE183*INDEX(Ipotesi!$C$33:$G$33,1,F183)*H183/12</f>
        <v>139500</v>
      </c>
      <c r="BG183" s="15" t="n">
        <f aca="false">BD183*INDEX(Ipotesi!$C$33:$G$33,1,F183)*H183</f>
        <v>1674000</v>
      </c>
      <c r="BH183" s="15" t="n">
        <f aca="false">AM183*INDEX(Ipotesi!$C$37:$G$37,1,F183)</f>
        <v>12152.6086956522</v>
      </c>
      <c r="BI183" s="15" t="n">
        <f aca="false">AQ183+BF183+BH183</f>
        <v>247645.942028986</v>
      </c>
      <c r="BJ183" s="15" t="n">
        <f aca="false">INDEX(Ipotesi!$C$68:$G$68,1,F183)*Ipotesi!$C$69/12</f>
        <v>3333.33333333333</v>
      </c>
      <c r="BK183" s="15" t="n">
        <f aca="false">INDEX(Ipotesi!$C$68:$G$68,1,F183)*(1-Ipotesi!$C$69)/12</f>
        <v>5000</v>
      </c>
      <c r="BL183" s="15" t="n">
        <f aca="false">(AQ183+BF183)*Ipotesi!$C$67</f>
        <v>7064.8</v>
      </c>
      <c r="BM183" s="15" t="n">
        <f aca="false">AM183*Ipotesi!$C$67</f>
        <v>3645.78260869565</v>
      </c>
      <c r="BN183" s="15" t="n">
        <f aca="false">INDEX(Ipotesi!$C$72:$G$72,1,F183)/12*Ipotesi!E126+BF183*Ipotesi!$C$73</f>
        <v>12410</v>
      </c>
      <c r="BO183" s="15" t="n">
        <f aca="false">INDEX(Ipotesi!$C$74:$G$74,1,F183)/12*Ipotesi!E126</f>
        <v>5416.66666666667</v>
      </c>
      <c r="BP183" s="15" t="n">
        <f aca="false">INDEX(Ipotesi!$C$76:$G$76,1,F183)/12</f>
        <v>1916.66666666667</v>
      </c>
      <c r="BQ183" s="15" t="n">
        <f aca="false">INDEX(Ipotesi!$C$77:$G$77,1,F183)/12*Ipotesi!E126</f>
        <v>2500</v>
      </c>
      <c r="BR183" s="15" t="n">
        <f aca="false">INDEX(Ipotesi!$C$78:$G$78,1,F183)/12</f>
        <v>2333.33333333333</v>
      </c>
      <c r="BS183" s="15" t="n">
        <f aca="false">SUM(M183:R183)*(Ipotesi!$C$85+Ipotesi!$C$86)/12</f>
        <v>7437.5</v>
      </c>
      <c r="BT183" s="15" t="n">
        <f aca="false">BI183*Ipotesi!$C$87</f>
        <v>7429.37826086957</v>
      </c>
      <c r="BU183" s="15" t="n">
        <f aca="false">INDEX(Ipotesi!$C$55:$G$55,1,F183)*K183/12</f>
        <v>2000</v>
      </c>
      <c r="BV183" s="15" t="n">
        <f aca="false">INDEX(Ipotesi!$C$80:$G$80,1,F183)/12*Ipotesi!E126</f>
        <v>2083.33333333333</v>
      </c>
      <c r="BW183" s="15" t="n">
        <f aca="false">INDEX(Ipotesi!$C$82:$G$82,1,F183)/12</f>
        <v>1500</v>
      </c>
      <c r="BX183" s="15" t="n">
        <f aca="false">INDEX(Ipotesi!$C$83:$G$83,1,F183)/12</f>
        <v>833.333333333333</v>
      </c>
      <c r="BY183" s="15" t="n">
        <f aca="false">SUM(S183:U183)*(Ipotesi!$C$85+Ipotesi!$C$86)/12</f>
        <v>3208.33333333333</v>
      </c>
      <c r="BZ183" s="15" t="n">
        <f aca="false">AM183*Ipotesi!$C$87</f>
        <v>3645.78260869565</v>
      </c>
      <c r="CA183" s="15" t="n">
        <f aca="false">AB183+BJ183+BL183+BN183+BO183+AR183+BP183+BQ183+BR183+BS183+BT183</f>
        <v>205152.339915036</v>
      </c>
      <c r="CB183" s="15" t="n">
        <f aca="false">AC183+BK183+BM183+BH183+BU183+BV183+AS183+BW183+BX183+BY183+BZ183</f>
        <v>80516.3128405435</v>
      </c>
      <c r="CC183" s="15" t="n">
        <f aca="false">BI183-CA183</f>
        <v>42493.6021139493</v>
      </c>
      <c r="CD183" s="15" t="n">
        <f aca="false">AM183-CB183</f>
        <v>41009.7741159783</v>
      </c>
      <c r="CE183" s="15" t="n">
        <f aca="false">INDEX(Ipotesi!$C$79:$G$79,1,F183)/12</f>
        <v>4166.66666666667</v>
      </c>
      <c r="CF183" s="15" t="n">
        <f aca="false">INDEX(Ipotesi!$C$84:$G$84,1,F183)/12</f>
        <v>666.666666666667</v>
      </c>
      <c r="CG183" s="15" t="n">
        <f aca="false">Y183*MAX(0,Parametri_v3!$C$12-IF(P183=0,0,MIN(1,BE183/(P183*Parametri_v3!$C$22))))+W183*Parametri_v3!$C$13+X183*Parametri_v3!$C$14</f>
        <v>31420.4542791667</v>
      </c>
      <c r="CH183" s="15" t="n">
        <f aca="false">AB183*Parametri_v3!$C$32</f>
        <v>5973.86641604167</v>
      </c>
      <c r="CI183" s="15" t="n">
        <f aca="false">AC183*Parametri_v3!$C$32</f>
        <v>2218.19027970833</v>
      </c>
      <c r="CJ183" s="15" t="n">
        <f aca="false">CA183-AB183</f>
        <v>85675.0115942029</v>
      </c>
      <c r="CK183" s="15" t="n">
        <f aca="false">CB183-AC183-BH183</f>
        <v>23999.8985507246</v>
      </c>
      <c r="CL183" s="15" t="n">
        <f aca="false">BF183*Ipotesi!$C$73+INDEX(Ipotesi!$C$72:$G$72,1,F183)/12*Ipotesi!E126*Parametri_v3!$C$58+Z183*(1-Parametri_v3!$C$16)</f>
        <v>20007.1844675</v>
      </c>
      <c r="CM183" s="16" t="n">
        <f aca="false">IF(BF183=0,0,1-CL183/BF183)</f>
        <v>0.85657932281362</v>
      </c>
    </row>
    <row r="184" customFormat="false" ht="18" hidden="false" customHeight="true" outlineLevel="0" collapsed="false">
      <c r="A184" s="68" t="n">
        <f aca="false">3</f>
        <v>3</v>
      </c>
      <c r="B184" s="68" t="n">
        <f aca="false">60</f>
        <v>60</v>
      </c>
      <c r="C184" s="18" t="n">
        <f aca="false">EDATE(Parametri_v3!$C$5,60-1)</f>
        <v>48183</v>
      </c>
      <c r="D184" s="68" t="n">
        <f aca="false">YEAR(C184)</f>
        <v>2031</v>
      </c>
      <c r="E184" s="68" t="n">
        <f aca="false">MONTH(C184)</f>
        <v>12</v>
      </c>
      <c r="F184" s="68" t="n">
        <f aca="false">INT((60-1)/12)+1</f>
        <v>5</v>
      </c>
      <c r="G184" s="15" t="n">
        <f aca="false">Ipotesi!E7</f>
        <v>1.25</v>
      </c>
      <c r="H184" s="15" t="n">
        <f aca="false">Ipotesi!E9</f>
        <v>1</v>
      </c>
      <c r="I184" s="15" t="n">
        <f aca="false">Ipotesi!E10</f>
        <v>1</v>
      </c>
      <c r="J184" s="15" t="n">
        <f aca="false">Ipotesi!E11</f>
        <v>1</v>
      </c>
      <c r="K184" s="15" t="n">
        <f aca="false">Ipotesi!E12</f>
        <v>1</v>
      </c>
      <c r="L184" s="15" t="n">
        <f aca="false">Ipotesi!E13</f>
        <v>90</v>
      </c>
      <c r="M184" s="17" t="n">
        <f aca="false">INDEX(Ipotesi!$C$40:$G$40,1,F184)</f>
        <v>1</v>
      </c>
      <c r="N184" s="17" t="n">
        <f aca="false">INDEX(Ipotesi!$C$41:$G$41,1,F184)</f>
        <v>1</v>
      </c>
      <c r="O184" s="17" t="n">
        <f aca="false">INDEX(Ipotesi!$C$42:$G$42,1,F184)*Ipotesi!E125</f>
        <v>8.5</v>
      </c>
      <c r="P184" s="17" t="n">
        <f aca="false">INDEX(Ipotesi!$C$43:$G$43,1,F184)*I184</f>
        <v>7</v>
      </c>
      <c r="Q184" s="17" t="n">
        <f aca="false">INDEX(Ipotesi!$C$44:$G$44,1,F184)*I184</f>
        <v>6</v>
      </c>
      <c r="R184" s="17" t="n">
        <f aca="false">INDEX(Ipotesi!$C$45:$G$45,1,F184)*I184</f>
        <v>2</v>
      </c>
      <c r="S184" s="17" t="n">
        <f aca="false">INDEX(Ipotesi!$C$52:$G$52,1,F184)*Ipotesi!E125</f>
        <v>9</v>
      </c>
      <c r="T184" s="17" t="n">
        <f aca="false">INDEX(Ipotesi!$C$53:$G$53,1,F184)*I184</f>
        <v>1</v>
      </c>
      <c r="U184" s="17" t="n">
        <f aca="false">INDEX(Ipotesi!$C$54:$G$54,1,F184)*I184</f>
        <v>1</v>
      </c>
      <c r="V184" s="15" t="n">
        <f aca="false">M184*INDEX(Ipotesi!$C$58:$G$58,1,F184)*K184/12</f>
        <v>8333.33333333333</v>
      </c>
      <c r="W184" s="15" t="n">
        <f aca="false">N184*Ipotesi!$C$59*(1+Ipotesi!$C$66)^(F184-1)/12</f>
        <v>6565.46805833334</v>
      </c>
      <c r="X184" s="15" t="n">
        <f aca="false">O184*Ipotesi!$C$60*(1+Ipotesi!$C$66)^(F184-1)/12</f>
        <v>39861.7703541667</v>
      </c>
      <c r="Y184" s="15" t="n">
        <f aca="false">P184*Ipotesi!$C$61*(1+Ipotesi!$C$66)^(F184-1)/12</f>
        <v>32827.3402916667</v>
      </c>
      <c r="Z184" s="15" t="n">
        <f aca="false">Q184*Ipotesi!$C$62*(1+Ipotesi!$C$66)^(F184-1)/12</f>
        <v>25323.948225</v>
      </c>
      <c r="AA184" s="15" t="n">
        <f aca="false">R184*Ipotesi!$C$63*(1+Ipotesi!$C$66)^(F184-1)/12</f>
        <v>6565.46805833334</v>
      </c>
      <c r="AB184" s="15" t="n">
        <f aca="false">SUM(V184:AA184)</f>
        <v>119477.328320833</v>
      </c>
      <c r="AC184" s="15" t="n">
        <f aca="false">(S184*Ipotesi!$C$64+T184*Ipotesi!$C$65+U184*Ipotesi!$C$63)*(1+Ipotesi!$C$66)^(F184-1)/12</f>
        <v>44363.8055941667</v>
      </c>
      <c r="AD184" s="15" t="n">
        <f aca="false">INDEX(Ipotesi!$C$48:$G$48,1,F184)*G184/12</f>
        <v>119.791666666667</v>
      </c>
      <c r="AE184" s="15" t="n">
        <f aca="false">INDEX(Ipotesi!$C$50:$G$50,1,F184)*G184/12</f>
        <v>11.9791666666667</v>
      </c>
      <c r="AF184" s="15" t="n">
        <f aca="false">(S184*Parametri_v3!$C$7*Parametri_v3!$C$8+Parametri_v3!$C$10)/12</f>
        <v>115.5</v>
      </c>
      <c r="AG184" s="15" t="n">
        <f aca="false">AD184+AE184*(1+Parametri_v3!$C$9)</f>
        <v>137.760416666667</v>
      </c>
      <c r="AH184" s="16" t="n">
        <f aca="false">IF(AG184=0,1,MIN(1,AF184/AG184))</f>
        <v>0.838412098298677</v>
      </c>
      <c r="AI184" s="15" t="n">
        <f aca="false">AD184*AH184</f>
        <v>100.434782608696</v>
      </c>
      <c r="AJ184" s="15" t="n">
        <f aca="false">AE184*AH184</f>
        <v>10.0434782608696</v>
      </c>
      <c r="AK184" s="15" t="n">
        <f aca="false">AI184*INDEX(Ipotesi!$C$49:$G$49,1,F184)*H184</f>
        <v>95413.0434782609</v>
      </c>
      <c r="AL184" s="15" t="n">
        <f aca="false">AJ184*INDEX(Ipotesi!$C$51:$G$51,1,F184)*H184</f>
        <v>26113.0434782609</v>
      </c>
      <c r="AM184" s="15" t="n">
        <f aca="false">AK184+AL184</f>
        <v>121526.086956522</v>
      </c>
      <c r="AN184" s="15" t="n">
        <f aca="false">INDEX(Ipotesi!$C$30:$G$30,1,F184)*G184/12</f>
        <v>102.083333333333</v>
      </c>
      <c r="AO184" s="15" t="n">
        <f aca="false">O184*Parametri_v3!$C$7*Parametri_v3!$C$11*(1-Parametri_v3!$C$14)/12</f>
        <v>87.2666666666667</v>
      </c>
      <c r="AP184" s="15" t="n">
        <f aca="false">MIN(AN184,AO184)</f>
        <v>87.2666666666667</v>
      </c>
      <c r="AQ184" s="15" t="n">
        <f aca="false">AP184*INDEX(Ipotesi!$C$31:$G$31,1,F184)*H184</f>
        <v>95993.3333333333</v>
      </c>
      <c r="AR184" s="15" t="n">
        <f aca="false">INDEX(Ipotesi!$C$75:$G$75,1,F184)*J184/12</f>
        <v>35833.3333333333</v>
      </c>
      <c r="AS184" s="15" t="n">
        <f aca="false">INDEX(Ipotesi!$C$81:$G$81,1,F184)*J184/12</f>
        <v>2083.33333333333</v>
      </c>
      <c r="AT184" s="15" t="n">
        <f aca="false">AR184*Parametri_v3!$C$15+Z184*Parametri_v3!$C$16</f>
        <v>53560.0970908333</v>
      </c>
      <c r="AU184" s="15" t="n">
        <f aca="false">Q184*Parametri_v3!$C$16*Parametri_v3!$C$17</f>
        <v>420</v>
      </c>
      <c r="AV184" s="17" t="n">
        <f aca="false">BD183</f>
        <v>270</v>
      </c>
      <c r="AW184" s="17" t="n">
        <f aca="false">AV184*(1-(1-INDEX(Ipotesi!$C$34:$G$34,1,F184))^(1/12))</f>
        <v>2.36023495776812</v>
      </c>
      <c r="AX184" s="15" t="n">
        <f aca="false">ROUND(INDEX(Ipotesi!$C$32:$G$32,1,F184)*Ipotesi!E8,0)</f>
        <v>784</v>
      </c>
      <c r="AY184" s="15" t="n">
        <f aca="false">MAX(0,(AX184-(AV184-AW184))/(13-E184))</f>
        <v>516.360234957768</v>
      </c>
      <c r="AZ184" s="15" t="n">
        <f aca="false">MIN(P184*Parametri_v3!$C$22,Q184*(1-Parametri_v3!$C$16)*Parametri_v3!$C$23)</f>
        <v>270</v>
      </c>
      <c r="BA184" s="15" t="n">
        <f aca="false">IF(OR(INDEX(Ipotesi!$C$35:$G$35,1,F184)&lt;=0,60-Parametri_v3!$C$21&lt;1),0,INDEX($AT$125:$AT$184,MAX(1,60-Parametri_v3!$C$21))/(INDEX(Ipotesi!$C$35:$G$35,1,F184)*Ipotesi!E27))</f>
        <v>10.3000186713141</v>
      </c>
      <c r="BB184" s="15" t="n">
        <f aca="false">IF(60-Parametri_v3!$C$21&lt;1,0,INDEX($AU$125:$AU$184,MAX(1,60-Parametri_v3!$C$21)))*Parametri_v3!$C$18*Parametri_v3!$C$19*Parametri_v3!$C$20</f>
        <v>15.75</v>
      </c>
      <c r="BC184" s="17" t="n">
        <f aca="false">MAX(0,MIN(AY184,BA184,BB184,MAX(0,AZ184-(AV184-AW184))))</f>
        <v>2.36023495776811</v>
      </c>
      <c r="BD184" s="17" t="n">
        <f aca="false">AV184-AW184+BC184</f>
        <v>270</v>
      </c>
      <c r="BE184" s="17" t="n">
        <f aca="false">(AV184+BD184)/2</f>
        <v>270</v>
      </c>
      <c r="BF184" s="15" t="n">
        <f aca="false">BE184*INDEX(Ipotesi!$C$33:$G$33,1,F184)*H184/12</f>
        <v>139500</v>
      </c>
      <c r="BG184" s="15" t="n">
        <f aca="false">BD184*INDEX(Ipotesi!$C$33:$G$33,1,F184)*H184</f>
        <v>1674000</v>
      </c>
      <c r="BH184" s="15" t="n">
        <f aca="false">AM184*INDEX(Ipotesi!$C$37:$G$37,1,F184)</f>
        <v>12152.6086956522</v>
      </c>
      <c r="BI184" s="15" t="n">
        <f aca="false">AQ184+BF184+BH184</f>
        <v>247645.942028986</v>
      </c>
      <c r="BJ184" s="15" t="n">
        <f aca="false">INDEX(Ipotesi!$C$68:$G$68,1,F184)*Ipotesi!$C$69/12</f>
        <v>3333.33333333333</v>
      </c>
      <c r="BK184" s="15" t="n">
        <f aca="false">INDEX(Ipotesi!$C$68:$G$68,1,F184)*(1-Ipotesi!$C$69)/12</f>
        <v>5000</v>
      </c>
      <c r="BL184" s="15" t="n">
        <f aca="false">(AQ184+BF184)*Ipotesi!$C$67</f>
        <v>7064.8</v>
      </c>
      <c r="BM184" s="15" t="n">
        <f aca="false">AM184*Ipotesi!$C$67</f>
        <v>3645.78260869565</v>
      </c>
      <c r="BN184" s="15" t="n">
        <f aca="false">INDEX(Ipotesi!$C$72:$G$72,1,F184)/12*Ipotesi!E126+BF184*Ipotesi!$C$73</f>
        <v>12410</v>
      </c>
      <c r="BO184" s="15" t="n">
        <f aca="false">INDEX(Ipotesi!$C$74:$G$74,1,F184)/12*Ipotesi!E126</f>
        <v>5416.66666666667</v>
      </c>
      <c r="BP184" s="15" t="n">
        <f aca="false">INDEX(Ipotesi!$C$76:$G$76,1,F184)/12</f>
        <v>1916.66666666667</v>
      </c>
      <c r="BQ184" s="15" t="n">
        <f aca="false">INDEX(Ipotesi!$C$77:$G$77,1,F184)/12*Ipotesi!E126</f>
        <v>2500</v>
      </c>
      <c r="BR184" s="15" t="n">
        <f aca="false">INDEX(Ipotesi!$C$78:$G$78,1,F184)/12</f>
        <v>2333.33333333333</v>
      </c>
      <c r="BS184" s="15" t="n">
        <f aca="false">SUM(M184:R184)*(Ipotesi!$C$85+Ipotesi!$C$86)/12</f>
        <v>7437.5</v>
      </c>
      <c r="BT184" s="15" t="n">
        <f aca="false">BI184*Ipotesi!$C$87</f>
        <v>7429.37826086957</v>
      </c>
      <c r="BU184" s="15" t="n">
        <f aca="false">INDEX(Ipotesi!$C$55:$G$55,1,F184)*K184/12</f>
        <v>2000</v>
      </c>
      <c r="BV184" s="15" t="n">
        <f aca="false">INDEX(Ipotesi!$C$80:$G$80,1,F184)/12*Ipotesi!E126</f>
        <v>2083.33333333333</v>
      </c>
      <c r="BW184" s="15" t="n">
        <f aca="false">INDEX(Ipotesi!$C$82:$G$82,1,F184)/12</f>
        <v>1500</v>
      </c>
      <c r="BX184" s="15" t="n">
        <f aca="false">INDEX(Ipotesi!$C$83:$G$83,1,F184)/12</f>
        <v>833.333333333333</v>
      </c>
      <c r="BY184" s="15" t="n">
        <f aca="false">SUM(S184:U184)*(Ipotesi!$C$85+Ipotesi!$C$86)/12</f>
        <v>3208.33333333333</v>
      </c>
      <c r="BZ184" s="15" t="n">
        <f aca="false">AM184*Ipotesi!$C$87</f>
        <v>3645.78260869565</v>
      </c>
      <c r="CA184" s="15" t="n">
        <f aca="false">AB184+BJ184+BL184+BN184+BO184+AR184+BP184+BQ184+BR184+BS184+BT184</f>
        <v>205152.339915036</v>
      </c>
      <c r="CB184" s="15" t="n">
        <f aca="false">AC184+BK184+BM184+BH184+BU184+BV184+AS184+BW184+BX184+BY184+BZ184</f>
        <v>80516.3128405435</v>
      </c>
      <c r="CC184" s="15" t="n">
        <f aca="false">BI184-CA184</f>
        <v>42493.6021139493</v>
      </c>
      <c r="CD184" s="15" t="n">
        <f aca="false">AM184-CB184</f>
        <v>41009.7741159783</v>
      </c>
      <c r="CE184" s="15" t="n">
        <f aca="false">INDEX(Ipotesi!$C$79:$G$79,1,F184)/12</f>
        <v>4166.66666666667</v>
      </c>
      <c r="CF184" s="15" t="n">
        <f aca="false">INDEX(Ipotesi!$C$84:$G$84,1,F184)/12</f>
        <v>666.666666666667</v>
      </c>
      <c r="CG184" s="15" t="n">
        <f aca="false">Y184*MAX(0,Parametri_v3!$C$12-IF(P184=0,0,MIN(1,BE184/(P184*Parametri_v3!$C$22))))+W184*Parametri_v3!$C$13+X184*Parametri_v3!$C$14</f>
        <v>31420.4542791667</v>
      </c>
      <c r="CH184" s="15" t="n">
        <f aca="false">AB184*Parametri_v3!$C$32</f>
        <v>5973.86641604167</v>
      </c>
      <c r="CI184" s="15" t="n">
        <f aca="false">AC184*Parametri_v3!$C$32</f>
        <v>2218.19027970833</v>
      </c>
      <c r="CJ184" s="15" t="n">
        <f aca="false">CA184-AB184</f>
        <v>85675.0115942029</v>
      </c>
      <c r="CK184" s="15" t="n">
        <f aca="false">CB184-AC184-BH184</f>
        <v>23999.8985507246</v>
      </c>
      <c r="CL184" s="15" t="n">
        <f aca="false">BF184*Ipotesi!$C$73+INDEX(Ipotesi!$C$72:$G$72,1,F184)/12*Ipotesi!E126*Parametri_v3!$C$58+Z184*(1-Parametri_v3!$C$16)</f>
        <v>20007.1844675</v>
      </c>
      <c r="CM184" s="16" t="n">
        <f aca="false">IF(BF184=0,0,1-CL184/BF184)</f>
        <v>0.85657932281362</v>
      </c>
    </row>
    <row r="185" customFormat="false" ht="18" hidden="false" customHeight="true" outlineLevel="0" collapsed="false">
      <c r="A185" s="68" t="n">
        <f aca="false">4</f>
        <v>4</v>
      </c>
      <c r="B185" s="68" t="n">
        <f aca="false">1</f>
        <v>1</v>
      </c>
      <c r="C185" s="18" t="n">
        <f aca="false">EDATE(Parametri_v3!$C$5,1-1)</f>
        <v>46388</v>
      </c>
      <c r="D185" s="68" t="n">
        <f aca="false">YEAR(C185)</f>
        <v>2027</v>
      </c>
      <c r="E185" s="68" t="n">
        <f aca="false">MONTH(C185)</f>
        <v>1</v>
      </c>
      <c r="F185" s="68" t="n">
        <f aca="false">INT((1-1)/12)+1</f>
        <v>1</v>
      </c>
      <c r="G185" s="15" t="n">
        <f aca="false">Ipotesi!F7</f>
        <v>0.55</v>
      </c>
      <c r="H185" s="15" t="n">
        <f aca="false">Ipotesi!F9</f>
        <v>0.9</v>
      </c>
      <c r="I185" s="15" t="n">
        <f aca="false">Ipotesi!F10</f>
        <v>1</v>
      </c>
      <c r="J185" s="15" t="n">
        <f aca="false">Ipotesi!F11</f>
        <v>1</v>
      </c>
      <c r="K185" s="15" t="n">
        <f aca="false">Ipotesi!F12</f>
        <v>1</v>
      </c>
      <c r="L185" s="15" t="n">
        <f aca="false">Ipotesi!F13</f>
        <v>120</v>
      </c>
      <c r="M185" s="17" t="n">
        <f aca="false">INDEX(Ipotesi!$C$40:$G$40,1,F185)</f>
        <v>1</v>
      </c>
      <c r="N185" s="17" t="n">
        <f aca="false">INDEX(Ipotesi!$C$41:$G$41,1,F185)</f>
        <v>0.75</v>
      </c>
      <c r="O185" s="17" t="n">
        <f aca="false">INDEX(Ipotesi!$C$42:$G$42,1,F185)*Ipotesi!F125</f>
        <v>1</v>
      </c>
      <c r="P185" s="17" t="n">
        <f aca="false">INDEX(Ipotesi!$C$43:$G$43,1,F185)*I185</f>
        <v>1</v>
      </c>
      <c r="Q185" s="17" t="n">
        <f aca="false">INDEX(Ipotesi!$C$44:$G$44,1,F185)*I185</f>
        <v>0.5</v>
      </c>
      <c r="R185" s="17" t="n">
        <f aca="false">INDEX(Ipotesi!$C$45:$G$45,1,F185)*I185</f>
        <v>0</v>
      </c>
      <c r="S185" s="17" t="n">
        <f aca="false">INDEX(Ipotesi!$C$52:$G$52,1,F185)*Ipotesi!F125</f>
        <v>1.5</v>
      </c>
      <c r="T185" s="17" t="n">
        <f aca="false">INDEX(Ipotesi!$C$53:$G$53,1,F185)*I185</f>
        <v>0</v>
      </c>
      <c r="U185" s="17" t="n">
        <f aca="false">INDEX(Ipotesi!$C$54:$G$54,1,F185)*I185</f>
        <v>0</v>
      </c>
      <c r="V185" s="15" t="n">
        <f aca="false">M185*INDEX(Ipotesi!$C$58:$G$58,1,F185)*K185/12</f>
        <v>3333.33333333333</v>
      </c>
      <c r="W185" s="15" t="n">
        <f aca="false">N185*Ipotesi!$C$59*(1+Ipotesi!$C$66)^(F185-1)/12</f>
        <v>4375</v>
      </c>
      <c r="X185" s="15" t="n">
        <f aca="false">O185*Ipotesi!$C$60*(1+Ipotesi!$C$66)^(F185-1)/12</f>
        <v>4166.66666666667</v>
      </c>
      <c r="Y185" s="15" t="n">
        <f aca="false">P185*Ipotesi!$C$61*(1+Ipotesi!$C$66)^(F185-1)/12</f>
        <v>4166.66666666667</v>
      </c>
      <c r="Z185" s="15" t="n">
        <f aca="false">Q185*Ipotesi!$C$62*(1+Ipotesi!$C$66)^(F185-1)/12</f>
        <v>1875</v>
      </c>
      <c r="AA185" s="15" t="n">
        <f aca="false">R185*Ipotesi!$C$63*(1+Ipotesi!$C$66)^(F185-1)/12</f>
        <v>0</v>
      </c>
      <c r="AB185" s="15" t="n">
        <f aca="false">SUM(V185:AA185)</f>
        <v>17916.6666666667</v>
      </c>
      <c r="AC185" s="15" t="n">
        <f aca="false">(S185*Ipotesi!$C$64+T185*Ipotesi!$C$65+U185*Ipotesi!$C$63)*(1+Ipotesi!$C$66)^(F185-1)/12</f>
        <v>5250</v>
      </c>
      <c r="AD185" s="15" t="n">
        <f aca="false">INDEX(Ipotesi!$C$48:$G$48,1,F185)*G185/12</f>
        <v>9.16666666666667</v>
      </c>
      <c r="AE185" s="15" t="n">
        <f aca="false">INDEX(Ipotesi!$C$50:$G$50,1,F185)*G185/12</f>
        <v>1.14583333333333</v>
      </c>
      <c r="AF185" s="15" t="n">
        <f aca="false">(S185*Parametri_v3!$C$7*Parametri_v3!$C$8+Parametri_v3!$C$10)/12</f>
        <v>19.25</v>
      </c>
      <c r="AG185" s="15" t="n">
        <f aca="false">AD185+AE185*(1+Parametri_v3!$C$9)</f>
        <v>10.8854166666667</v>
      </c>
      <c r="AH185" s="16" t="n">
        <f aca="false">IF(AG185=0,1,MIN(1,AF185/AG185))</f>
        <v>1</v>
      </c>
      <c r="AI185" s="15" t="n">
        <f aca="false">AD185*AH185</f>
        <v>9.16666666666667</v>
      </c>
      <c r="AJ185" s="15" t="n">
        <f aca="false">AE185*AH185</f>
        <v>1.14583333333333</v>
      </c>
      <c r="AK185" s="15" t="n">
        <f aca="false">AI185*INDEX(Ipotesi!$C$49:$G$49,1,F185)*H185</f>
        <v>6187.5</v>
      </c>
      <c r="AL185" s="15" t="n">
        <f aca="false">AJ185*INDEX(Ipotesi!$C$51:$G$51,1,F185)*H185</f>
        <v>2062.5</v>
      </c>
      <c r="AM185" s="15" t="n">
        <f aca="false">AK185+AL185</f>
        <v>8250</v>
      </c>
      <c r="AN185" s="15" t="n">
        <f aca="false">INDEX(Ipotesi!$C$30:$G$30,1,F185)*G185/12</f>
        <v>4.58333333333333</v>
      </c>
      <c r="AO185" s="15" t="n">
        <f aca="false">O185*Parametri_v3!$C$7*Parametri_v3!$C$11*(1-Parametri_v3!$C$14)/12</f>
        <v>10.2666666666667</v>
      </c>
      <c r="AP185" s="15" t="n">
        <f aca="false">MIN(AN185,AO185)</f>
        <v>4.58333333333333</v>
      </c>
      <c r="AQ185" s="15" t="n">
        <f aca="false">AP185*INDEX(Ipotesi!$C$31:$G$31,1,F185)*H185</f>
        <v>3712.5</v>
      </c>
      <c r="AR185" s="15" t="n">
        <f aca="false">INDEX(Ipotesi!$C$75:$G$75,1,F185)*J185/12</f>
        <v>2083.33333333333</v>
      </c>
      <c r="AS185" s="15" t="n">
        <f aca="false">INDEX(Ipotesi!$C$81:$G$81,1,F185)*J185/12</f>
        <v>416.666666666667</v>
      </c>
      <c r="AT185" s="15" t="n">
        <f aca="false">AR185*Parametri_v3!$C$15+Z185*Parametri_v3!$C$16</f>
        <v>3395.83333333333</v>
      </c>
      <c r="AU185" s="15" t="n">
        <f aca="false">Q185*Parametri_v3!$C$16*Parametri_v3!$C$17</f>
        <v>35</v>
      </c>
      <c r="AV185" s="17" t="n">
        <f aca="false">0</f>
        <v>0</v>
      </c>
      <c r="AW185" s="17" t="n">
        <f aca="false">AV185*(1-(1-INDEX(Ipotesi!$C$34:$G$34,1,F185))^(1/12))</f>
        <v>0</v>
      </c>
      <c r="AX185" s="15" t="n">
        <f aca="false">ROUND(INDEX(Ipotesi!$C$32:$G$32,1,F185)*Ipotesi!F8,0)</f>
        <v>2</v>
      </c>
      <c r="AY185" s="15" t="n">
        <f aca="false">MAX(0,(AX185-(AV185-AW185))/(13-E185))</f>
        <v>0.166666666666667</v>
      </c>
      <c r="AZ185" s="15" t="n">
        <f aca="false">MIN(P185*Parametri_v3!$C$22,Q185*(1-Parametri_v3!$C$16)*Parametri_v3!$C$23)</f>
        <v>22.5</v>
      </c>
      <c r="BA185" s="15" t="n">
        <f aca="false">IF(OR(INDEX(Ipotesi!$C$35:$G$35,1,F185)&lt;=0,1-Parametri_v3!$C$21&lt;1),0,INDEX($AT$185:$AT$244,MAX(1,1-Parametri_v3!$C$21))/(INDEX(Ipotesi!$C$35:$G$35,1,F185)*Ipotesi!F27))</f>
        <v>0</v>
      </c>
      <c r="BB185" s="15" t="n">
        <f aca="false">IF(1-Parametri_v3!$C$21&lt;1,0,INDEX($AU$185:$AU$244,MAX(1,1-Parametri_v3!$C$21)))*Parametri_v3!$C$18*Parametri_v3!$C$19*Parametri_v3!$C$20</f>
        <v>0</v>
      </c>
      <c r="BC185" s="17" t="n">
        <f aca="false">MAX(0,MIN(AY185,BA185,BB185,MAX(0,AZ185-(AV185-AW185))))</f>
        <v>0</v>
      </c>
      <c r="BD185" s="17" t="n">
        <f aca="false">AV185-AW185+BC185</f>
        <v>0</v>
      </c>
      <c r="BE185" s="17" t="n">
        <f aca="false">(AV185+BD185)/2</f>
        <v>0</v>
      </c>
      <c r="BF185" s="15" t="n">
        <f aca="false">BE185*INDEX(Ipotesi!$C$33:$G$33,1,F185)*H185/12</f>
        <v>0</v>
      </c>
      <c r="BG185" s="15" t="n">
        <f aca="false">BD185*INDEX(Ipotesi!$C$33:$G$33,1,F185)*H185</f>
        <v>0</v>
      </c>
      <c r="BH185" s="15" t="n">
        <f aca="false">AM185*INDEX(Ipotesi!$C$37:$G$37,1,F185)</f>
        <v>825</v>
      </c>
      <c r="BI185" s="15" t="n">
        <f aca="false">AQ185+BF185+BH185</f>
        <v>4537.5</v>
      </c>
      <c r="BJ185" s="15" t="n">
        <f aca="false">INDEX(Ipotesi!$C$68:$G$68,1,F185)*Ipotesi!$C$69/12</f>
        <v>1000</v>
      </c>
      <c r="BK185" s="15" t="n">
        <f aca="false">INDEX(Ipotesi!$C$68:$G$68,1,F185)*(1-Ipotesi!$C$69)/12</f>
        <v>1500</v>
      </c>
      <c r="BL185" s="15" t="n">
        <f aca="false">(AQ185+BF185)*Ipotesi!$C$67</f>
        <v>111.375</v>
      </c>
      <c r="BM185" s="15" t="n">
        <f aca="false">AM185*Ipotesi!$C$67</f>
        <v>247.5</v>
      </c>
      <c r="BN185" s="15" t="n">
        <f aca="false">INDEX(Ipotesi!$C$72:$G$72,1,F185)/12*Ipotesi!F126+BF185*Ipotesi!$C$73</f>
        <v>1250</v>
      </c>
      <c r="BO185" s="15" t="n">
        <f aca="false">INDEX(Ipotesi!$C$74:$G$74,1,F185)/12*Ipotesi!F126</f>
        <v>1000</v>
      </c>
      <c r="BP185" s="15" t="n">
        <f aca="false">INDEX(Ipotesi!$C$76:$G$76,1,F185)/12</f>
        <v>500</v>
      </c>
      <c r="BQ185" s="15" t="n">
        <f aca="false">INDEX(Ipotesi!$C$77:$G$77,1,F185)/12*Ipotesi!F126</f>
        <v>1250</v>
      </c>
      <c r="BR185" s="15" t="n">
        <f aca="false">INDEX(Ipotesi!$C$78:$G$78,1,F185)/12</f>
        <v>1000</v>
      </c>
      <c r="BS185" s="15" t="n">
        <f aca="false">SUM(M185:R185)*(Ipotesi!$C$85+Ipotesi!$C$86)/12</f>
        <v>1239.58333333333</v>
      </c>
      <c r="BT185" s="15" t="n">
        <f aca="false">BI185*Ipotesi!$C$87</f>
        <v>136.125</v>
      </c>
      <c r="BU185" s="15" t="n">
        <f aca="false">INDEX(Ipotesi!$C$55:$G$55,1,F185)*K185/12</f>
        <v>500</v>
      </c>
      <c r="BV185" s="15" t="n">
        <f aca="false">INDEX(Ipotesi!$C$80:$G$80,1,F185)/12*Ipotesi!F126</f>
        <v>500</v>
      </c>
      <c r="BW185" s="15" t="n">
        <f aca="false">INDEX(Ipotesi!$C$82:$G$82,1,F185)/12</f>
        <v>416.666666666667</v>
      </c>
      <c r="BX185" s="15" t="n">
        <f aca="false">INDEX(Ipotesi!$C$83:$G$83,1,F185)/12</f>
        <v>500</v>
      </c>
      <c r="BY185" s="15" t="n">
        <f aca="false">SUM(S185:U185)*(Ipotesi!$C$85+Ipotesi!$C$86)/12</f>
        <v>437.5</v>
      </c>
      <c r="BZ185" s="15" t="n">
        <f aca="false">AM185*Ipotesi!$C$87</f>
        <v>247.5</v>
      </c>
      <c r="CA185" s="15" t="n">
        <f aca="false">AB185+BJ185+BL185+BN185+BO185+AR185+BP185+BQ185+BR185+BS185+BT185</f>
        <v>27487.0833333333</v>
      </c>
      <c r="CB185" s="15" t="n">
        <f aca="false">AC185+BK185+BM185+BH185+BU185+BV185+AS185+BW185+BX185+BY185+BZ185</f>
        <v>10840.8333333333</v>
      </c>
      <c r="CC185" s="15" t="n">
        <f aca="false">BI185-CA185</f>
        <v>-22949.5833333333</v>
      </c>
      <c r="CD185" s="15" t="n">
        <f aca="false">AM185-CB185</f>
        <v>-2590.83333333333</v>
      </c>
      <c r="CE185" s="15" t="n">
        <f aca="false">INDEX(Ipotesi!$C$79:$G$79,1,F185)/12</f>
        <v>1666.66666666667</v>
      </c>
      <c r="CF185" s="15" t="n">
        <f aca="false">INDEX(Ipotesi!$C$84:$G$84,1,F185)/12</f>
        <v>250</v>
      </c>
      <c r="CG185" s="15" t="n">
        <f aca="false">Y185*MAX(0,Parametri_v3!$C$12-IF(P185=0,0,MIN(1,BE185/(P185*Parametri_v3!$C$22))))+W185*Parametri_v3!$C$13+X185*Parametri_v3!$C$14</f>
        <v>7187.5</v>
      </c>
      <c r="CH185" s="15" t="n">
        <f aca="false">AB185*Parametri_v3!$C$32</f>
        <v>895.833333333334</v>
      </c>
      <c r="CI185" s="15" t="n">
        <f aca="false">AC185*Parametri_v3!$C$32</f>
        <v>262.5</v>
      </c>
      <c r="CJ185" s="15" t="n">
        <f aca="false">CA185-AB185</f>
        <v>9570.41666666666</v>
      </c>
      <c r="CK185" s="15" t="n">
        <f aca="false">CB185-AC185-BH185</f>
        <v>4765.83333333333</v>
      </c>
      <c r="CL185" s="15" t="n">
        <f aca="false">BF185*Ipotesi!$C$73+INDEX(Ipotesi!$C$72:$G$72,1,F185)/12*Ipotesi!F126*Parametri_v3!$C$58+Z185*(1-Parametri_v3!$C$16)</f>
        <v>1812.5</v>
      </c>
      <c r="CM185" s="16" t="n">
        <f aca="false">IF(BF185=0,0,1-CL185/BF185)</f>
        <v>0</v>
      </c>
    </row>
    <row r="186" customFormat="false" ht="18" hidden="false" customHeight="true" outlineLevel="0" collapsed="false">
      <c r="A186" s="68" t="n">
        <f aca="false">4</f>
        <v>4</v>
      </c>
      <c r="B186" s="68" t="n">
        <f aca="false">2</f>
        <v>2</v>
      </c>
      <c r="C186" s="18" t="n">
        <f aca="false">EDATE(Parametri_v3!$C$5,2-1)</f>
        <v>46419</v>
      </c>
      <c r="D186" s="68" t="n">
        <f aca="false">YEAR(C186)</f>
        <v>2027</v>
      </c>
      <c r="E186" s="68" t="n">
        <f aca="false">MONTH(C186)</f>
        <v>2</v>
      </c>
      <c r="F186" s="68" t="n">
        <f aca="false">INT((2-1)/12)+1</f>
        <v>1</v>
      </c>
      <c r="G186" s="15" t="n">
        <f aca="false">Ipotesi!F7</f>
        <v>0.55</v>
      </c>
      <c r="H186" s="15" t="n">
        <f aca="false">Ipotesi!F9</f>
        <v>0.9</v>
      </c>
      <c r="I186" s="15" t="n">
        <f aca="false">Ipotesi!F10</f>
        <v>1</v>
      </c>
      <c r="J186" s="15" t="n">
        <f aca="false">Ipotesi!F11</f>
        <v>1</v>
      </c>
      <c r="K186" s="15" t="n">
        <f aca="false">Ipotesi!F12</f>
        <v>1</v>
      </c>
      <c r="L186" s="15" t="n">
        <f aca="false">Ipotesi!F13</f>
        <v>120</v>
      </c>
      <c r="M186" s="17" t="n">
        <f aca="false">INDEX(Ipotesi!$C$40:$G$40,1,F186)</f>
        <v>1</v>
      </c>
      <c r="N186" s="17" t="n">
        <f aca="false">INDEX(Ipotesi!$C$41:$G$41,1,F186)</f>
        <v>0.75</v>
      </c>
      <c r="O186" s="17" t="n">
        <f aca="false">INDEX(Ipotesi!$C$42:$G$42,1,F186)*Ipotesi!F125</f>
        <v>1</v>
      </c>
      <c r="P186" s="17" t="n">
        <f aca="false">INDEX(Ipotesi!$C$43:$G$43,1,F186)*I186</f>
        <v>1</v>
      </c>
      <c r="Q186" s="17" t="n">
        <f aca="false">INDEX(Ipotesi!$C$44:$G$44,1,F186)*I186</f>
        <v>0.5</v>
      </c>
      <c r="R186" s="17" t="n">
        <f aca="false">INDEX(Ipotesi!$C$45:$G$45,1,F186)*I186</f>
        <v>0</v>
      </c>
      <c r="S186" s="17" t="n">
        <f aca="false">INDEX(Ipotesi!$C$52:$G$52,1,F186)*Ipotesi!F125</f>
        <v>1.5</v>
      </c>
      <c r="T186" s="17" t="n">
        <f aca="false">INDEX(Ipotesi!$C$53:$G$53,1,F186)*I186</f>
        <v>0</v>
      </c>
      <c r="U186" s="17" t="n">
        <f aca="false">INDEX(Ipotesi!$C$54:$G$54,1,F186)*I186</f>
        <v>0</v>
      </c>
      <c r="V186" s="15" t="n">
        <f aca="false">M186*INDEX(Ipotesi!$C$58:$G$58,1,F186)*K186/12</f>
        <v>3333.33333333333</v>
      </c>
      <c r="W186" s="15" t="n">
        <f aca="false">N186*Ipotesi!$C$59*(1+Ipotesi!$C$66)^(F186-1)/12</f>
        <v>4375</v>
      </c>
      <c r="X186" s="15" t="n">
        <f aca="false">O186*Ipotesi!$C$60*(1+Ipotesi!$C$66)^(F186-1)/12</f>
        <v>4166.66666666667</v>
      </c>
      <c r="Y186" s="15" t="n">
        <f aca="false">P186*Ipotesi!$C$61*(1+Ipotesi!$C$66)^(F186-1)/12</f>
        <v>4166.66666666667</v>
      </c>
      <c r="Z186" s="15" t="n">
        <f aca="false">Q186*Ipotesi!$C$62*(1+Ipotesi!$C$66)^(F186-1)/12</f>
        <v>1875</v>
      </c>
      <c r="AA186" s="15" t="n">
        <f aca="false">R186*Ipotesi!$C$63*(1+Ipotesi!$C$66)^(F186-1)/12</f>
        <v>0</v>
      </c>
      <c r="AB186" s="15" t="n">
        <f aca="false">SUM(V186:AA186)</f>
        <v>17916.6666666667</v>
      </c>
      <c r="AC186" s="15" t="n">
        <f aca="false">(S186*Ipotesi!$C$64+T186*Ipotesi!$C$65+U186*Ipotesi!$C$63)*(1+Ipotesi!$C$66)^(F186-1)/12</f>
        <v>5250</v>
      </c>
      <c r="AD186" s="15" t="n">
        <f aca="false">INDEX(Ipotesi!$C$48:$G$48,1,F186)*G186/12</f>
        <v>9.16666666666667</v>
      </c>
      <c r="AE186" s="15" t="n">
        <f aca="false">INDEX(Ipotesi!$C$50:$G$50,1,F186)*G186/12</f>
        <v>1.14583333333333</v>
      </c>
      <c r="AF186" s="15" t="n">
        <f aca="false">(S186*Parametri_v3!$C$7*Parametri_v3!$C$8+Parametri_v3!$C$10)/12</f>
        <v>19.25</v>
      </c>
      <c r="AG186" s="15" t="n">
        <f aca="false">AD186+AE186*(1+Parametri_v3!$C$9)</f>
        <v>10.8854166666667</v>
      </c>
      <c r="AH186" s="16" t="n">
        <f aca="false">IF(AG186=0,1,MIN(1,AF186/AG186))</f>
        <v>1</v>
      </c>
      <c r="AI186" s="15" t="n">
        <f aca="false">AD186*AH186</f>
        <v>9.16666666666667</v>
      </c>
      <c r="AJ186" s="15" t="n">
        <f aca="false">AE186*AH186</f>
        <v>1.14583333333333</v>
      </c>
      <c r="AK186" s="15" t="n">
        <f aca="false">AI186*INDEX(Ipotesi!$C$49:$G$49,1,F186)*H186</f>
        <v>6187.5</v>
      </c>
      <c r="AL186" s="15" t="n">
        <f aca="false">AJ186*INDEX(Ipotesi!$C$51:$G$51,1,F186)*H186</f>
        <v>2062.5</v>
      </c>
      <c r="AM186" s="15" t="n">
        <f aca="false">AK186+AL186</f>
        <v>8250</v>
      </c>
      <c r="AN186" s="15" t="n">
        <f aca="false">INDEX(Ipotesi!$C$30:$G$30,1,F186)*G186/12</f>
        <v>4.58333333333333</v>
      </c>
      <c r="AO186" s="15" t="n">
        <f aca="false">O186*Parametri_v3!$C$7*Parametri_v3!$C$11*(1-Parametri_v3!$C$14)/12</f>
        <v>10.2666666666667</v>
      </c>
      <c r="AP186" s="15" t="n">
        <f aca="false">MIN(AN186,AO186)</f>
        <v>4.58333333333333</v>
      </c>
      <c r="AQ186" s="15" t="n">
        <f aca="false">AP186*INDEX(Ipotesi!$C$31:$G$31,1,F186)*H186</f>
        <v>3712.5</v>
      </c>
      <c r="AR186" s="15" t="n">
        <f aca="false">INDEX(Ipotesi!$C$75:$G$75,1,F186)*J186/12</f>
        <v>2083.33333333333</v>
      </c>
      <c r="AS186" s="15" t="n">
        <f aca="false">INDEX(Ipotesi!$C$81:$G$81,1,F186)*J186/12</f>
        <v>416.666666666667</v>
      </c>
      <c r="AT186" s="15" t="n">
        <f aca="false">AR186*Parametri_v3!$C$15+Z186*Parametri_v3!$C$16</f>
        <v>3395.83333333333</v>
      </c>
      <c r="AU186" s="15" t="n">
        <f aca="false">Q186*Parametri_v3!$C$16*Parametri_v3!$C$17</f>
        <v>35</v>
      </c>
      <c r="AV186" s="17" t="n">
        <f aca="false">BD185</f>
        <v>0</v>
      </c>
      <c r="AW186" s="17" t="n">
        <f aca="false">AV186*(1-(1-INDEX(Ipotesi!$C$34:$G$34,1,F186))^(1/12))</f>
        <v>0</v>
      </c>
      <c r="AX186" s="15" t="n">
        <f aca="false">ROUND(INDEX(Ipotesi!$C$32:$G$32,1,F186)*Ipotesi!F8,0)</f>
        <v>2</v>
      </c>
      <c r="AY186" s="15" t="n">
        <f aca="false">MAX(0,(AX186-(AV186-AW186))/(13-E186))</f>
        <v>0.181818181818182</v>
      </c>
      <c r="AZ186" s="15" t="n">
        <f aca="false">MIN(P186*Parametri_v3!$C$22,Q186*(1-Parametri_v3!$C$16)*Parametri_v3!$C$23)</f>
        <v>22.5</v>
      </c>
      <c r="BA186" s="15" t="n">
        <f aca="false">IF(OR(INDEX(Ipotesi!$C$35:$G$35,1,F186)&lt;=0,2-Parametri_v3!$C$21&lt;1),0,INDEX($AT$185:$AT$244,MAX(1,2-Parametri_v3!$C$21))/(INDEX(Ipotesi!$C$35:$G$35,1,F186)*Ipotesi!F27))</f>
        <v>0</v>
      </c>
      <c r="BB186" s="15" t="n">
        <f aca="false">IF(2-Parametri_v3!$C$21&lt;1,0,INDEX($AU$185:$AU$244,MAX(1,2-Parametri_v3!$C$21)))*Parametri_v3!$C$18*Parametri_v3!$C$19*Parametri_v3!$C$20</f>
        <v>0</v>
      </c>
      <c r="BC186" s="17" t="n">
        <f aca="false">MAX(0,MIN(AY186,BA186,BB186,MAX(0,AZ186-(AV186-AW186))))</f>
        <v>0</v>
      </c>
      <c r="BD186" s="17" t="n">
        <f aca="false">AV186-AW186+BC186</f>
        <v>0</v>
      </c>
      <c r="BE186" s="17" t="n">
        <f aca="false">(AV186+BD186)/2</f>
        <v>0</v>
      </c>
      <c r="BF186" s="15" t="n">
        <f aca="false">BE186*INDEX(Ipotesi!$C$33:$G$33,1,F186)*H186/12</f>
        <v>0</v>
      </c>
      <c r="BG186" s="15" t="n">
        <f aca="false">BD186*INDEX(Ipotesi!$C$33:$G$33,1,F186)*H186</f>
        <v>0</v>
      </c>
      <c r="BH186" s="15" t="n">
        <f aca="false">AM186*INDEX(Ipotesi!$C$37:$G$37,1,F186)</f>
        <v>825</v>
      </c>
      <c r="BI186" s="15" t="n">
        <f aca="false">AQ186+BF186+BH186</f>
        <v>4537.5</v>
      </c>
      <c r="BJ186" s="15" t="n">
        <f aca="false">INDEX(Ipotesi!$C$68:$G$68,1,F186)*Ipotesi!$C$69/12</f>
        <v>1000</v>
      </c>
      <c r="BK186" s="15" t="n">
        <f aca="false">INDEX(Ipotesi!$C$68:$G$68,1,F186)*(1-Ipotesi!$C$69)/12</f>
        <v>1500</v>
      </c>
      <c r="BL186" s="15" t="n">
        <f aca="false">(AQ186+BF186)*Ipotesi!$C$67</f>
        <v>111.375</v>
      </c>
      <c r="BM186" s="15" t="n">
        <f aca="false">AM186*Ipotesi!$C$67</f>
        <v>247.5</v>
      </c>
      <c r="BN186" s="15" t="n">
        <f aca="false">INDEX(Ipotesi!$C$72:$G$72,1,F186)/12*Ipotesi!F126+BF186*Ipotesi!$C$73</f>
        <v>1250</v>
      </c>
      <c r="BO186" s="15" t="n">
        <f aca="false">INDEX(Ipotesi!$C$74:$G$74,1,F186)/12*Ipotesi!F126</f>
        <v>1000</v>
      </c>
      <c r="BP186" s="15" t="n">
        <f aca="false">INDEX(Ipotesi!$C$76:$G$76,1,F186)/12</f>
        <v>500</v>
      </c>
      <c r="BQ186" s="15" t="n">
        <f aca="false">INDEX(Ipotesi!$C$77:$G$77,1,F186)/12*Ipotesi!F126</f>
        <v>1250</v>
      </c>
      <c r="BR186" s="15" t="n">
        <f aca="false">INDEX(Ipotesi!$C$78:$G$78,1,F186)/12</f>
        <v>1000</v>
      </c>
      <c r="BS186" s="15" t="n">
        <f aca="false">SUM(M186:R186)*(Ipotesi!$C$85+Ipotesi!$C$86)/12</f>
        <v>1239.58333333333</v>
      </c>
      <c r="BT186" s="15" t="n">
        <f aca="false">BI186*Ipotesi!$C$87</f>
        <v>136.125</v>
      </c>
      <c r="BU186" s="15" t="n">
        <f aca="false">INDEX(Ipotesi!$C$55:$G$55,1,F186)*K186/12</f>
        <v>500</v>
      </c>
      <c r="BV186" s="15" t="n">
        <f aca="false">INDEX(Ipotesi!$C$80:$G$80,1,F186)/12*Ipotesi!F126</f>
        <v>500</v>
      </c>
      <c r="BW186" s="15" t="n">
        <f aca="false">INDEX(Ipotesi!$C$82:$G$82,1,F186)/12</f>
        <v>416.666666666667</v>
      </c>
      <c r="BX186" s="15" t="n">
        <f aca="false">INDEX(Ipotesi!$C$83:$G$83,1,F186)/12</f>
        <v>500</v>
      </c>
      <c r="BY186" s="15" t="n">
        <f aca="false">SUM(S186:U186)*(Ipotesi!$C$85+Ipotesi!$C$86)/12</f>
        <v>437.5</v>
      </c>
      <c r="BZ186" s="15" t="n">
        <f aca="false">AM186*Ipotesi!$C$87</f>
        <v>247.5</v>
      </c>
      <c r="CA186" s="15" t="n">
        <f aca="false">AB186+BJ186+BL186+BN186+BO186+AR186+BP186+BQ186+BR186+BS186+BT186</f>
        <v>27487.0833333333</v>
      </c>
      <c r="CB186" s="15" t="n">
        <f aca="false">AC186+BK186+BM186+BH186+BU186+BV186+AS186+BW186+BX186+BY186+BZ186</f>
        <v>10840.8333333333</v>
      </c>
      <c r="CC186" s="15" t="n">
        <f aca="false">BI186-CA186</f>
        <v>-22949.5833333333</v>
      </c>
      <c r="CD186" s="15" t="n">
        <f aca="false">AM186-CB186</f>
        <v>-2590.83333333333</v>
      </c>
      <c r="CE186" s="15" t="n">
        <f aca="false">INDEX(Ipotesi!$C$79:$G$79,1,F186)/12</f>
        <v>1666.66666666667</v>
      </c>
      <c r="CF186" s="15" t="n">
        <f aca="false">INDEX(Ipotesi!$C$84:$G$84,1,F186)/12</f>
        <v>250</v>
      </c>
      <c r="CG186" s="15" t="n">
        <f aca="false">Y186*MAX(0,Parametri_v3!$C$12-IF(P186=0,0,MIN(1,BE186/(P186*Parametri_v3!$C$22))))+W186*Parametri_v3!$C$13+X186*Parametri_v3!$C$14</f>
        <v>7187.5</v>
      </c>
      <c r="CH186" s="15" t="n">
        <f aca="false">AB186*Parametri_v3!$C$32</f>
        <v>895.833333333334</v>
      </c>
      <c r="CI186" s="15" t="n">
        <f aca="false">AC186*Parametri_v3!$C$32</f>
        <v>262.5</v>
      </c>
      <c r="CJ186" s="15" t="n">
        <f aca="false">CA186-AB186</f>
        <v>9570.41666666666</v>
      </c>
      <c r="CK186" s="15" t="n">
        <f aca="false">CB186-AC186-BH186</f>
        <v>4765.83333333333</v>
      </c>
      <c r="CL186" s="15" t="n">
        <f aca="false">BF186*Ipotesi!$C$73+INDEX(Ipotesi!$C$72:$G$72,1,F186)/12*Ipotesi!F126*Parametri_v3!$C$58+Z186*(1-Parametri_v3!$C$16)</f>
        <v>1812.5</v>
      </c>
      <c r="CM186" s="16" t="n">
        <f aca="false">IF(BF186=0,0,1-CL186/BF186)</f>
        <v>0</v>
      </c>
    </row>
    <row r="187" customFormat="false" ht="18" hidden="false" customHeight="true" outlineLevel="0" collapsed="false">
      <c r="A187" s="68" t="n">
        <f aca="false">4</f>
        <v>4</v>
      </c>
      <c r="B187" s="68" t="n">
        <f aca="false">3</f>
        <v>3</v>
      </c>
      <c r="C187" s="18" t="n">
        <f aca="false">EDATE(Parametri_v3!$C$5,3-1)</f>
        <v>46447</v>
      </c>
      <c r="D187" s="68" t="n">
        <f aca="false">YEAR(C187)</f>
        <v>2027</v>
      </c>
      <c r="E187" s="68" t="n">
        <f aca="false">MONTH(C187)</f>
        <v>3</v>
      </c>
      <c r="F187" s="68" t="n">
        <f aca="false">INT((3-1)/12)+1</f>
        <v>1</v>
      </c>
      <c r="G187" s="15" t="n">
        <f aca="false">Ipotesi!F7</f>
        <v>0.55</v>
      </c>
      <c r="H187" s="15" t="n">
        <f aca="false">Ipotesi!F9</f>
        <v>0.9</v>
      </c>
      <c r="I187" s="15" t="n">
        <f aca="false">Ipotesi!F10</f>
        <v>1</v>
      </c>
      <c r="J187" s="15" t="n">
        <f aca="false">Ipotesi!F11</f>
        <v>1</v>
      </c>
      <c r="K187" s="15" t="n">
        <f aca="false">Ipotesi!F12</f>
        <v>1</v>
      </c>
      <c r="L187" s="15" t="n">
        <f aca="false">Ipotesi!F13</f>
        <v>120</v>
      </c>
      <c r="M187" s="17" t="n">
        <f aca="false">INDEX(Ipotesi!$C$40:$G$40,1,F187)</f>
        <v>1</v>
      </c>
      <c r="N187" s="17" t="n">
        <f aca="false">INDEX(Ipotesi!$C$41:$G$41,1,F187)</f>
        <v>0.75</v>
      </c>
      <c r="O187" s="17" t="n">
        <f aca="false">INDEX(Ipotesi!$C$42:$G$42,1,F187)*Ipotesi!F125</f>
        <v>1</v>
      </c>
      <c r="P187" s="17" t="n">
        <f aca="false">INDEX(Ipotesi!$C$43:$G$43,1,F187)*I187</f>
        <v>1</v>
      </c>
      <c r="Q187" s="17" t="n">
        <f aca="false">INDEX(Ipotesi!$C$44:$G$44,1,F187)*I187</f>
        <v>0.5</v>
      </c>
      <c r="R187" s="17" t="n">
        <f aca="false">INDEX(Ipotesi!$C$45:$G$45,1,F187)*I187</f>
        <v>0</v>
      </c>
      <c r="S187" s="17" t="n">
        <f aca="false">INDEX(Ipotesi!$C$52:$G$52,1,F187)*Ipotesi!F125</f>
        <v>1.5</v>
      </c>
      <c r="T187" s="17" t="n">
        <f aca="false">INDEX(Ipotesi!$C$53:$G$53,1,F187)*I187</f>
        <v>0</v>
      </c>
      <c r="U187" s="17" t="n">
        <f aca="false">INDEX(Ipotesi!$C$54:$G$54,1,F187)*I187</f>
        <v>0</v>
      </c>
      <c r="V187" s="15" t="n">
        <f aca="false">M187*INDEX(Ipotesi!$C$58:$G$58,1,F187)*K187/12</f>
        <v>3333.33333333333</v>
      </c>
      <c r="W187" s="15" t="n">
        <f aca="false">N187*Ipotesi!$C$59*(1+Ipotesi!$C$66)^(F187-1)/12</f>
        <v>4375</v>
      </c>
      <c r="X187" s="15" t="n">
        <f aca="false">O187*Ipotesi!$C$60*(1+Ipotesi!$C$66)^(F187-1)/12</f>
        <v>4166.66666666667</v>
      </c>
      <c r="Y187" s="15" t="n">
        <f aca="false">P187*Ipotesi!$C$61*(1+Ipotesi!$C$66)^(F187-1)/12</f>
        <v>4166.66666666667</v>
      </c>
      <c r="Z187" s="15" t="n">
        <f aca="false">Q187*Ipotesi!$C$62*(1+Ipotesi!$C$66)^(F187-1)/12</f>
        <v>1875</v>
      </c>
      <c r="AA187" s="15" t="n">
        <f aca="false">R187*Ipotesi!$C$63*(1+Ipotesi!$C$66)^(F187-1)/12</f>
        <v>0</v>
      </c>
      <c r="AB187" s="15" t="n">
        <f aca="false">SUM(V187:AA187)</f>
        <v>17916.6666666667</v>
      </c>
      <c r="AC187" s="15" t="n">
        <f aca="false">(S187*Ipotesi!$C$64+T187*Ipotesi!$C$65+U187*Ipotesi!$C$63)*(1+Ipotesi!$C$66)^(F187-1)/12</f>
        <v>5250</v>
      </c>
      <c r="AD187" s="15" t="n">
        <f aca="false">INDEX(Ipotesi!$C$48:$G$48,1,F187)*G187/12</f>
        <v>9.16666666666667</v>
      </c>
      <c r="AE187" s="15" t="n">
        <f aca="false">INDEX(Ipotesi!$C$50:$G$50,1,F187)*G187/12</f>
        <v>1.14583333333333</v>
      </c>
      <c r="AF187" s="15" t="n">
        <f aca="false">(S187*Parametri_v3!$C$7*Parametri_v3!$C$8+Parametri_v3!$C$10)/12</f>
        <v>19.25</v>
      </c>
      <c r="AG187" s="15" t="n">
        <f aca="false">AD187+AE187*(1+Parametri_v3!$C$9)</f>
        <v>10.8854166666667</v>
      </c>
      <c r="AH187" s="16" t="n">
        <f aca="false">IF(AG187=0,1,MIN(1,AF187/AG187))</f>
        <v>1</v>
      </c>
      <c r="AI187" s="15" t="n">
        <f aca="false">AD187*AH187</f>
        <v>9.16666666666667</v>
      </c>
      <c r="AJ187" s="15" t="n">
        <f aca="false">AE187*AH187</f>
        <v>1.14583333333333</v>
      </c>
      <c r="AK187" s="15" t="n">
        <f aca="false">AI187*INDEX(Ipotesi!$C$49:$G$49,1,F187)*H187</f>
        <v>6187.5</v>
      </c>
      <c r="AL187" s="15" t="n">
        <f aca="false">AJ187*INDEX(Ipotesi!$C$51:$G$51,1,F187)*H187</f>
        <v>2062.5</v>
      </c>
      <c r="AM187" s="15" t="n">
        <f aca="false">AK187+AL187</f>
        <v>8250</v>
      </c>
      <c r="AN187" s="15" t="n">
        <f aca="false">INDEX(Ipotesi!$C$30:$G$30,1,F187)*G187/12</f>
        <v>4.58333333333333</v>
      </c>
      <c r="AO187" s="15" t="n">
        <f aca="false">O187*Parametri_v3!$C$7*Parametri_v3!$C$11*(1-Parametri_v3!$C$14)/12</f>
        <v>10.2666666666667</v>
      </c>
      <c r="AP187" s="15" t="n">
        <f aca="false">MIN(AN187,AO187)</f>
        <v>4.58333333333333</v>
      </c>
      <c r="AQ187" s="15" t="n">
        <f aca="false">AP187*INDEX(Ipotesi!$C$31:$G$31,1,F187)*H187</f>
        <v>3712.5</v>
      </c>
      <c r="AR187" s="15" t="n">
        <f aca="false">INDEX(Ipotesi!$C$75:$G$75,1,F187)*J187/12</f>
        <v>2083.33333333333</v>
      </c>
      <c r="AS187" s="15" t="n">
        <f aca="false">INDEX(Ipotesi!$C$81:$G$81,1,F187)*J187/12</f>
        <v>416.666666666667</v>
      </c>
      <c r="AT187" s="15" t="n">
        <f aca="false">AR187*Parametri_v3!$C$15+Z187*Parametri_v3!$C$16</f>
        <v>3395.83333333333</v>
      </c>
      <c r="AU187" s="15" t="n">
        <f aca="false">Q187*Parametri_v3!$C$16*Parametri_v3!$C$17</f>
        <v>35</v>
      </c>
      <c r="AV187" s="17" t="n">
        <f aca="false">BD186</f>
        <v>0</v>
      </c>
      <c r="AW187" s="17" t="n">
        <f aca="false">AV187*(1-(1-INDEX(Ipotesi!$C$34:$G$34,1,F187))^(1/12))</f>
        <v>0</v>
      </c>
      <c r="AX187" s="15" t="n">
        <f aca="false">ROUND(INDEX(Ipotesi!$C$32:$G$32,1,F187)*Ipotesi!F8,0)</f>
        <v>2</v>
      </c>
      <c r="AY187" s="15" t="n">
        <f aca="false">MAX(0,(AX187-(AV187-AW187))/(13-E187))</f>
        <v>0.2</v>
      </c>
      <c r="AZ187" s="15" t="n">
        <f aca="false">MIN(P187*Parametri_v3!$C$22,Q187*(1-Parametri_v3!$C$16)*Parametri_v3!$C$23)</f>
        <v>22.5</v>
      </c>
      <c r="BA187" s="15" t="n">
        <f aca="false">IF(OR(INDEX(Ipotesi!$C$35:$G$35,1,F187)&lt;=0,3-Parametri_v3!$C$21&lt;1),0,INDEX($AT$185:$AT$244,MAX(1,3-Parametri_v3!$C$21))/(INDEX(Ipotesi!$C$35:$G$35,1,F187)*Ipotesi!F27))</f>
        <v>0</v>
      </c>
      <c r="BB187" s="15" t="n">
        <f aca="false">IF(3-Parametri_v3!$C$21&lt;1,0,INDEX($AU$185:$AU$244,MAX(1,3-Parametri_v3!$C$21)))*Parametri_v3!$C$18*Parametri_v3!$C$19*Parametri_v3!$C$20</f>
        <v>0</v>
      </c>
      <c r="BC187" s="17" t="n">
        <f aca="false">MAX(0,MIN(AY187,BA187,BB187,MAX(0,AZ187-(AV187-AW187))))</f>
        <v>0</v>
      </c>
      <c r="BD187" s="17" t="n">
        <f aca="false">AV187-AW187+BC187</f>
        <v>0</v>
      </c>
      <c r="BE187" s="17" t="n">
        <f aca="false">(AV187+BD187)/2</f>
        <v>0</v>
      </c>
      <c r="BF187" s="15" t="n">
        <f aca="false">BE187*INDEX(Ipotesi!$C$33:$G$33,1,F187)*H187/12</f>
        <v>0</v>
      </c>
      <c r="BG187" s="15" t="n">
        <f aca="false">BD187*INDEX(Ipotesi!$C$33:$G$33,1,F187)*H187</f>
        <v>0</v>
      </c>
      <c r="BH187" s="15" t="n">
        <f aca="false">AM187*INDEX(Ipotesi!$C$37:$G$37,1,F187)</f>
        <v>825</v>
      </c>
      <c r="BI187" s="15" t="n">
        <f aca="false">AQ187+BF187+BH187</f>
        <v>4537.5</v>
      </c>
      <c r="BJ187" s="15" t="n">
        <f aca="false">INDEX(Ipotesi!$C$68:$G$68,1,F187)*Ipotesi!$C$69/12</f>
        <v>1000</v>
      </c>
      <c r="BK187" s="15" t="n">
        <f aca="false">INDEX(Ipotesi!$C$68:$G$68,1,F187)*(1-Ipotesi!$C$69)/12</f>
        <v>1500</v>
      </c>
      <c r="BL187" s="15" t="n">
        <f aca="false">(AQ187+BF187)*Ipotesi!$C$67</f>
        <v>111.375</v>
      </c>
      <c r="BM187" s="15" t="n">
        <f aca="false">AM187*Ipotesi!$C$67</f>
        <v>247.5</v>
      </c>
      <c r="BN187" s="15" t="n">
        <f aca="false">INDEX(Ipotesi!$C$72:$G$72,1,F187)/12*Ipotesi!F126+BF187*Ipotesi!$C$73</f>
        <v>1250</v>
      </c>
      <c r="BO187" s="15" t="n">
        <f aca="false">INDEX(Ipotesi!$C$74:$G$74,1,F187)/12*Ipotesi!F126</f>
        <v>1000</v>
      </c>
      <c r="BP187" s="15" t="n">
        <f aca="false">INDEX(Ipotesi!$C$76:$G$76,1,F187)/12</f>
        <v>500</v>
      </c>
      <c r="BQ187" s="15" t="n">
        <f aca="false">INDEX(Ipotesi!$C$77:$G$77,1,F187)/12*Ipotesi!F126</f>
        <v>1250</v>
      </c>
      <c r="BR187" s="15" t="n">
        <f aca="false">INDEX(Ipotesi!$C$78:$G$78,1,F187)/12</f>
        <v>1000</v>
      </c>
      <c r="BS187" s="15" t="n">
        <f aca="false">SUM(M187:R187)*(Ipotesi!$C$85+Ipotesi!$C$86)/12</f>
        <v>1239.58333333333</v>
      </c>
      <c r="BT187" s="15" t="n">
        <f aca="false">BI187*Ipotesi!$C$87</f>
        <v>136.125</v>
      </c>
      <c r="BU187" s="15" t="n">
        <f aca="false">INDEX(Ipotesi!$C$55:$G$55,1,F187)*K187/12</f>
        <v>500</v>
      </c>
      <c r="BV187" s="15" t="n">
        <f aca="false">INDEX(Ipotesi!$C$80:$G$80,1,F187)/12*Ipotesi!F126</f>
        <v>500</v>
      </c>
      <c r="BW187" s="15" t="n">
        <f aca="false">INDEX(Ipotesi!$C$82:$G$82,1,F187)/12</f>
        <v>416.666666666667</v>
      </c>
      <c r="BX187" s="15" t="n">
        <f aca="false">INDEX(Ipotesi!$C$83:$G$83,1,F187)/12</f>
        <v>500</v>
      </c>
      <c r="BY187" s="15" t="n">
        <f aca="false">SUM(S187:U187)*(Ipotesi!$C$85+Ipotesi!$C$86)/12</f>
        <v>437.5</v>
      </c>
      <c r="BZ187" s="15" t="n">
        <f aca="false">AM187*Ipotesi!$C$87</f>
        <v>247.5</v>
      </c>
      <c r="CA187" s="15" t="n">
        <f aca="false">AB187+BJ187+BL187+BN187+BO187+AR187+BP187+BQ187+BR187+BS187+BT187</f>
        <v>27487.0833333333</v>
      </c>
      <c r="CB187" s="15" t="n">
        <f aca="false">AC187+BK187+BM187+BH187+BU187+BV187+AS187+BW187+BX187+BY187+BZ187</f>
        <v>10840.8333333333</v>
      </c>
      <c r="CC187" s="15" t="n">
        <f aca="false">BI187-CA187</f>
        <v>-22949.5833333333</v>
      </c>
      <c r="CD187" s="15" t="n">
        <f aca="false">AM187-CB187</f>
        <v>-2590.83333333333</v>
      </c>
      <c r="CE187" s="15" t="n">
        <f aca="false">INDEX(Ipotesi!$C$79:$G$79,1,F187)/12</f>
        <v>1666.66666666667</v>
      </c>
      <c r="CF187" s="15" t="n">
        <f aca="false">INDEX(Ipotesi!$C$84:$G$84,1,F187)/12</f>
        <v>250</v>
      </c>
      <c r="CG187" s="15" t="n">
        <f aca="false">Y187*MAX(0,Parametri_v3!$C$12-IF(P187=0,0,MIN(1,BE187/(P187*Parametri_v3!$C$22))))+W187*Parametri_v3!$C$13+X187*Parametri_v3!$C$14</f>
        <v>7187.5</v>
      </c>
      <c r="CH187" s="15" t="n">
        <f aca="false">AB187*Parametri_v3!$C$32</f>
        <v>895.833333333334</v>
      </c>
      <c r="CI187" s="15" t="n">
        <f aca="false">AC187*Parametri_v3!$C$32</f>
        <v>262.5</v>
      </c>
      <c r="CJ187" s="15" t="n">
        <f aca="false">CA187-AB187</f>
        <v>9570.41666666666</v>
      </c>
      <c r="CK187" s="15" t="n">
        <f aca="false">CB187-AC187-BH187</f>
        <v>4765.83333333333</v>
      </c>
      <c r="CL187" s="15" t="n">
        <f aca="false">BF187*Ipotesi!$C$73+INDEX(Ipotesi!$C$72:$G$72,1,F187)/12*Ipotesi!F126*Parametri_v3!$C$58+Z187*(1-Parametri_v3!$C$16)</f>
        <v>1812.5</v>
      </c>
      <c r="CM187" s="16" t="n">
        <f aca="false">IF(BF187=0,0,1-CL187/BF187)</f>
        <v>0</v>
      </c>
    </row>
    <row r="188" customFormat="false" ht="18" hidden="false" customHeight="true" outlineLevel="0" collapsed="false">
      <c r="A188" s="68" t="n">
        <f aca="false">4</f>
        <v>4</v>
      </c>
      <c r="B188" s="68" t="n">
        <f aca="false">4</f>
        <v>4</v>
      </c>
      <c r="C188" s="18" t="n">
        <f aca="false">EDATE(Parametri_v3!$C$5,4-1)</f>
        <v>46478</v>
      </c>
      <c r="D188" s="68" t="n">
        <f aca="false">YEAR(C188)</f>
        <v>2027</v>
      </c>
      <c r="E188" s="68" t="n">
        <f aca="false">MONTH(C188)</f>
        <v>4</v>
      </c>
      <c r="F188" s="68" t="n">
        <f aca="false">INT((4-1)/12)+1</f>
        <v>1</v>
      </c>
      <c r="G188" s="15" t="n">
        <f aca="false">Ipotesi!F7</f>
        <v>0.55</v>
      </c>
      <c r="H188" s="15" t="n">
        <f aca="false">Ipotesi!F9</f>
        <v>0.9</v>
      </c>
      <c r="I188" s="15" t="n">
        <f aca="false">Ipotesi!F10</f>
        <v>1</v>
      </c>
      <c r="J188" s="15" t="n">
        <f aca="false">Ipotesi!F11</f>
        <v>1</v>
      </c>
      <c r="K188" s="15" t="n">
        <f aca="false">Ipotesi!F12</f>
        <v>1</v>
      </c>
      <c r="L188" s="15" t="n">
        <f aca="false">Ipotesi!F13</f>
        <v>120</v>
      </c>
      <c r="M188" s="17" t="n">
        <f aca="false">INDEX(Ipotesi!$C$40:$G$40,1,F188)</f>
        <v>1</v>
      </c>
      <c r="N188" s="17" t="n">
        <f aca="false">INDEX(Ipotesi!$C$41:$G$41,1,F188)</f>
        <v>0.75</v>
      </c>
      <c r="O188" s="17" t="n">
        <f aca="false">INDEX(Ipotesi!$C$42:$G$42,1,F188)*Ipotesi!F125</f>
        <v>1</v>
      </c>
      <c r="P188" s="17" t="n">
        <f aca="false">INDEX(Ipotesi!$C$43:$G$43,1,F188)*I188</f>
        <v>1</v>
      </c>
      <c r="Q188" s="17" t="n">
        <f aca="false">INDEX(Ipotesi!$C$44:$G$44,1,F188)*I188</f>
        <v>0.5</v>
      </c>
      <c r="R188" s="17" t="n">
        <f aca="false">INDEX(Ipotesi!$C$45:$G$45,1,F188)*I188</f>
        <v>0</v>
      </c>
      <c r="S188" s="17" t="n">
        <f aca="false">INDEX(Ipotesi!$C$52:$G$52,1,F188)*Ipotesi!F125</f>
        <v>1.5</v>
      </c>
      <c r="T188" s="17" t="n">
        <f aca="false">INDEX(Ipotesi!$C$53:$G$53,1,F188)*I188</f>
        <v>0</v>
      </c>
      <c r="U188" s="17" t="n">
        <f aca="false">INDEX(Ipotesi!$C$54:$G$54,1,F188)*I188</f>
        <v>0</v>
      </c>
      <c r="V188" s="15" t="n">
        <f aca="false">M188*INDEX(Ipotesi!$C$58:$G$58,1,F188)*K188/12</f>
        <v>3333.33333333333</v>
      </c>
      <c r="W188" s="15" t="n">
        <f aca="false">N188*Ipotesi!$C$59*(1+Ipotesi!$C$66)^(F188-1)/12</f>
        <v>4375</v>
      </c>
      <c r="X188" s="15" t="n">
        <f aca="false">O188*Ipotesi!$C$60*(1+Ipotesi!$C$66)^(F188-1)/12</f>
        <v>4166.66666666667</v>
      </c>
      <c r="Y188" s="15" t="n">
        <f aca="false">P188*Ipotesi!$C$61*(1+Ipotesi!$C$66)^(F188-1)/12</f>
        <v>4166.66666666667</v>
      </c>
      <c r="Z188" s="15" t="n">
        <f aca="false">Q188*Ipotesi!$C$62*(1+Ipotesi!$C$66)^(F188-1)/12</f>
        <v>1875</v>
      </c>
      <c r="AA188" s="15" t="n">
        <f aca="false">R188*Ipotesi!$C$63*(1+Ipotesi!$C$66)^(F188-1)/12</f>
        <v>0</v>
      </c>
      <c r="AB188" s="15" t="n">
        <f aca="false">SUM(V188:AA188)</f>
        <v>17916.6666666667</v>
      </c>
      <c r="AC188" s="15" t="n">
        <f aca="false">(S188*Ipotesi!$C$64+T188*Ipotesi!$C$65+U188*Ipotesi!$C$63)*(1+Ipotesi!$C$66)^(F188-1)/12</f>
        <v>5250</v>
      </c>
      <c r="AD188" s="15" t="n">
        <f aca="false">INDEX(Ipotesi!$C$48:$G$48,1,F188)*G188/12</f>
        <v>9.16666666666667</v>
      </c>
      <c r="AE188" s="15" t="n">
        <f aca="false">INDEX(Ipotesi!$C$50:$G$50,1,F188)*G188/12</f>
        <v>1.14583333333333</v>
      </c>
      <c r="AF188" s="15" t="n">
        <f aca="false">(S188*Parametri_v3!$C$7*Parametri_v3!$C$8+Parametri_v3!$C$10)/12</f>
        <v>19.25</v>
      </c>
      <c r="AG188" s="15" t="n">
        <f aca="false">AD188+AE188*(1+Parametri_v3!$C$9)</f>
        <v>10.8854166666667</v>
      </c>
      <c r="AH188" s="16" t="n">
        <f aca="false">IF(AG188=0,1,MIN(1,AF188/AG188))</f>
        <v>1</v>
      </c>
      <c r="AI188" s="15" t="n">
        <f aca="false">AD188*AH188</f>
        <v>9.16666666666667</v>
      </c>
      <c r="AJ188" s="15" t="n">
        <f aca="false">AE188*AH188</f>
        <v>1.14583333333333</v>
      </c>
      <c r="AK188" s="15" t="n">
        <f aca="false">AI188*INDEX(Ipotesi!$C$49:$G$49,1,F188)*H188</f>
        <v>6187.5</v>
      </c>
      <c r="AL188" s="15" t="n">
        <f aca="false">AJ188*INDEX(Ipotesi!$C$51:$G$51,1,F188)*H188</f>
        <v>2062.5</v>
      </c>
      <c r="AM188" s="15" t="n">
        <f aca="false">AK188+AL188</f>
        <v>8250</v>
      </c>
      <c r="AN188" s="15" t="n">
        <f aca="false">INDEX(Ipotesi!$C$30:$G$30,1,F188)*G188/12</f>
        <v>4.58333333333333</v>
      </c>
      <c r="AO188" s="15" t="n">
        <f aca="false">O188*Parametri_v3!$C$7*Parametri_v3!$C$11*(1-Parametri_v3!$C$14)/12</f>
        <v>10.2666666666667</v>
      </c>
      <c r="AP188" s="15" t="n">
        <f aca="false">MIN(AN188,AO188)</f>
        <v>4.58333333333333</v>
      </c>
      <c r="AQ188" s="15" t="n">
        <f aca="false">AP188*INDEX(Ipotesi!$C$31:$G$31,1,F188)*H188</f>
        <v>3712.5</v>
      </c>
      <c r="AR188" s="15" t="n">
        <f aca="false">INDEX(Ipotesi!$C$75:$G$75,1,F188)*J188/12</f>
        <v>2083.33333333333</v>
      </c>
      <c r="AS188" s="15" t="n">
        <f aca="false">INDEX(Ipotesi!$C$81:$G$81,1,F188)*J188/12</f>
        <v>416.666666666667</v>
      </c>
      <c r="AT188" s="15" t="n">
        <f aca="false">AR188*Parametri_v3!$C$15+Z188*Parametri_v3!$C$16</f>
        <v>3395.83333333333</v>
      </c>
      <c r="AU188" s="15" t="n">
        <f aca="false">Q188*Parametri_v3!$C$16*Parametri_v3!$C$17</f>
        <v>35</v>
      </c>
      <c r="AV188" s="17" t="n">
        <f aca="false">BD187</f>
        <v>0</v>
      </c>
      <c r="AW188" s="17" t="n">
        <f aca="false">AV188*(1-(1-INDEX(Ipotesi!$C$34:$G$34,1,F188))^(1/12))</f>
        <v>0</v>
      </c>
      <c r="AX188" s="15" t="n">
        <f aca="false">ROUND(INDEX(Ipotesi!$C$32:$G$32,1,F188)*Ipotesi!F8,0)</f>
        <v>2</v>
      </c>
      <c r="AY188" s="15" t="n">
        <f aca="false">MAX(0,(AX188-(AV188-AW188))/(13-E188))</f>
        <v>0.222222222222222</v>
      </c>
      <c r="AZ188" s="15" t="n">
        <f aca="false">MIN(P188*Parametri_v3!$C$22,Q188*(1-Parametri_v3!$C$16)*Parametri_v3!$C$23)</f>
        <v>22.5</v>
      </c>
      <c r="BA188" s="15" t="n">
        <f aca="false">IF(OR(INDEX(Ipotesi!$C$35:$G$35,1,F188)&lt;=0,4-Parametri_v3!$C$21&lt;1),0,INDEX($AT$185:$AT$244,MAX(1,4-Parametri_v3!$C$21))/(INDEX(Ipotesi!$C$35:$G$35,1,F188)*Ipotesi!F27))</f>
        <v>0.522435897435898</v>
      </c>
      <c r="BB188" s="15" t="n">
        <f aca="false">IF(4-Parametri_v3!$C$21&lt;1,0,INDEX($AU$185:$AU$244,MAX(1,4-Parametri_v3!$C$21)))*Parametri_v3!$C$18*Parametri_v3!$C$19*Parametri_v3!$C$20</f>
        <v>1.3125</v>
      </c>
      <c r="BC188" s="17" t="n">
        <f aca="false">MAX(0,MIN(AY188,BA188,BB188,MAX(0,AZ188-(AV188-AW188))))</f>
        <v>0.222222222222222</v>
      </c>
      <c r="BD188" s="17" t="n">
        <f aca="false">AV188-AW188+BC188</f>
        <v>0.222222222222222</v>
      </c>
      <c r="BE188" s="17" t="n">
        <f aca="false">(AV188+BD188)/2</f>
        <v>0.111111111111111</v>
      </c>
      <c r="BF188" s="15" t="n">
        <f aca="false">BE188*INDEX(Ipotesi!$C$33:$G$33,1,F188)*H188/12</f>
        <v>16.6666666666667</v>
      </c>
      <c r="BG188" s="15" t="n">
        <f aca="false">BD188*INDEX(Ipotesi!$C$33:$G$33,1,F188)*H188</f>
        <v>400</v>
      </c>
      <c r="BH188" s="15" t="n">
        <f aca="false">AM188*INDEX(Ipotesi!$C$37:$G$37,1,F188)</f>
        <v>825</v>
      </c>
      <c r="BI188" s="15" t="n">
        <f aca="false">AQ188+BF188+BH188</f>
        <v>4554.16666666667</v>
      </c>
      <c r="BJ188" s="15" t="n">
        <f aca="false">INDEX(Ipotesi!$C$68:$G$68,1,F188)*Ipotesi!$C$69/12</f>
        <v>1000</v>
      </c>
      <c r="BK188" s="15" t="n">
        <f aca="false">INDEX(Ipotesi!$C$68:$G$68,1,F188)*(1-Ipotesi!$C$69)/12</f>
        <v>1500</v>
      </c>
      <c r="BL188" s="15" t="n">
        <f aca="false">(AQ188+BF188)*Ipotesi!$C$67</f>
        <v>111.875</v>
      </c>
      <c r="BM188" s="15" t="n">
        <f aca="false">AM188*Ipotesi!$C$67</f>
        <v>247.5</v>
      </c>
      <c r="BN188" s="15" t="n">
        <f aca="false">INDEX(Ipotesi!$C$72:$G$72,1,F188)/12*Ipotesi!F126+BF188*Ipotesi!$C$73</f>
        <v>1251.33333333333</v>
      </c>
      <c r="BO188" s="15" t="n">
        <f aca="false">INDEX(Ipotesi!$C$74:$G$74,1,F188)/12*Ipotesi!F126</f>
        <v>1000</v>
      </c>
      <c r="BP188" s="15" t="n">
        <f aca="false">INDEX(Ipotesi!$C$76:$G$76,1,F188)/12</f>
        <v>500</v>
      </c>
      <c r="BQ188" s="15" t="n">
        <f aca="false">INDEX(Ipotesi!$C$77:$G$77,1,F188)/12*Ipotesi!F126</f>
        <v>1250</v>
      </c>
      <c r="BR188" s="15" t="n">
        <f aca="false">INDEX(Ipotesi!$C$78:$G$78,1,F188)/12</f>
        <v>1000</v>
      </c>
      <c r="BS188" s="15" t="n">
        <f aca="false">SUM(M188:R188)*(Ipotesi!$C$85+Ipotesi!$C$86)/12</f>
        <v>1239.58333333333</v>
      </c>
      <c r="BT188" s="15" t="n">
        <f aca="false">BI188*Ipotesi!$C$87</f>
        <v>136.625</v>
      </c>
      <c r="BU188" s="15" t="n">
        <f aca="false">INDEX(Ipotesi!$C$55:$G$55,1,F188)*K188/12</f>
        <v>500</v>
      </c>
      <c r="BV188" s="15" t="n">
        <f aca="false">INDEX(Ipotesi!$C$80:$G$80,1,F188)/12*Ipotesi!F126</f>
        <v>500</v>
      </c>
      <c r="BW188" s="15" t="n">
        <f aca="false">INDEX(Ipotesi!$C$82:$G$82,1,F188)/12</f>
        <v>416.666666666667</v>
      </c>
      <c r="BX188" s="15" t="n">
        <f aca="false">INDEX(Ipotesi!$C$83:$G$83,1,F188)/12</f>
        <v>500</v>
      </c>
      <c r="BY188" s="15" t="n">
        <f aca="false">SUM(S188:U188)*(Ipotesi!$C$85+Ipotesi!$C$86)/12</f>
        <v>437.5</v>
      </c>
      <c r="BZ188" s="15" t="n">
        <f aca="false">AM188*Ipotesi!$C$87</f>
        <v>247.5</v>
      </c>
      <c r="CA188" s="15" t="n">
        <f aca="false">AB188+BJ188+BL188+BN188+BO188+AR188+BP188+BQ188+BR188+BS188+BT188</f>
        <v>27489.4166666667</v>
      </c>
      <c r="CB188" s="15" t="n">
        <f aca="false">AC188+BK188+BM188+BH188+BU188+BV188+AS188+BW188+BX188+BY188+BZ188</f>
        <v>10840.8333333333</v>
      </c>
      <c r="CC188" s="15" t="n">
        <f aca="false">BI188-CA188</f>
        <v>-22935.25</v>
      </c>
      <c r="CD188" s="15" t="n">
        <f aca="false">AM188-CB188</f>
        <v>-2590.83333333333</v>
      </c>
      <c r="CE188" s="15" t="n">
        <f aca="false">INDEX(Ipotesi!$C$79:$G$79,1,F188)/12</f>
        <v>1666.66666666667</v>
      </c>
      <c r="CF188" s="15" t="n">
        <f aca="false">INDEX(Ipotesi!$C$84:$G$84,1,F188)/12</f>
        <v>250</v>
      </c>
      <c r="CG188" s="15" t="n">
        <f aca="false">Y188*MAX(0,Parametri_v3!$C$12-IF(P188=0,0,MIN(1,BE188/(P188*Parametri_v3!$C$22))))+W188*Parametri_v3!$C$13+X188*Parametri_v3!$C$14</f>
        <v>7182.87037037037</v>
      </c>
      <c r="CH188" s="15" t="n">
        <f aca="false">AB188*Parametri_v3!$C$32</f>
        <v>895.833333333334</v>
      </c>
      <c r="CI188" s="15" t="n">
        <f aca="false">AC188*Parametri_v3!$C$32</f>
        <v>262.5</v>
      </c>
      <c r="CJ188" s="15" t="n">
        <f aca="false">CA188-AB188</f>
        <v>9572.75</v>
      </c>
      <c r="CK188" s="15" t="n">
        <f aca="false">CB188-AC188-BH188</f>
        <v>4765.83333333333</v>
      </c>
      <c r="CL188" s="15" t="n">
        <f aca="false">BF188*Ipotesi!$C$73+INDEX(Ipotesi!$C$72:$G$72,1,F188)/12*Ipotesi!F126*Parametri_v3!$C$58+Z188*(1-Parametri_v3!$C$16)</f>
        <v>1813.83333333333</v>
      </c>
      <c r="CM188" s="16" t="n">
        <f aca="false">IF(BF188=0,0,1-CL188/BF188)</f>
        <v>-107.83</v>
      </c>
    </row>
    <row r="189" customFormat="false" ht="18" hidden="false" customHeight="true" outlineLevel="0" collapsed="false">
      <c r="A189" s="68" t="n">
        <f aca="false">4</f>
        <v>4</v>
      </c>
      <c r="B189" s="68" t="n">
        <f aca="false">5</f>
        <v>5</v>
      </c>
      <c r="C189" s="18" t="n">
        <f aca="false">EDATE(Parametri_v3!$C$5,5-1)</f>
        <v>46508</v>
      </c>
      <c r="D189" s="68" t="n">
        <f aca="false">YEAR(C189)</f>
        <v>2027</v>
      </c>
      <c r="E189" s="68" t="n">
        <f aca="false">MONTH(C189)</f>
        <v>5</v>
      </c>
      <c r="F189" s="68" t="n">
        <f aca="false">INT((5-1)/12)+1</f>
        <v>1</v>
      </c>
      <c r="G189" s="15" t="n">
        <f aca="false">Ipotesi!F7</f>
        <v>0.55</v>
      </c>
      <c r="H189" s="15" t="n">
        <f aca="false">Ipotesi!F9</f>
        <v>0.9</v>
      </c>
      <c r="I189" s="15" t="n">
        <f aca="false">Ipotesi!F10</f>
        <v>1</v>
      </c>
      <c r="J189" s="15" t="n">
        <f aca="false">Ipotesi!F11</f>
        <v>1</v>
      </c>
      <c r="K189" s="15" t="n">
        <f aca="false">Ipotesi!F12</f>
        <v>1</v>
      </c>
      <c r="L189" s="15" t="n">
        <f aca="false">Ipotesi!F13</f>
        <v>120</v>
      </c>
      <c r="M189" s="17" t="n">
        <f aca="false">INDEX(Ipotesi!$C$40:$G$40,1,F189)</f>
        <v>1</v>
      </c>
      <c r="N189" s="17" t="n">
        <f aca="false">INDEX(Ipotesi!$C$41:$G$41,1,F189)</f>
        <v>0.75</v>
      </c>
      <c r="O189" s="17" t="n">
        <f aca="false">INDEX(Ipotesi!$C$42:$G$42,1,F189)*Ipotesi!F125</f>
        <v>1</v>
      </c>
      <c r="P189" s="17" t="n">
        <f aca="false">INDEX(Ipotesi!$C$43:$G$43,1,F189)*I189</f>
        <v>1</v>
      </c>
      <c r="Q189" s="17" t="n">
        <f aca="false">INDEX(Ipotesi!$C$44:$G$44,1,F189)*I189</f>
        <v>0.5</v>
      </c>
      <c r="R189" s="17" t="n">
        <f aca="false">INDEX(Ipotesi!$C$45:$G$45,1,F189)*I189</f>
        <v>0</v>
      </c>
      <c r="S189" s="17" t="n">
        <f aca="false">INDEX(Ipotesi!$C$52:$G$52,1,F189)*Ipotesi!F125</f>
        <v>1.5</v>
      </c>
      <c r="T189" s="17" t="n">
        <f aca="false">INDEX(Ipotesi!$C$53:$G$53,1,F189)*I189</f>
        <v>0</v>
      </c>
      <c r="U189" s="17" t="n">
        <f aca="false">INDEX(Ipotesi!$C$54:$G$54,1,F189)*I189</f>
        <v>0</v>
      </c>
      <c r="V189" s="15" t="n">
        <f aca="false">M189*INDEX(Ipotesi!$C$58:$G$58,1,F189)*K189/12</f>
        <v>3333.33333333333</v>
      </c>
      <c r="W189" s="15" t="n">
        <f aca="false">N189*Ipotesi!$C$59*(1+Ipotesi!$C$66)^(F189-1)/12</f>
        <v>4375</v>
      </c>
      <c r="X189" s="15" t="n">
        <f aca="false">O189*Ipotesi!$C$60*(1+Ipotesi!$C$66)^(F189-1)/12</f>
        <v>4166.66666666667</v>
      </c>
      <c r="Y189" s="15" t="n">
        <f aca="false">P189*Ipotesi!$C$61*(1+Ipotesi!$C$66)^(F189-1)/12</f>
        <v>4166.66666666667</v>
      </c>
      <c r="Z189" s="15" t="n">
        <f aca="false">Q189*Ipotesi!$C$62*(1+Ipotesi!$C$66)^(F189-1)/12</f>
        <v>1875</v>
      </c>
      <c r="AA189" s="15" t="n">
        <f aca="false">R189*Ipotesi!$C$63*(1+Ipotesi!$C$66)^(F189-1)/12</f>
        <v>0</v>
      </c>
      <c r="AB189" s="15" t="n">
        <f aca="false">SUM(V189:AA189)</f>
        <v>17916.6666666667</v>
      </c>
      <c r="AC189" s="15" t="n">
        <f aca="false">(S189*Ipotesi!$C$64+T189*Ipotesi!$C$65+U189*Ipotesi!$C$63)*(1+Ipotesi!$C$66)^(F189-1)/12</f>
        <v>5250</v>
      </c>
      <c r="AD189" s="15" t="n">
        <f aca="false">INDEX(Ipotesi!$C$48:$G$48,1,F189)*G189/12</f>
        <v>9.16666666666667</v>
      </c>
      <c r="AE189" s="15" t="n">
        <f aca="false">INDEX(Ipotesi!$C$50:$G$50,1,F189)*G189/12</f>
        <v>1.14583333333333</v>
      </c>
      <c r="AF189" s="15" t="n">
        <f aca="false">(S189*Parametri_v3!$C$7*Parametri_v3!$C$8+Parametri_v3!$C$10)/12</f>
        <v>19.25</v>
      </c>
      <c r="AG189" s="15" t="n">
        <f aca="false">AD189+AE189*(1+Parametri_v3!$C$9)</f>
        <v>10.8854166666667</v>
      </c>
      <c r="AH189" s="16" t="n">
        <f aca="false">IF(AG189=0,1,MIN(1,AF189/AG189))</f>
        <v>1</v>
      </c>
      <c r="AI189" s="15" t="n">
        <f aca="false">AD189*AH189</f>
        <v>9.16666666666667</v>
      </c>
      <c r="AJ189" s="15" t="n">
        <f aca="false">AE189*AH189</f>
        <v>1.14583333333333</v>
      </c>
      <c r="AK189" s="15" t="n">
        <f aca="false">AI189*INDEX(Ipotesi!$C$49:$G$49,1,F189)*H189</f>
        <v>6187.5</v>
      </c>
      <c r="AL189" s="15" t="n">
        <f aca="false">AJ189*INDEX(Ipotesi!$C$51:$G$51,1,F189)*H189</f>
        <v>2062.5</v>
      </c>
      <c r="AM189" s="15" t="n">
        <f aca="false">AK189+AL189</f>
        <v>8250</v>
      </c>
      <c r="AN189" s="15" t="n">
        <f aca="false">INDEX(Ipotesi!$C$30:$G$30,1,F189)*G189/12</f>
        <v>4.58333333333333</v>
      </c>
      <c r="AO189" s="15" t="n">
        <f aca="false">O189*Parametri_v3!$C$7*Parametri_v3!$C$11*(1-Parametri_v3!$C$14)/12</f>
        <v>10.2666666666667</v>
      </c>
      <c r="AP189" s="15" t="n">
        <f aca="false">MIN(AN189,AO189)</f>
        <v>4.58333333333333</v>
      </c>
      <c r="AQ189" s="15" t="n">
        <f aca="false">AP189*INDEX(Ipotesi!$C$31:$G$31,1,F189)*H189</f>
        <v>3712.5</v>
      </c>
      <c r="AR189" s="15" t="n">
        <f aca="false">INDEX(Ipotesi!$C$75:$G$75,1,F189)*J189/12</f>
        <v>2083.33333333333</v>
      </c>
      <c r="AS189" s="15" t="n">
        <f aca="false">INDEX(Ipotesi!$C$81:$G$81,1,F189)*J189/12</f>
        <v>416.666666666667</v>
      </c>
      <c r="AT189" s="15" t="n">
        <f aca="false">AR189*Parametri_v3!$C$15+Z189*Parametri_v3!$C$16</f>
        <v>3395.83333333333</v>
      </c>
      <c r="AU189" s="15" t="n">
        <f aca="false">Q189*Parametri_v3!$C$16*Parametri_v3!$C$17</f>
        <v>35</v>
      </c>
      <c r="AV189" s="17" t="n">
        <f aca="false">BD188</f>
        <v>0.222222222222222</v>
      </c>
      <c r="AW189" s="17" t="n">
        <f aca="false">AV189*(1-(1-INDEX(Ipotesi!$C$34:$G$34,1,F189))^(1/12))</f>
        <v>0</v>
      </c>
      <c r="AX189" s="15" t="n">
        <f aca="false">ROUND(INDEX(Ipotesi!$C$32:$G$32,1,F189)*Ipotesi!F8,0)</f>
        <v>2</v>
      </c>
      <c r="AY189" s="15" t="n">
        <f aca="false">MAX(0,(AX189-(AV189-AW189))/(13-E189))</f>
        <v>0.222222222222222</v>
      </c>
      <c r="AZ189" s="15" t="n">
        <f aca="false">MIN(P189*Parametri_v3!$C$22,Q189*(1-Parametri_v3!$C$16)*Parametri_v3!$C$23)</f>
        <v>22.5</v>
      </c>
      <c r="BA189" s="15" t="n">
        <f aca="false">IF(OR(INDEX(Ipotesi!$C$35:$G$35,1,F189)&lt;=0,5-Parametri_v3!$C$21&lt;1),0,INDEX($AT$185:$AT$244,MAX(1,5-Parametri_v3!$C$21))/(INDEX(Ipotesi!$C$35:$G$35,1,F189)*Ipotesi!F27))</f>
        <v>0.522435897435898</v>
      </c>
      <c r="BB189" s="15" t="n">
        <f aca="false">IF(5-Parametri_v3!$C$21&lt;1,0,INDEX($AU$185:$AU$244,MAX(1,5-Parametri_v3!$C$21)))*Parametri_v3!$C$18*Parametri_v3!$C$19*Parametri_v3!$C$20</f>
        <v>1.3125</v>
      </c>
      <c r="BC189" s="17" t="n">
        <f aca="false">MAX(0,MIN(AY189,BA189,BB189,MAX(0,AZ189-(AV189-AW189))))</f>
        <v>0.222222222222222</v>
      </c>
      <c r="BD189" s="17" t="n">
        <f aca="false">AV189-AW189+BC189</f>
        <v>0.444444444444444</v>
      </c>
      <c r="BE189" s="17" t="n">
        <f aca="false">(AV189+BD189)/2</f>
        <v>0.333333333333333</v>
      </c>
      <c r="BF189" s="15" t="n">
        <f aca="false">BE189*INDEX(Ipotesi!$C$33:$G$33,1,F189)*H189/12</f>
        <v>50</v>
      </c>
      <c r="BG189" s="15" t="n">
        <f aca="false">BD189*INDEX(Ipotesi!$C$33:$G$33,1,F189)*H189</f>
        <v>800</v>
      </c>
      <c r="BH189" s="15" t="n">
        <f aca="false">AM189*INDEX(Ipotesi!$C$37:$G$37,1,F189)</f>
        <v>825</v>
      </c>
      <c r="BI189" s="15" t="n">
        <f aca="false">AQ189+BF189+BH189</f>
        <v>4587.5</v>
      </c>
      <c r="BJ189" s="15" t="n">
        <f aca="false">INDEX(Ipotesi!$C$68:$G$68,1,F189)*Ipotesi!$C$69/12</f>
        <v>1000</v>
      </c>
      <c r="BK189" s="15" t="n">
        <f aca="false">INDEX(Ipotesi!$C$68:$G$68,1,F189)*(1-Ipotesi!$C$69)/12</f>
        <v>1500</v>
      </c>
      <c r="BL189" s="15" t="n">
        <f aca="false">(AQ189+BF189)*Ipotesi!$C$67</f>
        <v>112.875</v>
      </c>
      <c r="BM189" s="15" t="n">
        <f aca="false">AM189*Ipotesi!$C$67</f>
        <v>247.5</v>
      </c>
      <c r="BN189" s="15" t="n">
        <f aca="false">INDEX(Ipotesi!$C$72:$G$72,1,F189)/12*Ipotesi!F126+BF189*Ipotesi!$C$73</f>
        <v>1254</v>
      </c>
      <c r="BO189" s="15" t="n">
        <f aca="false">INDEX(Ipotesi!$C$74:$G$74,1,F189)/12*Ipotesi!F126</f>
        <v>1000</v>
      </c>
      <c r="BP189" s="15" t="n">
        <f aca="false">INDEX(Ipotesi!$C$76:$G$76,1,F189)/12</f>
        <v>500</v>
      </c>
      <c r="BQ189" s="15" t="n">
        <f aca="false">INDEX(Ipotesi!$C$77:$G$77,1,F189)/12*Ipotesi!F126</f>
        <v>1250</v>
      </c>
      <c r="BR189" s="15" t="n">
        <f aca="false">INDEX(Ipotesi!$C$78:$G$78,1,F189)/12</f>
        <v>1000</v>
      </c>
      <c r="BS189" s="15" t="n">
        <f aca="false">SUM(M189:R189)*(Ipotesi!$C$85+Ipotesi!$C$86)/12</f>
        <v>1239.58333333333</v>
      </c>
      <c r="BT189" s="15" t="n">
        <f aca="false">BI189*Ipotesi!$C$87</f>
        <v>137.625</v>
      </c>
      <c r="BU189" s="15" t="n">
        <f aca="false">INDEX(Ipotesi!$C$55:$G$55,1,F189)*K189/12</f>
        <v>500</v>
      </c>
      <c r="BV189" s="15" t="n">
        <f aca="false">INDEX(Ipotesi!$C$80:$G$80,1,F189)/12*Ipotesi!F126</f>
        <v>500</v>
      </c>
      <c r="BW189" s="15" t="n">
        <f aca="false">INDEX(Ipotesi!$C$82:$G$82,1,F189)/12</f>
        <v>416.666666666667</v>
      </c>
      <c r="BX189" s="15" t="n">
        <f aca="false">INDEX(Ipotesi!$C$83:$G$83,1,F189)/12</f>
        <v>500</v>
      </c>
      <c r="BY189" s="15" t="n">
        <f aca="false">SUM(S189:U189)*(Ipotesi!$C$85+Ipotesi!$C$86)/12</f>
        <v>437.5</v>
      </c>
      <c r="BZ189" s="15" t="n">
        <f aca="false">AM189*Ipotesi!$C$87</f>
        <v>247.5</v>
      </c>
      <c r="CA189" s="15" t="n">
        <f aca="false">AB189+BJ189+BL189+BN189+BO189+AR189+BP189+BQ189+BR189+BS189+BT189</f>
        <v>27494.0833333333</v>
      </c>
      <c r="CB189" s="15" t="n">
        <f aca="false">AC189+BK189+BM189+BH189+BU189+BV189+AS189+BW189+BX189+BY189+BZ189</f>
        <v>10840.8333333333</v>
      </c>
      <c r="CC189" s="15" t="n">
        <f aca="false">BI189-CA189</f>
        <v>-22906.5833333333</v>
      </c>
      <c r="CD189" s="15" t="n">
        <f aca="false">AM189-CB189</f>
        <v>-2590.83333333333</v>
      </c>
      <c r="CE189" s="15" t="n">
        <f aca="false">INDEX(Ipotesi!$C$79:$G$79,1,F189)/12</f>
        <v>1666.66666666667</v>
      </c>
      <c r="CF189" s="15" t="n">
        <f aca="false">INDEX(Ipotesi!$C$84:$G$84,1,F189)/12</f>
        <v>250</v>
      </c>
      <c r="CG189" s="15" t="n">
        <f aca="false">Y189*MAX(0,Parametri_v3!$C$12-IF(P189=0,0,MIN(1,BE189/(P189*Parametri_v3!$C$22))))+W189*Parametri_v3!$C$13+X189*Parametri_v3!$C$14</f>
        <v>7173.61111111111</v>
      </c>
      <c r="CH189" s="15" t="n">
        <f aca="false">AB189*Parametri_v3!$C$32</f>
        <v>895.833333333334</v>
      </c>
      <c r="CI189" s="15" t="n">
        <f aca="false">AC189*Parametri_v3!$C$32</f>
        <v>262.5</v>
      </c>
      <c r="CJ189" s="15" t="n">
        <f aca="false">CA189-AB189</f>
        <v>9577.41666666666</v>
      </c>
      <c r="CK189" s="15" t="n">
        <f aca="false">CB189-AC189-BH189</f>
        <v>4765.83333333333</v>
      </c>
      <c r="CL189" s="15" t="n">
        <f aca="false">BF189*Ipotesi!$C$73+INDEX(Ipotesi!$C$72:$G$72,1,F189)/12*Ipotesi!F126*Parametri_v3!$C$58+Z189*(1-Parametri_v3!$C$16)</f>
        <v>1816.5</v>
      </c>
      <c r="CM189" s="16" t="n">
        <f aca="false">IF(BF189=0,0,1-CL189/BF189)</f>
        <v>-35.33</v>
      </c>
    </row>
    <row r="190" customFormat="false" ht="18" hidden="false" customHeight="true" outlineLevel="0" collapsed="false">
      <c r="A190" s="68" t="n">
        <f aca="false">4</f>
        <v>4</v>
      </c>
      <c r="B190" s="68" t="n">
        <f aca="false">6</f>
        <v>6</v>
      </c>
      <c r="C190" s="18" t="n">
        <f aca="false">EDATE(Parametri_v3!$C$5,6-1)</f>
        <v>46539</v>
      </c>
      <c r="D190" s="68" t="n">
        <f aca="false">YEAR(C190)</f>
        <v>2027</v>
      </c>
      <c r="E190" s="68" t="n">
        <f aca="false">MONTH(C190)</f>
        <v>6</v>
      </c>
      <c r="F190" s="68" t="n">
        <f aca="false">INT((6-1)/12)+1</f>
        <v>1</v>
      </c>
      <c r="G190" s="15" t="n">
        <f aca="false">Ipotesi!F7</f>
        <v>0.55</v>
      </c>
      <c r="H190" s="15" t="n">
        <f aca="false">Ipotesi!F9</f>
        <v>0.9</v>
      </c>
      <c r="I190" s="15" t="n">
        <f aca="false">Ipotesi!F10</f>
        <v>1</v>
      </c>
      <c r="J190" s="15" t="n">
        <f aca="false">Ipotesi!F11</f>
        <v>1</v>
      </c>
      <c r="K190" s="15" t="n">
        <f aca="false">Ipotesi!F12</f>
        <v>1</v>
      </c>
      <c r="L190" s="15" t="n">
        <f aca="false">Ipotesi!F13</f>
        <v>120</v>
      </c>
      <c r="M190" s="17" t="n">
        <f aca="false">INDEX(Ipotesi!$C$40:$G$40,1,F190)</f>
        <v>1</v>
      </c>
      <c r="N190" s="17" t="n">
        <f aca="false">INDEX(Ipotesi!$C$41:$G$41,1,F190)</f>
        <v>0.75</v>
      </c>
      <c r="O190" s="17" t="n">
        <f aca="false">INDEX(Ipotesi!$C$42:$G$42,1,F190)*Ipotesi!F125</f>
        <v>1</v>
      </c>
      <c r="P190" s="17" t="n">
        <f aca="false">INDEX(Ipotesi!$C$43:$G$43,1,F190)*I190</f>
        <v>1</v>
      </c>
      <c r="Q190" s="17" t="n">
        <f aca="false">INDEX(Ipotesi!$C$44:$G$44,1,F190)*I190</f>
        <v>0.5</v>
      </c>
      <c r="R190" s="17" t="n">
        <f aca="false">INDEX(Ipotesi!$C$45:$G$45,1,F190)*I190</f>
        <v>0</v>
      </c>
      <c r="S190" s="17" t="n">
        <f aca="false">INDEX(Ipotesi!$C$52:$G$52,1,F190)*Ipotesi!F125</f>
        <v>1.5</v>
      </c>
      <c r="T190" s="17" t="n">
        <f aca="false">INDEX(Ipotesi!$C$53:$G$53,1,F190)*I190</f>
        <v>0</v>
      </c>
      <c r="U190" s="17" t="n">
        <f aca="false">INDEX(Ipotesi!$C$54:$G$54,1,F190)*I190</f>
        <v>0</v>
      </c>
      <c r="V190" s="15" t="n">
        <f aca="false">M190*INDEX(Ipotesi!$C$58:$G$58,1,F190)*K190/12</f>
        <v>3333.33333333333</v>
      </c>
      <c r="W190" s="15" t="n">
        <f aca="false">N190*Ipotesi!$C$59*(1+Ipotesi!$C$66)^(F190-1)/12</f>
        <v>4375</v>
      </c>
      <c r="X190" s="15" t="n">
        <f aca="false">O190*Ipotesi!$C$60*(1+Ipotesi!$C$66)^(F190-1)/12</f>
        <v>4166.66666666667</v>
      </c>
      <c r="Y190" s="15" t="n">
        <f aca="false">P190*Ipotesi!$C$61*(1+Ipotesi!$C$66)^(F190-1)/12</f>
        <v>4166.66666666667</v>
      </c>
      <c r="Z190" s="15" t="n">
        <f aca="false">Q190*Ipotesi!$C$62*(1+Ipotesi!$C$66)^(F190-1)/12</f>
        <v>1875</v>
      </c>
      <c r="AA190" s="15" t="n">
        <f aca="false">R190*Ipotesi!$C$63*(1+Ipotesi!$C$66)^(F190-1)/12</f>
        <v>0</v>
      </c>
      <c r="AB190" s="15" t="n">
        <f aca="false">SUM(V190:AA190)</f>
        <v>17916.6666666667</v>
      </c>
      <c r="AC190" s="15" t="n">
        <f aca="false">(S190*Ipotesi!$C$64+T190*Ipotesi!$C$65+U190*Ipotesi!$C$63)*(1+Ipotesi!$C$66)^(F190-1)/12</f>
        <v>5250</v>
      </c>
      <c r="AD190" s="15" t="n">
        <f aca="false">INDEX(Ipotesi!$C$48:$G$48,1,F190)*G190/12</f>
        <v>9.16666666666667</v>
      </c>
      <c r="AE190" s="15" t="n">
        <f aca="false">INDEX(Ipotesi!$C$50:$G$50,1,F190)*G190/12</f>
        <v>1.14583333333333</v>
      </c>
      <c r="AF190" s="15" t="n">
        <f aca="false">(S190*Parametri_v3!$C$7*Parametri_v3!$C$8+Parametri_v3!$C$10)/12</f>
        <v>19.25</v>
      </c>
      <c r="AG190" s="15" t="n">
        <f aca="false">AD190+AE190*(1+Parametri_v3!$C$9)</f>
        <v>10.8854166666667</v>
      </c>
      <c r="AH190" s="16" t="n">
        <f aca="false">IF(AG190=0,1,MIN(1,AF190/AG190))</f>
        <v>1</v>
      </c>
      <c r="AI190" s="15" t="n">
        <f aca="false">AD190*AH190</f>
        <v>9.16666666666667</v>
      </c>
      <c r="AJ190" s="15" t="n">
        <f aca="false">AE190*AH190</f>
        <v>1.14583333333333</v>
      </c>
      <c r="AK190" s="15" t="n">
        <f aca="false">AI190*INDEX(Ipotesi!$C$49:$G$49,1,F190)*H190</f>
        <v>6187.5</v>
      </c>
      <c r="AL190" s="15" t="n">
        <f aca="false">AJ190*INDEX(Ipotesi!$C$51:$G$51,1,F190)*H190</f>
        <v>2062.5</v>
      </c>
      <c r="AM190" s="15" t="n">
        <f aca="false">AK190+AL190</f>
        <v>8250</v>
      </c>
      <c r="AN190" s="15" t="n">
        <f aca="false">INDEX(Ipotesi!$C$30:$G$30,1,F190)*G190/12</f>
        <v>4.58333333333333</v>
      </c>
      <c r="AO190" s="15" t="n">
        <f aca="false">O190*Parametri_v3!$C$7*Parametri_v3!$C$11*(1-Parametri_v3!$C$14)/12</f>
        <v>10.2666666666667</v>
      </c>
      <c r="AP190" s="15" t="n">
        <f aca="false">MIN(AN190,AO190)</f>
        <v>4.58333333333333</v>
      </c>
      <c r="AQ190" s="15" t="n">
        <f aca="false">AP190*INDEX(Ipotesi!$C$31:$G$31,1,F190)*H190</f>
        <v>3712.5</v>
      </c>
      <c r="AR190" s="15" t="n">
        <f aca="false">INDEX(Ipotesi!$C$75:$G$75,1,F190)*J190/12</f>
        <v>2083.33333333333</v>
      </c>
      <c r="AS190" s="15" t="n">
        <f aca="false">INDEX(Ipotesi!$C$81:$G$81,1,F190)*J190/12</f>
        <v>416.666666666667</v>
      </c>
      <c r="AT190" s="15" t="n">
        <f aca="false">AR190*Parametri_v3!$C$15+Z190*Parametri_v3!$C$16</f>
        <v>3395.83333333333</v>
      </c>
      <c r="AU190" s="15" t="n">
        <f aca="false">Q190*Parametri_v3!$C$16*Parametri_v3!$C$17</f>
        <v>35</v>
      </c>
      <c r="AV190" s="17" t="n">
        <f aca="false">BD189</f>
        <v>0.444444444444444</v>
      </c>
      <c r="AW190" s="17" t="n">
        <f aca="false">AV190*(1-(1-INDEX(Ipotesi!$C$34:$G$34,1,F190))^(1/12))</f>
        <v>0</v>
      </c>
      <c r="AX190" s="15" t="n">
        <f aca="false">ROUND(INDEX(Ipotesi!$C$32:$G$32,1,F190)*Ipotesi!F8,0)</f>
        <v>2</v>
      </c>
      <c r="AY190" s="15" t="n">
        <f aca="false">MAX(0,(AX190-(AV190-AW190))/(13-E190))</f>
        <v>0.222222222222222</v>
      </c>
      <c r="AZ190" s="15" t="n">
        <f aca="false">MIN(P190*Parametri_v3!$C$22,Q190*(1-Parametri_v3!$C$16)*Parametri_v3!$C$23)</f>
        <v>22.5</v>
      </c>
      <c r="BA190" s="15" t="n">
        <f aca="false">IF(OR(INDEX(Ipotesi!$C$35:$G$35,1,F190)&lt;=0,6-Parametri_v3!$C$21&lt;1),0,INDEX($AT$185:$AT$244,MAX(1,6-Parametri_v3!$C$21))/(INDEX(Ipotesi!$C$35:$G$35,1,F190)*Ipotesi!F27))</f>
        <v>0.522435897435898</v>
      </c>
      <c r="BB190" s="15" t="n">
        <f aca="false">IF(6-Parametri_v3!$C$21&lt;1,0,INDEX($AU$185:$AU$244,MAX(1,6-Parametri_v3!$C$21)))*Parametri_v3!$C$18*Parametri_v3!$C$19*Parametri_v3!$C$20</f>
        <v>1.3125</v>
      </c>
      <c r="BC190" s="17" t="n">
        <f aca="false">MAX(0,MIN(AY190,BA190,BB190,MAX(0,AZ190-(AV190-AW190))))</f>
        <v>0.222222222222222</v>
      </c>
      <c r="BD190" s="17" t="n">
        <f aca="false">AV190-AW190+BC190</f>
        <v>0.666666666666667</v>
      </c>
      <c r="BE190" s="17" t="n">
        <f aca="false">(AV190+BD190)/2</f>
        <v>0.555555555555556</v>
      </c>
      <c r="BF190" s="15" t="n">
        <f aca="false">BE190*INDEX(Ipotesi!$C$33:$G$33,1,F190)*H190/12</f>
        <v>83.3333333333333</v>
      </c>
      <c r="BG190" s="15" t="n">
        <f aca="false">BD190*INDEX(Ipotesi!$C$33:$G$33,1,F190)*H190</f>
        <v>1200</v>
      </c>
      <c r="BH190" s="15" t="n">
        <f aca="false">AM190*INDEX(Ipotesi!$C$37:$G$37,1,F190)</f>
        <v>825</v>
      </c>
      <c r="BI190" s="15" t="n">
        <f aca="false">AQ190+BF190+BH190</f>
        <v>4620.83333333334</v>
      </c>
      <c r="BJ190" s="15" t="n">
        <f aca="false">INDEX(Ipotesi!$C$68:$G$68,1,F190)*Ipotesi!$C$69/12</f>
        <v>1000</v>
      </c>
      <c r="BK190" s="15" t="n">
        <f aca="false">INDEX(Ipotesi!$C$68:$G$68,1,F190)*(1-Ipotesi!$C$69)/12</f>
        <v>1500</v>
      </c>
      <c r="BL190" s="15" t="n">
        <f aca="false">(AQ190+BF190)*Ipotesi!$C$67</f>
        <v>113.875</v>
      </c>
      <c r="BM190" s="15" t="n">
        <f aca="false">AM190*Ipotesi!$C$67</f>
        <v>247.5</v>
      </c>
      <c r="BN190" s="15" t="n">
        <f aca="false">INDEX(Ipotesi!$C$72:$G$72,1,F190)/12*Ipotesi!F126+BF190*Ipotesi!$C$73</f>
        <v>1256.66666666667</v>
      </c>
      <c r="BO190" s="15" t="n">
        <f aca="false">INDEX(Ipotesi!$C$74:$G$74,1,F190)/12*Ipotesi!F126</f>
        <v>1000</v>
      </c>
      <c r="BP190" s="15" t="n">
        <f aca="false">INDEX(Ipotesi!$C$76:$G$76,1,F190)/12</f>
        <v>500</v>
      </c>
      <c r="BQ190" s="15" t="n">
        <f aca="false">INDEX(Ipotesi!$C$77:$G$77,1,F190)/12*Ipotesi!F126</f>
        <v>1250</v>
      </c>
      <c r="BR190" s="15" t="n">
        <f aca="false">INDEX(Ipotesi!$C$78:$G$78,1,F190)/12</f>
        <v>1000</v>
      </c>
      <c r="BS190" s="15" t="n">
        <f aca="false">SUM(M190:R190)*(Ipotesi!$C$85+Ipotesi!$C$86)/12</f>
        <v>1239.58333333333</v>
      </c>
      <c r="BT190" s="15" t="n">
        <f aca="false">BI190*Ipotesi!$C$87</f>
        <v>138.625</v>
      </c>
      <c r="BU190" s="15" t="n">
        <f aca="false">INDEX(Ipotesi!$C$55:$G$55,1,F190)*K190/12</f>
        <v>500</v>
      </c>
      <c r="BV190" s="15" t="n">
        <f aca="false">INDEX(Ipotesi!$C$80:$G$80,1,F190)/12*Ipotesi!F126</f>
        <v>500</v>
      </c>
      <c r="BW190" s="15" t="n">
        <f aca="false">INDEX(Ipotesi!$C$82:$G$82,1,F190)/12</f>
        <v>416.666666666667</v>
      </c>
      <c r="BX190" s="15" t="n">
        <f aca="false">INDEX(Ipotesi!$C$83:$G$83,1,F190)/12</f>
        <v>500</v>
      </c>
      <c r="BY190" s="15" t="n">
        <f aca="false">SUM(S190:U190)*(Ipotesi!$C$85+Ipotesi!$C$86)/12</f>
        <v>437.5</v>
      </c>
      <c r="BZ190" s="15" t="n">
        <f aca="false">AM190*Ipotesi!$C$87</f>
        <v>247.5</v>
      </c>
      <c r="CA190" s="15" t="n">
        <f aca="false">AB190+BJ190+BL190+BN190+BO190+AR190+BP190+BQ190+BR190+BS190+BT190</f>
        <v>27498.75</v>
      </c>
      <c r="CB190" s="15" t="n">
        <f aca="false">AC190+BK190+BM190+BH190+BU190+BV190+AS190+BW190+BX190+BY190+BZ190</f>
        <v>10840.8333333333</v>
      </c>
      <c r="CC190" s="15" t="n">
        <f aca="false">BI190-CA190</f>
        <v>-22877.9166666667</v>
      </c>
      <c r="CD190" s="15" t="n">
        <f aca="false">AM190-CB190</f>
        <v>-2590.83333333333</v>
      </c>
      <c r="CE190" s="15" t="n">
        <f aca="false">INDEX(Ipotesi!$C$79:$G$79,1,F190)/12</f>
        <v>1666.66666666667</v>
      </c>
      <c r="CF190" s="15" t="n">
        <f aca="false">INDEX(Ipotesi!$C$84:$G$84,1,F190)/12</f>
        <v>250</v>
      </c>
      <c r="CG190" s="15" t="n">
        <f aca="false">Y190*MAX(0,Parametri_v3!$C$12-IF(P190=0,0,MIN(1,BE190/(P190*Parametri_v3!$C$22))))+W190*Parametri_v3!$C$13+X190*Parametri_v3!$C$14</f>
        <v>7164.35185185185</v>
      </c>
      <c r="CH190" s="15" t="n">
        <f aca="false">AB190*Parametri_v3!$C$32</f>
        <v>895.833333333334</v>
      </c>
      <c r="CI190" s="15" t="n">
        <f aca="false">AC190*Parametri_v3!$C$32</f>
        <v>262.5</v>
      </c>
      <c r="CJ190" s="15" t="n">
        <f aca="false">CA190-AB190</f>
        <v>9582.08333333333</v>
      </c>
      <c r="CK190" s="15" t="n">
        <f aca="false">CB190-AC190-BH190</f>
        <v>4765.83333333333</v>
      </c>
      <c r="CL190" s="15" t="n">
        <f aca="false">BF190*Ipotesi!$C$73+INDEX(Ipotesi!$C$72:$G$72,1,F190)/12*Ipotesi!F126*Parametri_v3!$C$58+Z190*(1-Parametri_v3!$C$16)</f>
        <v>1819.16666666667</v>
      </c>
      <c r="CM190" s="16" t="n">
        <f aca="false">IF(BF190=0,0,1-CL190/BF190)</f>
        <v>-20.83</v>
      </c>
    </row>
    <row r="191" customFormat="false" ht="18" hidden="false" customHeight="true" outlineLevel="0" collapsed="false">
      <c r="A191" s="68" t="n">
        <f aca="false">4</f>
        <v>4</v>
      </c>
      <c r="B191" s="68" t="n">
        <f aca="false">7</f>
        <v>7</v>
      </c>
      <c r="C191" s="18" t="n">
        <f aca="false">EDATE(Parametri_v3!$C$5,7-1)</f>
        <v>46569</v>
      </c>
      <c r="D191" s="68" t="n">
        <f aca="false">YEAR(C191)</f>
        <v>2027</v>
      </c>
      <c r="E191" s="68" t="n">
        <f aca="false">MONTH(C191)</f>
        <v>7</v>
      </c>
      <c r="F191" s="68" t="n">
        <f aca="false">INT((7-1)/12)+1</f>
        <v>1</v>
      </c>
      <c r="G191" s="15" t="n">
        <f aca="false">Ipotesi!F7</f>
        <v>0.55</v>
      </c>
      <c r="H191" s="15" t="n">
        <f aca="false">Ipotesi!F9</f>
        <v>0.9</v>
      </c>
      <c r="I191" s="15" t="n">
        <f aca="false">Ipotesi!F10</f>
        <v>1</v>
      </c>
      <c r="J191" s="15" t="n">
        <f aca="false">Ipotesi!F11</f>
        <v>1</v>
      </c>
      <c r="K191" s="15" t="n">
        <f aca="false">Ipotesi!F12</f>
        <v>1</v>
      </c>
      <c r="L191" s="15" t="n">
        <f aca="false">Ipotesi!F13</f>
        <v>120</v>
      </c>
      <c r="M191" s="17" t="n">
        <f aca="false">INDEX(Ipotesi!$C$40:$G$40,1,F191)</f>
        <v>1</v>
      </c>
      <c r="N191" s="17" t="n">
        <f aca="false">INDEX(Ipotesi!$C$41:$G$41,1,F191)</f>
        <v>0.75</v>
      </c>
      <c r="O191" s="17" t="n">
        <f aca="false">INDEX(Ipotesi!$C$42:$G$42,1,F191)*Ipotesi!F125</f>
        <v>1</v>
      </c>
      <c r="P191" s="17" t="n">
        <f aca="false">INDEX(Ipotesi!$C$43:$G$43,1,F191)*I191</f>
        <v>1</v>
      </c>
      <c r="Q191" s="17" t="n">
        <f aca="false">INDEX(Ipotesi!$C$44:$G$44,1,F191)*I191</f>
        <v>0.5</v>
      </c>
      <c r="R191" s="17" t="n">
        <f aca="false">INDEX(Ipotesi!$C$45:$G$45,1,F191)*I191</f>
        <v>0</v>
      </c>
      <c r="S191" s="17" t="n">
        <f aca="false">INDEX(Ipotesi!$C$52:$G$52,1,F191)*Ipotesi!F125</f>
        <v>1.5</v>
      </c>
      <c r="T191" s="17" t="n">
        <f aca="false">INDEX(Ipotesi!$C$53:$G$53,1,F191)*I191</f>
        <v>0</v>
      </c>
      <c r="U191" s="17" t="n">
        <f aca="false">INDEX(Ipotesi!$C$54:$G$54,1,F191)*I191</f>
        <v>0</v>
      </c>
      <c r="V191" s="15" t="n">
        <f aca="false">M191*INDEX(Ipotesi!$C$58:$G$58,1,F191)*K191/12</f>
        <v>3333.33333333333</v>
      </c>
      <c r="W191" s="15" t="n">
        <f aca="false">N191*Ipotesi!$C$59*(1+Ipotesi!$C$66)^(F191-1)/12</f>
        <v>4375</v>
      </c>
      <c r="X191" s="15" t="n">
        <f aca="false">O191*Ipotesi!$C$60*(1+Ipotesi!$C$66)^(F191-1)/12</f>
        <v>4166.66666666667</v>
      </c>
      <c r="Y191" s="15" t="n">
        <f aca="false">P191*Ipotesi!$C$61*(1+Ipotesi!$C$66)^(F191-1)/12</f>
        <v>4166.66666666667</v>
      </c>
      <c r="Z191" s="15" t="n">
        <f aca="false">Q191*Ipotesi!$C$62*(1+Ipotesi!$C$66)^(F191-1)/12</f>
        <v>1875</v>
      </c>
      <c r="AA191" s="15" t="n">
        <f aca="false">R191*Ipotesi!$C$63*(1+Ipotesi!$C$66)^(F191-1)/12</f>
        <v>0</v>
      </c>
      <c r="AB191" s="15" t="n">
        <f aca="false">SUM(V191:AA191)</f>
        <v>17916.6666666667</v>
      </c>
      <c r="AC191" s="15" t="n">
        <f aca="false">(S191*Ipotesi!$C$64+T191*Ipotesi!$C$65+U191*Ipotesi!$C$63)*(1+Ipotesi!$C$66)^(F191-1)/12</f>
        <v>5250</v>
      </c>
      <c r="AD191" s="15" t="n">
        <f aca="false">INDEX(Ipotesi!$C$48:$G$48,1,F191)*G191/12</f>
        <v>9.16666666666667</v>
      </c>
      <c r="AE191" s="15" t="n">
        <f aca="false">INDEX(Ipotesi!$C$50:$G$50,1,F191)*G191/12</f>
        <v>1.14583333333333</v>
      </c>
      <c r="AF191" s="15" t="n">
        <f aca="false">(S191*Parametri_v3!$C$7*Parametri_v3!$C$8+Parametri_v3!$C$10)/12</f>
        <v>19.25</v>
      </c>
      <c r="AG191" s="15" t="n">
        <f aca="false">AD191+AE191*(1+Parametri_v3!$C$9)</f>
        <v>10.8854166666667</v>
      </c>
      <c r="AH191" s="16" t="n">
        <f aca="false">IF(AG191=0,1,MIN(1,AF191/AG191))</f>
        <v>1</v>
      </c>
      <c r="AI191" s="15" t="n">
        <f aca="false">AD191*AH191</f>
        <v>9.16666666666667</v>
      </c>
      <c r="AJ191" s="15" t="n">
        <f aca="false">AE191*AH191</f>
        <v>1.14583333333333</v>
      </c>
      <c r="AK191" s="15" t="n">
        <f aca="false">AI191*INDEX(Ipotesi!$C$49:$G$49,1,F191)*H191</f>
        <v>6187.5</v>
      </c>
      <c r="AL191" s="15" t="n">
        <f aca="false">AJ191*INDEX(Ipotesi!$C$51:$G$51,1,F191)*H191</f>
        <v>2062.5</v>
      </c>
      <c r="AM191" s="15" t="n">
        <f aca="false">AK191+AL191</f>
        <v>8250</v>
      </c>
      <c r="AN191" s="15" t="n">
        <f aca="false">INDEX(Ipotesi!$C$30:$G$30,1,F191)*G191/12</f>
        <v>4.58333333333333</v>
      </c>
      <c r="AO191" s="15" t="n">
        <f aca="false">O191*Parametri_v3!$C$7*Parametri_v3!$C$11*(1-Parametri_v3!$C$14)/12</f>
        <v>10.2666666666667</v>
      </c>
      <c r="AP191" s="15" t="n">
        <f aca="false">MIN(AN191,AO191)</f>
        <v>4.58333333333333</v>
      </c>
      <c r="AQ191" s="15" t="n">
        <f aca="false">AP191*INDEX(Ipotesi!$C$31:$G$31,1,F191)*H191</f>
        <v>3712.5</v>
      </c>
      <c r="AR191" s="15" t="n">
        <f aca="false">INDEX(Ipotesi!$C$75:$G$75,1,F191)*J191/12</f>
        <v>2083.33333333333</v>
      </c>
      <c r="AS191" s="15" t="n">
        <f aca="false">INDEX(Ipotesi!$C$81:$G$81,1,F191)*J191/12</f>
        <v>416.666666666667</v>
      </c>
      <c r="AT191" s="15" t="n">
        <f aca="false">AR191*Parametri_v3!$C$15+Z191*Parametri_v3!$C$16</f>
        <v>3395.83333333333</v>
      </c>
      <c r="AU191" s="15" t="n">
        <f aca="false">Q191*Parametri_v3!$C$16*Parametri_v3!$C$17</f>
        <v>35</v>
      </c>
      <c r="AV191" s="17" t="n">
        <f aca="false">BD190</f>
        <v>0.666666666666667</v>
      </c>
      <c r="AW191" s="17" t="n">
        <f aca="false">AV191*(1-(1-INDEX(Ipotesi!$C$34:$G$34,1,F191))^(1/12))</f>
        <v>0</v>
      </c>
      <c r="AX191" s="15" t="n">
        <f aca="false">ROUND(INDEX(Ipotesi!$C$32:$G$32,1,F191)*Ipotesi!F8,0)</f>
        <v>2</v>
      </c>
      <c r="AY191" s="15" t="n">
        <f aca="false">MAX(0,(AX191-(AV191-AW191))/(13-E191))</f>
        <v>0.222222222222222</v>
      </c>
      <c r="AZ191" s="15" t="n">
        <f aca="false">MIN(P191*Parametri_v3!$C$22,Q191*(1-Parametri_v3!$C$16)*Parametri_v3!$C$23)</f>
        <v>22.5</v>
      </c>
      <c r="BA191" s="15" t="n">
        <f aca="false">IF(OR(INDEX(Ipotesi!$C$35:$G$35,1,F191)&lt;=0,7-Parametri_v3!$C$21&lt;1),0,INDEX($AT$185:$AT$244,MAX(1,7-Parametri_v3!$C$21))/(INDEX(Ipotesi!$C$35:$G$35,1,F191)*Ipotesi!F27))</f>
        <v>0.522435897435898</v>
      </c>
      <c r="BB191" s="15" t="n">
        <f aca="false">IF(7-Parametri_v3!$C$21&lt;1,0,INDEX($AU$185:$AU$244,MAX(1,7-Parametri_v3!$C$21)))*Parametri_v3!$C$18*Parametri_v3!$C$19*Parametri_v3!$C$20</f>
        <v>1.3125</v>
      </c>
      <c r="BC191" s="17" t="n">
        <f aca="false">MAX(0,MIN(AY191,BA191,BB191,MAX(0,AZ191-(AV191-AW191))))</f>
        <v>0.222222222222222</v>
      </c>
      <c r="BD191" s="17" t="n">
        <f aca="false">AV191-AW191+BC191</f>
        <v>0.888888888888889</v>
      </c>
      <c r="BE191" s="17" t="n">
        <f aca="false">(AV191+BD191)/2</f>
        <v>0.777777777777778</v>
      </c>
      <c r="BF191" s="15" t="n">
        <f aca="false">BE191*INDEX(Ipotesi!$C$33:$G$33,1,F191)*H191/12</f>
        <v>116.666666666667</v>
      </c>
      <c r="BG191" s="15" t="n">
        <f aca="false">BD191*INDEX(Ipotesi!$C$33:$G$33,1,F191)*H191</f>
        <v>1600</v>
      </c>
      <c r="BH191" s="15" t="n">
        <f aca="false">AM191*INDEX(Ipotesi!$C$37:$G$37,1,F191)</f>
        <v>825</v>
      </c>
      <c r="BI191" s="15" t="n">
        <f aca="false">AQ191+BF191+BH191</f>
        <v>4654.16666666667</v>
      </c>
      <c r="BJ191" s="15" t="n">
        <f aca="false">INDEX(Ipotesi!$C$68:$G$68,1,F191)*Ipotesi!$C$69/12</f>
        <v>1000</v>
      </c>
      <c r="BK191" s="15" t="n">
        <f aca="false">INDEX(Ipotesi!$C$68:$G$68,1,F191)*(1-Ipotesi!$C$69)/12</f>
        <v>1500</v>
      </c>
      <c r="BL191" s="15" t="n">
        <f aca="false">(AQ191+BF191)*Ipotesi!$C$67</f>
        <v>114.875</v>
      </c>
      <c r="BM191" s="15" t="n">
        <f aca="false">AM191*Ipotesi!$C$67</f>
        <v>247.5</v>
      </c>
      <c r="BN191" s="15" t="n">
        <f aca="false">INDEX(Ipotesi!$C$72:$G$72,1,F191)/12*Ipotesi!F126+BF191*Ipotesi!$C$73</f>
        <v>1259.33333333333</v>
      </c>
      <c r="BO191" s="15" t="n">
        <f aca="false">INDEX(Ipotesi!$C$74:$G$74,1,F191)/12*Ipotesi!F126</f>
        <v>1000</v>
      </c>
      <c r="BP191" s="15" t="n">
        <f aca="false">INDEX(Ipotesi!$C$76:$G$76,1,F191)/12</f>
        <v>500</v>
      </c>
      <c r="BQ191" s="15" t="n">
        <f aca="false">INDEX(Ipotesi!$C$77:$G$77,1,F191)/12*Ipotesi!F126</f>
        <v>1250</v>
      </c>
      <c r="BR191" s="15" t="n">
        <f aca="false">INDEX(Ipotesi!$C$78:$G$78,1,F191)/12</f>
        <v>1000</v>
      </c>
      <c r="BS191" s="15" t="n">
        <f aca="false">SUM(M191:R191)*(Ipotesi!$C$85+Ipotesi!$C$86)/12</f>
        <v>1239.58333333333</v>
      </c>
      <c r="BT191" s="15" t="n">
        <f aca="false">BI191*Ipotesi!$C$87</f>
        <v>139.625</v>
      </c>
      <c r="BU191" s="15" t="n">
        <f aca="false">INDEX(Ipotesi!$C$55:$G$55,1,F191)*K191/12</f>
        <v>500</v>
      </c>
      <c r="BV191" s="15" t="n">
        <f aca="false">INDEX(Ipotesi!$C$80:$G$80,1,F191)/12*Ipotesi!F126</f>
        <v>500</v>
      </c>
      <c r="BW191" s="15" t="n">
        <f aca="false">INDEX(Ipotesi!$C$82:$G$82,1,F191)/12</f>
        <v>416.666666666667</v>
      </c>
      <c r="BX191" s="15" t="n">
        <f aca="false">INDEX(Ipotesi!$C$83:$G$83,1,F191)/12</f>
        <v>500</v>
      </c>
      <c r="BY191" s="15" t="n">
        <f aca="false">SUM(S191:U191)*(Ipotesi!$C$85+Ipotesi!$C$86)/12</f>
        <v>437.5</v>
      </c>
      <c r="BZ191" s="15" t="n">
        <f aca="false">AM191*Ipotesi!$C$87</f>
        <v>247.5</v>
      </c>
      <c r="CA191" s="15" t="n">
        <f aca="false">AB191+BJ191+BL191+BN191+BO191+AR191+BP191+BQ191+BR191+BS191+BT191</f>
        <v>27503.4166666667</v>
      </c>
      <c r="CB191" s="15" t="n">
        <f aca="false">AC191+BK191+BM191+BH191+BU191+BV191+AS191+BW191+BX191+BY191+BZ191</f>
        <v>10840.8333333333</v>
      </c>
      <c r="CC191" s="15" t="n">
        <f aca="false">BI191-CA191</f>
        <v>-22849.25</v>
      </c>
      <c r="CD191" s="15" t="n">
        <f aca="false">AM191-CB191</f>
        <v>-2590.83333333333</v>
      </c>
      <c r="CE191" s="15" t="n">
        <f aca="false">INDEX(Ipotesi!$C$79:$G$79,1,F191)/12</f>
        <v>1666.66666666667</v>
      </c>
      <c r="CF191" s="15" t="n">
        <f aca="false">INDEX(Ipotesi!$C$84:$G$84,1,F191)/12</f>
        <v>250</v>
      </c>
      <c r="CG191" s="15" t="n">
        <f aca="false">Y191*MAX(0,Parametri_v3!$C$12-IF(P191=0,0,MIN(1,BE191/(P191*Parametri_v3!$C$22))))+W191*Parametri_v3!$C$13+X191*Parametri_v3!$C$14</f>
        <v>7155.09259259259</v>
      </c>
      <c r="CH191" s="15" t="n">
        <f aca="false">AB191*Parametri_v3!$C$32</f>
        <v>895.833333333334</v>
      </c>
      <c r="CI191" s="15" t="n">
        <f aca="false">AC191*Parametri_v3!$C$32</f>
        <v>262.5</v>
      </c>
      <c r="CJ191" s="15" t="n">
        <f aca="false">CA191-AB191</f>
        <v>9586.75</v>
      </c>
      <c r="CK191" s="15" t="n">
        <f aca="false">CB191-AC191-BH191</f>
        <v>4765.83333333333</v>
      </c>
      <c r="CL191" s="15" t="n">
        <f aca="false">BF191*Ipotesi!$C$73+INDEX(Ipotesi!$C$72:$G$72,1,F191)/12*Ipotesi!F126*Parametri_v3!$C$58+Z191*(1-Parametri_v3!$C$16)</f>
        <v>1821.83333333333</v>
      </c>
      <c r="CM191" s="16" t="n">
        <f aca="false">IF(BF191=0,0,1-CL191/BF191)</f>
        <v>-14.6157142857143</v>
      </c>
    </row>
    <row r="192" customFormat="false" ht="18" hidden="false" customHeight="true" outlineLevel="0" collapsed="false">
      <c r="A192" s="68" t="n">
        <f aca="false">4</f>
        <v>4</v>
      </c>
      <c r="B192" s="68" t="n">
        <f aca="false">8</f>
        <v>8</v>
      </c>
      <c r="C192" s="18" t="n">
        <f aca="false">EDATE(Parametri_v3!$C$5,8-1)</f>
        <v>46600</v>
      </c>
      <c r="D192" s="68" t="n">
        <f aca="false">YEAR(C192)</f>
        <v>2027</v>
      </c>
      <c r="E192" s="68" t="n">
        <f aca="false">MONTH(C192)</f>
        <v>8</v>
      </c>
      <c r="F192" s="68" t="n">
        <f aca="false">INT((8-1)/12)+1</f>
        <v>1</v>
      </c>
      <c r="G192" s="15" t="n">
        <f aca="false">Ipotesi!F7</f>
        <v>0.55</v>
      </c>
      <c r="H192" s="15" t="n">
        <f aca="false">Ipotesi!F9</f>
        <v>0.9</v>
      </c>
      <c r="I192" s="15" t="n">
        <f aca="false">Ipotesi!F10</f>
        <v>1</v>
      </c>
      <c r="J192" s="15" t="n">
        <f aca="false">Ipotesi!F11</f>
        <v>1</v>
      </c>
      <c r="K192" s="15" t="n">
        <f aca="false">Ipotesi!F12</f>
        <v>1</v>
      </c>
      <c r="L192" s="15" t="n">
        <f aca="false">Ipotesi!F13</f>
        <v>120</v>
      </c>
      <c r="M192" s="17" t="n">
        <f aca="false">INDEX(Ipotesi!$C$40:$G$40,1,F192)</f>
        <v>1</v>
      </c>
      <c r="N192" s="17" t="n">
        <f aca="false">INDEX(Ipotesi!$C$41:$G$41,1,F192)</f>
        <v>0.75</v>
      </c>
      <c r="O192" s="17" t="n">
        <f aca="false">INDEX(Ipotesi!$C$42:$G$42,1,F192)*Ipotesi!F125</f>
        <v>1</v>
      </c>
      <c r="P192" s="17" t="n">
        <f aca="false">INDEX(Ipotesi!$C$43:$G$43,1,F192)*I192</f>
        <v>1</v>
      </c>
      <c r="Q192" s="17" t="n">
        <f aca="false">INDEX(Ipotesi!$C$44:$G$44,1,F192)*I192</f>
        <v>0.5</v>
      </c>
      <c r="R192" s="17" t="n">
        <f aca="false">INDEX(Ipotesi!$C$45:$G$45,1,F192)*I192</f>
        <v>0</v>
      </c>
      <c r="S192" s="17" t="n">
        <f aca="false">INDEX(Ipotesi!$C$52:$G$52,1,F192)*Ipotesi!F125</f>
        <v>1.5</v>
      </c>
      <c r="T192" s="17" t="n">
        <f aca="false">INDEX(Ipotesi!$C$53:$G$53,1,F192)*I192</f>
        <v>0</v>
      </c>
      <c r="U192" s="17" t="n">
        <f aca="false">INDEX(Ipotesi!$C$54:$G$54,1,F192)*I192</f>
        <v>0</v>
      </c>
      <c r="V192" s="15" t="n">
        <f aca="false">M192*INDEX(Ipotesi!$C$58:$G$58,1,F192)*K192/12</f>
        <v>3333.33333333333</v>
      </c>
      <c r="W192" s="15" t="n">
        <f aca="false">N192*Ipotesi!$C$59*(1+Ipotesi!$C$66)^(F192-1)/12</f>
        <v>4375</v>
      </c>
      <c r="X192" s="15" t="n">
        <f aca="false">O192*Ipotesi!$C$60*(1+Ipotesi!$C$66)^(F192-1)/12</f>
        <v>4166.66666666667</v>
      </c>
      <c r="Y192" s="15" t="n">
        <f aca="false">P192*Ipotesi!$C$61*(1+Ipotesi!$C$66)^(F192-1)/12</f>
        <v>4166.66666666667</v>
      </c>
      <c r="Z192" s="15" t="n">
        <f aca="false">Q192*Ipotesi!$C$62*(1+Ipotesi!$C$66)^(F192-1)/12</f>
        <v>1875</v>
      </c>
      <c r="AA192" s="15" t="n">
        <f aca="false">R192*Ipotesi!$C$63*(1+Ipotesi!$C$66)^(F192-1)/12</f>
        <v>0</v>
      </c>
      <c r="AB192" s="15" t="n">
        <f aca="false">SUM(V192:AA192)</f>
        <v>17916.6666666667</v>
      </c>
      <c r="AC192" s="15" t="n">
        <f aca="false">(S192*Ipotesi!$C$64+T192*Ipotesi!$C$65+U192*Ipotesi!$C$63)*(1+Ipotesi!$C$66)^(F192-1)/12</f>
        <v>5250</v>
      </c>
      <c r="AD192" s="15" t="n">
        <f aca="false">INDEX(Ipotesi!$C$48:$G$48,1,F192)*G192/12</f>
        <v>9.16666666666667</v>
      </c>
      <c r="AE192" s="15" t="n">
        <f aca="false">INDEX(Ipotesi!$C$50:$G$50,1,F192)*G192/12</f>
        <v>1.14583333333333</v>
      </c>
      <c r="AF192" s="15" t="n">
        <f aca="false">(S192*Parametri_v3!$C$7*Parametri_v3!$C$8+Parametri_v3!$C$10)/12</f>
        <v>19.25</v>
      </c>
      <c r="AG192" s="15" t="n">
        <f aca="false">AD192+AE192*(1+Parametri_v3!$C$9)</f>
        <v>10.8854166666667</v>
      </c>
      <c r="AH192" s="16" t="n">
        <f aca="false">IF(AG192=0,1,MIN(1,AF192/AG192))</f>
        <v>1</v>
      </c>
      <c r="AI192" s="15" t="n">
        <f aca="false">AD192*AH192</f>
        <v>9.16666666666667</v>
      </c>
      <c r="AJ192" s="15" t="n">
        <f aca="false">AE192*AH192</f>
        <v>1.14583333333333</v>
      </c>
      <c r="AK192" s="15" t="n">
        <f aca="false">AI192*INDEX(Ipotesi!$C$49:$G$49,1,F192)*H192</f>
        <v>6187.5</v>
      </c>
      <c r="AL192" s="15" t="n">
        <f aca="false">AJ192*INDEX(Ipotesi!$C$51:$G$51,1,F192)*H192</f>
        <v>2062.5</v>
      </c>
      <c r="AM192" s="15" t="n">
        <f aca="false">AK192+AL192</f>
        <v>8250</v>
      </c>
      <c r="AN192" s="15" t="n">
        <f aca="false">INDEX(Ipotesi!$C$30:$G$30,1,F192)*G192/12</f>
        <v>4.58333333333333</v>
      </c>
      <c r="AO192" s="15" t="n">
        <f aca="false">O192*Parametri_v3!$C$7*Parametri_v3!$C$11*(1-Parametri_v3!$C$14)/12</f>
        <v>10.2666666666667</v>
      </c>
      <c r="AP192" s="15" t="n">
        <f aca="false">MIN(AN192,AO192)</f>
        <v>4.58333333333333</v>
      </c>
      <c r="AQ192" s="15" t="n">
        <f aca="false">AP192*INDEX(Ipotesi!$C$31:$G$31,1,F192)*H192</f>
        <v>3712.5</v>
      </c>
      <c r="AR192" s="15" t="n">
        <f aca="false">INDEX(Ipotesi!$C$75:$G$75,1,F192)*J192/12</f>
        <v>2083.33333333333</v>
      </c>
      <c r="AS192" s="15" t="n">
        <f aca="false">INDEX(Ipotesi!$C$81:$G$81,1,F192)*J192/12</f>
        <v>416.666666666667</v>
      </c>
      <c r="AT192" s="15" t="n">
        <f aca="false">AR192*Parametri_v3!$C$15+Z192*Parametri_v3!$C$16</f>
        <v>3395.83333333333</v>
      </c>
      <c r="AU192" s="15" t="n">
        <f aca="false">Q192*Parametri_v3!$C$16*Parametri_v3!$C$17</f>
        <v>35</v>
      </c>
      <c r="AV192" s="17" t="n">
        <f aca="false">BD191</f>
        <v>0.888888888888889</v>
      </c>
      <c r="AW192" s="17" t="n">
        <f aca="false">AV192*(1-(1-INDEX(Ipotesi!$C$34:$G$34,1,F192))^(1/12))</f>
        <v>0</v>
      </c>
      <c r="AX192" s="15" t="n">
        <f aca="false">ROUND(INDEX(Ipotesi!$C$32:$G$32,1,F192)*Ipotesi!F8,0)</f>
        <v>2</v>
      </c>
      <c r="AY192" s="15" t="n">
        <f aca="false">MAX(0,(AX192-(AV192-AW192))/(13-E192))</f>
        <v>0.222222222222222</v>
      </c>
      <c r="AZ192" s="15" t="n">
        <f aca="false">MIN(P192*Parametri_v3!$C$22,Q192*(1-Parametri_v3!$C$16)*Parametri_v3!$C$23)</f>
        <v>22.5</v>
      </c>
      <c r="BA192" s="15" t="n">
        <f aca="false">IF(OR(INDEX(Ipotesi!$C$35:$G$35,1,F192)&lt;=0,8-Parametri_v3!$C$21&lt;1),0,INDEX($AT$185:$AT$244,MAX(1,8-Parametri_v3!$C$21))/(INDEX(Ipotesi!$C$35:$G$35,1,F192)*Ipotesi!F27))</f>
        <v>0.522435897435898</v>
      </c>
      <c r="BB192" s="15" t="n">
        <f aca="false">IF(8-Parametri_v3!$C$21&lt;1,0,INDEX($AU$185:$AU$244,MAX(1,8-Parametri_v3!$C$21)))*Parametri_v3!$C$18*Parametri_v3!$C$19*Parametri_v3!$C$20</f>
        <v>1.3125</v>
      </c>
      <c r="BC192" s="17" t="n">
        <f aca="false">MAX(0,MIN(AY192,BA192,BB192,MAX(0,AZ192-(AV192-AW192))))</f>
        <v>0.222222222222222</v>
      </c>
      <c r="BD192" s="17" t="n">
        <f aca="false">AV192-AW192+BC192</f>
        <v>1.11111111111111</v>
      </c>
      <c r="BE192" s="17" t="n">
        <f aca="false">(AV192+BD192)/2</f>
        <v>1</v>
      </c>
      <c r="BF192" s="15" t="n">
        <f aca="false">BE192*INDEX(Ipotesi!$C$33:$G$33,1,F192)*H192/12</f>
        <v>150</v>
      </c>
      <c r="BG192" s="15" t="n">
        <f aca="false">BD192*INDEX(Ipotesi!$C$33:$G$33,1,F192)*H192</f>
        <v>2000</v>
      </c>
      <c r="BH192" s="15" t="n">
        <f aca="false">AM192*INDEX(Ipotesi!$C$37:$G$37,1,F192)</f>
        <v>825</v>
      </c>
      <c r="BI192" s="15" t="n">
        <f aca="false">AQ192+BF192+BH192</f>
        <v>4687.5</v>
      </c>
      <c r="BJ192" s="15" t="n">
        <f aca="false">INDEX(Ipotesi!$C$68:$G$68,1,F192)*Ipotesi!$C$69/12</f>
        <v>1000</v>
      </c>
      <c r="BK192" s="15" t="n">
        <f aca="false">INDEX(Ipotesi!$C$68:$G$68,1,F192)*(1-Ipotesi!$C$69)/12</f>
        <v>1500</v>
      </c>
      <c r="BL192" s="15" t="n">
        <f aca="false">(AQ192+BF192)*Ipotesi!$C$67</f>
        <v>115.875</v>
      </c>
      <c r="BM192" s="15" t="n">
        <f aca="false">AM192*Ipotesi!$C$67</f>
        <v>247.5</v>
      </c>
      <c r="BN192" s="15" t="n">
        <f aca="false">INDEX(Ipotesi!$C$72:$G$72,1,F192)/12*Ipotesi!F126+BF192*Ipotesi!$C$73</f>
        <v>1262</v>
      </c>
      <c r="BO192" s="15" t="n">
        <f aca="false">INDEX(Ipotesi!$C$74:$G$74,1,F192)/12*Ipotesi!F126</f>
        <v>1000</v>
      </c>
      <c r="BP192" s="15" t="n">
        <f aca="false">INDEX(Ipotesi!$C$76:$G$76,1,F192)/12</f>
        <v>500</v>
      </c>
      <c r="BQ192" s="15" t="n">
        <f aca="false">INDEX(Ipotesi!$C$77:$G$77,1,F192)/12*Ipotesi!F126</f>
        <v>1250</v>
      </c>
      <c r="BR192" s="15" t="n">
        <f aca="false">INDEX(Ipotesi!$C$78:$G$78,1,F192)/12</f>
        <v>1000</v>
      </c>
      <c r="BS192" s="15" t="n">
        <f aca="false">SUM(M192:R192)*(Ipotesi!$C$85+Ipotesi!$C$86)/12</f>
        <v>1239.58333333333</v>
      </c>
      <c r="BT192" s="15" t="n">
        <f aca="false">BI192*Ipotesi!$C$87</f>
        <v>140.625</v>
      </c>
      <c r="BU192" s="15" t="n">
        <f aca="false">INDEX(Ipotesi!$C$55:$G$55,1,F192)*K192/12</f>
        <v>500</v>
      </c>
      <c r="BV192" s="15" t="n">
        <f aca="false">INDEX(Ipotesi!$C$80:$G$80,1,F192)/12*Ipotesi!F126</f>
        <v>500</v>
      </c>
      <c r="BW192" s="15" t="n">
        <f aca="false">INDEX(Ipotesi!$C$82:$G$82,1,F192)/12</f>
        <v>416.666666666667</v>
      </c>
      <c r="BX192" s="15" t="n">
        <f aca="false">INDEX(Ipotesi!$C$83:$G$83,1,F192)/12</f>
        <v>500</v>
      </c>
      <c r="BY192" s="15" t="n">
        <f aca="false">SUM(S192:U192)*(Ipotesi!$C$85+Ipotesi!$C$86)/12</f>
        <v>437.5</v>
      </c>
      <c r="BZ192" s="15" t="n">
        <f aca="false">AM192*Ipotesi!$C$87</f>
        <v>247.5</v>
      </c>
      <c r="CA192" s="15" t="n">
        <f aca="false">AB192+BJ192+BL192+BN192+BO192+AR192+BP192+BQ192+BR192+BS192+BT192</f>
        <v>27508.0833333333</v>
      </c>
      <c r="CB192" s="15" t="n">
        <f aca="false">AC192+BK192+BM192+BH192+BU192+BV192+AS192+BW192+BX192+BY192+BZ192</f>
        <v>10840.8333333333</v>
      </c>
      <c r="CC192" s="15" t="n">
        <f aca="false">BI192-CA192</f>
        <v>-22820.5833333333</v>
      </c>
      <c r="CD192" s="15" t="n">
        <f aca="false">AM192-CB192</f>
        <v>-2590.83333333333</v>
      </c>
      <c r="CE192" s="15" t="n">
        <f aca="false">INDEX(Ipotesi!$C$79:$G$79,1,F192)/12</f>
        <v>1666.66666666667</v>
      </c>
      <c r="CF192" s="15" t="n">
        <f aca="false">INDEX(Ipotesi!$C$84:$G$84,1,F192)/12</f>
        <v>250</v>
      </c>
      <c r="CG192" s="15" t="n">
        <f aca="false">Y192*MAX(0,Parametri_v3!$C$12-IF(P192=0,0,MIN(1,BE192/(P192*Parametri_v3!$C$22))))+W192*Parametri_v3!$C$13+X192*Parametri_v3!$C$14</f>
        <v>7145.83333333333</v>
      </c>
      <c r="CH192" s="15" t="n">
        <f aca="false">AB192*Parametri_v3!$C$32</f>
        <v>895.833333333334</v>
      </c>
      <c r="CI192" s="15" t="n">
        <f aca="false">AC192*Parametri_v3!$C$32</f>
        <v>262.5</v>
      </c>
      <c r="CJ192" s="15" t="n">
        <f aca="false">CA192-AB192</f>
        <v>9591.41666666666</v>
      </c>
      <c r="CK192" s="15" t="n">
        <f aca="false">CB192-AC192-BH192</f>
        <v>4765.83333333333</v>
      </c>
      <c r="CL192" s="15" t="n">
        <f aca="false">BF192*Ipotesi!$C$73+INDEX(Ipotesi!$C$72:$G$72,1,F192)/12*Ipotesi!F126*Parametri_v3!$C$58+Z192*(1-Parametri_v3!$C$16)</f>
        <v>1824.5</v>
      </c>
      <c r="CM192" s="16" t="n">
        <f aca="false">IF(BF192=0,0,1-CL192/BF192)</f>
        <v>-11.1633333333333</v>
      </c>
    </row>
    <row r="193" customFormat="false" ht="18" hidden="false" customHeight="true" outlineLevel="0" collapsed="false">
      <c r="A193" s="68" t="n">
        <f aca="false">4</f>
        <v>4</v>
      </c>
      <c r="B193" s="68" t="n">
        <f aca="false">9</f>
        <v>9</v>
      </c>
      <c r="C193" s="18" t="n">
        <f aca="false">EDATE(Parametri_v3!$C$5,9-1)</f>
        <v>46631</v>
      </c>
      <c r="D193" s="68" t="n">
        <f aca="false">YEAR(C193)</f>
        <v>2027</v>
      </c>
      <c r="E193" s="68" t="n">
        <f aca="false">MONTH(C193)</f>
        <v>9</v>
      </c>
      <c r="F193" s="68" t="n">
        <f aca="false">INT((9-1)/12)+1</f>
        <v>1</v>
      </c>
      <c r="G193" s="15" t="n">
        <f aca="false">Ipotesi!F7</f>
        <v>0.55</v>
      </c>
      <c r="H193" s="15" t="n">
        <f aca="false">Ipotesi!F9</f>
        <v>0.9</v>
      </c>
      <c r="I193" s="15" t="n">
        <f aca="false">Ipotesi!F10</f>
        <v>1</v>
      </c>
      <c r="J193" s="15" t="n">
        <f aca="false">Ipotesi!F11</f>
        <v>1</v>
      </c>
      <c r="K193" s="15" t="n">
        <f aca="false">Ipotesi!F12</f>
        <v>1</v>
      </c>
      <c r="L193" s="15" t="n">
        <f aca="false">Ipotesi!F13</f>
        <v>120</v>
      </c>
      <c r="M193" s="17" t="n">
        <f aca="false">INDEX(Ipotesi!$C$40:$G$40,1,F193)</f>
        <v>1</v>
      </c>
      <c r="N193" s="17" t="n">
        <f aca="false">INDEX(Ipotesi!$C$41:$G$41,1,F193)</f>
        <v>0.75</v>
      </c>
      <c r="O193" s="17" t="n">
        <f aca="false">INDEX(Ipotesi!$C$42:$G$42,1,F193)*Ipotesi!F125</f>
        <v>1</v>
      </c>
      <c r="P193" s="17" t="n">
        <f aca="false">INDEX(Ipotesi!$C$43:$G$43,1,F193)*I193</f>
        <v>1</v>
      </c>
      <c r="Q193" s="17" t="n">
        <f aca="false">INDEX(Ipotesi!$C$44:$G$44,1,F193)*I193</f>
        <v>0.5</v>
      </c>
      <c r="R193" s="17" t="n">
        <f aca="false">INDEX(Ipotesi!$C$45:$G$45,1,F193)*I193</f>
        <v>0</v>
      </c>
      <c r="S193" s="17" t="n">
        <f aca="false">INDEX(Ipotesi!$C$52:$G$52,1,F193)*Ipotesi!F125</f>
        <v>1.5</v>
      </c>
      <c r="T193" s="17" t="n">
        <f aca="false">INDEX(Ipotesi!$C$53:$G$53,1,F193)*I193</f>
        <v>0</v>
      </c>
      <c r="U193" s="17" t="n">
        <f aca="false">INDEX(Ipotesi!$C$54:$G$54,1,F193)*I193</f>
        <v>0</v>
      </c>
      <c r="V193" s="15" t="n">
        <f aca="false">M193*INDEX(Ipotesi!$C$58:$G$58,1,F193)*K193/12</f>
        <v>3333.33333333333</v>
      </c>
      <c r="W193" s="15" t="n">
        <f aca="false">N193*Ipotesi!$C$59*(1+Ipotesi!$C$66)^(F193-1)/12</f>
        <v>4375</v>
      </c>
      <c r="X193" s="15" t="n">
        <f aca="false">O193*Ipotesi!$C$60*(1+Ipotesi!$C$66)^(F193-1)/12</f>
        <v>4166.66666666667</v>
      </c>
      <c r="Y193" s="15" t="n">
        <f aca="false">P193*Ipotesi!$C$61*(1+Ipotesi!$C$66)^(F193-1)/12</f>
        <v>4166.66666666667</v>
      </c>
      <c r="Z193" s="15" t="n">
        <f aca="false">Q193*Ipotesi!$C$62*(1+Ipotesi!$C$66)^(F193-1)/12</f>
        <v>1875</v>
      </c>
      <c r="AA193" s="15" t="n">
        <f aca="false">R193*Ipotesi!$C$63*(1+Ipotesi!$C$66)^(F193-1)/12</f>
        <v>0</v>
      </c>
      <c r="AB193" s="15" t="n">
        <f aca="false">SUM(V193:AA193)</f>
        <v>17916.6666666667</v>
      </c>
      <c r="AC193" s="15" t="n">
        <f aca="false">(S193*Ipotesi!$C$64+T193*Ipotesi!$C$65+U193*Ipotesi!$C$63)*(1+Ipotesi!$C$66)^(F193-1)/12</f>
        <v>5250</v>
      </c>
      <c r="AD193" s="15" t="n">
        <f aca="false">INDEX(Ipotesi!$C$48:$G$48,1,F193)*G193/12</f>
        <v>9.16666666666667</v>
      </c>
      <c r="AE193" s="15" t="n">
        <f aca="false">INDEX(Ipotesi!$C$50:$G$50,1,F193)*G193/12</f>
        <v>1.14583333333333</v>
      </c>
      <c r="AF193" s="15" t="n">
        <f aca="false">(S193*Parametri_v3!$C$7*Parametri_v3!$C$8+Parametri_v3!$C$10)/12</f>
        <v>19.25</v>
      </c>
      <c r="AG193" s="15" t="n">
        <f aca="false">AD193+AE193*(1+Parametri_v3!$C$9)</f>
        <v>10.8854166666667</v>
      </c>
      <c r="AH193" s="16" t="n">
        <f aca="false">IF(AG193=0,1,MIN(1,AF193/AG193))</f>
        <v>1</v>
      </c>
      <c r="AI193" s="15" t="n">
        <f aca="false">AD193*AH193</f>
        <v>9.16666666666667</v>
      </c>
      <c r="AJ193" s="15" t="n">
        <f aca="false">AE193*AH193</f>
        <v>1.14583333333333</v>
      </c>
      <c r="AK193" s="15" t="n">
        <f aca="false">AI193*INDEX(Ipotesi!$C$49:$G$49,1,F193)*H193</f>
        <v>6187.5</v>
      </c>
      <c r="AL193" s="15" t="n">
        <f aca="false">AJ193*INDEX(Ipotesi!$C$51:$G$51,1,F193)*H193</f>
        <v>2062.5</v>
      </c>
      <c r="AM193" s="15" t="n">
        <f aca="false">AK193+AL193</f>
        <v>8250</v>
      </c>
      <c r="AN193" s="15" t="n">
        <f aca="false">INDEX(Ipotesi!$C$30:$G$30,1,F193)*G193/12</f>
        <v>4.58333333333333</v>
      </c>
      <c r="AO193" s="15" t="n">
        <f aca="false">O193*Parametri_v3!$C$7*Parametri_v3!$C$11*(1-Parametri_v3!$C$14)/12</f>
        <v>10.2666666666667</v>
      </c>
      <c r="AP193" s="15" t="n">
        <f aca="false">MIN(AN193,AO193)</f>
        <v>4.58333333333333</v>
      </c>
      <c r="AQ193" s="15" t="n">
        <f aca="false">AP193*INDEX(Ipotesi!$C$31:$G$31,1,F193)*H193</f>
        <v>3712.5</v>
      </c>
      <c r="AR193" s="15" t="n">
        <f aca="false">INDEX(Ipotesi!$C$75:$G$75,1,F193)*J193/12</f>
        <v>2083.33333333333</v>
      </c>
      <c r="AS193" s="15" t="n">
        <f aca="false">INDEX(Ipotesi!$C$81:$G$81,1,F193)*J193/12</f>
        <v>416.666666666667</v>
      </c>
      <c r="AT193" s="15" t="n">
        <f aca="false">AR193*Parametri_v3!$C$15+Z193*Parametri_v3!$C$16</f>
        <v>3395.83333333333</v>
      </c>
      <c r="AU193" s="15" t="n">
        <f aca="false">Q193*Parametri_v3!$C$16*Parametri_v3!$C$17</f>
        <v>35</v>
      </c>
      <c r="AV193" s="17" t="n">
        <f aca="false">BD192</f>
        <v>1.11111111111111</v>
      </c>
      <c r="AW193" s="17" t="n">
        <f aca="false">AV193*(1-(1-INDEX(Ipotesi!$C$34:$G$34,1,F193))^(1/12))</f>
        <v>0</v>
      </c>
      <c r="AX193" s="15" t="n">
        <f aca="false">ROUND(INDEX(Ipotesi!$C$32:$G$32,1,F193)*Ipotesi!F8,0)</f>
        <v>2</v>
      </c>
      <c r="AY193" s="15" t="n">
        <f aca="false">MAX(0,(AX193-(AV193-AW193))/(13-E193))</f>
        <v>0.222222222222222</v>
      </c>
      <c r="AZ193" s="15" t="n">
        <f aca="false">MIN(P193*Parametri_v3!$C$22,Q193*(1-Parametri_v3!$C$16)*Parametri_v3!$C$23)</f>
        <v>22.5</v>
      </c>
      <c r="BA193" s="15" t="n">
        <f aca="false">IF(OR(INDEX(Ipotesi!$C$35:$G$35,1,F193)&lt;=0,9-Parametri_v3!$C$21&lt;1),0,INDEX($AT$185:$AT$244,MAX(1,9-Parametri_v3!$C$21))/(INDEX(Ipotesi!$C$35:$G$35,1,F193)*Ipotesi!F27))</f>
        <v>0.522435897435898</v>
      </c>
      <c r="BB193" s="15" t="n">
        <f aca="false">IF(9-Parametri_v3!$C$21&lt;1,0,INDEX($AU$185:$AU$244,MAX(1,9-Parametri_v3!$C$21)))*Parametri_v3!$C$18*Parametri_v3!$C$19*Parametri_v3!$C$20</f>
        <v>1.3125</v>
      </c>
      <c r="BC193" s="17" t="n">
        <f aca="false">MAX(0,MIN(AY193,BA193,BB193,MAX(0,AZ193-(AV193-AW193))))</f>
        <v>0.222222222222222</v>
      </c>
      <c r="BD193" s="17" t="n">
        <f aca="false">AV193-AW193+BC193</f>
        <v>1.33333333333333</v>
      </c>
      <c r="BE193" s="17" t="n">
        <f aca="false">(AV193+BD193)/2</f>
        <v>1.22222222222222</v>
      </c>
      <c r="BF193" s="15" t="n">
        <f aca="false">BE193*INDEX(Ipotesi!$C$33:$G$33,1,F193)*H193/12</f>
        <v>183.333333333333</v>
      </c>
      <c r="BG193" s="15" t="n">
        <f aca="false">BD193*INDEX(Ipotesi!$C$33:$G$33,1,F193)*H193</f>
        <v>2400</v>
      </c>
      <c r="BH193" s="15" t="n">
        <f aca="false">AM193*INDEX(Ipotesi!$C$37:$G$37,1,F193)</f>
        <v>825</v>
      </c>
      <c r="BI193" s="15" t="n">
        <f aca="false">AQ193+BF193+BH193</f>
        <v>4720.83333333334</v>
      </c>
      <c r="BJ193" s="15" t="n">
        <f aca="false">INDEX(Ipotesi!$C$68:$G$68,1,F193)*Ipotesi!$C$69/12</f>
        <v>1000</v>
      </c>
      <c r="BK193" s="15" t="n">
        <f aca="false">INDEX(Ipotesi!$C$68:$G$68,1,F193)*(1-Ipotesi!$C$69)/12</f>
        <v>1500</v>
      </c>
      <c r="BL193" s="15" t="n">
        <f aca="false">(AQ193+BF193)*Ipotesi!$C$67</f>
        <v>116.875</v>
      </c>
      <c r="BM193" s="15" t="n">
        <f aca="false">AM193*Ipotesi!$C$67</f>
        <v>247.5</v>
      </c>
      <c r="BN193" s="15" t="n">
        <f aca="false">INDEX(Ipotesi!$C$72:$G$72,1,F193)/12*Ipotesi!F126+BF193*Ipotesi!$C$73</f>
        <v>1264.66666666667</v>
      </c>
      <c r="BO193" s="15" t="n">
        <f aca="false">INDEX(Ipotesi!$C$74:$G$74,1,F193)/12*Ipotesi!F126</f>
        <v>1000</v>
      </c>
      <c r="BP193" s="15" t="n">
        <f aca="false">INDEX(Ipotesi!$C$76:$G$76,1,F193)/12</f>
        <v>500</v>
      </c>
      <c r="BQ193" s="15" t="n">
        <f aca="false">INDEX(Ipotesi!$C$77:$G$77,1,F193)/12*Ipotesi!F126</f>
        <v>1250</v>
      </c>
      <c r="BR193" s="15" t="n">
        <f aca="false">INDEX(Ipotesi!$C$78:$G$78,1,F193)/12</f>
        <v>1000</v>
      </c>
      <c r="BS193" s="15" t="n">
        <f aca="false">SUM(M193:R193)*(Ipotesi!$C$85+Ipotesi!$C$86)/12</f>
        <v>1239.58333333333</v>
      </c>
      <c r="BT193" s="15" t="n">
        <f aca="false">BI193*Ipotesi!$C$87</f>
        <v>141.625</v>
      </c>
      <c r="BU193" s="15" t="n">
        <f aca="false">INDEX(Ipotesi!$C$55:$G$55,1,F193)*K193/12</f>
        <v>500</v>
      </c>
      <c r="BV193" s="15" t="n">
        <f aca="false">INDEX(Ipotesi!$C$80:$G$80,1,F193)/12*Ipotesi!F126</f>
        <v>500</v>
      </c>
      <c r="BW193" s="15" t="n">
        <f aca="false">INDEX(Ipotesi!$C$82:$G$82,1,F193)/12</f>
        <v>416.666666666667</v>
      </c>
      <c r="BX193" s="15" t="n">
        <f aca="false">INDEX(Ipotesi!$C$83:$G$83,1,F193)/12</f>
        <v>500</v>
      </c>
      <c r="BY193" s="15" t="n">
        <f aca="false">SUM(S193:U193)*(Ipotesi!$C$85+Ipotesi!$C$86)/12</f>
        <v>437.5</v>
      </c>
      <c r="BZ193" s="15" t="n">
        <f aca="false">AM193*Ipotesi!$C$87</f>
        <v>247.5</v>
      </c>
      <c r="CA193" s="15" t="n">
        <f aca="false">AB193+BJ193+BL193+BN193+BO193+AR193+BP193+BQ193+BR193+BS193+BT193</f>
        <v>27512.75</v>
      </c>
      <c r="CB193" s="15" t="n">
        <f aca="false">AC193+BK193+BM193+BH193+BU193+BV193+AS193+BW193+BX193+BY193+BZ193</f>
        <v>10840.8333333333</v>
      </c>
      <c r="CC193" s="15" t="n">
        <f aca="false">BI193-CA193</f>
        <v>-22791.9166666667</v>
      </c>
      <c r="CD193" s="15" t="n">
        <f aca="false">AM193-CB193</f>
        <v>-2590.83333333333</v>
      </c>
      <c r="CE193" s="15" t="n">
        <f aca="false">INDEX(Ipotesi!$C$79:$G$79,1,F193)/12</f>
        <v>1666.66666666667</v>
      </c>
      <c r="CF193" s="15" t="n">
        <f aca="false">INDEX(Ipotesi!$C$84:$G$84,1,F193)/12</f>
        <v>250</v>
      </c>
      <c r="CG193" s="15" t="n">
        <f aca="false">Y193*MAX(0,Parametri_v3!$C$12-IF(P193=0,0,MIN(1,BE193/(P193*Parametri_v3!$C$22))))+W193*Parametri_v3!$C$13+X193*Parametri_v3!$C$14</f>
        <v>7136.57407407408</v>
      </c>
      <c r="CH193" s="15" t="n">
        <f aca="false">AB193*Parametri_v3!$C$32</f>
        <v>895.833333333334</v>
      </c>
      <c r="CI193" s="15" t="n">
        <f aca="false">AC193*Parametri_v3!$C$32</f>
        <v>262.5</v>
      </c>
      <c r="CJ193" s="15" t="n">
        <f aca="false">CA193-AB193</f>
        <v>9596.08333333333</v>
      </c>
      <c r="CK193" s="15" t="n">
        <f aca="false">CB193-AC193-BH193</f>
        <v>4765.83333333333</v>
      </c>
      <c r="CL193" s="15" t="n">
        <f aca="false">BF193*Ipotesi!$C$73+INDEX(Ipotesi!$C$72:$G$72,1,F193)/12*Ipotesi!F126*Parametri_v3!$C$58+Z193*(1-Parametri_v3!$C$16)</f>
        <v>1827.16666666667</v>
      </c>
      <c r="CM193" s="16" t="n">
        <f aca="false">IF(BF193=0,0,1-CL193/BF193)</f>
        <v>-8.96636363636364</v>
      </c>
    </row>
    <row r="194" customFormat="false" ht="18" hidden="false" customHeight="true" outlineLevel="0" collapsed="false">
      <c r="A194" s="68" t="n">
        <f aca="false">4</f>
        <v>4</v>
      </c>
      <c r="B194" s="68" t="n">
        <f aca="false">10</f>
        <v>10</v>
      </c>
      <c r="C194" s="18" t="n">
        <f aca="false">EDATE(Parametri_v3!$C$5,10-1)</f>
        <v>46661</v>
      </c>
      <c r="D194" s="68" t="n">
        <f aca="false">YEAR(C194)</f>
        <v>2027</v>
      </c>
      <c r="E194" s="68" t="n">
        <f aca="false">MONTH(C194)</f>
        <v>10</v>
      </c>
      <c r="F194" s="68" t="n">
        <f aca="false">INT((10-1)/12)+1</f>
        <v>1</v>
      </c>
      <c r="G194" s="15" t="n">
        <f aca="false">Ipotesi!F7</f>
        <v>0.55</v>
      </c>
      <c r="H194" s="15" t="n">
        <f aca="false">Ipotesi!F9</f>
        <v>0.9</v>
      </c>
      <c r="I194" s="15" t="n">
        <f aca="false">Ipotesi!F10</f>
        <v>1</v>
      </c>
      <c r="J194" s="15" t="n">
        <f aca="false">Ipotesi!F11</f>
        <v>1</v>
      </c>
      <c r="K194" s="15" t="n">
        <f aca="false">Ipotesi!F12</f>
        <v>1</v>
      </c>
      <c r="L194" s="15" t="n">
        <f aca="false">Ipotesi!F13</f>
        <v>120</v>
      </c>
      <c r="M194" s="17" t="n">
        <f aca="false">INDEX(Ipotesi!$C$40:$G$40,1,F194)</f>
        <v>1</v>
      </c>
      <c r="N194" s="17" t="n">
        <f aca="false">INDEX(Ipotesi!$C$41:$G$41,1,F194)</f>
        <v>0.75</v>
      </c>
      <c r="O194" s="17" t="n">
        <f aca="false">INDEX(Ipotesi!$C$42:$G$42,1,F194)*Ipotesi!F125</f>
        <v>1</v>
      </c>
      <c r="P194" s="17" t="n">
        <f aca="false">INDEX(Ipotesi!$C$43:$G$43,1,F194)*I194</f>
        <v>1</v>
      </c>
      <c r="Q194" s="17" t="n">
        <f aca="false">INDEX(Ipotesi!$C$44:$G$44,1,F194)*I194</f>
        <v>0.5</v>
      </c>
      <c r="R194" s="17" t="n">
        <f aca="false">INDEX(Ipotesi!$C$45:$G$45,1,F194)*I194</f>
        <v>0</v>
      </c>
      <c r="S194" s="17" t="n">
        <f aca="false">INDEX(Ipotesi!$C$52:$G$52,1,F194)*Ipotesi!F125</f>
        <v>1.5</v>
      </c>
      <c r="T194" s="17" t="n">
        <f aca="false">INDEX(Ipotesi!$C$53:$G$53,1,F194)*I194</f>
        <v>0</v>
      </c>
      <c r="U194" s="17" t="n">
        <f aca="false">INDEX(Ipotesi!$C$54:$G$54,1,F194)*I194</f>
        <v>0</v>
      </c>
      <c r="V194" s="15" t="n">
        <f aca="false">M194*INDEX(Ipotesi!$C$58:$G$58,1,F194)*K194/12</f>
        <v>3333.33333333333</v>
      </c>
      <c r="W194" s="15" t="n">
        <f aca="false">N194*Ipotesi!$C$59*(1+Ipotesi!$C$66)^(F194-1)/12</f>
        <v>4375</v>
      </c>
      <c r="X194" s="15" t="n">
        <f aca="false">O194*Ipotesi!$C$60*(1+Ipotesi!$C$66)^(F194-1)/12</f>
        <v>4166.66666666667</v>
      </c>
      <c r="Y194" s="15" t="n">
        <f aca="false">P194*Ipotesi!$C$61*(1+Ipotesi!$C$66)^(F194-1)/12</f>
        <v>4166.66666666667</v>
      </c>
      <c r="Z194" s="15" t="n">
        <f aca="false">Q194*Ipotesi!$C$62*(1+Ipotesi!$C$66)^(F194-1)/12</f>
        <v>1875</v>
      </c>
      <c r="AA194" s="15" t="n">
        <f aca="false">R194*Ipotesi!$C$63*(1+Ipotesi!$C$66)^(F194-1)/12</f>
        <v>0</v>
      </c>
      <c r="AB194" s="15" t="n">
        <f aca="false">SUM(V194:AA194)</f>
        <v>17916.6666666667</v>
      </c>
      <c r="AC194" s="15" t="n">
        <f aca="false">(S194*Ipotesi!$C$64+T194*Ipotesi!$C$65+U194*Ipotesi!$C$63)*(1+Ipotesi!$C$66)^(F194-1)/12</f>
        <v>5250</v>
      </c>
      <c r="AD194" s="15" t="n">
        <f aca="false">INDEX(Ipotesi!$C$48:$G$48,1,F194)*G194/12</f>
        <v>9.16666666666667</v>
      </c>
      <c r="AE194" s="15" t="n">
        <f aca="false">INDEX(Ipotesi!$C$50:$G$50,1,F194)*G194/12</f>
        <v>1.14583333333333</v>
      </c>
      <c r="AF194" s="15" t="n">
        <f aca="false">(S194*Parametri_v3!$C$7*Parametri_v3!$C$8+Parametri_v3!$C$10)/12</f>
        <v>19.25</v>
      </c>
      <c r="AG194" s="15" t="n">
        <f aca="false">AD194+AE194*(1+Parametri_v3!$C$9)</f>
        <v>10.8854166666667</v>
      </c>
      <c r="AH194" s="16" t="n">
        <f aca="false">IF(AG194=0,1,MIN(1,AF194/AG194))</f>
        <v>1</v>
      </c>
      <c r="AI194" s="15" t="n">
        <f aca="false">AD194*AH194</f>
        <v>9.16666666666667</v>
      </c>
      <c r="AJ194" s="15" t="n">
        <f aca="false">AE194*AH194</f>
        <v>1.14583333333333</v>
      </c>
      <c r="AK194" s="15" t="n">
        <f aca="false">AI194*INDEX(Ipotesi!$C$49:$G$49,1,F194)*H194</f>
        <v>6187.5</v>
      </c>
      <c r="AL194" s="15" t="n">
        <f aca="false">AJ194*INDEX(Ipotesi!$C$51:$G$51,1,F194)*H194</f>
        <v>2062.5</v>
      </c>
      <c r="AM194" s="15" t="n">
        <f aca="false">AK194+AL194</f>
        <v>8250</v>
      </c>
      <c r="AN194" s="15" t="n">
        <f aca="false">INDEX(Ipotesi!$C$30:$G$30,1,F194)*G194/12</f>
        <v>4.58333333333333</v>
      </c>
      <c r="AO194" s="15" t="n">
        <f aca="false">O194*Parametri_v3!$C$7*Parametri_v3!$C$11*(1-Parametri_v3!$C$14)/12</f>
        <v>10.2666666666667</v>
      </c>
      <c r="AP194" s="15" t="n">
        <f aca="false">MIN(AN194,AO194)</f>
        <v>4.58333333333333</v>
      </c>
      <c r="AQ194" s="15" t="n">
        <f aca="false">AP194*INDEX(Ipotesi!$C$31:$G$31,1,F194)*H194</f>
        <v>3712.5</v>
      </c>
      <c r="AR194" s="15" t="n">
        <f aca="false">INDEX(Ipotesi!$C$75:$G$75,1,F194)*J194/12</f>
        <v>2083.33333333333</v>
      </c>
      <c r="AS194" s="15" t="n">
        <f aca="false">INDEX(Ipotesi!$C$81:$G$81,1,F194)*J194/12</f>
        <v>416.666666666667</v>
      </c>
      <c r="AT194" s="15" t="n">
        <f aca="false">AR194*Parametri_v3!$C$15+Z194*Parametri_v3!$C$16</f>
        <v>3395.83333333333</v>
      </c>
      <c r="AU194" s="15" t="n">
        <f aca="false">Q194*Parametri_v3!$C$16*Parametri_v3!$C$17</f>
        <v>35</v>
      </c>
      <c r="AV194" s="17" t="n">
        <f aca="false">BD193</f>
        <v>1.33333333333333</v>
      </c>
      <c r="AW194" s="17" t="n">
        <f aca="false">AV194*(1-(1-INDEX(Ipotesi!$C$34:$G$34,1,F194))^(1/12))</f>
        <v>0</v>
      </c>
      <c r="AX194" s="15" t="n">
        <f aca="false">ROUND(INDEX(Ipotesi!$C$32:$G$32,1,F194)*Ipotesi!F8,0)</f>
        <v>2</v>
      </c>
      <c r="AY194" s="15" t="n">
        <f aca="false">MAX(0,(AX194-(AV194-AW194))/(13-E194))</f>
        <v>0.222222222222222</v>
      </c>
      <c r="AZ194" s="15" t="n">
        <f aca="false">MIN(P194*Parametri_v3!$C$22,Q194*(1-Parametri_v3!$C$16)*Parametri_v3!$C$23)</f>
        <v>22.5</v>
      </c>
      <c r="BA194" s="15" t="n">
        <f aca="false">IF(OR(INDEX(Ipotesi!$C$35:$G$35,1,F194)&lt;=0,10-Parametri_v3!$C$21&lt;1),0,INDEX($AT$185:$AT$244,MAX(1,10-Parametri_v3!$C$21))/(INDEX(Ipotesi!$C$35:$G$35,1,F194)*Ipotesi!F27))</f>
        <v>0.522435897435898</v>
      </c>
      <c r="BB194" s="15" t="n">
        <f aca="false">IF(10-Parametri_v3!$C$21&lt;1,0,INDEX($AU$185:$AU$244,MAX(1,10-Parametri_v3!$C$21)))*Parametri_v3!$C$18*Parametri_v3!$C$19*Parametri_v3!$C$20</f>
        <v>1.3125</v>
      </c>
      <c r="BC194" s="17" t="n">
        <f aca="false">MAX(0,MIN(AY194,BA194,BB194,MAX(0,AZ194-(AV194-AW194))))</f>
        <v>0.222222222222222</v>
      </c>
      <c r="BD194" s="17" t="n">
        <f aca="false">AV194-AW194+BC194</f>
        <v>1.55555555555556</v>
      </c>
      <c r="BE194" s="17" t="n">
        <f aca="false">(AV194+BD194)/2</f>
        <v>1.44444444444444</v>
      </c>
      <c r="BF194" s="15" t="n">
        <f aca="false">BE194*INDEX(Ipotesi!$C$33:$G$33,1,F194)*H194/12</f>
        <v>216.666666666667</v>
      </c>
      <c r="BG194" s="15" t="n">
        <f aca="false">BD194*INDEX(Ipotesi!$C$33:$G$33,1,F194)*H194</f>
        <v>2800</v>
      </c>
      <c r="BH194" s="15" t="n">
        <f aca="false">AM194*INDEX(Ipotesi!$C$37:$G$37,1,F194)</f>
        <v>825</v>
      </c>
      <c r="BI194" s="15" t="n">
        <f aca="false">AQ194+BF194+BH194</f>
        <v>4754.16666666667</v>
      </c>
      <c r="BJ194" s="15" t="n">
        <f aca="false">INDEX(Ipotesi!$C$68:$G$68,1,F194)*Ipotesi!$C$69/12</f>
        <v>1000</v>
      </c>
      <c r="BK194" s="15" t="n">
        <f aca="false">INDEX(Ipotesi!$C$68:$G$68,1,F194)*(1-Ipotesi!$C$69)/12</f>
        <v>1500</v>
      </c>
      <c r="BL194" s="15" t="n">
        <f aca="false">(AQ194+BF194)*Ipotesi!$C$67</f>
        <v>117.875</v>
      </c>
      <c r="BM194" s="15" t="n">
        <f aca="false">AM194*Ipotesi!$C$67</f>
        <v>247.5</v>
      </c>
      <c r="BN194" s="15" t="n">
        <f aca="false">INDEX(Ipotesi!$C$72:$G$72,1,F194)/12*Ipotesi!F126+BF194*Ipotesi!$C$73</f>
        <v>1267.33333333333</v>
      </c>
      <c r="BO194" s="15" t="n">
        <f aca="false">INDEX(Ipotesi!$C$74:$G$74,1,F194)/12*Ipotesi!F126</f>
        <v>1000</v>
      </c>
      <c r="BP194" s="15" t="n">
        <f aca="false">INDEX(Ipotesi!$C$76:$G$76,1,F194)/12</f>
        <v>500</v>
      </c>
      <c r="BQ194" s="15" t="n">
        <f aca="false">INDEX(Ipotesi!$C$77:$G$77,1,F194)/12*Ipotesi!F126</f>
        <v>1250</v>
      </c>
      <c r="BR194" s="15" t="n">
        <f aca="false">INDEX(Ipotesi!$C$78:$G$78,1,F194)/12</f>
        <v>1000</v>
      </c>
      <c r="BS194" s="15" t="n">
        <f aca="false">SUM(M194:R194)*(Ipotesi!$C$85+Ipotesi!$C$86)/12</f>
        <v>1239.58333333333</v>
      </c>
      <c r="BT194" s="15" t="n">
        <f aca="false">BI194*Ipotesi!$C$87</f>
        <v>142.625</v>
      </c>
      <c r="BU194" s="15" t="n">
        <f aca="false">INDEX(Ipotesi!$C$55:$G$55,1,F194)*K194/12</f>
        <v>500</v>
      </c>
      <c r="BV194" s="15" t="n">
        <f aca="false">INDEX(Ipotesi!$C$80:$G$80,1,F194)/12*Ipotesi!F126</f>
        <v>500</v>
      </c>
      <c r="BW194" s="15" t="n">
        <f aca="false">INDEX(Ipotesi!$C$82:$G$82,1,F194)/12</f>
        <v>416.666666666667</v>
      </c>
      <c r="BX194" s="15" t="n">
        <f aca="false">INDEX(Ipotesi!$C$83:$G$83,1,F194)/12</f>
        <v>500</v>
      </c>
      <c r="BY194" s="15" t="n">
        <f aca="false">SUM(S194:U194)*(Ipotesi!$C$85+Ipotesi!$C$86)/12</f>
        <v>437.5</v>
      </c>
      <c r="BZ194" s="15" t="n">
        <f aca="false">AM194*Ipotesi!$C$87</f>
        <v>247.5</v>
      </c>
      <c r="CA194" s="15" t="n">
        <f aca="false">AB194+BJ194+BL194+BN194+BO194+AR194+BP194+BQ194+BR194+BS194+BT194</f>
        <v>27517.4166666667</v>
      </c>
      <c r="CB194" s="15" t="n">
        <f aca="false">AC194+BK194+BM194+BH194+BU194+BV194+AS194+BW194+BX194+BY194+BZ194</f>
        <v>10840.8333333333</v>
      </c>
      <c r="CC194" s="15" t="n">
        <f aca="false">BI194-CA194</f>
        <v>-22763.25</v>
      </c>
      <c r="CD194" s="15" t="n">
        <f aca="false">AM194-CB194</f>
        <v>-2590.83333333333</v>
      </c>
      <c r="CE194" s="15" t="n">
        <f aca="false">INDEX(Ipotesi!$C$79:$G$79,1,F194)/12</f>
        <v>1666.66666666667</v>
      </c>
      <c r="CF194" s="15" t="n">
        <f aca="false">INDEX(Ipotesi!$C$84:$G$84,1,F194)/12</f>
        <v>250</v>
      </c>
      <c r="CG194" s="15" t="n">
        <f aca="false">Y194*MAX(0,Parametri_v3!$C$12-IF(P194=0,0,MIN(1,BE194/(P194*Parametri_v3!$C$22))))+W194*Parametri_v3!$C$13+X194*Parametri_v3!$C$14</f>
        <v>7127.31481481482</v>
      </c>
      <c r="CH194" s="15" t="n">
        <f aca="false">AB194*Parametri_v3!$C$32</f>
        <v>895.833333333334</v>
      </c>
      <c r="CI194" s="15" t="n">
        <f aca="false">AC194*Parametri_v3!$C$32</f>
        <v>262.5</v>
      </c>
      <c r="CJ194" s="15" t="n">
        <f aca="false">CA194-AB194</f>
        <v>9600.75</v>
      </c>
      <c r="CK194" s="15" t="n">
        <f aca="false">CB194-AC194-BH194</f>
        <v>4765.83333333333</v>
      </c>
      <c r="CL194" s="15" t="n">
        <f aca="false">BF194*Ipotesi!$C$73+INDEX(Ipotesi!$C$72:$G$72,1,F194)/12*Ipotesi!F126*Parametri_v3!$C$58+Z194*(1-Parametri_v3!$C$16)</f>
        <v>1829.83333333333</v>
      </c>
      <c r="CM194" s="16" t="n">
        <f aca="false">IF(BF194=0,0,1-CL194/BF194)</f>
        <v>-7.44538461538462</v>
      </c>
    </row>
    <row r="195" customFormat="false" ht="18" hidden="false" customHeight="true" outlineLevel="0" collapsed="false">
      <c r="A195" s="68" t="n">
        <f aca="false">4</f>
        <v>4</v>
      </c>
      <c r="B195" s="68" t="n">
        <f aca="false">11</f>
        <v>11</v>
      </c>
      <c r="C195" s="18" t="n">
        <f aca="false">EDATE(Parametri_v3!$C$5,11-1)</f>
        <v>46692</v>
      </c>
      <c r="D195" s="68" t="n">
        <f aca="false">YEAR(C195)</f>
        <v>2027</v>
      </c>
      <c r="E195" s="68" t="n">
        <f aca="false">MONTH(C195)</f>
        <v>11</v>
      </c>
      <c r="F195" s="68" t="n">
        <f aca="false">INT((11-1)/12)+1</f>
        <v>1</v>
      </c>
      <c r="G195" s="15" t="n">
        <f aca="false">Ipotesi!F7</f>
        <v>0.55</v>
      </c>
      <c r="H195" s="15" t="n">
        <f aca="false">Ipotesi!F9</f>
        <v>0.9</v>
      </c>
      <c r="I195" s="15" t="n">
        <f aca="false">Ipotesi!F10</f>
        <v>1</v>
      </c>
      <c r="J195" s="15" t="n">
        <f aca="false">Ipotesi!F11</f>
        <v>1</v>
      </c>
      <c r="K195" s="15" t="n">
        <f aca="false">Ipotesi!F12</f>
        <v>1</v>
      </c>
      <c r="L195" s="15" t="n">
        <f aca="false">Ipotesi!F13</f>
        <v>120</v>
      </c>
      <c r="M195" s="17" t="n">
        <f aca="false">INDEX(Ipotesi!$C$40:$G$40,1,F195)</f>
        <v>1</v>
      </c>
      <c r="N195" s="17" t="n">
        <f aca="false">INDEX(Ipotesi!$C$41:$G$41,1,F195)</f>
        <v>0.75</v>
      </c>
      <c r="O195" s="17" t="n">
        <f aca="false">INDEX(Ipotesi!$C$42:$G$42,1,F195)*Ipotesi!F125</f>
        <v>1</v>
      </c>
      <c r="P195" s="17" t="n">
        <f aca="false">INDEX(Ipotesi!$C$43:$G$43,1,F195)*I195</f>
        <v>1</v>
      </c>
      <c r="Q195" s="17" t="n">
        <f aca="false">INDEX(Ipotesi!$C$44:$G$44,1,F195)*I195</f>
        <v>0.5</v>
      </c>
      <c r="R195" s="17" t="n">
        <f aca="false">INDEX(Ipotesi!$C$45:$G$45,1,F195)*I195</f>
        <v>0</v>
      </c>
      <c r="S195" s="17" t="n">
        <f aca="false">INDEX(Ipotesi!$C$52:$G$52,1,F195)*Ipotesi!F125</f>
        <v>1.5</v>
      </c>
      <c r="T195" s="17" t="n">
        <f aca="false">INDEX(Ipotesi!$C$53:$G$53,1,F195)*I195</f>
        <v>0</v>
      </c>
      <c r="U195" s="17" t="n">
        <f aca="false">INDEX(Ipotesi!$C$54:$G$54,1,F195)*I195</f>
        <v>0</v>
      </c>
      <c r="V195" s="15" t="n">
        <f aca="false">M195*INDEX(Ipotesi!$C$58:$G$58,1,F195)*K195/12</f>
        <v>3333.33333333333</v>
      </c>
      <c r="W195" s="15" t="n">
        <f aca="false">N195*Ipotesi!$C$59*(1+Ipotesi!$C$66)^(F195-1)/12</f>
        <v>4375</v>
      </c>
      <c r="X195" s="15" t="n">
        <f aca="false">O195*Ipotesi!$C$60*(1+Ipotesi!$C$66)^(F195-1)/12</f>
        <v>4166.66666666667</v>
      </c>
      <c r="Y195" s="15" t="n">
        <f aca="false">P195*Ipotesi!$C$61*(1+Ipotesi!$C$66)^(F195-1)/12</f>
        <v>4166.66666666667</v>
      </c>
      <c r="Z195" s="15" t="n">
        <f aca="false">Q195*Ipotesi!$C$62*(1+Ipotesi!$C$66)^(F195-1)/12</f>
        <v>1875</v>
      </c>
      <c r="AA195" s="15" t="n">
        <f aca="false">R195*Ipotesi!$C$63*(1+Ipotesi!$C$66)^(F195-1)/12</f>
        <v>0</v>
      </c>
      <c r="AB195" s="15" t="n">
        <f aca="false">SUM(V195:AA195)</f>
        <v>17916.6666666667</v>
      </c>
      <c r="AC195" s="15" t="n">
        <f aca="false">(S195*Ipotesi!$C$64+T195*Ipotesi!$C$65+U195*Ipotesi!$C$63)*(1+Ipotesi!$C$66)^(F195-1)/12</f>
        <v>5250</v>
      </c>
      <c r="AD195" s="15" t="n">
        <f aca="false">INDEX(Ipotesi!$C$48:$G$48,1,F195)*G195/12</f>
        <v>9.16666666666667</v>
      </c>
      <c r="AE195" s="15" t="n">
        <f aca="false">INDEX(Ipotesi!$C$50:$G$50,1,F195)*G195/12</f>
        <v>1.14583333333333</v>
      </c>
      <c r="AF195" s="15" t="n">
        <f aca="false">(S195*Parametri_v3!$C$7*Parametri_v3!$C$8+Parametri_v3!$C$10)/12</f>
        <v>19.25</v>
      </c>
      <c r="AG195" s="15" t="n">
        <f aca="false">AD195+AE195*(1+Parametri_v3!$C$9)</f>
        <v>10.8854166666667</v>
      </c>
      <c r="AH195" s="16" t="n">
        <f aca="false">IF(AG195=0,1,MIN(1,AF195/AG195))</f>
        <v>1</v>
      </c>
      <c r="AI195" s="15" t="n">
        <f aca="false">AD195*AH195</f>
        <v>9.16666666666667</v>
      </c>
      <c r="AJ195" s="15" t="n">
        <f aca="false">AE195*AH195</f>
        <v>1.14583333333333</v>
      </c>
      <c r="AK195" s="15" t="n">
        <f aca="false">AI195*INDEX(Ipotesi!$C$49:$G$49,1,F195)*H195</f>
        <v>6187.5</v>
      </c>
      <c r="AL195" s="15" t="n">
        <f aca="false">AJ195*INDEX(Ipotesi!$C$51:$G$51,1,F195)*H195</f>
        <v>2062.5</v>
      </c>
      <c r="AM195" s="15" t="n">
        <f aca="false">AK195+AL195</f>
        <v>8250</v>
      </c>
      <c r="AN195" s="15" t="n">
        <f aca="false">INDEX(Ipotesi!$C$30:$G$30,1,F195)*G195/12</f>
        <v>4.58333333333333</v>
      </c>
      <c r="AO195" s="15" t="n">
        <f aca="false">O195*Parametri_v3!$C$7*Parametri_v3!$C$11*(1-Parametri_v3!$C$14)/12</f>
        <v>10.2666666666667</v>
      </c>
      <c r="AP195" s="15" t="n">
        <f aca="false">MIN(AN195,AO195)</f>
        <v>4.58333333333333</v>
      </c>
      <c r="AQ195" s="15" t="n">
        <f aca="false">AP195*INDEX(Ipotesi!$C$31:$G$31,1,F195)*H195</f>
        <v>3712.5</v>
      </c>
      <c r="AR195" s="15" t="n">
        <f aca="false">INDEX(Ipotesi!$C$75:$G$75,1,F195)*J195/12</f>
        <v>2083.33333333333</v>
      </c>
      <c r="AS195" s="15" t="n">
        <f aca="false">INDEX(Ipotesi!$C$81:$G$81,1,F195)*J195/12</f>
        <v>416.666666666667</v>
      </c>
      <c r="AT195" s="15" t="n">
        <f aca="false">AR195*Parametri_v3!$C$15+Z195*Parametri_v3!$C$16</f>
        <v>3395.83333333333</v>
      </c>
      <c r="AU195" s="15" t="n">
        <f aca="false">Q195*Parametri_v3!$C$16*Parametri_v3!$C$17</f>
        <v>35</v>
      </c>
      <c r="AV195" s="17" t="n">
        <f aca="false">BD194</f>
        <v>1.55555555555556</v>
      </c>
      <c r="AW195" s="17" t="n">
        <f aca="false">AV195*(1-(1-INDEX(Ipotesi!$C$34:$G$34,1,F195))^(1/12))</f>
        <v>0</v>
      </c>
      <c r="AX195" s="15" t="n">
        <f aca="false">ROUND(INDEX(Ipotesi!$C$32:$G$32,1,F195)*Ipotesi!F8,0)</f>
        <v>2</v>
      </c>
      <c r="AY195" s="15" t="n">
        <f aca="false">MAX(0,(AX195-(AV195-AW195))/(13-E195))</f>
        <v>0.222222222222222</v>
      </c>
      <c r="AZ195" s="15" t="n">
        <f aca="false">MIN(P195*Parametri_v3!$C$22,Q195*(1-Parametri_v3!$C$16)*Parametri_v3!$C$23)</f>
        <v>22.5</v>
      </c>
      <c r="BA195" s="15" t="n">
        <f aca="false">IF(OR(INDEX(Ipotesi!$C$35:$G$35,1,F195)&lt;=0,11-Parametri_v3!$C$21&lt;1),0,INDEX($AT$185:$AT$244,MAX(1,11-Parametri_v3!$C$21))/(INDEX(Ipotesi!$C$35:$G$35,1,F195)*Ipotesi!F27))</f>
        <v>0.522435897435898</v>
      </c>
      <c r="BB195" s="15" t="n">
        <f aca="false">IF(11-Parametri_v3!$C$21&lt;1,0,INDEX($AU$185:$AU$244,MAX(1,11-Parametri_v3!$C$21)))*Parametri_v3!$C$18*Parametri_v3!$C$19*Parametri_v3!$C$20</f>
        <v>1.3125</v>
      </c>
      <c r="BC195" s="17" t="n">
        <f aca="false">MAX(0,MIN(AY195,BA195,BB195,MAX(0,AZ195-(AV195-AW195))))</f>
        <v>0.222222222222222</v>
      </c>
      <c r="BD195" s="17" t="n">
        <f aca="false">AV195-AW195+BC195</f>
        <v>1.77777777777778</v>
      </c>
      <c r="BE195" s="17" t="n">
        <f aca="false">(AV195+BD195)/2</f>
        <v>1.66666666666667</v>
      </c>
      <c r="BF195" s="15" t="n">
        <f aca="false">BE195*INDEX(Ipotesi!$C$33:$G$33,1,F195)*H195/12</f>
        <v>250</v>
      </c>
      <c r="BG195" s="15" t="n">
        <f aca="false">BD195*INDEX(Ipotesi!$C$33:$G$33,1,F195)*H195</f>
        <v>3200</v>
      </c>
      <c r="BH195" s="15" t="n">
        <f aca="false">AM195*INDEX(Ipotesi!$C$37:$G$37,1,F195)</f>
        <v>825</v>
      </c>
      <c r="BI195" s="15" t="n">
        <f aca="false">AQ195+BF195+BH195</f>
        <v>4787.5</v>
      </c>
      <c r="BJ195" s="15" t="n">
        <f aca="false">INDEX(Ipotesi!$C$68:$G$68,1,F195)*Ipotesi!$C$69/12</f>
        <v>1000</v>
      </c>
      <c r="BK195" s="15" t="n">
        <f aca="false">INDEX(Ipotesi!$C$68:$G$68,1,F195)*(1-Ipotesi!$C$69)/12</f>
        <v>1500</v>
      </c>
      <c r="BL195" s="15" t="n">
        <f aca="false">(AQ195+BF195)*Ipotesi!$C$67</f>
        <v>118.875</v>
      </c>
      <c r="BM195" s="15" t="n">
        <f aca="false">AM195*Ipotesi!$C$67</f>
        <v>247.5</v>
      </c>
      <c r="BN195" s="15" t="n">
        <f aca="false">INDEX(Ipotesi!$C$72:$G$72,1,F195)/12*Ipotesi!F126+BF195*Ipotesi!$C$73</f>
        <v>1270</v>
      </c>
      <c r="BO195" s="15" t="n">
        <f aca="false">INDEX(Ipotesi!$C$74:$G$74,1,F195)/12*Ipotesi!F126</f>
        <v>1000</v>
      </c>
      <c r="BP195" s="15" t="n">
        <f aca="false">INDEX(Ipotesi!$C$76:$G$76,1,F195)/12</f>
        <v>500</v>
      </c>
      <c r="BQ195" s="15" t="n">
        <f aca="false">INDEX(Ipotesi!$C$77:$G$77,1,F195)/12*Ipotesi!F126</f>
        <v>1250</v>
      </c>
      <c r="BR195" s="15" t="n">
        <f aca="false">INDEX(Ipotesi!$C$78:$G$78,1,F195)/12</f>
        <v>1000</v>
      </c>
      <c r="BS195" s="15" t="n">
        <f aca="false">SUM(M195:R195)*(Ipotesi!$C$85+Ipotesi!$C$86)/12</f>
        <v>1239.58333333333</v>
      </c>
      <c r="BT195" s="15" t="n">
        <f aca="false">BI195*Ipotesi!$C$87</f>
        <v>143.625</v>
      </c>
      <c r="BU195" s="15" t="n">
        <f aca="false">INDEX(Ipotesi!$C$55:$G$55,1,F195)*K195/12</f>
        <v>500</v>
      </c>
      <c r="BV195" s="15" t="n">
        <f aca="false">INDEX(Ipotesi!$C$80:$G$80,1,F195)/12*Ipotesi!F126</f>
        <v>500</v>
      </c>
      <c r="BW195" s="15" t="n">
        <f aca="false">INDEX(Ipotesi!$C$82:$G$82,1,F195)/12</f>
        <v>416.666666666667</v>
      </c>
      <c r="BX195" s="15" t="n">
        <f aca="false">INDEX(Ipotesi!$C$83:$G$83,1,F195)/12</f>
        <v>500</v>
      </c>
      <c r="BY195" s="15" t="n">
        <f aca="false">SUM(S195:U195)*(Ipotesi!$C$85+Ipotesi!$C$86)/12</f>
        <v>437.5</v>
      </c>
      <c r="BZ195" s="15" t="n">
        <f aca="false">AM195*Ipotesi!$C$87</f>
        <v>247.5</v>
      </c>
      <c r="CA195" s="15" t="n">
        <f aca="false">AB195+BJ195+BL195+BN195+BO195+AR195+BP195+BQ195+BR195+BS195+BT195</f>
        <v>27522.0833333333</v>
      </c>
      <c r="CB195" s="15" t="n">
        <f aca="false">AC195+BK195+BM195+BH195+BU195+BV195+AS195+BW195+BX195+BY195+BZ195</f>
        <v>10840.8333333333</v>
      </c>
      <c r="CC195" s="15" t="n">
        <f aca="false">BI195-CA195</f>
        <v>-22734.5833333333</v>
      </c>
      <c r="CD195" s="15" t="n">
        <f aca="false">AM195-CB195</f>
        <v>-2590.83333333333</v>
      </c>
      <c r="CE195" s="15" t="n">
        <f aca="false">INDEX(Ipotesi!$C$79:$G$79,1,F195)/12</f>
        <v>1666.66666666667</v>
      </c>
      <c r="CF195" s="15" t="n">
        <f aca="false">INDEX(Ipotesi!$C$84:$G$84,1,F195)/12</f>
        <v>250</v>
      </c>
      <c r="CG195" s="15" t="n">
        <f aca="false">Y195*MAX(0,Parametri_v3!$C$12-IF(P195=0,0,MIN(1,BE195/(P195*Parametri_v3!$C$22))))+W195*Parametri_v3!$C$13+X195*Parametri_v3!$C$14</f>
        <v>7118.05555555556</v>
      </c>
      <c r="CH195" s="15" t="n">
        <f aca="false">AB195*Parametri_v3!$C$32</f>
        <v>895.833333333334</v>
      </c>
      <c r="CI195" s="15" t="n">
        <f aca="false">AC195*Parametri_v3!$C$32</f>
        <v>262.5</v>
      </c>
      <c r="CJ195" s="15" t="n">
        <f aca="false">CA195-AB195</f>
        <v>9605.41666666666</v>
      </c>
      <c r="CK195" s="15" t="n">
        <f aca="false">CB195-AC195-BH195</f>
        <v>4765.83333333333</v>
      </c>
      <c r="CL195" s="15" t="n">
        <f aca="false">BF195*Ipotesi!$C$73+INDEX(Ipotesi!$C$72:$G$72,1,F195)/12*Ipotesi!F126*Parametri_v3!$C$58+Z195*(1-Parametri_v3!$C$16)</f>
        <v>1832.5</v>
      </c>
      <c r="CM195" s="16" t="n">
        <f aca="false">IF(BF195=0,0,1-CL195/BF195)</f>
        <v>-6.33</v>
      </c>
    </row>
    <row r="196" customFormat="false" ht="18" hidden="false" customHeight="true" outlineLevel="0" collapsed="false">
      <c r="A196" s="68" t="n">
        <f aca="false">4</f>
        <v>4</v>
      </c>
      <c r="B196" s="68" t="n">
        <f aca="false">12</f>
        <v>12</v>
      </c>
      <c r="C196" s="18" t="n">
        <f aca="false">EDATE(Parametri_v3!$C$5,12-1)</f>
        <v>46722</v>
      </c>
      <c r="D196" s="68" t="n">
        <f aca="false">YEAR(C196)</f>
        <v>2027</v>
      </c>
      <c r="E196" s="68" t="n">
        <f aca="false">MONTH(C196)</f>
        <v>12</v>
      </c>
      <c r="F196" s="68" t="n">
        <f aca="false">INT((12-1)/12)+1</f>
        <v>1</v>
      </c>
      <c r="G196" s="15" t="n">
        <f aca="false">Ipotesi!F7</f>
        <v>0.55</v>
      </c>
      <c r="H196" s="15" t="n">
        <f aca="false">Ipotesi!F9</f>
        <v>0.9</v>
      </c>
      <c r="I196" s="15" t="n">
        <f aca="false">Ipotesi!F10</f>
        <v>1</v>
      </c>
      <c r="J196" s="15" t="n">
        <f aca="false">Ipotesi!F11</f>
        <v>1</v>
      </c>
      <c r="K196" s="15" t="n">
        <f aca="false">Ipotesi!F12</f>
        <v>1</v>
      </c>
      <c r="L196" s="15" t="n">
        <f aca="false">Ipotesi!F13</f>
        <v>120</v>
      </c>
      <c r="M196" s="17" t="n">
        <f aca="false">INDEX(Ipotesi!$C$40:$G$40,1,F196)</f>
        <v>1</v>
      </c>
      <c r="N196" s="17" t="n">
        <f aca="false">INDEX(Ipotesi!$C$41:$G$41,1,F196)</f>
        <v>0.75</v>
      </c>
      <c r="O196" s="17" t="n">
        <f aca="false">INDEX(Ipotesi!$C$42:$G$42,1,F196)*Ipotesi!F125</f>
        <v>1</v>
      </c>
      <c r="P196" s="17" t="n">
        <f aca="false">INDEX(Ipotesi!$C$43:$G$43,1,F196)*I196</f>
        <v>1</v>
      </c>
      <c r="Q196" s="17" t="n">
        <f aca="false">INDEX(Ipotesi!$C$44:$G$44,1,F196)*I196</f>
        <v>0.5</v>
      </c>
      <c r="R196" s="17" t="n">
        <f aca="false">INDEX(Ipotesi!$C$45:$G$45,1,F196)*I196</f>
        <v>0</v>
      </c>
      <c r="S196" s="17" t="n">
        <f aca="false">INDEX(Ipotesi!$C$52:$G$52,1,F196)*Ipotesi!F125</f>
        <v>1.5</v>
      </c>
      <c r="T196" s="17" t="n">
        <f aca="false">INDEX(Ipotesi!$C$53:$G$53,1,F196)*I196</f>
        <v>0</v>
      </c>
      <c r="U196" s="17" t="n">
        <f aca="false">INDEX(Ipotesi!$C$54:$G$54,1,F196)*I196</f>
        <v>0</v>
      </c>
      <c r="V196" s="15" t="n">
        <f aca="false">M196*INDEX(Ipotesi!$C$58:$G$58,1,F196)*K196/12</f>
        <v>3333.33333333333</v>
      </c>
      <c r="W196" s="15" t="n">
        <f aca="false">N196*Ipotesi!$C$59*(1+Ipotesi!$C$66)^(F196-1)/12</f>
        <v>4375</v>
      </c>
      <c r="X196" s="15" t="n">
        <f aca="false">O196*Ipotesi!$C$60*(1+Ipotesi!$C$66)^(F196-1)/12</f>
        <v>4166.66666666667</v>
      </c>
      <c r="Y196" s="15" t="n">
        <f aca="false">P196*Ipotesi!$C$61*(1+Ipotesi!$C$66)^(F196-1)/12</f>
        <v>4166.66666666667</v>
      </c>
      <c r="Z196" s="15" t="n">
        <f aca="false">Q196*Ipotesi!$C$62*(1+Ipotesi!$C$66)^(F196-1)/12</f>
        <v>1875</v>
      </c>
      <c r="AA196" s="15" t="n">
        <f aca="false">R196*Ipotesi!$C$63*(1+Ipotesi!$C$66)^(F196-1)/12</f>
        <v>0</v>
      </c>
      <c r="AB196" s="15" t="n">
        <f aca="false">SUM(V196:AA196)</f>
        <v>17916.6666666667</v>
      </c>
      <c r="AC196" s="15" t="n">
        <f aca="false">(S196*Ipotesi!$C$64+T196*Ipotesi!$C$65+U196*Ipotesi!$C$63)*(1+Ipotesi!$C$66)^(F196-1)/12</f>
        <v>5250</v>
      </c>
      <c r="AD196" s="15" t="n">
        <f aca="false">INDEX(Ipotesi!$C$48:$G$48,1,F196)*G196/12</f>
        <v>9.16666666666667</v>
      </c>
      <c r="AE196" s="15" t="n">
        <f aca="false">INDEX(Ipotesi!$C$50:$G$50,1,F196)*G196/12</f>
        <v>1.14583333333333</v>
      </c>
      <c r="AF196" s="15" t="n">
        <f aca="false">(S196*Parametri_v3!$C$7*Parametri_v3!$C$8+Parametri_v3!$C$10)/12</f>
        <v>19.25</v>
      </c>
      <c r="AG196" s="15" t="n">
        <f aca="false">AD196+AE196*(1+Parametri_v3!$C$9)</f>
        <v>10.8854166666667</v>
      </c>
      <c r="AH196" s="16" t="n">
        <f aca="false">IF(AG196=0,1,MIN(1,AF196/AG196))</f>
        <v>1</v>
      </c>
      <c r="AI196" s="15" t="n">
        <f aca="false">AD196*AH196</f>
        <v>9.16666666666667</v>
      </c>
      <c r="AJ196" s="15" t="n">
        <f aca="false">AE196*AH196</f>
        <v>1.14583333333333</v>
      </c>
      <c r="AK196" s="15" t="n">
        <f aca="false">AI196*INDEX(Ipotesi!$C$49:$G$49,1,F196)*H196</f>
        <v>6187.5</v>
      </c>
      <c r="AL196" s="15" t="n">
        <f aca="false">AJ196*INDEX(Ipotesi!$C$51:$G$51,1,F196)*H196</f>
        <v>2062.5</v>
      </c>
      <c r="AM196" s="15" t="n">
        <f aca="false">AK196+AL196</f>
        <v>8250</v>
      </c>
      <c r="AN196" s="15" t="n">
        <f aca="false">INDEX(Ipotesi!$C$30:$G$30,1,F196)*G196/12</f>
        <v>4.58333333333333</v>
      </c>
      <c r="AO196" s="15" t="n">
        <f aca="false">O196*Parametri_v3!$C$7*Parametri_v3!$C$11*(1-Parametri_v3!$C$14)/12</f>
        <v>10.2666666666667</v>
      </c>
      <c r="AP196" s="15" t="n">
        <f aca="false">MIN(AN196,AO196)</f>
        <v>4.58333333333333</v>
      </c>
      <c r="AQ196" s="15" t="n">
        <f aca="false">AP196*INDEX(Ipotesi!$C$31:$G$31,1,F196)*H196</f>
        <v>3712.5</v>
      </c>
      <c r="AR196" s="15" t="n">
        <f aca="false">INDEX(Ipotesi!$C$75:$G$75,1,F196)*J196/12</f>
        <v>2083.33333333333</v>
      </c>
      <c r="AS196" s="15" t="n">
        <f aca="false">INDEX(Ipotesi!$C$81:$G$81,1,F196)*J196/12</f>
        <v>416.666666666667</v>
      </c>
      <c r="AT196" s="15" t="n">
        <f aca="false">AR196*Parametri_v3!$C$15+Z196*Parametri_v3!$C$16</f>
        <v>3395.83333333333</v>
      </c>
      <c r="AU196" s="15" t="n">
        <f aca="false">Q196*Parametri_v3!$C$16*Parametri_v3!$C$17</f>
        <v>35</v>
      </c>
      <c r="AV196" s="17" t="n">
        <f aca="false">BD195</f>
        <v>1.77777777777778</v>
      </c>
      <c r="AW196" s="17" t="n">
        <f aca="false">AV196*(1-(1-INDEX(Ipotesi!$C$34:$G$34,1,F196))^(1/12))</f>
        <v>0</v>
      </c>
      <c r="AX196" s="15" t="n">
        <f aca="false">ROUND(INDEX(Ipotesi!$C$32:$G$32,1,F196)*Ipotesi!F8,0)</f>
        <v>2</v>
      </c>
      <c r="AY196" s="15" t="n">
        <f aca="false">MAX(0,(AX196-(AV196-AW196))/(13-E196))</f>
        <v>0.222222222222222</v>
      </c>
      <c r="AZ196" s="15" t="n">
        <f aca="false">MIN(P196*Parametri_v3!$C$22,Q196*(1-Parametri_v3!$C$16)*Parametri_v3!$C$23)</f>
        <v>22.5</v>
      </c>
      <c r="BA196" s="15" t="n">
        <f aca="false">IF(OR(INDEX(Ipotesi!$C$35:$G$35,1,F196)&lt;=0,12-Parametri_v3!$C$21&lt;1),0,INDEX($AT$185:$AT$244,MAX(1,12-Parametri_v3!$C$21))/(INDEX(Ipotesi!$C$35:$G$35,1,F196)*Ipotesi!F27))</f>
        <v>0.522435897435898</v>
      </c>
      <c r="BB196" s="15" t="n">
        <f aca="false">IF(12-Parametri_v3!$C$21&lt;1,0,INDEX($AU$185:$AU$244,MAX(1,12-Parametri_v3!$C$21)))*Parametri_v3!$C$18*Parametri_v3!$C$19*Parametri_v3!$C$20</f>
        <v>1.3125</v>
      </c>
      <c r="BC196" s="17" t="n">
        <f aca="false">MAX(0,MIN(AY196,BA196,BB196,MAX(0,AZ196-(AV196-AW196))))</f>
        <v>0.222222222222222</v>
      </c>
      <c r="BD196" s="17" t="n">
        <f aca="false">AV196-AW196+BC196</f>
        <v>2</v>
      </c>
      <c r="BE196" s="17" t="n">
        <f aca="false">(AV196+BD196)/2</f>
        <v>1.88888888888889</v>
      </c>
      <c r="BF196" s="15" t="n">
        <f aca="false">BE196*INDEX(Ipotesi!$C$33:$G$33,1,F196)*H196/12</f>
        <v>283.333333333333</v>
      </c>
      <c r="BG196" s="15" t="n">
        <f aca="false">BD196*INDEX(Ipotesi!$C$33:$G$33,1,F196)*H196</f>
        <v>3600</v>
      </c>
      <c r="BH196" s="15" t="n">
        <f aca="false">AM196*INDEX(Ipotesi!$C$37:$G$37,1,F196)</f>
        <v>825</v>
      </c>
      <c r="BI196" s="15" t="n">
        <f aca="false">AQ196+BF196+BH196</f>
        <v>4820.83333333334</v>
      </c>
      <c r="BJ196" s="15" t="n">
        <f aca="false">INDEX(Ipotesi!$C$68:$G$68,1,F196)*Ipotesi!$C$69/12</f>
        <v>1000</v>
      </c>
      <c r="BK196" s="15" t="n">
        <f aca="false">INDEX(Ipotesi!$C$68:$G$68,1,F196)*(1-Ipotesi!$C$69)/12</f>
        <v>1500</v>
      </c>
      <c r="BL196" s="15" t="n">
        <f aca="false">(AQ196+BF196)*Ipotesi!$C$67</f>
        <v>119.875</v>
      </c>
      <c r="BM196" s="15" t="n">
        <f aca="false">AM196*Ipotesi!$C$67</f>
        <v>247.5</v>
      </c>
      <c r="BN196" s="15" t="n">
        <f aca="false">INDEX(Ipotesi!$C$72:$G$72,1,F196)/12*Ipotesi!F126+BF196*Ipotesi!$C$73</f>
        <v>1272.66666666667</v>
      </c>
      <c r="BO196" s="15" t="n">
        <f aca="false">INDEX(Ipotesi!$C$74:$G$74,1,F196)/12*Ipotesi!F126</f>
        <v>1000</v>
      </c>
      <c r="BP196" s="15" t="n">
        <f aca="false">INDEX(Ipotesi!$C$76:$G$76,1,F196)/12</f>
        <v>500</v>
      </c>
      <c r="BQ196" s="15" t="n">
        <f aca="false">INDEX(Ipotesi!$C$77:$G$77,1,F196)/12*Ipotesi!F126</f>
        <v>1250</v>
      </c>
      <c r="BR196" s="15" t="n">
        <f aca="false">INDEX(Ipotesi!$C$78:$G$78,1,F196)/12</f>
        <v>1000</v>
      </c>
      <c r="BS196" s="15" t="n">
        <f aca="false">SUM(M196:R196)*(Ipotesi!$C$85+Ipotesi!$C$86)/12</f>
        <v>1239.58333333333</v>
      </c>
      <c r="BT196" s="15" t="n">
        <f aca="false">BI196*Ipotesi!$C$87</f>
        <v>144.625</v>
      </c>
      <c r="BU196" s="15" t="n">
        <f aca="false">INDEX(Ipotesi!$C$55:$G$55,1,F196)*K196/12</f>
        <v>500</v>
      </c>
      <c r="BV196" s="15" t="n">
        <f aca="false">INDEX(Ipotesi!$C$80:$G$80,1,F196)/12*Ipotesi!F126</f>
        <v>500</v>
      </c>
      <c r="BW196" s="15" t="n">
        <f aca="false">INDEX(Ipotesi!$C$82:$G$82,1,F196)/12</f>
        <v>416.666666666667</v>
      </c>
      <c r="BX196" s="15" t="n">
        <f aca="false">INDEX(Ipotesi!$C$83:$G$83,1,F196)/12</f>
        <v>500</v>
      </c>
      <c r="BY196" s="15" t="n">
        <f aca="false">SUM(S196:U196)*(Ipotesi!$C$85+Ipotesi!$C$86)/12</f>
        <v>437.5</v>
      </c>
      <c r="BZ196" s="15" t="n">
        <f aca="false">AM196*Ipotesi!$C$87</f>
        <v>247.5</v>
      </c>
      <c r="CA196" s="15" t="n">
        <f aca="false">AB196+BJ196+BL196+BN196+BO196+AR196+BP196+BQ196+BR196+BS196+BT196</f>
        <v>27526.75</v>
      </c>
      <c r="CB196" s="15" t="n">
        <f aca="false">AC196+BK196+BM196+BH196+BU196+BV196+AS196+BW196+BX196+BY196+BZ196</f>
        <v>10840.8333333333</v>
      </c>
      <c r="CC196" s="15" t="n">
        <f aca="false">BI196-CA196</f>
        <v>-22705.9166666667</v>
      </c>
      <c r="CD196" s="15" t="n">
        <f aca="false">AM196-CB196</f>
        <v>-2590.83333333333</v>
      </c>
      <c r="CE196" s="15" t="n">
        <f aca="false">INDEX(Ipotesi!$C$79:$G$79,1,F196)/12</f>
        <v>1666.66666666667</v>
      </c>
      <c r="CF196" s="15" t="n">
        <f aca="false">INDEX(Ipotesi!$C$84:$G$84,1,F196)/12</f>
        <v>250</v>
      </c>
      <c r="CG196" s="15" t="n">
        <f aca="false">Y196*MAX(0,Parametri_v3!$C$12-IF(P196=0,0,MIN(1,BE196/(P196*Parametri_v3!$C$22))))+W196*Parametri_v3!$C$13+X196*Parametri_v3!$C$14</f>
        <v>7108.7962962963</v>
      </c>
      <c r="CH196" s="15" t="n">
        <f aca="false">AB196*Parametri_v3!$C$32</f>
        <v>895.833333333334</v>
      </c>
      <c r="CI196" s="15" t="n">
        <f aca="false">AC196*Parametri_v3!$C$32</f>
        <v>262.5</v>
      </c>
      <c r="CJ196" s="15" t="n">
        <f aca="false">CA196-AB196</f>
        <v>9610.08333333333</v>
      </c>
      <c r="CK196" s="15" t="n">
        <f aca="false">CB196-AC196-BH196</f>
        <v>4765.83333333333</v>
      </c>
      <c r="CL196" s="15" t="n">
        <f aca="false">BF196*Ipotesi!$C$73+INDEX(Ipotesi!$C$72:$G$72,1,F196)/12*Ipotesi!F126*Parametri_v3!$C$58+Z196*(1-Parametri_v3!$C$16)</f>
        <v>1835.16666666667</v>
      </c>
      <c r="CM196" s="16" t="n">
        <f aca="false">IF(BF196=0,0,1-CL196/BF196)</f>
        <v>-5.47705882352941</v>
      </c>
    </row>
    <row r="197" customFormat="false" ht="18" hidden="false" customHeight="true" outlineLevel="0" collapsed="false">
      <c r="A197" s="68" t="n">
        <f aca="false">4</f>
        <v>4</v>
      </c>
      <c r="B197" s="68" t="n">
        <f aca="false">13</f>
        <v>13</v>
      </c>
      <c r="C197" s="18" t="n">
        <f aca="false">EDATE(Parametri_v3!$C$5,13-1)</f>
        <v>46753</v>
      </c>
      <c r="D197" s="68" t="n">
        <f aca="false">YEAR(C197)</f>
        <v>2028</v>
      </c>
      <c r="E197" s="68" t="n">
        <f aca="false">MONTH(C197)</f>
        <v>1</v>
      </c>
      <c r="F197" s="68" t="n">
        <f aca="false">INT((13-1)/12)+1</f>
        <v>2</v>
      </c>
      <c r="G197" s="15" t="n">
        <f aca="false">Ipotesi!F7</f>
        <v>0.55</v>
      </c>
      <c r="H197" s="15" t="n">
        <f aca="false">Ipotesi!F9</f>
        <v>0.9</v>
      </c>
      <c r="I197" s="15" t="n">
        <f aca="false">Ipotesi!F10</f>
        <v>1</v>
      </c>
      <c r="J197" s="15" t="n">
        <f aca="false">Ipotesi!F11</f>
        <v>1</v>
      </c>
      <c r="K197" s="15" t="n">
        <f aca="false">Ipotesi!F12</f>
        <v>1</v>
      </c>
      <c r="L197" s="15" t="n">
        <f aca="false">Ipotesi!F13</f>
        <v>120</v>
      </c>
      <c r="M197" s="17" t="n">
        <f aca="false">INDEX(Ipotesi!$C$40:$G$40,1,F197)</f>
        <v>1</v>
      </c>
      <c r="N197" s="17" t="n">
        <f aca="false">INDEX(Ipotesi!$C$41:$G$41,1,F197)</f>
        <v>1</v>
      </c>
      <c r="O197" s="17" t="n">
        <f aca="false">INDEX(Ipotesi!$C$42:$G$42,1,F197)*Ipotesi!F125</f>
        <v>2.5</v>
      </c>
      <c r="P197" s="17" t="n">
        <f aca="false">INDEX(Ipotesi!$C$43:$G$43,1,F197)*I197</f>
        <v>2.5</v>
      </c>
      <c r="Q197" s="17" t="n">
        <f aca="false">INDEX(Ipotesi!$C$44:$G$44,1,F197)*I197</f>
        <v>1.5</v>
      </c>
      <c r="R197" s="17" t="n">
        <f aca="false">INDEX(Ipotesi!$C$45:$G$45,1,F197)*I197</f>
        <v>0.5</v>
      </c>
      <c r="S197" s="17" t="n">
        <f aca="false">INDEX(Ipotesi!$C$52:$G$52,1,F197)*Ipotesi!F125</f>
        <v>3</v>
      </c>
      <c r="T197" s="17" t="n">
        <f aca="false">INDEX(Ipotesi!$C$53:$G$53,1,F197)*I197</f>
        <v>1</v>
      </c>
      <c r="U197" s="17" t="n">
        <f aca="false">INDEX(Ipotesi!$C$54:$G$54,1,F197)*I197</f>
        <v>0</v>
      </c>
      <c r="V197" s="15" t="n">
        <f aca="false">M197*INDEX(Ipotesi!$C$58:$G$58,1,F197)*K197/12</f>
        <v>5000</v>
      </c>
      <c r="W197" s="15" t="n">
        <f aca="false">N197*Ipotesi!$C$59*(1+Ipotesi!$C$66)^(F197-1)/12</f>
        <v>6008.33333333333</v>
      </c>
      <c r="X197" s="15" t="n">
        <f aca="false">O197*Ipotesi!$C$60*(1+Ipotesi!$C$66)^(F197-1)/12</f>
        <v>10729.1666666667</v>
      </c>
      <c r="Y197" s="15" t="n">
        <f aca="false">P197*Ipotesi!$C$61*(1+Ipotesi!$C$66)^(F197-1)/12</f>
        <v>10729.1666666667</v>
      </c>
      <c r="Z197" s="15" t="n">
        <f aca="false">Q197*Ipotesi!$C$62*(1+Ipotesi!$C$66)^(F197-1)/12</f>
        <v>5793.75</v>
      </c>
      <c r="AA197" s="15" t="n">
        <f aca="false">R197*Ipotesi!$C$63*(1+Ipotesi!$C$66)^(F197-1)/12</f>
        <v>1502.08333333333</v>
      </c>
      <c r="AB197" s="15" t="n">
        <f aca="false">SUM(V197:AA197)</f>
        <v>39762.5</v>
      </c>
      <c r="AC197" s="15" t="n">
        <f aca="false">(S197*Ipotesi!$C$64+T197*Ipotesi!$C$65+U197*Ipotesi!$C$63)*(1+Ipotesi!$C$66)^(F197-1)/12</f>
        <v>15965</v>
      </c>
      <c r="AD197" s="15" t="n">
        <f aca="false">INDEX(Ipotesi!$C$48:$G$48,1,F197)*G197/12</f>
        <v>20.625</v>
      </c>
      <c r="AE197" s="15" t="n">
        <f aca="false">INDEX(Ipotesi!$C$50:$G$50,1,F197)*G197/12</f>
        <v>2.52083333333333</v>
      </c>
      <c r="AF197" s="15" t="n">
        <f aca="false">(S197*Parametri_v3!$C$7*Parametri_v3!$C$8+Parametri_v3!$C$10)/12</f>
        <v>38.5</v>
      </c>
      <c r="AG197" s="15" t="n">
        <f aca="false">AD197+AE197*(1+Parametri_v3!$C$9)</f>
        <v>24.40625</v>
      </c>
      <c r="AH197" s="16" t="n">
        <f aca="false">IF(AG197=0,1,MIN(1,AF197/AG197))</f>
        <v>1</v>
      </c>
      <c r="AI197" s="15" t="n">
        <f aca="false">AD197*AH197</f>
        <v>20.625</v>
      </c>
      <c r="AJ197" s="15" t="n">
        <f aca="false">AE197*AH197</f>
        <v>2.52083333333333</v>
      </c>
      <c r="AK197" s="15" t="n">
        <f aca="false">AI197*INDEX(Ipotesi!$C$49:$G$49,1,F197)*H197</f>
        <v>14850</v>
      </c>
      <c r="AL197" s="15" t="n">
        <f aca="false">AJ197*INDEX(Ipotesi!$C$51:$G$51,1,F197)*H197</f>
        <v>4537.5</v>
      </c>
      <c r="AM197" s="15" t="n">
        <f aca="false">AK197+AL197</f>
        <v>19387.5</v>
      </c>
      <c r="AN197" s="15" t="n">
        <f aca="false">INDEX(Ipotesi!$C$30:$G$30,1,F197)*G197/12</f>
        <v>12.375</v>
      </c>
      <c r="AO197" s="15" t="n">
        <f aca="false">O197*Parametri_v3!$C$7*Parametri_v3!$C$11*(1-Parametri_v3!$C$14)/12</f>
        <v>25.6666666666667</v>
      </c>
      <c r="AP197" s="15" t="n">
        <f aca="false">MIN(AN197,AO197)</f>
        <v>12.375</v>
      </c>
      <c r="AQ197" s="15" t="n">
        <f aca="false">AP197*INDEX(Ipotesi!$C$31:$G$31,1,F197)*H197</f>
        <v>10580.625</v>
      </c>
      <c r="AR197" s="15" t="n">
        <f aca="false">INDEX(Ipotesi!$C$75:$G$75,1,F197)*J197/12</f>
        <v>4583.33333333333</v>
      </c>
      <c r="AS197" s="15" t="n">
        <f aca="false">INDEX(Ipotesi!$C$81:$G$81,1,F197)*J197/12</f>
        <v>833.333333333333</v>
      </c>
      <c r="AT197" s="15" t="n">
        <f aca="false">AR197*Parametri_v3!$C$15+Z197*Parametri_v3!$C$16</f>
        <v>8638.95833333333</v>
      </c>
      <c r="AU197" s="15" t="n">
        <f aca="false">Q197*Parametri_v3!$C$16*Parametri_v3!$C$17</f>
        <v>105</v>
      </c>
      <c r="AV197" s="17" t="n">
        <f aca="false">BD196</f>
        <v>2</v>
      </c>
      <c r="AW197" s="17" t="n">
        <f aca="false">AV197*(1-(1-INDEX(Ipotesi!$C$34:$G$34,1,F197))^(1/12))</f>
        <v>0.0174832219093934</v>
      </c>
      <c r="AX197" s="15" t="n">
        <f aca="false">ROUND(INDEX(Ipotesi!$C$32:$G$32,1,F197)*Ipotesi!F8,0)</f>
        <v>12</v>
      </c>
      <c r="AY197" s="15" t="n">
        <f aca="false">MAX(0,(AX197-(AV197-AW197))/(13-E197))</f>
        <v>0.83479026849245</v>
      </c>
      <c r="AZ197" s="15" t="n">
        <f aca="false">MIN(P197*Parametri_v3!$C$22,Q197*(1-Parametri_v3!$C$16)*Parametri_v3!$C$23)</f>
        <v>67.5</v>
      </c>
      <c r="BA197" s="15" t="n">
        <f aca="false">IF(OR(INDEX(Ipotesi!$C$35:$G$35,1,F197)&lt;=0,13-Parametri_v3!$C$21&lt;1),0,INDEX($AT$185:$AT$244,MAX(1,13-Parametri_v3!$C$21))/(INDEX(Ipotesi!$C$35:$G$35,1,F197)*Ipotesi!F27))</f>
        <v>0.870726495726496</v>
      </c>
      <c r="BB197" s="15" t="n">
        <f aca="false">IF(13-Parametri_v3!$C$21&lt;1,0,INDEX($AU$185:$AU$244,MAX(1,13-Parametri_v3!$C$21)))*Parametri_v3!$C$18*Parametri_v3!$C$19*Parametri_v3!$C$20</f>
        <v>1.3125</v>
      </c>
      <c r="BC197" s="17" t="n">
        <f aca="false">MAX(0,MIN(AY197,BA197,BB197,MAX(0,AZ197-(AV197-AW197))))</f>
        <v>0.83479026849245</v>
      </c>
      <c r="BD197" s="17" t="n">
        <f aca="false">AV197-AW197+BC197</f>
        <v>2.81730704658306</v>
      </c>
      <c r="BE197" s="17" t="n">
        <f aca="false">(AV197+BD197)/2</f>
        <v>2.40865352329153</v>
      </c>
      <c r="BF197" s="15" t="n">
        <f aca="false">BE197*INDEX(Ipotesi!$C$33:$G$33,1,F197)*H197/12</f>
        <v>722.596056987458</v>
      </c>
      <c r="BG197" s="15" t="n">
        <f aca="false">BD197*INDEX(Ipotesi!$C$33:$G$33,1,F197)*H197</f>
        <v>10142.305367699</v>
      </c>
      <c r="BH197" s="15" t="n">
        <f aca="false">AM197*INDEX(Ipotesi!$C$37:$G$37,1,F197)</f>
        <v>1938.75</v>
      </c>
      <c r="BI197" s="15" t="n">
        <f aca="false">AQ197+BF197+BH197</f>
        <v>13241.9710569875</v>
      </c>
      <c r="BJ197" s="15" t="n">
        <f aca="false">INDEX(Ipotesi!$C$68:$G$68,1,F197)*Ipotesi!$C$69/12</f>
        <v>1600</v>
      </c>
      <c r="BK197" s="15" t="n">
        <f aca="false">INDEX(Ipotesi!$C$68:$G$68,1,F197)*(1-Ipotesi!$C$69)/12</f>
        <v>2400</v>
      </c>
      <c r="BL197" s="15" t="n">
        <f aca="false">(AQ197+BF197)*Ipotesi!$C$67</f>
        <v>339.096631709624</v>
      </c>
      <c r="BM197" s="15" t="n">
        <f aca="false">AM197*Ipotesi!$C$67</f>
        <v>581.625</v>
      </c>
      <c r="BN197" s="15" t="n">
        <f aca="false">INDEX(Ipotesi!$C$72:$G$72,1,F197)/12*Ipotesi!F126+BF197*Ipotesi!$C$73</f>
        <v>1307.807684559</v>
      </c>
      <c r="BO197" s="15" t="n">
        <f aca="false">INDEX(Ipotesi!$C$74:$G$74,1,F197)/12*Ipotesi!F126</f>
        <v>1833.33333333333</v>
      </c>
      <c r="BP197" s="15" t="n">
        <f aca="false">INDEX(Ipotesi!$C$76:$G$76,1,F197)/12</f>
        <v>750</v>
      </c>
      <c r="BQ197" s="15" t="n">
        <f aca="false">INDEX(Ipotesi!$C$77:$G$77,1,F197)/12*Ipotesi!F126</f>
        <v>1666.66666666667</v>
      </c>
      <c r="BR197" s="15" t="n">
        <f aca="false">INDEX(Ipotesi!$C$78:$G$78,1,F197)/12</f>
        <v>1250</v>
      </c>
      <c r="BS197" s="15" t="n">
        <f aca="false">SUM(M197:R197)*(Ipotesi!$C$85+Ipotesi!$C$86)/12</f>
        <v>2625</v>
      </c>
      <c r="BT197" s="15" t="n">
        <f aca="false">BI197*Ipotesi!$C$87</f>
        <v>397.259131709624</v>
      </c>
      <c r="BU197" s="15" t="n">
        <f aca="false">INDEX(Ipotesi!$C$55:$G$55,1,F197)*K197/12</f>
        <v>1000</v>
      </c>
      <c r="BV197" s="15" t="n">
        <f aca="false">INDEX(Ipotesi!$C$80:$G$80,1,F197)/12*Ipotesi!F126</f>
        <v>833.333333333333</v>
      </c>
      <c r="BW197" s="15" t="n">
        <f aca="false">INDEX(Ipotesi!$C$82:$G$82,1,F197)/12</f>
        <v>666.666666666667</v>
      </c>
      <c r="BX197" s="15" t="n">
        <f aca="false">INDEX(Ipotesi!$C$83:$G$83,1,F197)/12</f>
        <v>583.333333333333</v>
      </c>
      <c r="BY197" s="15" t="n">
        <f aca="false">SUM(S197:U197)*(Ipotesi!$C$85+Ipotesi!$C$86)/12</f>
        <v>1166.66666666667</v>
      </c>
      <c r="BZ197" s="15" t="n">
        <f aca="false">AM197*Ipotesi!$C$87</f>
        <v>581.625</v>
      </c>
      <c r="CA197" s="15" t="n">
        <f aca="false">AB197+BJ197+BL197+BN197+BO197+AR197+BP197+BQ197+BR197+BS197+BT197</f>
        <v>56114.9967813116</v>
      </c>
      <c r="CB197" s="15" t="n">
        <f aca="false">AC197+BK197+BM197+BH197+BU197+BV197+AS197+BW197+BX197+BY197+BZ197</f>
        <v>26550.3333333333</v>
      </c>
      <c r="CC197" s="15" t="n">
        <f aca="false">BI197-CA197</f>
        <v>-42873.0257243241</v>
      </c>
      <c r="CD197" s="15" t="n">
        <f aca="false">AM197-CB197</f>
        <v>-7162.83333333333</v>
      </c>
      <c r="CE197" s="15" t="n">
        <f aca="false">INDEX(Ipotesi!$C$79:$G$79,1,F197)/12</f>
        <v>2083.33333333333</v>
      </c>
      <c r="CF197" s="15" t="n">
        <f aca="false">INDEX(Ipotesi!$C$84:$G$84,1,F197)/12</f>
        <v>416.666666666667</v>
      </c>
      <c r="CG197" s="15" t="n">
        <f aca="false">Y197*MAX(0,Parametri_v3!$C$12-IF(P197=0,0,MIN(1,BE197/(P197*Parametri_v3!$C$22))))+W197*Parametri_v3!$C$13+X197*Parametri_v3!$C$14</f>
        <v>15775.7952862921</v>
      </c>
      <c r="CH197" s="15" t="n">
        <f aca="false">AB197*Parametri_v3!$C$32</f>
        <v>1988.125</v>
      </c>
      <c r="CI197" s="15" t="n">
        <f aca="false">AC197*Parametri_v3!$C$32</f>
        <v>798.25</v>
      </c>
      <c r="CJ197" s="15" t="n">
        <f aca="false">CA197-AB197</f>
        <v>16352.4967813116</v>
      </c>
      <c r="CK197" s="15" t="n">
        <f aca="false">CB197-AC197-BH197</f>
        <v>8646.58333333333</v>
      </c>
      <c r="CL197" s="15" t="n">
        <f aca="false">BF197*Ipotesi!$C$73+INDEX(Ipotesi!$C$72:$G$72,1,F197)/12*Ipotesi!F126*Parametri_v3!$C$58+Z197*(1-Parametri_v3!$C$16)</f>
        <v>3045.932684559</v>
      </c>
      <c r="CM197" s="16" t="n">
        <f aca="false">IF(BF197=0,0,1-CL197/BF197)</f>
        <v>-3.21526336201951</v>
      </c>
    </row>
    <row r="198" customFormat="false" ht="18" hidden="false" customHeight="true" outlineLevel="0" collapsed="false">
      <c r="A198" s="68" t="n">
        <f aca="false">4</f>
        <v>4</v>
      </c>
      <c r="B198" s="68" t="n">
        <f aca="false">14</f>
        <v>14</v>
      </c>
      <c r="C198" s="18" t="n">
        <f aca="false">EDATE(Parametri_v3!$C$5,14-1)</f>
        <v>46784</v>
      </c>
      <c r="D198" s="68" t="n">
        <f aca="false">YEAR(C198)</f>
        <v>2028</v>
      </c>
      <c r="E198" s="68" t="n">
        <f aca="false">MONTH(C198)</f>
        <v>2</v>
      </c>
      <c r="F198" s="68" t="n">
        <f aca="false">INT((14-1)/12)+1</f>
        <v>2</v>
      </c>
      <c r="G198" s="15" t="n">
        <f aca="false">Ipotesi!F7</f>
        <v>0.55</v>
      </c>
      <c r="H198" s="15" t="n">
        <f aca="false">Ipotesi!F9</f>
        <v>0.9</v>
      </c>
      <c r="I198" s="15" t="n">
        <f aca="false">Ipotesi!F10</f>
        <v>1</v>
      </c>
      <c r="J198" s="15" t="n">
        <f aca="false">Ipotesi!F11</f>
        <v>1</v>
      </c>
      <c r="K198" s="15" t="n">
        <f aca="false">Ipotesi!F12</f>
        <v>1</v>
      </c>
      <c r="L198" s="15" t="n">
        <f aca="false">Ipotesi!F13</f>
        <v>120</v>
      </c>
      <c r="M198" s="17" t="n">
        <f aca="false">INDEX(Ipotesi!$C$40:$G$40,1,F198)</f>
        <v>1</v>
      </c>
      <c r="N198" s="17" t="n">
        <f aca="false">INDEX(Ipotesi!$C$41:$G$41,1,F198)</f>
        <v>1</v>
      </c>
      <c r="O198" s="17" t="n">
        <f aca="false">INDEX(Ipotesi!$C$42:$G$42,1,F198)*Ipotesi!F125</f>
        <v>2.5</v>
      </c>
      <c r="P198" s="17" t="n">
        <f aca="false">INDEX(Ipotesi!$C$43:$G$43,1,F198)*I198</f>
        <v>2.5</v>
      </c>
      <c r="Q198" s="17" t="n">
        <f aca="false">INDEX(Ipotesi!$C$44:$G$44,1,F198)*I198</f>
        <v>1.5</v>
      </c>
      <c r="R198" s="17" t="n">
        <f aca="false">INDEX(Ipotesi!$C$45:$G$45,1,F198)*I198</f>
        <v>0.5</v>
      </c>
      <c r="S198" s="17" t="n">
        <f aca="false">INDEX(Ipotesi!$C$52:$G$52,1,F198)*Ipotesi!F125</f>
        <v>3</v>
      </c>
      <c r="T198" s="17" t="n">
        <f aca="false">INDEX(Ipotesi!$C$53:$G$53,1,F198)*I198</f>
        <v>1</v>
      </c>
      <c r="U198" s="17" t="n">
        <f aca="false">INDEX(Ipotesi!$C$54:$G$54,1,F198)*I198</f>
        <v>0</v>
      </c>
      <c r="V198" s="15" t="n">
        <f aca="false">M198*INDEX(Ipotesi!$C$58:$G$58,1,F198)*K198/12</f>
        <v>5000</v>
      </c>
      <c r="W198" s="15" t="n">
        <f aca="false">N198*Ipotesi!$C$59*(1+Ipotesi!$C$66)^(F198-1)/12</f>
        <v>6008.33333333333</v>
      </c>
      <c r="X198" s="15" t="n">
        <f aca="false">O198*Ipotesi!$C$60*(1+Ipotesi!$C$66)^(F198-1)/12</f>
        <v>10729.1666666667</v>
      </c>
      <c r="Y198" s="15" t="n">
        <f aca="false">P198*Ipotesi!$C$61*(1+Ipotesi!$C$66)^(F198-1)/12</f>
        <v>10729.1666666667</v>
      </c>
      <c r="Z198" s="15" t="n">
        <f aca="false">Q198*Ipotesi!$C$62*(1+Ipotesi!$C$66)^(F198-1)/12</f>
        <v>5793.75</v>
      </c>
      <c r="AA198" s="15" t="n">
        <f aca="false">R198*Ipotesi!$C$63*(1+Ipotesi!$C$66)^(F198-1)/12</f>
        <v>1502.08333333333</v>
      </c>
      <c r="AB198" s="15" t="n">
        <f aca="false">SUM(V198:AA198)</f>
        <v>39762.5</v>
      </c>
      <c r="AC198" s="15" t="n">
        <f aca="false">(S198*Ipotesi!$C$64+T198*Ipotesi!$C$65+U198*Ipotesi!$C$63)*(1+Ipotesi!$C$66)^(F198-1)/12</f>
        <v>15965</v>
      </c>
      <c r="AD198" s="15" t="n">
        <f aca="false">INDEX(Ipotesi!$C$48:$G$48,1,F198)*G198/12</f>
        <v>20.625</v>
      </c>
      <c r="AE198" s="15" t="n">
        <f aca="false">INDEX(Ipotesi!$C$50:$G$50,1,F198)*G198/12</f>
        <v>2.52083333333333</v>
      </c>
      <c r="AF198" s="15" t="n">
        <f aca="false">(S198*Parametri_v3!$C$7*Parametri_v3!$C$8+Parametri_v3!$C$10)/12</f>
        <v>38.5</v>
      </c>
      <c r="AG198" s="15" t="n">
        <f aca="false">AD198+AE198*(1+Parametri_v3!$C$9)</f>
        <v>24.40625</v>
      </c>
      <c r="AH198" s="16" t="n">
        <f aca="false">IF(AG198=0,1,MIN(1,AF198/AG198))</f>
        <v>1</v>
      </c>
      <c r="AI198" s="15" t="n">
        <f aca="false">AD198*AH198</f>
        <v>20.625</v>
      </c>
      <c r="AJ198" s="15" t="n">
        <f aca="false">AE198*AH198</f>
        <v>2.52083333333333</v>
      </c>
      <c r="AK198" s="15" t="n">
        <f aca="false">AI198*INDEX(Ipotesi!$C$49:$G$49,1,F198)*H198</f>
        <v>14850</v>
      </c>
      <c r="AL198" s="15" t="n">
        <f aca="false">AJ198*INDEX(Ipotesi!$C$51:$G$51,1,F198)*H198</f>
        <v>4537.5</v>
      </c>
      <c r="AM198" s="15" t="n">
        <f aca="false">AK198+AL198</f>
        <v>19387.5</v>
      </c>
      <c r="AN198" s="15" t="n">
        <f aca="false">INDEX(Ipotesi!$C$30:$G$30,1,F198)*G198/12</f>
        <v>12.375</v>
      </c>
      <c r="AO198" s="15" t="n">
        <f aca="false">O198*Parametri_v3!$C$7*Parametri_v3!$C$11*(1-Parametri_v3!$C$14)/12</f>
        <v>25.6666666666667</v>
      </c>
      <c r="AP198" s="15" t="n">
        <f aca="false">MIN(AN198,AO198)</f>
        <v>12.375</v>
      </c>
      <c r="AQ198" s="15" t="n">
        <f aca="false">AP198*INDEX(Ipotesi!$C$31:$G$31,1,F198)*H198</f>
        <v>10580.625</v>
      </c>
      <c r="AR198" s="15" t="n">
        <f aca="false">INDEX(Ipotesi!$C$75:$G$75,1,F198)*J198/12</f>
        <v>4583.33333333333</v>
      </c>
      <c r="AS198" s="15" t="n">
        <f aca="false">INDEX(Ipotesi!$C$81:$G$81,1,F198)*J198/12</f>
        <v>833.333333333333</v>
      </c>
      <c r="AT198" s="15" t="n">
        <f aca="false">AR198*Parametri_v3!$C$15+Z198*Parametri_v3!$C$16</f>
        <v>8638.95833333333</v>
      </c>
      <c r="AU198" s="15" t="n">
        <f aca="false">Q198*Parametri_v3!$C$16*Parametri_v3!$C$17</f>
        <v>105</v>
      </c>
      <c r="AV198" s="17" t="n">
        <f aca="false">BD197</f>
        <v>2.81730704658306</v>
      </c>
      <c r="AW198" s="17" t="n">
        <f aca="false">AV198*(1-(1-INDEX(Ipotesi!$C$34:$G$34,1,F198))^(1/12))</f>
        <v>0.0246278021411547</v>
      </c>
      <c r="AX198" s="15" t="n">
        <f aca="false">ROUND(INDEX(Ipotesi!$C$32:$G$32,1,F198)*Ipotesi!F8,0)</f>
        <v>12</v>
      </c>
      <c r="AY198" s="15" t="n">
        <f aca="false">MAX(0,(AX198-(AV198-AW198))/(13-E198))</f>
        <v>0.837029159596191</v>
      </c>
      <c r="AZ198" s="15" t="n">
        <f aca="false">MIN(P198*Parametri_v3!$C$22,Q198*(1-Parametri_v3!$C$16)*Parametri_v3!$C$23)</f>
        <v>67.5</v>
      </c>
      <c r="BA198" s="15" t="n">
        <f aca="false">IF(OR(INDEX(Ipotesi!$C$35:$G$35,1,F198)&lt;=0,14-Parametri_v3!$C$21&lt;1),0,INDEX($AT$185:$AT$244,MAX(1,14-Parametri_v3!$C$21))/(INDEX(Ipotesi!$C$35:$G$35,1,F198)*Ipotesi!F27))</f>
        <v>0.870726495726496</v>
      </c>
      <c r="BB198" s="15" t="n">
        <f aca="false">IF(14-Parametri_v3!$C$21&lt;1,0,INDEX($AU$185:$AU$244,MAX(1,14-Parametri_v3!$C$21)))*Parametri_v3!$C$18*Parametri_v3!$C$19*Parametri_v3!$C$20</f>
        <v>1.3125</v>
      </c>
      <c r="BC198" s="17" t="n">
        <f aca="false">MAX(0,MIN(AY198,BA198,BB198,MAX(0,AZ198-(AV198-AW198))))</f>
        <v>0.837029159596191</v>
      </c>
      <c r="BD198" s="17" t="n">
        <f aca="false">AV198-AW198+BC198</f>
        <v>3.62970840403809</v>
      </c>
      <c r="BE198" s="17" t="n">
        <f aca="false">(AV198+BD198)/2</f>
        <v>3.22350772531057</v>
      </c>
      <c r="BF198" s="15" t="n">
        <f aca="false">BE198*INDEX(Ipotesi!$C$33:$G$33,1,F198)*H198/12</f>
        <v>967.052317593172</v>
      </c>
      <c r="BG198" s="15" t="n">
        <f aca="false">BD198*INDEX(Ipotesi!$C$33:$G$33,1,F198)*H198</f>
        <v>13066.9502545371</v>
      </c>
      <c r="BH198" s="15" t="n">
        <f aca="false">AM198*INDEX(Ipotesi!$C$37:$G$37,1,F198)</f>
        <v>1938.75</v>
      </c>
      <c r="BI198" s="15" t="n">
        <f aca="false">AQ198+BF198+BH198</f>
        <v>13486.4273175932</v>
      </c>
      <c r="BJ198" s="15" t="n">
        <f aca="false">INDEX(Ipotesi!$C$68:$G$68,1,F198)*Ipotesi!$C$69/12</f>
        <v>1600</v>
      </c>
      <c r="BK198" s="15" t="n">
        <f aca="false">INDEX(Ipotesi!$C$68:$G$68,1,F198)*(1-Ipotesi!$C$69)/12</f>
        <v>2400</v>
      </c>
      <c r="BL198" s="15" t="n">
        <f aca="false">(AQ198+BF198)*Ipotesi!$C$67</f>
        <v>346.430319527795</v>
      </c>
      <c r="BM198" s="15" t="n">
        <f aca="false">AM198*Ipotesi!$C$67</f>
        <v>581.625</v>
      </c>
      <c r="BN198" s="15" t="n">
        <f aca="false">INDEX(Ipotesi!$C$72:$G$72,1,F198)/12*Ipotesi!F126+BF198*Ipotesi!$C$73</f>
        <v>1327.36418540745</v>
      </c>
      <c r="BO198" s="15" t="n">
        <f aca="false">INDEX(Ipotesi!$C$74:$G$74,1,F198)/12*Ipotesi!F126</f>
        <v>1833.33333333333</v>
      </c>
      <c r="BP198" s="15" t="n">
        <f aca="false">INDEX(Ipotesi!$C$76:$G$76,1,F198)/12</f>
        <v>750</v>
      </c>
      <c r="BQ198" s="15" t="n">
        <f aca="false">INDEX(Ipotesi!$C$77:$G$77,1,F198)/12*Ipotesi!F126</f>
        <v>1666.66666666667</v>
      </c>
      <c r="BR198" s="15" t="n">
        <f aca="false">INDEX(Ipotesi!$C$78:$G$78,1,F198)/12</f>
        <v>1250</v>
      </c>
      <c r="BS198" s="15" t="n">
        <f aca="false">SUM(M198:R198)*(Ipotesi!$C$85+Ipotesi!$C$86)/12</f>
        <v>2625</v>
      </c>
      <c r="BT198" s="15" t="n">
        <f aca="false">BI198*Ipotesi!$C$87</f>
        <v>404.592819527795</v>
      </c>
      <c r="BU198" s="15" t="n">
        <f aca="false">INDEX(Ipotesi!$C$55:$G$55,1,F198)*K198/12</f>
        <v>1000</v>
      </c>
      <c r="BV198" s="15" t="n">
        <f aca="false">INDEX(Ipotesi!$C$80:$G$80,1,F198)/12*Ipotesi!F126</f>
        <v>833.333333333333</v>
      </c>
      <c r="BW198" s="15" t="n">
        <f aca="false">INDEX(Ipotesi!$C$82:$G$82,1,F198)/12</f>
        <v>666.666666666667</v>
      </c>
      <c r="BX198" s="15" t="n">
        <f aca="false">INDEX(Ipotesi!$C$83:$G$83,1,F198)/12</f>
        <v>583.333333333333</v>
      </c>
      <c r="BY198" s="15" t="n">
        <f aca="false">SUM(S198:U198)*(Ipotesi!$C$85+Ipotesi!$C$86)/12</f>
        <v>1166.66666666667</v>
      </c>
      <c r="BZ198" s="15" t="n">
        <f aca="false">AM198*Ipotesi!$C$87</f>
        <v>581.625</v>
      </c>
      <c r="CA198" s="15" t="n">
        <f aca="false">AB198+BJ198+BL198+BN198+BO198+AR198+BP198+BQ198+BR198+BS198+BT198</f>
        <v>56149.2206577964</v>
      </c>
      <c r="CB198" s="15" t="n">
        <f aca="false">AC198+BK198+BM198+BH198+BU198+BV198+AS198+BW198+BX198+BY198+BZ198</f>
        <v>26550.3333333333</v>
      </c>
      <c r="CC198" s="15" t="n">
        <f aca="false">BI198-CA198</f>
        <v>-42662.7933402032</v>
      </c>
      <c r="CD198" s="15" t="n">
        <f aca="false">AM198-CB198</f>
        <v>-7162.83333333333</v>
      </c>
      <c r="CE198" s="15" t="n">
        <f aca="false">INDEX(Ipotesi!$C$79:$G$79,1,F198)/12</f>
        <v>2083.33333333333</v>
      </c>
      <c r="CF198" s="15" t="n">
        <f aca="false">INDEX(Ipotesi!$C$84:$G$84,1,F198)/12</f>
        <v>416.666666666667</v>
      </c>
      <c r="CG198" s="15" t="n">
        <f aca="false">Y198*MAX(0,Parametri_v3!$C$12-IF(P198=0,0,MIN(1,BE198/(P198*Parametri_v3!$C$22))))+W198*Parametri_v3!$C$13+X198*Parametri_v3!$C$14</f>
        <v>15740.8244601221</v>
      </c>
      <c r="CH198" s="15" t="n">
        <f aca="false">AB198*Parametri_v3!$C$32</f>
        <v>1988.125</v>
      </c>
      <c r="CI198" s="15" t="n">
        <f aca="false">AC198*Parametri_v3!$C$32</f>
        <v>798.25</v>
      </c>
      <c r="CJ198" s="15" t="n">
        <f aca="false">CA198-AB198</f>
        <v>16386.7206577964</v>
      </c>
      <c r="CK198" s="15" t="n">
        <f aca="false">CB198-AC198-BH198</f>
        <v>8646.58333333333</v>
      </c>
      <c r="CL198" s="15" t="n">
        <f aca="false">BF198*Ipotesi!$C$73+INDEX(Ipotesi!$C$72:$G$72,1,F198)/12*Ipotesi!F126*Parametri_v3!$C$58+Z198*(1-Parametri_v3!$C$16)</f>
        <v>3065.48918540745</v>
      </c>
      <c r="CM198" s="16" t="n">
        <f aca="false">IF(BF198=0,0,1-CL198/BF198)</f>
        <v>-2.16993106746999</v>
      </c>
    </row>
    <row r="199" customFormat="false" ht="18" hidden="false" customHeight="true" outlineLevel="0" collapsed="false">
      <c r="A199" s="68" t="n">
        <f aca="false">4</f>
        <v>4</v>
      </c>
      <c r="B199" s="68" t="n">
        <f aca="false">15</f>
        <v>15</v>
      </c>
      <c r="C199" s="18" t="n">
        <f aca="false">EDATE(Parametri_v3!$C$5,15-1)</f>
        <v>46813</v>
      </c>
      <c r="D199" s="68" t="n">
        <f aca="false">YEAR(C199)</f>
        <v>2028</v>
      </c>
      <c r="E199" s="68" t="n">
        <f aca="false">MONTH(C199)</f>
        <v>3</v>
      </c>
      <c r="F199" s="68" t="n">
        <f aca="false">INT((15-1)/12)+1</f>
        <v>2</v>
      </c>
      <c r="G199" s="15" t="n">
        <f aca="false">Ipotesi!F7</f>
        <v>0.55</v>
      </c>
      <c r="H199" s="15" t="n">
        <f aca="false">Ipotesi!F9</f>
        <v>0.9</v>
      </c>
      <c r="I199" s="15" t="n">
        <f aca="false">Ipotesi!F10</f>
        <v>1</v>
      </c>
      <c r="J199" s="15" t="n">
        <f aca="false">Ipotesi!F11</f>
        <v>1</v>
      </c>
      <c r="K199" s="15" t="n">
        <f aca="false">Ipotesi!F12</f>
        <v>1</v>
      </c>
      <c r="L199" s="15" t="n">
        <f aca="false">Ipotesi!F13</f>
        <v>120</v>
      </c>
      <c r="M199" s="17" t="n">
        <f aca="false">INDEX(Ipotesi!$C$40:$G$40,1,F199)</f>
        <v>1</v>
      </c>
      <c r="N199" s="17" t="n">
        <f aca="false">INDEX(Ipotesi!$C$41:$G$41,1,F199)</f>
        <v>1</v>
      </c>
      <c r="O199" s="17" t="n">
        <f aca="false">INDEX(Ipotesi!$C$42:$G$42,1,F199)*Ipotesi!F125</f>
        <v>2.5</v>
      </c>
      <c r="P199" s="17" t="n">
        <f aca="false">INDEX(Ipotesi!$C$43:$G$43,1,F199)*I199</f>
        <v>2.5</v>
      </c>
      <c r="Q199" s="17" t="n">
        <f aca="false">INDEX(Ipotesi!$C$44:$G$44,1,F199)*I199</f>
        <v>1.5</v>
      </c>
      <c r="R199" s="17" t="n">
        <f aca="false">INDEX(Ipotesi!$C$45:$G$45,1,F199)*I199</f>
        <v>0.5</v>
      </c>
      <c r="S199" s="17" t="n">
        <f aca="false">INDEX(Ipotesi!$C$52:$G$52,1,F199)*Ipotesi!F125</f>
        <v>3</v>
      </c>
      <c r="T199" s="17" t="n">
        <f aca="false">INDEX(Ipotesi!$C$53:$G$53,1,F199)*I199</f>
        <v>1</v>
      </c>
      <c r="U199" s="17" t="n">
        <f aca="false">INDEX(Ipotesi!$C$54:$G$54,1,F199)*I199</f>
        <v>0</v>
      </c>
      <c r="V199" s="15" t="n">
        <f aca="false">M199*INDEX(Ipotesi!$C$58:$G$58,1,F199)*K199/12</f>
        <v>5000</v>
      </c>
      <c r="W199" s="15" t="n">
        <f aca="false">N199*Ipotesi!$C$59*(1+Ipotesi!$C$66)^(F199-1)/12</f>
        <v>6008.33333333333</v>
      </c>
      <c r="X199" s="15" t="n">
        <f aca="false">O199*Ipotesi!$C$60*(1+Ipotesi!$C$66)^(F199-1)/12</f>
        <v>10729.1666666667</v>
      </c>
      <c r="Y199" s="15" t="n">
        <f aca="false">P199*Ipotesi!$C$61*(1+Ipotesi!$C$66)^(F199-1)/12</f>
        <v>10729.1666666667</v>
      </c>
      <c r="Z199" s="15" t="n">
        <f aca="false">Q199*Ipotesi!$C$62*(1+Ipotesi!$C$66)^(F199-1)/12</f>
        <v>5793.75</v>
      </c>
      <c r="AA199" s="15" t="n">
        <f aca="false">R199*Ipotesi!$C$63*(1+Ipotesi!$C$66)^(F199-1)/12</f>
        <v>1502.08333333333</v>
      </c>
      <c r="AB199" s="15" t="n">
        <f aca="false">SUM(V199:AA199)</f>
        <v>39762.5</v>
      </c>
      <c r="AC199" s="15" t="n">
        <f aca="false">(S199*Ipotesi!$C$64+T199*Ipotesi!$C$65+U199*Ipotesi!$C$63)*(1+Ipotesi!$C$66)^(F199-1)/12</f>
        <v>15965</v>
      </c>
      <c r="AD199" s="15" t="n">
        <f aca="false">INDEX(Ipotesi!$C$48:$G$48,1,F199)*G199/12</f>
        <v>20.625</v>
      </c>
      <c r="AE199" s="15" t="n">
        <f aca="false">INDEX(Ipotesi!$C$50:$G$50,1,F199)*G199/12</f>
        <v>2.52083333333333</v>
      </c>
      <c r="AF199" s="15" t="n">
        <f aca="false">(S199*Parametri_v3!$C$7*Parametri_v3!$C$8+Parametri_v3!$C$10)/12</f>
        <v>38.5</v>
      </c>
      <c r="AG199" s="15" t="n">
        <f aca="false">AD199+AE199*(1+Parametri_v3!$C$9)</f>
        <v>24.40625</v>
      </c>
      <c r="AH199" s="16" t="n">
        <f aca="false">IF(AG199=0,1,MIN(1,AF199/AG199))</f>
        <v>1</v>
      </c>
      <c r="AI199" s="15" t="n">
        <f aca="false">AD199*AH199</f>
        <v>20.625</v>
      </c>
      <c r="AJ199" s="15" t="n">
        <f aca="false">AE199*AH199</f>
        <v>2.52083333333333</v>
      </c>
      <c r="AK199" s="15" t="n">
        <f aca="false">AI199*INDEX(Ipotesi!$C$49:$G$49,1,F199)*H199</f>
        <v>14850</v>
      </c>
      <c r="AL199" s="15" t="n">
        <f aca="false">AJ199*INDEX(Ipotesi!$C$51:$G$51,1,F199)*H199</f>
        <v>4537.5</v>
      </c>
      <c r="AM199" s="15" t="n">
        <f aca="false">AK199+AL199</f>
        <v>19387.5</v>
      </c>
      <c r="AN199" s="15" t="n">
        <f aca="false">INDEX(Ipotesi!$C$30:$G$30,1,F199)*G199/12</f>
        <v>12.375</v>
      </c>
      <c r="AO199" s="15" t="n">
        <f aca="false">O199*Parametri_v3!$C$7*Parametri_v3!$C$11*(1-Parametri_v3!$C$14)/12</f>
        <v>25.6666666666667</v>
      </c>
      <c r="AP199" s="15" t="n">
        <f aca="false">MIN(AN199,AO199)</f>
        <v>12.375</v>
      </c>
      <c r="AQ199" s="15" t="n">
        <f aca="false">AP199*INDEX(Ipotesi!$C$31:$G$31,1,F199)*H199</f>
        <v>10580.625</v>
      </c>
      <c r="AR199" s="15" t="n">
        <f aca="false">INDEX(Ipotesi!$C$75:$G$75,1,F199)*J199/12</f>
        <v>4583.33333333333</v>
      </c>
      <c r="AS199" s="15" t="n">
        <f aca="false">INDEX(Ipotesi!$C$81:$G$81,1,F199)*J199/12</f>
        <v>833.333333333333</v>
      </c>
      <c r="AT199" s="15" t="n">
        <f aca="false">AR199*Parametri_v3!$C$15+Z199*Parametri_v3!$C$16</f>
        <v>8638.95833333333</v>
      </c>
      <c r="AU199" s="15" t="n">
        <f aca="false">Q199*Parametri_v3!$C$16*Parametri_v3!$C$17</f>
        <v>105</v>
      </c>
      <c r="AV199" s="17" t="n">
        <f aca="false">BD198</f>
        <v>3.62970840403809</v>
      </c>
      <c r="AW199" s="17" t="n">
        <f aca="false">AV199*(1-(1-INDEX(Ipotesi!$C$34:$G$34,1,F199))^(1/12))</f>
        <v>0.0317294987470941</v>
      </c>
      <c r="AX199" s="15" t="n">
        <f aca="false">ROUND(INDEX(Ipotesi!$C$32:$G$32,1,F199)*Ipotesi!F8,0)</f>
        <v>12</v>
      </c>
      <c r="AY199" s="15" t="n">
        <f aca="false">MAX(0,(AX199-(AV199-AW199))/(13-E199))</f>
        <v>0.8402021094709</v>
      </c>
      <c r="AZ199" s="15" t="n">
        <f aca="false">MIN(P199*Parametri_v3!$C$22,Q199*(1-Parametri_v3!$C$16)*Parametri_v3!$C$23)</f>
        <v>67.5</v>
      </c>
      <c r="BA199" s="15" t="n">
        <f aca="false">IF(OR(INDEX(Ipotesi!$C$35:$G$35,1,F199)&lt;=0,15-Parametri_v3!$C$21&lt;1),0,INDEX($AT$185:$AT$244,MAX(1,15-Parametri_v3!$C$21))/(INDEX(Ipotesi!$C$35:$G$35,1,F199)*Ipotesi!F27))</f>
        <v>0.870726495726496</v>
      </c>
      <c r="BB199" s="15" t="n">
        <f aca="false">IF(15-Parametri_v3!$C$21&lt;1,0,INDEX($AU$185:$AU$244,MAX(1,15-Parametri_v3!$C$21)))*Parametri_v3!$C$18*Parametri_v3!$C$19*Parametri_v3!$C$20</f>
        <v>1.3125</v>
      </c>
      <c r="BC199" s="17" t="n">
        <f aca="false">MAX(0,MIN(AY199,BA199,BB199,MAX(0,AZ199-(AV199-AW199))))</f>
        <v>0.8402021094709</v>
      </c>
      <c r="BD199" s="17" t="n">
        <f aca="false">AV199-AW199+BC199</f>
        <v>4.4381810147619</v>
      </c>
      <c r="BE199" s="17" t="n">
        <f aca="false">(AV199+BD199)/2</f>
        <v>4.0339447094</v>
      </c>
      <c r="BF199" s="15" t="n">
        <f aca="false">BE199*INDEX(Ipotesi!$C$33:$G$33,1,F199)*H199/12</f>
        <v>1210.18341282</v>
      </c>
      <c r="BG199" s="15" t="n">
        <f aca="false">BD199*INDEX(Ipotesi!$C$33:$G$33,1,F199)*H199</f>
        <v>15977.4516531428</v>
      </c>
      <c r="BH199" s="15" t="n">
        <f aca="false">AM199*INDEX(Ipotesi!$C$37:$G$37,1,F199)</f>
        <v>1938.75</v>
      </c>
      <c r="BI199" s="15" t="n">
        <f aca="false">AQ199+BF199+BH199</f>
        <v>13729.55841282</v>
      </c>
      <c r="BJ199" s="15" t="n">
        <f aca="false">INDEX(Ipotesi!$C$68:$G$68,1,F199)*Ipotesi!$C$69/12</f>
        <v>1600</v>
      </c>
      <c r="BK199" s="15" t="n">
        <f aca="false">INDEX(Ipotesi!$C$68:$G$68,1,F199)*(1-Ipotesi!$C$69)/12</f>
        <v>2400</v>
      </c>
      <c r="BL199" s="15" t="n">
        <f aca="false">(AQ199+BF199)*Ipotesi!$C$67</f>
        <v>353.7242523846</v>
      </c>
      <c r="BM199" s="15" t="n">
        <f aca="false">AM199*Ipotesi!$C$67</f>
        <v>581.625</v>
      </c>
      <c r="BN199" s="15" t="n">
        <f aca="false">INDEX(Ipotesi!$C$72:$G$72,1,F199)/12*Ipotesi!F126+BF199*Ipotesi!$C$73</f>
        <v>1346.8146730256</v>
      </c>
      <c r="BO199" s="15" t="n">
        <f aca="false">INDEX(Ipotesi!$C$74:$G$74,1,F199)/12*Ipotesi!F126</f>
        <v>1833.33333333333</v>
      </c>
      <c r="BP199" s="15" t="n">
        <f aca="false">INDEX(Ipotesi!$C$76:$G$76,1,F199)/12</f>
        <v>750</v>
      </c>
      <c r="BQ199" s="15" t="n">
        <f aca="false">INDEX(Ipotesi!$C$77:$G$77,1,F199)/12*Ipotesi!F126</f>
        <v>1666.66666666667</v>
      </c>
      <c r="BR199" s="15" t="n">
        <f aca="false">INDEX(Ipotesi!$C$78:$G$78,1,F199)/12</f>
        <v>1250</v>
      </c>
      <c r="BS199" s="15" t="n">
        <f aca="false">SUM(M199:R199)*(Ipotesi!$C$85+Ipotesi!$C$86)/12</f>
        <v>2625</v>
      </c>
      <c r="BT199" s="15" t="n">
        <f aca="false">BI199*Ipotesi!$C$87</f>
        <v>411.8867523846</v>
      </c>
      <c r="BU199" s="15" t="n">
        <f aca="false">INDEX(Ipotesi!$C$55:$G$55,1,F199)*K199/12</f>
        <v>1000</v>
      </c>
      <c r="BV199" s="15" t="n">
        <f aca="false">INDEX(Ipotesi!$C$80:$G$80,1,F199)/12*Ipotesi!F126</f>
        <v>833.333333333333</v>
      </c>
      <c r="BW199" s="15" t="n">
        <f aca="false">INDEX(Ipotesi!$C$82:$G$82,1,F199)/12</f>
        <v>666.666666666667</v>
      </c>
      <c r="BX199" s="15" t="n">
        <f aca="false">INDEX(Ipotesi!$C$83:$G$83,1,F199)/12</f>
        <v>583.333333333333</v>
      </c>
      <c r="BY199" s="15" t="n">
        <f aca="false">SUM(S199:U199)*(Ipotesi!$C$85+Ipotesi!$C$86)/12</f>
        <v>1166.66666666667</v>
      </c>
      <c r="BZ199" s="15" t="n">
        <f aca="false">AM199*Ipotesi!$C$87</f>
        <v>581.625</v>
      </c>
      <c r="CA199" s="15" t="n">
        <f aca="false">AB199+BJ199+BL199+BN199+BO199+AR199+BP199+BQ199+BR199+BS199+BT199</f>
        <v>56183.2590111281</v>
      </c>
      <c r="CB199" s="15" t="n">
        <f aca="false">AC199+BK199+BM199+BH199+BU199+BV199+AS199+BW199+BX199+BY199+BZ199</f>
        <v>26550.3333333333</v>
      </c>
      <c r="CC199" s="15" t="n">
        <f aca="false">BI199-CA199</f>
        <v>-42453.7005983081</v>
      </c>
      <c r="CD199" s="15" t="n">
        <f aca="false">AM199-CB199</f>
        <v>-7162.83333333333</v>
      </c>
      <c r="CE199" s="15" t="n">
        <f aca="false">INDEX(Ipotesi!$C$79:$G$79,1,F199)/12</f>
        <v>2083.33333333333</v>
      </c>
      <c r="CF199" s="15" t="n">
        <f aca="false">INDEX(Ipotesi!$C$84:$G$84,1,F199)/12</f>
        <v>416.666666666667</v>
      </c>
      <c r="CG199" s="15" t="n">
        <f aca="false">Y199*MAX(0,Parametri_v3!$C$12-IF(P199=0,0,MIN(1,BE199/(P199*Parametri_v3!$C$22))))+W199*Parametri_v3!$C$13+X199*Parametri_v3!$C$14</f>
        <v>15706.0432062216</v>
      </c>
      <c r="CH199" s="15" t="n">
        <f aca="false">AB199*Parametri_v3!$C$32</f>
        <v>1988.125</v>
      </c>
      <c r="CI199" s="15" t="n">
        <f aca="false">AC199*Parametri_v3!$C$32</f>
        <v>798.25</v>
      </c>
      <c r="CJ199" s="15" t="n">
        <f aca="false">CA199-AB199</f>
        <v>16420.7590111281</v>
      </c>
      <c r="CK199" s="15" t="n">
        <f aca="false">CB199-AC199-BH199</f>
        <v>8646.58333333333</v>
      </c>
      <c r="CL199" s="15" t="n">
        <f aca="false">BF199*Ipotesi!$C$73+INDEX(Ipotesi!$C$72:$G$72,1,F199)/12*Ipotesi!F126*Parametri_v3!$C$58+Z199*(1-Parametri_v3!$C$16)</f>
        <v>3084.9396730256</v>
      </c>
      <c r="CM199" s="16" t="n">
        <f aca="false">IF(BF199=0,0,1-CL199/BF199)</f>
        <v>-1.54915051747156</v>
      </c>
    </row>
    <row r="200" customFormat="false" ht="18" hidden="false" customHeight="true" outlineLevel="0" collapsed="false">
      <c r="A200" s="68" t="n">
        <f aca="false">4</f>
        <v>4</v>
      </c>
      <c r="B200" s="68" t="n">
        <f aca="false">16</f>
        <v>16</v>
      </c>
      <c r="C200" s="18" t="n">
        <f aca="false">EDATE(Parametri_v3!$C$5,16-1)</f>
        <v>46844</v>
      </c>
      <c r="D200" s="68" t="n">
        <f aca="false">YEAR(C200)</f>
        <v>2028</v>
      </c>
      <c r="E200" s="68" t="n">
        <f aca="false">MONTH(C200)</f>
        <v>4</v>
      </c>
      <c r="F200" s="68" t="n">
        <f aca="false">INT((16-1)/12)+1</f>
        <v>2</v>
      </c>
      <c r="G200" s="15" t="n">
        <f aca="false">Ipotesi!F7</f>
        <v>0.55</v>
      </c>
      <c r="H200" s="15" t="n">
        <f aca="false">Ipotesi!F9</f>
        <v>0.9</v>
      </c>
      <c r="I200" s="15" t="n">
        <f aca="false">Ipotesi!F10</f>
        <v>1</v>
      </c>
      <c r="J200" s="15" t="n">
        <f aca="false">Ipotesi!F11</f>
        <v>1</v>
      </c>
      <c r="K200" s="15" t="n">
        <f aca="false">Ipotesi!F12</f>
        <v>1</v>
      </c>
      <c r="L200" s="15" t="n">
        <f aca="false">Ipotesi!F13</f>
        <v>120</v>
      </c>
      <c r="M200" s="17" t="n">
        <f aca="false">INDEX(Ipotesi!$C$40:$G$40,1,F200)</f>
        <v>1</v>
      </c>
      <c r="N200" s="17" t="n">
        <f aca="false">INDEX(Ipotesi!$C$41:$G$41,1,F200)</f>
        <v>1</v>
      </c>
      <c r="O200" s="17" t="n">
        <f aca="false">INDEX(Ipotesi!$C$42:$G$42,1,F200)*Ipotesi!F125</f>
        <v>2.5</v>
      </c>
      <c r="P200" s="17" t="n">
        <f aca="false">INDEX(Ipotesi!$C$43:$G$43,1,F200)*I200</f>
        <v>2.5</v>
      </c>
      <c r="Q200" s="17" t="n">
        <f aca="false">INDEX(Ipotesi!$C$44:$G$44,1,F200)*I200</f>
        <v>1.5</v>
      </c>
      <c r="R200" s="17" t="n">
        <f aca="false">INDEX(Ipotesi!$C$45:$G$45,1,F200)*I200</f>
        <v>0.5</v>
      </c>
      <c r="S200" s="17" t="n">
        <f aca="false">INDEX(Ipotesi!$C$52:$G$52,1,F200)*Ipotesi!F125</f>
        <v>3</v>
      </c>
      <c r="T200" s="17" t="n">
        <f aca="false">INDEX(Ipotesi!$C$53:$G$53,1,F200)*I200</f>
        <v>1</v>
      </c>
      <c r="U200" s="17" t="n">
        <f aca="false">INDEX(Ipotesi!$C$54:$G$54,1,F200)*I200</f>
        <v>0</v>
      </c>
      <c r="V200" s="15" t="n">
        <f aca="false">M200*INDEX(Ipotesi!$C$58:$G$58,1,F200)*K200/12</f>
        <v>5000</v>
      </c>
      <c r="W200" s="15" t="n">
        <f aca="false">N200*Ipotesi!$C$59*(1+Ipotesi!$C$66)^(F200-1)/12</f>
        <v>6008.33333333333</v>
      </c>
      <c r="X200" s="15" t="n">
        <f aca="false">O200*Ipotesi!$C$60*(1+Ipotesi!$C$66)^(F200-1)/12</f>
        <v>10729.1666666667</v>
      </c>
      <c r="Y200" s="15" t="n">
        <f aca="false">P200*Ipotesi!$C$61*(1+Ipotesi!$C$66)^(F200-1)/12</f>
        <v>10729.1666666667</v>
      </c>
      <c r="Z200" s="15" t="n">
        <f aca="false">Q200*Ipotesi!$C$62*(1+Ipotesi!$C$66)^(F200-1)/12</f>
        <v>5793.75</v>
      </c>
      <c r="AA200" s="15" t="n">
        <f aca="false">R200*Ipotesi!$C$63*(1+Ipotesi!$C$66)^(F200-1)/12</f>
        <v>1502.08333333333</v>
      </c>
      <c r="AB200" s="15" t="n">
        <f aca="false">SUM(V200:AA200)</f>
        <v>39762.5</v>
      </c>
      <c r="AC200" s="15" t="n">
        <f aca="false">(S200*Ipotesi!$C$64+T200*Ipotesi!$C$65+U200*Ipotesi!$C$63)*(1+Ipotesi!$C$66)^(F200-1)/12</f>
        <v>15965</v>
      </c>
      <c r="AD200" s="15" t="n">
        <f aca="false">INDEX(Ipotesi!$C$48:$G$48,1,F200)*G200/12</f>
        <v>20.625</v>
      </c>
      <c r="AE200" s="15" t="n">
        <f aca="false">INDEX(Ipotesi!$C$50:$G$50,1,F200)*G200/12</f>
        <v>2.52083333333333</v>
      </c>
      <c r="AF200" s="15" t="n">
        <f aca="false">(S200*Parametri_v3!$C$7*Parametri_v3!$C$8+Parametri_v3!$C$10)/12</f>
        <v>38.5</v>
      </c>
      <c r="AG200" s="15" t="n">
        <f aca="false">AD200+AE200*(1+Parametri_v3!$C$9)</f>
        <v>24.40625</v>
      </c>
      <c r="AH200" s="16" t="n">
        <f aca="false">IF(AG200=0,1,MIN(1,AF200/AG200))</f>
        <v>1</v>
      </c>
      <c r="AI200" s="15" t="n">
        <f aca="false">AD200*AH200</f>
        <v>20.625</v>
      </c>
      <c r="AJ200" s="15" t="n">
        <f aca="false">AE200*AH200</f>
        <v>2.52083333333333</v>
      </c>
      <c r="AK200" s="15" t="n">
        <f aca="false">AI200*INDEX(Ipotesi!$C$49:$G$49,1,F200)*H200</f>
        <v>14850</v>
      </c>
      <c r="AL200" s="15" t="n">
        <f aca="false">AJ200*INDEX(Ipotesi!$C$51:$G$51,1,F200)*H200</f>
        <v>4537.5</v>
      </c>
      <c r="AM200" s="15" t="n">
        <f aca="false">AK200+AL200</f>
        <v>19387.5</v>
      </c>
      <c r="AN200" s="15" t="n">
        <f aca="false">INDEX(Ipotesi!$C$30:$G$30,1,F200)*G200/12</f>
        <v>12.375</v>
      </c>
      <c r="AO200" s="15" t="n">
        <f aca="false">O200*Parametri_v3!$C$7*Parametri_v3!$C$11*(1-Parametri_v3!$C$14)/12</f>
        <v>25.6666666666667</v>
      </c>
      <c r="AP200" s="15" t="n">
        <f aca="false">MIN(AN200,AO200)</f>
        <v>12.375</v>
      </c>
      <c r="AQ200" s="15" t="n">
        <f aca="false">AP200*INDEX(Ipotesi!$C$31:$G$31,1,F200)*H200</f>
        <v>10580.625</v>
      </c>
      <c r="AR200" s="15" t="n">
        <f aca="false">INDEX(Ipotesi!$C$75:$G$75,1,F200)*J200/12</f>
        <v>4583.33333333333</v>
      </c>
      <c r="AS200" s="15" t="n">
        <f aca="false">INDEX(Ipotesi!$C$81:$G$81,1,F200)*J200/12</f>
        <v>833.333333333333</v>
      </c>
      <c r="AT200" s="15" t="n">
        <f aca="false">AR200*Parametri_v3!$C$15+Z200*Parametri_v3!$C$16</f>
        <v>8638.95833333333</v>
      </c>
      <c r="AU200" s="15" t="n">
        <f aca="false">Q200*Parametri_v3!$C$16*Parametri_v3!$C$17</f>
        <v>105</v>
      </c>
      <c r="AV200" s="17" t="n">
        <f aca="false">BD199</f>
        <v>4.4381810147619</v>
      </c>
      <c r="AW200" s="17" t="n">
        <f aca="false">AV200*(1-(1-INDEX(Ipotesi!$C$34:$G$34,1,F200))^(1/12))</f>
        <v>0.0387968517775696</v>
      </c>
      <c r="AX200" s="15" t="n">
        <f aca="false">ROUND(INDEX(Ipotesi!$C$32:$G$32,1,F200)*Ipotesi!F8,0)</f>
        <v>12</v>
      </c>
      <c r="AY200" s="15" t="n">
        <f aca="false">MAX(0,(AX200-(AV200-AW200))/(13-E200))</f>
        <v>0.844512870779519</v>
      </c>
      <c r="AZ200" s="15" t="n">
        <f aca="false">MIN(P200*Parametri_v3!$C$22,Q200*(1-Parametri_v3!$C$16)*Parametri_v3!$C$23)</f>
        <v>67.5</v>
      </c>
      <c r="BA200" s="15" t="n">
        <f aca="false">IF(OR(INDEX(Ipotesi!$C$35:$G$35,1,F200)&lt;=0,16-Parametri_v3!$C$21&lt;1),0,INDEX($AT$185:$AT$244,MAX(1,16-Parametri_v3!$C$21))/(INDEX(Ipotesi!$C$35:$G$35,1,F200)*Ipotesi!F27))</f>
        <v>2.21511752136752</v>
      </c>
      <c r="BB200" s="15" t="n">
        <f aca="false">IF(16-Parametri_v3!$C$21&lt;1,0,INDEX($AU$185:$AU$244,MAX(1,16-Parametri_v3!$C$21)))*Parametri_v3!$C$18*Parametri_v3!$C$19*Parametri_v3!$C$20</f>
        <v>3.9375</v>
      </c>
      <c r="BC200" s="17" t="n">
        <f aca="false">MAX(0,MIN(AY200,BA200,BB200,MAX(0,AZ200-(AV200-AW200))))</f>
        <v>0.844512870779519</v>
      </c>
      <c r="BD200" s="17" t="n">
        <f aca="false">AV200-AW200+BC200</f>
        <v>5.24389703376385</v>
      </c>
      <c r="BE200" s="17" t="n">
        <f aca="false">(AV200+BD200)/2</f>
        <v>4.84103902426287</v>
      </c>
      <c r="BF200" s="15" t="n">
        <f aca="false">BE200*INDEX(Ipotesi!$C$33:$G$33,1,F200)*H200/12</f>
        <v>1452.31170727886</v>
      </c>
      <c r="BG200" s="15" t="n">
        <f aca="false">BD200*INDEX(Ipotesi!$C$33:$G$33,1,F200)*H200</f>
        <v>18878.0293215499</v>
      </c>
      <c r="BH200" s="15" t="n">
        <f aca="false">AM200*INDEX(Ipotesi!$C$37:$G$37,1,F200)</f>
        <v>1938.75</v>
      </c>
      <c r="BI200" s="15" t="n">
        <f aca="false">AQ200+BF200+BH200</f>
        <v>13971.6867072789</v>
      </c>
      <c r="BJ200" s="15" t="n">
        <f aca="false">INDEX(Ipotesi!$C$68:$G$68,1,F200)*Ipotesi!$C$69/12</f>
        <v>1600</v>
      </c>
      <c r="BK200" s="15" t="n">
        <f aca="false">INDEX(Ipotesi!$C$68:$G$68,1,F200)*(1-Ipotesi!$C$69)/12</f>
        <v>2400</v>
      </c>
      <c r="BL200" s="15" t="n">
        <f aca="false">(AQ200+BF200)*Ipotesi!$C$67</f>
        <v>360.988101218366</v>
      </c>
      <c r="BM200" s="15" t="n">
        <f aca="false">AM200*Ipotesi!$C$67</f>
        <v>581.625</v>
      </c>
      <c r="BN200" s="15" t="n">
        <f aca="false">INDEX(Ipotesi!$C$72:$G$72,1,F200)/12*Ipotesi!F126+BF200*Ipotesi!$C$73</f>
        <v>1366.18493658231</v>
      </c>
      <c r="BO200" s="15" t="n">
        <f aca="false">INDEX(Ipotesi!$C$74:$G$74,1,F200)/12*Ipotesi!F126</f>
        <v>1833.33333333333</v>
      </c>
      <c r="BP200" s="15" t="n">
        <f aca="false">INDEX(Ipotesi!$C$76:$G$76,1,F200)/12</f>
        <v>750</v>
      </c>
      <c r="BQ200" s="15" t="n">
        <f aca="false">INDEX(Ipotesi!$C$77:$G$77,1,F200)/12*Ipotesi!F126</f>
        <v>1666.66666666667</v>
      </c>
      <c r="BR200" s="15" t="n">
        <f aca="false">INDEX(Ipotesi!$C$78:$G$78,1,F200)/12</f>
        <v>1250</v>
      </c>
      <c r="BS200" s="15" t="n">
        <f aca="false">SUM(M200:R200)*(Ipotesi!$C$85+Ipotesi!$C$86)/12</f>
        <v>2625</v>
      </c>
      <c r="BT200" s="15" t="n">
        <f aca="false">BI200*Ipotesi!$C$87</f>
        <v>419.150601218366</v>
      </c>
      <c r="BU200" s="15" t="n">
        <f aca="false">INDEX(Ipotesi!$C$55:$G$55,1,F200)*K200/12</f>
        <v>1000</v>
      </c>
      <c r="BV200" s="15" t="n">
        <f aca="false">INDEX(Ipotesi!$C$80:$G$80,1,F200)/12*Ipotesi!F126</f>
        <v>833.333333333333</v>
      </c>
      <c r="BW200" s="15" t="n">
        <f aca="false">INDEX(Ipotesi!$C$82:$G$82,1,F200)/12</f>
        <v>666.666666666667</v>
      </c>
      <c r="BX200" s="15" t="n">
        <f aca="false">INDEX(Ipotesi!$C$83:$G$83,1,F200)/12</f>
        <v>583.333333333333</v>
      </c>
      <c r="BY200" s="15" t="n">
        <f aca="false">SUM(S200:U200)*(Ipotesi!$C$85+Ipotesi!$C$86)/12</f>
        <v>1166.66666666667</v>
      </c>
      <c r="BZ200" s="15" t="n">
        <f aca="false">AM200*Ipotesi!$C$87</f>
        <v>581.625</v>
      </c>
      <c r="CA200" s="15" t="n">
        <f aca="false">AB200+BJ200+BL200+BN200+BO200+AR200+BP200+BQ200+BR200+BS200+BT200</f>
        <v>56217.1569723524</v>
      </c>
      <c r="CB200" s="15" t="n">
        <f aca="false">AC200+BK200+BM200+BH200+BU200+BV200+AS200+BW200+BX200+BY200+BZ200</f>
        <v>26550.3333333333</v>
      </c>
      <c r="CC200" s="15" t="n">
        <f aca="false">BI200-CA200</f>
        <v>-42245.4702650735</v>
      </c>
      <c r="CD200" s="15" t="n">
        <f aca="false">AM200-CB200</f>
        <v>-7162.83333333333</v>
      </c>
      <c r="CE200" s="15" t="n">
        <f aca="false">INDEX(Ipotesi!$C$79:$G$79,1,F200)/12</f>
        <v>2083.33333333333</v>
      </c>
      <c r="CF200" s="15" t="n">
        <f aca="false">INDEX(Ipotesi!$C$84:$G$84,1,F200)/12</f>
        <v>416.666666666667</v>
      </c>
      <c r="CG200" s="15" t="n">
        <f aca="false">Y200*MAX(0,Parametri_v3!$C$12-IF(P200=0,0,MIN(1,BE200/(P200*Parametri_v3!$C$22))))+W200*Parametri_v3!$C$13+X200*Parametri_v3!$C$14</f>
        <v>15671.4054085421</v>
      </c>
      <c r="CH200" s="15" t="n">
        <f aca="false">AB200*Parametri_v3!$C$32</f>
        <v>1988.125</v>
      </c>
      <c r="CI200" s="15" t="n">
        <f aca="false">AC200*Parametri_v3!$C$32</f>
        <v>798.25</v>
      </c>
      <c r="CJ200" s="15" t="n">
        <f aca="false">CA200-AB200</f>
        <v>16454.6569723524</v>
      </c>
      <c r="CK200" s="15" t="n">
        <f aca="false">CB200-AC200-BH200</f>
        <v>8646.58333333333</v>
      </c>
      <c r="CL200" s="15" t="n">
        <f aca="false">BF200*Ipotesi!$C$73+INDEX(Ipotesi!$C$72:$G$72,1,F200)/12*Ipotesi!F126*Parametri_v3!$C$58+Z200*(1-Parametri_v3!$C$16)</f>
        <v>3104.30993658231</v>
      </c>
      <c r="CM200" s="16" t="n">
        <f aca="false">IF(BF200=0,0,1-CL200/BF200)</f>
        <v>-1.13749563611157</v>
      </c>
    </row>
    <row r="201" customFormat="false" ht="18" hidden="false" customHeight="true" outlineLevel="0" collapsed="false">
      <c r="A201" s="68" t="n">
        <f aca="false">4</f>
        <v>4</v>
      </c>
      <c r="B201" s="68" t="n">
        <f aca="false">17</f>
        <v>17</v>
      </c>
      <c r="C201" s="18" t="n">
        <f aca="false">EDATE(Parametri_v3!$C$5,17-1)</f>
        <v>46874</v>
      </c>
      <c r="D201" s="68" t="n">
        <f aca="false">YEAR(C201)</f>
        <v>2028</v>
      </c>
      <c r="E201" s="68" t="n">
        <f aca="false">MONTH(C201)</f>
        <v>5</v>
      </c>
      <c r="F201" s="68" t="n">
        <f aca="false">INT((17-1)/12)+1</f>
        <v>2</v>
      </c>
      <c r="G201" s="15" t="n">
        <f aca="false">Ipotesi!F7</f>
        <v>0.55</v>
      </c>
      <c r="H201" s="15" t="n">
        <f aca="false">Ipotesi!F9</f>
        <v>0.9</v>
      </c>
      <c r="I201" s="15" t="n">
        <f aca="false">Ipotesi!F10</f>
        <v>1</v>
      </c>
      <c r="J201" s="15" t="n">
        <f aca="false">Ipotesi!F11</f>
        <v>1</v>
      </c>
      <c r="K201" s="15" t="n">
        <f aca="false">Ipotesi!F12</f>
        <v>1</v>
      </c>
      <c r="L201" s="15" t="n">
        <f aca="false">Ipotesi!F13</f>
        <v>120</v>
      </c>
      <c r="M201" s="17" t="n">
        <f aca="false">INDEX(Ipotesi!$C$40:$G$40,1,F201)</f>
        <v>1</v>
      </c>
      <c r="N201" s="17" t="n">
        <f aca="false">INDEX(Ipotesi!$C$41:$G$41,1,F201)</f>
        <v>1</v>
      </c>
      <c r="O201" s="17" t="n">
        <f aca="false">INDEX(Ipotesi!$C$42:$G$42,1,F201)*Ipotesi!F125</f>
        <v>2.5</v>
      </c>
      <c r="P201" s="17" t="n">
        <f aca="false">INDEX(Ipotesi!$C$43:$G$43,1,F201)*I201</f>
        <v>2.5</v>
      </c>
      <c r="Q201" s="17" t="n">
        <f aca="false">INDEX(Ipotesi!$C$44:$G$44,1,F201)*I201</f>
        <v>1.5</v>
      </c>
      <c r="R201" s="17" t="n">
        <f aca="false">INDEX(Ipotesi!$C$45:$G$45,1,F201)*I201</f>
        <v>0.5</v>
      </c>
      <c r="S201" s="17" t="n">
        <f aca="false">INDEX(Ipotesi!$C$52:$G$52,1,F201)*Ipotesi!F125</f>
        <v>3</v>
      </c>
      <c r="T201" s="17" t="n">
        <f aca="false">INDEX(Ipotesi!$C$53:$G$53,1,F201)*I201</f>
        <v>1</v>
      </c>
      <c r="U201" s="17" t="n">
        <f aca="false">INDEX(Ipotesi!$C$54:$G$54,1,F201)*I201</f>
        <v>0</v>
      </c>
      <c r="V201" s="15" t="n">
        <f aca="false">M201*INDEX(Ipotesi!$C$58:$G$58,1,F201)*K201/12</f>
        <v>5000</v>
      </c>
      <c r="W201" s="15" t="n">
        <f aca="false">N201*Ipotesi!$C$59*(1+Ipotesi!$C$66)^(F201-1)/12</f>
        <v>6008.33333333333</v>
      </c>
      <c r="X201" s="15" t="n">
        <f aca="false">O201*Ipotesi!$C$60*(1+Ipotesi!$C$66)^(F201-1)/12</f>
        <v>10729.1666666667</v>
      </c>
      <c r="Y201" s="15" t="n">
        <f aca="false">P201*Ipotesi!$C$61*(1+Ipotesi!$C$66)^(F201-1)/12</f>
        <v>10729.1666666667</v>
      </c>
      <c r="Z201" s="15" t="n">
        <f aca="false">Q201*Ipotesi!$C$62*(1+Ipotesi!$C$66)^(F201-1)/12</f>
        <v>5793.75</v>
      </c>
      <c r="AA201" s="15" t="n">
        <f aca="false">R201*Ipotesi!$C$63*(1+Ipotesi!$C$66)^(F201-1)/12</f>
        <v>1502.08333333333</v>
      </c>
      <c r="AB201" s="15" t="n">
        <f aca="false">SUM(V201:AA201)</f>
        <v>39762.5</v>
      </c>
      <c r="AC201" s="15" t="n">
        <f aca="false">(S201*Ipotesi!$C$64+T201*Ipotesi!$C$65+U201*Ipotesi!$C$63)*(1+Ipotesi!$C$66)^(F201-1)/12</f>
        <v>15965</v>
      </c>
      <c r="AD201" s="15" t="n">
        <f aca="false">INDEX(Ipotesi!$C$48:$G$48,1,F201)*G201/12</f>
        <v>20.625</v>
      </c>
      <c r="AE201" s="15" t="n">
        <f aca="false">INDEX(Ipotesi!$C$50:$G$50,1,F201)*G201/12</f>
        <v>2.52083333333333</v>
      </c>
      <c r="AF201" s="15" t="n">
        <f aca="false">(S201*Parametri_v3!$C$7*Parametri_v3!$C$8+Parametri_v3!$C$10)/12</f>
        <v>38.5</v>
      </c>
      <c r="AG201" s="15" t="n">
        <f aca="false">AD201+AE201*(1+Parametri_v3!$C$9)</f>
        <v>24.40625</v>
      </c>
      <c r="AH201" s="16" t="n">
        <f aca="false">IF(AG201=0,1,MIN(1,AF201/AG201))</f>
        <v>1</v>
      </c>
      <c r="AI201" s="15" t="n">
        <f aca="false">AD201*AH201</f>
        <v>20.625</v>
      </c>
      <c r="AJ201" s="15" t="n">
        <f aca="false">AE201*AH201</f>
        <v>2.52083333333333</v>
      </c>
      <c r="AK201" s="15" t="n">
        <f aca="false">AI201*INDEX(Ipotesi!$C$49:$G$49,1,F201)*H201</f>
        <v>14850</v>
      </c>
      <c r="AL201" s="15" t="n">
        <f aca="false">AJ201*INDEX(Ipotesi!$C$51:$G$51,1,F201)*H201</f>
        <v>4537.5</v>
      </c>
      <c r="AM201" s="15" t="n">
        <f aca="false">AK201+AL201</f>
        <v>19387.5</v>
      </c>
      <c r="AN201" s="15" t="n">
        <f aca="false">INDEX(Ipotesi!$C$30:$G$30,1,F201)*G201/12</f>
        <v>12.375</v>
      </c>
      <c r="AO201" s="15" t="n">
        <f aca="false">O201*Parametri_v3!$C$7*Parametri_v3!$C$11*(1-Parametri_v3!$C$14)/12</f>
        <v>25.6666666666667</v>
      </c>
      <c r="AP201" s="15" t="n">
        <f aca="false">MIN(AN201,AO201)</f>
        <v>12.375</v>
      </c>
      <c r="AQ201" s="15" t="n">
        <f aca="false">AP201*INDEX(Ipotesi!$C$31:$G$31,1,F201)*H201</f>
        <v>10580.625</v>
      </c>
      <c r="AR201" s="15" t="n">
        <f aca="false">INDEX(Ipotesi!$C$75:$G$75,1,F201)*J201/12</f>
        <v>4583.33333333333</v>
      </c>
      <c r="AS201" s="15" t="n">
        <f aca="false">INDEX(Ipotesi!$C$81:$G$81,1,F201)*J201/12</f>
        <v>833.333333333333</v>
      </c>
      <c r="AT201" s="15" t="n">
        <f aca="false">AR201*Parametri_v3!$C$15+Z201*Parametri_v3!$C$16</f>
        <v>8638.95833333333</v>
      </c>
      <c r="AU201" s="15" t="n">
        <f aca="false">Q201*Parametri_v3!$C$16*Parametri_v3!$C$17</f>
        <v>105</v>
      </c>
      <c r="AV201" s="17" t="n">
        <f aca="false">BD200</f>
        <v>5.24389703376385</v>
      </c>
      <c r="AW201" s="17" t="n">
        <f aca="false">AV201*(1-(1-INDEX(Ipotesi!$C$34:$G$34,1,F201))^(1/12))</f>
        <v>0.0458401077556517</v>
      </c>
      <c r="AX201" s="15" t="n">
        <f aca="false">ROUND(INDEX(Ipotesi!$C$32:$G$32,1,F201)*Ipotesi!F8,0)</f>
        <v>12</v>
      </c>
      <c r="AY201" s="15" t="n">
        <f aca="false">MAX(0,(AX201-(AV201-AW201))/(13-E201))</f>
        <v>0.850242884248976</v>
      </c>
      <c r="AZ201" s="15" t="n">
        <f aca="false">MIN(P201*Parametri_v3!$C$22,Q201*(1-Parametri_v3!$C$16)*Parametri_v3!$C$23)</f>
        <v>67.5</v>
      </c>
      <c r="BA201" s="15" t="n">
        <f aca="false">IF(OR(INDEX(Ipotesi!$C$35:$G$35,1,F201)&lt;=0,17-Parametri_v3!$C$21&lt;1),0,INDEX($AT$185:$AT$244,MAX(1,17-Parametri_v3!$C$21))/(INDEX(Ipotesi!$C$35:$G$35,1,F201)*Ipotesi!F27))</f>
        <v>2.21511752136752</v>
      </c>
      <c r="BB201" s="15" t="n">
        <f aca="false">IF(17-Parametri_v3!$C$21&lt;1,0,INDEX($AU$185:$AU$244,MAX(1,17-Parametri_v3!$C$21)))*Parametri_v3!$C$18*Parametri_v3!$C$19*Parametri_v3!$C$20</f>
        <v>3.9375</v>
      </c>
      <c r="BC201" s="17" t="n">
        <f aca="false">MAX(0,MIN(AY201,BA201,BB201,MAX(0,AZ201-(AV201-AW201))))</f>
        <v>0.850242884248976</v>
      </c>
      <c r="BD201" s="17" t="n">
        <f aca="false">AV201-AW201+BC201</f>
        <v>6.04829981025717</v>
      </c>
      <c r="BE201" s="17" t="n">
        <f aca="false">(AV201+BD201)/2</f>
        <v>5.64609842201051</v>
      </c>
      <c r="BF201" s="15" t="n">
        <f aca="false">BE201*INDEX(Ipotesi!$C$33:$G$33,1,F201)*H201/12</f>
        <v>1693.82952660315</v>
      </c>
      <c r="BG201" s="15" t="n">
        <f aca="false">BD201*INDEX(Ipotesi!$C$33:$G$33,1,F201)*H201</f>
        <v>21773.8793169258</v>
      </c>
      <c r="BH201" s="15" t="n">
        <f aca="false">AM201*INDEX(Ipotesi!$C$37:$G$37,1,F201)</f>
        <v>1938.75</v>
      </c>
      <c r="BI201" s="15" t="n">
        <f aca="false">AQ201+BF201+BH201</f>
        <v>14213.2045266032</v>
      </c>
      <c r="BJ201" s="15" t="n">
        <f aca="false">INDEX(Ipotesi!$C$68:$G$68,1,F201)*Ipotesi!$C$69/12</f>
        <v>1600</v>
      </c>
      <c r="BK201" s="15" t="n">
        <f aca="false">INDEX(Ipotesi!$C$68:$G$68,1,F201)*(1-Ipotesi!$C$69)/12</f>
        <v>2400</v>
      </c>
      <c r="BL201" s="15" t="n">
        <f aca="false">(AQ201+BF201)*Ipotesi!$C$67</f>
        <v>368.233635798095</v>
      </c>
      <c r="BM201" s="15" t="n">
        <f aca="false">AM201*Ipotesi!$C$67</f>
        <v>581.625</v>
      </c>
      <c r="BN201" s="15" t="n">
        <f aca="false">INDEX(Ipotesi!$C$72:$G$72,1,F201)/12*Ipotesi!F126+BF201*Ipotesi!$C$73</f>
        <v>1385.50636212825</v>
      </c>
      <c r="BO201" s="15" t="n">
        <f aca="false">INDEX(Ipotesi!$C$74:$G$74,1,F201)/12*Ipotesi!F126</f>
        <v>1833.33333333333</v>
      </c>
      <c r="BP201" s="15" t="n">
        <f aca="false">INDEX(Ipotesi!$C$76:$G$76,1,F201)/12</f>
        <v>750</v>
      </c>
      <c r="BQ201" s="15" t="n">
        <f aca="false">INDEX(Ipotesi!$C$77:$G$77,1,F201)/12*Ipotesi!F126</f>
        <v>1666.66666666667</v>
      </c>
      <c r="BR201" s="15" t="n">
        <f aca="false">INDEX(Ipotesi!$C$78:$G$78,1,F201)/12</f>
        <v>1250</v>
      </c>
      <c r="BS201" s="15" t="n">
        <f aca="false">SUM(M201:R201)*(Ipotesi!$C$85+Ipotesi!$C$86)/12</f>
        <v>2625</v>
      </c>
      <c r="BT201" s="15" t="n">
        <f aca="false">BI201*Ipotesi!$C$87</f>
        <v>426.396135798095</v>
      </c>
      <c r="BU201" s="15" t="n">
        <f aca="false">INDEX(Ipotesi!$C$55:$G$55,1,F201)*K201/12</f>
        <v>1000</v>
      </c>
      <c r="BV201" s="15" t="n">
        <f aca="false">INDEX(Ipotesi!$C$80:$G$80,1,F201)/12*Ipotesi!F126</f>
        <v>833.333333333333</v>
      </c>
      <c r="BW201" s="15" t="n">
        <f aca="false">INDEX(Ipotesi!$C$82:$G$82,1,F201)/12</f>
        <v>666.666666666667</v>
      </c>
      <c r="BX201" s="15" t="n">
        <f aca="false">INDEX(Ipotesi!$C$83:$G$83,1,F201)/12</f>
        <v>583.333333333333</v>
      </c>
      <c r="BY201" s="15" t="n">
        <f aca="false">SUM(S201:U201)*(Ipotesi!$C$85+Ipotesi!$C$86)/12</f>
        <v>1166.66666666667</v>
      </c>
      <c r="BZ201" s="15" t="n">
        <f aca="false">AM201*Ipotesi!$C$87</f>
        <v>581.625</v>
      </c>
      <c r="CA201" s="15" t="n">
        <f aca="false">AB201+BJ201+BL201+BN201+BO201+AR201+BP201+BQ201+BR201+BS201+BT201</f>
        <v>56250.9694670578</v>
      </c>
      <c r="CB201" s="15" t="n">
        <f aca="false">AC201+BK201+BM201+BH201+BU201+BV201+AS201+BW201+BX201+BY201+BZ201</f>
        <v>26550.3333333333</v>
      </c>
      <c r="CC201" s="15" t="n">
        <f aca="false">BI201-CA201</f>
        <v>-42037.7649404546</v>
      </c>
      <c r="CD201" s="15" t="n">
        <f aca="false">AM201-CB201</f>
        <v>-7162.83333333333</v>
      </c>
      <c r="CE201" s="15" t="n">
        <f aca="false">INDEX(Ipotesi!$C$79:$G$79,1,F201)/12</f>
        <v>2083.33333333333</v>
      </c>
      <c r="CF201" s="15" t="n">
        <f aca="false">INDEX(Ipotesi!$C$84:$G$84,1,F201)/12</f>
        <v>416.666666666667</v>
      </c>
      <c r="CG201" s="15" t="n">
        <f aca="false">Y201*MAX(0,Parametri_v3!$C$12-IF(P201=0,0,MIN(1,BE201/(P201*Parametri_v3!$C$22))))+W201*Parametri_v3!$C$13+X201*Parametri_v3!$C$14</f>
        <v>15636.8549427221</v>
      </c>
      <c r="CH201" s="15" t="n">
        <f aca="false">AB201*Parametri_v3!$C$32</f>
        <v>1988.125</v>
      </c>
      <c r="CI201" s="15" t="n">
        <f aca="false">AC201*Parametri_v3!$C$32</f>
        <v>798.25</v>
      </c>
      <c r="CJ201" s="15" t="n">
        <f aca="false">CA201-AB201</f>
        <v>16488.4694670578</v>
      </c>
      <c r="CK201" s="15" t="n">
        <f aca="false">CB201-AC201-BH201</f>
        <v>8646.58333333333</v>
      </c>
      <c r="CL201" s="15" t="n">
        <f aca="false">BF201*Ipotesi!$C$73+INDEX(Ipotesi!$C$72:$G$72,1,F201)/12*Ipotesi!F126*Parametri_v3!$C$58+Z201*(1-Parametri_v3!$C$16)</f>
        <v>3123.63136212825</v>
      </c>
      <c r="CM201" s="16" t="n">
        <f aca="false">IF(BF201=0,0,1-CL201/BF201)</f>
        <v>-0.844123811203397</v>
      </c>
    </row>
    <row r="202" customFormat="false" ht="18" hidden="false" customHeight="true" outlineLevel="0" collapsed="false">
      <c r="A202" s="68" t="n">
        <f aca="false">4</f>
        <v>4</v>
      </c>
      <c r="B202" s="68" t="n">
        <f aca="false">18</f>
        <v>18</v>
      </c>
      <c r="C202" s="18" t="n">
        <f aca="false">EDATE(Parametri_v3!$C$5,18-1)</f>
        <v>46905</v>
      </c>
      <c r="D202" s="68" t="n">
        <f aca="false">YEAR(C202)</f>
        <v>2028</v>
      </c>
      <c r="E202" s="68" t="n">
        <f aca="false">MONTH(C202)</f>
        <v>6</v>
      </c>
      <c r="F202" s="68" t="n">
        <f aca="false">INT((18-1)/12)+1</f>
        <v>2</v>
      </c>
      <c r="G202" s="15" t="n">
        <f aca="false">Ipotesi!F7</f>
        <v>0.55</v>
      </c>
      <c r="H202" s="15" t="n">
        <f aca="false">Ipotesi!F9</f>
        <v>0.9</v>
      </c>
      <c r="I202" s="15" t="n">
        <f aca="false">Ipotesi!F10</f>
        <v>1</v>
      </c>
      <c r="J202" s="15" t="n">
        <f aca="false">Ipotesi!F11</f>
        <v>1</v>
      </c>
      <c r="K202" s="15" t="n">
        <f aca="false">Ipotesi!F12</f>
        <v>1</v>
      </c>
      <c r="L202" s="15" t="n">
        <f aca="false">Ipotesi!F13</f>
        <v>120</v>
      </c>
      <c r="M202" s="17" t="n">
        <f aca="false">INDEX(Ipotesi!$C$40:$G$40,1,F202)</f>
        <v>1</v>
      </c>
      <c r="N202" s="17" t="n">
        <f aca="false">INDEX(Ipotesi!$C$41:$G$41,1,F202)</f>
        <v>1</v>
      </c>
      <c r="O202" s="17" t="n">
        <f aca="false">INDEX(Ipotesi!$C$42:$G$42,1,F202)*Ipotesi!F125</f>
        <v>2.5</v>
      </c>
      <c r="P202" s="17" t="n">
        <f aca="false">INDEX(Ipotesi!$C$43:$G$43,1,F202)*I202</f>
        <v>2.5</v>
      </c>
      <c r="Q202" s="17" t="n">
        <f aca="false">INDEX(Ipotesi!$C$44:$G$44,1,F202)*I202</f>
        <v>1.5</v>
      </c>
      <c r="R202" s="17" t="n">
        <f aca="false">INDEX(Ipotesi!$C$45:$G$45,1,F202)*I202</f>
        <v>0.5</v>
      </c>
      <c r="S202" s="17" t="n">
        <f aca="false">INDEX(Ipotesi!$C$52:$G$52,1,F202)*Ipotesi!F125</f>
        <v>3</v>
      </c>
      <c r="T202" s="17" t="n">
        <f aca="false">INDEX(Ipotesi!$C$53:$G$53,1,F202)*I202</f>
        <v>1</v>
      </c>
      <c r="U202" s="17" t="n">
        <f aca="false">INDEX(Ipotesi!$C$54:$G$54,1,F202)*I202</f>
        <v>0</v>
      </c>
      <c r="V202" s="15" t="n">
        <f aca="false">M202*INDEX(Ipotesi!$C$58:$G$58,1,F202)*K202/12</f>
        <v>5000</v>
      </c>
      <c r="W202" s="15" t="n">
        <f aca="false">N202*Ipotesi!$C$59*(1+Ipotesi!$C$66)^(F202-1)/12</f>
        <v>6008.33333333333</v>
      </c>
      <c r="X202" s="15" t="n">
        <f aca="false">O202*Ipotesi!$C$60*(1+Ipotesi!$C$66)^(F202-1)/12</f>
        <v>10729.1666666667</v>
      </c>
      <c r="Y202" s="15" t="n">
        <f aca="false">P202*Ipotesi!$C$61*(1+Ipotesi!$C$66)^(F202-1)/12</f>
        <v>10729.1666666667</v>
      </c>
      <c r="Z202" s="15" t="n">
        <f aca="false">Q202*Ipotesi!$C$62*(1+Ipotesi!$C$66)^(F202-1)/12</f>
        <v>5793.75</v>
      </c>
      <c r="AA202" s="15" t="n">
        <f aca="false">R202*Ipotesi!$C$63*(1+Ipotesi!$C$66)^(F202-1)/12</f>
        <v>1502.08333333333</v>
      </c>
      <c r="AB202" s="15" t="n">
        <f aca="false">SUM(V202:AA202)</f>
        <v>39762.5</v>
      </c>
      <c r="AC202" s="15" t="n">
        <f aca="false">(S202*Ipotesi!$C$64+T202*Ipotesi!$C$65+U202*Ipotesi!$C$63)*(1+Ipotesi!$C$66)^(F202-1)/12</f>
        <v>15965</v>
      </c>
      <c r="AD202" s="15" t="n">
        <f aca="false">INDEX(Ipotesi!$C$48:$G$48,1,F202)*G202/12</f>
        <v>20.625</v>
      </c>
      <c r="AE202" s="15" t="n">
        <f aca="false">INDEX(Ipotesi!$C$50:$G$50,1,F202)*G202/12</f>
        <v>2.52083333333333</v>
      </c>
      <c r="AF202" s="15" t="n">
        <f aca="false">(S202*Parametri_v3!$C$7*Parametri_v3!$C$8+Parametri_v3!$C$10)/12</f>
        <v>38.5</v>
      </c>
      <c r="AG202" s="15" t="n">
        <f aca="false">AD202+AE202*(1+Parametri_v3!$C$9)</f>
        <v>24.40625</v>
      </c>
      <c r="AH202" s="16" t="n">
        <f aca="false">IF(AG202=0,1,MIN(1,AF202/AG202))</f>
        <v>1</v>
      </c>
      <c r="AI202" s="15" t="n">
        <f aca="false">AD202*AH202</f>
        <v>20.625</v>
      </c>
      <c r="AJ202" s="15" t="n">
        <f aca="false">AE202*AH202</f>
        <v>2.52083333333333</v>
      </c>
      <c r="AK202" s="15" t="n">
        <f aca="false">AI202*INDEX(Ipotesi!$C$49:$G$49,1,F202)*H202</f>
        <v>14850</v>
      </c>
      <c r="AL202" s="15" t="n">
        <f aca="false">AJ202*INDEX(Ipotesi!$C$51:$G$51,1,F202)*H202</f>
        <v>4537.5</v>
      </c>
      <c r="AM202" s="15" t="n">
        <f aca="false">AK202+AL202</f>
        <v>19387.5</v>
      </c>
      <c r="AN202" s="15" t="n">
        <f aca="false">INDEX(Ipotesi!$C$30:$G$30,1,F202)*G202/12</f>
        <v>12.375</v>
      </c>
      <c r="AO202" s="15" t="n">
        <f aca="false">O202*Parametri_v3!$C$7*Parametri_v3!$C$11*(1-Parametri_v3!$C$14)/12</f>
        <v>25.6666666666667</v>
      </c>
      <c r="AP202" s="15" t="n">
        <f aca="false">MIN(AN202,AO202)</f>
        <v>12.375</v>
      </c>
      <c r="AQ202" s="15" t="n">
        <f aca="false">AP202*INDEX(Ipotesi!$C$31:$G$31,1,F202)*H202</f>
        <v>10580.625</v>
      </c>
      <c r="AR202" s="15" t="n">
        <f aca="false">INDEX(Ipotesi!$C$75:$G$75,1,F202)*J202/12</f>
        <v>4583.33333333333</v>
      </c>
      <c r="AS202" s="15" t="n">
        <f aca="false">INDEX(Ipotesi!$C$81:$G$81,1,F202)*J202/12</f>
        <v>833.333333333333</v>
      </c>
      <c r="AT202" s="15" t="n">
        <f aca="false">AR202*Parametri_v3!$C$15+Z202*Parametri_v3!$C$16</f>
        <v>8638.95833333333</v>
      </c>
      <c r="AU202" s="15" t="n">
        <f aca="false">Q202*Parametri_v3!$C$16*Parametri_v3!$C$17</f>
        <v>105</v>
      </c>
      <c r="AV202" s="17" t="n">
        <f aca="false">BD201</f>
        <v>6.04829981025717</v>
      </c>
      <c r="AW202" s="17" t="n">
        <f aca="false">AV202*(1-(1-INDEX(Ipotesi!$C$34:$G$34,1,F202))^(1/12))</f>
        <v>0.0528718838786342</v>
      </c>
      <c r="AX202" s="15" t="n">
        <f aca="false">ROUND(INDEX(Ipotesi!$C$32:$G$32,1,F202)*Ipotesi!F8,0)</f>
        <v>12</v>
      </c>
      <c r="AY202" s="15" t="n">
        <f aca="false">MAX(0,(AX202-(AV202-AW202))/(13-E202))</f>
        <v>0.857796010517352</v>
      </c>
      <c r="AZ202" s="15" t="n">
        <f aca="false">MIN(P202*Parametri_v3!$C$22,Q202*(1-Parametri_v3!$C$16)*Parametri_v3!$C$23)</f>
        <v>67.5</v>
      </c>
      <c r="BA202" s="15" t="n">
        <f aca="false">IF(OR(INDEX(Ipotesi!$C$35:$G$35,1,F202)&lt;=0,18-Parametri_v3!$C$21&lt;1),0,INDEX($AT$185:$AT$244,MAX(1,18-Parametri_v3!$C$21))/(INDEX(Ipotesi!$C$35:$G$35,1,F202)*Ipotesi!F27))</f>
        <v>2.21511752136752</v>
      </c>
      <c r="BB202" s="15" t="n">
        <f aca="false">IF(18-Parametri_v3!$C$21&lt;1,0,INDEX($AU$185:$AU$244,MAX(1,18-Parametri_v3!$C$21)))*Parametri_v3!$C$18*Parametri_v3!$C$19*Parametri_v3!$C$20</f>
        <v>3.9375</v>
      </c>
      <c r="BC202" s="17" t="n">
        <f aca="false">MAX(0,MIN(AY202,BA202,BB202,MAX(0,AZ202-(AV202-AW202))))</f>
        <v>0.857796010517352</v>
      </c>
      <c r="BD202" s="17" t="n">
        <f aca="false">AV202-AW202+BC202</f>
        <v>6.85322393689589</v>
      </c>
      <c r="BE202" s="17" t="n">
        <f aca="false">(AV202+BD202)/2</f>
        <v>6.45076187357653</v>
      </c>
      <c r="BF202" s="15" t="n">
        <f aca="false">BE202*INDEX(Ipotesi!$C$33:$G$33,1,F202)*H202/12</f>
        <v>1935.22856207296</v>
      </c>
      <c r="BG202" s="15" t="n">
        <f aca="false">BD202*INDEX(Ipotesi!$C$33:$G$33,1,F202)*H202</f>
        <v>24671.6061728252</v>
      </c>
      <c r="BH202" s="15" t="n">
        <f aca="false">AM202*INDEX(Ipotesi!$C$37:$G$37,1,F202)</f>
        <v>1938.75</v>
      </c>
      <c r="BI202" s="15" t="n">
        <f aca="false">AQ202+BF202+BH202</f>
        <v>14454.603562073</v>
      </c>
      <c r="BJ202" s="15" t="n">
        <f aca="false">INDEX(Ipotesi!$C$68:$G$68,1,F202)*Ipotesi!$C$69/12</f>
        <v>1600</v>
      </c>
      <c r="BK202" s="15" t="n">
        <f aca="false">INDEX(Ipotesi!$C$68:$G$68,1,F202)*(1-Ipotesi!$C$69)/12</f>
        <v>2400</v>
      </c>
      <c r="BL202" s="15" t="n">
        <f aca="false">(AQ202+BF202)*Ipotesi!$C$67</f>
        <v>375.475606862189</v>
      </c>
      <c r="BM202" s="15" t="n">
        <f aca="false">AM202*Ipotesi!$C$67</f>
        <v>581.625</v>
      </c>
      <c r="BN202" s="15" t="n">
        <f aca="false">INDEX(Ipotesi!$C$72:$G$72,1,F202)/12*Ipotesi!F126+BF202*Ipotesi!$C$73</f>
        <v>1404.81828496584</v>
      </c>
      <c r="BO202" s="15" t="n">
        <f aca="false">INDEX(Ipotesi!$C$74:$G$74,1,F202)/12*Ipotesi!F126</f>
        <v>1833.33333333333</v>
      </c>
      <c r="BP202" s="15" t="n">
        <f aca="false">INDEX(Ipotesi!$C$76:$G$76,1,F202)/12</f>
        <v>750</v>
      </c>
      <c r="BQ202" s="15" t="n">
        <f aca="false">INDEX(Ipotesi!$C$77:$G$77,1,F202)/12*Ipotesi!F126</f>
        <v>1666.66666666667</v>
      </c>
      <c r="BR202" s="15" t="n">
        <f aca="false">INDEX(Ipotesi!$C$78:$G$78,1,F202)/12</f>
        <v>1250</v>
      </c>
      <c r="BS202" s="15" t="n">
        <f aca="false">SUM(M202:R202)*(Ipotesi!$C$85+Ipotesi!$C$86)/12</f>
        <v>2625</v>
      </c>
      <c r="BT202" s="15" t="n">
        <f aca="false">BI202*Ipotesi!$C$87</f>
        <v>433.638106862189</v>
      </c>
      <c r="BU202" s="15" t="n">
        <f aca="false">INDEX(Ipotesi!$C$55:$G$55,1,F202)*K202/12</f>
        <v>1000</v>
      </c>
      <c r="BV202" s="15" t="n">
        <f aca="false">INDEX(Ipotesi!$C$80:$G$80,1,F202)/12*Ipotesi!F126</f>
        <v>833.333333333333</v>
      </c>
      <c r="BW202" s="15" t="n">
        <f aca="false">INDEX(Ipotesi!$C$82:$G$82,1,F202)/12</f>
        <v>666.666666666667</v>
      </c>
      <c r="BX202" s="15" t="n">
        <f aca="false">INDEX(Ipotesi!$C$83:$G$83,1,F202)/12</f>
        <v>583.333333333333</v>
      </c>
      <c r="BY202" s="15" t="n">
        <f aca="false">SUM(S202:U202)*(Ipotesi!$C$85+Ipotesi!$C$86)/12</f>
        <v>1166.66666666667</v>
      </c>
      <c r="BZ202" s="15" t="n">
        <f aca="false">AM202*Ipotesi!$C$87</f>
        <v>581.625</v>
      </c>
      <c r="CA202" s="15" t="n">
        <f aca="false">AB202+BJ202+BL202+BN202+BO202+AR202+BP202+BQ202+BR202+BS202+BT202</f>
        <v>56284.7653320236</v>
      </c>
      <c r="CB202" s="15" t="n">
        <f aca="false">AC202+BK202+BM202+BH202+BU202+BV202+AS202+BW202+BX202+BY202+BZ202</f>
        <v>26550.3333333333</v>
      </c>
      <c r="CC202" s="15" t="n">
        <f aca="false">BI202-CA202</f>
        <v>-41830.1617699506</v>
      </c>
      <c r="CD202" s="15" t="n">
        <f aca="false">AM202-CB202</f>
        <v>-7162.83333333333</v>
      </c>
      <c r="CE202" s="15" t="n">
        <f aca="false">INDEX(Ipotesi!$C$79:$G$79,1,F202)/12</f>
        <v>2083.33333333333</v>
      </c>
      <c r="CF202" s="15" t="n">
        <f aca="false">INDEX(Ipotesi!$C$84:$G$84,1,F202)/12</f>
        <v>416.666666666667</v>
      </c>
      <c r="CG202" s="15" t="n">
        <f aca="false">Y202*MAX(0,Parametri_v3!$C$12-IF(P202=0,0,MIN(1,BE202/(P202*Parametri_v3!$C$22))))+W202*Parametri_v3!$C$13+X202*Parametri_v3!$C$14</f>
        <v>15602.3214695923</v>
      </c>
      <c r="CH202" s="15" t="n">
        <f aca="false">AB202*Parametri_v3!$C$32</f>
        <v>1988.125</v>
      </c>
      <c r="CI202" s="15" t="n">
        <f aca="false">AC202*Parametri_v3!$C$32</f>
        <v>798.25</v>
      </c>
      <c r="CJ202" s="15" t="n">
        <f aca="false">CA202-AB202</f>
        <v>16522.2653320235</v>
      </c>
      <c r="CK202" s="15" t="n">
        <f aca="false">CB202-AC202-BH202</f>
        <v>8646.58333333333</v>
      </c>
      <c r="CL202" s="15" t="n">
        <f aca="false">BF202*Ipotesi!$C$73+INDEX(Ipotesi!$C$72:$G$72,1,F202)/12*Ipotesi!F126*Parametri_v3!$C$58+Z202*(1-Parametri_v3!$C$16)</f>
        <v>3142.94328496584</v>
      </c>
      <c r="CM202" s="16" t="n">
        <f aca="false">IF(BF202=0,0,1-CL202/BF202)</f>
        <v>-0.624068260753247</v>
      </c>
    </row>
    <row r="203" customFormat="false" ht="18" hidden="false" customHeight="true" outlineLevel="0" collapsed="false">
      <c r="A203" s="68" t="n">
        <f aca="false">4</f>
        <v>4</v>
      </c>
      <c r="B203" s="68" t="n">
        <f aca="false">19</f>
        <v>19</v>
      </c>
      <c r="C203" s="18" t="n">
        <f aca="false">EDATE(Parametri_v3!$C$5,19-1)</f>
        <v>46935</v>
      </c>
      <c r="D203" s="68" t="n">
        <f aca="false">YEAR(C203)</f>
        <v>2028</v>
      </c>
      <c r="E203" s="68" t="n">
        <f aca="false">MONTH(C203)</f>
        <v>7</v>
      </c>
      <c r="F203" s="68" t="n">
        <f aca="false">INT((19-1)/12)+1</f>
        <v>2</v>
      </c>
      <c r="G203" s="15" t="n">
        <f aca="false">Ipotesi!F7</f>
        <v>0.55</v>
      </c>
      <c r="H203" s="15" t="n">
        <f aca="false">Ipotesi!F9</f>
        <v>0.9</v>
      </c>
      <c r="I203" s="15" t="n">
        <f aca="false">Ipotesi!F10</f>
        <v>1</v>
      </c>
      <c r="J203" s="15" t="n">
        <f aca="false">Ipotesi!F11</f>
        <v>1</v>
      </c>
      <c r="K203" s="15" t="n">
        <f aca="false">Ipotesi!F12</f>
        <v>1</v>
      </c>
      <c r="L203" s="15" t="n">
        <f aca="false">Ipotesi!F13</f>
        <v>120</v>
      </c>
      <c r="M203" s="17" t="n">
        <f aca="false">INDEX(Ipotesi!$C$40:$G$40,1,F203)</f>
        <v>1</v>
      </c>
      <c r="N203" s="17" t="n">
        <f aca="false">INDEX(Ipotesi!$C$41:$G$41,1,F203)</f>
        <v>1</v>
      </c>
      <c r="O203" s="17" t="n">
        <f aca="false">INDEX(Ipotesi!$C$42:$G$42,1,F203)*Ipotesi!F125</f>
        <v>2.5</v>
      </c>
      <c r="P203" s="17" t="n">
        <f aca="false">INDEX(Ipotesi!$C$43:$G$43,1,F203)*I203</f>
        <v>2.5</v>
      </c>
      <c r="Q203" s="17" t="n">
        <f aca="false">INDEX(Ipotesi!$C$44:$G$44,1,F203)*I203</f>
        <v>1.5</v>
      </c>
      <c r="R203" s="17" t="n">
        <f aca="false">INDEX(Ipotesi!$C$45:$G$45,1,F203)*I203</f>
        <v>0.5</v>
      </c>
      <c r="S203" s="17" t="n">
        <f aca="false">INDEX(Ipotesi!$C$52:$G$52,1,F203)*Ipotesi!F125</f>
        <v>3</v>
      </c>
      <c r="T203" s="17" t="n">
        <f aca="false">INDEX(Ipotesi!$C$53:$G$53,1,F203)*I203</f>
        <v>1</v>
      </c>
      <c r="U203" s="17" t="n">
        <f aca="false">INDEX(Ipotesi!$C$54:$G$54,1,F203)*I203</f>
        <v>0</v>
      </c>
      <c r="V203" s="15" t="n">
        <f aca="false">M203*INDEX(Ipotesi!$C$58:$G$58,1,F203)*K203/12</f>
        <v>5000</v>
      </c>
      <c r="W203" s="15" t="n">
        <f aca="false">N203*Ipotesi!$C$59*(1+Ipotesi!$C$66)^(F203-1)/12</f>
        <v>6008.33333333333</v>
      </c>
      <c r="X203" s="15" t="n">
        <f aca="false">O203*Ipotesi!$C$60*(1+Ipotesi!$C$66)^(F203-1)/12</f>
        <v>10729.1666666667</v>
      </c>
      <c r="Y203" s="15" t="n">
        <f aca="false">P203*Ipotesi!$C$61*(1+Ipotesi!$C$66)^(F203-1)/12</f>
        <v>10729.1666666667</v>
      </c>
      <c r="Z203" s="15" t="n">
        <f aca="false">Q203*Ipotesi!$C$62*(1+Ipotesi!$C$66)^(F203-1)/12</f>
        <v>5793.75</v>
      </c>
      <c r="AA203" s="15" t="n">
        <f aca="false">R203*Ipotesi!$C$63*(1+Ipotesi!$C$66)^(F203-1)/12</f>
        <v>1502.08333333333</v>
      </c>
      <c r="AB203" s="15" t="n">
        <f aca="false">SUM(V203:AA203)</f>
        <v>39762.5</v>
      </c>
      <c r="AC203" s="15" t="n">
        <f aca="false">(S203*Ipotesi!$C$64+T203*Ipotesi!$C$65+U203*Ipotesi!$C$63)*(1+Ipotesi!$C$66)^(F203-1)/12</f>
        <v>15965</v>
      </c>
      <c r="AD203" s="15" t="n">
        <f aca="false">INDEX(Ipotesi!$C$48:$G$48,1,F203)*G203/12</f>
        <v>20.625</v>
      </c>
      <c r="AE203" s="15" t="n">
        <f aca="false">INDEX(Ipotesi!$C$50:$G$50,1,F203)*G203/12</f>
        <v>2.52083333333333</v>
      </c>
      <c r="AF203" s="15" t="n">
        <f aca="false">(S203*Parametri_v3!$C$7*Parametri_v3!$C$8+Parametri_v3!$C$10)/12</f>
        <v>38.5</v>
      </c>
      <c r="AG203" s="15" t="n">
        <f aca="false">AD203+AE203*(1+Parametri_v3!$C$9)</f>
        <v>24.40625</v>
      </c>
      <c r="AH203" s="16" t="n">
        <f aca="false">IF(AG203=0,1,MIN(1,AF203/AG203))</f>
        <v>1</v>
      </c>
      <c r="AI203" s="15" t="n">
        <f aca="false">AD203*AH203</f>
        <v>20.625</v>
      </c>
      <c r="AJ203" s="15" t="n">
        <f aca="false">AE203*AH203</f>
        <v>2.52083333333333</v>
      </c>
      <c r="AK203" s="15" t="n">
        <f aca="false">AI203*INDEX(Ipotesi!$C$49:$G$49,1,F203)*H203</f>
        <v>14850</v>
      </c>
      <c r="AL203" s="15" t="n">
        <f aca="false">AJ203*INDEX(Ipotesi!$C$51:$G$51,1,F203)*H203</f>
        <v>4537.5</v>
      </c>
      <c r="AM203" s="15" t="n">
        <f aca="false">AK203+AL203</f>
        <v>19387.5</v>
      </c>
      <c r="AN203" s="15" t="n">
        <f aca="false">INDEX(Ipotesi!$C$30:$G$30,1,F203)*G203/12</f>
        <v>12.375</v>
      </c>
      <c r="AO203" s="15" t="n">
        <f aca="false">O203*Parametri_v3!$C$7*Parametri_v3!$C$11*(1-Parametri_v3!$C$14)/12</f>
        <v>25.6666666666667</v>
      </c>
      <c r="AP203" s="15" t="n">
        <f aca="false">MIN(AN203,AO203)</f>
        <v>12.375</v>
      </c>
      <c r="AQ203" s="15" t="n">
        <f aca="false">AP203*INDEX(Ipotesi!$C$31:$G$31,1,F203)*H203</f>
        <v>10580.625</v>
      </c>
      <c r="AR203" s="15" t="n">
        <f aca="false">INDEX(Ipotesi!$C$75:$G$75,1,F203)*J203/12</f>
        <v>4583.33333333333</v>
      </c>
      <c r="AS203" s="15" t="n">
        <f aca="false">INDEX(Ipotesi!$C$81:$G$81,1,F203)*J203/12</f>
        <v>833.333333333333</v>
      </c>
      <c r="AT203" s="15" t="n">
        <f aca="false">AR203*Parametri_v3!$C$15+Z203*Parametri_v3!$C$16</f>
        <v>8638.95833333333</v>
      </c>
      <c r="AU203" s="15" t="n">
        <f aca="false">Q203*Parametri_v3!$C$16*Parametri_v3!$C$17</f>
        <v>105</v>
      </c>
      <c r="AV203" s="17" t="n">
        <f aca="false">BD202</f>
        <v>6.85322393689589</v>
      </c>
      <c r="AW203" s="17" t="n">
        <f aca="false">AV203*(1-(1-INDEX(Ipotesi!$C$34:$G$34,1,F203))^(1/12))</f>
        <v>0.0599082174417589</v>
      </c>
      <c r="AX203" s="15" t="n">
        <f aca="false">ROUND(INDEX(Ipotesi!$C$32:$G$32,1,F203)*Ipotesi!F8,0)</f>
        <v>12</v>
      </c>
      <c r="AY203" s="15" t="n">
        <f aca="false">MAX(0,(AX203-(AV203-AW203))/(13-E203))</f>
        <v>0.867780713424312</v>
      </c>
      <c r="AZ203" s="15" t="n">
        <f aca="false">MIN(P203*Parametri_v3!$C$22,Q203*(1-Parametri_v3!$C$16)*Parametri_v3!$C$23)</f>
        <v>67.5</v>
      </c>
      <c r="BA203" s="15" t="n">
        <f aca="false">IF(OR(INDEX(Ipotesi!$C$35:$G$35,1,F203)&lt;=0,19-Parametri_v3!$C$21&lt;1),0,INDEX($AT$185:$AT$244,MAX(1,19-Parametri_v3!$C$21))/(INDEX(Ipotesi!$C$35:$G$35,1,F203)*Ipotesi!F27))</f>
        <v>2.21511752136752</v>
      </c>
      <c r="BB203" s="15" t="n">
        <f aca="false">IF(19-Parametri_v3!$C$21&lt;1,0,INDEX($AU$185:$AU$244,MAX(1,19-Parametri_v3!$C$21)))*Parametri_v3!$C$18*Parametri_v3!$C$19*Parametri_v3!$C$20</f>
        <v>3.9375</v>
      </c>
      <c r="BC203" s="17" t="n">
        <f aca="false">MAX(0,MIN(AY203,BA203,BB203,MAX(0,AZ203-(AV203-AW203))))</f>
        <v>0.867780713424312</v>
      </c>
      <c r="BD203" s="17" t="n">
        <f aca="false">AV203-AW203+BC203</f>
        <v>7.66109643287844</v>
      </c>
      <c r="BE203" s="17" t="n">
        <f aca="false">(AV203+BD203)/2</f>
        <v>7.25716018488717</v>
      </c>
      <c r="BF203" s="15" t="n">
        <f aca="false">BE203*INDEX(Ipotesi!$C$33:$G$33,1,F203)*H203/12</f>
        <v>2177.14805546615</v>
      </c>
      <c r="BG203" s="15" t="n">
        <f aca="false">BD203*INDEX(Ipotesi!$C$33:$G$33,1,F203)*H203</f>
        <v>27579.9471583624</v>
      </c>
      <c r="BH203" s="15" t="n">
        <f aca="false">AM203*INDEX(Ipotesi!$C$37:$G$37,1,F203)</f>
        <v>1938.75</v>
      </c>
      <c r="BI203" s="15" t="n">
        <f aca="false">AQ203+BF203+BH203</f>
        <v>14696.5230554662</v>
      </c>
      <c r="BJ203" s="15" t="n">
        <f aca="false">INDEX(Ipotesi!$C$68:$G$68,1,F203)*Ipotesi!$C$69/12</f>
        <v>1600</v>
      </c>
      <c r="BK203" s="15" t="n">
        <f aca="false">INDEX(Ipotesi!$C$68:$G$68,1,F203)*(1-Ipotesi!$C$69)/12</f>
        <v>2400</v>
      </c>
      <c r="BL203" s="15" t="n">
        <f aca="false">(AQ203+BF203)*Ipotesi!$C$67</f>
        <v>382.733191663985</v>
      </c>
      <c r="BM203" s="15" t="n">
        <f aca="false">AM203*Ipotesi!$C$67</f>
        <v>581.625</v>
      </c>
      <c r="BN203" s="15" t="n">
        <f aca="false">INDEX(Ipotesi!$C$72:$G$72,1,F203)/12*Ipotesi!F126+BF203*Ipotesi!$C$73</f>
        <v>1424.17184443729</v>
      </c>
      <c r="BO203" s="15" t="n">
        <f aca="false">INDEX(Ipotesi!$C$74:$G$74,1,F203)/12*Ipotesi!F126</f>
        <v>1833.33333333333</v>
      </c>
      <c r="BP203" s="15" t="n">
        <f aca="false">INDEX(Ipotesi!$C$76:$G$76,1,F203)/12</f>
        <v>750</v>
      </c>
      <c r="BQ203" s="15" t="n">
        <f aca="false">INDEX(Ipotesi!$C$77:$G$77,1,F203)/12*Ipotesi!F126</f>
        <v>1666.66666666667</v>
      </c>
      <c r="BR203" s="15" t="n">
        <f aca="false">INDEX(Ipotesi!$C$78:$G$78,1,F203)/12</f>
        <v>1250</v>
      </c>
      <c r="BS203" s="15" t="n">
        <f aca="false">SUM(M203:R203)*(Ipotesi!$C$85+Ipotesi!$C$86)/12</f>
        <v>2625</v>
      </c>
      <c r="BT203" s="15" t="n">
        <f aca="false">BI203*Ipotesi!$C$87</f>
        <v>440.895691663985</v>
      </c>
      <c r="BU203" s="15" t="n">
        <f aca="false">INDEX(Ipotesi!$C$55:$G$55,1,F203)*K203/12</f>
        <v>1000</v>
      </c>
      <c r="BV203" s="15" t="n">
        <f aca="false">INDEX(Ipotesi!$C$80:$G$80,1,F203)/12*Ipotesi!F126</f>
        <v>833.333333333333</v>
      </c>
      <c r="BW203" s="15" t="n">
        <f aca="false">INDEX(Ipotesi!$C$82:$G$82,1,F203)/12</f>
        <v>666.666666666667</v>
      </c>
      <c r="BX203" s="15" t="n">
        <f aca="false">INDEX(Ipotesi!$C$83:$G$83,1,F203)/12</f>
        <v>583.333333333333</v>
      </c>
      <c r="BY203" s="15" t="n">
        <f aca="false">SUM(S203:U203)*(Ipotesi!$C$85+Ipotesi!$C$86)/12</f>
        <v>1166.66666666667</v>
      </c>
      <c r="BZ203" s="15" t="n">
        <f aca="false">AM203*Ipotesi!$C$87</f>
        <v>581.625</v>
      </c>
      <c r="CA203" s="15" t="n">
        <f aca="false">AB203+BJ203+BL203+BN203+BO203+AR203+BP203+BQ203+BR203+BS203+BT203</f>
        <v>56318.6340610986</v>
      </c>
      <c r="CB203" s="15" t="n">
        <f aca="false">AC203+BK203+BM203+BH203+BU203+BV203+AS203+BW203+BX203+BY203+BZ203</f>
        <v>26550.3333333333</v>
      </c>
      <c r="CC203" s="15" t="n">
        <f aca="false">BI203-CA203</f>
        <v>-41622.1110056324</v>
      </c>
      <c r="CD203" s="15" t="n">
        <f aca="false">AM203-CB203</f>
        <v>-7162.83333333333</v>
      </c>
      <c r="CE203" s="15" t="n">
        <f aca="false">INDEX(Ipotesi!$C$79:$G$79,1,F203)/12</f>
        <v>2083.33333333333</v>
      </c>
      <c r="CF203" s="15" t="n">
        <f aca="false">INDEX(Ipotesi!$C$84:$G$84,1,F203)/12</f>
        <v>416.666666666667</v>
      </c>
      <c r="CG203" s="15" t="n">
        <f aca="false">Y203*MAX(0,Parametri_v3!$C$12-IF(P203=0,0,MIN(1,BE203/(P203*Parametri_v3!$C$22))))+W203*Parametri_v3!$C$13+X203*Parametri_v3!$C$14</f>
        <v>15567.7135420653</v>
      </c>
      <c r="CH203" s="15" t="n">
        <f aca="false">AB203*Parametri_v3!$C$32</f>
        <v>1988.125</v>
      </c>
      <c r="CI203" s="15" t="n">
        <f aca="false">AC203*Parametri_v3!$C$32</f>
        <v>798.25</v>
      </c>
      <c r="CJ203" s="15" t="n">
        <f aca="false">CA203-AB203</f>
        <v>16556.1340610986</v>
      </c>
      <c r="CK203" s="15" t="n">
        <f aca="false">CB203-AC203-BH203</f>
        <v>8646.58333333333</v>
      </c>
      <c r="CL203" s="15" t="n">
        <f aca="false">BF203*Ipotesi!$C$73+INDEX(Ipotesi!$C$72:$G$72,1,F203)/12*Ipotesi!F126*Parametri_v3!$C$58+Z203*(1-Parametri_v3!$C$16)</f>
        <v>3162.29684443729</v>
      </c>
      <c r="CM203" s="16" t="n">
        <f aca="false">IF(BF203=0,0,1-CL203/BF203)</f>
        <v>-0.452495082499206</v>
      </c>
    </row>
    <row r="204" customFormat="false" ht="18" hidden="false" customHeight="true" outlineLevel="0" collapsed="false">
      <c r="A204" s="68" t="n">
        <f aca="false">4</f>
        <v>4</v>
      </c>
      <c r="B204" s="68" t="n">
        <f aca="false">20</f>
        <v>20</v>
      </c>
      <c r="C204" s="18" t="n">
        <f aca="false">EDATE(Parametri_v3!$C$5,20-1)</f>
        <v>46966</v>
      </c>
      <c r="D204" s="68" t="n">
        <f aca="false">YEAR(C204)</f>
        <v>2028</v>
      </c>
      <c r="E204" s="68" t="n">
        <f aca="false">MONTH(C204)</f>
        <v>8</v>
      </c>
      <c r="F204" s="68" t="n">
        <f aca="false">INT((20-1)/12)+1</f>
        <v>2</v>
      </c>
      <c r="G204" s="15" t="n">
        <f aca="false">Ipotesi!F7</f>
        <v>0.55</v>
      </c>
      <c r="H204" s="15" t="n">
        <f aca="false">Ipotesi!F9</f>
        <v>0.9</v>
      </c>
      <c r="I204" s="15" t="n">
        <f aca="false">Ipotesi!F10</f>
        <v>1</v>
      </c>
      <c r="J204" s="15" t="n">
        <f aca="false">Ipotesi!F11</f>
        <v>1</v>
      </c>
      <c r="K204" s="15" t="n">
        <f aca="false">Ipotesi!F12</f>
        <v>1</v>
      </c>
      <c r="L204" s="15" t="n">
        <f aca="false">Ipotesi!F13</f>
        <v>120</v>
      </c>
      <c r="M204" s="17" t="n">
        <f aca="false">INDEX(Ipotesi!$C$40:$G$40,1,F204)</f>
        <v>1</v>
      </c>
      <c r="N204" s="17" t="n">
        <f aca="false">INDEX(Ipotesi!$C$41:$G$41,1,F204)</f>
        <v>1</v>
      </c>
      <c r="O204" s="17" t="n">
        <f aca="false">INDEX(Ipotesi!$C$42:$G$42,1,F204)*Ipotesi!F125</f>
        <v>2.5</v>
      </c>
      <c r="P204" s="17" t="n">
        <f aca="false">INDEX(Ipotesi!$C$43:$G$43,1,F204)*I204</f>
        <v>2.5</v>
      </c>
      <c r="Q204" s="17" t="n">
        <f aca="false">INDEX(Ipotesi!$C$44:$G$44,1,F204)*I204</f>
        <v>1.5</v>
      </c>
      <c r="R204" s="17" t="n">
        <f aca="false">INDEX(Ipotesi!$C$45:$G$45,1,F204)*I204</f>
        <v>0.5</v>
      </c>
      <c r="S204" s="17" t="n">
        <f aca="false">INDEX(Ipotesi!$C$52:$G$52,1,F204)*Ipotesi!F125</f>
        <v>3</v>
      </c>
      <c r="T204" s="17" t="n">
        <f aca="false">INDEX(Ipotesi!$C$53:$G$53,1,F204)*I204</f>
        <v>1</v>
      </c>
      <c r="U204" s="17" t="n">
        <f aca="false">INDEX(Ipotesi!$C$54:$G$54,1,F204)*I204</f>
        <v>0</v>
      </c>
      <c r="V204" s="15" t="n">
        <f aca="false">M204*INDEX(Ipotesi!$C$58:$G$58,1,F204)*K204/12</f>
        <v>5000</v>
      </c>
      <c r="W204" s="15" t="n">
        <f aca="false">N204*Ipotesi!$C$59*(1+Ipotesi!$C$66)^(F204-1)/12</f>
        <v>6008.33333333333</v>
      </c>
      <c r="X204" s="15" t="n">
        <f aca="false">O204*Ipotesi!$C$60*(1+Ipotesi!$C$66)^(F204-1)/12</f>
        <v>10729.1666666667</v>
      </c>
      <c r="Y204" s="15" t="n">
        <f aca="false">P204*Ipotesi!$C$61*(1+Ipotesi!$C$66)^(F204-1)/12</f>
        <v>10729.1666666667</v>
      </c>
      <c r="Z204" s="15" t="n">
        <f aca="false">Q204*Ipotesi!$C$62*(1+Ipotesi!$C$66)^(F204-1)/12</f>
        <v>5793.75</v>
      </c>
      <c r="AA204" s="15" t="n">
        <f aca="false">R204*Ipotesi!$C$63*(1+Ipotesi!$C$66)^(F204-1)/12</f>
        <v>1502.08333333333</v>
      </c>
      <c r="AB204" s="15" t="n">
        <f aca="false">SUM(V204:AA204)</f>
        <v>39762.5</v>
      </c>
      <c r="AC204" s="15" t="n">
        <f aca="false">(S204*Ipotesi!$C$64+T204*Ipotesi!$C$65+U204*Ipotesi!$C$63)*(1+Ipotesi!$C$66)^(F204-1)/12</f>
        <v>15965</v>
      </c>
      <c r="AD204" s="15" t="n">
        <f aca="false">INDEX(Ipotesi!$C$48:$G$48,1,F204)*G204/12</f>
        <v>20.625</v>
      </c>
      <c r="AE204" s="15" t="n">
        <f aca="false">INDEX(Ipotesi!$C$50:$G$50,1,F204)*G204/12</f>
        <v>2.52083333333333</v>
      </c>
      <c r="AF204" s="15" t="n">
        <f aca="false">(S204*Parametri_v3!$C$7*Parametri_v3!$C$8+Parametri_v3!$C$10)/12</f>
        <v>38.5</v>
      </c>
      <c r="AG204" s="15" t="n">
        <f aca="false">AD204+AE204*(1+Parametri_v3!$C$9)</f>
        <v>24.40625</v>
      </c>
      <c r="AH204" s="16" t="n">
        <f aca="false">IF(AG204=0,1,MIN(1,AF204/AG204))</f>
        <v>1</v>
      </c>
      <c r="AI204" s="15" t="n">
        <f aca="false">AD204*AH204</f>
        <v>20.625</v>
      </c>
      <c r="AJ204" s="15" t="n">
        <f aca="false">AE204*AH204</f>
        <v>2.52083333333333</v>
      </c>
      <c r="AK204" s="15" t="n">
        <f aca="false">AI204*INDEX(Ipotesi!$C$49:$G$49,1,F204)*H204</f>
        <v>14850</v>
      </c>
      <c r="AL204" s="15" t="n">
        <f aca="false">AJ204*INDEX(Ipotesi!$C$51:$G$51,1,F204)*H204</f>
        <v>4537.5</v>
      </c>
      <c r="AM204" s="15" t="n">
        <f aca="false">AK204+AL204</f>
        <v>19387.5</v>
      </c>
      <c r="AN204" s="15" t="n">
        <f aca="false">INDEX(Ipotesi!$C$30:$G$30,1,F204)*G204/12</f>
        <v>12.375</v>
      </c>
      <c r="AO204" s="15" t="n">
        <f aca="false">O204*Parametri_v3!$C$7*Parametri_v3!$C$11*(1-Parametri_v3!$C$14)/12</f>
        <v>25.6666666666667</v>
      </c>
      <c r="AP204" s="15" t="n">
        <f aca="false">MIN(AN204,AO204)</f>
        <v>12.375</v>
      </c>
      <c r="AQ204" s="15" t="n">
        <f aca="false">AP204*INDEX(Ipotesi!$C$31:$G$31,1,F204)*H204</f>
        <v>10580.625</v>
      </c>
      <c r="AR204" s="15" t="n">
        <f aca="false">INDEX(Ipotesi!$C$75:$G$75,1,F204)*J204/12</f>
        <v>4583.33333333333</v>
      </c>
      <c r="AS204" s="15" t="n">
        <f aca="false">INDEX(Ipotesi!$C$81:$G$81,1,F204)*J204/12</f>
        <v>833.333333333333</v>
      </c>
      <c r="AT204" s="15" t="n">
        <f aca="false">AR204*Parametri_v3!$C$15+Z204*Parametri_v3!$C$16</f>
        <v>8638.95833333333</v>
      </c>
      <c r="AU204" s="15" t="n">
        <f aca="false">Q204*Parametri_v3!$C$16*Parametri_v3!$C$17</f>
        <v>105</v>
      </c>
      <c r="AV204" s="17" t="n">
        <f aca="false">BD203</f>
        <v>7.66109643287844</v>
      </c>
      <c r="AW204" s="17" t="n">
        <f aca="false">AV204*(1-(1-INDEX(Ipotesi!$C$34:$G$34,1,F204))^(1/12))</f>
        <v>0.0669703245026382</v>
      </c>
      <c r="AX204" s="15" t="n">
        <f aca="false">ROUND(INDEX(Ipotesi!$C$32:$G$32,1,F204)*Ipotesi!F8,0)</f>
        <v>12</v>
      </c>
      <c r="AY204" s="15" t="n">
        <f aca="false">MAX(0,(AX204-(AV204-AW204))/(13-E204))</f>
        <v>0.881174778324839</v>
      </c>
      <c r="AZ204" s="15" t="n">
        <f aca="false">MIN(P204*Parametri_v3!$C$22,Q204*(1-Parametri_v3!$C$16)*Parametri_v3!$C$23)</f>
        <v>67.5</v>
      </c>
      <c r="BA204" s="15" t="n">
        <f aca="false">IF(OR(INDEX(Ipotesi!$C$35:$G$35,1,F204)&lt;=0,20-Parametri_v3!$C$21&lt;1),0,INDEX($AT$185:$AT$244,MAX(1,20-Parametri_v3!$C$21))/(INDEX(Ipotesi!$C$35:$G$35,1,F204)*Ipotesi!F27))</f>
        <v>2.21511752136752</v>
      </c>
      <c r="BB204" s="15" t="n">
        <f aca="false">IF(20-Parametri_v3!$C$21&lt;1,0,INDEX($AU$185:$AU$244,MAX(1,20-Parametri_v3!$C$21)))*Parametri_v3!$C$18*Parametri_v3!$C$19*Parametri_v3!$C$20</f>
        <v>3.9375</v>
      </c>
      <c r="BC204" s="17" t="n">
        <f aca="false">MAX(0,MIN(AY204,BA204,BB204,MAX(0,AZ204-(AV204-AW204))))</f>
        <v>0.881174778324839</v>
      </c>
      <c r="BD204" s="17" t="n">
        <f aca="false">AV204-AW204+BC204</f>
        <v>8.47530088670064</v>
      </c>
      <c r="BE204" s="17" t="n">
        <f aca="false">(AV204+BD204)/2</f>
        <v>8.06819865978954</v>
      </c>
      <c r="BF204" s="15" t="n">
        <f aca="false">BE204*INDEX(Ipotesi!$C$33:$G$33,1,F204)*H204/12</f>
        <v>2420.45959793686</v>
      </c>
      <c r="BG204" s="15" t="n">
        <f aca="false">BD204*INDEX(Ipotesi!$C$33:$G$33,1,F204)*H204</f>
        <v>30511.0831921223</v>
      </c>
      <c r="BH204" s="15" t="n">
        <f aca="false">AM204*INDEX(Ipotesi!$C$37:$G$37,1,F204)</f>
        <v>1938.75</v>
      </c>
      <c r="BI204" s="15" t="n">
        <f aca="false">AQ204+BF204+BH204</f>
        <v>14939.8345979369</v>
      </c>
      <c r="BJ204" s="15" t="n">
        <f aca="false">INDEX(Ipotesi!$C$68:$G$68,1,F204)*Ipotesi!$C$69/12</f>
        <v>1600</v>
      </c>
      <c r="BK204" s="15" t="n">
        <f aca="false">INDEX(Ipotesi!$C$68:$G$68,1,F204)*(1-Ipotesi!$C$69)/12</f>
        <v>2400</v>
      </c>
      <c r="BL204" s="15" t="n">
        <f aca="false">(AQ204+BF204)*Ipotesi!$C$67</f>
        <v>390.032537938106</v>
      </c>
      <c r="BM204" s="15" t="n">
        <f aca="false">AM204*Ipotesi!$C$67</f>
        <v>581.625</v>
      </c>
      <c r="BN204" s="15" t="n">
        <f aca="false">INDEX(Ipotesi!$C$72:$G$72,1,F204)/12*Ipotesi!F126+BF204*Ipotesi!$C$73</f>
        <v>1443.63676783495</v>
      </c>
      <c r="BO204" s="15" t="n">
        <f aca="false">INDEX(Ipotesi!$C$74:$G$74,1,F204)/12*Ipotesi!F126</f>
        <v>1833.33333333333</v>
      </c>
      <c r="BP204" s="15" t="n">
        <f aca="false">INDEX(Ipotesi!$C$76:$G$76,1,F204)/12</f>
        <v>750</v>
      </c>
      <c r="BQ204" s="15" t="n">
        <f aca="false">INDEX(Ipotesi!$C$77:$G$77,1,F204)/12*Ipotesi!F126</f>
        <v>1666.66666666667</v>
      </c>
      <c r="BR204" s="15" t="n">
        <f aca="false">INDEX(Ipotesi!$C$78:$G$78,1,F204)/12</f>
        <v>1250</v>
      </c>
      <c r="BS204" s="15" t="n">
        <f aca="false">SUM(M204:R204)*(Ipotesi!$C$85+Ipotesi!$C$86)/12</f>
        <v>2625</v>
      </c>
      <c r="BT204" s="15" t="n">
        <f aca="false">BI204*Ipotesi!$C$87</f>
        <v>448.195037938106</v>
      </c>
      <c r="BU204" s="15" t="n">
        <f aca="false">INDEX(Ipotesi!$C$55:$G$55,1,F204)*K204/12</f>
        <v>1000</v>
      </c>
      <c r="BV204" s="15" t="n">
        <f aca="false">INDEX(Ipotesi!$C$80:$G$80,1,F204)/12*Ipotesi!F126</f>
        <v>833.333333333333</v>
      </c>
      <c r="BW204" s="15" t="n">
        <f aca="false">INDEX(Ipotesi!$C$82:$G$82,1,F204)/12</f>
        <v>666.666666666667</v>
      </c>
      <c r="BX204" s="15" t="n">
        <f aca="false">INDEX(Ipotesi!$C$83:$G$83,1,F204)/12</f>
        <v>583.333333333333</v>
      </c>
      <c r="BY204" s="15" t="n">
        <f aca="false">SUM(S204:U204)*(Ipotesi!$C$85+Ipotesi!$C$86)/12</f>
        <v>1166.66666666667</v>
      </c>
      <c r="BZ204" s="15" t="n">
        <f aca="false">AM204*Ipotesi!$C$87</f>
        <v>581.625</v>
      </c>
      <c r="CA204" s="15" t="n">
        <f aca="false">AB204+BJ204+BL204+BN204+BO204+AR204+BP204+BQ204+BR204+BS204+BT204</f>
        <v>56352.6976770445</v>
      </c>
      <c r="CB204" s="15" t="n">
        <f aca="false">AC204+BK204+BM204+BH204+BU204+BV204+AS204+BW204+BX204+BY204+BZ204</f>
        <v>26550.3333333333</v>
      </c>
      <c r="CC204" s="15" t="n">
        <f aca="false">BI204-CA204</f>
        <v>-41412.8630791076</v>
      </c>
      <c r="CD204" s="15" t="n">
        <f aca="false">AM204-CB204</f>
        <v>-7162.83333333333</v>
      </c>
      <c r="CE204" s="15" t="n">
        <f aca="false">INDEX(Ipotesi!$C$79:$G$79,1,F204)/12</f>
        <v>2083.33333333333</v>
      </c>
      <c r="CF204" s="15" t="n">
        <f aca="false">INDEX(Ipotesi!$C$84:$G$84,1,F204)/12</f>
        <v>416.666666666667</v>
      </c>
      <c r="CG204" s="15" t="n">
        <f aca="false">Y204*MAX(0,Parametri_v3!$C$12-IF(P204=0,0,MIN(1,BE204/(P204*Parametri_v3!$C$22))))+W204*Parametri_v3!$C$13+X204*Parametri_v3!$C$14</f>
        <v>15532.906474184</v>
      </c>
      <c r="CH204" s="15" t="n">
        <f aca="false">AB204*Parametri_v3!$C$32</f>
        <v>1988.125</v>
      </c>
      <c r="CI204" s="15" t="n">
        <f aca="false">AC204*Parametri_v3!$C$32</f>
        <v>798.25</v>
      </c>
      <c r="CJ204" s="15" t="n">
        <f aca="false">CA204-AB204</f>
        <v>16590.1976770445</v>
      </c>
      <c r="CK204" s="15" t="n">
        <f aca="false">CB204-AC204-BH204</f>
        <v>8646.58333333333</v>
      </c>
      <c r="CL204" s="15" t="n">
        <f aca="false">BF204*Ipotesi!$C$73+INDEX(Ipotesi!$C$72:$G$72,1,F204)/12*Ipotesi!F126*Parametri_v3!$C$58+Z204*(1-Parametri_v3!$C$16)</f>
        <v>3181.76176783495</v>
      </c>
      <c r="CM204" s="16" t="n">
        <f aca="false">IF(BF204=0,0,1-CL204/BF204)</f>
        <v>-0.314527939465299</v>
      </c>
    </row>
    <row r="205" customFormat="false" ht="18" hidden="false" customHeight="true" outlineLevel="0" collapsed="false">
      <c r="A205" s="68" t="n">
        <f aca="false">4</f>
        <v>4</v>
      </c>
      <c r="B205" s="68" t="n">
        <f aca="false">21</f>
        <v>21</v>
      </c>
      <c r="C205" s="18" t="n">
        <f aca="false">EDATE(Parametri_v3!$C$5,21-1)</f>
        <v>46997</v>
      </c>
      <c r="D205" s="68" t="n">
        <f aca="false">YEAR(C205)</f>
        <v>2028</v>
      </c>
      <c r="E205" s="68" t="n">
        <f aca="false">MONTH(C205)</f>
        <v>9</v>
      </c>
      <c r="F205" s="68" t="n">
        <f aca="false">INT((21-1)/12)+1</f>
        <v>2</v>
      </c>
      <c r="G205" s="15" t="n">
        <f aca="false">Ipotesi!F7</f>
        <v>0.55</v>
      </c>
      <c r="H205" s="15" t="n">
        <f aca="false">Ipotesi!F9</f>
        <v>0.9</v>
      </c>
      <c r="I205" s="15" t="n">
        <f aca="false">Ipotesi!F10</f>
        <v>1</v>
      </c>
      <c r="J205" s="15" t="n">
        <f aca="false">Ipotesi!F11</f>
        <v>1</v>
      </c>
      <c r="K205" s="15" t="n">
        <f aca="false">Ipotesi!F12</f>
        <v>1</v>
      </c>
      <c r="L205" s="15" t="n">
        <f aca="false">Ipotesi!F13</f>
        <v>120</v>
      </c>
      <c r="M205" s="17" t="n">
        <f aca="false">INDEX(Ipotesi!$C$40:$G$40,1,F205)</f>
        <v>1</v>
      </c>
      <c r="N205" s="17" t="n">
        <f aca="false">INDEX(Ipotesi!$C$41:$G$41,1,F205)</f>
        <v>1</v>
      </c>
      <c r="O205" s="17" t="n">
        <f aca="false">INDEX(Ipotesi!$C$42:$G$42,1,F205)*Ipotesi!F125</f>
        <v>2.5</v>
      </c>
      <c r="P205" s="17" t="n">
        <f aca="false">INDEX(Ipotesi!$C$43:$G$43,1,F205)*I205</f>
        <v>2.5</v>
      </c>
      <c r="Q205" s="17" t="n">
        <f aca="false">INDEX(Ipotesi!$C$44:$G$44,1,F205)*I205</f>
        <v>1.5</v>
      </c>
      <c r="R205" s="17" t="n">
        <f aca="false">INDEX(Ipotesi!$C$45:$G$45,1,F205)*I205</f>
        <v>0.5</v>
      </c>
      <c r="S205" s="17" t="n">
        <f aca="false">INDEX(Ipotesi!$C$52:$G$52,1,F205)*Ipotesi!F125</f>
        <v>3</v>
      </c>
      <c r="T205" s="17" t="n">
        <f aca="false">INDEX(Ipotesi!$C$53:$G$53,1,F205)*I205</f>
        <v>1</v>
      </c>
      <c r="U205" s="17" t="n">
        <f aca="false">INDEX(Ipotesi!$C$54:$G$54,1,F205)*I205</f>
        <v>0</v>
      </c>
      <c r="V205" s="15" t="n">
        <f aca="false">M205*INDEX(Ipotesi!$C$58:$G$58,1,F205)*K205/12</f>
        <v>5000</v>
      </c>
      <c r="W205" s="15" t="n">
        <f aca="false">N205*Ipotesi!$C$59*(1+Ipotesi!$C$66)^(F205-1)/12</f>
        <v>6008.33333333333</v>
      </c>
      <c r="X205" s="15" t="n">
        <f aca="false">O205*Ipotesi!$C$60*(1+Ipotesi!$C$66)^(F205-1)/12</f>
        <v>10729.1666666667</v>
      </c>
      <c r="Y205" s="15" t="n">
        <f aca="false">P205*Ipotesi!$C$61*(1+Ipotesi!$C$66)^(F205-1)/12</f>
        <v>10729.1666666667</v>
      </c>
      <c r="Z205" s="15" t="n">
        <f aca="false">Q205*Ipotesi!$C$62*(1+Ipotesi!$C$66)^(F205-1)/12</f>
        <v>5793.75</v>
      </c>
      <c r="AA205" s="15" t="n">
        <f aca="false">R205*Ipotesi!$C$63*(1+Ipotesi!$C$66)^(F205-1)/12</f>
        <v>1502.08333333333</v>
      </c>
      <c r="AB205" s="15" t="n">
        <f aca="false">SUM(V205:AA205)</f>
        <v>39762.5</v>
      </c>
      <c r="AC205" s="15" t="n">
        <f aca="false">(S205*Ipotesi!$C$64+T205*Ipotesi!$C$65+U205*Ipotesi!$C$63)*(1+Ipotesi!$C$66)^(F205-1)/12</f>
        <v>15965</v>
      </c>
      <c r="AD205" s="15" t="n">
        <f aca="false">INDEX(Ipotesi!$C$48:$G$48,1,F205)*G205/12</f>
        <v>20.625</v>
      </c>
      <c r="AE205" s="15" t="n">
        <f aca="false">INDEX(Ipotesi!$C$50:$G$50,1,F205)*G205/12</f>
        <v>2.52083333333333</v>
      </c>
      <c r="AF205" s="15" t="n">
        <f aca="false">(S205*Parametri_v3!$C$7*Parametri_v3!$C$8+Parametri_v3!$C$10)/12</f>
        <v>38.5</v>
      </c>
      <c r="AG205" s="15" t="n">
        <f aca="false">AD205+AE205*(1+Parametri_v3!$C$9)</f>
        <v>24.40625</v>
      </c>
      <c r="AH205" s="16" t="n">
        <f aca="false">IF(AG205=0,1,MIN(1,AF205/AG205))</f>
        <v>1</v>
      </c>
      <c r="AI205" s="15" t="n">
        <f aca="false">AD205*AH205</f>
        <v>20.625</v>
      </c>
      <c r="AJ205" s="15" t="n">
        <f aca="false">AE205*AH205</f>
        <v>2.52083333333333</v>
      </c>
      <c r="AK205" s="15" t="n">
        <f aca="false">AI205*INDEX(Ipotesi!$C$49:$G$49,1,F205)*H205</f>
        <v>14850</v>
      </c>
      <c r="AL205" s="15" t="n">
        <f aca="false">AJ205*INDEX(Ipotesi!$C$51:$G$51,1,F205)*H205</f>
        <v>4537.5</v>
      </c>
      <c r="AM205" s="15" t="n">
        <f aca="false">AK205+AL205</f>
        <v>19387.5</v>
      </c>
      <c r="AN205" s="15" t="n">
        <f aca="false">INDEX(Ipotesi!$C$30:$G$30,1,F205)*G205/12</f>
        <v>12.375</v>
      </c>
      <c r="AO205" s="15" t="n">
        <f aca="false">O205*Parametri_v3!$C$7*Parametri_v3!$C$11*(1-Parametri_v3!$C$14)/12</f>
        <v>25.6666666666667</v>
      </c>
      <c r="AP205" s="15" t="n">
        <f aca="false">MIN(AN205,AO205)</f>
        <v>12.375</v>
      </c>
      <c r="AQ205" s="15" t="n">
        <f aca="false">AP205*INDEX(Ipotesi!$C$31:$G$31,1,F205)*H205</f>
        <v>10580.625</v>
      </c>
      <c r="AR205" s="15" t="n">
        <f aca="false">INDEX(Ipotesi!$C$75:$G$75,1,F205)*J205/12</f>
        <v>4583.33333333333</v>
      </c>
      <c r="AS205" s="15" t="n">
        <f aca="false">INDEX(Ipotesi!$C$81:$G$81,1,F205)*J205/12</f>
        <v>833.333333333333</v>
      </c>
      <c r="AT205" s="15" t="n">
        <f aca="false">AR205*Parametri_v3!$C$15+Z205*Parametri_v3!$C$16</f>
        <v>8638.95833333333</v>
      </c>
      <c r="AU205" s="15" t="n">
        <f aca="false">Q205*Parametri_v3!$C$16*Parametri_v3!$C$17</f>
        <v>105</v>
      </c>
      <c r="AV205" s="17" t="n">
        <f aca="false">BD204</f>
        <v>8.47530088670064</v>
      </c>
      <c r="AW205" s="17" t="n">
        <f aca="false">AV205*(1-(1-INDEX(Ipotesi!$C$34:$G$34,1,F205))^(1/12))</f>
        <v>0.0740877830755332</v>
      </c>
      <c r="AX205" s="15" t="n">
        <f aca="false">ROUND(INDEX(Ipotesi!$C$32:$G$32,1,F205)*Ipotesi!F8,0)</f>
        <v>12</v>
      </c>
      <c r="AY205" s="15" t="n">
        <f aca="false">MAX(0,(AX205-(AV205-AW205))/(13-E205))</f>
        <v>0.899696724093723</v>
      </c>
      <c r="AZ205" s="15" t="n">
        <f aca="false">MIN(P205*Parametri_v3!$C$22,Q205*(1-Parametri_v3!$C$16)*Parametri_v3!$C$23)</f>
        <v>67.5</v>
      </c>
      <c r="BA205" s="15" t="n">
        <f aca="false">IF(OR(INDEX(Ipotesi!$C$35:$G$35,1,F205)&lt;=0,21-Parametri_v3!$C$21&lt;1),0,INDEX($AT$185:$AT$244,MAX(1,21-Parametri_v3!$C$21))/(INDEX(Ipotesi!$C$35:$G$35,1,F205)*Ipotesi!F27))</f>
        <v>2.21511752136752</v>
      </c>
      <c r="BB205" s="15" t="n">
        <f aca="false">IF(21-Parametri_v3!$C$21&lt;1,0,INDEX($AU$185:$AU$244,MAX(1,21-Parametri_v3!$C$21)))*Parametri_v3!$C$18*Parametri_v3!$C$19*Parametri_v3!$C$20</f>
        <v>3.9375</v>
      </c>
      <c r="BC205" s="17" t="n">
        <f aca="false">MAX(0,MIN(AY205,BA205,BB205,MAX(0,AZ205-(AV205-AW205))))</f>
        <v>0.899696724093723</v>
      </c>
      <c r="BD205" s="17" t="n">
        <f aca="false">AV205-AW205+BC205</f>
        <v>9.30090982771883</v>
      </c>
      <c r="BE205" s="17" t="n">
        <f aca="false">(AV205+BD205)/2</f>
        <v>8.88810535720974</v>
      </c>
      <c r="BF205" s="15" t="n">
        <f aca="false">BE205*INDEX(Ipotesi!$C$33:$G$33,1,F205)*H205/12</f>
        <v>2666.43160716292</v>
      </c>
      <c r="BG205" s="15" t="n">
        <f aca="false">BD205*INDEX(Ipotesi!$C$33:$G$33,1,F205)*H205</f>
        <v>33483.2753797878</v>
      </c>
      <c r="BH205" s="15" t="n">
        <f aca="false">AM205*INDEX(Ipotesi!$C$37:$G$37,1,F205)</f>
        <v>1938.75</v>
      </c>
      <c r="BI205" s="15" t="n">
        <f aca="false">AQ205+BF205+BH205</f>
        <v>15185.8066071629</v>
      </c>
      <c r="BJ205" s="15" t="n">
        <f aca="false">INDEX(Ipotesi!$C$68:$G$68,1,F205)*Ipotesi!$C$69/12</f>
        <v>1600</v>
      </c>
      <c r="BK205" s="15" t="n">
        <f aca="false">INDEX(Ipotesi!$C$68:$G$68,1,F205)*(1-Ipotesi!$C$69)/12</f>
        <v>2400</v>
      </c>
      <c r="BL205" s="15" t="n">
        <f aca="false">(AQ205+BF205)*Ipotesi!$C$67</f>
        <v>397.411698214888</v>
      </c>
      <c r="BM205" s="15" t="n">
        <f aca="false">AM205*Ipotesi!$C$67</f>
        <v>581.625</v>
      </c>
      <c r="BN205" s="15" t="n">
        <f aca="false">INDEX(Ipotesi!$C$72:$G$72,1,F205)/12*Ipotesi!F126+BF205*Ipotesi!$C$73</f>
        <v>1463.31452857303</v>
      </c>
      <c r="BO205" s="15" t="n">
        <f aca="false">INDEX(Ipotesi!$C$74:$G$74,1,F205)/12*Ipotesi!F126</f>
        <v>1833.33333333333</v>
      </c>
      <c r="BP205" s="15" t="n">
        <f aca="false">INDEX(Ipotesi!$C$76:$G$76,1,F205)/12</f>
        <v>750</v>
      </c>
      <c r="BQ205" s="15" t="n">
        <f aca="false">INDEX(Ipotesi!$C$77:$G$77,1,F205)/12*Ipotesi!F126</f>
        <v>1666.66666666667</v>
      </c>
      <c r="BR205" s="15" t="n">
        <f aca="false">INDEX(Ipotesi!$C$78:$G$78,1,F205)/12</f>
        <v>1250</v>
      </c>
      <c r="BS205" s="15" t="n">
        <f aca="false">SUM(M205:R205)*(Ipotesi!$C$85+Ipotesi!$C$86)/12</f>
        <v>2625</v>
      </c>
      <c r="BT205" s="15" t="n">
        <f aca="false">BI205*Ipotesi!$C$87</f>
        <v>455.574198214888</v>
      </c>
      <c r="BU205" s="15" t="n">
        <f aca="false">INDEX(Ipotesi!$C$55:$G$55,1,F205)*K205/12</f>
        <v>1000</v>
      </c>
      <c r="BV205" s="15" t="n">
        <f aca="false">INDEX(Ipotesi!$C$80:$G$80,1,F205)/12*Ipotesi!F126</f>
        <v>833.333333333333</v>
      </c>
      <c r="BW205" s="15" t="n">
        <f aca="false">INDEX(Ipotesi!$C$82:$G$82,1,F205)/12</f>
        <v>666.666666666667</v>
      </c>
      <c r="BX205" s="15" t="n">
        <f aca="false">INDEX(Ipotesi!$C$83:$G$83,1,F205)/12</f>
        <v>583.333333333333</v>
      </c>
      <c r="BY205" s="15" t="n">
        <f aca="false">SUM(S205:U205)*(Ipotesi!$C$85+Ipotesi!$C$86)/12</f>
        <v>1166.66666666667</v>
      </c>
      <c r="BZ205" s="15" t="n">
        <f aca="false">AM205*Ipotesi!$C$87</f>
        <v>581.625</v>
      </c>
      <c r="CA205" s="15" t="n">
        <f aca="false">AB205+BJ205+BL205+BN205+BO205+AR205+BP205+BQ205+BR205+BS205+BT205</f>
        <v>56387.1337583361</v>
      </c>
      <c r="CB205" s="15" t="n">
        <f aca="false">AC205+BK205+BM205+BH205+BU205+BV205+AS205+BW205+BX205+BY205+BZ205</f>
        <v>26550.3333333333</v>
      </c>
      <c r="CC205" s="15" t="n">
        <f aca="false">BI205-CA205</f>
        <v>-41201.3271511732</v>
      </c>
      <c r="CD205" s="15" t="n">
        <f aca="false">AM205-CB205</f>
        <v>-7162.83333333333</v>
      </c>
      <c r="CE205" s="15" t="n">
        <f aca="false">INDEX(Ipotesi!$C$79:$G$79,1,F205)/12</f>
        <v>2083.33333333333</v>
      </c>
      <c r="CF205" s="15" t="n">
        <f aca="false">INDEX(Ipotesi!$C$84:$G$84,1,F205)/12</f>
        <v>416.666666666667</v>
      </c>
      <c r="CG205" s="15" t="n">
        <f aca="false">Y205*MAX(0,Parametri_v3!$C$12-IF(P205=0,0,MIN(1,BE205/(P205*Parametri_v3!$C$22))))+W205*Parametri_v3!$C$13+X205*Parametri_v3!$C$14</f>
        <v>15497.7188117531</v>
      </c>
      <c r="CH205" s="15" t="n">
        <f aca="false">AB205*Parametri_v3!$C$32</f>
        <v>1988.125</v>
      </c>
      <c r="CI205" s="15" t="n">
        <f aca="false">AC205*Parametri_v3!$C$32</f>
        <v>798.25</v>
      </c>
      <c r="CJ205" s="15" t="n">
        <f aca="false">CA205-AB205</f>
        <v>16624.6337583361</v>
      </c>
      <c r="CK205" s="15" t="n">
        <f aca="false">CB205-AC205-BH205</f>
        <v>8646.58333333333</v>
      </c>
      <c r="CL205" s="15" t="n">
        <f aca="false">BF205*Ipotesi!$C$73+INDEX(Ipotesi!$C$72:$G$72,1,F205)/12*Ipotesi!F126*Parametri_v3!$C$58+Z205*(1-Parametri_v3!$C$16)</f>
        <v>3201.43952857303</v>
      </c>
      <c r="CM205" s="16" t="n">
        <f aca="false">IF(BF205=0,0,1-CL205/BF205)</f>
        <v>-0.200645656904495</v>
      </c>
    </row>
    <row r="206" customFormat="false" ht="18" hidden="false" customHeight="true" outlineLevel="0" collapsed="false">
      <c r="A206" s="68" t="n">
        <f aca="false">4</f>
        <v>4</v>
      </c>
      <c r="B206" s="68" t="n">
        <f aca="false">22</f>
        <v>22</v>
      </c>
      <c r="C206" s="18" t="n">
        <f aca="false">EDATE(Parametri_v3!$C$5,22-1)</f>
        <v>47027</v>
      </c>
      <c r="D206" s="68" t="n">
        <f aca="false">YEAR(C206)</f>
        <v>2028</v>
      </c>
      <c r="E206" s="68" t="n">
        <f aca="false">MONTH(C206)</f>
        <v>10</v>
      </c>
      <c r="F206" s="68" t="n">
        <f aca="false">INT((22-1)/12)+1</f>
        <v>2</v>
      </c>
      <c r="G206" s="15" t="n">
        <f aca="false">Ipotesi!F7</f>
        <v>0.55</v>
      </c>
      <c r="H206" s="15" t="n">
        <f aca="false">Ipotesi!F9</f>
        <v>0.9</v>
      </c>
      <c r="I206" s="15" t="n">
        <f aca="false">Ipotesi!F10</f>
        <v>1</v>
      </c>
      <c r="J206" s="15" t="n">
        <f aca="false">Ipotesi!F11</f>
        <v>1</v>
      </c>
      <c r="K206" s="15" t="n">
        <f aca="false">Ipotesi!F12</f>
        <v>1</v>
      </c>
      <c r="L206" s="15" t="n">
        <f aca="false">Ipotesi!F13</f>
        <v>120</v>
      </c>
      <c r="M206" s="17" t="n">
        <f aca="false">INDEX(Ipotesi!$C$40:$G$40,1,F206)</f>
        <v>1</v>
      </c>
      <c r="N206" s="17" t="n">
        <f aca="false">INDEX(Ipotesi!$C$41:$G$41,1,F206)</f>
        <v>1</v>
      </c>
      <c r="O206" s="17" t="n">
        <f aca="false">INDEX(Ipotesi!$C$42:$G$42,1,F206)*Ipotesi!F125</f>
        <v>2.5</v>
      </c>
      <c r="P206" s="17" t="n">
        <f aca="false">INDEX(Ipotesi!$C$43:$G$43,1,F206)*I206</f>
        <v>2.5</v>
      </c>
      <c r="Q206" s="17" t="n">
        <f aca="false">INDEX(Ipotesi!$C$44:$G$44,1,F206)*I206</f>
        <v>1.5</v>
      </c>
      <c r="R206" s="17" t="n">
        <f aca="false">INDEX(Ipotesi!$C$45:$G$45,1,F206)*I206</f>
        <v>0.5</v>
      </c>
      <c r="S206" s="17" t="n">
        <f aca="false">INDEX(Ipotesi!$C$52:$G$52,1,F206)*Ipotesi!F125</f>
        <v>3</v>
      </c>
      <c r="T206" s="17" t="n">
        <f aca="false">INDEX(Ipotesi!$C$53:$G$53,1,F206)*I206</f>
        <v>1</v>
      </c>
      <c r="U206" s="17" t="n">
        <f aca="false">INDEX(Ipotesi!$C$54:$G$54,1,F206)*I206</f>
        <v>0</v>
      </c>
      <c r="V206" s="15" t="n">
        <f aca="false">M206*INDEX(Ipotesi!$C$58:$G$58,1,F206)*K206/12</f>
        <v>5000</v>
      </c>
      <c r="W206" s="15" t="n">
        <f aca="false">N206*Ipotesi!$C$59*(1+Ipotesi!$C$66)^(F206-1)/12</f>
        <v>6008.33333333333</v>
      </c>
      <c r="X206" s="15" t="n">
        <f aca="false">O206*Ipotesi!$C$60*(1+Ipotesi!$C$66)^(F206-1)/12</f>
        <v>10729.1666666667</v>
      </c>
      <c r="Y206" s="15" t="n">
        <f aca="false">P206*Ipotesi!$C$61*(1+Ipotesi!$C$66)^(F206-1)/12</f>
        <v>10729.1666666667</v>
      </c>
      <c r="Z206" s="15" t="n">
        <f aca="false">Q206*Ipotesi!$C$62*(1+Ipotesi!$C$66)^(F206-1)/12</f>
        <v>5793.75</v>
      </c>
      <c r="AA206" s="15" t="n">
        <f aca="false">R206*Ipotesi!$C$63*(1+Ipotesi!$C$66)^(F206-1)/12</f>
        <v>1502.08333333333</v>
      </c>
      <c r="AB206" s="15" t="n">
        <f aca="false">SUM(V206:AA206)</f>
        <v>39762.5</v>
      </c>
      <c r="AC206" s="15" t="n">
        <f aca="false">(S206*Ipotesi!$C$64+T206*Ipotesi!$C$65+U206*Ipotesi!$C$63)*(1+Ipotesi!$C$66)^(F206-1)/12</f>
        <v>15965</v>
      </c>
      <c r="AD206" s="15" t="n">
        <f aca="false">INDEX(Ipotesi!$C$48:$G$48,1,F206)*G206/12</f>
        <v>20.625</v>
      </c>
      <c r="AE206" s="15" t="n">
        <f aca="false">INDEX(Ipotesi!$C$50:$G$50,1,F206)*G206/12</f>
        <v>2.52083333333333</v>
      </c>
      <c r="AF206" s="15" t="n">
        <f aca="false">(S206*Parametri_v3!$C$7*Parametri_v3!$C$8+Parametri_v3!$C$10)/12</f>
        <v>38.5</v>
      </c>
      <c r="AG206" s="15" t="n">
        <f aca="false">AD206+AE206*(1+Parametri_v3!$C$9)</f>
        <v>24.40625</v>
      </c>
      <c r="AH206" s="16" t="n">
        <f aca="false">IF(AG206=0,1,MIN(1,AF206/AG206))</f>
        <v>1</v>
      </c>
      <c r="AI206" s="15" t="n">
        <f aca="false">AD206*AH206</f>
        <v>20.625</v>
      </c>
      <c r="AJ206" s="15" t="n">
        <f aca="false">AE206*AH206</f>
        <v>2.52083333333333</v>
      </c>
      <c r="AK206" s="15" t="n">
        <f aca="false">AI206*INDEX(Ipotesi!$C$49:$G$49,1,F206)*H206</f>
        <v>14850</v>
      </c>
      <c r="AL206" s="15" t="n">
        <f aca="false">AJ206*INDEX(Ipotesi!$C$51:$G$51,1,F206)*H206</f>
        <v>4537.5</v>
      </c>
      <c r="AM206" s="15" t="n">
        <f aca="false">AK206+AL206</f>
        <v>19387.5</v>
      </c>
      <c r="AN206" s="15" t="n">
        <f aca="false">INDEX(Ipotesi!$C$30:$G$30,1,F206)*G206/12</f>
        <v>12.375</v>
      </c>
      <c r="AO206" s="15" t="n">
        <f aca="false">O206*Parametri_v3!$C$7*Parametri_v3!$C$11*(1-Parametri_v3!$C$14)/12</f>
        <v>25.6666666666667</v>
      </c>
      <c r="AP206" s="15" t="n">
        <f aca="false">MIN(AN206,AO206)</f>
        <v>12.375</v>
      </c>
      <c r="AQ206" s="15" t="n">
        <f aca="false">AP206*INDEX(Ipotesi!$C$31:$G$31,1,F206)*H206</f>
        <v>10580.625</v>
      </c>
      <c r="AR206" s="15" t="n">
        <f aca="false">INDEX(Ipotesi!$C$75:$G$75,1,F206)*J206/12</f>
        <v>4583.33333333333</v>
      </c>
      <c r="AS206" s="15" t="n">
        <f aca="false">INDEX(Ipotesi!$C$81:$G$81,1,F206)*J206/12</f>
        <v>833.333333333333</v>
      </c>
      <c r="AT206" s="15" t="n">
        <f aca="false">AR206*Parametri_v3!$C$15+Z206*Parametri_v3!$C$16</f>
        <v>8638.95833333333</v>
      </c>
      <c r="AU206" s="15" t="n">
        <f aca="false">Q206*Parametri_v3!$C$16*Parametri_v3!$C$17</f>
        <v>105</v>
      </c>
      <c r="AV206" s="17" t="n">
        <f aca="false">BD205</f>
        <v>9.30090982771883</v>
      </c>
      <c r="AW206" s="17" t="n">
        <f aca="false">AV206*(1-(1-INDEX(Ipotesi!$C$34:$G$34,1,F206))^(1/12))</f>
        <v>0.0813049352386333</v>
      </c>
      <c r="AX206" s="15" t="n">
        <f aca="false">ROUND(INDEX(Ipotesi!$C$32:$G$32,1,F206)*Ipotesi!F8,0)</f>
        <v>12</v>
      </c>
      <c r="AY206" s="15" t="n">
        <f aca="false">MAX(0,(AX206-(AV206-AW206))/(13-E206))</f>
        <v>0.926798369173267</v>
      </c>
      <c r="AZ206" s="15" t="n">
        <f aca="false">MIN(P206*Parametri_v3!$C$22,Q206*(1-Parametri_v3!$C$16)*Parametri_v3!$C$23)</f>
        <v>67.5</v>
      </c>
      <c r="BA206" s="15" t="n">
        <f aca="false">IF(OR(INDEX(Ipotesi!$C$35:$G$35,1,F206)&lt;=0,22-Parametri_v3!$C$21&lt;1),0,INDEX($AT$185:$AT$244,MAX(1,22-Parametri_v3!$C$21))/(INDEX(Ipotesi!$C$35:$G$35,1,F206)*Ipotesi!F27))</f>
        <v>2.21511752136752</v>
      </c>
      <c r="BB206" s="15" t="n">
        <f aca="false">IF(22-Parametri_v3!$C$21&lt;1,0,INDEX($AU$185:$AU$244,MAX(1,22-Parametri_v3!$C$21)))*Parametri_v3!$C$18*Parametri_v3!$C$19*Parametri_v3!$C$20</f>
        <v>3.9375</v>
      </c>
      <c r="BC206" s="17" t="n">
        <f aca="false">MAX(0,MIN(AY206,BA206,BB206,MAX(0,AZ206-(AV206-AW206))))</f>
        <v>0.926798369173267</v>
      </c>
      <c r="BD206" s="17" t="n">
        <f aca="false">AV206-AW206+BC206</f>
        <v>10.1464032616535</v>
      </c>
      <c r="BE206" s="17" t="n">
        <f aca="false">(AV206+BD206)/2</f>
        <v>9.72365654468615</v>
      </c>
      <c r="BF206" s="15" t="n">
        <f aca="false">BE206*INDEX(Ipotesi!$C$33:$G$33,1,F206)*H206/12</f>
        <v>2917.09696340585</v>
      </c>
      <c r="BG206" s="15" t="n">
        <f aca="false">BD206*INDEX(Ipotesi!$C$33:$G$33,1,F206)*H206</f>
        <v>36527.0517419525</v>
      </c>
      <c r="BH206" s="15" t="n">
        <f aca="false">AM206*INDEX(Ipotesi!$C$37:$G$37,1,F206)</f>
        <v>1938.75</v>
      </c>
      <c r="BI206" s="15" t="n">
        <f aca="false">AQ206+BF206+BH206</f>
        <v>15436.4719634058</v>
      </c>
      <c r="BJ206" s="15" t="n">
        <f aca="false">INDEX(Ipotesi!$C$68:$G$68,1,F206)*Ipotesi!$C$69/12</f>
        <v>1600</v>
      </c>
      <c r="BK206" s="15" t="n">
        <f aca="false">INDEX(Ipotesi!$C$68:$G$68,1,F206)*(1-Ipotesi!$C$69)/12</f>
        <v>2400</v>
      </c>
      <c r="BL206" s="15" t="n">
        <f aca="false">(AQ206+BF206)*Ipotesi!$C$67</f>
        <v>404.931658902175</v>
      </c>
      <c r="BM206" s="15" t="n">
        <f aca="false">AM206*Ipotesi!$C$67</f>
        <v>581.625</v>
      </c>
      <c r="BN206" s="15" t="n">
        <f aca="false">INDEX(Ipotesi!$C$72:$G$72,1,F206)/12*Ipotesi!F126+BF206*Ipotesi!$C$73</f>
        <v>1483.36775707247</v>
      </c>
      <c r="BO206" s="15" t="n">
        <f aca="false">INDEX(Ipotesi!$C$74:$G$74,1,F206)/12*Ipotesi!F126</f>
        <v>1833.33333333333</v>
      </c>
      <c r="BP206" s="15" t="n">
        <f aca="false">INDEX(Ipotesi!$C$76:$G$76,1,F206)/12</f>
        <v>750</v>
      </c>
      <c r="BQ206" s="15" t="n">
        <f aca="false">INDEX(Ipotesi!$C$77:$G$77,1,F206)/12*Ipotesi!F126</f>
        <v>1666.66666666667</v>
      </c>
      <c r="BR206" s="15" t="n">
        <f aca="false">INDEX(Ipotesi!$C$78:$G$78,1,F206)/12</f>
        <v>1250</v>
      </c>
      <c r="BS206" s="15" t="n">
        <f aca="false">SUM(M206:R206)*(Ipotesi!$C$85+Ipotesi!$C$86)/12</f>
        <v>2625</v>
      </c>
      <c r="BT206" s="15" t="n">
        <f aca="false">BI206*Ipotesi!$C$87</f>
        <v>463.094158902175</v>
      </c>
      <c r="BU206" s="15" t="n">
        <f aca="false">INDEX(Ipotesi!$C$55:$G$55,1,F206)*K206/12</f>
        <v>1000</v>
      </c>
      <c r="BV206" s="15" t="n">
        <f aca="false">INDEX(Ipotesi!$C$80:$G$80,1,F206)/12*Ipotesi!F126</f>
        <v>833.333333333333</v>
      </c>
      <c r="BW206" s="15" t="n">
        <f aca="false">INDEX(Ipotesi!$C$82:$G$82,1,F206)/12</f>
        <v>666.666666666667</v>
      </c>
      <c r="BX206" s="15" t="n">
        <f aca="false">INDEX(Ipotesi!$C$83:$G$83,1,F206)/12</f>
        <v>583.333333333333</v>
      </c>
      <c r="BY206" s="15" t="n">
        <f aca="false">SUM(S206:U206)*(Ipotesi!$C$85+Ipotesi!$C$86)/12</f>
        <v>1166.66666666667</v>
      </c>
      <c r="BZ206" s="15" t="n">
        <f aca="false">AM206*Ipotesi!$C$87</f>
        <v>581.625</v>
      </c>
      <c r="CA206" s="15" t="n">
        <f aca="false">AB206+BJ206+BL206+BN206+BO206+AR206+BP206+BQ206+BR206+BS206+BT206</f>
        <v>56422.2269082102</v>
      </c>
      <c r="CB206" s="15" t="n">
        <f aca="false">AC206+BK206+BM206+BH206+BU206+BV206+AS206+BW206+BX206+BY206+BZ206</f>
        <v>26550.3333333333</v>
      </c>
      <c r="CC206" s="15" t="n">
        <f aca="false">BI206-CA206</f>
        <v>-40985.7549448043</v>
      </c>
      <c r="CD206" s="15" t="n">
        <f aca="false">AM206-CB206</f>
        <v>-7162.83333333333</v>
      </c>
      <c r="CE206" s="15" t="n">
        <f aca="false">INDEX(Ipotesi!$C$79:$G$79,1,F206)/12</f>
        <v>2083.33333333333</v>
      </c>
      <c r="CF206" s="15" t="n">
        <f aca="false">INDEX(Ipotesi!$C$84:$G$84,1,F206)/12</f>
        <v>416.666666666667</v>
      </c>
      <c r="CG206" s="15" t="n">
        <f aca="false">Y206*MAX(0,Parametri_v3!$C$12-IF(P206=0,0,MIN(1,BE206/(P206*Parametri_v3!$C$22))))+W206*Parametri_v3!$C$13+X206*Parametri_v3!$C$14</f>
        <v>15461.8597399572</v>
      </c>
      <c r="CH206" s="15" t="n">
        <f aca="false">AB206*Parametri_v3!$C$32</f>
        <v>1988.125</v>
      </c>
      <c r="CI206" s="15" t="n">
        <f aca="false">AC206*Parametri_v3!$C$32</f>
        <v>798.25</v>
      </c>
      <c r="CJ206" s="15" t="n">
        <f aca="false">CA206-AB206</f>
        <v>16659.7269082102</v>
      </c>
      <c r="CK206" s="15" t="n">
        <f aca="false">CB206-AC206-BH206</f>
        <v>8646.58333333333</v>
      </c>
      <c r="CL206" s="15" t="n">
        <f aca="false">BF206*Ipotesi!$C$73+INDEX(Ipotesi!$C$72:$G$72,1,F206)/12*Ipotesi!F126*Parametri_v3!$C$58+Z206*(1-Parametri_v3!$C$16)</f>
        <v>3221.49275707247</v>
      </c>
      <c r="CM206" s="16" t="n">
        <f aca="false">IF(BF206=0,0,1-CL206/BF206)</f>
        <v>-0.104348877491966</v>
      </c>
    </row>
    <row r="207" customFormat="false" ht="18" hidden="false" customHeight="true" outlineLevel="0" collapsed="false">
      <c r="A207" s="68" t="n">
        <f aca="false">4</f>
        <v>4</v>
      </c>
      <c r="B207" s="68" t="n">
        <f aca="false">23</f>
        <v>23</v>
      </c>
      <c r="C207" s="18" t="n">
        <f aca="false">EDATE(Parametri_v3!$C$5,23-1)</f>
        <v>47058</v>
      </c>
      <c r="D207" s="68" t="n">
        <f aca="false">YEAR(C207)</f>
        <v>2028</v>
      </c>
      <c r="E207" s="68" t="n">
        <f aca="false">MONTH(C207)</f>
        <v>11</v>
      </c>
      <c r="F207" s="68" t="n">
        <f aca="false">INT((23-1)/12)+1</f>
        <v>2</v>
      </c>
      <c r="G207" s="15" t="n">
        <f aca="false">Ipotesi!F7</f>
        <v>0.55</v>
      </c>
      <c r="H207" s="15" t="n">
        <f aca="false">Ipotesi!F9</f>
        <v>0.9</v>
      </c>
      <c r="I207" s="15" t="n">
        <f aca="false">Ipotesi!F10</f>
        <v>1</v>
      </c>
      <c r="J207" s="15" t="n">
        <f aca="false">Ipotesi!F11</f>
        <v>1</v>
      </c>
      <c r="K207" s="15" t="n">
        <f aca="false">Ipotesi!F12</f>
        <v>1</v>
      </c>
      <c r="L207" s="15" t="n">
        <f aca="false">Ipotesi!F13</f>
        <v>120</v>
      </c>
      <c r="M207" s="17" t="n">
        <f aca="false">INDEX(Ipotesi!$C$40:$G$40,1,F207)</f>
        <v>1</v>
      </c>
      <c r="N207" s="17" t="n">
        <f aca="false">INDEX(Ipotesi!$C$41:$G$41,1,F207)</f>
        <v>1</v>
      </c>
      <c r="O207" s="17" t="n">
        <f aca="false">INDEX(Ipotesi!$C$42:$G$42,1,F207)*Ipotesi!F125</f>
        <v>2.5</v>
      </c>
      <c r="P207" s="17" t="n">
        <f aca="false">INDEX(Ipotesi!$C$43:$G$43,1,F207)*I207</f>
        <v>2.5</v>
      </c>
      <c r="Q207" s="17" t="n">
        <f aca="false">INDEX(Ipotesi!$C$44:$G$44,1,F207)*I207</f>
        <v>1.5</v>
      </c>
      <c r="R207" s="17" t="n">
        <f aca="false">INDEX(Ipotesi!$C$45:$G$45,1,F207)*I207</f>
        <v>0.5</v>
      </c>
      <c r="S207" s="17" t="n">
        <f aca="false">INDEX(Ipotesi!$C$52:$G$52,1,F207)*Ipotesi!F125</f>
        <v>3</v>
      </c>
      <c r="T207" s="17" t="n">
        <f aca="false">INDEX(Ipotesi!$C$53:$G$53,1,F207)*I207</f>
        <v>1</v>
      </c>
      <c r="U207" s="17" t="n">
        <f aca="false">INDEX(Ipotesi!$C$54:$G$54,1,F207)*I207</f>
        <v>0</v>
      </c>
      <c r="V207" s="15" t="n">
        <f aca="false">M207*INDEX(Ipotesi!$C$58:$G$58,1,F207)*K207/12</f>
        <v>5000</v>
      </c>
      <c r="W207" s="15" t="n">
        <f aca="false">N207*Ipotesi!$C$59*(1+Ipotesi!$C$66)^(F207-1)/12</f>
        <v>6008.33333333333</v>
      </c>
      <c r="X207" s="15" t="n">
        <f aca="false">O207*Ipotesi!$C$60*(1+Ipotesi!$C$66)^(F207-1)/12</f>
        <v>10729.1666666667</v>
      </c>
      <c r="Y207" s="15" t="n">
        <f aca="false">P207*Ipotesi!$C$61*(1+Ipotesi!$C$66)^(F207-1)/12</f>
        <v>10729.1666666667</v>
      </c>
      <c r="Z207" s="15" t="n">
        <f aca="false">Q207*Ipotesi!$C$62*(1+Ipotesi!$C$66)^(F207-1)/12</f>
        <v>5793.75</v>
      </c>
      <c r="AA207" s="15" t="n">
        <f aca="false">R207*Ipotesi!$C$63*(1+Ipotesi!$C$66)^(F207-1)/12</f>
        <v>1502.08333333333</v>
      </c>
      <c r="AB207" s="15" t="n">
        <f aca="false">SUM(V207:AA207)</f>
        <v>39762.5</v>
      </c>
      <c r="AC207" s="15" t="n">
        <f aca="false">(S207*Ipotesi!$C$64+T207*Ipotesi!$C$65+U207*Ipotesi!$C$63)*(1+Ipotesi!$C$66)^(F207-1)/12</f>
        <v>15965</v>
      </c>
      <c r="AD207" s="15" t="n">
        <f aca="false">INDEX(Ipotesi!$C$48:$G$48,1,F207)*G207/12</f>
        <v>20.625</v>
      </c>
      <c r="AE207" s="15" t="n">
        <f aca="false">INDEX(Ipotesi!$C$50:$G$50,1,F207)*G207/12</f>
        <v>2.52083333333333</v>
      </c>
      <c r="AF207" s="15" t="n">
        <f aca="false">(S207*Parametri_v3!$C$7*Parametri_v3!$C$8+Parametri_v3!$C$10)/12</f>
        <v>38.5</v>
      </c>
      <c r="AG207" s="15" t="n">
        <f aca="false">AD207+AE207*(1+Parametri_v3!$C$9)</f>
        <v>24.40625</v>
      </c>
      <c r="AH207" s="16" t="n">
        <f aca="false">IF(AG207=0,1,MIN(1,AF207/AG207))</f>
        <v>1</v>
      </c>
      <c r="AI207" s="15" t="n">
        <f aca="false">AD207*AH207</f>
        <v>20.625</v>
      </c>
      <c r="AJ207" s="15" t="n">
        <f aca="false">AE207*AH207</f>
        <v>2.52083333333333</v>
      </c>
      <c r="AK207" s="15" t="n">
        <f aca="false">AI207*INDEX(Ipotesi!$C$49:$G$49,1,F207)*H207</f>
        <v>14850</v>
      </c>
      <c r="AL207" s="15" t="n">
        <f aca="false">AJ207*INDEX(Ipotesi!$C$51:$G$51,1,F207)*H207</f>
        <v>4537.5</v>
      </c>
      <c r="AM207" s="15" t="n">
        <f aca="false">AK207+AL207</f>
        <v>19387.5</v>
      </c>
      <c r="AN207" s="15" t="n">
        <f aca="false">INDEX(Ipotesi!$C$30:$G$30,1,F207)*G207/12</f>
        <v>12.375</v>
      </c>
      <c r="AO207" s="15" t="n">
        <f aca="false">O207*Parametri_v3!$C$7*Parametri_v3!$C$11*(1-Parametri_v3!$C$14)/12</f>
        <v>25.6666666666667</v>
      </c>
      <c r="AP207" s="15" t="n">
        <f aca="false">MIN(AN207,AO207)</f>
        <v>12.375</v>
      </c>
      <c r="AQ207" s="15" t="n">
        <f aca="false">AP207*INDEX(Ipotesi!$C$31:$G$31,1,F207)*H207</f>
        <v>10580.625</v>
      </c>
      <c r="AR207" s="15" t="n">
        <f aca="false">INDEX(Ipotesi!$C$75:$G$75,1,F207)*J207/12</f>
        <v>4583.33333333333</v>
      </c>
      <c r="AS207" s="15" t="n">
        <f aca="false">INDEX(Ipotesi!$C$81:$G$81,1,F207)*J207/12</f>
        <v>833.333333333333</v>
      </c>
      <c r="AT207" s="15" t="n">
        <f aca="false">AR207*Parametri_v3!$C$15+Z207*Parametri_v3!$C$16</f>
        <v>8638.95833333333</v>
      </c>
      <c r="AU207" s="15" t="n">
        <f aca="false">Q207*Parametri_v3!$C$16*Parametri_v3!$C$17</f>
        <v>105</v>
      </c>
      <c r="AV207" s="17" t="n">
        <f aca="false">BD206</f>
        <v>10.1464032616535</v>
      </c>
      <c r="AW207" s="17" t="n">
        <f aca="false">AV207*(1-(1-INDEX(Ipotesi!$C$34:$G$34,1,F207))^(1/12))</f>
        <v>0.0886959099028405</v>
      </c>
      <c r="AX207" s="15" t="n">
        <f aca="false">ROUND(INDEX(Ipotesi!$C$32:$G$32,1,F207)*Ipotesi!F8,0)</f>
        <v>12</v>
      </c>
      <c r="AY207" s="15" t="n">
        <f aca="false">MAX(0,(AX207-(AV207-AW207))/(13-E207))</f>
        <v>0.971146324124687</v>
      </c>
      <c r="AZ207" s="15" t="n">
        <f aca="false">MIN(P207*Parametri_v3!$C$22,Q207*(1-Parametri_v3!$C$16)*Parametri_v3!$C$23)</f>
        <v>67.5</v>
      </c>
      <c r="BA207" s="15" t="n">
        <f aca="false">IF(OR(INDEX(Ipotesi!$C$35:$G$35,1,F207)&lt;=0,23-Parametri_v3!$C$21&lt;1),0,INDEX($AT$185:$AT$244,MAX(1,23-Parametri_v3!$C$21))/(INDEX(Ipotesi!$C$35:$G$35,1,F207)*Ipotesi!F27))</f>
        <v>2.21511752136752</v>
      </c>
      <c r="BB207" s="15" t="n">
        <f aca="false">IF(23-Parametri_v3!$C$21&lt;1,0,INDEX($AU$185:$AU$244,MAX(1,23-Parametri_v3!$C$21)))*Parametri_v3!$C$18*Parametri_v3!$C$19*Parametri_v3!$C$20</f>
        <v>3.9375</v>
      </c>
      <c r="BC207" s="17" t="n">
        <f aca="false">MAX(0,MIN(AY207,BA207,BB207,MAX(0,AZ207-(AV207-AW207))))</f>
        <v>0.971146324124687</v>
      </c>
      <c r="BD207" s="17" t="n">
        <f aca="false">AV207-AW207+BC207</f>
        <v>11.0288536758753</v>
      </c>
      <c r="BE207" s="17" t="n">
        <f aca="false">(AV207+BD207)/2</f>
        <v>10.5876284687644</v>
      </c>
      <c r="BF207" s="15" t="n">
        <f aca="false">BE207*INDEX(Ipotesi!$C$33:$G$33,1,F207)*H207/12</f>
        <v>3176.28854062932</v>
      </c>
      <c r="BG207" s="15" t="n">
        <f aca="false">BD207*INDEX(Ipotesi!$C$33:$G$33,1,F207)*H207</f>
        <v>39703.8732331511</v>
      </c>
      <c r="BH207" s="15" t="n">
        <f aca="false">AM207*INDEX(Ipotesi!$C$37:$G$37,1,F207)</f>
        <v>1938.75</v>
      </c>
      <c r="BI207" s="15" t="n">
        <f aca="false">AQ207+BF207+BH207</f>
        <v>15695.6635406293</v>
      </c>
      <c r="BJ207" s="15" t="n">
        <f aca="false">INDEX(Ipotesi!$C$68:$G$68,1,F207)*Ipotesi!$C$69/12</f>
        <v>1600</v>
      </c>
      <c r="BK207" s="15" t="n">
        <f aca="false">INDEX(Ipotesi!$C$68:$G$68,1,F207)*(1-Ipotesi!$C$69)/12</f>
        <v>2400</v>
      </c>
      <c r="BL207" s="15" t="n">
        <f aca="false">(AQ207+BF207)*Ipotesi!$C$67</f>
        <v>412.70740621888</v>
      </c>
      <c r="BM207" s="15" t="n">
        <f aca="false">AM207*Ipotesi!$C$67</f>
        <v>581.625</v>
      </c>
      <c r="BN207" s="15" t="n">
        <f aca="false">INDEX(Ipotesi!$C$72:$G$72,1,F207)/12*Ipotesi!F126+BF207*Ipotesi!$C$73</f>
        <v>1504.10308325035</v>
      </c>
      <c r="BO207" s="15" t="n">
        <f aca="false">INDEX(Ipotesi!$C$74:$G$74,1,F207)/12*Ipotesi!F126</f>
        <v>1833.33333333333</v>
      </c>
      <c r="BP207" s="15" t="n">
        <f aca="false">INDEX(Ipotesi!$C$76:$G$76,1,F207)/12</f>
        <v>750</v>
      </c>
      <c r="BQ207" s="15" t="n">
        <f aca="false">INDEX(Ipotesi!$C$77:$G$77,1,F207)/12*Ipotesi!F126</f>
        <v>1666.66666666667</v>
      </c>
      <c r="BR207" s="15" t="n">
        <f aca="false">INDEX(Ipotesi!$C$78:$G$78,1,F207)/12</f>
        <v>1250</v>
      </c>
      <c r="BS207" s="15" t="n">
        <f aca="false">SUM(M207:R207)*(Ipotesi!$C$85+Ipotesi!$C$86)/12</f>
        <v>2625</v>
      </c>
      <c r="BT207" s="15" t="n">
        <f aca="false">BI207*Ipotesi!$C$87</f>
        <v>470.86990621888</v>
      </c>
      <c r="BU207" s="15" t="n">
        <f aca="false">INDEX(Ipotesi!$C$55:$G$55,1,F207)*K207/12</f>
        <v>1000</v>
      </c>
      <c r="BV207" s="15" t="n">
        <f aca="false">INDEX(Ipotesi!$C$80:$G$80,1,F207)/12*Ipotesi!F126</f>
        <v>833.333333333333</v>
      </c>
      <c r="BW207" s="15" t="n">
        <f aca="false">INDEX(Ipotesi!$C$82:$G$82,1,F207)/12</f>
        <v>666.666666666667</v>
      </c>
      <c r="BX207" s="15" t="n">
        <f aca="false">INDEX(Ipotesi!$C$83:$G$83,1,F207)/12</f>
        <v>583.333333333333</v>
      </c>
      <c r="BY207" s="15" t="n">
        <f aca="false">SUM(S207:U207)*(Ipotesi!$C$85+Ipotesi!$C$86)/12</f>
        <v>1166.66666666667</v>
      </c>
      <c r="BZ207" s="15" t="n">
        <f aca="false">AM207*Ipotesi!$C$87</f>
        <v>581.625</v>
      </c>
      <c r="CA207" s="15" t="n">
        <f aca="false">AB207+BJ207+BL207+BN207+BO207+AR207+BP207+BQ207+BR207+BS207+BT207</f>
        <v>56458.5137290214</v>
      </c>
      <c r="CB207" s="15" t="n">
        <f aca="false">AC207+BK207+BM207+BH207+BU207+BV207+AS207+BW207+BX207+BY207+BZ207</f>
        <v>26550.3333333333</v>
      </c>
      <c r="CC207" s="15" t="n">
        <f aca="false">BI207-CA207</f>
        <v>-40762.8501883921</v>
      </c>
      <c r="CD207" s="15" t="n">
        <f aca="false">AM207-CB207</f>
        <v>-7162.83333333333</v>
      </c>
      <c r="CE207" s="15" t="n">
        <f aca="false">INDEX(Ipotesi!$C$79:$G$79,1,F207)/12</f>
        <v>2083.33333333333</v>
      </c>
      <c r="CF207" s="15" t="n">
        <f aca="false">INDEX(Ipotesi!$C$84:$G$84,1,F207)/12</f>
        <v>416.666666666667</v>
      </c>
      <c r="CG207" s="15" t="n">
        <f aca="false">Y207*MAX(0,Parametri_v3!$C$12-IF(P207=0,0,MIN(1,BE207/(P207*Parametri_v3!$C$22))))+W207*Parametri_v3!$C$13+X207*Parametri_v3!$C$14</f>
        <v>15424.7809448822</v>
      </c>
      <c r="CH207" s="15" t="n">
        <f aca="false">AB207*Parametri_v3!$C$32</f>
        <v>1988.125</v>
      </c>
      <c r="CI207" s="15" t="n">
        <f aca="false">AC207*Parametri_v3!$C$32</f>
        <v>798.25</v>
      </c>
      <c r="CJ207" s="15" t="n">
        <f aca="false">CA207-AB207</f>
        <v>16696.0137290214</v>
      </c>
      <c r="CK207" s="15" t="n">
        <f aca="false">CB207-AC207-BH207</f>
        <v>8646.58333333333</v>
      </c>
      <c r="CL207" s="15" t="n">
        <f aca="false">BF207*Ipotesi!$C$73+INDEX(Ipotesi!$C$72:$G$72,1,F207)/12*Ipotesi!F126*Parametri_v3!$C$58+Z207*(1-Parametri_v3!$C$16)</f>
        <v>3242.22808325035</v>
      </c>
      <c r="CM207" s="16" t="n">
        <f aca="false">IF(BF207=0,0,1-CL207/BF207)</f>
        <v>-0.0207599346777116</v>
      </c>
    </row>
    <row r="208" customFormat="false" ht="18" hidden="false" customHeight="true" outlineLevel="0" collapsed="false">
      <c r="A208" s="68" t="n">
        <f aca="false">4</f>
        <v>4</v>
      </c>
      <c r="B208" s="68" t="n">
        <f aca="false">24</f>
        <v>24</v>
      </c>
      <c r="C208" s="18" t="n">
        <f aca="false">EDATE(Parametri_v3!$C$5,24-1)</f>
        <v>47088</v>
      </c>
      <c r="D208" s="68" t="n">
        <f aca="false">YEAR(C208)</f>
        <v>2028</v>
      </c>
      <c r="E208" s="68" t="n">
        <f aca="false">MONTH(C208)</f>
        <v>12</v>
      </c>
      <c r="F208" s="68" t="n">
        <f aca="false">INT((24-1)/12)+1</f>
        <v>2</v>
      </c>
      <c r="G208" s="15" t="n">
        <f aca="false">Ipotesi!F7</f>
        <v>0.55</v>
      </c>
      <c r="H208" s="15" t="n">
        <f aca="false">Ipotesi!F9</f>
        <v>0.9</v>
      </c>
      <c r="I208" s="15" t="n">
        <f aca="false">Ipotesi!F10</f>
        <v>1</v>
      </c>
      <c r="J208" s="15" t="n">
        <f aca="false">Ipotesi!F11</f>
        <v>1</v>
      </c>
      <c r="K208" s="15" t="n">
        <f aca="false">Ipotesi!F12</f>
        <v>1</v>
      </c>
      <c r="L208" s="15" t="n">
        <f aca="false">Ipotesi!F13</f>
        <v>120</v>
      </c>
      <c r="M208" s="17" t="n">
        <f aca="false">INDEX(Ipotesi!$C$40:$G$40,1,F208)</f>
        <v>1</v>
      </c>
      <c r="N208" s="17" t="n">
        <f aca="false">INDEX(Ipotesi!$C$41:$G$41,1,F208)</f>
        <v>1</v>
      </c>
      <c r="O208" s="17" t="n">
        <f aca="false">INDEX(Ipotesi!$C$42:$G$42,1,F208)*Ipotesi!F125</f>
        <v>2.5</v>
      </c>
      <c r="P208" s="17" t="n">
        <f aca="false">INDEX(Ipotesi!$C$43:$G$43,1,F208)*I208</f>
        <v>2.5</v>
      </c>
      <c r="Q208" s="17" t="n">
        <f aca="false">INDEX(Ipotesi!$C$44:$G$44,1,F208)*I208</f>
        <v>1.5</v>
      </c>
      <c r="R208" s="17" t="n">
        <f aca="false">INDEX(Ipotesi!$C$45:$G$45,1,F208)*I208</f>
        <v>0.5</v>
      </c>
      <c r="S208" s="17" t="n">
        <f aca="false">INDEX(Ipotesi!$C$52:$G$52,1,F208)*Ipotesi!F125</f>
        <v>3</v>
      </c>
      <c r="T208" s="17" t="n">
        <f aca="false">INDEX(Ipotesi!$C$53:$G$53,1,F208)*I208</f>
        <v>1</v>
      </c>
      <c r="U208" s="17" t="n">
        <f aca="false">INDEX(Ipotesi!$C$54:$G$54,1,F208)*I208</f>
        <v>0</v>
      </c>
      <c r="V208" s="15" t="n">
        <f aca="false">M208*INDEX(Ipotesi!$C$58:$G$58,1,F208)*K208/12</f>
        <v>5000</v>
      </c>
      <c r="W208" s="15" t="n">
        <f aca="false">N208*Ipotesi!$C$59*(1+Ipotesi!$C$66)^(F208-1)/12</f>
        <v>6008.33333333333</v>
      </c>
      <c r="X208" s="15" t="n">
        <f aca="false">O208*Ipotesi!$C$60*(1+Ipotesi!$C$66)^(F208-1)/12</f>
        <v>10729.1666666667</v>
      </c>
      <c r="Y208" s="15" t="n">
        <f aca="false">P208*Ipotesi!$C$61*(1+Ipotesi!$C$66)^(F208-1)/12</f>
        <v>10729.1666666667</v>
      </c>
      <c r="Z208" s="15" t="n">
        <f aca="false">Q208*Ipotesi!$C$62*(1+Ipotesi!$C$66)^(F208-1)/12</f>
        <v>5793.75</v>
      </c>
      <c r="AA208" s="15" t="n">
        <f aca="false">R208*Ipotesi!$C$63*(1+Ipotesi!$C$66)^(F208-1)/12</f>
        <v>1502.08333333333</v>
      </c>
      <c r="AB208" s="15" t="n">
        <f aca="false">SUM(V208:AA208)</f>
        <v>39762.5</v>
      </c>
      <c r="AC208" s="15" t="n">
        <f aca="false">(S208*Ipotesi!$C$64+T208*Ipotesi!$C$65+U208*Ipotesi!$C$63)*(1+Ipotesi!$C$66)^(F208-1)/12</f>
        <v>15965</v>
      </c>
      <c r="AD208" s="15" t="n">
        <f aca="false">INDEX(Ipotesi!$C$48:$G$48,1,F208)*G208/12</f>
        <v>20.625</v>
      </c>
      <c r="AE208" s="15" t="n">
        <f aca="false">INDEX(Ipotesi!$C$50:$G$50,1,F208)*G208/12</f>
        <v>2.52083333333333</v>
      </c>
      <c r="AF208" s="15" t="n">
        <f aca="false">(S208*Parametri_v3!$C$7*Parametri_v3!$C$8+Parametri_v3!$C$10)/12</f>
        <v>38.5</v>
      </c>
      <c r="AG208" s="15" t="n">
        <f aca="false">AD208+AE208*(1+Parametri_v3!$C$9)</f>
        <v>24.40625</v>
      </c>
      <c r="AH208" s="16" t="n">
        <f aca="false">IF(AG208=0,1,MIN(1,AF208/AG208))</f>
        <v>1</v>
      </c>
      <c r="AI208" s="15" t="n">
        <f aca="false">AD208*AH208</f>
        <v>20.625</v>
      </c>
      <c r="AJ208" s="15" t="n">
        <f aca="false">AE208*AH208</f>
        <v>2.52083333333333</v>
      </c>
      <c r="AK208" s="15" t="n">
        <f aca="false">AI208*INDEX(Ipotesi!$C$49:$G$49,1,F208)*H208</f>
        <v>14850</v>
      </c>
      <c r="AL208" s="15" t="n">
        <f aca="false">AJ208*INDEX(Ipotesi!$C$51:$G$51,1,F208)*H208</f>
        <v>4537.5</v>
      </c>
      <c r="AM208" s="15" t="n">
        <f aca="false">AK208+AL208</f>
        <v>19387.5</v>
      </c>
      <c r="AN208" s="15" t="n">
        <f aca="false">INDEX(Ipotesi!$C$30:$G$30,1,F208)*G208/12</f>
        <v>12.375</v>
      </c>
      <c r="AO208" s="15" t="n">
        <f aca="false">O208*Parametri_v3!$C$7*Parametri_v3!$C$11*(1-Parametri_v3!$C$14)/12</f>
        <v>25.6666666666667</v>
      </c>
      <c r="AP208" s="15" t="n">
        <f aca="false">MIN(AN208,AO208)</f>
        <v>12.375</v>
      </c>
      <c r="AQ208" s="15" t="n">
        <f aca="false">AP208*INDEX(Ipotesi!$C$31:$G$31,1,F208)*H208</f>
        <v>10580.625</v>
      </c>
      <c r="AR208" s="15" t="n">
        <f aca="false">INDEX(Ipotesi!$C$75:$G$75,1,F208)*J208/12</f>
        <v>4583.33333333333</v>
      </c>
      <c r="AS208" s="15" t="n">
        <f aca="false">INDEX(Ipotesi!$C$81:$G$81,1,F208)*J208/12</f>
        <v>833.333333333333</v>
      </c>
      <c r="AT208" s="15" t="n">
        <f aca="false">AR208*Parametri_v3!$C$15+Z208*Parametri_v3!$C$16</f>
        <v>8638.95833333333</v>
      </c>
      <c r="AU208" s="15" t="n">
        <f aca="false">Q208*Parametri_v3!$C$16*Parametri_v3!$C$17</f>
        <v>105</v>
      </c>
      <c r="AV208" s="17" t="n">
        <f aca="false">BD207</f>
        <v>11.0288536758753</v>
      </c>
      <c r="AW208" s="17" t="n">
        <f aca="false">AV208*(1-(1-INDEX(Ipotesi!$C$34:$G$34,1,F208))^(1/12))</f>
        <v>0.0964099481107788</v>
      </c>
      <c r="AX208" s="15" t="n">
        <f aca="false">ROUND(INDEX(Ipotesi!$C$32:$G$32,1,F208)*Ipotesi!F8,0)</f>
        <v>12</v>
      </c>
      <c r="AY208" s="15" t="n">
        <f aca="false">MAX(0,(AX208-(AV208-AW208))/(13-E208))</f>
        <v>1.06755627223547</v>
      </c>
      <c r="AZ208" s="15" t="n">
        <f aca="false">MIN(P208*Parametri_v3!$C$22,Q208*(1-Parametri_v3!$C$16)*Parametri_v3!$C$23)</f>
        <v>67.5</v>
      </c>
      <c r="BA208" s="15" t="n">
        <f aca="false">IF(OR(INDEX(Ipotesi!$C$35:$G$35,1,F208)&lt;=0,24-Parametri_v3!$C$21&lt;1),0,INDEX($AT$185:$AT$244,MAX(1,24-Parametri_v3!$C$21))/(INDEX(Ipotesi!$C$35:$G$35,1,F208)*Ipotesi!F27))</f>
        <v>2.21511752136752</v>
      </c>
      <c r="BB208" s="15" t="n">
        <f aca="false">IF(24-Parametri_v3!$C$21&lt;1,0,INDEX($AU$185:$AU$244,MAX(1,24-Parametri_v3!$C$21)))*Parametri_v3!$C$18*Parametri_v3!$C$19*Parametri_v3!$C$20</f>
        <v>3.9375</v>
      </c>
      <c r="BC208" s="17" t="n">
        <f aca="false">MAX(0,MIN(AY208,BA208,BB208,MAX(0,AZ208-(AV208-AW208))))</f>
        <v>1.06755627223547</v>
      </c>
      <c r="BD208" s="17" t="n">
        <f aca="false">AV208-AW208+BC208</f>
        <v>12</v>
      </c>
      <c r="BE208" s="17" t="n">
        <f aca="false">(AV208+BD208)/2</f>
        <v>11.5144268379377</v>
      </c>
      <c r="BF208" s="15" t="n">
        <f aca="false">BE208*INDEX(Ipotesi!$C$33:$G$33,1,F208)*H208/12</f>
        <v>3454.3280513813</v>
      </c>
      <c r="BG208" s="15" t="n">
        <f aca="false">BD208*INDEX(Ipotesi!$C$33:$G$33,1,F208)*H208</f>
        <v>43200</v>
      </c>
      <c r="BH208" s="15" t="n">
        <f aca="false">AM208*INDEX(Ipotesi!$C$37:$G$37,1,F208)</f>
        <v>1938.75</v>
      </c>
      <c r="BI208" s="15" t="n">
        <f aca="false">AQ208+BF208+BH208</f>
        <v>15973.7030513813</v>
      </c>
      <c r="BJ208" s="15" t="n">
        <f aca="false">INDEX(Ipotesi!$C$68:$G$68,1,F208)*Ipotesi!$C$69/12</f>
        <v>1600</v>
      </c>
      <c r="BK208" s="15" t="n">
        <f aca="false">INDEX(Ipotesi!$C$68:$G$68,1,F208)*(1-Ipotesi!$C$69)/12</f>
        <v>2400</v>
      </c>
      <c r="BL208" s="15" t="n">
        <f aca="false">(AQ208+BF208)*Ipotesi!$C$67</f>
        <v>421.048591541439</v>
      </c>
      <c r="BM208" s="15" t="n">
        <f aca="false">AM208*Ipotesi!$C$67</f>
        <v>581.625</v>
      </c>
      <c r="BN208" s="15" t="n">
        <f aca="false">INDEX(Ipotesi!$C$72:$G$72,1,F208)/12*Ipotesi!F126+BF208*Ipotesi!$C$73</f>
        <v>1526.3462441105</v>
      </c>
      <c r="BO208" s="15" t="n">
        <f aca="false">INDEX(Ipotesi!$C$74:$G$74,1,F208)/12*Ipotesi!F126</f>
        <v>1833.33333333333</v>
      </c>
      <c r="BP208" s="15" t="n">
        <f aca="false">INDEX(Ipotesi!$C$76:$G$76,1,F208)/12</f>
        <v>750</v>
      </c>
      <c r="BQ208" s="15" t="n">
        <f aca="false">INDEX(Ipotesi!$C$77:$G$77,1,F208)/12*Ipotesi!F126</f>
        <v>1666.66666666667</v>
      </c>
      <c r="BR208" s="15" t="n">
        <f aca="false">INDEX(Ipotesi!$C$78:$G$78,1,F208)/12</f>
        <v>1250</v>
      </c>
      <c r="BS208" s="15" t="n">
        <f aca="false">SUM(M208:R208)*(Ipotesi!$C$85+Ipotesi!$C$86)/12</f>
        <v>2625</v>
      </c>
      <c r="BT208" s="15" t="n">
        <f aca="false">BI208*Ipotesi!$C$87</f>
        <v>479.211091541439</v>
      </c>
      <c r="BU208" s="15" t="n">
        <f aca="false">INDEX(Ipotesi!$C$55:$G$55,1,F208)*K208/12</f>
        <v>1000</v>
      </c>
      <c r="BV208" s="15" t="n">
        <f aca="false">INDEX(Ipotesi!$C$80:$G$80,1,F208)/12*Ipotesi!F126</f>
        <v>833.333333333333</v>
      </c>
      <c r="BW208" s="15" t="n">
        <f aca="false">INDEX(Ipotesi!$C$82:$G$82,1,F208)/12</f>
        <v>666.666666666667</v>
      </c>
      <c r="BX208" s="15" t="n">
        <f aca="false">INDEX(Ipotesi!$C$83:$G$83,1,F208)/12</f>
        <v>583.333333333333</v>
      </c>
      <c r="BY208" s="15" t="n">
        <f aca="false">SUM(S208:U208)*(Ipotesi!$C$85+Ipotesi!$C$86)/12</f>
        <v>1166.66666666667</v>
      </c>
      <c r="BZ208" s="15" t="n">
        <f aca="false">AM208*Ipotesi!$C$87</f>
        <v>581.625</v>
      </c>
      <c r="CA208" s="15" t="n">
        <f aca="false">AB208+BJ208+BL208+BN208+BO208+AR208+BP208+BQ208+BR208+BS208+BT208</f>
        <v>56497.4392605267</v>
      </c>
      <c r="CB208" s="15" t="n">
        <f aca="false">AC208+BK208+BM208+BH208+BU208+BV208+AS208+BW208+BX208+BY208+BZ208</f>
        <v>26550.3333333333</v>
      </c>
      <c r="CC208" s="15" t="n">
        <f aca="false">BI208-CA208</f>
        <v>-40523.7362091454</v>
      </c>
      <c r="CD208" s="15" t="n">
        <f aca="false">AM208-CB208</f>
        <v>-7162.83333333333</v>
      </c>
      <c r="CE208" s="15" t="n">
        <f aca="false">INDEX(Ipotesi!$C$79:$G$79,1,F208)/12</f>
        <v>2083.33333333333</v>
      </c>
      <c r="CF208" s="15" t="n">
        <f aca="false">INDEX(Ipotesi!$C$84:$G$84,1,F208)/12</f>
        <v>416.666666666667</v>
      </c>
      <c r="CG208" s="15" t="n">
        <f aca="false">Y208*MAX(0,Parametri_v3!$C$12-IF(P208=0,0,MIN(1,BE208/(P208*Parametri_v3!$C$22))))+W208*Parametri_v3!$C$13+X208*Parametri_v3!$C$14</f>
        <v>15385.0058482052</v>
      </c>
      <c r="CH208" s="15" t="n">
        <f aca="false">AB208*Parametri_v3!$C$32</f>
        <v>1988.125</v>
      </c>
      <c r="CI208" s="15" t="n">
        <f aca="false">AC208*Parametri_v3!$C$32</f>
        <v>798.25</v>
      </c>
      <c r="CJ208" s="15" t="n">
        <f aca="false">CA208-AB208</f>
        <v>16734.9392605267</v>
      </c>
      <c r="CK208" s="15" t="n">
        <f aca="false">CB208-AC208-BH208</f>
        <v>8646.58333333333</v>
      </c>
      <c r="CL208" s="15" t="n">
        <f aca="false">BF208*Ipotesi!$C$73+INDEX(Ipotesi!$C$72:$G$72,1,F208)/12*Ipotesi!F126*Parametri_v3!$C$58+Z208*(1-Parametri_v3!$C$16)</f>
        <v>3264.4712441105</v>
      </c>
      <c r="CM208" s="16" t="n">
        <f aca="false">IF(BF208=0,0,1-CL208/BF208)</f>
        <v>0.054962008369435</v>
      </c>
    </row>
    <row r="209" customFormat="false" ht="18" hidden="false" customHeight="true" outlineLevel="0" collapsed="false">
      <c r="A209" s="68" t="n">
        <f aca="false">4</f>
        <v>4</v>
      </c>
      <c r="B209" s="68" t="n">
        <f aca="false">25</f>
        <v>25</v>
      </c>
      <c r="C209" s="18" t="n">
        <f aca="false">EDATE(Parametri_v3!$C$5,25-1)</f>
        <v>47119</v>
      </c>
      <c r="D209" s="68" t="n">
        <f aca="false">YEAR(C209)</f>
        <v>2029</v>
      </c>
      <c r="E209" s="68" t="n">
        <f aca="false">MONTH(C209)</f>
        <v>1</v>
      </c>
      <c r="F209" s="68" t="n">
        <f aca="false">INT((25-1)/12)+1</f>
        <v>3</v>
      </c>
      <c r="G209" s="15" t="n">
        <f aca="false">Ipotesi!F7</f>
        <v>0.55</v>
      </c>
      <c r="H209" s="15" t="n">
        <f aca="false">Ipotesi!F9</f>
        <v>0.9</v>
      </c>
      <c r="I209" s="15" t="n">
        <f aca="false">Ipotesi!F10</f>
        <v>1</v>
      </c>
      <c r="J209" s="15" t="n">
        <f aca="false">Ipotesi!F11</f>
        <v>1</v>
      </c>
      <c r="K209" s="15" t="n">
        <f aca="false">Ipotesi!F12</f>
        <v>1</v>
      </c>
      <c r="L209" s="15" t="n">
        <f aca="false">Ipotesi!F13</f>
        <v>120</v>
      </c>
      <c r="M209" s="17" t="n">
        <f aca="false">INDEX(Ipotesi!$C$40:$G$40,1,F209)</f>
        <v>1</v>
      </c>
      <c r="N209" s="17" t="n">
        <f aca="false">INDEX(Ipotesi!$C$41:$G$41,1,F209)</f>
        <v>1</v>
      </c>
      <c r="O209" s="17" t="n">
        <f aca="false">INDEX(Ipotesi!$C$42:$G$42,1,F209)*Ipotesi!F125</f>
        <v>4.5</v>
      </c>
      <c r="P209" s="17" t="n">
        <f aca="false">INDEX(Ipotesi!$C$43:$G$43,1,F209)*I209</f>
        <v>5</v>
      </c>
      <c r="Q209" s="17" t="n">
        <f aca="false">INDEX(Ipotesi!$C$44:$G$44,1,F209)*I209</f>
        <v>4</v>
      </c>
      <c r="R209" s="17" t="n">
        <f aca="false">INDEX(Ipotesi!$C$45:$G$45,1,F209)*I209</f>
        <v>1</v>
      </c>
      <c r="S209" s="17" t="n">
        <f aca="false">INDEX(Ipotesi!$C$52:$G$52,1,F209)*Ipotesi!F125</f>
        <v>5</v>
      </c>
      <c r="T209" s="17" t="n">
        <f aca="false">INDEX(Ipotesi!$C$53:$G$53,1,F209)*I209</f>
        <v>1</v>
      </c>
      <c r="U209" s="17" t="n">
        <f aca="false">INDEX(Ipotesi!$C$54:$G$54,1,F209)*I209</f>
        <v>0.5</v>
      </c>
      <c r="V209" s="15" t="n">
        <f aca="false">M209*INDEX(Ipotesi!$C$58:$G$58,1,F209)*K209/12</f>
        <v>7083.33333333333</v>
      </c>
      <c r="W209" s="15" t="n">
        <f aca="false">N209*Ipotesi!$C$59*(1+Ipotesi!$C$66)^(F209-1)/12</f>
        <v>6188.58333333333</v>
      </c>
      <c r="X209" s="15" t="n">
        <f aca="false">O209*Ipotesi!$C$60*(1+Ipotesi!$C$66)^(F209-1)/12</f>
        <v>19891.875</v>
      </c>
      <c r="Y209" s="15" t="n">
        <f aca="false">P209*Ipotesi!$C$61*(1+Ipotesi!$C$66)^(F209-1)/12</f>
        <v>22102.0833333333</v>
      </c>
      <c r="Z209" s="15" t="n">
        <f aca="false">Q209*Ipotesi!$C$62*(1+Ipotesi!$C$66)^(F209-1)/12</f>
        <v>15913.5</v>
      </c>
      <c r="AA209" s="15" t="n">
        <f aca="false">R209*Ipotesi!$C$63*(1+Ipotesi!$C$66)^(F209-1)/12</f>
        <v>3094.29166666667</v>
      </c>
      <c r="AB209" s="15" t="n">
        <f aca="false">SUM(V209:AA209)</f>
        <v>74273.6666666667</v>
      </c>
      <c r="AC209" s="15" t="n">
        <f aca="false">(S209*Ipotesi!$C$64+T209*Ipotesi!$C$65+U209*Ipotesi!$C$63)*(1+Ipotesi!$C$66)^(F209-1)/12</f>
        <v>25417.3958333333</v>
      </c>
      <c r="AD209" s="15" t="n">
        <f aca="false">INDEX(Ipotesi!$C$48:$G$48,1,F209)*G209/12</f>
        <v>33</v>
      </c>
      <c r="AE209" s="15" t="n">
        <f aca="false">INDEX(Ipotesi!$C$50:$G$50,1,F209)*G209/12</f>
        <v>3.66666666666667</v>
      </c>
      <c r="AF209" s="15" t="n">
        <f aca="false">(S209*Parametri_v3!$C$7*Parametri_v3!$C$8+Parametri_v3!$C$10)/12</f>
        <v>64.1666666666667</v>
      </c>
      <c r="AG209" s="15" t="n">
        <f aca="false">AD209+AE209*(1+Parametri_v3!$C$9)</f>
        <v>38.5</v>
      </c>
      <c r="AH209" s="16" t="n">
        <f aca="false">IF(AG209=0,1,MIN(1,AF209/AG209))</f>
        <v>1</v>
      </c>
      <c r="AI209" s="15" t="n">
        <f aca="false">AD209*AH209</f>
        <v>33</v>
      </c>
      <c r="AJ209" s="15" t="n">
        <f aca="false">AE209*AH209</f>
        <v>3.66666666666667</v>
      </c>
      <c r="AK209" s="15" t="n">
        <f aca="false">AI209*INDEX(Ipotesi!$C$49:$G$49,1,F209)*H209</f>
        <v>25245</v>
      </c>
      <c r="AL209" s="15" t="n">
        <f aca="false">AJ209*INDEX(Ipotesi!$C$51:$G$51,1,F209)*H209</f>
        <v>7425</v>
      </c>
      <c r="AM209" s="15" t="n">
        <f aca="false">AK209+AL209</f>
        <v>32670</v>
      </c>
      <c r="AN209" s="15" t="n">
        <f aca="false">INDEX(Ipotesi!$C$30:$G$30,1,F209)*G209/12</f>
        <v>22.9166666666667</v>
      </c>
      <c r="AO209" s="15" t="n">
        <f aca="false">O209*Parametri_v3!$C$7*Parametri_v3!$C$11*(1-Parametri_v3!$C$14)/12</f>
        <v>46.2</v>
      </c>
      <c r="AP209" s="15" t="n">
        <f aca="false">MIN(AN209,AO209)</f>
        <v>22.9166666666667</v>
      </c>
      <c r="AQ209" s="15" t="n">
        <f aca="false">AP209*INDEX(Ipotesi!$C$31:$G$31,1,F209)*H209</f>
        <v>20625</v>
      </c>
      <c r="AR209" s="15" t="n">
        <f aca="false">INDEX(Ipotesi!$C$75:$G$75,1,F209)*J209/12</f>
        <v>20000</v>
      </c>
      <c r="AS209" s="15" t="n">
        <f aca="false">INDEX(Ipotesi!$C$81:$G$81,1,F209)*J209/12</f>
        <v>1250</v>
      </c>
      <c r="AT209" s="15" t="n">
        <f aca="false">AR209*Parametri_v3!$C$15+Z209*Parametri_v3!$C$16</f>
        <v>31139.45</v>
      </c>
      <c r="AU209" s="15" t="n">
        <f aca="false">Q209*Parametri_v3!$C$16*Parametri_v3!$C$17</f>
        <v>280</v>
      </c>
      <c r="AV209" s="17" t="n">
        <f aca="false">BD208</f>
        <v>12</v>
      </c>
      <c r="AW209" s="17" t="n">
        <f aca="false">AV209*(1-(1-INDEX(Ipotesi!$C$34:$G$34,1,F209))^(1/12))</f>
        <v>0.104899331456361</v>
      </c>
      <c r="AX209" s="15" t="n">
        <f aca="false">ROUND(INDEX(Ipotesi!$C$32:$G$32,1,F209)*Ipotesi!F8,0)</f>
        <v>46</v>
      </c>
      <c r="AY209" s="15" t="n">
        <f aca="false">MAX(0,(AX209-(AV209-AW209))/(13-E209))</f>
        <v>2.84207494428803</v>
      </c>
      <c r="AZ209" s="15" t="n">
        <f aca="false">MIN(P209*Parametri_v3!$C$22,Q209*(1-Parametri_v3!$C$16)*Parametri_v3!$C$23)</f>
        <v>180</v>
      </c>
      <c r="BA209" s="15" t="n">
        <f aca="false">IF(OR(INDEX(Ipotesi!$C$35:$G$35,1,F209)&lt;=0,25-Parametri_v3!$C$21&lt;1),0,INDEX($AT$185:$AT$244,MAX(1,25-Parametri_v3!$C$21))/(INDEX(Ipotesi!$C$35:$G$35,1,F209)*Ipotesi!F27))</f>
        <v>1.32907051282051</v>
      </c>
      <c r="BB209" s="15" t="n">
        <f aca="false">IF(25-Parametri_v3!$C$21&lt;1,0,INDEX($AU$185:$AU$244,MAX(1,25-Parametri_v3!$C$21)))*Parametri_v3!$C$18*Parametri_v3!$C$19*Parametri_v3!$C$20</f>
        <v>3.9375</v>
      </c>
      <c r="BC209" s="17" t="n">
        <f aca="false">MAX(0,MIN(AY209,BA209,BB209,MAX(0,AZ209-(AV209-AW209))))</f>
        <v>1.32907051282051</v>
      </c>
      <c r="BD209" s="17" t="n">
        <f aca="false">AV209-AW209+BC209</f>
        <v>13.2241711813642</v>
      </c>
      <c r="BE209" s="17" t="n">
        <f aca="false">(AV209+BD209)/2</f>
        <v>12.6120855906821</v>
      </c>
      <c r="BF209" s="15" t="n">
        <f aca="false">BE209*INDEX(Ipotesi!$C$33:$G$33,1,F209)*H209/12</f>
        <v>5202.48530615636</v>
      </c>
      <c r="BG209" s="15" t="n">
        <f aca="false">BD209*INDEX(Ipotesi!$C$33:$G$33,1,F209)*H209</f>
        <v>65459.6473477526</v>
      </c>
      <c r="BH209" s="15" t="n">
        <f aca="false">AM209*INDEX(Ipotesi!$C$37:$G$37,1,F209)</f>
        <v>3267</v>
      </c>
      <c r="BI209" s="15" t="n">
        <f aca="false">AQ209+BF209+BH209</f>
        <v>29094.4853061564</v>
      </c>
      <c r="BJ209" s="15" t="n">
        <f aca="false">INDEX(Ipotesi!$C$68:$G$68,1,F209)*Ipotesi!$C$69/12</f>
        <v>2400</v>
      </c>
      <c r="BK209" s="15" t="n">
        <f aca="false">INDEX(Ipotesi!$C$68:$G$68,1,F209)*(1-Ipotesi!$C$69)/12</f>
        <v>3600</v>
      </c>
      <c r="BL209" s="15" t="n">
        <f aca="false">(AQ209+BF209)*Ipotesi!$C$67</f>
        <v>774.824559184691</v>
      </c>
      <c r="BM209" s="15" t="n">
        <f aca="false">AM209*Ipotesi!$C$67</f>
        <v>980.1</v>
      </c>
      <c r="BN209" s="15" t="n">
        <f aca="false">INDEX(Ipotesi!$C$72:$G$72,1,F209)/12*Ipotesi!F126+BF209*Ipotesi!$C$73</f>
        <v>1666.19882449251</v>
      </c>
      <c r="BO209" s="15" t="n">
        <f aca="false">INDEX(Ipotesi!$C$74:$G$74,1,F209)/12*Ipotesi!F126</f>
        <v>2916.66666666667</v>
      </c>
      <c r="BP209" s="15" t="n">
        <f aca="false">INDEX(Ipotesi!$C$76:$G$76,1,F209)/12</f>
        <v>1083.33333333333</v>
      </c>
      <c r="BQ209" s="15" t="n">
        <f aca="false">INDEX(Ipotesi!$C$77:$G$77,1,F209)/12*Ipotesi!F126</f>
        <v>2083.33333333333</v>
      </c>
      <c r="BR209" s="15" t="n">
        <f aca="false">INDEX(Ipotesi!$C$78:$G$78,1,F209)/12</f>
        <v>1666.66666666667</v>
      </c>
      <c r="BS209" s="15" t="n">
        <f aca="false">SUM(M209:R209)*(Ipotesi!$C$85+Ipotesi!$C$86)/12</f>
        <v>4812.5</v>
      </c>
      <c r="BT209" s="15" t="n">
        <f aca="false">BI209*Ipotesi!$C$87</f>
        <v>872.834559184691</v>
      </c>
      <c r="BU209" s="15" t="n">
        <f aca="false">INDEX(Ipotesi!$C$55:$G$55,1,F209)*K209/12</f>
        <v>1500</v>
      </c>
      <c r="BV209" s="15" t="n">
        <f aca="false">INDEX(Ipotesi!$C$80:$G$80,1,F209)/12*Ipotesi!F126</f>
        <v>1250</v>
      </c>
      <c r="BW209" s="15" t="n">
        <f aca="false">INDEX(Ipotesi!$C$82:$G$82,1,F209)/12</f>
        <v>1000</v>
      </c>
      <c r="BX209" s="15" t="n">
        <f aca="false">INDEX(Ipotesi!$C$83:$G$83,1,F209)/12</f>
        <v>666.666666666667</v>
      </c>
      <c r="BY209" s="15" t="n">
        <f aca="false">SUM(S209:U209)*(Ipotesi!$C$85+Ipotesi!$C$86)/12</f>
        <v>1895.83333333333</v>
      </c>
      <c r="BZ209" s="15" t="n">
        <f aca="false">AM209*Ipotesi!$C$87</f>
        <v>980.1</v>
      </c>
      <c r="CA209" s="15" t="n">
        <f aca="false">AB209+BJ209+BL209+BN209+BO209+AR209+BP209+BQ209+BR209+BS209+BT209</f>
        <v>112550.024609529</v>
      </c>
      <c r="CB209" s="15" t="n">
        <f aca="false">AC209+BK209+BM209+BH209+BU209+BV209+AS209+BW209+BX209+BY209+BZ209</f>
        <v>41807.0958333333</v>
      </c>
      <c r="CC209" s="15" t="n">
        <f aca="false">BI209-CA209</f>
        <v>-83455.5393033722</v>
      </c>
      <c r="CD209" s="15" t="n">
        <f aca="false">AM209-CB209</f>
        <v>-9137.09583333333</v>
      </c>
      <c r="CE209" s="15" t="n">
        <f aca="false">INDEX(Ipotesi!$C$79:$G$79,1,F209)/12</f>
        <v>2500</v>
      </c>
      <c r="CF209" s="15" t="n">
        <f aca="false">INDEX(Ipotesi!$C$84:$G$84,1,F209)/12</f>
        <v>416.666666666667</v>
      </c>
      <c r="CG209" s="15" t="n">
        <f aca="false">Y209*MAX(0,Parametri_v3!$C$12-IF(P209=0,0,MIN(1,BE209/(P209*Parametri_v3!$C$22))))+W209*Parametri_v3!$C$13+X209*Parametri_v3!$C$14</f>
        <v>28617.2432665352</v>
      </c>
      <c r="CH209" s="15" t="n">
        <f aca="false">AB209*Parametri_v3!$C$32</f>
        <v>3713.68333333333</v>
      </c>
      <c r="CI209" s="15" t="n">
        <f aca="false">AC209*Parametri_v3!$C$32</f>
        <v>1270.86979166667</v>
      </c>
      <c r="CJ209" s="15" t="n">
        <f aca="false">CA209-AB209</f>
        <v>38276.3579428619</v>
      </c>
      <c r="CK209" s="15" t="n">
        <f aca="false">CB209-AC209-BH209</f>
        <v>13122.7</v>
      </c>
      <c r="CL209" s="15" t="n">
        <f aca="false">BF209*Ipotesi!$C$73+INDEX(Ipotesi!$C$72:$G$72,1,F209)/12*Ipotesi!F126*Parametri_v3!$C$58+Z209*(1-Parametri_v3!$C$16)</f>
        <v>6440.24882449251</v>
      </c>
      <c r="CM209" s="16" t="n">
        <f aca="false">IF(BF209=0,0,1-CL209/BF209)</f>
        <v>-0.237917734601085</v>
      </c>
    </row>
    <row r="210" customFormat="false" ht="18" hidden="false" customHeight="true" outlineLevel="0" collapsed="false">
      <c r="A210" s="68" t="n">
        <f aca="false">4</f>
        <v>4</v>
      </c>
      <c r="B210" s="68" t="n">
        <f aca="false">26</f>
        <v>26</v>
      </c>
      <c r="C210" s="18" t="n">
        <f aca="false">EDATE(Parametri_v3!$C$5,26-1)</f>
        <v>47150</v>
      </c>
      <c r="D210" s="68" t="n">
        <f aca="false">YEAR(C210)</f>
        <v>2029</v>
      </c>
      <c r="E210" s="68" t="n">
        <f aca="false">MONTH(C210)</f>
        <v>2</v>
      </c>
      <c r="F210" s="68" t="n">
        <f aca="false">INT((26-1)/12)+1</f>
        <v>3</v>
      </c>
      <c r="G210" s="15" t="n">
        <f aca="false">Ipotesi!F7</f>
        <v>0.55</v>
      </c>
      <c r="H210" s="15" t="n">
        <f aca="false">Ipotesi!F9</f>
        <v>0.9</v>
      </c>
      <c r="I210" s="15" t="n">
        <f aca="false">Ipotesi!F10</f>
        <v>1</v>
      </c>
      <c r="J210" s="15" t="n">
        <f aca="false">Ipotesi!F11</f>
        <v>1</v>
      </c>
      <c r="K210" s="15" t="n">
        <f aca="false">Ipotesi!F12</f>
        <v>1</v>
      </c>
      <c r="L210" s="15" t="n">
        <f aca="false">Ipotesi!F13</f>
        <v>120</v>
      </c>
      <c r="M210" s="17" t="n">
        <f aca="false">INDEX(Ipotesi!$C$40:$G$40,1,F210)</f>
        <v>1</v>
      </c>
      <c r="N210" s="17" t="n">
        <f aca="false">INDEX(Ipotesi!$C$41:$G$41,1,F210)</f>
        <v>1</v>
      </c>
      <c r="O210" s="17" t="n">
        <f aca="false">INDEX(Ipotesi!$C$42:$G$42,1,F210)*Ipotesi!F125</f>
        <v>4.5</v>
      </c>
      <c r="P210" s="17" t="n">
        <f aca="false">INDEX(Ipotesi!$C$43:$G$43,1,F210)*I210</f>
        <v>5</v>
      </c>
      <c r="Q210" s="17" t="n">
        <f aca="false">INDEX(Ipotesi!$C$44:$G$44,1,F210)*I210</f>
        <v>4</v>
      </c>
      <c r="R210" s="17" t="n">
        <f aca="false">INDEX(Ipotesi!$C$45:$G$45,1,F210)*I210</f>
        <v>1</v>
      </c>
      <c r="S210" s="17" t="n">
        <f aca="false">INDEX(Ipotesi!$C$52:$G$52,1,F210)*Ipotesi!F125</f>
        <v>5</v>
      </c>
      <c r="T210" s="17" t="n">
        <f aca="false">INDEX(Ipotesi!$C$53:$G$53,1,F210)*I210</f>
        <v>1</v>
      </c>
      <c r="U210" s="17" t="n">
        <f aca="false">INDEX(Ipotesi!$C$54:$G$54,1,F210)*I210</f>
        <v>0.5</v>
      </c>
      <c r="V210" s="15" t="n">
        <f aca="false">M210*INDEX(Ipotesi!$C$58:$G$58,1,F210)*K210/12</f>
        <v>7083.33333333333</v>
      </c>
      <c r="W210" s="15" t="n">
        <f aca="false">N210*Ipotesi!$C$59*(1+Ipotesi!$C$66)^(F210-1)/12</f>
        <v>6188.58333333333</v>
      </c>
      <c r="X210" s="15" t="n">
        <f aca="false">O210*Ipotesi!$C$60*(1+Ipotesi!$C$66)^(F210-1)/12</f>
        <v>19891.875</v>
      </c>
      <c r="Y210" s="15" t="n">
        <f aca="false">P210*Ipotesi!$C$61*(1+Ipotesi!$C$66)^(F210-1)/12</f>
        <v>22102.0833333333</v>
      </c>
      <c r="Z210" s="15" t="n">
        <f aca="false">Q210*Ipotesi!$C$62*(1+Ipotesi!$C$66)^(F210-1)/12</f>
        <v>15913.5</v>
      </c>
      <c r="AA210" s="15" t="n">
        <f aca="false">R210*Ipotesi!$C$63*(1+Ipotesi!$C$66)^(F210-1)/12</f>
        <v>3094.29166666667</v>
      </c>
      <c r="AB210" s="15" t="n">
        <f aca="false">SUM(V210:AA210)</f>
        <v>74273.6666666667</v>
      </c>
      <c r="AC210" s="15" t="n">
        <f aca="false">(S210*Ipotesi!$C$64+T210*Ipotesi!$C$65+U210*Ipotesi!$C$63)*(1+Ipotesi!$C$66)^(F210-1)/12</f>
        <v>25417.3958333333</v>
      </c>
      <c r="AD210" s="15" t="n">
        <f aca="false">INDEX(Ipotesi!$C$48:$G$48,1,F210)*G210/12</f>
        <v>33</v>
      </c>
      <c r="AE210" s="15" t="n">
        <f aca="false">INDEX(Ipotesi!$C$50:$G$50,1,F210)*G210/12</f>
        <v>3.66666666666667</v>
      </c>
      <c r="AF210" s="15" t="n">
        <f aca="false">(S210*Parametri_v3!$C$7*Parametri_v3!$C$8+Parametri_v3!$C$10)/12</f>
        <v>64.1666666666667</v>
      </c>
      <c r="AG210" s="15" t="n">
        <f aca="false">AD210+AE210*(1+Parametri_v3!$C$9)</f>
        <v>38.5</v>
      </c>
      <c r="AH210" s="16" t="n">
        <f aca="false">IF(AG210=0,1,MIN(1,AF210/AG210))</f>
        <v>1</v>
      </c>
      <c r="AI210" s="15" t="n">
        <f aca="false">AD210*AH210</f>
        <v>33</v>
      </c>
      <c r="AJ210" s="15" t="n">
        <f aca="false">AE210*AH210</f>
        <v>3.66666666666667</v>
      </c>
      <c r="AK210" s="15" t="n">
        <f aca="false">AI210*INDEX(Ipotesi!$C$49:$G$49,1,F210)*H210</f>
        <v>25245</v>
      </c>
      <c r="AL210" s="15" t="n">
        <f aca="false">AJ210*INDEX(Ipotesi!$C$51:$G$51,1,F210)*H210</f>
        <v>7425</v>
      </c>
      <c r="AM210" s="15" t="n">
        <f aca="false">AK210+AL210</f>
        <v>32670</v>
      </c>
      <c r="AN210" s="15" t="n">
        <f aca="false">INDEX(Ipotesi!$C$30:$G$30,1,F210)*G210/12</f>
        <v>22.9166666666667</v>
      </c>
      <c r="AO210" s="15" t="n">
        <f aca="false">O210*Parametri_v3!$C$7*Parametri_v3!$C$11*(1-Parametri_v3!$C$14)/12</f>
        <v>46.2</v>
      </c>
      <c r="AP210" s="15" t="n">
        <f aca="false">MIN(AN210,AO210)</f>
        <v>22.9166666666667</v>
      </c>
      <c r="AQ210" s="15" t="n">
        <f aca="false">AP210*INDEX(Ipotesi!$C$31:$G$31,1,F210)*H210</f>
        <v>20625</v>
      </c>
      <c r="AR210" s="15" t="n">
        <f aca="false">INDEX(Ipotesi!$C$75:$G$75,1,F210)*J210/12</f>
        <v>20000</v>
      </c>
      <c r="AS210" s="15" t="n">
        <f aca="false">INDEX(Ipotesi!$C$81:$G$81,1,F210)*J210/12</f>
        <v>1250</v>
      </c>
      <c r="AT210" s="15" t="n">
        <f aca="false">AR210*Parametri_v3!$C$15+Z210*Parametri_v3!$C$16</f>
        <v>31139.45</v>
      </c>
      <c r="AU210" s="15" t="n">
        <f aca="false">Q210*Parametri_v3!$C$16*Parametri_v3!$C$17</f>
        <v>280</v>
      </c>
      <c r="AV210" s="17" t="n">
        <f aca="false">BD209</f>
        <v>13.2241711813642</v>
      </c>
      <c r="AW210" s="17" t="n">
        <f aca="false">AV210*(1-(1-INDEX(Ipotesi!$C$34:$G$34,1,F210))^(1/12))</f>
        <v>0.115600559665798</v>
      </c>
      <c r="AX210" s="15" t="n">
        <f aca="false">ROUND(INDEX(Ipotesi!$C$32:$G$32,1,F210)*Ipotesi!F8,0)</f>
        <v>46</v>
      </c>
      <c r="AY210" s="15" t="n">
        <f aca="false">MAX(0,(AX210-(AV210-AW210))/(13-E210))</f>
        <v>2.99012994348197</v>
      </c>
      <c r="AZ210" s="15" t="n">
        <f aca="false">MIN(P210*Parametri_v3!$C$22,Q210*(1-Parametri_v3!$C$16)*Parametri_v3!$C$23)</f>
        <v>180</v>
      </c>
      <c r="BA210" s="15" t="n">
        <f aca="false">IF(OR(INDEX(Ipotesi!$C$35:$G$35,1,F210)&lt;=0,26-Parametri_v3!$C$21&lt;1),0,INDEX($AT$185:$AT$244,MAX(1,26-Parametri_v3!$C$21))/(INDEX(Ipotesi!$C$35:$G$35,1,F210)*Ipotesi!F27))</f>
        <v>1.32907051282051</v>
      </c>
      <c r="BB210" s="15" t="n">
        <f aca="false">IF(26-Parametri_v3!$C$21&lt;1,0,INDEX($AU$185:$AU$244,MAX(1,26-Parametri_v3!$C$21)))*Parametri_v3!$C$18*Parametri_v3!$C$19*Parametri_v3!$C$20</f>
        <v>3.9375</v>
      </c>
      <c r="BC210" s="17" t="n">
        <f aca="false">MAX(0,MIN(AY210,BA210,BB210,MAX(0,AZ210-(AV210-AW210))))</f>
        <v>1.32907051282051</v>
      </c>
      <c r="BD210" s="17" t="n">
        <f aca="false">AV210-AW210+BC210</f>
        <v>14.4376411345189</v>
      </c>
      <c r="BE210" s="17" t="n">
        <f aca="false">(AV210+BD210)/2</f>
        <v>13.8309061579415</v>
      </c>
      <c r="BF210" s="15" t="n">
        <f aca="false">BE210*INDEX(Ipotesi!$C$33:$G$33,1,F210)*H210/12</f>
        <v>5705.24879015087</v>
      </c>
      <c r="BG210" s="15" t="n">
        <f aca="false">BD210*INDEX(Ipotesi!$C$33:$G$33,1,F210)*H210</f>
        <v>71466.3236158684</v>
      </c>
      <c r="BH210" s="15" t="n">
        <f aca="false">AM210*INDEX(Ipotesi!$C$37:$G$37,1,F210)</f>
        <v>3267</v>
      </c>
      <c r="BI210" s="15" t="n">
        <f aca="false">AQ210+BF210+BH210</f>
        <v>29597.2487901509</v>
      </c>
      <c r="BJ210" s="15" t="n">
        <f aca="false">INDEX(Ipotesi!$C$68:$G$68,1,F210)*Ipotesi!$C$69/12</f>
        <v>2400</v>
      </c>
      <c r="BK210" s="15" t="n">
        <f aca="false">INDEX(Ipotesi!$C$68:$G$68,1,F210)*(1-Ipotesi!$C$69)/12</f>
        <v>3600</v>
      </c>
      <c r="BL210" s="15" t="n">
        <f aca="false">(AQ210+BF210)*Ipotesi!$C$67</f>
        <v>789.907463704526</v>
      </c>
      <c r="BM210" s="15" t="n">
        <f aca="false">AM210*Ipotesi!$C$67</f>
        <v>980.1</v>
      </c>
      <c r="BN210" s="15" t="n">
        <f aca="false">INDEX(Ipotesi!$C$72:$G$72,1,F210)/12*Ipotesi!F126+BF210*Ipotesi!$C$73</f>
        <v>1706.41990321207</v>
      </c>
      <c r="BO210" s="15" t="n">
        <f aca="false">INDEX(Ipotesi!$C$74:$G$74,1,F210)/12*Ipotesi!F126</f>
        <v>2916.66666666667</v>
      </c>
      <c r="BP210" s="15" t="n">
        <f aca="false">INDEX(Ipotesi!$C$76:$G$76,1,F210)/12</f>
        <v>1083.33333333333</v>
      </c>
      <c r="BQ210" s="15" t="n">
        <f aca="false">INDEX(Ipotesi!$C$77:$G$77,1,F210)/12*Ipotesi!F126</f>
        <v>2083.33333333333</v>
      </c>
      <c r="BR210" s="15" t="n">
        <f aca="false">INDEX(Ipotesi!$C$78:$G$78,1,F210)/12</f>
        <v>1666.66666666667</v>
      </c>
      <c r="BS210" s="15" t="n">
        <f aca="false">SUM(M210:R210)*(Ipotesi!$C$85+Ipotesi!$C$86)/12</f>
        <v>4812.5</v>
      </c>
      <c r="BT210" s="15" t="n">
        <f aca="false">BI210*Ipotesi!$C$87</f>
        <v>887.917463704526</v>
      </c>
      <c r="BU210" s="15" t="n">
        <f aca="false">INDEX(Ipotesi!$C$55:$G$55,1,F210)*K210/12</f>
        <v>1500</v>
      </c>
      <c r="BV210" s="15" t="n">
        <f aca="false">INDEX(Ipotesi!$C$80:$G$80,1,F210)/12*Ipotesi!F126</f>
        <v>1250</v>
      </c>
      <c r="BW210" s="15" t="n">
        <f aca="false">INDEX(Ipotesi!$C$82:$G$82,1,F210)/12</f>
        <v>1000</v>
      </c>
      <c r="BX210" s="15" t="n">
        <f aca="false">INDEX(Ipotesi!$C$83:$G$83,1,F210)/12</f>
        <v>666.666666666667</v>
      </c>
      <c r="BY210" s="15" t="n">
        <f aca="false">SUM(S210:U210)*(Ipotesi!$C$85+Ipotesi!$C$86)/12</f>
        <v>1895.83333333333</v>
      </c>
      <c r="BZ210" s="15" t="n">
        <f aca="false">AM210*Ipotesi!$C$87</f>
        <v>980.1</v>
      </c>
      <c r="CA210" s="15" t="n">
        <f aca="false">AB210+BJ210+BL210+BN210+BO210+AR210+BP210+BQ210+BR210+BS210+BT210</f>
        <v>112620.411497288</v>
      </c>
      <c r="CB210" s="15" t="n">
        <f aca="false">AC210+BK210+BM210+BH210+BU210+BV210+AS210+BW210+BX210+BY210+BZ210</f>
        <v>41807.0958333333</v>
      </c>
      <c r="CC210" s="15" t="n">
        <f aca="false">BI210-CA210</f>
        <v>-83023.1627071369</v>
      </c>
      <c r="CD210" s="15" t="n">
        <f aca="false">AM210-CB210</f>
        <v>-9137.09583333333</v>
      </c>
      <c r="CE210" s="15" t="n">
        <f aca="false">INDEX(Ipotesi!$C$79:$G$79,1,F210)/12</f>
        <v>2500</v>
      </c>
      <c r="CF210" s="15" t="n">
        <f aca="false">INDEX(Ipotesi!$C$84:$G$84,1,F210)/12</f>
        <v>416.666666666667</v>
      </c>
      <c r="CG210" s="15" t="n">
        <f aca="false">Y210*MAX(0,Parametri_v3!$C$12-IF(P210=0,0,MIN(1,BE210/(P210*Parametri_v3!$C$22))))+W210*Parametri_v3!$C$13+X210*Parametri_v3!$C$14</f>
        <v>28563.3663190433</v>
      </c>
      <c r="CH210" s="15" t="n">
        <f aca="false">AB210*Parametri_v3!$C$32</f>
        <v>3713.68333333333</v>
      </c>
      <c r="CI210" s="15" t="n">
        <f aca="false">AC210*Parametri_v3!$C$32</f>
        <v>1270.86979166667</v>
      </c>
      <c r="CJ210" s="15" t="n">
        <f aca="false">CA210-AB210</f>
        <v>38346.7448306211</v>
      </c>
      <c r="CK210" s="15" t="n">
        <f aca="false">CB210-AC210-BH210</f>
        <v>13122.7</v>
      </c>
      <c r="CL210" s="15" t="n">
        <f aca="false">BF210*Ipotesi!$C$73+INDEX(Ipotesi!$C$72:$G$72,1,F210)/12*Ipotesi!F126*Parametri_v3!$C$58+Z210*(1-Parametri_v3!$C$16)</f>
        <v>6480.46990321207</v>
      </c>
      <c r="CM210" s="16" t="n">
        <f aca="false">IF(BF210=0,0,1-CL210/BF210)</f>
        <v>-0.135878581561506</v>
      </c>
    </row>
    <row r="211" customFormat="false" ht="18" hidden="false" customHeight="true" outlineLevel="0" collapsed="false">
      <c r="A211" s="68" t="n">
        <f aca="false">4</f>
        <v>4</v>
      </c>
      <c r="B211" s="68" t="n">
        <f aca="false">27</f>
        <v>27</v>
      </c>
      <c r="C211" s="18" t="n">
        <f aca="false">EDATE(Parametri_v3!$C$5,27-1)</f>
        <v>47178</v>
      </c>
      <c r="D211" s="68" t="n">
        <f aca="false">YEAR(C211)</f>
        <v>2029</v>
      </c>
      <c r="E211" s="68" t="n">
        <f aca="false">MONTH(C211)</f>
        <v>3</v>
      </c>
      <c r="F211" s="68" t="n">
        <f aca="false">INT((27-1)/12)+1</f>
        <v>3</v>
      </c>
      <c r="G211" s="15" t="n">
        <f aca="false">Ipotesi!F7</f>
        <v>0.55</v>
      </c>
      <c r="H211" s="15" t="n">
        <f aca="false">Ipotesi!F9</f>
        <v>0.9</v>
      </c>
      <c r="I211" s="15" t="n">
        <f aca="false">Ipotesi!F10</f>
        <v>1</v>
      </c>
      <c r="J211" s="15" t="n">
        <f aca="false">Ipotesi!F11</f>
        <v>1</v>
      </c>
      <c r="K211" s="15" t="n">
        <f aca="false">Ipotesi!F12</f>
        <v>1</v>
      </c>
      <c r="L211" s="15" t="n">
        <f aca="false">Ipotesi!F13</f>
        <v>120</v>
      </c>
      <c r="M211" s="17" t="n">
        <f aca="false">INDEX(Ipotesi!$C$40:$G$40,1,F211)</f>
        <v>1</v>
      </c>
      <c r="N211" s="17" t="n">
        <f aca="false">INDEX(Ipotesi!$C$41:$G$41,1,F211)</f>
        <v>1</v>
      </c>
      <c r="O211" s="17" t="n">
        <f aca="false">INDEX(Ipotesi!$C$42:$G$42,1,F211)*Ipotesi!F125</f>
        <v>4.5</v>
      </c>
      <c r="P211" s="17" t="n">
        <f aca="false">INDEX(Ipotesi!$C$43:$G$43,1,F211)*I211</f>
        <v>5</v>
      </c>
      <c r="Q211" s="17" t="n">
        <f aca="false">INDEX(Ipotesi!$C$44:$G$44,1,F211)*I211</f>
        <v>4</v>
      </c>
      <c r="R211" s="17" t="n">
        <f aca="false">INDEX(Ipotesi!$C$45:$G$45,1,F211)*I211</f>
        <v>1</v>
      </c>
      <c r="S211" s="17" t="n">
        <f aca="false">INDEX(Ipotesi!$C$52:$G$52,1,F211)*Ipotesi!F125</f>
        <v>5</v>
      </c>
      <c r="T211" s="17" t="n">
        <f aca="false">INDEX(Ipotesi!$C$53:$G$53,1,F211)*I211</f>
        <v>1</v>
      </c>
      <c r="U211" s="17" t="n">
        <f aca="false">INDEX(Ipotesi!$C$54:$G$54,1,F211)*I211</f>
        <v>0.5</v>
      </c>
      <c r="V211" s="15" t="n">
        <f aca="false">M211*INDEX(Ipotesi!$C$58:$G$58,1,F211)*K211/12</f>
        <v>7083.33333333333</v>
      </c>
      <c r="W211" s="15" t="n">
        <f aca="false">N211*Ipotesi!$C$59*(1+Ipotesi!$C$66)^(F211-1)/12</f>
        <v>6188.58333333333</v>
      </c>
      <c r="X211" s="15" t="n">
        <f aca="false">O211*Ipotesi!$C$60*(1+Ipotesi!$C$66)^(F211-1)/12</f>
        <v>19891.875</v>
      </c>
      <c r="Y211" s="15" t="n">
        <f aca="false">P211*Ipotesi!$C$61*(1+Ipotesi!$C$66)^(F211-1)/12</f>
        <v>22102.0833333333</v>
      </c>
      <c r="Z211" s="15" t="n">
        <f aca="false">Q211*Ipotesi!$C$62*(1+Ipotesi!$C$66)^(F211-1)/12</f>
        <v>15913.5</v>
      </c>
      <c r="AA211" s="15" t="n">
        <f aca="false">R211*Ipotesi!$C$63*(1+Ipotesi!$C$66)^(F211-1)/12</f>
        <v>3094.29166666667</v>
      </c>
      <c r="AB211" s="15" t="n">
        <f aca="false">SUM(V211:AA211)</f>
        <v>74273.6666666667</v>
      </c>
      <c r="AC211" s="15" t="n">
        <f aca="false">(S211*Ipotesi!$C$64+T211*Ipotesi!$C$65+U211*Ipotesi!$C$63)*(1+Ipotesi!$C$66)^(F211-1)/12</f>
        <v>25417.3958333333</v>
      </c>
      <c r="AD211" s="15" t="n">
        <f aca="false">INDEX(Ipotesi!$C$48:$G$48,1,F211)*G211/12</f>
        <v>33</v>
      </c>
      <c r="AE211" s="15" t="n">
        <f aca="false">INDEX(Ipotesi!$C$50:$G$50,1,F211)*G211/12</f>
        <v>3.66666666666667</v>
      </c>
      <c r="AF211" s="15" t="n">
        <f aca="false">(S211*Parametri_v3!$C$7*Parametri_v3!$C$8+Parametri_v3!$C$10)/12</f>
        <v>64.1666666666667</v>
      </c>
      <c r="AG211" s="15" t="n">
        <f aca="false">AD211+AE211*(1+Parametri_v3!$C$9)</f>
        <v>38.5</v>
      </c>
      <c r="AH211" s="16" t="n">
        <f aca="false">IF(AG211=0,1,MIN(1,AF211/AG211))</f>
        <v>1</v>
      </c>
      <c r="AI211" s="15" t="n">
        <f aca="false">AD211*AH211</f>
        <v>33</v>
      </c>
      <c r="AJ211" s="15" t="n">
        <f aca="false">AE211*AH211</f>
        <v>3.66666666666667</v>
      </c>
      <c r="AK211" s="15" t="n">
        <f aca="false">AI211*INDEX(Ipotesi!$C$49:$G$49,1,F211)*H211</f>
        <v>25245</v>
      </c>
      <c r="AL211" s="15" t="n">
        <f aca="false">AJ211*INDEX(Ipotesi!$C$51:$G$51,1,F211)*H211</f>
        <v>7425</v>
      </c>
      <c r="AM211" s="15" t="n">
        <f aca="false">AK211+AL211</f>
        <v>32670</v>
      </c>
      <c r="AN211" s="15" t="n">
        <f aca="false">INDEX(Ipotesi!$C$30:$G$30,1,F211)*G211/12</f>
        <v>22.9166666666667</v>
      </c>
      <c r="AO211" s="15" t="n">
        <f aca="false">O211*Parametri_v3!$C$7*Parametri_v3!$C$11*(1-Parametri_v3!$C$14)/12</f>
        <v>46.2</v>
      </c>
      <c r="AP211" s="15" t="n">
        <f aca="false">MIN(AN211,AO211)</f>
        <v>22.9166666666667</v>
      </c>
      <c r="AQ211" s="15" t="n">
        <f aca="false">AP211*INDEX(Ipotesi!$C$31:$G$31,1,F211)*H211</f>
        <v>20625</v>
      </c>
      <c r="AR211" s="15" t="n">
        <f aca="false">INDEX(Ipotesi!$C$75:$G$75,1,F211)*J211/12</f>
        <v>20000</v>
      </c>
      <c r="AS211" s="15" t="n">
        <f aca="false">INDEX(Ipotesi!$C$81:$G$81,1,F211)*J211/12</f>
        <v>1250</v>
      </c>
      <c r="AT211" s="15" t="n">
        <f aca="false">AR211*Parametri_v3!$C$15+Z211*Parametri_v3!$C$16</f>
        <v>31139.45</v>
      </c>
      <c r="AU211" s="15" t="n">
        <f aca="false">Q211*Parametri_v3!$C$16*Parametri_v3!$C$17</f>
        <v>280</v>
      </c>
      <c r="AV211" s="17" t="n">
        <f aca="false">BD210</f>
        <v>14.4376411345189</v>
      </c>
      <c r="AW211" s="17" t="n">
        <f aca="false">AV211*(1-(1-INDEX(Ipotesi!$C$34:$G$34,1,F211))^(1/12))</f>
        <v>0.12620824190149</v>
      </c>
      <c r="AX211" s="15" t="n">
        <f aca="false">ROUND(INDEX(Ipotesi!$C$32:$G$32,1,F211)*Ipotesi!F8,0)</f>
        <v>46</v>
      </c>
      <c r="AY211" s="15" t="n">
        <f aca="false">MAX(0,(AX211-(AV211-AW211))/(13-E211))</f>
        <v>3.16885671073826</v>
      </c>
      <c r="AZ211" s="15" t="n">
        <f aca="false">MIN(P211*Parametri_v3!$C$22,Q211*(1-Parametri_v3!$C$16)*Parametri_v3!$C$23)</f>
        <v>180</v>
      </c>
      <c r="BA211" s="15" t="n">
        <f aca="false">IF(OR(INDEX(Ipotesi!$C$35:$G$35,1,F211)&lt;=0,27-Parametri_v3!$C$21&lt;1),0,INDEX($AT$185:$AT$244,MAX(1,27-Parametri_v3!$C$21))/(INDEX(Ipotesi!$C$35:$G$35,1,F211)*Ipotesi!F27))</f>
        <v>1.32907051282051</v>
      </c>
      <c r="BB211" s="15" t="n">
        <f aca="false">IF(27-Parametri_v3!$C$21&lt;1,0,INDEX($AU$185:$AU$244,MAX(1,27-Parametri_v3!$C$21)))*Parametri_v3!$C$18*Parametri_v3!$C$19*Parametri_v3!$C$20</f>
        <v>3.9375</v>
      </c>
      <c r="BC211" s="17" t="n">
        <f aca="false">MAX(0,MIN(AY211,BA211,BB211,MAX(0,AZ211-(AV211-AW211))))</f>
        <v>1.32907051282051</v>
      </c>
      <c r="BD211" s="17" t="n">
        <f aca="false">AV211-AW211+BC211</f>
        <v>15.6405034054379</v>
      </c>
      <c r="BE211" s="17" t="n">
        <f aca="false">(AV211+BD211)/2</f>
        <v>15.0390722699784</v>
      </c>
      <c r="BF211" s="15" t="n">
        <f aca="false">BE211*INDEX(Ipotesi!$C$33:$G$33,1,F211)*H211/12</f>
        <v>6203.61731136608</v>
      </c>
      <c r="BG211" s="15" t="n">
        <f aca="false">BD211*INDEX(Ipotesi!$C$33:$G$33,1,F211)*H211</f>
        <v>77420.4918569176</v>
      </c>
      <c r="BH211" s="15" t="n">
        <f aca="false">AM211*INDEX(Ipotesi!$C$37:$G$37,1,F211)</f>
        <v>3267</v>
      </c>
      <c r="BI211" s="15" t="n">
        <f aca="false">AQ211+BF211+BH211</f>
        <v>30095.6173113661</v>
      </c>
      <c r="BJ211" s="15" t="n">
        <f aca="false">INDEX(Ipotesi!$C$68:$G$68,1,F211)*Ipotesi!$C$69/12</f>
        <v>2400</v>
      </c>
      <c r="BK211" s="15" t="n">
        <f aca="false">INDEX(Ipotesi!$C$68:$G$68,1,F211)*(1-Ipotesi!$C$69)/12</f>
        <v>3600</v>
      </c>
      <c r="BL211" s="15" t="n">
        <f aca="false">(AQ211+BF211)*Ipotesi!$C$67</f>
        <v>804.858519340982</v>
      </c>
      <c r="BM211" s="15" t="n">
        <f aca="false">AM211*Ipotesi!$C$67</f>
        <v>980.1</v>
      </c>
      <c r="BN211" s="15" t="n">
        <f aca="false">INDEX(Ipotesi!$C$72:$G$72,1,F211)/12*Ipotesi!F126+BF211*Ipotesi!$C$73</f>
        <v>1746.28938490929</v>
      </c>
      <c r="BO211" s="15" t="n">
        <f aca="false">INDEX(Ipotesi!$C$74:$G$74,1,F211)/12*Ipotesi!F126</f>
        <v>2916.66666666667</v>
      </c>
      <c r="BP211" s="15" t="n">
        <f aca="false">INDEX(Ipotesi!$C$76:$G$76,1,F211)/12</f>
        <v>1083.33333333333</v>
      </c>
      <c r="BQ211" s="15" t="n">
        <f aca="false">INDEX(Ipotesi!$C$77:$G$77,1,F211)/12*Ipotesi!F126</f>
        <v>2083.33333333333</v>
      </c>
      <c r="BR211" s="15" t="n">
        <f aca="false">INDEX(Ipotesi!$C$78:$G$78,1,F211)/12</f>
        <v>1666.66666666667</v>
      </c>
      <c r="BS211" s="15" t="n">
        <f aca="false">SUM(M211:R211)*(Ipotesi!$C$85+Ipotesi!$C$86)/12</f>
        <v>4812.5</v>
      </c>
      <c r="BT211" s="15" t="n">
        <f aca="false">BI211*Ipotesi!$C$87</f>
        <v>902.868519340982</v>
      </c>
      <c r="BU211" s="15" t="n">
        <f aca="false">INDEX(Ipotesi!$C$55:$G$55,1,F211)*K211/12</f>
        <v>1500</v>
      </c>
      <c r="BV211" s="15" t="n">
        <f aca="false">INDEX(Ipotesi!$C$80:$G$80,1,F211)/12*Ipotesi!F126</f>
        <v>1250</v>
      </c>
      <c r="BW211" s="15" t="n">
        <f aca="false">INDEX(Ipotesi!$C$82:$G$82,1,F211)/12</f>
        <v>1000</v>
      </c>
      <c r="BX211" s="15" t="n">
        <f aca="false">INDEX(Ipotesi!$C$83:$G$83,1,F211)/12</f>
        <v>666.666666666667</v>
      </c>
      <c r="BY211" s="15" t="n">
        <f aca="false">SUM(S211:U211)*(Ipotesi!$C$85+Ipotesi!$C$86)/12</f>
        <v>1895.83333333333</v>
      </c>
      <c r="BZ211" s="15" t="n">
        <f aca="false">AM211*Ipotesi!$C$87</f>
        <v>980.1</v>
      </c>
      <c r="CA211" s="15" t="n">
        <f aca="false">AB211+BJ211+BL211+BN211+BO211+AR211+BP211+BQ211+BR211+BS211+BT211</f>
        <v>112690.183090258</v>
      </c>
      <c r="CB211" s="15" t="n">
        <f aca="false">AC211+BK211+BM211+BH211+BU211+BV211+AS211+BW211+BX211+BY211+BZ211</f>
        <v>41807.0958333333</v>
      </c>
      <c r="CC211" s="15" t="n">
        <f aca="false">BI211-CA211</f>
        <v>-82594.5657788918</v>
      </c>
      <c r="CD211" s="15" t="n">
        <f aca="false">AM211-CB211</f>
        <v>-9137.09583333333</v>
      </c>
      <c r="CE211" s="15" t="n">
        <f aca="false">INDEX(Ipotesi!$C$79:$G$79,1,F211)/12</f>
        <v>2500</v>
      </c>
      <c r="CF211" s="15" t="n">
        <f aca="false">INDEX(Ipotesi!$C$84:$G$84,1,F211)/12</f>
        <v>416.666666666667</v>
      </c>
      <c r="CG211" s="15" t="n">
        <f aca="false">Y211*MAX(0,Parametri_v3!$C$12-IF(P211=0,0,MIN(1,BE211/(P211*Parametri_v3!$C$22))))+W211*Parametri_v3!$C$13+X211*Parametri_v3!$C$14</f>
        <v>28509.9603428658</v>
      </c>
      <c r="CH211" s="15" t="n">
        <f aca="false">AB211*Parametri_v3!$C$32</f>
        <v>3713.68333333333</v>
      </c>
      <c r="CI211" s="15" t="n">
        <f aca="false">AC211*Parametri_v3!$C$32</f>
        <v>1270.86979166667</v>
      </c>
      <c r="CJ211" s="15" t="n">
        <f aca="false">CA211-AB211</f>
        <v>38416.5164235912</v>
      </c>
      <c r="CK211" s="15" t="n">
        <f aca="false">CB211-AC211-BH211</f>
        <v>13122.7</v>
      </c>
      <c r="CL211" s="15" t="n">
        <f aca="false">BF211*Ipotesi!$C$73+INDEX(Ipotesi!$C$72:$G$72,1,F211)/12*Ipotesi!F126*Parametri_v3!$C$58+Z211*(1-Parametri_v3!$C$16)</f>
        <v>6520.33938490929</v>
      </c>
      <c r="CM211" s="16" t="n">
        <f aca="false">IF(BF211=0,0,1-CL211/BF211)</f>
        <v>-0.0510544183573216</v>
      </c>
    </row>
    <row r="212" customFormat="false" ht="18" hidden="false" customHeight="true" outlineLevel="0" collapsed="false">
      <c r="A212" s="68" t="n">
        <f aca="false">4</f>
        <v>4</v>
      </c>
      <c r="B212" s="68" t="n">
        <f aca="false">28</f>
        <v>28</v>
      </c>
      <c r="C212" s="18" t="n">
        <f aca="false">EDATE(Parametri_v3!$C$5,28-1)</f>
        <v>47209</v>
      </c>
      <c r="D212" s="68" t="n">
        <f aca="false">YEAR(C212)</f>
        <v>2029</v>
      </c>
      <c r="E212" s="68" t="n">
        <f aca="false">MONTH(C212)</f>
        <v>4</v>
      </c>
      <c r="F212" s="68" t="n">
        <f aca="false">INT((28-1)/12)+1</f>
        <v>3</v>
      </c>
      <c r="G212" s="15" t="n">
        <f aca="false">Ipotesi!F7</f>
        <v>0.55</v>
      </c>
      <c r="H212" s="15" t="n">
        <f aca="false">Ipotesi!F9</f>
        <v>0.9</v>
      </c>
      <c r="I212" s="15" t="n">
        <f aca="false">Ipotesi!F10</f>
        <v>1</v>
      </c>
      <c r="J212" s="15" t="n">
        <f aca="false">Ipotesi!F11</f>
        <v>1</v>
      </c>
      <c r="K212" s="15" t="n">
        <f aca="false">Ipotesi!F12</f>
        <v>1</v>
      </c>
      <c r="L212" s="15" t="n">
        <f aca="false">Ipotesi!F13</f>
        <v>120</v>
      </c>
      <c r="M212" s="17" t="n">
        <f aca="false">INDEX(Ipotesi!$C$40:$G$40,1,F212)</f>
        <v>1</v>
      </c>
      <c r="N212" s="17" t="n">
        <f aca="false">INDEX(Ipotesi!$C$41:$G$41,1,F212)</f>
        <v>1</v>
      </c>
      <c r="O212" s="17" t="n">
        <f aca="false">INDEX(Ipotesi!$C$42:$G$42,1,F212)*Ipotesi!F125</f>
        <v>4.5</v>
      </c>
      <c r="P212" s="17" t="n">
        <f aca="false">INDEX(Ipotesi!$C$43:$G$43,1,F212)*I212</f>
        <v>5</v>
      </c>
      <c r="Q212" s="17" t="n">
        <f aca="false">INDEX(Ipotesi!$C$44:$G$44,1,F212)*I212</f>
        <v>4</v>
      </c>
      <c r="R212" s="17" t="n">
        <f aca="false">INDEX(Ipotesi!$C$45:$G$45,1,F212)*I212</f>
        <v>1</v>
      </c>
      <c r="S212" s="17" t="n">
        <f aca="false">INDEX(Ipotesi!$C$52:$G$52,1,F212)*Ipotesi!F125</f>
        <v>5</v>
      </c>
      <c r="T212" s="17" t="n">
        <f aca="false">INDEX(Ipotesi!$C$53:$G$53,1,F212)*I212</f>
        <v>1</v>
      </c>
      <c r="U212" s="17" t="n">
        <f aca="false">INDEX(Ipotesi!$C$54:$G$54,1,F212)*I212</f>
        <v>0.5</v>
      </c>
      <c r="V212" s="15" t="n">
        <f aca="false">M212*INDEX(Ipotesi!$C$58:$G$58,1,F212)*K212/12</f>
        <v>7083.33333333333</v>
      </c>
      <c r="W212" s="15" t="n">
        <f aca="false">N212*Ipotesi!$C$59*(1+Ipotesi!$C$66)^(F212-1)/12</f>
        <v>6188.58333333333</v>
      </c>
      <c r="X212" s="15" t="n">
        <f aca="false">O212*Ipotesi!$C$60*(1+Ipotesi!$C$66)^(F212-1)/12</f>
        <v>19891.875</v>
      </c>
      <c r="Y212" s="15" t="n">
        <f aca="false">P212*Ipotesi!$C$61*(1+Ipotesi!$C$66)^(F212-1)/12</f>
        <v>22102.0833333333</v>
      </c>
      <c r="Z212" s="15" t="n">
        <f aca="false">Q212*Ipotesi!$C$62*(1+Ipotesi!$C$66)^(F212-1)/12</f>
        <v>15913.5</v>
      </c>
      <c r="AA212" s="15" t="n">
        <f aca="false">R212*Ipotesi!$C$63*(1+Ipotesi!$C$66)^(F212-1)/12</f>
        <v>3094.29166666667</v>
      </c>
      <c r="AB212" s="15" t="n">
        <f aca="false">SUM(V212:AA212)</f>
        <v>74273.6666666667</v>
      </c>
      <c r="AC212" s="15" t="n">
        <f aca="false">(S212*Ipotesi!$C$64+T212*Ipotesi!$C$65+U212*Ipotesi!$C$63)*(1+Ipotesi!$C$66)^(F212-1)/12</f>
        <v>25417.3958333333</v>
      </c>
      <c r="AD212" s="15" t="n">
        <f aca="false">INDEX(Ipotesi!$C$48:$G$48,1,F212)*G212/12</f>
        <v>33</v>
      </c>
      <c r="AE212" s="15" t="n">
        <f aca="false">INDEX(Ipotesi!$C$50:$G$50,1,F212)*G212/12</f>
        <v>3.66666666666667</v>
      </c>
      <c r="AF212" s="15" t="n">
        <f aca="false">(S212*Parametri_v3!$C$7*Parametri_v3!$C$8+Parametri_v3!$C$10)/12</f>
        <v>64.1666666666667</v>
      </c>
      <c r="AG212" s="15" t="n">
        <f aca="false">AD212+AE212*(1+Parametri_v3!$C$9)</f>
        <v>38.5</v>
      </c>
      <c r="AH212" s="16" t="n">
        <f aca="false">IF(AG212=0,1,MIN(1,AF212/AG212))</f>
        <v>1</v>
      </c>
      <c r="AI212" s="15" t="n">
        <f aca="false">AD212*AH212</f>
        <v>33</v>
      </c>
      <c r="AJ212" s="15" t="n">
        <f aca="false">AE212*AH212</f>
        <v>3.66666666666667</v>
      </c>
      <c r="AK212" s="15" t="n">
        <f aca="false">AI212*INDEX(Ipotesi!$C$49:$G$49,1,F212)*H212</f>
        <v>25245</v>
      </c>
      <c r="AL212" s="15" t="n">
        <f aca="false">AJ212*INDEX(Ipotesi!$C$51:$G$51,1,F212)*H212</f>
        <v>7425</v>
      </c>
      <c r="AM212" s="15" t="n">
        <f aca="false">AK212+AL212</f>
        <v>32670</v>
      </c>
      <c r="AN212" s="15" t="n">
        <f aca="false">INDEX(Ipotesi!$C$30:$G$30,1,F212)*G212/12</f>
        <v>22.9166666666667</v>
      </c>
      <c r="AO212" s="15" t="n">
        <f aca="false">O212*Parametri_v3!$C$7*Parametri_v3!$C$11*(1-Parametri_v3!$C$14)/12</f>
        <v>46.2</v>
      </c>
      <c r="AP212" s="15" t="n">
        <f aca="false">MIN(AN212,AO212)</f>
        <v>22.9166666666667</v>
      </c>
      <c r="AQ212" s="15" t="n">
        <f aca="false">AP212*INDEX(Ipotesi!$C$31:$G$31,1,F212)*H212</f>
        <v>20625</v>
      </c>
      <c r="AR212" s="15" t="n">
        <f aca="false">INDEX(Ipotesi!$C$75:$G$75,1,F212)*J212/12</f>
        <v>20000</v>
      </c>
      <c r="AS212" s="15" t="n">
        <f aca="false">INDEX(Ipotesi!$C$81:$G$81,1,F212)*J212/12</f>
        <v>1250</v>
      </c>
      <c r="AT212" s="15" t="n">
        <f aca="false">AR212*Parametri_v3!$C$15+Z212*Parametri_v3!$C$16</f>
        <v>31139.45</v>
      </c>
      <c r="AU212" s="15" t="n">
        <f aca="false">Q212*Parametri_v3!$C$16*Parametri_v3!$C$17</f>
        <v>280</v>
      </c>
      <c r="AV212" s="17" t="n">
        <f aca="false">BD211</f>
        <v>15.6405034054379</v>
      </c>
      <c r="AW212" s="17" t="n">
        <f aca="false">AV212*(1-(1-INDEX(Ipotesi!$C$34:$G$34,1,F212))^(1/12))</f>
        <v>0.136723195905947</v>
      </c>
      <c r="AX212" s="15" t="n">
        <f aca="false">ROUND(INDEX(Ipotesi!$C$32:$G$32,1,F212)*Ipotesi!F8,0)</f>
        <v>46</v>
      </c>
      <c r="AY212" s="15" t="n">
        <f aca="false">MAX(0,(AX212-(AV212-AW212))/(13-E212))</f>
        <v>3.38846886560756</v>
      </c>
      <c r="AZ212" s="15" t="n">
        <f aca="false">MIN(P212*Parametri_v3!$C$22,Q212*(1-Parametri_v3!$C$16)*Parametri_v3!$C$23)</f>
        <v>180</v>
      </c>
      <c r="BA212" s="15" t="n">
        <f aca="false">IF(OR(INDEX(Ipotesi!$C$35:$G$35,1,F212)&lt;=0,28-Parametri_v3!$C$21&lt;1),0,INDEX($AT$185:$AT$244,MAX(1,28-Parametri_v3!$C$21))/(INDEX(Ipotesi!$C$35:$G$35,1,F212)*Ipotesi!F27))</f>
        <v>4.79068461538462</v>
      </c>
      <c r="BB212" s="15" t="n">
        <f aca="false">IF(28-Parametri_v3!$C$21&lt;1,0,INDEX($AU$185:$AU$244,MAX(1,28-Parametri_v3!$C$21)))*Parametri_v3!$C$18*Parametri_v3!$C$19*Parametri_v3!$C$20</f>
        <v>10.5</v>
      </c>
      <c r="BC212" s="17" t="n">
        <f aca="false">MAX(0,MIN(AY212,BA212,BB212,MAX(0,AZ212-(AV212-AW212))))</f>
        <v>3.38846886560756</v>
      </c>
      <c r="BD212" s="17" t="n">
        <f aca="false">AV212-AW212+BC212</f>
        <v>18.8922490751395</v>
      </c>
      <c r="BE212" s="17" t="n">
        <f aca="false">(AV212+BD212)/2</f>
        <v>17.2663762402887</v>
      </c>
      <c r="BF212" s="15" t="n">
        <f aca="false">BE212*INDEX(Ipotesi!$C$33:$G$33,1,F212)*H212/12</f>
        <v>7122.38019911909</v>
      </c>
      <c r="BG212" s="15" t="n">
        <f aca="false">BD212*INDEX(Ipotesi!$C$33:$G$33,1,F212)*H212</f>
        <v>93516.6329219406</v>
      </c>
      <c r="BH212" s="15" t="n">
        <f aca="false">AM212*INDEX(Ipotesi!$C$37:$G$37,1,F212)</f>
        <v>3267</v>
      </c>
      <c r="BI212" s="15" t="n">
        <f aca="false">AQ212+BF212+BH212</f>
        <v>31014.3801991191</v>
      </c>
      <c r="BJ212" s="15" t="n">
        <f aca="false">INDEX(Ipotesi!$C$68:$G$68,1,F212)*Ipotesi!$C$69/12</f>
        <v>2400</v>
      </c>
      <c r="BK212" s="15" t="n">
        <f aca="false">INDEX(Ipotesi!$C$68:$G$68,1,F212)*(1-Ipotesi!$C$69)/12</f>
        <v>3600</v>
      </c>
      <c r="BL212" s="15" t="n">
        <f aca="false">(AQ212+BF212)*Ipotesi!$C$67</f>
        <v>832.421405973573</v>
      </c>
      <c r="BM212" s="15" t="n">
        <f aca="false">AM212*Ipotesi!$C$67</f>
        <v>980.1</v>
      </c>
      <c r="BN212" s="15" t="n">
        <f aca="false">INDEX(Ipotesi!$C$72:$G$72,1,F212)/12*Ipotesi!F126+BF212*Ipotesi!$C$73</f>
        <v>1819.79041592953</v>
      </c>
      <c r="BO212" s="15" t="n">
        <f aca="false">INDEX(Ipotesi!$C$74:$G$74,1,F212)/12*Ipotesi!F126</f>
        <v>2916.66666666667</v>
      </c>
      <c r="BP212" s="15" t="n">
        <f aca="false">INDEX(Ipotesi!$C$76:$G$76,1,F212)/12</f>
        <v>1083.33333333333</v>
      </c>
      <c r="BQ212" s="15" t="n">
        <f aca="false">INDEX(Ipotesi!$C$77:$G$77,1,F212)/12*Ipotesi!F126</f>
        <v>2083.33333333333</v>
      </c>
      <c r="BR212" s="15" t="n">
        <f aca="false">INDEX(Ipotesi!$C$78:$G$78,1,F212)/12</f>
        <v>1666.66666666667</v>
      </c>
      <c r="BS212" s="15" t="n">
        <f aca="false">SUM(M212:R212)*(Ipotesi!$C$85+Ipotesi!$C$86)/12</f>
        <v>4812.5</v>
      </c>
      <c r="BT212" s="15" t="n">
        <f aca="false">BI212*Ipotesi!$C$87</f>
        <v>930.431405973573</v>
      </c>
      <c r="BU212" s="15" t="n">
        <f aca="false">INDEX(Ipotesi!$C$55:$G$55,1,F212)*K212/12</f>
        <v>1500</v>
      </c>
      <c r="BV212" s="15" t="n">
        <f aca="false">INDEX(Ipotesi!$C$80:$G$80,1,F212)/12*Ipotesi!F126</f>
        <v>1250</v>
      </c>
      <c r="BW212" s="15" t="n">
        <f aca="false">INDEX(Ipotesi!$C$82:$G$82,1,F212)/12</f>
        <v>1000</v>
      </c>
      <c r="BX212" s="15" t="n">
        <f aca="false">INDEX(Ipotesi!$C$83:$G$83,1,F212)/12</f>
        <v>666.666666666667</v>
      </c>
      <c r="BY212" s="15" t="n">
        <f aca="false">SUM(S212:U212)*(Ipotesi!$C$85+Ipotesi!$C$86)/12</f>
        <v>1895.83333333333</v>
      </c>
      <c r="BZ212" s="15" t="n">
        <f aca="false">AM212*Ipotesi!$C$87</f>
        <v>980.1</v>
      </c>
      <c r="CA212" s="15" t="n">
        <f aca="false">AB212+BJ212+BL212+BN212+BO212+AR212+BP212+BQ212+BR212+BS212+BT212</f>
        <v>112818.809894543</v>
      </c>
      <c r="CB212" s="15" t="n">
        <f aca="false">AC212+BK212+BM212+BH212+BU212+BV212+AS212+BW212+BX212+BY212+BZ212</f>
        <v>41807.0958333333</v>
      </c>
      <c r="CC212" s="15" t="n">
        <f aca="false">BI212-CA212</f>
        <v>-81804.4296954243</v>
      </c>
      <c r="CD212" s="15" t="n">
        <f aca="false">AM212-CB212</f>
        <v>-9137.09583333333</v>
      </c>
      <c r="CE212" s="15" t="n">
        <f aca="false">INDEX(Ipotesi!$C$79:$G$79,1,F212)/12</f>
        <v>2500</v>
      </c>
      <c r="CF212" s="15" t="n">
        <f aca="false">INDEX(Ipotesi!$C$84:$G$84,1,F212)/12</f>
        <v>416.666666666667</v>
      </c>
      <c r="CG212" s="15" t="n">
        <f aca="false">Y212*MAX(0,Parametri_v3!$C$12-IF(P212=0,0,MIN(1,BE212/(P212*Parametri_v3!$C$22))))+W212*Parametri_v3!$C$13+X212*Parametri_v3!$C$14</f>
        <v>28411.5042269449</v>
      </c>
      <c r="CH212" s="15" t="n">
        <f aca="false">AB212*Parametri_v3!$C$32</f>
        <v>3713.68333333333</v>
      </c>
      <c r="CI212" s="15" t="n">
        <f aca="false">AC212*Parametri_v3!$C$32</f>
        <v>1270.86979166667</v>
      </c>
      <c r="CJ212" s="15" t="n">
        <f aca="false">CA212-AB212</f>
        <v>38545.1432278767</v>
      </c>
      <c r="CK212" s="15" t="n">
        <f aca="false">CB212-AC212-BH212</f>
        <v>13122.7</v>
      </c>
      <c r="CL212" s="15" t="n">
        <f aca="false">BF212*Ipotesi!$C$73+INDEX(Ipotesi!$C$72:$G$72,1,F212)/12*Ipotesi!F126*Parametri_v3!$C$58+Z212*(1-Parametri_v3!$C$16)</f>
        <v>6593.84041592953</v>
      </c>
      <c r="CM212" s="16" t="n">
        <f aca="false">IF(BF212=0,0,1-CL212/BF212)</f>
        <v>0.0742083079551034</v>
      </c>
    </row>
    <row r="213" customFormat="false" ht="18" hidden="false" customHeight="true" outlineLevel="0" collapsed="false">
      <c r="A213" s="68" t="n">
        <f aca="false">4</f>
        <v>4</v>
      </c>
      <c r="B213" s="68" t="n">
        <f aca="false">29</f>
        <v>29</v>
      </c>
      <c r="C213" s="18" t="n">
        <f aca="false">EDATE(Parametri_v3!$C$5,29-1)</f>
        <v>47239</v>
      </c>
      <c r="D213" s="68" t="n">
        <f aca="false">YEAR(C213)</f>
        <v>2029</v>
      </c>
      <c r="E213" s="68" t="n">
        <f aca="false">MONTH(C213)</f>
        <v>5</v>
      </c>
      <c r="F213" s="68" t="n">
        <f aca="false">INT((29-1)/12)+1</f>
        <v>3</v>
      </c>
      <c r="G213" s="15" t="n">
        <f aca="false">Ipotesi!F7</f>
        <v>0.55</v>
      </c>
      <c r="H213" s="15" t="n">
        <f aca="false">Ipotesi!F9</f>
        <v>0.9</v>
      </c>
      <c r="I213" s="15" t="n">
        <f aca="false">Ipotesi!F10</f>
        <v>1</v>
      </c>
      <c r="J213" s="15" t="n">
        <f aca="false">Ipotesi!F11</f>
        <v>1</v>
      </c>
      <c r="K213" s="15" t="n">
        <f aca="false">Ipotesi!F12</f>
        <v>1</v>
      </c>
      <c r="L213" s="15" t="n">
        <f aca="false">Ipotesi!F13</f>
        <v>120</v>
      </c>
      <c r="M213" s="17" t="n">
        <f aca="false">INDEX(Ipotesi!$C$40:$G$40,1,F213)</f>
        <v>1</v>
      </c>
      <c r="N213" s="17" t="n">
        <f aca="false">INDEX(Ipotesi!$C$41:$G$41,1,F213)</f>
        <v>1</v>
      </c>
      <c r="O213" s="17" t="n">
        <f aca="false">INDEX(Ipotesi!$C$42:$G$42,1,F213)*Ipotesi!F125</f>
        <v>4.5</v>
      </c>
      <c r="P213" s="17" t="n">
        <f aca="false">INDEX(Ipotesi!$C$43:$G$43,1,F213)*I213</f>
        <v>5</v>
      </c>
      <c r="Q213" s="17" t="n">
        <f aca="false">INDEX(Ipotesi!$C$44:$G$44,1,F213)*I213</f>
        <v>4</v>
      </c>
      <c r="R213" s="17" t="n">
        <f aca="false">INDEX(Ipotesi!$C$45:$G$45,1,F213)*I213</f>
        <v>1</v>
      </c>
      <c r="S213" s="17" t="n">
        <f aca="false">INDEX(Ipotesi!$C$52:$G$52,1,F213)*Ipotesi!F125</f>
        <v>5</v>
      </c>
      <c r="T213" s="17" t="n">
        <f aca="false">INDEX(Ipotesi!$C$53:$G$53,1,F213)*I213</f>
        <v>1</v>
      </c>
      <c r="U213" s="17" t="n">
        <f aca="false">INDEX(Ipotesi!$C$54:$G$54,1,F213)*I213</f>
        <v>0.5</v>
      </c>
      <c r="V213" s="15" t="n">
        <f aca="false">M213*INDEX(Ipotesi!$C$58:$G$58,1,F213)*K213/12</f>
        <v>7083.33333333333</v>
      </c>
      <c r="W213" s="15" t="n">
        <f aca="false">N213*Ipotesi!$C$59*(1+Ipotesi!$C$66)^(F213-1)/12</f>
        <v>6188.58333333333</v>
      </c>
      <c r="X213" s="15" t="n">
        <f aca="false">O213*Ipotesi!$C$60*(1+Ipotesi!$C$66)^(F213-1)/12</f>
        <v>19891.875</v>
      </c>
      <c r="Y213" s="15" t="n">
        <f aca="false">P213*Ipotesi!$C$61*(1+Ipotesi!$C$66)^(F213-1)/12</f>
        <v>22102.0833333333</v>
      </c>
      <c r="Z213" s="15" t="n">
        <f aca="false">Q213*Ipotesi!$C$62*(1+Ipotesi!$C$66)^(F213-1)/12</f>
        <v>15913.5</v>
      </c>
      <c r="AA213" s="15" t="n">
        <f aca="false">R213*Ipotesi!$C$63*(1+Ipotesi!$C$66)^(F213-1)/12</f>
        <v>3094.29166666667</v>
      </c>
      <c r="AB213" s="15" t="n">
        <f aca="false">SUM(V213:AA213)</f>
        <v>74273.6666666667</v>
      </c>
      <c r="AC213" s="15" t="n">
        <f aca="false">(S213*Ipotesi!$C$64+T213*Ipotesi!$C$65+U213*Ipotesi!$C$63)*(1+Ipotesi!$C$66)^(F213-1)/12</f>
        <v>25417.3958333333</v>
      </c>
      <c r="AD213" s="15" t="n">
        <f aca="false">INDEX(Ipotesi!$C$48:$G$48,1,F213)*G213/12</f>
        <v>33</v>
      </c>
      <c r="AE213" s="15" t="n">
        <f aca="false">INDEX(Ipotesi!$C$50:$G$50,1,F213)*G213/12</f>
        <v>3.66666666666667</v>
      </c>
      <c r="AF213" s="15" t="n">
        <f aca="false">(S213*Parametri_v3!$C$7*Parametri_v3!$C$8+Parametri_v3!$C$10)/12</f>
        <v>64.1666666666667</v>
      </c>
      <c r="AG213" s="15" t="n">
        <f aca="false">AD213+AE213*(1+Parametri_v3!$C$9)</f>
        <v>38.5</v>
      </c>
      <c r="AH213" s="16" t="n">
        <f aca="false">IF(AG213=0,1,MIN(1,AF213/AG213))</f>
        <v>1</v>
      </c>
      <c r="AI213" s="15" t="n">
        <f aca="false">AD213*AH213</f>
        <v>33</v>
      </c>
      <c r="AJ213" s="15" t="n">
        <f aca="false">AE213*AH213</f>
        <v>3.66666666666667</v>
      </c>
      <c r="AK213" s="15" t="n">
        <f aca="false">AI213*INDEX(Ipotesi!$C$49:$G$49,1,F213)*H213</f>
        <v>25245</v>
      </c>
      <c r="AL213" s="15" t="n">
        <f aca="false">AJ213*INDEX(Ipotesi!$C$51:$G$51,1,F213)*H213</f>
        <v>7425</v>
      </c>
      <c r="AM213" s="15" t="n">
        <f aca="false">AK213+AL213</f>
        <v>32670</v>
      </c>
      <c r="AN213" s="15" t="n">
        <f aca="false">INDEX(Ipotesi!$C$30:$G$30,1,F213)*G213/12</f>
        <v>22.9166666666667</v>
      </c>
      <c r="AO213" s="15" t="n">
        <f aca="false">O213*Parametri_v3!$C$7*Parametri_v3!$C$11*(1-Parametri_v3!$C$14)/12</f>
        <v>46.2</v>
      </c>
      <c r="AP213" s="15" t="n">
        <f aca="false">MIN(AN213,AO213)</f>
        <v>22.9166666666667</v>
      </c>
      <c r="AQ213" s="15" t="n">
        <f aca="false">AP213*INDEX(Ipotesi!$C$31:$G$31,1,F213)*H213</f>
        <v>20625</v>
      </c>
      <c r="AR213" s="15" t="n">
        <f aca="false">INDEX(Ipotesi!$C$75:$G$75,1,F213)*J213/12</f>
        <v>20000</v>
      </c>
      <c r="AS213" s="15" t="n">
        <f aca="false">INDEX(Ipotesi!$C$81:$G$81,1,F213)*J213/12</f>
        <v>1250</v>
      </c>
      <c r="AT213" s="15" t="n">
        <f aca="false">AR213*Parametri_v3!$C$15+Z213*Parametri_v3!$C$16</f>
        <v>31139.45</v>
      </c>
      <c r="AU213" s="15" t="n">
        <f aca="false">Q213*Parametri_v3!$C$16*Parametri_v3!$C$17</f>
        <v>280</v>
      </c>
      <c r="AV213" s="17" t="n">
        <f aca="false">BD212</f>
        <v>18.8922490751395</v>
      </c>
      <c r="AW213" s="17" t="n">
        <f aca="false">AV213*(1-(1-INDEX(Ipotesi!$C$34:$G$34,1,F213))^(1/12))</f>
        <v>0.165148691474098</v>
      </c>
      <c r="AX213" s="15" t="n">
        <f aca="false">ROUND(INDEX(Ipotesi!$C$32:$G$32,1,F213)*Ipotesi!F8,0)</f>
        <v>46</v>
      </c>
      <c r="AY213" s="15" t="n">
        <f aca="false">MAX(0,(AX213-(AV213-AW213))/(13-E213))</f>
        <v>3.40911245204182</v>
      </c>
      <c r="AZ213" s="15" t="n">
        <f aca="false">MIN(P213*Parametri_v3!$C$22,Q213*(1-Parametri_v3!$C$16)*Parametri_v3!$C$23)</f>
        <v>180</v>
      </c>
      <c r="BA213" s="15" t="n">
        <f aca="false">IF(OR(INDEX(Ipotesi!$C$35:$G$35,1,F213)&lt;=0,29-Parametri_v3!$C$21&lt;1),0,INDEX($AT$185:$AT$244,MAX(1,29-Parametri_v3!$C$21))/(INDEX(Ipotesi!$C$35:$G$35,1,F213)*Ipotesi!F27))</f>
        <v>4.79068461538462</v>
      </c>
      <c r="BB213" s="15" t="n">
        <f aca="false">IF(29-Parametri_v3!$C$21&lt;1,0,INDEX($AU$185:$AU$244,MAX(1,29-Parametri_v3!$C$21)))*Parametri_v3!$C$18*Parametri_v3!$C$19*Parametri_v3!$C$20</f>
        <v>10.5</v>
      </c>
      <c r="BC213" s="17" t="n">
        <f aca="false">MAX(0,MIN(AY213,BA213,BB213,MAX(0,AZ213-(AV213-AW213))))</f>
        <v>3.40911245204182</v>
      </c>
      <c r="BD213" s="17" t="n">
        <f aca="false">AV213-AW213+BC213</f>
        <v>22.1362128357072</v>
      </c>
      <c r="BE213" s="17" t="n">
        <f aca="false">(AV213+BD213)/2</f>
        <v>20.5142309554234</v>
      </c>
      <c r="BF213" s="15" t="n">
        <f aca="false">BE213*INDEX(Ipotesi!$C$33:$G$33,1,F213)*H213/12</f>
        <v>8462.12026911214</v>
      </c>
      <c r="BG213" s="15" t="n">
        <f aca="false">BD213*INDEX(Ipotesi!$C$33:$G$33,1,F213)*H213</f>
        <v>109574.253536751</v>
      </c>
      <c r="BH213" s="15" t="n">
        <f aca="false">AM213*INDEX(Ipotesi!$C$37:$G$37,1,F213)</f>
        <v>3267</v>
      </c>
      <c r="BI213" s="15" t="n">
        <f aca="false">AQ213+BF213+BH213</f>
        <v>32354.1202691121</v>
      </c>
      <c r="BJ213" s="15" t="n">
        <f aca="false">INDEX(Ipotesi!$C$68:$G$68,1,F213)*Ipotesi!$C$69/12</f>
        <v>2400</v>
      </c>
      <c r="BK213" s="15" t="n">
        <f aca="false">INDEX(Ipotesi!$C$68:$G$68,1,F213)*(1-Ipotesi!$C$69)/12</f>
        <v>3600</v>
      </c>
      <c r="BL213" s="15" t="n">
        <f aca="false">(AQ213+BF213)*Ipotesi!$C$67</f>
        <v>872.613608073364</v>
      </c>
      <c r="BM213" s="15" t="n">
        <f aca="false">AM213*Ipotesi!$C$67</f>
        <v>980.1</v>
      </c>
      <c r="BN213" s="15" t="n">
        <f aca="false">INDEX(Ipotesi!$C$72:$G$72,1,F213)/12*Ipotesi!F126+BF213*Ipotesi!$C$73</f>
        <v>1926.96962152897</v>
      </c>
      <c r="BO213" s="15" t="n">
        <f aca="false">INDEX(Ipotesi!$C$74:$G$74,1,F213)/12*Ipotesi!F126</f>
        <v>2916.66666666667</v>
      </c>
      <c r="BP213" s="15" t="n">
        <f aca="false">INDEX(Ipotesi!$C$76:$G$76,1,F213)/12</f>
        <v>1083.33333333333</v>
      </c>
      <c r="BQ213" s="15" t="n">
        <f aca="false">INDEX(Ipotesi!$C$77:$G$77,1,F213)/12*Ipotesi!F126</f>
        <v>2083.33333333333</v>
      </c>
      <c r="BR213" s="15" t="n">
        <f aca="false">INDEX(Ipotesi!$C$78:$G$78,1,F213)/12</f>
        <v>1666.66666666667</v>
      </c>
      <c r="BS213" s="15" t="n">
        <f aca="false">SUM(M213:R213)*(Ipotesi!$C$85+Ipotesi!$C$86)/12</f>
        <v>4812.5</v>
      </c>
      <c r="BT213" s="15" t="n">
        <f aca="false">BI213*Ipotesi!$C$87</f>
        <v>970.623608073364</v>
      </c>
      <c r="BU213" s="15" t="n">
        <f aca="false">INDEX(Ipotesi!$C$55:$G$55,1,F213)*K213/12</f>
        <v>1500</v>
      </c>
      <c r="BV213" s="15" t="n">
        <f aca="false">INDEX(Ipotesi!$C$80:$G$80,1,F213)/12*Ipotesi!F126</f>
        <v>1250</v>
      </c>
      <c r="BW213" s="15" t="n">
        <f aca="false">INDEX(Ipotesi!$C$82:$G$82,1,F213)/12</f>
        <v>1000</v>
      </c>
      <c r="BX213" s="15" t="n">
        <f aca="false">INDEX(Ipotesi!$C$83:$G$83,1,F213)/12</f>
        <v>666.666666666667</v>
      </c>
      <c r="BY213" s="15" t="n">
        <f aca="false">SUM(S213:U213)*(Ipotesi!$C$85+Ipotesi!$C$86)/12</f>
        <v>1895.83333333333</v>
      </c>
      <c r="BZ213" s="15" t="n">
        <f aca="false">AM213*Ipotesi!$C$87</f>
        <v>980.1</v>
      </c>
      <c r="CA213" s="15" t="n">
        <f aca="false">AB213+BJ213+BL213+BN213+BO213+AR213+BP213+BQ213+BR213+BS213+BT213</f>
        <v>113006.373504342</v>
      </c>
      <c r="CB213" s="15" t="n">
        <f aca="false">AC213+BK213+BM213+BH213+BU213+BV213+AS213+BW213+BX213+BY213+BZ213</f>
        <v>41807.0958333333</v>
      </c>
      <c r="CC213" s="15" t="n">
        <f aca="false">BI213-CA213</f>
        <v>-80652.2532352303</v>
      </c>
      <c r="CD213" s="15" t="n">
        <f aca="false">AM213-CB213</f>
        <v>-9137.09583333333</v>
      </c>
      <c r="CE213" s="15" t="n">
        <f aca="false">INDEX(Ipotesi!$C$79:$G$79,1,F213)/12</f>
        <v>2500</v>
      </c>
      <c r="CF213" s="15" t="n">
        <f aca="false">INDEX(Ipotesi!$C$84:$G$84,1,F213)/12</f>
        <v>416.666666666667</v>
      </c>
      <c r="CG213" s="15" t="n">
        <f aca="false">Y213*MAX(0,Parametri_v3!$C$12-IF(P213=0,0,MIN(1,BE213/(P213*Parametri_v3!$C$22))))+W213*Parametri_v3!$C$13+X213*Parametri_v3!$C$14</f>
        <v>28267.935515808</v>
      </c>
      <c r="CH213" s="15" t="n">
        <f aca="false">AB213*Parametri_v3!$C$32</f>
        <v>3713.68333333333</v>
      </c>
      <c r="CI213" s="15" t="n">
        <f aca="false">AC213*Parametri_v3!$C$32</f>
        <v>1270.86979166667</v>
      </c>
      <c r="CJ213" s="15" t="n">
        <f aca="false">CA213-AB213</f>
        <v>38732.7068376757</v>
      </c>
      <c r="CK213" s="15" t="n">
        <f aca="false">CB213-AC213-BH213</f>
        <v>13122.7</v>
      </c>
      <c r="CL213" s="15" t="n">
        <f aca="false">BF213*Ipotesi!$C$73+INDEX(Ipotesi!$C$72:$G$72,1,F213)/12*Ipotesi!F126*Parametri_v3!$C$58+Z213*(1-Parametri_v3!$C$16)</f>
        <v>6701.01962152897</v>
      </c>
      <c r="CM213" s="16" t="n">
        <f aca="false">IF(BF213=0,0,1-CL213/BF213)</f>
        <v>0.208115766684553</v>
      </c>
    </row>
    <row r="214" customFormat="false" ht="18" hidden="false" customHeight="true" outlineLevel="0" collapsed="false">
      <c r="A214" s="68" t="n">
        <f aca="false">4</f>
        <v>4</v>
      </c>
      <c r="B214" s="68" t="n">
        <f aca="false">30</f>
        <v>30</v>
      </c>
      <c r="C214" s="18" t="n">
        <f aca="false">EDATE(Parametri_v3!$C$5,30-1)</f>
        <v>47270</v>
      </c>
      <c r="D214" s="68" t="n">
        <f aca="false">YEAR(C214)</f>
        <v>2029</v>
      </c>
      <c r="E214" s="68" t="n">
        <f aca="false">MONTH(C214)</f>
        <v>6</v>
      </c>
      <c r="F214" s="68" t="n">
        <f aca="false">INT((30-1)/12)+1</f>
        <v>3</v>
      </c>
      <c r="G214" s="15" t="n">
        <f aca="false">Ipotesi!F7</f>
        <v>0.55</v>
      </c>
      <c r="H214" s="15" t="n">
        <f aca="false">Ipotesi!F9</f>
        <v>0.9</v>
      </c>
      <c r="I214" s="15" t="n">
        <f aca="false">Ipotesi!F10</f>
        <v>1</v>
      </c>
      <c r="J214" s="15" t="n">
        <f aca="false">Ipotesi!F11</f>
        <v>1</v>
      </c>
      <c r="K214" s="15" t="n">
        <f aca="false">Ipotesi!F12</f>
        <v>1</v>
      </c>
      <c r="L214" s="15" t="n">
        <f aca="false">Ipotesi!F13</f>
        <v>120</v>
      </c>
      <c r="M214" s="17" t="n">
        <f aca="false">INDEX(Ipotesi!$C$40:$G$40,1,F214)</f>
        <v>1</v>
      </c>
      <c r="N214" s="17" t="n">
        <f aca="false">INDEX(Ipotesi!$C$41:$G$41,1,F214)</f>
        <v>1</v>
      </c>
      <c r="O214" s="17" t="n">
        <f aca="false">INDEX(Ipotesi!$C$42:$G$42,1,F214)*Ipotesi!F125</f>
        <v>4.5</v>
      </c>
      <c r="P214" s="17" t="n">
        <f aca="false">INDEX(Ipotesi!$C$43:$G$43,1,F214)*I214</f>
        <v>5</v>
      </c>
      <c r="Q214" s="17" t="n">
        <f aca="false">INDEX(Ipotesi!$C$44:$G$44,1,F214)*I214</f>
        <v>4</v>
      </c>
      <c r="R214" s="17" t="n">
        <f aca="false">INDEX(Ipotesi!$C$45:$G$45,1,F214)*I214</f>
        <v>1</v>
      </c>
      <c r="S214" s="17" t="n">
        <f aca="false">INDEX(Ipotesi!$C$52:$G$52,1,F214)*Ipotesi!F125</f>
        <v>5</v>
      </c>
      <c r="T214" s="17" t="n">
        <f aca="false">INDEX(Ipotesi!$C$53:$G$53,1,F214)*I214</f>
        <v>1</v>
      </c>
      <c r="U214" s="17" t="n">
        <f aca="false">INDEX(Ipotesi!$C$54:$G$54,1,F214)*I214</f>
        <v>0.5</v>
      </c>
      <c r="V214" s="15" t="n">
        <f aca="false">M214*INDEX(Ipotesi!$C$58:$G$58,1,F214)*K214/12</f>
        <v>7083.33333333333</v>
      </c>
      <c r="W214" s="15" t="n">
        <f aca="false">N214*Ipotesi!$C$59*(1+Ipotesi!$C$66)^(F214-1)/12</f>
        <v>6188.58333333333</v>
      </c>
      <c r="X214" s="15" t="n">
        <f aca="false">O214*Ipotesi!$C$60*(1+Ipotesi!$C$66)^(F214-1)/12</f>
        <v>19891.875</v>
      </c>
      <c r="Y214" s="15" t="n">
        <f aca="false">P214*Ipotesi!$C$61*(1+Ipotesi!$C$66)^(F214-1)/12</f>
        <v>22102.0833333333</v>
      </c>
      <c r="Z214" s="15" t="n">
        <f aca="false">Q214*Ipotesi!$C$62*(1+Ipotesi!$C$66)^(F214-1)/12</f>
        <v>15913.5</v>
      </c>
      <c r="AA214" s="15" t="n">
        <f aca="false">R214*Ipotesi!$C$63*(1+Ipotesi!$C$66)^(F214-1)/12</f>
        <v>3094.29166666667</v>
      </c>
      <c r="AB214" s="15" t="n">
        <f aca="false">SUM(V214:AA214)</f>
        <v>74273.6666666667</v>
      </c>
      <c r="AC214" s="15" t="n">
        <f aca="false">(S214*Ipotesi!$C$64+T214*Ipotesi!$C$65+U214*Ipotesi!$C$63)*(1+Ipotesi!$C$66)^(F214-1)/12</f>
        <v>25417.3958333333</v>
      </c>
      <c r="AD214" s="15" t="n">
        <f aca="false">INDEX(Ipotesi!$C$48:$G$48,1,F214)*G214/12</f>
        <v>33</v>
      </c>
      <c r="AE214" s="15" t="n">
        <f aca="false">INDEX(Ipotesi!$C$50:$G$50,1,F214)*G214/12</f>
        <v>3.66666666666667</v>
      </c>
      <c r="AF214" s="15" t="n">
        <f aca="false">(S214*Parametri_v3!$C$7*Parametri_v3!$C$8+Parametri_v3!$C$10)/12</f>
        <v>64.1666666666667</v>
      </c>
      <c r="AG214" s="15" t="n">
        <f aca="false">AD214+AE214*(1+Parametri_v3!$C$9)</f>
        <v>38.5</v>
      </c>
      <c r="AH214" s="16" t="n">
        <f aca="false">IF(AG214=0,1,MIN(1,AF214/AG214))</f>
        <v>1</v>
      </c>
      <c r="AI214" s="15" t="n">
        <f aca="false">AD214*AH214</f>
        <v>33</v>
      </c>
      <c r="AJ214" s="15" t="n">
        <f aca="false">AE214*AH214</f>
        <v>3.66666666666667</v>
      </c>
      <c r="AK214" s="15" t="n">
        <f aca="false">AI214*INDEX(Ipotesi!$C$49:$G$49,1,F214)*H214</f>
        <v>25245</v>
      </c>
      <c r="AL214" s="15" t="n">
        <f aca="false">AJ214*INDEX(Ipotesi!$C$51:$G$51,1,F214)*H214</f>
        <v>7425</v>
      </c>
      <c r="AM214" s="15" t="n">
        <f aca="false">AK214+AL214</f>
        <v>32670</v>
      </c>
      <c r="AN214" s="15" t="n">
        <f aca="false">INDEX(Ipotesi!$C$30:$G$30,1,F214)*G214/12</f>
        <v>22.9166666666667</v>
      </c>
      <c r="AO214" s="15" t="n">
        <f aca="false">O214*Parametri_v3!$C$7*Parametri_v3!$C$11*(1-Parametri_v3!$C$14)/12</f>
        <v>46.2</v>
      </c>
      <c r="AP214" s="15" t="n">
        <f aca="false">MIN(AN214,AO214)</f>
        <v>22.9166666666667</v>
      </c>
      <c r="AQ214" s="15" t="n">
        <f aca="false">AP214*INDEX(Ipotesi!$C$31:$G$31,1,F214)*H214</f>
        <v>20625</v>
      </c>
      <c r="AR214" s="15" t="n">
        <f aca="false">INDEX(Ipotesi!$C$75:$G$75,1,F214)*J214/12</f>
        <v>20000</v>
      </c>
      <c r="AS214" s="15" t="n">
        <f aca="false">INDEX(Ipotesi!$C$81:$G$81,1,F214)*J214/12</f>
        <v>1250</v>
      </c>
      <c r="AT214" s="15" t="n">
        <f aca="false">AR214*Parametri_v3!$C$15+Z214*Parametri_v3!$C$16</f>
        <v>31139.45</v>
      </c>
      <c r="AU214" s="15" t="n">
        <f aca="false">Q214*Parametri_v3!$C$16*Parametri_v3!$C$17</f>
        <v>280</v>
      </c>
      <c r="AV214" s="17" t="n">
        <f aca="false">BD213</f>
        <v>22.1362128357072</v>
      </c>
      <c r="AW214" s="17" t="n">
        <f aca="false">AV214*(1-(1-INDEX(Ipotesi!$C$34:$G$34,1,F214))^(1/12))</f>
        <v>0.193506160620117</v>
      </c>
      <c r="AX214" s="15" t="n">
        <f aca="false">ROUND(INDEX(Ipotesi!$C$32:$G$32,1,F214)*Ipotesi!F8,0)</f>
        <v>46</v>
      </c>
      <c r="AY214" s="15" t="n">
        <f aca="false">MAX(0,(AX214-(AV214-AW214))/(13-E214))</f>
        <v>3.43675618927327</v>
      </c>
      <c r="AZ214" s="15" t="n">
        <f aca="false">MIN(P214*Parametri_v3!$C$22,Q214*(1-Parametri_v3!$C$16)*Parametri_v3!$C$23)</f>
        <v>180</v>
      </c>
      <c r="BA214" s="15" t="n">
        <f aca="false">IF(OR(INDEX(Ipotesi!$C$35:$G$35,1,F214)&lt;=0,30-Parametri_v3!$C$21&lt;1),0,INDEX($AT$185:$AT$244,MAX(1,30-Parametri_v3!$C$21))/(INDEX(Ipotesi!$C$35:$G$35,1,F214)*Ipotesi!F27))</f>
        <v>4.79068461538462</v>
      </c>
      <c r="BB214" s="15" t="n">
        <f aca="false">IF(30-Parametri_v3!$C$21&lt;1,0,INDEX($AU$185:$AU$244,MAX(1,30-Parametri_v3!$C$21)))*Parametri_v3!$C$18*Parametri_v3!$C$19*Parametri_v3!$C$20</f>
        <v>10.5</v>
      </c>
      <c r="BC214" s="17" t="n">
        <f aca="false">MAX(0,MIN(AY214,BA214,BB214,MAX(0,AZ214-(AV214-AW214))))</f>
        <v>3.43675618927327</v>
      </c>
      <c r="BD214" s="17" t="n">
        <f aca="false">AV214-AW214+BC214</f>
        <v>25.3794628643604</v>
      </c>
      <c r="BE214" s="17" t="n">
        <f aca="false">(AV214+BD214)/2</f>
        <v>23.7578378500338</v>
      </c>
      <c r="BF214" s="15" t="n">
        <f aca="false">BE214*INDEX(Ipotesi!$C$33:$G$33,1,F214)*H214/12</f>
        <v>9800.10811313895</v>
      </c>
      <c r="BG214" s="15" t="n">
        <f aca="false">BD214*INDEX(Ipotesi!$C$33:$G$33,1,F214)*H214</f>
        <v>125628.341178584</v>
      </c>
      <c r="BH214" s="15" t="n">
        <f aca="false">AM214*INDEX(Ipotesi!$C$37:$G$37,1,F214)</f>
        <v>3267</v>
      </c>
      <c r="BI214" s="15" t="n">
        <f aca="false">AQ214+BF214+BH214</f>
        <v>33692.1081131389</v>
      </c>
      <c r="BJ214" s="15" t="n">
        <f aca="false">INDEX(Ipotesi!$C$68:$G$68,1,F214)*Ipotesi!$C$69/12</f>
        <v>2400</v>
      </c>
      <c r="BK214" s="15" t="n">
        <f aca="false">INDEX(Ipotesi!$C$68:$G$68,1,F214)*(1-Ipotesi!$C$69)/12</f>
        <v>3600</v>
      </c>
      <c r="BL214" s="15" t="n">
        <f aca="false">(AQ214+BF214)*Ipotesi!$C$67</f>
        <v>912.753243394168</v>
      </c>
      <c r="BM214" s="15" t="n">
        <f aca="false">AM214*Ipotesi!$C$67</f>
        <v>980.1</v>
      </c>
      <c r="BN214" s="15" t="n">
        <f aca="false">INDEX(Ipotesi!$C$72:$G$72,1,F214)/12*Ipotesi!F126+BF214*Ipotesi!$C$73</f>
        <v>2034.00864905112</v>
      </c>
      <c r="BO214" s="15" t="n">
        <f aca="false">INDEX(Ipotesi!$C$74:$G$74,1,F214)/12*Ipotesi!F126</f>
        <v>2916.66666666667</v>
      </c>
      <c r="BP214" s="15" t="n">
        <f aca="false">INDEX(Ipotesi!$C$76:$G$76,1,F214)/12</f>
        <v>1083.33333333333</v>
      </c>
      <c r="BQ214" s="15" t="n">
        <f aca="false">INDEX(Ipotesi!$C$77:$G$77,1,F214)/12*Ipotesi!F126</f>
        <v>2083.33333333333</v>
      </c>
      <c r="BR214" s="15" t="n">
        <f aca="false">INDEX(Ipotesi!$C$78:$G$78,1,F214)/12</f>
        <v>1666.66666666667</v>
      </c>
      <c r="BS214" s="15" t="n">
        <f aca="false">SUM(M214:R214)*(Ipotesi!$C$85+Ipotesi!$C$86)/12</f>
        <v>4812.5</v>
      </c>
      <c r="BT214" s="15" t="n">
        <f aca="false">BI214*Ipotesi!$C$87</f>
        <v>1010.76324339417</v>
      </c>
      <c r="BU214" s="15" t="n">
        <f aca="false">INDEX(Ipotesi!$C$55:$G$55,1,F214)*K214/12</f>
        <v>1500</v>
      </c>
      <c r="BV214" s="15" t="n">
        <f aca="false">INDEX(Ipotesi!$C$80:$G$80,1,F214)/12*Ipotesi!F126</f>
        <v>1250</v>
      </c>
      <c r="BW214" s="15" t="n">
        <f aca="false">INDEX(Ipotesi!$C$82:$G$82,1,F214)/12</f>
        <v>1000</v>
      </c>
      <c r="BX214" s="15" t="n">
        <f aca="false">INDEX(Ipotesi!$C$83:$G$83,1,F214)/12</f>
        <v>666.666666666667</v>
      </c>
      <c r="BY214" s="15" t="n">
        <f aca="false">SUM(S214:U214)*(Ipotesi!$C$85+Ipotesi!$C$86)/12</f>
        <v>1895.83333333333</v>
      </c>
      <c r="BZ214" s="15" t="n">
        <f aca="false">AM214*Ipotesi!$C$87</f>
        <v>980.1</v>
      </c>
      <c r="CA214" s="15" t="n">
        <f aca="false">AB214+BJ214+BL214+BN214+BO214+AR214+BP214+BQ214+BR214+BS214+BT214</f>
        <v>113193.691802506</v>
      </c>
      <c r="CB214" s="15" t="n">
        <f aca="false">AC214+BK214+BM214+BH214+BU214+BV214+AS214+BW214+BX214+BY214+BZ214</f>
        <v>41807.0958333333</v>
      </c>
      <c r="CC214" s="15" t="n">
        <f aca="false">BI214-CA214</f>
        <v>-79501.5836893672</v>
      </c>
      <c r="CD214" s="15" t="n">
        <f aca="false">AM214-CB214</f>
        <v>-9137.09583333333</v>
      </c>
      <c r="CE214" s="15" t="n">
        <f aca="false">INDEX(Ipotesi!$C$79:$G$79,1,F214)/12</f>
        <v>2500</v>
      </c>
      <c r="CF214" s="15" t="n">
        <f aca="false">INDEX(Ipotesi!$C$84:$G$84,1,F214)/12</f>
        <v>416.666666666667</v>
      </c>
      <c r="CG214" s="15" t="n">
        <f aca="false">Y214*MAX(0,Parametri_v3!$C$12-IF(P214=0,0,MIN(1,BE214/(P214*Parametri_v3!$C$22))))+W214*Parametri_v3!$C$13+X214*Parametri_v3!$C$14</f>
        <v>28124.5545760375</v>
      </c>
      <c r="CH214" s="15" t="n">
        <f aca="false">AB214*Parametri_v3!$C$32</f>
        <v>3713.68333333333</v>
      </c>
      <c r="CI214" s="15" t="n">
        <f aca="false">AC214*Parametri_v3!$C$32</f>
        <v>1270.86979166667</v>
      </c>
      <c r="CJ214" s="15" t="n">
        <f aca="false">CA214-AB214</f>
        <v>38920.0251358394</v>
      </c>
      <c r="CK214" s="15" t="n">
        <f aca="false">CB214-AC214-BH214</f>
        <v>13122.7</v>
      </c>
      <c r="CL214" s="15" t="n">
        <f aca="false">BF214*Ipotesi!$C$73+INDEX(Ipotesi!$C$72:$G$72,1,F214)/12*Ipotesi!F126*Parametri_v3!$C$58+Z214*(1-Parametri_v3!$C$16)</f>
        <v>6808.05864905112</v>
      </c>
      <c r="CM214" s="16" t="n">
        <f aca="false">IF(BF214=0,0,1-CL214/BF214)</f>
        <v>0.305307801663576</v>
      </c>
    </row>
    <row r="215" customFormat="false" ht="18" hidden="false" customHeight="true" outlineLevel="0" collapsed="false">
      <c r="A215" s="68" t="n">
        <f aca="false">4</f>
        <v>4</v>
      </c>
      <c r="B215" s="68" t="n">
        <f aca="false">31</f>
        <v>31</v>
      </c>
      <c r="C215" s="18" t="n">
        <f aca="false">EDATE(Parametri_v3!$C$5,31-1)</f>
        <v>47300</v>
      </c>
      <c r="D215" s="68" t="n">
        <f aca="false">YEAR(C215)</f>
        <v>2029</v>
      </c>
      <c r="E215" s="68" t="n">
        <f aca="false">MONTH(C215)</f>
        <v>7</v>
      </c>
      <c r="F215" s="68" t="n">
        <f aca="false">INT((31-1)/12)+1</f>
        <v>3</v>
      </c>
      <c r="G215" s="15" t="n">
        <f aca="false">Ipotesi!F7</f>
        <v>0.55</v>
      </c>
      <c r="H215" s="15" t="n">
        <f aca="false">Ipotesi!F9</f>
        <v>0.9</v>
      </c>
      <c r="I215" s="15" t="n">
        <f aca="false">Ipotesi!F10</f>
        <v>1</v>
      </c>
      <c r="J215" s="15" t="n">
        <f aca="false">Ipotesi!F11</f>
        <v>1</v>
      </c>
      <c r="K215" s="15" t="n">
        <f aca="false">Ipotesi!F12</f>
        <v>1</v>
      </c>
      <c r="L215" s="15" t="n">
        <f aca="false">Ipotesi!F13</f>
        <v>120</v>
      </c>
      <c r="M215" s="17" t="n">
        <f aca="false">INDEX(Ipotesi!$C$40:$G$40,1,F215)</f>
        <v>1</v>
      </c>
      <c r="N215" s="17" t="n">
        <f aca="false">INDEX(Ipotesi!$C$41:$G$41,1,F215)</f>
        <v>1</v>
      </c>
      <c r="O215" s="17" t="n">
        <f aca="false">INDEX(Ipotesi!$C$42:$G$42,1,F215)*Ipotesi!F125</f>
        <v>4.5</v>
      </c>
      <c r="P215" s="17" t="n">
        <f aca="false">INDEX(Ipotesi!$C$43:$G$43,1,F215)*I215</f>
        <v>5</v>
      </c>
      <c r="Q215" s="17" t="n">
        <f aca="false">INDEX(Ipotesi!$C$44:$G$44,1,F215)*I215</f>
        <v>4</v>
      </c>
      <c r="R215" s="17" t="n">
        <f aca="false">INDEX(Ipotesi!$C$45:$G$45,1,F215)*I215</f>
        <v>1</v>
      </c>
      <c r="S215" s="17" t="n">
        <f aca="false">INDEX(Ipotesi!$C$52:$G$52,1,F215)*Ipotesi!F125</f>
        <v>5</v>
      </c>
      <c r="T215" s="17" t="n">
        <f aca="false">INDEX(Ipotesi!$C$53:$G$53,1,F215)*I215</f>
        <v>1</v>
      </c>
      <c r="U215" s="17" t="n">
        <f aca="false">INDEX(Ipotesi!$C$54:$G$54,1,F215)*I215</f>
        <v>0.5</v>
      </c>
      <c r="V215" s="15" t="n">
        <f aca="false">M215*INDEX(Ipotesi!$C$58:$G$58,1,F215)*K215/12</f>
        <v>7083.33333333333</v>
      </c>
      <c r="W215" s="15" t="n">
        <f aca="false">N215*Ipotesi!$C$59*(1+Ipotesi!$C$66)^(F215-1)/12</f>
        <v>6188.58333333333</v>
      </c>
      <c r="X215" s="15" t="n">
        <f aca="false">O215*Ipotesi!$C$60*(1+Ipotesi!$C$66)^(F215-1)/12</f>
        <v>19891.875</v>
      </c>
      <c r="Y215" s="15" t="n">
        <f aca="false">P215*Ipotesi!$C$61*(1+Ipotesi!$C$66)^(F215-1)/12</f>
        <v>22102.0833333333</v>
      </c>
      <c r="Z215" s="15" t="n">
        <f aca="false">Q215*Ipotesi!$C$62*(1+Ipotesi!$C$66)^(F215-1)/12</f>
        <v>15913.5</v>
      </c>
      <c r="AA215" s="15" t="n">
        <f aca="false">R215*Ipotesi!$C$63*(1+Ipotesi!$C$66)^(F215-1)/12</f>
        <v>3094.29166666667</v>
      </c>
      <c r="AB215" s="15" t="n">
        <f aca="false">SUM(V215:AA215)</f>
        <v>74273.6666666667</v>
      </c>
      <c r="AC215" s="15" t="n">
        <f aca="false">(S215*Ipotesi!$C$64+T215*Ipotesi!$C$65+U215*Ipotesi!$C$63)*(1+Ipotesi!$C$66)^(F215-1)/12</f>
        <v>25417.3958333333</v>
      </c>
      <c r="AD215" s="15" t="n">
        <f aca="false">INDEX(Ipotesi!$C$48:$G$48,1,F215)*G215/12</f>
        <v>33</v>
      </c>
      <c r="AE215" s="15" t="n">
        <f aca="false">INDEX(Ipotesi!$C$50:$G$50,1,F215)*G215/12</f>
        <v>3.66666666666667</v>
      </c>
      <c r="AF215" s="15" t="n">
        <f aca="false">(S215*Parametri_v3!$C$7*Parametri_v3!$C$8+Parametri_v3!$C$10)/12</f>
        <v>64.1666666666667</v>
      </c>
      <c r="AG215" s="15" t="n">
        <f aca="false">AD215+AE215*(1+Parametri_v3!$C$9)</f>
        <v>38.5</v>
      </c>
      <c r="AH215" s="16" t="n">
        <f aca="false">IF(AG215=0,1,MIN(1,AF215/AG215))</f>
        <v>1</v>
      </c>
      <c r="AI215" s="15" t="n">
        <f aca="false">AD215*AH215</f>
        <v>33</v>
      </c>
      <c r="AJ215" s="15" t="n">
        <f aca="false">AE215*AH215</f>
        <v>3.66666666666667</v>
      </c>
      <c r="AK215" s="15" t="n">
        <f aca="false">AI215*INDEX(Ipotesi!$C$49:$G$49,1,F215)*H215</f>
        <v>25245</v>
      </c>
      <c r="AL215" s="15" t="n">
        <f aca="false">AJ215*INDEX(Ipotesi!$C$51:$G$51,1,F215)*H215</f>
        <v>7425</v>
      </c>
      <c r="AM215" s="15" t="n">
        <f aca="false">AK215+AL215</f>
        <v>32670</v>
      </c>
      <c r="AN215" s="15" t="n">
        <f aca="false">INDEX(Ipotesi!$C$30:$G$30,1,F215)*G215/12</f>
        <v>22.9166666666667</v>
      </c>
      <c r="AO215" s="15" t="n">
        <f aca="false">O215*Parametri_v3!$C$7*Parametri_v3!$C$11*(1-Parametri_v3!$C$14)/12</f>
        <v>46.2</v>
      </c>
      <c r="AP215" s="15" t="n">
        <f aca="false">MIN(AN215,AO215)</f>
        <v>22.9166666666667</v>
      </c>
      <c r="AQ215" s="15" t="n">
        <f aca="false">AP215*INDEX(Ipotesi!$C$31:$G$31,1,F215)*H215</f>
        <v>20625</v>
      </c>
      <c r="AR215" s="15" t="n">
        <f aca="false">INDEX(Ipotesi!$C$75:$G$75,1,F215)*J215/12</f>
        <v>20000</v>
      </c>
      <c r="AS215" s="15" t="n">
        <f aca="false">INDEX(Ipotesi!$C$81:$G$81,1,F215)*J215/12</f>
        <v>1250</v>
      </c>
      <c r="AT215" s="15" t="n">
        <f aca="false">AR215*Parametri_v3!$C$15+Z215*Parametri_v3!$C$16</f>
        <v>31139.45</v>
      </c>
      <c r="AU215" s="15" t="n">
        <f aca="false">Q215*Parametri_v3!$C$16*Parametri_v3!$C$17</f>
        <v>280</v>
      </c>
      <c r="AV215" s="17" t="n">
        <f aca="false">BD214</f>
        <v>25.3794628643604</v>
      </c>
      <c r="AW215" s="17" t="n">
        <f aca="false">AV215*(1-(1-INDEX(Ipotesi!$C$34:$G$34,1,F215))^(1/12))</f>
        <v>0.221857390599411</v>
      </c>
      <c r="AX215" s="15" t="n">
        <f aca="false">ROUND(INDEX(Ipotesi!$C$32:$G$32,1,F215)*Ipotesi!F8,0)</f>
        <v>46</v>
      </c>
      <c r="AY215" s="15" t="n">
        <f aca="false">MAX(0,(AX215-(AV215-AW215))/(13-E215))</f>
        <v>3.47373242103984</v>
      </c>
      <c r="AZ215" s="15" t="n">
        <f aca="false">MIN(P215*Parametri_v3!$C$22,Q215*(1-Parametri_v3!$C$16)*Parametri_v3!$C$23)</f>
        <v>180</v>
      </c>
      <c r="BA215" s="15" t="n">
        <f aca="false">IF(OR(INDEX(Ipotesi!$C$35:$G$35,1,F215)&lt;=0,31-Parametri_v3!$C$21&lt;1),0,INDEX($AT$185:$AT$244,MAX(1,31-Parametri_v3!$C$21))/(INDEX(Ipotesi!$C$35:$G$35,1,F215)*Ipotesi!F27))</f>
        <v>4.79068461538462</v>
      </c>
      <c r="BB215" s="15" t="n">
        <f aca="false">IF(31-Parametri_v3!$C$21&lt;1,0,INDEX($AU$185:$AU$244,MAX(1,31-Parametri_v3!$C$21)))*Parametri_v3!$C$18*Parametri_v3!$C$19*Parametri_v3!$C$20</f>
        <v>10.5</v>
      </c>
      <c r="BC215" s="17" t="n">
        <f aca="false">MAX(0,MIN(AY215,BA215,BB215,MAX(0,AZ215-(AV215-AW215))))</f>
        <v>3.47373242103984</v>
      </c>
      <c r="BD215" s="17" t="n">
        <f aca="false">AV215-AW215+BC215</f>
        <v>28.6313378948008</v>
      </c>
      <c r="BE215" s="17" t="n">
        <f aca="false">(AV215+BD215)/2</f>
        <v>27.0054003795806</v>
      </c>
      <c r="BF215" s="15" t="n">
        <f aca="false">BE215*INDEX(Ipotesi!$C$33:$G$33,1,F215)*H215/12</f>
        <v>11139.727656577</v>
      </c>
      <c r="BG215" s="15" t="n">
        <f aca="false">BD215*INDEX(Ipotesi!$C$33:$G$33,1,F215)*H215</f>
        <v>141725.122579264</v>
      </c>
      <c r="BH215" s="15" t="n">
        <f aca="false">AM215*INDEX(Ipotesi!$C$37:$G$37,1,F215)</f>
        <v>3267</v>
      </c>
      <c r="BI215" s="15" t="n">
        <f aca="false">AQ215+BF215+BH215</f>
        <v>35031.727656577</v>
      </c>
      <c r="BJ215" s="15" t="n">
        <f aca="false">INDEX(Ipotesi!$C$68:$G$68,1,F215)*Ipotesi!$C$69/12</f>
        <v>2400</v>
      </c>
      <c r="BK215" s="15" t="n">
        <f aca="false">INDEX(Ipotesi!$C$68:$G$68,1,F215)*(1-Ipotesi!$C$69)/12</f>
        <v>3600</v>
      </c>
      <c r="BL215" s="15" t="n">
        <f aca="false">(AQ215+BF215)*Ipotesi!$C$67</f>
        <v>952.94182969731</v>
      </c>
      <c r="BM215" s="15" t="n">
        <f aca="false">AM215*Ipotesi!$C$67</f>
        <v>980.1</v>
      </c>
      <c r="BN215" s="15" t="n">
        <f aca="false">INDEX(Ipotesi!$C$72:$G$72,1,F215)/12*Ipotesi!F126+BF215*Ipotesi!$C$73</f>
        <v>2141.17821252616</v>
      </c>
      <c r="BO215" s="15" t="n">
        <f aca="false">INDEX(Ipotesi!$C$74:$G$74,1,F215)/12*Ipotesi!F126</f>
        <v>2916.66666666667</v>
      </c>
      <c r="BP215" s="15" t="n">
        <f aca="false">INDEX(Ipotesi!$C$76:$G$76,1,F215)/12</f>
        <v>1083.33333333333</v>
      </c>
      <c r="BQ215" s="15" t="n">
        <f aca="false">INDEX(Ipotesi!$C$77:$G$77,1,F215)/12*Ipotesi!F126</f>
        <v>2083.33333333333</v>
      </c>
      <c r="BR215" s="15" t="n">
        <f aca="false">INDEX(Ipotesi!$C$78:$G$78,1,F215)/12</f>
        <v>1666.66666666667</v>
      </c>
      <c r="BS215" s="15" t="n">
        <f aca="false">SUM(M215:R215)*(Ipotesi!$C$85+Ipotesi!$C$86)/12</f>
        <v>4812.5</v>
      </c>
      <c r="BT215" s="15" t="n">
        <f aca="false">BI215*Ipotesi!$C$87</f>
        <v>1050.95182969731</v>
      </c>
      <c r="BU215" s="15" t="n">
        <f aca="false">INDEX(Ipotesi!$C$55:$G$55,1,F215)*K215/12</f>
        <v>1500</v>
      </c>
      <c r="BV215" s="15" t="n">
        <f aca="false">INDEX(Ipotesi!$C$80:$G$80,1,F215)/12*Ipotesi!F126</f>
        <v>1250</v>
      </c>
      <c r="BW215" s="15" t="n">
        <f aca="false">INDEX(Ipotesi!$C$82:$G$82,1,F215)/12</f>
        <v>1000</v>
      </c>
      <c r="BX215" s="15" t="n">
        <f aca="false">INDEX(Ipotesi!$C$83:$G$83,1,F215)/12</f>
        <v>666.666666666667</v>
      </c>
      <c r="BY215" s="15" t="n">
        <f aca="false">SUM(S215:U215)*(Ipotesi!$C$85+Ipotesi!$C$86)/12</f>
        <v>1895.83333333333</v>
      </c>
      <c r="BZ215" s="15" t="n">
        <f aca="false">AM215*Ipotesi!$C$87</f>
        <v>980.1</v>
      </c>
      <c r="CA215" s="15" t="n">
        <f aca="false">AB215+BJ215+BL215+BN215+BO215+AR215+BP215+BQ215+BR215+BS215+BT215</f>
        <v>113381.238538587</v>
      </c>
      <c r="CB215" s="15" t="n">
        <f aca="false">AC215+BK215+BM215+BH215+BU215+BV215+AS215+BW215+BX215+BY215+BZ215</f>
        <v>41807.0958333333</v>
      </c>
      <c r="CC215" s="15" t="n">
        <f aca="false">BI215-CA215</f>
        <v>-78349.5108820105</v>
      </c>
      <c r="CD215" s="15" t="n">
        <f aca="false">AM215-CB215</f>
        <v>-9137.09583333333</v>
      </c>
      <c r="CE215" s="15" t="n">
        <f aca="false">INDEX(Ipotesi!$C$79:$G$79,1,F215)/12</f>
        <v>2500</v>
      </c>
      <c r="CF215" s="15" t="n">
        <f aca="false">INDEX(Ipotesi!$C$84:$G$84,1,F215)/12</f>
        <v>416.666666666667</v>
      </c>
      <c r="CG215" s="15" t="n">
        <f aca="false">Y215*MAX(0,Parametri_v3!$C$12-IF(P215=0,0,MIN(1,BE215/(P215*Parametri_v3!$C$22))))+W215*Parametri_v3!$C$13+X215*Parametri_v3!$C$14</f>
        <v>27980.998780721</v>
      </c>
      <c r="CH215" s="15" t="n">
        <f aca="false">AB215*Parametri_v3!$C$32</f>
        <v>3713.68333333333</v>
      </c>
      <c r="CI215" s="15" t="n">
        <f aca="false">AC215*Parametri_v3!$C$32</f>
        <v>1270.86979166667</v>
      </c>
      <c r="CJ215" s="15" t="n">
        <f aca="false">CA215-AB215</f>
        <v>39107.5718719208</v>
      </c>
      <c r="CK215" s="15" t="n">
        <f aca="false">CB215-AC215-BH215</f>
        <v>13122.7</v>
      </c>
      <c r="CL215" s="15" t="n">
        <f aca="false">BF215*Ipotesi!$C$73+INDEX(Ipotesi!$C$72:$G$72,1,F215)/12*Ipotesi!F126*Parametri_v3!$C$58+Z215*(1-Parametri_v3!$C$16)</f>
        <v>6915.22821252616</v>
      </c>
      <c r="CM215" s="16" t="n">
        <f aca="false">IF(BF215=0,0,1-CL215/BF215)</f>
        <v>0.37922825173887</v>
      </c>
    </row>
    <row r="216" customFormat="false" ht="18" hidden="false" customHeight="true" outlineLevel="0" collapsed="false">
      <c r="A216" s="68" t="n">
        <f aca="false">4</f>
        <v>4</v>
      </c>
      <c r="B216" s="68" t="n">
        <f aca="false">32</f>
        <v>32</v>
      </c>
      <c r="C216" s="18" t="n">
        <f aca="false">EDATE(Parametri_v3!$C$5,32-1)</f>
        <v>47331</v>
      </c>
      <c r="D216" s="68" t="n">
        <f aca="false">YEAR(C216)</f>
        <v>2029</v>
      </c>
      <c r="E216" s="68" t="n">
        <f aca="false">MONTH(C216)</f>
        <v>8</v>
      </c>
      <c r="F216" s="68" t="n">
        <f aca="false">INT((32-1)/12)+1</f>
        <v>3</v>
      </c>
      <c r="G216" s="15" t="n">
        <f aca="false">Ipotesi!F7</f>
        <v>0.55</v>
      </c>
      <c r="H216" s="15" t="n">
        <f aca="false">Ipotesi!F9</f>
        <v>0.9</v>
      </c>
      <c r="I216" s="15" t="n">
        <f aca="false">Ipotesi!F10</f>
        <v>1</v>
      </c>
      <c r="J216" s="15" t="n">
        <f aca="false">Ipotesi!F11</f>
        <v>1</v>
      </c>
      <c r="K216" s="15" t="n">
        <f aca="false">Ipotesi!F12</f>
        <v>1</v>
      </c>
      <c r="L216" s="15" t="n">
        <f aca="false">Ipotesi!F13</f>
        <v>120</v>
      </c>
      <c r="M216" s="17" t="n">
        <f aca="false">INDEX(Ipotesi!$C$40:$G$40,1,F216)</f>
        <v>1</v>
      </c>
      <c r="N216" s="17" t="n">
        <f aca="false">INDEX(Ipotesi!$C$41:$G$41,1,F216)</f>
        <v>1</v>
      </c>
      <c r="O216" s="17" t="n">
        <f aca="false">INDEX(Ipotesi!$C$42:$G$42,1,F216)*Ipotesi!F125</f>
        <v>4.5</v>
      </c>
      <c r="P216" s="17" t="n">
        <f aca="false">INDEX(Ipotesi!$C$43:$G$43,1,F216)*I216</f>
        <v>5</v>
      </c>
      <c r="Q216" s="17" t="n">
        <f aca="false">INDEX(Ipotesi!$C$44:$G$44,1,F216)*I216</f>
        <v>4</v>
      </c>
      <c r="R216" s="17" t="n">
        <f aca="false">INDEX(Ipotesi!$C$45:$G$45,1,F216)*I216</f>
        <v>1</v>
      </c>
      <c r="S216" s="17" t="n">
        <f aca="false">INDEX(Ipotesi!$C$52:$G$52,1,F216)*Ipotesi!F125</f>
        <v>5</v>
      </c>
      <c r="T216" s="17" t="n">
        <f aca="false">INDEX(Ipotesi!$C$53:$G$53,1,F216)*I216</f>
        <v>1</v>
      </c>
      <c r="U216" s="17" t="n">
        <f aca="false">INDEX(Ipotesi!$C$54:$G$54,1,F216)*I216</f>
        <v>0.5</v>
      </c>
      <c r="V216" s="15" t="n">
        <f aca="false">M216*INDEX(Ipotesi!$C$58:$G$58,1,F216)*K216/12</f>
        <v>7083.33333333333</v>
      </c>
      <c r="W216" s="15" t="n">
        <f aca="false">N216*Ipotesi!$C$59*(1+Ipotesi!$C$66)^(F216-1)/12</f>
        <v>6188.58333333333</v>
      </c>
      <c r="X216" s="15" t="n">
        <f aca="false">O216*Ipotesi!$C$60*(1+Ipotesi!$C$66)^(F216-1)/12</f>
        <v>19891.875</v>
      </c>
      <c r="Y216" s="15" t="n">
        <f aca="false">P216*Ipotesi!$C$61*(1+Ipotesi!$C$66)^(F216-1)/12</f>
        <v>22102.0833333333</v>
      </c>
      <c r="Z216" s="15" t="n">
        <f aca="false">Q216*Ipotesi!$C$62*(1+Ipotesi!$C$66)^(F216-1)/12</f>
        <v>15913.5</v>
      </c>
      <c r="AA216" s="15" t="n">
        <f aca="false">R216*Ipotesi!$C$63*(1+Ipotesi!$C$66)^(F216-1)/12</f>
        <v>3094.29166666667</v>
      </c>
      <c r="AB216" s="15" t="n">
        <f aca="false">SUM(V216:AA216)</f>
        <v>74273.6666666667</v>
      </c>
      <c r="AC216" s="15" t="n">
        <f aca="false">(S216*Ipotesi!$C$64+T216*Ipotesi!$C$65+U216*Ipotesi!$C$63)*(1+Ipotesi!$C$66)^(F216-1)/12</f>
        <v>25417.3958333333</v>
      </c>
      <c r="AD216" s="15" t="n">
        <f aca="false">INDEX(Ipotesi!$C$48:$G$48,1,F216)*G216/12</f>
        <v>33</v>
      </c>
      <c r="AE216" s="15" t="n">
        <f aca="false">INDEX(Ipotesi!$C$50:$G$50,1,F216)*G216/12</f>
        <v>3.66666666666667</v>
      </c>
      <c r="AF216" s="15" t="n">
        <f aca="false">(S216*Parametri_v3!$C$7*Parametri_v3!$C$8+Parametri_v3!$C$10)/12</f>
        <v>64.1666666666667</v>
      </c>
      <c r="AG216" s="15" t="n">
        <f aca="false">AD216+AE216*(1+Parametri_v3!$C$9)</f>
        <v>38.5</v>
      </c>
      <c r="AH216" s="16" t="n">
        <f aca="false">IF(AG216=0,1,MIN(1,AF216/AG216))</f>
        <v>1</v>
      </c>
      <c r="AI216" s="15" t="n">
        <f aca="false">AD216*AH216</f>
        <v>33</v>
      </c>
      <c r="AJ216" s="15" t="n">
        <f aca="false">AE216*AH216</f>
        <v>3.66666666666667</v>
      </c>
      <c r="AK216" s="15" t="n">
        <f aca="false">AI216*INDEX(Ipotesi!$C$49:$G$49,1,F216)*H216</f>
        <v>25245</v>
      </c>
      <c r="AL216" s="15" t="n">
        <f aca="false">AJ216*INDEX(Ipotesi!$C$51:$G$51,1,F216)*H216</f>
        <v>7425</v>
      </c>
      <c r="AM216" s="15" t="n">
        <f aca="false">AK216+AL216</f>
        <v>32670</v>
      </c>
      <c r="AN216" s="15" t="n">
        <f aca="false">INDEX(Ipotesi!$C$30:$G$30,1,F216)*G216/12</f>
        <v>22.9166666666667</v>
      </c>
      <c r="AO216" s="15" t="n">
        <f aca="false">O216*Parametri_v3!$C$7*Parametri_v3!$C$11*(1-Parametri_v3!$C$14)/12</f>
        <v>46.2</v>
      </c>
      <c r="AP216" s="15" t="n">
        <f aca="false">MIN(AN216,AO216)</f>
        <v>22.9166666666667</v>
      </c>
      <c r="AQ216" s="15" t="n">
        <f aca="false">AP216*INDEX(Ipotesi!$C$31:$G$31,1,F216)*H216</f>
        <v>20625</v>
      </c>
      <c r="AR216" s="15" t="n">
        <f aca="false">INDEX(Ipotesi!$C$75:$G$75,1,F216)*J216/12</f>
        <v>20000</v>
      </c>
      <c r="AS216" s="15" t="n">
        <f aca="false">INDEX(Ipotesi!$C$81:$G$81,1,F216)*J216/12</f>
        <v>1250</v>
      </c>
      <c r="AT216" s="15" t="n">
        <f aca="false">AR216*Parametri_v3!$C$15+Z216*Parametri_v3!$C$16</f>
        <v>31139.45</v>
      </c>
      <c r="AU216" s="15" t="n">
        <f aca="false">Q216*Parametri_v3!$C$16*Parametri_v3!$C$17</f>
        <v>280</v>
      </c>
      <c r="AV216" s="17" t="n">
        <f aca="false">BD215</f>
        <v>28.6313378948008</v>
      </c>
      <c r="AW216" s="17" t="n">
        <f aca="false">AV216*(1-(1-INDEX(Ipotesi!$C$34:$G$34,1,F216))^(1/12))</f>
        <v>0.250284016988814</v>
      </c>
      <c r="AX216" s="15" t="n">
        <f aca="false">ROUND(INDEX(Ipotesi!$C$32:$G$32,1,F216)*Ipotesi!F8,0)</f>
        <v>46</v>
      </c>
      <c r="AY216" s="15" t="n">
        <f aca="false">MAX(0,(AX216-(AV216-AW216))/(13-E216))</f>
        <v>3.5237892244376</v>
      </c>
      <c r="AZ216" s="15" t="n">
        <f aca="false">MIN(P216*Parametri_v3!$C$22,Q216*(1-Parametri_v3!$C$16)*Parametri_v3!$C$23)</f>
        <v>180</v>
      </c>
      <c r="BA216" s="15" t="n">
        <f aca="false">IF(OR(INDEX(Ipotesi!$C$35:$G$35,1,F216)&lt;=0,32-Parametri_v3!$C$21&lt;1),0,INDEX($AT$185:$AT$244,MAX(1,32-Parametri_v3!$C$21))/(INDEX(Ipotesi!$C$35:$G$35,1,F216)*Ipotesi!F27))</f>
        <v>4.79068461538462</v>
      </c>
      <c r="BB216" s="15" t="n">
        <f aca="false">IF(32-Parametri_v3!$C$21&lt;1,0,INDEX($AU$185:$AU$244,MAX(1,32-Parametri_v3!$C$21)))*Parametri_v3!$C$18*Parametri_v3!$C$19*Parametri_v3!$C$20</f>
        <v>10.5</v>
      </c>
      <c r="BC216" s="17" t="n">
        <f aca="false">MAX(0,MIN(AY216,BA216,BB216,MAX(0,AZ216-(AV216-AW216))))</f>
        <v>3.5237892244376</v>
      </c>
      <c r="BD216" s="17" t="n">
        <f aca="false">AV216-AW216+BC216</f>
        <v>31.9048431022496</v>
      </c>
      <c r="BE216" s="17" t="n">
        <f aca="false">(AV216+BD216)/2</f>
        <v>30.2680904985252</v>
      </c>
      <c r="BF216" s="15" t="n">
        <f aca="false">BE216*INDEX(Ipotesi!$C$33:$G$33,1,F216)*H216/12</f>
        <v>12485.5873306416</v>
      </c>
      <c r="BG216" s="15" t="n">
        <f aca="false">BD216*INDEX(Ipotesi!$C$33:$G$33,1,F216)*H216</f>
        <v>157928.973356135</v>
      </c>
      <c r="BH216" s="15" t="n">
        <f aca="false">AM216*INDEX(Ipotesi!$C$37:$G$37,1,F216)</f>
        <v>3267</v>
      </c>
      <c r="BI216" s="15" t="n">
        <f aca="false">AQ216+BF216+BH216</f>
        <v>36377.5873306417</v>
      </c>
      <c r="BJ216" s="15" t="n">
        <f aca="false">INDEX(Ipotesi!$C$68:$G$68,1,F216)*Ipotesi!$C$69/12</f>
        <v>2400</v>
      </c>
      <c r="BK216" s="15" t="n">
        <f aca="false">INDEX(Ipotesi!$C$68:$G$68,1,F216)*(1-Ipotesi!$C$69)/12</f>
        <v>3600</v>
      </c>
      <c r="BL216" s="15" t="n">
        <f aca="false">(AQ216+BF216)*Ipotesi!$C$67</f>
        <v>993.317619919249</v>
      </c>
      <c r="BM216" s="15" t="n">
        <f aca="false">AM216*Ipotesi!$C$67</f>
        <v>980.1</v>
      </c>
      <c r="BN216" s="15" t="n">
        <f aca="false">INDEX(Ipotesi!$C$72:$G$72,1,F216)/12*Ipotesi!F126+BF216*Ipotesi!$C$73</f>
        <v>2248.84698645133</v>
      </c>
      <c r="BO216" s="15" t="n">
        <f aca="false">INDEX(Ipotesi!$C$74:$G$74,1,F216)/12*Ipotesi!F126</f>
        <v>2916.66666666667</v>
      </c>
      <c r="BP216" s="15" t="n">
        <f aca="false">INDEX(Ipotesi!$C$76:$G$76,1,F216)/12</f>
        <v>1083.33333333333</v>
      </c>
      <c r="BQ216" s="15" t="n">
        <f aca="false">INDEX(Ipotesi!$C$77:$G$77,1,F216)/12*Ipotesi!F126</f>
        <v>2083.33333333333</v>
      </c>
      <c r="BR216" s="15" t="n">
        <f aca="false">INDEX(Ipotesi!$C$78:$G$78,1,F216)/12</f>
        <v>1666.66666666667</v>
      </c>
      <c r="BS216" s="15" t="n">
        <f aca="false">SUM(M216:R216)*(Ipotesi!$C$85+Ipotesi!$C$86)/12</f>
        <v>4812.5</v>
      </c>
      <c r="BT216" s="15" t="n">
        <f aca="false">BI216*Ipotesi!$C$87</f>
        <v>1091.32761991925</v>
      </c>
      <c r="BU216" s="15" t="n">
        <f aca="false">INDEX(Ipotesi!$C$55:$G$55,1,F216)*K216/12</f>
        <v>1500</v>
      </c>
      <c r="BV216" s="15" t="n">
        <f aca="false">INDEX(Ipotesi!$C$80:$G$80,1,F216)/12*Ipotesi!F126</f>
        <v>1250</v>
      </c>
      <c r="BW216" s="15" t="n">
        <f aca="false">INDEX(Ipotesi!$C$82:$G$82,1,F216)/12</f>
        <v>1000</v>
      </c>
      <c r="BX216" s="15" t="n">
        <f aca="false">INDEX(Ipotesi!$C$83:$G$83,1,F216)/12</f>
        <v>666.666666666667</v>
      </c>
      <c r="BY216" s="15" t="n">
        <f aca="false">SUM(S216:U216)*(Ipotesi!$C$85+Ipotesi!$C$86)/12</f>
        <v>1895.83333333333</v>
      </c>
      <c r="BZ216" s="15" t="n">
        <f aca="false">AM216*Ipotesi!$C$87</f>
        <v>980.1</v>
      </c>
      <c r="CA216" s="15" t="n">
        <f aca="false">AB216+BJ216+BL216+BN216+BO216+AR216+BP216+BQ216+BR216+BS216+BT216</f>
        <v>113569.658892957</v>
      </c>
      <c r="CB216" s="15" t="n">
        <f aca="false">AC216+BK216+BM216+BH216+BU216+BV216+AS216+BW216+BX216+BY216+BZ216</f>
        <v>41807.0958333333</v>
      </c>
      <c r="CC216" s="15" t="n">
        <f aca="false">BI216-CA216</f>
        <v>-77192.0715623149</v>
      </c>
      <c r="CD216" s="15" t="n">
        <f aca="false">AM216-CB216</f>
        <v>-9137.09583333333</v>
      </c>
      <c r="CE216" s="15" t="n">
        <f aca="false">INDEX(Ipotesi!$C$79:$G$79,1,F216)/12</f>
        <v>2500</v>
      </c>
      <c r="CF216" s="15" t="n">
        <f aca="false">INDEX(Ipotesi!$C$84:$G$84,1,F216)/12</f>
        <v>416.666666666667</v>
      </c>
      <c r="CG216" s="15" t="n">
        <f aca="false">Y216*MAX(0,Parametri_v3!$C$12-IF(P216=0,0,MIN(1,BE216/(P216*Parametri_v3!$C$22))))+W216*Parametri_v3!$C$13+X216*Parametri_v3!$C$14</f>
        <v>27836.7742829214</v>
      </c>
      <c r="CH216" s="15" t="n">
        <f aca="false">AB216*Parametri_v3!$C$32</f>
        <v>3713.68333333333</v>
      </c>
      <c r="CI216" s="15" t="n">
        <f aca="false">AC216*Parametri_v3!$C$32</f>
        <v>1270.86979166667</v>
      </c>
      <c r="CJ216" s="15" t="n">
        <f aca="false">CA216-AB216</f>
        <v>39295.9922262898</v>
      </c>
      <c r="CK216" s="15" t="n">
        <f aca="false">CB216-AC216-BH216</f>
        <v>13122.7</v>
      </c>
      <c r="CL216" s="15" t="n">
        <f aca="false">BF216*Ipotesi!$C$73+INDEX(Ipotesi!$C$72:$G$72,1,F216)/12*Ipotesi!F126*Parametri_v3!$C$58+Z216*(1-Parametri_v3!$C$16)</f>
        <v>7022.89698645133</v>
      </c>
      <c r="CM216" s="16" t="n">
        <f aca="false">IF(BF216=0,0,1-CL216/BF216)</f>
        <v>0.437519693669836</v>
      </c>
    </row>
    <row r="217" customFormat="false" ht="18" hidden="false" customHeight="true" outlineLevel="0" collapsed="false">
      <c r="A217" s="68" t="n">
        <f aca="false">4</f>
        <v>4</v>
      </c>
      <c r="B217" s="68" t="n">
        <f aca="false">33</f>
        <v>33</v>
      </c>
      <c r="C217" s="18" t="n">
        <f aca="false">EDATE(Parametri_v3!$C$5,33-1)</f>
        <v>47362</v>
      </c>
      <c r="D217" s="68" t="n">
        <f aca="false">YEAR(C217)</f>
        <v>2029</v>
      </c>
      <c r="E217" s="68" t="n">
        <f aca="false">MONTH(C217)</f>
        <v>9</v>
      </c>
      <c r="F217" s="68" t="n">
        <f aca="false">INT((33-1)/12)+1</f>
        <v>3</v>
      </c>
      <c r="G217" s="15" t="n">
        <f aca="false">Ipotesi!F7</f>
        <v>0.55</v>
      </c>
      <c r="H217" s="15" t="n">
        <f aca="false">Ipotesi!F9</f>
        <v>0.9</v>
      </c>
      <c r="I217" s="15" t="n">
        <f aca="false">Ipotesi!F10</f>
        <v>1</v>
      </c>
      <c r="J217" s="15" t="n">
        <f aca="false">Ipotesi!F11</f>
        <v>1</v>
      </c>
      <c r="K217" s="15" t="n">
        <f aca="false">Ipotesi!F12</f>
        <v>1</v>
      </c>
      <c r="L217" s="15" t="n">
        <f aca="false">Ipotesi!F13</f>
        <v>120</v>
      </c>
      <c r="M217" s="17" t="n">
        <f aca="false">INDEX(Ipotesi!$C$40:$G$40,1,F217)</f>
        <v>1</v>
      </c>
      <c r="N217" s="17" t="n">
        <f aca="false">INDEX(Ipotesi!$C$41:$G$41,1,F217)</f>
        <v>1</v>
      </c>
      <c r="O217" s="17" t="n">
        <f aca="false">INDEX(Ipotesi!$C$42:$G$42,1,F217)*Ipotesi!F125</f>
        <v>4.5</v>
      </c>
      <c r="P217" s="17" t="n">
        <f aca="false">INDEX(Ipotesi!$C$43:$G$43,1,F217)*I217</f>
        <v>5</v>
      </c>
      <c r="Q217" s="17" t="n">
        <f aca="false">INDEX(Ipotesi!$C$44:$G$44,1,F217)*I217</f>
        <v>4</v>
      </c>
      <c r="R217" s="17" t="n">
        <f aca="false">INDEX(Ipotesi!$C$45:$G$45,1,F217)*I217</f>
        <v>1</v>
      </c>
      <c r="S217" s="17" t="n">
        <f aca="false">INDEX(Ipotesi!$C$52:$G$52,1,F217)*Ipotesi!F125</f>
        <v>5</v>
      </c>
      <c r="T217" s="17" t="n">
        <f aca="false">INDEX(Ipotesi!$C$53:$G$53,1,F217)*I217</f>
        <v>1</v>
      </c>
      <c r="U217" s="17" t="n">
        <f aca="false">INDEX(Ipotesi!$C$54:$G$54,1,F217)*I217</f>
        <v>0.5</v>
      </c>
      <c r="V217" s="15" t="n">
        <f aca="false">M217*INDEX(Ipotesi!$C$58:$G$58,1,F217)*K217/12</f>
        <v>7083.33333333333</v>
      </c>
      <c r="W217" s="15" t="n">
        <f aca="false">N217*Ipotesi!$C$59*(1+Ipotesi!$C$66)^(F217-1)/12</f>
        <v>6188.58333333333</v>
      </c>
      <c r="X217" s="15" t="n">
        <f aca="false">O217*Ipotesi!$C$60*(1+Ipotesi!$C$66)^(F217-1)/12</f>
        <v>19891.875</v>
      </c>
      <c r="Y217" s="15" t="n">
        <f aca="false">P217*Ipotesi!$C$61*(1+Ipotesi!$C$66)^(F217-1)/12</f>
        <v>22102.0833333333</v>
      </c>
      <c r="Z217" s="15" t="n">
        <f aca="false">Q217*Ipotesi!$C$62*(1+Ipotesi!$C$66)^(F217-1)/12</f>
        <v>15913.5</v>
      </c>
      <c r="AA217" s="15" t="n">
        <f aca="false">R217*Ipotesi!$C$63*(1+Ipotesi!$C$66)^(F217-1)/12</f>
        <v>3094.29166666667</v>
      </c>
      <c r="AB217" s="15" t="n">
        <f aca="false">SUM(V217:AA217)</f>
        <v>74273.6666666667</v>
      </c>
      <c r="AC217" s="15" t="n">
        <f aca="false">(S217*Ipotesi!$C$64+T217*Ipotesi!$C$65+U217*Ipotesi!$C$63)*(1+Ipotesi!$C$66)^(F217-1)/12</f>
        <v>25417.3958333333</v>
      </c>
      <c r="AD217" s="15" t="n">
        <f aca="false">INDEX(Ipotesi!$C$48:$G$48,1,F217)*G217/12</f>
        <v>33</v>
      </c>
      <c r="AE217" s="15" t="n">
        <f aca="false">INDEX(Ipotesi!$C$50:$G$50,1,F217)*G217/12</f>
        <v>3.66666666666667</v>
      </c>
      <c r="AF217" s="15" t="n">
        <f aca="false">(S217*Parametri_v3!$C$7*Parametri_v3!$C$8+Parametri_v3!$C$10)/12</f>
        <v>64.1666666666667</v>
      </c>
      <c r="AG217" s="15" t="n">
        <f aca="false">AD217+AE217*(1+Parametri_v3!$C$9)</f>
        <v>38.5</v>
      </c>
      <c r="AH217" s="16" t="n">
        <f aca="false">IF(AG217=0,1,MIN(1,AF217/AG217))</f>
        <v>1</v>
      </c>
      <c r="AI217" s="15" t="n">
        <f aca="false">AD217*AH217</f>
        <v>33</v>
      </c>
      <c r="AJ217" s="15" t="n">
        <f aca="false">AE217*AH217</f>
        <v>3.66666666666667</v>
      </c>
      <c r="AK217" s="15" t="n">
        <f aca="false">AI217*INDEX(Ipotesi!$C$49:$G$49,1,F217)*H217</f>
        <v>25245</v>
      </c>
      <c r="AL217" s="15" t="n">
        <f aca="false">AJ217*INDEX(Ipotesi!$C$51:$G$51,1,F217)*H217</f>
        <v>7425</v>
      </c>
      <c r="AM217" s="15" t="n">
        <f aca="false">AK217+AL217</f>
        <v>32670</v>
      </c>
      <c r="AN217" s="15" t="n">
        <f aca="false">INDEX(Ipotesi!$C$30:$G$30,1,F217)*G217/12</f>
        <v>22.9166666666667</v>
      </c>
      <c r="AO217" s="15" t="n">
        <f aca="false">O217*Parametri_v3!$C$7*Parametri_v3!$C$11*(1-Parametri_v3!$C$14)/12</f>
        <v>46.2</v>
      </c>
      <c r="AP217" s="15" t="n">
        <f aca="false">MIN(AN217,AO217)</f>
        <v>22.9166666666667</v>
      </c>
      <c r="AQ217" s="15" t="n">
        <f aca="false">AP217*INDEX(Ipotesi!$C$31:$G$31,1,F217)*H217</f>
        <v>20625</v>
      </c>
      <c r="AR217" s="15" t="n">
        <f aca="false">INDEX(Ipotesi!$C$75:$G$75,1,F217)*J217/12</f>
        <v>20000</v>
      </c>
      <c r="AS217" s="15" t="n">
        <f aca="false">INDEX(Ipotesi!$C$81:$G$81,1,F217)*J217/12</f>
        <v>1250</v>
      </c>
      <c r="AT217" s="15" t="n">
        <f aca="false">AR217*Parametri_v3!$C$15+Z217*Parametri_v3!$C$16</f>
        <v>31139.45</v>
      </c>
      <c r="AU217" s="15" t="n">
        <f aca="false">Q217*Parametri_v3!$C$16*Parametri_v3!$C$17</f>
        <v>280</v>
      </c>
      <c r="AV217" s="17" t="n">
        <f aca="false">BD216</f>
        <v>31.9048431022496</v>
      </c>
      <c r="AW217" s="17" t="n">
        <f aca="false">AV217*(1-(1-INDEX(Ipotesi!$C$34:$G$34,1,F217))^(1/12))</f>
        <v>0.278899725970505</v>
      </c>
      <c r="AX217" s="15" t="n">
        <f aca="false">ROUND(INDEX(Ipotesi!$C$32:$G$32,1,F217)*Ipotesi!F8,0)</f>
        <v>46</v>
      </c>
      <c r="AY217" s="15" t="n">
        <f aca="false">MAX(0,(AX217-(AV217-AW217))/(13-E217))</f>
        <v>3.59351415593023</v>
      </c>
      <c r="AZ217" s="15" t="n">
        <f aca="false">MIN(P217*Parametri_v3!$C$22,Q217*(1-Parametri_v3!$C$16)*Parametri_v3!$C$23)</f>
        <v>180</v>
      </c>
      <c r="BA217" s="15" t="n">
        <f aca="false">IF(OR(INDEX(Ipotesi!$C$35:$G$35,1,F217)&lt;=0,33-Parametri_v3!$C$21&lt;1),0,INDEX($AT$185:$AT$244,MAX(1,33-Parametri_v3!$C$21))/(INDEX(Ipotesi!$C$35:$G$35,1,F217)*Ipotesi!F27))</f>
        <v>4.79068461538462</v>
      </c>
      <c r="BB217" s="15" t="n">
        <f aca="false">IF(33-Parametri_v3!$C$21&lt;1,0,INDEX($AU$185:$AU$244,MAX(1,33-Parametri_v3!$C$21)))*Parametri_v3!$C$18*Parametri_v3!$C$19*Parametri_v3!$C$20</f>
        <v>10.5</v>
      </c>
      <c r="BC217" s="17" t="n">
        <f aca="false">MAX(0,MIN(AY217,BA217,BB217,MAX(0,AZ217-(AV217-AW217))))</f>
        <v>3.59351415593023</v>
      </c>
      <c r="BD217" s="17" t="n">
        <f aca="false">AV217-AW217+BC217</f>
        <v>35.2194575322093</v>
      </c>
      <c r="BE217" s="17" t="n">
        <f aca="false">(AV217+BD217)/2</f>
        <v>33.5621503172295</v>
      </c>
      <c r="BF217" s="15" t="n">
        <f aca="false">BE217*INDEX(Ipotesi!$C$33:$G$33,1,F217)*H217/12</f>
        <v>13844.3870058571</v>
      </c>
      <c r="BG217" s="15" t="n">
        <f aca="false">BD217*INDEX(Ipotesi!$C$33:$G$33,1,F217)*H217</f>
        <v>174336.314784436</v>
      </c>
      <c r="BH217" s="15" t="n">
        <f aca="false">AM217*INDEX(Ipotesi!$C$37:$G$37,1,F217)</f>
        <v>3267</v>
      </c>
      <c r="BI217" s="15" t="n">
        <f aca="false">AQ217+BF217+BH217</f>
        <v>37736.3870058572</v>
      </c>
      <c r="BJ217" s="15" t="n">
        <f aca="false">INDEX(Ipotesi!$C$68:$G$68,1,F217)*Ipotesi!$C$69/12</f>
        <v>2400</v>
      </c>
      <c r="BK217" s="15" t="n">
        <f aca="false">INDEX(Ipotesi!$C$68:$G$68,1,F217)*(1-Ipotesi!$C$69)/12</f>
        <v>3600</v>
      </c>
      <c r="BL217" s="15" t="n">
        <f aca="false">(AQ217+BF217)*Ipotesi!$C$67</f>
        <v>1034.08161017571</v>
      </c>
      <c r="BM217" s="15" t="n">
        <f aca="false">AM217*Ipotesi!$C$67</f>
        <v>980.1</v>
      </c>
      <c r="BN217" s="15" t="n">
        <f aca="false">INDEX(Ipotesi!$C$72:$G$72,1,F217)/12*Ipotesi!F126+BF217*Ipotesi!$C$73</f>
        <v>2357.55096046857</v>
      </c>
      <c r="BO217" s="15" t="n">
        <f aca="false">INDEX(Ipotesi!$C$74:$G$74,1,F217)/12*Ipotesi!F126</f>
        <v>2916.66666666667</v>
      </c>
      <c r="BP217" s="15" t="n">
        <f aca="false">INDEX(Ipotesi!$C$76:$G$76,1,F217)/12</f>
        <v>1083.33333333333</v>
      </c>
      <c r="BQ217" s="15" t="n">
        <f aca="false">INDEX(Ipotesi!$C$77:$G$77,1,F217)/12*Ipotesi!F126</f>
        <v>2083.33333333333</v>
      </c>
      <c r="BR217" s="15" t="n">
        <f aca="false">INDEX(Ipotesi!$C$78:$G$78,1,F217)/12</f>
        <v>1666.66666666667</v>
      </c>
      <c r="BS217" s="15" t="n">
        <f aca="false">SUM(M217:R217)*(Ipotesi!$C$85+Ipotesi!$C$86)/12</f>
        <v>4812.5</v>
      </c>
      <c r="BT217" s="15" t="n">
        <f aca="false">BI217*Ipotesi!$C$87</f>
        <v>1132.09161017571</v>
      </c>
      <c r="BU217" s="15" t="n">
        <f aca="false">INDEX(Ipotesi!$C$55:$G$55,1,F217)*K217/12</f>
        <v>1500</v>
      </c>
      <c r="BV217" s="15" t="n">
        <f aca="false">INDEX(Ipotesi!$C$80:$G$80,1,F217)/12*Ipotesi!F126</f>
        <v>1250</v>
      </c>
      <c r="BW217" s="15" t="n">
        <f aca="false">INDEX(Ipotesi!$C$82:$G$82,1,F217)/12</f>
        <v>1000</v>
      </c>
      <c r="BX217" s="15" t="n">
        <f aca="false">INDEX(Ipotesi!$C$83:$G$83,1,F217)/12</f>
        <v>666.666666666667</v>
      </c>
      <c r="BY217" s="15" t="n">
        <f aca="false">SUM(S217:U217)*(Ipotesi!$C$85+Ipotesi!$C$86)/12</f>
        <v>1895.83333333333</v>
      </c>
      <c r="BZ217" s="15" t="n">
        <f aca="false">AM217*Ipotesi!$C$87</f>
        <v>980.1</v>
      </c>
      <c r="CA217" s="15" t="n">
        <f aca="false">AB217+BJ217+BL217+BN217+BO217+AR217+BP217+BQ217+BR217+BS217+BT217</f>
        <v>113759.890847487</v>
      </c>
      <c r="CB217" s="15" t="n">
        <f aca="false">AC217+BK217+BM217+BH217+BU217+BV217+AS217+BW217+BX217+BY217+BZ217</f>
        <v>41807.0958333333</v>
      </c>
      <c r="CC217" s="15" t="n">
        <f aca="false">BI217-CA217</f>
        <v>-76023.5038416295</v>
      </c>
      <c r="CD217" s="15" t="n">
        <f aca="false">AM217-CB217</f>
        <v>-9137.09583333333</v>
      </c>
      <c r="CE217" s="15" t="n">
        <f aca="false">INDEX(Ipotesi!$C$79:$G$79,1,F217)/12</f>
        <v>2500</v>
      </c>
      <c r="CF217" s="15" t="n">
        <f aca="false">INDEX(Ipotesi!$C$84:$G$84,1,F217)/12</f>
        <v>416.666666666667</v>
      </c>
      <c r="CG217" s="15" t="n">
        <f aca="false">Y217*MAX(0,Parametri_v3!$C$12-IF(P217=0,0,MIN(1,BE217/(P217*Parametri_v3!$C$22))))+W217*Parametri_v3!$C$13+X217*Parametri_v3!$C$14</f>
        <v>27691.1631136855</v>
      </c>
      <c r="CH217" s="15" t="n">
        <f aca="false">AB217*Parametri_v3!$C$32</f>
        <v>3713.68333333333</v>
      </c>
      <c r="CI217" s="15" t="n">
        <f aca="false">AC217*Parametri_v3!$C$32</f>
        <v>1270.86979166667</v>
      </c>
      <c r="CJ217" s="15" t="n">
        <f aca="false">CA217-AB217</f>
        <v>39486.22418082</v>
      </c>
      <c r="CK217" s="15" t="n">
        <f aca="false">CB217-AC217-BH217</f>
        <v>13122.7</v>
      </c>
      <c r="CL217" s="15" t="n">
        <f aca="false">BF217*Ipotesi!$C$73+INDEX(Ipotesi!$C$72:$G$72,1,F217)/12*Ipotesi!F126*Parametri_v3!$C$58+Z217*(1-Parametri_v3!$C$16)</f>
        <v>7131.60096046857</v>
      </c>
      <c r="CM217" s="16" t="n">
        <f aca="false">IF(BF217=0,0,1-CL217/BF217)</f>
        <v>0.484874197936579</v>
      </c>
    </row>
    <row r="218" customFormat="false" ht="18" hidden="false" customHeight="true" outlineLevel="0" collapsed="false">
      <c r="A218" s="68" t="n">
        <f aca="false">4</f>
        <v>4</v>
      </c>
      <c r="B218" s="68" t="n">
        <f aca="false">34</f>
        <v>34</v>
      </c>
      <c r="C218" s="18" t="n">
        <f aca="false">EDATE(Parametri_v3!$C$5,34-1)</f>
        <v>47392</v>
      </c>
      <c r="D218" s="68" t="n">
        <f aca="false">YEAR(C218)</f>
        <v>2029</v>
      </c>
      <c r="E218" s="68" t="n">
        <f aca="false">MONTH(C218)</f>
        <v>10</v>
      </c>
      <c r="F218" s="68" t="n">
        <f aca="false">INT((34-1)/12)+1</f>
        <v>3</v>
      </c>
      <c r="G218" s="15" t="n">
        <f aca="false">Ipotesi!F7</f>
        <v>0.55</v>
      </c>
      <c r="H218" s="15" t="n">
        <f aca="false">Ipotesi!F9</f>
        <v>0.9</v>
      </c>
      <c r="I218" s="15" t="n">
        <f aca="false">Ipotesi!F10</f>
        <v>1</v>
      </c>
      <c r="J218" s="15" t="n">
        <f aca="false">Ipotesi!F11</f>
        <v>1</v>
      </c>
      <c r="K218" s="15" t="n">
        <f aca="false">Ipotesi!F12</f>
        <v>1</v>
      </c>
      <c r="L218" s="15" t="n">
        <f aca="false">Ipotesi!F13</f>
        <v>120</v>
      </c>
      <c r="M218" s="17" t="n">
        <f aca="false">INDEX(Ipotesi!$C$40:$G$40,1,F218)</f>
        <v>1</v>
      </c>
      <c r="N218" s="17" t="n">
        <f aca="false">INDEX(Ipotesi!$C$41:$G$41,1,F218)</f>
        <v>1</v>
      </c>
      <c r="O218" s="17" t="n">
        <f aca="false">INDEX(Ipotesi!$C$42:$G$42,1,F218)*Ipotesi!F125</f>
        <v>4.5</v>
      </c>
      <c r="P218" s="17" t="n">
        <f aca="false">INDEX(Ipotesi!$C$43:$G$43,1,F218)*I218</f>
        <v>5</v>
      </c>
      <c r="Q218" s="17" t="n">
        <f aca="false">INDEX(Ipotesi!$C$44:$G$44,1,F218)*I218</f>
        <v>4</v>
      </c>
      <c r="R218" s="17" t="n">
        <f aca="false">INDEX(Ipotesi!$C$45:$G$45,1,F218)*I218</f>
        <v>1</v>
      </c>
      <c r="S218" s="17" t="n">
        <f aca="false">INDEX(Ipotesi!$C$52:$G$52,1,F218)*Ipotesi!F125</f>
        <v>5</v>
      </c>
      <c r="T218" s="17" t="n">
        <f aca="false">INDEX(Ipotesi!$C$53:$G$53,1,F218)*I218</f>
        <v>1</v>
      </c>
      <c r="U218" s="17" t="n">
        <f aca="false">INDEX(Ipotesi!$C$54:$G$54,1,F218)*I218</f>
        <v>0.5</v>
      </c>
      <c r="V218" s="15" t="n">
        <f aca="false">M218*INDEX(Ipotesi!$C$58:$G$58,1,F218)*K218/12</f>
        <v>7083.33333333333</v>
      </c>
      <c r="W218" s="15" t="n">
        <f aca="false">N218*Ipotesi!$C$59*(1+Ipotesi!$C$66)^(F218-1)/12</f>
        <v>6188.58333333333</v>
      </c>
      <c r="X218" s="15" t="n">
        <f aca="false">O218*Ipotesi!$C$60*(1+Ipotesi!$C$66)^(F218-1)/12</f>
        <v>19891.875</v>
      </c>
      <c r="Y218" s="15" t="n">
        <f aca="false">P218*Ipotesi!$C$61*(1+Ipotesi!$C$66)^(F218-1)/12</f>
        <v>22102.0833333333</v>
      </c>
      <c r="Z218" s="15" t="n">
        <f aca="false">Q218*Ipotesi!$C$62*(1+Ipotesi!$C$66)^(F218-1)/12</f>
        <v>15913.5</v>
      </c>
      <c r="AA218" s="15" t="n">
        <f aca="false">R218*Ipotesi!$C$63*(1+Ipotesi!$C$66)^(F218-1)/12</f>
        <v>3094.29166666667</v>
      </c>
      <c r="AB218" s="15" t="n">
        <f aca="false">SUM(V218:AA218)</f>
        <v>74273.6666666667</v>
      </c>
      <c r="AC218" s="15" t="n">
        <f aca="false">(S218*Ipotesi!$C$64+T218*Ipotesi!$C$65+U218*Ipotesi!$C$63)*(1+Ipotesi!$C$66)^(F218-1)/12</f>
        <v>25417.3958333333</v>
      </c>
      <c r="AD218" s="15" t="n">
        <f aca="false">INDEX(Ipotesi!$C$48:$G$48,1,F218)*G218/12</f>
        <v>33</v>
      </c>
      <c r="AE218" s="15" t="n">
        <f aca="false">INDEX(Ipotesi!$C$50:$G$50,1,F218)*G218/12</f>
        <v>3.66666666666667</v>
      </c>
      <c r="AF218" s="15" t="n">
        <f aca="false">(S218*Parametri_v3!$C$7*Parametri_v3!$C$8+Parametri_v3!$C$10)/12</f>
        <v>64.1666666666667</v>
      </c>
      <c r="AG218" s="15" t="n">
        <f aca="false">AD218+AE218*(1+Parametri_v3!$C$9)</f>
        <v>38.5</v>
      </c>
      <c r="AH218" s="16" t="n">
        <f aca="false">IF(AG218=0,1,MIN(1,AF218/AG218))</f>
        <v>1</v>
      </c>
      <c r="AI218" s="15" t="n">
        <f aca="false">AD218*AH218</f>
        <v>33</v>
      </c>
      <c r="AJ218" s="15" t="n">
        <f aca="false">AE218*AH218</f>
        <v>3.66666666666667</v>
      </c>
      <c r="AK218" s="15" t="n">
        <f aca="false">AI218*INDEX(Ipotesi!$C$49:$G$49,1,F218)*H218</f>
        <v>25245</v>
      </c>
      <c r="AL218" s="15" t="n">
        <f aca="false">AJ218*INDEX(Ipotesi!$C$51:$G$51,1,F218)*H218</f>
        <v>7425</v>
      </c>
      <c r="AM218" s="15" t="n">
        <f aca="false">AK218+AL218</f>
        <v>32670</v>
      </c>
      <c r="AN218" s="15" t="n">
        <f aca="false">INDEX(Ipotesi!$C$30:$G$30,1,F218)*G218/12</f>
        <v>22.9166666666667</v>
      </c>
      <c r="AO218" s="15" t="n">
        <f aca="false">O218*Parametri_v3!$C$7*Parametri_v3!$C$11*(1-Parametri_v3!$C$14)/12</f>
        <v>46.2</v>
      </c>
      <c r="AP218" s="15" t="n">
        <f aca="false">MIN(AN218,AO218)</f>
        <v>22.9166666666667</v>
      </c>
      <c r="AQ218" s="15" t="n">
        <f aca="false">AP218*INDEX(Ipotesi!$C$31:$G$31,1,F218)*H218</f>
        <v>20625</v>
      </c>
      <c r="AR218" s="15" t="n">
        <f aca="false">INDEX(Ipotesi!$C$75:$G$75,1,F218)*J218/12</f>
        <v>20000</v>
      </c>
      <c r="AS218" s="15" t="n">
        <f aca="false">INDEX(Ipotesi!$C$81:$G$81,1,F218)*J218/12</f>
        <v>1250</v>
      </c>
      <c r="AT218" s="15" t="n">
        <f aca="false">AR218*Parametri_v3!$C$15+Z218*Parametri_v3!$C$16</f>
        <v>31139.45</v>
      </c>
      <c r="AU218" s="15" t="n">
        <f aca="false">Q218*Parametri_v3!$C$16*Parametri_v3!$C$17</f>
        <v>280</v>
      </c>
      <c r="AV218" s="17" t="n">
        <f aca="false">BD217</f>
        <v>35.2194575322093</v>
      </c>
      <c r="AW218" s="17" t="n">
        <f aca="false">AV218*(1-(1-INDEX(Ipotesi!$C$34:$G$34,1,F218))^(1/12))</f>
        <v>0.307874795782037</v>
      </c>
      <c r="AX218" s="15" t="n">
        <f aca="false">ROUND(INDEX(Ipotesi!$C$32:$G$32,1,F218)*Ipotesi!F8,0)</f>
        <v>46</v>
      </c>
      <c r="AY218" s="15" t="n">
        <f aca="false">MAX(0,(AX218-(AV218-AW218))/(13-E218))</f>
        <v>3.69613908785757</v>
      </c>
      <c r="AZ218" s="15" t="n">
        <f aca="false">MIN(P218*Parametri_v3!$C$22,Q218*(1-Parametri_v3!$C$16)*Parametri_v3!$C$23)</f>
        <v>180</v>
      </c>
      <c r="BA218" s="15" t="n">
        <f aca="false">IF(OR(INDEX(Ipotesi!$C$35:$G$35,1,F218)&lt;=0,34-Parametri_v3!$C$21&lt;1),0,INDEX($AT$185:$AT$244,MAX(1,34-Parametri_v3!$C$21))/(INDEX(Ipotesi!$C$35:$G$35,1,F218)*Ipotesi!F27))</f>
        <v>4.79068461538462</v>
      </c>
      <c r="BB218" s="15" t="n">
        <f aca="false">IF(34-Parametri_v3!$C$21&lt;1,0,INDEX($AU$185:$AU$244,MAX(1,34-Parametri_v3!$C$21)))*Parametri_v3!$C$18*Parametri_v3!$C$19*Parametri_v3!$C$20</f>
        <v>10.5</v>
      </c>
      <c r="BC218" s="17" t="n">
        <f aca="false">MAX(0,MIN(AY218,BA218,BB218,MAX(0,AZ218-(AV218-AW218))))</f>
        <v>3.69613908785757</v>
      </c>
      <c r="BD218" s="17" t="n">
        <f aca="false">AV218-AW218+BC218</f>
        <v>38.6077218242849</v>
      </c>
      <c r="BE218" s="17" t="n">
        <f aca="false">(AV218+BD218)/2</f>
        <v>36.9135896782471</v>
      </c>
      <c r="BF218" s="15" t="n">
        <f aca="false">BE218*INDEX(Ipotesi!$C$33:$G$33,1,F218)*H218/12</f>
        <v>15226.8557422769</v>
      </c>
      <c r="BG218" s="15" t="n">
        <f aca="false">BD218*INDEX(Ipotesi!$C$33:$G$33,1,F218)*H218</f>
        <v>191108.22303021</v>
      </c>
      <c r="BH218" s="15" t="n">
        <f aca="false">AM218*INDEX(Ipotesi!$C$37:$G$37,1,F218)</f>
        <v>3267</v>
      </c>
      <c r="BI218" s="15" t="n">
        <f aca="false">AQ218+BF218+BH218</f>
        <v>39118.8557422769</v>
      </c>
      <c r="BJ218" s="15" t="n">
        <f aca="false">INDEX(Ipotesi!$C$68:$G$68,1,F218)*Ipotesi!$C$69/12</f>
        <v>2400</v>
      </c>
      <c r="BK218" s="15" t="n">
        <f aca="false">INDEX(Ipotesi!$C$68:$G$68,1,F218)*(1-Ipotesi!$C$69)/12</f>
        <v>3600</v>
      </c>
      <c r="BL218" s="15" t="n">
        <f aca="false">(AQ218+BF218)*Ipotesi!$C$67</f>
        <v>1075.55567226831</v>
      </c>
      <c r="BM218" s="15" t="n">
        <f aca="false">AM218*Ipotesi!$C$67</f>
        <v>980.1</v>
      </c>
      <c r="BN218" s="15" t="n">
        <f aca="false">INDEX(Ipotesi!$C$72:$G$72,1,F218)/12*Ipotesi!F126+BF218*Ipotesi!$C$73</f>
        <v>2468.14845938215</v>
      </c>
      <c r="BO218" s="15" t="n">
        <f aca="false">INDEX(Ipotesi!$C$74:$G$74,1,F218)/12*Ipotesi!F126</f>
        <v>2916.66666666667</v>
      </c>
      <c r="BP218" s="15" t="n">
        <f aca="false">INDEX(Ipotesi!$C$76:$G$76,1,F218)/12</f>
        <v>1083.33333333333</v>
      </c>
      <c r="BQ218" s="15" t="n">
        <f aca="false">INDEX(Ipotesi!$C$77:$G$77,1,F218)/12*Ipotesi!F126</f>
        <v>2083.33333333333</v>
      </c>
      <c r="BR218" s="15" t="n">
        <f aca="false">INDEX(Ipotesi!$C$78:$G$78,1,F218)/12</f>
        <v>1666.66666666667</v>
      </c>
      <c r="BS218" s="15" t="n">
        <f aca="false">SUM(M218:R218)*(Ipotesi!$C$85+Ipotesi!$C$86)/12</f>
        <v>4812.5</v>
      </c>
      <c r="BT218" s="15" t="n">
        <f aca="false">BI218*Ipotesi!$C$87</f>
        <v>1173.56567226831</v>
      </c>
      <c r="BU218" s="15" t="n">
        <f aca="false">INDEX(Ipotesi!$C$55:$G$55,1,F218)*K218/12</f>
        <v>1500</v>
      </c>
      <c r="BV218" s="15" t="n">
        <f aca="false">INDEX(Ipotesi!$C$80:$G$80,1,F218)/12*Ipotesi!F126</f>
        <v>1250</v>
      </c>
      <c r="BW218" s="15" t="n">
        <f aca="false">INDEX(Ipotesi!$C$82:$G$82,1,F218)/12</f>
        <v>1000</v>
      </c>
      <c r="BX218" s="15" t="n">
        <f aca="false">INDEX(Ipotesi!$C$83:$G$83,1,F218)/12</f>
        <v>666.666666666667</v>
      </c>
      <c r="BY218" s="15" t="n">
        <f aca="false">SUM(S218:U218)*(Ipotesi!$C$85+Ipotesi!$C$86)/12</f>
        <v>1895.83333333333</v>
      </c>
      <c r="BZ218" s="15" t="n">
        <f aca="false">AM218*Ipotesi!$C$87</f>
        <v>980.1</v>
      </c>
      <c r="CA218" s="15" t="n">
        <f aca="false">AB218+BJ218+BL218+BN218+BO218+AR218+BP218+BQ218+BR218+BS218+BT218</f>
        <v>113953.436470585</v>
      </c>
      <c r="CB218" s="15" t="n">
        <f aca="false">AC218+BK218+BM218+BH218+BU218+BV218+AS218+BW218+BX218+BY218+BZ218</f>
        <v>41807.0958333333</v>
      </c>
      <c r="CC218" s="15" t="n">
        <f aca="false">BI218-CA218</f>
        <v>-74834.5807283085</v>
      </c>
      <c r="CD218" s="15" t="n">
        <f aca="false">AM218-CB218</f>
        <v>-9137.09583333333</v>
      </c>
      <c r="CE218" s="15" t="n">
        <f aca="false">INDEX(Ipotesi!$C$79:$G$79,1,F218)/12</f>
        <v>2500</v>
      </c>
      <c r="CF218" s="15" t="n">
        <f aca="false">INDEX(Ipotesi!$C$84:$G$84,1,F218)/12</f>
        <v>416.666666666667</v>
      </c>
      <c r="CG218" s="15" t="n">
        <f aca="false">Y218*MAX(0,Parametri_v3!$C$12-IF(P218=0,0,MIN(1,BE218/(P218*Parametri_v3!$C$22))))+W218*Parametri_v3!$C$13+X218*Parametri_v3!$C$14</f>
        <v>27543.0155295978</v>
      </c>
      <c r="CH218" s="15" t="n">
        <f aca="false">AB218*Parametri_v3!$C$32</f>
        <v>3713.68333333333</v>
      </c>
      <c r="CI218" s="15" t="n">
        <f aca="false">AC218*Parametri_v3!$C$32</f>
        <v>1270.86979166667</v>
      </c>
      <c r="CJ218" s="15" t="n">
        <f aca="false">CA218-AB218</f>
        <v>39679.7698039188</v>
      </c>
      <c r="CK218" s="15" t="n">
        <f aca="false">CB218-AC218-BH218</f>
        <v>13122.7</v>
      </c>
      <c r="CL218" s="15" t="n">
        <f aca="false">BF218*Ipotesi!$C$73+INDEX(Ipotesi!$C$72:$G$72,1,F218)/12*Ipotesi!F126*Parametri_v3!$C$58+Z218*(1-Parametri_v3!$C$16)</f>
        <v>7242.19845938216</v>
      </c>
      <c r="CM218" s="16" t="n">
        <f aca="false">IF(BF218=0,0,1-CL218/BF218)</f>
        <v>0.524379912572863</v>
      </c>
    </row>
    <row r="219" customFormat="false" ht="18" hidden="false" customHeight="true" outlineLevel="0" collapsed="false">
      <c r="A219" s="68" t="n">
        <f aca="false">4</f>
        <v>4</v>
      </c>
      <c r="B219" s="68" t="n">
        <f aca="false">35</f>
        <v>35</v>
      </c>
      <c r="C219" s="18" t="n">
        <f aca="false">EDATE(Parametri_v3!$C$5,35-1)</f>
        <v>47423</v>
      </c>
      <c r="D219" s="68" t="n">
        <f aca="false">YEAR(C219)</f>
        <v>2029</v>
      </c>
      <c r="E219" s="68" t="n">
        <f aca="false">MONTH(C219)</f>
        <v>11</v>
      </c>
      <c r="F219" s="68" t="n">
        <f aca="false">INT((35-1)/12)+1</f>
        <v>3</v>
      </c>
      <c r="G219" s="15" t="n">
        <f aca="false">Ipotesi!F7</f>
        <v>0.55</v>
      </c>
      <c r="H219" s="15" t="n">
        <f aca="false">Ipotesi!F9</f>
        <v>0.9</v>
      </c>
      <c r="I219" s="15" t="n">
        <f aca="false">Ipotesi!F10</f>
        <v>1</v>
      </c>
      <c r="J219" s="15" t="n">
        <f aca="false">Ipotesi!F11</f>
        <v>1</v>
      </c>
      <c r="K219" s="15" t="n">
        <f aca="false">Ipotesi!F12</f>
        <v>1</v>
      </c>
      <c r="L219" s="15" t="n">
        <f aca="false">Ipotesi!F13</f>
        <v>120</v>
      </c>
      <c r="M219" s="17" t="n">
        <f aca="false">INDEX(Ipotesi!$C$40:$G$40,1,F219)</f>
        <v>1</v>
      </c>
      <c r="N219" s="17" t="n">
        <f aca="false">INDEX(Ipotesi!$C$41:$G$41,1,F219)</f>
        <v>1</v>
      </c>
      <c r="O219" s="17" t="n">
        <f aca="false">INDEX(Ipotesi!$C$42:$G$42,1,F219)*Ipotesi!F125</f>
        <v>4.5</v>
      </c>
      <c r="P219" s="17" t="n">
        <f aca="false">INDEX(Ipotesi!$C$43:$G$43,1,F219)*I219</f>
        <v>5</v>
      </c>
      <c r="Q219" s="17" t="n">
        <f aca="false">INDEX(Ipotesi!$C$44:$G$44,1,F219)*I219</f>
        <v>4</v>
      </c>
      <c r="R219" s="17" t="n">
        <f aca="false">INDEX(Ipotesi!$C$45:$G$45,1,F219)*I219</f>
        <v>1</v>
      </c>
      <c r="S219" s="17" t="n">
        <f aca="false">INDEX(Ipotesi!$C$52:$G$52,1,F219)*Ipotesi!F125</f>
        <v>5</v>
      </c>
      <c r="T219" s="17" t="n">
        <f aca="false">INDEX(Ipotesi!$C$53:$G$53,1,F219)*I219</f>
        <v>1</v>
      </c>
      <c r="U219" s="17" t="n">
        <f aca="false">INDEX(Ipotesi!$C$54:$G$54,1,F219)*I219</f>
        <v>0.5</v>
      </c>
      <c r="V219" s="15" t="n">
        <f aca="false">M219*INDEX(Ipotesi!$C$58:$G$58,1,F219)*K219/12</f>
        <v>7083.33333333333</v>
      </c>
      <c r="W219" s="15" t="n">
        <f aca="false">N219*Ipotesi!$C$59*(1+Ipotesi!$C$66)^(F219-1)/12</f>
        <v>6188.58333333333</v>
      </c>
      <c r="X219" s="15" t="n">
        <f aca="false">O219*Ipotesi!$C$60*(1+Ipotesi!$C$66)^(F219-1)/12</f>
        <v>19891.875</v>
      </c>
      <c r="Y219" s="15" t="n">
        <f aca="false">P219*Ipotesi!$C$61*(1+Ipotesi!$C$66)^(F219-1)/12</f>
        <v>22102.0833333333</v>
      </c>
      <c r="Z219" s="15" t="n">
        <f aca="false">Q219*Ipotesi!$C$62*(1+Ipotesi!$C$66)^(F219-1)/12</f>
        <v>15913.5</v>
      </c>
      <c r="AA219" s="15" t="n">
        <f aca="false">R219*Ipotesi!$C$63*(1+Ipotesi!$C$66)^(F219-1)/12</f>
        <v>3094.29166666667</v>
      </c>
      <c r="AB219" s="15" t="n">
        <f aca="false">SUM(V219:AA219)</f>
        <v>74273.6666666667</v>
      </c>
      <c r="AC219" s="15" t="n">
        <f aca="false">(S219*Ipotesi!$C$64+T219*Ipotesi!$C$65+U219*Ipotesi!$C$63)*(1+Ipotesi!$C$66)^(F219-1)/12</f>
        <v>25417.3958333333</v>
      </c>
      <c r="AD219" s="15" t="n">
        <f aca="false">INDEX(Ipotesi!$C$48:$G$48,1,F219)*G219/12</f>
        <v>33</v>
      </c>
      <c r="AE219" s="15" t="n">
        <f aca="false">INDEX(Ipotesi!$C$50:$G$50,1,F219)*G219/12</f>
        <v>3.66666666666667</v>
      </c>
      <c r="AF219" s="15" t="n">
        <f aca="false">(S219*Parametri_v3!$C$7*Parametri_v3!$C$8+Parametri_v3!$C$10)/12</f>
        <v>64.1666666666667</v>
      </c>
      <c r="AG219" s="15" t="n">
        <f aca="false">AD219+AE219*(1+Parametri_v3!$C$9)</f>
        <v>38.5</v>
      </c>
      <c r="AH219" s="16" t="n">
        <f aca="false">IF(AG219=0,1,MIN(1,AF219/AG219))</f>
        <v>1</v>
      </c>
      <c r="AI219" s="15" t="n">
        <f aca="false">AD219*AH219</f>
        <v>33</v>
      </c>
      <c r="AJ219" s="15" t="n">
        <f aca="false">AE219*AH219</f>
        <v>3.66666666666667</v>
      </c>
      <c r="AK219" s="15" t="n">
        <f aca="false">AI219*INDEX(Ipotesi!$C$49:$G$49,1,F219)*H219</f>
        <v>25245</v>
      </c>
      <c r="AL219" s="15" t="n">
        <f aca="false">AJ219*INDEX(Ipotesi!$C$51:$G$51,1,F219)*H219</f>
        <v>7425</v>
      </c>
      <c r="AM219" s="15" t="n">
        <f aca="false">AK219+AL219</f>
        <v>32670</v>
      </c>
      <c r="AN219" s="15" t="n">
        <f aca="false">INDEX(Ipotesi!$C$30:$G$30,1,F219)*G219/12</f>
        <v>22.9166666666667</v>
      </c>
      <c r="AO219" s="15" t="n">
        <f aca="false">O219*Parametri_v3!$C$7*Parametri_v3!$C$11*(1-Parametri_v3!$C$14)/12</f>
        <v>46.2</v>
      </c>
      <c r="AP219" s="15" t="n">
        <f aca="false">MIN(AN219,AO219)</f>
        <v>22.9166666666667</v>
      </c>
      <c r="AQ219" s="15" t="n">
        <f aca="false">AP219*INDEX(Ipotesi!$C$31:$G$31,1,F219)*H219</f>
        <v>20625</v>
      </c>
      <c r="AR219" s="15" t="n">
        <f aca="false">INDEX(Ipotesi!$C$75:$G$75,1,F219)*J219/12</f>
        <v>20000</v>
      </c>
      <c r="AS219" s="15" t="n">
        <f aca="false">INDEX(Ipotesi!$C$81:$G$81,1,F219)*J219/12</f>
        <v>1250</v>
      </c>
      <c r="AT219" s="15" t="n">
        <f aca="false">AR219*Parametri_v3!$C$15+Z219*Parametri_v3!$C$16</f>
        <v>31139.45</v>
      </c>
      <c r="AU219" s="15" t="n">
        <f aca="false">Q219*Parametri_v3!$C$16*Parametri_v3!$C$17</f>
        <v>280</v>
      </c>
      <c r="AV219" s="17" t="n">
        <f aca="false">BD218</f>
        <v>38.6077218242849</v>
      </c>
      <c r="AW219" s="17" t="n">
        <f aca="false">AV219*(1-(1-INDEX(Ipotesi!$C$34:$G$34,1,F219))^(1/12))</f>
        <v>0.337493684035052</v>
      </c>
      <c r="AX219" s="15" t="n">
        <f aca="false">ROUND(INDEX(Ipotesi!$C$32:$G$32,1,F219)*Ipotesi!F8,0)</f>
        <v>46</v>
      </c>
      <c r="AY219" s="15" t="n">
        <f aca="false">MAX(0,(AX219-(AV219-AW219))/(13-E219))</f>
        <v>3.8648859298751</v>
      </c>
      <c r="AZ219" s="15" t="n">
        <f aca="false">MIN(P219*Parametri_v3!$C$22,Q219*(1-Parametri_v3!$C$16)*Parametri_v3!$C$23)</f>
        <v>180</v>
      </c>
      <c r="BA219" s="15" t="n">
        <f aca="false">IF(OR(INDEX(Ipotesi!$C$35:$G$35,1,F219)&lt;=0,35-Parametri_v3!$C$21&lt;1),0,INDEX($AT$185:$AT$244,MAX(1,35-Parametri_v3!$C$21))/(INDEX(Ipotesi!$C$35:$G$35,1,F219)*Ipotesi!F27))</f>
        <v>4.79068461538462</v>
      </c>
      <c r="BB219" s="15" t="n">
        <f aca="false">IF(35-Parametri_v3!$C$21&lt;1,0,INDEX($AU$185:$AU$244,MAX(1,35-Parametri_v3!$C$21)))*Parametri_v3!$C$18*Parametri_v3!$C$19*Parametri_v3!$C$20</f>
        <v>10.5</v>
      </c>
      <c r="BC219" s="17" t="n">
        <f aca="false">MAX(0,MIN(AY219,BA219,BB219,MAX(0,AZ219-(AV219-AW219))))</f>
        <v>3.8648859298751</v>
      </c>
      <c r="BD219" s="17" t="n">
        <f aca="false">AV219-AW219+BC219</f>
        <v>42.1351140701249</v>
      </c>
      <c r="BE219" s="17" t="n">
        <f aca="false">(AV219+BD219)/2</f>
        <v>40.3714179472049</v>
      </c>
      <c r="BF219" s="15" t="n">
        <f aca="false">BE219*INDEX(Ipotesi!$C$33:$G$33,1,F219)*H219/12</f>
        <v>16653.209903222</v>
      </c>
      <c r="BG219" s="15" t="n">
        <f aca="false">BD219*INDEX(Ipotesi!$C$33:$G$33,1,F219)*H219</f>
        <v>208568.814647118</v>
      </c>
      <c r="BH219" s="15" t="n">
        <f aca="false">AM219*INDEX(Ipotesi!$C$37:$G$37,1,F219)</f>
        <v>3267</v>
      </c>
      <c r="BI219" s="15" t="n">
        <f aca="false">AQ219+BF219+BH219</f>
        <v>40545.209903222</v>
      </c>
      <c r="BJ219" s="15" t="n">
        <f aca="false">INDEX(Ipotesi!$C$68:$G$68,1,F219)*Ipotesi!$C$69/12</f>
        <v>2400</v>
      </c>
      <c r="BK219" s="15" t="n">
        <f aca="false">INDEX(Ipotesi!$C$68:$G$68,1,F219)*(1-Ipotesi!$C$69)/12</f>
        <v>3600</v>
      </c>
      <c r="BL219" s="15" t="n">
        <f aca="false">(AQ219+BF219)*Ipotesi!$C$67</f>
        <v>1118.34629709666</v>
      </c>
      <c r="BM219" s="15" t="n">
        <f aca="false">AM219*Ipotesi!$C$67</f>
        <v>980.1</v>
      </c>
      <c r="BN219" s="15" t="n">
        <f aca="false">INDEX(Ipotesi!$C$72:$G$72,1,F219)/12*Ipotesi!F126+BF219*Ipotesi!$C$73</f>
        <v>2582.25679225776</v>
      </c>
      <c r="BO219" s="15" t="n">
        <f aca="false">INDEX(Ipotesi!$C$74:$G$74,1,F219)/12*Ipotesi!F126</f>
        <v>2916.66666666667</v>
      </c>
      <c r="BP219" s="15" t="n">
        <f aca="false">INDEX(Ipotesi!$C$76:$G$76,1,F219)/12</f>
        <v>1083.33333333333</v>
      </c>
      <c r="BQ219" s="15" t="n">
        <f aca="false">INDEX(Ipotesi!$C$77:$G$77,1,F219)/12*Ipotesi!F126</f>
        <v>2083.33333333333</v>
      </c>
      <c r="BR219" s="15" t="n">
        <f aca="false">INDEX(Ipotesi!$C$78:$G$78,1,F219)/12</f>
        <v>1666.66666666667</v>
      </c>
      <c r="BS219" s="15" t="n">
        <f aca="false">SUM(M219:R219)*(Ipotesi!$C$85+Ipotesi!$C$86)/12</f>
        <v>4812.5</v>
      </c>
      <c r="BT219" s="15" t="n">
        <f aca="false">BI219*Ipotesi!$C$87</f>
        <v>1216.35629709666</v>
      </c>
      <c r="BU219" s="15" t="n">
        <f aca="false">INDEX(Ipotesi!$C$55:$G$55,1,F219)*K219/12</f>
        <v>1500</v>
      </c>
      <c r="BV219" s="15" t="n">
        <f aca="false">INDEX(Ipotesi!$C$80:$G$80,1,F219)/12*Ipotesi!F126</f>
        <v>1250</v>
      </c>
      <c r="BW219" s="15" t="n">
        <f aca="false">INDEX(Ipotesi!$C$82:$G$82,1,F219)/12</f>
        <v>1000</v>
      </c>
      <c r="BX219" s="15" t="n">
        <f aca="false">INDEX(Ipotesi!$C$83:$G$83,1,F219)/12</f>
        <v>666.666666666667</v>
      </c>
      <c r="BY219" s="15" t="n">
        <f aca="false">SUM(S219:U219)*(Ipotesi!$C$85+Ipotesi!$C$86)/12</f>
        <v>1895.83333333333</v>
      </c>
      <c r="BZ219" s="15" t="n">
        <f aca="false">AM219*Ipotesi!$C$87</f>
        <v>980.1</v>
      </c>
      <c r="CA219" s="15" t="n">
        <f aca="false">AB219+BJ219+BL219+BN219+BO219+AR219+BP219+BQ219+BR219+BS219+BT219</f>
        <v>114153.126053118</v>
      </c>
      <c r="CB219" s="15" t="n">
        <f aca="false">AC219+BK219+BM219+BH219+BU219+BV219+AS219+BW219+BX219+BY219+BZ219</f>
        <v>41807.0958333333</v>
      </c>
      <c r="CC219" s="15" t="n">
        <f aca="false">BI219-CA219</f>
        <v>-73607.9161498957</v>
      </c>
      <c r="CD219" s="15" t="n">
        <f aca="false">AM219-CB219</f>
        <v>-9137.09583333333</v>
      </c>
      <c r="CE219" s="15" t="n">
        <f aca="false">INDEX(Ipotesi!$C$79:$G$79,1,F219)/12</f>
        <v>2500</v>
      </c>
      <c r="CF219" s="15" t="n">
        <f aca="false">INDEX(Ipotesi!$C$84:$G$84,1,F219)/12</f>
        <v>416.666666666667</v>
      </c>
      <c r="CG219" s="15" t="n">
        <f aca="false">Y219*MAX(0,Parametri_v3!$C$12-IF(P219=0,0,MIN(1,BE219/(P219*Parametri_v3!$C$22))))+W219*Parametri_v3!$C$13+X219*Parametri_v3!$C$14</f>
        <v>27390.1651124921</v>
      </c>
      <c r="CH219" s="15" t="n">
        <f aca="false">AB219*Parametri_v3!$C$32</f>
        <v>3713.68333333333</v>
      </c>
      <c r="CI219" s="15" t="n">
        <f aca="false">AC219*Parametri_v3!$C$32</f>
        <v>1270.86979166667</v>
      </c>
      <c r="CJ219" s="15" t="n">
        <f aca="false">CA219-AB219</f>
        <v>39879.4593864511</v>
      </c>
      <c r="CK219" s="15" t="n">
        <f aca="false">CB219-AC219-BH219</f>
        <v>13122.7</v>
      </c>
      <c r="CL219" s="15" t="n">
        <f aca="false">BF219*Ipotesi!$C$73+INDEX(Ipotesi!$C$72:$G$72,1,F219)/12*Ipotesi!F126*Parametri_v3!$C$58+Z219*(1-Parametri_v3!$C$16)</f>
        <v>7356.30679225776</v>
      </c>
      <c r="CM219" s="16" t="n">
        <f aca="false">IF(BF219=0,0,1-CL219/BF219)</f>
        <v>0.55826493300643</v>
      </c>
    </row>
    <row r="220" customFormat="false" ht="18" hidden="false" customHeight="true" outlineLevel="0" collapsed="false">
      <c r="A220" s="68" t="n">
        <f aca="false">4</f>
        <v>4</v>
      </c>
      <c r="B220" s="68" t="n">
        <f aca="false">36</f>
        <v>36</v>
      </c>
      <c r="C220" s="18" t="n">
        <f aca="false">EDATE(Parametri_v3!$C$5,36-1)</f>
        <v>47453</v>
      </c>
      <c r="D220" s="68" t="n">
        <f aca="false">YEAR(C220)</f>
        <v>2029</v>
      </c>
      <c r="E220" s="68" t="n">
        <f aca="false">MONTH(C220)</f>
        <v>12</v>
      </c>
      <c r="F220" s="68" t="n">
        <f aca="false">INT((36-1)/12)+1</f>
        <v>3</v>
      </c>
      <c r="G220" s="15" t="n">
        <f aca="false">Ipotesi!F7</f>
        <v>0.55</v>
      </c>
      <c r="H220" s="15" t="n">
        <f aca="false">Ipotesi!F9</f>
        <v>0.9</v>
      </c>
      <c r="I220" s="15" t="n">
        <f aca="false">Ipotesi!F10</f>
        <v>1</v>
      </c>
      <c r="J220" s="15" t="n">
        <f aca="false">Ipotesi!F11</f>
        <v>1</v>
      </c>
      <c r="K220" s="15" t="n">
        <f aca="false">Ipotesi!F12</f>
        <v>1</v>
      </c>
      <c r="L220" s="15" t="n">
        <f aca="false">Ipotesi!F13</f>
        <v>120</v>
      </c>
      <c r="M220" s="17" t="n">
        <f aca="false">INDEX(Ipotesi!$C$40:$G$40,1,F220)</f>
        <v>1</v>
      </c>
      <c r="N220" s="17" t="n">
        <f aca="false">INDEX(Ipotesi!$C$41:$G$41,1,F220)</f>
        <v>1</v>
      </c>
      <c r="O220" s="17" t="n">
        <f aca="false">INDEX(Ipotesi!$C$42:$G$42,1,F220)*Ipotesi!F125</f>
        <v>4.5</v>
      </c>
      <c r="P220" s="17" t="n">
        <f aca="false">INDEX(Ipotesi!$C$43:$G$43,1,F220)*I220</f>
        <v>5</v>
      </c>
      <c r="Q220" s="17" t="n">
        <f aca="false">INDEX(Ipotesi!$C$44:$G$44,1,F220)*I220</f>
        <v>4</v>
      </c>
      <c r="R220" s="17" t="n">
        <f aca="false">INDEX(Ipotesi!$C$45:$G$45,1,F220)*I220</f>
        <v>1</v>
      </c>
      <c r="S220" s="17" t="n">
        <f aca="false">INDEX(Ipotesi!$C$52:$G$52,1,F220)*Ipotesi!F125</f>
        <v>5</v>
      </c>
      <c r="T220" s="17" t="n">
        <f aca="false">INDEX(Ipotesi!$C$53:$G$53,1,F220)*I220</f>
        <v>1</v>
      </c>
      <c r="U220" s="17" t="n">
        <f aca="false">INDEX(Ipotesi!$C$54:$G$54,1,F220)*I220</f>
        <v>0.5</v>
      </c>
      <c r="V220" s="15" t="n">
        <f aca="false">M220*INDEX(Ipotesi!$C$58:$G$58,1,F220)*K220/12</f>
        <v>7083.33333333333</v>
      </c>
      <c r="W220" s="15" t="n">
        <f aca="false">N220*Ipotesi!$C$59*(1+Ipotesi!$C$66)^(F220-1)/12</f>
        <v>6188.58333333333</v>
      </c>
      <c r="X220" s="15" t="n">
        <f aca="false">O220*Ipotesi!$C$60*(1+Ipotesi!$C$66)^(F220-1)/12</f>
        <v>19891.875</v>
      </c>
      <c r="Y220" s="15" t="n">
        <f aca="false">P220*Ipotesi!$C$61*(1+Ipotesi!$C$66)^(F220-1)/12</f>
        <v>22102.0833333333</v>
      </c>
      <c r="Z220" s="15" t="n">
        <f aca="false">Q220*Ipotesi!$C$62*(1+Ipotesi!$C$66)^(F220-1)/12</f>
        <v>15913.5</v>
      </c>
      <c r="AA220" s="15" t="n">
        <f aca="false">R220*Ipotesi!$C$63*(1+Ipotesi!$C$66)^(F220-1)/12</f>
        <v>3094.29166666667</v>
      </c>
      <c r="AB220" s="15" t="n">
        <f aca="false">SUM(V220:AA220)</f>
        <v>74273.6666666667</v>
      </c>
      <c r="AC220" s="15" t="n">
        <f aca="false">(S220*Ipotesi!$C$64+T220*Ipotesi!$C$65+U220*Ipotesi!$C$63)*(1+Ipotesi!$C$66)^(F220-1)/12</f>
        <v>25417.3958333333</v>
      </c>
      <c r="AD220" s="15" t="n">
        <f aca="false">INDEX(Ipotesi!$C$48:$G$48,1,F220)*G220/12</f>
        <v>33</v>
      </c>
      <c r="AE220" s="15" t="n">
        <f aca="false">INDEX(Ipotesi!$C$50:$G$50,1,F220)*G220/12</f>
        <v>3.66666666666667</v>
      </c>
      <c r="AF220" s="15" t="n">
        <f aca="false">(S220*Parametri_v3!$C$7*Parametri_v3!$C$8+Parametri_v3!$C$10)/12</f>
        <v>64.1666666666667</v>
      </c>
      <c r="AG220" s="15" t="n">
        <f aca="false">AD220+AE220*(1+Parametri_v3!$C$9)</f>
        <v>38.5</v>
      </c>
      <c r="AH220" s="16" t="n">
        <f aca="false">IF(AG220=0,1,MIN(1,AF220/AG220))</f>
        <v>1</v>
      </c>
      <c r="AI220" s="15" t="n">
        <f aca="false">AD220*AH220</f>
        <v>33</v>
      </c>
      <c r="AJ220" s="15" t="n">
        <f aca="false">AE220*AH220</f>
        <v>3.66666666666667</v>
      </c>
      <c r="AK220" s="15" t="n">
        <f aca="false">AI220*INDEX(Ipotesi!$C$49:$G$49,1,F220)*H220</f>
        <v>25245</v>
      </c>
      <c r="AL220" s="15" t="n">
        <f aca="false">AJ220*INDEX(Ipotesi!$C$51:$G$51,1,F220)*H220</f>
        <v>7425</v>
      </c>
      <c r="AM220" s="15" t="n">
        <f aca="false">AK220+AL220</f>
        <v>32670</v>
      </c>
      <c r="AN220" s="15" t="n">
        <f aca="false">INDEX(Ipotesi!$C$30:$G$30,1,F220)*G220/12</f>
        <v>22.9166666666667</v>
      </c>
      <c r="AO220" s="15" t="n">
        <f aca="false">O220*Parametri_v3!$C$7*Parametri_v3!$C$11*(1-Parametri_v3!$C$14)/12</f>
        <v>46.2</v>
      </c>
      <c r="AP220" s="15" t="n">
        <f aca="false">MIN(AN220,AO220)</f>
        <v>22.9166666666667</v>
      </c>
      <c r="AQ220" s="15" t="n">
        <f aca="false">AP220*INDEX(Ipotesi!$C$31:$G$31,1,F220)*H220</f>
        <v>20625</v>
      </c>
      <c r="AR220" s="15" t="n">
        <f aca="false">INDEX(Ipotesi!$C$75:$G$75,1,F220)*J220/12</f>
        <v>20000</v>
      </c>
      <c r="AS220" s="15" t="n">
        <f aca="false">INDEX(Ipotesi!$C$81:$G$81,1,F220)*J220/12</f>
        <v>1250</v>
      </c>
      <c r="AT220" s="15" t="n">
        <f aca="false">AR220*Parametri_v3!$C$15+Z220*Parametri_v3!$C$16</f>
        <v>31139.45</v>
      </c>
      <c r="AU220" s="15" t="n">
        <f aca="false">Q220*Parametri_v3!$C$16*Parametri_v3!$C$17</f>
        <v>280</v>
      </c>
      <c r="AV220" s="17" t="n">
        <f aca="false">BD219</f>
        <v>42.1351140701249</v>
      </c>
      <c r="AW220" s="17" t="n">
        <f aca="false">AV220*(1-(1-INDEX(Ipotesi!$C$34:$G$34,1,F220))^(1/12))</f>
        <v>0.3683287747328</v>
      </c>
      <c r="AX220" s="15" t="n">
        <f aca="false">ROUND(INDEX(Ipotesi!$C$32:$G$32,1,F220)*Ipotesi!F8,0)</f>
        <v>46</v>
      </c>
      <c r="AY220" s="15" t="n">
        <f aca="false">MAX(0,(AX220-(AV220-AW220))/(13-E220))</f>
        <v>4.2332147046079</v>
      </c>
      <c r="AZ220" s="15" t="n">
        <f aca="false">MIN(P220*Parametri_v3!$C$22,Q220*(1-Parametri_v3!$C$16)*Parametri_v3!$C$23)</f>
        <v>180</v>
      </c>
      <c r="BA220" s="15" t="n">
        <f aca="false">IF(OR(INDEX(Ipotesi!$C$35:$G$35,1,F220)&lt;=0,36-Parametri_v3!$C$21&lt;1),0,INDEX($AT$185:$AT$244,MAX(1,36-Parametri_v3!$C$21))/(INDEX(Ipotesi!$C$35:$G$35,1,F220)*Ipotesi!F27))</f>
        <v>4.79068461538462</v>
      </c>
      <c r="BB220" s="15" t="n">
        <f aca="false">IF(36-Parametri_v3!$C$21&lt;1,0,INDEX($AU$185:$AU$244,MAX(1,36-Parametri_v3!$C$21)))*Parametri_v3!$C$18*Parametri_v3!$C$19*Parametri_v3!$C$20</f>
        <v>10.5</v>
      </c>
      <c r="BC220" s="17" t="n">
        <f aca="false">MAX(0,MIN(AY220,BA220,BB220,MAX(0,AZ220-(AV220-AW220))))</f>
        <v>4.2332147046079</v>
      </c>
      <c r="BD220" s="17" t="n">
        <f aca="false">AV220-AW220+BC220</f>
        <v>46</v>
      </c>
      <c r="BE220" s="17" t="n">
        <f aca="false">(AV220+BD220)/2</f>
        <v>44.0675570350625</v>
      </c>
      <c r="BF220" s="15" t="n">
        <f aca="false">BE220*INDEX(Ipotesi!$C$33:$G$33,1,F220)*H220/12</f>
        <v>18177.8672769633</v>
      </c>
      <c r="BG220" s="15" t="n">
        <f aca="false">BD220*INDEX(Ipotesi!$C$33:$G$33,1,F220)*H220</f>
        <v>227700</v>
      </c>
      <c r="BH220" s="15" t="n">
        <f aca="false">AM220*INDEX(Ipotesi!$C$37:$G$37,1,F220)</f>
        <v>3267</v>
      </c>
      <c r="BI220" s="15" t="n">
        <f aca="false">AQ220+BF220+BH220</f>
        <v>42069.8672769633</v>
      </c>
      <c r="BJ220" s="15" t="n">
        <f aca="false">INDEX(Ipotesi!$C$68:$G$68,1,F220)*Ipotesi!$C$69/12</f>
        <v>2400</v>
      </c>
      <c r="BK220" s="15" t="n">
        <f aca="false">INDEX(Ipotesi!$C$68:$G$68,1,F220)*(1-Ipotesi!$C$69)/12</f>
        <v>3600</v>
      </c>
      <c r="BL220" s="15" t="n">
        <f aca="false">(AQ220+BF220)*Ipotesi!$C$67</f>
        <v>1164.0860183089</v>
      </c>
      <c r="BM220" s="15" t="n">
        <f aca="false">AM220*Ipotesi!$C$67</f>
        <v>980.1</v>
      </c>
      <c r="BN220" s="15" t="n">
        <f aca="false">INDEX(Ipotesi!$C$72:$G$72,1,F220)/12*Ipotesi!F126+BF220*Ipotesi!$C$73</f>
        <v>2704.22938215706</v>
      </c>
      <c r="BO220" s="15" t="n">
        <f aca="false">INDEX(Ipotesi!$C$74:$G$74,1,F220)/12*Ipotesi!F126</f>
        <v>2916.66666666667</v>
      </c>
      <c r="BP220" s="15" t="n">
        <f aca="false">INDEX(Ipotesi!$C$76:$G$76,1,F220)/12</f>
        <v>1083.33333333333</v>
      </c>
      <c r="BQ220" s="15" t="n">
        <f aca="false">INDEX(Ipotesi!$C$77:$G$77,1,F220)/12*Ipotesi!F126</f>
        <v>2083.33333333333</v>
      </c>
      <c r="BR220" s="15" t="n">
        <f aca="false">INDEX(Ipotesi!$C$78:$G$78,1,F220)/12</f>
        <v>1666.66666666667</v>
      </c>
      <c r="BS220" s="15" t="n">
        <f aca="false">SUM(M220:R220)*(Ipotesi!$C$85+Ipotesi!$C$86)/12</f>
        <v>4812.5</v>
      </c>
      <c r="BT220" s="15" t="n">
        <f aca="false">BI220*Ipotesi!$C$87</f>
        <v>1262.0960183089</v>
      </c>
      <c r="BU220" s="15" t="n">
        <f aca="false">INDEX(Ipotesi!$C$55:$G$55,1,F220)*K220/12</f>
        <v>1500</v>
      </c>
      <c r="BV220" s="15" t="n">
        <f aca="false">INDEX(Ipotesi!$C$80:$G$80,1,F220)/12*Ipotesi!F126</f>
        <v>1250</v>
      </c>
      <c r="BW220" s="15" t="n">
        <f aca="false">INDEX(Ipotesi!$C$82:$G$82,1,F220)/12</f>
        <v>1000</v>
      </c>
      <c r="BX220" s="15" t="n">
        <f aca="false">INDEX(Ipotesi!$C$83:$G$83,1,F220)/12</f>
        <v>666.666666666667</v>
      </c>
      <c r="BY220" s="15" t="n">
        <f aca="false">SUM(S220:U220)*(Ipotesi!$C$85+Ipotesi!$C$86)/12</f>
        <v>1895.83333333333</v>
      </c>
      <c r="BZ220" s="15" t="n">
        <f aca="false">AM220*Ipotesi!$C$87</f>
        <v>980.1</v>
      </c>
      <c r="CA220" s="15" t="n">
        <f aca="false">AB220+BJ220+BL220+BN220+BO220+AR220+BP220+BQ220+BR220+BS220+BT220</f>
        <v>114366.578085442</v>
      </c>
      <c r="CB220" s="15" t="n">
        <f aca="false">AC220+BK220+BM220+BH220+BU220+BV220+AS220+BW220+BX220+BY220+BZ220</f>
        <v>41807.0958333333</v>
      </c>
      <c r="CC220" s="15" t="n">
        <f aca="false">BI220-CA220</f>
        <v>-72296.7108084783</v>
      </c>
      <c r="CD220" s="15" t="n">
        <f aca="false">AM220-CB220</f>
        <v>-9137.09583333333</v>
      </c>
      <c r="CE220" s="15" t="n">
        <f aca="false">INDEX(Ipotesi!$C$79:$G$79,1,F220)/12</f>
        <v>2500</v>
      </c>
      <c r="CF220" s="15" t="n">
        <f aca="false">INDEX(Ipotesi!$C$84:$G$84,1,F220)/12</f>
        <v>416.666666666667</v>
      </c>
      <c r="CG220" s="15" t="n">
        <f aca="false">Y220*MAX(0,Parametri_v3!$C$12-IF(P220=0,0,MIN(1,BE220/(P220*Parametri_v3!$C$22))))+W220*Parametri_v3!$C$13+X220*Parametri_v3!$C$14</f>
        <v>27226.7803642293</v>
      </c>
      <c r="CH220" s="15" t="n">
        <f aca="false">AB220*Parametri_v3!$C$32</f>
        <v>3713.68333333333</v>
      </c>
      <c r="CI220" s="15" t="n">
        <f aca="false">AC220*Parametri_v3!$C$32</f>
        <v>1270.86979166667</v>
      </c>
      <c r="CJ220" s="15" t="n">
        <f aca="false">CA220-AB220</f>
        <v>40092.9114187749</v>
      </c>
      <c r="CK220" s="15" t="n">
        <f aca="false">CB220-AC220-BH220</f>
        <v>13122.7</v>
      </c>
      <c r="CL220" s="15" t="n">
        <f aca="false">BF220*Ipotesi!$C$73+INDEX(Ipotesi!$C$72:$G$72,1,F220)/12*Ipotesi!F126*Parametri_v3!$C$58+Z220*(1-Parametri_v3!$C$16)</f>
        <v>7478.27938215706</v>
      </c>
      <c r="CM220" s="16" t="n">
        <f aca="false">IF(BF220=0,0,1-CL220/BF220)</f>
        <v>0.588605237995425</v>
      </c>
    </row>
    <row r="221" customFormat="false" ht="18" hidden="false" customHeight="true" outlineLevel="0" collapsed="false">
      <c r="A221" s="68" t="n">
        <f aca="false">4</f>
        <v>4</v>
      </c>
      <c r="B221" s="68" t="n">
        <f aca="false">37</f>
        <v>37</v>
      </c>
      <c r="C221" s="18" t="n">
        <f aca="false">EDATE(Parametri_v3!$C$5,37-1)</f>
        <v>47484</v>
      </c>
      <c r="D221" s="68" t="n">
        <f aca="false">YEAR(C221)</f>
        <v>2030</v>
      </c>
      <c r="E221" s="68" t="n">
        <f aca="false">MONTH(C221)</f>
        <v>1</v>
      </c>
      <c r="F221" s="68" t="n">
        <f aca="false">INT((37-1)/12)+1</f>
        <v>4</v>
      </c>
      <c r="G221" s="15" t="n">
        <f aca="false">Ipotesi!F7</f>
        <v>0.55</v>
      </c>
      <c r="H221" s="15" t="n">
        <f aca="false">Ipotesi!F9</f>
        <v>0.9</v>
      </c>
      <c r="I221" s="15" t="n">
        <f aca="false">Ipotesi!F10</f>
        <v>1</v>
      </c>
      <c r="J221" s="15" t="n">
        <f aca="false">Ipotesi!F11</f>
        <v>1</v>
      </c>
      <c r="K221" s="15" t="n">
        <f aca="false">Ipotesi!F12</f>
        <v>1</v>
      </c>
      <c r="L221" s="15" t="n">
        <f aca="false">Ipotesi!F13</f>
        <v>120</v>
      </c>
      <c r="M221" s="17" t="n">
        <f aca="false">INDEX(Ipotesi!$C$40:$G$40,1,F221)</f>
        <v>1</v>
      </c>
      <c r="N221" s="17" t="n">
        <f aca="false">INDEX(Ipotesi!$C$41:$G$41,1,F221)</f>
        <v>1</v>
      </c>
      <c r="O221" s="17" t="n">
        <f aca="false">INDEX(Ipotesi!$C$42:$G$42,1,F221)*Ipotesi!F125</f>
        <v>6.5</v>
      </c>
      <c r="P221" s="17" t="n">
        <f aca="false">INDEX(Ipotesi!$C$43:$G$43,1,F221)*I221</f>
        <v>6</v>
      </c>
      <c r="Q221" s="17" t="n">
        <f aca="false">INDEX(Ipotesi!$C$44:$G$44,1,F221)*I221</f>
        <v>5</v>
      </c>
      <c r="R221" s="17" t="n">
        <f aca="false">INDEX(Ipotesi!$C$45:$G$45,1,F221)*I221</f>
        <v>1.5</v>
      </c>
      <c r="S221" s="17" t="n">
        <f aca="false">INDEX(Ipotesi!$C$52:$G$52,1,F221)*Ipotesi!F125</f>
        <v>7</v>
      </c>
      <c r="T221" s="17" t="n">
        <f aca="false">INDEX(Ipotesi!$C$53:$G$53,1,F221)*I221</f>
        <v>1</v>
      </c>
      <c r="U221" s="17" t="n">
        <f aca="false">INDEX(Ipotesi!$C$54:$G$54,1,F221)*I221</f>
        <v>0.5</v>
      </c>
      <c r="V221" s="15" t="n">
        <f aca="false">M221*INDEX(Ipotesi!$C$58:$G$58,1,F221)*K221/12</f>
        <v>7916.66666666667</v>
      </c>
      <c r="W221" s="15" t="n">
        <f aca="false">N221*Ipotesi!$C$59*(1+Ipotesi!$C$66)^(F221-1)/12</f>
        <v>6374.24083333333</v>
      </c>
      <c r="X221" s="15" t="n">
        <f aca="false">O221*Ipotesi!$C$60*(1+Ipotesi!$C$66)^(F221-1)/12</f>
        <v>29594.6895833333</v>
      </c>
      <c r="Y221" s="15" t="n">
        <f aca="false">P221*Ipotesi!$C$61*(1+Ipotesi!$C$66)^(F221-1)/12</f>
        <v>27318.175</v>
      </c>
      <c r="Z221" s="15" t="n">
        <f aca="false">Q221*Ipotesi!$C$62*(1+Ipotesi!$C$66)^(F221-1)/12</f>
        <v>20488.63125</v>
      </c>
      <c r="AA221" s="15" t="n">
        <f aca="false">R221*Ipotesi!$C$63*(1+Ipotesi!$C$66)^(F221-1)/12</f>
        <v>4780.680625</v>
      </c>
      <c r="AB221" s="15" t="n">
        <f aca="false">SUM(V221:AA221)</f>
        <v>96473.0839583333</v>
      </c>
      <c r="AC221" s="15" t="n">
        <f aca="false">(S221*Ipotesi!$C$64+T221*Ipotesi!$C$65+U221*Ipotesi!$C$63)*(1+Ipotesi!$C$66)^(F221-1)/12</f>
        <v>33829.0067083333</v>
      </c>
      <c r="AD221" s="15" t="n">
        <f aca="false">INDEX(Ipotesi!$C$48:$G$48,1,F221)*G221/12</f>
        <v>43.5416666666667</v>
      </c>
      <c r="AE221" s="15" t="n">
        <f aca="false">INDEX(Ipotesi!$C$50:$G$50,1,F221)*G221/12</f>
        <v>4.58333333333333</v>
      </c>
      <c r="AF221" s="15" t="n">
        <f aca="false">(S221*Parametri_v3!$C$7*Parametri_v3!$C$8+Parametri_v3!$C$10)/12</f>
        <v>89.8333333333333</v>
      </c>
      <c r="AG221" s="15" t="n">
        <f aca="false">AD221+AE221*(1+Parametri_v3!$C$9)</f>
        <v>50.4166666666667</v>
      </c>
      <c r="AH221" s="16" t="n">
        <f aca="false">IF(AG221=0,1,MIN(1,AF221/AG221))</f>
        <v>1</v>
      </c>
      <c r="AI221" s="15" t="n">
        <f aca="false">AD221*AH221</f>
        <v>43.5416666666667</v>
      </c>
      <c r="AJ221" s="15" t="n">
        <f aca="false">AE221*AH221</f>
        <v>4.58333333333333</v>
      </c>
      <c r="AK221" s="15" t="n">
        <f aca="false">AI221*INDEX(Ipotesi!$C$49:$G$49,1,F221)*H221</f>
        <v>35268.75</v>
      </c>
      <c r="AL221" s="15" t="n">
        <f aca="false">AJ221*INDEX(Ipotesi!$C$51:$G$51,1,F221)*H221</f>
        <v>10312.5</v>
      </c>
      <c r="AM221" s="15" t="n">
        <f aca="false">AK221+AL221</f>
        <v>45581.25</v>
      </c>
      <c r="AN221" s="15" t="n">
        <f aca="false">INDEX(Ipotesi!$C$30:$G$30,1,F221)*G221/12</f>
        <v>33.9166666666667</v>
      </c>
      <c r="AO221" s="15" t="n">
        <f aca="false">O221*Parametri_v3!$C$7*Parametri_v3!$C$11*(1-Parametri_v3!$C$14)/12</f>
        <v>66.7333333333333</v>
      </c>
      <c r="AP221" s="15" t="n">
        <f aca="false">MIN(AN221,AO221)</f>
        <v>33.9166666666667</v>
      </c>
      <c r="AQ221" s="15" t="n">
        <f aca="false">AP221*INDEX(Ipotesi!$C$31:$G$31,1,F221)*H221</f>
        <v>32051.25</v>
      </c>
      <c r="AR221" s="15" t="n">
        <f aca="false">INDEX(Ipotesi!$C$75:$G$75,1,F221)*J221/12</f>
        <v>27916.6666666667</v>
      </c>
      <c r="AS221" s="15" t="n">
        <f aca="false">INDEX(Ipotesi!$C$81:$G$81,1,F221)*J221/12</f>
        <v>1666.66666666667</v>
      </c>
      <c r="AT221" s="15" t="n">
        <f aca="false">AR221*Parametri_v3!$C$15+Z221*Parametri_v3!$C$16</f>
        <v>42258.7085416667</v>
      </c>
      <c r="AU221" s="15" t="n">
        <f aca="false">Q221*Parametri_v3!$C$16*Parametri_v3!$C$17</f>
        <v>350</v>
      </c>
      <c r="AV221" s="17" t="n">
        <f aca="false">BD220</f>
        <v>46</v>
      </c>
      <c r="AW221" s="17" t="n">
        <f aca="false">AV221*(1-(1-INDEX(Ipotesi!$C$34:$G$34,1,F221))^(1/12))</f>
        <v>0.402114103916049</v>
      </c>
      <c r="AX221" s="15" t="n">
        <f aca="false">ROUND(INDEX(Ipotesi!$C$32:$G$32,1,F221)*Ipotesi!F8,0)</f>
        <v>109</v>
      </c>
      <c r="AY221" s="15" t="n">
        <f aca="false">MAX(0,(AX221-(AV221-AW221))/(13-E221))</f>
        <v>5.28350950865967</v>
      </c>
      <c r="AZ221" s="15" t="n">
        <f aca="false">MIN(P221*Parametri_v3!$C$22,Q221*(1-Parametri_v3!$C$16)*Parametri_v3!$C$23)</f>
        <v>225</v>
      </c>
      <c r="BA221" s="15" t="n">
        <f aca="false">IF(OR(INDEX(Ipotesi!$C$35:$G$35,1,F221)&lt;=0,37-Parametri_v3!$C$21&lt;1),0,INDEX($AT$185:$AT$244,MAX(1,37-Parametri_v3!$C$21))/(INDEX(Ipotesi!$C$35:$G$35,1,F221)*Ipotesi!F27))</f>
        <v>3.99223717948718</v>
      </c>
      <c r="BB221" s="15" t="n">
        <f aca="false">IF(37-Parametri_v3!$C$21&lt;1,0,INDEX($AU$185:$AU$244,MAX(1,37-Parametri_v3!$C$21)))*Parametri_v3!$C$18*Parametri_v3!$C$19*Parametri_v3!$C$20</f>
        <v>10.5</v>
      </c>
      <c r="BC221" s="17" t="n">
        <f aca="false">MAX(0,MIN(AY221,BA221,BB221,MAX(0,AZ221-(AV221-AW221))))</f>
        <v>3.99223717948718</v>
      </c>
      <c r="BD221" s="17" t="n">
        <f aca="false">AV221-AW221+BC221</f>
        <v>49.5901230755711</v>
      </c>
      <c r="BE221" s="17" t="n">
        <f aca="false">(AV221+BD221)/2</f>
        <v>47.7950615377856</v>
      </c>
      <c r="BF221" s="15" t="n">
        <f aca="false">BE221*INDEX(Ipotesi!$C$33:$G$33,1,F221)*H221/12</f>
        <v>21507.7776920035</v>
      </c>
      <c r="BG221" s="15" t="n">
        <f aca="false">BD221*INDEX(Ipotesi!$C$33:$G$33,1,F221)*H221</f>
        <v>267786.664608084</v>
      </c>
      <c r="BH221" s="15" t="n">
        <f aca="false">AM221*INDEX(Ipotesi!$C$37:$G$37,1,F221)</f>
        <v>4558.125</v>
      </c>
      <c r="BI221" s="15" t="n">
        <f aca="false">AQ221+BF221+BH221</f>
        <v>58117.1526920035</v>
      </c>
      <c r="BJ221" s="15" t="n">
        <f aca="false">INDEX(Ipotesi!$C$68:$G$68,1,F221)*Ipotesi!$C$69/12</f>
        <v>3000</v>
      </c>
      <c r="BK221" s="15" t="n">
        <f aca="false">INDEX(Ipotesi!$C$68:$G$68,1,F221)*(1-Ipotesi!$C$69)/12</f>
        <v>4500</v>
      </c>
      <c r="BL221" s="15" t="n">
        <f aca="false">(AQ221+BF221)*Ipotesi!$C$67</f>
        <v>1606.77083076011</v>
      </c>
      <c r="BM221" s="15" t="n">
        <f aca="false">AM221*Ipotesi!$C$67</f>
        <v>1367.4375</v>
      </c>
      <c r="BN221" s="15" t="n">
        <f aca="false">INDEX(Ipotesi!$C$72:$G$72,1,F221)/12*Ipotesi!F126+BF221*Ipotesi!$C$73</f>
        <v>2970.62221536028</v>
      </c>
      <c r="BO221" s="15" t="n">
        <f aca="false">INDEX(Ipotesi!$C$74:$G$74,1,F221)/12*Ipotesi!F126</f>
        <v>4166.66666666667</v>
      </c>
      <c r="BP221" s="15" t="n">
        <f aca="false">INDEX(Ipotesi!$C$76:$G$76,1,F221)/12</f>
        <v>1500</v>
      </c>
      <c r="BQ221" s="15" t="n">
        <f aca="false">INDEX(Ipotesi!$C$77:$G$77,1,F221)/12*Ipotesi!F126</f>
        <v>2083.33333333333</v>
      </c>
      <c r="BR221" s="15" t="n">
        <f aca="false">INDEX(Ipotesi!$C$78:$G$78,1,F221)/12</f>
        <v>2000</v>
      </c>
      <c r="BS221" s="15" t="n">
        <f aca="false">SUM(M221:R221)*(Ipotesi!$C$85+Ipotesi!$C$86)/12</f>
        <v>6125</v>
      </c>
      <c r="BT221" s="15" t="n">
        <f aca="false">BI221*Ipotesi!$C$87</f>
        <v>1743.51458076011</v>
      </c>
      <c r="BU221" s="15" t="n">
        <f aca="false">INDEX(Ipotesi!$C$55:$G$55,1,F221)*K221/12</f>
        <v>2000</v>
      </c>
      <c r="BV221" s="15" t="n">
        <f aca="false">INDEX(Ipotesi!$C$80:$G$80,1,F221)/12*Ipotesi!F126</f>
        <v>1666.66666666667</v>
      </c>
      <c r="BW221" s="15" t="n">
        <f aca="false">INDEX(Ipotesi!$C$82:$G$82,1,F221)/12</f>
        <v>1250</v>
      </c>
      <c r="BX221" s="15" t="n">
        <f aca="false">INDEX(Ipotesi!$C$83:$G$83,1,F221)/12</f>
        <v>750</v>
      </c>
      <c r="BY221" s="15" t="n">
        <f aca="false">SUM(S221:U221)*(Ipotesi!$C$85+Ipotesi!$C$86)/12</f>
        <v>2479.16666666667</v>
      </c>
      <c r="BZ221" s="15" t="n">
        <f aca="false">AM221*Ipotesi!$C$87</f>
        <v>1367.4375</v>
      </c>
      <c r="CA221" s="15" t="n">
        <f aca="false">AB221+BJ221+BL221+BN221+BO221+AR221+BP221+BQ221+BR221+BS221+BT221</f>
        <v>149585.658251881</v>
      </c>
      <c r="CB221" s="15" t="n">
        <f aca="false">AC221+BK221+BM221+BH221+BU221+BV221+AS221+BW221+BX221+BY221+BZ221</f>
        <v>55434.5067083333</v>
      </c>
      <c r="CC221" s="15" t="n">
        <f aca="false">BI221-CA221</f>
        <v>-91468.505559877</v>
      </c>
      <c r="CD221" s="15" t="n">
        <f aca="false">AM221-CB221</f>
        <v>-9853.25670833333</v>
      </c>
      <c r="CE221" s="15" t="n">
        <f aca="false">INDEX(Ipotesi!$C$79:$G$79,1,F221)/12</f>
        <v>3333.33333333333</v>
      </c>
      <c r="CF221" s="15" t="n">
        <f aca="false">INDEX(Ipotesi!$C$84:$G$84,1,F221)/12</f>
        <v>666.666666666667</v>
      </c>
      <c r="CG221" s="15" t="n">
        <f aca="false">Y221*MAX(0,Parametri_v3!$C$12-IF(P221=0,0,MIN(1,BE221/(P221*Parametri_v3!$C$22))))+W221*Parametri_v3!$C$13+X221*Parametri_v3!$C$14</f>
        <v>34248.1102412917</v>
      </c>
      <c r="CH221" s="15" t="n">
        <f aca="false">AB221*Parametri_v3!$C$32</f>
        <v>4823.65419791667</v>
      </c>
      <c r="CI221" s="15" t="n">
        <f aca="false">AC221*Parametri_v3!$C$32</f>
        <v>1691.45033541667</v>
      </c>
      <c r="CJ221" s="15" t="n">
        <f aca="false">CA221-AB221</f>
        <v>53112.5742935472</v>
      </c>
      <c r="CK221" s="15" t="n">
        <f aca="false">CB221-AC221-BH221</f>
        <v>17047.375</v>
      </c>
      <c r="CL221" s="15" t="n">
        <f aca="false">BF221*Ipotesi!$C$73+INDEX(Ipotesi!$C$72:$G$72,1,F221)/12*Ipotesi!F126*Parametri_v3!$C$58+Z221*(1-Parametri_v3!$C$16)</f>
        <v>9117.21159036028</v>
      </c>
      <c r="CM221" s="16" t="n">
        <f aca="false">IF(BF221=0,0,1-CL221/BF221)</f>
        <v>0.576096995193045</v>
      </c>
    </row>
    <row r="222" customFormat="false" ht="18" hidden="false" customHeight="true" outlineLevel="0" collapsed="false">
      <c r="A222" s="68" t="n">
        <f aca="false">4</f>
        <v>4</v>
      </c>
      <c r="B222" s="68" t="n">
        <f aca="false">38</f>
        <v>38</v>
      </c>
      <c r="C222" s="18" t="n">
        <f aca="false">EDATE(Parametri_v3!$C$5,38-1)</f>
        <v>47515</v>
      </c>
      <c r="D222" s="68" t="n">
        <f aca="false">YEAR(C222)</f>
        <v>2030</v>
      </c>
      <c r="E222" s="68" t="n">
        <f aca="false">MONTH(C222)</f>
        <v>2</v>
      </c>
      <c r="F222" s="68" t="n">
        <f aca="false">INT((38-1)/12)+1</f>
        <v>4</v>
      </c>
      <c r="G222" s="15" t="n">
        <f aca="false">Ipotesi!F7</f>
        <v>0.55</v>
      </c>
      <c r="H222" s="15" t="n">
        <f aca="false">Ipotesi!F9</f>
        <v>0.9</v>
      </c>
      <c r="I222" s="15" t="n">
        <f aca="false">Ipotesi!F10</f>
        <v>1</v>
      </c>
      <c r="J222" s="15" t="n">
        <f aca="false">Ipotesi!F11</f>
        <v>1</v>
      </c>
      <c r="K222" s="15" t="n">
        <f aca="false">Ipotesi!F12</f>
        <v>1</v>
      </c>
      <c r="L222" s="15" t="n">
        <f aca="false">Ipotesi!F13</f>
        <v>120</v>
      </c>
      <c r="M222" s="17" t="n">
        <f aca="false">INDEX(Ipotesi!$C$40:$G$40,1,F222)</f>
        <v>1</v>
      </c>
      <c r="N222" s="17" t="n">
        <f aca="false">INDEX(Ipotesi!$C$41:$G$41,1,F222)</f>
        <v>1</v>
      </c>
      <c r="O222" s="17" t="n">
        <f aca="false">INDEX(Ipotesi!$C$42:$G$42,1,F222)*Ipotesi!F125</f>
        <v>6.5</v>
      </c>
      <c r="P222" s="17" t="n">
        <f aca="false">INDEX(Ipotesi!$C$43:$G$43,1,F222)*I222</f>
        <v>6</v>
      </c>
      <c r="Q222" s="17" t="n">
        <f aca="false">INDEX(Ipotesi!$C$44:$G$44,1,F222)*I222</f>
        <v>5</v>
      </c>
      <c r="R222" s="17" t="n">
        <f aca="false">INDEX(Ipotesi!$C$45:$G$45,1,F222)*I222</f>
        <v>1.5</v>
      </c>
      <c r="S222" s="17" t="n">
        <f aca="false">INDEX(Ipotesi!$C$52:$G$52,1,F222)*Ipotesi!F125</f>
        <v>7</v>
      </c>
      <c r="T222" s="17" t="n">
        <f aca="false">INDEX(Ipotesi!$C$53:$G$53,1,F222)*I222</f>
        <v>1</v>
      </c>
      <c r="U222" s="17" t="n">
        <f aca="false">INDEX(Ipotesi!$C$54:$G$54,1,F222)*I222</f>
        <v>0.5</v>
      </c>
      <c r="V222" s="15" t="n">
        <f aca="false">M222*INDEX(Ipotesi!$C$58:$G$58,1,F222)*K222/12</f>
        <v>7916.66666666667</v>
      </c>
      <c r="W222" s="15" t="n">
        <f aca="false">N222*Ipotesi!$C$59*(1+Ipotesi!$C$66)^(F222-1)/12</f>
        <v>6374.24083333333</v>
      </c>
      <c r="X222" s="15" t="n">
        <f aca="false">O222*Ipotesi!$C$60*(1+Ipotesi!$C$66)^(F222-1)/12</f>
        <v>29594.6895833333</v>
      </c>
      <c r="Y222" s="15" t="n">
        <f aca="false">P222*Ipotesi!$C$61*(1+Ipotesi!$C$66)^(F222-1)/12</f>
        <v>27318.175</v>
      </c>
      <c r="Z222" s="15" t="n">
        <f aca="false">Q222*Ipotesi!$C$62*(1+Ipotesi!$C$66)^(F222-1)/12</f>
        <v>20488.63125</v>
      </c>
      <c r="AA222" s="15" t="n">
        <f aca="false">R222*Ipotesi!$C$63*(1+Ipotesi!$C$66)^(F222-1)/12</f>
        <v>4780.680625</v>
      </c>
      <c r="AB222" s="15" t="n">
        <f aca="false">SUM(V222:AA222)</f>
        <v>96473.0839583333</v>
      </c>
      <c r="AC222" s="15" t="n">
        <f aca="false">(S222*Ipotesi!$C$64+T222*Ipotesi!$C$65+U222*Ipotesi!$C$63)*(1+Ipotesi!$C$66)^(F222-1)/12</f>
        <v>33829.0067083333</v>
      </c>
      <c r="AD222" s="15" t="n">
        <f aca="false">INDEX(Ipotesi!$C$48:$G$48,1,F222)*G222/12</f>
        <v>43.5416666666667</v>
      </c>
      <c r="AE222" s="15" t="n">
        <f aca="false">INDEX(Ipotesi!$C$50:$G$50,1,F222)*G222/12</f>
        <v>4.58333333333333</v>
      </c>
      <c r="AF222" s="15" t="n">
        <f aca="false">(S222*Parametri_v3!$C$7*Parametri_v3!$C$8+Parametri_v3!$C$10)/12</f>
        <v>89.8333333333333</v>
      </c>
      <c r="AG222" s="15" t="n">
        <f aca="false">AD222+AE222*(1+Parametri_v3!$C$9)</f>
        <v>50.4166666666667</v>
      </c>
      <c r="AH222" s="16" t="n">
        <f aca="false">IF(AG222=0,1,MIN(1,AF222/AG222))</f>
        <v>1</v>
      </c>
      <c r="AI222" s="15" t="n">
        <f aca="false">AD222*AH222</f>
        <v>43.5416666666667</v>
      </c>
      <c r="AJ222" s="15" t="n">
        <f aca="false">AE222*AH222</f>
        <v>4.58333333333333</v>
      </c>
      <c r="AK222" s="15" t="n">
        <f aca="false">AI222*INDEX(Ipotesi!$C$49:$G$49,1,F222)*H222</f>
        <v>35268.75</v>
      </c>
      <c r="AL222" s="15" t="n">
        <f aca="false">AJ222*INDEX(Ipotesi!$C$51:$G$51,1,F222)*H222</f>
        <v>10312.5</v>
      </c>
      <c r="AM222" s="15" t="n">
        <f aca="false">AK222+AL222</f>
        <v>45581.25</v>
      </c>
      <c r="AN222" s="15" t="n">
        <f aca="false">INDEX(Ipotesi!$C$30:$G$30,1,F222)*G222/12</f>
        <v>33.9166666666667</v>
      </c>
      <c r="AO222" s="15" t="n">
        <f aca="false">O222*Parametri_v3!$C$7*Parametri_v3!$C$11*(1-Parametri_v3!$C$14)/12</f>
        <v>66.7333333333333</v>
      </c>
      <c r="AP222" s="15" t="n">
        <f aca="false">MIN(AN222,AO222)</f>
        <v>33.9166666666667</v>
      </c>
      <c r="AQ222" s="15" t="n">
        <f aca="false">AP222*INDEX(Ipotesi!$C$31:$G$31,1,F222)*H222</f>
        <v>32051.25</v>
      </c>
      <c r="AR222" s="15" t="n">
        <f aca="false">INDEX(Ipotesi!$C$75:$G$75,1,F222)*J222/12</f>
        <v>27916.6666666667</v>
      </c>
      <c r="AS222" s="15" t="n">
        <f aca="false">INDEX(Ipotesi!$C$81:$G$81,1,F222)*J222/12</f>
        <v>1666.66666666667</v>
      </c>
      <c r="AT222" s="15" t="n">
        <f aca="false">AR222*Parametri_v3!$C$15+Z222*Parametri_v3!$C$16</f>
        <v>42258.7085416667</v>
      </c>
      <c r="AU222" s="15" t="n">
        <f aca="false">Q222*Parametri_v3!$C$16*Parametri_v3!$C$17</f>
        <v>350</v>
      </c>
      <c r="AV222" s="17" t="n">
        <f aca="false">BD221</f>
        <v>49.5901230755711</v>
      </c>
      <c r="AW222" s="17" t="n">
        <f aca="false">AV222*(1-(1-INDEX(Ipotesi!$C$34:$G$34,1,F222))^(1/12))</f>
        <v>0.433497563122171</v>
      </c>
      <c r="AX222" s="15" t="n">
        <f aca="false">ROUND(INDEX(Ipotesi!$C$32:$G$32,1,F222)*Ipotesi!F8,0)</f>
        <v>109</v>
      </c>
      <c r="AY222" s="15" t="n">
        <f aca="false">MAX(0,(AX222-(AV222-AW222))/(13-E222))</f>
        <v>5.44030677159555</v>
      </c>
      <c r="AZ222" s="15" t="n">
        <f aca="false">MIN(P222*Parametri_v3!$C$22,Q222*(1-Parametri_v3!$C$16)*Parametri_v3!$C$23)</f>
        <v>225</v>
      </c>
      <c r="BA222" s="15" t="n">
        <f aca="false">IF(OR(INDEX(Ipotesi!$C$35:$G$35,1,F222)&lt;=0,38-Parametri_v3!$C$21&lt;1),0,INDEX($AT$185:$AT$244,MAX(1,38-Parametri_v3!$C$21))/(INDEX(Ipotesi!$C$35:$G$35,1,F222)*Ipotesi!F27))</f>
        <v>3.99223717948718</v>
      </c>
      <c r="BB222" s="15" t="n">
        <f aca="false">IF(38-Parametri_v3!$C$21&lt;1,0,INDEX($AU$185:$AU$244,MAX(1,38-Parametri_v3!$C$21)))*Parametri_v3!$C$18*Parametri_v3!$C$19*Parametri_v3!$C$20</f>
        <v>10.5</v>
      </c>
      <c r="BC222" s="17" t="n">
        <f aca="false">MAX(0,MIN(AY222,BA222,BB222,MAX(0,AZ222-(AV222-AW222))))</f>
        <v>3.99223717948718</v>
      </c>
      <c r="BD222" s="17" t="n">
        <f aca="false">AV222-AW222+BC222</f>
        <v>53.1488626919361</v>
      </c>
      <c r="BE222" s="17" t="n">
        <f aca="false">(AV222+BD222)/2</f>
        <v>51.3694928837536</v>
      </c>
      <c r="BF222" s="15" t="n">
        <f aca="false">BE222*INDEX(Ipotesi!$C$33:$G$33,1,F222)*H222/12</f>
        <v>23116.2717976891</v>
      </c>
      <c r="BG222" s="15" t="n">
        <f aca="false">BD222*INDEX(Ipotesi!$C$33:$G$33,1,F222)*H222</f>
        <v>287003.858536455</v>
      </c>
      <c r="BH222" s="15" t="n">
        <f aca="false">AM222*INDEX(Ipotesi!$C$37:$G$37,1,F222)</f>
        <v>4558.125</v>
      </c>
      <c r="BI222" s="15" t="n">
        <f aca="false">AQ222+BF222+BH222</f>
        <v>59725.6467976891</v>
      </c>
      <c r="BJ222" s="15" t="n">
        <f aca="false">INDEX(Ipotesi!$C$68:$G$68,1,F222)*Ipotesi!$C$69/12</f>
        <v>3000</v>
      </c>
      <c r="BK222" s="15" t="n">
        <f aca="false">INDEX(Ipotesi!$C$68:$G$68,1,F222)*(1-Ipotesi!$C$69)/12</f>
        <v>4500</v>
      </c>
      <c r="BL222" s="15" t="n">
        <f aca="false">(AQ222+BF222)*Ipotesi!$C$67</f>
        <v>1655.02565393067</v>
      </c>
      <c r="BM222" s="15" t="n">
        <f aca="false">AM222*Ipotesi!$C$67</f>
        <v>1367.4375</v>
      </c>
      <c r="BN222" s="15" t="n">
        <f aca="false">INDEX(Ipotesi!$C$72:$G$72,1,F222)/12*Ipotesi!F126+BF222*Ipotesi!$C$73</f>
        <v>3099.30174381513</v>
      </c>
      <c r="BO222" s="15" t="n">
        <f aca="false">INDEX(Ipotesi!$C$74:$G$74,1,F222)/12*Ipotesi!F126</f>
        <v>4166.66666666667</v>
      </c>
      <c r="BP222" s="15" t="n">
        <f aca="false">INDEX(Ipotesi!$C$76:$G$76,1,F222)/12</f>
        <v>1500</v>
      </c>
      <c r="BQ222" s="15" t="n">
        <f aca="false">INDEX(Ipotesi!$C$77:$G$77,1,F222)/12*Ipotesi!F126</f>
        <v>2083.33333333333</v>
      </c>
      <c r="BR222" s="15" t="n">
        <f aca="false">INDEX(Ipotesi!$C$78:$G$78,1,F222)/12</f>
        <v>2000</v>
      </c>
      <c r="BS222" s="15" t="n">
        <f aca="false">SUM(M222:R222)*(Ipotesi!$C$85+Ipotesi!$C$86)/12</f>
        <v>6125</v>
      </c>
      <c r="BT222" s="15" t="n">
        <f aca="false">BI222*Ipotesi!$C$87</f>
        <v>1791.76940393067</v>
      </c>
      <c r="BU222" s="15" t="n">
        <f aca="false">INDEX(Ipotesi!$C$55:$G$55,1,F222)*K222/12</f>
        <v>2000</v>
      </c>
      <c r="BV222" s="15" t="n">
        <f aca="false">INDEX(Ipotesi!$C$80:$G$80,1,F222)/12*Ipotesi!F126</f>
        <v>1666.66666666667</v>
      </c>
      <c r="BW222" s="15" t="n">
        <f aca="false">INDEX(Ipotesi!$C$82:$G$82,1,F222)/12</f>
        <v>1250</v>
      </c>
      <c r="BX222" s="15" t="n">
        <f aca="false">INDEX(Ipotesi!$C$83:$G$83,1,F222)/12</f>
        <v>750</v>
      </c>
      <c r="BY222" s="15" t="n">
        <f aca="false">SUM(S222:U222)*(Ipotesi!$C$85+Ipotesi!$C$86)/12</f>
        <v>2479.16666666667</v>
      </c>
      <c r="BZ222" s="15" t="n">
        <f aca="false">AM222*Ipotesi!$C$87</f>
        <v>1367.4375</v>
      </c>
      <c r="CA222" s="15" t="n">
        <f aca="false">AB222+BJ222+BL222+BN222+BO222+AR222+BP222+BQ222+BR222+BS222+BT222</f>
        <v>149810.847426676</v>
      </c>
      <c r="CB222" s="15" t="n">
        <f aca="false">AC222+BK222+BM222+BH222+BU222+BV222+AS222+BW222+BX222+BY222+BZ222</f>
        <v>55434.5067083333</v>
      </c>
      <c r="CC222" s="15" t="n">
        <f aca="false">BI222-CA222</f>
        <v>-90085.2006289873</v>
      </c>
      <c r="CD222" s="15" t="n">
        <f aca="false">AM222-CB222</f>
        <v>-9853.25670833333</v>
      </c>
      <c r="CE222" s="15" t="n">
        <f aca="false">INDEX(Ipotesi!$C$79:$G$79,1,F222)/12</f>
        <v>3333.33333333333</v>
      </c>
      <c r="CF222" s="15" t="n">
        <f aca="false">INDEX(Ipotesi!$C$84:$G$84,1,F222)/12</f>
        <v>666.666666666667</v>
      </c>
      <c r="CG222" s="15" t="n">
        <f aca="false">Y222*MAX(0,Parametri_v3!$C$12-IF(P222=0,0,MIN(1,BE222/(P222*Parametri_v3!$C$22))))+W222*Parametri_v3!$C$13+X222*Parametri_v3!$C$14</f>
        <v>34085.3653395673</v>
      </c>
      <c r="CH222" s="15" t="n">
        <f aca="false">AB222*Parametri_v3!$C$32</f>
        <v>4823.65419791667</v>
      </c>
      <c r="CI222" s="15" t="n">
        <f aca="false">AC222*Parametri_v3!$C$32</f>
        <v>1691.45033541667</v>
      </c>
      <c r="CJ222" s="15" t="n">
        <f aca="false">CA222-AB222</f>
        <v>53337.7634683432</v>
      </c>
      <c r="CK222" s="15" t="n">
        <f aca="false">CB222-AC222-BH222</f>
        <v>17047.375</v>
      </c>
      <c r="CL222" s="15" t="n">
        <f aca="false">BF222*Ipotesi!$C$73+INDEX(Ipotesi!$C$72:$G$72,1,F222)/12*Ipotesi!F126*Parametri_v3!$C$58+Z222*(1-Parametri_v3!$C$16)</f>
        <v>9245.89111881513</v>
      </c>
      <c r="CM222" s="16" t="n">
        <f aca="false">IF(BF222=0,0,1-CL222/BF222)</f>
        <v>0.600026717122291</v>
      </c>
    </row>
    <row r="223" customFormat="false" ht="18" hidden="false" customHeight="true" outlineLevel="0" collapsed="false">
      <c r="A223" s="68" t="n">
        <f aca="false">4</f>
        <v>4</v>
      </c>
      <c r="B223" s="68" t="n">
        <f aca="false">39</f>
        <v>39</v>
      </c>
      <c r="C223" s="18" t="n">
        <f aca="false">EDATE(Parametri_v3!$C$5,39-1)</f>
        <v>47543</v>
      </c>
      <c r="D223" s="68" t="n">
        <f aca="false">YEAR(C223)</f>
        <v>2030</v>
      </c>
      <c r="E223" s="68" t="n">
        <f aca="false">MONTH(C223)</f>
        <v>3</v>
      </c>
      <c r="F223" s="68" t="n">
        <f aca="false">INT((39-1)/12)+1</f>
        <v>4</v>
      </c>
      <c r="G223" s="15" t="n">
        <f aca="false">Ipotesi!F7</f>
        <v>0.55</v>
      </c>
      <c r="H223" s="15" t="n">
        <f aca="false">Ipotesi!F9</f>
        <v>0.9</v>
      </c>
      <c r="I223" s="15" t="n">
        <f aca="false">Ipotesi!F10</f>
        <v>1</v>
      </c>
      <c r="J223" s="15" t="n">
        <f aca="false">Ipotesi!F11</f>
        <v>1</v>
      </c>
      <c r="K223" s="15" t="n">
        <f aca="false">Ipotesi!F12</f>
        <v>1</v>
      </c>
      <c r="L223" s="15" t="n">
        <f aca="false">Ipotesi!F13</f>
        <v>120</v>
      </c>
      <c r="M223" s="17" t="n">
        <f aca="false">INDEX(Ipotesi!$C$40:$G$40,1,F223)</f>
        <v>1</v>
      </c>
      <c r="N223" s="17" t="n">
        <f aca="false">INDEX(Ipotesi!$C$41:$G$41,1,F223)</f>
        <v>1</v>
      </c>
      <c r="O223" s="17" t="n">
        <f aca="false">INDEX(Ipotesi!$C$42:$G$42,1,F223)*Ipotesi!F125</f>
        <v>6.5</v>
      </c>
      <c r="P223" s="17" t="n">
        <f aca="false">INDEX(Ipotesi!$C$43:$G$43,1,F223)*I223</f>
        <v>6</v>
      </c>
      <c r="Q223" s="17" t="n">
        <f aca="false">INDEX(Ipotesi!$C$44:$G$44,1,F223)*I223</f>
        <v>5</v>
      </c>
      <c r="R223" s="17" t="n">
        <f aca="false">INDEX(Ipotesi!$C$45:$G$45,1,F223)*I223</f>
        <v>1.5</v>
      </c>
      <c r="S223" s="17" t="n">
        <f aca="false">INDEX(Ipotesi!$C$52:$G$52,1,F223)*Ipotesi!F125</f>
        <v>7</v>
      </c>
      <c r="T223" s="17" t="n">
        <f aca="false">INDEX(Ipotesi!$C$53:$G$53,1,F223)*I223</f>
        <v>1</v>
      </c>
      <c r="U223" s="17" t="n">
        <f aca="false">INDEX(Ipotesi!$C$54:$G$54,1,F223)*I223</f>
        <v>0.5</v>
      </c>
      <c r="V223" s="15" t="n">
        <f aca="false">M223*INDEX(Ipotesi!$C$58:$G$58,1,F223)*K223/12</f>
        <v>7916.66666666667</v>
      </c>
      <c r="W223" s="15" t="n">
        <f aca="false">N223*Ipotesi!$C$59*(1+Ipotesi!$C$66)^(F223-1)/12</f>
        <v>6374.24083333333</v>
      </c>
      <c r="X223" s="15" t="n">
        <f aca="false">O223*Ipotesi!$C$60*(1+Ipotesi!$C$66)^(F223-1)/12</f>
        <v>29594.6895833333</v>
      </c>
      <c r="Y223" s="15" t="n">
        <f aca="false">P223*Ipotesi!$C$61*(1+Ipotesi!$C$66)^(F223-1)/12</f>
        <v>27318.175</v>
      </c>
      <c r="Z223" s="15" t="n">
        <f aca="false">Q223*Ipotesi!$C$62*(1+Ipotesi!$C$66)^(F223-1)/12</f>
        <v>20488.63125</v>
      </c>
      <c r="AA223" s="15" t="n">
        <f aca="false">R223*Ipotesi!$C$63*(1+Ipotesi!$C$66)^(F223-1)/12</f>
        <v>4780.680625</v>
      </c>
      <c r="AB223" s="15" t="n">
        <f aca="false">SUM(V223:AA223)</f>
        <v>96473.0839583333</v>
      </c>
      <c r="AC223" s="15" t="n">
        <f aca="false">(S223*Ipotesi!$C$64+T223*Ipotesi!$C$65+U223*Ipotesi!$C$63)*(1+Ipotesi!$C$66)^(F223-1)/12</f>
        <v>33829.0067083333</v>
      </c>
      <c r="AD223" s="15" t="n">
        <f aca="false">INDEX(Ipotesi!$C$48:$G$48,1,F223)*G223/12</f>
        <v>43.5416666666667</v>
      </c>
      <c r="AE223" s="15" t="n">
        <f aca="false">INDEX(Ipotesi!$C$50:$G$50,1,F223)*G223/12</f>
        <v>4.58333333333333</v>
      </c>
      <c r="AF223" s="15" t="n">
        <f aca="false">(S223*Parametri_v3!$C$7*Parametri_v3!$C$8+Parametri_v3!$C$10)/12</f>
        <v>89.8333333333333</v>
      </c>
      <c r="AG223" s="15" t="n">
        <f aca="false">AD223+AE223*(1+Parametri_v3!$C$9)</f>
        <v>50.4166666666667</v>
      </c>
      <c r="AH223" s="16" t="n">
        <f aca="false">IF(AG223=0,1,MIN(1,AF223/AG223))</f>
        <v>1</v>
      </c>
      <c r="AI223" s="15" t="n">
        <f aca="false">AD223*AH223</f>
        <v>43.5416666666667</v>
      </c>
      <c r="AJ223" s="15" t="n">
        <f aca="false">AE223*AH223</f>
        <v>4.58333333333333</v>
      </c>
      <c r="AK223" s="15" t="n">
        <f aca="false">AI223*INDEX(Ipotesi!$C$49:$G$49,1,F223)*H223</f>
        <v>35268.75</v>
      </c>
      <c r="AL223" s="15" t="n">
        <f aca="false">AJ223*INDEX(Ipotesi!$C$51:$G$51,1,F223)*H223</f>
        <v>10312.5</v>
      </c>
      <c r="AM223" s="15" t="n">
        <f aca="false">AK223+AL223</f>
        <v>45581.25</v>
      </c>
      <c r="AN223" s="15" t="n">
        <f aca="false">INDEX(Ipotesi!$C$30:$G$30,1,F223)*G223/12</f>
        <v>33.9166666666667</v>
      </c>
      <c r="AO223" s="15" t="n">
        <f aca="false">O223*Parametri_v3!$C$7*Parametri_v3!$C$11*(1-Parametri_v3!$C$14)/12</f>
        <v>66.7333333333333</v>
      </c>
      <c r="AP223" s="15" t="n">
        <f aca="false">MIN(AN223,AO223)</f>
        <v>33.9166666666667</v>
      </c>
      <c r="AQ223" s="15" t="n">
        <f aca="false">AP223*INDEX(Ipotesi!$C$31:$G$31,1,F223)*H223</f>
        <v>32051.25</v>
      </c>
      <c r="AR223" s="15" t="n">
        <f aca="false">INDEX(Ipotesi!$C$75:$G$75,1,F223)*J223/12</f>
        <v>27916.6666666667</v>
      </c>
      <c r="AS223" s="15" t="n">
        <f aca="false">INDEX(Ipotesi!$C$81:$G$81,1,F223)*J223/12</f>
        <v>1666.66666666667</v>
      </c>
      <c r="AT223" s="15" t="n">
        <f aca="false">AR223*Parametri_v3!$C$15+Z223*Parametri_v3!$C$16</f>
        <v>42258.7085416667</v>
      </c>
      <c r="AU223" s="15" t="n">
        <f aca="false">Q223*Parametri_v3!$C$16*Parametri_v3!$C$17</f>
        <v>350</v>
      </c>
      <c r="AV223" s="17" t="n">
        <f aca="false">BD222</f>
        <v>53.1488626919361</v>
      </c>
      <c r="AW223" s="17" t="n">
        <f aca="false">AV223*(1-(1-INDEX(Ipotesi!$C$34:$G$34,1,F223))^(1/12))</f>
        <v>0.464606680337501</v>
      </c>
      <c r="AX223" s="15" t="n">
        <f aca="false">ROUND(INDEX(Ipotesi!$C$32:$G$32,1,F223)*Ipotesi!F8,0)</f>
        <v>109</v>
      </c>
      <c r="AY223" s="15" t="n">
        <f aca="false">MAX(0,(AX223-(AV223-AW223))/(13-E223))</f>
        <v>5.63157439884014</v>
      </c>
      <c r="AZ223" s="15" t="n">
        <f aca="false">MIN(P223*Parametri_v3!$C$22,Q223*(1-Parametri_v3!$C$16)*Parametri_v3!$C$23)</f>
        <v>225</v>
      </c>
      <c r="BA223" s="15" t="n">
        <f aca="false">IF(OR(INDEX(Ipotesi!$C$35:$G$35,1,F223)&lt;=0,39-Parametri_v3!$C$21&lt;1),0,INDEX($AT$185:$AT$244,MAX(1,39-Parametri_v3!$C$21))/(INDEX(Ipotesi!$C$35:$G$35,1,F223)*Ipotesi!F27))</f>
        <v>3.99223717948718</v>
      </c>
      <c r="BB223" s="15" t="n">
        <f aca="false">IF(39-Parametri_v3!$C$21&lt;1,0,INDEX($AU$185:$AU$244,MAX(1,39-Parametri_v3!$C$21)))*Parametri_v3!$C$18*Parametri_v3!$C$19*Parametri_v3!$C$20</f>
        <v>10.5</v>
      </c>
      <c r="BC223" s="17" t="n">
        <f aca="false">MAX(0,MIN(AY223,BA223,BB223,MAX(0,AZ223-(AV223-AW223))))</f>
        <v>3.99223717948718</v>
      </c>
      <c r="BD223" s="17" t="n">
        <f aca="false">AV223-AW223+BC223</f>
        <v>56.6764931910858</v>
      </c>
      <c r="BE223" s="17" t="n">
        <f aca="false">(AV223+BD223)/2</f>
        <v>54.912677941511</v>
      </c>
      <c r="BF223" s="15" t="n">
        <f aca="false">BE223*INDEX(Ipotesi!$C$33:$G$33,1,F223)*H223/12</f>
        <v>24710.7050736799</v>
      </c>
      <c r="BG223" s="15" t="n">
        <f aca="false">BD223*INDEX(Ipotesi!$C$33:$G$33,1,F223)*H223</f>
        <v>306053.063231863</v>
      </c>
      <c r="BH223" s="15" t="n">
        <f aca="false">AM223*INDEX(Ipotesi!$C$37:$G$37,1,F223)</f>
        <v>4558.125</v>
      </c>
      <c r="BI223" s="15" t="n">
        <f aca="false">AQ223+BF223+BH223</f>
        <v>61320.0800736799</v>
      </c>
      <c r="BJ223" s="15" t="n">
        <f aca="false">INDEX(Ipotesi!$C$68:$G$68,1,F223)*Ipotesi!$C$69/12</f>
        <v>3000</v>
      </c>
      <c r="BK223" s="15" t="n">
        <f aca="false">INDEX(Ipotesi!$C$68:$G$68,1,F223)*(1-Ipotesi!$C$69)/12</f>
        <v>4500</v>
      </c>
      <c r="BL223" s="15" t="n">
        <f aca="false">(AQ223+BF223)*Ipotesi!$C$67</f>
        <v>1702.8586522104</v>
      </c>
      <c r="BM223" s="15" t="n">
        <f aca="false">AM223*Ipotesi!$C$67</f>
        <v>1367.4375</v>
      </c>
      <c r="BN223" s="15" t="n">
        <f aca="false">INDEX(Ipotesi!$C$72:$G$72,1,F223)/12*Ipotesi!F126+BF223*Ipotesi!$C$73</f>
        <v>3226.8564058944</v>
      </c>
      <c r="BO223" s="15" t="n">
        <f aca="false">INDEX(Ipotesi!$C$74:$G$74,1,F223)/12*Ipotesi!F126</f>
        <v>4166.66666666667</v>
      </c>
      <c r="BP223" s="15" t="n">
        <f aca="false">INDEX(Ipotesi!$C$76:$G$76,1,F223)/12</f>
        <v>1500</v>
      </c>
      <c r="BQ223" s="15" t="n">
        <f aca="false">INDEX(Ipotesi!$C$77:$G$77,1,F223)/12*Ipotesi!F126</f>
        <v>2083.33333333333</v>
      </c>
      <c r="BR223" s="15" t="n">
        <f aca="false">INDEX(Ipotesi!$C$78:$G$78,1,F223)/12</f>
        <v>2000</v>
      </c>
      <c r="BS223" s="15" t="n">
        <f aca="false">SUM(M223:R223)*(Ipotesi!$C$85+Ipotesi!$C$86)/12</f>
        <v>6125</v>
      </c>
      <c r="BT223" s="15" t="n">
        <f aca="false">BI223*Ipotesi!$C$87</f>
        <v>1839.6024022104</v>
      </c>
      <c r="BU223" s="15" t="n">
        <f aca="false">INDEX(Ipotesi!$C$55:$G$55,1,F223)*K223/12</f>
        <v>2000</v>
      </c>
      <c r="BV223" s="15" t="n">
        <f aca="false">INDEX(Ipotesi!$C$80:$G$80,1,F223)/12*Ipotesi!F126</f>
        <v>1666.66666666667</v>
      </c>
      <c r="BW223" s="15" t="n">
        <f aca="false">INDEX(Ipotesi!$C$82:$G$82,1,F223)/12</f>
        <v>1250</v>
      </c>
      <c r="BX223" s="15" t="n">
        <f aca="false">INDEX(Ipotesi!$C$83:$G$83,1,F223)/12</f>
        <v>750</v>
      </c>
      <c r="BY223" s="15" t="n">
        <f aca="false">SUM(S223:U223)*(Ipotesi!$C$85+Ipotesi!$C$86)/12</f>
        <v>2479.16666666667</v>
      </c>
      <c r="BZ223" s="15" t="n">
        <f aca="false">AM223*Ipotesi!$C$87</f>
        <v>1367.4375</v>
      </c>
      <c r="CA223" s="15" t="n">
        <f aca="false">AB223+BJ223+BL223+BN223+BO223+AR223+BP223+BQ223+BR223+BS223+BT223</f>
        <v>150034.068085315</v>
      </c>
      <c r="CB223" s="15" t="n">
        <f aca="false">AC223+BK223+BM223+BH223+BU223+BV223+AS223+BW223+BX223+BY223+BZ223</f>
        <v>55434.5067083333</v>
      </c>
      <c r="CC223" s="15" t="n">
        <f aca="false">BI223-CA223</f>
        <v>-88713.9880116353</v>
      </c>
      <c r="CD223" s="15" t="n">
        <f aca="false">AM223-CB223</f>
        <v>-9853.25670833333</v>
      </c>
      <c r="CE223" s="15" t="n">
        <f aca="false">INDEX(Ipotesi!$C$79:$G$79,1,F223)/12</f>
        <v>3333.33333333333</v>
      </c>
      <c r="CF223" s="15" t="n">
        <f aca="false">INDEX(Ipotesi!$C$84:$G$84,1,F223)/12</f>
        <v>666.666666666667</v>
      </c>
      <c r="CG223" s="15" t="n">
        <f aca="false">Y223*MAX(0,Parametri_v3!$C$12-IF(P223=0,0,MIN(1,BE223/(P223*Parametri_v3!$C$22))))+W223*Parametri_v3!$C$13+X223*Parametri_v3!$C$14</f>
        <v>33924.0430904586</v>
      </c>
      <c r="CH223" s="15" t="n">
        <f aca="false">AB223*Parametri_v3!$C$32</f>
        <v>4823.65419791667</v>
      </c>
      <c r="CI223" s="15" t="n">
        <f aca="false">AC223*Parametri_v3!$C$32</f>
        <v>1691.45033541667</v>
      </c>
      <c r="CJ223" s="15" t="n">
        <f aca="false">CA223-AB223</f>
        <v>53560.9841269819</v>
      </c>
      <c r="CK223" s="15" t="n">
        <f aca="false">CB223-AC223-BH223</f>
        <v>17047.375</v>
      </c>
      <c r="CL223" s="15" t="n">
        <f aca="false">BF223*Ipotesi!$C$73+INDEX(Ipotesi!$C$72:$G$72,1,F223)/12*Ipotesi!F126*Parametri_v3!$C$58+Z223*(1-Parametri_v3!$C$16)</f>
        <v>9373.4457808944</v>
      </c>
      <c r="CM223" s="16" t="n">
        <f aca="false">IF(BF223=0,0,1-CL223/BF223)</f>
        <v>0.620672669883535</v>
      </c>
    </row>
    <row r="224" customFormat="false" ht="18" hidden="false" customHeight="true" outlineLevel="0" collapsed="false">
      <c r="A224" s="68" t="n">
        <f aca="false">4</f>
        <v>4</v>
      </c>
      <c r="B224" s="68" t="n">
        <f aca="false">40</f>
        <v>40</v>
      </c>
      <c r="C224" s="18" t="n">
        <f aca="false">EDATE(Parametri_v3!$C$5,40-1)</f>
        <v>47574</v>
      </c>
      <c r="D224" s="68" t="n">
        <f aca="false">YEAR(C224)</f>
        <v>2030</v>
      </c>
      <c r="E224" s="68" t="n">
        <f aca="false">MONTH(C224)</f>
        <v>4</v>
      </c>
      <c r="F224" s="68" t="n">
        <f aca="false">INT((40-1)/12)+1</f>
        <v>4</v>
      </c>
      <c r="G224" s="15" t="n">
        <f aca="false">Ipotesi!F7</f>
        <v>0.55</v>
      </c>
      <c r="H224" s="15" t="n">
        <f aca="false">Ipotesi!F9</f>
        <v>0.9</v>
      </c>
      <c r="I224" s="15" t="n">
        <f aca="false">Ipotesi!F10</f>
        <v>1</v>
      </c>
      <c r="J224" s="15" t="n">
        <f aca="false">Ipotesi!F11</f>
        <v>1</v>
      </c>
      <c r="K224" s="15" t="n">
        <f aca="false">Ipotesi!F12</f>
        <v>1</v>
      </c>
      <c r="L224" s="15" t="n">
        <f aca="false">Ipotesi!F13</f>
        <v>120</v>
      </c>
      <c r="M224" s="17" t="n">
        <f aca="false">INDEX(Ipotesi!$C$40:$G$40,1,F224)</f>
        <v>1</v>
      </c>
      <c r="N224" s="17" t="n">
        <f aca="false">INDEX(Ipotesi!$C$41:$G$41,1,F224)</f>
        <v>1</v>
      </c>
      <c r="O224" s="17" t="n">
        <f aca="false">INDEX(Ipotesi!$C$42:$G$42,1,F224)*Ipotesi!F125</f>
        <v>6.5</v>
      </c>
      <c r="P224" s="17" t="n">
        <f aca="false">INDEX(Ipotesi!$C$43:$G$43,1,F224)*I224</f>
        <v>6</v>
      </c>
      <c r="Q224" s="17" t="n">
        <f aca="false">INDEX(Ipotesi!$C$44:$G$44,1,F224)*I224</f>
        <v>5</v>
      </c>
      <c r="R224" s="17" t="n">
        <f aca="false">INDEX(Ipotesi!$C$45:$G$45,1,F224)*I224</f>
        <v>1.5</v>
      </c>
      <c r="S224" s="17" t="n">
        <f aca="false">INDEX(Ipotesi!$C$52:$G$52,1,F224)*Ipotesi!F125</f>
        <v>7</v>
      </c>
      <c r="T224" s="17" t="n">
        <f aca="false">INDEX(Ipotesi!$C$53:$G$53,1,F224)*I224</f>
        <v>1</v>
      </c>
      <c r="U224" s="17" t="n">
        <f aca="false">INDEX(Ipotesi!$C$54:$G$54,1,F224)*I224</f>
        <v>0.5</v>
      </c>
      <c r="V224" s="15" t="n">
        <f aca="false">M224*INDEX(Ipotesi!$C$58:$G$58,1,F224)*K224/12</f>
        <v>7916.66666666667</v>
      </c>
      <c r="W224" s="15" t="n">
        <f aca="false">N224*Ipotesi!$C$59*(1+Ipotesi!$C$66)^(F224-1)/12</f>
        <v>6374.24083333333</v>
      </c>
      <c r="X224" s="15" t="n">
        <f aca="false">O224*Ipotesi!$C$60*(1+Ipotesi!$C$66)^(F224-1)/12</f>
        <v>29594.6895833333</v>
      </c>
      <c r="Y224" s="15" t="n">
        <f aca="false">P224*Ipotesi!$C$61*(1+Ipotesi!$C$66)^(F224-1)/12</f>
        <v>27318.175</v>
      </c>
      <c r="Z224" s="15" t="n">
        <f aca="false">Q224*Ipotesi!$C$62*(1+Ipotesi!$C$66)^(F224-1)/12</f>
        <v>20488.63125</v>
      </c>
      <c r="AA224" s="15" t="n">
        <f aca="false">R224*Ipotesi!$C$63*(1+Ipotesi!$C$66)^(F224-1)/12</f>
        <v>4780.680625</v>
      </c>
      <c r="AB224" s="15" t="n">
        <f aca="false">SUM(V224:AA224)</f>
        <v>96473.0839583333</v>
      </c>
      <c r="AC224" s="15" t="n">
        <f aca="false">(S224*Ipotesi!$C$64+T224*Ipotesi!$C$65+U224*Ipotesi!$C$63)*(1+Ipotesi!$C$66)^(F224-1)/12</f>
        <v>33829.0067083333</v>
      </c>
      <c r="AD224" s="15" t="n">
        <f aca="false">INDEX(Ipotesi!$C$48:$G$48,1,F224)*G224/12</f>
        <v>43.5416666666667</v>
      </c>
      <c r="AE224" s="15" t="n">
        <f aca="false">INDEX(Ipotesi!$C$50:$G$50,1,F224)*G224/12</f>
        <v>4.58333333333333</v>
      </c>
      <c r="AF224" s="15" t="n">
        <f aca="false">(S224*Parametri_v3!$C$7*Parametri_v3!$C$8+Parametri_v3!$C$10)/12</f>
        <v>89.8333333333333</v>
      </c>
      <c r="AG224" s="15" t="n">
        <f aca="false">AD224+AE224*(1+Parametri_v3!$C$9)</f>
        <v>50.4166666666667</v>
      </c>
      <c r="AH224" s="16" t="n">
        <f aca="false">IF(AG224=0,1,MIN(1,AF224/AG224))</f>
        <v>1</v>
      </c>
      <c r="AI224" s="15" t="n">
        <f aca="false">AD224*AH224</f>
        <v>43.5416666666667</v>
      </c>
      <c r="AJ224" s="15" t="n">
        <f aca="false">AE224*AH224</f>
        <v>4.58333333333333</v>
      </c>
      <c r="AK224" s="15" t="n">
        <f aca="false">AI224*INDEX(Ipotesi!$C$49:$G$49,1,F224)*H224</f>
        <v>35268.75</v>
      </c>
      <c r="AL224" s="15" t="n">
        <f aca="false">AJ224*INDEX(Ipotesi!$C$51:$G$51,1,F224)*H224</f>
        <v>10312.5</v>
      </c>
      <c r="AM224" s="15" t="n">
        <f aca="false">AK224+AL224</f>
        <v>45581.25</v>
      </c>
      <c r="AN224" s="15" t="n">
        <f aca="false">INDEX(Ipotesi!$C$30:$G$30,1,F224)*G224/12</f>
        <v>33.9166666666667</v>
      </c>
      <c r="AO224" s="15" t="n">
        <f aca="false">O224*Parametri_v3!$C$7*Parametri_v3!$C$11*(1-Parametri_v3!$C$14)/12</f>
        <v>66.7333333333333</v>
      </c>
      <c r="AP224" s="15" t="n">
        <f aca="false">MIN(AN224,AO224)</f>
        <v>33.9166666666667</v>
      </c>
      <c r="AQ224" s="15" t="n">
        <f aca="false">AP224*INDEX(Ipotesi!$C$31:$G$31,1,F224)*H224</f>
        <v>32051.25</v>
      </c>
      <c r="AR224" s="15" t="n">
        <f aca="false">INDEX(Ipotesi!$C$75:$G$75,1,F224)*J224/12</f>
        <v>27916.6666666667</v>
      </c>
      <c r="AS224" s="15" t="n">
        <f aca="false">INDEX(Ipotesi!$C$81:$G$81,1,F224)*J224/12</f>
        <v>1666.66666666667</v>
      </c>
      <c r="AT224" s="15" t="n">
        <f aca="false">AR224*Parametri_v3!$C$15+Z224*Parametri_v3!$C$16</f>
        <v>42258.7085416667</v>
      </c>
      <c r="AU224" s="15" t="n">
        <f aca="false">Q224*Parametri_v3!$C$16*Parametri_v3!$C$17</f>
        <v>350</v>
      </c>
      <c r="AV224" s="17" t="n">
        <f aca="false">BD223</f>
        <v>56.6764931910858</v>
      </c>
      <c r="AW224" s="17" t="n">
        <f aca="false">AV224*(1-(1-INDEX(Ipotesi!$C$34:$G$34,1,F224))^(1/12))</f>
        <v>0.49544385375299</v>
      </c>
      <c r="AX224" s="15" t="n">
        <f aca="false">ROUND(INDEX(Ipotesi!$C$32:$G$32,1,F224)*Ipotesi!F8,0)</f>
        <v>109</v>
      </c>
      <c r="AY224" s="15" t="n">
        <f aca="false">MAX(0,(AX224-(AV224-AW224))/(13-E224))</f>
        <v>5.86877229585191</v>
      </c>
      <c r="AZ224" s="15" t="n">
        <f aca="false">MIN(P224*Parametri_v3!$C$22,Q224*(1-Parametri_v3!$C$16)*Parametri_v3!$C$23)</f>
        <v>225</v>
      </c>
      <c r="BA224" s="15" t="n">
        <f aca="false">IF(OR(INDEX(Ipotesi!$C$35:$G$35,1,F224)&lt;=0,40-Parametri_v3!$C$21&lt;1),0,INDEX($AT$185:$AT$244,MAX(1,40-Parametri_v3!$C$21))/(INDEX(Ipotesi!$C$35:$G$35,1,F224)*Ipotesi!F27))</f>
        <v>5.41778314636752</v>
      </c>
      <c r="BB224" s="15" t="n">
        <f aca="false">IF(40-Parametri_v3!$C$21&lt;1,0,INDEX($AU$185:$AU$244,MAX(1,40-Parametri_v3!$C$21)))*Parametri_v3!$C$18*Parametri_v3!$C$19*Parametri_v3!$C$20</f>
        <v>13.125</v>
      </c>
      <c r="BC224" s="17" t="n">
        <f aca="false">MAX(0,MIN(AY224,BA224,BB224,MAX(0,AZ224-(AV224-AW224))))</f>
        <v>5.41778314636752</v>
      </c>
      <c r="BD224" s="17" t="n">
        <f aca="false">AV224-AW224+BC224</f>
        <v>61.5988324837003</v>
      </c>
      <c r="BE224" s="17" t="n">
        <f aca="false">(AV224+BD224)/2</f>
        <v>59.1376628373931</v>
      </c>
      <c r="BF224" s="15" t="n">
        <f aca="false">BE224*INDEX(Ipotesi!$C$33:$G$33,1,F224)*H224/12</f>
        <v>26611.9482768269</v>
      </c>
      <c r="BG224" s="15" t="n">
        <f aca="false">BD224*INDEX(Ipotesi!$C$33:$G$33,1,F224)*H224</f>
        <v>332633.695411982</v>
      </c>
      <c r="BH224" s="15" t="n">
        <f aca="false">AM224*INDEX(Ipotesi!$C$37:$G$37,1,F224)</f>
        <v>4558.125</v>
      </c>
      <c r="BI224" s="15" t="n">
        <f aca="false">AQ224+BF224+BH224</f>
        <v>63221.3232768269</v>
      </c>
      <c r="BJ224" s="15" t="n">
        <f aca="false">INDEX(Ipotesi!$C$68:$G$68,1,F224)*Ipotesi!$C$69/12</f>
        <v>3000</v>
      </c>
      <c r="BK224" s="15" t="n">
        <f aca="false">INDEX(Ipotesi!$C$68:$G$68,1,F224)*(1-Ipotesi!$C$69)/12</f>
        <v>4500</v>
      </c>
      <c r="BL224" s="15" t="n">
        <f aca="false">(AQ224+BF224)*Ipotesi!$C$67</f>
        <v>1759.89594830481</v>
      </c>
      <c r="BM224" s="15" t="n">
        <f aca="false">AM224*Ipotesi!$C$67</f>
        <v>1367.4375</v>
      </c>
      <c r="BN224" s="15" t="n">
        <f aca="false">INDEX(Ipotesi!$C$72:$G$72,1,F224)/12*Ipotesi!F126+BF224*Ipotesi!$C$73</f>
        <v>3378.95586214615</v>
      </c>
      <c r="BO224" s="15" t="n">
        <f aca="false">INDEX(Ipotesi!$C$74:$G$74,1,F224)/12*Ipotesi!F126</f>
        <v>4166.66666666667</v>
      </c>
      <c r="BP224" s="15" t="n">
        <f aca="false">INDEX(Ipotesi!$C$76:$G$76,1,F224)/12</f>
        <v>1500</v>
      </c>
      <c r="BQ224" s="15" t="n">
        <f aca="false">INDEX(Ipotesi!$C$77:$G$77,1,F224)/12*Ipotesi!F126</f>
        <v>2083.33333333333</v>
      </c>
      <c r="BR224" s="15" t="n">
        <f aca="false">INDEX(Ipotesi!$C$78:$G$78,1,F224)/12</f>
        <v>2000</v>
      </c>
      <c r="BS224" s="15" t="n">
        <f aca="false">SUM(M224:R224)*(Ipotesi!$C$85+Ipotesi!$C$86)/12</f>
        <v>6125</v>
      </c>
      <c r="BT224" s="15" t="n">
        <f aca="false">BI224*Ipotesi!$C$87</f>
        <v>1896.63969830481</v>
      </c>
      <c r="BU224" s="15" t="n">
        <f aca="false">INDEX(Ipotesi!$C$55:$G$55,1,F224)*K224/12</f>
        <v>2000</v>
      </c>
      <c r="BV224" s="15" t="n">
        <f aca="false">INDEX(Ipotesi!$C$80:$G$80,1,F224)/12*Ipotesi!F126</f>
        <v>1666.66666666667</v>
      </c>
      <c r="BW224" s="15" t="n">
        <f aca="false">INDEX(Ipotesi!$C$82:$G$82,1,F224)/12</f>
        <v>1250</v>
      </c>
      <c r="BX224" s="15" t="n">
        <f aca="false">INDEX(Ipotesi!$C$83:$G$83,1,F224)/12</f>
        <v>750</v>
      </c>
      <c r="BY224" s="15" t="n">
        <f aca="false">SUM(S224:U224)*(Ipotesi!$C$85+Ipotesi!$C$86)/12</f>
        <v>2479.16666666667</v>
      </c>
      <c r="BZ224" s="15" t="n">
        <f aca="false">AM224*Ipotesi!$C$87</f>
        <v>1367.4375</v>
      </c>
      <c r="CA224" s="15" t="n">
        <f aca="false">AB224+BJ224+BL224+BN224+BO224+AR224+BP224+BQ224+BR224+BS224+BT224</f>
        <v>150300.242133756</v>
      </c>
      <c r="CB224" s="15" t="n">
        <f aca="false">AC224+BK224+BM224+BH224+BU224+BV224+AS224+BW224+BX224+BY224+BZ224</f>
        <v>55434.5067083333</v>
      </c>
      <c r="CC224" s="15" t="n">
        <f aca="false">BI224-CA224</f>
        <v>-87078.9188569289</v>
      </c>
      <c r="CD224" s="15" t="n">
        <f aca="false">AM224-CB224</f>
        <v>-9853.25670833333</v>
      </c>
      <c r="CE224" s="15" t="n">
        <f aca="false">INDEX(Ipotesi!$C$79:$G$79,1,F224)/12</f>
        <v>3333.33333333333</v>
      </c>
      <c r="CF224" s="15" t="n">
        <f aca="false">INDEX(Ipotesi!$C$84:$G$84,1,F224)/12</f>
        <v>666.666666666667</v>
      </c>
      <c r="CG224" s="15" t="n">
        <f aca="false">Y224*MAX(0,Parametri_v3!$C$12-IF(P224=0,0,MIN(1,BE224/(P224*Parametri_v3!$C$22))))+W224*Parametri_v3!$C$13+X224*Parametri_v3!$C$14</f>
        <v>33731.6782958618</v>
      </c>
      <c r="CH224" s="15" t="n">
        <f aca="false">AB224*Parametri_v3!$C$32</f>
        <v>4823.65419791667</v>
      </c>
      <c r="CI224" s="15" t="n">
        <f aca="false">AC224*Parametri_v3!$C$32</f>
        <v>1691.45033541667</v>
      </c>
      <c r="CJ224" s="15" t="n">
        <f aca="false">CA224-AB224</f>
        <v>53827.1581754225</v>
      </c>
      <c r="CK224" s="15" t="n">
        <f aca="false">CB224-AC224-BH224</f>
        <v>17047.375</v>
      </c>
      <c r="CL224" s="15" t="n">
        <f aca="false">BF224*Ipotesi!$C$73+INDEX(Ipotesi!$C$72:$G$72,1,F224)/12*Ipotesi!F126*Parametri_v3!$C$58+Z224*(1-Parametri_v3!$C$16)</f>
        <v>9525.54523714615</v>
      </c>
      <c r="CM224" s="16" t="n">
        <f aca="false">IF(BF224=0,0,1-CL224/BF224)</f>
        <v>0.642057577368704</v>
      </c>
    </row>
    <row r="225" customFormat="false" ht="18" hidden="false" customHeight="true" outlineLevel="0" collapsed="false">
      <c r="A225" s="68" t="n">
        <f aca="false">4</f>
        <v>4</v>
      </c>
      <c r="B225" s="68" t="n">
        <f aca="false">41</f>
        <v>41</v>
      </c>
      <c r="C225" s="18" t="n">
        <f aca="false">EDATE(Parametri_v3!$C$5,41-1)</f>
        <v>47604</v>
      </c>
      <c r="D225" s="68" t="n">
        <f aca="false">YEAR(C225)</f>
        <v>2030</v>
      </c>
      <c r="E225" s="68" t="n">
        <f aca="false">MONTH(C225)</f>
        <v>5</v>
      </c>
      <c r="F225" s="68" t="n">
        <f aca="false">INT((41-1)/12)+1</f>
        <v>4</v>
      </c>
      <c r="G225" s="15" t="n">
        <f aca="false">Ipotesi!F7</f>
        <v>0.55</v>
      </c>
      <c r="H225" s="15" t="n">
        <f aca="false">Ipotesi!F9</f>
        <v>0.9</v>
      </c>
      <c r="I225" s="15" t="n">
        <f aca="false">Ipotesi!F10</f>
        <v>1</v>
      </c>
      <c r="J225" s="15" t="n">
        <f aca="false">Ipotesi!F11</f>
        <v>1</v>
      </c>
      <c r="K225" s="15" t="n">
        <f aca="false">Ipotesi!F12</f>
        <v>1</v>
      </c>
      <c r="L225" s="15" t="n">
        <f aca="false">Ipotesi!F13</f>
        <v>120</v>
      </c>
      <c r="M225" s="17" t="n">
        <f aca="false">INDEX(Ipotesi!$C$40:$G$40,1,F225)</f>
        <v>1</v>
      </c>
      <c r="N225" s="17" t="n">
        <f aca="false">INDEX(Ipotesi!$C$41:$G$41,1,F225)</f>
        <v>1</v>
      </c>
      <c r="O225" s="17" t="n">
        <f aca="false">INDEX(Ipotesi!$C$42:$G$42,1,F225)*Ipotesi!F125</f>
        <v>6.5</v>
      </c>
      <c r="P225" s="17" t="n">
        <f aca="false">INDEX(Ipotesi!$C$43:$G$43,1,F225)*I225</f>
        <v>6</v>
      </c>
      <c r="Q225" s="17" t="n">
        <f aca="false">INDEX(Ipotesi!$C$44:$G$44,1,F225)*I225</f>
        <v>5</v>
      </c>
      <c r="R225" s="17" t="n">
        <f aca="false">INDEX(Ipotesi!$C$45:$G$45,1,F225)*I225</f>
        <v>1.5</v>
      </c>
      <c r="S225" s="17" t="n">
        <f aca="false">INDEX(Ipotesi!$C$52:$G$52,1,F225)*Ipotesi!F125</f>
        <v>7</v>
      </c>
      <c r="T225" s="17" t="n">
        <f aca="false">INDEX(Ipotesi!$C$53:$G$53,1,F225)*I225</f>
        <v>1</v>
      </c>
      <c r="U225" s="17" t="n">
        <f aca="false">INDEX(Ipotesi!$C$54:$G$54,1,F225)*I225</f>
        <v>0.5</v>
      </c>
      <c r="V225" s="15" t="n">
        <f aca="false">M225*INDEX(Ipotesi!$C$58:$G$58,1,F225)*K225/12</f>
        <v>7916.66666666667</v>
      </c>
      <c r="W225" s="15" t="n">
        <f aca="false">N225*Ipotesi!$C$59*(1+Ipotesi!$C$66)^(F225-1)/12</f>
        <v>6374.24083333333</v>
      </c>
      <c r="X225" s="15" t="n">
        <f aca="false">O225*Ipotesi!$C$60*(1+Ipotesi!$C$66)^(F225-1)/12</f>
        <v>29594.6895833333</v>
      </c>
      <c r="Y225" s="15" t="n">
        <f aca="false">P225*Ipotesi!$C$61*(1+Ipotesi!$C$66)^(F225-1)/12</f>
        <v>27318.175</v>
      </c>
      <c r="Z225" s="15" t="n">
        <f aca="false">Q225*Ipotesi!$C$62*(1+Ipotesi!$C$66)^(F225-1)/12</f>
        <v>20488.63125</v>
      </c>
      <c r="AA225" s="15" t="n">
        <f aca="false">R225*Ipotesi!$C$63*(1+Ipotesi!$C$66)^(F225-1)/12</f>
        <v>4780.680625</v>
      </c>
      <c r="AB225" s="15" t="n">
        <f aca="false">SUM(V225:AA225)</f>
        <v>96473.0839583333</v>
      </c>
      <c r="AC225" s="15" t="n">
        <f aca="false">(S225*Ipotesi!$C$64+T225*Ipotesi!$C$65+U225*Ipotesi!$C$63)*(1+Ipotesi!$C$66)^(F225-1)/12</f>
        <v>33829.0067083333</v>
      </c>
      <c r="AD225" s="15" t="n">
        <f aca="false">INDEX(Ipotesi!$C$48:$G$48,1,F225)*G225/12</f>
        <v>43.5416666666667</v>
      </c>
      <c r="AE225" s="15" t="n">
        <f aca="false">INDEX(Ipotesi!$C$50:$G$50,1,F225)*G225/12</f>
        <v>4.58333333333333</v>
      </c>
      <c r="AF225" s="15" t="n">
        <f aca="false">(S225*Parametri_v3!$C$7*Parametri_v3!$C$8+Parametri_v3!$C$10)/12</f>
        <v>89.8333333333333</v>
      </c>
      <c r="AG225" s="15" t="n">
        <f aca="false">AD225+AE225*(1+Parametri_v3!$C$9)</f>
        <v>50.4166666666667</v>
      </c>
      <c r="AH225" s="16" t="n">
        <f aca="false">IF(AG225=0,1,MIN(1,AF225/AG225))</f>
        <v>1</v>
      </c>
      <c r="AI225" s="15" t="n">
        <f aca="false">AD225*AH225</f>
        <v>43.5416666666667</v>
      </c>
      <c r="AJ225" s="15" t="n">
        <f aca="false">AE225*AH225</f>
        <v>4.58333333333333</v>
      </c>
      <c r="AK225" s="15" t="n">
        <f aca="false">AI225*INDEX(Ipotesi!$C$49:$G$49,1,F225)*H225</f>
        <v>35268.75</v>
      </c>
      <c r="AL225" s="15" t="n">
        <f aca="false">AJ225*INDEX(Ipotesi!$C$51:$G$51,1,F225)*H225</f>
        <v>10312.5</v>
      </c>
      <c r="AM225" s="15" t="n">
        <f aca="false">AK225+AL225</f>
        <v>45581.25</v>
      </c>
      <c r="AN225" s="15" t="n">
        <f aca="false">INDEX(Ipotesi!$C$30:$G$30,1,F225)*G225/12</f>
        <v>33.9166666666667</v>
      </c>
      <c r="AO225" s="15" t="n">
        <f aca="false">O225*Parametri_v3!$C$7*Parametri_v3!$C$11*(1-Parametri_v3!$C$14)/12</f>
        <v>66.7333333333333</v>
      </c>
      <c r="AP225" s="15" t="n">
        <f aca="false">MIN(AN225,AO225)</f>
        <v>33.9166666666667</v>
      </c>
      <c r="AQ225" s="15" t="n">
        <f aca="false">AP225*INDEX(Ipotesi!$C$31:$G$31,1,F225)*H225</f>
        <v>32051.25</v>
      </c>
      <c r="AR225" s="15" t="n">
        <f aca="false">INDEX(Ipotesi!$C$75:$G$75,1,F225)*J225/12</f>
        <v>27916.6666666667</v>
      </c>
      <c r="AS225" s="15" t="n">
        <f aca="false">INDEX(Ipotesi!$C$81:$G$81,1,F225)*J225/12</f>
        <v>1666.66666666667</v>
      </c>
      <c r="AT225" s="15" t="n">
        <f aca="false">AR225*Parametri_v3!$C$15+Z225*Parametri_v3!$C$16</f>
        <v>42258.7085416667</v>
      </c>
      <c r="AU225" s="15" t="n">
        <f aca="false">Q225*Parametri_v3!$C$16*Parametri_v3!$C$17</f>
        <v>350</v>
      </c>
      <c r="AV225" s="17" t="n">
        <f aca="false">BD224</f>
        <v>61.5988324837003</v>
      </c>
      <c r="AW225" s="17" t="n">
        <f aca="false">AV225*(1-(1-INDEX(Ipotesi!$C$34:$G$34,1,F225))^(1/12))</f>
        <v>0.538473028836043</v>
      </c>
      <c r="AX225" s="15" t="n">
        <f aca="false">ROUND(INDEX(Ipotesi!$C$32:$G$32,1,F225)*Ipotesi!F8,0)</f>
        <v>109</v>
      </c>
      <c r="AY225" s="15" t="n">
        <f aca="false">MAX(0,(AX225-(AV225-AW225))/(13-E225))</f>
        <v>5.99245506814196</v>
      </c>
      <c r="AZ225" s="15" t="n">
        <f aca="false">MIN(P225*Parametri_v3!$C$22,Q225*(1-Parametri_v3!$C$16)*Parametri_v3!$C$23)</f>
        <v>225</v>
      </c>
      <c r="BA225" s="15" t="n">
        <f aca="false">IF(OR(INDEX(Ipotesi!$C$35:$G$35,1,F225)&lt;=0,41-Parametri_v3!$C$21&lt;1),0,INDEX($AT$185:$AT$244,MAX(1,41-Parametri_v3!$C$21))/(INDEX(Ipotesi!$C$35:$G$35,1,F225)*Ipotesi!F27))</f>
        <v>5.41778314636752</v>
      </c>
      <c r="BB225" s="15" t="n">
        <f aca="false">IF(41-Parametri_v3!$C$21&lt;1,0,INDEX($AU$185:$AU$244,MAX(1,41-Parametri_v3!$C$21)))*Parametri_v3!$C$18*Parametri_v3!$C$19*Parametri_v3!$C$20</f>
        <v>13.125</v>
      </c>
      <c r="BC225" s="17" t="n">
        <f aca="false">MAX(0,MIN(AY225,BA225,BB225,MAX(0,AZ225-(AV225-AW225))))</f>
        <v>5.41778314636752</v>
      </c>
      <c r="BD225" s="17" t="n">
        <f aca="false">AV225-AW225+BC225</f>
        <v>66.4781426012318</v>
      </c>
      <c r="BE225" s="17" t="n">
        <f aca="false">(AV225+BD225)/2</f>
        <v>64.0384875424661</v>
      </c>
      <c r="BF225" s="15" t="n">
        <f aca="false">BE225*INDEX(Ipotesi!$C$33:$G$33,1,F225)*H225/12</f>
        <v>28817.3193941097</v>
      </c>
      <c r="BG225" s="15" t="n">
        <f aca="false">BD225*INDEX(Ipotesi!$C$33:$G$33,1,F225)*H225</f>
        <v>358981.970046652</v>
      </c>
      <c r="BH225" s="15" t="n">
        <f aca="false">AM225*INDEX(Ipotesi!$C$37:$G$37,1,F225)</f>
        <v>4558.125</v>
      </c>
      <c r="BI225" s="15" t="n">
        <f aca="false">AQ225+BF225+BH225</f>
        <v>65426.6943941097</v>
      </c>
      <c r="BJ225" s="15" t="n">
        <f aca="false">INDEX(Ipotesi!$C$68:$G$68,1,F225)*Ipotesi!$C$69/12</f>
        <v>3000</v>
      </c>
      <c r="BK225" s="15" t="n">
        <f aca="false">INDEX(Ipotesi!$C$68:$G$68,1,F225)*(1-Ipotesi!$C$69)/12</f>
        <v>4500</v>
      </c>
      <c r="BL225" s="15" t="n">
        <f aca="false">(AQ225+BF225)*Ipotesi!$C$67</f>
        <v>1826.05708182329</v>
      </c>
      <c r="BM225" s="15" t="n">
        <f aca="false">AM225*Ipotesi!$C$67</f>
        <v>1367.4375</v>
      </c>
      <c r="BN225" s="15" t="n">
        <f aca="false">INDEX(Ipotesi!$C$72:$G$72,1,F225)/12*Ipotesi!F126+BF225*Ipotesi!$C$73</f>
        <v>3555.38555152878</v>
      </c>
      <c r="BO225" s="15" t="n">
        <f aca="false">INDEX(Ipotesi!$C$74:$G$74,1,F225)/12*Ipotesi!F126</f>
        <v>4166.66666666667</v>
      </c>
      <c r="BP225" s="15" t="n">
        <f aca="false">INDEX(Ipotesi!$C$76:$G$76,1,F225)/12</f>
        <v>1500</v>
      </c>
      <c r="BQ225" s="15" t="n">
        <f aca="false">INDEX(Ipotesi!$C$77:$G$77,1,F225)/12*Ipotesi!F126</f>
        <v>2083.33333333333</v>
      </c>
      <c r="BR225" s="15" t="n">
        <f aca="false">INDEX(Ipotesi!$C$78:$G$78,1,F225)/12</f>
        <v>2000</v>
      </c>
      <c r="BS225" s="15" t="n">
        <f aca="false">SUM(M225:R225)*(Ipotesi!$C$85+Ipotesi!$C$86)/12</f>
        <v>6125</v>
      </c>
      <c r="BT225" s="15" t="n">
        <f aca="false">BI225*Ipotesi!$C$87</f>
        <v>1962.80083182329</v>
      </c>
      <c r="BU225" s="15" t="n">
        <f aca="false">INDEX(Ipotesi!$C$55:$G$55,1,F225)*K225/12</f>
        <v>2000</v>
      </c>
      <c r="BV225" s="15" t="n">
        <f aca="false">INDEX(Ipotesi!$C$80:$G$80,1,F225)/12*Ipotesi!F126</f>
        <v>1666.66666666667</v>
      </c>
      <c r="BW225" s="15" t="n">
        <f aca="false">INDEX(Ipotesi!$C$82:$G$82,1,F225)/12</f>
        <v>1250</v>
      </c>
      <c r="BX225" s="15" t="n">
        <f aca="false">INDEX(Ipotesi!$C$83:$G$83,1,F225)/12</f>
        <v>750</v>
      </c>
      <c r="BY225" s="15" t="n">
        <f aca="false">SUM(S225:U225)*(Ipotesi!$C$85+Ipotesi!$C$86)/12</f>
        <v>2479.16666666667</v>
      </c>
      <c r="BZ225" s="15" t="n">
        <f aca="false">AM225*Ipotesi!$C$87</f>
        <v>1367.4375</v>
      </c>
      <c r="CA225" s="15" t="n">
        <f aca="false">AB225+BJ225+BL225+BN225+BO225+AR225+BP225+BQ225+BR225+BS225+BT225</f>
        <v>150608.994090175</v>
      </c>
      <c r="CB225" s="15" t="n">
        <f aca="false">AC225+BK225+BM225+BH225+BU225+BV225+AS225+BW225+BX225+BY225+BZ225</f>
        <v>55434.5067083333</v>
      </c>
      <c r="CC225" s="15" t="n">
        <f aca="false">BI225-CA225</f>
        <v>-85182.2996960656</v>
      </c>
      <c r="CD225" s="15" t="n">
        <f aca="false">AM225-CB225</f>
        <v>-9853.25670833333</v>
      </c>
      <c r="CE225" s="15" t="n">
        <f aca="false">INDEX(Ipotesi!$C$79:$G$79,1,F225)/12</f>
        <v>3333.33333333333</v>
      </c>
      <c r="CF225" s="15" t="n">
        <f aca="false">INDEX(Ipotesi!$C$84:$G$84,1,F225)/12</f>
        <v>666.666666666667</v>
      </c>
      <c r="CG225" s="15" t="n">
        <f aca="false">Y225*MAX(0,Parametri_v3!$C$12-IF(P225=0,0,MIN(1,BE225/(P225*Parametri_v3!$C$22))))+W225*Parametri_v3!$C$13+X225*Parametri_v3!$C$14</f>
        <v>33508.5423176327</v>
      </c>
      <c r="CH225" s="15" t="n">
        <f aca="false">AB225*Parametri_v3!$C$32</f>
        <v>4823.65419791667</v>
      </c>
      <c r="CI225" s="15" t="n">
        <f aca="false">AC225*Parametri_v3!$C$32</f>
        <v>1691.45033541667</v>
      </c>
      <c r="CJ225" s="15" t="n">
        <f aca="false">CA225-AB225</f>
        <v>54135.910131842</v>
      </c>
      <c r="CK225" s="15" t="n">
        <f aca="false">CB225-AC225-BH225</f>
        <v>17047.375</v>
      </c>
      <c r="CL225" s="15" t="n">
        <f aca="false">BF225*Ipotesi!$C$73+INDEX(Ipotesi!$C$72:$G$72,1,F225)/12*Ipotesi!F126*Parametri_v3!$C$58+Z225*(1-Parametri_v3!$C$16)</f>
        <v>9701.97492652878</v>
      </c>
      <c r="CM225" s="16" t="n">
        <f aca="false">IF(BF225=0,0,1-CL225/BF225)</f>
        <v>0.663328334122852</v>
      </c>
    </row>
    <row r="226" customFormat="false" ht="18" hidden="false" customHeight="true" outlineLevel="0" collapsed="false">
      <c r="A226" s="68" t="n">
        <f aca="false">4</f>
        <v>4</v>
      </c>
      <c r="B226" s="68" t="n">
        <f aca="false">42</f>
        <v>42</v>
      </c>
      <c r="C226" s="18" t="n">
        <f aca="false">EDATE(Parametri_v3!$C$5,42-1)</f>
        <v>47635</v>
      </c>
      <c r="D226" s="68" t="n">
        <f aca="false">YEAR(C226)</f>
        <v>2030</v>
      </c>
      <c r="E226" s="68" t="n">
        <f aca="false">MONTH(C226)</f>
        <v>6</v>
      </c>
      <c r="F226" s="68" t="n">
        <f aca="false">INT((42-1)/12)+1</f>
        <v>4</v>
      </c>
      <c r="G226" s="15" t="n">
        <f aca="false">Ipotesi!F7</f>
        <v>0.55</v>
      </c>
      <c r="H226" s="15" t="n">
        <f aca="false">Ipotesi!F9</f>
        <v>0.9</v>
      </c>
      <c r="I226" s="15" t="n">
        <f aca="false">Ipotesi!F10</f>
        <v>1</v>
      </c>
      <c r="J226" s="15" t="n">
        <f aca="false">Ipotesi!F11</f>
        <v>1</v>
      </c>
      <c r="K226" s="15" t="n">
        <f aca="false">Ipotesi!F12</f>
        <v>1</v>
      </c>
      <c r="L226" s="15" t="n">
        <f aca="false">Ipotesi!F13</f>
        <v>120</v>
      </c>
      <c r="M226" s="17" t="n">
        <f aca="false">INDEX(Ipotesi!$C$40:$G$40,1,F226)</f>
        <v>1</v>
      </c>
      <c r="N226" s="17" t="n">
        <f aca="false">INDEX(Ipotesi!$C$41:$G$41,1,F226)</f>
        <v>1</v>
      </c>
      <c r="O226" s="17" t="n">
        <f aca="false">INDEX(Ipotesi!$C$42:$G$42,1,F226)*Ipotesi!F125</f>
        <v>6.5</v>
      </c>
      <c r="P226" s="17" t="n">
        <f aca="false">INDEX(Ipotesi!$C$43:$G$43,1,F226)*I226</f>
        <v>6</v>
      </c>
      <c r="Q226" s="17" t="n">
        <f aca="false">INDEX(Ipotesi!$C$44:$G$44,1,F226)*I226</f>
        <v>5</v>
      </c>
      <c r="R226" s="17" t="n">
        <f aca="false">INDEX(Ipotesi!$C$45:$G$45,1,F226)*I226</f>
        <v>1.5</v>
      </c>
      <c r="S226" s="17" t="n">
        <f aca="false">INDEX(Ipotesi!$C$52:$G$52,1,F226)*Ipotesi!F125</f>
        <v>7</v>
      </c>
      <c r="T226" s="17" t="n">
        <f aca="false">INDEX(Ipotesi!$C$53:$G$53,1,F226)*I226</f>
        <v>1</v>
      </c>
      <c r="U226" s="17" t="n">
        <f aca="false">INDEX(Ipotesi!$C$54:$G$54,1,F226)*I226</f>
        <v>0.5</v>
      </c>
      <c r="V226" s="15" t="n">
        <f aca="false">M226*INDEX(Ipotesi!$C$58:$G$58,1,F226)*K226/12</f>
        <v>7916.66666666667</v>
      </c>
      <c r="W226" s="15" t="n">
        <f aca="false">N226*Ipotesi!$C$59*(1+Ipotesi!$C$66)^(F226-1)/12</f>
        <v>6374.24083333333</v>
      </c>
      <c r="X226" s="15" t="n">
        <f aca="false">O226*Ipotesi!$C$60*(1+Ipotesi!$C$66)^(F226-1)/12</f>
        <v>29594.6895833333</v>
      </c>
      <c r="Y226" s="15" t="n">
        <f aca="false">P226*Ipotesi!$C$61*(1+Ipotesi!$C$66)^(F226-1)/12</f>
        <v>27318.175</v>
      </c>
      <c r="Z226" s="15" t="n">
        <f aca="false">Q226*Ipotesi!$C$62*(1+Ipotesi!$C$66)^(F226-1)/12</f>
        <v>20488.63125</v>
      </c>
      <c r="AA226" s="15" t="n">
        <f aca="false">R226*Ipotesi!$C$63*(1+Ipotesi!$C$66)^(F226-1)/12</f>
        <v>4780.680625</v>
      </c>
      <c r="AB226" s="15" t="n">
        <f aca="false">SUM(V226:AA226)</f>
        <v>96473.0839583333</v>
      </c>
      <c r="AC226" s="15" t="n">
        <f aca="false">(S226*Ipotesi!$C$64+T226*Ipotesi!$C$65+U226*Ipotesi!$C$63)*(1+Ipotesi!$C$66)^(F226-1)/12</f>
        <v>33829.0067083333</v>
      </c>
      <c r="AD226" s="15" t="n">
        <f aca="false">INDEX(Ipotesi!$C$48:$G$48,1,F226)*G226/12</f>
        <v>43.5416666666667</v>
      </c>
      <c r="AE226" s="15" t="n">
        <f aca="false">INDEX(Ipotesi!$C$50:$G$50,1,F226)*G226/12</f>
        <v>4.58333333333333</v>
      </c>
      <c r="AF226" s="15" t="n">
        <f aca="false">(S226*Parametri_v3!$C$7*Parametri_v3!$C$8+Parametri_v3!$C$10)/12</f>
        <v>89.8333333333333</v>
      </c>
      <c r="AG226" s="15" t="n">
        <f aca="false">AD226+AE226*(1+Parametri_v3!$C$9)</f>
        <v>50.4166666666667</v>
      </c>
      <c r="AH226" s="16" t="n">
        <f aca="false">IF(AG226=0,1,MIN(1,AF226/AG226))</f>
        <v>1</v>
      </c>
      <c r="AI226" s="15" t="n">
        <f aca="false">AD226*AH226</f>
        <v>43.5416666666667</v>
      </c>
      <c r="AJ226" s="15" t="n">
        <f aca="false">AE226*AH226</f>
        <v>4.58333333333333</v>
      </c>
      <c r="AK226" s="15" t="n">
        <f aca="false">AI226*INDEX(Ipotesi!$C$49:$G$49,1,F226)*H226</f>
        <v>35268.75</v>
      </c>
      <c r="AL226" s="15" t="n">
        <f aca="false">AJ226*INDEX(Ipotesi!$C$51:$G$51,1,F226)*H226</f>
        <v>10312.5</v>
      </c>
      <c r="AM226" s="15" t="n">
        <f aca="false">AK226+AL226</f>
        <v>45581.25</v>
      </c>
      <c r="AN226" s="15" t="n">
        <f aca="false">INDEX(Ipotesi!$C$30:$G$30,1,F226)*G226/12</f>
        <v>33.9166666666667</v>
      </c>
      <c r="AO226" s="15" t="n">
        <f aca="false">O226*Parametri_v3!$C$7*Parametri_v3!$C$11*(1-Parametri_v3!$C$14)/12</f>
        <v>66.7333333333333</v>
      </c>
      <c r="AP226" s="15" t="n">
        <f aca="false">MIN(AN226,AO226)</f>
        <v>33.9166666666667</v>
      </c>
      <c r="AQ226" s="15" t="n">
        <f aca="false">AP226*INDEX(Ipotesi!$C$31:$G$31,1,F226)*H226</f>
        <v>32051.25</v>
      </c>
      <c r="AR226" s="15" t="n">
        <f aca="false">INDEX(Ipotesi!$C$75:$G$75,1,F226)*J226/12</f>
        <v>27916.6666666667</v>
      </c>
      <c r="AS226" s="15" t="n">
        <f aca="false">INDEX(Ipotesi!$C$81:$G$81,1,F226)*J226/12</f>
        <v>1666.66666666667</v>
      </c>
      <c r="AT226" s="15" t="n">
        <f aca="false">AR226*Parametri_v3!$C$15+Z226*Parametri_v3!$C$16</f>
        <v>42258.7085416667</v>
      </c>
      <c r="AU226" s="15" t="n">
        <f aca="false">Q226*Parametri_v3!$C$16*Parametri_v3!$C$17</f>
        <v>350</v>
      </c>
      <c r="AV226" s="17" t="n">
        <f aca="false">BD225</f>
        <v>66.4781426012318</v>
      </c>
      <c r="AW226" s="17" t="n">
        <f aca="false">AV226*(1-(1-INDEX(Ipotesi!$C$34:$G$34,1,F226))^(1/12))</f>
        <v>0.581126059610819</v>
      </c>
      <c r="AX226" s="15" t="n">
        <f aca="false">ROUND(INDEX(Ipotesi!$C$32:$G$32,1,F226)*Ipotesi!F8,0)</f>
        <v>109</v>
      </c>
      <c r="AY226" s="15" t="n">
        <f aca="false">MAX(0,(AX226-(AV226-AW226))/(13-E226))</f>
        <v>6.15756906548272</v>
      </c>
      <c r="AZ226" s="15" t="n">
        <f aca="false">MIN(P226*Parametri_v3!$C$22,Q226*(1-Parametri_v3!$C$16)*Parametri_v3!$C$23)</f>
        <v>225</v>
      </c>
      <c r="BA226" s="15" t="n">
        <f aca="false">IF(OR(INDEX(Ipotesi!$C$35:$G$35,1,F226)&lt;=0,42-Parametri_v3!$C$21&lt;1),0,INDEX($AT$185:$AT$244,MAX(1,42-Parametri_v3!$C$21))/(INDEX(Ipotesi!$C$35:$G$35,1,F226)*Ipotesi!F27))</f>
        <v>5.41778314636752</v>
      </c>
      <c r="BB226" s="15" t="n">
        <f aca="false">IF(42-Parametri_v3!$C$21&lt;1,0,INDEX($AU$185:$AU$244,MAX(1,42-Parametri_v3!$C$21)))*Parametri_v3!$C$18*Parametri_v3!$C$19*Parametri_v3!$C$20</f>
        <v>13.125</v>
      </c>
      <c r="BC226" s="17" t="n">
        <f aca="false">MAX(0,MIN(AY226,BA226,BB226,MAX(0,AZ226-(AV226-AW226))))</f>
        <v>5.41778314636752</v>
      </c>
      <c r="BD226" s="17" t="n">
        <f aca="false">AV226-AW226+BC226</f>
        <v>71.3147996879885</v>
      </c>
      <c r="BE226" s="17" t="n">
        <f aca="false">(AV226+BD226)/2</f>
        <v>68.8964711446102</v>
      </c>
      <c r="BF226" s="15" t="n">
        <f aca="false">BE226*INDEX(Ipotesi!$C$33:$G$33,1,F226)*H226/12</f>
        <v>31003.4120150746</v>
      </c>
      <c r="BG226" s="15" t="n">
        <f aca="false">BD226*INDEX(Ipotesi!$C$33:$G$33,1,F226)*H226</f>
        <v>385099.918315138</v>
      </c>
      <c r="BH226" s="15" t="n">
        <f aca="false">AM226*INDEX(Ipotesi!$C$37:$G$37,1,F226)</f>
        <v>4558.125</v>
      </c>
      <c r="BI226" s="15" t="n">
        <f aca="false">AQ226+BF226+BH226</f>
        <v>67612.7870150746</v>
      </c>
      <c r="BJ226" s="15" t="n">
        <f aca="false">INDEX(Ipotesi!$C$68:$G$68,1,F226)*Ipotesi!$C$69/12</f>
        <v>3000</v>
      </c>
      <c r="BK226" s="15" t="n">
        <f aca="false">INDEX(Ipotesi!$C$68:$G$68,1,F226)*(1-Ipotesi!$C$69)/12</f>
        <v>4500</v>
      </c>
      <c r="BL226" s="15" t="n">
        <f aca="false">(AQ226+BF226)*Ipotesi!$C$67</f>
        <v>1891.63986045224</v>
      </c>
      <c r="BM226" s="15" t="n">
        <f aca="false">AM226*Ipotesi!$C$67</f>
        <v>1367.4375</v>
      </c>
      <c r="BN226" s="15" t="n">
        <f aca="false">INDEX(Ipotesi!$C$72:$G$72,1,F226)/12*Ipotesi!F126+BF226*Ipotesi!$C$73</f>
        <v>3730.27296120597</v>
      </c>
      <c r="BO226" s="15" t="n">
        <f aca="false">INDEX(Ipotesi!$C$74:$G$74,1,F226)/12*Ipotesi!F126</f>
        <v>4166.66666666667</v>
      </c>
      <c r="BP226" s="15" t="n">
        <f aca="false">INDEX(Ipotesi!$C$76:$G$76,1,F226)/12</f>
        <v>1500</v>
      </c>
      <c r="BQ226" s="15" t="n">
        <f aca="false">INDEX(Ipotesi!$C$77:$G$77,1,F226)/12*Ipotesi!F126</f>
        <v>2083.33333333333</v>
      </c>
      <c r="BR226" s="15" t="n">
        <f aca="false">INDEX(Ipotesi!$C$78:$G$78,1,F226)/12</f>
        <v>2000</v>
      </c>
      <c r="BS226" s="15" t="n">
        <f aca="false">SUM(M226:R226)*(Ipotesi!$C$85+Ipotesi!$C$86)/12</f>
        <v>6125</v>
      </c>
      <c r="BT226" s="15" t="n">
        <f aca="false">BI226*Ipotesi!$C$87</f>
        <v>2028.38361045224</v>
      </c>
      <c r="BU226" s="15" t="n">
        <f aca="false">INDEX(Ipotesi!$C$55:$G$55,1,F226)*K226/12</f>
        <v>2000</v>
      </c>
      <c r="BV226" s="15" t="n">
        <f aca="false">INDEX(Ipotesi!$C$80:$G$80,1,F226)/12*Ipotesi!F126</f>
        <v>1666.66666666667</v>
      </c>
      <c r="BW226" s="15" t="n">
        <f aca="false">INDEX(Ipotesi!$C$82:$G$82,1,F226)/12</f>
        <v>1250</v>
      </c>
      <c r="BX226" s="15" t="n">
        <f aca="false">INDEX(Ipotesi!$C$83:$G$83,1,F226)/12</f>
        <v>750</v>
      </c>
      <c r="BY226" s="15" t="n">
        <f aca="false">SUM(S226:U226)*(Ipotesi!$C$85+Ipotesi!$C$86)/12</f>
        <v>2479.16666666667</v>
      </c>
      <c r="BZ226" s="15" t="n">
        <f aca="false">AM226*Ipotesi!$C$87</f>
        <v>1367.4375</v>
      </c>
      <c r="CA226" s="15" t="n">
        <f aca="false">AB226+BJ226+BL226+BN226+BO226+AR226+BP226+BQ226+BR226+BS226+BT226</f>
        <v>150915.04705711</v>
      </c>
      <c r="CB226" s="15" t="n">
        <f aca="false">AC226+BK226+BM226+BH226+BU226+BV226+AS226+BW226+BX226+BY226+BZ226</f>
        <v>55434.5067083333</v>
      </c>
      <c r="CC226" s="15" t="n">
        <f aca="false">BI226-CA226</f>
        <v>-83302.2600420359</v>
      </c>
      <c r="CD226" s="15" t="n">
        <f aca="false">AM226-CB226</f>
        <v>-9853.25670833333</v>
      </c>
      <c r="CE226" s="15" t="n">
        <f aca="false">INDEX(Ipotesi!$C$79:$G$79,1,F226)/12</f>
        <v>3333.33333333333</v>
      </c>
      <c r="CF226" s="15" t="n">
        <f aca="false">INDEX(Ipotesi!$C$84:$G$84,1,F226)/12</f>
        <v>666.666666666667</v>
      </c>
      <c r="CG226" s="15" t="n">
        <f aca="false">Y226*MAX(0,Parametri_v3!$C$12-IF(P226=0,0,MIN(1,BE226/(P226*Parametri_v3!$C$22))))+W226*Parametri_v3!$C$13+X226*Parametri_v3!$C$14</f>
        <v>33287.3569073152</v>
      </c>
      <c r="CH226" s="15" t="n">
        <f aca="false">AB226*Parametri_v3!$C$32</f>
        <v>4823.65419791667</v>
      </c>
      <c r="CI226" s="15" t="n">
        <f aca="false">AC226*Parametri_v3!$C$32</f>
        <v>1691.45033541667</v>
      </c>
      <c r="CJ226" s="15" t="n">
        <f aca="false">CA226-AB226</f>
        <v>54441.9630987771</v>
      </c>
      <c r="CK226" s="15" t="n">
        <f aca="false">CB226-AC226-BH226</f>
        <v>17047.375</v>
      </c>
      <c r="CL226" s="15" t="n">
        <f aca="false">BF226*Ipotesi!$C$73+INDEX(Ipotesi!$C$72:$G$72,1,F226)/12*Ipotesi!F126*Parametri_v3!$C$58+Z226*(1-Parametri_v3!$C$16)</f>
        <v>9876.86233620597</v>
      </c>
      <c r="CM226" s="16" t="n">
        <f aca="false">IF(BF226=0,0,1-CL226/BF226)</f>
        <v>0.681426601323635</v>
      </c>
    </row>
    <row r="227" customFormat="false" ht="18" hidden="false" customHeight="true" outlineLevel="0" collapsed="false">
      <c r="A227" s="68" t="n">
        <f aca="false">4</f>
        <v>4</v>
      </c>
      <c r="B227" s="68" t="n">
        <f aca="false">43</f>
        <v>43</v>
      </c>
      <c r="C227" s="18" t="n">
        <f aca="false">EDATE(Parametri_v3!$C$5,43-1)</f>
        <v>47665</v>
      </c>
      <c r="D227" s="68" t="n">
        <f aca="false">YEAR(C227)</f>
        <v>2030</v>
      </c>
      <c r="E227" s="68" t="n">
        <f aca="false">MONTH(C227)</f>
        <v>7</v>
      </c>
      <c r="F227" s="68" t="n">
        <f aca="false">INT((43-1)/12)+1</f>
        <v>4</v>
      </c>
      <c r="G227" s="15" t="n">
        <f aca="false">Ipotesi!F7</f>
        <v>0.55</v>
      </c>
      <c r="H227" s="15" t="n">
        <f aca="false">Ipotesi!F9</f>
        <v>0.9</v>
      </c>
      <c r="I227" s="15" t="n">
        <f aca="false">Ipotesi!F10</f>
        <v>1</v>
      </c>
      <c r="J227" s="15" t="n">
        <f aca="false">Ipotesi!F11</f>
        <v>1</v>
      </c>
      <c r="K227" s="15" t="n">
        <f aca="false">Ipotesi!F12</f>
        <v>1</v>
      </c>
      <c r="L227" s="15" t="n">
        <f aca="false">Ipotesi!F13</f>
        <v>120</v>
      </c>
      <c r="M227" s="17" t="n">
        <f aca="false">INDEX(Ipotesi!$C$40:$G$40,1,F227)</f>
        <v>1</v>
      </c>
      <c r="N227" s="17" t="n">
        <f aca="false">INDEX(Ipotesi!$C$41:$G$41,1,F227)</f>
        <v>1</v>
      </c>
      <c r="O227" s="17" t="n">
        <f aca="false">INDEX(Ipotesi!$C$42:$G$42,1,F227)*Ipotesi!F125</f>
        <v>6.5</v>
      </c>
      <c r="P227" s="17" t="n">
        <f aca="false">INDEX(Ipotesi!$C$43:$G$43,1,F227)*I227</f>
        <v>6</v>
      </c>
      <c r="Q227" s="17" t="n">
        <f aca="false">INDEX(Ipotesi!$C$44:$G$44,1,F227)*I227</f>
        <v>5</v>
      </c>
      <c r="R227" s="17" t="n">
        <f aca="false">INDEX(Ipotesi!$C$45:$G$45,1,F227)*I227</f>
        <v>1.5</v>
      </c>
      <c r="S227" s="17" t="n">
        <f aca="false">INDEX(Ipotesi!$C$52:$G$52,1,F227)*Ipotesi!F125</f>
        <v>7</v>
      </c>
      <c r="T227" s="17" t="n">
        <f aca="false">INDEX(Ipotesi!$C$53:$G$53,1,F227)*I227</f>
        <v>1</v>
      </c>
      <c r="U227" s="17" t="n">
        <f aca="false">INDEX(Ipotesi!$C$54:$G$54,1,F227)*I227</f>
        <v>0.5</v>
      </c>
      <c r="V227" s="15" t="n">
        <f aca="false">M227*INDEX(Ipotesi!$C$58:$G$58,1,F227)*K227/12</f>
        <v>7916.66666666667</v>
      </c>
      <c r="W227" s="15" t="n">
        <f aca="false">N227*Ipotesi!$C$59*(1+Ipotesi!$C$66)^(F227-1)/12</f>
        <v>6374.24083333333</v>
      </c>
      <c r="X227" s="15" t="n">
        <f aca="false">O227*Ipotesi!$C$60*(1+Ipotesi!$C$66)^(F227-1)/12</f>
        <v>29594.6895833333</v>
      </c>
      <c r="Y227" s="15" t="n">
        <f aca="false">P227*Ipotesi!$C$61*(1+Ipotesi!$C$66)^(F227-1)/12</f>
        <v>27318.175</v>
      </c>
      <c r="Z227" s="15" t="n">
        <f aca="false">Q227*Ipotesi!$C$62*(1+Ipotesi!$C$66)^(F227-1)/12</f>
        <v>20488.63125</v>
      </c>
      <c r="AA227" s="15" t="n">
        <f aca="false">R227*Ipotesi!$C$63*(1+Ipotesi!$C$66)^(F227-1)/12</f>
        <v>4780.680625</v>
      </c>
      <c r="AB227" s="15" t="n">
        <f aca="false">SUM(V227:AA227)</f>
        <v>96473.0839583333</v>
      </c>
      <c r="AC227" s="15" t="n">
        <f aca="false">(S227*Ipotesi!$C$64+T227*Ipotesi!$C$65+U227*Ipotesi!$C$63)*(1+Ipotesi!$C$66)^(F227-1)/12</f>
        <v>33829.0067083333</v>
      </c>
      <c r="AD227" s="15" t="n">
        <f aca="false">INDEX(Ipotesi!$C$48:$G$48,1,F227)*G227/12</f>
        <v>43.5416666666667</v>
      </c>
      <c r="AE227" s="15" t="n">
        <f aca="false">INDEX(Ipotesi!$C$50:$G$50,1,F227)*G227/12</f>
        <v>4.58333333333333</v>
      </c>
      <c r="AF227" s="15" t="n">
        <f aca="false">(S227*Parametri_v3!$C$7*Parametri_v3!$C$8+Parametri_v3!$C$10)/12</f>
        <v>89.8333333333333</v>
      </c>
      <c r="AG227" s="15" t="n">
        <f aca="false">AD227+AE227*(1+Parametri_v3!$C$9)</f>
        <v>50.4166666666667</v>
      </c>
      <c r="AH227" s="16" t="n">
        <f aca="false">IF(AG227=0,1,MIN(1,AF227/AG227))</f>
        <v>1</v>
      </c>
      <c r="AI227" s="15" t="n">
        <f aca="false">AD227*AH227</f>
        <v>43.5416666666667</v>
      </c>
      <c r="AJ227" s="15" t="n">
        <f aca="false">AE227*AH227</f>
        <v>4.58333333333333</v>
      </c>
      <c r="AK227" s="15" t="n">
        <f aca="false">AI227*INDEX(Ipotesi!$C$49:$G$49,1,F227)*H227</f>
        <v>35268.75</v>
      </c>
      <c r="AL227" s="15" t="n">
        <f aca="false">AJ227*INDEX(Ipotesi!$C$51:$G$51,1,F227)*H227</f>
        <v>10312.5</v>
      </c>
      <c r="AM227" s="15" t="n">
        <f aca="false">AK227+AL227</f>
        <v>45581.25</v>
      </c>
      <c r="AN227" s="15" t="n">
        <f aca="false">INDEX(Ipotesi!$C$30:$G$30,1,F227)*G227/12</f>
        <v>33.9166666666667</v>
      </c>
      <c r="AO227" s="15" t="n">
        <f aca="false">O227*Parametri_v3!$C$7*Parametri_v3!$C$11*(1-Parametri_v3!$C$14)/12</f>
        <v>66.7333333333333</v>
      </c>
      <c r="AP227" s="15" t="n">
        <f aca="false">MIN(AN227,AO227)</f>
        <v>33.9166666666667</v>
      </c>
      <c r="AQ227" s="15" t="n">
        <f aca="false">AP227*INDEX(Ipotesi!$C$31:$G$31,1,F227)*H227</f>
        <v>32051.25</v>
      </c>
      <c r="AR227" s="15" t="n">
        <f aca="false">INDEX(Ipotesi!$C$75:$G$75,1,F227)*J227/12</f>
        <v>27916.6666666667</v>
      </c>
      <c r="AS227" s="15" t="n">
        <f aca="false">INDEX(Ipotesi!$C$81:$G$81,1,F227)*J227/12</f>
        <v>1666.66666666667</v>
      </c>
      <c r="AT227" s="15" t="n">
        <f aca="false">AR227*Parametri_v3!$C$15+Z227*Parametri_v3!$C$16</f>
        <v>42258.7085416667</v>
      </c>
      <c r="AU227" s="15" t="n">
        <f aca="false">Q227*Parametri_v3!$C$16*Parametri_v3!$C$17</f>
        <v>350</v>
      </c>
      <c r="AV227" s="17" t="n">
        <f aca="false">BD226</f>
        <v>71.3147996879885</v>
      </c>
      <c r="AW227" s="17" t="n">
        <f aca="false">AV227*(1-(1-INDEX(Ipotesi!$C$34:$G$34,1,F227))^(1/12))</f>
        <v>0.623406234184523</v>
      </c>
      <c r="AX227" s="15" t="n">
        <f aca="false">ROUND(INDEX(Ipotesi!$C$32:$G$32,1,F227)*Ipotesi!F8,0)</f>
        <v>109</v>
      </c>
      <c r="AY227" s="15" t="n">
        <f aca="false">MAX(0,(AX227-(AV227-AW227))/(13-E227))</f>
        <v>6.38476775769934</v>
      </c>
      <c r="AZ227" s="15" t="n">
        <f aca="false">MIN(P227*Parametri_v3!$C$22,Q227*(1-Parametri_v3!$C$16)*Parametri_v3!$C$23)</f>
        <v>225</v>
      </c>
      <c r="BA227" s="15" t="n">
        <f aca="false">IF(OR(INDEX(Ipotesi!$C$35:$G$35,1,F227)&lt;=0,43-Parametri_v3!$C$21&lt;1),0,INDEX($AT$185:$AT$244,MAX(1,43-Parametri_v3!$C$21))/(INDEX(Ipotesi!$C$35:$G$35,1,F227)*Ipotesi!F27))</f>
        <v>5.41778314636752</v>
      </c>
      <c r="BB227" s="15" t="n">
        <f aca="false">IF(43-Parametri_v3!$C$21&lt;1,0,INDEX($AU$185:$AU$244,MAX(1,43-Parametri_v3!$C$21)))*Parametri_v3!$C$18*Parametri_v3!$C$19*Parametri_v3!$C$20</f>
        <v>13.125</v>
      </c>
      <c r="BC227" s="17" t="n">
        <f aca="false">MAX(0,MIN(AY227,BA227,BB227,MAX(0,AZ227-(AV227-AW227))))</f>
        <v>5.41778314636752</v>
      </c>
      <c r="BD227" s="17" t="n">
        <f aca="false">AV227-AW227+BC227</f>
        <v>76.1091766001715</v>
      </c>
      <c r="BE227" s="17" t="n">
        <f aca="false">(AV227+BD227)/2</f>
        <v>73.71198814408</v>
      </c>
      <c r="BF227" s="15" t="n">
        <f aca="false">BE227*INDEX(Ipotesi!$C$33:$G$33,1,F227)*H227/12</f>
        <v>33170.394664836</v>
      </c>
      <c r="BG227" s="15" t="n">
        <f aca="false">BD227*INDEX(Ipotesi!$C$33:$G$33,1,F227)*H227</f>
        <v>410989.553640926</v>
      </c>
      <c r="BH227" s="15" t="n">
        <f aca="false">AM227*INDEX(Ipotesi!$C$37:$G$37,1,F227)</f>
        <v>4558.125</v>
      </c>
      <c r="BI227" s="15" t="n">
        <f aca="false">AQ227+BF227+BH227</f>
        <v>69779.769664836</v>
      </c>
      <c r="BJ227" s="15" t="n">
        <f aca="false">INDEX(Ipotesi!$C$68:$G$68,1,F227)*Ipotesi!$C$69/12</f>
        <v>3000</v>
      </c>
      <c r="BK227" s="15" t="n">
        <f aca="false">INDEX(Ipotesi!$C$68:$G$68,1,F227)*(1-Ipotesi!$C$69)/12</f>
        <v>4500</v>
      </c>
      <c r="BL227" s="15" t="n">
        <f aca="false">(AQ227+BF227)*Ipotesi!$C$67</f>
        <v>1956.64933994508</v>
      </c>
      <c r="BM227" s="15" t="n">
        <f aca="false">AM227*Ipotesi!$C$67</f>
        <v>1367.4375</v>
      </c>
      <c r="BN227" s="15" t="n">
        <f aca="false">INDEX(Ipotesi!$C$72:$G$72,1,F227)/12*Ipotesi!F126+BF227*Ipotesi!$C$73</f>
        <v>3903.63157318688</v>
      </c>
      <c r="BO227" s="15" t="n">
        <f aca="false">INDEX(Ipotesi!$C$74:$G$74,1,F227)/12*Ipotesi!F126</f>
        <v>4166.66666666667</v>
      </c>
      <c r="BP227" s="15" t="n">
        <f aca="false">INDEX(Ipotesi!$C$76:$G$76,1,F227)/12</f>
        <v>1500</v>
      </c>
      <c r="BQ227" s="15" t="n">
        <f aca="false">INDEX(Ipotesi!$C$77:$G$77,1,F227)/12*Ipotesi!F126</f>
        <v>2083.33333333333</v>
      </c>
      <c r="BR227" s="15" t="n">
        <f aca="false">INDEX(Ipotesi!$C$78:$G$78,1,F227)/12</f>
        <v>2000</v>
      </c>
      <c r="BS227" s="15" t="n">
        <f aca="false">SUM(M227:R227)*(Ipotesi!$C$85+Ipotesi!$C$86)/12</f>
        <v>6125</v>
      </c>
      <c r="BT227" s="15" t="n">
        <f aca="false">BI227*Ipotesi!$C$87</f>
        <v>2093.39308994508</v>
      </c>
      <c r="BU227" s="15" t="n">
        <f aca="false">INDEX(Ipotesi!$C$55:$G$55,1,F227)*K227/12</f>
        <v>2000</v>
      </c>
      <c r="BV227" s="15" t="n">
        <f aca="false">INDEX(Ipotesi!$C$80:$G$80,1,F227)/12*Ipotesi!F126</f>
        <v>1666.66666666667</v>
      </c>
      <c r="BW227" s="15" t="n">
        <f aca="false">INDEX(Ipotesi!$C$82:$G$82,1,F227)/12</f>
        <v>1250</v>
      </c>
      <c r="BX227" s="15" t="n">
        <f aca="false">INDEX(Ipotesi!$C$83:$G$83,1,F227)/12</f>
        <v>750</v>
      </c>
      <c r="BY227" s="15" t="n">
        <f aca="false">SUM(S227:U227)*(Ipotesi!$C$85+Ipotesi!$C$86)/12</f>
        <v>2479.16666666667</v>
      </c>
      <c r="BZ227" s="15" t="n">
        <f aca="false">AM227*Ipotesi!$C$87</f>
        <v>1367.4375</v>
      </c>
      <c r="CA227" s="15" t="n">
        <f aca="false">AB227+BJ227+BL227+BN227+BO227+AR227+BP227+BQ227+BR227+BS227+BT227</f>
        <v>151218.424628077</v>
      </c>
      <c r="CB227" s="15" t="n">
        <f aca="false">AC227+BK227+BM227+BH227+BU227+BV227+AS227+BW227+BX227+BY227+BZ227</f>
        <v>55434.5067083333</v>
      </c>
      <c r="CC227" s="15" t="n">
        <f aca="false">BI227-CA227</f>
        <v>-81438.654963241</v>
      </c>
      <c r="CD227" s="15" t="n">
        <f aca="false">AM227-CB227</f>
        <v>-9853.25670833333</v>
      </c>
      <c r="CE227" s="15" t="n">
        <f aca="false">INDEX(Ipotesi!$C$79:$G$79,1,F227)/12</f>
        <v>3333.33333333333</v>
      </c>
      <c r="CF227" s="15" t="n">
        <f aca="false">INDEX(Ipotesi!$C$84:$G$84,1,F227)/12</f>
        <v>666.666666666667</v>
      </c>
      <c r="CG227" s="15" t="n">
        <f aca="false">Y227*MAX(0,Parametri_v3!$C$12-IF(P227=0,0,MIN(1,BE227/(P227*Parametri_v3!$C$22))))+W227*Parametri_v3!$C$13+X227*Parametri_v3!$C$14</f>
        <v>33068.1050138035</v>
      </c>
      <c r="CH227" s="15" t="n">
        <f aca="false">AB227*Parametri_v3!$C$32</f>
        <v>4823.65419791667</v>
      </c>
      <c r="CI227" s="15" t="n">
        <f aca="false">AC227*Parametri_v3!$C$32</f>
        <v>1691.45033541667</v>
      </c>
      <c r="CJ227" s="15" t="n">
        <f aca="false">CA227-AB227</f>
        <v>54745.3406697437</v>
      </c>
      <c r="CK227" s="15" t="n">
        <f aca="false">CB227-AC227-BH227</f>
        <v>17047.375</v>
      </c>
      <c r="CL227" s="15" t="n">
        <f aca="false">BF227*Ipotesi!$C$73+INDEX(Ipotesi!$C$72:$G$72,1,F227)/12*Ipotesi!F126*Parametri_v3!$C$58+Z227*(1-Parametri_v3!$C$16)</f>
        <v>10050.2209481869</v>
      </c>
      <c r="CM227" s="16" t="n">
        <f aca="false">IF(BF227=0,0,1-CL227/BF227)</f>
        <v>0.697012319276347</v>
      </c>
    </row>
    <row r="228" customFormat="false" ht="18" hidden="false" customHeight="true" outlineLevel="0" collapsed="false">
      <c r="A228" s="68" t="n">
        <f aca="false">4</f>
        <v>4</v>
      </c>
      <c r="B228" s="68" t="n">
        <f aca="false">44</f>
        <v>44</v>
      </c>
      <c r="C228" s="18" t="n">
        <f aca="false">EDATE(Parametri_v3!$C$5,44-1)</f>
        <v>47696</v>
      </c>
      <c r="D228" s="68" t="n">
        <f aca="false">YEAR(C228)</f>
        <v>2030</v>
      </c>
      <c r="E228" s="68" t="n">
        <f aca="false">MONTH(C228)</f>
        <v>8</v>
      </c>
      <c r="F228" s="68" t="n">
        <f aca="false">INT((44-1)/12)+1</f>
        <v>4</v>
      </c>
      <c r="G228" s="15" t="n">
        <f aca="false">Ipotesi!F7</f>
        <v>0.55</v>
      </c>
      <c r="H228" s="15" t="n">
        <f aca="false">Ipotesi!F9</f>
        <v>0.9</v>
      </c>
      <c r="I228" s="15" t="n">
        <f aca="false">Ipotesi!F10</f>
        <v>1</v>
      </c>
      <c r="J228" s="15" t="n">
        <f aca="false">Ipotesi!F11</f>
        <v>1</v>
      </c>
      <c r="K228" s="15" t="n">
        <f aca="false">Ipotesi!F12</f>
        <v>1</v>
      </c>
      <c r="L228" s="15" t="n">
        <f aca="false">Ipotesi!F13</f>
        <v>120</v>
      </c>
      <c r="M228" s="17" t="n">
        <f aca="false">INDEX(Ipotesi!$C$40:$G$40,1,F228)</f>
        <v>1</v>
      </c>
      <c r="N228" s="17" t="n">
        <f aca="false">INDEX(Ipotesi!$C$41:$G$41,1,F228)</f>
        <v>1</v>
      </c>
      <c r="O228" s="17" t="n">
        <f aca="false">INDEX(Ipotesi!$C$42:$G$42,1,F228)*Ipotesi!F125</f>
        <v>6.5</v>
      </c>
      <c r="P228" s="17" t="n">
        <f aca="false">INDEX(Ipotesi!$C$43:$G$43,1,F228)*I228</f>
        <v>6</v>
      </c>
      <c r="Q228" s="17" t="n">
        <f aca="false">INDEX(Ipotesi!$C$44:$G$44,1,F228)*I228</f>
        <v>5</v>
      </c>
      <c r="R228" s="17" t="n">
        <f aca="false">INDEX(Ipotesi!$C$45:$G$45,1,F228)*I228</f>
        <v>1.5</v>
      </c>
      <c r="S228" s="17" t="n">
        <f aca="false">INDEX(Ipotesi!$C$52:$G$52,1,F228)*Ipotesi!F125</f>
        <v>7</v>
      </c>
      <c r="T228" s="17" t="n">
        <f aca="false">INDEX(Ipotesi!$C$53:$G$53,1,F228)*I228</f>
        <v>1</v>
      </c>
      <c r="U228" s="17" t="n">
        <f aca="false">INDEX(Ipotesi!$C$54:$G$54,1,F228)*I228</f>
        <v>0.5</v>
      </c>
      <c r="V228" s="15" t="n">
        <f aca="false">M228*INDEX(Ipotesi!$C$58:$G$58,1,F228)*K228/12</f>
        <v>7916.66666666667</v>
      </c>
      <c r="W228" s="15" t="n">
        <f aca="false">N228*Ipotesi!$C$59*(1+Ipotesi!$C$66)^(F228-1)/12</f>
        <v>6374.24083333333</v>
      </c>
      <c r="X228" s="15" t="n">
        <f aca="false">O228*Ipotesi!$C$60*(1+Ipotesi!$C$66)^(F228-1)/12</f>
        <v>29594.6895833333</v>
      </c>
      <c r="Y228" s="15" t="n">
        <f aca="false">P228*Ipotesi!$C$61*(1+Ipotesi!$C$66)^(F228-1)/12</f>
        <v>27318.175</v>
      </c>
      <c r="Z228" s="15" t="n">
        <f aca="false">Q228*Ipotesi!$C$62*(1+Ipotesi!$C$66)^(F228-1)/12</f>
        <v>20488.63125</v>
      </c>
      <c r="AA228" s="15" t="n">
        <f aca="false">R228*Ipotesi!$C$63*(1+Ipotesi!$C$66)^(F228-1)/12</f>
        <v>4780.680625</v>
      </c>
      <c r="AB228" s="15" t="n">
        <f aca="false">SUM(V228:AA228)</f>
        <v>96473.0839583333</v>
      </c>
      <c r="AC228" s="15" t="n">
        <f aca="false">(S228*Ipotesi!$C$64+T228*Ipotesi!$C$65+U228*Ipotesi!$C$63)*(1+Ipotesi!$C$66)^(F228-1)/12</f>
        <v>33829.0067083333</v>
      </c>
      <c r="AD228" s="15" t="n">
        <f aca="false">INDEX(Ipotesi!$C$48:$G$48,1,F228)*G228/12</f>
        <v>43.5416666666667</v>
      </c>
      <c r="AE228" s="15" t="n">
        <f aca="false">INDEX(Ipotesi!$C$50:$G$50,1,F228)*G228/12</f>
        <v>4.58333333333333</v>
      </c>
      <c r="AF228" s="15" t="n">
        <f aca="false">(S228*Parametri_v3!$C$7*Parametri_v3!$C$8+Parametri_v3!$C$10)/12</f>
        <v>89.8333333333333</v>
      </c>
      <c r="AG228" s="15" t="n">
        <f aca="false">AD228+AE228*(1+Parametri_v3!$C$9)</f>
        <v>50.4166666666667</v>
      </c>
      <c r="AH228" s="16" t="n">
        <f aca="false">IF(AG228=0,1,MIN(1,AF228/AG228))</f>
        <v>1</v>
      </c>
      <c r="AI228" s="15" t="n">
        <f aca="false">AD228*AH228</f>
        <v>43.5416666666667</v>
      </c>
      <c r="AJ228" s="15" t="n">
        <f aca="false">AE228*AH228</f>
        <v>4.58333333333333</v>
      </c>
      <c r="AK228" s="15" t="n">
        <f aca="false">AI228*INDEX(Ipotesi!$C$49:$G$49,1,F228)*H228</f>
        <v>35268.75</v>
      </c>
      <c r="AL228" s="15" t="n">
        <f aca="false">AJ228*INDEX(Ipotesi!$C$51:$G$51,1,F228)*H228</f>
        <v>10312.5</v>
      </c>
      <c r="AM228" s="15" t="n">
        <f aca="false">AK228+AL228</f>
        <v>45581.25</v>
      </c>
      <c r="AN228" s="15" t="n">
        <f aca="false">INDEX(Ipotesi!$C$30:$G$30,1,F228)*G228/12</f>
        <v>33.9166666666667</v>
      </c>
      <c r="AO228" s="15" t="n">
        <f aca="false">O228*Parametri_v3!$C$7*Parametri_v3!$C$11*(1-Parametri_v3!$C$14)/12</f>
        <v>66.7333333333333</v>
      </c>
      <c r="AP228" s="15" t="n">
        <f aca="false">MIN(AN228,AO228)</f>
        <v>33.9166666666667</v>
      </c>
      <c r="AQ228" s="15" t="n">
        <f aca="false">AP228*INDEX(Ipotesi!$C$31:$G$31,1,F228)*H228</f>
        <v>32051.25</v>
      </c>
      <c r="AR228" s="15" t="n">
        <f aca="false">INDEX(Ipotesi!$C$75:$G$75,1,F228)*J228/12</f>
        <v>27916.6666666667</v>
      </c>
      <c r="AS228" s="15" t="n">
        <f aca="false">INDEX(Ipotesi!$C$81:$G$81,1,F228)*J228/12</f>
        <v>1666.66666666667</v>
      </c>
      <c r="AT228" s="15" t="n">
        <f aca="false">AR228*Parametri_v3!$C$15+Z228*Parametri_v3!$C$16</f>
        <v>42258.7085416667</v>
      </c>
      <c r="AU228" s="15" t="n">
        <f aca="false">Q228*Parametri_v3!$C$16*Parametri_v3!$C$17</f>
        <v>350</v>
      </c>
      <c r="AV228" s="17" t="n">
        <f aca="false">BD227</f>
        <v>76.1091766001715</v>
      </c>
      <c r="AW228" s="17" t="n">
        <f aca="false">AV228*(1-(1-INDEX(Ipotesi!$C$34:$G$34,1,F228))^(1/12))</f>
        <v>0.665316811921007</v>
      </c>
      <c r="AX228" s="15" t="n">
        <f aca="false">ROUND(INDEX(Ipotesi!$C$32:$G$32,1,F228)*Ipotesi!F8,0)</f>
        <v>109</v>
      </c>
      <c r="AY228" s="15" t="n">
        <f aca="false">MAX(0,(AX228-(AV228-AW228))/(13-E228))</f>
        <v>6.7112280423499</v>
      </c>
      <c r="AZ228" s="15" t="n">
        <f aca="false">MIN(P228*Parametri_v3!$C$22,Q228*(1-Parametri_v3!$C$16)*Parametri_v3!$C$23)</f>
        <v>225</v>
      </c>
      <c r="BA228" s="15" t="n">
        <f aca="false">IF(OR(INDEX(Ipotesi!$C$35:$G$35,1,F228)&lt;=0,44-Parametri_v3!$C$21&lt;1),0,INDEX($AT$185:$AT$244,MAX(1,44-Parametri_v3!$C$21))/(INDEX(Ipotesi!$C$35:$G$35,1,F228)*Ipotesi!F27))</f>
        <v>5.41778314636752</v>
      </c>
      <c r="BB228" s="15" t="n">
        <f aca="false">IF(44-Parametri_v3!$C$21&lt;1,0,INDEX($AU$185:$AU$244,MAX(1,44-Parametri_v3!$C$21)))*Parametri_v3!$C$18*Parametri_v3!$C$19*Parametri_v3!$C$20</f>
        <v>13.125</v>
      </c>
      <c r="BC228" s="17" t="n">
        <f aca="false">MAX(0,MIN(AY228,BA228,BB228,MAX(0,AZ228-(AV228-AW228))))</f>
        <v>5.41778314636752</v>
      </c>
      <c r="BD228" s="17" t="n">
        <f aca="false">AV228-AW228+BC228</f>
        <v>80.861642934618</v>
      </c>
      <c r="BE228" s="17" t="n">
        <f aca="false">(AV228+BD228)/2</f>
        <v>78.4854097673948</v>
      </c>
      <c r="BF228" s="15" t="n">
        <f aca="false">BE228*INDEX(Ipotesi!$C$33:$G$33,1,F228)*H228/12</f>
        <v>35318.4343953277</v>
      </c>
      <c r="BG228" s="15" t="n">
        <f aca="false">BD228*INDEX(Ipotesi!$C$33:$G$33,1,F228)*H228</f>
        <v>436652.871846937</v>
      </c>
      <c r="BH228" s="15" t="n">
        <f aca="false">AM228*INDEX(Ipotesi!$C$37:$G$37,1,F228)</f>
        <v>4558.125</v>
      </c>
      <c r="BI228" s="15" t="n">
        <f aca="false">AQ228+BF228+BH228</f>
        <v>71927.8093953277</v>
      </c>
      <c r="BJ228" s="15" t="n">
        <f aca="false">INDEX(Ipotesi!$C$68:$G$68,1,F228)*Ipotesi!$C$69/12</f>
        <v>3000</v>
      </c>
      <c r="BK228" s="15" t="n">
        <f aca="false">INDEX(Ipotesi!$C$68:$G$68,1,F228)*(1-Ipotesi!$C$69)/12</f>
        <v>4500</v>
      </c>
      <c r="BL228" s="15" t="n">
        <f aca="false">(AQ228+BF228)*Ipotesi!$C$67</f>
        <v>2021.09053185983</v>
      </c>
      <c r="BM228" s="15" t="n">
        <f aca="false">AM228*Ipotesi!$C$67</f>
        <v>1367.4375</v>
      </c>
      <c r="BN228" s="15" t="n">
        <f aca="false">INDEX(Ipotesi!$C$72:$G$72,1,F228)/12*Ipotesi!F126+BF228*Ipotesi!$C$73</f>
        <v>4075.47475162621</v>
      </c>
      <c r="BO228" s="15" t="n">
        <f aca="false">INDEX(Ipotesi!$C$74:$G$74,1,F228)/12*Ipotesi!F126</f>
        <v>4166.66666666667</v>
      </c>
      <c r="BP228" s="15" t="n">
        <f aca="false">INDEX(Ipotesi!$C$76:$G$76,1,F228)/12</f>
        <v>1500</v>
      </c>
      <c r="BQ228" s="15" t="n">
        <f aca="false">INDEX(Ipotesi!$C$77:$G$77,1,F228)/12*Ipotesi!F126</f>
        <v>2083.33333333333</v>
      </c>
      <c r="BR228" s="15" t="n">
        <f aca="false">INDEX(Ipotesi!$C$78:$G$78,1,F228)/12</f>
        <v>2000</v>
      </c>
      <c r="BS228" s="15" t="n">
        <f aca="false">SUM(M228:R228)*(Ipotesi!$C$85+Ipotesi!$C$86)/12</f>
        <v>6125</v>
      </c>
      <c r="BT228" s="15" t="n">
        <f aca="false">BI228*Ipotesi!$C$87</f>
        <v>2157.83428185983</v>
      </c>
      <c r="BU228" s="15" t="n">
        <f aca="false">INDEX(Ipotesi!$C$55:$G$55,1,F228)*K228/12</f>
        <v>2000</v>
      </c>
      <c r="BV228" s="15" t="n">
        <f aca="false">INDEX(Ipotesi!$C$80:$G$80,1,F228)/12*Ipotesi!F126</f>
        <v>1666.66666666667</v>
      </c>
      <c r="BW228" s="15" t="n">
        <f aca="false">INDEX(Ipotesi!$C$82:$G$82,1,F228)/12</f>
        <v>1250</v>
      </c>
      <c r="BX228" s="15" t="n">
        <f aca="false">INDEX(Ipotesi!$C$83:$G$83,1,F228)/12</f>
        <v>750</v>
      </c>
      <c r="BY228" s="15" t="n">
        <f aca="false">SUM(S228:U228)*(Ipotesi!$C$85+Ipotesi!$C$86)/12</f>
        <v>2479.16666666667</v>
      </c>
      <c r="BZ228" s="15" t="n">
        <f aca="false">AM228*Ipotesi!$C$87</f>
        <v>1367.4375</v>
      </c>
      <c r="CA228" s="15" t="n">
        <f aca="false">AB228+BJ228+BL228+BN228+BO228+AR228+BP228+BQ228+BR228+BS228+BT228</f>
        <v>151519.150190346</v>
      </c>
      <c r="CB228" s="15" t="n">
        <f aca="false">AC228+BK228+BM228+BH228+BU228+BV228+AS228+BW228+BX228+BY228+BZ228</f>
        <v>55434.5067083333</v>
      </c>
      <c r="CC228" s="15" t="n">
        <f aca="false">BI228-CA228</f>
        <v>-79591.3407950182</v>
      </c>
      <c r="CD228" s="15" t="n">
        <f aca="false">AM228-CB228</f>
        <v>-9853.25670833333</v>
      </c>
      <c r="CE228" s="15" t="n">
        <f aca="false">INDEX(Ipotesi!$C$79:$G$79,1,F228)/12</f>
        <v>3333.33333333333</v>
      </c>
      <c r="CF228" s="15" t="n">
        <f aca="false">INDEX(Ipotesi!$C$84:$G$84,1,F228)/12</f>
        <v>666.666666666667</v>
      </c>
      <c r="CG228" s="15" t="n">
        <f aca="false">Y228*MAX(0,Parametri_v3!$C$12-IF(P228=0,0,MIN(1,BE228/(P228*Parametri_v3!$C$22))))+W228*Parametri_v3!$C$13+X228*Parametri_v3!$C$14</f>
        <v>32850.769735046</v>
      </c>
      <c r="CH228" s="15" t="n">
        <f aca="false">AB228*Parametri_v3!$C$32</f>
        <v>4823.65419791667</v>
      </c>
      <c r="CI228" s="15" t="n">
        <f aca="false">AC228*Parametri_v3!$C$32</f>
        <v>1691.45033541667</v>
      </c>
      <c r="CJ228" s="15" t="n">
        <f aca="false">CA228-AB228</f>
        <v>55046.0662320126</v>
      </c>
      <c r="CK228" s="15" t="n">
        <f aca="false">CB228-AC228-BH228</f>
        <v>17047.375</v>
      </c>
      <c r="CL228" s="15" t="n">
        <f aca="false">BF228*Ipotesi!$C$73+INDEX(Ipotesi!$C$72:$G$72,1,F228)/12*Ipotesi!F126*Parametri_v3!$C$58+Z228*(1-Parametri_v3!$C$16)</f>
        <v>10222.0641266262</v>
      </c>
      <c r="CM228" s="16" t="n">
        <f aca="false">IF(BF228=0,0,1-CL228/BF228)</f>
        <v>0.710574256712282</v>
      </c>
    </row>
    <row r="229" customFormat="false" ht="18" hidden="false" customHeight="true" outlineLevel="0" collapsed="false">
      <c r="A229" s="68" t="n">
        <f aca="false">4</f>
        <v>4</v>
      </c>
      <c r="B229" s="68" t="n">
        <f aca="false">45</f>
        <v>45</v>
      </c>
      <c r="C229" s="18" t="n">
        <f aca="false">EDATE(Parametri_v3!$C$5,45-1)</f>
        <v>47727</v>
      </c>
      <c r="D229" s="68" t="n">
        <f aca="false">YEAR(C229)</f>
        <v>2030</v>
      </c>
      <c r="E229" s="68" t="n">
        <f aca="false">MONTH(C229)</f>
        <v>9</v>
      </c>
      <c r="F229" s="68" t="n">
        <f aca="false">INT((45-1)/12)+1</f>
        <v>4</v>
      </c>
      <c r="G229" s="15" t="n">
        <f aca="false">Ipotesi!F7</f>
        <v>0.55</v>
      </c>
      <c r="H229" s="15" t="n">
        <f aca="false">Ipotesi!F9</f>
        <v>0.9</v>
      </c>
      <c r="I229" s="15" t="n">
        <f aca="false">Ipotesi!F10</f>
        <v>1</v>
      </c>
      <c r="J229" s="15" t="n">
        <f aca="false">Ipotesi!F11</f>
        <v>1</v>
      </c>
      <c r="K229" s="15" t="n">
        <f aca="false">Ipotesi!F12</f>
        <v>1</v>
      </c>
      <c r="L229" s="15" t="n">
        <f aca="false">Ipotesi!F13</f>
        <v>120</v>
      </c>
      <c r="M229" s="17" t="n">
        <f aca="false">INDEX(Ipotesi!$C$40:$G$40,1,F229)</f>
        <v>1</v>
      </c>
      <c r="N229" s="17" t="n">
        <f aca="false">INDEX(Ipotesi!$C$41:$G$41,1,F229)</f>
        <v>1</v>
      </c>
      <c r="O229" s="17" t="n">
        <f aca="false">INDEX(Ipotesi!$C$42:$G$42,1,F229)*Ipotesi!F125</f>
        <v>6.5</v>
      </c>
      <c r="P229" s="17" t="n">
        <f aca="false">INDEX(Ipotesi!$C$43:$G$43,1,F229)*I229</f>
        <v>6</v>
      </c>
      <c r="Q229" s="17" t="n">
        <f aca="false">INDEX(Ipotesi!$C$44:$G$44,1,F229)*I229</f>
        <v>5</v>
      </c>
      <c r="R229" s="17" t="n">
        <f aca="false">INDEX(Ipotesi!$C$45:$G$45,1,F229)*I229</f>
        <v>1.5</v>
      </c>
      <c r="S229" s="17" t="n">
        <f aca="false">INDEX(Ipotesi!$C$52:$G$52,1,F229)*Ipotesi!F125</f>
        <v>7</v>
      </c>
      <c r="T229" s="17" t="n">
        <f aca="false">INDEX(Ipotesi!$C$53:$G$53,1,F229)*I229</f>
        <v>1</v>
      </c>
      <c r="U229" s="17" t="n">
        <f aca="false">INDEX(Ipotesi!$C$54:$G$54,1,F229)*I229</f>
        <v>0.5</v>
      </c>
      <c r="V229" s="15" t="n">
        <f aca="false">M229*INDEX(Ipotesi!$C$58:$G$58,1,F229)*K229/12</f>
        <v>7916.66666666667</v>
      </c>
      <c r="W229" s="15" t="n">
        <f aca="false">N229*Ipotesi!$C$59*(1+Ipotesi!$C$66)^(F229-1)/12</f>
        <v>6374.24083333333</v>
      </c>
      <c r="X229" s="15" t="n">
        <f aca="false">O229*Ipotesi!$C$60*(1+Ipotesi!$C$66)^(F229-1)/12</f>
        <v>29594.6895833333</v>
      </c>
      <c r="Y229" s="15" t="n">
        <f aca="false">P229*Ipotesi!$C$61*(1+Ipotesi!$C$66)^(F229-1)/12</f>
        <v>27318.175</v>
      </c>
      <c r="Z229" s="15" t="n">
        <f aca="false">Q229*Ipotesi!$C$62*(1+Ipotesi!$C$66)^(F229-1)/12</f>
        <v>20488.63125</v>
      </c>
      <c r="AA229" s="15" t="n">
        <f aca="false">R229*Ipotesi!$C$63*(1+Ipotesi!$C$66)^(F229-1)/12</f>
        <v>4780.680625</v>
      </c>
      <c r="AB229" s="15" t="n">
        <f aca="false">SUM(V229:AA229)</f>
        <v>96473.0839583333</v>
      </c>
      <c r="AC229" s="15" t="n">
        <f aca="false">(S229*Ipotesi!$C$64+T229*Ipotesi!$C$65+U229*Ipotesi!$C$63)*(1+Ipotesi!$C$66)^(F229-1)/12</f>
        <v>33829.0067083333</v>
      </c>
      <c r="AD229" s="15" t="n">
        <f aca="false">INDEX(Ipotesi!$C$48:$G$48,1,F229)*G229/12</f>
        <v>43.5416666666667</v>
      </c>
      <c r="AE229" s="15" t="n">
        <f aca="false">INDEX(Ipotesi!$C$50:$G$50,1,F229)*G229/12</f>
        <v>4.58333333333333</v>
      </c>
      <c r="AF229" s="15" t="n">
        <f aca="false">(S229*Parametri_v3!$C$7*Parametri_v3!$C$8+Parametri_v3!$C$10)/12</f>
        <v>89.8333333333333</v>
      </c>
      <c r="AG229" s="15" t="n">
        <f aca="false">AD229+AE229*(1+Parametri_v3!$C$9)</f>
        <v>50.4166666666667</v>
      </c>
      <c r="AH229" s="16" t="n">
        <f aca="false">IF(AG229=0,1,MIN(1,AF229/AG229))</f>
        <v>1</v>
      </c>
      <c r="AI229" s="15" t="n">
        <f aca="false">AD229*AH229</f>
        <v>43.5416666666667</v>
      </c>
      <c r="AJ229" s="15" t="n">
        <f aca="false">AE229*AH229</f>
        <v>4.58333333333333</v>
      </c>
      <c r="AK229" s="15" t="n">
        <f aca="false">AI229*INDEX(Ipotesi!$C$49:$G$49,1,F229)*H229</f>
        <v>35268.75</v>
      </c>
      <c r="AL229" s="15" t="n">
        <f aca="false">AJ229*INDEX(Ipotesi!$C$51:$G$51,1,F229)*H229</f>
        <v>10312.5</v>
      </c>
      <c r="AM229" s="15" t="n">
        <f aca="false">AK229+AL229</f>
        <v>45581.25</v>
      </c>
      <c r="AN229" s="15" t="n">
        <f aca="false">INDEX(Ipotesi!$C$30:$G$30,1,F229)*G229/12</f>
        <v>33.9166666666667</v>
      </c>
      <c r="AO229" s="15" t="n">
        <f aca="false">O229*Parametri_v3!$C$7*Parametri_v3!$C$11*(1-Parametri_v3!$C$14)/12</f>
        <v>66.7333333333333</v>
      </c>
      <c r="AP229" s="15" t="n">
        <f aca="false">MIN(AN229,AO229)</f>
        <v>33.9166666666667</v>
      </c>
      <c r="AQ229" s="15" t="n">
        <f aca="false">AP229*INDEX(Ipotesi!$C$31:$G$31,1,F229)*H229</f>
        <v>32051.25</v>
      </c>
      <c r="AR229" s="15" t="n">
        <f aca="false">INDEX(Ipotesi!$C$75:$G$75,1,F229)*J229/12</f>
        <v>27916.6666666667</v>
      </c>
      <c r="AS229" s="15" t="n">
        <f aca="false">INDEX(Ipotesi!$C$81:$G$81,1,F229)*J229/12</f>
        <v>1666.66666666667</v>
      </c>
      <c r="AT229" s="15" t="n">
        <f aca="false">AR229*Parametri_v3!$C$15+Z229*Parametri_v3!$C$16</f>
        <v>42258.7085416667</v>
      </c>
      <c r="AU229" s="15" t="n">
        <f aca="false">Q229*Parametri_v3!$C$16*Parametri_v3!$C$17</f>
        <v>350</v>
      </c>
      <c r="AV229" s="17" t="n">
        <f aca="false">BD228</f>
        <v>80.861642934618</v>
      </c>
      <c r="AW229" s="17" t="n">
        <f aca="false">AV229*(1-(1-INDEX(Ipotesi!$C$34:$G$34,1,F229))^(1/12))</f>
        <v>0.706861023692032</v>
      </c>
      <c r="AX229" s="15" t="n">
        <f aca="false">ROUND(INDEX(Ipotesi!$C$32:$G$32,1,F229)*Ipotesi!F8,0)</f>
        <v>109</v>
      </c>
      <c r="AY229" s="15" t="n">
        <f aca="false">MAX(0,(AX229-(AV229-AW229))/(13-E229))</f>
        <v>7.2113045222685</v>
      </c>
      <c r="AZ229" s="15" t="n">
        <f aca="false">MIN(P229*Parametri_v3!$C$22,Q229*(1-Parametri_v3!$C$16)*Parametri_v3!$C$23)</f>
        <v>225</v>
      </c>
      <c r="BA229" s="15" t="n">
        <f aca="false">IF(OR(INDEX(Ipotesi!$C$35:$G$35,1,F229)&lt;=0,45-Parametri_v3!$C$21&lt;1),0,INDEX($AT$185:$AT$244,MAX(1,45-Parametri_v3!$C$21))/(INDEX(Ipotesi!$C$35:$G$35,1,F229)*Ipotesi!F27))</f>
        <v>5.41778314636752</v>
      </c>
      <c r="BB229" s="15" t="n">
        <f aca="false">IF(45-Parametri_v3!$C$21&lt;1,0,INDEX($AU$185:$AU$244,MAX(1,45-Parametri_v3!$C$21)))*Parametri_v3!$C$18*Parametri_v3!$C$19*Parametri_v3!$C$20</f>
        <v>13.125</v>
      </c>
      <c r="BC229" s="17" t="n">
        <f aca="false">MAX(0,MIN(AY229,BA229,BB229,MAX(0,AZ229-(AV229-AW229))))</f>
        <v>5.41778314636752</v>
      </c>
      <c r="BD229" s="17" t="n">
        <f aca="false">AV229-AW229+BC229</f>
        <v>85.5725650572935</v>
      </c>
      <c r="BE229" s="17" t="n">
        <f aca="false">(AV229+BD229)/2</f>
        <v>83.2171039959558</v>
      </c>
      <c r="BF229" s="15" t="n">
        <f aca="false">BE229*INDEX(Ipotesi!$C$33:$G$33,1,F229)*H229/12</f>
        <v>37447.6967981801</v>
      </c>
      <c r="BG229" s="15" t="n">
        <f aca="false">BD229*INDEX(Ipotesi!$C$33:$G$33,1,F229)*H229</f>
        <v>462091.851309385</v>
      </c>
      <c r="BH229" s="15" t="n">
        <f aca="false">AM229*INDEX(Ipotesi!$C$37:$G$37,1,F229)</f>
        <v>4558.125</v>
      </c>
      <c r="BI229" s="15" t="n">
        <f aca="false">AQ229+BF229+BH229</f>
        <v>74057.0717981801</v>
      </c>
      <c r="BJ229" s="15" t="n">
        <f aca="false">INDEX(Ipotesi!$C$68:$G$68,1,F229)*Ipotesi!$C$69/12</f>
        <v>3000</v>
      </c>
      <c r="BK229" s="15" t="n">
        <f aca="false">INDEX(Ipotesi!$C$68:$G$68,1,F229)*(1-Ipotesi!$C$69)/12</f>
        <v>4500</v>
      </c>
      <c r="BL229" s="15" t="n">
        <f aca="false">(AQ229+BF229)*Ipotesi!$C$67</f>
        <v>2084.9684039454</v>
      </c>
      <c r="BM229" s="15" t="n">
        <f aca="false">AM229*Ipotesi!$C$67</f>
        <v>1367.4375</v>
      </c>
      <c r="BN229" s="15" t="n">
        <f aca="false">INDEX(Ipotesi!$C$72:$G$72,1,F229)/12*Ipotesi!F126+BF229*Ipotesi!$C$73</f>
        <v>4245.81574385441</v>
      </c>
      <c r="BO229" s="15" t="n">
        <f aca="false">INDEX(Ipotesi!$C$74:$G$74,1,F229)/12*Ipotesi!F126</f>
        <v>4166.66666666667</v>
      </c>
      <c r="BP229" s="15" t="n">
        <f aca="false">INDEX(Ipotesi!$C$76:$G$76,1,F229)/12</f>
        <v>1500</v>
      </c>
      <c r="BQ229" s="15" t="n">
        <f aca="false">INDEX(Ipotesi!$C$77:$G$77,1,F229)/12*Ipotesi!F126</f>
        <v>2083.33333333333</v>
      </c>
      <c r="BR229" s="15" t="n">
        <f aca="false">INDEX(Ipotesi!$C$78:$G$78,1,F229)/12</f>
        <v>2000</v>
      </c>
      <c r="BS229" s="15" t="n">
        <f aca="false">SUM(M229:R229)*(Ipotesi!$C$85+Ipotesi!$C$86)/12</f>
        <v>6125</v>
      </c>
      <c r="BT229" s="15" t="n">
        <f aca="false">BI229*Ipotesi!$C$87</f>
        <v>2221.7121539454</v>
      </c>
      <c r="BU229" s="15" t="n">
        <f aca="false">INDEX(Ipotesi!$C$55:$G$55,1,F229)*K229/12</f>
        <v>2000</v>
      </c>
      <c r="BV229" s="15" t="n">
        <f aca="false">INDEX(Ipotesi!$C$80:$G$80,1,F229)/12*Ipotesi!F126</f>
        <v>1666.66666666667</v>
      </c>
      <c r="BW229" s="15" t="n">
        <f aca="false">INDEX(Ipotesi!$C$82:$G$82,1,F229)/12</f>
        <v>1250</v>
      </c>
      <c r="BX229" s="15" t="n">
        <f aca="false">INDEX(Ipotesi!$C$83:$G$83,1,F229)/12</f>
        <v>750</v>
      </c>
      <c r="BY229" s="15" t="n">
        <f aca="false">SUM(S229:U229)*(Ipotesi!$C$85+Ipotesi!$C$86)/12</f>
        <v>2479.16666666667</v>
      </c>
      <c r="BZ229" s="15" t="n">
        <f aca="false">AM229*Ipotesi!$C$87</f>
        <v>1367.4375</v>
      </c>
      <c r="CA229" s="15" t="n">
        <f aca="false">AB229+BJ229+BL229+BN229+BO229+AR229+BP229+BQ229+BR229+BS229+BT229</f>
        <v>151817.246926745</v>
      </c>
      <c r="CB229" s="15" t="n">
        <f aca="false">AC229+BK229+BM229+BH229+BU229+BV229+AS229+BW229+BX229+BY229+BZ229</f>
        <v>55434.5067083333</v>
      </c>
      <c r="CC229" s="15" t="n">
        <f aca="false">BI229-CA229</f>
        <v>-77760.1751285651</v>
      </c>
      <c r="CD229" s="15" t="n">
        <f aca="false">AM229-CB229</f>
        <v>-9853.25670833333</v>
      </c>
      <c r="CE229" s="15" t="n">
        <f aca="false">INDEX(Ipotesi!$C$79:$G$79,1,F229)/12</f>
        <v>3333.33333333333</v>
      </c>
      <c r="CF229" s="15" t="n">
        <f aca="false">INDEX(Ipotesi!$C$84:$G$84,1,F229)/12</f>
        <v>666.666666666667</v>
      </c>
      <c r="CG229" s="15" t="n">
        <f aca="false">Y229*MAX(0,Parametri_v3!$C$12-IF(P229=0,0,MIN(1,BE229/(P229*Parametri_v3!$C$22))))+W229*Parametri_v3!$C$13+X229*Parametri_v3!$C$14</f>
        <v>32635.3343167421</v>
      </c>
      <c r="CH229" s="15" t="n">
        <f aca="false">AB229*Parametri_v3!$C$32</f>
        <v>4823.65419791667</v>
      </c>
      <c r="CI229" s="15" t="n">
        <f aca="false">AC229*Parametri_v3!$C$32</f>
        <v>1691.45033541667</v>
      </c>
      <c r="CJ229" s="15" t="n">
        <f aca="false">CA229-AB229</f>
        <v>55344.1629684119</v>
      </c>
      <c r="CK229" s="15" t="n">
        <f aca="false">CB229-AC229-BH229</f>
        <v>17047.375</v>
      </c>
      <c r="CL229" s="15" t="n">
        <f aca="false">BF229*Ipotesi!$C$73+INDEX(Ipotesi!$C$72:$G$72,1,F229)/12*Ipotesi!F126*Parametri_v3!$C$58+Z229*(1-Parametri_v3!$C$16)</f>
        <v>10392.4051188544</v>
      </c>
      <c r="CM229" s="16" t="n">
        <f aca="false">IF(BF229=0,0,1-CL229/BF229)</f>
        <v>0.722482128210367</v>
      </c>
    </row>
    <row r="230" customFormat="false" ht="18" hidden="false" customHeight="true" outlineLevel="0" collapsed="false">
      <c r="A230" s="68" t="n">
        <f aca="false">4</f>
        <v>4</v>
      </c>
      <c r="B230" s="68" t="n">
        <f aca="false">46</f>
        <v>46</v>
      </c>
      <c r="C230" s="18" t="n">
        <f aca="false">EDATE(Parametri_v3!$C$5,46-1)</f>
        <v>47757</v>
      </c>
      <c r="D230" s="68" t="n">
        <f aca="false">YEAR(C230)</f>
        <v>2030</v>
      </c>
      <c r="E230" s="68" t="n">
        <f aca="false">MONTH(C230)</f>
        <v>10</v>
      </c>
      <c r="F230" s="68" t="n">
        <f aca="false">INT((46-1)/12)+1</f>
        <v>4</v>
      </c>
      <c r="G230" s="15" t="n">
        <f aca="false">Ipotesi!F7</f>
        <v>0.55</v>
      </c>
      <c r="H230" s="15" t="n">
        <f aca="false">Ipotesi!F9</f>
        <v>0.9</v>
      </c>
      <c r="I230" s="15" t="n">
        <f aca="false">Ipotesi!F10</f>
        <v>1</v>
      </c>
      <c r="J230" s="15" t="n">
        <f aca="false">Ipotesi!F11</f>
        <v>1</v>
      </c>
      <c r="K230" s="15" t="n">
        <f aca="false">Ipotesi!F12</f>
        <v>1</v>
      </c>
      <c r="L230" s="15" t="n">
        <f aca="false">Ipotesi!F13</f>
        <v>120</v>
      </c>
      <c r="M230" s="17" t="n">
        <f aca="false">INDEX(Ipotesi!$C$40:$G$40,1,F230)</f>
        <v>1</v>
      </c>
      <c r="N230" s="17" t="n">
        <f aca="false">INDEX(Ipotesi!$C$41:$G$41,1,F230)</f>
        <v>1</v>
      </c>
      <c r="O230" s="17" t="n">
        <f aca="false">INDEX(Ipotesi!$C$42:$G$42,1,F230)*Ipotesi!F125</f>
        <v>6.5</v>
      </c>
      <c r="P230" s="17" t="n">
        <f aca="false">INDEX(Ipotesi!$C$43:$G$43,1,F230)*I230</f>
        <v>6</v>
      </c>
      <c r="Q230" s="17" t="n">
        <f aca="false">INDEX(Ipotesi!$C$44:$G$44,1,F230)*I230</f>
        <v>5</v>
      </c>
      <c r="R230" s="17" t="n">
        <f aca="false">INDEX(Ipotesi!$C$45:$G$45,1,F230)*I230</f>
        <v>1.5</v>
      </c>
      <c r="S230" s="17" t="n">
        <f aca="false">INDEX(Ipotesi!$C$52:$G$52,1,F230)*Ipotesi!F125</f>
        <v>7</v>
      </c>
      <c r="T230" s="17" t="n">
        <f aca="false">INDEX(Ipotesi!$C$53:$G$53,1,F230)*I230</f>
        <v>1</v>
      </c>
      <c r="U230" s="17" t="n">
        <f aca="false">INDEX(Ipotesi!$C$54:$G$54,1,F230)*I230</f>
        <v>0.5</v>
      </c>
      <c r="V230" s="15" t="n">
        <f aca="false">M230*INDEX(Ipotesi!$C$58:$G$58,1,F230)*K230/12</f>
        <v>7916.66666666667</v>
      </c>
      <c r="W230" s="15" t="n">
        <f aca="false">N230*Ipotesi!$C$59*(1+Ipotesi!$C$66)^(F230-1)/12</f>
        <v>6374.24083333333</v>
      </c>
      <c r="X230" s="15" t="n">
        <f aca="false">O230*Ipotesi!$C$60*(1+Ipotesi!$C$66)^(F230-1)/12</f>
        <v>29594.6895833333</v>
      </c>
      <c r="Y230" s="15" t="n">
        <f aca="false">P230*Ipotesi!$C$61*(1+Ipotesi!$C$66)^(F230-1)/12</f>
        <v>27318.175</v>
      </c>
      <c r="Z230" s="15" t="n">
        <f aca="false">Q230*Ipotesi!$C$62*(1+Ipotesi!$C$66)^(F230-1)/12</f>
        <v>20488.63125</v>
      </c>
      <c r="AA230" s="15" t="n">
        <f aca="false">R230*Ipotesi!$C$63*(1+Ipotesi!$C$66)^(F230-1)/12</f>
        <v>4780.680625</v>
      </c>
      <c r="AB230" s="15" t="n">
        <f aca="false">SUM(V230:AA230)</f>
        <v>96473.0839583333</v>
      </c>
      <c r="AC230" s="15" t="n">
        <f aca="false">(S230*Ipotesi!$C$64+T230*Ipotesi!$C$65+U230*Ipotesi!$C$63)*(1+Ipotesi!$C$66)^(F230-1)/12</f>
        <v>33829.0067083333</v>
      </c>
      <c r="AD230" s="15" t="n">
        <f aca="false">INDEX(Ipotesi!$C$48:$G$48,1,F230)*G230/12</f>
        <v>43.5416666666667</v>
      </c>
      <c r="AE230" s="15" t="n">
        <f aca="false">INDEX(Ipotesi!$C$50:$G$50,1,F230)*G230/12</f>
        <v>4.58333333333333</v>
      </c>
      <c r="AF230" s="15" t="n">
        <f aca="false">(S230*Parametri_v3!$C$7*Parametri_v3!$C$8+Parametri_v3!$C$10)/12</f>
        <v>89.8333333333333</v>
      </c>
      <c r="AG230" s="15" t="n">
        <f aca="false">AD230+AE230*(1+Parametri_v3!$C$9)</f>
        <v>50.4166666666667</v>
      </c>
      <c r="AH230" s="16" t="n">
        <f aca="false">IF(AG230=0,1,MIN(1,AF230/AG230))</f>
        <v>1</v>
      </c>
      <c r="AI230" s="15" t="n">
        <f aca="false">AD230*AH230</f>
        <v>43.5416666666667</v>
      </c>
      <c r="AJ230" s="15" t="n">
        <f aca="false">AE230*AH230</f>
        <v>4.58333333333333</v>
      </c>
      <c r="AK230" s="15" t="n">
        <f aca="false">AI230*INDEX(Ipotesi!$C$49:$G$49,1,F230)*H230</f>
        <v>35268.75</v>
      </c>
      <c r="AL230" s="15" t="n">
        <f aca="false">AJ230*INDEX(Ipotesi!$C$51:$G$51,1,F230)*H230</f>
        <v>10312.5</v>
      </c>
      <c r="AM230" s="15" t="n">
        <f aca="false">AK230+AL230</f>
        <v>45581.25</v>
      </c>
      <c r="AN230" s="15" t="n">
        <f aca="false">INDEX(Ipotesi!$C$30:$G$30,1,F230)*G230/12</f>
        <v>33.9166666666667</v>
      </c>
      <c r="AO230" s="15" t="n">
        <f aca="false">O230*Parametri_v3!$C$7*Parametri_v3!$C$11*(1-Parametri_v3!$C$14)/12</f>
        <v>66.7333333333333</v>
      </c>
      <c r="AP230" s="15" t="n">
        <f aca="false">MIN(AN230,AO230)</f>
        <v>33.9166666666667</v>
      </c>
      <c r="AQ230" s="15" t="n">
        <f aca="false">AP230*INDEX(Ipotesi!$C$31:$G$31,1,F230)*H230</f>
        <v>32051.25</v>
      </c>
      <c r="AR230" s="15" t="n">
        <f aca="false">INDEX(Ipotesi!$C$75:$G$75,1,F230)*J230/12</f>
        <v>27916.6666666667</v>
      </c>
      <c r="AS230" s="15" t="n">
        <f aca="false">INDEX(Ipotesi!$C$81:$G$81,1,F230)*J230/12</f>
        <v>1666.66666666667</v>
      </c>
      <c r="AT230" s="15" t="n">
        <f aca="false">AR230*Parametri_v3!$C$15+Z230*Parametri_v3!$C$16</f>
        <v>42258.7085416667</v>
      </c>
      <c r="AU230" s="15" t="n">
        <f aca="false">Q230*Parametri_v3!$C$16*Parametri_v3!$C$17</f>
        <v>350</v>
      </c>
      <c r="AV230" s="17" t="n">
        <f aca="false">BD229</f>
        <v>85.5725650572935</v>
      </c>
      <c r="AW230" s="17" t="n">
        <f aca="false">AV230*(1-(1-INDEX(Ipotesi!$C$34:$G$34,1,F230))^(1/12))</f>
        <v>0.748042072126335</v>
      </c>
      <c r="AX230" s="15" t="n">
        <f aca="false">ROUND(INDEX(Ipotesi!$C$32:$G$32,1,F230)*Ipotesi!F8,0)</f>
        <v>109</v>
      </c>
      <c r="AY230" s="15" t="n">
        <f aca="false">MAX(0,(AX230-(AV230-AW230))/(13-E230))</f>
        <v>8.0584923382776</v>
      </c>
      <c r="AZ230" s="15" t="n">
        <f aca="false">MIN(P230*Parametri_v3!$C$22,Q230*(1-Parametri_v3!$C$16)*Parametri_v3!$C$23)</f>
        <v>225</v>
      </c>
      <c r="BA230" s="15" t="n">
        <f aca="false">IF(OR(INDEX(Ipotesi!$C$35:$G$35,1,F230)&lt;=0,46-Parametri_v3!$C$21&lt;1),0,INDEX($AT$185:$AT$244,MAX(1,46-Parametri_v3!$C$21))/(INDEX(Ipotesi!$C$35:$G$35,1,F230)*Ipotesi!F27))</f>
        <v>5.41778314636752</v>
      </c>
      <c r="BB230" s="15" t="n">
        <f aca="false">IF(46-Parametri_v3!$C$21&lt;1,0,INDEX($AU$185:$AU$244,MAX(1,46-Parametri_v3!$C$21)))*Parametri_v3!$C$18*Parametri_v3!$C$19*Parametri_v3!$C$20</f>
        <v>13.125</v>
      </c>
      <c r="BC230" s="17" t="n">
        <f aca="false">MAX(0,MIN(AY230,BA230,BB230,MAX(0,AZ230-(AV230-AW230))))</f>
        <v>5.41778314636752</v>
      </c>
      <c r="BD230" s="17" t="n">
        <f aca="false">AV230-AW230+BC230</f>
        <v>90.2423061315347</v>
      </c>
      <c r="BE230" s="17" t="n">
        <f aca="false">(AV230+BD230)/2</f>
        <v>87.9074355944141</v>
      </c>
      <c r="BF230" s="15" t="n">
        <f aca="false">BE230*INDEX(Ipotesi!$C$33:$G$33,1,F230)*H230/12</f>
        <v>39558.3460174864</v>
      </c>
      <c r="BG230" s="15" t="n">
        <f aca="false">BD230*INDEX(Ipotesi!$C$33:$G$33,1,F230)*H230</f>
        <v>487308.453110288</v>
      </c>
      <c r="BH230" s="15" t="n">
        <f aca="false">AM230*INDEX(Ipotesi!$C$37:$G$37,1,F230)</f>
        <v>4558.125</v>
      </c>
      <c r="BI230" s="15" t="n">
        <f aca="false">AQ230+BF230+BH230</f>
        <v>76167.7210174864</v>
      </c>
      <c r="BJ230" s="15" t="n">
        <f aca="false">INDEX(Ipotesi!$C$68:$G$68,1,F230)*Ipotesi!$C$69/12</f>
        <v>3000</v>
      </c>
      <c r="BK230" s="15" t="n">
        <f aca="false">INDEX(Ipotesi!$C$68:$G$68,1,F230)*(1-Ipotesi!$C$69)/12</f>
        <v>4500</v>
      </c>
      <c r="BL230" s="15" t="n">
        <f aca="false">(AQ230+BF230)*Ipotesi!$C$67</f>
        <v>2148.28788052459</v>
      </c>
      <c r="BM230" s="15" t="n">
        <f aca="false">AM230*Ipotesi!$C$67</f>
        <v>1367.4375</v>
      </c>
      <c r="BN230" s="15" t="n">
        <f aca="false">INDEX(Ipotesi!$C$72:$G$72,1,F230)/12*Ipotesi!F126+BF230*Ipotesi!$C$73</f>
        <v>4414.66768139891</v>
      </c>
      <c r="BO230" s="15" t="n">
        <f aca="false">INDEX(Ipotesi!$C$74:$G$74,1,F230)/12*Ipotesi!F126</f>
        <v>4166.66666666667</v>
      </c>
      <c r="BP230" s="15" t="n">
        <f aca="false">INDEX(Ipotesi!$C$76:$G$76,1,F230)/12</f>
        <v>1500</v>
      </c>
      <c r="BQ230" s="15" t="n">
        <f aca="false">INDEX(Ipotesi!$C$77:$G$77,1,F230)/12*Ipotesi!F126</f>
        <v>2083.33333333333</v>
      </c>
      <c r="BR230" s="15" t="n">
        <f aca="false">INDEX(Ipotesi!$C$78:$G$78,1,F230)/12</f>
        <v>2000</v>
      </c>
      <c r="BS230" s="15" t="n">
        <f aca="false">SUM(M230:R230)*(Ipotesi!$C$85+Ipotesi!$C$86)/12</f>
        <v>6125</v>
      </c>
      <c r="BT230" s="15" t="n">
        <f aca="false">BI230*Ipotesi!$C$87</f>
        <v>2285.03163052459</v>
      </c>
      <c r="BU230" s="15" t="n">
        <f aca="false">INDEX(Ipotesi!$C$55:$G$55,1,F230)*K230/12</f>
        <v>2000</v>
      </c>
      <c r="BV230" s="15" t="n">
        <f aca="false">INDEX(Ipotesi!$C$80:$G$80,1,F230)/12*Ipotesi!F126</f>
        <v>1666.66666666667</v>
      </c>
      <c r="BW230" s="15" t="n">
        <f aca="false">INDEX(Ipotesi!$C$82:$G$82,1,F230)/12</f>
        <v>1250</v>
      </c>
      <c r="BX230" s="15" t="n">
        <f aca="false">INDEX(Ipotesi!$C$83:$G$83,1,F230)/12</f>
        <v>750</v>
      </c>
      <c r="BY230" s="15" t="n">
        <f aca="false">SUM(S230:U230)*(Ipotesi!$C$85+Ipotesi!$C$86)/12</f>
        <v>2479.16666666667</v>
      </c>
      <c r="BZ230" s="15" t="n">
        <f aca="false">AM230*Ipotesi!$C$87</f>
        <v>1367.4375</v>
      </c>
      <c r="CA230" s="15" t="n">
        <f aca="false">AB230+BJ230+BL230+BN230+BO230+AR230+BP230+BQ230+BR230+BS230+BT230</f>
        <v>152112.737817448</v>
      </c>
      <c r="CB230" s="15" t="n">
        <f aca="false">AC230+BK230+BM230+BH230+BU230+BV230+AS230+BW230+BX230+BY230+BZ230</f>
        <v>55434.5067083333</v>
      </c>
      <c r="CC230" s="15" t="n">
        <f aca="false">BI230-CA230</f>
        <v>-75945.0167999617</v>
      </c>
      <c r="CD230" s="15" t="n">
        <f aca="false">AM230-CB230</f>
        <v>-9853.25670833333</v>
      </c>
      <c r="CE230" s="15" t="n">
        <f aca="false">INDEX(Ipotesi!$C$79:$G$79,1,F230)/12</f>
        <v>3333.33333333333</v>
      </c>
      <c r="CF230" s="15" t="n">
        <f aca="false">INDEX(Ipotesi!$C$84:$G$84,1,F230)/12</f>
        <v>666.666666666667</v>
      </c>
      <c r="CG230" s="15" t="n">
        <f aca="false">Y230*MAX(0,Parametri_v3!$C$12-IF(P230=0,0,MIN(1,BE230/(P230*Parametri_v3!$C$22))))+W230*Parametri_v3!$C$13+X230*Parametri_v3!$C$14</f>
        <v>32421.7821510509</v>
      </c>
      <c r="CH230" s="15" t="n">
        <f aca="false">AB230*Parametri_v3!$C$32</f>
        <v>4823.65419791667</v>
      </c>
      <c r="CI230" s="15" t="n">
        <f aca="false">AC230*Parametri_v3!$C$32</f>
        <v>1691.45033541667</v>
      </c>
      <c r="CJ230" s="15" t="n">
        <f aca="false">CA230-AB230</f>
        <v>55639.6538591147</v>
      </c>
      <c r="CK230" s="15" t="n">
        <f aca="false">CB230-AC230-BH230</f>
        <v>17047.375</v>
      </c>
      <c r="CL230" s="15" t="n">
        <f aca="false">BF230*Ipotesi!$C$73+INDEX(Ipotesi!$C$72:$G$72,1,F230)/12*Ipotesi!F126*Parametri_v3!$C$58+Z230*(1-Parametri_v3!$C$16)</f>
        <v>10561.2570563989</v>
      </c>
      <c r="CM230" s="16" t="n">
        <f aca="false">IF(BF230=0,0,1-CL230/BF230)</f>
        <v>0.7330207625028</v>
      </c>
    </row>
    <row r="231" customFormat="false" ht="18" hidden="false" customHeight="true" outlineLevel="0" collapsed="false">
      <c r="A231" s="68" t="n">
        <f aca="false">4</f>
        <v>4</v>
      </c>
      <c r="B231" s="68" t="n">
        <f aca="false">47</f>
        <v>47</v>
      </c>
      <c r="C231" s="18" t="n">
        <f aca="false">EDATE(Parametri_v3!$C$5,47-1)</f>
        <v>47788</v>
      </c>
      <c r="D231" s="68" t="n">
        <f aca="false">YEAR(C231)</f>
        <v>2030</v>
      </c>
      <c r="E231" s="68" t="n">
        <f aca="false">MONTH(C231)</f>
        <v>11</v>
      </c>
      <c r="F231" s="68" t="n">
        <f aca="false">INT((47-1)/12)+1</f>
        <v>4</v>
      </c>
      <c r="G231" s="15" t="n">
        <f aca="false">Ipotesi!F7</f>
        <v>0.55</v>
      </c>
      <c r="H231" s="15" t="n">
        <f aca="false">Ipotesi!F9</f>
        <v>0.9</v>
      </c>
      <c r="I231" s="15" t="n">
        <f aca="false">Ipotesi!F10</f>
        <v>1</v>
      </c>
      <c r="J231" s="15" t="n">
        <f aca="false">Ipotesi!F11</f>
        <v>1</v>
      </c>
      <c r="K231" s="15" t="n">
        <f aca="false">Ipotesi!F12</f>
        <v>1</v>
      </c>
      <c r="L231" s="15" t="n">
        <f aca="false">Ipotesi!F13</f>
        <v>120</v>
      </c>
      <c r="M231" s="17" t="n">
        <f aca="false">INDEX(Ipotesi!$C$40:$G$40,1,F231)</f>
        <v>1</v>
      </c>
      <c r="N231" s="17" t="n">
        <f aca="false">INDEX(Ipotesi!$C$41:$G$41,1,F231)</f>
        <v>1</v>
      </c>
      <c r="O231" s="17" t="n">
        <f aca="false">INDEX(Ipotesi!$C$42:$G$42,1,F231)*Ipotesi!F125</f>
        <v>6.5</v>
      </c>
      <c r="P231" s="17" t="n">
        <f aca="false">INDEX(Ipotesi!$C$43:$G$43,1,F231)*I231</f>
        <v>6</v>
      </c>
      <c r="Q231" s="17" t="n">
        <f aca="false">INDEX(Ipotesi!$C$44:$G$44,1,F231)*I231</f>
        <v>5</v>
      </c>
      <c r="R231" s="17" t="n">
        <f aca="false">INDEX(Ipotesi!$C$45:$G$45,1,F231)*I231</f>
        <v>1.5</v>
      </c>
      <c r="S231" s="17" t="n">
        <f aca="false">INDEX(Ipotesi!$C$52:$G$52,1,F231)*Ipotesi!F125</f>
        <v>7</v>
      </c>
      <c r="T231" s="17" t="n">
        <f aca="false">INDEX(Ipotesi!$C$53:$G$53,1,F231)*I231</f>
        <v>1</v>
      </c>
      <c r="U231" s="17" t="n">
        <f aca="false">INDEX(Ipotesi!$C$54:$G$54,1,F231)*I231</f>
        <v>0.5</v>
      </c>
      <c r="V231" s="15" t="n">
        <f aca="false">M231*INDEX(Ipotesi!$C$58:$G$58,1,F231)*K231/12</f>
        <v>7916.66666666667</v>
      </c>
      <c r="W231" s="15" t="n">
        <f aca="false">N231*Ipotesi!$C$59*(1+Ipotesi!$C$66)^(F231-1)/12</f>
        <v>6374.24083333333</v>
      </c>
      <c r="X231" s="15" t="n">
        <f aca="false">O231*Ipotesi!$C$60*(1+Ipotesi!$C$66)^(F231-1)/12</f>
        <v>29594.6895833333</v>
      </c>
      <c r="Y231" s="15" t="n">
        <f aca="false">P231*Ipotesi!$C$61*(1+Ipotesi!$C$66)^(F231-1)/12</f>
        <v>27318.175</v>
      </c>
      <c r="Z231" s="15" t="n">
        <f aca="false">Q231*Ipotesi!$C$62*(1+Ipotesi!$C$66)^(F231-1)/12</f>
        <v>20488.63125</v>
      </c>
      <c r="AA231" s="15" t="n">
        <f aca="false">R231*Ipotesi!$C$63*(1+Ipotesi!$C$66)^(F231-1)/12</f>
        <v>4780.680625</v>
      </c>
      <c r="AB231" s="15" t="n">
        <f aca="false">SUM(V231:AA231)</f>
        <v>96473.0839583333</v>
      </c>
      <c r="AC231" s="15" t="n">
        <f aca="false">(S231*Ipotesi!$C$64+T231*Ipotesi!$C$65+U231*Ipotesi!$C$63)*(1+Ipotesi!$C$66)^(F231-1)/12</f>
        <v>33829.0067083333</v>
      </c>
      <c r="AD231" s="15" t="n">
        <f aca="false">INDEX(Ipotesi!$C$48:$G$48,1,F231)*G231/12</f>
        <v>43.5416666666667</v>
      </c>
      <c r="AE231" s="15" t="n">
        <f aca="false">INDEX(Ipotesi!$C$50:$G$50,1,F231)*G231/12</f>
        <v>4.58333333333333</v>
      </c>
      <c r="AF231" s="15" t="n">
        <f aca="false">(S231*Parametri_v3!$C$7*Parametri_v3!$C$8+Parametri_v3!$C$10)/12</f>
        <v>89.8333333333333</v>
      </c>
      <c r="AG231" s="15" t="n">
        <f aca="false">AD231+AE231*(1+Parametri_v3!$C$9)</f>
        <v>50.4166666666667</v>
      </c>
      <c r="AH231" s="16" t="n">
        <f aca="false">IF(AG231=0,1,MIN(1,AF231/AG231))</f>
        <v>1</v>
      </c>
      <c r="AI231" s="15" t="n">
        <f aca="false">AD231*AH231</f>
        <v>43.5416666666667</v>
      </c>
      <c r="AJ231" s="15" t="n">
        <f aca="false">AE231*AH231</f>
        <v>4.58333333333333</v>
      </c>
      <c r="AK231" s="15" t="n">
        <f aca="false">AI231*INDEX(Ipotesi!$C$49:$G$49,1,F231)*H231</f>
        <v>35268.75</v>
      </c>
      <c r="AL231" s="15" t="n">
        <f aca="false">AJ231*INDEX(Ipotesi!$C$51:$G$51,1,F231)*H231</f>
        <v>10312.5</v>
      </c>
      <c r="AM231" s="15" t="n">
        <f aca="false">AK231+AL231</f>
        <v>45581.25</v>
      </c>
      <c r="AN231" s="15" t="n">
        <f aca="false">INDEX(Ipotesi!$C$30:$G$30,1,F231)*G231/12</f>
        <v>33.9166666666667</v>
      </c>
      <c r="AO231" s="15" t="n">
        <f aca="false">O231*Parametri_v3!$C$7*Parametri_v3!$C$11*(1-Parametri_v3!$C$14)/12</f>
        <v>66.7333333333333</v>
      </c>
      <c r="AP231" s="15" t="n">
        <f aca="false">MIN(AN231,AO231)</f>
        <v>33.9166666666667</v>
      </c>
      <c r="AQ231" s="15" t="n">
        <f aca="false">AP231*INDEX(Ipotesi!$C$31:$G$31,1,F231)*H231</f>
        <v>32051.25</v>
      </c>
      <c r="AR231" s="15" t="n">
        <f aca="false">INDEX(Ipotesi!$C$75:$G$75,1,F231)*J231/12</f>
        <v>27916.6666666667</v>
      </c>
      <c r="AS231" s="15" t="n">
        <f aca="false">INDEX(Ipotesi!$C$81:$G$81,1,F231)*J231/12</f>
        <v>1666.66666666667</v>
      </c>
      <c r="AT231" s="15" t="n">
        <f aca="false">AR231*Parametri_v3!$C$15+Z231*Parametri_v3!$C$16</f>
        <v>42258.7085416667</v>
      </c>
      <c r="AU231" s="15" t="n">
        <f aca="false">Q231*Parametri_v3!$C$16*Parametri_v3!$C$17</f>
        <v>350</v>
      </c>
      <c r="AV231" s="17" t="n">
        <f aca="false">BD230</f>
        <v>90.2423061315347</v>
      </c>
      <c r="AW231" s="17" t="n">
        <f aca="false">AV231*(1-(1-INDEX(Ipotesi!$C$34:$G$34,1,F231))^(1/12))</f>
        <v>0.788863131856519</v>
      </c>
      <c r="AX231" s="15" t="n">
        <f aca="false">ROUND(INDEX(Ipotesi!$C$32:$G$32,1,F231)*Ipotesi!F8,0)</f>
        <v>109</v>
      </c>
      <c r="AY231" s="15" t="n">
        <f aca="false">MAX(0,(AX231-(AV231-AW231))/(13-E231))</f>
        <v>9.7732785001609</v>
      </c>
      <c r="AZ231" s="15" t="n">
        <f aca="false">MIN(P231*Parametri_v3!$C$22,Q231*(1-Parametri_v3!$C$16)*Parametri_v3!$C$23)</f>
        <v>225</v>
      </c>
      <c r="BA231" s="15" t="n">
        <f aca="false">IF(OR(INDEX(Ipotesi!$C$35:$G$35,1,F231)&lt;=0,47-Parametri_v3!$C$21&lt;1),0,INDEX($AT$185:$AT$244,MAX(1,47-Parametri_v3!$C$21))/(INDEX(Ipotesi!$C$35:$G$35,1,F231)*Ipotesi!F27))</f>
        <v>5.41778314636752</v>
      </c>
      <c r="BB231" s="15" t="n">
        <f aca="false">IF(47-Parametri_v3!$C$21&lt;1,0,INDEX($AU$185:$AU$244,MAX(1,47-Parametri_v3!$C$21)))*Parametri_v3!$C$18*Parametri_v3!$C$19*Parametri_v3!$C$20</f>
        <v>13.125</v>
      </c>
      <c r="BC231" s="17" t="n">
        <f aca="false">MAX(0,MIN(AY231,BA231,BB231,MAX(0,AZ231-(AV231-AW231))))</f>
        <v>5.41778314636752</v>
      </c>
      <c r="BD231" s="17" t="n">
        <f aca="false">AV231-AW231+BC231</f>
        <v>94.8712261460457</v>
      </c>
      <c r="BE231" s="17" t="n">
        <f aca="false">(AV231+BD231)/2</f>
        <v>92.5567661387902</v>
      </c>
      <c r="BF231" s="15" t="n">
        <f aca="false">BE231*INDEX(Ipotesi!$C$33:$G$33,1,F231)*H231/12</f>
        <v>41650.5447624556</v>
      </c>
      <c r="BG231" s="15" t="n">
        <f aca="false">BD231*INDEX(Ipotesi!$C$33:$G$33,1,F231)*H231</f>
        <v>512304.621188647</v>
      </c>
      <c r="BH231" s="15" t="n">
        <f aca="false">AM231*INDEX(Ipotesi!$C$37:$G$37,1,F231)</f>
        <v>4558.125</v>
      </c>
      <c r="BI231" s="15" t="n">
        <f aca="false">AQ231+BF231+BH231</f>
        <v>78259.9197624556</v>
      </c>
      <c r="BJ231" s="15" t="n">
        <f aca="false">INDEX(Ipotesi!$C$68:$G$68,1,F231)*Ipotesi!$C$69/12</f>
        <v>3000</v>
      </c>
      <c r="BK231" s="15" t="n">
        <f aca="false">INDEX(Ipotesi!$C$68:$G$68,1,F231)*(1-Ipotesi!$C$69)/12</f>
        <v>4500</v>
      </c>
      <c r="BL231" s="15" t="n">
        <f aca="false">(AQ231+BF231)*Ipotesi!$C$67</f>
        <v>2211.05384287367</v>
      </c>
      <c r="BM231" s="15" t="n">
        <f aca="false">AM231*Ipotesi!$C$67</f>
        <v>1367.4375</v>
      </c>
      <c r="BN231" s="15" t="n">
        <f aca="false">INDEX(Ipotesi!$C$72:$G$72,1,F231)/12*Ipotesi!F126+BF231*Ipotesi!$C$73</f>
        <v>4582.04358099645</v>
      </c>
      <c r="BO231" s="15" t="n">
        <f aca="false">INDEX(Ipotesi!$C$74:$G$74,1,F231)/12*Ipotesi!F126</f>
        <v>4166.66666666667</v>
      </c>
      <c r="BP231" s="15" t="n">
        <f aca="false">INDEX(Ipotesi!$C$76:$G$76,1,F231)/12</f>
        <v>1500</v>
      </c>
      <c r="BQ231" s="15" t="n">
        <f aca="false">INDEX(Ipotesi!$C$77:$G$77,1,F231)/12*Ipotesi!F126</f>
        <v>2083.33333333333</v>
      </c>
      <c r="BR231" s="15" t="n">
        <f aca="false">INDEX(Ipotesi!$C$78:$G$78,1,F231)/12</f>
        <v>2000</v>
      </c>
      <c r="BS231" s="15" t="n">
        <f aca="false">SUM(M231:R231)*(Ipotesi!$C$85+Ipotesi!$C$86)/12</f>
        <v>6125</v>
      </c>
      <c r="BT231" s="15" t="n">
        <f aca="false">BI231*Ipotesi!$C$87</f>
        <v>2347.79759287367</v>
      </c>
      <c r="BU231" s="15" t="n">
        <f aca="false">INDEX(Ipotesi!$C$55:$G$55,1,F231)*K231/12</f>
        <v>2000</v>
      </c>
      <c r="BV231" s="15" t="n">
        <f aca="false">INDEX(Ipotesi!$C$80:$G$80,1,F231)/12*Ipotesi!F126</f>
        <v>1666.66666666667</v>
      </c>
      <c r="BW231" s="15" t="n">
        <f aca="false">INDEX(Ipotesi!$C$82:$G$82,1,F231)/12</f>
        <v>1250</v>
      </c>
      <c r="BX231" s="15" t="n">
        <f aca="false">INDEX(Ipotesi!$C$83:$G$83,1,F231)/12</f>
        <v>750</v>
      </c>
      <c r="BY231" s="15" t="n">
        <f aca="false">SUM(S231:U231)*(Ipotesi!$C$85+Ipotesi!$C$86)/12</f>
        <v>2479.16666666667</v>
      </c>
      <c r="BZ231" s="15" t="n">
        <f aca="false">AM231*Ipotesi!$C$87</f>
        <v>1367.4375</v>
      </c>
      <c r="CA231" s="15" t="n">
        <f aca="false">AB231+BJ231+BL231+BN231+BO231+AR231+BP231+BQ231+BR231+BS231+BT231</f>
        <v>152405.645641744</v>
      </c>
      <c r="CB231" s="15" t="n">
        <f aca="false">AC231+BK231+BM231+BH231+BU231+BV231+AS231+BW231+BX231+BY231+BZ231</f>
        <v>55434.5067083333</v>
      </c>
      <c r="CC231" s="15" t="n">
        <f aca="false">BI231-CA231</f>
        <v>-74145.7258792882</v>
      </c>
      <c r="CD231" s="15" t="n">
        <f aca="false">AM231-CB231</f>
        <v>-9853.25670833333</v>
      </c>
      <c r="CE231" s="15" t="n">
        <f aca="false">INDEX(Ipotesi!$C$79:$G$79,1,F231)/12</f>
        <v>3333.33333333333</v>
      </c>
      <c r="CF231" s="15" t="n">
        <f aca="false">INDEX(Ipotesi!$C$84:$G$84,1,F231)/12</f>
        <v>666.666666666667</v>
      </c>
      <c r="CG231" s="15" t="n">
        <f aca="false">Y231*MAX(0,Parametri_v3!$C$12-IF(P231=0,0,MIN(1,BE231/(P231*Parametri_v3!$C$22))))+W231*Parametri_v3!$C$13+X231*Parametri_v3!$C$14</f>
        <v>32210.0967753108</v>
      </c>
      <c r="CH231" s="15" t="n">
        <f aca="false">AB231*Parametri_v3!$C$32</f>
        <v>4823.65419791667</v>
      </c>
      <c r="CI231" s="15" t="n">
        <f aca="false">AC231*Parametri_v3!$C$32</f>
        <v>1691.45033541667</v>
      </c>
      <c r="CJ231" s="15" t="n">
        <f aca="false">CA231-AB231</f>
        <v>55932.5616834105</v>
      </c>
      <c r="CK231" s="15" t="n">
        <f aca="false">CB231-AC231-BH231</f>
        <v>17047.375</v>
      </c>
      <c r="CL231" s="15" t="n">
        <f aca="false">BF231*Ipotesi!$C$73+INDEX(Ipotesi!$C$72:$G$72,1,F231)/12*Ipotesi!F126*Parametri_v3!$C$58+Z231*(1-Parametri_v3!$C$16)</f>
        <v>10728.6329559964</v>
      </c>
      <c r="CM231" s="16" t="n">
        <f aca="false">IF(BF231=0,0,1-CL231/BF231)</f>
        <v>0.742413142080499</v>
      </c>
    </row>
    <row r="232" customFormat="false" ht="18" hidden="false" customHeight="true" outlineLevel="0" collapsed="false">
      <c r="A232" s="68" t="n">
        <f aca="false">4</f>
        <v>4</v>
      </c>
      <c r="B232" s="68" t="n">
        <f aca="false">48</f>
        <v>48</v>
      </c>
      <c r="C232" s="18" t="n">
        <f aca="false">EDATE(Parametri_v3!$C$5,48-1)</f>
        <v>47818</v>
      </c>
      <c r="D232" s="68" t="n">
        <f aca="false">YEAR(C232)</f>
        <v>2030</v>
      </c>
      <c r="E232" s="68" t="n">
        <f aca="false">MONTH(C232)</f>
        <v>12</v>
      </c>
      <c r="F232" s="68" t="n">
        <f aca="false">INT((48-1)/12)+1</f>
        <v>4</v>
      </c>
      <c r="G232" s="15" t="n">
        <f aca="false">Ipotesi!F7</f>
        <v>0.55</v>
      </c>
      <c r="H232" s="15" t="n">
        <f aca="false">Ipotesi!F9</f>
        <v>0.9</v>
      </c>
      <c r="I232" s="15" t="n">
        <f aca="false">Ipotesi!F10</f>
        <v>1</v>
      </c>
      <c r="J232" s="15" t="n">
        <f aca="false">Ipotesi!F11</f>
        <v>1</v>
      </c>
      <c r="K232" s="15" t="n">
        <f aca="false">Ipotesi!F12</f>
        <v>1</v>
      </c>
      <c r="L232" s="15" t="n">
        <f aca="false">Ipotesi!F13</f>
        <v>120</v>
      </c>
      <c r="M232" s="17" t="n">
        <f aca="false">INDEX(Ipotesi!$C$40:$G$40,1,F232)</f>
        <v>1</v>
      </c>
      <c r="N232" s="17" t="n">
        <f aca="false">INDEX(Ipotesi!$C$41:$G$41,1,F232)</f>
        <v>1</v>
      </c>
      <c r="O232" s="17" t="n">
        <f aca="false">INDEX(Ipotesi!$C$42:$G$42,1,F232)*Ipotesi!F125</f>
        <v>6.5</v>
      </c>
      <c r="P232" s="17" t="n">
        <f aca="false">INDEX(Ipotesi!$C$43:$G$43,1,F232)*I232</f>
        <v>6</v>
      </c>
      <c r="Q232" s="17" t="n">
        <f aca="false">INDEX(Ipotesi!$C$44:$G$44,1,F232)*I232</f>
        <v>5</v>
      </c>
      <c r="R232" s="17" t="n">
        <f aca="false">INDEX(Ipotesi!$C$45:$G$45,1,F232)*I232</f>
        <v>1.5</v>
      </c>
      <c r="S232" s="17" t="n">
        <f aca="false">INDEX(Ipotesi!$C$52:$G$52,1,F232)*Ipotesi!F125</f>
        <v>7</v>
      </c>
      <c r="T232" s="17" t="n">
        <f aca="false">INDEX(Ipotesi!$C$53:$G$53,1,F232)*I232</f>
        <v>1</v>
      </c>
      <c r="U232" s="17" t="n">
        <f aca="false">INDEX(Ipotesi!$C$54:$G$54,1,F232)*I232</f>
        <v>0.5</v>
      </c>
      <c r="V232" s="15" t="n">
        <f aca="false">M232*INDEX(Ipotesi!$C$58:$G$58,1,F232)*K232/12</f>
        <v>7916.66666666667</v>
      </c>
      <c r="W232" s="15" t="n">
        <f aca="false">N232*Ipotesi!$C$59*(1+Ipotesi!$C$66)^(F232-1)/12</f>
        <v>6374.24083333333</v>
      </c>
      <c r="X232" s="15" t="n">
        <f aca="false">O232*Ipotesi!$C$60*(1+Ipotesi!$C$66)^(F232-1)/12</f>
        <v>29594.6895833333</v>
      </c>
      <c r="Y232" s="15" t="n">
        <f aca="false">P232*Ipotesi!$C$61*(1+Ipotesi!$C$66)^(F232-1)/12</f>
        <v>27318.175</v>
      </c>
      <c r="Z232" s="15" t="n">
        <f aca="false">Q232*Ipotesi!$C$62*(1+Ipotesi!$C$66)^(F232-1)/12</f>
        <v>20488.63125</v>
      </c>
      <c r="AA232" s="15" t="n">
        <f aca="false">R232*Ipotesi!$C$63*(1+Ipotesi!$C$66)^(F232-1)/12</f>
        <v>4780.680625</v>
      </c>
      <c r="AB232" s="15" t="n">
        <f aca="false">SUM(V232:AA232)</f>
        <v>96473.0839583333</v>
      </c>
      <c r="AC232" s="15" t="n">
        <f aca="false">(S232*Ipotesi!$C$64+T232*Ipotesi!$C$65+U232*Ipotesi!$C$63)*(1+Ipotesi!$C$66)^(F232-1)/12</f>
        <v>33829.0067083333</v>
      </c>
      <c r="AD232" s="15" t="n">
        <f aca="false">INDEX(Ipotesi!$C$48:$G$48,1,F232)*G232/12</f>
        <v>43.5416666666667</v>
      </c>
      <c r="AE232" s="15" t="n">
        <f aca="false">INDEX(Ipotesi!$C$50:$G$50,1,F232)*G232/12</f>
        <v>4.58333333333333</v>
      </c>
      <c r="AF232" s="15" t="n">
        <f aca="false">(S232*Parametri_v3!$C$7*Parametri_v3!$C$8+Parametri_v3!$C$10)/12</f>
        <v>89.8333333333333</v>
      </c>
      <c r="AG232" s="15" t="n">
        <f aca="false">AD232+AE232*(1+Parametri_v3!$C$9)</f>
        <v>50.4166666666667</v>
      </c>
      <c r="AH232" s="16" t="n">
        <f aca="false">IF(AG232=0,1,MIN(1,AF232/AG232))</f>
        <v>1</v>
      </c>
      <c r="AI232" s="15" t="n">
        <f aca="false">AD232*AH232</f>
        <v>43.5416666666667</v>
      </c>
      <c r="AJ232" s="15" t="n">
        <f aca="false">AE232*AH232</f>
        <v>4.58333333333333</v>
      </c>
      <c r="AK232" s="15" t="n">
        <f aca="false">AI232*INDEX(Ipotesi!$C$49:$G$49,1,F232)*H232</f>
        <v>35268.75</v>
      </c>
      <c r="AL232" s="15" t="n">
        <f aca="false">AJ232*INDEX(Ipotesi!$C$51:$G$51,1,F232)*H232</f>
        <v>10312.5</v>
      </c>
      <c r="AM232" s="15" t="n">
        <f aca="false">AK232+AL232</f>
        <v>45581.25</v>
      </c>
      <c r="AN232" s="15" t="n">
        <f aca="false">INDEX(Ipotesi!$C$30:$G$30,1,F232)*G232/12</f>
        <v>33.9166666666667</v>
      </c>
      <c r="AO232" s="15" t="n">
        <f aca="false">O232*Parametri_v3!$C$7*Parametri_v3!$C$11*(1-Parametri_v3!$C$14)/12</f>
        <v>66.7333333333333</v>
      </c>
      <c r="AP232" s="15" t="n">
        <f aca="false">MIN(AN232,AO232)</f>
        <v>33.9166666666667</v>
      </c>
      <c r="AQ232" s="15" t="n">
        <f aca="false">AP232*INDEX(Ipotesi!$C$31:$G$31,1,F232)*H232</f>
        <v>32051.25</v>
      </c>
      <c r="AR232" s="15" t="n">
        <f aca="false">INDEX(Ipotesi!$C$75:$G$75,1,F232)*J232/12</f>
        <v>27916.6666666667</v>
      </c>
      <c r="AS232" s="15" t="n">
        <f aca="false">INDEX(Ipotesi!$C$81:$G$81,1,F232)*J232/12</f>
        <v>1666.66666666667</v>
      </c>
      <c r="AT232" s="15" t="n">
        <f aca="false">AR232*Parametri_v3!$C$15+Z232*Parametri_v3!$C$16</f>
        <v>42258.7085416667</v>
      </c>
      <c r="AU232" s="15" t="n">
        <f aca="false">Q232*Parametri_v3!$C$16*Parametri_v3!$C$17</f>
        <v>350</v>
      </c>
      <c r="AV232" s="17" t="n">
        <f aca="false">BD231</f>
        <v>94.8712261460457</v>
      </c>
      <c r="AW232" s="17" t="n">
        <f aca="false">AV232*(1-(1-INDEX(Ipotesi!$C$34:$G$34,1,F232))^(1/12))</f>
        <v>0.829327349763783</v>
      </c>
      <c r="AX232" s="15" t="n">
        <f aca="false">ROUND(INDEX(Ipotesi!$C$32:$G$32,1,F232)*Ipotesi!F8,0)</f>
        <v>109</v>
      </c>
      <c r="AY232" s="15" t="n">
        <f aca="false">MAX(0,(AX232-(AV232-AW232))/(13-E232))</f>
        <v>14.9581012037181</v>
      </c>
      <c r="AZ232" s="15" t="n">
        <f aca="false">MIN(P232*Parametri_v3!$C$22,Q232*(1-Parametri_v3!$C$16)*Parametri_v3!$C$23)</f>
        <v>225</v>
      </c>
      <c r="BA232" s="15" t="n">
        <f aca="false">IF(OR(INDEX(Ipotesi!$C$35:$G$35,1,F232)&lt;=0,48-Parametri_v3!$C$21&lt;1),0,INDEX($AT$185:$AT$244,MAX(1,48-Parametri_v3!$C$21))/(INDEX(Ipotesi!$C$35:$G$35,1,F232)*Ipotesi!F27))</f>
        <v>5.41778314636752</v>
      </c>
      <c r="BB232" s="15" t="n">
        <f aca="false">IF(48-Parametri_v3!$C$21&lt;1,0,INDEX($AU$185:$AU$244,MAX(1,48-Parametri_v3!$C$21)))*Parametri_v3!$C$18*Parametri_v3!$C$19*Parametri_v3!$C$20</f>
        <v>13.125</v>
      </c>
      <c r="BC232" s="17" t="n">
        <f aca="false">MAX(0,MIN(AY232,BA232,BB232,MAX(0,AZ232-(AV232-AW232))))</f>
        <v>5.41778314636752</v>
      </c>
      <c r="BD232" s="17" t="n">
        <f aca="false">AV232-AW232+BC232</f>
        <v>99.4596819426495</v>
      </c>
      <c r="BE232" s="17" t="n">
        <f aca="false">(AV232+BD232)/2</f>
        <v>97.1654540443476</v>
      </c>
      <c r="BF232" s="15" t="n">
        <f aca="false">BE232*INDEX(Ipotesi!$C$33:$G$33,1,F232)*H232/12</f>
        <v>43724.4543199564</v>
      </c>
      <c r="BG232" s="15" t="n">
        <f aca="false">BD232*INDEX(Ipotesi!$C$33:$G$33,1,F232)*H232</f>
        <v>537082.282490307</v>
      </c>
      <c r="BH232" s="15" t="n">
        <f aca="false">AM232*INDEX(Ipotesi!$C$37:$G$37,1,F232)</f>
        <v>4558.125</v>
      </c>
      <c r="BI232" s="15" t="n">
        <f aca="false">AQ232+BF232+BH232</f>
        <v>80333.8293199564</v>
      </c>
      <c r="BJ232" s="15" t="n">
        <f aca="false">INDEX(Ipotesi!$C$68:$G$68,1,F232)*Ipotesi!$C$69/12</f>
        <v>3000</v>
      </c>
      <c r="BK232" s="15" t="n">
        <f aca="false">INDEX(Ipotesi!$C$68:$G$68,1,F232)*(1-Ipotesi!$C$69)/12</f>
        <v>4500</v>
      </c>
      <c r="BL232" s="15" t="n">
        <f aca="false">(AQ232+BF232)*Ipotesi!$C$67</f>
        <v>2273.27112959869</v>
      </c>
      <c r="BM232" s="15" t="n">
        <f aca="false">AM232*Ipotesi!$C$67</f>
        <v>1367.4375</v>
      </c>
      <c r="BN232" s="15" t="n">
        <f aca="false">INDEX(Ipotesi!$C$72:$G$72,1,F232)/12*Ipotesi!F126+BF232*Ipotesi!$C$73</f>
        <v>4747.95634559651</v>
      </c>
      <c r="BO232" s="15" t="n">
        <f aca="false">INDEX(Ipotesi!$C$74:$G$74,1,F232)/12*Ipotesi!F126</f>
        <v>4166.66666666667</v>
      </c>
      <c r="BP232" s="15" t="n">
        <f aca="false">INDEX(Ipotesi!$C$76:$G$76,1,F232)/12</f>
        <v>1500</v>
      </c>
      <c r="BQ232" s="15" t="n">
        <f aca="false">INDEX(Ipotesi!$C$77:$G$77,1,F232)/12*Ipotesi!F126</f>
        <v>2083.33333333333</v>
      </c>
      <c r="BR232" s="15" t="n">
        <f aca="false">INDEX(Ipotesi!$C$78:$G$78,1,F232)/12</f>
        <v>2000</v>
      </c>
      <c r="BS232" s="15" t="n">
        <f aca="false">SUM(M232:R232)*(Ipotesi!$C$85+Ipotesi!$C$86)/12</f>
        <v>6125</v>
      </c>
      <c r="BT232" s="15" t="n">
        <f aca="false">BI232*Ipotesi!$C$87</f>
        <v>2410.01487959869</v>
      </c>
      <c r="BU232" s="15" t="n">
        <f aca="false">INDEX(Ipotesi!$C$55:$G$55,1,F232)*K232/12</f>
        <v>2000</v>
      </c>
      <c r="BV232" s="15" t="n">
        <f aca="false">INDEX(Ipotesi!$C$80:$G$80,1,F232)/12*Ipotesi!F126</f>
        <v>1666.66666666667</v>
      </c>
      <c r="BW232" s="15" t="n">
        <f aca="false">INDEX(Ipotesi!$C$82:$G$82,1,F232)/12</f>
        <v>1250</v>
      </c>
      <c r="BX232" s="15" t="n">
        <f aca="false">INDEX(Ipotesi!$C$83:$G$83,1,F232)/12</f>
        <v>750</v>
      </c>
      <c r="BY232" s="15" t="n">
        <f aca="false">SUM(S232:U232)*(Ipotesi!$C$85+Ipotesi!$C$86)/12</f>
        <v>2479.16666666667</v>
      </c>
      <c r="BZ232" s="15" t="n">
        <f aca="false">AM232*Ipotesi!$C$87</f>
        <v>1367.4375</v>
      </c>
      <c r="CA232" s="15" t="n">
        <f aca="false">AB232+BJ232+BL232+BN232+BO232+AR232+BP232+BQ232+BR232+BS232+BT232</f>
        <v>152695.992979794</v>
      </c>
      <c r="CB232" s="15" t="n">
        <f aca="false">AC232+BK232+BM232+BH232+BU232+BV232+AS232+BW232+BX232+BY232+BZ232</f>
        <v>55434.5067083333</v>
      </c>
      <c r="CC232" s="15" t="n">
        <f aca="false">BI232-CA232</f>
        <v>-72362.1636598375</v>
      </c>
      <c r="CD232" s="15" t="n">
        <f aca="false">AM232-CB232</f>
        <v>-9853.25670833333</v>
      </c>
      <c r="CE232" s="15" t="n">
        <f aca="false">INDEX(Ipotesi!$C$79:$G$79,1,F232)/12</f>
        <v>3333.33333333333</v>
      </c>
      <c r="CF232" s="15" t="n">
        <f aca="false">INDEX(Ipotesi!$C$84:$G$84,1,F232)/12</f>
        <v>666.666666666667</v>
      </c>
      <c r="CG232" s="15" t="n">
        <f aca="false">Y232*MAX(0,Parametri_v3!$C$12-IF(P232=0,0,MIN(1,BE232/(P232*Parametri_v3!$C$22))))+W232*Parametri_v3!$C$13+X232*Parametri_v3!$C$14</f>
        <v>32000.2618707701</v>
      </c>
      <c r="CH232" s="15" t="n">
        <f aca="false">AB232*Parametri_v3!$C$32</f>
        <v>4823.65419791667</v>
      </c>
      <c r="CI232" s="15" t="n">
        <f aca="false">AC232*Parametri_v3!$C$32</f>
        <v>1691.45033541667</v>
      </c>
      <c r="CJ232" s="15" t="n">
        <f aca="false">CA232-AB232</f>
        <v>56222.9090214606</v>
      </c>
      <c r="CK232" s="15" t="n">
        <f aca="false">CB232-AC232-BH232</f>
        <v>17047.375</v>
      </c>
      <c r="CL232" s="15" t="n">
        <f aca="false">BF232*Ipotesi!$C$73+INDEX(Ipotesi!$C$72:$G$72,1,F232)/12*Ipotesi!F126*Parametri_v3!$C$58+Z232*(1-Parametri_v3!$C$16)</f>
        <v>10894.5457205965</v>
      </c>
      <c r="CM232" s="16" t="n">
        <f aca="false">IF(BF232=0,0,1-CL232/BF232)</f>
        <v>0.750836325117405</v>
      </c>
    </row>
    <row r="233" customFormat="false" ht="18" hidden="false" customHeight="true" outlineLevel="0" collapsed="false">
      <c r="A233" s="68" t="n">
        <f aca="false">4</f>
        <v>4</v>
      </c>
      <c r="B233" s="68" t="n">
        <f aca="false">49</f>
        <v>49</v>
      </c>
      <c r="C233" s="18" t="n">
        <f aca="false">EDATE(Parametri_v3!$C$5,49-1)</f>
        <v>47849</v>
      </c>
      <c r="D233" s="68" t="n">
        <f aca="false">YEAR(C233)</f>
        <v>2031</v>
      </c>
      <c r="E233" s="68" t="n">
        <f aca="false">MONTH(C233)</f>
        <v>1</v>
      </c>
      <c r="F233" s="68" t="n">
        <f aca="false">INT((49-1)/12)+1</f>
        <v>5</v>
      </c>
      <c r="G233" s="15" t="n">
        <f aca="false">Ipotesi!F7</f>
        <v>0.55</v>
      </c>
      <c r="H233" s="15" t="n">
        <f aca="false">Ipotesi!F9</f>
        <v>0.9</v>
      </c>
      <c r="I233" s="15" t="n">
        <f aca="false">Ipotesi!F10</f>
        <v>1</v>
      </c>
      <c r="J233" s="15" t="n">
        <f aca="false">Ipotesi!F11</f>
        <v>1</v>
      </c>
      <c r="K233" s="15" t="n">
        <f aca="false">Ipotesi!F12</f>
        <v>1</v>
      </c>
      <c r="L233" s="15" t="n">
        <f aca="false">Ipotesi!F13</f>
        <v>120</v>
      </c>
      <c r="M233" s="17" t="n">
        <f aca="false">INDEX(Ipotesi!$C$40:$G$40,1,F233)</f>
        <v>1</v>
      </c>
      <c r="N233" s="17" t="n">
        <f aca="false">INDEX(Ipotesi!$C$41:$G$41,1,F233)</f>
        <v>1</v>
      </c>
      <c r="O233" s="17" t="n">
        <f aca="false">INDEX(Ipotesi!$C$42:$G$42,1,F233)*Ipotesi!F125</f>
        <v>8.5</v>
      </c>
      <c r="P233" s="17" t="n">
        <f aca="false">INDEX(Ipotesi!$C$43:$G$43,1,F233)*I233</f>
        <v>7</v>
      </c>
      <c r="Q233" s="17" t="n">
        <f aca="false">INDEX(Ipotesi!$C$44:$G$44,1,F233)*I233</f>
        <v>6</v>
      </c>
      <c r="R233" s="17" t="n">
        <f aca="false">INDEX(Ipotesi!$C$45:$G$45,1,F233)*I233</f>
        <v>2</v>
      </c>
      <c r="S233" s="17" t="n">
        <f aca="false">INDEX(Ipotesi!$C$52:$G$52,1,F233)*Ipotesi!F125</f>
        <v>9</v>
      </c>
      <c r="T233" s="17" t="n">
        <f aca="false">INDEX(Ipotesi!$C$53:$G$53,1,F233)*I233</f>
        <v>1</v>
      </c>
      <c r="U233" s="17" t="n">
        <f aca="false">INDEX(Ipotesi!$C$54:$G$54,1,F233)*I233</f>
        <v>1</v>
      </c>
      <c r="V233" s="15" t="n">
        <f aca="false">M233*INDEX(Ipotesi!$C$58:$G$58,1,F233)*K233/12</f>
        <v>8333.33333333333</v>
      </c>
      <c r="W233" s="15" t="n">
        <f aca="false">N233*Ipotesi!$C$59*(1+Ipotesi!$C$66)^(F233-1)/12</f>
        <v>6565.46805833334</v>
      </c>
      <c r="X233" s="15" t="n">
        <f aca="false">O233*Ipotesi!$C$60*(1+Ipotesi!$C$66)^(F233-1)/12</f>
        <v>39861.7703541667</v>
      </c>
      <c r="Y233" s="15" t="n">
        <f aca="false">P233*Ipotesi!$C$61*(1+Ipotesi!$C$66)^(F233-1)/12</f>
        <v>32827.3402916667</v>
      </c>
      <c r="Z233" s="15" t="n">
        <f aca="false">Q233*Ipotesi!$C$62*(1+Ipotesi!$C$66)^(F233-1)/12</f>
        <v>25323.948225</v>
      </c>
      <c r="AA233" s="15" t="n">
        <f aca="false">R233*Ipotesi!$C$63*(1+Ipotesi!$C$66)^(F233-1)/12</f>
        <v>6565.46805833334</v>
      </c>
      <c r="AB233" s="15" t="n">
        <f aca="false">SUM(V233:AA233)</f>
        <v>119477.328320833</v>
      </c>
      <c r="AC233" s="15" t="n">
        <f aca="false">(S233*Ipotesi!$C$64+T233*Ipotesi!$C$65+U233*Ipotesi!$C$63)*(1+Ipotesi!$C$66)^(F233-1)/12</f>
        <v>44363.8055941667</v>
      </c>
      <c r="AD233" s="15" t="n">
        <f aca="false">INDEX(Ipotesi!$C$48:$G$48,1,F233)*G233/12</f>
        <v>52.7083333333333</v>
      </c>
      <c r="AE233" s="15" t="n">
        <f aca="false">INDEX(Ipotesi!$C$50:$G$50,1,F233)*G233/12</f>
        <v>5.27083333333333</v>
      </c>
      <c r="AF233" s="15" t="n">
        <f aca="false">(S233*Parametri_v3!$C$7*Parametri_v3!$C$8+Parametri_v3!$C$10)/12</f>
        <v>115.5</v>
      </c>
      <c r="AG233" s="15" t="n">
        <f aca="false">AD233+AE233*(1+Parametri_v3!$C$9)</f>
        <v>60.6145833333333</v>
      </c>
      <c r="AH233" s="16" t="n">
        <f aca="false">IF(AG233=0,1,MIN(1,AF233/AG233))</f>
        <v>1</v>
      </c>
      <c r="AI233" s="15" t="n">
        <f aca="false">AD233*AH233</f>
        <v>52.7083333333333</v>
      </c>
      <c r="AJ233" s="15" t="n">
        <f aca="false">AE233*AH233</f>
        <v>5.27083333333333</v>
      </c>
      <c r="AK233" s="15" t="n">
        <f aca="false">AI233*INDEX(Ipotesi!$C$49:$G$49,1,F233)*H233</f>
        <v>45065.625</v>
      </c>
      <c r="AL233" s="15" t="n">
        <f aca="false">AJ233*INDEX(Ipotesi!$C$51:$G$51,1,F233)*H233</f>
        <v>12333.75</v>
      </c>
      <c r="AM233" s="15" t="n">
        <f aca="false">AK233+AL233</f>
        <v>57399.375</v>
      </c>
      <c r="AN233" s="15" t="n">
        <f aca="false">INDEX(Ipotesi!$C$30:$G$30,1,F233)*G233/12</f>
        <v>44.9166666666667</v>
      </c>
      <c r="AO233" s="15" t="n">
        <f aca="false">O233*Parametri_v3!$C$7*Parametri_v3!$C$11*(1-Parametri_v3!$C$14)/12</f>
        <v>87.2666666666667</v>
      </c>
      <c r="AP233" s="15" t="n">
        <f aca="false">MIN(AN233,AO233)</f>
        <v>44.9166666666667</v>
      </c>
      <c r="AQ233" s="15" t="n">
        <f aca="false">AP233*INDEX(Ipotesi!$C$31:$G$31,1,F233)*H233</f>
        <v>44467.5</v>
      </c>
      <c r="AR233" s="15" t="n">
        <f aca="false">INDEX(Ipotesi!$C$75:$G$75,1,F233)*J233/12</f>
        <v>35833.3333333333</v>
      </c>
      <c r="AS233" s="15" t="n">
        <f aca="false">INDEX(Ipotesi!$C$81:$G$81,1,F233)*J233/12</f>
        <v>2083.33333333333</v>
      </c>
      <c r="AT233" s="15" t="n">
        <f aca="false">AR233*Parametri_v3!$C$15+Z233*Parametri_v3!$C$16</f>
        <v>53560.0970908333</v>
      </c>
      <c r="AU233" s="15" t="n">
        <f aca="false">Q233*Parametri_v3!$C$16*Parametri_v3!$C$17</f>
        <v>420</v>
      </c>
      <c r="AV233" s="17" t="n">
        <f aca="false">BD232</f>
        <v>99.4596819426495</v>
      </c>
      <c r="AW233" s="17" t="n">
        <f aca="false">AV233*(1-(1-INDEX(Ipotesi!$C$34:$G$34,1,F233))^(1/12))</f>
        <v>0.869437845220516</v>
      </c>
      <c r="AX233" s="15" t="n">
        <f aca="false">ROUND(INDEX(Ipotesi!$C$32:$G$32,1,F233)*Ipotesi!F8,0)</f>
        <v>196</v>
      </c>
      <c r="AY233" s="15" t="n">
        <f aca="false">MAX(0,(AX233-(AV233-AW233))/(13-E233))</f>
        <v>8.11747965854759</v>
      </c>
      <c r="AZ233" s="15" t="n">
        <f aca="false">MIN(P233*Parametri_v3!$C$22,Q233*(1-Parametri_v3!$C$16)*Parametri_v3!$C$23)</f>
        <v>270</v>
      </c>
      <c r="BA233" s="15" t="n">
        <f aca="false">IF(OR(INDEX(Ipotesi!$C$35:$G$35,1,F233)&lt;=0,49-Parametri_v3!$C$21&lt;1),0,INDEX($AT$185:$AT$244,MAX(1,49-Parametri_v3!$C$21))/(INDEX(Ipotesi!$C$35:$G$35,1,F233)*Ipotesi!F27))</f>
        <v>5.00103059664694</v>
      </c>
      <c r="BB233" s="15" t="n">
        <f aca="false">IF(49-Parametri_v3!$C$21&lt;1,0,INDEX($AU$185:$AU$244,MAX(1,49-Parametri_v3!$C$21)))*Parametri_v3!$C$18*Parametri_v3!$C$19*Parametri_v3!$C$20</f>
        <v>13.125</v>
      </c>
      <c r="BC233" s="17" t="n">
        <f aca="false">MAX(0,MIN(AY233,BA233,BB233,MAX(0,AZ233-(AV233-AW233))))</f>
        <v>5.00103059664694</v>
      </c>
      <c r="BD233" s="17" t="n">
        <f aca="false">AV233-AW233+BC233</f>
        <v>103.591274694076</v>
      </c>
      <c r="BE233" s="17" t="n">
        <f aca="false">(AV233+BD233)/2</f>
        <v>101.525478318363</v>
      </c>
      <c r="BF233" s="15" t="n">
        <f aca="false">BE233*INDEX(Ipotesi!$C$33:$G$33,1,F233)*H233/12</f>
        <v>47209.3474180386</v>
      </c>
      <c r="BG233" s="15" t="n">
        <f aca="false">BD233*INDEX(Ipotesi!$C$33:$G$33,1,F233)*H233</f>
        <v>578039.312792944</v>
      </c>
      <c r="BH233" s="15" t="n">
        <f aca="false">AM233*INDEX(Ipotesi!$C$37:$G$37,1,F233)</f>
        <v>5739.9375</v>
      </c>
      <c r="BI233" s="15" t="n">
        <f aca="false">AQ233+BF233+BH233</f>
        <v>97416.7849180386</v>
      </c>
      <c r="BJ233" s="15" t="n">
        <f aca="false">INDEX(Ipotesi!$C$68:$G$68,1,F233)*Ipotesi!$C$69/12</f>
        <v>3333.33333333333</v>
      </c>
      <c r="BK233" s="15" t="n">
        <f aca="false">INDEX(Ipotesi!$C$68:$G$68,1,F233)*(1-Ipotesi!$C$69)/12</f>
        <v>5000</v>
      </c>
      <c r="BL233" s="15" t="n">
        <f aca="false">(AQ233+BF233)*Ipotesi!$C$67</f>
        <v>2750.30542254116</v>
      </c>
      <c r="BM233" s="15" t="n">
        <f aca="false">AM233*Ipotesi!$C$67</f>
        <v>1721.98125</v>
      </c>
      <c r="BN233" s="15" t="n">
        <f aca="false">INDEX(Ipotesi!$C$72:$G$72,1,F233)/12*Ipotesi!F126+BF233*Ipotesi!$C$73</f>
        <v>5026.74779344309</v>
      </c>
      <c r="BO233" s="15" t="n">
        <f aca="false">INDEX(Ipotesi!$C$74:$G$74,1,F233)/12*Ipotesi!F126</f>
        <v>5416.66666666667</v>
      </c>
      <c r="BP233" s="15" t="n">
        <f aca="false">INDEX(Ipotesi!$C$76:$G$76,1,F233)/12</f>
        <v>1916.66666666667</v>
      </c>
      <c r="BQ233" s="15" t="n">
        <f aca="false">INDEX(Ipotesi!$C$77:$G$77,1,F233)/12*Ipotesi!F126</f>
        <v>2500</v>
      </c>
      <c r="BR233" s="15" t="n">
        <f aca="false">INDEX(Ipotesi!$C$78:$G$78,1,F233)/12</f>
        <v>2333.33333333333</v>
      </c>
      <c r="BS233" s="15" t="n">
        <f aca="false">SUM(M233:R233)*(Ipotesi!$C$85+Ipotesi!$C$86)/12</f>
        <v>7437.5</v>
      </c>
      <c r="BT233" s="15" t="n">
        <f aca="false">BI233*Ipotesi!$C$87</f>
        <v>2922.50354754116</v>
      </c>
      <c r="BU233" s="15" t="n">
        <f aca="false">INDEX(Ipotesi!$C$55:$G$55,1,F233)*K233/12</f>
        <v>2000</v>
      </c>
      <c r="BV233" s="15" t="n">
        <f aca="false">INDEX(Ipotesi!$C$80:$G$80,1,F233)/12*Ipotesi!F126</f>
        <v>2083.33333333333</v>
      </c>
      <c r="BW233" s="15" t="n">
        <f aca="false">INDEX(Ipotesi!$C$82:$G$82,1,F233)/12</f>
        <v>1500</v>
      </c>
      <c r="BX233" s="15" t="n">
        <f aca="false">INDEX(Ipotesi!$C$83:$G$83,1,F233)/12</f>
        <v>833.333333333333</v>
      </c>
      <c r="BY233" s="15" t="n">
        <f aca="false">SUM(S233:U233)*(Ipotesi!$C$85+Ipotesi!$C$86)/12</f>
        <v>3208.33333333333</v>
      </c>
      <c r="BZ233" s="15" t="n">
        <f aca="false">AM233*Ipotesi!$C$87</f>
        <v>1721.98125</v>
      </c>
      <c r="CA233" s="15" t="n">
        <f aca="false">AB233+BJ233+BL233+BN233+BO233+AR233+BP233+BQ233+BR233+BS233+BT233</f>
        <v>188947.718417692</v>
      </c>
      <c r="CB233" s="15" t="n">
        <f aca="false">AC233+BK233+BM233+BH233+BU233+BV233+AS233+BW233+BX233+BY233+BZ233</f>
        <v>70256.0389275</v>
      </c>
      <c r="CC233" s="15" t="n">
        <f aca="false">BI233-CA233</f>
        <v>-91530.9334996535</v>
      </c>
      <c r="CD233" s="15" t="n">
        <f aca="false">AM233-CB233</f>
        <v>-12856.6639275</v>
      </c>
      <c r="CE233" s="15" t="n">
        <f aca="false">INDEX(Ipotesi!$C$79:$G$79,1,F233)/12</f>
        <v>4166.66666666667</v>
      </c>
      <c r="CF233" s="15" t="n">
        <f aca="false">INDEX(Ipotesi!$C$84:$G$84,1,F233)/12</f>
        <v>666.666666666667</v>
      </c>
      <c r="CG233" s="15" t="n">
        <f aca="false">Y233*MAX(0,Parametri_v3!$C$12-IF(P233=0,0,MIN(1,BE233/(P233*Parametri_v3!$C$22))))+W233*Parametri_v3!$C$13+X233*Parametri_v3!$C$14</f>
        <v>39321.2692130508</v>
      </c>
      <c r="CH233" s="15" t="n">
        <f aca="false">AB233*Parametri_v3!$C$32</f>
        <v>5973.86641604167</v>
      </c>
      <c r="CI233" s="15" t="n">
        <f aca="false">AC233*Parametri_v3!$C$32</f>
        <v>2218.19027970833</v>
      </c>
      <c r="CJ233" s="15" t="n">
        <f aca="false">CA233-AB233</f>
        <v>69470.3900968588</v>
      </c>
      <c r="CK233" s="15" t="n">
        <f aca="false">CB233-AC233-BH233</f>
        <v>20152.2958333333</v>
      </c>
      <c r="CL233" s="15" t="n">
        <f aca="false">BF233*Ipotesi!$C$73+INDEX(Ipotesi!$C$72:$G$72,1,F233)/12*Ipotesi!F126*Parametri_v3!$C$58+Z233*(1-Parametri_v3!$C$16)</f>
        <v>12623.9322609431</v>
      </c>
      <c r="CM233" s="16" t="n">
        <f aca="false">IF(BF233=0,0,1-CL233/BF233)</f>
        <v>0.732596764171337</v>
      </c>
    </row>
    <row r="234" customFormat="false" ht="18" hidden="false" customHeight="true" outlineLevel="0" collapsed="false">
      <c r="A234" s="68" t="n">
        <f aca="false">4</f>
        <v>4</v>
      </c>
      <c r="B234" s="68" t="n">
        <f aca="false">50</f>
        <v>50</v>
      </c>
      <c r="C234" s="18" t="n">
        <f aca="false">EDATE(Parametri_v3!$C$5,50-1)</f>
        <v>47880</v>
      </c>
      <c r="D234" s="68" t="n">
        <f aca="false">YEAR(C234)</f>
        <v>2031</v>
      </c>
      <c r="E234" s="68" t="n">
        <f aca="false">MONTH(C234)</f>
        <v>2</v>
      </c>
      <c r="F234" s="68" t="n">
        <f aca="false">INT((50-1)/12)+1</f>
        <v>5</v>
      </c>
      <c r="G234" s="15" t="n">
        <f aca="false">Ipotesi!F7</f>
        <v>0.55</v>
      </c>
      <c r="H234" s="15" t="n">
        <f aca="false">Ipotesi!F9</f>
        <v>0.9</v>
      </c>
      <c r="I234" s="15" t="n">
        <f aca="false">Ipotesi!F10</f>
        <v>1</v>
      </c>
      <c r="J234" s="15" t="n">
        <f aca="false">Ipotesi!F11</f>
        <v>1</v>
      </c>
      <c r="K234" s="15" t="n">
        <f aca="false">Ipotesi!F12</f>
        <v>1</v>
      </c>
      <c r="L234" s="15" t="n">
        <f aca="false">Ipotesi!F13</f>
        <v>120</v>
      </c>
      <c r="M234" s="17" t="n">
        <f aca="false">INDEX(Ipotesi!$C$40:$G$40,1,F234)</f>
        <v>1</v>
      </c>
      <c r="N234" s="17" t="n">
        <f aca="false">INDEX(Ipotesi!$C$41:$G$41,1,F234)</f>
        <v>1</v>
      </c>
      <c r="O234" s="17" t="n">
        <f aca="false">INDEX(Ipotesi!$C$42:$G$42,1,F234)*Ipotesi!F125</f>
        <v>8.5</v>
      </c>
      <c r="P234" s="17" t="n">
        <f aca="false">INDEX(Ipotesi!$C$43:$G$43,1,F234)*I234</f>
        <v>7</v>
      </c>
      <c r="Q234" s="17" t="n">
        <f aca="false">INDEX(Ipotesi!$C$44:$G$44,1,F234)*I234</f>
        <v>6</v>
      </c>
      <c r="R234" s="17" t="n">
        <f aca="false">INDEX(Ipotesi!$C$45:$G$45,1,F234)*I234</f>
        <v>2</v>
      </c>
      <c r="S234" s="17" t="n">
        <f aca="false">INDEX(Ipotesi!$C$52:$G$52,1,F234)*Ipotesi!F125</f>
        <v>9</v>
      </c>
      <c r="T234" s="17" t="n">
        <f aca="false">INDEX(Ipotesi!$C$53:$G$53,1,F234)*I234</f>
        <v>1</v>
      </c>
      <c r="U234" s="17" t="n">
        <f aca="false">INDEX(Ipotesi!$C$54:$G$54,1,F234)*I234</f>
        <v>1</v>
      </c>
      <c r="V234" s="15" t="n">
        <f aca="false">M234*INDEX(Ipotesi!$C$58:$G$58,1,F234)*K234/12</f>
        <v>8333.33333333333</v>
      </c>
      <c r="W234" s="15" t="n">
        <f aca="false">N234*Ipotesi!$C$59*(1+Ipotesi!$C$66)^(F234-1)/12</f>
        <v>6565.46805833334</v>
      </c>
      <c r="X234" s="15" t="n">
        <f aca="false">O234*Ipotesi!$C$60*(1+Ipotesi!$C$66)^(F234-1)/12</f>
        <v>39861.7703541667</v>
      </c>
      <c r="Y234" s="15" t="n">
        <f aca="false">P234*Ipotesi!$C$61*(1+Ipotesi!$C$66)^(F234-1)/12</f>
        <v>32827.3402916667</v>
      </c>
      <c r="Z234" s="15" t="n">
        <f aca="false">Q234*Ipotesi!$C$62*(1+Ipotesi!$C$66)^(F234-1)/12</f>
        <v>25323.948225</v>
      </c>
      <c r="AA234" s="15" t="n">
        <f aca="false">R234*Ipotesi!$C$63*(1+Ipotesi!$C$66)^(F234-1)/12</f>
        <v>6565.46805833334</v>
      </c>
      <c r="AB234" s="15" t="n">
        <f aca="false">SUM(V234:AA234)</f>
        <v>119477.328320833</v>
      </c>
      <c r="AC234" s="15" t="n">
        <f aca="false">(S234*Ipotesi!$C$64+T234*Ipotesi!$C$65+U234*Ipotesi!$C$63)*(1+Ipotesi!$C$66)^(F234-1)/12</f>
        <v>44363.8055941667</v>
      </c>
      <c r="AD234" s="15" t="n">
        <f aca="false">INDEX(Ipotesi!$C$48:$G$48,1,F234)*G234/12</f>
        <v>52.7083333333333</v>
      </c>
      <c r="AE234" s="15" t="n">
        <f aca="false">INDEX(Ipotesi!$C$50:$G$50,1,F234)*G234/12</f>
        <v>5.27083333333333</v>
      </c>
      <c r="AF234" s="15" t="n">
        <f aca="false">(S234*Parametri_v3!$C$7*Parametri_v3!$C$8+Parametri_v3!$C$10)/12</f>
        <v>115.5</v>
      </c>
      <c r="AG234" s="15" t="n">
        <f aca="false">AD234+AE234*(1+Parametri_v3!$C$9)</f>
        <v>60.6145833333333</v>
      </c>
      <c r="AH234" s="16" t="n">
        <f aca="false">IF(AG234=0,1,MIN(1,AF234/AG234))</f>
        <v>1</v>
      </c>
      <c r="AI234" s="15" t="n">
        <f aca="false">AD234*AH234</f>
        <v>52.7083333333333</v>
      </c>
      <c r="AJ234" s="15" t="n">
        <f aca="false">AE234*AH234</f>
        <v>5.27083333333333</v>
      </c>
      <c r="AK234" s="15" t="n">
        <f aca="false">AI234*INDEX(Ipotesi!$C$49:$G$49,1,F234)*H234</f>
        <v>45065.625</v>
      </c>
      <c r="AL234" s="15" t="n">
        <f aca="false">AJ234*INDEX(Ipotesi!$C$51:$G$51,1,F234)*H234</f>
        <v>12333.75</v>
      </c>
      <c r="AM234" s="15" t="n">
        <f aca="false">AK234+AL234</f>
        <v>57399.375</v>
      </c>
      <c r="AN234" s="15" t="n">
        <f aca="false">INDEX(Ipotesi!$C$30:$G$30,1,F234)*G234/12</f>
        <v>44.9166666666667</v>
      </c>
      <c r="AO234" s="15" t="n">
        <f aca="false">O234*Parametri_v3!$C$7*Parametri_v3!$C$11*(1-Parametri_v3!$C$14)/12</f>
        <v>87.2666666666667</v>
      </c>
      <c r="AP234" s="15" t="n">
        <f aca="false">MIN(AN234,AO234)</f>
        <v>44.9166666666667</v>
      </c>
      <c r="AQ234" s="15" t="n">
        <f aca="false">AP234*INDEX(Ipotesi!$C$31:$G$31,1,F234)*H234</f>
        <v>44467.5</v>
      </c>
      <c r="AR234" s="15" t="n">
        <f aca="false">INDEX(Ipotesi!$C$75:$G$75,1,F234)*J234/12</f>
        <v>35833.3333333333</v>
      </c>
      <c r="AS234" s="15" t="n">
        <f aca="false">INDEX(Ipotesi!$C$81:$G$81,1,F234)*J234/12</f>
        <v>2083.33333333333</v>
      </c>
      <c r="AT234" s="15" t="n">
        <f aca="false">AR234*Parametri_v3!$C$15+Z234*Parametri_v3!$C$16</f>
        <v>53560.0970908333</v>
      </c>
      <c r="AU234" s="15" t="n">
        <f aca="false">Q234*Parametri_v3!$C$16*Parametri_v3!$C$17</f>
        <v>420</v>
      </c>
      <c r="AV234" s="17" t="n">
        <f aca="false">BD233</f>
        <v>103.591274694076</v>
      </c>
      <c r="AW234" s="17" t="n">
        <f aca="false">AV234*(1-(1-INDEX(Ipotesi!$C$34:$G$34,1,F234))^(1/12))</f>
        <v>0.905554621676731</v>
      </c>
      <c r="AX234" s="15" t="n">
        <f aca="false">ROUND(INDEX(Ipotesi!$C$32:$G$32,1,F234)*Ipotesi!F8,0)</f>
        <v>196</v>
      </c>
      <c r="AY234" s="15" t="n">
        <f aca="false">MAX(0,(AX234-(AV234-AW234))/(13-E234))</f>
        <v>8.48311635705462</v>
      </c>
      <c r="AZ234" s="15" t="n">
        <f aca="false">MIN(P234*Parametri_v3!$C$22,Q234*(1-Parametri_v3!$C$16)*Parametri_v3!$C$23)</f>
        <v>270</v>
      </c>
      <c r="BA234" s="15" t="n">
        <f aca="false">IF(OR(INDEX(Ipotesi!$C$35:$G$35,1,F234)&lt;=0,50-Parametri_v3!$C$21&lt;1),0,INDEX($AT$185:$AT$244,MAX(1,50-Parametri_v3!$C$21))/(INDEX(Ipotesi!$C$35:$G$35,1,F234)*Ipotesi!F27))</f>
        <v>5.00103059664694</v>
      </c>
      <c r="BB234" s="15" t="n">
        <f aca="false">IF(50-Parametri_v3!$C$21&lt;1,0,INDEX($AU$185:$AU$244,MAX(1,50-Parametri_v3!$C$21)))*Parametri_v3!$C$18*Parametri_v3!$C$19*Parametri_v3!$C$20</f>
        <v>13.125</v>
      </c>
      <c r="BC234" s="17" t="n">
        <f aca="false">MAX(0,MIN(AY234,BA234,BB234,MAX(0,AZ234-(AV234-AW234))))</f>
        <v>5.00103059664694</v>
      </c>
      <c r="BD234" s="17" t="n">
        <f aca="false">AV234-AW234+BC234</f>
        <v>107.686750669046</v>
      </c>
      <c r="BE234" s="17" t="n">
        <f aca="false">(AV234+BD234)/2</f>
        <v>105.639012681561</v>
      </c>
      <c r="BF234" s="15" t="n">
        <f aca="false">BE234*INDEX(Ipotesi!$C$33:$G$33,1,F234)*H234/12</f>
        <v>49122.1408969259</v>
      </c>
      <c r="BG234" s="15" t="n">
        <f aca="false">BD234*INDEX(Ipotesi!$C$33:$G$33,1,F234)*H234</f>
        <v>600892.068733277</v>
      </c>
      <c r="BH234" s="15" t="n">
        <f aca="false">AM234*INDEX(Ipotesi!$C$37:$G$37,1,F234)</f>
        <v>5739.9375</v>
      </c>
      <c r="BI234" s="15" t="n">
        <f aca="false">AQ234+BF234+BH234</f>
        <v>99329.5783969259</v>
      </c>
      <c r="BJ234" s="15" t="n">
        <f aca="false">INDEX(Ipotesi!$C$68:$G$68,1,F234)*Ipotesi!$C$69/12</f>
        <v>3333.33333333333</v>
      </c>
      <c r="BK234" s="15" t="n">
        <f aca="false">INDEX(Ipotesi!$C$68:$G$68,1,F234)*(1-Ipotesi!$C$69)/12</f>
        <v>5000</v>
      </c>
      <c r="BL234" s="15" t="n">
        <f aca="false">(AQ234+BF234)*Ipotesi!$C$67</f>
        <v>2807.68922690778</v>
      </c>
      <c r="BM234" s="15" t="n">
        <f aca="false">AM234*Ipotesi!$C$67</f>
        <v>1721.98125</v>
      </c>
      <c r="BN234" s="15" t="n">
        <f aca="false">INDEX(Ipotesi!$C$72:$G$72,1,F234)/12*Ipotesi!F126+BF234*Ipotesi!$C$73</f>
        <v>5179.77127175407</v>
      </c>
      <c r="BO234" s="15" t="n">
        <f aca="false">INDEX(Ipotesi!$C$74:$G$74,1,F234)/12*Ipotesi!F126</f>
        <v>5416.66666666667</v>
      </c>
      <c r="BP234" s="15" t="n">
        <f aca="false">INDEX(Ipotesi!$C$76:$G$76,1,F234)/12</f>
        <v>1916.66666666667</v>
      </c>
      <c r="BQ234" s="15" t="n">
        <f aca="false">INDEX(Ipotesi!$C$77:$G$77,1,F234)/12*Ipotesi!F126</f>
        <v>2500</v>
      </c>
      <c r="BR234" s="15" t="n">
        <f aca="false">INDEX(Ipotesi!$C$78:$G$78,1,F234)/12</f>
        <v>2333.33333333333</v>
      </c>
      <c r="BS234" s="15" t="n">
        <f aca="false">SUM(M234:R234)*(Ipotesi!$C$85+Ipotesi!$C$86)/12</f>
        <v>7437.5</v>
      </c>
      <c r="BT234" s="15" t="n">
        <f aca="false">BI234*Ipotesi!$C$87</f>
        <v>2979.88735190778</v>
      </c>
      <c r="BU234" s="15" t="n">
        <f aca="false">INDEX(Ipotesi!$C$55:$G$55,1,F234)*K234/12</f>
        <v>2000</v>
      </c>
      <c r="BV234" s="15" t="n">
        <f aca="false">INDEX(Ipotesi!$C$80:$G$80,1,F234)/12*Ipotesi!F126</f>
        <v>2083.33333333333</v>
      </c>
      <c r="BW234" s="15" t="n">
        <f aca="false">INDEX(Ipotesi!$C$82:$G$82,1,F234)/12</f>
        <v>1500</v>
      </c>
      <c r="BX234" s="15" t="n">
        <f aca="false">INDEX(Ipotesi!$C$83:$G$83,1,F234)/12</f>
        <v>833.333333333333</v>
      </c>
      <c r="BY234" s="15" t="n">
        <f aca="false">SUM(S234:U234)*(Ipotesi!$C$85+Ipotesi!$C$86)/12</f>
        <v>3208.33333333333</v>
      </c>
      <c r="BZ234" s="15" t="n">
        <f aca="false">AM234*Ipotesi!$C$87</f>
        <v>1721.98125</v>
      </c>
      <c r="CA234" s="15" t="n">
        <f aca="false">AB234+BJ234+BL234+BN234+BO234+AR234+BP234+BQ234+BR234+BS234+BT234</f>
        <v>189215.509504736</v>
      </c>
      <c r="CB234" s="15" t="n">
        <f aca="false">AC234+BK234+BM234+BH234+BU234+BV234+AS234+BW234+BX234+BY234+BZ234</f>
        <v>70256.0389275</v>
      </c>
      <c r="CC234" s="15" t="n">
        <f aca="false">BI234-CA234</f>
        <v>-89885.9311078105</v>
      </c>
      <c r="CD234" s="15" t="n">
        <f aca="false">AM234-CB234</f>
        <v>-12856.6639275</v>
      </c>
      <c r="CE234" s="15" t="n">
        <f aca="false">INDEX(Ipotesi!$C$79:$G$79,1,F234)/12</f>
        <v>4166.66666666667</v>
      </c>
      <c r="CF234" s="15" t="n">
        <f aca="false">INDEX(Ipotesi!$C$84:$G$84,1,F234)/12</f>
        <v>666.666666666667</v>
      </c>
      <c r="CG234" s="15" t="n">
        <f aca="false">Y234*MAX(0,Parametri_v3!$C$12-IF(P234=0,0,MIN(1,BE234/(P234*Parametri_v3!$C$22))))+W234*Parametri_v3!$C$13+X234*Parametri_v3!$C$14</f>
        <v>39128.3600811334</v>
      </c>
      <c r="CH234" s="15" t="n">
        <f aca="false">AB234*Parametri_v3!$C$32</f>
        <v>5973.86641604167</v>
      </c>
      <c r="CI234" s="15" t="n">
        <f aca="false">AC234*Parametri_v3!$C$32</f>
        <v>2218.19027970833</v>
      </c>
      <c r="CJ234" s="15" t="n">
        <f aca="false">CA234-AB234</f>
        <v>69738.181183903</v>
      </c>
      <c r="CK234" s="15" t="n">
        <f aca="false">CB234-AC234-BH234</f>
        <v>20152.2958333333</v>
      </c>
      <c r="CL234" s="15" t="n">
        <f aca="false">BF234*Ipotesi!$C$73+INDEX(Ipotesi!$C$72:$G$72,1,F234)/12*Ipotesi!F126*Parametri_v3!$C$58+Z234*(1-Parametri_v3!$C$16)</f>
        <v>12776.9557392541</v>
      </c>
      <c r="CM234" s="16" t="n">
        <f aca="false">IF(BF234=0,0,1-CL234/BF234)</f>
        <v>0.739894159620114</v>
      </c>
    </row>
    <row r="235" customFormat="false" ht="18" hidden="false" customHeight="true" outlineLevel="0" collapsed="false">
      <c r="A235" s="68" t="n">
        <f aca="false">4</f>
        <v>4</v>
      </c>
      <c r="B235" s="68" t="n">
        <f aca="false">51</f>
        <v>51</v>
      </c>
      <c r="C235" s="18" t="n">
        <f aca="false">EDATE(Parametri_v3!$C$5,51-1)</f>
        <v>47908</v>
      </c>
      <c r="D235" s="68" t="n">
        <f aca="false">YEAR(C235)</f>
        <v>2031</v>
      </c>
      <c r="E235" s="68" t="n">
        <f aca="false">MONTH(C235)</f>
        <v>3</v>
      </c>
      <c r="F235" s="68" t="n">
        <f aca="false">INT((51-1)/12)+1</f>
        <v>5</v>
      </c>
      <c r="G235" s="15" t="n">
        <f aca="false">Ipotesi!F7</f>
        <v>0.55</v>
      </c>
      <c r="H235" s="15" t="n">
        <f aca="false">Ipotesi!F9</f>
        <v>0.9</v>
      </c>
      <c r="I235" s="15" t="n">
        <f aca="false">Ipotesi!F10</f>
        <v>1</v>
      </c>
      <c r="J235" s="15" t="n">
        <f aca="false">Ipotesi!F11</f>
        <v>1</v>
      </c>
      <c r="K235" s="15" t="n">
        <f aca="false">Ipotesi!F12</f>
        <v>1</v>
      </c>
      <c r="L235" s="15" t="n">
        <f aca="false">Ipotesi!F13</f>
        <v>120</v>
      </c>
      <c r="M235" s="17" t="n">
        <f aca="false">INDEX(Ipotesi!$C$40:$G$40,1,F235)</f>
        <v>1</v>
      </c>
      <c r="N235" s="17" t="n">
        <f aca="false">INDEX(Ipotesi!$C$41:$G$41,1,F235)</f>
        <v>1</v>
      </c>
      <c r="O235" s="17" t="n">
        <f aca="false">INDEX(Ipotesi!$C$42:$G$42,1,F235)*Ipotesi!F125</f>
        <v>8.5</v>
      </c>
      <c r="P235" s="17" t="n">
        <f aca="false">INDEX(Ipotesi!$C$43:$G$43,1,F235)*I235</f>
        <v>7</v>
      </c>
      <c r="Q235" s="17" t="n">
        <f aca="false">INDEX(Ipotesi!$C$44:$G$44,1,F235)*I235</f>
        <v>6</v>
      </c>
      <c r="R235" s="17" t="n">
        <f aca="false">INDEX(Ipotesi!$C$45:$G$45,1,F235)*I235</f>
        <v>2</v>
      </c>
      <c r="S235" s="17" t="n">
        <f aca="false">INDEX(Ipotesi!$C$52:$G$52,1,F235)*Ipotesi!F125</f>
        <v>9</v>
      </c>
      <c r="T235" s="17" t="n">
        <f aca="false">INDEX(Ipotesi!$C$53:$G$53,1,F235)*I235</f>
        <v>1</v>
      </c>
      <c r="U235" s="17" t="n">
        <f aca="false">INDEX(Ipotesi!$C$54:$G$54,1,F235)*I235</f>
        <v>1</v>
      </c>
      <c r="V235" s="15" t="n">
        <f aca="false">M235*INDEX(Ipotesi!$C$58:$G$58,1,F235)*K235/12</f>
        <v>8333.33333333333</v>
      </c>
      <c r="W235" s="15" t="n">
        <f aca="false">N235*Ipotesi!$C$59*(1+Ipotesi!$C$66)^(F235-1)/12</f>
        <v>6565.46805833334</v>
      </c>
      <c r="X235" s="15" t="n">
        <f aca="false">O235*Ipotesi!$C$60*(1+Ipotesi!$C$66)^(F235-1)/12</f>
        <v>39861.7703541667</v>
      </c>
      <c r="Y235" s="15" t="n">
        <f aca="false">P235*Ipotesi!$C$61*(1+Ipotesi!$C$66)^(F235-1)/12</f>
        <v>32827.3402916667</v>
      </c>
      <c r="Z235" s="15" t="n">
        <f aca="false">Q235*Ipotesi!$C$62*(1+Ipotesi!$C$66)^(F235-1)/12</f>
        <v>25323.948225</v>
      </c>
      <c r="AA235" s="15" t="n">
        <f aca="false">R235*Ipotesi!$C$63*(1+Ipotesi!$C$66)^(F235-1)/12</f>
        <v>6565.46805833334</v>
      </c>
      <c r="AB235" s="15" t="n">
        <f aca="false">SUM(V235:AA235)</f>
        <v>119477.328320833</v>
      </c>
      <c r="AC235" s="15" t="n">
        <f aca="false">(S235*Ipotesi!$C$64+T235*Ipotesi!$C$65+U235*Ipotesi!$C$63)*(1+Ipotesi!$C$66)^(F235-1)/12</f>
        <v>44363.8055941667</v>
      </c>
      <c r="AD235" s="15" t="n">
        <f aca="false">INDEX(Ipotesi!$C$48:$G$48,1,F235)*G235/12</f>
        <v>52.7083333333333</v>
      </c>
      <c r="AE235" s="15" t="n">
        <f aca="false">INDEX(Ipotesi!$C$50:$G$50,1,F235)*G235/12</f>
        <v>5.27083333333333</v>
      </c>
      <c r="AF235" s="15" t="n">
        <f aca="false">(S235*Parametri_v3!$C$7*Parametri_v3!$C$8+Parametri_v3!$C$10)/12</f>
        <v>115.5</v>
      </c>
      <c r="AG235" s="15" t="n">
        <f aca="false">AD235+AE235*(1+Parametri_v3!$C$9)</f>
        <v>60.6145833333333</v>
      </c>
      <c r="AH235" s="16" t="n">
        <f aca="false">IF(AG235=0,1,MIN(1,AF235/AG235))</f>
        <v>1</v>
      </c>
      <c r="AI235" s="15" t="n">
        <f aca="false">AD235*AH235</f>
        <v>52.7083333333333</v>
      </c>
      <c r="AJ235" s="15" t="n">
        <f aca="false">AE235*AH235</f>
        <v>5.27083333333333</v>
      </c>
      <c r="AK235" s="15" t="n">
        <f aca="false">AI235*INDEX(Ipotesi!$C$49:$G$49,1,F235)*H235</f>
        <v>45065.625</v>
      </c>
      <c r="AL235" s="15" t="n">
        <f aca="false">AJ235*INDEX(Ipotesi!$C$51:$G$51,1,F235)*H235</f>
        <v>12333.75</v>
      </c>
      <c r="AM235" s="15" t="n">
        <f aca="false">AK235+AL235</f>
        <v>57399.375</v>
      </c>
      <c r="AN235" s="15" t="n">
        <f aca="false">INDEX(Ipotesi!$C$30:$G$30,1,F235)*G235/12</f>
        <v>44.9166666666667</v>
      </c>
      <c r="AO235" s="15" t="n">
        <f aca="false">O235*Parametri_v3!$C$7*Parametri_v3!$C$11*(1-Parametri_v3!$C$14)/12</f>
        <v>87.2666666666667</v>
      </c>
      <c r="AP235" s="15" t="n">
        <f aca="false">MIN(AN235,AO235)</f>
        <v>44.9166666666667</v>
      </c>
      <c r="AQ235" s="15" t="n">
        <f aca="false">AP235*INDEX(Ipotesi!$C$31:$G$31,1,F235)*H235</f>
        <v>44467.5</v>
      </c>
      <c r="AR235" s="15" t="n">
        <f aca="false">INDEX(Ipotesi!$C$75:$G$75,1,F235)*J235/12</f>
        <v>35833.3333333333</v>
      </c>
      <c r="AS235" s="15" t="n">
        <f aca="false">INDEX(Ipotesi!$C$81:$G$81,1,F235)*J235/12</f>
        <v>2083.33333333333</v>
      </c>
      <c r="AT235" s="15" t="n">
        <f aca="false">AR235*Parametri_v3!$C$15+Z235*Parametri_v3!$C$16</f>
        <v>53560.0970908333</v>
      </c>
      <c r="AU235" s="15" t="n">
        <f aca="false">Q235*Parametri_v3!$C$16*Parametri_v3!$C$17</f>
        <v>420</v>
      </c>
      <c r="AV235" s="17" t="n">
        <f aca="false">BD234</f>
        <v>107.686750669046</v>
      </c>
      <c r="AW235" s="17" t="n">
        <f aca="false">AV235*(1-(1-INDEX(Ipotesi!$C$34:$G$34,1,F235))^(1/12))</f>
        <v>0.941355679324228</v>
      </c>
      <c r="AX235" s="15" t="n">
        <f aca="false">ROUND(INDEX(Ipotesi!$C$32:$G$32,1,F235)*Ipotesi!F8,0)</f>
        <v>196</v>
      </c>
      <c r="AY235" s="15" t="n">
        <f aca="false">MAX(0,(AX235-(AV235-AW235))/(13-E235))</f>
        <v>8.92546050102781</v>
      </c>
      <c r="AZ235" s="15" t="n">
        <f aca="false">MIN(P235*Parametri_v3!$C$22,Q235*(1-Parametri_v3!$C$16)*Parametri_v3!$C$23)</f>
        <v>270</v>
      </c>
      <c r="BA235" s="15" t="n">
        <f aca="false">IF(OR(INDEX(Ipotesi!$C$35:$G$35,1,F235)&lt;=0,51-Parametri_v3!$C$21&lt;1),0,INDEX($AT$185:$AT$244,MAX(1,51-Parametri_v3!$C$21))/(INDEX(Ipotesi!$C$35:$G$35,1,F235)*Ipotesi!F27))</f>
        <v>5.00103059664694</v>
      </c>
      <c r="BB235" s="15" t="n">
        <f aca="false">IF(51-Parametri_v3!$C$21&lt;1,0,INDEX($AU$185:$AU$244,MAX(1,51-Parametri_v3!$C$21)))*Parametri_v3!$C$18*Parametri_v3!$C$19*Parametri_v3!$C$20</f>
        <v>13.125</v>
      </c>
      <c r="BC235" s="17" t="n">
        <f aca="false">MAX(0,MIN(AY235,BA235,BB235,MAX(0,AZ235-(AV235-AW235))))</f>
        <v>5.00103059664694</v>
      </c>
      <c r="BD235" s="17" t="n">
        <f aca="false">AV235-AW235+BC235</f>
        <v>111.746425586369</v>
      </c>
      <c r="BE235" s="17" t="n">
        <f aca="false">(AV235+BD235)/2</f>
        <v>109.716588127707</v>
      </c>
      <c r="BF235" s="15" t="n">
        <f aca="false">BE235*INDEX(Ipotesi!$C$33:$G$33,1,F235)*H235/12</f>
        <v>51018.213479384</v>
      </c>
      <c r="BG235" s="15" t="n">
        <f aca="false">BD235*INDEX(Ipotesi!$C$33:$G$33,1,F235)*H235</f>
        <v>623545.054771938</v>
      </c>
      <c r="BH235" s="15" t="n">
        <f aca="false">AM235*INDEX(Ipotesi!$C$37:$G$37,1,F235)</f>
        <v>5739.9375</v>
      </c>
      <c r="BI235" s="15" t="n">
        <f aca="false">AQ235+BF235+BH235</f>
        <v>101225.650979384</v>
      </c>
      <c r="BJ235" s="15" t="n">
        <f aca="false">INDEX(Ipotesi!$C$68:$G$68,1,F235)*Ipotesi!$C$69/12</f>
        <v>3333.33333333333</v>
      </c>
      <c r="BK235" s="15" t="n">
        <f aca="false">INDEX(Ipotesi!$C$68:$G$68,1,F235)*(1-Ipotesi!$C$69)/12</f>
        <v>5000</v>
      </c>
      <c r="BL235" s="15" t="n">
        <f aca="false">(AQ235+BF235)*Ipotesi!$C$67</f>
        <v>2864.57140438152</v>
      </c>
      <c r="BM235" s="15" t="n">
        <f aca="false">AM235*Ipotesi!$C$67</f>
        <v>1721.98125</v>
      </c>
      <c r="BN235" s="15" t="n">
        <f aca="false">INDEX(Ipotesi!$C$72:$G$72,1,F235)/12*Ipotesi!F126+BF235*Ipotesi!$C$73</f>
        <v>5331.45707835072</v>
      </c>
      <c r="BO235" s="15" t="n">
        <f aca="false">INDEX(Ipotesi!$C$74:$G$74,1,F235)/12*Ipotesi!F126</f>
        <v>5416.66666666667</v>
      </c>
      <c r="BP235" s="15" t="n">
        <f aca="false">INDEX(Ipotesi!$C$76:$G$76,1,F235)/12</f>
        <v>1916.66666666667</v>
      </c>
      <c r="BQ235" s="15" t="n">
        <f aca="false">INDEX(Ipotesi!$C$77:$G$77,1,F235)/12*Ipotesi!F126</f>
        <v>2500</v>
      </c>
      <c r="BR235" s="15" t="n">
        <f aca="false">INDEX(Ipotesi!$C$78:$G$78,1,F235)/12</f>
        <v>2333.33333333333</v>
      </c>
      <c r="BS235" s="15" t="n">
        <f aca="false">SUM(M235:R235)*(Ipotesi!$C$85+Ipotesi!$C$86)/12</f>
        <v>7437.5</v>
      </c>
      <c r="BT235" s="15" t="n">
        <f aca="false">BI235*Ipotesi!$C$87</f>
        <v>3036.76952938152</v>
      </c>
      <c r="BU235" s="15" t="n">
        <f aca="false">INDEX(Ipotesi!$C$55:$G$55,1,F235)*K235/12</f>
        <v>2000</v>
      </c>
      <c r="BV235" s="15" t="n">
        <f aca="false">INDEX(Ipotesi!$C$80:$G$80,1,F235)/12*Ipotesi!F126</f>
        <v>2083.33333333333</v>
      </c>
      <c r="BW235" s="15" t="n">
        <f aca="false">INDEX(Ipotesi!$C$82:$G$82,1,F235)/12</f>
        <v>1500</v>
      </c>
      <c r="BX235" s="15" t="n">
        <f aca="false">INDEX(Ipotesi!$C$83:$G$83,1,F235)/12</f>
        <v>833.333333333333</v>
      </c>
      <c r="BY235" s="15" t="n">
        <f aca="false">SUM(S235:U235)*(Ipotesi!$C$85+Ipotesi!$C$86)/12</f>
        <v>3208.33333333333</v>
      </c>
      <c r="BZ235" s="15" t="n">
        <f aca="false">AM235*Ipotesi!$C$87</f>
        <v>1721.98125</v>
      </c>
      <c r="CA235" s="15" t="n">
        <f aca="false">AB235+BJ235+BL235+BN235+BO235+AR235+BP235+BQ235+BR235+BS235+BT235</f>
        <v>189480.95966628</v>
      </c>
      <c r="CB235" s="15" t="n">
        <f aca="false">AC235+BK235+BM235+BH235+BU235+BV235+AS235+BW235+BX235+BY235+BZ235</f>
        <v>70256.0389275</v>
      </c>
      <c r="CC235" s="15" t="n">
        <f aca="false">BI235-CA235</f>
        <v>-88255.3086868965</v>
      </c>
      <c r="CD235" s="15" t="n">
        <f aca="false">AM235-CB235</f>
        <v>-12856.6639275</v>
      </c>
      <c r="CE235" s="15" t="n">
        <f aca="false">INDEX(Ipotesi!$C$79:$G$79,1,F235)/12</f>
        <v>4166.66666666667</v>
      </c>
      <c r="CF235" s="15" t="n">
        <f aca="false">INDEX(Ipotesi!$C$84:$G$84,1,F235)/12</f>
        <v>666.666666666667</v>
      </c>
      <c r="CG235" s="15" t="n">
        <f aca="false">Y235*MAX(0,Parametri_v3!$C$12-IF(P235=0,0,MIN(1,BE235/(P235*Parametri_v3!$C$22))))+W235*Parametri_v3!$C$13+X235*Parametri_v3!$C$14</f>
        <v>38937.1372857968</v>
      </c>
      <c r="CH235" s="15" t="n">
        <f aca="false">AB235*Parametri_v3!$C$32</f>
        <v>5973.86641604167</v>
      </c>
      <c r="CI235" s="15" t="n">
        <f aca="false">AC235*Parametri_v3!$C$32</f>
        <v>2218.19027970833</v>
      </c>
      <c r="CJ235" s="15" t="n">
        <f aca="false">CA235-AB235</f>
        <v>70003.6313454471</v>
      </c>
      <c r="CK235" s="15" t="n">
        <f aca="false">CB235-AC235-BH235</f>
        <v>20152.2958333333</v>
      </c>
      <c r="CL235" s="15" t="n">
        <f aca="false">BF235*Ipotesi!$C$73+INDEX(Ipotesi!$C$72:$G$72,1,F235)/12*Ipotesi!F126*Parametri_v3!$C$58+Z235*(1-Parametri_v3!$C$16)</f>
        <v>12928.6415458507</v>
      </c>
      <c r="CM235" s="16" t="n">
        <f aca="false">IF(BF235=0,0,1-CL235/BF235)</f>
        <v>0.746587724968553</v>
      </c>
    </row>
    <row r="236" customFormat="false" ht="18" hidden="false" customHeight="true" outlineLevel="0" collapsed="false">
      <c r="A236" s="68" t="n">
        <f aca="false">4</f>
        <v>4</v>
      </c>
      <c r="B236" s="68" t="n">
        <f aca="false">52</f>
        <v>52</v>
      </c>
      <c r="C236" s="18" t="n">
        <f aca="false">EDATE(Parametri_v3!$C$5,52-1)</f>
        <v>47939</v>
      </c>
      <c r="D236" s="68" t="n">
        <f aca="false">YEAR(C236)</f>
        <v>2031</v>
      </c>
      <c r="E236" s="68" t="n">
        <f aca="false">MONTH(C236)</f>
        <v>4</v>
      </c>
      <c r="F236" s="68" t="n">
        <f aca="false">INT((52-1)/12)+1</f>
        <v>5</v>
      </c>
      <c r="G236" s="15" t="n">
        <f aca="false">Ipotesi!F7</f>
        <v>0.55</v>
      </c>
      <c r="H236" s="15" t="n">
        <f aca="false">Ipotesi!F9</f>
        <v>0.9</v>
      </c>
      <c r="I236" s="15" t="n">
        <f aca="false">Ipotesi!F10</f>
        <v>1</v>
      </c>
      <c r="J236" s="15" t="n">
        <f aca="false">Ipotesi!F11</f>
        <v>1</v>
      </c>
      <c r="K236" s="15" t="n">
        <f aca="false">Ipotesi!F12</f>
        <v>1</v>
      </c>
      <c r="L236" s="15" t="n">
        <f aca="false">Ipotesi!F13</f>
        <v>120</v>
      </c>
      <c r="M236" s="17" t="n">
        <f aca="false">INDEX(Ipotesi!$C$40:$G$40,1,F236)</f>
        <v>1</v>
      </c>
      <c r="N236" s="17" t="n">
        <f aca="false">INDEX(Ipotesi!$C$41:$G$41,1,F236)</f>
        <v>1</v>
      </c>
      <c r="O236" s="17" t="n">
        <f aca="false">INDEX(Ipotesi!$C$42:$G$42,1,F236)*Ipotesi!F125</f>
        <v>8.5</v>
      </c>
      <c r="P236" s="17" t="n">
        <f aca="false">INDEX(Ipotesi!$C$43:$G$43,1,F236)*I236</f>
        <v>7</v>
      </c>
      <c r="Q236" s="17" t="n">
        <f aca="false">INDEX(Ipotesi!$C$44:$G$44,1,F236)*I236</f>
        <v>6</v>
      </c>
      <c r="R236" s="17" t="n">
        <f aca="false">INDEX(Ipotesi!$C$45:$G$45,1,F236)*I236</f>
        <v>2</v>
      </c>
      <c r="S236" s="17" t="n">
        <f aca="false">INDEX(Ipotesi!$C$52:$G$52,1,F236)*Ipotesi!F125</f>
        <v>9</v>
      </c>
      <c r="T236" s="17" t="n">
        <f aca="false">INDEX(Ipotesi!$C$53:$G$53,1,F236)*I236</f>
        <v>1</v>
      </c>
      <c r="U236" s="17" t="n">
        <f aca="false">INDEX(Ipotesi!$C$54:$G$54,1,F236)*I236</f>
        <v>1</v>
      </c>
      <c r="V236" s="15" t="n">
        <f aca="false">M236*INDEX(Ipotesi!$C$58:$G$58,1,F236)*K236/12</f>
        <v>8333.33333333333</v>
      </c>
      <c r="W236" s="15" t="n">
        <f aca="false">N236*Ipotesi!$C$59*(1+Ipotesi!$C$66)^(F236-1)/12</f>
        <v>6565.46805833334</v>
      </c>
      <c r="X236" s="15" t="n">
        <f aca="false">O236*Ipotesi!$C$60*(1+Ipotesi!$C$66)^(F236-1)/12</f>
        <v>39861.7703541667</v>
      </c>
      <c r="Y236" s="15" t="n">
        <f aca="false">P236*Ipotesi!$C$61*(1+Ipotesi!$C$66)^(F236-1)/12</f>
        <v>32827.3402916667</v>
      </c>
      <c r="Z236" s="15" t="n">
        <f aca="false">Q236*Ipotesi!$C$62*(1+Ipotesi!$C$66)^(F236-1)/12</f>
        <v>25323.948225</v>
      </c>
      <c r="AA236" s="15" t="n">
        <f aca="false">R236*Ipotesi!$C$63*(1+Ipotesi!$C$66)^(F236-1)/12</f>
        <v>6565.46805833334</v>
      </c>
      <c r="AB236" s="15" t="n">
        <f aca="false">SUM(V236:AA236)</f>
        <v>119477.328320833</v>
      </c>
      <c r="AC236" s="15" t="n">
        <f aca="false">(S236*Ipotesi!$C$64+T236*Ipotesi!$C$65+U236*Ipotesi!$C$63)*(1+Ipotesi!$C$66)^(F236-1)/12</f>
        <v>44363.8055941667</v>
      </c>
      <c r="AD236" s="15" t="n">
        <f aca="false">INDEX(Ipotesi!$C$48:$G$48,1,F236)*G236/12</f>
        <v>52.7083333333333</v>
      </c>
      <c r="AE236" s="15" t="n">
        <f aca="false">INDEX(Ipotesi!$C$50:$G$50,1,F236)*G236/12</f>
        <v>5.27083333333333</v>
      </c>
      <c r="AF236" s="15" t="n">
        <f aca="false">(S236*Parametri_v3!$C$7*Parametri_v3!$C$8+Parametri_v3!$C$10)/12</f>
        <v>115.5</v>
      </c>
      <c r="AG236" s="15" t="n">
        <f aca="false">AD236+AE236*(1+Parametri_v3!$C$9)</f>
        <v>60.6145833333333</v>
      </c>
      <c r="AH236" s="16" t="n">
        <f aca="false">IF(AG236=0,1,MIN(1,AF236/AG236))</f>
        <v>1</v>
      </c>
      <c r="AI236" s="15" t="n">
        <f aca="false">AD236*AH236</f>
        <v>52.7083333333333</v>
      </c>
      <c r="AJ236" s="15" t="n">
        <f aca="false">AE236*AH236</f>
        <v>5.27083333333333</v>
      </c>
      <c r="AK236" s="15" t="n">
        <f aca="false">AI236*INDEX(Ipotesi!$C$49:$G$49,1,F236)*H236</f>
        <v>45065.625</v>
      </c>
      <c r="AL236" s="15" t="n">
        <f aca="false">AJ236*INDEX(Ipotesi!$C$51:$G$51,1,F236)*H236</f>
        <v>12333.75</v>
      </c>
      <c r="AM236" s="15" t="n">
        <f aca="false">AK236+AL236</f>
        <v>57399.375</v>
      </c>
      <c r="AN236" s="15" t="n">
        <f aca="false">INDEX(Ipotesi!$C$30:$G$30,1,F236)*G236/12</f>
        <v>44.9166666666667</v>
      </c>
      <c r="AO236" s="15" t="n">
        <f aca="false">O236*Parametri_v3!$C$7*Parametri_v3!$C$11*(1-Parametri_v3!$C$14)/12</f>
        <v>87.2666666666667</v>
      </c>
      <c r="AP236" s="15" t="n">
        <f aca="false">MIN(AN236,AO236)</f>
        <v>44.9166666666667</v>
      </c>
      <c r="AQ236" s="15" t="n">
        <f aca="false">AP236*INDEX(Ipotesi!$C$31:$G$31,1,F236)*H236</f>
        <v>44467.5</v>
      </c>
      <c r="AR236" s="15" t="n">
        <f aca="false">INDEX(Ipotesi!$C$75:$G$75,1,F236)*J236/12</f>
        <v>35833.3333333333</v>
      </c>
      <c r="AS236" s="15" t="n">
        <f aca="false">INDEX(Ipotesi!$C$81:$G$81,1,F236)*J236/12</f>
        <v>2083.33333333333</v>
      </c>
      <c r="AT236" s="15" t="n">
        <f aca="false">AR236*Parametri_v3!$C$15+Z236*Parametri_v3!$C$16</f>
        <v>53560.0970908333</v>
      </c>
      <c r="AU236" s="15" t="n">
        <f aca="false">Q236*Parametri_v3!$C$16*Parametri_v3!$C$17</f>
        <v>420</v>
      </c>
      <c r="AV236" s="17" t="n">
        <f aca="false">BD235</f>
        <v>111.746425586369</v>
      </c>
      <c r="AW236" s="17" t="n">
        <f aca="false">AV236*(1-(1-INDEX(Ipotesi!$C$34:$G$34,1,F236))^(1/12))</f>
        <v>0.976843778054004</v>
      </c>
      <c r="AX236" s="15" t="n">
        <f aca="false">ROUND(INDEX(Ipotesi!$C$32:$G$32,1,F236)*Ipotesi!F8,0)</f>
        <v>196</v>
      </c>
      <c r="AY236" s="15" t="n">
        <f aca="false">MAX(0,(AX236-(AV236-AW236))/(13-E236))</f>
        <v>9.4700464657428</v>
      </c>
      <c r="AZ236" s="15" t="n">
        <f aca="false">MIN(P236*Parametri_v3!$C$22,Q236*(1-Parametri_v3!$C$16)*Parametri_v3!$C$23)</f>
        <v>270</v>
      </c>
      <c r="BA236" s="15" t="n">
        <f aca="false">IF(OR(INDEX(Ipotesi!$C$35:$G$35,1,F236)&lt;=0,52-Parametri_v3!$C$21&lt;1),0,INDEX($AT$185:$AT$244,MAX(1,52-Parametri_v3!$C$21))/(INDEX(Ipotesi!$C$35:$G$35,1,F236)*Ipotesi!F27))</f>
        <v>6.33847302850099</v>
      </c>
      <c r="BB236" s="15" t="n">
        <f aca="false">IF(52-Parametri_v3!$C$21&lt;1,0,INDEX($AU$185:$AU$244,MAX(1,52-Parametri_v3!$C$21)))*Parametri_v3!$C$18*Parametri_v3!$C$19*Parametri_v3!$C$20</f>
        <v>15.75</v>
      </c>
      <c r="BC236" s="17" t="n">
        <f aca="false">MAX(0,MIN(AY236,BA236,BB236,MAX(0,AZ236-(AV236-AW236))))</f>
        <v>6.33847302850099</v>
      </c>
      <c r="BD236" s="17" t="n">
        <f aca="false">AV236-AW236+BC236</f>
        <v>117.108054836816</v>
      </c>
      <c r="BE236" s="17" t="n">
        <f aca="false">(AV236+BD236)/2</f>
        <v>114.427240211592</v>
      </c>
      <c r="BF236" s="15" t="n">
        <f aca="false">BE236*INDEX(Ipotesi!$C$33:$G$33,1,F236)*H236/12</f>
        <v>53208.6666983904</v>
      </c>
      <c r="BG236" s="15" t="n">
        <f aca="false">BD236*INDEX(Ipotesi!$C$33:$G$33,1,F236)*H236</f>
        <v>653462.945989432</v>
      </c>
      <c r="BH236" s="15" t="n">
        <f aca="false">AM236*INDEX(Ipotesi!$C$37:$G$37,1,F236)</f>
        <v>5739.9375</v>
      </c>
      <c r="BI236" s="15" t="n">
        <f aca="false">AQ236+BF236+BH236</f>
        <v>103416.10419839</v>
      </c>
      <c r="BJ236" s="15" t="n">
        <f aca="false">INDEX(Ipotesi!$C$68:$G$68,1,F236)*Ipotesi!$C$69/12</f>
        <v>3333.33333333333</v>
      </c>
      <c r="BK236" s="15" t="n">
        <f aca="false">INDEX(Ipotesi!$C$68:$G$68,1,F236)*(1-Ipotesi!$C$69)/12</f>
        <v>5000</v>
      </c>
      <c r="BL236" s="15" t="n">
        <f aca="false">(AQ236+BF236)*Ipotesi!$C$67</f>
        <v>2930.28500095171</v>
      </c>
      <c r="BM236" s="15" t="n">
        <f aca="false">AM236*Ipotesi!$C$67</f>
        <v>1721.98125</v>
      </c>
      <c r="BN236" s="15" t="n">
        <f aca="false">INDEX(Ipotesi!$C$72:$G$72,1,F236)/12*Ipotesi!F126+BF236*Ipotesi!$C$73</f>
        <v>5506.69333587123</v>
      </c>
      <c r="BO236" s="15" t="n">
        <f aca="false">INDEX(Ipotesi!$C$74:$G$74,1,F236)/12*Ipotesi!F126</f>
        <v>5416.66666666667</v>
      </c>
      <c r="BP236" s="15" t="n">
        <f aca="false">INDEX(Ipotesi!$C$76:$G$76,1,F236)/12</f>
        <v>1916.66666666667</v>
      </c>
      <c r="BQ236" s="15" t="n">
        <f aca="false">INDEX(Ipotesi!$C$77:$G$77,1,F236)/12*Ipotesi!F126</f>
        <v>2500</v>
      </c>
      <c r="BR236" s="15" t="n">
        <f aca="false">INDEX(Ipotesi!$C$78:$G$78,1,F236)/12</f>
        <v>2333.33333333333</v>
      </c>
      <c r="BS236" s="15" t="n">
        <f aca="false">SUM(M236:R236)*(Ipotesi!$C$85+Ipotesi!$C$86)/12</f>
        <v>7437.5</v>
      </c>
      <c r="BT236" s="15" t="n">
        <f aca="false">BI236*Ipotesi!$C$87</f>
        <v>3102.48312595171</v>
      </c>
      <c r="BU236" s="15" t="n">
        <f aca="false">INDEX(Ipotesi!$C$55:$G$55,1,F236)*K236/12</f>
        <v>2000</v>
      </c>
      <c r="BV236" s="15" t="n">
        <f aca="false">INDEX(Ipotesi!$C$80:$G$80,1,F236)/12*Ipotesi!F126</f>
        <v>2083.33333333333</v>
      </c>
      <c r="BW236" s="15" t="n">
        <f aca="false">INDEX(Ipotesi!$C$82:$G$82,1,F236)/12</f>
        <v>1500</v>
      </c>
      <c r="BX236" s="15" t="n">
        <f aca="false">INDEX(Ipotesi!$C$83:$G$83,1,F236)/12</f>
        <v>833.333333333333</v>
      </c>
      <c r="BY236" s="15" t="n">
        <f aca="false">SUM(S236:U236)*(Ipotesi!$C$85+Ipotesi!$C$86)/12</f>
        <v>3208.33333333333</v>
      </c>
      <c r="BZ236" s="15" t="n">
        <f aca="false">AM236*Ipotesi!$C$87</f>
        <v>1721.98125</v>
      </c>
      <c r="CA236" s="15" t="n">
        <f aca="false">AB236+BJ236+BL236+BN236+BO236+AR236+BP236+BQ236+BR236+BS236+BT236</f>
        <v>189787.623116941</v>
      </c>
      <c r="CB236" s="15" t="n">
        <f aca="false">AC236+BK236+BM236+BH236+BU236+BV236+AS236+BW236+BX236+BY236+BZ236</f>
        <v>70256.0389275</v>
      </c>
      <c r="CC236" s="15" t="n">
        <f aca="false">BI236-CA236</f>
        <v>-86371.518918551</v>
      </c>
      <c r="CD236" s="15" t="n">
        <f aca="false">AM236-CB236</f>
        <v>-12856.6639275</v>
      </c>
      <c r="CE236" s="15" t="n">
        <f aca="false">INDEX(Ipotesi!$C$79:$G$79,1,F236)/12</f>
        <v>4166.66666666667</v>
      </c>
      <c r="CF236" s="15" t="n">
        <f aca="false">INDEX(Ipotesi!$C$84:$G$84,1,F236)/12</f>
        <v>666.666666666667</v>
      </c>
      <c r="CG236" s="15" t="n">
        <f aca="false">Y236*MAX(0,Parametri_v3!$C$12-IF(P236=0,0,MIN(1,BE236/(P236*Parametri_v3!$C$22))))+W236*Parametri_v3!$C$13+X236*Parametri_v3!$C$14</f>
        <v>38716.2256015778</v>
      </c>
      <c r="CH236" s="15" t="n">
        <f aca="false">AB236*Parametri_v3!$C$32</f>
        <v>5973.86641604167</v>
      </c>
      <c r="CI236" s="15" t="n">
        <f aca="false">AC236*Parametri_v3!$C$32</f>
        <v>2218.19027970833</v>
      </c>
      <c r="CJ236" s="15" t="n">
        <f aca="false">CA236-AB236</f>
        <v>70310.294796108</v>
      </c>
      <c r="CK236" s="15" t="n">
        <f aca="false">CB236-AC236-BH236</f>
        <v>20152.2958333333</v>
      </c>
      <c r="CL236" s="15" t="n">
        <f aca="false">BF236*Ipotesi!$C$73+INDEX(Ipotesi!$C$72:$G$72,1,F236)/12*Ipotesi!F126*Parametri_v3!$C$58+Z236*(1-Parametri_v3!$C$16)</f>
        <v>13103.8778033712</v>
      </c>
      <c r="CM236" s="16" t="n">
        <f aca="false">IF(BF236=0,0,1-CL236/BF236)</f>
        <v>0.753726627324649</v>
      </c>
    </row>
    <row r="237" customFormat="false" ht="18" hidden="false" customHeight="true" outlineLevel="0" collapsed="false">
      <c r="A237" s="68" t="n">
        <f aca="false">4</f>
        <v>4</v>
      </c>
      <c r="B237" s="68" t="n">
        <f aca="false">53</f>
        <v>53</v>
      </c>
      <c r="C237" s="18" t="n">
        <f aca="false">EDATE(Parametri_v3!$C$5,53-1)</f>
        <v>47969</v>
      </c>
      <c r="D237" s="68" t="n">
        <f aca="false">YEAR(C237)</f>
        <v>2031</v>
      </c>
      <c r="E237" s="68" t="n">
        <f aca="false">MONTH(C237)</f>
        <v>5</v>
      </c>
      <c r="F237" s="68" t="n">
        <f aca="false">INT((53-1)/12)+1</f>
        <v>5</v>
      </c>
      <c r="G237" s="15" t="n">
        <f aca="false">Ipotesi!F7</f>
        <v>0.55</v>
      </c>
      <c r="H237" s="15" t="n">
        <f aca="false">Ipotesi!F9</f>
        <v>0.9</v>
      </c>
      <c r="I237" s="15" t="n">
        <f aca="false">Ipotesi!F10</f>
        <v>1</v>
      </c>
      <c r="J237" s="15" t="n">
        <f aca="false">Ipotesi!F11</f>
        <v>1</v>
      </c>
      <c r="K237" s="15" t="n">
        <f aca="false">Ipotesi!F12</f>
        <v>1</v>
      </c>
      <c r="L237" s="15" t="n">
        <f aca="false">Ipotesi!F13</f>
        <v>120</v>
      </c>
      <c r="M237" s="17" t="n">
        <f aca="false">INDEX(Ipotesi!$C$40:$G$40,1,F237)</f>
        <v>1</v>
      </c>
      <c r="N237" s="17" t="n">
        <f aca="false">INDEX(Ipotesi!$C$41:$G$41,1,F237)</f>
        <v>1</v>
      </c>
      <c r="O237" s="17" t="n">
        <f aca="false">INDEX(Ipotesi!$C$42:$G$42,1,F237)*Ipotesi!F125</f>
        <v>8.5</v>
      </c>
      <c r="P237" s="17" t="n">
        <f aca="false">INDEX(Ipotesi!$C$43:$G$43,1,F237)*I237</f>
        <v>7</v>
      </c>
      <c r="Q237" s="17" t="n">
        <f aca="false">INDEX(Ipotesi!$C$44:$G$44,1,F237)*I237</f>
        <v>6</v>
      </c>
      <c r="R237" s="17" t="n">
        <f aca="false">INDEX(Ipotesi!$C$45:$G$45,1,F237)*I237</f>
        <v>2</v>
      </c>
      <c r="S237" s="17" t="n">
        <f aca="false">INDEX(Ipotesi!$C$52:$G$52,1,F237)*Ipotesi!F125</f>
        <v>9</v>
      </c>
      <c r="T237" s="17" t="n">
        <f aca="false">INDEX(Ipotesi!$C$53:$G$53,1,F237)*I237</f>
        <v>1</v>
      </c>
      <c r="U237" s="17" t="n">
        <f aca="false">INDEX(Ipotesi!$C$54:$G$54,1,F237)*I237</f>
        <v>1</v>
      </c>
      <c r="V237" s="15" t="n">
        <f aca="false">M237*INDEX(Ipotesi!$C$58:$G$58,1,F237)*K237/12</f>
        <v>8333.33333333333</v>
      </c>
      <c r="W237" s="15" t="n">
        <f aca="false">N237*Ipotesi!$C$59*(1+Ipotesi!$C$66)^(F237-1)/12</f>
        <v>6565.46805833334</v>
      </c>
      <c r="X237" s="15" t="n">
        <f aca="false">O237*Ipotesi!$C$60*(1+Ipotesi!$C$66)^(F237-1)/12</f>
        <v>39861.7703541667</v>
      </c>
      <c r="Y237" s="15" t="n">
        <f aca="false">P237*Ipotesi!$C$61*(1+Ipotesi!$C$66)^(F237-1)/12</f>
        <v>32827.3402916667</v>
      </c>
      <c r="Z237" s="15" t="n">
        <f aca="false">Q237*Ipotesi!$C$62*(1+Ipotesi!$C$66)^(F237-1)/12</f>
        <v>25323.948225</v>
      </c>
      <c r="AA237" s="15" t="n">
        <f aca="false">R237*Ipotesi!$C$63*(1+Ipotesi!$C$66)^(F237-1)/12</f>
        <v>6565.46805833334</v>
      </c>
      <c r="AB237" s="15" t="n">
        <f aca="false">SUM(V237:AA237)</f>
        <v>119477.328320833</v>
      </c>
      <c r="AC237" s="15" t="n">
        <f aca="false">(S237*Ipotesi!$C$64+T237*Ipotesi!$C$65+U237*Ipotesi!$C$63)*(1+Ipotesi!$C$66)^(F237-1)/12</f>
        <v>44363.8055941667</v>
      </c>
      <c r="AD237" s="15" t="n">
        <f aca="false">INDEX(Ipotesi!$C$48:$G$48,1,F237)*G237/12</f>
        <v>52.7083333333333</v>
      </c>
      <c r="AE237" s="15" t="n">
        <f aca="false">INDEX(Ipotesi!$C$50:$G$50,1,F237)*G237/12</f>
        <v>5.27083333333333</v>
      </c>
      <c r="AF237" s="15" t="n">
        <f aca="false">(S237*Parametri_v3!$C$7*Parametri_v3!$C$8+Parametri_v3!$C$10)/12</f>
        <v>115.5</v>
      </c>
      <c r="AG237" s="15" t="n">
        <f aca="false">AD237+AE237*(1+Parametri_v3!$C$9)</f>
        <v>60.6145833333333</v>
      </c>
      <c r="AH237" s="16" t="n">
        <f aca="false">IF(AG237=0,1,MIN(1,AF237/AG237))</f>
        <v>1</v>
      </c>
      <c r="AI237" s="15" t="n">
        <f aca="false">AD237*AH237</f>
        <v>52.7083333333333</v>
      </c>
      <c r="AJ237" s="15" t="n">
        <f aca="false">AE237*AH237</f>
        <v>5.27083333333333</v>
      </c>
      <c r="AK237" s="15" t="n">
        <f aca="false">AI237*INDEX(Ipotesi!$C$49:$G$49,1,F237)*H237</f>
        <v>45065.625</v>
      </c>
      <c r="AL237" s="15" t="n">
        <f aca="false">AJ237*INDEX(Ipotesi!$C$51:$G$51,1,F237)*H237</f>
        <v>12333.75</v>
      </c>
      <c r="AM237" s="15" t="n">
        <f aca="false">AK237+AL237</f>
        <v>57399.375</v>
      </c>
      <c r="AN237" s="15" t="n">
        <f aca="false">INDEX(Ipotesi!$C$30:$G$30,1,F237)*G237/12</f>
        <v>44.9166666666667</v>
      </c>
      <c r="AO237" s="15" t="n">
        <f aca="false">O237*Parametri_v3!$C$7*Parametri_v3!$C$11*(1-Parametri_v3!$C$14)/12</f>
        <v>87.2666666666667</v>
      </c>
      <c r="AP237" s="15" t="n">
        <f aca="false">MIN(AN237,AO237)</f>
        <v>44.9166666666667</v>
      </c>
      <c r="AQ237" s="15" t="n">
        <f aca="false">AP237*INDEX(Ipotesi!$C$31:$G$31,1,F237)*H237</f>
        <v>44467.5</v>
      </c>
      <c r="AR237" s="15" t="n">
        <f aca="false">INDEX(Ipotesi!$C$75:$G$75,1,F237)*J237/12</f>
        <v>35833.3333333333</v>
      </c>
      <c r="AS237" s="15" t="n">
        <f aca="false">INDEX(Ipotesi!$C$81:$G$81,1,F237)*J237/12</f>
        <v>2083.33333333333</v>
      </c>
      <c r="AT237" s="15" t="n">
        <f aca="false">AR237*Parametri_v3!$C$15+Z237*Parametri_v3!$C$16</f>
        <v>53560.0970908333</v>
      </c>
      <c r="AU237" s="15" t="n">
        <f aca="false">Q237*Parametri_v3!$C$16*Parametri_v3!$C$17</f>
        <v>420</v>
      </c>
      <c r="AV237" s="17" t="n">
        <f aca="false">BD236</f>
        <v>117.108054836816</v>
      </c>
      <c r="AW237" s="17" t="n">
        <f aca="false">AV237*(1-(1-INDEX(Ipotesi!$C$34:$G$34,1,F237))^(1/12))</f>
        <v>1.02371305504473</v>
      </c>
      <c r="AX237" s="15" t="n">
        <f aca="false">ROUND(INDEX(Ipotesi!$C$32:$G$32,1,F237)*Ipotesi!F8,0)</f>
        <v>196</v>
      </c>
      <c r="AY237" s="15" t="n">
        <f aca="false">MAX(0,(AX237-(AV237-AW237))/(13-E237))</f>
        <v>9.98945727727862</v>
      </c>
      <c r="AZ237" s="15" t="n">
        <f aca="false">MIN(P237*Parametri_v3!$C$22,Q237*(1-Parametri_v3!$C$16)*Parametri_v3!$C$23)</f>
        <v>270</v>
      </c>
      <c r="BA237" s="15" t="n">
        <f aca="false">IF(OR(INDEX(Ipotesi!$C$35:$G$35,1,F237)&lt;=0,53-Parametri_v3!$C$21&lt;1),0,INDEX($AT$185:$AT$244,MAX(1,53-Parametri_v3!$C$21))/(INDEX(Ipotesi!$C$35:$G$35,1,F237)*Ipotesi!F27))</f>
        <v>6.33847302850099</v>
      </c>
      <c r="BB237" s="15" t="n">
        <f aca="false">IF(53-Parametri_v3!$C$21&lt;1,0,INDEX($AU$185:$AU$244,MAX(1,53-Parametri_v3!$C$21)))*Parametri_v3!$C$18*Parametri_v3!$C$19*Parametri_v3!$C$20</f>
        <v>15.75</v>
      </c>
      <c r="BC237" s="17" t="n">
        <f aca="false">MAX(0,MIN(AY237,BA237,BB237,MAX(0,AZ237-(AV237-AW237))))</f>
        <v>6.33847302850099</v>
      </c>
      <c r="BD237" s="17" t="n">
        <f aca="false">AV237-AW237+BC237</f>
        <v>122.422814810272</v>
      </c>
      <c r="BE237" s="17" t="n">
        <f aca="false">(AV237+BD237)/2</f>
        <v>119.765434823544</v>
      </c>
      <c r="BF237" s="15" t="n">
        <f aca="false">BE237*INDEX(Ipotesi!$C$33:$G$33,1,F237)*H237/12</f>
        <v>55690.9271929479</v>
      </c>
      <c r="BG237" s="15" t="n">
        <f aca="false">BD237*INDEX(Ipotesi!$C$33:$G$33,1,F237)*H237</f>
        <v>683119.306641318</v>
      </c>
      <c r="BH237" s="15" t="n">
        <f aca="false">AM237*INDEX(Ipotesi!$C$37:$G$37,1,F237)</f>
        <v>5739.9375</v>
      </c>
      <c r="BI237" s="15" t="n">
        <f aca="false">AQ237+BF237+BH237</f>
        <v>105898.364692948</v>
      </c>
      <c r="BJ237" s="15" t="n">
        <f aca="false">INDEX(Ipotesi!$C$68:$G$68,1,F237)*Ipotesi!$C$69/12</f>
        <v>3333.33333333333</v>
      </c>
      <c r="BK237" s="15" t="n">
        <f aca="false">INDEX(Ipotesi!$C$68:$G$68,1,F237)*(1-Ipotesi!$C$69)/12</f>
        <v>5000</v>
      </c>
      <c r="BL237" s="15" t="n">
        <f aca="false">(AQ237+BF237)*Ipotesi!$C$67</f>
        <v>3004.75281578844</v>
      </c>
      <c r="BM237" s="15" t="n">
        <f aca="false">AM237*Ipotesi!$C$67</f>
        <v>1721.98125</v>
      </c>
      <c r="BN237" s="15" t="n">
        <f aca="false">INDEX(Ipotesi!$C$72:$G$72,1,F237)/12*Ipotesi!F126+BF237*Ipotesi!$C$73</f>
        <v>5705.27417543584</v>
      </c>
      <c r="BO237" s="15" t="n">
        <f aca="false">INDEX(Ipotesi!$C$74:$G$74,1,F237)/12*Ipotesi!F126</f>
        <v>5416.66666666667</v>
      </c>
      <c r="BP237" s="15" t="n">
        <f aca="false">INDEX(Ipotesi!$C$76:$G$76,1,F237)/12</f>
        <v>1916.66666666667</v>
      </c>
      <c r="BQ237" s="15" t="n">
        <f aca="false">INDEX(Ipotesi!$C$77:$G$77,1,F237)/12*Ipotesi!F126</f>
        <v>2500</v>
      </c>
      <c r="BR237" s="15" t="n">
        <f aca="false">INDEX(Ipotesi!$C$78:$G$78,1,F237)/12</f>
        <v>2333.33333333333</v>
      </c>
      <c r="BS237" s="15" t="n">
        <f aca="false">SUM(M237:R237)*(Ipotesi!$C$85+Ipotesi!$C$86)/12</f>
        <v>7437.5</v>
      </c>
      <c r="BT237" s="15" t="n">
        <f aca="false">BI237*Ipotesi!$C$87</f>
        <v>3176.95094078844</v>
      </c>
      <c r="BU237" s="15" t="n">
        <f aca="false">INDEX(Ipotesi!$C$55:$G$55,1,F237)*K237/12</f>
        <v>2000</v>
      </c>
      <c r="BV237" s="15" t="n">
        <f aca="false">INDEX(Ipotesi!$C$80:$G$80,1,F237)/12*Ipotesi!F126</f>
        <v>2083.33333333333</v>
      </c>
      <c r="BW237" s="15" t="n">
        <f aca="false">INDEX(Ipotesi!$C$82:$G$82,1,F237)/12</f>
        <v>1500</v>
      </c>
      <c r="BX237" s="15" t="n">
        <f aca="false">INDEX(Ipotesi!$C$83:$G$83,1,F237)/12</f>
        <v>833.333333333333</v>
      </c>
      <c r="BY237" s="15" t="n">
        <f aca="false">SUM(S237:U237)*(Ipotesi!$C$85+Ipotesi!$C$86)/12</f>
        <v>3208.33333333333</v>
      </c>
      <c r="BZ237" s="15" t="n">
        <f aca="false">AM237*Ipotesi!$C$87</f>
        <v>1721.98125</v>
      </c>
      <c r="CA237" s="15" t="n">
        <f aca="false">AB237+BJ237+BL237+BN237+BO237+AR237+BP237+BQ237+BR237+BS237+BT237</f>
        <v>190135.139586179</v>
      </c>
      <c r="CB237" s="15" t="n">
        <f aca="false">AC237+BK237+BM237+BH237+BU237+BV237+AS237+BW237+BX237+BY237+BZ237</f>
        <v>70256.0389275</v>
      </c>
      <c r="CC237" s="15" t="n">
        <f aca="false">BI237-CA237</f>
        <v>-84236.7748932315</v>
      </c>
      <c r="CD237" s="15" t="n">
        <f aca="false">AM237-CB237</f>
        <v>-12856.6639275</v>
      </c>
      <c r="CE237" s="15" t="n">
        <f aca="false">INDEX(Ipotesi!$C$79:$G$79,1,F237)/12</f>
        <v>4166.66666666667</v>
      </c>
      <c r="CF237" s="15" t="n">
        <f aca="false">INDEX(Ipotesi!$C$84:$G$84,1,F237)/12</f>
        <v>666.666666666667</v>
      </c>
      <c r="CG237" s="15" t="n">
        <f aca="false">Y237*MAX(0,Parametri_v3!$C$12-IF(P237=0,0,MIN(1,BE237/(P237*Parametri_v3!$C$22))))+W237*Parametri_v3!$C$13+X237*Parametri_v3!$C$14</f>
        <v>38465.8845571925</v>
      </c>
      <c r="CH237" s="15" t="n">
        <f aca="false">AB237*Parametri_v3!$C$32</f>
        <v>5973.86641604167</v>
      </c>
      <c r="CI237" s="15" t="n">
        <f aca="false">AC237*Parametri_v3!$C$32</f>
        <v>2218.19027970833</v>
      </c>
      <c r="CJ237" s="15" t="n">
        <f aca="false">CA237-AB237</f>
        <v>70657.811265346</v>
      </c>
      <c r="CK237" s="15" t="n">
        <f aca="false">CB237-AC237-BH237</f>
        <v>20152.2958333333</v>
      </c>
      <c r="CL237" s="15" t="n">
        <f aca="false">BF237*Ipotesi!$C$73+INDEX(Ipotesi!$C$72:$G$72,1,F237)/12*Ipotesi!F126*Parametri_v3!$C$58+Z237*(1-Parametri_v3!$C$16)</f>
        <v>13302.4586429358</v>
      </c>
      <c r="CM237" s="16" t="n">
        <f aca="false">IF(BF237=0,0,1-CL237/BF237)</f>
        <v>0.761137777490257</v>
      </c>
    </row>
    <row r="238" customFormat="false" ht="18" hidden="false" customHeight="true" outlineLevel="0" collapsed="false">
      <c r="A238" s="68" t="n">
        <f aca="false">4</f>
        <v>4</v>
      </c>
      <c r="B238" s="68" t="n">
        <f aca="false">54</f>
        <v>54</v>
      </c>
      <c r="C238" s="18" t="n">
        <f aca="false">EDATE(Parametri_v3!$C$5,54-1)</f>
        <v>48000</v>
      </c>
      <c r="D238" s="68" t="n">
        <f aca="false">YEAR(C238)</f>
        <v>2031</v>
      </c>
      <c r="E238" s="68" t="n">
        <f aca="false">MONTH(C238)</f>
        <v>6</v>
      </c>
      <c r="F238" s="68" t="n">
        <f aca="false">INT((54-1)/12)+1</f>
        <v>5</v>
      </c>
      <c r="G238" s="15" t="n">
        <f aca="false">Ipotesi!F7</f>
        <v>0.55</v>
      </c>
      <c r="H238" s="15" t="n">
        <f aca="false">Ipotesi!F9</f>
        <v>0.9</v>
      </c>
      <c r="I238" s="15" t="n">
        <f aca="false">Ipotesi!F10</f>
        <v>1</v>
      </c>
      <c r="J238" s="15" t="n">
        <f aca="false">Ipotesi!F11</f>
        <v>1</v>
      </c>
      <c r="K238" s="15" t="n">
        <f aca="false">Ipotesi!F12</f>
        <v>1</v>
      </c>
      <c r="L238" s="15" t="n">
        <f aca="false">Ipotesi!F13</f>
        <v>120</v>
      </c>
      <c r="M238" s="17" t="n">
        <f aca="false">INDEX(Ipotesi!$C$40:$G$40,1,F238)</f>
        <v>1</v>
      </c>
      <c r="N238" s="17" t="n">
        <f aca="false">INDEX(Ipotesi!$C$41:$G$41,1,F238)</f>
        <v>1</v>
      </c>
      <c r="O238" s="17" t="n">
        <f aca="false">INDEX(Ipotesi!$C$42:$G$42,1,F238)*Ipotesi!F125</f>
        <v>8.5</v>
      </c>
      <c r="P238" s="17" t="n">
        <f aca="false">INDEX(Ipotesi!$C$43:$G$43,1,F238)*I238</f>
        <v>7</v>
      </c>
      <c r="Q238" s="17" t="n">
        <f aca="false">INDEX(Ipotesi!$C$44:$G$44,1,F238)*I238</f>
        <v>6</v>
      </c>
      <c r="R238" s="17" t="n">
        <f aca="false">INDEX(Ipotesi!$C$45:$G$45,1,F238)*I238</f>
        <v>2</v>
      </c>
      <c r="S238" s="17" t="n">
        <f aca="false">INDEX(Ipotesi!$C$52:$G$52,1,F238)*Ipotesi!F125</f>
        <v>9</v>
      </c>
      <c r="T238" s="17" t="n">
        <f aca="false">INDEX(Ipotesi!$C$53:$G$53,1,F238)*I238</f>
        <v>1</v>
      </c>
      <c r="U238" s="17" t="n">
        <f aca="false">INDEX(Ipotesi!$C$54:$G$54,1,F238)*I238</f>
        <v>1</v>
      </c>
      <c r="V238" s="15" t="n">
        <f aca="false">M238*INDEX(Ipotesi!$C$58:$G$58,1,F238)*K238/12</f>
        <v>8333.33333333333</v>
      </c>
      <c r="W238" s="15" t="n">
        <f aca="false">N238*Ipotesi!$C$59*(1+Ipotesi!$C$66)^(F238-1)/12</f>
        <v>6565.46805833334</v>
      </c>
      <c r="X238" s="15" t="n">
        <f aca="false">O238*Ipotesi!$C$60*(1+Ipotesi!$C$66)^(F238-1)/12</f>
        <v>39861.7703541667</v>
      </c>
      <c r="Y238" s="15" t="n">
        <f aca="false">P238*Ipotesi!$C$61*(1+Ipotesi!$C$66)^(F238-1)/12</f>
        <v>32827.3402916667</v>
      </c>
      <c r="Z238" s="15" t="n">
        <f aca="false">Q238*Ipotesi!$C$62*(1+Ipotesi!$C$66)^(F238-1)/12</f>
        <v>25323.948225</v>
      </c>
      <c r="AA238" s="15" t="n">
        <f aca="false">R238*Ipotesi!$C$63*(1+Ipotesi!$C$66)^(F238-1)/12</f>
        <v>6565.46805833334</v>
      </c>
      <c r="AB238" s="15" t="n">
        <f aca="false">SUM(V238:AA238)</f>
        <v>119477.328320833</v>
      </c>
      <c r="AC238" s="15" t="n">
        <f aca="false">(S238*Ipotesi!$C$64+T238*Ipotesi!$C$65+U238*Ipotesi!$C$63)*(1+Ipotesi!$C$66)^(F238-1)/12</f>
        <v>44363.8055941667</v>
      </c>
      <c r="AD238" s="15" t="n">
        <f aca="false">INDEX(Ipotesi!$C$48:$G$48,1,F238)*G238/12</f>
        <v>52.7083333333333</v>
      </c>
      <c r="AE238" s="15" t="n">
        <f aca="false">INDEX(Ipotesi!$C$50:$G$50,1,F238)*G238/12</f>
        <v>5.27083333333333</v>
      </c>
      <c r="AF238" s="15" t="n">
        <f aca="false">(S238*Parametri_v3!$C$7*Parametri_v3!$C$8+Parametri_v3!$C$10)/12</f>
        <v>115.5</v>
      </c>
      <c r="AG238" s="15" t="n">
        <f aca="false">AD238+AE238*(1+Parametri_v3!$C$9)</f>
        <v>60.6145833333333</v>
      </c>
      <c r="AH238" s="16" t="n">
        <f aca="false">IF(AG238=0,1,MIN(1,AF238/AG238))</f>
        <v>1</v>
      </c>
      <c r="AI238" s="15" t="n">
        <f aca="false">AD238*AH238</f>
        <v>52.7083333333333</v>
      </c>
      <c r="AJ238" s="15" t="n">
        <f aca="false">AE238*AH238</f>
        <v>5.27083333333333</v>
      </c>
      <c r="AK238" s="15" t="n">
        <f aca="false">AI238*INDEX(Ipotesi!$C$49:$G$49,1,F238)*H238</f>
        <v>45065.625</v>
      </c>
      <c r="AL238" s="15" t="n">
        <f aca="false">AJ238*INDEX(Ipotesi!$C$51:$G$51,1,F238)*H238</f>
        <v>12333.75</v>
      </c>
      <c r="AM238" s="15" t="n">
        <f aca="false">AK238+AL238</f>
        <v>57399.375</v>
      </c>
      <c r="AN238" s="15" t="n">
        <f aca="false">INDEX(Ipotesi!$C$30:$G$30,1,F238)*G238/12</f>
        <v>44.9166666666667</v>
      </c>
      <c r="AO238" s="15" t="n">
        <f aca="false">O238*Parametri_v3!$C$7*Parametri_v3!$C$11*(1-Parametri_v3!$C$14)/12</f>
        <v>87.2666666666667</v>
      </c>
      <c r="AP238" s="15" t="n">
        <f aca="false">MIN(AN238,AO238)</f>
        <v>44.9166666666667</v>
      </c>
      <c r="AQ238" s="15" t="n">
        <f aca="false">AP238*INDEX(Ipotesi!$C$31:$G$31,1,F238)*H238</f>
        <v>44467.5</v>
      </c>
      <c r="AR238" s="15" t="n">
        <f aca="false">INDEX(Ipotesi!$C$75:$G$75,1,F238)*J238/12</f>
        <v>35833.3333333333</v>
      </c>
      <c r="AS238" s="15" t="n">
        <f aca="false">INDEX(Ipotesi!$C$81:$G$81,1,F238)*J238/12</f>
        <v>2083.33333333333</v>
      </c>
      <c r="AT238" s="15" t="n">
        <f aca="false">AR238*Parametri_v3!$C$15+Z238*Parametri_v3!$C$16</f>
        <v>53560.0970908333</v>
      </c>
      <c r="AU238" s="15" t="n">
        <f aca="false">Q238*Parametri_v3!$C$16*Parametri_v3!$C$17</f>
        <v>420</v>
      </c>
      <c r="AV238" s="17" t="n">
        <f aca="false">BD237</f>
        <v>122.422814810272</v>
      </c>
      <c r="AW238" s="17" t="n">
        <f aca="false">AV238*(1-(1-INDEX(Ipotesi!$C$34:$G$34,1,F238))^(1/12))</f>
        <v>1.07017261905028</v>
      </c>
      <c r="AX238" s="15" t="n">
        <f aca="false">ROUND(INDEX(Ipotesi!$C$32:$G$32,1,F238)*Ipotesi!F8,0)</f>
        <v>196</v>
      </c>
      <c r="AY238" s="15" t="n">
        <f aca="false">MAX(0,(AX238-(AV238-AW238))/(13-E238))</f>
        <v>10.6639082583969</v>
      </c>
      <c r="AZ238" s="15" t="n">
        <f aca="false">MIN(P238*Parametri_v3!$C$22,Q238*(1-Parametri_v3!$C$16)*Parametri_v3!$C$23)</f>
        <v>270</v>
      </c>
      <c r="BA238" s="15" t="n">
        <f aca="false">IF(OR(INDEX(Ipotesi!$C$35:$G$35,1,F238)&lt;=0,54-Parametri_v3!$C$21&lt;1),0,INDEX($AT$185:$AT$244,MAX(1,54-Parametri_v3!$C$21))/(INDEX(Ipotesi!$C$35:$G$35,1,F238)*Ipotesi!F27))</f>
        <v>6.33847302850099</v>
      </c>
      <c r="BB238" s="15" t="n">
        <f aca="false">IF(54-Parametri_v3!$C$21&lt;1,0,INDEX($AU$185:$AU$244,MAX(1,54-Parametri_v3!$C$21)))*Parametri_v3!$C$18*Parametri_v3!$C$19*Parametri_v3!$C$20</f>
        <v>15.75</v>
      </c>
      <c r="BC238" s="17" t="n">
        <f aca="false">MAX(0,MIN(AY238,BA238,BB238,MAX(0,AZ238-(AV238-AW238))))</f>
        <v>6.33847302850099</v>
      </c>
      <c r="BD238" s="17" t="n">
        <f aca="false">AV238-AW238+BC238</f>
        <v>127.691115219723</v>
      </c>
      <c r="BE238" s="17" t="n">
        <f aca="false">(AV238+BD238)/2</f>
        <v>125.056965014997</v>
      </c>
      <c r="BF238" s="15" t="n">
        <f aca="false">BE238*INDEX(Ipotesi!$C$33:$G$33,1,F238)*H238/12</f>
        <v>58151.4887319738</v>
      </c>
      <c r="BG238" s="15" t="n">
        <f aca="false">BD238*INDEX(Ipotesi!$C$33:$G$33,1,F238)*H238</f>
        <v>712516.422926053</v>
      </c>
      <c r="BH238" s="15" t="n">
        <f aca="false">AM238*INDEX(Ipotesi!$C$37:$G$37,1,F238)</f>
        <v>5739.9375</v>
      </c>
      <c r="BI238" s="15" t="n">
        <f aca="false">AQ238+BF238+BH238</f>
        <v>108358.926231974</v>
      </c>
      <c r="BJ238" s="15" t="n">
        <f aca="false">INDEX(Ipotesi!$C$68:$G$68,1,F238)*Ipotesi!$C$69/12</f>
        <v>3333.33333333333</v>
      </c>
      <c r="BK238" s="15" t="n">
        <f aca="false">INDEX(Ipotesi!$C$68:$G$68,1,F238)*(1-Ipotesi!$C$69)/12</f>
        <v>5000</v>
      </c>
      <c r="BL238" s="15" t="n">
        <f aca="false">(AQ238+BF238)*Ipotesi!$C$67</f>
        <v>3078.56966195921</v>
      </c>
      <c r="BM238" s="15" t="n">
        <f aca="false">AM238*Ipotesi!$C$67</f>
        <v>1721.98125</v>
      </c>
      <c r="BN238" s="15" t="n">
        <f aca="false">INDEX(Ipotesi!$C$72:$G$72,1,F238)/12*Ipotesi!F126+BF238*Ipotesi!$C$73</f>
        <v>5902.1190985579</v>
      </c>
      <c r="BO238" s="15" t="n">
        <f aca="false">INDEX(Ipotesi!$C$74:$G$74,1,F238)/12*Ipotesi!F126</f>
        <v>5416.66666666667</v>
      </c>
      <c r="BP238" s="15" t="n">
        <f aca="false">INDEX(Ipotesi!$C$76:$G$76,1,F238)/12</f>
        <v>1916.66666666667</v>
      </c>
      <c r="BQ238" s="15" t="n">
        <f aca="false">INDEX(Ipotesi!$C$77:$G$77,1,F238)/12*Ipotesi!F126</f>
        <v>2500</v>
      </c>
      <c r="BR238" s="15" t="n">
        <f aca="false">INDEX(Ipotesi!$C$78:$G$78,1,F238)/12</f>
        <v>2333.33333333333</v>
      </c>
      <c r="BS238" s="15" t="n">
        <f aca="false">SUM(M238:R238)*(Ipotesi!$C$85+Ipotesi!$C$86)/12</f>
        <v>7437.5</v>
      </c>
      <c r="BT238" s="15" t="n">
        <f aca="false">BI238*Ipotesi!$C$87</f>
        <v>3250.76778695921</v>
      </c>
      <c r="BU238" s="15" t="n">
        <f aca="false">INDEX(Ipotesi!$C$55:$G$55,1,F238)*K238/12</f>
        <v>2000</v>
      </c>
      <c r="BV238" s="15" t="n">
        <f aca="false">INDEX(Ipotesi!$C$80:$G$80,1,F238)/12*Ipotesi!F126</f>
        <v>2083.33333333333</v>
      </c>
      <c r="BW238" s="15" t="n">
        <f aca="false">INDEX(Ipotesi!$C$82:$G$82,1,F238)/12</f>
        <v>1500</v>
      </c>
      <c r="BX238" s="15" t="n">
        <f aca="false">INDEX(Ipotesi!$C$83:$G$83,1,F238)/12</f>
        <v>833.333333333333</v>
      </c>
      <c r="BY238" s="15" t="n">
        <f aca="false">SUM(S238:U238)*(Ipotesi!$C$85+Ipotesi!$C$86)/12</f>
        <v>3208.33333333333</v>
      </c>
      <c r="BZ238" s="15" t="n">
        <f aca="false">AM238*Ipotesi!$C$87</f>
        <v>1721.98125</v>
      </c>
      <c r="CA238" s="15" t="n">
        <f aca="false">AB238+BJ238+BL238+BN238+BO238+AR238+BP238+BQ238+BR238+BS238+BT238</f>
        <v>190479.618201643</v>
      </c>
      <c r="CB238" s="15" t="n">
        <f aca="false">AC238+BK238+BM238+BH238+BU238+BV238+AS238+BW238+BX238+BY238+BZ238</f>
        <v>70256.0389275</v>
      </c>
      <c r="CC238" s="15" t="n">
        <f aca="false">BI238-CA238</f>
        <v>-82120.6919696693</v>
      </c>
      <c r="CD238" s="15" t="n">
        <f aca="false">AM238-CB238</f>
        <v>-12856.6639275</v>
      </c>
      <c r="CE238" s="15" t="n">
        <f aca="false">INDEX(Ipotesi!$C$79:$G$79,1,F238)/12</f>
        <v>4166.66666666667</v>
      </c>
      <c r="CF238" s="15" t="n">
        <f aca="false">INDEX(Ipotesi!$C$84:$G$84,1,F238)/12</f>
        <v>666.666666666667</v>
      </c>
      <c r="CG238" s="15" t="n">
        <f aca="false">Y238*MAX(0,Parametri_v3!$C$12-IF(P238=0,0,MIN(1,BE238/(P238*Parametri_v3!$C$22))))+W238*Parametri_v3!$C$13+X238*Parametri_v3!$C$14</f>
        <v>38217.7318968233</v>
      </c>
      <c r="CH238" s="15" t="n">
        <f aca="false">AB238*Parametri_v3!$C$32</f>
        <v>5973.86641604167</v>
      </c>
      <c r="CI238" s="15" t="n">
        <f aca="false">AC238*Parametri_v3!$C$32</f>
        <v>2218.19027970833</v>
      </c>
      <c r="CJ238" s="15" t="n">
        <f aca="false">CA238-AB238</f>
        <v>71002.2898808097</v>
      </c>
      <c r="CK238" s="15" t="n">
        <f aca="false">CB238-AC238-BH238</f>
        <v>20152.2958333333</v>
      </c>
      <c r="CL238" s="15" t="n">
        <f aca="false">BF238*Ipotesi!$C$73+INDEX(Ipotesi!$C$72:$G$72,1,F238)/12*Ipotesi!F126*Parametri_v3!$C$58+Z238*(1-Parametri_v3!$C$16)</f>
        <v>13499.3035660579</v>
      </c>
      <c r="CM238" s="16" t="n">
        <f aca="false">IF(BF238=0,0,1-CL238/BF238)</f>
        <v>0.767859708144746</v>
      </c>
    </row>
    <row r="239" customFormat="false" ht="18" hidden="false" customHeight="true" outlineLevel="0" collapsed="false">
      <c r="A239" s="68" t="n">
        <f aca="false">4</f>
        <v>4</v>
      </c>
      <c r="B239" s="68" t="n">
        <f aca="false">55</f>
        <v>55</v>
      </c>
      <c r="C239" s="18" t="n">
        <f aca="false">EDATE(Parametri_v3!$C$5,55-1)</f>
        <v>48030</v>
      </c>
      <c r="D239" s="68" t="n">
        <f aca="false">YEAR(C239)</f>
        <v>2031</v>
      </c>
      <c r="E239" s="68" t="n">
        <f aca="false">MONTH(C239)</f>
        <v>7</v>
      </c>
      <c r="F239" s="68" t="n">
        <f aca="false">INT((55-1)/12)+1</f>
        <v>5</v>
      </c>
      <c r="G239" s="15" t="n">
        <f aca="false">Ipotesi!F7</f>
        <v>0.55</v>
      </c>
      <c r="H239" s="15" t="n">
        <f aca="false">Ipotesi!F9</f>
        <v>0.9</v>
      </c>
      <c r="I239" s="15" t="n">
        <f aca="false">Ipotesi!F10</f>
        <v>1</v>
      </c>
      <c r="J239" s="15" t="n">
        <f aca="false">Ipotesi!F11</f>
        <v>1</v>
      </c>
      <c r="K239" s="15" t="n">
        <f aca="false">Ipotesi!F12</f>
        <v>1</v>
      </c>
      <c r="L239" s="15" t="n">
        <f aca="false">Ipotesi!F13</f>
        <v>120</v>
      </c>
      <c r="M239" s="17" t="n">
        <f aca="false">INDEX(Ipotesi!$C$40:$G$40,1,F239)</f>
        <v>1</v>
      </c>
      <c r="N239" s="17" t="n">
        <f aca="false">INDEX(Ipotesi!$C$41:$G$41,1,F239)</f>
        <v>1</v>
      </c>
      <c r="O239" s="17" t="n">
        <f aca="false">INDEX(Ipotesi!$C$42:$G$42,1,F239)*Ipotesi!F125</f>
        <v>8.5</v>
      </c>
      <c r="P239" s="17" t="n">
        <f aca="false">INDEX(Ipotesi!$C$43:$G$43,1,F239)*I239</f>
        <v>7</v>
      </c>
      <c r="Q239" s="17" t="n">
        <f aca="false">INDEX(Ipotesi!$C$44:$G$44,1,F239)*I239</f>
        <v>6</v>
      </c>
      <c r="R239" s="17" t="n">
        <f aca="false">INDEX(Ipotesi!$C$45:$G$45,1,F239)*I239</f>
        <v>2</v>
      </c>
      <c r="S239" s="17" t="n">
        <f aca="false">INDEX(Ipotesi!$C$52:$G$52,1,F239)*Ipotesi!F125</f>
        <v>9</v>
      </c>
      <c r="T239" s="17" t="n">
        <f aca="false">INDEX(Ipotesi!$C$53:$G$53,1,F239)*I239</f>
        <v>1</v>
      </c>
      <c r="U239" s="17" t="n">
        <f aca="false">INDEX(Ipotesi!$C$54:$G$54,1,F239)*I239</f>
        <v>1</v>
      </c>
      <c r="V239" s="15" t="n">
        <f aca="false">M239*INDEX(Ipotesi!$C$58:$G$58,1,F239)*K239/12</f>
        <v>8333.33333333333</v>
      </c>
      <c r="W239" s="15" t="n">
        <f aca="false">N239*Ipotesi!$C$59*(1+Ipotesi!$C$66)^(F239-1)/12</f>
        <v>6565.46805833334</v>
      </c>
      <c r="X239" s="15" t="n">
        <f aca="false">O239*Ipotesi!$C$60*(1+Ipotesi!$C$66)^(F239-1)/12</f>
        <v>39861.7703541667</v>
      </c>
      <c r="Y239" s="15" t="n">
        <f aca="false">P239*Ipotesi!$C$61*(1+Ipotesi!$C$66)^(F239-1)/12</f>
        <v>32827.3402916667</v>
      </c>
      <c r="Z239" s="15" t="n">
        <f aca="false">Q239*Ipotesi!$C$62*(1+Ipotesi!$C$66)^(F239-1)/12</f>
        <v>25323.948225</v>
      </c>
      <c r="AA239" s="15" t="n">
        <f aca="false">R239*Ipotesi!$C$63*(1+Ipotesi!$C$66)^(F239-1)/12</f>
        <v>6565.46805833334</v>
      </c>
      <c r="AB239" s="15" t="n">
        <f aca="false">SUM(V239:AA239)</f>
        <v>119477.328320833</v>
      </c>
      <c r="AC239" s="15" t="n">
        <f aca="false">(S239*Ipotesi!$C$64+T239*Ipotesi!$C$65+U239*Ipotesi!$C$63)*(1+Ipotesi!$C$66)^(F239-1)/12</f>
        <v>44363.8055941667</v>
      </c>
      <c r="AD239" s="15" t="n">
        <f aca="false">INDEX(Ipotesi!$C$48:$G$48,1,F239)*G239/12</f>
        <v>52.7083333333333</v>
      </c>
      <c r="AE239" s="15" t="n">
        <f aca="false">INDEX(Ipotesi!$C$50:$G$50,1,F239)*G239/12</f>
        <v>5.27083333333333</v>
      </c>
      <c r="AF239" s="15" t="n">
        <f aca="false">(S239*Parametri_v3!$C$7*Parametri_v3!$C$8+Parametri_v3!$C$10)/12</f>
        <v>115.5</v>
      </c>
      <c r="AG239" s="15" t="n">
        <f aca="false">AD239+AE239*(1+Parametri_v3!$C$9)</f>
        <v>60.6145833333333</v>
      </c>
      <c r="AH239" s="16" t="n">
        <f aca="false">IF(AG239=0,1,MIN(1,AF239/AG239))</f>
        <v>1</v>
      </c>
      <c r="AI239" s="15" t="n">
        <f aca="false">AD239*AH239</f>
        <v>52.7083333333333</v>
      </c>
      <c r="AJ239" s="15" t="n">
        <f aca="false">AE239*AH239</f>
        <v>5.27083333333333</v>
      </c>
      <c r="AK239" s="15" t="n">
        <f aca="false">AI239*INDEX(Ipotesi!$C$49:$G$49,1,F239)*H239</f>
        <v>45065.625</v>
      </c>
      <c r="AL239" s="15" t="n">
        <f aca="false">AJ239*INDEX(Ipotesi!$C$51:$G$51,1,F239)*H239</f>
        <v>12333.75</v>
      </c>
      <c r="AM239" s="15" t="n">
        <f aca="false">AK239+AL239</f>
        <v>57399.375</v>
      </c>
      <c r="AN239" s="15" t="n">
        <f aca="false">INDEX(Ipotesi!$C$30:$G$30,1,F239)*G239/12</f>
        <v>44.9166666666667</v>
      </c>
      <c r="AO239" s="15" t="n">
        <f aca="false">O239*Parametri_v3!$C$7*Parametri_v3!$C$11*(1-Parametri_v3!$C$14)/12</f>
        <v>87.2666666666667</v>
      </c>
      <c r="AP239" s="15" t="n">
        <f aca="false">MIN(AN239,AO239)</f>
        <v>44.9166666666667</v>
      </c>
      <c r="AQ239" s="15" t="n">
        <f aca="false">AP239*INDEX(Ipotesi!$C$31:$G$31,1,F239)*H239</f>
        <v>44467.5</v>
      </c>
      <c r="AR239" s="15" t="n">
        <f aca="false">INDEX(Ipotesi!$C$75:$G$75,1,F239)*J239/12</f>
        <v>35833.3333333333</v>
      </c>
      <c r="AS239" s="15" t="n">
        <f aca="false">INDEX(Ipotesi!$C$81:$G$81,1,F239)*J239/12</f>
        <v>2083.33333333333</v>
      </c>
      <c r="AT239" s="15" t="n">
        <f aca="false">AR239*Parametri_v3!$C$15+Z239*Parametri_v3!$C$16</f>
        <v>53560.0970908333</v>
      </c>
      <c r="AU239" s="15" t="n">
        <f aca="false">Q239*Parametri_v3!$C$16*Parametri_v3!$C$17</f>
        <v>420</v>
      </c>
      <c r="AV239" s="17" t="n">
        <f aca="false">BD238</f>
        <v>127.691115219723</v>
      </c>
      <c r="AW239" s="17" t="n">
        <f aca="false">AV239*(1-(1-INDEX(Ipotesi!$C$34:$G$34,1,F239))^(1/12))</f>
        <v>1.11622605162217</v>
      </c>
      <c r="AX239" s="15" t="n">
        <f aca="false">ROUND(INDEX(Ipotesi!$C$32:$G$32,1,F239)*Ipotesi!F8,0)</f>
        <v>196</v>
      </c>
      <c r="AY239" s="15" t="n">
        <f aca="false">MAX(0,(AX239-(AV239-AW239))/(13-E239))</f>
        <v>11.5708518053166</v>
      </c>
      <c r="AZ239" s="15" t="n">
        <f aca="false">MIN(P239*Parametri_v3!$C$22,Q239*(1-Parametri_v3!$C$16)*Parametri_v3!$C$23)</f>
        <v>270</v>
      </c>
      <c r="BA239" s="15" t="n">
        <f aca="false">IF(OR(INDEX(Ipotesi!$C$35:$G$35,1,F239)&lt;=0,55-Parametri_v3!$C$21&lt;1),0,INDEX($AT$185:$AT$244,MAX(1,55-Parametri_v3!$C$21))/(INDEX(Ipotesi!$C$35:$G$35,1,F239)*Ipotesi!F27))</f>
        <v>6.33847302850099</v>
      </c>
      <c r="BB239" s="15" t="n">
        <f aca="false">IF(55-Parametri_v3!$C$21&lt;1,0,INDEX($AU$185:$AU$244,MAX(1,55-Parametri_v3!$C$21)))*Parametri_v3!$C$18*Parametri_v3!$C$19*Parametri_v3!$C$20</f>
        <v>15.75</v>
      </c>
      <c r="BC239" s="17" t="n">
        <f aca="false">MAX(0,MIN(AY239,BA239,BB239,MAX(0,AZ239-(AV239-AW239))))</f>
        <v>6.33847302850099</v>
      </c>
      <c r="BD239" s="17" t="n">
        <f aca="false">AV239-AW239+BC239</f>
        <v>132.913362196602</v>
      </c>
      <c r="BE239" s="17" t="n">
        <f aca="false">(AV239+BD239)/2</f>
        <v>130.302238708162</v>
      </c>
      <c r="BF239" s="15" t="n">
        <f aca="false">BE239*INDEX(Ipotesi!$C$33:$G$33,1,F239)*H239/12</f>
        <v>60590.5409992954</v>
      </c>
      <c r="BG239" s="15" t="n">
        <f aca="false">BD239*INDEX(Ipotesi!$C$33:$G$33,1,F239)*H239</f>
        <v>741656.561057037</v>
      </c>
      <c r="BH239" s="15" t="n">
        <f aca="false">AM239*INDEX(Ipotesi!$C$37:$G$37,1,F239)</f>
        <v>5739.9375</v>
      </c>
      <c r="BI239" s="15" t="n">
        <f aca="false">AQ239+BF239+BH239</f>
        <v>110797.978499295</v>
      </c>
      <c r="BJ239" s="15" t="n">
        <f aca="false">INDEX(Ipotesi!$C$68:$G$68,1,F239)*Ipotesi!$C$69/12</f>
        <v>3333.33333333333</v>
      </c>
      <c r="BK239" s="15" t="n">
        <f aca="false">INDEX(Ipotesi!$C$68:$G$68,1,F239)*(1-Ipotesi!$C$69)/12</f>
        <v>5000</v>
      </c>
      <c r="BL239" s="15" t="n">
        <f aca="false">(AQ239+BF239)*Ipotesi!$C$67</f>
        <v>3151.74122997886</v>
      </c>
      <c r="BM239" s="15" t="n">
        <f aca="false">AM239*Ipotesi!$C$67</f>
        <v>1721.98125</v>
      </c>
      <c r="BN239" s="15" t="n">
        <f aca="false">INDEX(Ipotesi!$C$72:$G$72,1,F239)/12*Ipotesi!F126+BF239*Ipotesi!$C$73</f>
        <v>6097.24327994363</v>
      </c>
      <c r="BO239" s="15" t="n">
        <f aca="false">INDEX(Ipotesi!$C$74:$G$74,1,F239)/12*Ipotesi!F126</f>
        <v>5416.66666666667</v>
      </c>
      <c r="BP239" s="15" t="n">
        <f aca="false">INDEX(Ipotesi!$C$76:$G$76,1,F239)/12</f>
        <v>1916.66666666667</v>
      </c>
      <c r="BQ239" s="15" t="n">
        <f aca="false">INDEX(Ipotesi!$C$77:$G$77,1,F239)/12*Ipotesi!F126</f>
        <v>2500</v>
      </c>
      <c r="BR239" s="15" t="n">
        <f aca="false">INDEX(Ipotesi!$C$78:$G$78,1,F239)/12</f>
        <v>2333.33333333333</v>
      </c>
      <c r="BS239" s="15" t="n">
        <f aca="false">SUM(M239:R239)*(Ipotesi!$C$85+Ipotesi!$C$86)/12</f>
        <v>7437.5</v>
      </c>
      <c r="BT239" s="15" t="n">
        <f aca="false">BI239*Ipotesi!$C$87</f>
        <v>3323.93935497886</v>
      </c>
      <c r="BU239" s="15" t="n">
        <f aca="false">INDEX(Ipotesi!$C$55:$G$55,1,F239)*K239/12</f>
        <v>2000</v>
      </c>
      <c r="BV239" s="15" t="n">
        <f aca="false">INDEX(Ipotesi!$C$80:$G$80,1,F239)/12*Ipotesi!F126</f>
        <v>2083.33333333333</v>
      </c>
      <c r="BW239" s="15" t="n">
        <f aca="false">INDEX(Ipotesi!$C$82:$G$82,1,F239)/12</f>
        <v>1500</v>
      </c>
      <c r="BX239" s="15" t="n">
        <f aca="false">INDEX(Ipotesi!$C$83:$G$83,1,F239)/12</f>
        <v>833.333333333333</v>
      </c>
      <c r="BY239" s="15" t="n">
        <f aca="false">SUM(S239:U239)*(Ipotesi!$C$85+Ipotesi!$C$86)/12</f>
        <v>3208.33333333333</v>
      </c>
      <c r="BZ239" s="15" t="n">
        <f aca="false">AM239*Ipotesi!$C$87</f>
        <v>1721.98125</v>
      </c>
      <c r="CA239" s="15" t="n">
        <f aca="false">AB239+BJ239+BL239+BN239+BO239+AR239+BP239+BQ239+BR239+BS239+BT239</f>
        <v>190821.085519068</v>
      </c>
      <c r="CB239" s="15" t="n">
        <f aca="false">AC239+BK239+BM239+BH239+BU239+BV239+AS239+BW239+BX239+BY239+BZ239</f>
        <v>70256.0389275</v>
      </c>
      <c r="CC239" s="15" t="n">
        <f aca="false">BI239-CA239</f>
        <v>-80023.1070197726</v>
      </c>
      <c r="CD239" s="15" t="n">
        <f aca="false">AM239-CB239</f>
        <v>-12856.6639275</v>
      </c>
      <c r="CE239" s="15" t="n">
        <f aca="false">INDEX(Ipotesi!$C$79:$G$79,1,F239)/12</f>
        <v>4166.66666666667</v>
      </c>
      <c r="CF239" s="15" t="n">
        <f aca="false">INDEX(Ipotesi!$C$84:$G$84,1,F239)/12</f>
        <v>666.666666666667</v>
      </c>
      <c r="CG239" s="15" t="n">
        <f aca="false">Y239*MAX(0,Parametri_v3!$C$12-IF(P239=0,0,MIN(1,BE239/(P239*Parametri_v3!$C$22))))+W239*Parametri_v3!$C$13+X239*Parametri_v3!$C$14</f>
        <v>37971.7484904684</v>
      </c>
      <c r="CH239" s="15" t="n">
        <f aca="false">AB239*Parametri_v3!$C$32</f>
        <v>5973.86641604167</v>
      </c>
      <c r="CI239" s="15" t="n">
        <f aca="false">AC239*Parametri_v3!$C$32</f>
        <v>2218.19027970833</v>
      </c>
      <c r="CJ239" s="15" t="n">
        <f aca="false">CA239-AB239</f>
        <v>71343.7571982347</v>
      </c>
      <c r="CK239" s="15" t="n">
        <f aca="false">CB239-AC239-BH239</f>
        <v>20152.2958333333</v>
      </c>
      <c r="CL239" s="15" t="n">
        <f aca="false">BF239*Ipotesi!$C$73+INDEX(Ipotesi!$C$72:$G$72,1,F239)/12*Ipotesi!F126*Parametri_v3!$C$58+Z239*(1-Parametri_v3!$C$16)</f>
        <v>13694.4277474436</v>
      </c>
      <c r="CM239" s="16" t="n">
        <f aca="false">IF(BF239=0,0,1-CL239/BF239)</f>
        <v>0.773984065473142</v>
      </c>
    </row>
    <row r="240" customFormat="false" ht="18" hidden="false" customHeight="true" outlineLevel="0" collapsed="false">
      <c r="A240" s="68" t="n">
        <f aca="false">4</f>
        <v>4</v>
      </c>
      <c r="B240" s="68" t="n">
        <f aca="false">56</f>
        <v>56</v>
      </c>
      <c r="C240" s="18" t="n">
        <f aca="false">EDATE(Parametri_v3!$C$5,56-1)</f>
        <v>48061</v>
      </c>
      <c r="D240" s="68" t="n">
        <f aca="false">YEAR(C240)</f>
        <v>2031</v>
      </c>
      <c r="E240" s="68" t="n">
        <f aca="false">MONTH(C240)</f>
        <v>8</v>
      </c>
      <c r="F240" s="68" t="n">
        <f aca="false">INT((56-1)/12)+1</f>
        <v>5</v>
      </c>
      <c r="G240" s="15" t="n">
        <f aca="false">Ipotesi!F7</f>
        <v>0.55</v>
      </c>
      <c r="H240" s="15" t="n">
        <f aca="false">Ipotesi!F9</f>
        <v>0.9</v>
      </c>
      <c r="I240" s="15" t="n">
        <f aca="false">Ipotesi!F10</f>
        <v>1</v>
      </c>
      <c r="J240" s="15" t="n">
        <f aca="false">Ipotesi!F11</f>
        <v>1</v>
      </c>
      <c r="K240" s="15" t="n">
        <f aca="false">Ipotesi!F12</f>
        <v>1</v>
      </c>
      <c r="L240" s="15" t="n">
        <f aca="false">Ipotesi!F13</f>
        <v>120</v>
      </c>
      <c r="M240" s="17" t="n">
        <f aca="false">INDEX(Ipotesi!$C$40:$G$40,1,F240)</f>
        <v>1</v>
      </c>
      <c r="N240" s="17" t="n">
        <f aca="false">INDEX(Ipotesi!$C$41:$G$41,1,F240)</f>
        <v>1</v>
      </c>
      <c r="O240" s="17" t="n">
        <f aca="false">INDEX(Ipotesi!$C$42:$G$42,1,F240)*Ipotesi!F125</f>
        <v>8.5</v>
      </c>
      <c r="P240" s="17" t="n">
        <f aca="false">INDEX(Ipotesi!$C$43:$G$43,1,F240)*I240</f>
        <v>7</v>
      </c>
      <c r="Q240" s="17" t="n">
        <f aca="false">INDEX(Ipotesi!$C$44:$G$44,1,F240)*I240</f>
        <v>6</v>
      </c>
      <c r="R240" s="17" t="n">
        <f aca="false">INDEX(Ipotesi!$C$45:$G$45,1,F240)*I240</f>
        <v>2</v>
      </c>
      <c r="S240" s="17" t="n">
        <f aca="false">INDEX(Ipotesi!$C$52:$G$52,1,F240)*Ipotesi!F125</f>
        <v>9</v>
      </c>
      <c r="T240" s="17" t="n">
        <f aca="false">INDEX(Ipotesi!$C$53:$G$53,1,F240)*I240</f>
        <v>1</v>
      </c>
      <c r="U240" s="17" t="n">
        <f aca="false">INDEX(Ipotesi!$C$54:$G$54,1,F240)*I240</f>
        <v>1</v>
      </c>
      <c r="V240" s="15" t="n">
        <f aca="false">M240*INDEX(Ipotesi!$C$58:$G$58,1,F240)*K240/12</f>
        <v>8333.33333333333</v>
      </c>
      <c r="W240" s="15" t="n">
        <f aca="false">N240*Ipotesi!$C$59*(1+Ipotesi!$C$66)^(F240-1)/12</f>
        <v>6565.46805833334</v>
      </c>
      <c r="X240" s="15" t="n">
        <f aca="false">O240*Ipotesi!$C$60*(1+Ipotesi!$C$66)^(F240-1)/12</f>
        <v>39861.7703541667</v>
      </c>
      <c r="Y240" s="15" t="n">
        <f aca="false">P240*Ipotesi!$C$61*(1+Ipotesi!$C$66)^(F240-1)/12</f>
        <v>32827.3402916667</v>
      </c>
      <c r="Z240" s="15" t="n">
        <f aca="false">Q240*Ipotesi!$C$62*(1+Ipotesi!$C$66)^(F240-1)/12</f>
        <v>25323.948225</v>
      </c>
      <c r="AA240" s="15" t="n">
        <f aca="false">R240*Ipotesi!$C$63*(1+Ipotesi!$C$66)^(F240-1)/12</f>
        <v>6565.46805833334</v>
      </c>
      <c r="AB240" s="15" t="n">
        <f aca="false">SUM(V240:AA240)</f>
        <v>119477.328320833</v>
      </c>
      <c r="AC240" s="15" t="n">
        <f aca="false">(S240*Ipotesi!$C$64+T240*Ipotesi!$C$65+U240*Ipotesi!$C$63)*(1+Ipotesi!$C$66)^(F240-1)/12</f>
        <v>44363.8055941667</v>
      </c>
      <c r="AD240" s="15" t="n">
        <f aca="false">INDEX(Ipotesi!$C$48:$G$48,1,F240)*G240/12</f>
        <v>52.7083333333333</v>
      </c>
      <c r="AE240" s="15" t="n">
        <f aca="false">INDEX(Ipotesi!$C$50:$G$50,1,F240)*G240/12</f>
        <v>5.27083333333333</v>
      </c>
      <c r="AF240" s="15" t="n">
        <f aca="false">(S240*Parametri_v3!$C$7*Parametri_v3!$C$8+Parametri_v3!$C$10)/12</f>
        <v>115.5</v>
      </c>
      <c r="AG240" s="15" t="n">
        <f aca="false">AD240+AE240*(1+Parametri_v3!$C$9)</f>
        <v>60.6145833333333</v>
      </c>
      <c r="AH240" s="16" t="n">
        <f aca="false">IF(AG240=0,1,MIN(1,AF240/AG240))</f>
        <v>1</v>
      </c>
      <c r="AI240" s="15" t="n">
        <f aca="false">AD240*AH240</f>
        <v>52.7083333333333</v>
      </c>
      <c r="AJ240" s="15" t="n">
        <f aca="false">AE240*AH240</f>
        <v>5.27083333333333</v>
      </c>
      <c r="AK240" s="15" t="n">
        <f aca="false">AI240*INDEX(Ipotesi!$C$49:$G$49,1,F240)*H240</f>
        <v>45065.625</v>
      </c>
      <c r="AL240" s="15" t="n">
        <f aca="false">AJ240*INDEX(Ipotesi!$C$51:$G$51,1,F240)*H240</f>
        <v>12333.75</v>
      </c>
      <c r="AM240" s="15" t="n">
        <f aca="false">AK240+AL240</f>
        <v>57399.375</v>
      </c>
      <c r="AN240" s="15" t="n">
        <f aca="false">INDEX(Ipotesi!$C$30:$G$30,1,F240)*G240/12</f>
        <v>44.9166666666667</v>
      </c>
      <c r="AO240" s="15" t="n">
        <f aca="false">O240*Parametri_v3!$C$7*Parametri_v3!$C$11*(1-Parametri_v3!$C$14)/12</f>
        <v>87.2666666666667</v>
      </c>
      <c r="AP240" s="15" t="n">
        <f aca="false">MIN(AN240,AO240)</f>
        <v>44.9166666666667</v>
      </c>
      <c r="AQ240" s="15" t="n">
        <f aca="false">AP240*INDEX(Ipotesi!$C$31:$G$31,1,F240)*H240</f>
        <v>44467.5</v>
      </c>
      <c r="AR240" s="15" t="n">
        <f aca="false">INDEX(Ipotesi!$C$75:$G$75,1,F240)*J240/12</f>
        <v>35833.3333333333</v>
      </c>
      <c r="AS240" s="15" t="n">
        <f aca="false">INDEX(Ipotesi!$C$81:$G$81,1,F240)*J240/12</f>
        <v>2083.33333333333</v>
      </c>
      <c r="AT240" s="15" t="n">
        <f aca="false">AR240*Parametri_v3!$C$15+Z240*Parametri_v3!$C$16</f>
        <v>53560.0970908333</v>
      </c>
      <c r="AU240" s="15" t="n">
        <f aca="false">Q240*Parametri_v3!$C$16*Parametri_v3!$C$17</f>
        <v>420</v>
      </c>
      <c r="AV240" s="17" t="n">
        <f aca="false">BD239</f>
        <v>132.913362196602</v>
      </c>
      <c r="AW240" s="17" t="n">
        <f aca="false">AV240*(1-(1-INDEX(Ipotesi!$C$34:$G$34,1,F240))^(1/12))</f>
        <v>1.16187690300339</v>
      </c>
      <c r="AX240" s="15" t="n">
        <f aca="false">ROUND(INDEX(Ipotesi!$C$32:$G$32,1,F240)*Ipotesi!F8,0)</f>
        <v>196</v>
      </c>
      <c r="AY240" s="15" t="n">
        <f aca="false">MAX(0,(AX240-(AV240-AW240))/(13-E240))</f>
        <v>12.8497029412804</v>
      </c>
      <c r="AZ240" s="15" t="n">
        <f aca="false">MIN(P240*Parametri_v3!$C$22,Q240*(1-Parametri_v3!$C$16)*Parametri_v3!$C$23)</f>
        <v>270</v>
      </c>
      <c r="BA240" s="15" t="n">
        <f aca="false">IF(OR(INDEX(Ipotesi!$C$35:$G$35,1,F240)&lt;=0,56-Parametri_v3!$C$21&lt;1),0,INDEX($AT$185:$AT$244,MAX(1,56-Parametri_v3!$C$21))/(INDEX(Ipotesi!$C$35:$G$35,1,F240)*Ipotesi!F27))</f>
        <v>6.33847302850099</v>
      </c>
      <c r="BB240" s="15" t="n">
        <f aca="false">IF(56-Parametri_v3!$C$21&lt;1,0,INDEX($AU$185:$AU$244,MAX(1,56-Parametri_v3!$C$21)))*Parametri_v3!$C$18*Parametri_v3!$C$19*Parametri_v3!$C$20</f>
        <v>15.75</v>
      </c>
      <c r="BC240" s="17" t="n">
        <f aca="false">MAX(0,MIN(AY240,BA240,BB240,MAX(0,AZ240-(AV240-AW240))))</f>
        <v>6.33847302850099</v>
      </c>
      <c r="BD240" s="17" t="n">
        <f aca="false">AV240-AW240+BC240</f>
        <v>138.089958322099</v>
      </c>
      <c r="BE240" s="17" t="n">
        <f aca="false">(AV240+BD240)/2</f>
        <v>135.50166025935</v>
      </c>
      <c r="BF240" s="15" t="n">
        <f aca="false">BE240*INDEX(Ipotesi!$C$33:$G$33,1,F240)*H240/12</f>
        <v>63008.2720205979</v>
      </c>
      <c r="BG240" s="15" t="n">
        <f aca="false">BD240*INDEX(Ipotesi!$C$33:$G$33,1,F240)*H240</f>
        <v>770541.967437314</v>
      </c>
      <c r="BH240" s="15" t="n">
        <f aca="false">AM240*INDEX(Ipotesi!$C$37:$G$37,1,F240)</f>
        <v>5739.9375</v>
      </c>
      <c r="BI240" s="15" t="n">
        <f aca="false">AQ240+BF240+BH240</f>
        <v>113215.709520598</v>
      </c>
      <c r="BJ240" s="15" t="n">
        <f aca="false">INDEX(Ipotesi!$C$68:$G$68,1,F240)*Ipotesi!$C$69/12</f>
        <v>3333.33333333333</v>
      </c>
      <c r="BK240" s="15" t="n">
        <f aca="false">INDEX(Ipotesi!$C$68:$G$68,1,F240)*(1-Ipotesi!$C$69)/12</f>
        <v>5000</v>
      </c>
      <c r="BL240" s="15" t="n">
        <f aca="false">(AQ240+BF240)*Ipotesi!$C$67</f>
        <v>3224.27316061794</v>
      </c>
      <c r="BM240" s="15" t="n">
        <f aca="false">AM240*Ipotesi!$C$67</f>
        <v>1721.98125</v>
      </c>
      <c r="BN240" s="15" t="n">
        <f aca="false">INDEX(Ipotesi!$C$72:$G$72,1,F240)/12*Ipotesi!F126+BF240*Ipotesi!$C$73</f>
        <v>6290.66176164784</v>
      </c>
      <c r="BO240" s="15" t="n">
        <f aca="false">INDEX(Ipotesi!$C$74:$G$74,1,F240)/12*Ipotesi!F126</f>
        <v>5416.66666666667</v>
      </c>
      <c r="BP240" s="15" t="n">
        <f aca="false">INDEX(Ipotesi!$C$76:$G$76,1,F240)/12</f>
        <v>1916.66666666667</v>
      </c>
      <c r="BQ240" s="15" t="n">
        <f aca="false">INDEX(Ipotesi!$C$77:$G$77,1,F240)/12*Ipotesi!F126</f>
        <v>2500</v>
      </c>
      <c r="BR240" s="15" t="n">
        <f aca="false">INDEX(Ipotesi!$C$78:$G$78,1,F240)/12</f>
        <v>2333.33333333333</v>
      </c>
      <c r="BS240" s="15" t="n">
        <f aca="false">SUM(M240:R240)*(Ipotesi!$C$85+Ipotesi!$C$86)/12</f>
        <v>7437.5</v>
      </c>
      <c r="BT240" s="15" t="n">
        <f aca="false">BI240*Ipotesi!$C$87</f>
        <v>3396.47128561794</v>
      </c>
      <c r="BU240" s="15" t="n">
        <f aca="false">INDEX(Ipotesi!$C$55:$G$55,1,F240)*K240/12</f>
        <v>2000</v>
      </c>
      <c r="BV240" s="15" t="n">
        <f aca="false">INDEX(Ipotesi!$C$80:$G$80,1,F240)/12*Ipotesi!F126</f>
        <v>2083.33333333333</v>
      </c>
      <c r="BW240" s="15" t="n">
        <f aca="false">INDEX(Ipotesi!$C$82:$G$82,1,F240)/12</f>
        <v>1500</v>
      </c>
      <c r="BX240" s="15" t="n">
        <f aca="false">INDEX(Ipotesi!$C$83:$G$83,1,F240)/12</f>
        <v>833.333333333333</v>
      </c>
      <c r="BY240" s="15" t="n">
        <f aca="false">SUM(S240:U240)*(Ipotesi!$C$85+Ipotesi!$C$86)/12</f>
        <v>3208.33333333333</v>
      </c>
      <c r="BZ240" s="15" t="n">
        <f aca="false">AM240*Ipotesi!$C$87</f>
        <v>1721.98125</v>
      </c>
      <c r="CA240" s="15" t="n">
        <f aca="false">AB240+BJ240+BL240+BN240+BO240+AR240+BP240+BQ240+BR240+BS240+BT240</f>
        <v>191159.56786205</v>
      </c>
      <c r="CB240" s="15" t="n">
        <f aca="false">AC240+BK240+BM240+BH240+BU240+BV240+AS240+BW240+BX240+BY240+BZ240</f>
        <v>70256.0389275</v>
      </c>
      <c r="CC240" s="15" t="n">
        <f aca="false">BI240-CA240</f>
        <v>-77943.8583414525</v>
      </c>
      <c r="CD240" s="15" t="n">
        <f aca="false">AM240-CB240</f>
        <v>-12856.6639275</v>
      </c>
      <c r="CE240" s="15" t="n">
        <f aca="false">INDEX(Ipotesi!$C$79:$G$79,1,F240)/12</f>
        <v>4166.66666666667</v>
      </c>
      <c r="CF240" s="15" t="n">
        <f aca="false">INDEX(Ipotesi!$C$84:$G$84,1,F240)/12</f>
        <v>666.666666666667</v>
      </c>
      <c r="CG240" s="15" t="n">
        <f aca="false">Y240*MAX(0,Parametri_v3!$C$12-IF(P240=0,0,MIN(1,BE240/(P240*Parametri_v3!$C$22))))+W240*Parametri_v3!$C$13+X240*Parametri_v3!$C$14</f>
        <v>37727.9153753531</v>
      </c>
      <c r="CH240" s="15" t="n">
        <f aca="false">AB240*Parametri_v3!$C$32</f>
        <v>5973.86641604167</v>
      </c>
      <c r="CI240" s="15" t="n">
        <f aca="false">AC240*Parametri_v3!$C$32</f>
        <v>2218.19027970833</v>
      </c>
      <c r="CJ240" s="15" t="n">
        <f aca="false">CA240-AB240</f>
        <v>71682.239541217</v>
      </c>
      <c r="CK240" s="15" t="n">
        <f aca="false">CB240-AC240-BH240</f>
        <v>20152.2958333333</v>
      </c>
      <c r="CL240" s="15" t="n">
        <f aca="false">BF240*Ipotesi!$C$73+INDEX(Ipotesi!$C$72:$G$72,1,F240)/12*Ipotesi!F126*Parametri_v3!$C$58+Z240*(1-Parametri_v3!$C$16)</f>
        <v>13887.8462291478</v>
      </c>
      <c r="CM240" s="16" t="n">
        <f aca="false">IF(BF240=0,0,1-CL240/BF240)</f>
        <v>0.779586937019828</v>
      </c>
    </row>
    <row r="241" customFormat="false" ht="18" hidden="false" customHeight="true" outlineLevel="0" collapsed="false">
      <c r="A241" s="68" t="n">
        <f aca="false">4</f>
        <v>4</v>
      </c>
      <c r="B241" s="68" t="n">
        <f aca="false">57</f>
        <v>57</v>
      </c>
      <c r="C241" s="18" t="n">
        <f aca="false">EDATE(Parametri_v3!$C$5,57-1)</f>
        <v>48092</v>
      </c>
      <c r="D241" s="68" t="n">
        <f aca="false">YEAR(C241)</f>
        <v>2031</v>
      </c>
      <c r="E241" s="68" t="n">
        <f aca="false">MONTH(C241)</f>
        <v>9</v>
      </c>
      <c r="F241" s="68" t="n">
        <f aca="false">INT((57-1)/12)+1</f>
        <v>5</v>
      </c>
      <c r="G241" s="15" t="n">
        <f aca="false">Ipotesi!F7</f>
        <v>0.55</v>
      </c>
      <c r="H241" s="15" t="n">
        <f aca="false">Ipotesi!F9</f>
        <v>0.9</v>
      </c>
      <c r="I241" s="15" t="n">
        <f aca="false">Ipotesi!F10</f>
        <v>1</v>
      </c>
      <c r="J241" s="15" t="n">
        <f aca="false">Ipotesi!F11</f>
        <v>1</v>
      </c>
      <c r="K241" s="15" t="n">
        <f aca="false">Ipotesi!F12</f>
        <v>1</v>
      </c>
      <c r="L241" s="15" t="n">
        <f aca="false">Ipotesi!F13</f>
        <v>120</v>
      </c>
      <c r="M241" s="17" t="n">
        <f aca="false">INDEX(Ipotesi!$C$40:$G$40,1,F241)</f>
        <v>1</v>
      </c>
      <c r="N241" s="17" t="n">
        <f aca="false">INDEX(Ipotesi!$C$41:$G$41,1,F241)</f>
        <v>1</v>
      </c>
      <c r="O241" s="17" t="n">
        <f aca="false">INDEX(Ipotesi!$C$42:$G$42,1,F241)*Ipotesi!F125</f>
        <v>8.5</v>
      </c>
      <c r="P241" s="17" t="n">
        <f aca="false">INDEX(Ipotesi!$C$43:$G$43,1,F241)*I241</f>
        <v>7</v>
      </c>
      <c r="Q241" s="17" t="n">
        <f aca="false">INDEX(Ipotesi!$C$44:$G$44,1,F241)*I241</f>
        <v>6</v>
      </c>
      <c r="R241" s="17" t="n">
        <f aca="false">INDEX(Ipotesi!$C$45:$G$45,1,F241)*I241</f>
        <v>2</v>
      </c>
      <c r="S241" s="17" t="n">
        <f aca="false">INDEX(Ipotesi!$C$52:$G$52,1,F241)*Ipotesi!F125</f>
        <v>9</v>
      </c>
      <c r="T241" s="17" t="n">
        <f aca="false">INDEX(Ipotesi!$C$53:$G$53,1,F241)*I241</f>
        <v>1</v>
      </c>
      <c r="U241" s="17" t="n">
        <f aca="false">INDEX(Ipotesi!$C$54:$G$54,1,F241)*I241</f>
        <v>1</v>
      </c>
      <c r="V241" s="15" t="n">
        <f aca="false">M241*INDEX(Ipotesi!$C$58:$G$58,1,F241)*K241/12</f>
        <v>8333.33333333333</v>
      </c>
      <c r="W241" s="15" t="n">
        <f aca="false">N241*Ipotesi!$C$59*(1+Ipotesi!$C$66)^(F241-1)/12</f>
        <v>6565.46805833334</v>
      </c>
      <c r="X241" s="15" t="n">
        <f aca="false">O241*Ipotesi!$C$60*(1+Ipotesi!$C$66)^(F241-1)/12</f>
        <v>39861.7703541667</v>
      </c>
      <c r="Y241" s="15" t="n">
        <f aca="false">P241*Ipotesi!$C$61*(1+Ipotesi!$C$66)^(F241-1)/12</f>
        <v>32827.3402916667</v>
      </c>
      <c r="Z241" s="15" t="n">
        <f aca="false">Q241*Ipotesi!$C$62*(1+Ipotesi!$C$66)^(F241-1)/12</f>
        <v>25323.948225</v>
      </c>
      <c r="AA241" s="15" t="n">
        <f aca="false">R241*Ipotesi!$C$63*(1+Ipotesi!$C$66)^(F241-1)/12</f>
        <v>6565.46805833334</v>
      </c>
      <c r="AB241" s="15" t="n">
        <f aca="false">SUM(V241:AA241)</f>
        <v>119477.328320833</v>
      </c>
      <c r="AC241" s="15" t="n">
        <f aca="false">(S241*Ipotesi!$C$64+T241*Ipotesi!$C$65+U241*Ipotesi!$C$63)*(1+Ipotesi!$C$66)^(F241-1)/12</f>
        <v>44363.8055941667</v>
      </c>
      <c r="AD241" s="15" t="n">
        <f aca="false">INDEX(Ipotesi!$C$48:$G$48,1,F241)*G241/12</f>
        <v>52.7083333333333</v>
      </c>
      <c r="AE241" s="15" t="n">
        <f aca="false">INDEX(Ipotesi!$C$50:$G$50,1,F241)*G241/12</f>
        <v>5.27083333333333</v>
      </c>
      <c r="AF241" s="15" t="n">
        <f aca="false">(S241*Parametri_v3!$C$7*Parametri_v3!$C$8+Parametri_v3!$C$10)/12</f>
        <v>115.5</v>
      </c>
      <c r="AG241" s="15" t="n">
        <f aca="false">AD241+AE241*(1+Parametri_v3!$C$9)</f>
        <v>60.6145833333333</v>
      </c>
      <c r="AH241" s="16" t="n">
        <f aca="false">IF(AG241=0,1,MIN(1,AF241/AG241))</f>
        <v>1</v>
      </c>
      <c r="AI241" s="15" t="n">
        <f aca="false">AD241*AH241</f>
        <v>52.7083333333333</v>
      </c>
      <c r="AJ241" s="15" t="n">
        <f aca="false">AE241*AH241</f>
        <v>5.27083333333333</v>
      </c>
      <c r="AK241" s="15" t="n">
        <f aca="false">AI241*INDEX(Ipotesi!$C$49:$G$49,1,F241)*H241</f>
        <v>45065.625</v>
      </c>
      <c r="AL241" s="15" t="n">
        <f aca="false">AJ241*INDEX(Ipotesi!$C$51:$G$51,1,F241)*H241</f>
        <v>12333.75</v>
      </c>
      <c r="AM241" s="15" t="n">
        <f aca="false">AK241+AL241</f>
        <v>57399.375</v>
      </c>
      <c r="AN241" s="15" t="n">
        <f aca="false">INDEX(Ipotesi!$C$30:$G$30,1,F241)*G241/12</f>
        <v>44.9166666666667</v>
      </c>
      <c r="AO241" s="15" t="n">
        <f aca="false">O241*Parametri_v3!$C$7*Parametri_v3!$C$11*(1-Parametri_v3!$C$14)/12</f>
        <v>87.2666666666667</v>
      </c>
      <c r="AP241" s="15" t="n">
        <f aca="false">MIN(AN241,AO241)</f>
        <v>44.9166666666667</v>
      </c>
      <c r="AQ241" s="15" t="n">
        <f aca="false">AP241*INDEX(Ipotesi!$C$31:$G$31,1,F241)*H241</f>
        <v>44467.5</v>
      </c>
      <c r="AR241" s="15" t="n">
        <f aca="false">INDEX(Ipotesi!$C$75:$G$75,1,F241)*J241/12</f>
        <v>35833.3333333333</v>
      </c>
      <c r="AS241" s="15" t="n">
        <f aca="false">INDEX(Ipotesi!$C$81:$G$81,1,F241)*J241/12</f>
        <v>2083.33333333333</v>
      </c>
      <c r="AT241" s="15" t="n">
        <f aca="false">AR241*Parametri_v3!$C$15+Z241*Parametri_v3!$C$16</f>
        <v>53560.0970908333</v>
      </c>
      <c r="AU241" s="15" t="n">
        <f aca="false">Q241*Parametri_v3!$C$16*Parametri_v3!$C$17</f>
        <v>420</v>
      </c>
      <c r="AV241" s="17" t="n">
        <f aca="false">BD240</f>
        <v>138.089958322099</v>
      </c>
      <c r="AW241" s="17" t="n">
        <f aca="false">AV241*(1-(1-INDEX(Ipotesi!$C$34:$G$34,1,F241))^(1/12))</f>
        <v>1.20712869240208</v>
      </c>
      <c r="AX241" s="15" t="n">
        <f aca="false">ROUND(INDEX(Ipotesi!$C$32:$G$32,1,F241)*Ipotesi!F8,0)</f>
        <v>196</v>
      </c>
      <c r="AY241" s="15" t="n">
        <f aca="false">MAX(0,(AX241-(AV241-AW241))/(13-E241))</f>
        <v>14.7792925925757</v>
      </c>
      <c r="AZ241" s="15" t="n">
        <f aca="false">MIN(P241*Parametri_v3!$C$22,Q241*(1-Parametri_v3!$C$16)*Parametri_v3!$C$23)</f>
        <v>270</v>
      </c>
      <c r="BA241" s="15" t="n">
        <f aca="false">IF(OR(INDEX(Ipotesi!$C$35:$G$35,1,F241)&lt;=0,57-Parametri_v3!$C$21&lt;1),0,INDEX($AT$185:$AT$244,MAX(1,57-Parametri_v3!$C$21))/(INDEX(Ipotesi!$C$35:$G$35,1,F241)*Ipotesi!F27))</f>
        <v>6.33847302850099</v>
      </c>
      <c r="BB241" s="15" t="n">
        <f aca="false">IF(57-Parametri_v3!$C$21&lt;1,0,INDEX($AU$185:$AU$244,MAX(1,57-Parametri_v3!$C$21)))*Parametri_v3!$C$18*Parametri_v3!$C$19*Parametri_v3!$C$20</f>
        <v>15.75</v>
      </c>
      <c r="BC241" s="17" t="n">
        <f aca="false">MAX(0,MIN(AY241,BA241,BB241,MAX(0,AZ241-(AV241-AW241))))</f>
        <v>6.33847302850099</v>
      </c>
      <c r="BD241" s="17" t="n">
        <f aca="false">AV241-AW241+BC241</f>
        <v>143.221302658198</v>
      </c>
      <c r="BE241" s="17" t="n">
        <f aca="false">(AV241+BD241)/2</f>
        <v>140.655630490149</v>
      </c>
      <c r="BF241" s="15" t="n">
        <f aca="false">BE241*INDEX(Ipotesi!$C$33:$G$33,1,F241)*H241/12</f>
        <v>65404.8681779191</v>
      </c>
      <c r="BG241" s="15" t="n">
        <f aca="false">BD241*INDEX(Ipotesi!$C$33:$G$33,1,F241)*H241</f>
        <v>799174.868832746</v>
      </c>
      <c r="BH241" s="15" t="n">
        <f aca="false">AM241*INDEX(Ipotesi!$C$37:$G$37,1,F241)</f>
        <v>5739.9375</v>
      </c>
      <c r="BI241" s="15" t="n">
        <f aca="false">AQ241+BF241+BH241</f>
        <v>115612.305677919</v>
      </c>
      <c r="BJ241" s="15" t="n">
        <f aca="false">INDEX(Ipotesi!$C$68:$G$68,1,F241)*Ipotesi!$C$69/12</f>
        <v>3333.33333333333</v>
      </c>
      <c r="BK241" s="15" t="n">
        <f aca="false">INDEX(Ipotesi!$C$68:$G$68,1,F241)*(1-Ipotesi!$C$69)/12</f>
        <v>5000</v>
      </c>
      <c r="BL241" s="15" t="n">
        <f aca="false">(AQ241+BF241)*Ipotesi!$C$67</f>
        <v>3296.17104533757</v>
      </c>
      <c r="BM241" s="15" t="n">
        <f aca="false">AM241*Ipotesi!$C$67</f>
        <v>1721.98125</v>
      </c>
      <c r="BN241" s="15" t="n">
        <f aca="false">INDEX(Ipotesi!$C$72:$G$72,1,F241)/12*Ipotesi!F126+BF241*Ipotesi!$C$73</f>
        <v>6482.38945423353</v>
      </c>
      <c r="BO241" s="15" t="n">
        <f aca="false">INDEX(Ipotesi!$C$74:$G$74,1,F241)/12*Ipotesi!F126</f>
        <v>5416.66666666667</v>
      </c>
      <c r="BP241" s="15" t="n">
        <f aca="false">INDEX(Ipotesi!$C$76:$G$76,1,F241)/12</f>
        <v>1916.66666666667</v>
      </c>
      <c r="BQ241" s="15" t="n">
        <f aca="false">INDEX(Ipotesi!$C$77:$G$77,1,F241)/12*Ipotesi!F126</f>
        <v>2500</v>
      </c>
      <c r="BR241" s="15" t="n">
        <f aca="false">INDEX(Ipotesi!$C$78:$G$78,1,F241)/12</f>
        <v>2333.33333333333</v>
      </c>
      <c r="BS241" s="15" t="n">
        <f aca="false">SUM(M241:R241)*(Ipotesi!$C$85+Ipotesi!$C$86)/12</f>
        <v>7437.5</v>
      </c>
      <c r="BT241" s="15" t="n">
        <f aca="false">BI241*Ipotesi!$C$87</f>
        <v>3468.36917033757</v>
      </c>
      <c r="BU241" s="15" t="n">
        <f aca="false">INDEX(Ipotesi!$C$55:$G$55,1,F241)*K241/12</f>
        <v>2000</v>
      </c>
      <c r="BV241" s="15" t="n">
        <f aca="false">INDEX(Ipotesi!$C$80:$G$80,1,F241)/12*Ipotesi!F126</f>
        <v>2083.33333333333</v>
      </c>
      <c r="BW241" s="15" t="n">
        <f aca="false">INDEX(Ipotesi!$C$82:$G$82,1,F241)/12</f>
        <v>1500</v>
      </c>
      <c r="BX241" s="15" t="n">
        <f aca="false">INDEX(Ipotesi!$C$83:$G$83,1,F241)/12</f>
        <v>833.333333333333</v>
      </c>
      <c r="BY241" s="15" t="n">
        <f aca="false">SUM(S241:U241)*(Ipotesi!$C$85+Ipotesi!$C$86)/12</f>
        <v>3208.33333333333</v>
      </c>
      <c r="BZ241" s="15" t="n">
        <f aca="false">AM241*Ipotesi!$C$87</f>
        <v>1721.98125</v>
      </c>
      <c r="CA241" s="15" t="n">
        <f aca="false">AB241+BJ241+BL241+BN241+BO241+AR241+BP241+BQ241+BR241+BS241+BT241</f>
        <v>191495.091324075</v>
      </c>
      <c r="CB241" s="15" t="n">
        <f aca="false">AC241+BK241+BM241+BH241+BU241+BV241+AS241+BW241+BX241+BY241+BZ241</f>
        <v>70256.0389275</v>
      </c>
      <c r="CC241" s="15" t="n">
        <f aca="false">BI241-CA241</f>
        <v>-75882.7856461562</v>
      </c>
      <c r="CD241" s="15" t="n">
        <f aca="false">AM241-CB241</f>
        <v>-12856.6639275</v>
      </c>
      <c r="CE241" s="15" t="n">
        <f aca="false">INDEX(Ipotesi!$C$79:$G$79,1,F241)/12</f>
        <v>4166.66666666667</v>
      </c>
      <c r="CF241" s="15" t="n">
        <f aca="false">INDEX(Ipotesi!$C$84:$G$84,1,F241)/12</f>
        <v>666.666666666667</v>
      </c>
      <c r="CG241" s="15" t="n">
        <f aca="false">Y241*MAX(0,Parametri_v3!$C$12-IF(P241=0,0,MIN(1,BE241/(P241*Parametri_v3!$C$22))))+W241*Parametri_v3!$C$13+X241*Parametri_v3!$C$14</f>
        <v>37486.2137544681</v>
      </c>
      <c r="CH241" s="15" t="n">
        <f aca="false">AB241*Parametri_v3!$C$32</f>
        <v>5973.86641604167</v>
      </c>
      <c r="CI241" s="15" t="n">
        <f aca="false">AC241*Parametri_v3!$C$32</f>
        <v>2218.19027970833</v>
      </c>
      <c r="CJ241" s="15" t="n">
        <f aca="false">CA241-AB241</f>
        <v>72017.763003242</v>
      </c>
      <c r="CK241" s="15" t="n">
        <f aca="false">CB241-AC241-BH241</f>
        <v>20152.2958333333</v>
      </c>
      <c r="CL241" s="15" t="n">
        <f aca="false">BF241*Ipotesi!$C$73+INDEX(Ipotesi!$C$72:$G$72,1,F241)/12*Ipotesi!F126*Parametri_v3!$C$58+Z241*(1-Parametri_v3!$C$16)</f>
        <v>14079.5739217335</v>
      </c>
      <c r="CM241" s="16" t="n">
        <f aca="false">IF(BF241=0,0,1-CL241/BF241)</f>
        <v>0.78473201897704</v>
      </c>
    </row>
    <row r="242" customFormat="false" ht="18" hidden="false" customHeight="true" outlineLevel="0" collapsed="false">
      <c r="A242" s="68" t="n">
        <f aca="false">4</f>
        <v>4</v>
      </c>
      <c r="B242" s="68" t="n">
        <f aca="false">58</f>
        <v>58</v>
      </c>
      <c r="C242" s="18" t="n">
        <f aca="false">EDATE(Parametri_v3!$C$5,58-1)</f>
        <v>48122</v>
      </c>
      <c r="D242" s="68" t="n">
        <f aca="false">YEAR(C242)</f>
        <v>2031</v>
      </c>
      <c r="E242" s="68" t="n">
        <f aca="false">MONTH(C242)</f>
        <v>10</v>
      </c>
      <c r="F242" s="68" t="n">
        <f aca="false">INT((58-1)/12)+1</f>
        <v>5</v>
      </c>
      <c r="G242" s="15" t="n">
        <f aca="false">Ipotesi!F7</f>
        <v>0.55</v>
      </c>
      <c r="H242" s="15" t="n">
        <f aca="false">Ipotesi!F9</f>
        <v>0.9</v>
      </c>
      <c r="I242" s="15" t="n">
        <f aca="false">Ipotesi!F10</f>
        <v>1</v>
      </c>
      <c r="J242" s="15" t="n">
        <f aca="false">Ipotesi!F11</f>
        <v>1</v>
      </c>
      <c r="K242" s="15" t="n">
        <f aca="false">Ipotesi!F12</f>
        <v>1</v>
      </c>
      <c r="L242" s="15" t="n">
        <f aca="false">Ipotesi!F13</f>
        <v>120</v>
      </c>
      <c r="M242" s="17" t="n">
        <f aca="false">INDEX(Ipotesi!$C$40:$G$40,1,F242)</f>
        <v>1</v>
      </c>
      <c r="N242" s="17" t="n">
        <f aca="false">INDEX(Ipotesi!$C$41:$G$41,1,F242)</f>
        <v>1</v>
      </c>
      <c r="O242" s="17" t="n">
        <f aca="false">INDEX(Ipotesi!$C$42:$G$42,1,F242)*Ipotesi!F125</f>
        <v>8.5</v>
      </c>
      <c r="P242" s="17" t="n">
        <f aca="false">INDEX(Ipotesi!$C$43:$G$43,1,F242)*I242</f>
        <v>7</v>
      </c>
      <c r="Q242" s="17" t="n">
        <f aca="false">INDEX(Ipotesi!$C$44:$G$44,1,F242)*I242</f>
        <v>6</v>
      </c>
      <c r="R242" s="17" t="n">
        <f aca="false">INDEX(Ipotesi!$C$45:$G$45,1,F242)*I242</f>
        <v>2</v>
      </c>
      <c r="S242" s="17" t="n">
        <f aca="false">INDEX(Ipotesi!$C$52:$G$52,1,F242)*Ipotesi!F125</f>
        <v>9</v>
      </c>
      <c r="T242" s="17" t="n">
        <f aca="false">INDEX(Ipotesi!$C$53:$G$53,1,F242)*I242</f>
        <v>1</v>
      </c>
      <c r="U242" s="17" t="n">
        <f aca="false">INDEX(Ipotesi!$C$54:$G$54,1,F242)*I242</f>
        <v>1</v>
      </c>
      <c r="V242" s="15" t="n">
        <f aca="false">M242*INDEX(Ipotesi!$C$58:$G$58,1,F242)*K242/12</f>
        <v>8333.33333333333</v>
      </c>
      <c r="W242" s="15" t="n">
        <f aca="false">N242*Ipotesi!$C$59*(1+Ipotesi!$C$66)^(F242-1)/12</f>
        <v>6565.46805833334</v>
      </c>
      <c r="X242" s="15" t="n">
        <f aca="false">O242*Ipotesi!$C$60*(1+Ipotesi!$C$66)^(F242-1)/12</f>
        <v>39861.7703541667</v>
      </c>
      <c r="Y242" s="15" t="n">
        <f aca="false">P242*Ipotesi!$C$61*(1+Ipotesi!$C$66)^(F242-1)/12</f>
        <v>32827.3402916667</v>
      </c>
      <c r="Z242" s="15" t="n">
        <f aca="false">Q242*Ipotesi!$C$62*(1+Ipotesi!$C$66)^(F242-1)/12</f>
        <v>25323.948225</v>
      </c>
      <c r="AA242" s="15" t="n">
        <f aca="false">R242*Ipotesi!$C$63*(1+Ipotesi!$C$66)^(F242-1)/12</f>
        <v>6565.46805833334</v>
      </c>
      <c r="AB242" s="15" t="n">
        <f aca="false">SUM(V242:AA242)</f>
        <v>119477.328320833</v>
      </c>
      <c r="AC242" s="15" t="n">
        <f aca="false">(S242*Ipotesi!$C$64+T242*Ipotesi!$C$65+U242*Ipotesi!$C$63)*(1+Ipotesi!$C$66)^(F242-1)/12</f>
        <v>44363.8055941667</v>
      </c>
      <c r="AD242" s="15" t="n">
        <f aca="false">INDEX(Ipotesi!$C$48:$G$48,1,F242)*G242/12</f>
        <v>52.7083333333333</v>
      </c>
      <c r="AE242" s="15" t="n">
        <f aca="false">INDEX(Ipotesi!$C$50:$G$50,1,F242)*G242/12</f>
        <v>5.27083333333333</v>
      </c>
      <c r="AF242" s="15" t="n">
        <f aca="false">(S242*Parametri_v3!$C$7*Parametri_v3!$C$8+Parametri_v3!$C$10)/12</f>
        <v>115.5</v>
      </c>
      <c r="AG242" s="15" t="n">
        <f aca="false">AD242+AE242*(1+Parametri_v3!$C$9)</f>
        <v>60.6145833333333</v>
      </c>
      <c r="AH242" s="16" t="n">
        <f aca="false">IF(AG242=0,1,MIN(1,AF242/AG242))</f>
        <v>1</v>
      </c>
      <c r="AI242" s="15" t="n">
        <f aca="false">AD242*AH242</f>
        <v>52.7083333333333</v>
      </c>
      <c r="AJ242" s="15" t="n">
        <f aca="false">AE242*AH242</f>
        <v>5.27083333333333</v>
      </c>
      <c r="AK242" s="15" t="n">
        <f aca="false">AI242*INDEX(Ipotesi!$C$49:$G$49,1,F242)*H242</f>
        <v>45065.625</v>
      </c>
      <c r="AL242" s="15" t="n">
        <f aca="false">AJ242*INDEX(Ipotesi!$C$51:$G$51,1,F242)*H242</f>
        <v>12333.75</v>
      </c>
      <c r="AM242" s="15" t="n">
        <f aca="false">AK242+AL242</f>
        <v>57399.375</v>
      </c>
      <c r="AN242" s="15" t="n">
        <f aca="false">INDEX(Ipotesi!$C$30:$G$30,1,F242)*G242/12</f>
        <v>44.9166666666667</v>
      </c>
      <c r="AO242" s="15" t="n">
        <f aca="false">O242*Parametri_v3!$C$7*Parametri_v3!$C$11*(1-Parametri_v3!$C$14)/12</f>
        <v>87.2666666666667</v>
      </c>
      <c r="AP242" s="15" t="n">
        <f aca="false">MIN(AN242,AO242)</f>
        <v>44.9166666666667</v>
      </c>
      <c r="AQ242" s="15" t="n">
        <f aca="false">AP242*INDEX(Ipotesi!$C$31:$G$31,1,F242)*H242</f>
        <v>44467.5</v>
      </c>
      <c r="AR242" s="15" t="n">
        <f aca="false">INDEX(Ipotesi!$C$75:$G$75,1,F242)*J242/12</f>
        <v>35833.3333333333</v>
      </c>
      <c r="AS242" s="15" t="n">
        <f aca="false">INDEX(Ipotesi!$C$81:$G$81,1,F242)*J242/12</f>
        <v>2083.33333333333</v>
      </c>
      <c r="AT242" s="15" t="n">
        <f aca="false">AR242*Parametri_v3!$C$15+Z242*Parametri_v3!$C$16</f>
        <v>53560.0970908333</v>
      </c>
      <c r="AU242" s="15" t="n">
        <f aca="false">Q242*Parametri_v3!$C$16*Parametri_v3!$C$17</f>
        <v>420</v>
      </c>
      <c r="AV242" s="17" t="n">
        <f aca="false">BD241</f>
        <v>143.221302658198</v>
      </c>
      <c r="AW242" s="17" t="n">
        <f aca="false">AV242*(1-(1-INDEX(Ipotesi!$C$34:$G$34,1,F242))^(1/12))</f>
        <v>1.25198490826284</v>
      </c>
      <c r="AX242" s="15" t="n">
        <f aca="false">ROUND(INDEX(Ipotesi!$C$32:$G$32,1,F242)*Ipotesi!F8,0)</f>
        <v>196</v>
      </c>
      <c r="AY242" s="15" t="n">
        <f aca="false">MAX(0,(AX242-(AV242-AW242))/(13-E242))</f>
        <v>18.0102274166882</v>
      </c>
      <c r="AZ242" s="15" t="n">
        <f aca="false">MIN(P242*Parametri_v3!$C$22,Q242*(1-Parametri_v3!$C$16)*Parametri_v3!$C$23)</f>
        <v>270</v>
      </c>
      <c r="BA242" s="15" t="n">
        <f aca="false">IF(OR(INDEX(Ipotesi!$C$35:$G$35,1,F242)&lt;=0,58-Parametri_v3!$C$21&lt;1),0,INDEX($AT$185:$AT$244,MAX(1,58-Parametri_v3!$C$21))/(INDEX(Ipotesi!$C$35:$G$35,1,F242)*Ipotesi!F27))</f>
        <v>6.33847302850099</v>
      </c>
      <c r="BB242" s="15" t="n">
        <f aca="false">IF(58-Parametri_v3!$C$21&lt;1,0,INDEX($AU$185:$AU$244,MAX(1,58-Parametri_v3!$C$21)))*Parametri_v3!$C$18*Parametri_v3!$C$19*Parametri_v3!$C$20</f>
        <v>15.75</v>
      </c>
      <c r="BC242" s="17" t="n">
        <f aca="false">MAX(0,MIN(AY242,BA242,BB242,MAX(0,AZ242-(AV242-AW242))))</f>
        <v>6.33847302850099</v>
      </c>
      <c r="BD242" s="17" t="n">
        <f aca="false">AV242-AW242+BC242</f>
        <v>148.307790778436</v>
      </c>
      <c r="BE242" s="17" t="n">
        <f aca="false">(AV242+BD242)/2</f>
        <v>145.764546718317</v>
      </c>
      <c r="BF242" s="15" t="n">
        <f aca="false">BE242*INDEX(Ipotesi!$C$33:$G$33,1,F242)*H242/12</f>
        <v>67780.5142240175</v>
      </c>
      <c r="BG242" s="15" t="n">
        <f aca="false">BD242*INDEX(Ipotesi!$C$33:$G$33,1,F242)*H242</f>
        <v>827557.472543674</v>
      </c>
      <c r="BH242" s="15" t="n">
        <f aca="false">AM242*INDEX(Ipotesi!$C$37:$G$37,1,F242)</f>
        <v>5739.9375</v>
      </c>
      <c r="BI242" s="15" t="n">
        <f aca="false">AQ242+BF242+BH242</f>
        <v>117987.951724018</v>
      </c>
      <c r="BJ242" s="15" t="n">
        <f aca="false">INDEX(Ipotesi!$C$68:$G$68,1,F242)*Ipotesi!$C$69/12</f>
        <v>3333.33333333333</v>
      </c>
      <c r="BK242" s="15" t="n">
        <f aca="false">INDEX(Ipotesi!$C$68:$G$68,1,F242)*(1-Ipotesi!$C$69)/12</f>
        <v>5000</v>
      </c>
      <c r="BL242" s="15" t="n">
        <f aca="false">(AQ242+BF242)*Ipotesi!$C$67</f>
        <v>3367.44042672053</v>
      </c>
      <c r="BM242" s="15" t="n">
        <f aca="false">AM242*Ipotesi!$C$67</f>
        <v>1721.98125</v>
      </c>
      <c r="BN242" s="15" t="n">
        <f aca="false">INDEX(Ipotesi!$C$72:$G$72,1,F242)/12*Ipotesi!F126+BF242*Ipotesi!$C$73</f>
        <v>6672.4411379214</v>
      </c>
      <c r="BO242" s="15" t="n">
        <f aca="false">INDEX(Ipotesi!$C$74:$G$74,1,F242)/12*Ipotesi!F126</f>
        <v>5416.66666666667</v>
      </c>
      <c r="BP242" s="15" t="n">
        <f aca="false">INDEX(Ipotesi!$C$76:$G$76,1,F242)/12</f>
        <v>1916.66666666667</v>
      </c>
      <c r="BQ242" s="15" t="n">
        <f aca="false">INDEX(Ipotesi!$C$77:$G$77,1,F242)/12*Ipotesi!F126</f>
        <v>2500</v>
      </c>
      <c r="BR242" s="15" t="n">
        <f aca="false">INDEX(Ipotesi!$C$78:$G$78,1,F242)/12</f>
        <v>2333.33333333333</v>
      </c>
      <c r="BS242" s="15" t="n">
        <f aca="false">SUM(M242:R242)*(Ipotesi!$C$85+Ipotesi!$C$86)/12</f>
        <v>7437.5</v>
      </c>
      <c r="BT242" s="15" t="n">
        <f aca="false">BI242*Ipotesi!$C$87</f>
        <v>3539.63855172053</v>
      </c>
      <c r="BU242" s="15" t="n">
        <f aca="false">INDEX(Ipotesi!$C$55:$G$55,1,F242)*K242/12</f>
        <v>2000</v>
      </c>
      <c r="BV242" s="15" t="n">
        <f aca="false">INDEX(Ipotesi!$C$80:$G$80,1,F242)/12*Ipotesi!F126</f>
        <v>2083.33333333333</v>
      </c>
      <c r="BW242" s="15" t="n">
        <f aca="false">INDEX(Ipotesi!$C$82:$G$82,1,F242)/12</f>
        <v>1500</v>
      </c>
      <c r="BX242" s="15" t="n">
        <f aca="false">INDEX(Ipotesi!$C$83:$G$83,1,F242)/12</f>
        <v>833.333333333333</v>
      </c>
      <c r="BY242" s="15" t="n">
        <f aca="false">SUM(S242:U242)*(Ipotesi!$C$85+Ipotesi!$C$86)/12</f>
        <v>3208.33333333333</v>
      </c>
      <c r="BZ242" s="15" t="n">
        <f aca="false">AM242*Ipotesi!$C$87</f>
        <v>1721.98125</v>
      </c>
      <c r="CA242" s="15" t="n">
        <f aca="false">AB242+BJ242+BL242+BN242+BO242+AR242+BP242+BQ242+BR242+BS242+BT242</f>
        <v>191827.681770529</v>
      </c>
      <c r="CB242" s="15" t="n">
        <f aca="false">AC242+BK242+BM242+BH242+BU242+BV242+AS242+BW242+BX242+BY242+BZ242</f>
        <v>70256.0389275</v>
      </c>
      <c r="CC242" s="15" t="n">
        <f aca="false">BI242-CA242</f>
        <v>-73839.7300465117</v>
      </c>
      <c r="CD242" s="15" t="n">
        <f aca="false">AM242-CB242</f>
        <v>-12856.6639275</v>
      </c>
      <c r="CE242" s="15" t="n">
        <f aca="false">INDEX(Ipotesi!$C$79:$G$79,1,F242)/12</f>
        <v>4166.66666666667</v>
      </c>
      <c r="CF242" s="15" t="n">
        <f aca="false">INDEX(Ipotesi!$C$84:$G$84,1,F242)/12</f>
        <v>666.666666666667</v>
      </c>
      <c r="CG242" s="15" t="n">
        <f aca="false">Y242*MAX(0,Parametri_v3!$C$12-IF(P242=0,0,MIN(1,BE242/(P242*Parametri_v3!$C$22))))+W242*Parametri_v3!$C$13+X242*Parametri_v3!$C$14</f>
        <v>37246.6249951199</v>
      </c>
      <c r="CH242" s="15" t="n">
        <f aca="false">AB242*Parametri_v3!$C$32</f>
        <v>5973.86641604167</v>
      </c>
      <c r="CI242" s="15" t="n">
        <f aca="false">AC242*Parametri_v3!$C$32</f>
        <v>2218.19027970833</v>
      </c>
      <c r="CJ242" s="15" t="n">
        <f aca="false">CA242-AB242</f>
        <v>72350.3534496958</v>
      </c>
      <c r="CK242" s="15" t="n">
        <f aca="false">CB242-AC242-BH242</f>
        <v>20152.2958333333</v>
      </c>
      <c r="CL242" s="15" t="n">
        <f aca="false">BF242*Ipotesi!$C$73+INDEX(Ipotesi!$C$72:$G$72,1,F242)/12*Ipotesi!F126*Parametri_v3!$C$58+Z242*(1-Parametri_v3!$C$16)</f>
        <v>14269.6256054214</v>
      </c>
      <c r="CM242" s="16" t="n">
        <f aca="false">IF(BF242=0,0,1-CL242/BF242)</f>
        <v>0.789473040020622</v>
      </c>
    </row>
    <row r="243" customFormat="false" ht="18" hidden="false" customHeight="true" outlineLevel="0" collapsed="false">
      <c r="A243" s="68" t="n">
        <f aca="false">4</f>
        <v>4</v>
      </c>
      <c r="B243" s="68" t="n">
        <f aca="false">59</f>
        <v>59</v>
      </c>
      <c r="C243" s="18" t="n">
        <f aca="false">EDATE(Parametri_v3!$C$5,59-1)</f>
        <v>48153</v>
      </c>
      <c r="D243" s="68" t="n">
        <f aca="false">YEAR(C243)</f>
        <v>2031</v>
      </c>
      <c r="E243" s="68" t="n">
        <f aca="false">MONTH(C243)</f>
        <v>11</v>
      </c>
      <c r="F243" s="68" t="n">
        <f aca="false">INT((59-1)/12)+1</f>
        <v>5</v>
      </c>
      <c r="G243" s="15" t="n">
        <f aca="false">Ipotesi!F7</f>
        <v>0.55</v>
      </c>
      <c r="H243" s="15" t="n">
        <f aca="false">Ipotesi!F9</f>
        <v>0.9</v>
      </c>
      <c r="I243" s="15" t="n">
        <f aca="false">Ipotesi!F10</f>
        <v>1</v>
      </c>
      <c r="J243" s="15" t="n">
        <f aca="false">Ipotesi!F11</f>
        <v>1</v>
      </c>
      <c r="K243" s="15" t="n">
        <f aca="false">Ipotesi!F12</f>
        <v>1</v>
      </c>
      <c r="L243" s="15" t="n">
        <f aca="false">Ipotesi!F13</f>
        <v>120</v>
      </c>
      <c r="M243" s="17" t="n">
        <f aca="false">INDEX(Ipotesi!$C$40:$G$40,1,F243)</f>
        <v>1</v>
      </c>
      <c r="N243" s="17" t="n">
        <f aca="false">INDEX(Ipotesi!$C$41:$G$41,1,F243)</f>
        <v>1</v>
      </c>
      <c r="O243" s="17" t="n">
        <f aca="false">INDEX(Ipotesi!$C$42:$G$42,1,F243)*Ipotesi!F125</f>
        <v>8.5</v>
      </c>
      <c r="P243" s="17" t="n">
        <f aca="false">INDEX(Ipotesi!$C$43:$G$43,1,F243)*I243</f>
        <v>7</v>
      </c>
      <c r="Q243" s="17" t="n">
        <f aca="false">INDEX(Ipotesi!$C$44:$G$44,1,F243)*I243</f>
        <v>6</v>
      </c>
      <c r="R243" s="17" t="n">
        <f aca="false">INDEX(Ipotesi!$C$45:$G$45,1,F243)*I243</f>
        <v>2</v>
      </c>
      <c r="S243" s="17" t="n">
        <f aca="false">INDEX(Ipotesi!$C$52:$G$52,1,F243)*Ipotesi!F125</f>
        <v>9</v>
      </c>
      <c r="T243" s="17" t="n">
        <f aca="false">INDEX(Ipotesi!$C$53:$G$53,1,F243)*I243</f>
        <v>1</v>
      </c>
      <c r="U243" s="17" t="n">
        <f aca="false">INDEX(Ipotesi!$C$54:$G$54,1,F243)*I243</f>
        <v>1</v>
      </c>
      <c r="V243" s="15" t="n">
        <f aca="false">M243*INDEX(Ipotesi!$C$58:$G$58,1,F243)*K243/12</f>
        <v>8333.33333333333</v>
      </c>
      <c r="W243" s="15" t="n">
        <f aca="false">N243*Ipotesi!$C$59*(1+Ipotesi!$C$66)^(F243-1)/12</f>
        <v>6565.46805833334</v>
      </c>
      <c r="X243" s="15" t="n">
        <f aca="false">O243*Ipotesi!$C$60*(1+Ipotesi!$C$66)^(F243-1)/12</f>
        <v>39861.7703541667</v>
      </c>
      <c r="Y243" s="15" t="n">
        <f aca="false">P243*Ipotesi!$C$61*(1+Ipotesi!$C$66)^(F243-1)/12</f>
        <v>32827.3402916667</v>
      </c>
      <c r="Z243" s="15" t="n">
        <f aca="false">Q243*Ipotesi!$C$62*(1+Ipotesi!$C$66)^(F243-1)/12</f>
        <v>25323.948225</v>
      </c>
      <c r="AA243" s="15" t="n">
        <f aca="false">R243*Ipotesi!$C$63*(1+Ipotesi!$C$66)^(F243-1)/12</f>
        <v>6565.46805833334</v>
      </c>
      <c r="AB243" s="15" t="n">
        <f aca="false">SUM(V243:AA243)</f>
        <v>119477.328320833</v>
      </c>
      <c r="AC243" s="15" t="n">
        <f aca="false">(S243*Ipotesi!$C$64+T243*Ipotesi!$C$65+U243*Ipotesi!$C$63)*(1+Ipotesi!$C$66)^(F243-1)/12</f>
        <v>44363.8055941667</v>
      </c>
      <c r="AD243" s="15" t="n">
        <f aca="false">INDEX(Ipotesi!$C$48:$G$48,1,F243)*G243/12</f>
        <v>52.7083333333333</v>
      </c>
      <c r="AE243" s="15" t="n">
        <f aca="false">INDEX(Ipotesi!$C$50:$G$50,1,F243)*G243/12</f>
        <v>5.27083333333333</v>
      </c>
      <c r="AF243" s="15" t="n">
        <f aca="false">(S243*Parametri_v3!$C$7*Parametri_v3!$C$8+Parametri_v3!$C$10)/12</f>
        <v>115.5</v>
      </c>
      <c r="AG243" s="15" t="n">
        <f aca="false">AD243+AE243*(1+Parametri_v3!$C$9)</f>
        <v>60.6145833333333</v>
      </c>
      <c r="AH243" s="16" t="n">
        <f aca="false">IF(AG243=0,1,MIN(1,AF243/AG243))</f>
        <v>1</v>
      </c>
      <c r="AI243" s="15" t="n">
        <f aca="false">AD243*AH243</f>
        <v>52.7083333333333</v>
      </c>
      <c r="AJ243" s="15" t="n">
        <f aca="false">AE243*AH243</f>
        <v>5.27083333333333</v>
      </c>
      <c r="AK243" s="15" t="n">
        <f aca="false">AI243*INDEX(Ipotesi!$C$49:$G$49,1,F243)*H243</f>
        <v>45065.625</v>
      </c>
      <c r="AL243" s="15" t="n">
        <f aca="false">AJ243*INDEX(Ipotesi!$C$51:$G$51,1,F243)*H243</f>
        <v>12333.75</v>
      </c>
      <c r="AM243" s="15" t="n">
        <f aca="false">AK243+AL243</f>
        <v>57399.375</v>
      </c>
      <c r="AN243" s="15" t="n">
        <f aca="false">INDEX(Ipotesi!$C$30:$G$30,1,F243)*G243/12</f>
        <v>44.9166666666667</v>
      </c>
      <c r="AO243" s="15" t="n">
        <f aca="false">O243*Parametri_v3!$C$7*Parametri_v3!$C$11*(1-Parametri_v3!$C$14)/12</f>
        <v>87.2666666666667</v>
      </c>
      <c r="AP243" s="15" t="n">
        <f aca="false">MIN(AN243,AO243)</f>
        <v>44.9166666666667</v>
      </c>
      <c r="AQ243" s="15" t="n">
        <f aca="false">AP243*INDEX(Ipotesi!$C$31:$G$31,1,F243)*H243</f>
        <v>44467.5</v>
      </c>
      <c r="AR243" s="15" t="n">
        <f aca="false">INDEX(Ipotesi!$C$75:$G$75,1,F243)*J243/12</f>
        <v>35833.3333333333</v>
      </c>
      <c r="AS243" s="15" t="n">
        <f aca="false">INDEX(Ipotesi!$C$81:$G$81,1,F243)*J243/12</f>
        <v>2083.33333333333</v>
      </c>
      <c r="AT243" s="15" t="n">
        <f aca="false">AR243*Parametri_v3!$C$15+Z243*Parametri_v3!$C$16</f>
        <v>53560.0970908333</v>
      </c>
      <c r="AU243" s="15" t="n">
        <f aca="false">Q243*Parametri_v3!$C$16*Parametri_v3!$C$17</f>
        <v>420</v>
      </c>
      <c r="AV243" s="17" t="n">
        <f aca="false">BD242</f>
        <v>148.307790778436</v>
      </c>
      <c r="AW243" s="17" t="n">
        <f aca="false">AV243*(1-(1-INDEX(Ipotesi!$C$34:$G$34,1,F243))^(1/12))</f>
        <v>1.29644900853565</v>
      </c>
      <c r="AX243" s="15" t="n">
        <f aca="false">ROUND(INDEX(Ipotesi!$C$32:$G$32,1,F243)*Ipotesi!F8,0)</f>
        <v>196</v>
      </c>
      <c r="AY243" s="15" t="n">
        <f aca="false">MAX(0,(AX243-(AV243-AW243))/(13-E243))</f>
        <v>24.4943291150497</v>
      </c>
      <c r="AZ243" s="15" t="n">
        <f aca="false">MIN(P243*Parametri_v3!$C$22,Q243*(1-Parametri_v3!$C$16)*Parametri_v3!$C$23)</f>
        <v>270</v>
      </c>
      <c r="BA243" s="15" t="n">
        <f aca="false">IF(OR(INDEX(Ipotesi!$C$35:$G$35,1,F243)&lt;=0,59-Parametri_v3!$C$21&lt;1),0,INDEX($AT$185:$AT$244,MAX(1,59-Parametri_v3!$C$21))/(INDEX(Ipotesi!$C$35:$G$35,1,F243)*Ipotesi!F27))</f>
        <v>6.33847302850099</v>
      </c>
      <c r="BB243" s="15" t="n">
        <f aca="false">IF(59-Parametri_v3!$C$21&lt;1,0,INDEX($AU$185:$AU$244,MAX(1,59-Parametri_v3!$C$21)))*Parametri_v3!$C$18*Parametri_v3!$C$19*Parametri_v3!$C$20</f>
        <v>15.75</v>
      </c>
      <c r="BC243" s="17" t="n">
        <f aca="false">MAX(0,MIN(AY243,BA243,BB243,MAX(0,AZ243-(AV243-AW243))))</f>
        <v>6.33847302850099</v>
      </c>
      <c r="BD243" s="17" t="n">
        <f aca="false">AV243-AW243+BC243</f>
        <v>153.349814798402</v>
      </c>
      <c r="BE243" s="17" t="n">
        <f aca="false">(AV243+BD243)/2</f>
        <v>150.828802788419</v>
      </c>
      <c r="BF243" s="15" t="n">
        <f aca="false">BE243*INDEX(Ipotesi!$C$33:$G$33,1,F243)*H243/12</f>
        <v>70135.3932966148</v>
      </c>
      <c r="BG243" s="15" t="n">
        <f aca="false">BD243*INDEX(Ipotesi!$C$33:$G$33,1,F243)*H243</f>
        <v>855691.966575081</v>
      </c>
      <c r="BH243" s="15" t="n">
        <f aca="false">AM243*INDEX(Ipotesi!$C$37:$G$37,1,F243)</f>
        <v>5739.9375</v>
      </c>
      <c r="BI243" s="15" t="n">
        <f aca="false">AQ243+BF243+BH243</f>
        <v>120342.830796615</v>
      </c>
      <c r="BJ243" s="15" t="n">
        <f aca="false">INDEX(Ipotesi!$C$68:$G$68,1,F243)*Ipotesi!$C$69/12</f>
        <v>3333.33333333333</v>
      </c>
      <c r="BK243" s="15" t="n">
        <f aca="false">INDEX(Ipotesi!$C$68:$G$68,1,F243)*(1-Ipotesi!$C$69)/12</f>
        <v>5000</v>
      </c>
      <c r="BL243" s="15" t="n">
        <f aca="false">(AQ243+BF243)*Ipotesi!$C$67</f>
        <v>3438.08679889844</v>
      </c>
      <c r="BM243" s="15" t="n">
        <f aca="false">AM243*Ipotesi!$C$67</f>
        <v>1721.98125</v>
      </c>
      <c r="BN243" s="15" t="n">
        <f aca="false">INDEX(Ipotesi!$C$72:$G$72,1,F243)/12*Ipotesi!F126+BF243*Ipotesi!$C$73</f>
        <v>6860.83146372919</v>
      </c>
      <c r="BO243" s="15" t="n">
        <f aca="false">INDEX(Ipotesi!$C$74:$G$74,1,F243)/12*Ipotesi!F126</f>
        <v>5416.66666666667</v>
      </c>
      <c r="BP243" s="15" t="n">
        <f aca="false">INDEX(Ipotesi!$C$76:$G$76,1,F243)/12</f>
        <v>1916.66666666667</v>
      </c>
      <c r="BQ243" s="15" t="n">
        <f aca="false">INDEX(Ipotesi!$C$77:$G$77,1,F243)/12*Ipotesi!F126</f>
        <v>2500</v>
      </c>
      <c r="BR243" s="15" t="n">
        <f aca="false">INDEX(Ipotesi!$C$78:$G$78,1,F243)/12</f>
        <v>2333.33333333333</v>
      </c>
      <c r="BS243" s="15" t="n">
        <f aca="false">SUM(M243:R243)*(Ipotesi!$C$85+Ipotesi!$C$86)/12</f>
        <v>7437.5</v>
      </c>
      <c r="BT243" s="15" t="n">
        <f aca="false">BI243*Ipotesi!$C$87</f>
        <v>3610.28492389844</v>
      </c>
      <c r="BU243" s="15" t="n">
        <f aca="false">INDEX(Ipotesi!$C$55:$G$55,1,F243)*K243/12</f>
        <v>2000</v>
      </c>
      <c r="BV243" s="15" t="n">
        <f aca="false">INDEX(Ipotesi!$C$80:$G$80,1,F243)/12*Ipotesi!F126</f>
        <v>2083.33333333333</v>
      </c>
      <c r="BW243" s="15" t="n">
        <f aca="false">INDEX(Ipotesi!$C$82:$G$82,1,F243)/12</f>
        <v>1500</v>
      </c>
      <c r="BX243" s="15" t="n">
        <f aca="false">INDEX(Ipotesi!$C$83:$G$83,1,F243)/12</f>
        <v>833.333333333333</v>
      </c>
      <c r="BY243" s="15" t="n">
        <f aca="false">SUM(S243:U243)*(Ipotesi!$C$85+Ipotesi!$C$86)/12</f>
        <v>3208.33333333333</v>
      </c>
      <c r="BZ243" s="15" t="n">
        <f aca="false">AM243*Ipotesi!$C$87</f>
        <v>1721.98125</v>
      </c>
      <c r="CA243" s="15" t="n">
        <f aca="false">AB243+BJ243+BL243+BN243+BO243+AR243+BP243+BQ243+BR243+BS243+BT243</f>
        <v>192157.364840693</v>
      </c>
      <c r="CB243" s="15" t="n">
        <f aca="false">AC243+BK243+BM243+BH243+BU243+BV243+AS243+BW243+BX243+BY243+BZ243</f>
        <v>70256.0389275</v>
      </c>
      <c r="CC243" s="15" t="n">
        <f aca="false">BI243-CA243</f>
        <v>-71814.5340440779</v>
      </c>
      <c r="CD243" s="15" t="n">
        <f aca="false">AM243-CB243</f>
        <v>-12856.6639275</v>
      </c>
      <c r="CE243" s="15" t="n">
        <f aca="false">INDEX(Ipotesi!$C$79:$G$79,1,F243)/12</f>
        <v>4166.66666666667</v>
      </c>
      <c r="CF243" s="15" t="n">
        <f aca="false">INDEX(Ipotesi!$C$84:$G$84,1,F243)/12</f>
        <v>666.666666666667</v>
      </c>
      <c r="CG243" s="15" t="n">
        <f aca="false">Y243*MAX(0,Parametri_v3!$C$12-IF(P243=0,0,MIN(1,BE243/(P243*Parametri_v3!$C$22))))+W243*Parametri_v3!$C$13+X243*Parametri_v3!$C$14</f>
        <v>37009.1306274951</v>
      </c>
      <c r="CH243" s="15" t="n">
        <f aca="false">AB243*Parametri_v3!$C$32</f>
        <v>5973.86641604167</v>
      </c>
      <c r="CI243" s="15" t="n">
        <f aca="false">AC243*Parametri_v3!$C$32</f>
        <v>2218.19027970833</v>
      </c>
      <c r="CJ243" s="15" t="n">
        <f aca="false">CA243-AB243</f>
        <v>72680.0365198594</v>
      </c>
      <c r="CK243" s="15" t="n">
        <f aca="false">CB243-AC243-BH243</f>
        <v>20152.2958333333</v>
      </c>
      <c r="CL243" s="15" t="n">
        <f aca="false">BF243*Ipotesi!$C$73+INDEX(Ipotesi!$C$72:$G$72,1,F243)/12*Ipotesi!F126*Parametri_v3!$C$58+Z243*(1-Parametri_v3!$C$16)</f>
        <v>14458.0159312292</v>
      </c>
      <c r="CM243" s="16" t="n">
        <f aca="false">IF(BF243=0,0,1-CL243/BF243)</f>
        <v>0.793855637622452</v>
      </c>
    </row>
    <row r="244" customFormat="false" ht="18" hidden="false" customHeight="true" outlineLevel="0" collapsed="false">
      <c r="A244" s="68" t="n">
        <f aca="false">4</f>
        <v>4</v>
      </c>
      <c r="B244" s="68" t="n">
        <f aca="false">60</f>
        <v>60</v>
      </c>
      <c r="C244" s="18" t="n">
        <f aca="false">EDATE(Parametri_v3!$C$5,60-1)</f>
        <v>48183</v>
      </c>
      <c r="D244" s="68" t="n">
        <f aca="false">YEAR(C244)</f>
        <v>2031</v>
      </c>
      <c r="E244" s="68" t="n">
        <f aca="false">MONTH(C244)</f>
        <v>12</v>
      </c>
      <c r="F244" s="68" t="n">
        <f aca="false">INT((60-1)/12)+1</f>
        <v>5</v>
      </c>
      <c r="G244" s="15" t="n">
        <f aca="false">Ipotesi!F7</f>
        <v>0.55</v>
      </c>
      <c r="H244" s="15" t="n">
        <f aca="false">Ipotesi!F9</f>
        <v>0.9</v>
      </c>
      <c r="I244" s="15" t="n">
        <f aca="false">Ipotesi!F10</f>
        <v>1</v>
      </c>
      <c r="J244" s="15" t="n">
        <f aca="false">Ipotesi!F11</f>
        <v>1</v>
      </c>
      <c r="K244" s="15" t="n">
        <f aca="false">Ipotesi!F12</f>
        <v>1</v>
      </c>
      <c r="L244" s="15" t="n">
        <f aca="false">Ipotesi!F13</f>
        <v>120</v>
      </c>
      <c r="M244" s="17" t="n">
        <f aca="false">INDEX(Ipotesi!$C$40:$G$40,1,F244)</f>
        <v>1</v>
      </c>
      <c r="N244" s="17" t="n">
        <f aca="false">INDEX(Ipotesi!$C$41:$G$41,1,F244)</f>
        <v>1</v>
      </c>
      <c r="O244" s="17" t="n">
        <f aca="false">INDEX(Ipotesi!$C$42:$G$42,1,F244)*Ipotesi!F125</f>
        <v>8.5</v>
      </c>
      <c r="P244" s="17" t="n">
        <f aca="false">INDEX(Ipotesi!$C$43:$G$43,1,F244)*I244</f>
        <v>7</v>
      </c>
      <c r="Q244" s="17" t="n">
        <f aca="false">INDEX(Ipotesi!$C$44:$G$44,1,F244)*I244</f>
        <v>6</v>
      </c>
      <c r="R244" s="17" t="n">
        <f aca="false">INDEX(Ipotesi!$C$45:$G$45,1,F244)*I244</f>
        <v>2</v>
      </c>
      <c r="S244" s="17" t="n">
        <f aca="false">INDEX(Ipotesi!$C$52:$G$52,1,F244)*Ipotesi!F125</f>
        <v>9</v>
      </c>
      <c r="T244" s="17" t="n">
        <f aca="false">INDEX(Ipotesi!$C$53:$G$53,1,F244)*I244</f>
        <v>1</v>
      </c>
      <c r="U244" s="17" t="n">
        <f aca="false">INDEX(Ipotesi!$C$54:$G$54,1,F244)*I244</f>
        <v>1</v>
      </c>
      <c r="V244" s="15" t="n">
        <f aca="false">M244*INDEX(Ipotesi!$C$58:$G$58,1,F244)*K244/12</f>
        <v>8333.33333333333</v>
      </c>
      <c r="W244" s="15" t="n">
        <f aca="false">N244*Ipotesi!$C$59*(1+Ipotesi!$C$66)^(F244-1)/12</f>
        <v>6565.46805833334</v>
      </c>
      <c r="X244" s="15" t="n">
        <f aca="false">O244*Ipotesi!$C$60*(1+Ipotesi!$C$66)^(F244-1)/12</f>
        <v>39861.7703541667</v>
      </c>
      <c r="Y244" s="15" t="n">
        <f aca="false">P244*Ipotesi!$C$61*(1+Ipotesi!$C$66)^(F244-1)/12</f>
        <v>32827.3402916667</v>
      </c>
      <c r="Z244" s="15" t="n">
        <f aca="false">Q244*Ipotesi!$C$62*(1+Ipotesi!$C$66)^(F244-1)/12</f>
        <v>25323.948225</v>
      </c>
      <c r="AA244" s="15" t="n">
        <f aca="false">R244*Ipotesi!$C$63*(1+Ipotesi!$C$66)^(F244-1)/12</f>
        <v>6565.46805833334</v>
      </c>
      <c r="AB244" s="15" t="n">
        <f aca="false">SUM(V244:AA244)</f>
        <v>119477.328320833</v>
      </c>
      <c r="AC244" s="15" t="n">
        <f aca="false">(S244*Ipotesi!$C$64+T244*Ipotesi!$C$65+U244*Ipotesi!$C$63)*(1+Ipotesi!$C$66)^(F244-1)/12</f>
        <v>44363.8055941667</v>
      </c>
      <c r="AD244" s="15" t="n">
        <f aca="false">INDEX(Ipotesi!$C$48:$G$48,1,F244)*G244/12</f>
        <v>52.7083333333333</v>
      </c>
      <c r="AE244" s="15" t="n">
        <f aca="false">INDEX(Ipotesi!$C$50:$G$50,1,F244)*G244/12</f>
        <v>5.27083333333333</v>
      </c>
      <c r="AF244" s="15" t="n">
        <f aca="false">(S244*Parametri_v3!$C$7*Parametri_v3!$C$8+Parametri_v3!$C$10)/12</f>
        <v>115.5</v>
      </c>
      <c r="AG244" s="15" t="n">
        <f aca="false">AD244+AE244*(1+Parametri_v3!$C$9)</f>
        <v>60.6145833333333</v>
      </c>
      <c r="AH244" s="16" t="n">
        <f aca="false">IF(AG244=0,1,MIN(1,AF244/AG244))</f>
        <v>1</v>
      </c>
      <c r="AI244" s="15" t="n">
        <f aca="false">AD244*AH244</f>
        <v>52.7083333333333</v>
      </c>
      <c r="AJ244" s="15" t="n">
        <f aca="false">AE244*AH244</f>
        <v>5.27083333333333</v>
      </c>
      <c r="AK244" s="15" t="n">
        <f aca="false">AI244*INDEX(Ipotesi!$C$49:$G$49,1,F244)*H244</f>
        <v>45065.625</v>
      </c>
      <c r="AL244" s="15" t="n">
        <f aca="false">AJ244*INDEX(Ipotesi!$C$51:$G$51,1,F244)*H244</f>
        <v>12333.75</v>
      </c>
      <c r="AM244" s="15" t="n">
        <f aca="false">AK244+AL244</f>
        <v>57399.375</v>
      </c>
      <c r="AN244" s="15" t="n">
        <f aca="false">INDEX(Ipotesi!$C$30:$G$30,1,F244)*G244/12</f>
        <v>44.9166666666667</v>
      </c>
      <c r="AO244" s="15" t="n">
        <f aca="false">O244*Parametri_v3!$C$7*Parametri_v3!$C$11*(1-Parametri_v3!$C$14)/12</f>
        <v>87.2666666666667</v>
      </c>
      <c r="AP244" s="15" t="n">
        <f aca="false">MIN(AN244,AO244)</f>
        <v>44.9166666666667</v>
      </c>
      <c r="AQ244" s="15" t="n">
        <f aca="false">AP244*INDEX(Ipotesi!$C$31:$G$31,1,F244)*H244</f>
        <v>44467.5</v>
      </c>
      <c r="AR244" s="15" t="n">
        <f aca="false">INDEX(Ipotesi!$C$75:$G$75,1,F244)*J244/12</f>
        <v>35833.3333333333</v>
      </c>
      <c r="AS244" s="15" t="n">
        <f aca="false">INDEX(Ipotesi!$C$81:$G$81,1,F244)*J244/12</f>
        <v>2083.33333333333</v>
      </c>
      <c r="AT244" s="15" t="n">
        <f aca="false">AR244*Parametri_v3!$C$15+Z244*Parametri_v3!$C$16</f>
        <v>53560.0970908333</v>
      </c>
      <c r="AU244" s="15" t="n">
        <f aca="false">Q244*Parametri_v3!$C$16*Parametri_v3!$C$17</f>
        <v>420</v>
      </c>
      <c r="AV244" s="17" t="n">
        <f aca="false">BD243</f>
        <v>153.349814798402</v>
      </c>
      <c r="AW244" s="17" t="n">
        <f aca="false">AV244*(1-(1-INDEX(Ipotesi!$C$34:$G$34,1,F244))^(1/12))</f>
        <v>1.34052442094242</v>
      </c>
      <c r="AX244" s="15" t="n">
        <f aca="false">ROUND(INDEX(Ipotesi!$C$32:$G$32,1,F244)*Ipotesi!F8,0)</f>
        <v>196</v>
      </c>
      <c r="AY244" s="15" t="n">
        <f aca="false">MAX(0,(AX244-(AV244-AW244))/(13-E244))</f>
        <v>43.9907096225408</v>
      </c>
      <c r="AZ244" s="15" t="n">
        <f aca="false">MIN(P244*Parametri_v3!$C$22,Q244*(1-Parametri_v3!$C$16)*Parametri_v3!$C$23)</f>
        <v>270</v>
      </c>
      <c r="BA244" s="15" t="n">
        <f aca="false">IF(OR(INDEX(Ipotesi!$C$35:$G$35,1,F244)&lt;=0,60-Parametri_v3!$C$21&lt;1),0,INDEX($AT$185:$AT$244,MAX(1,60-Parametri_v3!$C$21))/(INDEX(Ipotesi!$C$35:$G$35,1,F244)*Ipotesi!F27))</f>
        <v>6.33847302850099</v>
      </c>
      <c r="BB244" s="15" t="n">
        <f aca="false">IF(60-Parametri_v3!$C$21&lt;1,0,INDEX($AU$185:$AU$244,MAX(1,60-Parametri_v3!$C$21)))*Parametri_v3!$C$18*Parametri_v3!$C$19*Parametri_v3!$C$20</f>
        <v>15.75</v>
      </c>
      <c r="BC244" s="17" t="n">
        <f aca="false">MAX(0,MIN(AY244,BA244,BB244,MAX(0,AZ244-(AV244-AW244))))</f>
        <v>6.33847302850099</v>
      </c>
      <c r="BD244" s="17" t="n">
        <f aca="false">AV244-AW244+BC244</f>
        <v>158.34776340596</v>
      </c>
      <c r="BE244" s="17" t="n">
        <f aca="false">(AV244+BD244)/2</f>
        <v>155.848789102181</v>
      </c>
      <c r="BF244" s="15" t="n">
        <f aca="false">BE244*INDEX(Ipotesi!$C$33:$G$33,1,F244)*H244/12</f>
        <v>72469.6869325141</v>
      </c>
      <c r="BG244" s="15" t="n">
        <f aca="false">BD244*INDEX(Ipotesi!$C$33:$G$33,1,F244)*H244</f>
        <v>883580.519805258</v>
      </c>
      <c r="BH244" s="15" t="n">
        <f aca="false">AM244*INDEX(Ipotesi!$C$37:$G$37,1,F244)</f>
        <v>5739.9375</v>
      </c>
      <c r="BI244" s="15" t="n">
        <f aca="false">AQ244+BF244+BH244</f>
        <v>122677.124432514</v>
      </c>
      <c r="BJ244" s="15" t="n">
        <f aca="false">INDEX(Ipotesi!$C$68:$G$68,1,F244)*Ipotesi!$C$69/12</f>
        <v>3333.33333333333</v>
      </c>
      <c r="BK244" s="15" t="n">
        <f aca="false">INDEX(Ipotesi!$C$68:$G$68,1,F244)*(1-Ipotesi!$C$69)/12</f>
        <v>5000</v>
      </c>
      <c r="BL244" s="15" t="n">
        <f aca="false">(AQ244+BF244)*Ipotesi!$C$67</f>
        <v>3508.11560797542</v>
      </c>
      <c r="BM244" s="15" t="n">
        <f aca="false">AM244*Ipotesi!$C$67</f>
        <v>1721.98125</v>
      </c>
      <c r="BN244" s="15" t="n">
        <f aca="false">INDEX(Ipotesi!$C$72:$G$72,1,F244)/12*Ipotesi!F126+BF244*Ipotesi!$C$73</f>
        <v>7047.57495460113</v>
      </c>
      <c r="BO244" s="15" t="n">
        <f aca="false">INDEX(Ipotesi!$C$74:$G$74,1,F244)/12*Ipotesi!F126</f>
        <v>5416.66666666667</v>
      </c>
      <c r="BP244" s="15" t="n">
        <f aca="false">INDEX(Ipotesi!$C$76:$G$76,1,F244)/12</f>
        <v>1916.66666666667</v>
      </c>
      <c r="BQ244" s="15" t="n">
        <f aca="false">INDEX(Ipotesi!$C$77:$G$77,1,F244)/12*Ipotesi!F126</f>
        <v>2500</v>
      </c>
      <c r="BR244" s="15" t="n">
        <f aca="false">INDEX(Ipotesi!$C$78:$G$78,1,F244)/12</f>
        <v>2333.33333333333</v>
      </c>
      <c r="BS244" s="15" t="n">
        <f aca="false">SUM(M244:R244)*(Ipotesi!$C$85+Ipotesi!$C$86)/12</f>
        <v>7437.5</v>
      </c>
      <c r="BT244" s="15" t="n">
        <f aca="false">BI244*Ipotesi!$C$87</f>
        <v>3680.31373297542</v>
      </c>
      <c r="BU244" s="15" t="n">
        <f aca="false">INDEX(Ipotesi!$C$55:$G$55,1,F244)*K244/12</f>
        <v>2000</v>
      </c>
      <c r="BV244" s="15" t="n">
        <f aca="false">INDEX(Ipotesi!$C$80:$G$80,1,F244)/12*Ipotesi!F126</f>
        <v>2083.33333333333</v>
      </c>
      <c r="BW244" s="15" t="n">
        <f aca="false">INDEX(Ipotesi!$C$82:$G$82,1,F244)/12</f>
        <v>1500</v>
      </c>
      <c r="BX244" s="15" t="n">
        <f aca="false">INDEX(Ipotesi!$C$83:$G$83,1,F244)/12</f>
        <v>833.333333333333</v>
      </c>
      <c r="BY244" s="15" t="n">
        <f aca="false">SUM(S244:U244)*(Ipotesi!$C$85+Ipotesi!$C$86)/12</f>
        <v>3208.33333333333</v>
      </c>
      <c r="BZ244" s="15" t="n">
        <f aca="false">AM244*Ipotesi!$C$87</f>
        <v>1721.98125</v>
      </c>
      <c r="CA244" s="15" t="n">
        <f aca="false">AB244+BJ244+BL244+BN244+BO244+AR244+BP244+BQ244+BR244+BS244+BT244</f>
        <v>192484.165949719</v>
      </c>
      <c r="CB244" s="15" t="n">
        <f aca="false">AC244+BK244+BM244+BH244+BU244+BV244+AS244+BW244+BX244+BY244+BZ244</f>
        <v>70256.0389275</v>
      </c>
      <c r="CC244" s="15" t="n">
        <f aca="false">BI244-CA244</f>
        <v>-69807.0415172046</v>
      </c>
      <c r="CD244" s="15" t="n">
        <f aca="false">AM244-CB244</f>
        <v>-12856.6639275</v>
      </c>
      <c r="CE244" s="15" t="n">
        <f aca="false">INDEX(Ipotesi!$C$79:$G$79,1,F244)/12</f>
        <v>4166.66666666667</v>
      </c>
      <c r="CF244" s="15" t="n">
        <f aca="false">INDEX(Ipotesi!$C$84:$G$84,1,F244)/12</f>
        <v>666.666666666667</v>
      </c>
      <c r="CG244" s="15" t="n">
        <f aca="false">Y244*MAX(0,Parametri_v3!$C$12-IF(P244=0,0,MIN(1,BE244/(P244*Parametri_v3!$C$22))))+W244*Parametri_v3!$C$13+X244*Parametri_v3!$C$14</f>
        <v>36773.712343236</v>
      </c>
      <c r="CH244" s="15" t="n">
        <f aca="false">AB244*Parametri_v3!$C$32</f>
        <v>5973.86641604167</v>
      </c>
      <c r="CI244" s="15" t="n">
        <f aca="false">AC244*Parametri_v3!$C$32</f>
        <v>2218.19027970833</v>
      </c>
      <c r="CJ244" s="15" t="n">
        <f aca="false">CA244-AB244</f>
        <v>73006.8376288853</v>
      </c>
      <c r="CK244" s="15" t="n">
        <f aca="false">CB244-AC244-BH244</f>
        <v>20152.2958333333</v>
      </c>
      <c r="CL244" s="15" t="n">
        <f aca="false">BF244*Ipotesi!$C$73+INDEX(Ipotesi!$C$72:$G$72,1,F244)/12*Ipotesi!F126*Parametri_v3!$C$58+Z244*(1-Parametri_v3!$C$16)</f>
        <v>14644.7594221011</v>
      </c>
      <c r="CM244" s="16" t="n">
        <f aca="false">IF(BF244=0,0,1-CL244/BF244)</f>
        <v>0.797918825898355</v>
      </c>
    </row>
    <row r="245" customFormat="false" ht="18" hidden="false" customHeight="true" outlineLevel="0" collapsed="false">
      <c r="A245" s="68" t="n">
        <f aca="false">5</f>
        <v>5</v>
      </c>
      <c r="B245" s="68" t="n">
        <f aca="false">1</f>
        <v>1</v>
      </c>
      <c r="C245" s="18" t="n">
        <f aca="false">EDATE(Parametri_v3!$C$5,1-1)</f>
        <v>46388</v>
      </c>
      <c r="D245" s="68" t="n">
        <f aca="false">YEAR(C245)</f>
        <v>2027</v>
      </c>
      <c r="E245" s="68" t="n">
        <f aca="false">MONTH(C245)</f>
        <v>1</v>
      </c>
      <c r="F245" s="68" t="n">
        <f aca="false">INT((1-1)/12)+1</f>
        <v>1</v>
      </c>
      <c r="G245" s="15" t="n">
        <f aca="false">Ipotesi!G7</f>
        <v>0.55</v>
      </c>
      <c r="H245" s="15" t="n">
        <f aca="false">Ipotesi!G9</f>
        <v>0.9</v>
      </c>
      <c r="I245" s="15" t="n">
        <f aca="false">Ipotesi!G10</f>
        <v>0.3</v>
      </c>
      <c r="J245" s="15" t="n">
        <f aca="false">Ipotesi!G11</f>
        <v>0.2</v>
      </c>
      <c r="K245" s="15" t="n">
        <f aca="false">Ipotesi!G12</f>
        <v>0.6</v>
      </c>
      <c r="L245" s="15" t="n">
        <f aca="false">Ipotesi!G13</f>
        <v>120</v>
      </c>
      <c r="M245" s="17" t="n">
        <f aca="false">INDEX(Ipotesi!$C$40:$G$40,1,F245)</f>
        <v>1</v>
      </c>
      <c r="N245" s="17" t="n">
        <f aca="false">INDEX(Ipotesi!$C$41:$G$41,1,F245)</f>
        <v>0.75</v>
      </c>
      <c r="O245" s="17" t="n">
        <f aca="false">INDEX(Ipotesi!$C$42:$G$42,1,F245)*Ipotesi!G125</f>
        <v>0.55</v>
      </c>
      <c r="P245" s="17" t="n">
        <f aca="false">INDEX(Ipotesi!$C$43:$G$43,1,F245)*I245</f>
        <v>0.3</v>
      </c>
      <c r="Q245" s="17" t="n">
        <f aca="false">INDEX(Ipotesi!$C$44:$G$44,1,F245)*I245</f>
        <v>0.15</v>
      </c>
      <c r="R245" s="17" t="n">
        <f aca="false">INDEX(Ipotesi!$C$45:$G$45,1,F245)*I245</f>
        <v>0</v>
      </c>
      <c r="S245" s="17" t="n">
        <f aca="false">INDEX(Ipotesi!$C$52:$G$52,1,F245)*Ipotesi!G125</f>
        <v>0.825</v>
      </c>
      <c r="T245" s="17" t="n">
        <f aca="false">INDEX(Ipotesi!$C$53:$G$53,1,F245)*I245</f>
        <v>0</v>
      </c>
      <c r="U245" s="17" t="n">
        <f aca="false">INDEX(Ipotesi!$C$54:$G$54,1,F245)*I245</f>
        <v>0</v>
      </c>
      <c r="V245" s="15" t="n">
        <f aca="false">M245*INDEX(Ipotesi!$C$58:$G$58,1,F245)*K245/12</f>
        <v>2000</v>
      </c>
      <c r="W245" s="15" t="n">
        <f aca="false">N245*Ipotesi!$C$59*(1+Ipotesi!$C$66)^(F245-1)/12</f>
        <v>4375</v>
      </c>
      <c r="X245" s="15" t="n">
        <f aca="false">O245*Ipotesi!$C$60*(1+Ipotesi!$C$66)^(F245-1)/12</f>
        <v>2291.66666666667</v>
      </c>
      <c r="Y245" s="15" t="n">
        <f aca="false">P245*Ipotesi!$C$61*(1+Ipotesi!$C$66)^(F245-1)/12</f>
        <v>1250</v>
      </c>
      <c r="Z245" s="15" t="n">
        <f aca="false">Q245*Ipotesi!$C$62*(1+Ipotesi!$C$66)^(F245-1)/12</f>
        <v>562.5</v>
      </c>
      <c r="AA245" s="15" t="n">
        <f aca="false">R245*Ipotesi!$C$63*(1+Ipotesi!$C$66)^(F245-1)/12</f>
        <v>0</v>
      </c>
      <c r="AB245" s="15" t="n">
        <f aca="false">SUM(V245:AA245)</f>
        <v>10479.1666666667</v>
      </c>
      <c r="AC245" s="15" t="n">
        <f aca="false">(S245*Ipotesi!$C$64+T245*Ipotesi!$C$65+U245*Ipotesi!$C$63)*(1+Ipotesi!$C$66)^(F245-1)/12</f>
        <v>2887.5</v>
      </c>
      <c r="AD245" s="15" t="n">
        <f aca="false">INDEX(Ipotesi!$C$48:$G$48,1,F245)*G245/12</f>
        <v>9.16666666666667</v>
      </c>
      <c r="AE245" s="15" t="n">
        <f aca="false">INDEX(Ipotesi!$C$50:$G$50,1,F245)*G245/12</f>
        <v>1.14583333333333</v>
      </c>
      <c r="AF245" s="15" t="n">
        <f aca="false">(S245*Parametri_v3!$C$7*Parametri_v3!$C$8+Parametri_v3!$C$10)/12</f>
        <v>10.5875</v>
      </c>
      <c r="AG245" s="15" t="n">
        <f aca="false">AD245+AE245*(1+Parametri_v3!$C$9)</f>
        <v>10.8854166666667</v>
      </c>
      <c r="AH245" s="16" t="n">
        <f aca="false">IF(AG245=0,1,MIN(1,AF245/AG245))</f>
        <v>0.972631578947368</v>
      </c>
      <c r="AI245" s="15" t="n">
        <f aca="false">AD245*AH245</f>
        <v>8.91578947368421</v>
      </c>
      <c r="AJ245" s="15" t="n">
        <f aca="false">AE245*AH245</f>
        <v>1.11447368421053</v>
      </c>
      <c r="AK245" s="15" t="n">
        <f aca="false">AI245*INDEX(Ipotesi!$C$49:$G$49,1,F245)*H245</f>
        <v>6018.15789473684</v>
      </c>
      <c r="AL245" s="15" t="n">
        <f aca="false">AJ245*INDEX(Ipotesi!$C$51:$G$51,1,F245)*H245</f>
        <v>2006.05263157895</v>
      </c>
      <c r="AM245" s="15" t="n">
        <f aca="false">AK245+AL245</f>
        <v>8024.21052631579</v>
      </c>
      <c r="AN245" s="15" t="n">
        <f aca="false">INDEX(Ipotesi!$C$30:$G$30,1,F245)*G245/12</f>
        <v>4.58333333333333</v>
      </c>
      <c r="AO245" s="15" t="n">
        <f aca="false">O245*Parametri_v3!$C$7*Parametri_v3!$C$11*(1-Parametri_v3!$C$14)/12</f>
        <v>5.64666666666667</v>
      </c>
      <c r="AP245" s="15" t="n">
        <f aca="false">MIN(AN245,AO245)</f>
        <v>4.58333333333333</v>
      </c>
      <c r="AQ245" s="15" t="n">
        <f aca="false">AP245*INDEX(Ipotesi!$C$31:$G$31,1,F245)*H245</f>
        <v>3712.5</v>
      </c>
      <c r="AR245" s="15" t="n">
        <f aca="false">INDEX(Ipotesi!$C$75:$G$75,1,F245)*J245/12</f>
        <v>416.666666666667</v>
      </c>
      <c r="AS245" s="15" t="n">
        <f aca="false">INDEX(Ipotesi!$C$81:$G$81,1,F245)*J245/12</f>
        <v>83.3333333333333</v>
      </c>
      <c r="AT245" s="15" t="n">
        <f aca="false">AR245*Parametri_v3!$C$15+Z245*Parametri_v3!$C$16</f>
        <v>810.416666666667</v>
      </c>
      <c r="AU245" s="15" t="n">
        <f aca="false">Q245*Parametri_v3!$C$16*Parametri_v3!$C$17</f>
        <v>10.5</v>
      </c>
      <c r="AV245" s="17" t="n">
        <f aca="false">0</f>
        <v>0</v>
      </c>
      <c r="AW245" s="17" t="n">
        <f aca="false">AV245*(1-(1-INDEX(Ipotesi!$C$34:$G$34,1,F245))^(1/12))</f>
        <v>0</v>
      </c>
      <c r="AX245" s="15" t="n">
        <f aca="false">ROUND(INDEX(Ipotesi!$C$32:$G$32,1,F245)*Ipotesi!G8,0)</f>
        <v>2</v>
      </c>
      <c r="AY245" s="15" t="n">
        <f aca="false">MAX(0,(AX245-(AV245-AW245))/(13-E245))</f>
        <v>0.166666666666667</v>
      </c>
      <c r="AZ245" s="15" t="n">
        <f aca="false">MIN(P245*Parametri_v3!$C$22,Q245*(1-Parametri_v3!$C$16)*Parametri_v3!$C$23)</f>
        <v>6.75</v>
      </c>
      <c r="BA245" s="15" t="n">
        <f aca="false">IF(OR(INDEX(Ipotesi!$C$35:$G$35,1,F245)&lt;=0,1-Parametri_v3!$C$21&lt;1),0,INDEX($AT$245:$AT$304,MAX(1,1-Parametri_v3!$C$21))/(INDEX(Ipotesi!$C$35:$G$35,1,F245)*Ipotesi!G27))</f>
        <v>0</v>
      </c>
      <c r="BB245" s="15" t="n">
        <f aca="false">IF(1-Parametri_v3!$C$21&lt;1,0,INDEX($AU$245:$AU$304,MAX(1,1-Parametri_v3!$C$21)))*Parametri_v3!$C$18*Parametri_v3!$C$19*Parametri_v3!$C$20</f>
        <v>0</v>
      </c>
      <c r="BC245" s="17" t="n">
        <f aca="false">MAX(0,MIN(AY245,BA245,BB245,MAX(0,AZ245-(AV245-AW245))))</f>
        <v>0</v>
      </c>
      <c r="BD245" s="17" t="n">
        <f aca="false">AV245-AW245+BC245</f>
        <v>0</v>
      </c>
      <c r="BE245" s="17" t="n">
        <f aca="false">(AV245+BD245)/2</f>
        <v>0</v>
      </c>
      <c r="BF245" s="15" t="n">
        <f aca="false">BE245*INDEX(Ipotesi!$C$33:$G$33,1,F245)*H245/12</f>
        <v>0</v>
      </c>
      <c r="BG245" s="15" t="n">
        <f aca="false">BD245*INDEX(Ipotesi!$C$33:$G$33,1,F245)*H245</f>
        <v>0</v>
      </c>
      <c r="BH245" s="15" t="n">
        <f aca="false">AM245*INDEX(Ipotesi!$C$37:$G$37,1,F245)</f>
        <v>802.421052631579</v>
      </c>
      <c r="BI245" s="15" t="n">
        <f aca="false">AQ245+BF245+BH245</f>
        <v>4514.92105263158</v>
      </c>
      <c r="BJ245" s="15" t="n">
        <f aca="false">INDEX(Ipotesi!$C$68:$G$68,1,F245)*Ipotesi!$C$69/12</f>
        <v>1000</v>
      </c>
      <c r="BK245" s="15" t="n">
        <f aca="false">INDEX(Ipotesi!$C$68:$G$68,1,F245)*(1-Ipotesi!$C$69)/12</f>
        <v>1500</v>
      </c>
      <c r="BL245" s="15" t="n">
        <f aca="false">(AQ245+BF245)*Ipotesi!$C$67</f>
        <v>111.375</v>
      </c>
      <c r="BM245" s="15" t="n">
        <f aca="false">AM245*Ipotesi!$C$67</f>
        <v>240.726315789474</v>
      </c>
      <c r="BN245" s="15" t="n">
        <f aca="false">INDEX(Ipotesi!$C$72:$G$72,1,F245)/12*Ipotesi!G126+BF245*Ipotesi!$C$73</f>
        <v>750</v>
      </c>
      <c r="BO245" s="15" t="n">
        <f aca="false">INDEX(Ipotesi!$C$74:$G$74,1,F245)/12*Ipotesi!G126</f>
        <v>600</v>
      </c>
      <c r="BP245" s="15" t="n">
        <f aca="false">INDEX(Ipotesi!$C$76:$G$76,1,F245)/12</f>
        <v>500</v>
      </c>
      <c r="BQ245" s="15" t="n">
        <f aca="false">INDEX(Ipotesi!$C$77:$G$77,1,F245)/12*Ipotesi!G126</f>
        <v>750</v>
      </c>
      <c r="BR245" s="15" t="n">
        <f aca="false">INDEX(Ipotesi!$C$78:$G$78,1,F245)/12</f>
        <v>1000</v>
      </c>
      <c r="BS245" s="15" t="n">
        <f aca="false">SUM(M245:R245)*(Ipotesi!$C$85+Ipotesi!$C$86)/12</f>
        <v>802.083333333333</v>
      </c>
      <c r="BT245" s="15" t="n">
        <f aca="false">BI245*Ipotesi!$C$87</f>
        <v>135.447631578947</v>
      </c>
      <c r="BU245" s="15" t="n">
        <f aca="false">INDEX(Ipotesi!$C$55:$G$55,1,F245)*K245/12</f>
        <v>300</v>
      </c>
      <c r="BV245" s="15" t="n">
        <f aca="false">INDEX(Ipotesi!$C$80:$G$80,1,F245)/12*Ipotesi!G126</f>
        <v>300</v>
      </c>
      <c r="BW245" s="15" t="n">
        <f aca="false">INDEX(Ipotesi!$C$82:$G$82,1,F245)/12</f>
        <v>416.666666666667</v>
      </c>
      <c r="BX245" s="15" t="n">
        <f aca="false">INDEX(Ipotesi!$C$83:$G$83,1,F245)/12</f>
        <v>500</v>
      </c>
      <c r="BY245" s="15" t="n">
        <f aca="false">SUM(S245:U245)*(Ipotesi!$C$85+Ipotesi!$C$86)/12</f>
        <v>240.625</v>
      </c>
      <c r="BZ245" s="15" t="n">
        <f aca="false">AM245*Ipotesi!$C$87</f>
        <v>240.726315789474</v>
      </c>
      <c r="CA245" s="15" t="n">
        <f aca="false">AB245+BJ245+BL245+BN245+BO245+AR245+BP245+BQ245+BR245+BS245+BT245</f>
        <v>16544.7392982456</v>
      </c>
      <c r="CB245" s="15" t="n">
        <f aca="false">AC245+BK245+BM245+BH245+BU245+BV245+AS245+BW245+BX245+BY245+BZ245</f>
        <v>7511.99868421053</v>
      </c>
      <c r="CC245" s="15" t="n">
        <f aca="false">BI245-CA245</f>
        <v>-12029.818245614</v>
      </c>
      <c r="CD245" s="15" t="n">
        <f aca="false">AM245-CB245</f>
        <v>512.211842105264</v>
      </c>
      <c r="CE245" s="15" t="n">
        <f aca="false">INDEX(Ipotesi!$C$79:$G$79,1,F245)/12</f>
        <v>1666.66666666667</v>
      </c>
      <c r="CF245" s="15" t="n">
        <f aca="false">INDEX(Ipotesi!$C$84:$G$84,1,F245)/12</f>
        <v>250</v>
      </c>
      <c r="CG245" s="15" t="n">
        <f aca="false">Y245*MAX(0,Parametri_v3!$C$12-IF(P245=0,0,MIN(1,BE245/(P245*Parametri_v3!$C$22))))+W245*Parametri_v3!$C$13+X245*Parametri_v3!$C$14</f>
        <v>3895.83333333333</v>
      </c>
      <c r="CH245" s="15" t="n">
        <f aca="false">AB245*Parametri_v3!$C$32</f>
        <v>523.958333333333</v>
      </c>
      <c r="CI245" s="15" t="n">
        <f aca="false">AC245*Parametri_v3!$C$32</f>
        <v>144.375</v>
      </c>
      <c r="CJ245" s="15" t="n">
        <f aca="false">CA245-AB245</f>
        <v>6065.57263157895</v>
      </c>
      <c r="CK245" s="15" t="n">
        <f aca="false">CB245-AC245-BH245</f>
        <v>3822.07763157895</v>
      </c>
      <c r="CL245" s="15" t="n">
        <f aca="false">BF245*Ipotesi!$C$73+INDEX(Ipotesi!$C$72:$G$72,1,F245)/12*Ipotesi!G126*Parametri_v3!$C$58+Z245*(1-Parametri_v3!$C$16)</f>
        <v>918.75</v>
      </c>
      <c r="CM245" s="16" t="n">
        <f aca="false">IF(BF245=0,0,1-CL245/BF245)</f>
        <v>0</v>
      </c>
    </row>
    <row r="246" customFormat="false" ht="18" hidden="false" customHeight="true" outlineLevel="0" collapsed="false">
      <c r="A246" s="68" t="n">
        <f aca="false">5</f>
        <v>5</v>
      </c>
      <c r="B246" s="68" t="n">
        <f aca="false">2</f>
        <v>2</v>
      </c>
      <c r="C246" s="18" t="n">
        <f aca="false">EDATE(Parametri_v3!$C$5,2-1)</f>
        <v>46419</v>
      </c>
      <c r="D246" s="68" t="n">
        <f aca="false">YEAR(C246)</f>
        <v>2027</v>
      </c>
      <c r="E246" s="68" t="n">
        <f aca="false">MONTH(C246)</f>
        <v>2</v>
      </c>
      <c r="F246" s="68" t="n">
        <f aca="false">INT((2-1)/12)+1</f>
        <v>1</v>
      </c>
      <c r="G246" s="15" t="n">
        <f aca="false">Ipotesi!G7</f>
        <v>0.55</v>
      </c>
      <c r="H246" s="15" t="n">
        <f aca="false">Ipotesi!G9</f>
        <v>0.9</v>
      </c>
      <c r="I246" s="15" t="n">
        <f aca="false">Ipotesi!G10</f>
        <v>0.3</v>
      </c>
      <c r="J246" s="15" t="n">
        <f aca="false">Ipotesi!G11</f>
        <v>0.2</v>
      </c>
      <c r="K246" s="15" t="n">
        <f aca="false">Ipotesi!G12</f>
        <v>0.6</v>
      </c>
      <c r="L246" s="15" t="n">
        <f aca="false">Ipotesi!G13</f>
        <v>120</v>
      </c>
      <c r="M246" s="17" t="n">
        <f aca="false">INDEX(Ipotesi!$C$40:$G$40,1,F246)</f>
        <v>1</v>
      </c>
      <c r="N246" s="17" t="n">
        <f aca="false">INDEX(Ipotesi!$C$41:$G$41,1,F246)</f>
        <v>0.75</v>
      </c>
      <c r="O246" s="17" t="n">
        <f aca="false">INDEX(Ipotesi!$C$42:$G$42,1,F246)*Ipotesi!G125</f>
        <v>0.55</v>
      </c>
      <c r="P246" s="17" t="n">
        <f aca="false">INDEX(Ipotesi!$C$43:$G$43,1,F246)*I246</f>
        <v>0.3</v>
      </c>
      <c r="Q246" s="17" t="n">
        <f aca="false">INDEX(Ipotesi!$C$44:$G$44,1,F246)*I246</f>
        <v>0.15</v>
      </c>
      <c r="R246" s="17" t="n">
        <f aca="false">INDEX(Ipotesi!$C$45:$G$45,1,F246)*I246</f>
        <v>0</v>
      </c>
      <c r="S246" s="17" t="n">
        <f aca="false">INDEX(Ipotesi!$C$52:$G$52,1,F246)*Ipotesi!G125</f>
        <v>0.825</v>
      </c>
      <c r="T246" s="17" t="n">
        <f aca="false">INDEX(Ipotesi!$C$53:$G$53,1,F246)*I246</f>
        <v>0</v>
      </c>
      <c r="U246" s="17" t="n">
        <f aca="false">INDEX(Ipotesi!$C$54:$G$54,1,F246)*I246</f>
        <v>0</v>
      </c>
      <c r="V246" s="15" t="n">
        <f aca="false">M246*INDEX(Ipotesi!$C$58:$G$58,1,F246)*K246/12</f>
        <v>2000</v>
      </c>
      <c r="W246" s="15" t="n">
        <f aca="false">N246*Ipotesi!$C$59*(1+Ipotesi!$C$66)^(F246-1)/12</f>
        <v>4375</v>
      </c>
      <c r="X246" s="15" t="n">
        <f aca="false">O246*Ipotesi!$C$60*(1+Ipotesi!$C$66)^(F246-1)/12</f>
        <v>2291.66666666667</v>
      </c>
      <c r="Y246" s="15" t="n">
        <f aca="false">P246*Ipotesi!$C$61*(1+Ipotesi!$C$66)^(F246-1)/12</f>
        <v>1250</v>
      </c>
      <c r="Z246" s="15" t="n">
        <f aca="false">Q246*Ipotesi!$C$62*(1+Ipotesi!$C$66)^(F246-1)/12</f>
        <v>562.5</v>
      </c>
      <c r="AA246" s="15" t="n">
        <f aca="false">R246*Ipotesi!$C$63*(1+Ipotesi!$C$66)^(F246-1)/12</f>
        <v>0</v>
      </c>
      <c r="AB246" s="15" t="n">
        <f aca="false">SUM(V246:AA246)</f>
        <v>10479.1666666667</v>
      </c>
      <c r="AC246" s="15" t="n">
        <f aca="false">(S246*Ipotesi!$C$64+T246*Ipotesi!$C$65+U246*Ipotesi!$C$63)*(1+Ipotesi!$C$66)^(F246-1)/12</f>
        <v>2887.5</v>
      </c>
      <c r="AD246" s="15" t="n">
        <f aca="false">INDEX(Ipotesi!$C$48:$G$48,1,F246)*G246/12</f>
        <v>9.16666666666667</v>
      </c>
      <c r="AE246" s="15" t="n">
        <f aca="false">INDEX(Ipotesi!$C$50:$G$50,1,F246)*G246/12</f>
        <v>1.14583333333333</v>
      </c>
      <c r="AF246" s="15" t="n">
        <f aca="false">(S246*Parametri_v3!$C$7*Parametri_v3!$C$8+Parametri_v3!$C$10)/12</f>
        <v>10.5875</v>
      </c>
      <c r="AG246" s="15" t="n">
        <f aca="false">AD246+AE246*(1+Parametri_v3!$C$9)</f>
        <v>10.8854166666667</v>
      </c>
      <c r="AH246" s="16" t="n">
        <f aca="false">IF(AG246=0,1,MIN(1,AF246/AG246))</f>
        <v>0.972631578947368</v>
      </c>
      <c r="AI246" s="15" t="n">
        <f aca="false">AD246*AH246</f>
        <v>8.91578947368421</v>
      </c>
      <c r="AJ246" s="15" t="n">
        <f aca="false">AE246*AH246</f>
        <v>1.11447368421053</v>
      </c>
      <c r="AK246" s="15" t="n">
        <f aca="false">AI246*INDEX(Ipotesi!$C$49:$G$49,1,F246)*H246</f>
        <v>6018.15789473684</v>
      </c>
      <c r="AL246" s="15" t="n">
        <f aca="false">AJ246*INDEX(Ipotesi!$C$51:$G$51,1,F246)*H246</f>
        <v>2006.05263157895</v>
      </c>
      <c r="AM246" s="15" t="n">
        <f aca="false">AK246+AL246</f>
        <v>8024.21052631579</v>
      </c>
      <c r="AN246" s="15" t="n">
        <f aca="false">INDEX(Ipotesi!$C$30:$G$30,1,F246)*G246/12</f>
        <v>4.58333333333333</v>
      </c>
      <c r="AO246" s="15" t="n">
        <f aca="false">O246*Parametri_v3!$C$7*Parametri_v3!$C$11*(1-Parametri_v3!$C$14)/12</f>
        <v>5.64666666666667</v>
      </c>
      <c r="AP246" s="15" t="n">
        <f aca="false">MIN(AN246,AO246)</f>
        <v>4.58333333333333</v>
      </c>
      <c r="AQ246" s="15" t="n">
        <f aca="false">AP246*INDEX(Ipotesi!$C$31:$G$31,1,F246)*H246</f>
        <v>3712.5</v>
      </c>
      <c r="AR246" s="15" t="n">
        <f aca="false">INDEX(Ipotesi!$C$75:$G$75,1,F246)*J246/12</f>
        <v>416.666666666667</v>
      </c>
      <c r="AS246" s="15" t="n">
        <f aca="false">INDEX(Ipotesi!$C$81:$G$81,1,F246)*J246/12</f>
        <v>83.3333333333333</v>
      </c>
      <c r="AT246" s="15" t="n">
        <f aca="false">AR246*Parametri_v3!$C$15+Z246*Parametri_v3!$C$16</f>
        <v>810.416666666667</v>
      </c>
      <c r="AU246" s="15" t="n">
        <f aca="false">Q246*Parametri_v3!$C$16*Parametri_v3!$C$17</f>
        <v>10.5</v>
      </c>
      <c r="AV246" s="17" t="n">
        <f aca="false">BD245</f>
        <v>0</v>
      </c>
      <c r="AW246" s="17" t="n">
        <f aca="false">AV246*(1-(1-INDEX(Ipotesi!$C$34:$G$34,1,F246))^(1/12))</f>
        <v>0</v>
      </c>
      <c r="AX246" s="15" t="n">
        <f aca="false">ROUND(INDEX(Ipotesi!$C$32:$G$32,1,F246)*Ipotesi!G8,0)</f>
        <v>2</v>
      </c>
      <c r="AY246" s="15" t="n">
        <f aca="false">MAX(0,(AX246-(AV246-AW246))/(13-E246))</f>
        <v>0.181818181818182</v>
      </c>
      <c r="AZ246" s="15" t="n">
        <f aca="false">MIN(P246*Parametri_v3!$C$22,Q246*(1-Parametri_v3!$C$16)*Parametri_v3!$C$23)</f>
        <v>6.75</v>
      </c>
      <c r="BA246" s="15" t="n">
        <f aca="false">IF(OR(INDEX(Ipotesi!$C$35:$G$35,1,F246)&lt;=0,2-Parametri_v3!$C$21&lt;1),0,INDEX($AT$245:$AT$304,MAX(1,2-Parametri_v3!$C$21))/(INDEX(Ipotesi!$C$35:$G$35,1,F246)*Ipotesi!G27))</f>
        <v>0</v>
      </c>
      <c r="BB246" s="15" t="n">
        <f aca="false">IF(2-Parametri_v3!$C$21&lt;1,0,INDEX($AU$245:$AU$304,MAX(1,2-Parametri_v3!$C$21)))*Parametri_v3!$C$18*Parametri_v3!$C$19*Parametri_v3!$C$20</f>
        <v>0</v>
      </c>
      <c r="BC246" s="17" t="n">
        <f aca="false">MAX(0,MIN(AY246,BA246,BB246,MAX(0,AZ246-(AV246-AW246))))</f>
        <v>0</v>
      </c>
      <c r="BD246" s="17" t="n">
        <f aca="false">AV246-AW246+BC246</f>
        <v>0</v>
      </c>
      <c r="BE246" s="17" t="n">
        <f aca="false">(AV246+BD246)/2</f>
        <v>0</v>
      </c>
      <c r="BF246" s="15" t="n">
        <f aca="false">BE246*INDEX(Ipotesi!$C$33:$G$33,1,F246)*H246/12</f>
        <v>0</v>
      </c>
      <c r="BG246" s="15" t="n">
        <f aca="false">BD246*INDEX(Ipotesi!$C$33:$G$33,1,F246)*H246</f>
        <v>0</v>
      </c>
      <c r="BH246" s="15" t="n">
        <f aca="false">AM246*INDEX(Ipotesi!$C$37:$G$37,1,F246)</f>
        <v>802.421052631579</v>
      </c>
      <c r="BI246" s="15" t="n">
        <f aca="false">AQ246+BF246+BH246</f>
        <v>4514.92105263158</v>
      </c>
      <c r="BJ246" s="15" t="n">
        <f aca="false">INDEX(Ipotesi!$C$68:$G$68,1,F246)*Ipotesi!$C$69/12</f>
        <v>1000</v>
      </c>
      <c r="BK246" s="15" t="n">
        <f aca="false">INDEX(Ipotesi!$C$68:$G$68,1,F246)*(1-Ipotesi!$C$69)/12</f>
        <v>1500</v>
      </c>
      <c r="BL246" s="15" t="n">
        <f aca="false">(AQ246+BF246)*Ipotesi!$C$67</f>
        <v>111.375</v>
      </c>
      <c r="BM246" s="15" t="n">
        <f aca="false">AM246*Ipotesi!$C$67</f>
        <v>240.726315789474</v>
      </c>
      <c r="BN246" s="15" t="n">
        <f aca="false">INDEX(Ipotesi!$C$72:$G$72,1,F246)/12*Ipotesi!G126+BF246*Ipotesi!$C$73</f>
        <v>750</v>
      </c>
      <c r="BO246" s="15" t="n">
        <f aca="false">INDEX(Ipotesi!$C$74:$G$74,1,F246)/12*Ipotesi!G126</f>
        <v>600</v>
      </c>
      <c r="BP246" s="15" t="n">
        <f aca="false">INDEX(Ipotesi!$C$76:$G$76,1,F246)/12</f>
        <v>500</v>
      </c>
      <c r="BQ246" s="15" t="n">
        <f aca="false">INDEX(Ipotesi!$C$77:$G$77,1,F246)/12*Ipotesi!G126</f>
        <v>750</v>
      </c>
      <c r="BR246" s="15" t="n">
        <f aca="false">INDEX(Ipotesi!$C$78:$G$78,1,F246)/12</f>
        <v>1000</v>
      </c>
      <c r="BS246" s="15" t="n">
        <f aca="false">SUM(M246:R246)*(Ipotesi!$C$85+Ipotesi!$C$86)/12</f>
        <v>802.083333333333</v>
      </c>
      <c r="BT246" s="15" t="n">
        <f aca="false">BI246*Ipotesi!$C$87</f>
        <v>135.447631578947</v>
      </c>
      <c r="BU246" s="15" t="n">
        <f aca="false">INDEX(Ipotesi!$C$55:$G$55,1,F246)*K246/12</f>
        <v>300</v>
      </c>
      <c r="BV246" s="15" t="n">
        <f aca="false">INDEX(Ipotesi!$C$80:$G$80,1,F246)/12*Ipotesi!G126</f>
        <v>300</v>
      </c>
      <c r="BW246" s="15" t="n">
        <f aca="false">INDEX(Ipotesi!$C$82:$G$82,1,F246)/12</f>
        <v>416.666666666667</v>
      </c>
      <c r="BX246" s="15" t="n">
        <f aca="false">INDEX(Ipotesi!$C$83:$G$83,1,F246)/12</f>
        <v>500</v>
      </c>
      <c r="BY246" s="15" t="n">
        <f aca="false">SUM(S246:U246)*(Ipotesi!$C$85+Ipotesi!$C$86)/12</f>
        <v>240.625</v>
      </c>
      <c r="BZ246" s="15" t="n">
        <f aca="false">AM246*Ipotesi!$C$87</f>
        <v>240.726315789474</v>
      </c>
      <c r="CA246" s="15" t="n">
        <f aca="false">AB246+BJ246+BL246+BN246+BO246+AR246+BP246+BQ246+BR246+BS246+BT246</f>
        <v>16544.7392982456</v>
      </c>
      <c r="CB246" s="15" t="n">
        <f aca="false">AC246+BK246+BM246+BH246+BU246+BV246+AS246+BW246+BX246+BY246+BZ246</f>
        <v>7511.99868421053</v>
      </c>
      <c r="CC246" s="15" t="n">
        <f aca="false">BI246-CA246</f>
        <v>-12029.818245614</v>
      </c>
      <c r="CD246" s="15" t="n">
        <f aca="false">AM246-CB246</f>
        <v>512.211842105264</v>
      </c>
      <c r="CE246" s="15" t="n">
        <f aca="false">INDEX(Ipotesi!$C$79:$G$79,1,F246)/12</f>
        <v>1666.66666666667</v>
      </c>
      <c r="CF246" s="15" t="n">
        <f aca="false">INDEX(Ipotesi!$C$84:$G$84,1,F246)/12</f>
        <v>250</v>
      </c>
      <c r="CG246" s="15" t="n">
        <f aca="false">Y246*MAX(0,Parametri_v3!$C$12-IF(P246=0,0,MIN(1,BE246/(P246*Parametri_v3!$C$22))))+W246*Parametri_v3!$C$13+X246*Parametri_v3!$C$14</f>
        <v>3895.83333333333</v>
      </c>
      <c r="CH246" s="15" t="n">
        <f aca="false">AB246*Parametri_v3!$C$32</f>
        <v>523.958333333333</v>
      </c>
      <c r="CI246" s="15" t="n">
        <f aca="false">AC246*Parametri_v3!$C$32</f>
        <v>144.375</v>
      </c>
      <c r="CJ246" s="15" t="n">
        <f aca="false">CA246-AB246</f>
        <v>6065.57263157895</v>
      </c>
      <c r="CK246" s="15" t="n">
        <f aca="false">CB246-AC246-BH246</f>
        <v>3822.07763157895</v>
      </c>
      <c r="CL246" s="15" t="n">
        <f aca="false">BF246*Ipotesi!$C$73+INDEX(Ipotesi!$C$72:$G$72,1,F246)/12*Ipotesi!G126*Parametri_v3!$C$58+Z246*(1-Parametri_v3!$C$16)</f>
        <v>918.75</v>
      </c>
      <c r="CM246" s="16" t="n">
        <f aca="false">IF(BF246=0,0,1-CL246/BF246)</f>
        <v>0</v>
      </c>
    </row>
    <row r="247" customFormat="false" ht="18" hidden="false" customHeight="true" outlineLevel="0" collapsed="false">
      <c r="A247" s="68" t="n">
        <f aca="false">5</f>
        <v>5</v>
      </c>
      <c r="B247" s="68" t="n">
        <f aca="false">3</f>
        <v>3</v>
      </c>
      <c r="C247" s="18" t="n">
        <f aca="false">EDATE(Parametri_v3!$C$5,3-1)</f>
        <v>46447</v>
      </c>
      <c r="D247" s="68" t="n">
        <f aca="false">YEAR(C247)</f>
        <v>2027</v>
      </c>
      <c r="E247" s="68" t="n">
        <f aca="false">MONTH(C247)</f>
        <v>3</v>
      </c>
      <c r="F247" s="68" t="n">
        <f aca="false">INT((3-1)/12)+1</f>
        <v>1</v>
      </c>
      <c r="G247" s="15" t="n">
        <f aca="false">Ipotesi!G7</f>
        <v>0.55</v>
      </c>
      <c r="H247" s="15" t="n">
        <f aca="false">Ipotesi!G9</f>
        <v>0.9</v>
      </c>
      <c r="I247" s="15" t="n">
        <f aca="false">Ipotesi!G10</f>
        <v>0.3</v>
      </c>
      <c r="J247" s="15" t="n">
        <f aca="false">Ipotesi!G11</f>
        <v>0.2</v>
      </c>
      <c r="K247" s="15" t="n">
        <f aca="false">Ipotesi!G12</f>
        <v>0.6</v>
      </c>
      <c r="L247" s="15" t="n">
        <f aca="false">Ipotesi!G13</f>
        <v>120</v>
      </c>
      <c r="M247" s="17" t="n">
        <f aca="false">INDEX(Ipotesi!$C$40:$G$40,1,F247)</f>
        <v>1</v>
      </c>
      <c r="N247" s="17" t="n">
        <f aca="false">INDEX(Ipotesi!$C$41:$G$41,1,F247)</f>
        <v>0.75</v>
      </c>
      <c r="O247" s="17" t="n">
        <f aca="false">INDEX(Ipotesi!$C$42:$G$42,1,F247)*Ipotesi!G125</f>
        <v>0.55</v>
      </c>
      <c r="P247" s="17" t="n">
        <f aca="false">INDEX(Ipotesi!$C$43:$G$43,1,F247)*I247</f>
        <v>0.3</v>
      </c>
      <c r="Q247" s="17" t="n">
        <f aca="false">INDEX(Ipotesi!$C$44:$G$44,1,F247)*I247</f>
        <v>0.15</v>
      </c>
      <c r="R247" s="17" t="n">
        <f aca="false">INDEX(Ipotesi!$C$45:$G$45,1,F247)*I247</f>
        <v>0</v>
      </c>
      <c r="S247" s="17" t="n">
        <f aca="false">INDEX(Ipotesi!$C$52:$G$52,1,F247)*Ipotesi!G125</f>
        <v>0.825</v>
      </c>
      <c r="T247" s="17" t="n">
        <f aca="false">INDEX(Ipotesi!$C$53:$G$53,1,F247)*I247</f>
        <v>0</v>
      </c>
      <c r="U247" s="17" t="n">
        <f aca="false">INDEX(Ipotesi!$C$54:$G$54,1,F247)*I247</f>
        <v>0</v>
      </c>
      <c r="V247" s="15" t="n">
        <f aca="false">M247*INDEX(Ipotesi!$C$58:$G$58,1,F247)*K247/12</f>
        <v>2000</v>
      </c>
      <c r="W247" s="15" t="n">
        <f aca="false">N247*Ipotesi!$C$59*(1+Ipotesi!$C$66)^(F247-1)/12</f>
        <v>4375</v>
      </c>
      <c r="X247" s="15" t="n">
        <f aca="false">O247*Ipotesi!$C$60*(1+Ipotesi!$C$66)^(F247-1)/12</f>
        <v>2291.66666666667</v>
      </c>
      <c r="Y247" s="15" t="n">
        <f aca="false">P247*Ipotesi!$C$61*(1+Ipotesi!$C$66)^(F247-1)/12</f>
        <v>1250</v>
      </c>
      <c r="Z247" s="15" t="n">
        <f aca="false">Q247*Ipotesi!$C$62*(1+Ipotesi!$C$66)^(F247-1)/12</f>
        <v>562.5</v>
      </c>
      <c r="AA247" s="15" t="n">
        <f aca="false">R247*Ipotesi!$C$63*(1+Ipotesi!$C$66)^(F247-1)/12</f>
        <v>0</v>
      </c>
      <c r="AB247" s="15" t="n">
        <f aca="false">SUM(V247:AA247)</f>
        <v>10479.1666666667</v>
      </c>
      <c r="AC247" s="15" t="n">
        <f aca="false">(S247*Ipotesi!$C$64+T247*Ipotesi!$C$65+U247*Ipotesi!$C$63)*(1+Ipotesi!$C$66)^(F247-1)/12</f>
        <v>2887.5</v>
      </c>
      <c r="AD247" s="15" t="n">
        <f aca="false">INDEX(Ipotesi!$C$48:$G$48,1,F247)*G247/12</f>
        <v>9.16666666666667</v>
      </c>
      <c r="AE247" s="15" t="n">
        <f aca="false">INDEX(Ipotesi!$C$50:$G$50,1,F247)*G247/12</f>
        <v>1.14583333333333</v>
      </c>
      <c r="AF247" s="15" t="n">
        <f aca="false">(S247*Parametri_v3!$C$7*Parametri_v3!$C$8+Parametri_v3!$C$10)/12</f>
        <v>10.5875</v>
      </c>
      <c r="AG247" s="15" t="n">
        <f aca="false">AD247+AE247*(1+Parametri_v3!$C$9)</f>
        <v>10.8854166666667</v>
      </c>
      <c r="AH247" s="16" t="n">
        <f aca="false">IF(AG247=0,1,MIN(1,AF247/AG247))</f>
        <v>0.972631578947368</v>
      </c>
      <c r="AI247" s="15" t="n">
        <f aca="false">AD247*AH247</f>
        <v>8.91578947368421</v>
      </c>
      <c r="AJ247" s="15" t="n">
        <f aca="false">AE247*AH247</f>
        <v>1.11447368421053</v>
      </c>
      <c r="AK247" s="15" t="n">
        <f aca="false">AI247*INDEX(Ipotesi!$C$49:$G$49,1,F247)*H247</f>
        <v>6018.15789473684</v>
      </c>
      <c r="AL247" s="15" t="n">
        <f aca="false">AJ247*INDEX(Ipotesi!$C$51:$G$51,1,F247)*H247</f>
        <v>2006.05263157895</v>
      </c>
      <c r="AM247" s="15" t="n">
        <f aca="false">AK247+AL247</f>
        <v>8024.21052631579</v>
      </c>
      <c r="AN247" s="15" t="n">
        <f aca="false">INDEX(Ipotesi!$C$30:$G$30,1,F247)*G247/12</f>
        <v>4.58333333333333</v>
      </c>
      <c r="AO247" s="15" t="n">
        <f aca="false">O247*Parametri_v3!$C$7*Parametri_v3!$C$11*(1-Parametri_v3!$C$14)/12</f>
        <v>5.64666666666667</v>
      </c>
      <c r="AP247" s="15" t="n">
        <f aca="false">MIN(AN247,AO247)</f>
        <v>4.58333333333333</v>
      </c>
      <c r="AQ247" s="15" t="n">
        <f aca="false">AP247*INDEX(Ipotesi!$C$31:$G$31,1,F247)*H247</f>
        <v>3712.5</v>
      </c>
      <c r="AR247" s="15" t="n">
        <f aca="false">INDEX(Ipotesi!$C$75:$G$75,1,F247)*J247/12</f>
        <v>416.666666666667</v>
      </c>
      <c r="AS247" s="15" t="n">
        <f aca="false">INDEX(Ipotesi!$C$81:$G$81,1,F247)*J247/12</f>
        <v>83.3333333333333</v>
      </c>
      <c r="AT247" s="15" t="n">
        <f aca="false">AR247*Parametri_v3!$C$15+Z247*Parametri_v3!$C$16</f>
        <v>810.416666666667</v>
      </c>
      <c r="AU247" s="15" t="n">
        <f aca="false">Q247*Parametri_v3!$C$16*Parametri_v3!$C$17</f>
        <v>10.5</v>
      </c>
      <c r="AV247" s="17" t="n">
        <f aca="false">BD246</f>
        <v>0</v>
      </c>
      <c r="AW247" s="17" t="n">
        <f aca="false">AV247*(1-(1-INDEX(Ipotesi!$C$34:$G$34,1,F247))^(1/12))</f>
        <v>0</v>
      </c>
      <c r="AX247" s="15" t="n">
        <f aca="false">ROUND(INDEX(Ipotesi!$C$32:$G$32,1,F247)*Ipotesi!G8,0)</f>
        <v>2</v>
      </c>
      <c r="AY247" s="15" t="n">
        <f aca="false">MAX(0,(AX247-(AV247-AW247))/(13-E247))</f>
        <v>0.2</v>
      </c>
      <c r="AZ247" s="15" t="n">
        <f aca="false">MIN(P247*Parametri_v3!$C$22,Q247*(1-Parametri_v3!$C$16)*Parametri_v3!$C$23)</f>
        <v>6.75</v>
      </c>
      <c r="BA247" s="15" t="n">
        <f aca="false">IF(OR(INDEX(Ipotesi!$C$35:$G$35,1,F247)&lt;=0,3-Parametri_v3!$C$21&lt;1),0,INDEX($AT$245:$AT$304,MAX(1,3-Parametri_v3!$C$21))/(INDEX(Ipotesi!$C$35:$G$35,1,F247)*Ipotesi!G27))</f>
        <v>0</v>
      </c>
      <c r="BB247" s="15" t="n">
        <f aca="false">IF(3-Parametri_v3!$C$21&lt;1,0,INDEX($AU$245:$AU$304,MAX(1,3-Parametri_v3!$C$21)))*Parametri_v3!$C$18*Parametri_v3!$C$19*Parametri_v3!$C$20</f>
        <v>0</v>
      </c>
      <c r="BC247" s="17" t="n">
        <f aca="false">MAX(0,MIN(AY247,BA247,BB247,MAX(0,AZ247-(AV247-AW247))))</f>
        <v>0</v>
      </c>
      <c r="BD247" s="17" t="n">
        <f aca="false">AV247-AW247+BC247</f>
        <v>0</v>
      </c>
      <c r="BE247" s="17" t="n">
        <f aca="false">(AV247+BD247)/2</f>
        <v>0</v>
      </c>
      <c r="BF247" s="15" t="n">
        <f aca="false">BE247*INDEX(Ipotesi!$C$33:$G$33,1,F247)*H247/12</f>
        <v>0</v>
      </c>
      <c r="BG247" s="15" t="n">
        <f aca="false">BD247*INDEX(Ipotesi!$C$33:$G$33,1,F247)*H247</f>
        <v>0</v>
      </c>
      <c r="BH247" s="15" t="n">
        <f aca="false">AM247*INDEX(Ipotesi!$C$37:$G$37,1,F247)</f>
        <v>802.421052631579</v>
      </c>
      <c r="BI247" s="15" t="n">
        <f aca="false">AQ247+BF247+BH247</f>
        <v>4514.92105263158</v>
      </c>
      <c r="BJ247" s="15" t="n">
        <f aca="false">INDEX(Ipotesi!$C$68:$G$68,1,F247)*Ipotesi!$C$69/12</f>
        <v>1000</v>
      </c>
      <c r="BK247" s="15" t="n">
        <f aca="false">INDEX(Ipotesi!$C$68:$G$68,1,F247)*(1-Ipotesi!$C$69)/12</f>
        <v>1500</v>
      </c>
      <c r="BL247" s="15" t="n">
        <f aca="false">(AQ247+BF247)*Ipotesi!$C$67</f>
        <v>111.375</v>
      </c>
      <c r="BM247" s="15" t="n">
        <f aca="false">AM247*Ipotesi!$C$67</f>
        <v>240.726315789474</v>
      </c>
      <c r="BN247" s="15" t="n">
        <f aca="false">INDEX(Ipotesi!$C$72:$G$72,1,F247)/12*Ipotesi!G126+BF247*Ipotesi!$C$73</f>
        <v>750</v>
      </c>
      <c r="BO247" s="15" t="n">
        <f aca="false">INDEX(Ipotesi!$C$74:$G$74,1,F247)/12*Ipotesi!G126</f>
        <v>600</v>
      </c>
      <c r="BP247" s="15" t="n">
        <f aca="false">INDEX(Ipotesi!$C$76:$G$76,1,F247)/12</f>
        <v>500</v>
      </c>
      <c r="BQ247" s="15" t="n">
        <f aca="false">INDEX(Ipotesi!$C$77:$G$77,1,F247)/12*Ipotesi!G126</f>
        <v>750</v>
      </c>
      <c r="BR247" s="15" t="n">
        <f aca="false">INDEX(Ipotesi!$C$78:$G$78,1,F247)/12</f>
        <v>1000</v>
      </c>
      <c r="BS247" s="15" t="n">
        <f aca="false">SUM(M247:R247)*(Ipotesi!$C$85+Ipotesi!$C$86)/12</f>
        <v>802.083333333333</v>
      </c>
      <c r="BT247" s="15" t="n">
        <f aca="false">BI247*Ipotesi!$C$87</f>
        <v>135.447631578947</v>
      </c>
      <c r="BU247" s="15" t="n">
        <f aca="false">INDEX(Ipotesi!$C$55:$G$55,1,F247)*K247/12</f>
        <v>300</v>
      </c>
      <c r="BV247" s="15" t="n">
        <f aca="false">INDEX(Ipotesi!$C$80:$G$80,1,F247)/12*Ipotesi!G126</f>
        <v>300</v>
      </c>
      <c r="BW247" s="15" t="n">
        <f aca="false">INDEX(Ipotesi!$C$82:$G$82,1,F247)/12</f>
        <v>416.666666666667</v>
      </c>
      <c r="BX247" s="15" t="n">
        <f aca="false">INDEX(Ipotesi!$C$83:$G$83,1,F247)/12</f>
        <v>500</v>
      </c>
      <c r="BY247" s="15" t="n">
        <f aca="false">SUM(S247:U247)*(Ipotesi!$C$85+Ipotesi!$C$86)/12</f>
        <v>240.625</v>
      </c>
      <c r="BZ247" s="15" t="n">
        <f aca="false">AM247*Ipotesi!$C$87</f>
        <v>240.726315789474</v>
      </c>
      <c r="CA247" s="15" t="n">
        <f aca="false">AB247+BJ247+BL247+BN247+BO247+AR247+BP247+BQ247+BR247+BS247+BT247</f>
        <v>16544.7392982456</v>
      </c>
      <c r="CB247" s="15" t="n">
        <f aca="false">AC247+BK247+BM247+BH247+BU247+BV247+AS247+BW247+BX247+BY247+BZ247</f>
        <v>7511.99868421053</v>
      </c>
      <c r="CC247" s="15" t="n">
        <f aca="false">BI247-CA247</f>
        <v>-12029.818245614</v>
      </c>
      <c r="CD247" s="15" t="n">
        <f aca="false">AM247-CB247</f>
        <v>512.211842105264</v>
      </c>
      <c r="CE247" s="15" t="n">
        <f aca="false">INDEX(Ipotesi!$C$79:$G$79,1,F247)/12</f>
        <v>1666.66666666667</v>
      </c>
      <c r="CF247" s="15" t="n">
        <f aca="false">INDEX(Ipotesi!$C$84:$G$84,1,F247)/12</f>
        <v>250</v>
      </c>
      <c r="CG247" s="15" t="n">
        <f aca="false">Y247*MAX(0,Parametri_v3!$C$12-IF(P247=0,0,MIN(1,BE247/(P247*Parametri_v3!$C$22))))+W247*Parametri_v3!$C$13+X247*Parametri_v3!$C$14</f>
        <v>3895.83333333333</v>
      </c>
      <c r="CH247" s="15" t="n">
        <f aca="false">AB247*Parametri_v3!$C$32</f>
        <v>523.958333333333</v>
      </c>
      <c r="CI247" s="15" t="n">
        <f aca="false">AC247*Parametri_v3!$C$32</f>
        <v>144.375</v>
      </c>
      <c r="CJ247" s="15" t="n">
        <f aca="false">CA247-AB247</f>
        <v>6065.57263157895</v>
      </c>
      <c r="CK247" s="15" t="n">
        <f aca="false">CB247-AC247-BH247</f>
        <v>3822.07763157895</v>
      </c>
      <c r="CL247" s="15" t="n">
        <f aca="false">BF247*Ipotesi!$C$73+INDEX(Ipotesi!$C$72:$G$72,1,F247)/12*Ipotesi!G126*Parametri_v3!$C$58+Z247*(1-Parametri_v3!$C$16)</f>
        <v>918.75</v>
      </c>
      <c r="CM247" s="16" t="n">
        <f aca="false">IF(BF247=0,0,1-CL247/BF247)</f>
        <v>0</v>
      </c>
    </row>
    <row r="248" customFormat="false" ht="18" hidden="false" customHeight="true" outlineLevel="0" collapsed="false">
      <c r="A248" s="68" t="n">
        <f aca="false">5</f>
        <v>5</v>
      </c>
      <c r="B248" s="68" t="n">
        <f aca="false">4</f>
        <v>4</v>
      </c>
      <c r="C248" s="18" t="n">
        <f aca="false">EDATE(Parametri_v3!$C$5,4-1)</f>
        <v>46478</v>
      </c>
      <c r="D248" s="68" t="n">
        <f aca="false">YEAR(C248)</f>
        <v>2027</v>
      </c>
      <c r="E248" s="68" t="n">
        <f aca="false">MONTH(C248)</f>
        <v>4</v>
      </c>
      <c r="F248" s="68" t="n">
        <f aca="false">INT((4-1)/12)+1</f>
        <v>1</v>
      </c>
      <c r="G248" s="15" t="n">
        <f aca="false">Ipotesi!G7</f>
        <v>0.55</v>
      </c>
      <c r="H248" s="15" t="n">
        <f aca="false">Ipotesi!G9</f>
        <v>0.9</v>
      </c>
      <c r="I248" s="15" t="n">
        <f aca="false">Ipotesi!G10</f>
        <v>0.3</v>
      </c>
      <c r="J248" s="15" t="n">
        <f aca="false">Ipotesi!G11</f>
        <v>0.2</v>
      </c>
      <c r="K248" s="15" t="n">
        <f aca="false">Ipotesi!G12</f>
        <v>0.6</v>
      </c>
      <c r="L248" s="15" t="n">
        <f aca="false">Ipotesi!G13</f>
        <v>120</v>
      </c>
      <c r="M248" s="17" t="n">
        <f aca="false">INDEX(Ipotesi!$C$40:$G$40,1,F248)</f>
        <v>1</v>
      </c>
      <c r="N248" s="17" t="n">
        <f aca="false">INDEX(Ipotesi!$C$41:$G$41,1,F248)</f>
        <v>0.75</v>
      </c>
      <c r="O248" s="17" t="n">
        <f aca="false">INDEX(Ipotesi!$C$42:$G$42,1,F248)*Ipotesi!G125</f>
        <v>0.55</v>
      </c>
      <c r="P248" s="17" t="n">
        <f aca="false">INDEX(Ipotesi!$C$43:$G$43,1,F248)*I248</f>
        <v>0.3</v>
      </c>
      <c r="Q248" s="17" t="n">
        <f aca="false">INDEX(Ipotesi!$C$44:$G$44,1,F248)*I248</f>
        <v>0.15</v>
      </c>
      <c r="R248" s="17" t="n">
        <f aca="false">INDEX(Ipotesi!$C$45:$G$45,1,F248)*I248</f>
        <v>0</v>
      </c>
      <c r="S248" s="17" t="n">
        <f aca="false">INDEX(Ipotesi!$C$52:$G$52,1,F248)*Ipotesi!G125</f>
        <v>0.825</v>
      </c>
      <c r="T248" s="17" t="n">
        <f aca="false">INDEX(Ipotesi!$C$53:$G$53,1,F248)*I248</f>
        <v>0</v>
      </c>
      <c r="U248" s="17" t="n">
        <f aca="false">INDEX(Ipotesi!$C$54:$G$54,1,F248)*I248</f>
        <v>0</v>
      </c>
      <c r="V248" s="15" t="n">
        <f aca="false">M248*INDEX(Ipotesi!$C$58:$G$58,1,F248)*K248/12</f>
        <v>2000</v>
      </c>
      <c r="W248" s="15" t="n">
        <f aca="false">N248*Ipotesi!$C$59*(1+Ipotesi!$C$66)^(F248-1)/12</f>
        <v>4375</v>
      </c>
      <c r="X248" s="15" t="n">
        <f aca="false">O248*Ipotesi!$C$60*(1+Ipotesi!$C$66)^(F248-1)/12</f>
        <v>2291.66666666667</v>
      </c>
      <c r="Y248" s="15" t="n">
        <f aca="false">P248*Ipotesi!$C$61*(1+Ipotesi!$C$66)^(F248-1)/12</f>
        <v>1250</v>
      </c>
      <c r="Z248" s="15" t="n">
        <f aca="false">Q248*Ipotesi!$C$62*(1+Ipotesi!$C$66)^(F248-1)/12</f>
        <v>562.5</v>
      </c>
      <c r="AA248" s="15" t="n">
        <f aca="false">R248*Ipotesi!$C$63*(1+Ipotesi!$C$66)^(F248-1)/12</f>
        <v>0</v>
      </c>
      <c r="AB248" s="15" t="n">
        <f aca="false">SUM(V248:AA248)</f>
        <v>10479.1666666667</v>
      </c>
      <c r="AC248" s="15" t="n">
        <f aca="false">(S248*Ipotesi!$C$64+T248*Ipotesi!$C$65+U248*Ipotesi!$C$63)*(1+Ipotesi!$C$66)^(F248-1)/12</f>
        <v>2887.5</v>
      </c>
      <c r="AD248" s="15" t="n">
        <f aca="false">INDEX(Ipotesi!$C$48:$G$48,1,F248)*G248/12</f>
        <v>9.16666666666667</v>
      </c>
      <c r="AE248" s="15" t="n">
        <f aca="false">INDEX(Ipotesi!$C$50:$G$50,1,F248)*G248/12</f>
        <v>1.14583333333333</v>
      </c>
      <c r="AF248" s="15" t="n">
        <f aca="false">(S248*Parametri_v3!$C$7*Parametri_v3!$C$8+Parametri_v3!$C$10)/12</f>
        <v>10.5875</v>
      </c>
      <c r="AG248" s="15" t="n">
        <f aca="false">AD248+AE248*(1+Parametri_v3!$C$9)</f>
        <v>10.8854166666667</v>
      </c>
      <c r="AH248" s="16" t="n">
        <f aca="false">IF(AG248=0,1,MIN(1,AF248/AG248))</f>
        <v>0.972631578947368</v>
      </c>
      <c r="AI248" s="15" t="n">
        <f aca="false">AD248*AH248</f>
        <v>8.91578947368421</v>
      </c>
      <c r="AJ248" s="15" t="n">
        <f aca="false">AE248*AH248</f>
        <v>1.11447368421053</v>
      </c>
      <c r="AK248" s="15" t="n">
        <f aca="false">AI248*INDEX(Ipotesi!$C$49:$G$49,1,F248)*H248</f>
        <v>6018.15789473684</v>
      </c>
      <c r="AL248" s="15" t="n">
        <f aca="false">AJ248*INDEX(Ipotesi!$C$51:$G$51,1,F248)*H248</f>
        <v>2006.05263157895</v>
      </c>
      <c r="AM248" s="15" t="n">
        <f aca="false">AK248+AL248</f>
        <v>8024.21052631579</v>
      </c>
      <c r="AN248" s="15" t="n">
        <f aca="false">INDEX(Ipotesi!$C$30:$G$30,1,F248)*G248/12</f>
        <v>4.58333333333333</v>
      </c>
      <c r="AO248" s="15" t="n">
        <f aca="false">O248*Parametri_v3!$C$7*Parametri_v3!$C$11*(1-Parametri_v3!$C$14)/12</f>
        <v>5.64666666666667</v>
      </c>
      <c r="AP248" s="15" t="n">
        <f aca="false">MIN(AN248,AO248)</f>
        <v>4.58333333333333</v>
      </c>
      <c r="AQ248" s="15" t="n">
        <f aca="false">AP248*INDEX(Ipotesi!$C$31:$G$31,1,F248)*H248</f>
        <v>3712.5</v>
      </c>
      <c r="AR248" s="15" t="n">
        <f aca="false">INDEX(Ipotesi!$C$75:$G$75,1,F248)*J248/12</f>
        <v>416.666666666667</v>
      </c>
      <c r="AS248" s="15" t="n">
        <f aca="false">INDEX(Ipotesi!$C$81:$G$81,1,F248)*J248/12</f>
        <v>83.3333333333333</v>
      </c>
      <c r="AT248" s="15" t="n">
        <f aca="false">AR248*Parametri_v3!$C$15+Z248*Parametri_v3!$C$16</f>
        <v>810.416666666667</v>
      </c>
      <c r="AU248" s="15" t="n">
        <f aca="false">Q248*Parametri_v3!$C$16*Parametri_v3!$C$17</f>
        <v>10.5</v>
      </c>
      <c r="AV248" s="17" t="n">
        <f aca="false">BD247</f>
        <v>0</v>
      </c>
      <c r="AW248" s="17" t="n">
        <f aca="false">AV248*(1-(1-INDEX(Ipotesi!$C$34:$G$34,1,F248))^(1/12))</f>
        <v>0</v>
      </c>
      <c r="AX248" s="15" t="n">
        <f aca="false">ROUND(INDEX(Ipotesi!$C$32:$G$32,1,F248)*Ipotesi!G8,0)</f>
        <v>2</v>
      </c>
      <c r="AY248" s="15" t="n">
        <f aca="false">MAX(0,(AX248-(AV248-AW248))/(13-E248))</f>
        <v>0.222222222222222</v>
      </c>
      <c r="AZ248" s="15" t="n">
        <f aca="false">MIN(P248*Parametri_v3!$C$22,Q248*(1-Parametri_v3!$C$16)*Parametri_v3!$C$23)</f>
        <v>6.75</v>
      </c>
      <c r="BA248" s="15" t="n">
        <f aca="false">IF(OR(INDEX(Ipotesi!$C$35:$G$35,1,F248)&lt;=0,4-Parametri_v3!$C$21&lt;1),0,INDEX($AT$245:$AT$304,MAX(1,4-Parametri_v3!$C$21))/(INDEX(Ipotesi!$C$35:$G$35,1,F248)*Ipotesi!G27))</f>
        <v>0.124679487179487</v>
      </c>
      <c r="BB248" s="15" t="n">
        <f aca="false">IF(4-Parametri_v3!$C$21&lt;1,0,INDEX($AU$245:$AU$304,MAX(1,4-Parametri_v3!$C$21)))*Parametri_v3!$C$18*Parametri_v3!$C$19*Parametri_v3!$C$20</f>
        <v>0.39375</v>
      </c>
      <c r="BC248" s="17" t="n">
        <f aca="false">MAX(0,MIN(AY248,BA248,BB248,MAX(0,AZ248-(AV248-AW248))))</f>
        <v>0.124679487179487</v>
      </c>
      <c r="BD248" s="17" t="n">
        <f aca="false">AV248-AW248+BC248</f>
        <v>0.124679487179487</v>
      </c>
      <c r="BE248" s="17" t="n">
        <f aca="false">(AV248+BD248)/2</f>
        <v>0.0623397435897436</v>
      </c>
      <c r="BF248" s="15" t="n">
        <f aca="false">BE248*INDEX(Ipotesi!$C$33:$G$33,1,F248)*H248/12</f>
        <v>9.35096153846154</v>
      </c>
      <c r="BG248" s="15" t="n">
        <f aca="false">BD248*INDEX(Ipotesi!$C$33:$G$33,1,F248)*H248</f>
        <v>224.423076923077</v>
      </c>
      <c r="BH248" s="15" t="n">
        <f aca="false">AM248*INDEX(Ipotesi!$C$37:$G$37,1,F248)</f>
        <v>802.421052631579</v>
      </c>
      <c r="BI248" s="15" t="n">
        <f aca="false">AQ248+BF248+BH248</f>
        <v>4524.27201417004</v>
      </c>
      <c r="BJ248" s="15" t="n">
        <f aca="false">INDEX(Ipotesi!$C$68:$G$68,1,F248)*Ipotesi!$C$69/12</f>
        <v>1000</v>
      </c>
      <c r="BK248" s="15" t="n">
        <f aca="false">INDEX(Ipotesi!$C$68:$G$68,1,F248)*(1-Ipotesi!$C$69)/12</f>
        <v>1500</v>
      </c>
      <c r="BL248" s="15" t="n">
        <f aca="false">(AQ248+BF248)*Ipotesi!$C$67</f>
        <v>111.655528846154</v>
      </c>
      <c r="BM248" s="15" t="n">
        <f aca="false">AM248*Ipotesi!$C$67</f>
        <v>240.726315789474</v>
      </c>
      <c r="BN248" s="15" t="n">
        <f aca="false">INDEX(Ipotesi!$C$72:$G$72,1,F248)/12*Ipotesi!G126+BF248*Ipotesi!$C$73</f>
        <v>750.748076923077</v>
      </c>
      <c r="BO248" s="15" t="n">
        <f aca="false">INDEX(Ipotesi!$C$74:$G$74,1,F248)/12*Ipotesi!G126</f>
        <v>600</v>
      </c>
      <c r="BP248" s="15" t="n">
        <f aca="false">INDEX(Ipotesi!$C$76:$G$76,1,F248)/12</f>
        <v>500</v>
      </c>
      <c r="BQ248" s="15" t="n">
        <f aca="false">INDEX(Ipotesi!$C$77:$G$77,1,F248)/12*Ipotesi!G126</f>
        <v>750</v>
      </c>
      <c r="BR248" s="15" t="n">
        <f aca="false">INDEX(Ipotesi!$C$78:$G$78,1,F248)/12</f>
        <v>1000</v>
      </c>
      <c r="BS248" s="15" t="n">
        <f aca="false">SUM(M248:R248)*(Ipotesi!$C$85+Ipotesi!$C$86)/12</f>
        <v>802.083333333333</v>
      </c>
      <c r="BT248" s="15" t="n">
        <f aca="false">BI248*Ipotesi!$C$87</f>
        <v>135.728160425101</v>
      </c>
      <c r="BU248" s="15" t="n">
        <f aca="false">INDEX(Ipotesi!$C$55:$G$55,1,F248)*K248/12</f>
        <v>300</v>
      </c>
      <c r="BV248" s="15" t="n">
        <f aca="false">INDEX(Ipotesi!$C$80:$G$80,1,F248)/12*Ipotesi!G126</f>
        <v>300</v>
      </c>
      <c r="BW248" s="15" t="n">
        <f aca="false">INDEX(Ipotesi!$C$82:$G$82,1,F248)/12</f>
        <v>416.666666666667</v>
      </c>
      <c r="BX248" s="15" t="n">
        <f aca="false">INDEX(Ipotesi!$C$83:$G$83,1,F248)/12</f>
        <v>500</v>
      </c>
      <c r="BY248" s="15" t="n">
        <f aca="false">SUM(S248:U248)*(Ipotesi!$C$85+Ipotesi!$C$86)/12</f>
        <v>240.625</v>
      </c>
      <c r="BZ248" s="15" t="n">
        <f aca="false">AM248*Ipotesi!$C$87</f>
        <v>240.726315789474</v>
      </c>
      <c r="CA248" s="15" t="n">
        <f aca="false">AB248+BJ248+BL248+BN248+BO248+AR248+BP248+BQ248+BR248+BS248+BT248</f>
        <v>16546.048432861</v>
      </c>
      <c r="CB248" s="15" t="n">
        <f aca="false">AC248+BK248+BM248+BH248+BU248+BV248+AS248+BW248+BX248+BY248+BZ248</f>
        <v>7511.99868421053</v>
      </c>
      <c r="CC248" s="15" t="n">
        <f aca="false">BI248-CA248</f>
        <v>-12021.776418691</v>
      </c>
      <c r="CD248" s="15" t="n">
        <f aca="false">AM248-CB248</f>
        <v>512.211842105264</v>
      </c>
      <c r="CE248" s="15" t="n">
        <f aca="false">INDEX(Ipotesi!$C$79:$G$79,1,F248)/12</f>
        <v>1666.66666666667</v>
      </c>
      <c r="CF248" s="15" t="n">
        <f aca="false">INDEX(Ipotesi!$C$84:$G$84,1,F248)/12</f>
        <v>250</v>
      </c>
      <c r="CG248" s="15" t="n">
        <f aca="false">Y248*MAX(0,Parametri_v3!$C$12-IF(P248=0,0,MIN(1,BE248/(P248*Parametri_v3!$C$22))))+W248*Parametri_v3!$C$13+X248*Parametri_v3!$C$14</f>
        <v>3893.23584401709</v>
      </c>
      <c r="CH248" s="15" t="n">
        <f aca="false">AB248*Parametri_v3!$C$32</f>
        <v>523.958333333333</v>
      </c>
      <c r="CI248" s="15" t="n">
        <f aca="false">AC248*Parametri_v3!$C$32</f>
        <v>144.375</v>
      </c>
      <c r="CJ248" s="15" t="n">
        <f aca="false">CA248-AB248</f>
        <v>6066.88176619433</v>
      </c>
      <c r="CK248" s="15" t="n">
        <f aca="false">CB248-AC248-BH248</f>
        <v>3822.07763157895</v>
      </c>
      <c r="CL248" s="15" t="n">
        <f aca="false">BF248*Ipotesi!$C$73+INDEX(Ipotesi!$C$72:$G$72,1,F248)/12*Ipotesi!G126*Parametri_v3!$C$58+Z248*(1-Parametri_v3!$C$16)</f>
        <v>919.498076923077</v>
      </c>
      <c r="CM248" s="16" t="n">
        <f aca="false">IF(BF248=0,0,1-CL248/BF248)</f>
        <v>-97.3319280205655</v>
      </c>
    </row>
    <row r="249" customFormat="false" ht="18" hidden="false" customHeight="true" outlineLevel="0" collapsed="false">
      <c r="A249" s="68" t="n">
        <f aca="false">5</f>
        <v>5</v>
      </c>
      <c r="B249" s="68" t="n">
        <f aca="false">5</f>
        <v>5</v>
      </c>
      <c r="C249" s="18" t="n">
        <f aca="false">EDATE(Parametri_v3!$C$5,5-1)</f>
        <v>46508</v>
      </c>
      <c r="D249" s="68" t="n">
        <f aca="false">YEAR(C249)</f>
        <v>2027</v>
      </c>
      <c r="E249" s="68" t="n">
        <f aca="false">MONTH(C249)</f>
        <v>5</v>
      </c>
      <c r="F249" s="68" t="n">
        <f aca="false">INT((5-1)/12)+1</f>
        <v>1</v>
      </c>
      <c r="G249" s="15" t="n">
        <f aca="false">Ipotesi!G7</f>
        <v>0.55</v>
      </c>
      <c r="H249" s="15" t="n">
        <f aca="false">Ipotesi!G9</f>
        <v>0.9</v>
      </c>
      <c r="I249" s="15" t="n">
        <f aca="false">Ipotesi!G10</f>
        <v>0.3</v>
      </c>
      <c r="J249" s="15" t="n">
        <f aca="false">Ipotesi!G11</f>
        <v>0.2</v>
      </c>
      <c r="K249" s="15" t="n">
        <f aca="false">Ipotesi!G12</f>
        <v>0.6</v>
      </c>
      <c r="L249" s="15" t="n">
        <f aca="false">Ipotesi!G13</f>
        <v>120</v>
      </c>
      <c r="M249" s="17" t="n">
        <f aca="false">INDEX(Ipotesi!$C$40:$G$40,1,F249)</f>
        <v>1</v>
      </c>
      <c r="N249" s="17" t="n">
        <f aca="false">INDEX(Ipotesi!$C$41:$G$41,1,F249)</f>
        <v>0.75</v>
      </c>
      <c r="O249" s="17" t="n">
        <f aca="false">INDEX(Ipotesi!$C$42:$G$42,1,F249)*Ipotesi!G125</f>
        <v>0.55</v>
      </c>
      <c r="P249" s="17" t="n">
        <f aca="false">INDEX(Ipotesi!$C$43:$G$43,1,F249)*I249</f>
        <v>0.3</v>
      </c>
      <c r="Q249" s="17" t="n">
        <f aca="false">INDEX(Ipotesi!$C$44:$G$44,1,F249)*I249</f>
        <v>0.15</v>
      </c>
      <c r="R249" s="17" t="n">
        <f aca="false">INDEX(Ipotesi!$C$45:$G$45,1,F249)*I249</f>
        <v>0</v>
      </c>
      <c r="S249" s="17" t="n">
        <f aca="false">INDEX(Ipotesi!$C$52:$G$52,1,F249)*Ipotesi!G125</f>
        <v>0.825</v>
      </c>
      <c r="T249" s="17" t="n">
        <f aca="false">INDEX(Ipotesi!$C$53:$G$53,1,F249)*I249</f>
        <v>0</v>
      </c>
      <c r="U249" s="17" t="n">
        <f aca="false">INDEX(Ipotesi!$C$54:$G$54,1,F249)*I249</f>
        <v>0</v>
      </c>
      <c r="V249" s="15" t="n">
        <f aca="false">M249*INDEX(Ipotesi!$C$58:$G$58,1,F249)*K249/12</f>
        <v>2000</v>
      </c>
      <c r="W249" s="15" t="n">
        <f aca="false">N249*Ipotesi!$C$59*(1+Ipotesi!$C$66)^(F249-1)/12</f>
        <v>4375</v>
      </c>
      <c r="X249" s="15" t="n">
        <f aca="false">O249*Ipotesi!$C$60*(1+Ipotesi!$C$66)^(F249-1)/12</f>
        <v>2291.66666666667</v>
      </c>
      <c r="Y249" s="15" t="n">
        <f aca="false">P249*Ipotesi!$C$61*(1+Ipotesi!$C$66)^(F249-1)/12</f>
        <v>1250</v>
      </c>
      <c r="Z249" s="15" t="n">
        <f aca="false">Q249*Ipotesi!$C$62*(1+Ipotesi!$C$66)^(F249-1)/12</f>
        <v>562.5</v>
      </c>
      <c r="AA249" s="15" t="n">
        <f aca="false">R249*Ipotesi!$C$63*(1+Ipotesi!$C$66)^(F249-1)/12</f>
        <v>0</v>
      </c>
      <c r="AB249" s="15" t="n">
        <f aca="false">SUM(V249:AA249)</f>
        <v>10479.1666666667</v>
      </c>
      <c r="AC249" s="15" t="n">
        <f aca="false">(S249*Ipotesi!$C$64+T249*Ipotesi!$C$65+U249*Ipotesi!$C$63)*(1+Ipotesi!$C$66)^(F249-1)/12</f>
        <v>2887.5</v>
      </c>
      <c r="AD249" s="15" t="n">
        <f aca="false">INDEX(Ipotesi!$C$48:$G$48,1,F249)*G249/12</f>
        <v>9.16666666666667</v>
      </c>
      <c r="AE249" s="15" t="n">
        <f aca="false">INDEX(Ipotesi!$C$50:$G$50,1,F249)*G249/12</f>
        <v>1.14583333333333</v>
      </c>
      <c r="AF249" s="15" t="n">
        <f aca="false">(S249*Parametri_v3!$C$7*Parametri_v3!$C$8+Parametri_v3!$C$10)/12</f>
        <v>10.5875</v>
      </c>
      <c r="AG249" s="15" t="n">
        <f aca="false">AD249+AE249*(1+Parametri_v3!$C$9)</f>
        <v>10.8854166666667</v>
      </c>
      <c r="AH249" s="16" t="n">
        <f aca="false">IF(AG249=0,1,MIN(1,AF249/AG249))</f>
        <v>0.972631578947368</v>
      </c>
      <c r="AI249" s="15" t="n">
        <f aca="false">AD249*AH249</f>
        <v>8.91578947368421</v>
      </c>
      <c r="AJ249" s="15" t="n">
        <f aca="false">AE249*AH249</f>
        <v>1.11447368421053</v>
      </c>
      <c r="AK249" s="15" t="n">
        <f aca="false">AI249*INDEX(Ipotesi!$C$49:$G$49,1,F249)*H249</f>
        <v>6018.15789473684</v>
      </c>
      <c r="AL249" s="15" t="n">
        <f aca="false">AJ249*INDEX(Ipotesi!$C$51:$G$51,1,F249)*H249</f>
        <v>2006.05263157895</v>
      </c>
      <c r="AM249" s="15" t="n">
        <f aca="false">AK249+AL249</f>
        <v>8024.21052631579</v>
      </c>
      <c r="AN249" s="15" t="n">
        <f aca="false">INDEX(Ipotesi!$C$30:$G$30,1,F249)*G249/12</f>
        <v>4.58333333333333</v>
      </c>
      <c r="AO249" s="15" t="n">
        <f aca="false">O249*Parametri_v3!$C$7*Parametri_v3!$C$11*(1-Parametri_v3!$C$14)/12</f>
        <v>5.64666666666667</v>
      </c>
      <c r="AP249" s="15" t="n">
        <f aca="false">MIN(AN249,AO249)</f>
        <v>4.58333333333333</v>
      </c>
      <c r="AQ249" s="15" t="n">
        <f aca="false">AP249*INDEX(Ipotesi!$C$31:$G$31,1,F249)*H249</f>
        <v>3712.5</v>
      </c>
      <c r="AR249" s="15" t="n">
        <f aca="false">INDEX(Ipotesi!$C$75:$G$75,1,F249)*J249/12</f>
        <v>416.666666666667</v>
      </c>
      <c r="AS249" s="15" t="n">
        <f aca="false">INDEX(Ipotesi!$C$81:$G$81,1,F249)*J249/12</f>
        <v>83.3333333333333</v>
      </c>
      <c r="AT249" s="15" t="n">
        <f aca="false">AR249*Parametri_v3!$C$15+Z249*Parametri_v3!$C$16</f>
        <v>810.416666666667</v>
      </c>
      <c r="AU249" s="15" t="n">
        <f aca="false">Q249*Parametri_v3!$C$16*Parametri_v3!$C$17</f>
        <v>10.5</v>
      </c>
      <c r="AV249" s="17" t="n">
        <f aca="false">BD248</f>
        <v>0.124679487179487</v>
      </c>
      <c r="AW249" s="17" t="n">
        <f aca="false">AV249*(1-(1-INDEX(Ipotesi!$C$34:$G$34,1,F249))^(1/12))</f>
        <v>0</v>
      </c>
      <c r="AX249" s="15" t="n">
        <f aca="false">ROUND(INDEX(Ipotesi!$C$32:$G$32,1,F249)*Ipotesi!G8,0)</f>
        <v>2</v>
      </c>
      <c r="AY249" s="15" t="n">
        <f aca="false">MAX(0,(AX249-(AV249-AW249))/(13-E249))</f>
        <v>0.234415064102564</v>
      </c>
      <c r="AZ249" s="15" t="n">
        <f aca="false">MIN(P249*Parametri_v3!$C$22,Q249*(1-Parametri_v3!$C$16)*Parametri_v3!$C$23)</f>
        <v>6.75</v>
      </c>
      <c r="BA249" s="15" t="n">
        <f aca="false">IF(OR(INDEX(Ipotesi!$C$35:$G$35,1,F249)&lt;=0,5-Parametri_v3!$C$21&lt;1),0,INDEX($AT$245:$AT$304,MAX(1,5-Parametri_v3!$C$21))/(INDEX(Ipotesi!$C$35:$G$35,1,F249)*Ipotesi!G27))</f>
        <v>0.124679487179487</v>
      </c>
      <c r="BB249" s="15" t="n">
        <f aca="false">IF(5-Parametri_v3!$C$21&lt;1,0,INDEX($AU$245:$AU$304,MAX(1,5-Parametri_v3!$C$21)))*Parametri_v3!$C$18*Parametri_v3!$C$19*Parametri_v3!$C$20</f>
        <v>0.39375</v>
      </c>
      <c r="BC249" s="17" t="n">
        <f aca="false">MAX(0,MIN(AY249,BA249,BB249,MAX(0,AZ249-(AV249-AW249))))</f>
        <v>0.124679487179487</v>
      </c>
      <c r="BD249" s="17" t="n">
        <f aca="false">AV249-AW249+BC249</f>
        <v>0.249358974358974</v>
      </c>
      <c r="BE249" s="17" t="n">
        <f aca="false">(AV249+BD249)/2</f>
        <v>0.187019230769231</v>
      </c>
      <c r="BF249" s="15" t="n">
        <f aca="false">BE249*INDEX(Ipotesi!$C$33:$G$33,1,F249)*H249/12</f>
        <v>28.0528846153846</v>
      </c>
      <c r="BG249" s="15" t="n">
        <f aca="false">BD249*INDEX(Ipotesi!$C$33:$G$33,1,F249)*H249</f>
        <v>448.846153846154</v>
      </c>
      <c r="BH249" s="15" t="n">
        <f aca="false">AM249*INDEX(Ipotesi!$C$37:$G$37,1,F249)</f>
        <v>802.421052631579</v>
      </c>
      <c r="BI249" s="15" t="n">
        <f aca="false">AQ249+BF249+BH249</f>
        <v>4542.97393724697</v>
      </c>
      <c r="BJ249" s="15" t="n">
        <f aca="false">INDEX(Ipotesi!$C$68:$G$68,1,F249)*Ipotesi!$C$69/12</f>
        <v>1000</v>
      </c>
      <c r="BK249" s="15" t="n">
        <f aca="false">INDEX(Ipotesi!$C$68:$G$68,1,F249)*(1-Ipotesi!$C$69)/12</f>
        <v>1500</v>
      </c>
      <c r="BL249" s="15" t="n">
        <f aca="false">(AQ249+BF249)*Ipotesi!$C$67</f>
        <v>112.216586538462</v>
      </c>
      <c r="BM249" s="15" t="n">
        <f aca="false">AM249*Ipotesi!$C$67</f>
        <v>240.726315789474</v>
      </c>
      <c r="BN249" s="15" t="n">
        <f aca="false">INDEX(Ipotesi!$C$72:$G$72,1,F249)/12*Ipotesi!G126+BF249*Ipotesi!$C$73</f>
        <v>752.244230769231</v>
      </c>
      <c r="BO249" s="15" t="n">
        <f aca="false">INDEX(Ipotesi!$C$74:$G$74,1,F249)/12*Ipotesi!G126</f>
        <v>600</v>
      </c>
      <c r="BP249" s="15" t="n">
        <f aca="false">INDEX(Ipotesi!$C$76:$G$76,1,F249)/12</f>
        <v>500</v>
      </c>
      <c r="BQ249" s="15" t="n">
        <f aca="false">INDEX(Ipotesi!$C$77:$G$77,1,F249)/12*Ipotesi!G126</f>
        <v>750</v>
      </c>
      <c r="BR249" s="15" t="n">
        <f aca="false">INDEX(Ipotesi!$C$78:$G$78,1,F249)/12</f>
        <v>1000</v>
      </c>
      <c r="BS249" s="15" t="n">
        <f aca="false">SUM(M249:R249)*(Ipotesi!$C$85+Ipotesi!$C$86)/12</f>
        <v>802.083333333333</v>
      </c>
      <c r="BT249" s="15" t="n">
        <f aca="false">BI249*Ipotesi!$C$87</f>
        <v>136.289218117409</v>
      </c>
      <c r="BU249" s="15" t="n">
        <f aca="false">INDEX(Ipotesi!$C$55:$G$55,1,F249)*K249/12</f>
        <v>300</v>
      </c>
      <c r="BV249" s="15" t="n">
        <f aca="false">INDEX(Ipotesi!$C$80:$G$80,1,F249)/12*Ipotesi!G126</f>
        <v>300</v>
      </c>
      <c r="BW249" s="15" t="n">
        <f aca="false">INDEX(Ipotesi!$C$82:$G$82,1,F249)/12</f>
        <v>416.666666666667</v>
      </c>
      <c r="BX249" s="15" t="n">
        <f aca="false">INDEX(Ipotesi!$C$83:$G$83,1,F249)/12</f>
        <v>500</v>
      </c>
      <c r="BY249" s="15" t="n">
        <f aca="false">SUM(S249:U249)*(Ipotesi!$C$85+Ipotesi!$C$86)/12</f>
        <v>240.625</v>
      </c>
      <c r="BZ249" s="15" t="n">
        <f aca="false">AM249*Ipotesi!$C$87</f>
        <v>240.726315789474</v>
      </c>
      <c r="CA249" s="15" t="n">
        <f aca="false">AB249+BJ249+BL249+BN249+BO249+AR249+BP249+BQ249+BR249+BS249+BT249</f>
        <v>16548.6667020918</v>
      </c>
      <c r="CB249" s="15" t="n">
        <f aca="false">AC249+BK249+BM249+BH249+BU249+BV249+AS249+BW249+BX249+BY249+BZ249</f>
        <v>7511.99868421053</v>
      </c>
      <c r="CC249" s="15" t="n">
        <f aca="false">BI249-CA249</f>
        <v>-12005.6927648448</v>
      </c>
      <c r="CD249" s="15" t="n">
        <f aca="false">AM249-CB249</f>
        <v>512.211842105264</v>
      </c>
      <c r="CE249" s="15" t="n">
        <f aca="false">INDEX(Ipotesi!$C$79:$G$79,1,F249)/12</f>
        <v>1666.66666666667</v>
      </c>
      <c r="CF249" s="15" t="n">
        <f aca="false">INDEX(Ipotesi!$C$84:$G$84,1,F249)/12</f>
        <v>250</v>
      </c>
      <c r="CG249" s="15" t="n">
        <f aca="false">Y249*MAX(0,Parametri_v3!$C$12-IF(P249=0,0,MIN(1,BE249/(P249*Parametri_v3!$C$22))))+W249*Parametri_v3!$C$13+X249*Parametri_v3!$C$14</f>
        <v>3888.04086538462</v>
      </c>
      <c r="CH249" s="15" t="n">
        <f aca="false">AB249*Parametri_v3!$C$32</f>
        <v>523.958333333333</v>
      </c>
      <c r="CI249" s="15" t="n">
        <f aca="false">AC249*Parametri_v3!$C$32</f>
        <v>144.375</v>
      </c>
      <c r="CJ249" s="15" t="n">
        <f aca="false">CA249-AB249</f>
        <v>6069.5000354251</v>
      </c>
      <c r="CK249" s="15" t="n">
        <f aca="false">CB249-AC249-BH249</f>
        <v>3822.07763157895</v>
      </c>
      <c r="CL249" s="15" t="n">
        <f aca="false">BF249*Ipotesi!$C$73+INDEX(Ipotesi!$C$72:$G$72,1,F249)/12*Ipotesi!G126*Parametri_v3!$C$58+Z249*(1-Parametri_v3!$C$16)</f>
        <v>920.994230769231</v>
      </c>
      <c r="CM249" s="16" t="n">
        <f aca="false">IF(BF249=0,0,1-CL249/BF249)</f>
        <v>-31.8306426735218</v>
      </c>
    </row>
    <row r="250" customFormat="false" ht="18" hidden="false" customHeight="true" outlineLevel="0" collapsed="false">
      <c r="A250" s="68" t="n">
        <f aca="false">5</f>
        <v>5</v>
      </c>
      <c r="B250" s="68" t="n">
        <f aca="false">6</f>
        <v>6</v>
      </c>
      <c r="C250" s="18" t="n">
        <f aca="false">EDATE(Parametri_v3!$C$5,6-1)</f>
        <v>46539</v>
      </c>
      <c r="D250" s="68" t="n">
        <f aca="false">YEAR(C250)</f>
        <v>2027</v>
      </c>
      <c r="E250" s="68" t="n">
        <f aca="false">MONTH(C250)</f>
        <v>6</v>
      </c>
      <c r="F250" s="68" t="n">
        <f aca="false">INT((6-1)/12)+1</f>
        <v>1</v>
      </c>
      <c r="G250" s="15" t="n">
        <f aca="false">Ipotesi!G7</f>
        <v>0.55</v>
      </c>
      <c r="H250" s="15" t="n">
        <f aca="false">Ipotesi!G9</f>
        <v>0.9</v>
      </c>
      <c r="I250" s="15" t="n">
        <f aca="false">Ipotesi!G10</f>
        <v>0.3</v>
      </c>
      <c r="J250" s="15" t="n">
        <f aca="false">Ipotesi!G11</f>
        <v>0.2</v>
      </c>
      <c r="K250" s="15" t="n">
        <f aca="false">Ipotesi!G12</f>
        <v>0.6</v>
      </c>
      <c r="L250" s="15" t="n">
        <f aca="false">Ipotesi!G13</f>
        <v>120</v>
      </c>
      <c r="M250" s="17" t="n">
        <f aca="false">INDEX(Ipotesi!$C$40:$G$40,1,F250)</f>
        <v>1</v>
      </c>
      <c r="N250" s="17" t="n">
        <f aca="false">INDEX(Ipotesi!$C$41:$G$41,1,F250)</f>
        <v>0.75</v>
      </c>
      <c r="O250" s="17" t="n">
        <f aca="false">INDEX(Ipotesi!$C$42:$G$42,1,F250)*Ipotesi!G125</f>
        <v>0.55</v>
      </c>
      <c r="P250" s="17" t="n">
        <f aca="false">INDEX(Ipotesi!$C$43:$G$43,1,F250)*I250</f>
        <v>0.3</v>
      </c>
      <c r="Q250" s="17" t="n">
        <f aca="false">INDEX(Ipotesi!$C$44:$G$44,1,F250)*I250</f>
        <v>0.15</v>
      </c>
      <c r="R250" s="17" t="n">
        <f aca="false">INDEX(Ipotesi!$C$45:$G$45,1,F250)*I250</f>
        <v>0</v>
      </c>
      <c r="S250" s="17" t="n">
        <f aca="false">INDEX(Ipotesi!$C$52:$G$52,1,F250)*Ipotesi!G125</f>
        <v>0.825</v>
      </c>
      <c r="T250" s="17" t="n">
        <f aca="false">INDEX(Ipotesi!$C$53:$G$53,1,F250)*I250</f>
        <v>0</v>
      </c>
      <c r="U250" s="17" t="n">
        <f aca="false">INDEX(Ipotesi!$C$54:$G$54,1,F250)*I250</f>
        <v>0</v>
      </c>
      <c r="V250" s="15" t="n">
        <f aca="false">M250*INDEX(Ipotesi!$C$58:$G$58,1,F250)*K250/12</f>
        <v>2000</v>
      </c>
      <c r="W250" s="15" t="n">
        <f aca="false">N250*Ipotesi!$C$59*(1+Ipotesi!$C$66)^(F250-1)/12</f>
        <v>4375</v>
      </c>
      <c r="X250" s="15" t="n">
        <f aca="false">O250*Ipotesi!$C$60*(1+Ipotesi!$C$66)^(F250-1)/12</f>
        <v>2291.66666666667</v>
      </c>
      <c r="Y250" s="15" t="n">
        <f aca="false">P250*Ipotesi!$C$61*(1+Ipotesi!$C$66)^(F250-1)/12</f>
        <v>1250</v>
      </c>
      <c r="Z250" s="15" t="n">
        <f aca="false">Q250*Ipotesi!$C$62*(1+Ipotesi!$C$66)^(F250-1)/12</f>
        <v>562.5</v>
      </c>
      <c r="AA250" s="15" t="n">
        <f aca="false">R250*Ipotesi!$C$63*(1+Ipotesi!$C$66)^(F250-1)/12</f>
        <v>0</v>
      </c>
      <c r="AB250" s="15" t="n">
        <f aca="false">SUM(V250:AA250)</f>
        <v>10479.1666666667</v>
      </c>
      <c r="AC250" s="15" t="n">
        <f aca="false">(S250*Ipotesi!$C$64+T250*Ipotesi!$C$65+U250*Ipotesi!$C$63)*(1+Ipotesi!$C$66)^(F250-1)/12</f>
        <v>2887.5</v>
      </c>
      <c r="AD250" s="15" t="n">
        <f aca="false">INDEX(Ipotesi!$C$48:$G$48,1,F250)*G250/12</f>
        <v>9.16666666666667</v>
      </c>
      <c r="AE250" s="15" t="n">
        <f aca="false">INDEX(Ipotesi!$C$50:$G$50,1,F250)*G250/12</f>
        <v>1.14583333333333</v>
      </c>
      <c r="AF250" s="15" t="n">
        <f aca="false">(S250*Parametri_v3!$C$7*Parametri_v3!$C$8+Parametri_v3!$C$10)/12</f>
        <v>10.5875</v>
      </c>
      <c r="AG250" s="15" t="n">
        <f aca="false">AD250+AE250*(1+Parametri_v3!$C$9)</f>
        <v>10.8854166666667</v>
      </c>
      <c r="AH250" s="16" t="n">
        <f aca="false">IF(AG250=0,1,MIN(1,AF250/AG250))</f>
        <v>0.972631578947368</v>
      </c>
      <c r="AI250" s="15" t="n">
        <f aca="false">AD250*AH250</f>
        <v>8.91578947368421</v>
      </c>
      <c r="AJ250" s="15" t="n">
        <f aca="false">AE250*AH250</f>
        <v>1.11447368421053</v>
      </c>
      <c r="AK250" s="15" t="n">
        <f aca="false">AI250*INDEX(Ipotesi!$C$49:$G$49,1,F250)*H250</f>
        <v>6018.15789473684</v>
      </c>
      <c r="AL250" s="15" t="n">
        <f aca="false">AJ250*INDEX(Ipotesi!$C$51:$G$51,1,F250)*H250</f>
        <v>2006.05263157895</v>
      </c>
      <c r="AM250" s="15" t="n">
        <f aca="false">AK250+AL250</f>
        <v>8024.21052631579</v>
      </c>
      <c r="AN250" s="15" t="n">
        <f aca="false">INDEX(Ipotesi!$C$30:$G$30,1,F250)*G250/12</f>
        <v>4.58333333333333</v>
      </c>
      <c r="AO250" s="15" t="n">
        <f aca="false">O250*Parametri_v3!$C$7*Parametri_v3!$C$11*(1-Parametri_v3!$C$14)/12</f>
        <v>5.64666666666667</v>
      </c>
      <c r="AP250" s="15" t="n">
        <f aca="false">MIN(AN250,AO250)</f>
        <v>4.58333333333333</v>
      </c>
      <c r="AQ250" s="15" t="n">
        <f aca="false">AP250*INDEX(Ipotesi!$C$31:$G$31,1,F250)*H250</f>
        <v>3712.5</v>
      </c>
      <c r="AR250" s="15" t="n">
        <f aca="false">INDEX(Ipotesi!$C$75:$G$75,1,F250)*J250/12</f>
        <v>416.666666666667</v>
      </c>
      <c r="AS250" s="15" t="n">
        <f aca="false">INDEX(Ipotesi!$C$81:$G$81,1,F250)*J250/12</f>
        <v>83.3333333333333</v>
      </c>
      <c r="AT250" s="15" t="n">
        <f aca="false">AR250*Parametri_v3!$C$15+Z250*Parametri_v3!$C$16</f>
        <v>810.416666666667</v>
      </c>
      <c r="AU250" s="15" t="n">
        <f aca="false">Q250*Parametri_v3!$C$16*Parametri_v3!$C$17</f>
        <v>10.5</v>
      </c>
      <c r="AV250" s="17" t="n">
        <f aca="false">BD249</f>
        <v>0.249358974358974</v>
      </c>
      <c r="AW250" s="17" t="n">
        <f aca="false">AV250*(1-(1-INDEX(Ipotesi!$C$34:$G$34,1,F250))^(1/12))</f>
        <v>0</v>
      </c>
      <c r="AX250" s="15" t="n">
        <f aca="false">ROUND(INDEX(Ipotesi!$C$32:$G$32,1,F250)*Ipotesi!G8,0)</f>
        <v>2</v>
      </c>
      <c r="AY250" s="15" t="n">
        <f aca="false">MAX(0,(AX250-(AV250-AW250))/(13-E250))</f>
        <v>0.250091575091575</v>
      </c>
      <c r="AZ250" s="15" t="n">
        <f aca="false">MIN(P250*Parametri_v3!$C$22,Q250*(1-Parametri_v3!$C$16)*Parametri_v3!$C$23)</f>
        <v>6.75</v>
      </c>
      <c r="BA250" s="15" t="n">
        <f aca="false">IF(OR(INDEX(Ipotesi!$C$35:$G$35,1,F250)&lt;=0,6-Parametri_v3!$C$21&lt;1),0,INDEX($AT$245:$AT$304,MAX(1,6-Parametri_v3!$C$21))/(INDEX(Ipotesi!$C$35:$G$35,1,F250)*Ipotesi!G27))</f>
        <v>0.124679487179487</v>
      </c>
      <c r="BB250" s="15" t="n">
        <f aca="false">IF(6-Parametri_v3!$C$21&lt;1,0,INDEX($AU$245:$AU$304,MAX(1,6-Parametri_v3!$C$21)))*Parametri_v3!$C$18*Parametri_v3!$C$19*Parametri_v3!$C$20</f>
        <v>0.39375</v>
      </c>
      <c r="BC250" s="17" t="n">
        <f aca="false">MAX(0,MIN(AY250,BA250,BB250,MAX(0,AZ250-(AV250-AW250))))</f>
        <v>0.124679487179487</v>
      </c>
      <c r="BD250" s="17" t="n">
        <f aca="false">AV250-AW250+BC250</f>
        <v>0.374038461538462</v>
      </c>
      <c r="BE250" s="17" t="n">
        <f aca="false">(AV250+BD250)/2</f>
        <v>0.311698717948718</v>
      </c>
      <c r="BF250" s="15" t="n">
        <f aca="false">BE250*INDEX(Ipotesi!$C$33:$G$33,1,F250)*H250/12</f>
        <v>46.7548076923077</v>
      </c>
      <c r="BG250" s="15" t="n">
        <f aca="false">BD250*INDEX(Ipotesi!$C$33:$G$33,1,F250)*H250</f>
        <v>673.269230769231</v>
      </c>
      <c r="BH250" s="15" t="n">
        <f aca="false">AM250*INDEX(Ipotesi!$C$37:$G$37,1,F250)</f>
        <v>802.421052631579</v>
      </c>
      <c r="BI250" s="15" t="n">
        <f aca="false">AQ250+BF250+BH250</f>
        <v>4561.67586032389</v>
      </c>
      <c r="BJ250" s="15" t="n">
        <f aca="false">INDEX(Ipotesi!$C$68:$G$68,1,F250)*Ipotesi!$C$69/12</f>
        <v>1000</v>
      </c>
      <c r="BK250" s="15" t="n">
        <f aca="false">INDEX(Ipotesi!$C$68:$G$68,1,F250)*(1-Ipotesi!$C$69)/12</f>
        <v>1500</v>
      </c>
      <c r="BL250" s="15" t="n">
        <f aca="false">(AQ250+BF250)*Ipotesi!$C$67</f>
        <v>112.777644230769</v>
      </c>
      <c r="BM250" s="15" t="n">
        <f aca="false">AM250*Ipotesi!$C$67</f>
        <v>240.726315789474</v>
      </c>
      <c r="BN250" s="15" t="n">
        <f aca="false">INDEX(Ipotesi!$C$72:$G$72,1,F250)/12*Ipotesi!G126+BF250*Ipotesi!$C$73</f>
        <v>753.740384615385</v>
      </c>
      <c r="BO250" s="15" t="n">
        <f aca="false">INDEX(Ipotesi!$C$74:$G$74,1,F250)/12*Ipotesi!G126</f>
        <v>600</v>
      </c>
      <c r="BP250" s="15" t="n">
        <f aca="false">INDEX(Ipotesi!$C$76:$G$76,1,F250)/12</f>
        <v>500</v>
      </c>
      <c r="BQ250" s="15" t="n">
        <f aca="false">INDEX(Ipotesi!$C$77:$G$77,1,F250)/12*Ipotesi!G126</f>
        <v>750</v>
      </c>
      <c r="BR250" s="15" t="n">
        <f aca="false">INDEX(Ipotesi!$C$78:$G$78,1,F250)/12</f>
        <v>1000</v>
      </c>
      <c r="BS250" s="15" t="n">
        <f aca="false">SUM(M250:R250)*(Ipotesi!$C$85+Ipotesi!$C$86)/12</f>
        <v>802.083333333333</v>
      </c>
      <c r="BT250" s="15" t="n">
        <f aca="false">BI250*Ipotesi!$C$87</f>
        <v>136.850275809717</v>
      </c>
      <c r="BU250" s="15" t="n">
        <f aca="false">INDEX(Ipotesi!$C$55:$G$55,1,F250)*K250/12</f>
        <v>300</v>
      </c>
      <c r="BV250" s="15" t="n">
        <f aca="false">INDEX(Ipotesi!$C$80:$G$80,1,F250)/12*Ipotesi!G126</f>
        <v>300</v>
      </c>
      <c r="BW250" s="15" t="n">
        <f aca="false">INDEX(Ipotesi!$C$82:$G$82,1,F250)/12</f>
        <v>416.666666666667</v>
      </c>
      <c r="BX250" s="15" t="n">
        <f aca="false">INDEX(Ipotesi!$C$83:$G$83,1,F250)/12</f>
        <v>500</v>
      </c>
      <c r="BY250" s="15" t="n">
        <f aca="false">SUM(S250:U250)*(Ipotesi!$C$85+Ipotesi!$C$86)/12</f>
        <v>240.625</v>
      </c>
      <c r="BZ250" s="15" t="n">
        <f aca="false">AM250*Ipotesi!$C$87</f>
        <v>240.726315789474</v>
      </c>
      <c r="CA250" s="15" t="n">
        <f aca="false">AB250+BJ250+BL250+BN250+BO250+AR250+BP250+BQ250+BR250+BS250+BT250</f>
        <v>16551.2849713225</v>
      </c>
      <c r="CB250" s="15" t="n">
        <f aca="false">AC250+BK250+BM250+BH250+BU250+BV250+AS250+BW250+BX250+BY250+BZ250</f>
        <v>7511.99868421053</v>
      </c>
      <c r="CC250" s="15" t="n">
        <f aca="false">BI250-CA250</f>
        <v>-11989.6091109986</v>
      </c>
      <c r="CD250" s="15" t="n">
        <f aca="false">AM250-CB250</f>
        <v>512.211842105264</v>
      </c>
      <c r="CE250" s="15" t="n">
        <f aca="false">INDEX(Ipotesi!$C$79:$G$79,1,F250)/12</f>
        <v>1666.66666666667</v>
      </c>
      <c r="CF250" s="15" t="n">
        <f aca="false">INDEX(Ipotesi!$C$84:$G$84,1,F250)/12</f>
        <v>250</v>
      </c>
      <c r="CG250" s="15" t="n">
        <f aca="false">Y250*MAX(0,Parametri_v3!$C$12-IF(P250=0,0,MIN(1,BE250/(P250*Parametri_v3!$C$22))))+W250*Parametri_v3!$C$13+X250*Parametri_v3!$C$14</f>
        <v>3882.84588675214</v>
      </c>
      <c r="CH250" s="15" t="n">
        <f aca="false">AB250*Parametri_v3!$C$32</f>
        <v>523.958333333333</v>
      </c>
      <c r="CI250" s="15" t="n">
        <f aca="false">AC250*Parametri_v3!$C$32</f>
        <v>144.375</v>
      </c>
      <c r="CJ250" s="15" t="n">
        <f aca="false">CA250-AB250</f>
        <v>6072.11830465587</v>
      </c>
      <c r="CK250" s="15" t="n">
        <f aca="false">CB250-AC250-BH250</f>
        <v>3822.07763157895</v>
      </c>
      <c r="CL250" s="15" t="n">
        <f aca="false">BF250*Ipotesi!$C$73+INDEX(Ipotesi!$C$72:$G$72,1,F250)/12*Ipotesi!G126*Parametri_v3!$C$58+Z250*(1-Parametri_v3!$C$16)</f>
        <v>922.490384615385</v>
      </c>
      <c r="CM250" s="16" t="n">
        <f aca="false">IF(BF250=0,0,1-CL250/BF250)</f>
        <v>-18.7303856041131</v>
      </c>
    </row>
    <row r="251" customFormat="false" ht="18" hidden="false" customHeight="true" outlineLevel="0" collapsed="false">
      <c r="A251" s="68" t="n">
        <f aca="false">5</f>
        <v>5</v>
      </c>
      <c r="B251" s="68" t="n">
        <f aca="false">7</f>
        <v>7</v>
      </c>
      <c r="C251" s="18" t="n">
        <f aca="false">EDATE(Parametri_v3!$C$5,7-1)</f>
        <v>46569</v>
      </c>
      <c r="D251" s="68" t="n">
        <f aca="false">YEAR(C251)</f>
        <v>2027</v>
      </c>
      <c r="E251" s="68" t="n">
        <f aca="false">MONTH(C251)</f>
        <v>7</v>
      </c>
      <c r="F251" s="68" t="n">
        <f aca="false">INT((7-1)/12)+1</f>
        <v>1</v>
      </c>
      <c r="G251" s="15" t="n">
        <f aca="false">Ipotesi!G7</f>
        <v>0.55</v>
      </c>
      <c r="H251" s="15" t="n">
        <f aca="false">Ipotesi!G9</f>
        <v>0.9</v>
      </c>
      <c r="I251" s="15" t="n">
        <f aca="false">Ipotesi!G10</f>
        <v>0.3</v>
      </c>
      <c r="J251" s="15" t="n">
        <f aca="false">Ipotesi!G11</f>
        <v>0.2</v>
      </c>
      <c r="K251" s="15" t="n">
        <f aca="false">Ipotesi!G12</f>
        <v>0.6</v>
      </c>
      <c r="L251" s="15" t="n">
        <f aca="false">Ipotesi!G13</f>
        <v>120</v>
      </c>
      <c r="M251" s="17" t="n">
        <f aca="false">INDEX(Ipotesi!$C$40:$G$40,1,F251)</f>
        <v>1</v>
      </c>
      <c r="N251" s="17" t="n">
        <f aca="false">INDEX(Ipotesi!$C$41:$G$41,1,F251)</f>
        <v>0.75</v>
      </c>
      <c r="O251" s="17" t="n">
        <f aca="false">INDEX(Ipotesi!$C$42:$G$42,1,F251)*Ipotesi!G125</f>
        <v>0.55</v>
      </c>
      <c r="P251" s="17" t="n">
        <f aca="false">INDEX(Ipotesi!$C$43:$G$43,1,F251)*I251</f>
        <v>0.3</v>
      </c>
      <c r="Q251" s="17" t="n">
        <f aca="false">INDEX(Ipotesi!$C$44:$G$44,1,F251)*I251</f>
        <v>0.15</v>
      </c>
      <c r="R251" s="17" t="n">
        <f aca="false">INDEX(Ipotesi!$C$45:$G$45,1,F251)*I251</f>
        <v>0</v>
      </c>
      <c r="S251" s="17" t="n">
        <f aca="false">INDEX(Ipotesi!$C$52:$G$52,1,F251)*Ipotesi!G125</f>
        <v>0.825</v>
      </c>
      <c r="T251" s="17" t="n">
        <f aca="false">INDEX(Ipotesi!$C$53:$G$53,1,F251)*I251</f>
        <v>0</v>
      </c>
      <c r="U251" s="17" t="n">
        <f aca="false">INDEX(Ipotesi!$C$54:$G$54,1,F251)*I251</f>
        <v>0</v>
      </c>
      <c r="V251" s="15" t="n">
        <f aca="false">M251*INDEX(Ipotesi!$C$58:$G$58,1,F251)*K251/12</f>
        <v>2000</v>
      </c>
      <c r="W251" s="15" t="n">
        <f aca="false">N251*Ipotesi!$C$59*(1+Ipotesi!$C$66)^(F251-1)/12</f>
        <v>4375</v>
      </c>
      <c r="X251" s="15" t="n">
        <f aca="false">O251*Ipotesi!$C$60*(1+Ipotesi!$C$66)^(F251-1)/12</f>
        <v>2291.66666666667</v>
      </c>
      <c r="Y251" s="15" t="n">
        <f aca="false">P251*Ipotesi!$C$61*(1+Ipotesi!$C$66)^(F251-1)/12</f>
        <v>1250</v>
      </c>
      <c r="Z251" s="15" t="n">
        <f aca="false">Q251*Ipotesi!$C$62*(1+Ipotesi!$C$66)^(F251-1)/12</f>
        <v>562.5</v>
      </c>
      <c r="AA251" s="15" t="n">
        <f aca="false">R251*Ipotesi!$C$63*(1+Ipotesi!$C$66)^(F251-1)/12</f>
        <v>0</v>
      </c>
      <c r="AB251" s="15" t="n">
        <f aca="false">SUM(V251:AA251)</f>
        <v>10479.1666666667</v>
      </c>
      <c r="AC251" s="15" t="n">
        <f aca="false">(S251*Ipotesi!$C$64+T251*Ipotesi!$C$65+U251*Ipotesi!$C$63)*(1+Ipotesi!$C$66)^(F251-1)/12</f>
        <v>2887.5</v>
      </c>
      <c r="AD251" s="15" t="n">
        <f aca="false">INDEX(Ipotesi!$C$48:$G$48,1,F251)*G251/12</f>
        <v>9.16666666666667</v>
      </c>
      <c r="AE251" s="15" t="n">
        <f aca="false">INDEX(Ipotesi!$C$50:$G$50,1,F251)*G251/12</f>
        <v>1.14583333333333</v>
      </c>
      <c r="AF251" s="15" t="n">
        <f aca="false">(S251*Parametri_v3!$C$7*Parametri_v3!$C$8+Parametri_v3!$C$10)/12</f>
        <v>10.5875</v>
      </c>
      <c r="AG251" s="15" t="n">
        <f aca="false">AD251+AE251*(1+Parametri_v3!$C$9)</f>
        <v>10.8854166666667</v>
      </c>
      <c r="AH251" s="16" t="n">
        <f aca="false">IF(AG251=0,1,MIN(1,AF251/AG251))</f>
        <v>0.972631578947368</v>
      </c>
      <c r="AI251" s="15" t="n">
        <f aca="false">AD251*AH251</f>
        <v>8.91578947368421</v>
      </c>
      <c r="AJ251" s="15" t="n">
        <f aca="false">AE251*AH251</f>
        <v>1.11447368421053</v>
      </c>
      <c r="AK251" s="15" t="n">
        <f aca="false">AI251*INDEX(Ipotesi!$C$49:$G$49,1,F251)*H251</f>
        <v>6018.15789473684</v>
      </c>
      <c r="AL251" s="15" t="n">
        <f aca="false">AJ251*INDEX(Ipotesi!$C$51:$G$51,1,F251)*H251</f>
        <v>2006.05263157895</v>
      </c>
      <c r="AM251" s="15" t="n">
        <f aca="false">AK251+AL251</f>
        <v>8024.21052631579</v>
      </c>
      <c r="AN251" s="15" t="n">
        <f aca="false">INDEX(Ipotesi!$C$30:$G$30,1,F251)*G251/12</f>
        <v>4.58333333333333</v>
      </c>
      <c r="AO251" s="15" t="n">
        <f aca="false">O251*Parametri_v3!$C$7*Parametri_v3!$C$11*(1-Parametri_v3!$C$14)/12</f>
        <v>5.64666666666667</v>
      </c>
      <c r="AP251" s="15" t="n">
        <f aca="false">MIN(AN251,AO251)</f>
        <v>4.58333333333333</v>
      </c>
      <c r="AQ251" s="15" t="n">
        <f aca="false">AP251*INDEX(Ipotesi!$C$31:$G$31,1,F251)*H251</f>
        <v>3712.5</v>
      </c>
      <c r="AR251" s="15" t="n">
        <f aca="false">INDEX(Ipotesi!$C$75:$G$75,1,F251)*J251/12</f>
        <v>416.666666666667</v>
      </c>
      <c r="AS251" s="15" t="n">
        <f aca="false">INDEX(Ipotesi!$C$81:$G$81,1,F251)*J251/12</f>
        <v>83.3333333333333</v>
      </c>
      <c r="AT251" s="15" t="n">
        <f aca="false">AR251*Parametri_v3!$C$15+Z251*Parametri_v3!$C$16</f>
        <v>810.416666666667</v>
      </c>
      <c r="AU251" s="15" t="n">
        <f aca="false">Q251*Parametri_v3!$C$16*Parametri_v3!$C$17</f>
        <v>10.5</v>
      </c>
      <c r="AV251" s="17" t="n">
        <f aca="false">BD250</f>
        <v>0.374038461538462</v>
      </c>
      <c r="AW251" s="17" t="n">
        <f aca="false">AV251*(1-(1-INDEX(Ipotesi!$C$34:$G$34,1,F251))^(1/12))</f>
        <v>0</v>
      </c>
      <c r="AX251" s="15" t="n">
        <f aca="false">ROUND(INDEX(Ipotesi!$C$32:$G$32,1,F251)*Ipotesi!G8,0)</f>
        <v>2</v>
      </c>
      <c r="AY251" s="15" t="n">
        <f aca="false">MAX(0,(AX251-(AV251-AW251))/(13-E251))</f>
        <v>0.27099358974359</v>
      </c>
      <c r="AZ251" s="15" t="n">
        <f aca="false">MIN(P251*Parametri_v3!$C$22,Q251*(1-Parametri_v3!$C$16)*Parametri_v3!$C$23)</f>
        <v>6.75</v>
      </c>
      <c r="BA251" s="15" t="n">
        <f aca="false">IF(OR(INDEX(Ipotesi!$C$35:$G$35,1,F251)&lt;=0,7-Parametri_v3!$C$21&lt;1),0,INDEX($AT$245:$AT$304,MAX(1,7-Parametri_v3!$C$21))/(INDEX(Ipotesi!$C$35:$G$35,1,F251)*Ipotesi!G27))</f>
        <v>0.124679487179487</v>
      </c>
      <c r="BB251" s="15" t="n">
        <f aca="false">IF(7-Parametri_v3!$C$21&lt;1,0,INDEX($AU$245:$AU$304,MAX(1,7-Parametri_v3!$C$21)))*Parametri_v3!$C$18*Parametri_v3!$C$19*Parametri_v3!$C$20</f>
        <v>0.39375</v>
      </c>
      <c r="BC251" s="17" t="n">
        <f aca="false">MAX(0,MIN(AY251,BA251,BB251,MAX(0,AZ251-(AV251-AW251))))</f>
        <v>0.124679487179487</v>
      </c>
      <c r="BD251" s="17" t="n">
        <f aca="false">AV251-AW251+BC251</f>
        <v>0.498717948717949</v>
      </c>
      <c r="BE251" s="17" t="n">
        <f aca="false">(AV251+BD251)/2</f>
        <v>0.436378205128205</v>
      </c>
      <c r="BF251" s="15" t="n">
        <f aca="false">BE251*INDEX(Ipotesi!$C$33:$G$33,1,F251)*H251/12</f>
        <v>65.4567307692308</v>
      </c>
      <c r="BG251" s="15" t="n">
        <f aca="false">BD251*INDEX(Ipotesi!$C$33:$G$33,1,F251)*H251</f>
        <v>897.692307692308</v>
      </c>
      <c r="BH251" s="15" t="n">
        <f aca="false">AM251*INDEX(Ipotesi!$C$37:$G$37,1,F251)</f>
        <v>802.421052631579</v>
      </c>
      <c r="BI251" s="15" t="n">
        <f aca="false">AQ251+BF251+BH251</f>
        <v>4580.37778340081</v>
      </c>
      <c r="BJ251" s="15" t="n">
        <f aca="false">INDEX(Ipotesi!$C$68:$G$68,1,F251)*Ipotesi!$C$69/12</f>
        <v>1000</v>
      </c>
      <c r="BK251" s="15" t="n">
        <f aca="false">INDEX(Ipotesi!$C$68:$G$68,1,F251)*(1-Ipotesi!$C$69)/12</f>
        <v>1500</v>
      </c>
      <c r="BL251" s="15" t="n">
        <f aca="false">(AQ251+BF251)*Ipotesi!$C$67</f>
        <v>113.338701923077</v>
      </c>
      <c r="BM251" s="15" t="n">
        <f aca="false">AM251*Ipotesi!$C$67</f>
        <v>240.726315789474</v>
      </c>
      <c r="BN251" s="15" t="n">
        <f aca="false">INDEX(Ipotesi!$C$72:$G$72,1,F251)/12*Ipotesi!G126+BF251*Ipotesi!$C$73</f>
        <v>755.236538461538</v>
      </c>
      <c r="BO251" s="15" t="n">
        <f aca="false">INDEX(Ipotesi!$C$74:$G$74,1,F251)/12*Ipotesi!G126</f>
        <v>600</v>
      </c>
      <c r="BP251" s="15" t="n">
        <f aca="false">INDEX(Ipotesi!$C$76:$G$76,1,F251)/12</f>
        <v>500</v>
      </c>
      <c r="BQ251" s="15" t="n">
        <f aca="false">INDEX(Ipotesi!$C$77:$G$77,1,F251)/12*Ipotesi!G126</f>
        <v>750</v>
      </c>
      <c r="BR251" s="15" t="n">
        <f aca="false">INDEX(Ipotesi!$C$78:$G$78,1,F251)/12</f>
        <v>1000</v>
      </c>
      <c r="BS251" s="15" t="n">
        <f aca="false">SUM(M251:R251)*(Ipotesi!$C$85+Ipotesi!$C$86)/12</f>
        <v>802.083333333333</v>
      </c>
      <c r="BT251" s="15" t="n">
        <f aca="false">BI251*Ipotesi!$C$87</f>
        <v>137.411333502024</v>
      </c>
      <c r="BU251" s="15" t="n">
        <f aca="false">INDEX(Ipotesi!$C$55:$G$55,1,F251)*K251/12</f>
        <v>300</v>
      </c>
      <c r="BV251" s="15" t="n">
        <f aca="false">INDEX(Ipotesi!$C$80:$G$80,1,F251)/12*Ipotesi!G126</f>
        <v>300</v>
      </c>
      <c r="BW251" s="15" t="n">
        <f aca="false">INDEX(Ipotesi!$C$82:$G$82,1,F251)/12</f>
        <v>416.666666666667</v>
      </c>
      <c r="BX251" s="15" t="n">
        <f aca="false">INDEX(Ipotesi!$C$83:$G$83,1,F251)/12</f>
        <v>500</v>
      </c>
      <c r="BY251" s="15" t="n">
        <f aca="false">SUM(S251:U251)*(Ipotesi!$C$85+Ipotesi!$C$86)/12</f>
        <v>240.625</v>
      </c>
      <c r="BZ251" s="15" t="n">
        <f aca="false">AM251*Ipotesi!$C$87</f>
        <v>240.726315789474</v>
      </c>
      <c r="CA251" s="15" t="n">
        <f aca="false">AB251+BJ251+BL251+BN251+BO251+AR251+BP251+BQ251+BR251+BS251+BT251</f>
        <v>16553.9032405533</v>
      </c>
      <c r="CB251" s="15" t="n">
        <f aca="false">AC251+BK251+BM251+BH251+BU251+BV251+AS251+BW251+BX251+BY251+BZ251</f>
        <v>7511.99868421053</v>
      </c>
      <c r="CC251" s="15" t="n">
        <f aca="false">BI251-CA251</f>
        <v>-11973.5254571525</v>
      </c>
      <c r="CD251" s="15" t="n">
        <f aca="false">AM251-CB251</f>
        <v>512.211842105264</v>
      </c>
      <c r="CE251" s="15" t="n">
        <f aca="false">INDEX(Ipotesi!$C$79:$G$79,1,F251)/12</f>
        <v>1666.66666666667</v>
      </c>
      <c r="CF251" s="15" t="n">
        <f aca="false">INDEX(Ipotesi!$C$84:$G$84,1,F251)/12</f>
        <v>250</v>
      </c>
      <c r="CG251" s="15" t="n">
        <f aca="false">Y251*MAX(0,Parametri_v3!$C$12-IF(P251=0,0,MIN(1,BE251/(P251*Parametri_v3!$C$22))))+W251*Parametri_v3!$C$13+X251*Parametri_v3!$C$14</f>
        <v>3877.65090811966</v>
      </c>
      <c r="CH251" s="15" t="n">
        <f aca="false">AB251*Parametri_v3!$C$32</f>
        <v>523.958333333333</v>
      </c>
      <c r="CI251" s="15" t="n">
        <f aca="false">AC251*Parametri_v3!$C$32</f>
        <v>144.375</v>
      </c>
      <c r="CJ251" s="15" t="n">
        <f aca="false">CA251-AB251</f>
        <v>6074.73657388664</v>
      </c>
      <c r="CK251" s="15" t="n">
        <f aca="false">CB251-AC251-BH251</f>
        <v>3822.07763157895</v>
      </c>
      <c r="CL251" s="15" t="n">
        <f aca="false">BF251*Ipotesi!$C$73+INDEX(Ipotesi!$C$72:$G$72,1,F251)/12*Ipotesi!G126*Parametri_v3!$C$58+Z251*(1-Parametri_v3!$C$16)</f>
        <v>923.986538461538</v>
      </c>
      <c r="CM251" s="16" t="n">
        <f aca="false">IF(BF251=0,0,1-CL251/BF251)</f>
        <v>-13.1159897172236</v>
      </c>
    </row>
    <row r="252" customFormat="false" ht="18" hidden="false" customHeight="true" outlineLevel="0" collapsed="false">
      <c r="A252" s="68" t="n">
        <f aca="false">5</f>
        <v>5</v>
      </c>
      <c r="B252" s="68" t="n">
        <f aca="false">8</f>
        <v>8</v>
      </c>
      <c r="C252" s="18" t="n">
        <f aca="false">EDATE(Parametri_v3!$C$5,8-1)</f>
        <v>46600</v>
      </c>
      <c r="D252" s="68" t="n">
        <f aca="false">YEAR(C252)</f>
        <v>2027</v>
      </c>
      <c r="E252" s="68" t="n">
        <f aca="false">MONTH(C252)</f>
        <v>8</v>
      </c>
      <c r="F252" s="68" t="n">
        <f aca="false">INT((8-1)/12)+1</f>
        <v>1</v>
      </c>
      <c r="G252" s="15" t="n">
        <f aca="false">Ipotesi!G7</f>
        <v>0.55</v>
      </c>
      <c r="H252" s="15" t="n">
        <f aca="false">Ipotesi!G9</f>
        <v>0.9</v>
      </c>
      <c r="I252" s="15" t="n">
        <f aca="false">Ipotesi!G10</f>
        <v>0.3</v>
      </c>
      <c r="J252" s="15" t="n">
        <f aca="false">Ipotesi!G11</f>
        <v>0.2</v>
      </c>
      <c r="K252" s="15" t="n">
        <f aca="false">Ipotesi!G12</f>
        <v>0.6</v>
      </c>
      <c r="L252" s="15" t="n">
        <f aca="false">Ipotesi!G13</f>
        <v>120</v>
      </c>
      <c r="M252" s="17" t="n">
        <f aca="false">INDEX(Ipotesi!$C$40:$G$40,1,F252)</f>
        <v>1</v>
      </c>
      <c r="N252" s="17" t="n">
        <f aca="false">INDEX(Ipotesi!$C$41:$G$41,1,F252)</f>
        <v>0.75</v>
      </c>
      <c r="O252" s="17" t="n">
        <f aca="false">INDEX(Ipotesi!$C$42:$G$42,1,F252)*Ipotesi!G125</f>
        <v>0.55</v>
      </c>
      <c r="P252" s="17" t="n">
        <f aca="false">INDEX(Ipotesi!$C$43:$G$43,1,F252)*I252</f>
        <v>0.3</v>
      </c>
      <c r="Q252" s="17" t="n">
        <f aca="false">INDEX(Ipotesi!$C$44:$G$44,1,F252)*I252</f>
        <v>0.15</v>
      </c>
      <c r="R252" s="17" t="n">
        <f aca="false">INDEX(Ipotesi!$C$45:$G$45,1,F252)*I252</f>
        <v>0</v>
      </c>
      <c r="S252" s="17" t="n">
        <f aca="false">INDEX(Ipotesi!$C$52:$G$52,1,F252)*Ipotesi!G125</f>
        <v>0.825</v>
      </c>
      <c r="T252" s="17" t="n">
        <f aca="false">INDEX(Ipotesi!$C$53:$G$53,1,F252)*I252</f>
        <v>0</v>
      </c>
      <c r="U252" s="17" t="n">
        <f aca="false">INDEX(Ipotesi!$C$54:$G$54,1,F252)*I252</f>
        <v>0</v>
      </c>
      <c r="V252" s="15" t="n">
        <f aca="false">M252*INDEX(Ipotesi!$C$58:$G$58,1,F252)*K252/12</f>
        <v>2000</v>
      </c>
      <c r="W252" s="15" t="n">
        <f aca="false">N252*Ipotesi!$C$59*(1+Ipotesi!$C$66)^(F252-1)/12</f>
        <v>4375</v>
      </c>
      <c r="X252" s="15" t="n">
        <f aca="false">O252*Ipotesi!$C$60*(1+Ipotesi!$C$66)^(F252-1)/12</f>
        <v>2291.66666666667</v>
      </c>
      <c r="Y252" s="15" t="n">
        <f aca="false">P252*Ipotesi!$C$61*(1+Ipotesi!$C$66)^(F252-1)/12</f>
        <v>1250</v>
      </c>
      <c r="Z252" s="15" t="n">
        <f aca="false">Q252*Ipotesi!$C$62*(1+Ipotesi!$C$66)^(F252-1)/12</f>
        <v>562.5</v>
      </c>
      <c r="AA252" s="15" t="n">
        <f aca="false">R252*Ipotesi!$C$63*(1+Ipotesi!$C$66)^(F252-1)/12</f>
        <v>0</v>
      </c>
      <c r="AB252" s="15" t="n">
        <f aca="false">SUM(V252:AA252)</f>
        <v>10479.1666666667</v>
      </c>
      <c r="AC252" s="15" t="n">
        <f aca="false">(S252*Ipotesi!$C$64+T252*Ipotesi!$C$65+U252*Ipotesi!$C$63)*(1+Ipotesi!$C$66)^(F252-1)/12</f>
        <v>2887.5</v>
      </c>
      <c r="AD252" s="15" t="n">
        <f aca="false">INDEX(Ipotesi!$C$48:$G$48,1,F252)*G252/12</f>
        <v>9.16666666666667</v>
      </c>
      <c r="AE252" s="15" t="n">
        <f aca="false">INDEX(Ipotesi!$C$50:$G$50,1,F252)*G252/12</f>
        <v>1.14583333333333</v>
      </c>
      <c r="AF252" s="15" t="n">
        <f aca="false">(S252*Parametri_v3!$C$7*Parametri_v3!$C$8+Parametri_v3!$C$10)/12</f>
        <v>10.5875</v>
      </c>
      <c r="AG252" s="15" t="n">
        <f aca="false">AD252+AE252*(1+Parametri_v3!$C$9)</f>
        <v>10.8854166666667</v>
      </c>
      <c r="AH252" s="16" t="n">
        <f aca="false">IF(AG252=0,1,MIN(1,AF252/AG252))</f>
        <v>0.972631578947368</v>
      </c>
      <c r="AI252" s="15" t="n">
        <f aca="false">AD252*AH252</f>
        <v>8.91578947368421</v>
      </c>
      <c r="AJ252" s="15" t="n">
        <f aca="false">AE252*AH252</f>
        <v>1.11447368421053</v>
      </c>
      <c r="AK252" s="15" t="n">
        <f aca="false">AI252*INDEX(Ipotesi!$C$49:$G$49,1,F252)*H252</f>
        <v>6018.15789473684</v>
      </c>
      <c r="AL252" s="15" t="n">
        <f aca="false">AJ252*INDEX(Ipotesi!$C$51:$G$51,1,F252)*H252</f>
        <v>2006.05263157895</v>
      </c>
      <c r="AM252" s="15" t="n">
        <f aca="false">AK252+AL252</f>
        <v>8024.21052631579</v>
      </c>
      <c r="AN252" s="15" t="n">
        <f aca="false">INDEX(Ipotesi!$C$30:$G$30,1,F252)*G252/12</f>
        <v>4.58333333333333</v>
      </c>
      <c r="AO252" s="15" t="n">
        <f aca="false">O252*Parametri_v3!$C$7*Parametri_v3!$C$11*(1-Parametri_v3!$C$14)/12</f>
        <v>5.64666666666667</v>
      </c>
      <c r="AP252" s="15" t="n">
        <f aca="false">MIN(AN252,AO252)</f>
        <v>4.58333333333333</v>
      </c>
      <c r="AQ252" s="15" t="n">
        <f aca="false">AP252*INDEX(Ipotesi!$C$31:$G$31,1,F252)*H252</f>
        <v>3712.5</v>
      </c>
      <c r="AR252" s="15" t="n">
        <f aca="false">INDEX(Ipotesi!$C$75:$G$75,1,F252)*J252/12</f>
        <v>416.666666666667</v>
      </c>
      <c r="AS252" s="15" t="n">
        <f aca="false">INDEX(Ipotesi!$C$81:$G$81,1,F252)*J252/12</f>
        <v>83.3333333333333</v>
      </c>
      <c r="AT252" s="15" t="n">
        <f aca="false">AR252*Parametri_v3!$C$15+Z252*Parametri_v3!$C$16</f>
        <v>810.416666666667</v>
      </c>
      <c r="AU252" s="15" t="n">
        <f aca="false">Q252*Parametri_v3!$C$16*Parametri_v3!$C$17</f>
        <v>10.5</v>
      </c>
      <c r="AV252" s="17" t="n">
        <f aca="false">BD251</f>
        <v>0.498717948717949</v>
      </c>
      <c r="AW252" s="17" t="n">
        <f aca="false">AV252*(1-(1-INDEX(Ipotesi!$C$34:$G$34,1,F252))^(1/12))</f>
        <v>0</v>
      </c>
      <c r="AX252" s="15" t="n">
        <f aca="false">ROUND(INDEX(Ipotesi!$C$32:$G$32,1,F252)*Ipotesi!G8,0)</f>
        <v>2</v>
      </c>
      <c r="AY252" s="15" t="n">
        <f aca="false">MAX(0,(AX252-(AV252-AW252))/(13-E252))</f>
        <v>0.30025641025641</v>
      </c>
      <c r="AZ252" s="15" t="n">
        <f aca="false">MIN(P252*Parametri_v3!$C$22,Q252*(1-Parametri_v3!$C$16)*Parametri_v3!$C$23)</f>
        <v>6.75</v>
      </c>
      <c r="BA252" s="15" t="n">
        <f aca="false">IF(OR(INDEX(Ipotesi!$C$35:$G$35,1,F252)&lt;=0,8-Parametri_v3!$C$21&lt;1),0,INDEX($AT$245:$AT$304,MAX(1,8-Parametri_v3!$C$21))/(INDEX(Ipotesi!$C$35:$G$35,1,F252)*Ipotesi!G27))</f>
        <v>0.124679487179487</v>
      </c>
      <c r="BB252" s="15" t="n">
        <f aca="false">IF(8-Parametri_v3!$C$21&lt;1,0,INDEX($AU$245:$AU$304,MAX(1,8-Parametri_v3!$C$21)))*Parametri_v3!$C$18*Parametri_v3!$C$19*Parametri_v3!$C$20</f>
        <v>0.39375</v>
      </c>
      <c r="BC252" s="17" t="n">
        <f aca="false">MAX(0,MIN(AY252,BA252,BB252,MAX(0,AZ252-(AV252-AW252))))</f>
        <v>0.124679487179487</v>
      </c>
      <c r="BD252" s="17" t="n">
        <f aca="false">AV252-AW252+BC252</f>
        <v>0.623397435897436</v>
      </c>
      <c r="BE252" s="17" t="n">
        <f aca="false">(AV252+BD252)/2</f>
        <v>0.561057692307692</v>
      </c>
      <c r="BF252" s="15" t="n">
        <f aca="false">BE252*INDEX(Ipotesi!$C$33:$G$33,1,F252)*H252/12</f>
        <v>84.1586538461539</v>
      </c>
      <c r="BG252" s="15" t="n">
        <f aca="false">BD252*INDEX(Ipotesi!$C$33:$G$33,1,F252)*H252</f>
        <v>1122.11538461539</v>
      </c>
      <c r="BH252" s="15" t="n">
        <f aca="false">AM252*INDEX(Ipotesi!$C$37:$G$37,1,F252)</f>
        <v>802.421052631579</v>
      </c>
      <c r="BI252" s="15" t="n">
        <f aca="false">AQ252+BF252+BH252</f>
        <v>4599.07970647773</v>
      </c>
      <c r="BJ252" s="15" t="n">
        <f aca="false">INDEX(Ipotesi!$C$68:$G$68,1,F252)*Ipotesi!$C$69/12</f>
        <v>1000</v>
      </c>
      <c r="BK252" s="15" t="n">
        <f aca="false">INDEX(Ipotesi!$C$68:$G$68,1,F252)*(1-Ipotesi!$C$69)/12</f>
        <v>1500</v>
      </c>
      <c r="BL252" s="15" t="n">
        <f aca="false">(AQ252+BF252)*Ipotesi!$C$67</f>
        <v>113.899759615385</v>
      </c>
      <c r="BM252" s="15" t="n">
        <f aca="false">AM252*Ipotesi!$C$67</f>
        <v>240.726315789474</v>
      </c>
      <c r="BN252" s="15" t="n">
        <f aca="false">INDEX(Ipotesi!$C$72:$G$72,1,F252)/12*Ipotesi!G126+BF252*Ipotesi!$C$73</f>
        <v>756.732692307692</v>
      </c>
      <c r="BO252" s="15" t="n">
        <f aca="false">INDEX(Ipotesi!$C$74:$G$74,1,F252)/12*Ipotesi!G126</f>
        <v>600</v>
      </c>
      <c r="BP252" s="15" t="n">
        <f aca="false">INDEX(Ipotesi!$C$76:$G$76,1,F252)/12</f>
        <v>500</v>
      </c>
      <c r="BQ252" s="15" t="n">
        <f aca="false">INDEX(Ipotesi!$C$77:$G$77,1,F252)/12*Ipotesi!G126</f>
        <v>750</v>
      </c>
      <c r="BR252" s="15" t="n">
        <f aca="false">INDEX(Ipotesi!$C$78:$G$78,1,F252)/12</f>
        <v>1000</v>
      </c>
      <c r="BS252" s="15" t="n">
        <f aca="false">SUM(M252:R252)*(Ipotesi!$C$85+Ipotesi!$C$86)/12</f>
        <v>802.083333333333</v>
      </c>
      <c r="BT252" s="15" t="n">
        <f aca="false">BI252*Ipotesi!$C$87</f>
        <v>137.972391194332</v>
      </c>
      <c r="BU252" s="15" t="n">
        <f aca="false">INDEX(Ipotesi!$C$55:$G$55,1,F252)*K252/12</f>
        <v>300</v>
      </c>
      <c r="BV252" s="15" t="n">
        <f aca="false">INDEX(Ipotesi!$C$80:$G$80,1,F252)/12*Ipotesi!G126</f>
        <v>300</v>
      </c>
      <c r="BW252" s="15" t="n">
        <f aca="false">INDEX(Ipotesi!$C$82:$G$82,1,F252)/12</f>
        <v>416.666666666667</v>
      </c>
      <c r="BX252" s="15" t="n">
        <f aca="false">INDEX(Ipotesi!$C$83:$G$83,1,F252)/12</f>
        <v>500</v>
      </c>
      <c r="BY252" s="15" t="n">
        <f aca="false">SUM(S252:U252)*(Ipotesi!$C$85+Ipotesi!$C$86)/12</f>
        <v>240.625</v>
      </c>
      <c r="BZ252" s="15" t="n">
        <f aca="false">AM252*Ipotesi!$C$87</f>
        <v>240.726315789474</v>
      </c>
      <c r="CA252" s="15" t="n">
        <f aca="false">AB252+BJ252+BL252+BN252+BO252+AR252+BP252+BQ252+BR252+BS252+BT252</f>
        <v>16556.5215097841</v>
      </c>
      <c r="CB252" s="15" t="n">
        <f aca="false">AC252+BK252+BM252+BH252+BU252+BV252+AS252+BW252+BX252+BY252+BZ252</f>
        <v>7511.99868421053</v>
      </c>
      <c r="CC252" s="15" t="n">
        <f aca="false">BI252-CA252</f>
        <v>-11957.4418033063</v>
      </c>
      <c r="CD252" s="15" t="n">
        <f aca="false">AM252-CB252</f>
        <v>512.211842105264</v>
      </c>
      <c r="CE252" s="15" t="n">
        <f aca="false">INDEX(Ipotesi!$C$79:$G$79,1,F252)/12</f>
        <v>1666.66666666667</v>
      </c>
      <c r="CF252" s="15" t="n">
        <f aca="false">INDEX(Ipotesi!$C$84:$G$84,1,F252)/12</f>
        <v>250</v>
      </c>
      <c r="CG252" s="15" t="n">
        <f aca="false">Y252*MAX(0,Parametri_v3!$C$12-IF(P252=0,0,MIN(1,BE252/(P252*Parametri_v3!$C$22))))+W252*Parametri_v3!$C$13+X252*Parametri_v3!$C$14</f>
        <v>3872.45592948718</v>
      </c>
      <c r="CH252" s="15" t="n">
        <f aca="false">AB252*Parametri_v3!$C$32</f>
        <v>523.958333333333</v>
      </c>
      <c r="CI252" s="15" t="n">
        <f aca="false">AC252*Parametri_v3!$C$32</f>
        <v>144.375</v>
      </c>
      <c r="CJ252" s="15" t="n">
        <f aca="false">CA252-AB252</f>
        <v>6077.35484311741</v>
      </c>
      <c r="CK252" s="15" t="n">
        <f aca="false">CB252-AC252-BH252</f>
        <v>3822.07763157895</v>
      </c>
      <c r="CL252" s="15" t="n">
        <f aca="false">BF252*Ipotesi!$C$73+INDEX(Ipotesi!$C$72:$G$72,1,F252)/12*Ipotesi!G126*Parametri_v3!$C$58+Z252*(1-Parametri_v3!$C$16)</f>
        <v>925.482692307692</v>
      </c>
      <c r="CM252" s="16" t="n">
        <f aca="false">IF(BF252=0,0,1-CL252/BF252)</f>
        <v>-9.99688089117395</v>
      </c>
    </row>
    <row r="253" customFormat="false" ht="18" hidden="false" customHeight="true" outlineLevel="0" collapsed="false">
      <c r="A253" s="68" t="n">
        <f aca="false">5</f>
        <v>5</v>
      </c>
      <c r="B253" s="68" t="n">
        <f aca="false">9</f>
        <v>9</v>
      </c>
      <c r="C253" s="18" t="n">
        <f aca="false">EDATE(Parametri_v3!$C$5,9-1)</f>
        <v>46631</v>
      </c>
      <c r="D253" s="68" t="n">
        <f aca="false">YEAR(C253)</f>
        <v>2027</v>
      </c>
      <c r="E253" s="68" t="n">
        <f aca="false">MONTH(C253)</f>
        <v>9</v>
      </c>
      <c r="F253" s="68" t="n">
        <f aca="false">INT((9-1)/12)+1</f>
        <v>1</v>
      </c>
      <c r="G253" s="15" t="n">
        <f aca="false">Ipotesi!G7</f>
        <v>0.55</v>
      </c>
      <c r="H253" s="15" t="n">
        <f aca="false">Ipotesi!G9</f>
        <v>0.9</v>
      </c>
      <c r="I253" s="15" t="n">
        <f aca="false">Ipotesi!G10</f>
        <v>0.3</v>
      </c>
      <c r="J253" s="15" t="n">
        <f aca="false">Ipotesi!G11</f>
        <v>0.2</v>
      </c>
      <c r="K253" s="15" t="n">
        <f aca="false">Ipotesi!G12</f>
        <v>0.6</v>
      </c>
      <c r="L253" s="15" t="n">
        <f aca="false">Ipotesi!G13</f>
        <v>120</v>
      </c>
      <c r="M253" s="17" t="n">
        <f aca="false">INDEX(Ipotesi!$C$40:$G$40,1,F253)</f>
        <v>1</v>
      </c>
      <c r="N253" s="17" t="n">
        <f aca="false">INDEX(Ipotesi!$C$41:$G$41,1,F253)</f>
        <v>0.75</v>
      </c>
      <c r="O253" s="17" t="n">
        <f aca="false">INDEX(Ipotesi!$C$42:$G$42,1,F253)*Ipotesi!G125</f>
        <v>0.55</v>
      </c>
      <c r="P253" s="17" t="n">
        <f aca="false">INDEX(Ipotesi!$C$43:$G$43,1,F253)*I253</f>
        <v>0.3</v>
      </c>
      <c r="Q253" s="17" t="n">
        <f aca="false">INDEX(Ipotesi!$C$44:$G$44,1,F253)*I253</f>
        <v>0.15</v>
      </c>
      <c r="R253" s="17" t="n">
        <f aca="false">INDEX(Ipotesi!$C$45:$G$45,1,F253)*I253</f>
        <v>0</v>
      </c>
      <c r="S253" s="17" t="n">
        <f aca="false">INDEX(Ipotesi!$C$52:$G$52,1,F253)*Ipotesi!G125</f>
        <v>0.825</v>
      </c>
      <c r="T253" s="17" t="n">
        <f aca="false">INDEX(Ipotesi!$C$53:$G$53,1,F253)*I253</f>
        <v>0</v>
      </c>
      <c r="U253" s="17" t="n">
        <f aca="false">INDEX(Ipotesi!$C$54:$G$54,1,F253)*I253</f>
        <v>0</v>
      </c>
      <c r="V253" s="15" t="n">
        <f aca="false">M253*INDEX(Ipotesi!$C$58:$G$58,1,F253)*K253/12</f>
        <v>2000</v>
      </c>
      <c r="W253" s="15" t="n">
        <f aca="false">N253*Ipotesi!$C$59*(1+Ipotesi!$C$66)^(F253-1)/12</f>
        <v>4375</v>
      </c>
      <c r="X253" s="15" t="n">
        <f aca="false">O253*Ipotesi!$C$60*(1+Ipotesi!$C$66)^(F253-1)/12</f>
        <v>2291.66666666667</v>
      </c>
      <c r="Y253" s="15" t="n">
        <f aca="false">P253*Ipotesi!$C$61*(1+Ipotesi!$C$66)^(F253-1)/12</f>
        <v>1250</v>
      </c>
      <c r="Z253" s="15" t="n">
        <f aca="false">Q253*Ipotesi!$C$62*(1+Ipotesi!$C$66)^(F253-1)/12</f>
        <v>562.5</v>
      </c>
      <c r="AA253" s="15" t="n">
        <f aca="false">R253*Ipotesi!$C$63*(1+Ipotesi!$C$66)^(F253-1)/12</f>
        <v>0</v>
      </c>
      <c r="AB253" s="15" t="n">
        <f aca="false">SUM(V253:AA253)</f>
        <v>10479.1666666667</v>
      </c>
      <c r="AC253" s="15" t="n">
        <f aca="false">(S253*Ipotesi!$C$64+T253*Ipotesi!$C$65+U253*Ipotesi!$C$63)*(1+Ipotesi!$C$66)^(F253-1)/12</f>
        <v>2887.5</v>
      </c>
      <c r="AD253" s="15" t="n">
        <f aca="false">INDEX(Ipotesi!$C$48:$G$48,1,F253)*G253/12</f>
        <v>9.16666666666667</v>
      </c>
      <c r="AE253" s="15" t="n">
        <f aca="false">INDEX(Ipotesi!$C$50:$G$50,1,F253)*G253/12</f>
        <v>1.14583333333333</v>
      </c>
      <c r="AF253" s="15" t="n">
        <f aca="false">(S253*Parametri_v3!$C$7*Parametri_v3!$C$8+Parametri_v3!$C$10)/12</f>
        <v>10.5875</v>
      </c>
      <c r="AG253" s="15" t="n">
        <f aca="false">AD253+AE253*(1+Parametri_v3!$C$9)</f>
        <v>10.8854166666667</v>
      </c>
      <c r="AH253" s="16" t="n">
        <f aca="false">IF(AG253=0,1,MIN(1,AF253/AG253))</f>
        <v>0.972631578947368</v>
      </c>
      <c r="AI253" s="15" t="n">
        <f aca="false">AD253*AH253</f>
        <v>8.91578947368421</v>
      </c>
      <c r="AJ253" s="15" t="n">
        <f aca="false">AE253*AH253</f>
        <v>1.11447368421053</v>
      </c>
      <c r="AK253" s="15" t="n">
        <f aca="false">AI253*INDEX(Ipotesi!$C$49:$G$49,1,F253)*H253</f>
        <v>6018.15789473684</v>
      </c>
      <c r="AL253" s="15" t="n">
        <f aca="false">AJ253*INDEX(Ipotesi!$C$51:$G$51,1,F253)*H253</f>
        <v>2006.05263157895</v>
      </c>
      <c r="AM253" s="15" t="n">
        <f aca="false">AK253+AL253</f>
        <v>8024.21052631579</v>
      </c>
      <c r="AN253" s="15" t="n">
        <f aca="false">INDEX(Ipotesi!$C$30:$G$30,1,F253)*G253/12</f>
        <v>4.58333333333333</v>
      </c>
      <c r="AO253" s="15" t="n">
        <f aca="false">O253*Parametri_v3!$C$7*Parametri_v3!$C$11*(1-Parametri_v3!$C$14)/12</f>
        <v>5.64666666666667</v>
      </c>
      <c r="AP253" s="15" t="n">
        <f aca="false">MIN(AN253,AO253)</f>
        <v>4.58333333333333</v>
      </c>
      <c r="AQ253" s="15" t="n">
        <f aca="false">AP253*INDEX(Ipotesi!$C$31:$G$31,1,F253)*H253</f>
        <v>3712.5</v>
      </c>
      <c r="AR253" s="15" t="n">
        <f aca="false">INDEX(Ipotesi!$C$75:$G$75,1,F253)*J253/12</f>
        <v>416.666666666667</v>
      </c>
      <c r="AS253" s="15" t="n">
        <f aca="false">INDEX(Ipotesi!$C$81:$G$81,1,F253)*J253/12</f>
        <v>83.3333333333333</v>
      </c>
      <c r="AT253" s="15" t="n">
        <f aca="false">AR253*Parametri_v3!$C$15+Z253*Parametri_v3!$C$16</f>
        <v>810.416666666667</v>
      </c>
      <c r="AU253" s="15" t="n">
        <f aca="false">Q253*Parametri_v3!$C$16*Parametri_v3!$C$17</f>
        <v>10.5</v>
      </c>
      <c r="AV253" s="17" t="n">
        <f aca="false">BD252</f>
        <v>0.623397435897436</v>
      </c>
      <c r="AW253" s="17" t="n">
        <f aca="false">AV253*(1-(1-INDEX(Ipotesi!$C$34:$G$34,1,F253))^(1/12))</f>
        <v>0</v>
      </c>
      <c r="AX253" s="15" t="n">
        <f aca="false">ROUND(INDEX(Ipotesi!$C$32:$G$32,1,F253)*Ipotesi!G8,0)</f>
        <v>2</v>
      </c>
      <c r="AY253" s="15" t="n">
        <f aca="false">MAX(0,(AX253-(AV253-AW253))/(13-E253))</f>
        <v>0.344150641025641</v>
      </c>
      <c r="AZ253" s="15" t="n">
        <f aca="false">MIN(P253*Parametri_v3!$C$22,Q253*(1-Parametri_v3!$C$16)*Parametri_v3!$C$23)</f>
        <v>6.75</v>
      </c>
      <c r="BA253" s="15" t="n">
        <f aca="false">IF(OR(INDEX(Ipotesi!$C$35:$G$35,1,F253)&lt;=0,9-Parametri_v3!$C$21&lt;1),0,INDEX($AT$245:$AT$304,MAX(1,9-Parametri_v3!$C$21))/(INDEX(Ipotesi!$C$35:$G$35,1,F253)*Ipotesi!G27))</f>
        <v>0.124679487179487</v>
      </c>
      <c r="BB253" s="15" t="n">
        <f aca="false">IF(9-Parametri_v3!$C$21&lt;1,0,INDEX($AU$245:$AU$304,MAX(1,9-Parametri_v3!$C$21)))*Parametri_v3!$C$18*Parametri_v3!$C$19*Parametri_v3!$C$20</f>
        <v>0.39375</v>
      </c>
      <c r="BC253" s="17" t="n">
        <f aca="false">MAX(0,MIN(AY253,BA253,BB253,MAX(0,AZ253-(AV253-AW253))))</f>
        <v>0.124679487179487</v>
      </c>
      <c r="BD253" s="17" t="n">
        <f aca="false">AV253-AW253+BC253</f>
        <v>0.748076923076923</v>
      </c>
      <c r="BE253" s="17" t="n">
        <f aca="false">(AV253+BD253)/2</f>
        <v>0.68573717948718</v>
      </c>
      <c r="BF253" s="15" t="n">
        <f aca="false">BE253*INDEX(Ipotesi!$C$33:$G$33,1,F253)*H253/12</f>
        <v>102.860576923077</v>
      </c>
      <c r="BG253" s="15" t="n">
        <f aca="false">BD253*INDEX(Ipotesi!$C$33:$G$33,1,F253)*H253</f>
        <v>1346.53846153846</v>
      </c>
      <c r="BH253" s="15" t="n">
        <f aca="false">AM253*INDEX(Ipotesi!$C$37:$G$37,1,F253)</f>
        <v>802.421052631579</v>
      </c>
      <c r="BI253" s="15" t="n">
        <f aca="false">AQ253+BF253+BH253</f>
        <v>4617.78162955466</v>
      </c>
      <c r="BJ253" s="15" t="n">
        <f aca="false">INDEX(Ipotesi!$C$68:$G$68,1,F253)*Ipotesi!$C$69/12</f>
        <v>1000</v>
      </c>
      <c r="BK253" s="15" t="n">
        <f aca="false">INDEX(Ipotesi!$C$68:$G$68,1,F253)*(1-Ipotesi!$C$69)/12</f>
        <v>1500</v>
      </c>
      <c r="BL253" s="15" t="n">
        <f aca="false">(AQ253+BF253)*Ipotesi!$C$67</f>
        <v>114.460817307692</v>
      </c>
      <c r="BM253" s="15" t="n">
        <f aca="false">AM253*Ipotesi!$C$67</f>
        <v>240.726315789474</v>
      </c>
      <c r="BN253" s="15" t="n">
        <f aca="false">INDEX(Ipotesi!$C$72:$G$72,1,F253)/12*Ipotesi!G126+BF253*Ipotesi!$C$73</f>
        <v>758.228846153846</v>
      </c>
      <c r="BO253" s="15" t="n">
        <f aca="false">INDEX(Ipotesi!$C$74:$G$74,1,F253)/12*Ipotesi!G126</f>
        <v>600</v>
      </c>
      <c r="BP253" s="15" t="n">
        <f aca="false">INDEX(Ipotesi!$C$76:$G$76,1,F253)/12</f>
        <v>500</v>
      </c>
      <c r="BQ253" s="15" t="n">
        <f aca="false">INDEX(Ipotesi!$C$77:$G$77,1,F253)/12*Ipotesi!G126</f>
        <v>750</v>
      </c>
      <c r="BR253" s="15" t="n">
        <f aca="false">INDEX(Ipotesi!$C$78:$G$78,1,F253)/12</f>
        <v>1000</v>
      </c>
      <c r="BS253" s="15" t="n">
        <f aca="false">SUM(M253:R253)*(Ipotesi!$C$85+Ipotesi!$C$86)/12</f>
        <v>802.083333333333</v>
      </c>
      <c r="BT253" s="15" t="n">
        <f aca="false">BI253*Ipotesi!$C$87</f>
        <v>138.53344888664</v>
      </c>
      <c r="BU253" s="15" t="n">
        <f aca="false">INDEX(Ipotesi!$C$55:$G$55,1,F253)*K253/12</f>
        <v>300</v>
      </c>
      <c r="BV253" s="15" t="n">
        <f aca="false">INDEX(Ipotesi!$C$80:$G$80,1,F253)/12*Ipotesi!G126</f>
        <v>300</v>
      </c>
      <c r="BW253" s="15" t="n">
        <f aca="false">INDEX(Ipotesi!$C$82:$G$82,1,F253)/12</f>
        <v>416.666666666667</v>
      </c>
      <c r="BX253" s="15" t="n">
        <f aca="false">INDEX(Ipotesi!$C$83:$G$83,1,F253)/12</f>
        <v>500</v>
      </c>
      <c r="BY253" s="15" t="n">
        <f aca="false">SUM(S253:U253)*(Ipotesi!$C$85+Ipotesi!$C$86)/12</f>
        <v>240.625</v>
      </c>
      <c r="BZ253" s="15" t="n">
        <f aca="false">AM253*Ipotesi!$C$87</f>
        <v>240.726315789474</v>
      </c>
      <c r="CA253" s="15" t="n">
        <f aca="false">AB253+BJ253+BL253+BN253+BO253+AR253+BP253+BQ253+BR253+BS253+BT253</f>
        <v>16559.1397790148</v>
      </c>
      <c r="CB253" s="15" t="n">
        <f aca="false">AC253+BK253+BM253+BH253+BU253+BV253+AS253+BW253+BX253+BY253+BZ253</f>
        <v>7511.99868421053</v>
      </c>
      <c r="CC253" s="15" t="n">
        <f aca="false">BI253-CA253</f>
        <v>-11941.3581494602</v>
      </c>
      <c r="CD253" s="15" t="n">
        <f aca="false">AM253-CB253</f>
        <v>512.211842105264</v>
      </c>
      <c r="CE253" s="15" t="n">
        <f aca="false">INDEX(Ipotesi!$C$79:$G$79,1,F253)/12</f>
        <v>1666.66666666667</v>
      </c>
      <c r="CF253" s="15" t="n">
        <f aca="false">INDEX(Ipotesi!$C$84:$G$84,1,F253)/12</f>
        <v>250</v>
      </c>
      <c r="CG253" s="15" t="n">
        <f aca="false">Y253*MAX(0,Parametri_v3!$C$12-IF(P253=0,0,MIN(1,BE253/(P253*Parametri_v3!$C$22))))+W253*Parametri_v3!$C$13+X253*Parametri_v3!$C$14</f>
        <v>3867.2609508547</v>
      </c>
      <c r="CH253" s="15" t="n">
        <f aca="false">AB253*Parametri_v3!$C$32</f>
        <v>523.958333333333</v>
      </c>
      <c r="CI253" s="15" t="n">
        <f aca="false">AC253*Parametri_v3!$C$32</f>
        <v>144.375</v>
      </c>
      <c r="CJ253" s="15" t="n">
        <f aca="false">CA253-AB253</f>
        <v>6079.97311234818</v>
      </c>
      <c r="CK253" s="15" t="n">
        <f aca="false">CB253-AC253-BH253</f>
        <v>3822.07763157895</v>
      </c>
      <c r="CL253" s="15" t="n">
        <f aca="false">BF253*Ipotesi!$C$73+INDEX(Ipotesi!$C$72:$G$72,1,F253)/12*Ipotesi!G126*Parametri_v3!$C$58+Z253*(1-Parametri_v3!$C$16)</f>
        <v>926.978846153846</v>
      </c>
      <c r="CM253" s="16" t="n">
        <f aca="false">IF(BF253=0,0,1-CL253/BF253)</f>
        <v>-8.01199345641505</v>
      </c>
    </row>
    <row r="254" customFormat="false" ht="18" hidden="false" customHeight="true" outlineLevel="0" collapsed="false">
      <c r="A254" s="68" t="n">
        <f aca="false">5</f>
        <v>5</v>
      </c>
      <c r="B254" s="68" t="n">
        <f aca="false">10</f>
        <v>10</v>
      </c>
      <c r="C254" s="18" t="n">
        <f aca="false">EDATE(Parametri_v3!$C$5,10-1)</f>
        <v>46661</v>
      </c>
      <c r="D254" s="68" t="n">
        <f aca="false">YEAR(C254)</f>
        <v>2027</v>
      </c>
      <c r="E254" s="68" t="n">
        <f aca="false">MONTH(C254)</f>
        <v>10</v>
      </c>
      <c r="F254" s="68" t="n">
        <f aca="false">INT((10-1)/12)+1</f>
        <v>1</v>
      </c>
      <c r="G254" s="15" t="n">
        <f aca="false">Ipotesi!G7</f>
        <v>0.55</v>
      </c>
      <c r="H254" s="15" t="n">
        <f aca="false">Ipotesi!G9</f>
        <v>0.9</v>
      </c>
      <c r="I254" s="15" t="n">
        <f aca="false">Ipotesi!G10</f>
        <v>0.3</v>
      </c>
      <c r="J254" s="15" t="n">
        <f aca="false">Ipotesi!G11</f>
        <v>0.2</v>
      </c>
      <c r="K254" s="15" t="n">
        <f aca="false">Ipotesi!G12</f>
        <v>0.6</v>
      </c>
      <c r="L254" s="15" t="n">
        <f aca="false">Ipotesi!G13</f>
        <v>120</v>
      </c>
      <c r="M254" s="17" t="n">
        <f aca="false">INDEX(Ipotesi!$C$40:$G$40,1,F254)</f>
        <v>1</v>
      </c>
      <c r="N254" s="17" t="n">
        <f aca="false">INDEX(Ipotesi!$C$41:$G$41,1,F254)</f>
        <v>0.75</v>
      </c>
      <c r="O254" s="17" t="n">
        <f aca="false">INDEX(Ipotesi!$C$42:$G$42,1,F254)*Ipotesi!G125</f>
        <v>0.55</v>
      </c>
      <c r="P254" s="17" t="n">
        <f aca="false">INDEX(Ipotesi!$C$43:$G$43,1,F254)*I254</f>
        <v>0.3</v>
      </c>
      <c r="Q254" s="17" t="n">
        <f aca="false">INDEX(Ipotesi!$C$44:$G$44,1,F254)*I254</f>
        <v>0.15</v>
      </c>
      <c r="R254" s="17" t="n">
        <f aca="false">INDEX(Ipotesi!$C$45:$G$45,1,F254)*I254</f>
        <v>0</v>
      </c>
      <c r="S254" s="17" t="n">
        <f aca="false">INDEX(Ipotesi!$C$52:$G$52,1,F254)*Ipotesi!G125</f>
        <v>0.825</v>
      </c>
      <c r="T254" s="17" t="n">
        <f aca="false">INDEX(Ipotesi!$C$53:$G$53,1,F254)*I254</f>
        <v>0</v>
      </c>
      <c r="U254" s="17" t="n">
        <f aca="false">INDEX(Ipotesi!$C$54:$G$54,1,F254)*I254</f>
        <v>0</v>
      </c>
      <c r="V254" s="15" t="n">
        <f aca="false">M254*INDEX(Ipotesi!$C$58:$G$58,1,F254)*K254/12</f>
        <v>2000</v>
      </c>
      <c r="W254" s="15" t="n">
        <f aca="false">N254*Ipotesi!$C$59*(1+Ipotesi!$C$66)^(F254-1)/12</f>
        <v>4375</v>
      </c>
      <c r="X254" s="15" t="n">
        <f aca="false">O254*Ipotesi!$C$60*(1+Ipotesi!$C$66)^(F254-1)/12</f>
        <v>2291.66666666667</v>
      </c>
      <c r="Y254" s="15" t="n">
        <f aca="false">P254*Ipotesi!$C$61*(1+Ipotesi!$C$66)^(F254-1)/12</f>
        <v>1250</v>
      </c>
      <c r="Z254" s="15" t="n">
        <f aca="false">Q254*Ipotesi!$C$62*(1+Ipotesi!$C$66)^(F254-1)/12</f>
        <v>562.5</v>
      </c>
      <c r="AA254" s="15" t="n">
        <f aca="false">R254*Ipotesi!$C$63*(1+Ipotesi!$C$66)^(F254-1)/12</f>
        <v>0</v>
      </c>
      <c r="AB254" s="15" t="n">
        <f aca="false">SUM(V254:AA254)</f>
        <v>10479.1666666667</v>
      </c>
      <c r="AC254" s="15" t="n">
        <f aca="false">(S254*Ipotesi!$C$64+T254*Ipotesi!$C$65+U254*Ipotesi!$C$63)*(1+Ipotesi!$C$66)^(F254-1)/12</f>
        <v>2887.5</v>
      </c>
      <c r="AD254" s="15" t="n">
        <f aca="false">INDEX(Ipotesi!$C$48:$G$48,1,F254)*G254/12</f>
        <v>9.16666666666667</v>
      </c>
      <c r="AE254" s="15" t="n">
        <f aca="false">INDEX(Ipotesi!$C$50:$G$50,1,F254)*G254/12</f>
        <v>1.14583333333333</v>
      </c>
      <c r="AF254" s="15" t="n">
        <f aca="false">(S254*Parametri_v3!$C$7*Parametri_v3!$C$8+Parametri_v3!$C$10)/12</f>
        <v>10.5875</v>
      </c>
      <c r="AG254" s="15" t="n">
        <f aca="false">AD254+AE254*(1+Parametri_v3!$C$9)</f>
        <v>10.8854166666667</v>
      </c>
      <c r="AH254" s="16" t="n">
        <f aca="false">IF(AG254=0,1,MIN(1,AF254/AG254))</f>
        <v>0.972631578947368</v>
      </c>
      <c r="AI254" s="15" t="n">
        <f aca="false">AD254*AH254</f>
        <v>8.91578947368421</v>
      </c>
      <c r="AJ254" s="15" t="n">
        <f aca="false">AE254*AH254</f>
        <v>1.11447368421053</v>
      </c>
      <c r="AK254" s="15" t="n">
        <f aca="false">AI254*INDEX(Ipotesi!$C$49:$G$49,1,F254)*H254</f>
        <v>6018.15789473684</v>
      </c>
      <c r="AL254" s="15" t="n">
        <f aca="false">AJ254*INDEX(Ipotesi!$C$51:$G$51,1,F254)*H254</f>
        <v>2006.05263157895</v>
      </c>
      <c r="AM254" s="15" t="n">
        <f aca="false">AK254+AL254</f>
        <v>8024.21052631579</v>
      </c>
      <c r="AN254" s="15" t="n">
        <f aca="false">INDEX(Ipotesi!$C$30:$G$30,1,F254)*G254/12</f>
        <v>4.58333333333333</v>
      </c>
      <c r="AO254" s="15" t="n">
        <f aca="false">O254*Parametri_v3!$C$7*Parametri_v3!$C$11*(1-Parametri_v3!$C$14)/12</f>
        <v>5.64666666666667</v>
      </c>
      <c r="AP254" s="15" t="n">
        <f aca="false">MIN(AN254,AO254)</f>
        <v>4.58333333333333</v>
      </c>
      <c r="AQ254" s="15" t="n">
        <f aca="false">AP254*INDEX(Ipotesi!$C$31:$G$31,1,F254)*H254</f>
        <v>3712.5</v>
      </c>
      <c r="AR254" s="15" t="n">
        <f aca="false">INDEX(Ipotesi!$C$75:$G$75,1,F254)*J254/12</f>
        <v>416.666666666667</v>
      </c>
      <c r="AS254" s="15" t="n">
        <f aca="false">INDEX(Ipotesi!$C$81:$G$81,1,F254)*J254/12</f>
        <v>83.3333333333333</v>
      </c>
      <c r="AT254" s="15" t="n">
        <f aca="false">AR254*Parametri_v3!$C$15+Z254*Parametri_v3!$C$16</f>
        <v>810.416666666667</v>
      </c>
      <c r="AU254" s="15" t="n">
        <f aca="false">Q254*Parametri_v3!$C$16*Parametri_v3!$C$17</f>
        <v>10.5</v>
      </c>
      <c r="AV254" s="17" t="n">
        <f aca="false">BD253</f>
        <v>0.748076923076923</v>
      </c>
      <c r="AW254" s="17" t="n">
        <f aca="false">AV254*(1-(1-INDEX(Ipotesi!$C$34:$G$34,1,F254))^(1/12))</f>
        <v>0</v>
      </c>
      <c r="AX254" s="15" t="n">
        <f aca="false">ROUND(INDEX(Ipotesi!$C$32:$G$32,1,F254)*Ipotesi!G8,0)</f>
        <v>2</v>
      </c>
      <c r="AY254" s="15" t="n">
        <f aca="false">MAX(0,(AX254-(AV254-AW254))/(13-E254))</f>
        <v>0.417307692307692</v>
      </c>
      <c r="AZ254" s="15" t="n">
        <f aca="false">MIN(P254*Parametri_v3!$C$22,Q254*(1-Parametri_v3!$C$16)*Parametri_v3!$C$23)</f>
        <v>6.75</v>
      </c>
      <c r="BA254" s="15" t="n">
        <f aca="false">IF(OR(INDEX(Ipotesi!$C$35:$G$35,1,F254)&lt;=0,10-Parametri_v3!$C$21&lt;1),0,INDEX($AT$245:$AT$304,MAX(1,10-Parametri_v3!$C$21))/(INDEX(Ipotesi!$C$35:$G$35,1,F254)*Ipotesi!G27))</f>
        <v>0.124679487179487</v>
      </c>
      <c r="BB254" s="15" t="n">
        <f aca="false">IF(10-Parametri_v3!$C$21&lt;1,0,INDEX($AU$245:$AU$304,MAX(1,10-Parametri_v3!$C$21)))*Parametri_v3!$C$18*Parametri_v3!$C$19*Parametri_v3!$C$20</f>
        <v>0.39375</v>
      </c>
      <c r="BC254" s="17" t="n">
        <f aca="false">MAX(0,MIN(AY254,BA254,BB254,MAX(0,AZ254-(AV254-AW254))))</f>
        <v>0.124679487179487</v>
      </c>
      <c r="BD254" s="17" t="n">
        <f aca="false">AV254-AW254+BC254</f>
        <v>0.87275641025641</v>
      </c>
      <c r="BE254" s="17" t="n">
        <f aca="false">(AV254+BD254)/2</f>
        <v>0.810416666666667</v>
      </c>
      <c r="BF254" s="15" t="n">
        <f aca="false">BE254*INDEX(Ipotesi!$C$33:$G$33,1,F254)*H254/12</f>
        <v>121.5625</v>
      </c>
      <c r="BG254" s="15" t="n">
        <f aca="false">BD254*INDEX(Ipotesi!$C$33:$G$33,1,F254)*H254</f>
        <v>1570.96153846154</v>
      </c>
      <c r="BH254" s="15" t="n">
        <f aca="false">AM254*INDEX(Ipotesi!$C$37:$G$37,1,F254)</f>
        <v>802.421052631579</v>
      </c>
      <c r="BI254" s="15" t="n">
        <f aca="false">AQ254+BF254+BH254</f>
        <v>4636.48355263158</v>
      </c>
      <c r="BJ254" s="15" t="n">
        <f aca="false">INDEX(Ipotesi!$C$68:$G$68,1,F254)*Ipotesi!$C$69/12</f>
        <v>1000</v>
      </c>
      <c r="BK254" s="15" t="n">
        <f aca="false">INDEX(Ipotesi!$C$68:$G$68,1,F254)*(1-Ipotesi!$C$69)/12</f>
        <v>1500</v>
      </c>
      <c r="BL254" s="15" t="n">
        <f aca="false">(AQ254+BF254)*Ipotesi!$C$67</f>
        <v>115.021875</v>
      </c>
      <c r="BM254" s="15" t="n">
        <f aca="false">AM254*Ipotesi!$C$67</f>
        <v>240.726315789474</v>
      </c>
      <c r="BN254" s="15" t="n">
        <f aca="false">INDEX(Ipotesi!$C$72:$G$72,1,F254)/12*Ipotesi!G126+BF254*Ipotesi!$C$73</f>
        <v>759.725</v>
      </c>
      <c r="BO254" s="15" t="n">
        <f aca="false">INDEX(Ipotesi!$C$74:$G$74,1,F254)/12*Ipotesi!G126</f>
        <v>600</v>
      </c>
      <c r="BP254" s="15" t="n">
        <f aca="false">INDEX(Ipotesi!$C$76:$G$76,1,F254)/12</f>
        <v>500</v>
      </c>
      <c r="BQ254" s="15" t="n">
        <f aca="false">INDEX(Ipotesi!$C$77:$G$77,1,F254)/12*Ipotesi!G126</f>
        <v>750</v>
      </c>
      <c r="BR254" s="15" t="n">
        <f aca="false">INDEX(Ipotesi!$C$78:$G$78,1,F254)/12</f>
        <v>1000</v>
      </c>
      <c r="BS254" s="15" t="n">
        <f aca="false">SUM(M254:R254)*(Ipotesi!$C$85+Ipotesi!$C$86)/12</f>
        <v>802.083333333333</v>
      </c>
      <c r="BT254" s="15" t="n">
        <f aca="false">BI254*Ipotesi!$C$87</f>
        <v>139.094506578947</v>
      </c>
      <c r="BU254" s="15" t="n">
        <f aca="false">INDEX(Ipotesi!$C$55:$G$55,1,F254)*K254/12</f>
        <v>300</v>
      </c>
      <c r="BV254" s="15" t="n">
        <f aca="false">INDEX(Ipotesi!$C$80:$G$80,1,F254)/12*Ipotesi!G126</f>
        <v>300</v>
      </c>
      <c r="BW254" s="15" t="n">
        <f aca="false">INDEX(Ipotesi!$C$82:$G$82,1,F254)/12</f>
        <v>416.666666666667</v>
      </c>
      <c r="BX254" s="15" t="n">
        <f aca="false">INDEX(Ipotesi!$C$83:$G$83,1,F254)/12</f>
        <v>500</v>
      </c>
      <c r="BY254" s="15" t="n">
        <f aca="false">SUM(S254:U254)*(Ipotesi!$C$85+Ipotesi!$C$86)/12</f>
        <v>240.625</v>
      </c>
      <c r="BZ254" s="15" t="n">
        <f aca="false">AM254*Ipotesi!$C$87</f>
        <v>240.726315789474</v>
      </c>
      <c r="CA254" s="15" t="n">
        <f aca="false">AB254+BJ254+BL254+BN254+BO254+AR254+BP254+BQ254+BR254+BS254+BT254</f>
        <v>16561.7580482456</v>
      </c>
      <c r="CB254" s="15" t="n">
        <f aca="false">AC254+BK254+BM254+BH254+BU254+BV254+AS254+BW254+BX254+BY254+BZ254</f>
        <v>7511.99868421053</v>
      </c>
      <c r="CC254" s="15" t="n">
        <f aca="false">BI254-CA254</f>
        <v>-11925.274495614</v>
      </c>
      <c r="CD254" s="15" t="n">
        <f aca="false">AM254-CB254</f>
        <v>512.211842105264</v>
      </c>
      <c r="CE254" s="15" t="n">
        <f aca="false">INDEX(Ipotesi!$C$79:$G$79,1,F254)/12</f>
        <v>1666.66666666667</v>
      </c>
      <c r="CF254" s="15" t="n">
        <f aca="false">INDEX(Ipotesi!$C$84:$G$84,1,F254)/12</f>
        <v>250</v>
      </c>
      <c r="CG254" s="15" t="n">
        <f aca="false">Y254*MAX(0,Parametri_v3!$C$12-IF(P254=0,0,MIN(1,BE254/(P254*Parametri_v3!$C$22))))+W254*Parametri_v3!$C$13+X254*Parametri_v3!$C$14</f>
        <v>3862.06597222222</v>
      </c>
      <c r="CH254" s="15" t="n">
        <f aca="false">AB254*Parametri_v3!$C$32</f>
        <v>523.958333333333</v>
      </c>
      <c r="CI254" s="15" t="n">
        <f aca="false">AC254*Parametri_v3!$C$32</f>
        <v>144.375</v>
      </c>
      <c r="CJ254" s="15" t="n">
        <f aca="false">CA254-AB254</f>
        <v>6082.59138157895</v>
      </c>
      <c r="CK254" s="15" t="n">
        <f aca="false">CB254-AC254-BH254</f>
        <v>3822.07763157895</v>
      </c>
      <c r="CL254" s="15" t="n">
        <f aca="false">BF254*Ipotesi!$C$73+INDEX(Ipotesi!$C$72:$G$72,1,F254)/12*Ipotesi!G126*Parametri_v3!$C$58+Z254*(1-Parametri_v3!$C$16)</f>
        <v>928.475</v>
      </c>
      <c r="CM254" s="16" t="n">
        <f aca="false">IF(BF254=0,0,1-CL254/BF254)</f>
        <v>-6.63784061696658</v>
      </c>
    </row>
    <row r="255" customFormat="false" ht="18" hidden="false" customHeight="true" outlineLevel="0" collapsed="false">
      <c r="A255" s="68" t="n">
        <f aca="false">5</f>
        <v>5</v>
      </c>
      <c r="B255" s="68" t="n">
        <f aca="false">11</f>
        <v>11</v>
      </c>
      <c r="C255" s="18" t="n">
        <f aca="false">EDATE(Parametri_v3!$C$5,11-1)</f>
        <v>46692</v>
      </c>
      <c r="D255" s="68" t="n">
        <f aca="false">YEAR(C255)</f>
        <v>2027</v>
      </c>
      <c r="E255" s="68" t="n">
        <f aca="false">MONTH(C255)</f>
        <v>11</v>
      </c>
      <c r="F255" s="68" t="n">
        <f aca="false">INT((11-1)/12)+1</f>
        <v>1</v>
      </c>
      <c r="G255" s="15" t="n">
        <f aca="false">Ipotesi!G7</f>
        <v>0.55</v>
      </c>
      <c r="H255" s="15" t="n">
        <f aca="false">Ipotesi!G9</f>
        <v>0.9</v>
      </c>
      <c r="I255" s="15" t="n">
        <f aca="false">Ipotesi!G10</f>
        <v>0.3</v>
      </c>
      <c r="J255" s="15" t="n">
        <f aca="false">Ipotesi!G11</f>
        <v>0.2</v>
      </c>
      <c r="K255" s="15" t="n">
        <f aca="false">Ipotesi!G12</f>
        <v>0.6</v>
      </c>
      <c r="L255" s="15" t="n">
        <f aca="false">Ipotesi!G13</f>
        <v>120</v>
      </c>
      <c r="M255" s="17" t="n">
        <f aca="false">INDEX(Ipotesi!$C$40:$G$40,1,F255)</f>
        <v>1</v>
      </c>
      <c r="N255" s="17" t="n">
        <f aca="false">INDEX(Ipotesi!$C$41:$G$41,1,F255)</f>
        <v>0.75</v>
      </c>
      <c r="O255" s="17" t="n">
        <f aca="false">INDEX(Ipotesi!$C$42:$G$42,1,F255)*Ipotesi!G125</f>
        <v>0.55</v>
      </c>
      <c r="P255" s="17" t="n">
        <f aca="false">INDEX(Ipotesi!$C$43:$G$43,1,F255)*I255</f>
        <v>0.3</v>
      </c>
      <c r="Q255" s="17" t="n">
        <f aca="false">INDEX(Ipotesi!$C$44:$G$44,1,F255)*I255</f>
        <v>0.15</v>
      </c>
      <c r="R255" s="17" t="n">
        <f aca="false">INDEX(Ipotesi!$C$45:$G$45,1,F255)*I255</f>
        <v>0</v>
      </c>
      <c r="S255" s="17" t="n">
        <f aca="false">INDEX(Ipotesi!$C$52:$G$52,1,F255)*Ipotesi!G125</f>
        <v>0.825</v>
      </c>
      <c r="T255" s="17" t="n">
        <f aca="false">INDEX(Ipotesi!$C$53:$G$53,1,F255)*I255</f>
        <v>0</v>
      </c>
      <c r="U255" s="17" t="n">
        <f aca="false">INDEX(Ipotesi!$C$54:$G$54,1,F255)*I255</f>
        <v>0</v>
      </c>
      <c r="V255" s="15" t="n">
        <f aca="false">M255*INDEX(Ipotesi!$C$58:$G$58,1,F255)*K255/12</f>
        <v>2000</v>
      </c>
      <c r="W255" s="15" t="n">
        <f aca="false">N255*Ipotesi!$C$59*(1+Ipotesi!$C$66)^(F255-1)/12</f>
        <v>4375</v>
      </c>
      <c r="X255" s="15" t="n">
        <f aca="false">O255*Ipotesi!$C$60*(1+Ipotesi!$C$66)^(F255-1)/12</f>
        <v>2291.66666666667</v>
      </c>
      <c r="Y255" s="15" t="n">
        <f aca="false">P255*Ipotesi!$C$61*(1+Ipotesi!$C$66)^(F255-1)/12</f>
        <v>1250</v>
      </c>
      <c r="Z255" s="15" t="n">
        <f aca="false">Q255*Ipotesi!$C$62*(1+Ipotesi!$C$66)^(F255-1)/12</f>
        <v>562.5</v>
      </c>
      <c r="AA255" s="15" t="n">
        <f aca="false">R255*Ipotesi!$C$63*(1+Ipotesi!$C$66)^(F255-1)/12</f>
        <v>0</v>
      </c>
      <c r="AB255" s="15" t="n">
        <f aca="false">SUM(V255:AA255)</f>
        <v>10479.1666666667</v>
      </c>
      <c r="AC255" s="15" t="n">
        <f aca="false">(S255*Ipotesi!$C$64+T255*Ipotesi!$C$65+U255*Ipotesi!$C$63)*(1+Ipotesi!$C$66)^(F255-1)/12</f>
        <v>2887.5</v>
      </c>
      <c r="AD255" s="15" t="n">
        <f aca="false">INDEX(Ipotesi!$C$48:$G$48,1,F255)*G255/12</f>
        <v>9.16666666666667</v>
      </c>
      <c r="AE255" s="15" t="n">
        <f aca="false">INDEX(Ipotesi!$C$50:$G$50,1,F255)*G255/12</f>
        <v>1.14583333333333</v>
      </c>
      <c r="AF255" s="15" t="n">
        <f aca="false">(S255*Parametri_v3!$C$7*Parametri_v3!$C$8+Parametri_v3!$C$10)/12</f>
        <v>10.5875</v>
      </c>
      <c r="AG255" s="15" t="n">
        <f aca="false">AD255+AE255*(1+Parametri_v3!$C$9)</f>
        <v>10.8854166666667</v>
      </c>
      <c r="AH255" s="16" t="n">
        <f aca="false">IF(AG255=0,1,MIN(1,AF255/AG255))</f>
        <v>0.972631578947368</v>
      </c>
      <c r="AI255" s="15" t="n">
        <f aca="false">AD255*AH255</f>
        <v>8.91578947368421</v>
      </c>
      <c r="AJ255" s="15" t="n">
        <f aca="false">AE255*AH255</f>
        <v>1.11447368421053</v>
      </c>
      <c r="AK255" s="15" t="n">
        <f aca="false">AI255*INDEX(Ipotesi!$C$49:$G$49,1,F255)*H255</f>
        <v>6018.15789473684</v>
      </c>
      <c r="AL255" s="15" t="n">
        <f aca="false">AJ255*INDEX(Ipotesi!$C$51:$G$51,1,F255)*H255</f>
        <v>2006.05263157895</v>
      </c>
      <c r="AM255" s="15" t="n">
        <f aca="false">AK255+AL255</f>
        <v>8024.21052631579</v>
      </c>
      <c r="AN255" s="15" t="n">
        <f aca="false">INDEX(Ipotesi!$C$30:$G$30,1,F255)*G255/12</f>
        <v>4.58333333333333</v>
      </c>
      <c r="AO255" s="15" t="n">
        <f aca="false">O255*Parametri_v3!$C$7*Parametri_v3!$C$11*(1-Parametri_v3!$C$14)/12</f>
        <v>5.64666666666667</v>
      </c>
      <c r="AP255" s="15" t="n">
        <f aca="false">MIN(AN255,AO255)</f>
        <v>4.58333333333333</v>
      </c>
      <c r="AQ255" s="15" t="n">
        <f aca="false">AP255*INDEX(Ipotesi!$C$31:$G$31,1,F255)*H255</f>
        <v>3712.5</v>
      </c>
      <c r="AR255" s="15" t="n">
        <f aca="false">INDEX(Ipotesi!$C$75:$G$75,1,F255)*J255/12</f>
        <v>416.666666666667</v>
      </c>
      <c r="AS255" s="15" t="n">
        <f aca="false">INDEX(Ipotesi!$C$81:$G$81,1,F255)*J255/12</f>
        <v>83.3333333333333</v>
      </c>
      <c r="AT255" s="15" t="n">
        <f aca="false">AR255*Parametri_v3!$C$15+Z255*Parametri_v3!$C$16</f>
        <v>810.416666666667</v>
      </c>
      <c r="AU255" s="15" t="n">
        <f aca="false">Q255*Parametri_v3!$C$16*Parametri_v3!$C$17</f>
        <v>10.5</v>
      </c>
      <c r="AV255" s="17" t="n">
        <f aca="false">BD254</f>
        <v>0.87275641025641</v>
      </c>
      <c r="AW255" s="17" t="n">
        <f aca="false">AV255*(1-(1-INDEX(Ipotesi!$C$34:$G$34,1,F255))^(1/12))</f>
        <v>0</v>
      </c>
      <c r="AX255" s="15" t="n">
        <f aca="false">ROUND(INDEX(Ipotesi!$C$32:$G$32,1,F255)*Ipotesi!G8,0)</f>
        <v>2</v>
      </c>
      <c r="AY255" s="15" t="n">
        <f aca="false">MAX(0,(AX255-(AV255-AW255))/(13-E255))</f>
        <v>0.563621794871795</v>
      </c>
      <c r="AZ255" s="15" t="n">
        <f aca="false">MIN(P255*Parametri_v3!$C$22,Q255*(1-Parametri_v3!$C$16)*Parametri_v3!$C$23)</f>
        <v>6.75</v>
      </c>
      <c r="BA255" s="15" t="n">
        <f aca="false">IF(OR(INDEX(Ipotesi!$C$35:$G$35,1,F255)&lt;=0,11-Parametri_v3!$C$21&lt;1),0,INDEX($AT$245:$AT$304,MAX(1,11-Parametri_v3!$C$21))/(INDEX(Ipotesi!$C$35:$G$35,1,F255)*Ipotesi!G27))</f>
        <v>0.124679487179487</v>
      </c>
      <c r="BB255" s="15" t="n">
        <f aca="false">IF(11-Parametri_v3!$C$21&lt;1,0,INDEX($AU$245:$AU$304,MAX(1,11-Parametri_v3!$C$21)))*Parametri_v3!$C$18*Parametri_v3!$C$19*Parametri_v3!$C$20</f>
        <v>0.39375</v>
      </c>
      <c r="BC255" s="17" t="n">
        <f aca="false">MAX(0,MIN(AY255,BA255,BB255,MAX(0,AZ255-(AV255-AW255))))</f>
        <v>0.124679487179487</v>
      </c>
      <c r="BD255" s="17" t="n">
        <f aca="false">AV255-AW255+BC255</f>
        <v>0.997435897435898</v>
      </c>
      <c r="BE255" s="17" t="n">
        <f aca="false">(AV255+BD255)/2</f>
        <v>0.935096153846154</v>
      </c>
      <c r="BF255" s="15" t="n">
        <f aca="false">BE255*INDEX(Ipotesi!$C$33:$G$33,1,F255)*H255/12</f>
        <v>140.264423076923</v>
      </c>
      <c r="BG255" s="15" t="n">
        <f aca="false">BD255*INDEX(Ipotesi!$C$33:$G$33,1,F255)*H255</f>
        <v>1795.38461538462</v>
      </c>
      <c r="BH255" s="15" t="n">
        <f aca="false">AM255*INDEX(Ipotesi!$C$37:$G$37,1,F255)</f>
        <v>802.421052631579</v>
      </c>
      <c r="BI255" s="15" t="n">
        <f aca="false">AQ255+BF255+BH255</f>
        <v>4655.1854757085</v>
      </c>
      <c r="BJ255" s="15" t="n">
        <f aca="false">INDEX(Ipotesi!$C$68:$G$68,1,F255)*Ipotesi!$C$69/12</f>
        <v>1000</v>
      </c>
      <c r="BK255" s="15" t="n">
        <f aca="false">INDEX(Ipotesi!$C$68:$G$68,1,F255)*(1-Ipotesi!$C$69)/12</f>
        <v>1500</v>
      </c>
      <c r="BL255" s="15" t="n">
        <f aca="false">(AQ255+BF255)*Ipotesi!$C$67</f>
        <v>115.582932692308</v>
      </c>
      <c r="BM255" s="15" t="n">
        <f aca="false">AM255*Ipotesi!$C$67</f>
        <v>240.726315789474</v>
      </c>
      <c r="BN255" s="15" t="n">
        <f aca="false">INDEX(Ipotesi!$C$72:$G$72,1,F255)/12*Ipotesi!G126+BF255*Ipotesi!$C$73</f>
        <v>761.221153846154</v>
      </c>
      <c r="BO255" s="15" t="n">
        <f aca="false">INDEX(Ipotesi!$C$74:$G$74,1,F255)/12*Ipotesi!G126</f>
        <v>600</v>
      </c>
      <c r="BP255" s="15" t="n">
        <f aca="false">INDEX(Ipotesi!$C$76:$G$76,1,F255)/12</f>
        <v>500</v>
      </c>
      <c r="BQ255" s="15" t="n">
        <f aca="false">INDEX(Ipotesi!$C$77:$G$77,1,F255)/12*Ipotesi!G126</f>
        <v>750</v>
      </c>
      <c r="BR255" s="15" t="n">
        <f aca="false">INDEX(Ipotesi!$C$78:$G$78,1,F255)/12</f>
        <v>1000</v>
      </c>
      <c r="BS255" s="15" t="n">
        <f aca="false">SUM(M255:R255)*(Ipotesi!$C$85+Ipotesi!$C$86)/12</f>
        <v>802.083333333333</v>
      </c>
      <c r="BT255" s="15" t="n">
        <f aca="false">BI255*Ipotesi!$C$87</f>
        <v>139.655564271255</v>
      </c>
      <c r="BU255" s="15" t="n">
        <f aca="false">INDEX(Ipotesi!$C$55:$G$55,1,F255)*K255/12</f>
        <v>300</v>
      </c>
      <c r="BV255" s="15" t="n">
        <f aca="false">INDEX(Ipotesi!$C$80:$G$80,1,F255)/12*Ipotesi!G126</f>
        <v>300</v>
      </c>
      <c r="BW255" s="15" t="n">
        <f aca="false">INDEX(Ipotesi!$C$82:$G$82,1,F255)/12</f>
        <v>416.666666666667</v>
      </c>
      <c r="BX255" s="15" t="n">
        <f aca="false">INDEX(Ipotesi!$C$83:$G$83,1,F255)/12</f>
        <v>500</v>
      </c>
      <c r="BY255" s="15" t="n">
        <f aca="false">SUM(S255:U255)*(Ipotesi!$C$85+Ipotesi!$C$86)/12</f>
        <v>240.625</v>
      </c>
      <c r="BZ255" s="15" t="n">
        <f aca="false">AM255*Ipotesi!$C$87</f>
        <v>240.726315789474</v>
      </c>
      <c r="CA255" s="15" t="n">
        <f aca="false">AB255+BJ255+BL255+BN255+BO255+AR255+BP255+BQ255+BR255+BS255+BT255</f>
        <v>16564.3763174764</v>
      </c>
      <c r="CB255" s="15" t="n">
        <f aca="false">AC255+BK255+BM255+BH255+BU255+BV255+AS255+BW255+BX255+BY255+BZ255</f>
        <v>7511.99868421053</v>
      </c>
      <c r="CC255" s="15" t="n">
        <f aca="false">BI255-CA255</f>
        <v>-11909.1908417679</v>
      </c>
      <c r="CD255" s="15" t="n">
        <f aca="false">AM255-CB255</f>
        <v>512.211842105264</v>
      </c>
      <c r="CE255" s="15" t="n">
        <f aca="false">INDEX(Ipotesi!$C$79:$G$79,1,F255)/12</f>
        <v>1666.66666666667</v>
      </c>
      <c r="CF255" s="15" t="n">
        <f aca="false">INDEX(Ipotesi!$C$84:$G$84,1,F255)/12</f>
        <v>250</v>
      </c>
      <c r="CG255" s="15" t="n">
        <f aca="false">Y255*MAX(0,Parametri_v3!$C$12-IF(P255=0,0,MIN(1,BE255/(P255*Parametri_v3!$C$22))))+W255*Parametri_v3!$C$13+X255*Parametri_v3!$C$14</f>
        <v>3856.87099358974</v>
      </c>
      <c r="CH255" s="15" t="n">
        <f aca="false">AB255*Parametri_v3!$C$32</f>
        <v>523.958333333333</v>
      </c>
      <c r="CI255" s="15" t="n">
        <f aca="false">AC255*Parametri_v3!$C$32</f>
        <v>144.375</v>
      </c>
      <c r="CJ255" s="15" t="n">
        <f aca="false">CA255-AB255</f>
        <v>6085.20965080972</v>
      </c>
      <c r="CK255" s="15" t="n">
        <f aca="false">CB255-AC255-BH255</f>
        <v>3822.07763157895</v>
      </c>
      <c r="CL255" s="15" t="n">
        <f aca="false">BF255*Ipotesi!$C$73+INDEX(Ipotesi!$C$72:$G$72,1,F255)/12*Ipotesi!G126*Parametri_v3!$C$58+Z255*(1-Parametri_v3!$C$16)</f>
        <v>929.971153846154</v>
      </c>
      <c r="CM255" s="16" t="n">
        <f aca="false">IF(BF255=0,0,1-CL255/BF255)</f>
        <v>-5.63012853470437</v>
      </c>
    </row>
    <row r="256" customFormat="false" ht="18" hidden="false" customHeight="true" outlineLevel="0" collapsed="false">
      <c r="A256" s="68" t="n">
        <f aca="false">5</f>
        <v>5</v>
      </c>
      <c r="B256" s="68" t="n">
        <f aca="false">12</f>
        <v>12</v>
      </c>
      <c r="C256" s="18" t="n">
        <f aca="false">EDATE(Parametri_v3!$C$5,12-1)</f>
        <v>46722</v>
      </c>
      <c r="D256" s="68" t="n">
        <f aca="false">YEAR(C256)</f>
        <v>2027</v>
      </c>
      <c r="E256" s="68" t="n">
        <f aca="false">MONTH(C256)</f>
        <v>12</v>
      </c>
      <c r="F256" s="68" t="n">
        <f aca="false">INT((12-1)/12)+1</f>
        <v>1</v>
      </c>
      <c r="G256" s="15" t="n">
        <f aca="false">Ipotesi!G7</f>
        <v>0.55</v>
      </c>
      <c r="H256" s="15" t="n">
        <f aca="false">Ipotesi!G9</f>
        <v>0.9</v>
      </c>
      <c r="I256" s="15" t="n">
        <f aca="false">Ipotesi!G10</f>
        <v>0.3</v>
      </c>
      <c r="J256" s="15" t="n">
        <f aca="false">Ipotesi!G11</f>
        <v>0.2</v>
      </c>
      <c r="K256" s="15" t="n">
        <f aca="false">Ipotesi!G12</f>
        <v>0.6</v>
      </c>
      <c r="L256" s="15" t="n">
        <f aca="false">Ipotesi!G13</f>
        <v>120</v>
      </c>
      <c r="M256" s="17" t="n">
        <f aca="false">INDEX(Ipotesi!$C$40:$G$40,1,F256)</f>
        <v>1</v>
      </c>
      <c r="N256" s="17" t="n">
        <f aca="false">INDEX(Ipotesi!$C$41:$G$41,1,F256)</f>
        <v>0.75</v>
      </c>
      <c r="O256" s="17" t="n">
        <f aca="false">INDEX(Ipotesi!$C$42:$G$42,1,F256)*Ipotesi!G125</f>
        <v>0.55</v>
      </c>
      <c r="P256" s="17" t="n">
        <f aca="false">INDEX(Ipotesi!$C$43:$G$43,1,F256)*I256</f>
        <v>0.3</v>
      </c>
      <c r="Q256" s="17" t="n">
        <f aca="false">INDEX(Ipotesi!$C$44:$G$44,1,F256)*I256</f>
        <v>0.15</v>
      </c>
      <c r="R256" s="17" t="n">
        <f aca="false">INDEX(Ipotesi!$C$45:$G$45,1,F256)*I256</f>
        <v>0</v>
      </c>
      <c r="S256" s="17" t="n">
        <f aca="false">INDEX(Ipotesi!$C$52:$G$52,1,F256)*Ipotesi!G125</f>
        <v>0.825</v>
      </c>
      <c r="T256" s="17" t="n">
        <f aca="false">INDEX(Ipotesi!$C$53:$G$53,1,F256)*I256</f>
        <v>0</v>
      </c>
      <c r="U256" s="17" t="n">
        <f aca="false">INDEX(Ipotesi!$C$54:$G$54,1,F256)*I256</f>
        <v>0</v>
      </c>
      <c r="V256" s="15" t="n">
        <f aca="false">M256*INDEX(Ipotesi!$C$58:$G$58,1,F256)*K256/12</f>
        <v>2000</v>
      </c>
      <c r="W256" s="15" t="n">
        <f aca="false">N256*Ipotesi!$C$59*(1+Ipotesi!$C$66)^(F256-1)/12</f>
        <v>4375</v>
      </c>
      <c r="X256" s="15" t="n">
        <f aca="false">O256*Ipotesi!$C$60*(1+Ipotesi!$C$66)^(F256-1)/12</f>
        <v>2291.66666666667</v>
      </c>
      <c r="Y256" s="15" t="n">
        <f aca="false">P256*Ipotesi!$C$61*(1+Ipotesi!$C$66)^(F256-1)/12</f>
        <v>1250</v>
      </c>
      <c r="Z256" s="15" t="n">
        <f aca="false">Q256*Ipotesi!$C$62*(1+Ipotesi!$C$66)^(F256-1)/12</f>
        <v>562.5</v>
      </c>
      <c r="AA256" s="15" t="n">
        <f aca="false">R256*Ipotesi!$C$63*(1+Ipotesi!$C$66)^(F256-1)/12</f>
        <v>0</v>
      </c>
      <c r="AB256" s="15" t="n">
        <f aca="false">SUM(V256:AA256)</f>
        <v>10479.1666666667</v>
      </c>
      <c r="AC256" s="15" t="n">
        <f aca="false">(S256*Ipotesi!$C$64+T256*Ipotesi!$C$65+U256*Ipotesi!$C$63)*(1+Ipotesi!$C$66)^(F256-1)/12</f>
        <v>2887.5</v>
      </c>
      <c r="AD256" s="15" t="n">
        <f aca="false">INDEX(Ipotesi!$C$48:$G$48,1,F256)*G256/12</f>
        <v>9.16666666666667</v>
      </c>
      <c r="AE256" s="15" t="n">
        <f aca="false">INDEX(Ipotesi!$C$50:$G$50,1,F256)*G256/12</f>
        <v>1.14583333333333</v>
      </c>
      <c r="AF256" s="15" t="n">
        <f aca="false">(S256*Parametri_v3!$C$7*Parametri_v3!$C$8+Parametri_v3!$C$10)/12</f>
        <v>10.5875</v>
      </c>
      <c r="AG256" s="15" t="n">
        <f aca="false">AD256+AE256*(1+Parametri_v3!$C$9)</f>
        <v>10.8854166666667</v>
      </c>
      <c r="AH256" s="16" t="n">
        <f aca="false">IF(AG256=0,1,MIN(1,AF256/AG256))</f>
        <v>0.972631578947368</v>
      </c>
      <c r="AI256" s="15" t="n">
        <f aca="false">AD256*AH256</f>
        <v>8.91578947368421</v>
      </c>
      <c r="AJ256" s="15" t="n">
        <f aca="false">AE256*AH256</f>
        <v>1.11447368421053</v>
      </c>
      <c r="AK256" s="15" t="n">
        <f aca="false">AI256*INDEX(Ipotesi!$C$49:$G$49,1,F256)*H256</f>
        <v>6018.15789473684</v>
      </c>
      <c r="AL256" s="15" t="n">
        <f aca="false">AJ256*INDEX(Ipotesi!$C$51:$G$51,1,F256)*H256</f>
        <v>2006.05263157895</v>
      </c>
      <c r="AM256" s="15" t="n">
        <f aca="false">AK256+AL256</f>
        <v>8024.21052631579</v>
      </c>
      <c r="AN256" s="15" t="n">
        <f aca="false">INDEX(Ipotesi!$C$30:$G$30,1,F256)*G256/12</f>
        <v>4.58333333333333</v>
      </c>
      <c r="AO256" s="15" t="n">
        <f aca="false">O256*Parametri_v3!$C$7*Parametri_v3!$C$11*(1-Parametri_v3!$C$14)/12</f>
        <v>5.64666666666667</v>
      </c>
      <c r="AP256" s="15" t="n">
        <f aca="false">MIN(AN256,AO256)</f>
        <v>4.58333333333333</v>
      </c>
      <c r="AQ256" s="15" t="n">
        <f aca="false">AP256*INDEX(Ipotesi!$C$31:$G$31,1,F256)*H256</f>
        <v>3712.5</v>
      </c>
      <c r="AR256" s="15" t="n">
        <f aca="false">INDEX(Ipotesi!$C$75:$G$75,1,F256)*J256/12</f>
        <v>416.666666666667</v>
      </c>
      <c r="AS256" s="15" t="n">
        <f aca="false">INDEX(Ipotesi!$C$81:$G$81,1,F256)*J256/12</f>
        <v>83.3333333333333</v>
      </c>
      <c r="AT256" s="15" t="n">
        <f aca="false">AR256*Parametri_v3!$C$15+Z256*Parametri_v3!$C$16</f>
        <v>810.416666666667</v>
      </c>
      <c r="AU256" s="15" t="n">
        <f aca="false">Q256*Parametri_v3!$C$16*Parametri_v3!$C$17</f>
        <v>10.5</v>
      </c>
      <c r="AV256" s="17" t="n">
        <f aca="false">BD255</f>
        <v>0.997435897435898</v>
      </c>
      <c r="AW256" s="17" t="n">
        <f aca="false">AV256*(1-(1-INDEX(Ipotesi!$C$34:$G$34,1,F256))^(1/12))</f>
        <v>0</v>
      </c>
      <c r="AX256" s="15" t="n">
        <f aca="false">ROUND(INDEX(Ipotesi!$C$32:$G$32,1,F256)*Ipotesi!G8,0)</f>
        <v>2</v>
      </c>
      <c r="AY256" s="15" t="n">
        <f aca="false">MAX(0,(AX256-(AV256-AW256))/(13-E256))</f>
        <v>1.0025641025641</v>
      </c>
      <c r="AZ256" s="15" t="n">
        <f aca="false">MIN(P256*Parametri_v3!$C$22,Q256*(1-Parametri_v3!$C$16)*Parametri_v3!$C$23)</f>
        <v>6.75</v>
      </c>
      <c r="BA256" s="15" t="n">
        <f aca="false">IF(OR(INDEX(Ipotesi!$C$35:$G$35,1,F256)&lt;=0,12-Parametri_v3!$C$21&lt;1),0,INDEX($AT$245:$AT$304,MAX(1,12-Parametri_v3!$C$21))/(INDEX(Ipotesi!$C$35:$G$35,1,F256)*Ipotesi!G27))</f>
        <v>0.124679487179487</v>
      </c>
      <c r="BB256" s="15" t="n">
        <f aca="false">IF(12-Parametri_v3!$C$21&lt;1,0,INDEX($AU$245:$AU$304,MAX(1,12-Parametri_v3!$C$21)))*Parametri_v3!$C$18*Parametri_v3!$C$19*Parametri_v3!$C$20</f>
        <v>0.39375</v>
      </c>
      <c r="BC256" s="17" t="n">
        <f aca="false">MAX(0,MIN(AY256,BA256,BB256,MAX(0,AZ256-(AV256-AW256))))</f>
        <v>0.124679487179487</v>
      </c>
      <c r="BD256" s="17" t="n">
        <f aca="false">AV256-AW256+BC256</f>
        <v>1.12211538461538</v>
      </c>
      <c r="BE256" s="17" t="n">
        <f aca="false">(AV256+BD256)/2</f>
        <v>1.05977564102564</v>
      </c>
      <c r="BF256" s="15" t="n">
        <f aca="false">BE256*INDEX(Ipotesi!$C$33:$G$33,1,F256)*H256/12</f>
        <v>158.966346153846</v>
      </c>
      <c r="BG256" s="15" t="n">
        <f aca="false">BD256*INDEX(Ipotesi!$C$33:$G$33,1,F256)*H256</f>
        <v>2019.80769230769</v>
      </c>
      <c r="BH256" s="15" t="n">
        <f aca="false">AM256*INDEX(Ipotesi!$C$37:$G$37,1,F256)</f>
        <v>802.421052631579</v>
      </c>
      <c r="BI256" s="15" t="n">
        <f aca="false">AQ256+BF256+BH256</f>
        <v>4673.88739878543</v>
      </c>
      <c r="BJ256" s="15" t="n">
        <f aca="false">INDEX(Ipotesi!$C$68:$G$68,1,F256)*Ipotesi!$C$69/12</f>
        <v>1000</v>
      </c>
      <c r="BK256" s="15" t="n">
        <f aca="false">INDEX(Ipotesi!$C$68:$G$68,1,F256)*(1-Ipotesi!$C$69)/12</f>
        <v>1500</v>
      </c>
      <c r="BL256" s="15" t="n">
        <f aca="false">(AQ256+BF256)*Ipotesi!$C$67</f>
        <v>116.143990384615</v>
      </c>
      <c r="BM256" s="15" t="n">
        <f aca="false">AM256*Ipotesi!$C$67</f>
        <v>240.726315789474</v>
      </c>
      <c r="BN256" s="15" t="n">
        <f aca="false">INDEX(Ipotesi!$C$72:$G$72,1,F256)/12*Ipotesi!G126+BF256*Ipotesi!$C$73</f>
        <v>762.717307692308</v>
      </c>
      <c r="BO256" s="15" t="n">
        <f aca="false">INDEX(Ipotesi!$C$74:$G$74,1,F256)/12*Ipotesi!G126</f>
        <v>600</v>
      </c>
      <c r="BP256" s="15" t="n">
        <f aca="false">INDEX(Ipotesi!$C$76:$G$76,1,F256)/12</f>
        <v>500</v>
      </c>
      <c r="BQ256" s="15" t="n">
        <f aca="false">INDEX(Ipotesi!$C$77:$G$77,1,F256)/12*Ipotesi!G126</f>
        <v>750</v>
      </c>
      <c r="BR256" s="15" t="n">
        <f aca="false">INDEX(Ipotesi!$C$78:$G$78,1,F256)/12</f>
        <v>1000</v>
      </c>
      <c r="BS256" s="15" t="n">
        <f aca="false">SUM(M256:R256)*(Ipotesi!$C$85+Ipotesi!$C$86)/12</f>
        <v>802.083333333333</v>
      </c>
      <c r="BT256" s="15" t="n">
        <f aca="false">BI256*Ipotesi!$C$87</f>
        <v>140.216621963563</v>
      </c>
      <c r="BU256" s="15" t="n">
        <f aca="false">INDEX(Ipotesi!$C$55:$G$55,1,F256)*K256/12</f>
        <v>300</v>
      </c>
      <c r="BV256" s="15" t="n">
        <f aca="false">INDEX(Ipotesi!$C$80:$G$80,1,F256)/12*Ipotesi!G126</f>
        <v>300</v>
      </c>
      <c r="BW256" s="15" t="n">
        <f aca="false">INDEX(Ipotesi!$C$82:$G$82,1,F256)/12</f>
        <v>416.666666666667</v>
      </c>
      <c r="BX256" s="15" t="n">
        <f aca="false">INDEX(Ipotesi!$C$83:$G$83,1,F256)/12</f>
        <v>500</v>
      </c>
      <c r="BY256" s="15" t="n">
        <f aca="false">SUM(S256:U256)*(Ipotesi!$C$85+Ipotesi!$C$86)/12</f>
        <v>240.625</v>
      </c>
      <c r="BZ256" s="15" t="n">
        <f aca="false">AM256*Ipotesi!$C$87</f>
        <v>240.726315789474</v>
      </c>
      <c r="CA256" s="15" t="n">
        <f aca="false">AB256+BJ256+BL256+BN256+BO256+AR256+BP256+BQ256+BR256+BS256+BT256</f>
        <v>16566.9945867072</v>
      </c>
      <c r="CB256" s="15" t="n">
        <f aca="false">AC256+BK256+BM256+BH256+BU256+BV256+AS256+BW256+BX256+BY256+BZ256</f>
        <v>7511.99868421053</v>
      </c>
      <c r="CC256" s="15" t="n">
        <f aca="false">BI256-CA256</f>
        <v>-11893.1071879217</v>
      </c>
      <c r="CD256" s="15" t="n">
        <f aca="false">AM256-CB256</f>
        <v>512.211842105264</v>
      </c>
      <c r="CE256" s="15" t="n">
        <f aca="false">INDEX(Ipotesi!$C$79:$G$79,1,F256)/12</f>
        <v>1666.66666666667</v>
      </c>
      <c r="CF256" s="15" t="n">
        <f aca="false">INDEX(Ipotesi!$C$84:$G$84,1,F256)/12</f>
        <v>250</v>
      </c>
      <c r="CG256" s="15" t="n">
        <f aca="false">Y256*MAX(0,Parametri_v3!$C$12-IF(P256=0,0,MIN(1,BE256/(P256*Parametri_v3!$C$22))))+W256*Parametri_v3!$C$13+X256*Parametri_v3!$C$14</f>
        <v>3851.67601495727</v>
      </c>
      <c r="CH256" s="15" t="n">
        <f aca="false">AB256*Parametri_v3!$C$32</f>
        <v>523.958333333333</v>
      </c>
      <c r="CI256" s="15" t="n">
        <f aca="false">AC256*Parametri_v3!$C$32</f>
        <v>144.375</v>
      </c>
      <c r="CJ256" s="15" t="n">
        <f aca="false">CA256-AB256</f>
        <v>6087.82792004048</v>
      </c>
      <c r="CK256" s="15" t="n">
        <f aca="false">CB256-AC256-BH256</f>
        <v>3822.07763157895</v>
      </c>
      <c r="CL256" s="15" t="n">
        <f aca="false">BF256*Ipotesi!$C$73+INDEX(Ipotesi!$C$72:$G$72,1,F256)/12*Ipotesi!G126*Parametri_v3!$C$58+Z256*(1-Parametri_v3!$C$16)</f>
        <v>931.467307692308</v>
      </c>
      <c r="CM256" s="16" t="n">
        <f aca="false">IF(BF256=0,0,1-CL256/BF256)</f>
        <v>-4.85952517768033</v>
      </c>
    </row>
    <row r="257" customFormat="false" ht="18" hidden="false" customHeight="true" outlineLevel="0" collapsed="false">
      <c r="A257" s="68" t="n">
        <f aca="false">5</f>
        <v>5</v>
      </c>
      <c r="B257" s="68" t="n">
        <f aca="false">13</f>
        <v>13</v>
      </c>
      <c r="C257" s="18" t="n">
        <f aca="false">EDATE(Parametri_v3!$C$5,13-1)</f>
        <v>46753</v>
      </c>
      <c r="D257" s="68" t="n">
        <f aca="false">YEAR(C257)</f>
        <v>2028</v>
      </c>
      <c r="E257" s="68" t="n">
        <f aca="false">MONTH(C257)</f>
        <v>1</v>
      </c>
      <c r="F257" s="68" t="n">
        <f aca="false">INT((13-1)/12)+1</f>
        <v>2</v>
      </c>
      <c r="G257" s="15" t="n">
        <f aca="false">Ipotesi!G7</f>
        <v>0.55</v>
      </c>
      <c r="H257" s="15" t="n">
        <f aca="false">Ipotesi!G9</f>
        <v>0.9</v>
      </c>
      <c r="I257" s="15" t="n">
        <f aca="false">Ipotesi!G10</f>
        <v>0.3</v>
      </c>
      <c r="J257" s="15" t="n">
        <f aca="false">Ipotesi!G11</f>
        <v>0.2</v>
      </c>
      <c r="K257" s="15" t="n">
        <f aca="false">Ipotesi!G12</f>
        <v>0.6</v>
      </c>
      <c r="L257" s="15" t="n">
        <f aca="false">Ipotesi!G13</f>
        <v>120</v>
      </c>
      <c r="M257" s="17" t="n">
        <f aca="false">INDEX(Ipotesi!$C$40:$G$40,1,F257)</f>
        <v>1</v>
      </c>
      <c r="N257" s="17" t="n">
        <f aca="false">INDEX(Ipotesi!$C$41:$G$41,1,F257)</f>
        <v>1</v>
      </c>
      <c r="O257" s="17" t="n">
        <f aca="false">INDEX(Ipotesi!$C$42:$G$42,1,F257)*Ipotesi!G125</f>
        <v>1.375</v>
      </c>
      <c r="P257" s="17" t="n">
        <f aca="false">INDEX(Ipotesi!$C$43:$G$43,1,F257)*I257</f>
        <v>0.75</v>
      </c>
      <c r="Q257" s="17" t="n">
        <f aca="false">INDEX(Ipotesi!$C$44:$G$44,1,F257)*I257</f>
        <v>0.45</v>
      </c>
      <c r="R257" s="17" t="n">
        <f aca="false">INDEX(Ipotesi!$C$45:$G$45,1,F257)*I257</f>
        <v>0.15</v>
      </c>
      <c r="S257" s="17" t="n">
        <f aca="false">INDEX(Ipotesi!$C$52:$G$52,1,F257)*Ipotesi!G125</f>
        <v>1.65</v>
      </c>
      <c r="T257" s="17" t="n">
        <f aca="false">INDEX(Ipotesi!$C$53:$G$53,1,F257)*I257</f>
        <v>0.3</v>
      </c>
      <c r="U257" s="17" t="n">
        <f aca="false">INDEX(Ipotesi!$C$54:$G$54,1,F257)*I257</f>
        <v>0</v>
      </c>
      <c r="V257" s="15" t="n">
        <f aca="false">M257*INDEX(Ipotesi!$C$58:$G$58,1,F257)*K257/12</f>
        <v>3000</v>
      </c>
      <c r="W257" s="15" t="n">
        <f aca="false">N257*Ipotesi!$C$59*(1+Ipotesi!$C$66)^(F257-1)/12</f>
        <v>6008.33333333333</v>
      </c>
      <c r="X257" s="15" t="n">
        <f aca="false">O257*Ipotesi!$C$60*(1+Ipotesi!$C$66)^(F257-1)/12</f>
        <v>5901.04166666667</v>
      </c>
      <c r="Y257" s="15" t="n">
        <f aca="false">P257*Ipotesi!$C$61*(1+Ipotesi!$C$66)^(F257-1)/12</f>
        <v>3218.75</v>
      </c>
      <c r="Z257" s="15" t="n">
        <f aca="false">Q257*Ipotesi!$C$62*(1+Ipotesi!$C$66)^(F257-1)/12</f>
        <v>1738.125</v>
      </c>
      <c r="AA257" s="15" t="n">
        <f aca="false">R257*Ipotesi!$C$63*(1+Ipotesi!$C$66)^(F257-1)/12</f>
        <v>450.625</v>
      </c>
      <c r="AB257" s="15" t="n">
        <f aca="false">SUM(V257:AA257)</f>
        <v>20316.875</v>
      </c>
      <c r="AC257" s="15" t="n">
        <f aca="false">(S257*Ipotesi!$C$64+T257*Ipotesi!$C$65+U257*Ipotesi!$C$63)*(1+Ipotesi!$C$66)^(F257-1)/12</f>
        <v>7493.25</v>
      </c>
      <c r="AD257" s="15" t="n">
        <f aca="false">INDEX(Ipotesi!$C$48:$G$48,1,F257)*G257/12</f>
        <v>20.625</v>
      </c>
      <c r="AE257" s="15" t="n">
        <f aca="false">INDEX(Ipotesi!$C$50:$G$50,1,F257)*G257/12</f>
        <v>2.52083333333333</v>
      </c>
      <c r="AF257" s="15" t="n">
        <f aca="false">(S257*Parametri_v3!$C$7*Parametri_v3!$C$8+Parametri_v3!$C$10)/12</f>
        <v>21.175</v>
      </c>
      <c r="AG257" s="15" t="n">
        <f aca="false">AD257+AE257*(1+Parametri_v3!$C$9)</f>
        <v>24.40625</v>
      </c>
      <c r="AH257" s="16" t="n">
        <f aca="false">IF(AG257=0,1,MIN(1,AF257/AG257))</f>
        <v>0.867605633802817</v>
      </c>
      <c r="AI257" s="15" t="n">
        <f aca="false">AD257*AH257</f>
        <v>17.8943661971831</v>
      </c>
      <c r="AJ257" s="15" t="n">
        <f aca="false">AE257*AH257</f>
        <v>2.18708920187793</v>
      </c>
      <c r="AK257" s="15" t="n">
        <f aca="false">AI257*INDEX(Ipotesi!$C$49:$G$49,1,F257)*H257</f>
        <v>12883.9436619718</v>
      </c>
      <c r="AL257" s="15" t="n">
        <f aca="false">AJ257*INDEX(Ipotesi!$C$51:$G$51,1,F257)*H257</f>
        <v>3936.76056338028</v>
      </c>
      <c r="AM257" s="15" t="n">
        <f aca="false">AK257+AL257</f>
        <v>16820.7042253521</v>
      </c>
      <c r="AN257" s="15" t="n">
        <f aca="false">INDEX(Ipotesi!$C$30:$G$30,1,F257)*G257/12</f>
        <v>12.375</v>
      </c>
      <c r="AO257" s="15" t="n">
        <f aca="false">O257*Parametri_v3!$C$7*Parametri_v3!$C$11*(1-Parametri_v3!$C$14)/12</f>
        <v>14.1166666666667</v>
      </c>
      <c r="AP257" s="15" t="n">
        <f aca="false">MIN(AN257,AO257)</f>
        <v>12.375</v>
      </c>
      <c r="AQ257" s="15" t="n">
        <f aca="false">AP257*INDEX(Ipotesi!$C$31:$G$31,1,F257)*H257</f>
        <v>10580.625</v>
      </c>
      <c r="AR257" s="15" t="n">
        <f aca="false">INDEX(Ipotesi!$C$75:$G$75,1,F257)*J257/12</f>
        <v>916.666666666667</v>
      </c>
      <c r="AS257" s="15" t="n">
        <f aca="false">INDEX(Ipotesi!$C$81:$G$81,1,F257)*J257/12</f>
        <v>166.666666666667</v>
      </c>
      <c r="AT257" s="15" t="n">
        <f aca="false">AR257*Parametri_v3!$C$15+Z257*Parametri_v3!$C$16</f>
        <v>2133.35416666667</v>
      </c>
      <c r="AU257" s="15" t="n">
        <f aca="false">Q257*Parametri_v3!$C$16*Parametri_v3!$C$17</f>
        <v>31.5</v>
      </c>
      <c r="AV257" s="17" t="n">
        <f aca="false">BD256</f>
        <v>1.12211538461538</v>
      </c>
      <c r="AW257" s="17" t="n">
        <f aca="false">AV257*(1-(1-INDEX(Ipotesi!$C$34:$G$34,1,F257))^(1/12))</f>
        <v>0.00980909613858757</v>
      </c>
      <c r="AX257" s="15" t="n">
        <f aca="false">ROUND(INDEX(Ipotesi!$C$32:$G$32,1,F257)*Ipotesi!G8,0)</f>
        <v>12</v>
      </c>
      <c r="AY257" s="15" t="n">
        <f aca="false">MAX(0,(AX257-(AV257-AW257))/(13-E257))</f>
        <v>0.9073078092936</v>
      </c>
      <c r="AZ257" s="15" t="n">
        <f aca="false">MIN(P257*Parametri_v3!$C$22,Q257*(1-Parametri_v3!$C$16)*Parametri_v3!$C$23)</f>
        <v>20.25</v>
      </c>
      <c r="BA257" s="15" t="n">
        <f aca="false">IF(OR(INDEX(Ipotesi!$C$35:$G$35,1,F257)&lt;=0,13-Parametri_v3!$C$21&lt;1),0,INDEX($AT$245:$AT$304,MAX(1,13-Parametri_v3!$C$21))/(INDEX(Ipotesi!$C$35:$G$35,1,F257)*Ipotesi!G27))</f>
        <v>0.207799145299145</v>
      </c>
      <c r="BB257" s="15" t="n">
        <f aca="false">IF(13-Parametri_v3!$C$21&lt;1,0,INDEX($AU$245:$AU$304,MAX(1,13-Parametri_v3!$C$21)))*Parametri_v3!$C$18*Parametri_v3!$C$19*Parametri_v3!$C$20</f>
        <v>0.39375</v>
      </c>
      <c r="BC257" s="17" t="n">
        <f aca="false">MAX(0,MIN(AY257,BA257,BB257,MAX(0,AZ257-(AV257-AW257))))</f>
        <v>0.207799145299145</v>
      </c>
      <c r="BD257" s="17" t="n">
        <f aca="false">AV257-AW257+BC257</f>
        <v>1.32010543377594</v>
      </c>
      <c r="BE257" s="17" t="n">
        <f aca="false">(AV257+BD257)/2</f>
        <v>1.22111040919566</v>
      </c>
      <c r="BF257" s="15" t="n">
        <f aca="false">BE257*INDEX(Ipotesi!$C$33:$G$33,1,F257)*H257/12</f>
        <v>366.333122758699</v>
      </c>
      <c r="BG257" s="15" t="n">
        <f aca="false">BD257*INDEX(Ipotesi!$C$33:$G$33,1,F257)*H257</f>
        <v>4752.37956159339</v>
      </c>
      <c r="BH257" s="15" t="n">
        <f aca="false">AM257*INDEX(Ipotesi!$C$37:$G$37,1,F257)</f>
        <v>1682.07042253521</v>
      </c>
      <c r="BI257" s="15" t="n">
        <f aca="false">AQ257+BF257+BH257</f>
        <v>12629.0285452939</v>
      </c>
      <c r="BJ257" s="15" t="n">
        <f aca="false">INDEX(Ipotesi!$C$68:$G$68,1,F257)*Ipotesi!$C$69/12</f>
        <v>1600</v>
      </c>
      <c r="BK257" s="15" t="n">
        <f aca="false">INDEX(Ipotesi!$C$68:$G$68,1,F257)*(1-Ipotesi!$C$69)/12</f>
        <v>2400</v>
      </c>
      <c r="BL257" s="15" t="n">
        <f aca="false">(AQ257+BF257)*Ipotesi!$C$67</f>
        <v>328.408743682761</v>
      </c>
      <c r="BM257" s="15" t="n">
        <f aca="false">AM257*Ipotesi!$C$67</f>
        <v>504.621126760563</v>
      </c>
      <c r="BN257" s="15" t="n">
        <f aca="false">INDEX(Ipotesi!$C$72:$G$72,1,F257)/12*Ipotesi!G126+BF257*Ipotesi!$C$73</f>
        <v>779.306649820696</v>
      </c>
      <c r="BO257" s="15" t="n">
        <f aca="false">INDEX(Ipotesi!$C$74:$G$74,1,F257)/12*Ipotesi!G126</f>
        <v>1100</v>
      </c>
      <c r="BP257" s="15" t="n">
        <f aca="false">INDEX(Ipotesi!$C$76:$G$76,1,F257)/12</f>
        <v>750</v>
      </c>
      <c r="BQ257" s="15" t="n">
        <f aca="false">INDEX(Ipotesi!$C$77:$G$77,1,F257)/12*Ipotesi!G126</f>
        <v>1000</v>
      </c>
      <c r="BR257" s="15" t="n">
        <f aca="false">INDEX(Ipotesi!$C$78:$G$78,1,F257)/12</f>
        <v>1250</v>
      </c>
      <c r="BS257" s="15" t="n">
        <f aca="false">SUM(M257:R257)*(Ipotesi!$C$85+Ipotesi!$C$86)/12</f>
        <v>1378.125</v>
      </c>
      <c r="BT257" s="15" t="n">
        <f aca="false">BI257*Ipotesi!$C$87</f>
        <v>378.870856358817</v>
      </c>
      <c r="BU257" s="15" t="n">
        <f aca="false">INDEX(Ipotesi!$C$55:$G$55,1,F257)*K257/12</f>
        <v>600</v>
      </c>
      <c r="BV257" s="15" t="n">
        <f aca="false">INDEX(Ipotesi!$C$80:$G$80,1,F257)/12*Ipotesi!G126</f>
        <v>500</v>
      </c>
      <c r="BW257" s="15" t="n">
        <f aca="false">INDEX(Ipotesi!$C$82:$G$82,1,F257)/12</f>
        <v>666.666666666667</v>
      </c>
      <c r="BX257" s="15" t="n">
        <f aca="false">INDEX(Ipotesi!$C$83:$G$83,1,F257)/12</f>
        <v>583.333333333333</v>
      </c>
      <c r="BY257" s="15" t="n">
        <f aca="false">SUM(S257:U257)*(Ipotesi!$C$85+Ipotesi!$C$86)/12</f>
        <v>568.75</v>
      </c>
      <c r="BZ257" s="15" t="n">
        <f aca="false">AM257*Ipotesi!$C$87</f>
        <v>504.621126760563</v>
      </c>
      <c r="CA257" s="15" t="n">
        <f aca="false">AB257+BJ257+BL257+BN257+BO257+AR257+BP257+BQ257+BR257+BS257+BT257</f>
        <v>29798.2529165289</v>
      </c>
      <c r="CB257" s="15" t="n">
        <f aca="false">AC257+BK257+BM257+BH257+BU257+BV257+AS257+BW257+BX257+BY257+BZ257</f>
        <v>15669.979342723</v>
      </c>
      <c r="CC257" s="15" t="n">
        <f aca="false">BI257-CA257</f>
        <v>-17169.224371235</v>
      </c>
      <c r="CD257" s="15" t="n">
        <f aca="false">AM257-CB257</f>
        <v>1150.72488262911</v>
      </c>
      <c r="CE257" s="15" t="n">
        <f aca="false">INDEX(Ipotesi!$C$79:$G$79,1,F257)/12</f>
        <v>2083.33333333333</v>
      </c>
      <c r="CF257" s="15" t="n">
        <f aca="false">INDEX(Ipotesi!$C$84:$G$84,1,F257)/12</f>
        <v>416.666666666667</v>
      </c>
      <c r="CG257" s="15" t="n">
        <f aca="false">Y257*MAX(0,Parametri_v3!$C$12-IF(P257=0,0,MIN(1,BE257/(P257*Parametri_v3!$C$22))))+W257*Parametri_v3!$C$13+X257*Parametri_v3!$C$14</f>
        <v>7350.71901160535</v>
      </c>
      <c r="CH257" s="15" t="n">
        <f aca="false">AB257*Parametri_v3!$C$32</f>
        <v>1015.84375</v>
      </c>
      <c r="CI257" s="15" t="n">
        <f aca="false">AC257*Parametri_v3!$C$32</f>
        <v>374.6625</v>
      </c>
      <c r="CJ257" s="15" t="n">
        <f aca="false">CA257-AB257</f>
        <v>9481.37791652895</v>
      </c>
      <c r="CK257" s="15" t="n">
        <f aca="false">CB257-AC257-BH257</f>
        <v>6494.65892018779</v>
      </c>
      <c r="CL257" s="15" t="n">
        <f aca="false">BF257*Ipotesi!$C$73+INDEX(Ipotesi!$C$72:$G$72,1,F257)/12*Ipotesi!G126*Parametri_v3!$C$58+Z257*(1-Parametri_v3!$C$16)</f>
        <v>1300.7441498207</v>
      </c>
      <c r="CM257" s="16" t="n">
        <f aca="false">IF(BF257=0,0,1-CL257/BF257)</f>
        <v>-2.55071400594449</v>
      </c>
    </row>
    <row r="258" customFormat="false" ht="18" hidden="false" customHeight="true" outlineLevel="0" collapsed="false">
      <c r="A258" s="68" t="n">
        <f aca="false">5</f>
        <v>5</v>
      </c>
      <c r="B258" s="68" t="n">
        <f aca="false">14</f>
        <v>14</v>
      </c>
      <c r="C258" s="18" t="n">
        <f aca="false">EDATE(Parametri_v3!$C$5,14-1)</f>
        <v>46784</v>
      </c>
      <c r="D258" s="68" t="n">
        <f aca="false">YEAR(C258)</f>
        <v>2028</v>
      </c>
      <c r="E258" s="68" t="n">
        <f aca="false">MONTH(C258)</f>
        <v>2</v>
      </c>
      <c r="F258" s="68" t="n">
        <f aca="false">INT((14-1)/12)+1</f>
        <v>2</v>
      </c>
      <c r="G258" s="15" t="n">
        <f aca="false">Ipotesi!G7</f>
        <v>0.55</v>
      </c>
      <c r="H258" s="15" t="n">
        <f aca="false">Ipotesi!G9</f>
        <v>0.9</v>
      </c>
      <c r="I258" s="15" t="n">
        <f aca="false">Ipotesi!G10</f>
        <v>0.3</v>
      </c>
      <c r="J258" s="15" t="n">
        <f aca="false">Ipotesi!G11</f>
        <v>0.2</v>
      </c>
      <c r="K258" s="15" t="n">
        <f aca="false">Ipotesi!G12</f>
        <v>0.6</v>
      </c>
      <c r="L258" s="15" t="n">
        <f aca="false">Ipotesi!G13</f>
        <v>120</v>
      </c>
      <c r="M258" s="17" t="n">
        <f aca="false">INDEX(Ipotesi!$C$40:$G$40,1,F258)</f>
        <v>1</v>
      </c>
      <c r="N258" s="17" t="n">
        <f aca="false">INDEX(Ipotesi!$C$41:$G$41,1,F258)</f>
        <v>1</v>
      </c>
      <c r="O258" s="17" t="n">
        <f aca="false">INDEX(Ipotesi!$C$42:$G$42,1,F258)*Ipotesi!G125</f>
        <v>1.375</v>
      </c>
      <c r="P258" s="17" t="n">
        <f aca="false">INDEX(Ipotesi!$C$43:$G$43,1,F258)*I258</f>
        <v>0.75</v>
      </c>
      <c r="Q258" s="17" t="n">
        <f aca="false">INDEX(Ipotesi!$C$44:$G$44,1,F258)*I258</f>
        <v>0.45</v>
      </c>
      <c r="R258" s="17" t="n">
        <f aca="false">INDEX(Ipotesi!$C$45:$G$45,1,F258)*I258</f>
        <v>0.15</v>
      </c>
      <c r="S258" s="17" t="n">
        <f aca="false">INDEX(Ipotesi!$C$52:$G$52,1,F258)*Ipotesi!G125</f>
        <v>1.65</v>
      </c>
      <c r="T258" s="17" t="n">
        <f aca="false">INDEX(Ipotesi!$C$53:$G$53,1,F258)*I258</f>
        <v>0.3</v>
      </c>
      <c r="U258" s="17" t="n">
        <f aca="false">INDEX(Ipotesi!$C$54:$G$54,1,F258)*I258</f>
        <v>0</v>
      </c>
      <c r="V258" s="15" t="n">
        <f aca="false">M258*INDEX(Ipotesi!$C$58:$G$58,1,F258)*K258/12</f>
        <v>3000</v>
      </c>
      <c r="W258" s="15" t="n">
        <f aca="false">N258*Ipotesi!$C$59*(1+Ipotesi!$C$66)^(F258-1)/12</f>
        <v>6008.33333333333</v>
      </c>
      <c r="X258" s="15" t="n">
        <f aca="false">O258*Ipotesi!$C$60*(1+Ipotesi!$C$66)^(F258-1)/12</f>
        <v>5901.04166666667</v>
      </c>
      <c r="Y258" s="15" t="n">
        <f aca="false">P258*Ipotesi!$C$61*(1+Ipotesi!$C$66)^(F258-1)/12</f>
        <v>3218.75</v>
      </c>
      <c r="Z258" s="15" t="n">
        <f aca="false">Q258*Ipotesi!$C$62*(1+Ipotesi!$C$66)^(F258-1)/12</f>
        <v>1738.125</v>
      </c>
      <c r="AA258" s="15" t="n">
        <f aca="false">R258*Ipotesi!$C$63*(1+Ipotesi!$C$66)^(F258-1)/12</f>
        <v>450.625</v>
      </c>
      <c r="AB258" s="15" t="n">
        <f aca="false">SUM(V258:AA258)</f>
        <v>20316.875</v>
      </c>
      <c r="AC258" s="15" t="n">
        <f aca="false">(S258*Ipotesi!$C$64+T258*Ipotesi!$C$65+U258*Ipotesi!$C$63)*(1+Ipotesi!$C$66)^(F258-1)/12</f>
        <v>7493.25</v>
      </c>
      <c r="AD258" s="15" t="n">
        <f aca="false">INDEX(Ipotesi!$C$48:$G$48,1,F258)*G258/12</f>
        <v>20.625</v>
      </c>
      <c r="AE258" s="15" t="n">
        <f aca="false">INDEX(Ipotesi!$C$50:$G$50,1,F258)*G258/12</f>
        <v>2.52083333333333</v>
      </c>
      <c r="AF258" s="15" t="n">
        <f aca="false">(S258*Parametri_v3!$C$7*Parametri_v3!$C$8+Parametri_v3!$C$10)/12</f>
        <v>21.175</v>
      </c>
      <c r="AG258" s="15" t="n">
        <f aca="false">AD258+AE258*(1+Parametri_v3!$C$9)</f>
        <v>24.40625</v>
      </c>
      <c r="AH258" s="16" t="n">
        <f aca="false">IF(AG258=0,1,MIN(1,AF258/AG258))</f>
        <v>0.867605633802817</v>
      </c>
      <c r="AI258" s="15" t="n">
        <f aca="false">AD258*AH258</f>
        <v>17.8943661971831</v>
      </c>
      <c r="AJ258" s="15" t="n">
        <f aca="false">AE258*AH258</f>
        <v>2.18708920187793</v>
      </c>
      <c r="AK258" s="15" t="n">
        <f aca="false">AI258*INDEX(Ipotesi!$C$49:$G$49,1,F258)*H258</f>
        <v>12883.9436619718</v>
      </c>
      <c r="AL258" s="15" t="n">
        <f aca="false">AJ258*INDEX(Ipotesi!$C$51:$G$51,1,F258)*H258</f>
        <v>3936.76056338028</v>
      </c>
      <c r="AM258" s="15" t="n">
        <f aca="false">AK258+AL258</f>
        <v>16820.7042253521</v>
      </c>
      <c r="AN258" s="15" t="n">
        <f aca="false">INDEX(Ipotesi!$C$30:$G$30,1,F258)*G258/12</f>
        <v>12.375</v>
      </c>
      <c r="AO258" s="15" t="n">
        <f aca="false">O258*Parametri_v3!$C$7*Parametri_v3!$C$11*(1-Parametri_v3!$C$14)/12</f>
        <v>14.1166666666667</v>
      </c>
      <c r="AP258" s="15" t="n">
        <f aca="false">MIN(AN258,AO258)</f>
        <v>12.375</v>
      </c>
      <c r="AQ258" s="15" t="n">
        <f aca="false">AP258*INDEX(Ipotesi!$C$31:$G$31,1,F258)*H258</f>
        <v>10580.625</v>
      </c>
      <c r="AR258" s="15" t="n">
        <f aca="false">INDEX(Ipotesi!$C$75:$G$75,1,F258)*J258/12</f>
        <v>916.666666666667</v>
      </c>
      <c r="AS258" s="15" t="n">
        <f aca="false">INDEX(Ipotesi!$C$81:$G$81,1,F258)*J258/12</f>
        <v>166.666666666667</v>
      </c>
      <c r="AT258" s="15" t="n">
        <f aca="false">AR258*Parametri_v3!$C$15+Z258*Parametri_v3!$C$16</f>
        <v>2133.35416666667</v>
      </c>
      <c r="AU258" s="15" t="n">
        <f aca="false">Q258*Parametri_v3!$C$16*Parametri_v3!$C$17</f>
        <v>31.5</v>
      </c>
      <c r="AV258" s="17" t="n">
        <f aca="false">BD257</f>
        <v>1.32010543377594</v>
      </c>
      <c r="AW258" s="17" t="n">
        <f aca="false">AV258*(1-(1-INDEX(Ipotesi!$C$34:$G$34,1,F258))^(1/12))</f>
        <v>0.0115398481212504</v>
      </c>
      <c r="AX258" s="15" t="n">
        <f aca="false">ROUND(INDEX(Ipotesi!$C$32:$G$32,1,F258)*Ipotesi!G8,0)</f>
        <v>12</v>
      </c>
      <c r="AY258" s="15" t="n">
        <f aca="false">MAX(0,(AX258-(AV258-AW258))/(13-E258))</f>
        <v>0.971948583122301</v>
      </c>
      <c r="AZ258" s="15" t="n">
        <f aca="false">MIN(P258*Parametri_v3!$C$22,Q258*(1-Parametri_v3!$C$16)*Parametri_v3!$C$23)</f>
        <v>20.25</v>
      </c>
      <c r="BA258" s="15" t="n">
        <f aca="false">IF(OR(INDEX(Ipotesi!$C$35:$G$35,1,F258)&lt;=0,14-Parametri_v3!$C$21&lt;1),0,INDEX($AT$245:$AT$304,MAX(1,14-Parametri_v3!$C$21))/(INDEX(Ipotesi!$C$35:$G$35,1,F258)*Ipotesi!G27))</f>
        <v>0.207799145299145</v>
      </c>
      <c r="BB258" s="15" t="n">
        <f aca="false">IF(14-Parametri_v3!$C$21&lt;1,0,INDEX($AU$245:$AU$304,MAX(1,14-Parametri_v3!$C$21)))*Parametri_v3!$C$18*Parametri_v3!$C$19*Parametri_v3!$C$20</f>
        <v>0.39375</v>
      </c>
      <c r="BC258" s="17" t="n">
        <f aca="false">MAX(0,MIN(AY258,BA258,BB258,MAX(0,AZ258-(AV258-AW258))))</f>
        <v>0.207799145299145</v>
      </c>
      <c r="BD258" s="17" t="n">
        <f aca="false">AV258-AW258+BC258</f>
        <v>1.51636473095384</v>
      </c>
      <c r="BE258" s="17" t="n">
        <f aca="false">(AV258+BD258)/2</f>
        <v>1.41823508236489</v>
      </c>
      <c r="BF258" s="15" t="n">
        <f aca="false">BE258*INDEX(Ipotesi!$C$33:$G$33,1,F258)*H258/12</f>
        <v>425.470524709467</v>
      </c>
      <c r="BG258" s="15" t="n">
        <f aca="false">BD258*INDEX(Ipotesi!$C$33:$G$33,1,F258)*H258</f>
        <v>5458.91303143381</v>
      </c>
      <c r="BH258" s="15" t="n">
        <f aca="false">AM258*INDEX(Ipotesi!$C$37:$G$37,1,F258)</f>
        <v>1682.07042253521</v>
      </c>
      <c r="BI258" s="15" t="n">
        <f aca="false">AQ258+BF258+BH258</f>
        <v>12688.1659472447</v>
      </c>
      <c r="BJ258" s="15" t="n">
        <f aca="false">INDEX(Ipotesi!$C$68:$G$68,1,F258)*Ipotesi!$C$69/12</f>
        <v>1600</v>
      </c>
      <c r="BK258" s="15" t="n">
        <f aca="false">INDEX(Ipotesi!$C$68:$G$68,1,F258)*(1-Ipotesi!$C$69)/12</f>
        <v>2400</v>
      </c>
      <c r="BL258" s="15" t="n">
        <f aca="false">(AQ258+BF258)*Ipotesi!$C$67</f>
        <v>330.182865741284</v>
      </c>
      <c r="BM258" s="15" t="n">
        <f aca="false">AM258*Ipotesi!$C$67</f>
        <v>504.621126760563</v>
      </c>
      <c r="BN258" s="15" t="n">
        <f aca="false">INDEX(Ipotesi!$C$72:$G$72,1,F258)/12*Ipotesi!G126+BF258*Ipotesi!$C$73</f>
        <v>784.037641976757</v>
      </c>
      <c r="BO258" s="15" t="n">
        <f aca="false">INDEX(Ipotesi!$C$74:$G$74,1,F258)/12*Ipotesi!G126</f>
        <v>1100</v>
      </c>
      <c r="BP258" s="15" t="n">
        <f aca="false">INDEX(Ipotesi!$C$76:$G$76,1,F258)/12</f>
        <v>750</v>
      </c>
      <c r="BQ258" s="15" t="n">
        <f aca="false">INDEX(Ipotesi!$C$77:$G$77,1,F258)/12*Ipotesi!G126</f>
        <v>1000</v>
      </c>
      <c r="BR258" s="15" t="n">
        <f aca="false">INDEX(Ipotesi!$C$78:$G$78,1,F258)/12</f>
        <v>1250</v>
      </c>
      <c r="BS258" s="15" t="n">
        <f aca="false">SUM(M258:R258)*(Ipotesi!$C$85+Ipotesi!$C$86)/12</f>
        <v>1378.125</v>
      </c>
      <c r="BT258" s="15" t="n">
        <f aca="false">BI258*Ipotesi!$C$87</f>
        <v>380.64497841734</v>
      </c>
      <c r="BU258" s="15" t="n">
        <f aca="false">INDEX(Ipotesi!$C$55:$G$55,1,F258)*K258/12</f>
        <v>600</v>
      </c>
      <c r="BV258" s="15" t="n">
        <f aca="false">INDEX(Ipotesi!$C$80:$G$80,1,F258)/12*Ipotesi!G126</f>
        <v>500</v>
      </c>
      <c r="BW258" s="15" t="n">
        <f aca="false">INDEX(Ipotesi!$C$82:$G$82,1,F258)/12</f>
        <v>666.666666666667</v>
      </c>
      <c r="BX258" s="15" t="n">
        <f aca="false">INDEX(Ipotesi!$C$83:$G$83,1,F258)/12</f>
        <v>583.333333333333</v>
      </c>
      <c r="BY258" s="15" t="n">
        <f aca="false">SUM(S258:U258)*(Ipotesi!$C$85+Ipotesi!$C$86)/12</f>
        <v>568.75</v>
      </c>
      <c r="BZ258" s="15" t="n">
        <f aca="false">AM258*Ipotesi!$C$87</f>
        <v>504.621126760563</v>
      </c>
      <c r="CA258" s="15" t="n">
        <f aca="false">AB258+BJ258+BL258+BN258+BO258+AR258+BP258+BQ258+BR258+BS258+BT258</f>
        <v>29806.5321528021</v>
      </c>
      <c r="CB258" s="15" t="n">
        <f aca="false">AC258+BK258+BM258+BH258+BU258+BV258+AS258+BW258+BX258+BY258+BZ258</f>
        <v>15669.979342723</v>
      </c>
      <c r="CC258" s="15" t="n">
        <f aca="false">BI258-CA258</f>
        <v>-17118.3662055574</v>
      </c>
      <c r="CD258" s="15" t="n">
        <f aca="false">AM258-CB258</f>
        <v>1150.72488262911</v>
      </c>
      <c r="CE258" s="15" t="n">
        <f aca="false">INDEX(Ipotesi!$C$79:$G$79,1,F258)/12</f>
        <v>2083.33333333333</v>
      </c>
      <c r="CF258" s="15" t="n">
        <f aca="false">INDEX(Ipotesi!$C$84:$G$84,1,F258)/12</f>
        <v>416.666666666667</v>
      </c>
      <c r="CG258" s="15" t="n">
        <f aca="false">Y258*MAX(0,Parametri_v3!$C$12-IF(P258=0,0,MIN(1,BE258/(P258*Parametri_v3!$C$22))))+W258*Parametri_v3!$C$13+X258*Parametri_v3!$C$14</f>
        <v>7342.25907771517</v>
      </c>
      <c r="CH258" s="15" t="n">
        <f aca="false">AB258*Parametri_v3!$C$32</f>
        <v>1015.84375</v>
      </c>
      <c r="CI258" s="15" t="n">
        <f aca="false">AC258*Parametri_v3!$C$32</f>
        <v>374.6625</v>
      </c>
      <c r="CJ258" s="15" t="n">
        <f aca="false">CA258-AB258</f>
        <v>9489.65715280205</v>
      </c>
      <c r="CK258" s="15" t="n">
        <f aca="false">CB258-AC258-BH258</f>
        <v>6494.65892018779</v>
      </c>
      <c r="CL258" s="15" t="n">
        <f aca="false">BF258*Ipotesi!$C$73+INDEX(Ipotesi!$C$72:$G$72,1,F258)/12*Ipotesi!G126*Parametri_v3!$C$58+Z258*(1-Parametri_v3!$C$16)</f>
        <v>1305.47514197676</v>
      </c>
      <c r="CM258" s="16" t="n">
        <f aca="false">IF(BF258=0,0,1-CL258/BF258)</f>
        <v>-2.06830923920806</v>
      </c>
    </row>
    <row r="259" customFormat="false" ht="18" hidden="false" customHeight="true" outlineLevel="0" collapsed="false">
      <c r="A259" s="68" t="n">
        <f aca="false">5</f>
        <v>5</v>
      </c>
      <c r="B259" s="68" t="n">
        <f aca="false">15</f>
        <v>15</v>
      </c>
      <c r="C259" s="18" t="n">
        <f aca="false">EDATE(Parametri_v3!$C$5,15-1)</f>
        <v>46813</v>
      </c>
      <c r="D259" s="68" t="n">
        <f aca="false">YEAR(C259)</f>
        <v>2028</v>
      </c>
      <c r="E259" s="68" t="n">
        <f aca="false">MONTH(C259)</f>
        <v>3</v>
      </c>
      <c r="F259" s="68" t="n">
        <f aca="false">INT((15-1)/12)+1</f>
        <v>2</v>
      </c>
      <c r="G259" s="15" t="n">
        <f aca="false">Ipotesi!G7</f>
        <v>0.55</v>
      </c>
      <c r="H259" s="15" t="n">
        <f aca="false">Ipotesi!G9</f>
        <v>0.9</v>
      </c>
      <c r="I259" s="15" t="n">
        <f aca="false">Ipotesi!G10</f>
        <v>0.3</v>
      </c>
      <c r="J259" s="15" t="n">
        <f aca="false">Ipotesi!G11</f>
        <v>0.2</v>
      </c>
      <c r="K259" s="15" t="n">
        <f aca="false">Ipotesi!G12</f>
        <v>0.6</v>
      </c>
      <c r="L259" s="15" t="n">
        <f aca="false">Ipotesi!G13</f>
        <v>120</v>
      </c>
      <c r="M259" s="17" t="n">
        <f aca="false">INDEX(Ipotesi!$C$40:$G$40,1,F259)</f>
        <v>1</v>
      </c>
      <c r="N259" s="17" t="n">
        <f aca="false">INDEX(Ipotesi!$C$41:$G$41,1,F259)</f>
        <v>1</v>
      </c>
      <c r="O259" s="17" t="n">
        <f aca="false">INDEX(Ipotesi!$C$42:$G$42,1,F259)*Ipotesi!G125</f>
        <v>1.375</v>
      </c>
      <c r="P259" s="17" t="n">
        <f aca="false">INDEX(Ipotesi!$C$43:$G$43,1,F259)*I259</f>
        <v>0.75</v>
      </c>
      <c r="Q259" s="17" t="n">
        <f aca="false">INDEX(Ipotesi!$C$44:$G$44,1,F259)*I259</f>
        <v>0.45</v>
      </c>
      <c r="R259" s="17" t="n">
        <f aca="false">INDEX(Ipotesi!$C$45:$G$45,1,F259)*I259</f>
        <v>0.15</v>
      </c>
      <c r="S259" s="17" t="n">
        <f aca="false">INDEX(Ipotesi!$C$52:$G$52,1,F259)*Ipotesi!G125</f>
        <v>1.65</v>
      </c>
      <c r="T259" s="17" t="n">
        <f aca="false">INDEX(Ipotesi!$C$53:$G$53,1,F259)*I259</f>
        <v>0.3</v>
      </c>
      <c r="U259" s="17" t="n">
        <f aca="false">INDEX(Ipotesi!$C$54:$G$54,1,F259)*I259</f>
        <v>0</v>
      </c>
      <c r="V259" s="15" t="n">
        <f aca="false">M259*INDEX(Ipotesi!$C$58:$G$58,1,F259)*K259/12</f>
        <v>3000</v>
      </c>
      <c r="W259" s="15" t="n">
        <f aca="false">N259*Ipotesi!$C$59*(1+Ipotesi!$C$66)^(F259-1)/12</f>
        <v>6008.33333333333</v>
      </c>
      <c r="X259" s="15" t="n">
        <f aca="false">O259*Ipotesi!$C$60*(1+Ipotesi!$C$66)^(F259-1)/12</f>
        <v>5901.04166666667</v>
      </c>
      <c r="Y259" s="15" t="n">
        <f aca="false">P259*Ipotesi!$C$61*(1+Ipotesi!$C$66)^(F259-1)/12</f>
        <v>3218.75</v>
      </c>
      <c r="Z259" s="15" t="n">
        <f aca="false">Q259*Ipotesi!$C$62*(1+Ipotesi!$C$66)^(F259-1)/12</f>
        <v>1738.125</v>
      </c>
      <c r="AA259" s="15" t="n">
        <f aca="false">R259*Ipotesi!$C$63*(1+Ipotesi!$C$66)^(F259-1)/12</f>
        <v>450.625</v>
      </c>
      <c r="AB259" s="15" t="n">
        <f aca="false">SUM(V259:AA259)</f>
        <v>20316.875</v>
      </c>
      <c r="AC259" s="15" t="n">
        <f aca="false">(S259*Ipotesi!$C$64+T259*Ipotesi!$C$65+U259*Ipotesi!$C$63)*(1+Ipotesi!$C$66)^(F259-1)/12</f>
        <v>7493.25</v>
      </c>
      <c r="AD259" s="15" t="n">
        <f aca="false">INDEX(Ipotesi!$C$48:$G$48,1,F259)*G259/12</f>
        <v>20.625</v>
      </c>
      <c r="AE259" s="15" t="n">
        <f aca="false">INDEX(Ipotesi!$C$50:$G$50,1,F259)*G259/12</f>
        <v>2.52083333333333</v>
      </c>
      <c r="AF259" s="15" t="n">
        <f aca="false">(S259*Parametri_v3!$C$7*Parametri_v3!$C$8+Parametri_v3!$C$10)/12</f>
        <v>21.175</v>
      </c>
      <c r="AG259" s="15" t="n">
        <f aca="false">AD259+AE259*(1+Parametri_v3!$C$9)</f>
        <v>24.40625</v>
      </c>
      <c r="AH259" s="16" t="n">
        <f aca="false">IF(AG259=0,1,MIN(1,AF259/AG259))</f>
        <v>0.867605633802817</v>
      </c>
      <c r="AI259" s="15" t="n">
        <f aca="false">AD259*AH259</f>
        <v>17.8943661971831</v>
      </c>
      <c r="AJ259" s="15" t="n">
        <f aca="false">AE259*AH259</f>
        <v>2.18708920187793</v>
      </c>
      <c r="AK259" s="15" t="n">
        <f aca="false">AI259*INDEX(Ipotesi!$C$49:$G$49,1,F259)*H259</f>
        <v>12883.9436619718</v>
      </c>
      <c r="AL259" s="15" t="n">
        <f aca="false">AJ259*INDEX(Ipotesi!$C$51:$G$51,1,F259)*H259</f>
        <v>3936.76056338028</v>
      </c>
      <c r="AM259" s="15" t="n">
        <f aca="false">AK259+AL259</f>
        <v>16820.7042253521</v>
      </c>
      <c r="AN259" s="15" t="n">
        <f aca="false">INDEX(Ipotesi!$C$30:$G$30,1,F259)*G259/12</f>
        <v>12.375</v>
      </c>
      <c r="AO259" s="15" t="n">
        <f aca="false">O259*Parametri_v3!$C$7*Parametri_v3!$C$11*(1-Parametri_v3!$C$14)/12</f>
        <v>14.1166666666667</v>
      </c>
      <c r="AP259" s="15" t="n">
        <f aca="false">MIN(AN259,AO259)</f>
        <v>12.375</v>
      </c>
      <c r="AQ259" s="15" t="n">
        <f aca="false">AP259*INDEX(Ipotesi!$C$31:$G$31,1,F259)*H259</f>
        <v>10580.625</v>
      </c>
      <c r="AR259" s="15" t="n">
        <f aca="false">INDEX(Ipotesi!$C$75:$G$75,1,F259)*J259/12</f>
        <v>916.666666666667</v>
      </c>
      <c r="AS259" s="15" t="n">
        <f aca="false">INDEX(Ipotesi!$C$81:$G$81,1,F259)*J259/12</f>
        <v>166.666666666667</v>
      </c>
      <c r="AT259" s="15" t="n">
        <f aca="false">AR259*Parametri_v3!$C$15+Z259*Parametri_v3!$C$16</f>
        <v>2133.35416666667</v>
      </c>
      <c r="AU259" s="15" t="n">
        <f aca="false">Q259*Parametri_v3!$C$16*Parametri_v3!$C$17</f>
        <v>31.5</v>
      </c>
      <c r="AV259" s="17" t="n">
        <f aca="false">BD258</f>
        <v>1.51636473095384</v>
      </c>
      <c r="AW259" s="17" t="n">
        <f aca="false">AV259*(1-(1-INDEX(Ipotesi!$C$34:$G$34,1,F259))^(1/12))</f>
        <v>0.0132554705434218</v>
      </c>
      <c r="AX259" s="15" t="n">
        <f aca="false">ROUND(INDEX(Ipotesi!$C$32:$G$32,1,F259)*Ipotesi!G8,0)</f>
        <v>12</v>
      </c>
      <c r="AY259" s="15" t="n">
        <f aca="false">MAX(0,(AX259-(AV259-AW259))/(13-E259))</f>
        <v>1.04968907395896</v>
      </c>
      <c r="AZ259" s="15" t="n">
        <f aca="false">MIN(P259*Parametri_v3!$C$22,Q259*(1-Parametri_v3!$C$16)*Parametri_v3!$C$23)</f>
        <v>20.25</v>
      </c>
      <c r="BA259" s="15" t="n">
        <f aca="false">IF(OR(INDEX(Ipotesi!$C$35:$G$35,1,F259)&lt;=0,15-Parametri_v3!$C$21&lt;1),0,INDEX($AT$245:$AT$304,MAX(1,15-Parametri_v3!$C$21))/(INDEX(Ipotesi!$C$35:$G$35,1,F259)*Ipotesi!G27))</f>
        <v>0.207799145299145</v>
      </c>
      <c r="BB259" s="15" t="n">
        <f aca="false">IF(15-Parametri_v3!$C$21&lt;1,0,INDEX($AU$245:$AU$304,MAX(1,15-Parametri_v3!$C$21)))*Parametri_v3!$C$18*Parametri_v3!$C$19*Parametri_v3!$C$20</f>
        <v>0.39375</v>
      </c>
      <c r="BC259" s="17" t="n">
        <f aca="false">MAX(0,MIN(AY259,BA259,BB259,MAX(0,AZ259-(AV259-AW259))))</f>
        <v>0.207799145299145</v>
      </c>
      <c r="BD259" s="17" t="n">
        <f aca="false">AV259-AW259+BC259</f>
        <v>1.71090840570956</v>
      </c>
      <c r="BE259" s="17" t="n">
        <f aca="false">(AV259+BD259)/2</f>
        <v>1.6136365683317</v>
      </c>
      <c r="BF259" s="15" t="n">
        <f aca="false">BE259*INDEX(Ipotesi!$C$33:$G$33,1,F259)*H259/12</f>
        <v>484.09097049951</v>
      </c>
      <c r="BG259" s="15" t="n">
        <f aca="false">BD259*INDEX(Ipotesi!$C$33:$G$33,1,F259)*H259</f>
        <v>6159.27026055442</v>
      </c>
      <c r="BH259" s="15" t="n">
        <f aca="false">AM259*INDEX(Ipotesi!$C$37:$G$37,1,F259)</f>
        <v>1682.07042253521</v>
      </c>
      <c r="BI259" s="15" t="n">
        <f aca="false">AQ259+BF259+BH259</f>
        <v>12746.7863930347</v>
      </c>
      <c r="BJ259" s="15" t="n">
        <f aca="false">INDEX(Ipotesi!$C$68:$G$68,1,F259)*Ipotesi!$C$69/12</f>
        <v>1600</v>
      </c>
      <c r="BK259" s="15" t="n">
        <f aca="false">INDEX(Ipotesi!$C$68:$G$68,1,F259)*(1-Ipotesi!$C$69)/12</f>
        <v>2400</v>
      </c>
      <c r="BL259" s="15" t="n">
        <f aca="false">(AQ259+BF259)*Ipotesi!$C$67</f>
        <v>331.941479114985</v>
      </c>
      <c r="BM259" s="15" t="n">
        <f aca="false">AM259*Ipotesi!$C$67</f>
        <v>504.621126760563</v>
      </c>
      <c r="BN259" s="15" t="n">
        <f aca="false">INDEX(Ipotesi!$C$72:$G$72,1,F259)/12*Ipotesi!G126+BF259*Ipotesi!$C$73</f>
        <v>788.727277639961</v>
      </c>
      <c r="BO259" s="15" t="n">
        <f aca="false">INDEX(Ipotesi!$C$74:$G$74,1,F259)/12*Ipotesi!G126</f>
        <v>1100</v>
      </c>
      <c r="BP259" s="15" t="n">
        <f aca="false">INDEX(Ipotesi!$C$76:$G$76,1,F259)/12</f>
        <v>750</v>
      </c>
      <c r="BQ259" s="15" t="n">
        <f aca="false">INDEX(Ipotesi!$C$77:$G$77,1,F259)/12*Ipotesi!G126</f>
        <v>1000</v>
      </c>
      <c r="BR259" s="15" t="n">
        <f aca="false">INDEX(Ipotesi!$C$78:$G$78,1,F259)/12</f>
        <v>1250</v>
      </c>
      <c r="BS259" s="15" t="n">
        <f aca="false">SUM(M259:R259)*(Ipotesi!$C$85+Ipotesi!$C$86)/12</f>
        <v>1378.125</v>
      </c>
      <c r="BT259" s="15" t="n">
        <f aca="false">BI259*Ipotesi!$C$87</f>
        <v>382.403591791042</v>
      </c>
      <c r="BU259" s="15" t="n">
        <f aca="false">INDEX(Ipotesi!$C$55:$G$55,1,F259)*K259/12</f>
        <v>600</v>
      </c>
      <c r="BV259" s="15" t="n">
        <f aca="false">INDEX(Ipotesi!$C$80:$G$80,1,F259)/12*Ipotesi!G126</f>
        <v>500</v>
      </c>
      <c r="BW259" s="15" t="n">
        <f aca="false">INDEX(Ipotesi!$C$82:$G$82,1,F259)/12</f>
        <v>666.666666666667</v>
      </c>
      <c r="BX259" s="15" t="n">
        <f aca="false">INDEX(Ipotesi!$C$83:$G$83,1,F259)/12</f>
        <v>583.333333333333</v>
      </c>
      <c r="BY259" s="15" t="n">
        <f aca="false">SUM(S259:U259)*(Ipotesi!$C$85+Ipotesi!$C$86)/12</f>
        <v>568.75</v>
      </c>
      <c r="BZ259" s="15" t="n">
        <f aca="false">AM259*Ipotesi!$C$87</f>
        <v>504.621126760563</v>
      </c>
      <c r="CA259" s="15" t="n">
        <f aca="false">AB259+BJ259+BL259+BN259+BO259+AR259+BP259+BQ259+BR259+BS259+BT259</f>
        <v>29814.7390152127</v>
      </c>
      <c r="CB259" s="15" t="n">
        <f aca="false">AC259+BK259+BM259+BH259+BU259+BV259+AS259+BW259+BX259+BY259+BZ259</f>
        <v>15669.979342723</v>
      </c>
      <c r="CC259" s="15" t="n">
        <f aca="false">BI259-CA259</f>
        <v>-17067.9526221779</v>
      </c>
      <c r="CD259" s="15" t="n">
        <f aca="false">AM259-CB259</f>
        <v>1150.72488262911</v>
      </c>
      <c r="CE259" s="15" t="n">
        <f aca="false">INDEX(Ipotesi!$C$79:$G$79,1,F259)/12</f>
        <v>2083.33333333333</v>
      </c>
      <c r="CF259" s="15" t="n">
        <f aca="false">INDEX(Ipotesi!$C$84:$G$84,1,F259)/12</f>
        <v>416.666666666667</v>
      </c>
      <c r="CG259" s="15" t="n">
        <f aca="false">Y259*MAX(0,Parametri_v3!$C$12-IF(P259=0,0,MIN(1,BE259/(P259*Parametri_v3!$C$22))))+W259*Parametri_v3!$C$13+X259*Parametri_v3!$C$14</f>
        <v>7333.87309727577</v>
      </c>
      <c r="CH259" s="15" t="n">
        <f aca="false">AB259*Parametri_v3!$C$32</f>
        <v>1015.84375</v>
      </c>
      <c r="CI259" s="15" t="n">
        <f aca="false">AC259*Parametri_v3!$C$32</f>
        <v>374.6625</v>
      </c>
      <c r="CJ259" s="15" t="n">
        <f aca="false">CA259-AB259</f>
        <v>9497.86401521266</v>
      </c>
      <c r="CK259" s="15" t="n">
        <f aca="false">CB259-AC259-BH259</f>
        <v>6494.65892018779</v>
      </c>
      <c r="CL259" s="15" t="n">
        <f aca="false">BF259*Ipotesi!$C$73+INDEX(Ipotesi!$C$72:$G$72,1,F259)/12*Ipotesi!G126*Parametri_v3!$C$58+Z259*(1-Parametri_v3!$C$16)</f>
        <v>1310.16477763996</v>
      </c>
      <c r="CM259" s="16" t="n">
        <f aca="false">IF(BF259=0,0,1-CL259/BF259)</f>
        <v>-1.70644332879844</v>
      </c>
    </row>
    <row r="260" customFormat="false" ht="18" hidden="false" customHeight="true" outlineLevel="0" collapsed="false">
      <c r="A260" s="68" t="n">
        <f aca="false">5</f>
        <v>5</v>
      </c>
      <c r="B260" s="68" t="n">
        <f aca="false">16</f>
        <v>16</v>
      </c>
      <c r="C260" s="18" t="n">
        <f aca="false">EDATE(Parametri_v3!$C$5,16-1)</f>
        <v>46844</v>
      </c>
      <c r="D260" s="68" t="n">
        <f aca="false">YEAR(C260)</f>
        <v>2028</v>
      </c>
      <c r="E260" s="68" t="n">
        <f aca="false">MONTH(C260)</f>
        <v>4</v>
      </c>
      <c r="F260" s="68" t="n">
        <f aca="false">INT((16-1)/12)+1</f>
        <v>2</v>
      </c>
      <c r="G260" s="15" t="n">
        <f aca="false">Ipotesi!G7</f>
        <v>0.55</v>
      </c>
      <c r="H260" s="15" t="n">
        <f aca="false">Ipotesi!G9</f>
        <v>0.9</v>
      </c>
      <c r="I260" s="15" t="n">
        <f aca="false">Ipotesi!G10</f>
        <v>0.3</v>
      </c>
      <c r="J260" s="15" t="n">
        <f aca="false">Ipotesi!G11</f>
        <v>0.2</v>
      </c>
      <c r="K260" s="15" t="n">
        <f aca="false">Ipotesi!G12</f>
        <v>0.6</v>
      </c>
      <c r="L260" s="15" t="n">
        <f aca="false">Ipotesi!G13</f>
        <v>120</v>
      </c>
      <c r="M260" s="17" t="n">
        <f aca="false">INDEX(Ipotesi!$C$40:$G$40,1,F260)</f>
        <v>1</v>
      </c>
      <c r="N260" s="17" t="n">
        <f aca="false">INDEX(Ipotesi!$C$41:$G$41,1,F260)</f>
        <v>1</v>
      </c>
      <c r="O260" s="17" t="n">
        <f aca="false">INDEX(Ipotesi!$C$42:$G$42,1,F260)*Ipotesi!G125</f>
        <v>1.375</v>
      </c>
      <c r="P260" s="17" t="n">
        <f aca="false">INDEX(Ipotesi!$C$43:$G$43,1,F260)*I260</f>
        <v>0.75</v>
      </c>
      <c r="Q260" s="17" t="n">
        <f aca="false">INDEX(Ipotesi!$C$44:$G$44,1,F260)*I260</f>
        <v>0.45</v>
      </c>
      <c r="R260" s="17" t="n">
        <f aca="false">INDEX(Ipotesi!$C$45:$G$45,1,F260)*I260</f>
        <v>0.15</v>
      </c>
      <c r="S260" s="17" t="n">
        <f aca="false">INDEX(Ipotesi!$C$52:$G$52,1,F260)*Ipotesi!G125</f>
        <v>1.65</v>
      </c>
      <c r="T260" s="17" t="n">
        <f aca="false">INDEX(Ipotesi!$C$53:$G$53,1,F260)*I260</f>
        <v>0.3</v>
      </c>
      <c r="U260" s="17" t="n">
        <f aca="false">INDEX(Ipotesi!$C$54:$G$54,1,F260)*I260</f>
        <v>0</v>
      </c>
      <c r="V260" s="15" t="n">
        <f aca="false">M260*INDEX(Ipotesi!$C$58:$G$58,1,F260)*K260/12</f>
        <v>3000</v>
      </c>
      <c r="W260" s="15" t="n">
        <f aca="false">N260*Ipotesi!$C$59*(1+Ipotesi!$C$66)^(F260-1)/12</f>
        <v>6008.33333333333</v>
      </c>
      <c r="X260" s="15" t="n">
        <f aca="false">O260*Ipotesi!$C$60*(1+Ipotesi!$C$66)^(F260-1)/12</f>
        <v>5901.04166666667</v>
      </c>
      <c r="Y260" s="15" t="n">
        <f aca="false">P260*Ipotesi!$C$61*(1+Ipotesi!$C$66)^(F260-1)/12</f>
        <v>3218.75</v>
      </c>
      <c r="Z260" s="15" t="n">
        <f aca="false">Q260*Ipotesi!$C$62*(1+Ipotesi!$C$66)^(F260-1)/12</f>
        <v>1738.125</v>
      </c>
      <c r="AA260" s="15" t="n">
        <f aca="false">R260*Ipotesi!$C$63*(1+Ipotesi!$C$66)^(F260-1)/12</f>
        <v>450.625</v>
      </c>
      <c r="AB260" s="15" t="n">
        <f aca="false">SUM(V260:AA260)</f>
        <v>20316.875</v>
      </c>
      <c r="AC260" s="15" t="n">
        <f aca="false">(S260*Ipotesi!$C$64+T260*Ipotesi!$C$65+U260*Ipotesi!$C$63)*(1+Ipotesi!$C$66)^(F260-1)/12</f>
        <v>7493.25</v>
      </c>
      <c r="AD260" s="15" t="n">
        <f aca="false">INDEX(Ipotesi!$C$48:$G$48,1,F260)*G260/12</f>
        <v>20.625</v>
      </c>
      <c r="AE260" s="15" t="n">
        <f aca="false">INDEX(Ipotesi!$C$50:$G$50,1,F260)*G260/12</f>
        <v>2.52083333333333</v>
      </c>
      <c r="AF260" s="15" t="n">
        <f aca="false">(S260*Parametri_v3!$C$7*Parametri_v3!$C$8+Parametri_v3!$C$10)/12</f>
        <v>21.175</v>
      </c>
      <c r="AG260" s="15" t="n">
        <f aca="false">AD260+AE260*(1+Parametri_v3!$C$9)</f>
        <v>24.40625</v>
      </c>
      <c r="AH260" s="16" t="n">
        <f aca="false">IF(AG260=0,1,MIN(1,AF260/AG260))</f>
        <v>0.867605633802817</v>
      </c>
      <c r="AI260" s="15" t="n">
        <f aca="false">AD260*AH260</f>
        <v>17.8943661971831</v>
      </c>
      <c r="AJ260" s="15" t="n">
        <f aca="false">AE260*AH260</f>
        <v>2.18708920187793</v>
      </c>
      <c r="AK260" s="15" t="n">
        <f aca="false">AI260*INDEX(Ipotesi!$C$49:$G$49,1,F260)*H260</f>
        <v>12883.9436619718</v>
      </c>
      <c r="AL260" s="15" t="n">
        <f aca="false">AJ260*INDEX(Ipotesi!$C$51:$G$51,1,F260)*H260</f>
        <v>3936.76056338028</v>
      </c>
      <c r="AM260" s="15" t="n">
        <f aca="false">AK260+AL260</f>
        <v>16820.7042253521</v>
      </c>
      <c r="AN260" s="15" t="n">
        <f aca="false">INDEX(Ipotesi!$C$30:$G$30,1,F260)*G260/12</f>
        <v>12.375</v>
      </c>
      <c r="AO260" s="15" t="n">
        <f aca="false">O260*Parametri_v3!$C$7*Parametri_v3!$C$11*(1-Parametri_v3!$C$14)/12</f>
        <v>14.1166666666667</v>
      </c>
      <c r="AP260" s="15" t="n">
        <f aca="false">MIN(AN260,AO260)</f>
        <v>12.375</v>
      </c>
      <c r="AQ260" s="15" t="n">
        <f aca="false">AP260*INDEX(Ipotesi!$C$31:$G$31,1,F260)*H260</f>
        <v>10580.625</v>
      </c>
      <c r="AR260" s="15" t="n">
        <f aca="false">INDEX(Ipotesi!$C$75:$G$75,1,F260)*J260/12</f>
        <v>916.666666666667</v>
      </c>
      <c r="AS260" s="15" t="n">
        <f aca="false">INDEX(Ipotesi!$C$81:$G$81,1,F260)*J260/12</f>
        <v>166.666666666667</v>
      </c>
      <c r="AT260" s="15" t="n">
        <f aca="false">AR260*Parametri_v3!$C$15+Z260*Parametri_v3!$C$16</f>
        <v>2133.35416666667</v>
      </c>
      <c r="AU260" s="15" t="n">
        <f aca="false">Q260*Parametri_v3!$C$16*Parametri_v3!$C$17</f>
        <v>31.5</v>
      </c>
      <c r="AV260" s="17" t="n">
        <f aca="false">BD259</f>
        <v>1.71090840570956</v>
      </c>
      <c r="AW260" s="17" t="n">
        <f aca="false">AV260*(1-(1-INDEX(Ipotesi!$C$34:$G$34,1,F260))^(1/12))</f>
        <v>0.0149560956618334</v>
      </c>
      <c r="AX260" s="15" t="n">
        <f aca="false">ROUND(INDEX(Ipotesi!$C$32:$G$32,1,F260)*Ipotesi!G8,0)</f>
        <v>12</v>
      </c>
      <c r="AY260" s="15" t="n">
        <f aca="false">MAX(0,(AX260-(AV260-AW260))/(13-E260))</f>
        <v>1.14489418777247</v>
      </c>
      <c r="AZ260" s="15" t="n">
        <f aca="false">MIN(P260*Parametri_v3!$C$22,Q260*(1-Parametri_v3!$C$16)*Parametri_v3!$C$23)</f>
        <v>20.25</v>
      </c>
      <c r="BA260" s="15" t="n">
        <f aca="false">IF(OR(INDEX(Ipotesi!$C$35:$G$35,1,F260)&lt;=0,16-Parametri_v3!$C$21&lt;1),0,INDEX($AT$245:$AT$304,MAX(1,16-Parametri_v3!$C$21))/(INDEX(Ipotesi!$C$35:$G$35,1,F260)*Ipotesi!G27))</f>
        <v>0.547013888888889</v>
      </c>
      <c r="BB260" s="15" t="n">
        <f aca="false">IF(16-Parametri_v3!$C$21&lt;1,0,INDEX($AU$245:$AU$304,MAX(1,16-Parametri_v3!$C$21)))*Parametri_v3!$C$18*Parametri_v3!$C$19*Parametri_v3!$C$20</f>
        <v>1.18125</v>
      </c>
      <c r="BC260" s="17" t="n">
        <f aca="false">MAX(0,MIN(AY260,BA260,BB260,MAX(0,AZ260-(AV260-AW260))))</f>
        <v>0.547013888888889</v>
      </c>
      <c r="BD260" s="17" t="n">
        <f aca="false">AV260-AW260+BC260</f>
        <v>2.24296619893662</v>
      </c>
      <c r="BE260" s="17" t="n">
        <f aca="false">(AV260+BD260)/2</f>
        <v>1.97693730232309</v>
      </c>
      <c r="BF260" s="15" t="n">
        <f aca="false">BE260*INDEX(Ipotesi!$C$33:$G$33,1,F260)*H260/12</f>
        <v>593.081190696927</v>
      </c>
      <c r="BG260" s="15" t="n">
        <f aca="false">BD260*INDEX(Ipotesi!$C$33:$G$33,1,F260)*H260</f>
        <v>8074.67831617182</v>
      </c>
      <c r="BH260" s="15" t="n">
        <f aca="false">AM260*INDEX(Ipotesi!$C$37:$G$37,1,F260)</f>
        <v>1682.07042253521</v>
      </c>
      <c r="BI260" s="15" t="n">
        <f aca="false">AQ260+BF260+BH260</f>
        <v>12855.7766132321</v>
      </c>
      <c r="BJ260" s="15" t="n">
        <f aca="false">INDEX(Ipotesi!$C$68:$G$68,1,F260)*Ipotesi!$C$69/12</f>
        <v>1600</v>
      </c>
      <c r="BK260" s="15" t="n">
        <f aca="false">INDEX(Ipotesi!$C$68:$G$68,1,F260)*(1-Ipotesi!$C$69)/12</f>
        <v>2400</v>
      </c>
      <c r="BL260" s="15" t="n">
        <f aca="false">(AQ260+BF260)*Ipotesi!$C$67</f>
        <v>335.211185720908</v>
      </c>
      <c r="BM260" s="15" t="n">
        <f aca="false">AM260*Ipotesi!$C$67</f>
        <v>504.621126760563</v>
      </c>
      <c r="BN260" s="15" t="n">
        <f aca="false">INDEX(Ipotesi!$C$72:$G$72,1,F260)/12*Ipotesi!G126+BF260*Ipotesi!$C$73</f>
        <v>797.446495255754</v>
      </c>
      <c r="BO260" s="15" t="n">
        <f aca="false">INDEX(Ipotesi!$C$74:$G$74,1,F260)/12*Ipotesi!G126</f>
        <v>1100</v>
      </c>
      <c r="BP260" s="15" t="n">
        <f aca="false">INDEX(Ipotesi!$C$76:$G$76,1,F260)/12</f>
        <v>750</v>
      </c>
      <c r="BQ260" s="15" t="n">
        <f aca="false">INDEX(Ipotesi!$C$77:$G$77,1,F260)/12*Ipotesi!G126</f>
        <v>1000</v>
      </c>
      <c r="BR260" s="15" t="n">
        <f aca="false">INDEX(Ipotesi!$C$78:$G$78,1,F260)/12</f>
        <v>1250</v>
      </c>
      <c r="BS260" s="15" t="n">
        <f aca="false">SUM(M260:R260)*(Ipotesi!$C$85+Ipotesi!$C$86)/12</f>
        <v>1378.125</v>
      </c>
      <c r="BT260" s="15" t="n">
        <f aca="false">BI260*Ipotesi!$C$87</f>
        <v>385.673298396964</v>
      </c>
      <c r="BU260" s="15" t="n">
        <f aca="false">INDEX(Ipotesi!$C$55:$G$55,1,F260)*K260/12</f>
        <v>600</v>
      </c>
      <c r="BV260" s="15" t="n">
        <f aca="false">INDEX(Ipotesi!$C$80:$G$80,1,F260)/12*Ipotesi!G126</f>
        <v>500</v>
      </c>
      <c r="BW260" s="15" t="n">
        <f aca="false">INDEX(Ipotesi!$C$82:$G$82,1,F260)/12</f>
        <v>666.666666666667</v>
      </c>
      <c r="BX260" s="15" t="n">
        <f aca="false">INDEX(Ipotesi!$C$83:$G$83,1,F260)/12</f>
        <v>583.333333333333</v>
      </c>
      <c r="BY260" s="15" t="n">
        <f aca="false">SUM(S260:U260)*(Ipotesi!$C$85+Ipotesi!$C$86)/12</f>
        <v>568.75</v>
      </c>
      <c r="BZ260" s="15" t="n">
        <f aca="false">AM260*Ipotesi!$C$87</f>
        <v>504.621126760563</v>
      </c>
      <c r="CA260" s="15" t="n">
        <f aca="false">AB260+BJ260+BL260+BN260+BO260+AR260+BP260+BQ260+BR260+BS260+BT260</f>
        <v>29829.9976460403</v>
      </c>
      <c r="CB260" s="15" t="n">
        <f aca="false">AC260+BK260+BM260+BH260+BU260+BV260+AS260+BW260+BX260+BY260+BZ260</f>
        <v>15669.979342723</v>
      </c>
      <c r="CC260" s="15" t="n">
        <f aca="false">BI260-CA260</f>
        <v>-16974.2210328082</v>
      </c>
      <c r="CD260" s="15" t="n">
        <f aca="false">AM260-CB260</f>
        <v>1150.72488262911</v>
      </c>
      <c r="CE260" s="15" t="n">
        <f aca="false">INDEX(Ipotesi!$C$79:$G$79,1,F260)/12</f>
        <v>2083.33333333333</v>
      </c>
      <c r="CF260" s="15" t="n">
        <f aca="false">INDEX(Ipotesi!$C$84:$G$84,1,F260)/12</f>
        <v>416.666666666667</v>
      </c>
      <c r="CG260" s="15" t="n">
        <f aca="false">Y260*MAX(0,Parametri_v3!$C$12-IF(P260=0,0,MIN(1,BE260/(P260*Parametri_v3!$C$22))))+W260*Parametri_v3!$C$13+X260*Parametri_v3!$C$14</f>
        <v>7318.2814407753</v>
      </c>
      <c r="CH260" s="15" t="n">
        <f aca="false">AB260*Parametri_v3!$C$32</f>
        <v>1015.84375</v>
      </c>
      <c r="CI260" s="15" t="n">
        <f aca="false">AC260*Parametri_v3!$C$32</f>
        <v>374.6625</v>
      </c>
      <c r="CJ260" s="15" t="n">
        <f aca="false">CA260-AB260</f>
        <v>9513.12264604029</v>
      </c>
      <c r="CK260" s="15" t="n">
        <f aca="false">CB260-AC260-BH260</f>
        <v>6494.65892018779</v>
      </c>
      <c r="CL260" s="15" t="n">
        <f aca="false">BF260*Ipotesi!$C$73+INDEX(Ipotesi!$C$72:$G$72,1,F260)/12*Ipotesi!G126*Parametri_v3!$C$58+Z260*(1-Parametri_v3!$C$16)</f>
        <v>1318.88399525575</v>
      </c>
      <c r="CM260" s="16" t="n">
        <f aca="false">IF(BF260=0,0,1-CL260/BF260)</f>
        <v>-1.2237832120522</v>
      </c>
    </row>
    <row r="261" customFormat="false" ht="18" hidden="false" customHeight="true" outlineLevel="0" collapsed="false">
      <c r="A261" s="68" t="n">
        <f aca="false">5</f>
        <v>5</v>
      </c>
      <c r="B261" s="68" t="n">
        <f aca="false">17</f>
        <v>17</v>
      </c>
      <c r="C261" s="18" t="n">
        <f aca="false">EDATE(Parametri_v3!$C$5,17-1)</f>
        <v>46874</v>
      </c>
      <c r="D261" s="68" t="n">
        <f aca="false">YEAR(C261)</f>
        <v>2028</v>
      </c>
      <c r="E261" s="68" t="n">
        <f aca="false">MONTH(C261)</f>
        <v>5</v>
      </c>
      <c r="F261" s="68" t="n">
        <f aca="false">INT((17-1)/12)+1</f>
        <v>2</v>
      </c>
      <c r="G261" s="15" t="n">
        <f aca="false">Ipotesi!G7</f>
        <v>0.55</v>
      </c>
      <c r="H261" s="15" t="n">
        <f aca="false">Ipotesi!G9</f>
        <v>0.9</v>
      </c>
      <c r="I261" s="15" t="n">
        <f aca="false">Ipotesi!G10</f>
        <v>0.3</v>
      </c>
      <c r="J261" s="15" t="n">
        <f aca="false">Ipotesi!G11</f>
        <v>0.2</v>
      </c>
      <c r="K261" s="15" t="n">
        <f aca="false">Ipotesi!G12</f>
        <v>0.6</v>
      </c>
      <c r="L261" s="15" t="n">
        <f aca="false">Ipotesi!G13</f>
        <v>120</v>
      </c>
      <c r="M261" s="17" t="n">
        <f aca="false">INDEX(Ipotesi!$C$40:$G$40,1,F261)</f>
        <v>1</v>
      </c>
      <c r="N261" s="17" t="n">
        <f aca="false">INDEX(Ipotesi!$C$41:$G$41,1,F261)</f>
        <v>1</v>
      </c>
      <c r="O261" s="17" t="n">
        <f aca="false">INDEX(Ipotesi!$C$42:$G$42,1,F261)*Ipotesi!G125</f>
        <v>1.375</v>
      </c>
      <c r="P261" s="17" t="n">
        <f aca="false">INDEX(Ipotesi!$C$43:$G$43,1,F261)*I261</f>
        <v>0.75</v>
      </c>
      <c r="Q261" s="17" t="n">
        <f aca="false">INDEX(Ipotesi!$C$44:$G$44,1,F261)*I261</f>
        <v>0.45</v>
      </c>
      <c r="R261" s="17" t="n">
        <f aca="false">INDEX(Ipotesi!$C$45:$G$45,1,F261)*I261</f>
        <v>0.15</v>
      </c>
      <c r="S261" s="17" t="n">
        <f aca="false">INDEX(Ipotesi!$C$52:$G$52,1,F261)*Ipotesi!G125</f>
        <v>1.65</v>
      </c>
      <c r="T261" s="17" t="n">
        <f aca="false">INDEX(Ipotesi!$C$53:$G$53,1,F261)*I261</f>
        <v>0.3</v>
      </c>
      <c r="U261" s="17" t="n">
        <f aca="false">INDEX(Ipotesi!$C$54:$G$54,1,F261)*I261</f>
        <v>0</v>
      </c>
      <c r="V261" s="15" t="n">
        <f aca="false">M261*INDEX(Ipotesi!$C$58:$G$58,1,F261)*K261/12</f>
        <v>3000</v>
      </c>
      <c r="W261" s="15" t="n">
        <f aca="false">N261*Ipotesi!$C$59*(1+Ipotesi!$C$66)^(F261-1)/12</f>
        <v>6008.33333333333</v>
      </c>
      <c r="X261" s="15" t="n">
        <f aca="false">O261*Ipotesi!$C$60*(1+Ipotesi!$C$66)^(F261-1)/12</f>
        <v>5901.04166666667</v>
      </c>
      <c r="Y261" s="15" t="n">
        <f aca="false">P261*Ipotesi!$C$61*(1+Ipotesi!$C$66)^(F261-1)/12</f>
        <v>3218.75</v>
      </c>
      <c r="Z261" s="15" t="n">
        <f aca="false">Q261*Ipotesi!$C$62*(1+Ipotesi!$C$66)^(F261-1)/12</f>
        <v>1738.125</v>
      </c>
      <c r="AA261" s="15" t="n">
        <f aca="false">R261*Ipotesi!$C$63*(1+Ipotesi!$C$66)^(F261-1)/12</f>
        <v>450.625</v>
      </c>
      <c r="AB261" s="15" t="n">
        <f aca="false">SUM(V261:AA261)</f>
        <v>20316.875</v>
      </c>
      <c r="AC261" s="15" t="n">
        <f aca="false">(S261*Ipotesi!$C$64+T261*Ipotesi!$C$65+U261*Ipotesi!$C$63)*(1+Ipotesi!$C$66)^(F261-1)/12</f>
        <v>7493.25</v>
      </c>
      <c r="AD261" s="15" t="n">
        <f aca="false">INDEX(Ipotesi!$C$48:$G$48,1,F261)*G261/12</f>
        <v>20.625</v>
      </c>
      <c r="AE261" s="15" t="n">
        <f aca="false">INDEX(Ipotesi!$C$50:$G$50,1,F261)*G261/12</f>
        <v>2.52083333333333</v>
      </c>
      <c r="AF261" s="15" t="n">
        <f aca="false">(S261*Parametri_v3!$C$7*Parametri_v3!$C$8+Parametri_v3!$C$10)/12</f>
        <v>21.175</v>
      </c>
      <c r="AG261" s="15" t="n">
        <f aca="false">AD261+AE261*(1+Parametri_v3!$C$9)</f>
        <v>24.40625</v>
      </c>
      <c r="AH261" s="16" t="n">
        <f aca="false">IF(AG261=0,1,MIN(1,AF261/AG261))</f>
        <v>0.867605633802817</v>
      </c>
      <c r="AI261" s="15" t="n">
        <f aca="false">AD261*AH261</f>
        <v>17.8943661971831</v>
      </c>
      <c r="AJ261" s="15" t="n">
        <f aca="false">AE261*AH261</f>
        <v>2.18708920187793</v>
      </c>
      <c r="AK261" s="15" t="n">
        <f aca="false">AI261*INDEX(Ipotesi!$C$49:$G$49,1,F261)*H261</f>
        <v>12883.9436619718</v>
      </c>
      <c r="AL261" s="15" t="n">
        <f aca="false">AJ261*INDEX(Ipotesi!$C$51:$G$51,1,F261)*H261</f>
        <v>3936.76056338028</v>
      </c>
      <c r="AM261" s="15" t="n">
        <f aca="false">AK261+AL261</f>
        <v>16820.7042253521</v>
      </c>
      <c r="AN261" s="15" t="n">
        <f aca="false">INDEX(Ipotesi!$C$30:$G$30,1,F261)*G261/12</f>
        <v>12.375</v>
      </c>
      <c r="AO261" s="15" t="n">
        <f aca="false">O261*Parametri_v3!$C$7*Parametri_v3!$C$11*(1-Parametri_v3!$C$14)/12</f>
        <v>14.1166666666667</v>
      </c>
      <c r="AP261" s="15" t="n">
        <f aca="false">MIN(AN261,AO261)</f>
        <v>12.375</v>
      </c>
      <c r="AQ261" s="15" t="n">
        <f aca="false">AP261*INDEX(Ipotesi!$C$31:$G$31,1,F261)*H261</f>
        <v>10580.625</v>
      </c>
      <c r="AR261" s="15" t="n">
        <f aca="false">INDEX(Ipotesi!$C$75:$G$75,1,F261)*J261/12</f>
        <v>916.666666666667</v>
      </c>
      <c r="AS261" s="15" t="n">
        <f aca="false">INDEX(Ipotesi!$C$81:$G$81,1,F261)*J261/12</f>
        <v>166.666666666667</v>
      </c>
      <c r="AT261" s="15" t="n">
        <f aca="false">AR261*Parametri_v3!$C$15+Z261*Parametri_v3!$C$16</f>
        <v>2133.35416666667</v>
      </c>
      <c r="AU261" s="15" t="n">
        <f aca="false">Q261*Parametri_v3!$C$16*Parametri_v3!$C$17</f>
        <v>31.5</v>
      </c>
      <c r="AV261" s="17" t="n">
        <f aca="false">BD260</f>
        <v>2.24296619893662</v>
      </c>
      <c r="AW261" s="17" t="n">
        <f aca="false">AV261*(1-(1-INDEX(Ipotesi!$C$34:$G$34,1,F261))^(1/12))</f>
        <v>0.0196071378956388</v>
      </c>
      <c r="AX261" s="15" t="n">
        <f aca="false">ROUND(INDEX(Ipotesi!$C$32:$G$32,1,F261)*Ipotesi!G8,0)</f>
        <v>12</v>
      </c>
      <c r="AY261" s="15" t="n">
        <f aca="false">MAX(0,(AX261-(AV261-AW261))/(13-E261))</f>
        <v>1.22208011736988</v>
      </c>
      <c r="AZ261" s="15" t="n">
        <f aca="false">MIN(P261*Parametri_v3!$C$22,Q261*(1-Parametri_v3!$C$16)*Parametri_v3!$C$23)</f>
        <v>20.25</v>
      </c>
      <c r="BA261" s="15" t="n">
        <f aca="false">IF(OR(INDEX(Ipotesi!$C$35:$G$35,1,F261)&lt;=0,17-Parametri_v3!$C$21&lt;1),0,INDEX($AT$245:$AT$304,MAX(1,17-Parametri_v3!$C$21))/(INDEX(Ipotesi!$C$35:$G$35,1,F261)*Ipotesi!G27))</f>
        <v>0.547013888888889</v>
      </c>
      <c r="BB261" s="15" t="n">
        <f aca="false">IF(17-Parametri_v3!$C$21&lt;1,0,INDEX($AU$245:$AU$304,MAX(1,17-Parametri_v3!$C$21)))*Parametri_v3!$C$18*Parametri_v3!$C$19*Parametri_v3!$C$20</f>
        <v>1.18125</v>
      </c>
      <c r="BC261" s="17" t="n">
        <f aca="false">MAX(0,MIN(AY261,BA261,BB261,MAX(0,AZ261-(AV261-AW261))))</f>
        <v>0.547013888888889</v>
      </c>
      <c r="BD261" s="17" t="n">
        <f aca="false">AV261-AW261+BC261</f>
        <v>2.77037294992987</v>
      </c>
      <c r="BE261" s="17" t="n">
        <f aca="false">(AV261+BD261)/2</f>
        <v>2.50666957443324</v>
      </c>
      <c r="BF261" s="15" t="n">
        <f aca="false">BE261*INDEX(Ipotesi!$C$33:$G$33,1,F261)*H261/12</f>
        <v>752.000872329972</v>
      </c>
      <c r="BG261" s="15" t="n">
        <f aca="false">BD261*INDEX(Ipotesi!$C$33:$G$33,1,F261)*H261</f>
        <v>9973.34261974752</v>
      </c>
      <c r="BH261" s="15" t="n">
        <f aca="false">AM261*INDEX(Ipotesi!$C$37:$G$37,1,F261)</f>
        <v>1682.07042253521</v>
      </c>
      <c r="BI261" s="15" t="n">
        <f aca="false">AQ261+BF261+BH261</f>
        <v>13014.6962948652</v>
      </c>
      <c r="BJ261" s="15" t="n">
        <f aca="false">INDEX(Ipotesi!$C$68:$G$68,1,F261)*Ipotesi!$C$69/12</f>
        <v>1600</v>
      </c>
      <c r="BK261" s="15" t="n">
        <f aca="false">INDEX(Ipotesi!$C$68:$G$68,1,F261)*(1-Ipotesi!$C$69)/12</f>
        <v>2400</v>
      </c>
      <c r="BL261" s="15" t="n">
        <f aca="false">(AQ261+BF261)*Ipotesi!$C$67</f>
        <v>339.978776169899</v>
      </c>
      <c r="BM261" s="15" t="n">
        <f aca="false">AM261*Ipotesi!$C$67</f>
        <v>504.621126760563</v>
      </c>
      <c r="BN261" s="15" t="n">
        <f aca="false">INDEX(Ipotesi!$C$72:$G$72,1,F261)/12*Ipotesi!G126+BF261*Ipotesi!$C$73</f>
        <v>810.160069786398</v>
      </c>
      <c r="BO261" s="15" t="n">
        <f aca="false">INDEX(Ipotesi!$C$74:$G$74,1,F261)/12*Ipotesi!G126</f>
        <v>1100</v>
      </c>
      <c r="BP261" s="15" t="n">
        <f aca="false">INDEX(Ipotesi!$C$76:$G$76,1,F261)/12</f>
        <v>750</v>
      </c>
      <c r="BQ261" s="15" t="n">
        <f aca="false">INDEX(Ipotesi!$C$77:$G$77,1,F261)/12*Ipotesi!G126</f>
        <v>1000</v>
      </c>
      <c r="BR261" s="15" t="n">
        <f aca="false">INDEX(Ipotesi!$C$78:$G$78,1,F261)/12</f>
        <v>1250</v>
      </c>
      <c r="BS261" s="15" t="n">
        <f aca="false">SUM(M261:R261)*(Ipotesi!$C$85+Ipotesi!$C$86)/12</f>
        <v>1378.125</v>
      </c>
      <c r="BT261" s="15" t="n">
        <f aca="false">BI261*Ipotesi!$C$87</f>
        <v>390.440888845956</v>
      </c>
      <c r="BU261" s="15" t="n">
        <f aca="false">INDEX(Ipotesi!$C$55:$G$55,1,F261)*K261/12</f>
        <v>600</v>
      </c>
      <c r="BV261" s="15" t="n">
        <f aca="false">INDEX(Ipotesi!$C$80:$G$80,1,F261)/12*Ipotesi!G126</f>
        <v>500</v>
      </c>
      <c r="BW261" s="15" t="n">
        <f aca="false">INDEX(Ipotesi!$C$82:$G$82,1,F261)/12</f>
        <v>666.666666666667</v>
      </c>
      <c r="BX261" s="15" t="n">
        <f aca="false">INDEX(Ipotesi!$C$83:$G$83,1,F261)/12</f>
        <v>583.333333333333</v>
      </c>
      <c r="BY261" s="15" t="n">
        <f aca="false">SUM(S261:U261)*(Ipotesi!$C$85+Ipotesi!$C$86)/12</f>
        <v>568.75</v>
      </c>
      <c r="BZ261" s="15" t="n">
        <f aca="false">AM261*Ipotesi!$C$87</f>
        <v>504.621126760563</v>
      </c>
      <c r="CA261" s="15" t="n">
        <f aca="false">AB261+BJ261+BL261+BN261+BO261+AR261+BP261+BQ261+BR261+BS261+BT261</f>
        <v>29852.2464014689</v>
      </c>
      <c r="CB261" s="15" t="n">
        <f aca="false">AC261+BK261+BM261+BH261+BU261+BV261+AS261+BW261+BX261+BY261+BZ261</f>
        <v>15669.979342723</v>
      </c>
      <c r="CC261" s="15" t="n">
        <f aca="false">BI261-CA261</f>
        <v>-16837.5501066037</v>
      </c>
      <c r="CD261" s="15" t="n">
        <f aca="false">AM261-CB261</f>
        <v>1150.72488262911</v>
      </c>
      <c r="CE261" s="15" t="n">
        <f aca="false">INDEX(Ipotesi!$C$79:$G$79,1,F261)/12</f>
        <v>2083.33333333333</v>
      </c>
      <c r="CF261" s="15" t="n">
        <f aca="false">INDEX(Ipotesi!$C$84:$G$84,1,F261)/12</f>
        <v>416.666666666667</v>
      </c>
      <c r="CG261" s="15" t="n">
        <f aca="false">Y261*MAX(0,Parametri_v3!$C$12-IF(P261=0,0,MIN(1,BE261/(P261*Parametri_v3!$C$22))))+W261*Parametri_v3!$C$13+X261*Parametri_v3!$C$14</f>
        <v>7295.54709743057</v>
      </c>
      <c r="CH261" s="15" t="n">
        <f aca="false">AB261*Parametri_v3!$C$32</f>
        <v>1015.84375</v>
      </c>
      <c r="CI261" s="15" t="n">
        <f aca="false">AC261*Parametri_v3!$C$32</f>
        <v>374.6625</v>
      </c>
      <c r="CJ261" s="15" t="n">
        <f aca="false">CA261-AB261</f>
        <v>9535.37140146892</v>
      </c>
      <c r="CK261" s="15" t="n">
        <f aca="false">CB261-AC261-BH261</f>
        <v>6494.65892018779</v>
      </c>
      <c r="CL261" s="15" t="n">
        <f aca="false">BF261*Ipotesi!$C$73+INDEX(Ipotesi!$C$72:$G$72,1,F261)/12*Ipotesi!G126*Parametri_v3!$C$58+Z261*(1-Parametri_v3!$C$16)</f>
        <v>1331.5975697864</v>
      </c>
      <c r="CM261" s="16" t="n">
        <f aca="false">IF(BF261=0,0,1-CL261/BF261)</f>
        <v>-0.770739395102859</v>
      </c>
    </row>
    <row r="262" customFormat="false" ht="18" hidden="false" customHeight="true" outlineLevel="0" collapsed="false">
      <c r="A262" s="68" t="n">
        <f aca="false">5</f>
        <v>5</v>
      </c>
      <c r="B262" s="68" t="n">
        <f aca="false">18</f>
        <v>18</v>
      </c>
      <c r="C262" s="18" t="n">
        <f aca="false">EDATE(Parametri_v3!$C$5,18-1)</f>
        <v>46905</v>
      </c>
      <c r="D262" s="68" t="n">
        <f aca="false">YEAR(C262)</f>
        <v>2028</v>
      </c>
      <c r="E262" s="68" t="n">
        <f aca="false">MONTH(C262)</f>
        <v>6</v>
      </c>
      <c r="F262" s="68" t="n">
        <f aca="false">INT((18-1)/12)+1</f>
        <v>2</v>
      </c>
      <c r="G262" s="15" t="n">
        <f aca="false">Ipotesi!G7</f>
        <v>0.55</v>
      </c>
      <c r="H262" s="15" t="n">
        <f aca="false">Ipotesi!G9</f>
        <v>0.9</v>
      </c>
      <c r="I262" s="15" t="n">
        <f aca="false">Ipotesi!G10</f>
        <v>0.3</v>
      </c>
      <c r="J262" s="15" t="n">
        <f aca="false">Ipotesi!G11</f>
        <v>0.2</v>
      </c>
      <c r="K262" s="15" t="n">
        <f aca="false">Ipotesi!G12</f>
        <v>0.6</v>
      </c>
      <c r="L262" s="15" t="n">
        <f aca="false">Ipotesi!G13</f>
        <v>120</v>
      </c>
      <c r="M262" s="17" t="n">
        <f aca="false">INDEX(Ipotesi!$C$40:$G$40,1,F262)</f>
        <v>1</v>
      </c>
      <c r="N262" s="17" t="n">
        <f aca="false">INDEX(Ipotesi!$C$41:$G$41,1,F262)</f>
        <v>1</v>
      </c>
      <c r="O262" s="17" t="n">
        <f aca="false">INDEX(Ipotesi!$C$42:$G$42,1,F262)*Ipotesi!G125</f>
        <v>1.375</v>
      </c>
      <c r="P262" s="17" t="n">
        <f aca="false">INDEX(Ipotesi!$C$43:$G$43,1,F262)*I262</f>
        <v>0.75</v>
      </c>
      <c r="Q262" s="17" t="n">
        <f aca="false">INDEX(Ipotesi!$C$44:$G$44,1,F262)*I262</f>
        <v>0.45</v>
      </c>
      <c r="R262" s="17" t="n">
        <f aca="false">INDEX(Ipotesi!$C$45:$G$45,1,F262)*I262</f>
        <v>0.15</v>
      </c>
      <c r="S262" s="17" t="n">
        <f aca="false">INDEX(Ipotesi!$C$52:$G$52,1,F262)*Ipotesi!G125</f>
        <v>1.65</v>
      </c>
      <c r="T262" s="17" t="n">
        <f aca="false">INDEX(Ipotesi!$C$53:$G$53,1,F262)*I262</f>
        <v>0.3</v>
      </c>
      <c r="U262" s="17" t="n">
        <f aca="false">INDEX(Ipotesi!$C$54:$G$54,1,F262)*I262</f>
        <v>0</v>
      </c>
      <c r="V262" s="15" t="n">
        <f aca="false">M262*INDEX(Ipotesi!$C$58:$G$58,1,F262)*K262/12</f>
        <v>3000</v>
      </c>
      <c r="W262" s="15" t="n">
        <f aca="false">N262*Ipotesi!$C$59*(1+Ipotesi!$C$66)^(F262-1)/12</f>
        <v>6008.33333333333</v>
      </c>
      <c r="X262" s="15" t="n">
        <f aca="false">O262*Ipotesi!$C$60*(1+Ipotesi!$C$66)^(F262-1)/12</f>
        <v>5901.04166666667</v>
      </c>
      <c r="Y262" s="15" t="n">
        <f aca="false">P262*Ipotesi!$C$61*(1+Ipotesi!$C$66)^(F262-1)/12</f>
        <v>3218.75</v>
      </c>
      <c r="Z262" s="15" t="n">
        <f aca="false">Q262*Ipotesi!$C$62*(1+Ipotesi!$C$66)^(F262-1)/12</f>
        <v>1738.125</v>
      </c>
      <c r="AA262" s="15" t="n">
        <f aca="false">R262*Ipotesi!$C$63*(1+Ipotesi!$C$66)^(F262-1)/12</f>
        <v>450.625</v>
      </c>
      <c r="AB262" s="15" t="n">
        <f aca="false">SUM(V262:AA262)</f>
        <v>20316.875</v>
      </c>
      <c r="AC262" s="15" t="n">
        <f aca="false">(S262*Ipotesi!$C$64+T262*Ipotesi!$C$65+U262*Ipotesi!$C$63)*(1+Ipotesi!$C$66)^(F262-1)/12</f>
        <v>7493.25</v>
      </c>
      <c r="AD262" s="15" t="n">
        <f aca="false">INDEX(Ipotesi!$C$48:$G$48,1,F262)*G262/12</f>
        <v>20.625</v>
      </c>
      <c r="AE262" s="15" t="n">
        <f aca="false">INDEX(Ipotesi!$C$50:$G$50,1,F262)*G262/12</f>
        <v>2.52083333333333</v>
      </c>
      <c r="AF262" s="15" t="n">
        <f aca="false">(S262*Parametri_v3!$C$7*Parametri_v3!$C$8+Parametri_v3!$C$10)/12</f>
        <v>21.175</v>
      </c>
      <c r="AG262" s="15" t="n">
        <f aca="false">AD262+AE262*(1+Parametri_v3!$C$9)</f>
        <v>24.40625</v>
      </c>
      <c r="AH262" s="16" t="n">
        <f aca="false">IF(AG262=0,1,MIN(1,AF262/AG262))</f>
        <v>0.867605633802817</v>
      </c>
      <c r="AI262" s="15" t="n">
        <f aca="false">AD262*AH262</f>
        <v>17.8943661971831</v>
      </c>
      <c r="AJ262" s="15" t="n">
        <f aca="false">AE262*AH262</f>
        <v>2.18708920187793</v>
      </c>
      <c r="AK262" s="15" t="n">
        <f aca="false">AI262*INDEX(Ipotesi!$C$49:$G$49,1,F262)*H262</f>
        <v>12883.9436619718</v>
      </c>
      <c r="AL262" s="15" t="n">
        <f aca="false">AJ262*INDEX(Ipotesi!$C$51:$G$51,1,F262)*H262</f>
        <v>3936.76056338028</v>
      </c>
      <c r="AM262" s="15" t="n">
        <f aca="false">AK262+AL262</f>
        <v>16820.7042253521</v>
      </c>
      <c r="AN262" s="15" t="n">
        <f aca="false">INDEX(Ipotesi!$C$30:$G$30,1,F262)*G262/12</f>
        <v>12.375</v>
      </c>
      <c r="AO262" s="15" t="n">
        <f aca="false">O262*Parametri_v3!$C$7*Parametri_v3!$C$11*(1-Parametri_v3!$C$14)/12</f>
        <v>14.1166666666667</v>
      </c>
      <c r="AP262" s="15" t="n">
        <f aca="false">MIN(AN262,AO262)</f>
        <v>12.375</v>
      </c>
      <c r="AQ262" s="15" t="n">
        <f aca="false">AP262*INDEX(Ipotesi!$C$31:$G$31,1,F262)*H262</f>
        <v>10580.625</v>
      </c>
      <c r="AR262" s="15" t="n">
        <f aca="false">INDEX(Ipotesi!$C$75:$G$75,1,F262)*J262/12</f>
        <v>916.666666666667</v>
      </c>
      <c r="AS262" s="15" t="n">
        <f aca="false">INDEX(Ipotesi!$C$81:$G$81,1,F262)*J262/12</f>
        <v>166.666666666667</v>
      </c>
      <c r="AT262" s="15" t="n">
        <f aca="false">AR262*Parametri_v3!$C$15+Z262*Parametri_v3!$C$16</f>
        <v>2133.35416666667</v>
      </c>
      <c r="AU262" s="15" t="n">
        <f aca="false">Q262*Parametri_v3!$C$16*Parametri_v3!$C$17</f>
        <v>31.5</v>
      </c>
      <c r="AV262" s="17" t="n">
        <f aca="false">BD261</f>
        <v>2.77037294992987</v>
      </c>
      <c r="AW262" s="17" t="n">
        <f aca="false">AV262*(1-(1-INDEX(Ipotesi!$C$34:$G$34,1,F262))^(1/12))</f>
        <v>0.0242175225277024</v>
      </c>
      <c r="AX262" s="15" t="n">
        <f aca="false">ROUND(INDEX(Ipotesi!$C$32:$G$32,1,F262)*Ipotesi!G8,0)</f>
        <v>12</v>
      </c>
      <c r="AY262" s="15" t="n">
        <f aca="false">MAX(0,(AX262-(AV262-AW262))/(13-E262))</f>
        <v>1.32197779608541</v>
      </c>
      <c r="AZ262" s="15" t="n">
        <f aca="false">MIN(P262*Parametri_v3!$C$22,Q262*(1-Parametri_v3!$C$16)*Parametri_v3!$C$23)</f>
        <v>20.25</v>
      </c>
      <c r="BA262" s="15" t="n">
        <f aca="false">IF(OR(INDEX(Ipotesi!$C$35:$G$35,1,F262)&lt;=0,18-Parametri_v3!$C$21&lt;1),0,INDEX($AT$245:$AT$304,MAX(1,18-Parametri_v3!$C$21))/(INDEX(Ipotesi!$C$35:$G$35,1,F262)*Ipotesi!G27))</f>
        <v>0.547013888888889</v>
      </c>
      <c r="BB262" s="15" t="n">
        <f aca="false">IF(18-Parametri_v3!$C$21&lt;1,0,INDEX($AU$245:$AU$304,MAX(1,18-Parametri_v3!$C$21)))*Parametri_v3!$C$18*Parametri_v3!$C$19*Parametri_v3!$C$20</f>
        <v>1.18125</v>
      </c>
      <c r="BC262" s="17" t="n">
        <f aca="false">MAX(0,MIN(AY262,BA262,BB262,MAX(0,AZ262-(AV262-AW262))))</f>
        <v>0.547013888888889</v>
      </c>
      <c r="BD262" s="17" t="n">
        <f aca="false">AV262-AW262+BC262</f>
        <v>3.29316931629105</v>
      </c>
      <c r="BE262" s="17" t="n">
        <f aca="false">(AV262+BD262)/2</f>
        <v>3.03177113311046</v>
      </c>
      <c r="BF262" s="15" t="n">
        <f aca="false">BE262*INDEX(Ipotesi!$C$33:$G$33,1,F262)*H262/12</f>
        <v>909.531339933138</v>
      </c>
      <c r="BG262" s="15" t="n">
        <f aca="false">BD262*INDEX(Ipotesi!$C$33:$G$33,1,F262)*H262</f>
        <v>11855.4095386478</v>
      </c>
      <c r="BH262" s="15" t="n">
        <f aca="false">AM262*INDEX(Ipotesi!$C$37:$G$37,1,F262)</f>
        <v>1682.07042253521</v>
      </c>
      <c r="BI262" s="15" t="n">
        <f aca="false">AQ262+BF262+BH262</f>
        <v>13172.2267624683</v>
      </c>
      <c r="BJ262" s="15" t="n">
        <f aca="false">INDEX(Ipotesi!$C$68:$G$68,1,F262)*Ipotesi!$C$69/12</f>
        <v>1600</v>
      </c>
      <c r="BK262" s="15" t="n">
        <f aca="false">INDEX(Ipotesi!$C$68:$G$68,1,F262)*(1-Ipotesi!$C$69)/12</f>
        <v>2400</v>
      </c>
      <c r="BL262" s="15" t="n">
        <f aca="false">(AQ262+BF262)*Ipotesi!$C$67</f>
        <v>344.704690197994</v>
      </c>
      <c r="BM262" s="15" t="n">
        <f aca="false">AM262*Ipotesi!$C$67</f>
        <v>504.621126760563</v>
      </c>
      <c r="BN262" s="15" t="n">
        <f aca="false">INDEX(Ipotesi!$C$72:$G$72,1,F262)/12*Ipotesi!G126+BF262*Ipotesi!$C$73</f>
        <v>822.762507194651</v>
      </c>
      <c r="BO262" s="15" t="n">
        <f aca="false">INDEX(Ipotesi!$C$74:$G$74,1,F262)/12*Ipotesi!G126</f>
        <v>1100</v>
      </c>
      <c r="BP262" s="15" t="n">
        <f aca="false">INDEX(Ipotesi!$C$76:$G$76,1,F262)/12</f>
        <v>750</v>
      </c>
      <c r="BQ262" s="15" t="n">
        <f aca="false">INDEX(Ipotesi!$C$77:$G$77,1,F262)/12*Ipotesi!G126</f>
        <v>1000</v>
      </c>
      <c r="BR262" s="15" t="n">
        <f aca="false">INDEX(Ipotesi!$C$78:$G$78,1,F262)/12</f>
        <v>1250</v>
      </c>
      <c r="BS262" s="15" t="n">
        <f aca="false">SUM(M262:R262)*(Ipotesi!$C$85+Ipotesi!$C$86)/12</f>
        <v>1378.125</v>
      </c>
      <c r="BT262" s="15" t="n">
        <f aca="false">BI262*Ipotesi!$C$87</f>
        <v>395.16680287405</v>
      </c>
      <c r="BU262" s="15" t="n">
        <f aca="false">INDEX(Ipotesi!$C$55:$G$55,1,F262)*K262/12</f>
        <v>600</v>
      </c>
      <c r="BV262" s="15" t="n">
        <f aca="false">INDEX(Ipotesi!$C$80:$G$80,1,F262)/12*Ipotesi!G126</f>
        <v>500</v>
      </c>
      <c r="BW262" s="15" t="n">
        <f aca="false">INDEX(Ipotesi!$C$82:$G$82,1,F262)/12</f>
        <v>666.666666666667</v>
      </c>
      <c r="BX262" s="15" t="n">
        <f aca="false">INDEX(Ipotesi!$C$83:$G$83,1,F262)/12</f>
        <v>583.333333333333</v>
      </c>
      <c r="BY262" s="15" t="n">
        <f aca="false">SUM(S262:U262)*(Ipotesi!$C$85+Ipotesi!$C$86)/12</f>
        <v>568.75</v>
      </c>
      <c r="BZ262" s="15" t="n">
        <f aca="false">AM262*Ipotesi!$C$87</f>
        <v>504.621126760563</v>
      </c>
      <c r="CA262" s="15" t="n">
        <f aca="false">AB262+BJ262+BL262+BN262+BO262+AR262+BP262+BQ262+BR262+BS262+BT262</f>
        <v>29874.3006669334</v>
      </c>
      <c r="CB262" s="15" t="n">
        <f aca="false">AC262+BK262+BM262+BH262+BU262+BV262+AS262+BW262+BX262+BY262+BZ262</f>
        <v>15669.979342723</v>
      </c>
      <c r="CC262" s="15" t="n">
        <f aca="false">BI262-CA262</f>
        <v>-16702.073904465</v>
      </c>
      <c r="CD262" s="15" t="n">
        <f aca="false">AM262-CB262</f>
        <v>1150.72488262911</v>
      </c>
      <c r="CE262" s="15" t="n">
        <f aca="false">INDEX(Ipotesi!$C$79:$G$79,1,F262)/12</f>
        <v>2083.33333333333</v>
      </c>
      <c r="CF262" s="15" t="n">
        <f aca="false">INDEX(Ipotesi!$C$84:$G$84,1,F262)/12</f>
        <v>416.666666666667</v>
      </c>
      <c r="CG262" s="15" t="n">
        <f aca="false">Y262*MAX(0,Parametri_v3!$C$12-IF(P262=0,0,MIN(1,BE262/(P262*Parametri_v3!$C$22))))+W262*Parametri_v3!$C$13+X262*Parametri_v3!$C$14</f>
        <v>7273.01148887068</v>
      </c>
      <c r="CH262" s="15" t="n">
        <f aca="false">AB262*Parametri_v3!$C$32</f>
        <v>1015.84375</v>
      </c>
      <c r="CI262" s="15" t="n">
        <f aca="false">AC262*Parametri_v3!$C$32</f>
        <v>374.6625</v>
      </c>
      <c r="CJ262" s="15" t="n">
        <f aca="false">CA262-AB262</f>
        <v>9557.42566693336</v>
      </c>
      <c r="CK262" s="15" t="n">
        <f aca="false">CB262-AC262-BH262</f>
        <v>6494.65892018779</v>
      </c>
      <c r="CL262" s="15" t="n">
        <f aca="false">BF262*Ipotesi!$C$73+INDEX(Ipotesi!$C$72:$G$72,1,F262)/12*Ipotesi!G126*Parametri_v3!$C$58+Z262*(1-Parametri_v3!$C$16)</f>
        <v>1344.20000719465</v>
      </c>
      <c r="CM262" s="16" t="n">
        <f aca="false">IF(BF262=0,0,1-CL262/BF262)</f>
        <v>-0.477904001959368</v>
      </c>
    </row>
    <row r="263" customFormat="false" ht="18" hidden="false" customHeight="true" outlineLevel="0" collapsed="false">
      <c r="A263" s="68" t="n">
        <f aca="false">5</f>
        <v>5</v>
      </c>
      <c r="B263" s="68" t="n">
        <f aca="false">19</f>
        <v>19</v>
      </c>
      <c r="C263" s="18" t="n">
        <f aca="false">EDATE(Parametri_v3!$C$5,19-1)</f>
        <v>46935</v>
      </c>
      <c r="D263" s="68" t="n">
        <f aca="false">YEAR(C263)</f>
        <v>2028</v>
      </c>
      <c r="E263" s="68" t="n">
        <f aca="false">MONTH(C263)</f>
        <v>7</v>
      </c>
      <c r="F263" s="68" t="n">
        <f aca="false">INT((19-1)/12)+1</f>
        <v>2</v>
      </c>
      <c r="G263" s="15" t="n">
        <f aca="false">Ipotesi!G7</f>
        <v>0.55</v>
      </c>
      <c r="H263" s="15" t="n">
        <f aca="false">Ipotesi!G9</f>
        <v>0.9</v>
      </c>
      <c r="I263" s="15" t="n">
        <f aca="false">Ipotesi!G10</f>
        <v>0.3</v>
      </c>
      <c r="J263" s="15" t="n">
        <f aca="false">Ipotesi!G11</f>
        <v>0.2</v>
      </c>
      <c r="K263" s="15" t="n">
        <f aca="false">Ipotesi!G12</f>
        <v>0.6</v>
      </c>
      <c r="L263" s="15" t="n">
        <f aca="false">Ipotesi!G13</f>
        <v>120</v>
      </c>
      <c r="M263" s="17" t="n">
        <f aca="false">INDEX(Ipotesi!$C$40:$G$40,1,F263)</f>
        <v>1</v>
      </c>
      <c r="N263" s="17" t="n">
        <f aca="false">INDEX(Ipotesi!$C$41:$G$41,1,F263)</f>
        <v>1</v>
      </c>
      <c r="O263" s="17" t="n">
        <f aca="false">INDEX(Ipotesi!$C$42:$G$42,1,F263)*Ipotesi!G125</f>
        <v>1.375</v>
      </c>
      <c r="P263" s="17" t="n">
        <f aca="false">INDEX(Ipotesi!$C$43:$G$43,1,F263)*I263</f>
        <v>0.75</v>
      </c>
      <c r="Q263" s="17" t="n">
        <f aca="false">INDEX(Ipotesi!$C$44:$G$44,1,F263)*I263</f>
        <v>0.45</v>
      </c>
      <c r="R263" s="17" t="n">
        <f aca="false">INDEX(Ipotesi!$C$45:$G$45,1,F263)*I263</f>
        <v>0.15</v>
      </c>
      <c r="S263" s="17" t="n">
        <f aca="false">INDEX(Ipotesi!$C$52:$G$52,1,F263)*Ipotesi!G125</f>
        <v>1.65</v>
      </c>
      <c r="T263" s="17" t="n">
        <f aca="false">INDEX(Ipotesi!$C$53:$G$53,1,F263)*I263</f>
        <v>0.3</v>
      </c>
      <c r="U263" s="17" t="n">
        <f aca="false">INDEX(Ipotesi!$C$54:$G$54,1,F263)*I263</f>
        <v>0</v>
      </c>
      <c r="V263" s="15" t="n">
        <f aca="false">M263*INDEX(Ipotesi!$C$58:$G$58,1,F263)*K263/12</f>
        <v>3000</v>
      </c>
      <c r="W263" s="15" t="n">
        <f aca="false">N263*Ipotesi!$C$59*(1+Ipotesi!$C$66)^(F263-1)/12</f>
        <v>6008.33333333333</v>
      </c>
      <c r="X263" s="15" t="n">
        <f aca="false">O263*Ipotesi!$C$60*(1+Ipotesi!$C$66)^(F263-1)/12</f>
        <v>5901.04166666667</v>
      </c>
      <c r="Y263" s="15" t="n">
        <f aca="false">P263*Ipotesi!$C$61*(1+Ipotesi!$C$66)^(F263-1)/12</f>
        <v>3218.75</v>
      </c>
      <c r="Z263" s="15" t="n">
        <f aca="false">Q263*Ipotesi!$C$62*(1+Ipotesi!$C$66)^(F263-1)/12</f>
        <v>1738.125</v>
      </c>
      <c r="AA263" s="15" t="n">
        <f aca="false">R263*Ipotesi!$C$63*(1+Ipotesi!$C$66)^(F263-1)/12</f>
        <v>450.625</v>
      </c>
      <c r="AB263" s="15" t="n">
        <f aca="false">SUM(V263:AA263)</f>
        <v>20316.875</v>
      </c>
      <c r="AC263" s="15" t="n">
        <f aca="false">(S263*Ipotesi!$C$64+T263*Ipotesi!$C$65+U263*Ipotesi!$C$63)*(1+Ipotesi!$C$66)^(F263-1)/12</f>
        <v>7493.25</v>
      </c>
      <c r="AD263" s="15" t="n">
        <f aca="false">INDEX(Ipotesi!$C$48:$G$48,1,F263)*G263/12</f>
        <v>20.625</v>
      </c>
      <c r="AE263" s="15" t="n">
        <f aca="false">INDEX(Ipotesi!$C$50:$G$50,1,F263)*G263/12</f>
        <v>2.52083333333333</v>
      </c>
      <c r="AF263" s="15" t="n">
        <f aca="false">(S263*Parametri_v3!$C$7*Parametri_v3!$C$8+Parametri_v3!$C$10)/12</f>
        <v>21.175</v>
      </c>
      <c r="AG263" s="15" t="n">
        <f aca="false">AD263+AE263*(1+Parametri_v3!$C$9)</f>
        <v>24.40625</v>
      </c>
      <c r="AH263" s="16" t="n">
        <f aca="false">IF(AG263=0,1,MIN(1,AF263/AG263))</f>
        <v>0.867605633802817</v>
      </c>
      <c r="AI263" s="15" t="n">
        <f aca="false">AD263*AH263</f>
        <v>17.8943661971831</v>
      </c>
      <c r="AJ263" s="15" t="n">
        <f aca="false">AE263*AH263</f>
        <v>2.18708920187793</v>
      </c>
      <c r="AK263" s="15" t="n">
        <f aca="false">AI263*INDEX(Ipotesi!$C$49:$G$49,1,F263)*H263</f>
        <v>12883.9436619718</v>
      </c>
      <c r="AL263" s="15" t="n">
        <f aca="false">AJ263*INDEX(Ipotesi!$C$51:$G$51,1,F263)*H263</f>
        <v>3936.76056338028</v>
      </c>
      <c r="AM263" s="15" t="n">
        <f aca="false">AK263+AL263</f>
        <v>16820.7042253521</v>
      </c>
      <c r="AN263" s="15" t="n">
        <f aca="false">INDEX(Ipotesi!$C$30:$G$30,1,F263)*G263/12</f>
        <v>12.375</v>
      </c>
      <c r="AO263" s="15" t="n">
        <f aca="false">O263*Parametri_v3!$C$7*Parametri_v3!$C$11*(1-Parametri_v3!$C$14)/12</f>
        <v>14.1166666666667</v>
      </c>
      <c r="AP263" s="15" t="n">
        <f aca="false">MIN(AN263,AO263)</f>
        <v>12.375</v>
      </c>
      <c r="AQ263" s="15" t="n">
        <f aca="false">AP263*INDEX(Ipotesi!$C$31:$G$31,1,F263)*H263</f>
        <v>10580.625</v>
      </c>
      <c r="AR263" s="15" t="n">
        <f aca="false">INDEX(Ipotesi!$C$75:$G$75,1,F263)*J263/12</f>
        <v>916.666666666667</v>
      </c>
      <c r="AS263" s="15" t="n">
        <f aca="false">INDEX(Ipotesi!$C$81:$G$81,1,F263)*J263/12</f>
        <v>166.666666666667</v>
      </c>
      <c r="AT263" s="15" t="n">
        <f aca="false">AR263*Parametri_v3!$C$15+Z263*Parametri_v3!$C$16</f>
        <v>2133.35416666667</v>
      </c>
      <c r="AU263" s="15" t="n">
        <f aca="false">Q263*Parametri_v3!$C$16*Parametri_v3!$C$17</f>
        <v>31.5</v>
      </c>
      <c r="AV263" s="17" t="n">
        <f aca="false">BD262</f>
        <v>3.29316931629105</v>
      </c>
      <c r="AW263" s="17" t="n">
        <f aca="false">AV263*(1-(1-INDEX(Ipotesi!$C$34:$G$34,1,F263))^(1/12))</f>
        <v>0.028787604970961</v>
      </c>
      <c r="AX263" s="15" t="n">
        <f aca="false">ROUND(INDEX(Ipotesi!$C$32:$G$32,1,F263)*Ipotesi!G8,0)</f>
        <v>12</v>
      </c>
      <c r="AY263" s="15" t="n">
        <f aca="false">MAX(0,(AX263-(AV263-AW263))/(13-E263))</f>
        <v>1.45593638144665</v>
      </c>
      <c r="AZ263" s="15" t="n">
        <f aca="false">MIN(P263*Parametri_v3!$C$22,Q263*(1-Parametri_v3!$C$16)*Parametri_v3!$C$23)</f>
        <v>20.25</v>
      </c>
      <c r="BA263" s="15" t="n">
        <f aca="false">IF(OR(INDEX(Ipotesi!$C$35:$G$35,1,F263)&lt;=0,19-Parametri_v3!$C$21&lt;1),0,INDEX($AT$245:$AT$304,MAX(1,19-Parametri_v3!$C$21))/(INDEX(Ipotesi!$C$35:$G$35,1,F263)*Ipotesi!G27))</f>
        <v>0.547013888888889</v>
      </c>
      <c r="BB263" s="15" t="n">
        <f aca="false">IF(19-Parametri_v3!$C$21&lt;1,0,INDEX($AU$245:$AU$304,MAX(1,19-Parametri_v3!$C$21)))*Parametri_v3!$C$18*Parametri_v3!$C$19*Parametri_v3!$C$20</f>
        <v>1.18125</v>
      </c>
      <c r="BC263" s="17" t="n">
        <f aca="false">MAX(0,MIN(AY263,BA263,BB263,MAX(0,AZ263-(AV263-AW263))))</f>
        <v>0.547013888888889</v>
      </c>
      <c r="BD263" s="17" t="n">
        <f aca="false">AV263-AW263+BC263</f>
        <v>3.81139560020898</v>
      </c>
      <c r="BE263" s="17" t="n">
        <f aca="false">(AV263+BD263)/2</f>
        <v>3.55228245825002</v>
      </c>
      <c r="BF263" s="15" t="n">
        <f aca="false">BE263*INDEX(Ipotesi!$C$33:$G$33,1,F263)*H263/12</f>
        <v>1065.68473747501</v>
      </c>
      <c r="BG263" s="15" t="n">
        <f aca="false">BD263*INDEX(Ipotesi!$C$33:$G$33,1,F263)*H263</f>
        <v>13721.0241607523</v>
      </c>
      <c r="BH263" s="15" t="n">
        <f aca="false">AM263*INDEX(Ipotesi!$C$37:$G$37,1,F263)</f>
        <v>1682.07042253521</v>
      </c>
      <c r="BI263" s="15" t="n">
        <f aca="false">AQ263+BF263+BH263</f>
        <v>13328.3801600102</v>
      </c>
      <c r="BJ263" s="15" t="n">
        <f aca="false">INDEX(Ipotesi!$C$68:$G$68,1,F263)*Ipotesi!$C$69/12</f>
        <v>1600</v>
      </c>
      <c r="BK263" s="15" t="n">
        <f aca="false">INDEX(Ipotesi!$C$68:$G$68,1,F263)*(1-Ipotesi!$C$69)/12</f>
        <v>2400</v>
      </c>
      <c r="BL263" s="15" t="n">
        <f aca="false">(AQ263+BF263)*Ipotesi!$C$67</f>
        <v>349.38929212425</v>
      </c>
      <c r="BM263" s="15" t="n">
        <f aca="false">AM263*Ipotesi!$C$67</f>
        <v>504.621126760563</v>
      </c>
      <c r="BN263" s="15" t="n">
        <f aca="false">INDEX(Ipotesi!$C$72:$G$72,1,F263)/12*Ipotesi!G126+BF263*Ipotesi!$C$73</f>
        <v>835.254778998</v>
      </c>
      <c r="BO263" s="15" t="n">
        <f aca="false">INDEX(Ipotesi!$C$74:$G$74,1,F263)/12*Ipotesi!G126</f>
        <v>1100</v>
      </c>
      <c r="BP263" s="15" t="n">
        <f aca="false">INDEX(Ipotesi!$C$76:$G$76,1,F263)/12</f>
        <v>750</v>
      </c>
      <c r="BQ263" s="15" t="n">
        <f aca="false">INDEX(Ipotesi!$C$77:$G$77,1,F263)/12*Ipotesi!G126</f>
        <v>1000</v>
      </c>
      <c r="BR263" s="15" t="n">
        <f aca="false">INDEX(Ipotesi!$C$78:$G$78,1,F263)/12</f>
        <v>1250</v>
      </c>
      <c r="BS263" s="15" t="n">
        <f aca="false">SUM(M263:R263)*(Ipotesi!$C$85+Ipotesi!$C$86)/12</f>
        <v>1378.125</v>
      </c>
      <c r="BT263" s="15" t="n">
        <f aca="false">BI263*Ipotesi!$C$87</f>
        <v>399.851404800306</v>
      </c>
      <c r="BU263" s="15" t="n">
        <f aca="false">INDEX(Ipotesi!$C$55:$G$55,1,F263)*K263/12</f>
        <v>600</v>
      </c>
      <c r="BV263" s="15" t="n">
        <f aca="false">INDEX(Ipotesi!$C$80:$G$80,1,F263)/12*Ipotesi!G126</f>
        <v>500</v>
      </c>
      <c r="BW263" s="15" t="n">
        <f aca="false">INDEX(Ipotesi!$C$82:$G$82,1,F263)/12</f>
        <v>666.666666666667</v>
      </c>
      <c r="BX263" s="15" t="n">
        <f aca="false">INDEX(Ipotesi!$C$83:$G$83,1,F263)/12</f>
        <v>583.333333333333</v>
      </c>
      <c r="BY263" s="15" t="n">
        <f aca="false">SUM(S263:U263)*(Ipotesi!$C$85+Ipotesi!$C$86)/12</f>
        <v>568.75</v>
      </c>
      <c r="BZ263" s="15" t="n">
        <f aca="false">AM263*Ipotesi!$C$87</f>
        <v>504.621126760563</v>
      </c>
      <c r="CA263" s="15" t="n">
        <f aca="false">AB263+BJ263+BL263+BN263+BO263+AR263+BP263+BQ263+BR263+BS263+BT263</f>
        <v>29896.1621425892</v>
      </c>
      <c r="CB263" s="15" t="n">
        <f aca="false">AC263+BK263+BM263+BH263+BU263+BV263+AS263+BW263+BX263+BY263+BZ263</f>
        <v>15669.979342723</v>
      </c>
      <c r="CC263" s="15" t="n">
        <f aca="false">BI263-CA263</f>
        <v>-16567.781982579</v>
      </c>
      <c r="CD263" s="15" t="n">
        <f aca="false">AM263-CB263</f>
        <v>1150.72488262911</v>
      </c>
      <c r="CE263" s="15" t="n">
        <f aca="false">INDEX(Ipotesi!$C$79:$G$79,1,F263)/12</f>
        <v>2083.33333333333</v>
      </c>
      <c r="CF263" s="15" t="n">
        <f aca="false">INDEX(Ipotesi!$C$84:$G$84,1,F263)/12</f>
        <v>416.666666666667</v>
      </c>
      <c r="CG263" s="15" t="n">
        <f aca="false">Y263*MAX(0,Parametri_v3!$C$12-IF(P263=0,0,MIN(1,BE263/(P263*Parametri_v3!$C$22))))+W263*Parametri_v3!$C$13+X263*Parametri_v3!$C$14</f>
        <v>7250.67287783344</v>
      </c>
      <c r="CH263" s="15" t="n">
        <f aca="false">AB263*Parametri_v3!$C$32</f>
        <v>1015.84375</v>
      </c>
      <c r="CI263" s="15" t="n">
        <f aca="false">AC263*Parametri_v3!$C$32</f>
        <v>374.6625</v>
      </c>
      <c r="CJ263" s="15" t="n">
        <f aca="false">CA263-AB263</f>
        <v>9579.28714258923</v>
      </c>
      <c r="CK263" s="15" t="n">
        <f aca="false">CB263-AC263-BH263</f>
        <v>6494.65892018779</v>
      </c>
      <c r="CL263" s="15" t="n">
        <f aca="false">BF263*Ipotesi!$C$73+INDEX(Ipotesi!$C$72:$G$72,1,F263)/12*Ipotesi!G126*Parametri_v3!$C$58+Z263*(1-Parametri_v3!$C$16)</f>
        <v>1356.692278998</v>
      </c>
      <c r="CM263" s="16" t="n">
        <f aca="false">IF(BF263=0,0,1-CL263/BF263)</f>
        <v>-0.273070947992085</v>
      </c>
    </row>
    <row r="264" customFormat="false" ht="18" hidden="false" customHeight="true" outlineLevel="0" collapsed="false">
      <c r="A264" s="68" t="n">
        <f aca="false">5</f>
        <v>5</v>
      </c>
      <c r="B264" s="68" t="n">
        <f aca="false">20</f>
        <v>20</v>
      </c>
      <c r="C264" s="18" t="n">
        <f aca="false">EDATE(Parametri_v3!$C$5,20-1)</f>
        <v>46966</v>
      </c>
      <c r="D264" s="68" t="n">
        <f aca="false">YEAR(C264)</f>
        <v>2028</v>
      </c>
      <c r="E264" s="68" t="n">
        <f aca="false">MONTH(C264)</f>
        <v>8</v>
      </c>
      <c r="F264" s="68" t="n">
        <f aca="false">INT((20-1)/12)+1</f>
        <v>2</v>
      </c>
      <c r="G264" s="15" t="n">
        <f aca="false">Ipotesi!G7</f>
        <v>0.55</v>
      </c>
      <c r="H264" s="15" t="n">
        <f aca="false">Ipotesi!G9</f>
        <v>0.9</v>
      </c>
      <c r="I264" s="15" t="n">
        <f aca="false">Ipotesi!G10</f>
        <v>0.3</v>
      </c>
      <c r="J264" s="15" t="n">
        <f aca="false">Ipotesi!G11</f>
        <v>0.2</v>
      </c>
      <c r="K264" s="15" t="n">
        <f aca="false">Ipotesi!G12</f>
        <v>0.6</v>
      </c>
      <c r="L264" s="15" t="n">
        <f aca="false">Ipotesi!G13</f>
        <v>120</v>
      </c>
      <c r="M264" s="17" t="n">
        <f aca="false">INDEX(Ipotesi!$C$40:$G$40,1,F264)</f>
        <v>1</v>
      </c>
      <c r="N264" s="17" t="n">
        <f aca="false">INDEX(Ipotesi!$C$41:$G$41,1,F264)</f>
        <v>1</v>
      </c>
      <c r="O264" s="17" t="n">
        <f aca="false">INDEX(Ipotesi!$C$42:$G$42,1,F264)*Ipotesi!G125</f>
        <v>1.375</v>
      </c>
      <c r="P264" s="17" t="n">
        <f aca="false">INDEX(Ipotesi!$C$43:$G$43,1,F264)*I264</f>
        <v>0.75</v>
      </c>
      <c r="Q264" s="17" t="n">
        <f aca="false">INDEX(Ipotesi!$C$44:$G$44,1,F264)*I264</f>
        <v>0.45</v>
      </c>
      <c r="R264" s="17" t="n">
        <f aca="false">INDEX(Ipotesi!$C$45:$G$45,1,F264)*I264</f>
        <v>0.15</v>
      </c>
      <c r="S264" s="17" t="n">
        <f aca="false">INDEX(Ipotesi!$C$52:$G$52,1,F264)*Ipotesi!G125</f>
        <v>1.65</v>
      </c>
      <c r="T264" s="17" t="n">
        <f aca="false">INDEX(Ipotesi!$C$53:$G$53,1,F264)*I264</f>
        <v>0.3</v>
      </c>
      <c r="U264" s="17" t="n">
        <f aca="false">INDEX(Ipotesi!$C$54:$G$54,1,F264)*I264</f>
        <v>0</v>
      </c>
      <c r="V264" s="15" t="n">
        <f aca="false">M264*INDEX(Ipotesi!$C$58:$G$58,1,F264)*K264/12</f>
        <v>3000</v>
      </c>
      <c r="W264" s="15" t="n">
        <f aca="false">N264*Ipotesi!$C$59*(1+Ipotesi!$C$66)^(F264-1)/12</f>
        <v>6008.33333333333</v>
      </c>
      <c r="X264" s="15" t="n">
        <f aca="false">O264*Ipotesi!$C$60*(1+Ipotesi!$C$66)^(F264-1)/12</f>
        <v>5901.04166666667</v>
      </c>
      <c r="Y264" s="15" t="n">
        <f aca="false">P264*Ipotesi!$C$61*(1+Ipotesi!$C$66)^(F264-1)/12</f>
        <v>3218.75</v>
      </c>
      <c r="Z264" s="15" t="n">
        <f aca="false">Q264*Ipotesi!$C$62*(1+Ipotesi!$C$66)^(F264-1)/12</f>
        <v>1738.125</v>
      </c>
      <c r="AA264" s="15" t="n">
        <f aca="false">R264*Ipotesi!$C$63*(1+Ipotesi!$C$66)^(F264-1)/12</f>
        <v>450.625</v>
      </c>
      <c r="AB264" s="15" t="n">
        <f aca="false">SUM(V264:AA264)</f>
        <v>20316.875</v>
      </c>
      <c r="AC264" s="15" t="n">
        <f aca="false">(S264*Ipotesi!$C$64+T264*Ipotesi!$C$65+U264*Ipotesi!$C$63)*(1+Ipotesi!$C$66)^(F264-1)/12</f>
        <v>7493.25</v>
      </c>
      <c r="AD264" s="15" t="n">
        <f aca="false">INDEX(Ipotesi!$C$48:$G$48,1,F264)*G264/12</f>
        <v>20.625</v>
      </c>
      <c r="AE264" s="15" t="n">
        <f aca="false">INDEX(Ipotesi!$C$50:$G$50,1,F264)*G264/12</f>
        <v>2.52083333333333</v>
      </c>
      <c r="AF264" s="15" t="n">
        <f aca="false">(S264*Parametri_v3!$C$7*Parametri_v3!$C$8+Parametri_v3!$C$10)/12</f>
        <v>21.175</v>
      </c>
      <c r="AG264" s="15" t="n">
        <f aca="false">AD264+AE264*(1+Parametri_v3!$C$9)</f>
        <v>24.40625</v>
      </c>
      <c r="AH264" s="16" t="n">
        <f aca="false">IF(AG264=0,1,MIN(1,AF264/AG264))</f>
        <v>0.867605633802817</v>
      </c>
      <c r="AI264" s="15" t="n">
        <f aca="false">AD264*AH264</f>
        <v>17.8943661971831</v>
      </c>
      <c r="AJ264" s="15" t="n">
        <f aca="false">AE264*AH264</f>
        <v>2.18708920187793</v>
      </c>
      <c r="AK264" s="15" t="n">
        <f aca="false">AI264*INDEX(Ipotesi!$C$49:$G$49,1,F264)*H264</f>
        <v>12883.9436619718</v>
      </c>
      <c r="AL264" s="15" t="n">
        <f aca="false">AJ264*INDEX(Ipotesi!$C$51:$G$51,1,F264)*H264</f>
        <v>3936.76056338028</v>
      </c>
      <c r="AM264" s="15" t="n">
        <f aca="false">AK264+AL264</f>
        <v>16820.7042253521</v>
      </c>
      <c r="AN264" s="15" t="n">
        <f aca="false">INDEX(Ipotesi!$C$30:$G$30,1,F264)*G264/12</f>
        <v>12.375</v>
      </c>
      <c r="AO264" s="15" t="n">
        <f aca="false">O264*Parametri_v3!$C$7*Parametri_v3!$C$11*(1-Parametri_v3!$C$14)/12</f>
        <v>14.1166666666667</v>
      </c>
      <c r="AP264" s="15" t="n">
        <f aca="false">MIN(AN264,AO264)</f>
        <v>12.375</v>
      </c>
      <c r="AQ264" s="15" t="n">
        <f aca="false">AP264*INDEX(Ipotesi!$C$31:$G$31,1,F264)*H264</f>
        <v>10580.625</v>
      </c>
      <c r="AR264" s="15" t="n">
        <f aca="false">INDEX(Ipotesi!$C$75:$G$75,1,F264)*J264/12</f>
        <v>916.666666666667</v>
      </c>
      <c r="AS264" s="15" t="n">
        <f aca="false">INDEX(Ipotesi!$C$81:$G$81,1,F264)*J264/12</f>
        <v>166.666666666667</v>
      </c>
      <c r="AT264" s="15" t="n">
        <f aca="false">AR264*Parametri_v3!$C$15+Z264*Parametri_v3!$C$16</f>
        <v>2133.35416666667</v>
      </c>
      <c r="AU264" s="15" t="n">
        <f aca="false">Q264*Parametri_v3!$C$16*Parametri_v3!$C$17</f>
        <v>31.5</v>
      </c>
      <c r="AV264" s="17" t="n">
        <f aca="false">BD263</f>
        <v>3.81139560020898</v>
      </c>
      <c r="AW264" s="17" t="n">
        <f aca="false">AV264*(1-(1-INDEX(Ipotesi!$C$34:$G$34,1,F264))^(1/12))</f>
        <v>0.0333177375314697</v>
      </c>
      <c r="AX264" s="15" t="n">
        <f aca="false">ROUND(INDEX(Ipotesi!$C$32:$G$32,1,F264)*Ipotesi!G8,0)</f>
        <v>12</v>
      </c>
      <c r="AY264" s="15" t="n">
        <f aca="false">MAX(0,(AX264-(AV264-AW264))/(13-E264))</f>
        <v>1.6443844274645</v>
      </c>
      <c r="AZ264" s="15" t="n">
        <f aca="false">MIN(P264*Parametri_v3!$C$22,Q264*(1-Parametri_v3!$C$16)*Parametri_v3!$C$23)</f>
        <v>20.25</v>
      </c>
      <c r="BA264" s="15" t="n">
        <f aca="false">IF(OR(INDEX(Ipotesi!$C$35:$G$35,1,F264)&lt;=0,20-Parametri_v3!$C$21&lt;1),0,INDEX($AT$245:$AT$304,MAX(1,20-Parametri_v3!$C$21))/(INDEX(Ipotesi!$C$35:$G$35,1,F264)*Ipotesi!G27))</f>
        <v>0.547013888888889</v>
      </c>
      <c r="BB264" s="15" t="n">
        <f aca="false">IF(20-Parametri_v3!$C$21&lt;1,0,INDEX($AU$245:$AU$304,MAX(1,20-Parametri_v3!$C$21)))*Parametri_v3!$C$18*Parametri_v3!$C$19*Parametri_v3!$C$20</f>
        <v>1.18125</v>
      </c>
      <c r="BC264" s="17" t="n">
        <f aca="false">MAX(0,MIN(AY264,BA264,BB264,MAX(0,AZ264-(AV264-AW264))))</f>
        <v>0.547013888888889</v>
      </c>
      <c r="BD264" s="17" t="n">
        <f aca="false">AV264-AW264+BC264</f>
        <v>4.3250917515664</v>
      </c>
      <c r="BE264" s="17" t="n">
        <f aca="false">(AV264+BD264)/2</f>
        <v>4.06824367588769</v>
      </c>
      <c r="BF264" s="15" t="n">
        <f aca="false">BE264*INDEX(Ipotesi!$C$33:$G$33,1,F264)*H264/12</f>
        <v>1220.47310276631</v>
      </c>
      <c r="BG264" s="15" t="n">
        <f aca="false">BD264*INDEX(Ipotesi!$C$33:$G$33,1,F264)*H264</f>
        <v>15570.330305639</v>
      </c>
      <c r="BH264" s="15" t="n">
        <f aca="false">AM264*INDEX(Ipotesi!$C$37:$G$37,1,F264)</f>
        <v>1682.07042253521</v>
      </c>
      <c r="BI264" s="15" t="n">
        <f aca="false">AQ264+BF264+BH264</f>
        <v>13483.1685253015</v>
      </c>
      <c r="BJ264" s="15" t="n">
        <f aca="false">INDEX(Ipotesi!$C$68:$G$68,1,F264)*Ipotesi!$C$69/12</f>
        <v>1600</v>
      </c>
      <c r="BK264" s="15" t="n">
        <f aca="false">INDEX(Ipotesi!$C$68:$G$68,1,F264)*(1-Ipotesi!$C$69)/12</f>
        <v>2400</v>
      </c>
      <c r="BL264" s="15" t="n">
        <f aca="false">(AQ264+BF264)*Ipotesi!$C$67</f>
        <v>354.032943082989</v>
      </c>
      <c r="BM264" s="15" t="n">
        <f aca="false">AM264*Ipotesi!$C$67</f>
        <v>504.621126760563</v>
      </c>
      <c r="BN264" s="15" t="n">
        <f aca="false">INDEX(Ipotesi!$C$72:$G$72,1,F264)/12*Ipotesi!G126+BF264*Ipotesi!$C$73</f>
        <v>847.637848221305</v>
      </c>
      <c r="BO264" s="15" t="n">
        <f aca="false">INDEX(Ipotesi!$C$74:$G$74,1,F264)/12*Ipotesi!G126</f>
        <v>1100</v>
      </c>
      <c r="BP264" s="15" t="n">
        <f aca="false">INDEX(Ipotesi!$C$76:$G$76,1,F264)/12</f>
        <v>750</v>
      </c>
      <c r="BQ264" s="15" t="n">
        <f aca="false">INDEX(Ipotesi!$C$77:$G$77,1,F264)/12*Ipotesi!G126</f>
        <v>1000</v>
      </c>
      <c r="BR264" s="15" t="n">
        <f aca="false">INDEX(Ipotesi!$C$78:$G$78,1,F264)/12</f>
        <v>1250</v>
      </c>
      <c r="BS264" s="15" t="n">
        <f aca="false">SUM(M264:R264)*(Ipotesi!$C$85+Ipotesi!$C$86)/12</f>
        <v>1378.125</v>
      </c>
      <c r="BT264" s="15" t="n">
        <f aca="false">BI264*Ipotesi!$C$87</f>
        <v>404.495055759046</v>
      </c>
      <c r="BU264" s="15" t="n">
        <f aca="false">INDEX(Ipotesi!$C$55:$G$55,1,F264)*K264/12</f>
        <v>600</v>
      </c>
      <c r="BV264" s="15" t="n">
        <f aca="false">INDEX(Ipotesi!$C$80:$G$80,1,F264)/12*Ipotesi!G126</f>
        <v>500</v>
      </c>
      <c r="BW264" s="15" t="n">
        <f aca="false">INDEX(Ipotesi!$C$82:$G$82,1,F264)/12</f>
        <v>666.666666666667</v>
      </c>
      <c r="BX264" s="15" t="n">
        <f aca="false">INDEX(Ipotesi!$C$83:$G$83,1,F264)/12</f>
        <v>583.333333333333</v>
      </c>
      <c r="BY264" s="15" t="n">
        <f aca="false">SUM(S264:U264)*(Ipotesi!$C$85+Ipotesi!$C$86)/12</f>
        <v>568.75</v>
      </c>
      <c r="BZ264" s="15" t="n">
        <f aca="false">AM264*Ipotesi!$C$87</f>
        <v>504.621126760563</v>
      </c>
      <c r="CA264" s="15" t="n">
        <f aca="false">AB264+BJ264+BL264+BN264+BO264+AR264+BP264+BQ264+BR264+BS264+BT264</f>
        <v>29917.83251373</v>
      </c>
      <c r="CB264" s="15" t="n">
        <f aca="false">AC264+BK264+BM264+BH264+BU264+BV264+AS264+BW264+BX264+BY264+BZ264</f>
        <v>15669.979342723</v>
      </c>
      <c r="CC264" s="15" t="n">
        <f aca="false">BI264-CA264</f>
        <v>-16434.6639884285</v>
      </c>
      <c r="CD264" s="15" t="n">
        <f aca="false">AM264-CB264</f>
        <v>1150.72488262911</v>
      </c>
      <c r="CE264" s="15" t="n">
        <f aca="false">INDEX(Ipotesi!$C$79:$G$79,1,F264)/12</f>
        <v>2083.33333333333</v>
      </c>
      <c r="CF264" s="15" t="n">
        <f aca="false">INDEX(Ipotesi!$C$84:$G$84,1,F264)/12</f>
        <v>416.666666666667</v>
      </c>
      <c r="CG264" s="15" t="n">
        <f aca="false">Y264*MAX(0,Parametri_v3!$C$12-IF(P264=0,0,MIN(1,BE264/(P264*Parametri_v3!$C$22))))+W264*Parametri_v3!$C$13+X264*Parametri_v3!$C$14</f>
        <v>7228.52954224315</v>
      </c>
      <c r="CH264" s="15" t="n">
        <f aca="false">AB264*Parametri_v3!$C$32</f>
        <v>1015.84375</v>
      </c>
      <c r="CI264" s="15" t="n">
        <f aca="false">AC264*Parametri_v3!$C$32</f>
        <v>374.6625</v>
      </c>
      <c r="CJ264" s="15" t="n">
        <f aca="false">CA264-AB264</f>
        <v>9600.95751373001</v>
      </c>
      <c r="CK264" s="15" t="n">
        <f aca="false">CB264-AC264-BH264</f>
        <v>6494.65892018779</v>
      </c>
      <c r="CL264" s="15" t="n">
        <f aca="false">BF264*Ipotesi!$C$73+INDEX(Ipotesi!$C$72:$G$72,1,F264)/12*Ipotesi!G126*Parametri_v3!$C$58+Z264*(1-Parametri_v3!$C$16)</f>
        <v>1369.0753482213</v>
      </c>
      <c r="CM264" s="16" t="n">
        <f aca="false">IF(BF264=0,0,1-CL264/BF264)</f>
        <v>-0.121757902831433</v>
      </c>
    </row>
    <row r="265" customFormat="false" ht="18" hidden="false" customHeight="true" outlineLevel="0" collapsed="false">
      <c r="A265" s="68" t="n">
        <f aca="false">5</f>
        <v>5</v>
      </c>
      <c r="B265" s="68" t="n">
        <f aca="false">21</f>
        <v>21</v>
      </c>
      <c r="C265" s="18" t="n">
        <f aca="false">EDATE(Parametri_v3!$C$5,21-1)</f>
        <v>46997</v>
      </c>
      <c r="D265" s="68" t="n">
        <f aca="false">YEAR(C265)</f>
        <v>2028</v>
      </c>
      <c r="E265" s="68" t="n">
        <f aca="false">MONTH(C265)</f>
        <v>9</v>
      </c>
      <c r="F265" s="68" t="n">
        <f aca="false">INT((21-1)/12)+1</f>
        <v>2</v>
      </c>
      <c r="G265" s="15" t="n">
        <f aca="false">Ipotesi!G7</f>
        <v>0.55</v>
      </c>
      <c r="H265" s="15" t="n">
        <f aca="false">Ipotesi!G9</f>
        <v>0.9</v>
      </c>
      <c r="I265" s="15" t="n">
        <f aca="false">Ipotesi!G10</f>
        <v>0.3</v>
      </c>
      <c r="J265" s="15" t="n">
        <f aca="false">Ipotesi!G11</f>
        <v>0.2</v>
      </c>
      <c r="K265" s="15" t="n">
        <f aca="false">Ipotesi!G12</f>
        <v>0.6</v>
      </c>
      <c r="L265" s="15" t="n">
        <f aca="false">Ipotesi!G13</f>
        <v>120</v>
      </c>
      <c r="M265" s="17" t="n">
        <f aca="false">INDEX(Ipotesi!$C$40:$G$40,1,F265)</f>
        <v>1</v>
      </c>
      <c r="N265" s="17" t="n">
        <f aca="false">INDEX(Ipotesi!$C$41:$G$41,1,F265)</f>
        <v>1</v>
      </c>
      <c r="O265" s="17" t="n">
        <f aca="false">INDEX(Ipotesi!$C$42:$G$42,1,F265)*Ipotesi!G125</f>
        <v>1.375</v>
      </c>
      <c r="P265" s="17" t="n">
        <f aca="false">INDEX(Ipotesi!$C$43:$G$43,1,F265)*I265</f>
        <v>0.75</v>
      </c>
      <c r="Q265" s="17" t="n">
        <f aca="false">INDEX(Ipotesi!$C$44:$G$44,1,F265)*I265</f>
        <v>0.45</v>
      </c>
      <c r="R265" s="17" t="n">
        <f aca="false">INDEX(Ipotesi!$C$45:$G$45,1,F265)*I265</f>
        <v>0.15</v>
      </c>
      <c r="S265" s="17" t="n">
        <f aca="false">INDEX(Ipotesi!$C$52:$G$52,1,F265)*Ipotesi!G125</f>
        <v>1.65</v>
      </c>
      <c r="T265" s="17" t="n">
        <f aca="false">INDEX(Ipotesi!$C$53:$G$53,1,F265)*I265</f>
        <v>0.3</v>
      </c>
      <c r="U265" s="17" t="n">
        <f aca="false">INDEX(Ipotesi!$C$54:$G$54,1,F265)*I265</f>
        <v>0</v>
      </c>
      <c r="V265" s="15" t="n">
        <f aca="false">M265*INDEX(Ipotesi!$C$58:$G$58,1,F265)*K265/12</f>
        <v>3000</v>
      </c>
      <c r="W265" s="15" t="n">
        <f aca="false">N265*Ipotesi!$C$59*(1+Ipotesi!$C$66)^(F265-1)/12</f>
        <v>6008.33333333333</v>
      </c>
      <c r="X265" s="15" t="n">
        <f aca="false">O265*Ipotesi!$C$60*(1+Ipotesi!$C$66)^(F265-1)/12</f>
        <v>5901.04166666667</v>
      </c>
      <c r="Y265" s="15" t="n">
        <f aca="false">P265*Ipotesi!$C$61*(1+Ipotesi!$C$66)^(F265-1)/12</f>
        <v>3218.75</v>
      </c>
      <c r="Z265" s="15" t="n">
        <f aca="false">Q265*Ipotesi!$C$62*(1+Ipotesi!$C$66)^(F265-1)/12</f>
        <v>1738.125</v>
      </c>
      <c r="AA265" s="15" t="n">
        <f aca="false">R265*Ipotesi!$C$63*(1+Ipotesi!$C$66)^(F265-1)/12</f>
        <v>450.625</v>
      </c>
      <c r="AB265" s="15" t="n">
        <f aca="false">SUM(V265:AA265)</f>
        <v>20316.875</v>
      </c>
      <c r="AC265" s="15" t="n">
        <f aca="false">(S265*Ipotesi!$C$64+T265*Ipotesi!$C$65+U265*Ipotesi!$C$63)*(1+Ipotesi!$C$66)^(F265-1)/12</f>
        <v>7493.25</v>
      </c>
      <c r="AD265" s="15" t="n">
        <f aca="false">INDEX(Ipotesi!$C$48:$G$48,1,F265)*G265/12</f>
        <v>20.625</v>
      </c>
      <c r="AE265" s="15" t="n">
        <f aca="false">INDEX(Ipotesi!$C$50:$G$50,1,F265)*G265/12</f>
        <v>2.52083333333333</v>
      </c>
      <c r="AF265" s="15" t="n">
        <f aca="false">(S265*Parametri_v3!$C$7*Parametri_v3!$C$8+Parametri_v3!$C$10)/12</f>
        <v>21.175</v>
      </c>
      <c r="AG265" s="15" t="n">
        <f aca="false">AD265+AE265*(1+Parametri_v3!$C$9)</f>
        <v>24.40625</v>
      </c>
      <c r="AH265" s="16" t="n">
        <f aca="false">IF(AG265=0,1,MIN(1,AF265/AG265))</f>
        <v>0.867605633802817</v>
      </c>
      <c r="AI265" s="15" t="n">
        <f aca="false">AD265*AH265</f>
        <v>17.8943661971831</v>
      </c>
      <c r="AJ265" s="15" t="n">
        <f aca="false">AE265*AH265</f>
        <v>2.18708920187793</v>
      </c>
      <c r="AK265" s="15" t="n">
        <f aca="false">AI265*INDEX(Ipotesi!$C$49:$G$49,1,F265)*H265</f>
        <v>12883.9436619718</v>
      </c>
      <c r="AL265" s="15" t="n">
        <f aca="false">AJ265*INDEX(Ipotesi!$C$51:$G$51,1,F265)*H265</f>
        <v>3936.76056338028</v>
      </c>
      <c r="AM265" s="15" t="n">
        <f aca="false">AK265+AL265</f>
        <v>16820.7042253521</v>
      </c>
      <c r="AN265" s="15" t="n">
        <f aca="false">INDEX(Ipotesi!$C$30:$G$30,1,F265)*G265/12</f>
        <v>12.375</v>
      </c>
      <c r="AO265" s="15" t="n">
        <f aca="false">O265*Parametri_v3!$C$7*Parametri_v3!$C$11*(1-Parametri_v3!$C$14)/12</f>
        <v>14.1166666666667</v>
      </c>
      <c r="AP265" s="15" t="n">
        <f aca="false">MIN(AN265,AO265)</f>
        <v>12.375</v>
      </c>
      <c r="AQ265" s="15" t="n">
        <f aca="false">AP265*INDEX(Ipotesi!$C$31:$G$31,1,F265)*H265</f>
        <v>10580.625</v>
      </c>
      <c r="AR265" s="15" t="n">
        <f aca="false">INDEX(Ipotesi!$C$75:$G$75,1,F265)*J265/12</f>
        <v>916.666666666667</v>
      </c>
      <c r="AS265" s="15" t="n">
        <f aca="false">INDEX(Ipotesi!$C$81:$G$81,1,F265)*J265/12</f>
        <v>166.666666666667</v>
      </c>
      <c r="AT265" s="15" t="n">
        <f aca="false">AR265*Parametri_v3!$C$15+Z265*Parametri_v3!$C$16</f>
        <v>2133.35416666667</v>
      </c>
      <c r="AU265" s="15" t="n">
        <f aca="false">Q265*Parametri_v3!$C$16*Parametri_v3!$C$17</f>
        <v>31.5</v>
      </c>
      <c r="AV265" s="17" t="n">
        <f aca="false">BD264</f>
        <v>4.3250917515664</v>
      </c>
      <c r="AW265" s="17" t="n">
        <f aca="false">AV265*(1-(1-INDEX(Ipotesi!$C$34:$G$34,1,F265))^(1/12))</f>
        <v>0.0378082694355613</v>
      </c>
      <c r="AX265" s="15" t="n">
        <f aca="false">ROUND(INDEX(Ipotesi!$C$32:$G$32,1,F265)*Ipotesi!G8,0)</f>
        <v>12</v>
      </c>
      <c r="AY265" s="15" t="n">
        <f aca="false">MAX(0,(AX265-(AV265-AW265))/(13-E265))</f>
        <v>1.92817912946729</v>
      </c>
      <c r="AZ265" s="15" t="n">
        <f aca="false">MIN(P265*Parametri_v3!$C$22,Q265*(1-Parametri_v3!$C$16)*Parametri_v3!$C$23)</f>
        <v>20.25</v>
      </c>
      <c r="BA265" s="15" t="n">
        <f aca="false">IF(OR(INDEX(Ipotesi!$C$35:$G$35,1,F265)&lt;=0,21-Parametri_v3!$C$21&lt;1),0,INDEX($AT$245:$AT$304,MAX(1,21-Parametri_v3!$C$21))/(INDEX(Ipotesi!$C$35:$G$35,1,F265)*Ipotesi!G27))</f>
        <v>0.547013888888889</v>
      </c>
      <c r="BB265" s="15" t="n">
        <f aca="false">IF(21-Parametri_v3!$C$21&lt;1,0,INDEX($AU$245:$AU$304,MAX(1,21-Parametri_v3!$C$21)))*Parametri_v3!$C$18*Parametri_v3!$C$19*Parametri_v3!$C$20</f>
        <v>1.18125</v>
      </c>
      <c r="BC265" s="17" t="n">
        <f aca="false">MAX(0,MIN(AY265,BA265,BB265,MAX(0,AZ265-(AV265-AW265))))</f>
        <v>0.547013888888889</v>
      </c>
      <c r="BD265" s="17" t="n">
        <f aca="false">AV265-AW265+BC265</f>
        <v>4.83429737101973</v>
      </c>
      <c r="BE265" s="17" t="n">
        <f aca="false">(AV265+BD265)/2</f>
        <v>4.57969456129306</v>
      </c>
      <c r="BF265" s="15" t="n">
        <f aca="false">BE265*INDEX(Ipotesi!$C$33:$G$33,1,F265)*H265/12</f>
        <v>1373.90836838792</v>
      </c>
      <c r="BG265" s="15" t="n">
        <f aca="false">BD265*INDEX(Ipotesi!$C$33:$G$33,1,F265)*H265</f>
        <v>17403.470535671</v>
      </c>
      <c r="BH265" s="15" t="n">
        <f aca="false">AM265*INDEX(Ipotesi!$C$37:$G$37,1,F265)</f>
        <v>1682.07042253521</v>
      </c>
      <c r="BI265" s="15" t="n">
        <f aca="false">AQ265+BF265+BH265</f>
        <v>13636.6037909231</v>
      </c>
      <c r="BJ265" s="15" t="n">
        <f aca="false">INDEX(Ipotesi!$C$68:$G$68,1,F265)*Ipotesi!$C$69/12</f>
        <v>1600</v>
      </c>
      <c r="BK265" s="15" t="n">
        <f aca="false">INDEX(Ipotesi!$C$68:$G$68,1,F265)*(1-Ipotesi!$C$69)/12</f>
        <v>2400</v>
      </c>
      <c r="BL265" s="15" t="n">
        <f aca="false">(AQ265+BF265)*Ipotesi!$C$67</f>
        <v>358.636001051638</v>
      </c>
      <c r="BM265" s="15" t="n">
        <f aca="false">AM265*Ipotesi!$C$67</f>
        <v>504.621126760563</v>
      </c>
      <c r="BN265" s="15" t="n">
        <f aca="false">INDEX(Ipotesi!$C$72:$G$72,1,F265)/12*Ipotesi!G126+BF265*Ipotesi!$C$73</f>
        <v>859.912669471034</v>
      </c>
      <c r="BO265" s="15" t="n">
        <f aca="false">INDEX(Ipotesi!$C$74:$G$74,1,F265)/12*Ipotesi!G126</f>
        <v>1100</v>
      </c>
      <c r="BP265" s="15" t="n">
        <f aca="false">INDEX(Ipotesi!$C$76:$G$76,1,F265)/12</f>
        <v>750</v>
      </c>
      <c r="BQ265" s="15" t="n">
        <f aca="false">INDEX(Ipotesi!$C$77:$G$77,1,F265)/12*Ipotesi!G126</f>
        <v>1000</v>
      </c>
      <c r="BR265" s="15" t="n">
        <f aca="false">INDEX(Ipotesi!$C$78:$G$78,1,F265)/12</f>
        <v>1250</v>
      </c>
      <c r="BS265" s="15" t="n">
        <f aca="false">SUM(M265:R265)*(Ipotesi!$C$85+Ipotesi!$C$86)/12</f>
        <v>1378.125</v>
      </c>
      <c r="BT265" s="15" t="n">
        <f aca="false">BI265*Ipotesi!$C$87</f>
        <v>409.098113727694</v>
      </c>
      <c r="BU265" s="15" t="n">
        <f aca="false">INDEX(Ipotesi!$C$55:$G$55,1,F265)*K265/12</f>
        <v>600</v>
      </c>
      <c r="BV265" s="15" t="n">
        <f aca="false">INDEX(Ipotesi!$C$80:$G$80,1,F265)/12*Ipotesi!G126</f>
        <v>500</v>
      </c>
      <c r="BW265" s="15" t="n">
        <f aca="false">INDEX(Ipotesi!$C$82:$G$82,1,F265)/12</f>
        <v>666.666666666667</v>
      </c>
      <c r="BX265" s="15" t="n">
        <f aca="false">INDEX(Ipotesi!$C$83:$G$83,1,F265)/12</f>
        <v>583.333333333333</v>
      </c>
      <c r="BY265" s="15" t="n">
        <f aca="false">SUM(S265:U265)*(Ipotesi!$C$85+Ipotesi!$C$86)/12</f>
        <v>568.75</v>
      </c>
      <c r="BZ265" s="15" t="n">
        <f aca="false">AM265*Ipotesi!$C$87</f>
        <v>504.621126760563</v>
      </c>
      <c r="CA265" s="15" t="n">
        <f aca="false">AB265+BJ265+BL265+BN265+BO265+AR265+BP265+BQ265+BR265+BS265+BT265</f>
        <v>29939.313450917</v>
      </c>
      <c r="CB265" s="15" t="n">
        <f aca="false">AC265+BK265+BM265+BH265+BU265+BV265+AS265+BW265+BX265+BY265+BZ265</f>
        <v>15669.979342723</v>
      </c>
      <c r="CC265" s="15" t="n">
        <f aca="false">BI265-CA265</f>
        <v>-16302.7096599939</v>
      </c>
      <c r="CD265" s="15" t="n">
        <f aca="false">AM265-CB265</f>
        <v>1150.72488262911</v>
      </c>
      <c r="CE265" s="15" t="n">
        <f aca="false">INDEX(Ipotesi!$C$79:$G$79,1,F265)/12</f>
        <v>2083.33333333333</v>
      </c>
      <c r="CF265" s="15" t="n">
        <f aca="false">INDEX(Ipotesi!$C$84:$G$84,1,F265)/12</f>
        <v>416.666666666667</v>
      </c>
      <c r="CG265" s="15" t="n">
        <f aca="false">Y265*MAX(0,Parametri_v3!$C$12-IF(P265=0,0,MIN(1,BE265/(P265*Parametri_v3!$C$22))))+W265*Parametri_v3!$C$13+X265*Parametri_v3!$C$14</f>
        <v>7206.57977507784</v>
      </c>
      <c r="CH265" s="15" t="n">
        <f aca="false">AB265*Parametri_v3!$C$32</f>
        <v>1015.84375</v>
      </c>
      <c r="CI265" s="15" t="n">
        <f aca="false">AC265*Parametri_v3!$C$32</f>
        <v>374.6625</v>
      </c>
      <c r="CJ265" s="15" t="n">
        <f aca="false">CA265-AB265</f>
        <v>9622.43845091703</v>
      </c>
      <c r="CK265" s="15" t="n">
        <f aca="false">CB265-AC265-BH265</f>
        <v>6494.65892018779</v>
      </c>
      <c r="CL265" s="15" t="n">
        <f aca="false">BF265*Ipotesi!$C$73+INDEX(Ipotesi!$C$72:$G$72,1,F265)/12*Ipotesi!G126*Parametri_v3!$C$58+Z265*(1-Parametri_v3!$C$16)</f>
        <v>1381.35016947103</v>
      </c>
      <c r="CM265" s="16" t="n">
        <f aca="false">IF(BF265=0,0,1-CL265/BF265)</f>
        <v>-0.0054165192194342</v>
      </c>
    </row>
    <row r="266" customFormat="false" ht="18" hidden="false" customHeight="true" outlineLevel="0" collapsed="false">
      <c r="A266" s="68" t="n">
        <f aca="false">5</f>
        <v>5</v>
      </c>
      <c r="B266" s="68" t="n">
        <f aca="false">22</f>
        <v>22</v>
      </c>
      <c r="C266" s="18" t="n">
        <f aca="false">EDATE(Parametri_v3!$C$5,22-1)</f>
        <v>47027</v>
      </c>
      <c r="D266" s="68" t="n">
        <f aca="false">YEAR(C266)</f>
        <v>2028</v>
      </c>
      <c r="E266" s="68" t="n">
        <f aca="false">MONTH(C266)</f>
        <v>10</v>
      </c>
      <c r="F266" s="68" t="n">
        <f aca="false">INT((22-1)/12)+1</f>
        <v>2</v>
      </c>
      <c r="G266" s="15" t="n">
        <f aca="false">Ipotesi!G7</f>
        <v>0.55</v>
      </c>
      <c r="H266" s="15" t="n">
        <f aca="false">Ipotesi!G9</f>
        <v>0.9</v>
      </c>
      <c r="I266" s="15" t="n">
        <f aca="false">Ipotesi!G10</f>
        <v>0.3</v>
      </c>
      <c r="J266" s="15" t="n">
        <f aca="false">Ipotesi!G11</f>
        <v>0.2</v>
      </c>
      <c r="K266" s="15" t="n">
        <f aca="false">Ipotesi!G12</f>
        <v>0.6</v>
      </c>
      <c r="L266" s="15" t="n">
        <f aca="false">Ipotesi!G13</f>
        <v>120</v>
      </c>
      <c r="M266" s="17" t="n">
        <f aca="false">INDEX(Ipotesi!$C$40:$G$40,1,F266)</f>
        <v>1</v>
      </c>
      <c r="N266" s="17" t="n">
        <f aca="false">INDEX(Ipotesi!$C$41:$G$41,1,F266)</f>
        <v>1</v>
      </c>
      <c r="O266" s="17" t="n">
        <f aca="false">INDEX(Ipotesi!$C$42:$G$42,1,F266)*Ipotesi!G125</f>
        <v>1.375</v>
      </c>
      <c r="P266" s="17" t="n">
        <f aca="false">INDEX(Ipotesi!$C$43:$G$43,1,F266)*I266</f>
        <v>0.75</v>
      </c>
      <c r="Q266" s="17" t="n">
        <f aca="false">INDEX(Ipotesi!$C$44:$G$44,1,F266)*I266</f>
        <v>0.45</v>
      </c>
      <c r="R266" s="17" t="n">
        <f aca="false">INDEX(Ipotesi!$C$45:$G$45,1,F266)*I266</f>
        <v>0.15</v>
      </c>
      <c r="S266" s="17" t="n">
        <f aca="false">INDEX(Ipotesi!$C$52:$G$52,1,F266)*Ipotesi!G125</f>
        <v>1.65</v>
      </c>
      <c r="T266" s="17" t="n">
        <f aca="false">INDEX(Ipotesi!$C$53:$G$53,1,F266)*I266</f>
        <v>0.3</v>
      </c>
      <c r="U266" s="17" t="n">
        <f aca="false">INDEX(Ipotesi!$C$54:$G$54,1,F266)*I266</f>
        <v>0</v>
      </c>
      <c r="V266" s="15" t="n">
        <f aca="false">M266*INDEX(Ipotesi!$C$58:$G$58,1,F266)*K266/12</f>
        <v>3000</v>
      </c>
      <c r="W266" s="15" t="n">
        <f aca="false">N266*Ipotesi!$C$59*(1+Ipotesi!$C$66)^(F266-1)/12</f>
        <v>6008.33333333333</v>
      </c>
      <c r="X266" s="15" t="n">
        <f aca="false">O266*Ipotesi!$C$60*(1+Ipotesi!$C$66)^(F266-1)/12</f>
        <v>5901.04166666667</v>
      </c>
      <c r="Y266" s="15" t="n">
        <f aca="false">P266*Ipotesi!$C$61*(1+Ipotesi!$C$66)^(F266-1)/12</f>
        <v>3218.75</v>
      </c>
      <c r="Z266" s="15" t="n">
        <f aca="false">Q266*Ipotesi!$C$62*(1+Ipotesi!$C$66)^(F266-1)/12</f>
        <v>1738.125</v>
      </c>
      <c r="AA266" s="15" t="n">
        <f aca="false">R266*Ipotesi!$C$63*(1+Ipotesi!$C$66)^(F266-1)/12</f>
        <v>450.625</v>
      </c>
      <c r="AB266" s="15" t="n">
        <f aca="false">SUM(V266:AA266)</f>
        <v>20316.875</v>
      </c>
      <c r="AC266" s="15" t="n">
        <f aca="false">(S266*Ipotesi!$C$64+T266*Ipotesi!$C$65+U266*Ipotesi!$C$63)*(1+Ipotesi!$C$66)^(F266-1)/12</f>
        <v>7493.25</v>
      </c>
      <c r="AD266" s="15" t="n">
        <f aca="false">INDEX(Ipotesi!$C$48:$G$48,1,F266)*G266/12</f>
        <v>20.625</v>
      </c>
      <c r="AE266" s="15" t="n">
        <f aca="false">INDEX(Ipotesi!$C$50:$G$50,1,F266)*G266/12</f>
        <v>2.52083333333333</v>
      </c>
      <c r="AF266" s="15" t="n">
        <f aca="false">(S266*Parametri_v3!$C$7*Parametri_v3!$C$8+Parametri_v3!$C$10)/12</f>
        <v>21.175</v>
      </c>
      <c r="AG266" s="15" t="n">
        <f aca="false">AD266+AE266*(1+Parametri_v3!$C$9)</f>
        <v>24.40625</v>
      </c>
      <c r="AH266" s="16" t="n">
        <f aca="false">IF(AG266=0,1,MIN(1,AF266/AG266))</f>
        <v>0.867605633802817</v>
      </c>
      <c r="AI266" s="15" t="n">
        <f aca="false">AD266*AH266</f>
        <v>17.8943661971831</v>
      </c>
      <c r="AJ266" s="15" t="n">
        <f aca="false">AE266*AH266</f>
        <v>2.18708920187793</v>
      </c>
      <c r="AK266" s="15" t="n">
        <f aca="false">AI266*INDEX(Ipotesi!$C$49:$G$49,1,F266)*H266</f>
        <v>12883.9436619718</v>
      </c>
      <c r="AL266" s="15" t="n">
        <f aca="false">AJ266*INDEX(Ipotesi!$C$51:$G$51,1,F266)*H266</f>
        <v>3936.76056338028</v>
      </c>
      <c r="AM266" s="15" t="n">
        <f aca="false">AK266+AL266</f>
        <v>16820.7042253521</v>
      </c>
      <c r="AN266" s="15" t="n">
        <f aca="false">INDEX(Ipotesi!$C$30:$G$30,1,F266)*G266/12</f>
        <v>12.375</v>
      </c>
      <c r="AO266" s="15" t="n">
        <f aca="false">O266*Parametri_v3!$C$7*Parametri_v3!$C$11*(1-Parametri_v3!$C$14)/12</f>
        <v>14.1166666666667</v>
      </c>
      <c r="AP266" s="15" t="n">
        <f aca="false">MIN(AN266,AO266)</f>
        <v>12.375</v>
      </c>
      <c r="AQ266" s="15" t="n">
        <f aca="false">AP266*INDEX(Ipotesi!$C$31:$G$31,1,F266)*H266</f>
        <v>10580.625</v>
      </c>
      <c r="AR266" s="15" t="n">
        <f aca="false">INDEX(Ipotesi!$C$75:$G$75,1,F266)*J266/12</f>
        <v>916.666666666667</v>
      </c>
      <c r="AS266" s="15" t="n">
        <f aca="false">INDEX(Ipotesi!$C$81:$G$81,1,F266)*J266/12</f>
        <v>166.666666666667</v>
      </c>
      <c r="AT266" s="15" t="n">
        <f aca="false">AR266*Parametri_v3!$C$15+Z266*Parametri_v3!$C$16</f>
        <v>2133.35416666667</v>
      </c>
      <c r="AU266" s="15" t="n">
        <f aca="false">Q266*Parametri_v3!$C$16*Parametri_v3!$C$17</f>
        <v>31.5</v>
      </c>
      <c r="AV266" s="17" t="n">
        <f aca="false">BD265</f>
        <v>4.83429737101973</v>
      </c>
      <c r="AW266" s="17" t="n">
        <f aca="false">AV266*(1-(1-INDEX(Ipotesi!$C$34:$G$34,1,F266))^(1/12))</f>
        <v>0.0422595468567676</v>
      </c>
      <c r="AX266" s="15" t="n">
        <f aca="false">ROUND(INDEX(Ipotesi!$C$32:$G$32,1,F266)*Ipotesi!G8,0)</f>
        <v>12</v>
      </c>
      <c r="AY266" s="15" t="n">
        <f aca="false">MAX(0,(AX266-(AV266-AW266))/(13-E266))</f>
        <v>2.40265405861235</v>
      </c>
      <c r="AZ266" s="15" t="n">
        <f aca="false">MIN(P266*Parametri_v3!$C$22,Q266*(1-Parametri_v3!$C$16)*Parametri_v3!$C$23)</f>
        <v>20.25</v>
      </c>
      <c r="BA266" s="15" t="n">
        <f aca="false">IF(OR(INDEX(Ipotesi!$C$35:$G$35,1,F266)&lt;=0,22-Parametri_v3!$C$21&lt;1),0,INDEX($AT$245:$AT$304,MAX(1,22-Parametri_v3!$C$21))/(INDEX(Ipotesi!$C$35:$G$35,1,F266)*Ipotesi!G27))</f>
        <v>0.547013888888889</v>
      </c>
      <c r="BB266" s="15" t="n">
        <f aca="false">IF(22-Parametri_v3!$C$21&lt;1,0,INDEX($AU$245:$AU$304,MAX(1,22-Parametri_v3!$C$21)))*Parametri_v3!$C$18*Parametri_v3!$C$19*Parametri_v3!$C$20</f>
        <v>1.18125</v>
      </c>
      <c r="BC266" s="17" t="n">
        <f aca="false">MAX(0,MIN(AY266,BA266,BB266,MAX(0,AZ266-(AV266-AW266))))</f>
        <v>0.547013888888889</v>
      </c>
      <c r="BD266" s="17" t="n">
        <f aca="false">AV266-AW266+BC266</f>
        <v>5.33905171305185</v>
      </c>
      <c r="BE266" s="17" t="n">
        <f aca="false">(AV266+BD266)/2</f>
        <v>5.08667454203579</v>
      </c>
      <c r="BF266" s="15" t="n">
        <f aca="false">BE266*INDEX(Ipotesi!$C$33:$G$33,1,F266)*H266/12</f>
        <v>1526.00236261074</v>
      </c>
      <c r="BG266" s="15" t="n">
        <f aca="false">BD266*INDEX(Ipotesi!$C$33:$G$33,1,F266)*H266</f>
        <v>19220.5861669867</v>
      </c>
      <c r="BH266" s="15" t="n">
        <f aca="false">AM266*INDEX(Ipotesi!$C$37:$G$37,1,F266)</f>
        <v>1682.07042253521</v>
      </c>
      <c r="BI266" s="15" t="n">
        <f aca="false">AQ266+BF266+BH266</f>
        <v>13788.6977851459</v>
      </c>
      <c r="BJ266" s="15" t="n">
        <f aca="false">INDEX(Ipotesi!$C$68:$G$68,1,F266)*Ipotesi!$C$69/12</f>
        <v>1600</v>
      </c>
      <c r="BK266" s="15" t="n">
        <f aca="false">INDEX(Ipotesi!$C$68:$G$68,1,F266)*(1-Ipotesi!$C$69)/12</f>
        <v>2400</v>
      </c>
      <c r="BL266" s="15" t="n">
        <f aca="false">(AQ266+BF266)*Ipotesi!$C$67</f>
        <v>363.198820878322</v>
      </c>
      <c r="BM266" s="15" t="n">
        <f aca="false">AM266*Ipotesi!$C$67</f>
        <v>504.621126760563</v>
      </c>
      <c r="BN266" s="15" t="n">
        <f aca="false">INDEX(Ipotesi!$C$72:$G$72,1,F266)/12*Ipotesi!G126+BF266*Ipotesi!$C$73</f>
        <v>872.080189008859</v>
      </c>
      <c r="BO266" s="15" t="n">
        <f aca="false">INDEX(Ipotesi!$C$74:$G$74,1,F266)/12*Ipotesi!G126</f>
        <v>1100</v>
      </c>
      <c r="BP266" s="15" t="n">
        <f aca="false">INDEX(Ipotesi!$C$76:$G$76,1,F266)/12</f>
        <v>750</v>
      </c>
      <c r="BQ266" s="15" t="n">
        <f aca="false">INDEX(Ipotesi!$C$77:$G$77,1,F266)/12*Ipotesi!G126</f>
        <v>1000</v>
      </c>
      <c r="BR266" s="15" t="n">
        <f aca="false">INDEX(Ipotesi!$C$78:$G$78,1,F266)/12</f>
        <v>1250</v>
      </c>
      <c r="BS266" s="15" t="n">
        <f aca="false">SUM(M266:R266)*(Ipotesi!$C$85+Ipotesi!$C$86)/12</f>
        <v>1378.125</v>
      </c>
      <c r="BT266" s="15" t="n">
        <f aca="false">BI266*Ipotesi!$C$87</f>
        <v>413.660933554378</v>
      </c>
      <c r="BU266" s="15" t="n">
        <f aca="false">INDEX(Ipotesi!$C$55:$G$55,1,F266)*K266/12</f>
        <v>600</v>
      </c>
      <c r="BV266" s="15" t="n">
        <f aca="false">INDEX(Ipotesi!$C$80:$G$80,1,F266)/12*Ipotesi!G126</f>
        <v>500</v>
      </c>
      <c r="BW266" s="15" t="n">
        <f aca="false">INDEX(Ipotesi!$C$82:$G$82,1,F266)/12</f>
        <v>666.666666666667</v>
      </c>
      <c r="BX266" s="15" t="n">
        <f aca="false">INDEX(Ipotesi!$C$83:$G$83,1,F266)/12</f>
        <v>583.333333333333</v>
      </c>
      <c r="BY266" s="15" t="n">
        <f aca="false">SUM(S266:U266)*(Ipotesi!$C$85+Ipotesi!$C$86)/12</f>
        <v>568.75</v>
      </c>
      <c r="BZ266" s="15" t="n">
        <f aca="false">AM266*Ipotesi!$C$87</f>
        <v>504.621126760563</v>
      </c>
      <c r="CA266" s="15" t="n">
        <f aca="false">AB266+BJ266+BL266+BN266+BO266+AR266+BP266+BQ266+BR266+BS266+BT266</f>
        <v>29960.6066101082</v>
      </c>
      <c r="CB266" s="15" t="n">
        <f aca="false">AC266+BK266+BM266+BH266+BU266+BV266+AS266+BW266+BX266+BY266+BZ266</f>
        <v>15669.979342723</v>
      </c>
      <c r="CC266" s="15" t="n">
        <f aca="false">BI266-CA266</f>
        <v>-16171.9088249623</v>
      </c>
      <c r="CD266" s="15" t="n">
        <f aca="false">AM266-CB266</f>
        <v>1150.72488262911</v>
      </c>
      <c r="CE266" s="15" t="n">
        <f aca="false">INDEX(Ipotesi!$C$79:$G$79,1,F266)/12</f>
        <v>2083.33333333333</v>
      </c>
      <c r="CF266" s="15" t="n">
        <f aca="false">INDEX(Ipotesi!$C$84:$G$84,1,F266)/12</f>
        <v>416.666666666667</v>
      </c>
      <c r="CG266" s="15" t="n">
        <f aca="false">Y266*MAX(0,Parametri_v3!$C$12-IF(P266=0,0,MIN(1,BE266/(P266*Parametri_v3!$C$22))))+W266*Parametri_v3!$C$13+X266*Parametri_v3!$C$14</f>
        <v>7184.82188423763</v>
      </c>
      <c r="CH266" s="15" t="n">
        <f aca="false">AB266*Parametri_v3!$C$32</f>
        <v>1015.84375</v>
      </c>
      <c r="CI266" s="15" t="n">
        <f aca="false">AC266*Parametri_v3!$C$32</f>
        <v>374.6625</v>
      </c>
      <c r="CJ266" s="15" t="n">
        <f aca="false">CA266-AB266</f>
        <v>9643.73161010823</v>
      </c>
      <c r="CK266" s="15" t="n">
        <f aca="false">CB266-AC266-BH266</f>
        <v>6494.65892018779</v>
      </c>
      <c r="CL266" s="15" t="n">
        <f aca="false">BF266*Ipotesi!$C$73+INDEX(Ipotesi!$C$72:$G$72,1,F266)/12*Ipotesi!G126*Parametri_v3!$C$58+Z266*(1-Parametri_v3!$C$16)</f>
        <v>1393.51768900886</v>
      </c>
      <c r="CM266" s="16" t="n">
        <f aca="false">IF(BF266=0,0,1-CL266/BF266)</f>
        <v>0.0868181313790484</v>
      </c>
    </row>
    <row r="267" customFormat="false" ht="18" hidden="false" customHeight="true" outlineLevel="0" collapsed="false">
      <c r="A267" s="68" t="n">
        <f aca="false">5</f>
        <v>5</v>
      </c>
      <c r="B267" s="68" t="n">
        <f aca="false">23</f>
        <v>23</v>
      </c>
      <c r="C267" s="18" t="n">
        <f aca="false">EDATE(Parametri_v3!$C$5,23-1)</f>
        <v>47058</v>
      </c>
      <c r="D267" s="68" t="n">
        <f aca="false">YEAR(C267)</f>
        <v>2028</v>
      </c>
      <c r="E267" s="68" t="n">
        <f aca="false">MONTH(C267)</f>
        <v>11</v>
      </c>
      <c r="F267" s="68" t="n">
        <f aca="false">INT((23-1)/12)+1</f>
        <v>2</v>
      </c>
      <c r="G267" s="15" t="n">
        <f aca="false">Ipotesi!G7</f>
        <v>0.55</v>
      </c>
      <c r="H267" s="15" t="n">
        <f aca="false">Ipotesi!G9</f>
        <v>0.9</v>
      </c>
      <c r="I267" s="15" t="n">
        <f aca="false">Ipotesi!G10</f>
        <v>0.3</v>
      </c>
      <c r="J267" s="15" t="n">
        <f aca="false">Ipotesi!G11</f>
        <v>0.2</v>
      </c>
      <c r="K267" s="15" t="n">
        <f aca="false">Ipotesi!G12</f>
        <v>0.6</v>
      </c>
      <c r="L267" s="15" t="n">
        <f aca="false">Ipotesi!G13</f>
        <v>120</v>
      </c>
      <c r="M267" s="17" t="n">
        <f aca="false">INDEX(Ipotesi!$C$40:$G$40,1,F267)</f>
        <v>1</v>
      </c>
      <c r="N267" s="17" t="n">
        <f aca="false">INDEX(Ipotesi!$C$41:$G$41,1,F267)</f>
        <v>1</v>
      </c>
      <c r="O267" s="17" t="n">
        <f aca="false">INDEX(Ipotesi!$C$42:$G$42,1,F267)*Ipotesi!G125</f>
        <v>1.375</v>
      </c>
      <c r="P267" s="17" t="n">
        <f aca="false">INDEX(Ipotesi!$C$43:$G$43,1,F267)*I267</f>
        <v>0.75</v>
      </c>
      <c r="Q267" s="17" t="n">
        <f aca="false">INDEX(Ipotesi!$C$44:$G$44,1,F267)*I267</f>
        <v>0.45</v>
      </c>
      <c r="R267" s="17" t="n">
        <f aca="false">INDEX(Ipotesi!$C$45:$G$45,1,F267)*I267</f>
        <v>0.15</v>
      </c>
      <c r="S267" s="17" t="n">
        <f aca="false">INDEX(Ipotesi!$C$52:$G$52,1,F267)*Ipotesi!G125</f>
        <v>1.65</v>
      </c>
      <c r="T267" s="17" t="n">
        <f aca="false">INDEX(Ipotesi!$C$53:$G$53,1,F267)*I267</f>
        <v>0.3</v>
      </c>
      <c r="U267" s="17" t="n">
        <f aca="false">INDEX(Ipotesi!$C$54:$G$54,1,F267)*I267</f>
        <v>0</v>
      </c>
      <c r="V267" s="15" t="n">
        <f aca="false">M267*INDEX(Ipotesi!$C$58:$G$58,1,F267)*K267/12</f>
        <v>3000</v>
      </c>
      <c r="W267" s="15" t="n">
        <f aca="false">N267*Ipotesi!$C$59*(1+Ipotesi!$C$66)^(F267-1)/12</f>
        <v>6008.33333333333</v>
      </c>
      <c r="X267" s="15" t="n">
        <f aca="false">O267*Ipotesi!$C$60*(1+Ipotesi!$C$66)^(F267-1)/12</f>
        <v>5901.04166666667</v>
      </c>
      <c r="Y267" s="15" t="n">
        <f aca="false">P267*Ipotesi!$C$61*(1+Ipotesi!$C$66)^(F267-1)/12</f>
        <v>3218.75</v>
      </c>
      <c r="Z267" s="15" t="n">
        <f aca="false">Q267*Ipotesi!$C$62*(1+Ipotesi!$C$66)^(F267-1)/12</f>
        <v>1738.125</v>
      </c>
      <c r="AA267" s="15" t="n">
        <f aca="false">R267*Ipotesi!$C$63*(1+Ipotesi!$C$66)^(F267-1)/12</f>
        <v>450.625</v>
      </c>
      <c r="AB267" s="15" t="n">
        <f aca="false">SUM(V267:AA267)</f>
        <v>20316.875</v>
      </c>
      <c r="AC267" s="15" t="n">
        <f aca="false">(S267*Ipotesi!$C$64+T267*Ipotesi!$C$65+U267*Ipotesi!$C$63)*(1+Ipotesi!$C$66)^(F267-1)/12</f>
        <v>7493.25</v>
      </c>
      <c r="AD267" s="15" t="n">
        <f aca="false">INDEX(Ipotesi!$C$48:$G$48,1,F267)*G267/12</f>
        <v>20.625</v>
      </c>
      <c r="AE267" s="15" t="n">
        <f aca="false">INDEX(Ipotesi!$C$50:$G$50,1,F267)*G267/12</f>
        <v>2.52083333333333</v>
      </c>
      <c r="AF267" s="15" t="n">
        <f aca="false">(S267*Parametri_v3!$C$7*Parametri_v3!$C$8+Parametri_v3!$C$10)/12</f>
        <v>21.175</v>
      </c>
      <c r="AG267" s="15" t="n">
        <f aca="false">AD267+AE267*(1+Parametri_v3!$C$9)</f>
        <v>24.40625</v>
      </c>
      <c r="AH267" s="16" t="n">
        <f aca="false">IF(AG267=0,1,MIN(1,AF267/AG267))</f>
        <v>0.867605633802817</v>
      </c>
      <c r="AI267" s="15" t="n">
        <f aca="false">AD267*AH267</f>
        <v>17.8943661971831</v>
      </c>
      <c r="AJ267" s="15" t="n">
        <f aca="false">AE267*AH267</f>
        <v>2.18708920187793</v>
      </c>
      <c r="AK267" s="15" t="n">
        <f aca="false">AI267*INDEX(Ipotesi!$C$49:$G$49,1,F267)*H267</f>
        <v>12883.9436619718</v>
      </c>
      <c r="AL267" s="15" t="n">
        <f aca="false">AJ267*INDEX(Ipotesi!$C$51:$G$51,1,F267)*H267</f>
        <v>3936.76056338028</v>
      </c>
      <c r="AM267" s="15" t="n">
        <f aca="false">AK267+AL267</f>
        <v>16820.7042253521</v>
      </c>
      <c r="AN267" s="15" t="n">
        <f aca="false">INDEX(Ipotesi!$C$30:$G$30,1,F267)*G267/12</f>
        <v>12.375</v>
      </c>
      <c r="AO267" s="15" t="n">
        <f aca="false">O267*Parametri_v3!$C$7*Parametri_v3!$C$11*(1-Parametri_v3!$C$14)/12</f>
        <v>14.1166666666667</v>
      </c>
      <c r="AP267" s="15" t="n">
        <f aca="false">MIN(AN267,AO267)</f>
        <v>12.375</v>
      </c>
      <c r="AQ267" s="15" t="n">
        <f aca="false">AP267*INDEX(Ipotesi!$C$31:$G$31,1,F267)*H267</f>
        <v>10580.625</v>
      </c>
      <c r="AR267" s="15" t="n">
        <f aca="false">INDEX(Ipotesi!$C$75:$G$75,1,F267)*J267/12</f>
        <v>916.666666666667</v>
      </c>
      <c r="AS267" s="15" t="n">
        <f aca="false">INDEX(Ipotesi!$C$81:$G$81,1,F267)*J267/12</f>
        <v>166.666666666667</v>
      </c>
      <c r="AT267" s="15" t="n">
        <f aca="false">AR267*Parametri_v3!$C$15+Z267*Parametri_v3!$C$16</f>
        <v>2133.35416666667</v>
      </c>
      <c r="AU267" s="15" t="n">
        <f aca="false">Q267*Parametri_v3!$C$16*Parametri_v3!$C$17</f>
        <v>31.5</v>
      </c>
      <c r="AV267" s="17" t="n">
        <f aca="false">BD266</f>
        <v>5.33905171305185</v>
      </c>
      <c r="AW267" s="17" t="n">
        <f aca="false">AV267*(1-(1-INDEX(Ipotesi!$C$34:$G$34,1,F267))^(1/12))</f>
        <v>0.0466719129425063</v>
      </c>
      <c r="AX267" s="15" t="n">
        <f aca="false">ROUND(INDEX(Ipotesi!$C$32:$G$32,1,F267)*Ipotesi!G8,0)</f>
        <v>12</v>
      </c>
      <c r="AY267" s="15" t="n">
        <f aca="false">MAX(0,(AX267-(AV267-AW267))/(13-E267))</f>
        <v>3.35381009994533</v>
      </c>
      <c r="AZ267" s="15" t="n">
        <f aca="false">MIN(P267*Parametri_v3!$C$22,Q267*(1-Parametri_v3!$C$16)*Parametri_v3!$C$23)</f>
        <v>20.25</v>
      </c>
      <c r="BA267" s="15" t="n">
        <f aca="false">IF(OR(INDEX(Ipotesi!$C$35:$G$35,1,F267)&lt;=0,23-Parametri_v3!$C$21&lt;1),0,INDEX($AT$245:$AT$304,MAX(1,23-Parametri_v3!$C$21))/(INDEX(Ipotesi!$C$35:$G$35,1,F267)*Ipotesi!G27))</f>
        <v>0.547013888888889</v>
      </c>
      <c r="BB267" s="15" t="n">
        <f aca="false">IF(23-Parametri_v3!$C$21&lt;1,0,INDEX($AU$245:$AU$304,MAX(1,23-Parametri_v3!$C$21)))*Parametri_v3!$C$18*Parametri_v3!$C$19*Parametri_v3!$C$20</f>
        <v>1.18125</v>
      </c>
      <c r="BC267" s="17" t="n">
        <f aca="false">MAX(0,MIN(AY267,BA267,BB267,MAX(0,AZ267-(AV267-AW267))))</f>
        <v>0.547013888888889</v>
      </c>
      <c r="BD267" s="17" t="n">
        <f aca="false">AV267-AW267+BC267</f>
        <v>5.83939368899823</v>
      </c>
      <c r="BE267" s="17" t="n">
        <f aca="false">(AV267+BD267)/2</f>
        <v>5.58922270102504</v>
      </c>
      <c r="BF267" s="15" t="n">
        <f aca="false">BE267*INDEX(Ipotesi!$C$33:$G$33,1,F267)*H267/12</f>
        <v>1676.76681030751</v>
      </c>
      <c r="BG267" s="15" t="n">
        <f aca="false">BD267*INDEX(Ipotesi!$C$33:$G$33,1,F267)*H267</f>
        <v>21021.8172803936</v>
      </c>
      <c r="BH267" s="15" t="n">
        <f aca="false">AM267*INDEX(Ipotesi!$C$37:$G$37,1,F267)</f>
        <v>1682.07042253521</v>
      </c>
      <c r="BI267" s="15" t="n">
        <f aca="false">AQ267+BF267+BH267</f>
        <v>13939.4622328427</v>
      </c>
      <c r="BJ267" s="15" t="n">
        <f aca="false">INDEX(Ipotesi!$C$68:$G$68,1,F267)*Ipotesi!$C$69/12</f>
        <v>1600</v>
      </c>
      <c r="BK267" s="15" t="n">
        <f aca="false">INDEX(Ipotesi!$C$68:$G$68,1,F267)*(1-Ipotesi!$C$69)/12</f>
        <v>2400</v>
      </c>
      <c r="BL267" s="15" t="n">
        <f aca="false">(AQ267+BF267)*Ipotesi!$C$67</f>
        <v>367.721754309225</v>
      </c>
      <c r="BM267" s="15" t="n">
        <f aca="false">AM267*Ipotesi!$C$67</f>
        <v>504.621126760563</v>
      </c>
      <c r="BN267" s="15" t="n">
        <f aca="false">INDEX(Ipotesi!$C$72:$G$72,1,F267)/12*Ipotesi!G126+BF267*Ipotesi!$C$73</f>
        <v>884.141344824601</v>
      </c>
      <c r="BO267" s="15" t="n">
        <f aca="false">INDEX(Ipotesi!$C$74:$G$74,1,F267)/12*Ipotesi!G126</f>
        <v>1100</v>
      </c>
      <c r="BP267" s="15" t="n">
        <f aca="false">INDEX(Ipotesi!$C$76:$G$76,1,F267)/12</f>
        <v>750</v>
      </c>
      <c r="BQ267" s="15" t="n">
        <f aca="false">INDEX(Ipotesi!$C$77:$G$77,1,F267)/12*Ipotesi!G126</f>
        <v>1000</v>
      </c>
      <c r="BR267" s="15" t="n">
        <f aca="false">INDEX(Ipotesi!$C$78:$G$78,1,F267)/12</f>
        <v>1250</v>
      </c>
      <c r="BS267" s="15" t="n">
        <f aca="false">SUM(M267:R267)*(Ipotesi!$C$85+Ipotesi!$C$86)/12</f>
        <v>1378.125</v>
      </c>
      <c r="BT267" s="15" t="n">
        <f aca="false">BI267*Ipotesi!$C$87</f>
        <v>418.183866985282</v>
      </c>
      <c r="BU267" s="15" t="n">
        <f aca="false">INDEX(Ipotesi!$C$55:$G$55,1,F267)*K267/12</f>
        <v>600</v>
      </c>
      <c r="BV267" s="15" t="n">
        <f aca="false">INDEX(Ipotesi!$C$80:$G$80,1,F267)/12*Ipotesi!G126</f>
        <v>500</v>
      </c>
      <c r="BW267" s="15" t="n">
        <f aca="false">INDEX(Ipotesi!$C$82:$G$82,1,F267)/12</f>
        <v>666.666666666667</v>
      </c>
      <c r="BX267" s="15" t="n">
        <f aca="false">INDEX(Ipotesi!$C$83:$G$83,1,F267)/12</f>
        <v>583.333333333333</v>
      </c>
      <c r="BY267" s="15" t="n">
        <f aca="false">SUM(S267:U267)*(Ipotesi!$C$85+Ipotesi!$C$86)/12</f>
        <v>568.75</v>
      </c>
      <c r="BZ267" s="15" t="n">
        <f aca="false">AM267*Ipotesi!$C$87</f>
        <v>504.621126760563</v>
      </c>
      <c r="CA267" s="15" t="n">
        <f aca="false">AB267+BJ267+BL267+BN267+BO267+AR267+BP267+BQ267+BR267+BS267+BT267</f>
        <v>29981.7136327858</v>
      </c>
      <c r="CB267" s="15" t="n">
        <f aca="false">AC267+BK267+BM267+BH267+BU267+BV267+AS267+BW267+BX267+BY267+BZ267</f>
        <v>15669.979342723</v>
      </c>
      <c r="CC267" s="15" t="n">
        <f aca="false">BI267-CA267</f>
        <v>-16042.2513999431</v>
      </c>
      <c r="CD267" s="15" t="n">
        <f aca="false">AM267-CB267</f>
        <v>1150.72488262911</v>
      </c>
      <c r="CE267" s="15" t="n">
        <f aca="false">INDEX(Ipotesi!$C$79:$G$79,1,F267)/12</f>
        <v>2083.33333333333</v>
      </c>
      <c r="CF267" s="15" t="n">
        <f aca="false">INDEX(Ipotesi!$C$84:$G$84,1,F267)/12</f>
        <v>416.666666666667</v>
      </c>
      <c r="CG267" s="15" t="n">
        <f aca="false">Y267*MAX(0,Parametri_v3!$C$12-IF(P267=0,0,MIN(1,BE267/(P267*Parametri_v3!$C$22))))+W267*Parametri_v3!$C$13+X267*Parametri_v3!$C$14</f>
        <v>7163.25419241434</v>
      </c>
      <c r="CH267" s="15" t="n">
        <f aca="false">AB267*Parametri_v3!$C$32</f>
        <v>1015.84375</v>
      </c>
      <c r="CI267" s="15" t="n">
        <f aca="false">AC267*Parametri_v3!$C$32</f>
        <v>374.6625</v>
      </c>
      <c r="CJ267" s="15" t="n">
        <f aca="false">CA267-AB267</f>
        <v>9664.83863278578</v>
      </c>
      <c r="CK267" s="15" t="n">
        <f aca="false">CB267-AC267-BH267</f>
        <v>6494.65892018779</v>
      </c>
      <c r="CL267" s="15" t="n">
        <f aca="false">BF267*Ipotesi!$C$73+INDEX(Ipotesi!$C$72:$G$72,1,F267)/12*Ipotesi!G126*Parametri_v3!$C$58+Z267*(1-Parametri_v3!$C$16)</f>
        <v>1405.5788448246</v>
      </c>
      <c r="CM267" s="16" t="n">
        <f aca="false">IF(BF267=0,0,1-CL267/BF267)</f>
        <v>0.161732665398581</v>
      </c>
    </row>
    <row r="268" customFormat="false" ht="18" hidden="false" customHeight="true" outlineLevel="0" collapsed="false">
      <c r="A268" s="68" t="n">
        <f aca="false">5</f>
        <v>5</v>
      </c>
      <c r="B268" s="68" t="n">
        <f aca="false">24</f>
        <v>24</v>
      </c>
      <c r="C268" s="18" t="n">
        <f aca="false">EDATE(Parametri_v3!$C$5,24-1)</f>
        <v>47088</v>
      </c>
      <c r="D268" s="68" t="n">
        <f aca="false">YEAR(C268)</f>
        <v>2028</v>
      </c>
      <c r="E268" s="68" t="n">
        <f aca="false">MONTH(C268)</f>
        <v>12</v>
      </c>
      <c r="F268" s="68" t="n">
        <f aca="false">INT((24-1)/12)+1</f>
        <v>2</v>
      </c>
      <c r="G268" s="15" t="n">
        <f aca="false">Ipotesi!G7</f>
        <v>0.55</v>
      </c>
      <c r="H268" s="15" t="n">
        <f aca="false">Ipotesi!G9</f>
        <v>0.9</v>
      </c>
      <c r="I268" s="15" t="n">
        <f aca="false">Ipotesi!G10</f>
        <v>0.3</v>
      </c>
      <c r="J268" s="15" t="n">
        <f aca="false">Ipotesi!G11</f>
        <v>0.2</v>
      </c>
      <c r="K268" s="15" t="n">
        <f aca="false">Ipotesi!G12</f>
        <v>0.6</v>
      </c>
      <c r="L268" s="15" t="n">
        <f aca="false">Ipotesi!G13</f>
        <v>120</v>
      </c>
      <c r="M268" s="17" t="n">
        <f aca="false">INDEX(Ipotesi!$C$40:$G$40,1,F268)</f>
        <v>1</v>
      </c>
      <c r="N268" s="17" t="n">
        <f aca="false">INDEX(Ipotesi!$C$41:$G$41,1,F268)</f>
        <v>1</v>
      </c>
      <c r="O268" s="17" t="n">
        <f aca="false">INDEX(Ipotesi!$C$42:$G$42,1,F268)*Ipotesi!G125</f>
        <v>1.375</v>
      </c>
      <c r="P268" s="17" t="n">
        <f aca="false">INDEX(Ipotesi!$C$43:$G$43,1,F268)*I268</f>
        <v>0.75</v>
      </c>
      <c r="Q268" s="17" t="n">
        <f aca="false">INDEX(Ipotesi!$C$44:$G$44,1,F268)*I268</f>
        <v>0.45</v>
      </c>
      <c r="R268" s="17" t="n">
        <f aca="false">INDEX(Ipotesi!$C$45:$G$45,1,F268)*I268</f>
        <v>0.15</v>
      </c>
      <c r="S268" s="17" t="n">
        <f aca="false">INDEX(Ipotesi!$C$52:$G$52,1,F268)*Ipotesi!G125</f>
        <v>1.65</v>
      </c>
      <c r="T268" s="17" t="n">
        <f aca="false">INDEX(Ipotesi!$C$53:$G$53,1,F268)*I268</f>
        <v>0.3</v>
      </c>
      <c r="U268" s="17" t="n">
        <f aca="false">INDEX(Ipotesi!$C$54:$G$54,1,F268)*I268</f>
        <v>0</v>
      </c>
      <c r="V268" s="15" t="n">
        <f aca="false">M268*INDEX(Ipotesi!$C$58:$G$58,1,F268)*K268/12</f>
        <v>3000</v>
      </c>
      <c r="W268" s="15" t="n">
        <f aca="false">N268*Ipotesi!$C$59*(1+Ipotesi!$C$66)^(F268-1)/12</f>
        <v>6008.33333333333</v>
      </c>
      <c r="X268" s="15" t="n">
        <f aca="false">O268*Ipotesi!$C$60*(1+Ipotesi!$C$66)^(F268-1)/12</f>
        <v>5901.04166666667</v>
      </c>
      <c r="Y268" s="15" t="n">
        <f aca="false">P268*Ipotesi!$C$61*(1+Ipotesi!$C$66)^(F268-1)/12</f>
        <v>3218.75</v>
      </c>
      <c r="Z268" s="15" t="n">
        <f aca="false">Q268*Ipotesi!$C$62*(1+Ipotesi!$C$66)^(F268-1)/12</f>
        <v>1738.125</v>
      </c>
      <c r="AA268" s="15" t="n">
        <f aca="false">R268*Ipotesi!$C$63*(1+Ipotesi!$C$66)^(F268-1)/12</f>
        <v>450.625</v>
      </c>
      <c r="AB268" s="15" t="n">
        <f aca="false">SUM(V268:AA268)</f>
        <v>20316.875</v>
      </c>
      <c r="AC268" s="15" t="n">
        <f aca="false">(S268*Ipotesi!$C$64+T268*Ipotesi!$C$65+U268*Ipotesi!$C$63)*(1+Ipotesi!$C$66)^(F268-1)/12</f>
        <v>7493.25</v>
      </c>
      <c r="AD268" s="15" t="n">
        <f aca="false">INDEX(Ipotesi!$C$48:$G$48,1,F268)*G268/12</f>
        <v>20.625</v>
      </c>
      <c r="AE268" s="15" t="n">
        <f aca="false">INDEX(Ipotesi!$C$50:$G$50,1,F268)*G268/12</f>
        <v>2.52083333333333</v>
      </c>
      <c r="AF268" s="15" t="n">
        <f aca="false">(S268*Parametri_v3!$C$7*Parametri_v3!$C$8+Parametri_v3!$C$10)/12</f>
        <v>21.175</v>
      </c>
      <c r="AG268" s="15" t="n">
        <f aca="false">AD268+AE268*(1+Parametri_v3!$C$9)</f>
        <v>24.40625</v>
      </c>
      <c r="AH268" s="16" t="n">
        <f aca="false">IF(AG268=0,1,MIN(1,AF268/AG268))</f>
        <v>0.867605633802817</v>
      </c>
      <c r="AI268" s="15" t="n">
        <f aca="false">AD268*AH268</f>
        <v>17.8943661971831</v>
      </c>
      <c r="AJ268" s="15" t="n">
        <f aca="false">AE268*AH268</f>
        <v>2.18708920187793</v>
      </c>
      <c r="AK268" s="15" t="n">
        <f aca="false">AI268*INDEX(Ipotesi!$C$49:$G$49,1,F268)*H268</f>
        <v>12883.9436619718</v>
      </c>
      <c r="AL268" s="15" t="n">
        <f aca="false">AJ268*INDEX(Ipotesi!$C$51:$G$51,1,F268)*H268</f>
        <v>3936.76056338028</v>
      </c>
      <c r="AM268" s="15" t="n">
        <f aca="false">AK268+AL268</f>
        <v>16820.7042253521</v>
      </c>
      <c r="AN268" s="15" t="n">
        <f aca="false">INDEX(Ipotesi!$C$30:$G$30,1,F268)*G268/12</f>
        <v>12.375</v>
      </c>
      <c r="AO268" s="15" t="n">
        <f aca="false">O268*Parametri_v3!$C$7*Parametri_v3!$C$11*(1-Parametri_v3!$C$14)/12</f>
        <v>14.1166666666667</v>
      </c>
      <c r="AP268" s="15" t="n">
        <f aca="false">MIN(AN268,AO268)</f>
        <v>12.375</v>
      </c>
      <c r="AQ268" s="15" t="n">
        <f aca="false">AP268*INDEX(Ipotesi!$C$31:$G$31,1,F268)*H268</f>
        <v>10580.625</v>
      </c>
      <c r="AR268" s="15" t="n">
        <f aca="false">INDEX(Ipotesi!$C$75:$G$75,1,F268)*J268/12</f>
        <v>916.666666666667</v>
      </c>
      <c r="AS268" s="15" t="n">
        <f aca="false">INDEX(Ipotesi!$C$81:$G$81,1,F268)*J268/12</f>
        <v>166.666666666667</v>
      </c>
      <c r="AT268" s="15" t="n">
        <f aca="false">AR268*Parametri_v3!$C$15+Z268*Parametri_v3!$C$16</f>
        <v>2133.35416666667</v>
      </c>
      <c r="AU268" s="15" t="n">
        <f aca="false">Q268*Parametri_v3!$C$16*Parametri_v3!$C$17</f>
        <v>31.5</v>
      </c>
      <c r="AV268" s="17" t="n">
        <f aca="false">BD267</f>
        <v>5.83939368899823</v>
      </c>
      <c r="AW268" s="17" t="n">
        <f aca="false">AV268*(1-(1-INDEX(Ipotesi!$C$34:$G$34,1,F268))^(1/12))</f>
        <v>0.0510457078405338</v>
      </c>
      <c r="AX268" s="15" t="n">
        <f aca="false">ROUND(INDEX(Ipotesi!$C$32:$G$32,1,F268)*Ipotesi!G8,0)</f>
        <v>12</v>
      </c>
      <c r="AY268" s="15" t="n">
        <f aca="false">MAX(0,(AX268-(AV268-AW268))/(13-E268))</f>
        <v>6.2116520188423</v>
      </c>
      <c r="AZ268" s="15" t="n">
        <f aca="false">MIN(P268*Parametri_v3!$C$22,Q268*(1-Parametri_v3!$C$16)*Parametri_v3!$C$23)</f>
        <v>20.25</v>
      </c>
      <c r="BA268" s="15" t="n">
        <f aca="false">IF(OR(INDEX(Ipotesi!$C$35:$G$35,1,F268)&lt;=0,24-Parametri_v3!$C$21&lt;1),0,INDEX($AT$245:$AT$304,MAX(1,24-Parametri_v3!$C$21))/(INDEX(Ipotesi!$C$35:$G$35,1,F268)*Ipotesi!G27))</f>
        <v>0.547013888888889</v>
      </c>
      <c r="BB268" s="15" t="n">
        <f aca="false">IF(24-Parametri_v3!$C$21&lt;1,0,INDEX($AU$245:$AU$304,MAX(1,24-Parametri_v3!$C$21)))*Parametri_v3!$C$18*Parametri_v3!$C$19*Parametri_v3!$C$20</f>
        <v>1.18125</v>
      </c>
      <c r="BC268" s="17" t="n">
        <f aca="false">MAX(0,MIN(AY268,BA268,BB268,MAX(0,AZ268-(AV268-AW268))))</f>
        <v>0.547013888888889</v>
      </c>
      <c r="BD268" s="17" t="n">
        <f aca="false">AV268-AW268+BC268</f>
        <v>6.33536187004659</v>
      </c>
      <c r="BE268" s="17" t="n">
        <f aca="false">(AV268+BD268)/2</f>
        <v>6.08737777952241</v>
      </c>
      <c r="BF268" s="15" t="n">
        <f aca="false">BE268*INDEX(Ipotesi!$C$33:$G$33,1,F268)*H268/12</f>
        <v>1826.21333385672</v>
      </c>
      <c r="BG268" s="15" t="n">
        <f aca="false">BD268*INDEX(Ipotesi!$C$33:$G$33,1,F268)*H268</f>
        <v>22807.3027321677</v>
      </c>
      <c r="BH268" s="15" t="n">
        <f aca="false">AM268*INDEX(Ipotesi!$C$37:$G$37,1,F268)</f>
        <v>1682.07042253521</v>
      </c>
      <c r="BI268" s="15" t="n">
        <f aca="false">AQ268+BF268+BH268</f>
        <v>14088.9087563919</v>
      </c>
      <c r="BJ268" s="15" t="n">
        <f aca="false">INDEX(Ipotesi!$C$68:$G$68,1,F268)*Ipotesi!$C$69/12</f>
        <v>1600</v>
      </c>
      <c r="BK268" s="15" t="n">
        <f aca="false">INDEX(Ipotesi!$C$68:$G$68,1,F268)*(1-Ipotesi!$C$69)/12</f>
        <v>2400</v>
      </c>
      <c r="BL268" s="15" t="n">
        <f aca="false">(AQ268+BF268)*Ipotesi!$C$67</f>
        <v>372.205150015702</v>
      </c>
      <c r="BM268" s="15" t="n">
        <f aca="false">AM268*Ipotesi!$C$67</f>
        <v>504.621126760563</v>
      </c>
      <c r="BN268" s="15" t="n">
        <f aca="false">INDEX(Ipotesi!$C$72:$G$72,1,F268)/12*Ipotesi!G126+BF268*Ipotesi!$C$73</f>
        <v>896.097066708538</v>
      </c>
      <c r="BO268" s="15" t="n">
        <f aca="false">INDEX(Ipotesi!$C$74:$G$74,1,F268)/12*Ipotesi!G126</f>
        <v>1100</v>
      </c>
      <c r="BP268" s="15" t="n">
        <f aca="false">INDEX(Ipotesi!$C$76:$G$76,1,F268)/12</f>
        <v>750</v>
      </c>
      <c r="BQ268" s="15" t="n">
        <f aca="false">INDEX(Ipotesi!$C$77:$G$77,1,F268)/12*Ipotesi!G126</f>
        <v>1000</v>
      </c>
      <c r="BR268" s="15" t="n">
        <f aca="false">INDEX(Ipotesi!$C$78:$G$78,1,F268)/12</f>
        <v>1250</v>
      </c>
      <c r="BS268" s="15" t="n">
        <f aca="false">SUM(M268:R268)*(Ipotesi!$C$85+Ipotesi!$C$86)/12</f>
        <v>1378.125</v>
      </c>
      <c r="BT268" s="15" t="n">
        <f aca="false">BI268*Ipotesi!$C$87</f>
        <v>422.667262691758</v>
      </c>
      <c r="BU268" s="15" t="n">
        <f aca="false">INDEX(Ipotesi!$C$55:$G$55,1,F268)*K268/12</f>
        <v>600</v>
      </c>
      <c r="BV268" s="15" t="n">
        <f aca="false">INDEX(Ipotesi!$C$80:$G$80,1,F268)/12*Ipotesi!G126</f>
        <v>500</v>
      </c>
      <c r="BW268" s="15" t="n">
        <f aca="false">INDEX(Ipotesi!$C$82:$G$82,1,F268)/12</f>
        <v>666.666666666667</v>
      </c>
      <c r="BX268" s="15" t="n">
        <f aca="false">INDEX(Ipotesi!$C$83:$G$83,1,F268)/12</f>
        <v>583.333333333333</v>
      </c>
      <c r="BY268" s="15" t="n">
        <f aca="false">SUM(S268:U268)*(Ipotesi!$C$85+Ipotesi!$C$86)/12</f>
        <v>568.75</v>
      </c>
      <c r="BZ268" s="15" t="n">
        <f aca="false">AM268*Ipotesi!$C$87</f>
        <v>504.621126760563</v>
      </c>
      <c r="CA268" s="15" t="n">
        <f aca="false">AB268+BJ268+BL268+BN268+BO268+AR268+BP268+BQ268+BR268+BS268+BT268</f>
        <v>30002.6361460827</v>
      </c>
      <c r="CB268" s="15" t="n">
        <f aca="false">AC268+BK268+BM268+BH268+BU268+BV268+AS268+BW268+BX268+BY268+BZ268</f>
        <v>15669.979342723</v>
      </c>
      <c r="CC268" s="15" t="n">
        <f aca="false">BI268-CA268</f>
        <v>-15913.7273896907</v>
      </c>
      <c r="CD268" s="15" t="n">
        <f aca="false">AM268-CB268</f>
        <v>1150.72488262911</v>
      </c>
      <c r="CE268" s="15" t="n">
        <f aca="false">INDEX(Ipotesi!$C$79:$G$79,1,F268)/12</f>
        <v>2083.33333333333</v>
      </c>
      <c r="CF268" s="15" t="n">
        <f aca="false">INDEX(Ipotesi!$C$84:$G$84,1,F268)/12</f>
        <v>416.666666666667</v>
      </c>
      <c r="CG268" s="15" t="n">
        <f aca="false">Y268*MAX(0,Parametri_v3!$C$12-IF(P268=0,0,MIN(1,BE268/(P268*Parametri_v3!$C$22))))+W268*Parametri_v3!$C$13+X268*Parametri_v3!$C$14</f>
        <v>7141.87503696216</v>
      </c>
      <c r="CH268" s="15" t="n">
        <f aca="false">AB268*Parametri_v3!$C$32</f>
        <v>1015.84375</v>
      </c>
      <c r="CI268" s="15" t="n">
        <f aca="false">AC268*Parametri_v3!$C$32</f>
        <v>374.6625</v>
      </c>
      <c r="CJ268" s="15" t="n">
        <f aca="false">CA268-AB268</f>
        <v>9685.76114608267</v>
      </c>
      <c r="CK268" s="15" t="n">
        <f aca="false">CB268-AC268-BH268</f>
        <v>6494.65892018779</v>
      </c>
      <c r="CL268" s="15" t="n">
        <f aca="false">BF268*Ipotesi!$C$73+INDEX(Ipotesi!$C$72:$G$72,1,F268)/12*Ipotesi!G126*Parametri_v3!$C$58+Z268*(1-Parametri_v3!$C$16)</f>
        <v>1417.53456670854</v>
      </c>
      <c r="CM268" s="16" t="n">
        <f aca="false">IF(BF268=0,0,1-CL268/BF268)</f>
        <v>0.223784789855361</v>
      </c>
    </row>
    <row r="269" customFormat="false" ht="18" hidden="false" customHeight="true" outlineLevel="0" collapsed="false">
      <c r="A269" s="68" t="n">
        <f aca="false">5</f>
        <v>5</v>
      </c>
      <c r="B269" s="68" t="n">
        <f aca="false">25</f>
        <v>25</v>
      </c>
      <c r="C269" s="18" t="n">
        <f aca="false">EDATE(Parametri_v3!$C$5,25-1)</f>
        <v>47119</v>
      </c>
      <c r="D269" s="68" t="n">
        <f aca="false">YEAR(C269)</f>
        <v>2029</v>
      </c>
      <c r="E269" s="68" t="n">
        <f aca="false">MONTH(C269)</f>
        <v>1</v>
      </c>
      <c r="F269" s="68" t="n">
        <f aca="false">INT((25-1)/12)+1</f>
        <v>3</v>
      </c>
      <c r="G269" s="15" t="n">
        <f aca="false">Ipotesi!G7</f>
        <v>0.55</v>
      </c>
      <c r="H269" s="15" t="n">
        <f aca="false">Ipotesi!G9</f>
        <v>0.9</v>
      </c>
      <c r="I269" s="15" t="n">
        <f aca="false">Ipotesi!G10</f>
        <v>0.3</v>
      </c>
      <c r="J269" s="15" t="n">
        <f aca="false">Ipotesi!G11</f>
        <v>0.2</v>
      </c>
      <c r="K269" s="15" t="n">
        <f aca="false">Ipotesi!G12</f>
        <v>0.6</v>
      </c>
      <c r="L269" s="15" t="n">
        <f aca="false">Ipotesi!G13</f>
        <v>120</v>
      </c>
      <c r="M269" s="17" t="n">
        <f aca="false">INDEX(Ipotesi!$C$40:$G$40,1,F269)</f>
        <v>1</v>
      </c>
      <c r="N269" s="17" t="n">
        <f aca="false">INDEX(Ipotesi!$C$41:$G$41,1,F269)</f>
        <v>1</v>
      </c>
      <c r="O269" s="17" t="n">
        <f aca="false">INDEX(Ipotesi!$C$42:$G$42,1,F269)*Ipotesi!G125</f>
        <v>2.475</v>
      </c>
      <c r="P269" s="17" t="n">
        <f aca="false">INDEX(Ipotesi!$C$43:$G$43,1,F269)*I269</f>
        <v>1.5</v>
      </c>
      <c r="Q269" s="17" t="n">
        <f aca="false">INDEX(Ipotesi!$C$44:$G$44,1,F269)*I269</f>
        <v>1.2</v>
      </c>
      <c r="R269" s="17" t="n">
        <f aca="false">INDEX(Ipotesi!$C$45:$G$45,1,F269)*I269</f>
        <v>0.3</v>
      </c>
      <c r="S269" s="17" t="n">
        <f aca="false">INDEX(Ipotesi!$C$52:$G$52,1,F269)*Ipotesi!G125</f>
        <v>2.75</v>
      </c>
      <c r="T269" s="17" t="n">
        <f aca="false">INDEX(Ipotesi!$C$53:$G$53,1,F269)*I269</f>
        <v>0.3</v>
      </c>
      <c r="U269" s="17" t="n">
        <f aca="false">INDEX(Ipotesi!$C$54:$G$54,1,F269)*I269</f>
        <v>0.15</v>
      </c>
      <c r="V269" s="15" t="n">
        <f aca="false">M269*INDEX(Ipotesi!$C$58:$G$58,1,F269)*K269/12</f>
        <v>4250</v>
      </c>
      <c r="W269" s="15" t="n">
        <f aca="false">N269*Ipotesi!$C$59*(1+Ipotesi!$C$66)^(F269-1)/12</f>
        <v>6188.58333333333</v>
      </c>
      <c r="X269" s="15" t="n">
        <f aca="false">O269*Ipotesi!$C$60*(1+Ipotesi!$C$66)^(F269-1)/12</f>
        <v>10940.53125</v>
      </c>
      <c r="Y269" s="15" t="n">
        <f aca="false">P269*Ipotesi!$C$61*(1+Ipotesi!$C$66)^(F269-1)/12</f>
        <v>6630.625</v>
      </c>
      <c r="Z269" s="15" t="n">
        <f aca="false">Q269*Ipotesi!$C$62*(1+Ipotesi!$C$66)^(F269-1)/12</f>
        <v>4774.05</v>
      </c>
      <c r="AA269" s="15" t="n">
        <f aca="false">R269*Ipotesi!$C$63*(1+Ipotesi!$C$66)^(F269-1)/12</f>
        <v>928.2875</v>
      </c>
      <c r="AB269" s="15" t="n">
        <f aca="false">SUM(V269:AA269)</f>
        <v>33712.0770833333</v>
      </c>
      <c r="AC269" s="15" t="n">
        <f aca="false">(S269*Ipotesi!$C$64+T269*Ipotesi!$C$65+U269*Ipotesi!$C$63)*(1+Ipotesi!$C$66)^(F269-1)/12</f>
        <v>12266.65625</v>
      </c>
      <c r="AD269" s="15" t="n">
        <f aca="false">INDEX(Ipotesi!$C$48:$G$48,1,F269)*G269/12</f>
        <v>33</v>
      </c>
      <c r="AE269" s="15" t="n">
        <f aca="false">INDEX(Ipotesi!$C$50:$G$50,1,F269)*G269/12</f>
        <v>3.66666666666667</v>
      </c>
      <c r="AF269" s="15" t="n">
        <f aca="false">(S269*Parametri_v3!$C$7*Parametri_v3!$C$8+Parametri_v3!$C$10)/12</f>
        <v>35.2916666666667</v>
      </c>
      <c r="AG269" s="15" t="n">
        <f aca="false">AD269+AE269*(1+Parametri_v3!$C$9)</f>
        <v>38.5</v>
      </c>
      <c r="AH269" s="16" t="n">
        <f aca="false">IF(AG269=0,1,MIN(1,AF269/AG269))</f>
        <v>0.916666666666666</v>
      </c>
      <c r="AI269" s="15" t="n">
        <f aca="false">AD269*AH269</f>
        <v>30.25</v>
      </c>
      <c r="AJ269" s="15" t="n">
        <f aca="false">AE269*AH269</f>
        <v>3.36111111111111</v>
      </c>
      <c r="AK269" s="15" t="n">
        <f aca="false">AI269*INDEX(Ipotesi!$C$49:$G$49,1,F269)*H269</f>
        <v>23141.25</v>
      </c>
      <c r="AL269" s="15" t="n">
        <f aca="false">AJ269*INDEX(Ipotesi!$C$51:$G$51,1,F269)*H269</f>
        <v>6806.25</v>
      </c>
      <c r="AM269" s="15" t="n">
        <f aca="false">AK269+AL269</f>
        <v>29947.5</v>
      </c>
      <c r="AN269" s="15" t="n">
        <f aca="false">INDEX(Ipotesi!$C$30:$G$30,1,F269)*G269/12</f>
        <v>22.9166666666667</v>
      </c>
      <c r="AO269" s="15" t="n">
        <f aca="false">O269*Parametri_v3!$C$7*Parametri_v3!$C$11*(1-Parametri_v3!$C$14)/12</f>
        <v>25.41</v>
      </c>
      <c r="AP269" s="15" t="n">
        <f aca="false">MIN(AN269,AO269)</f>
        <v>22.9166666666667</v>
      </c>
      <c r="AQ269" s="15" t="n">
        <f aca="false">AP269*INDEX(Ipotesi!$C$31:$G$31,1,F269)*H269</f>
        <v>20625</v>
      </c>
      <c r="AR269" s="15" t="n">
        <f aca="false">INDEX(Ipotesi!$C$75:$G$75,1,F269)*J269/12</f>
        <v>4000</v>
      </c>
      <c r="AS269" s="15" t="n">
        <f aca="false">INDEX(Ipotesi!$C$81:$G$81,1,F269)*J269/12</f>
        <v>250</v>
      </c>
      <c r="AT269" s="15" t="n">
        <f aca="false">AR269*Parametri_v3!$C$15+Z269*Parametri_v3!$C$16</f>
        <v>7341.835</v>
      </c>
      <c r="AU269" s="15" t="n">
        <f aca="false">Q269*Parametri_v3!$C$16*Parametri_v3!$C$17</f>
        <v>84</v>
      </c>
      <c r="AV269" s="17" t="n">
        <f aca="false">BD268</f>
        <v>6.33536187004659</v>
      </c>
      <c r="AW269" s="17" t="n">
        <f aca="false">AV269*(1-(1-INDEX(Ipotesi!$C$34:$G$34,1,F269))^(1/12))</f>
        <v>0.0553812687251671</v>
      </c>
      <c r="AX269" s="15" t="n">
        <f aca="false">ROUND(INDEX(Ipotesi!$C$32:$G$32,1,F269)*Ipotesi!G8,0)</f>
        <v>46</v>
      </c>
      <c r="AY269" s="15" t="n">
        <f aca="false">MAX(0,(AX269-(AV269-AW269))/(13-E269))</f>
        <v>3.31000161655655</v>
      </c>
      <c r="AZ269" s="15" t="n">
        <f aca="false">MIN(P269*Parametri_v3!$C$22,Q269*(1-Parametri_v3!$C$16)*Parametri_v3!$C$23)</f>
        <v>54</v>
      </c>
      <c r="BA269" s="15" t="n">
        <f aca="false">IF(OR(INDEX(Ipotesi!$C$35:$G$35,1,F269)&lt;=0,25-Parametri_v3!$C$21&lt;1),0,INDEX($AT$245:$AT$304,MAX(1,25-Parametri_v3!$C$21))/(INDEX(Ipotesi!$C$35:$G$35,1,F269)*Ipotesi!G27))</f>
        <v>0.328208333333333</v>
      </c>
      <c r="BB269" s="15" t="n">
        <f aca="false">IF(25-Parametri_v3!$C$21&lt;1,0,INDEX($AU$245:$AU$304,MAX(1,25-Parametri_v3!$C$21)))*Parametri_v3!$C$18*Parametri_v3!$C$19*Parametri_v3!$C$20</f>
        <v>1.18125</v>
      </c>
      <c r="BC269" s="17" t="n">
        <f aca="false">MAX(0,MIN(AY269,BA269,BB269,MAX(0,AZ269-(AV269-AW269))))</f>
        <v>0.328208333333333</v>
      </c>
      <c r="BD269" s="17" t="n">
        <f aca="false">AV269-AW269+BC269</f>
        <v>6.60818893465475</v>
      </c>
      <c r="BE269" s="17" t="n">
        <f aca="false">(AV269+BD269)/2</f>
        <v>6.47177540235067</v>
      </c>
      <c r="BF269" s="15" t="n">
        <f aca="false">BE269*INDEX(Ipotesi!$C$33:$G$33,1,F269)*H269/12</f>
        <v>2669.60735346965</v>
      </c>
      <c r="BG269" s="15" t="n">
        <f aca="false">BD269*INDEX(Ipotesi!$C$33:$G$33,1,F269)*H269</f>
        <v>32710.535226541</v>
      </c>
      <c r="BH269" s="15" t="n">
        <f aca="false">AM269*INDEX(Ipotesi!$C$37:$G$37,1,F269)</f>
        <v>2994.75</v>
      </c>
      <c r="BI269" s="15" t="n">
        <f aca="false">AQ269+BF269+BH269</f>
        <v>26289.3573534697</v>
      </c>
      <c r="BJ269" s="15" t="n">
        <f aca="false">INDEX(Ipotesi!$C$68:$G$68,1,F269)*Ipotesi!$C$69/12</f>
        <v>2400</v>
      </c>
      <c r="BK269" s="15" t="n">
        <f aca="false">INDEX(Ipotesi!$C$68:$G$68,1,F269)*(1-Ipotesi!$C$69)/12</f>
        <v>3600</v>
      </c>
      <c r="BL269" s="15" t="n">
        <f aca="false">(AQ269+BF269)*Ipotesi!$C$67</f>
        <v>698.83822060409</v>
      </c>
      <c r="BM269" s="15" t="n">
        <f aca="false">AM269*Ipotesi!$C$67</f>
        <v>898.425</v>
      </c>
      <c r="BN269" s="15" t="n">
        <f aca="false">INDEX(Ipotesi!$C$72:$G$72,1,F269)/12*Ipotesi!G126+BF269*Ipotesi!$C$73</f>
        <v>963.568588277572</v>
      </c>
      <c r="BO269" s="15" t="n">
        <f aca="false">INDEX(Ipotesi!$C$74:$G$74,1,F269)/12*Ipotesi!G126</f>
        <v>1750</v>
      </c>
      <c r="BP269" s="15" t="n">
        <f aca="false">INDEX(Ipotesi!$C$76:$G$76,1,F269)/12</f>
        <v>1083.33333333333</v>
      </c>
      <c r="BQ269" s="15" t="n">
        <f aca="false">INDEX(Ipotesi!$C$77:$G$77,1,F269)/12*Ipotesi!G126</f>
        <v>1250</v>
      </c>
      <c r="BR269" s="15" t="n">
        <f aca="false">INDEX(Ipotesi!$C$78:$G$78,1,F269)/12</f>
        <v>1666.66666666667</v>
      </c>
      <c r="BS269" s="15" t="n">
        <f aca="false">SUM(M269:R269)*(Ipotesi!$C$85+Ipotesi!$C$86)/12</f>
        <v>2180.20833333333</v>
      </c>
      <c r="BT269" s="15" t="n">
        <f aca="false">BI269*Ipotesi!$C$87</f>
        <v>788.68072060409</v>
      </c>
      <c r="BU269" s="15" t="n">
        <f aca="false">INDEX(Ipotesi!$C$55:$G$55,1,F269)*K269/12</f>
        <v>900</v>
      </c>
      <c r="BV269" s="15" t="n">
        <f aca="false">INDEX(Ipotesi!$C$80:$G$80,1,F269)/12*Ipotesi!G126</f>
        <v>750</v>
      </c>
      <c r="BW269" s="15" t="n">
        <f aca="false">INDEX(Ipotesi!$C$82:$G$82,1,F269)/12</f>
        <v>1000</v>
      </c>
      <c r="BX269" s="15" t="n">
        <f aca="false">INDEX(Ipotesi!$C$83:$G$83,1,F269)/12</f>
        <v>666.666666666667</v>
      </c>
      <c r="BY269" s="15" t="n">
        <f aca="false">SUM(S269:U269)*(Ipotesi!$C$85+Ipotesi!$C$86)/12</f>
        <v>933.333333333333</v>
      </c>
      <c r="BZ269" s="15" t="n">
        <f aca="false">AM269*Ipotesi!$C$87</f>
        <v>898.425</v>
      </c>
      <c r="CA269" s="15" t="n">
        <f aca="false">AB269+BJ269+BL269+BN269+BO269+AR269+BP269+BQ269+BR269+BS269+BT269</f>
        <v>50493.3729461524</v>
      </c>
      <c r="CB269" s="15" t="n">
        <f aca="false">AC269+BK269+BM269+BH269+BU269+BV269+AS269+BW269+BX269+BY269+BZ269</f>
        <v>25158.25625</v>
      </c>
      <c r="CC269" s="15" t="n">
        <f aca="false">BI269-CA269</f>
        <v>-24204.0155926828</v>
      </c>
      <c r="CD269" s="15" t="n">
        <f aca="false">AM269-CB269</f>
        <v>4789.24374999999</v>
      </c>
      <c r="CE269" s="15" t="n">
        <f aca="false">INDEX(Ipotesi!$C$79:$G$79,1,F269)/12</f>
        <v>2500</v>
      </c>
      <c r="CF269" s="15" t="n">
        <f aca="false">INDEX(Ipotesi!$C$84:$G$84,1,F269)/12</f>
        <v>416.666666666667</v>
      </c>
      <c r="CG269" s="15" t="n">
        <f aca="false">Y269*MAX(0,Parametri_v3!$C$12-IF(P269=0,0,MIN(1,BE269/(P269*Parametri_v3!$C$22))))+W269*Parametri_v3!$C$13+X269*Parametri_v3!$C$14</f>
        <v>11626.9434781519</v>
      </c>
      <c r="CH269" s="15" t="n">
        <f aca="false">AB269*Parametri_v3!$C$32</f>
        <v>1685.60385416667</v>
      </c>
      <c r="CI269" s="15" t="n">
        <f aca="false">AC269*Parametri_v3!$C$32</f>
        <v>613.3328125</v>
      </c>
      <c r="CJ269" s="15" t="n">
        <f aca="false">CA269-AB269</f>
        <v>16781.2958628191</v>
      </c>
      <c r="CK269" s="15" t="n">
        <f aca="false">CB269-AC269-BH269</f>
        <v>9896.85</v>
      </c>
      <c r="CL269" s="15" t="n">
        <f aca="false">BF269*Ipotesi!$C$73+INDEX(Ipotesi!$C$72:$G$72,1,F269)/12*Ipotesi!G126*Parametri_v3!$C$58+Z269*(1-Parametri_v3!$C$16)</f>
        <v>2395.78358827757</v>
      </c>
      <c r="CM269" s="16" t="n">
        <f aca="false">IF(BF269=0,0,1-CL269/BF269)</f>
        <v>0.102570801221458</v>
      </c>
    </row>
    <row r="270" customFormat="false" ht="18" hidden="false" customHeight="true" outlineLevel="0" collapsed="false">
      <c r="A270" s="68" t="n">
        <f aca="false">5</f>
        <v>5</v>
      </c>
      <c r="B270" s="68" t="n">
        <f aca="false">26</f>
        <v>26</v>
      </c>
      <c r="C270" s="18" t="n">
        <f aca="false">EDATE(Parametri_v3!$C$5,26-1)</f>
        <v>47150</v>
      </c>
      <c r="D270" s="68" t="n">
        <f aca="false">YEAR(C270)</f>
        <v>2029</v>
      </c>
      <c r="E270" s="68" t="n">
        <f aca="false">MONTH(C270)</f>
        <v>2</v>
      </c>
      <c r="F270" s="68" t="n">
        <f aca="false">INT((26-1)/12)+1</f>
        <v>3</v>
      </c>
      <c r="G270" s="15" t="n">
        <f aca="false">Ipotesi!G7</f>
        <v>0.55</v>
      </c>
      <c r="H270" s="15" t="n">
        <f aca="false">Ipotesi!G9</f>
        <v>0.9</v>
      </c>
      <c r="I270" s="15" t="n">
        <f aca="false">Ipotesi!G10</f>
        <v>0.3</v>
      </c>
      <c r="J270" s="15" t="n">
        <f aca="false">Ipotesi!G11</f>
        <v>0.2</v>
      </c>
      <c r="K270" s="15" t="n">
        <f aca="false">Ipotesi!G12</f>
        <v>0.6</v>
      </c>
      <c r="L270" s="15" t="n">
        <f aca="false">Ipotesi!G13</f>
        <v>120</v>
      </c>
      <c r="M270" s="17" t="n">
        <f aca="false">INDEX(Ipotesi!$C$40:$G$40,1,F270)</f>
        <v>1</v>
      </c>
      <c r="N270" s="17" t="n">
        <f aca="false">INDEX(Ipotesi!$C$41:$G$41,1,F270)</f>
        <v>1</v>
      </c>
      <c r="O270" s="17" t="n">
        <f aca="false">INDEX(Ipotesi!$C$42:$G$42,1,F270)*Ipotesi!G125</f>
        <v>2.475</v>
      </c>
      <c r="P270" s="17" t="n">
        <f aca="false">INDEX(Ipotesi!$C$43:$G$43,1,F270)*I270</f>
        <v>1.5</v>
      </c>
      <c r="Q270" s="17" t="n">
        <f aca="false">INDEX(Ipotesi!$C$44:$G$44,1,F270)*I270</f>
        <v>1.2</v>
      </c>
      <c r="R270" s="17" t="n">
        <f aca="false">INDEX(Ipotesi!$C$45:$G$45,1,F270)*I270</f>
        <v>0.3</v>
      </c>
      <c r="S270" s="17" t="n">
        <f aca="false">INDEX(Ipotesi!$C$52:$G$52,1,F270)*Ipotesi!G125</f>
        <v>2.75</v>
      </c>
      <c r="T270" s="17" t="n">
        <f aca="false">INDEX(Ipotesi!$C$53:$G$53,1,F270)*I270</f>
        <v>0.3</v>
      </c>
      <c r="U270" s="17" t="n">
        <f aca="false">INDEX(Ipotesi!$C$54:$G$54,1,F270)*I270</f>
        <v>0.15</v>
      </c>
      <c r="V270" s="15" t="n">
        <f aca="false">M270*INDEX(Ipotesi!$C$58:$G$58,1,F270)*K270/12</f>
        <v>4250</v>
      </c>
      <c r="W270" s="15" t="n">
        <f aca="false">N270*Ipotesi!$C$59*(1+Ipotesi!$C$66)^(F270-1)/12</f>
        <v>6188.58333333333</v>
      </c>
      <c r="X270" s="15" t="n">
        <f aca="false">O270*Ipotesi!$C$60*(1+Ipotesi!$C$66)^(F270-1)/12</f>
        <v>10940.53125</v>
      </c>
      <c r="Y270" s="15" t="n">
        <f aca="false">P270*Ipotesi!$C$61*(1+Ipotesi!$C$66)^(F270-1)/12</f>
        <v>6630.625</v>
      </c>
      <c r="Z270" s="15" t="n">
        <f aca="false">Q270*Ipotesi!$C$62*(1+Ipotesi!$C$66)^(F270-1)/12</f>
        <v>4774.05</v>
      </c>
      <c r="AA270" s="15" t="n">
        <f aca="false">R270*Ipotesi!$C$63*(1+Ipotesi!$C$66)^(F270-1)/12</f>
        <v>928.2875</v>
      </c>
      <c r="AB270" s="15" t="n">
        <f aca="false">SUM(V270:AA270)</f>
        <v>33712.0770833333</v>
      </c>
      <c r="AC270" s="15" t="n">
        <f aca="false">(S270*Ipotesi!$C$64+T270*Ipotesi!$C$65+U270*Ipotesi!$C$63)*(1+Ipotesi!$C$66)^(F270-1)/12</f>
        <v>12266.65625</v>
      </c>
      <c r="AD270" s="15" t="n">
        <f aca="false">INDEX(Ipotesi!$C$48:$G$48,1,F270)*G270/12</f>
        <v>33</v>
      </c>
      <c r="AE270" s="15" t="n">
        <f aca="false">INDEX(Ipotesi!$C$50:$G$50,1,F270)*G270/12</f>
        <v>3.66666666666667</v>
      </c>
      <c r="AF270" s="15" t="n">
        <f aca="false">(S270*Parametri_v3!$C$7*Parametri_v3!$C$8+Parametri_v3!$C$10)/12</f>
        <v>35.2916666666667</v>
      </c>
      <c r="AG270" s="15" t="n">
        <f aca="false">AD270+AE270*(1+Parametri_v3!$C$9)</f>
        <v>38.5</v>
      </c>
      <c r="AH270" s="16" t="n">
        <f aca="false">IF(AG270=0,1,MIN(1,AF270/AG270))</f>
        <v>0.916666666666666</v>
      </c>
      <c r="AI270" s="15" t="n">
        <f aca="false">AD270*AH270</f>
        <v>30.25</v>
      </c>
      <c r="AJ270" s="15" t="n">
        <f aca="false">AE270*AH270</f>
        <v>3.36111111111111</v>
      </c>
      <c r="AK270" s="15" t="n">
        <f aca="false">AI270*INDEX(Ipotesi!$C$49:$G$49,1,F270)*H270</f>
        <v>23141.25</v>
      </c>
      <c r="AL270" s="15" t="n">
        <f aca="false">AJ270*INDEX(Ipotesi!$C$51:$G$51,1,F270)*H270</f>
        <v>6806.25</v>
      </c>
      <c r="AM270" s="15" t="n">
        <f aca="false">AK270+AL270</f>
        <v>29947.5</v>
      </c>
      <c r="AN270" s="15" t="n">
        <f aca="false">INDEX(Ipotesi!$C$30:$G$30,1,F270)*G270/12</f>
        <v>22.9166666666667</v>
      </c>
      <c r="AO270" s="15" t="n">
        <f aca="false">O270*Parametri_v3!$C$7*Parametri_v3!$C$11*(1-Parametri_v3!$C$14)/12</f>
        <v>25.41</v>
      </c>
      <c r="AP270" s="15" t="n">
        <f aca="false">MIN(AN270,AO270)</f>
        <v>22.9166666666667</v>
      </c>
      <c r="AQ270" s="15" t="n">
        <f aca="false">AP270*INDEX(Ipotesi!$C$31:$G$31,1,F270)*H270</f>
        <v>20625</v>
      </c>
      <c r="AR270" s="15" t="n">
        <f aca="false">INDEX(Ipotesi!$C$75:$G$75,1,F270)*J270/12</f>
        <v>4000</v>
      </c>
      <c r="AS270" s="15" t="n">
        <f aca="false">INDEX(Ipotesi!$C$81:$G$81,1,F270)*J270/12</f>
        <v>250</v>
      </c>
      <c r="AT270" s="15" t="n">
        <f aca="false">AR270*Parametri_v3!$C$15+Z270*Parametri_v3!$C$16</f>
        <v>7341.835</v>
      </c>
      <c r="AU270" s="15" t="n">
        <f aca="false">Q270*Parametri_v3!$C$16*Parametri_v3!$C$17</f>
        <v>84</v>
      </c>
      <c r="AV270" s="17" t="n">
        <f aca="false">BD269</f>
        <v>6.60818893465475</v>
      </c>
      <c r="AW270" s="17" t="n">
        <f aca="false">AV270*(1-(1-INDEX(Ipotesi!$C$34:$G$34,1,F270))^(1/12))</f>
        <v>0.0577662167818836</v>
      </c>
      <c r="AX270" s="15" t="n">
        <f aca="false">ROUND(INDEX(Ipotesi!$C$32:$G$32,1,F270)*Ipotesi!G8,0)</f>
        <v>46</v>
      </c>
      <c r="AY270" s="15" t="n">
        <f aca="false">MAX(0,(AX270-(AV270-AW270))/(13-E270))</f>
        <v>3.5863252074661</v>
      </c>
      <c r="AZ270" s="15" t="n">
        <f aca="false">MIN(P270*Parametri_v3!$C$22,Q270*(1-Parametri_v3!$C$16)*Parametri_v3!$C$23)</f>
        <v>54</v>
      </c>
      <c r="BA270" s="15" t="n">
        <f aca="false">IF(OR(INDEX(Ipotesi!$C$35:$G$35,1,F270)&lt;=0,26-Parametri_v3!$C$21&lt;1),0,INDEX($AT$245:$AT$304,MAX(1,26-Parametri_v3!$C$21))/(INDEX(Ipotesi!$C$35:$G$35,1,F270)*Ipotesi!G27))</f>
        <v>0.328208333333333</v>
      </c>
      <c r="BB270" s="15" t="n">
        <f aca="false">IF(26-Parametri_v3!$C$21&lt;1,0,INDEX($AU$245:$AU$304,MAX(1,26-Parametri_v3!$C$21)))*Parametri_v3!$C$18*Parametri_v3!$C$19*Parametri_v3!$C$20</f>
        <v>1.18125</v>
      </c>
      <c r="BC270" s="17" t="n">
        <f aca="false">MAX(0,MIN(AY270,BA270,BB270,MAX(0,AZ270-(AV270-AW270))))</f>
        <v>0.328208333333333</v>
      </c>
      <c r="BD270" s="17" t="n">
        <f aca="false">AV270-AW270+BC270</f>
        <v>6.8786310512062</v>
      </c>
      <c r="BE270" s="17" t="n">
        <f aca="false">(AV270+BD270)/2</f>
        <v>6.74340999293048</v>
      </c>
      <c r="BF270" s="15" t="n">
        <f aca="false">BE270*INDEX(Ipotesi!$C$33:$G$33,1,F270)*H270/12</f>
        <v>2781.65662208382</v>
      </c>
      <c r="BG270" s="15" t="n">
        <f aca="false">BD270*INDEX(Ipotesi!$C$33:$G$33,1,F270)*H270</f>
        <v>34049.2237034707</v>
      </c>
      <c r="BH270" s="15" t="n">
        <f aca="false">AM270*INDEX(Ipotesi!$C$37:$G$37,1,F270)</f>
        <v>2994.75</v>
      </c>
      <c r="BI270" s="15" t="n">
        <f aca="false">AQ270+BF270+BH270</f>
        <v>26401.4066220838</v>
      </c>
      <c r="BJ270" s="15" t="n">
        <f aca="false">INDEX(Ipotesi!$C$68:$G$68,1,F270)*Ipotesi!$C$69/12</f>
        <v>2400</v>
      </c>
      <c r="BK270" s="15" t="n">
        <f aca="false">INDEX(Ipotesi!$C$68:$G$68,1,F270)*(1-Ipotesi!$C$69)/12</f>
        <v>3600</v>
      </c>
      <c r="BL270" s="15" t="n">
        <f aca="false">(AQ270+BF270)*Ipotesi!$C$67</f>
        <v>702.199698662515</v>
      </c>
      <c r="BM270" s="15" t="n">
        <f aca="false">AM270*Ipotesi!$C$67</f>
        <v>898.425</v>
      </c>
      <c r="BN270" s="15" t="n">
        <f aca="false">INDEX(Ipotesi!$C$72:$G$72,1,F270)/12*Ipotesi!G126+BF270*Ipotesi!$C$73</f>
        <v>972.532529766706</v>
      </c>
      <c r="BO270" s="15" t="n">
        <f aca="false">INDEX(Ipotesi!$C$74:$G$74,1,F270)/12*Ipotesi!G126</f>
        <v>1750</v>
      </c>
      <c r="BP270" s="15" t="n">
        <f aca="false">INDEX(Ipotesi!$C$76:$G$76,1,F270)/12</f>
        <v>1083.33333333333</v>
      </c>
      <c r="BQ270" s="15" t="n">
        <f aca="false">INDEX(Ipotesi!$C$77:$G$77,1,F270)/12*Ipotesi!G126</f>
        <v>1250</v>
      </c>
      <c r="BR270" s="15" t="n">
        <f aca="false">INDEX(Ipotesi!$C$78:$G$78,1,F270)/12</f>
        <v>1666.66666666667</v>
      </c>
      <c r="BS270" s="15" t="n">
        <f aca="false">SUM(M270:R270)*(Ipotesi!$C$85+Ipotesi!$C$86)/12</f>
        <v>2180.20833333333</v>
      </c>
      <c r="BT270" s="15" t="n">
        <f aca="false">BI270*Ipotesi!$C$87</f>
        <v>792.042198662515</v>
      </c>
      <c r="BU270" s="15" t="n">
        <f aca="false">INDEX(Ipotesi!$C$55:$G$55,1,F270)*K270/12</f>
        <v>900</v>
      </c>
      <c r="BV270" s="15" t="n">
        <f aca="false">INDEX(Ipotesi!$C$80:$G$80,1,F270)/12*Ipotesi!G126</f>
        <v>750</v>
      </c>
      <c r="BW270" s="15" t="n">
        <f aca="false">INDEX(Ipotesi!$C$82:$G$82,1,F270)/12</f>
        <v>1000</v>
      </c>
      <c r="BX270" s="15" t="n">
        <f aca="false">INDEX(Ipotesi!$C$83:$G$83,1,F270)/12</f>
        <v>666.666666666667</v>
      </c>
      <c r="BY270" s="15" t="n">
        <f aca="false">SUM(S270:U270)*(Ipotesi!$C$85+Ipotesi!$C$86)/12</f>
        <v>933.333333333333</v>
      </c>
      <c r="BZ270" s="15" t="n">
        <f aca="false">AM270*Ipotesi!$C$87</f>
        <v>898.425</v>
      </c>
      <c r="CA270" s="15" t="n">
        <f aca="false">AB270+BJ270+BL270+BN270+BO270+AR270+BP270+BQ270+BR270+BS270+BT270</f>
        <v>50509.0598437584</v>
      </c>
      <c r="CB270" s="15" t="n">
        <f aca="false">AC270+BK270+BM270+BH270+BU270+BV270+AS270+BW270+BX270+BY270+BZ270</f>
        <v>25158.25625</v>
      </c>
      <c r="CC270" s="15" t="n">
        <f aca="false">BI270-CA270</f>
        <v>-24107.6532216746</v>
      </c>
      <c r="CD270" s="15" t="n">
        <f aca="false">AM270-CB270</f>
        <v>4789.24374999999</v>
      </c>
      <c r="CE270" s="15" t="n">
        <f aca="false">INDEX(Ipotesi!$C$79:$G$79,1,F270)/12</f>
        <v>2500</v>
      </c>
      <c r="CF270" s="15" t="n">
        <f aca="false">INDEX(Ipotesi!$C$84:$G$84,1,F270)/12</f>
        <v>416.666666666667</v>
      </c>
      <c r="CG270" s="15" t="n">
        <f aca="false">Y270*MAX(0,Parametri_v3!$C$12-IF(P270=0,0,MIN(1,BE270/(P270*Parametri_v3!$C$22))))+W270*Parametri_v3!$C$13+X270*Parametri_v3!$C$14</f>
        <v>11614.9360974375</v>
      </c>
      <c r="CH270" s="15" t="n">
        <f aca="false">AB270*Parametri_v3!$C$32</f>
        <v>1685.60385416667</v>
      </c>
      <c r="CI270" s="15" t="n">
        <f aca="false">AC270*Parametri_v3!$C$32</f>
        <v>613.3328125</v>
      </c>
      <c r="CJ270" s="15" t="n">
        <f aca="false">CA270-AB270</f>
        <v>16796.9827604251</v>
      </c>
      <c r="CK270" s="15" t="n">
        <f aca="false">CB270-AC270-BH270</f>
        <v>9896.85</v>
      </c>
      <c r="CL270" s="15" t="n">
        <f aca="false">BF270*Ipotesi!$C$73+INDEX(Ipotesi!$C$72:$G$72,1,F270)/12*Ipotesi!G126*Parametri_v3!$C$58+Z270*(1-Parametri_v3!$C$16)</f>
        <v>2404.74752976671</v>
      </c>
      <c r="CM270" s="16" t="n">
        <f aca="false">IF(BF270=0,0,1-CL270/BF270)</f>
        <v>0.135498065909645</v>
      </c>
    </row>
    <row r="271" customFormat="false" ht="18" hidden="false" customHeight="true" outlineLevel="0" collapsed="false">
      <c r="A271" s="68" t="n">
        <f aca="false">5</f>
        <v>5</v>
      </c>
      <c r="B271" s="68" t="n">
        <f aca="false">27</f>
        <v>27</v>
      </c>
      <c r="C271" s="18" t="n">
        <f aca="false">EDATE(Parametri_v3!$C$5,27-1)</f>
        <v>47178</v>
      </c>
      <c r="D271" s="68" t="n">
        <f aca="false">YEAR(C271)</f>
        <v>2029</v>
      </c>
      <c r="E271" s="68" t="n">
        <f aca="false">MONTH(C271)</f>
        <v>3</v>
      </c>
      <c r="F271" s="68" t="n">
        <f aca="false">INT((27-1)/12)+1</f>
        <v>3</v>
      </c>
      <c r="G271" s="15" t="n">
        <f aca="false">Ipotesi!G7</f>
        <v>0.55</v>
      </c>
      <c r="H271" s="15" t="n">
        <f aca="false">Ipotesi!G9</f>
        <v>0.9</v>
      </c>
      <c r="I271" s="15" t="n">
        <f aca="false">Ipotesi!G10</f>
        <v>0.3</v>
      </c>
      <c r="J271" s="15" t="n">
        <f aca="false">Ipotesi!G11</f>
        <v>0.2</v>
      </c>
      <c r="K271" s="15" t="n">
        <f aca="false">Ipotesi!G12</f>
        <v>0.6</v>
      </c>
      <c r="L271" s="15" t="n">
        <f aca="false">Ipotesi!G13</f>
        <v>120</v>
      </c>
      <c r="M271" s="17" t="n">
        <f aca="false">INDEX(Ipotesi!$C$40:$G$40,1,F271)</f>
        <v>1</v>
      </c>
      <c r="N271" s="17" t="n">
        <f aca="false">INDEX(Ipotesi!$C$41:$G$41,1,F271)</f>
        <v>1</v>
      </c>
      <c r="O271" s="17" t="n">
        <f aca="false">INDEX(Ipotesi!$C$42:$G$42,1,F271)*Ipotesi!G125</f>
        <v>2.475</v>
      </c>
      <c r="P271" s="17" t="n">
        <f aca="false">INDEX(Ipotesi!$C$43:$G$43,1,F271)*I271</f>
        <v>1.5</v>
      </c>
      <c r="Q271" s="17" t="n">
        <f aca="false">INDEX(Ipotesi!$C$44:$G$44,1,F271)*I271</f>
        <v>1.2</v>
      </c>
      <c r="R271" s="17" t="n">
        <f aca="false">INDEX(Ipotesi!$C$45:$G$45,1,F271)*I271</f>
        <v>0.3</v>
      </c>
      <c r="S271" s="17" t="n">
        <f aca="false">INDEX(Ipotesi!$C$52:$G$52,1,F271)*Ipotesi!G125</f>
        <v>2.75</v>
      </c>
      <c r="T271" s="17" t="n">
        <f aca="false">INDEX(Ipotesi!$C$53:$G$53,1,F271)*I271</f>
        <v>0.3</v>
      </c>
      <c r="U271" s="17" t="n">
        <f aca="false">INDEX(Ipotesi!$C$54:$G$54,1,F271)*I271</f>
        <v>0.15</v>
      </c>
      <c r="V271" s="15" t="n">
        <f aca="false">M271*INDEX(Ipotesi!$C$58:$G$58,1,F271)*K271/12</f>
        <v>4250</v>
      </c>
      <c r="W271" s="15" t="n">
        <f aca="false">N271*Ipotesi!$C$59*(1+Ipotesi!$C$66)^(F271-1)/12</f>
        <v>6188.58333333333</v>
      </c>
      <c r="X271" s="15" t="n">
        <f aca="false">O271*Ipotesi!$C$60*(1+Ipotesi!$C$66)^(F271-1)/12</f>
        <v>10940.53125</v>
      </c>
      <c r="Y271" s="15" t="n">
        <f aca="false">P271*Ipotesi!$C$61*(1+Ipotesi!$C$66)^(F271-1)/12</f>
        <v>6630.625</v>
      </c>
      <c r="Z271" s="15" t="n">
        <f aca="false">Q271*Ipotesi!$C$62*(1+Ipotesi!$C$66)^(F271-1)/12</f>
        <v>4774.05</v>
      </c>
      <c r="AA271" s="15" t="n">
        <f aca="false">R271*Ipotesi!$C$63*(1+Ipotesi!$C$66)^(F271-1)/12</f>
        <v>928.2875</v>
      </c>
      <c r="AB271" s="15" t="n">
        <f aca="false">SUM(V271:AA271)</f>
        <v>33712.0770833333</v>
      </c>
      <c r="AC271" s="15" t="n">
        <f aca="false">(S271*Ipotesi!$C$64+T271*Ipotesi!$C$65+U271*Ipotesi!$C$63)*(1+Ipotesi!$C$66)^(F271-1)/12</f>
        <v>12266.65625</v>
      </c>
      <c r="AD271" s="15" t="n">
        <f aca="false">INDEX(Ipotesi!$C$48:$G$48,1,F271)*G271/12</f>
        <v>33</v>
      </c>
      <c r="AE271" s="15" t="n">
        <f aca="false">INDEX(Ipotesi!$C$50:$G$50,1,F271)*G271/12</f>
        <v>3.66666666666667</v>
      </c>
      <c r="AF271" s="15" t="n">
        <f aca="false">(S271*Parametri_v3!$C$7*Parametri_v3!$C$8+Parametri_v3!$C$10)/12</f>
        <v>35.2916666666667</v>
      </c>
      <c r="AG271" s="15" t="n">
        <f aca="false">AD271+AE271*(1+Parametri_v3!$C$9)</f>
        <v>38.5</v>
      </c>
      <c r="AH271" s="16" t="n">
        <f aca="false">IF(AG271=0,1,MIN(1,AF271/AG271))</f>
        <v>0.916666666666666</v>
      </c>
      <c r="AI271" s="15" t="n">
        <f aca="false">AD271*AH271</f>
        <v>30.25</v>
      </c>
      <c r="AJ271" s="15" t="n">
        <f aca="false">AE271*AH271</f>
        <v>3.36111111111111</v>
      </c>
      <c r="AK271" s="15" t="n">
        <f aca="false">AI271*INDEX(Ipotesi!$C$49:$G$49,1,F271)*H271</f>
        <v>23141.25</v>
      </c>
      <c r="AL271" s="15" t="n">
        <f aca="false">AJ271*INDEX(Ipotesi!$C$51:$G$51,1,F271)*H271</f>
        <v>6806.25</v>
      </c>
      <c r="AM271" s="15" t="n">
        <f aca="false">AK271+AL271</f>
        <v>29947.5</v>
      </c>
      <c r="AN271" s="15" t="n">
        <f aca="false">INDEX(Ipotesi!$C$30:$G$30,1,F271)*G271/12</f>
        <v>22.9166666666667</v>
      </c>
      <c r="AO271" s="15" t="n">
        <f aca="false">O271*Parametri_v3!$C$7*Parametri_v3!$C$11*(1-Parametri_v3!$C$14)/12</f>
        <v>25.41</v>
      </c>
      <c r="AP271" s="15" t="n">
        <f aca="false">MIN(AN271,AO271)</f>
        <v>22.9166666666667</v>
      </c>
      <c r="AQ271" s="15" t="n">
        <f aca="false">AP271*INDEX(Ipotesi!$C$31:$G$31,1,F271)*H271</f>
        <v>20625</v>
      </c>
      <c r="AR271" s="15" t="n">
        <f aca="false">INDEX(Ipotesi!$C$75:$G$75,1,F271)*J271/12</f>
        <v>4000</v>
      </c>
      <c r="AS271" s="15" t="n">
        <f aca="false">INDEX(Ipotesi!$C$81:$G$81,1,F271)*J271/12</f>
        <v>250</v>
      </c>
      <c r="AT271" s="15" t="n">
        <f aca="false">AR271*Parametri_v3!$C$15+Z271*Parametri_v3!$C$16</f>
        <v>7341.835</v>
      </c>
      <c r="AU271" s="15" t="n">
        <f aca="false">Q271*Parametri_v3!$C$16*Parametri_v3!$C$17</f>
        <v>84</v>
      </c>
      <c r="AV271" s="17" t="n">
        <f aca="false">BD270</f>
        <v>6.8786310512062</v>
      </c>
      <c r="AW271" s="17" t="n">
        <f aca="false">AV271*(1-(1-INDEX(Ipotesi!$C$34:$G$34,1,F271))^(1/12))</f>
        <v>0.0601303165505411</v>
      </c>
      <c r="AX271" s="15" t="n">
        <f aca="false">ROUND(INDEX(Ipotesi!$C$32:$G$32,1,F271)*Ipotesi!G8,0)</f>
        <v>46</v>
      </c>
      <c r="AY271" s="15" t="n">
        <f aca="false">MAX(0,(AX271-(AV271-AW271))/(13-E271))</f>
        <v>3.91814992653443</v>
      </c>
      <c r="AZ271" s="15" t="n">
        <f aca="false">MIN(P271*Parametri_v3!$C$22,Q271*(1-Parametri_v3!$C$16)*Parametri_v3!$C$23)</f>
        <v>54</v>
      </c>
      <c r="BA271" s="15" t="n">
        <f aca="false">IF(OR(INDEX(Ipotesi!$C$35:$G$35,1,F271)&lt;=0,27-Parametri_v3!$C$21&lt;1),0,INDEX($AT$245:$AT$304,MAX(1,27-Parametri_v3!$C$21))/(INDEX(Ipotesi!$C$35:$G$35,1,F271)*Ipotesi!G27))</f>
        <v>0.328208333333333</v>
      </c>
      <c r="BB271" s="15" t="n">
        <f aca="false">IF(27-Parametri_v3!$C$21&lt;1,0,INDEX($AU$245:$AU$304,MAX(1,27-Parametri_v3!$C$21)))*Parametri_v3!$C$18*Parametri_v3!$C$19*Parametri_v3!$C$20</f>
        <v>1.18125</v>
      </c>
      <c r="BC271" s="17" t="n">
        <f aca="false">MAX(0,MIN(AY271,BA271,BB271,MAX(0,AZ271-(AV271-AW271))))</f>
        <v>0.328208333333333</v>
      </c>
      <c r="BD271" s="17" t="n">
        <f aca="false">AV271-AW271+BC271</f>
        <v>7.14670906798899</v>
      </c>
      <c r="BE271" s="17" t="n">
        <f aca="false">(AV271+BD271)/2</f>
        <v>7.0126700595976</v>
      </c>
      <c r="BF271" s="15" t="n">
        <f aca="false">BE271*INDEX(Ipotesi!$C$33:$G$33,1,F271)*H271/12</f>
        <v>2892.72639958401</v>
      </c>
      <c r="BG271" s="15" t="n">
        <f aca="false">BD271*INDEX(Ipotesi!$C$33:$G$33,1,F271)*H271</f>
        <v>35376.2098865455</v>
      </c>
      <c r="BH271" s="15" t="n">
        <f aca="false">AM271*INDEX(Ipotesi!$C$37:$G$37,1,F271)</f>
        <v>2994.75</v>
      </c>
      <c r="BI271" s="15" t="n">
        <f aca="false">AQ271+BF271+BH271</f>
        <v>26512.476399584</v>
      </c>
      <c r="BJ271" s="15" t="n">
        <f aca="false">INDEX(Ipotesi!$C$68:$G$68,1,F271)*Ipotesi!$C$69/12</f>
        <v>2400</v>
      </c>
      <c r="BK271" s="15" t="n">
        <f aca="false">INDEX(Ipotesi!$C$68:$G$68,1,F271)*(1-Ipotesi!$C$69)/12</f>
        <v>3600</v>
      </c>
      <c r="BL271" s="15" t="n">
        <f aca="false">(AQ271+BF271)*Ipotesi!$C$67</f>
        <v>705.53179198752</v>
      </c>
      <c r="BM271" s="15" t="n">
        <f aca="false">AM271*Ipotesi!$C$67</f>
        <v>898.425</v>
      </c>
      <c r="BN271" s="15" t="n">
        <f aca="false">INDEX(Ipotesi!$C$72:$G$72,1,F271)/12*Ipotesi!G126+BF271*Ipotesi!$C$73</f>
        <v>981.418111966721</v>
      </c>
      <c r="BO271" s="15" t="n">
        <f aca="false">INDEX(Ipotesi!$C$74:$G$74,1,F271)/12*Ipotesi!G126</f>
        <v>1750</v>
      </c>
      <c r="BP271" s="15" t="n">
        <f aca="false">INDEX(Ipotesi!$C$76:$G$76,1,F271)/12</f>
        <v>1083.33333333333</v>
      </c>
      <c r="BQ271" s="15" t="n">
        <f aca="false">INDEX(Ipotesi!$C$77:$G$77,1,F271)/12*Ipotesi!G126</f>
        <v>1250</v>
      </c>
      <c r="BR271" s="15" t="n">
        <f aca="false">INDEX(Ipotesi!$C$78:$G$78,1,F271)/12</f>
        <v>1666.66666666667</v>
      </c>
      <c r="BS271" s="15" t="n">
        <f aca="false">SUM(M271:R271)*(Ipotesi!$C$85+Ipotesi!$C$86)/12</f>
        <v>2180.20833333333</v>
      </c>
      <c r="BT271" s="15" t="n">
        <f aca="false">BI271*Ipotesi!$C$87</f>
        <v>795.37429198752</v>
      </c>
      <c r="BU271" s="15" t="n">
        <f aca="false">INDEX(Ipotesi!$C$55:$G$55,1,F271)*K271/12</f>
        <v>900</v>
      </c>
      <c r="BV271" s="15" t="n">
        <f aca="false">INDEX(Ipotesi!$C$80:$G$80,1,F271)/12*Ipotesi!G126</f>
        <v>750</v>
      </c>
      <c r="BW271" s="15" t="n">
        <f aca="false">INDEX(Ipotesi!$C$82:$G$82,1,F271)/12</f>
        <v>1000</v>
      </c>
      <c r="BX271" s="15" t="n">
        <f aca="false">INDEX(Ipotesi!$C$83:$G$83,1,F271)/12</f>
        <v>666.666666666667</v>
      </c>
      <c r="BY271" s="15" t="n">
        <f aca="false">SUM(S271:U271)*(Ipotesi!$C$85+Ipotesi!$C$86)/12</f>
        <v>933.333333333333</v>
      </c>
      <c r="BZ271" s="15" t="n">
        <f aca="false">AM271*Ipotesi!$C$87</f>
        <v>898.425</v>
      </c>
      <c r="CA271" s="15" t="n">
        <f aca="false">AB271+BJ271+BL271+BN271+BO271+AR271+BP271+BQ271+BR271+BS271+BT271</f>
        <v>50524.6096126084</v>
      </c>
      <c r="CB271" s="15" t="n">
        <f aca="false">AC271+BK271+BM271+BH271+BU271+BV271+AS271+BW271+BX271+BY271+BZ271</f>
        <v>25158.25625</v>
      </c>
      <c r="CC271" s="15" t="n">
        <f aca="false">BI271-CA271</f>
        <v>-24012.1332130244</v>
      </c>
      <c r="CD271" s="15" t="n">
        <f aca="false">AM271-CB271</f>
        <v>4789.24374999999</v>
      </c>
      <c r="CE271" s="15" t="n">
        <f aca="false">INDEX(Ipotesi!$C$79:$G$79,1,F271)/12</f>
        <v>2500</v>
      </c>
      <c r="CF271" s="15" t="n">
        <f aca="false">INDEX(Ipotesi!$C$84:$G$84,1,F271)/12</f>
        <v>416.666666666667</v>
      </c>
      <c r="CG271" s="15" t="n">
        <f aca="false">Y271*MAX(0,Parametri_v3!$C$12-IF(P271=0,0,MIN(1,BE271/(P271*Parametri_v3!$C$22))))+W271*Parametri_v3!$C$13+X271*Parametri_v3!$C$14</f>
        <v>11603.0336805739</v>
      </c>
      <c r="CH271" s="15" t="n">
        <f aca="false">AB271*Parametri_v3!$C$32</f>
        <v>1685.60385416667</v>
      </c>
      <c r="CI271" s="15" t="n">
        <f aca="false">AC271*Parametri_v3!$C$32</f>
        <v>613.3328125</v>
      </c>
      <c r="CJ271" s="15" t="n">
        <f aca="false">CA271-AB271</f>
        <v>16812.5325292751</v>
      </c>
      <c r="CK271" s="15" t="n">
        <f aca="false">CB271-AC271-BH271</f>
        <v>9896.85</v>
      </c>
      <c r="CL271" s="15" t="n">
        <f aca="false">BF271*Ipotesi!$C$73+INDEX(Ipotesi!$C$72:$G$72,1,F271)/12*Ipotesi!G126*Parametri_v3!$C$58+Z271*(1-Parametri_v3!$C$16)</f>
        <v>2413.63311196672</v>
      </c>
      <c r="CM271" s="16" t="n">
        <f aca="false">IF(BF271=0,0,1-CL271/BF271)</f>
        <v>0.165619979714011</v>
      </c>
    </row>
    <row r="272" customFormat="false" ht="18" hidden="false" customHeight="true" outlineLevel="0" collapsed="false">
      <c r="A272" s="68" t="n">
        <f aca="false">5</f>
        <v>5</v>
      </c>
      <c r="B272" s="68" t="n">
        <f aca="false">28</f>
        <v>28</v>
      </c>
      <c r="C272" s="18" t="n">
        <f aca="false">EDATE(Parametri_v3!$C$5,28-1)</f>
        <v>47209</v>
      </c>
      <c r="D272" s="68" t="n">
        <f aca="false">YEAR(C272)</f>
        <v>2029</v>
      </c>
      <c r="E272" s="68" t="n">
        <f aca="false">MONTH(C272)</f>
        <v>4</v>
      </c>
      <c r="F272" s="68" t="n">
        <f aca="false">INT((28-1)/12)+1</f>
        <v>3</v>
      </c>
      <c r="G272" s="15" t="n">
        <f aca="false">Ipotesi!G7</f>
        <v>0.55</v>
      </c>
      <c r="H272" s="15" t="n">
        <f aca="false">Ipotesi!G9</f>
        <v>0.9</v>
      </c>
      <c r="I272" s="15" t="n">
        <f aca="false">Ipotesi!G10</f>
        <v>0.3</v>
      </c>
      <c r="J272" s="15" t="n">
        <f aca="false">Ipotesi!G11</f>
        <v>0.2</v>
      </c>
      <c r="K272" s="15" t="n">
        <f aca="false">Ipotesi!G12</f>
        <v>0.6</v>
      </c>
      <c r="L272" s="15" t="n">
        <f aca="false">Ipotesi!G13</f>
        <v>120</v>
      </c>
      <c r="M272" s="17" t="n">
        <f aca="false">INDEX(Ipotesi!$C$40:$G$40,1,F272)</f>
        <v>1</v>
      </c>
      <c r="N272" s="17" t="n">
        <f aca="false">INDEX(Ipotesi!$C$41:$G$41,1,F272)</f>
        <v>1</v>
      </c>
      <c r="O272" s="17" t="n">
        <f aca="false">INDEX(Ipotesi!$C$42:$G$42,1,F272)*Ipotesi!G125</f>
        <v>2.475</v>
      </c>
      <c r="P272" s="17" t="n">
        <f aca="false">INDEX(Ipotesi!$C$43:$G$43,1,F272)*I272</f>
        <v>1.5</v>
      </c>
      <c r="Q272" s="17" t="n">
        <f aca="false">INDEX(Ipotesi!$C$44:$G$44,1,F272)*I272</f>
        <v>1.2</v>
      </c>
      <c r="R272" s="17" t="n">
        <f aca="false">INDEX(Ipotesi!$C$45:$G$45,1,F272)*I272</f>
        <v>0.3</v>
      </c>
      <c r="S272" s="17" t="n">
        <f aca="false">INDEX(Ipotesi!$C$52:$G$52,1,F272)*Ipotesi!G125</f>
        <v>2.75</v>
      </c>
      <c r="T272" s="17" t="n">
        <f aca="false">INDEX(Ipotesi!$C$53:$G$53,1,F272)*I272</f>
        <v>0.3</v>
      </c>
      <c r="U272" s="17" t="n">
        <f aca="false">INDEX(Ipotesi!$C$54:$G$54,1,F272)*I272</f>
        <v>0.15</v>
      </c>
      <c r="V272" s="15" t="n">
        <f aca="false">M272*INDEX(Ipotesi!$C$58:$G$58,1,F272)*K272/12</f>
        <v>4250</v>
      </c>
      <c r="W272" s="15" t="n">
        <f aca="false">N272*Ipotesi!$C$59*(1+Ipotesi!$C$66)^(F272-1)/12</f>
        <v>6188.58333333333</v>
      </c>
      <c r="X272" s="15" t="n">
        <f aca="false">O272*Ipotesi!$C$60*(1+Ipotesi!$C$66)^(F272-1)/12</f>
        <v>10940.53125</v>
      </c>
      <c r="Y272" s="15" t="n">
        <f aca="false">P272*Ipotesi!$C$61*(1+Ipotesi!$C$66)^(F272-1)/12</f>
        <v>6630.625</v>
      </c>
      <c r="Z272" s="15" t="n">
        <f aca="false">Q272*Ipotesi!$C$62*(1+Ipotesi!$C$66)^(F272-1)/12</f>
        <v>4774.05</v>
      </c>
      <c r="AA272" s="15" t="n">
        <f aca="false">R272*Ipotesi!$C$63*(1+Ipotesi!$C$66)^(F272-1)/12</f>
        <v>928.2875</v>
      </c>
      <c r="AB272" s="15" t="n">
        <f aca="false">SUM(V272:AA272)</f>
        <v>33712.0770833333</v>
      </c>
      <c r="AC272" s="15" t="n">
        <f aca="false">(S272*Ipotesi!$C$64+T272*Ipotesi!$C$65+U272*Ipotesi!$C$63)*(1+Ipotesi!$C$66)^(F272-1)/12</f>
        <v>12266.65625</v>
      </c>
      <c r="AD272" s="15" t="n">
        <f aca="false">INDEX(Ipotesi!$C$48:$G$48,1,F272)*G272/12</f>
        <v>33</v>
      </c>
      <c r="AE272" s="15" t="n">
        <f aca="false">INDEX(Ipotesi!$C$50:$G$50,1,F272)*G272/12</f>
        <v>3.66666666666667</v>
      </c>
      <c r="AF272" s="15" t="n">
        <f aca="false">(S272*Parametri_v3!$C$7*Parametri_v3!$C$8+Parametri_v3!$C$10)/12</f>
        <v>35.2916666666667</v>
      </c>
      <c r="AG272" s="15" t="n">
        <f aca="false">AD272+AE272*(1+Parametri_v3!$C$9)</f>
        <v>38.5</v>
      </c>
      <c r="AH272" s="16" t="n">
        <f aca="false">IF(AG272=0,1,MIN(1,AF272/AG272))</f>
        <v>0.916666666666666</v>
      </c>
      <c r="AI272" s="15" t="n">
        <f aca="false">AD272*AH272</f>
        <v>30.25</v>
      </c>
      <c r="AJ272" s="15" t="n">
        <f aca="false">AE272*AH272</f>
        <v>3.36111111111111</v>
      </c>
      <c r="AK272" s="15" t="n">
        <f aca="false">AI272*INDEX(Ipotesi!$C$49:$G$49,1,F272)*H272</f>
        <v>23141.25</v>
      </c>
      <c r="AL272" s="15" t="n">
        <f aca="false">AJ272*INDEX(Ipotesi!$C$51:$G$51,1,F272)*H272</f>
        <v>6806.25</v>
      </c>
      <c r="AM272" s="15" t="n">
        <f aca="false">AK272+AL272</f>
        <v>29947.5</v>
      </c>
      <c r="AN272" s="15" t="n">
        <f aca="false">INDEX(Ipotesi!$C$30:$G$30,1,F272)*G272/12</f>
        <v>22.9166666666667</v>
      </c>
      <c r="AO272" s="15" t="n">
        <f aca="false">O272*Parametri_v3!$C$7*Parametri_v3!$C$11*(1-Parametri_v3!$C$14)/12</f>
        <v>25.41</v>
      </c>
      <c r="AP272" s="15" t="n">
        <f aca="false">MIN(AN272,AO272)</f>
        <v>22.9166666666667</v>
      </c>
      <c r="AQ272" s="15" t="n">
        <f aca="false">AP272*INDEX(Ipotesi!$C$31:$G$31,1,F272)*H272</f>
        <v>20625</v>
      </c>
      <c r="AR272" s="15" t="n">
        <f aca="false">INDEX(Ipotesi!$C$75:$G$75,1,F272)*J272/12</f>
        <v>4000</v>
      </c>
      <c r="AS272" s="15" t="n">
        <f aca="false">INDEX(Ipotesi!$C$81:$G$81,1,F272)*J272/12</f>
        <v>250</v>
      </c>
      <c r="AT272" s="15" t="n">
        <f aca="false">AR272*Parametri_v3!$C$15+Z272*Parametri_v3!$C$16</f>
        <v>7341.835</v>
      </c>
      <c r="AU272" s="15" t="n">
        <f aca="false">Q272*Parametri_v3!$C$16*Parametri_v3!$C$17</f>
        <v>84</v>
      </c>
      <c r="AV272" s="17" t="n">
        <f aca="false">BD271</f>
        <v>7.14670906798899</v>
      </c>
      <c r="AW272" s="17" t="n">
        <f aca="false">AV272*(1-(1-INDEX(Ipotesi!$C$34:$G$34,1,F272))^(1/12))</f>
        <v>0.062473750278763</v>
      </c>
      <c r="AX272" s="15" t="n">
        <f aca="false">ROUND(INDEX(Ipotesi!$C$32:$G$32,1,F272)*Ipotesi!G8,0)</f>
        <v>46</v>
      </c>
      <c r="AY272" s="15" t="n">
        <f aca="false">MAX(0,(AX272-(AV272-AW272))/(13-E272))</f>
        <v>4.32397385358775</v>
      </c>
      <c r="AZ272" s="15" t="n">
        <f aca="false">MIN(P272*Parametri_v3!$C$22,Q272*(1-Parametri_v3!$C$16)*Parametri_v3!$C$23)</f>
        <v>54</v>
      </c>
      <c r="BA272" s="15" t="n">
        <f aca="false">IF(OR(INDEX(Ipotesi!$C$35:$G$35,1,F272)&lt;=0,28-Parametri_v3!$C$21&lt;1),0,INDEX($AT$245:$AT$304,MAX(1,28-Parametri_v3!$C$21))/(INDEX(Ipotesi!$C$35:$G$35,1,F272)*Ipotesi!G27))</f>
        <v>1.12951307692308</v>
      </c>
      <c r="BB272" s="15" t="n">
        <f aca="false">IF(28-Parametri_v3!$C$21&lt;1,0,INDEX($AU$245:$AU$304,MAX(1,28-Parametri_v3!$C$21)))*Parametri_v3!$C$18*Parametri_v3!$C$19*Parametri_v3!$C$20</f>
        <v>3.15</v>
      </c>
      <c r="BC272" s="17" t="n">
        <f aca="false">MAX(0,MIN(AY272,BA272,BB272,MAX(0,AZ272-(AV272-AW272))))</f>
        <v>1.12951307692308</v>
      </c>
      <c r="BD272" s="17" t="n">
        <f aca="false">AV272-AW272+BC272</f>
        <v>8.21374839463331</v>
      </c>
      <c r="BE272" s="17" t="n">
        <f aca="false">(AV272+BD272)/2</f>
        <v>7.68022873131115</v>
      </c>
      <c r="BF272" s="15" t="n">
        <f aca="false">BE272*INDEX(Ipotesi!$C$33:$G$33,1,F272)*H272/12</f>
        <v>3168.09435166585</v>
      </c>
      <c r="BG272" s="15" t="n">
        <f aca="false">BD272*INDEX(Ipotesi!$C$33:$G$33,1,F272)*H272</f>
        <v>40658.0545534349</v>
      </c>
      <c r="BH272" s="15" t="n">
        <f aca="false">AM272*INDEX(Ipotesi!$C$37:$G$37,1,F272)</f>
        <v>2994.75</v>
      </c>
      <c r="BI272" s="15" t="n">
        <f aca="false">AQ272+BF272+BH272</f>
        <v>26787.8443516658</v>
      </c>
      <c r="BJ272" s="15" t="n">
        <f aca="false">INDEX(Ipotesi!$C$68:$G$68,1,F272)*Ipotesi!$C$69/12</f>
        <v>2400</v>
      </c>
      <c r="BK272" s="15" t="n">
        <f aca="false">INDEX(Ipotesi!$C$68:$G$68,1,F272)*(1-Ipotesi!$C$69)/12</f>
        <v>3600</v>
      </c>
      <c r="BL272" s="15" t="n">
        <f aca="false">(AQ272+BF272)*Ipotesi!$C$67</f>
        <v>713.792830549975</v>
      </c>
      <c r="BM272" s="15" t="n">
        <f aca="false">AM272*Ipotesi!$C$67</f>
        <v>898.425</v>
      </c>
      <c r="BN272" s="15" t="n">
        <f aca="false">INDEX(Ipotesi!$C$72:$G$72,1,F272)/12*Ipotesi!G126+BF272*Ipotesi!$C$73</f>
        <v>1003.44754813327</v>
      </c>
      <c r="BO272" s="15" t="n">
        <f aca="false">INDEX(Ipotesi!$C$74:$G$74,1,F272)/12*Ipotesi!G126</f>
        <v>1750</v>
      </c>
      <c r="BP272" s="15" t="n">
        <f aca="false">INDEX(Ipotesi!$C$76:$G$76,1,F272)/12</f>
        <v>1083.33333333333</v>
      </c>
      <c r="BQ272" s="15" t="n">
        <f aca="false">INDEX(Ipotesi!$C$77:$G$77,1,F272)/12*Ipotesi!G126</f>
        <v>1250</v>
      </c>
      <c r="BR272" s="15" t="n">
        <f aca="false">INDEX(Ipotesi!$C$78:$G$78,1,F272)/12</f>
        <v>1666.66666666667</v>
      </c>
      <c r="BS272" s="15" t="n">
        <f aca="false">SUM(M272:R272)*(Ipotesi!$C$85+Ipotesi!$C$86)/12</f>
        <v>2180.20833333333</v>
      </c>
      <c r="BT272" s="15" t="n">
        <f aca="false">BI272*Ipotesi!$C$87</f>
        <v>803.635330549975</v>
      </c>
      <c r="BU272" s="15" t="n">
        <f aca="false">INDEX(Ipotesi!$C$55:$G$55,1,F272)*K272/12</f>
        <v>900</v>
      </c>
      <c r="BV272" s="15" t="n">
        <f aca="false">INDEX(Ipotesi!$C$80:$G$80,1,F272)/12*Ipotesi!G126</f>
        <v>750</v>
      </c>
      <c r="BW272" s="15" t="n">
        <f aca="false">INDEX(Ipotesi!$C$82:$G$82,1,F272)/12</f>
        <v>1000</v>
      </c>
      <c r="BX272" s="15" t="n">
        <f aca="false">INDEX(Ipotesi!$C$83:$G$83,1,F272)/12</f>
        <v>666.666666666667</v>
      </c>
      <c r="BY272" s="15" t="n">
        <f aca="false">SUM(S272:U272)*(Ipotesi!$C$85+Ipotesi!$C$86)/12</f>
        <v>933.333333333333</v>
      </c>
      <c r="BZ272" s="15" t="n">
        <f aca="false">AM272*Ipotesi!$C$87</f>
        <v>898.425</v>
      </c>
      <c r="CA272" s="15" t="n">
        <f aca="false">AB272+BJ272+BL272+BN272+BO272+AR272+BP272+BQ272+BR272+BS272+BT272</f>
        <v>50563.1611258999</v>
      </c>
      <c r="CB272" s="15" t="n">
        <f aca="false">AC272+BK272+BM272+BH272+BU272+BV272+AS272+BW272+BX272+BY272+BZ272</f>
        <v>25158.25625</v>
      </c>
      <c r="CC272" s="15" t="n">
        <f aca="false">BI272-CA272</f>
        <v>-23775.316774234</v>
      </c>
      <c r="CD272" s="15" t="n">
        <f aca="false">AM272-CB272</f>
        <v>4789.24374999999</v>
      </c>
      <c r="CE272" s="15" t="n">
        <f aca="false">INDEX(Ipotesi!$C$79:$G$79,1,F272)/12</f>
        <v>2500</v>
      </c>
      <c r="CF272" s="15" t="n">
        <f aca="false">INDEX(Ipotesi!$C$84:$G$84,1,F272)/12</f>
        <v>416.666666666667</v>
      </c>
      <c r="CG272" s="15" t="n">
        <f aca="false">Y272*MAX(0,Parametri_v3!$C$12-IF(P272=0,0,MIN(1,BE272/(P272*Parametri_v3!$C$22))))+W272*Parametri_v3!$C$13+X272*Parametri_v3!$C$14</f>
        <v>11573.5248057897</v>
      </c>
      <c r="CH272" s="15" t="n">
        <f aca="false">AB272*Parametri_v3!$C$32</f>
        <v>1685.60385416667</v>
      </c>
      <c r="CI272" s="15" t="n">
        <f aca="false">AC272*Parametri_v3!$C$32</f>
        <v>613.3328125</v>
      </c>
      <c r="CJ272" s="15" t="n">
        <f aca="false">CA272-AB272</f>
        <v>16851.0840425666</v>
      </c>
      <c r="CK272" s="15" t="n">
        <f aca="false">CB272-AC272-BH272</f>
        <v>9896.85</v>
      </c>
      <c r="CL272" s="15" t="n">
        <f aca="false">BF272*Ipotesi!$C$73+INDEX(Ipotesi!$C$72:$G$72,1,F272)/12*Ipotesi!G126*Parametri_v3!$C$58+Z272*(1-Parametri_v3!$C$16)</f>
        <v>2435.66254813327</v>
      </c>
      <c r="CM272" s="16" t="n">
        <f aca="false">IF(BF272=0,0,1-CL272/BF272)</f>
        <v>0.231190022212392</v>
      </c>
    </row>
    <row r="273" customFormat="false" ht="18" hidden="false" customHeight="true" outlineLevel="0" collapsed="false">
      <c r="A273" s="68" t="n">
        <f aca="false">5</f>
        <v>5</v>
      </c>
      <c r="B273" s="68" t="n">
        <f aca="false">29</f>
        <v>29</v>
      </c>
      <c r="C273" s="18" t="n">
        <f aca="false">EDATE(Parametri_v3!$C$5,29-1)</f>
        <v>47239</v>
      </c>
      <c r="D273" s="68" t="n">
        <f aca="false">YEAR(C273)</f>
        <v>2029</v>
      </c>
      <c r="E273" s="68" t="n">
        <f aca="false">MONTH(C273)</f>
        <v>5</v>
      </c>
      <c r="F273" s="68" t="n">
        <f aca="false">INT((29-1)/12)+1</f>
        <v>3</v>
      </c>
      <c r="G273" s="15" t="n">
        <f aca="false">Ipotesi!G7</f>
        <v>0.55</v>
      </c>
      <c r="H273" s="15" t="n">
        <f aca="false">Ipotesi!G9</f>
        <v>0.9</v>
      </c>
      <c r="I273" s="15" t="n">
        <f aca="false">Ipotesi!G10</f>
        <v>0.3</v>
      </c>
      <c r="J273" s="15" t="n">
        <f aca="false">Ipotesi!G11</f>
        <v>0.2</v>
      </c>
      <c r="K273" s="15" t="n">
        <f aca="false">Ipotesi!G12</f>
        <v>0.6</v>
      </c>
      <c r="L273" s="15" t="n">
        <f aca="false">Ipotesi!G13</f>
        <v>120</v>
      </c>
      <c r="M273" s="17" t="n">
        <f aca="false">INDEX(Ipotesi!$C$40:$G$40,1,F273)</f>
        <v>1</v>
      </c>
      <c r="N273" s="17" t="n">
        <f aca="false">INDEX(Ipotesi!$C$41:$G$41,1,F273)</f>
        <v>1</v>
      </c>
      <c r="O273" s="17" t="n">
        <f aca="false">INDEX(Ipotesi!$C$42:$G$42,1,F273)*Ipotesi!G125</f>
        <v>2.475</v>
      </c>
      <c r="P273" s="17" t="n">
        <f aca="false">INDEX(Ipotesi!$C$43:$G$43,1,F273)*I273</f>
        <v>1.5</v>
      </c>
      <c r="Q273" s="17" t="n">
        <f aca="false">INDEX(Ipotesi!$C$44:$G$44,1,F273)*I273</f>
        <v>1.2</v>
      </c>
      <c r="R273" s="17" t="n">
        <f aca="false">INDEX(Ipotesi!$C$45:$G$45,1,F273)*I273</f>
        <v>0.3</v>
      </c>
      <c r="S273" s="17" t="n">
        <f aca="false">INDEX(Ipotesi!$C$52:$G$52,1,F273)*Ipotesi!G125</f>
        <v>2.75</v>
      </c>
      <c r="T273" s="17" t="n">
        <f aca="false">INDEX(Ipotesi!$C$53:$G$53,1,F273)*I273</f>
        <v>0.3</v>
      </c>
      <c r="U273" s="17" t="n">
        <f aca="false">INDEX(Ipotesi!$C$54:$G$54,1,F273)*I273</f>
        <v>0.15</v>
      </c>
      <c r="V273" s="15" t="n">
        <f aca="false">M273*INDEX(Ipotesi!$C$58:$G$58,1,F273)*K273/12</f>
        <v>4250</v>
      </c>
      <c r="W273" s="15" t="n">
        <f aca="false">N273*Ipotesi!$C$59*(1+Ipotesi!$C$66)^(F273-1)/12</f>
        <v>6188.58333333333</v>
      </c>
      <c r="X273" s="15" t="n">
        <f aca="false">O273*Ipotesi!$C$60*(1+Ipotesi!$C$66)^(F273-1)/12</f>
        <v>10940.53125</v>
      </c>
      <c r="Y273" s="15" t="n">
        <f aca="false">P273*Ipotesi!$C$61*(1+Ipotesi!$C$66)^(F273-1)/12</f>
        <v>6630.625</v>
      </c>
      <c r="Z273" s="15" t="n">
        <f aca="false">Q273*Ipotesi!$C$62*(1+Ipotesi!$C$66)^(F273-1)/12</f>
        <v>4774.05</v>
      </c>
      <c r="AA273" s="15" t="n">
        <f aca="false">R273*Ipotesi!$C$63*(1+Ipotesi!$C$66)^(F273-1)/12</f>
        <v>928.2875</v>
      </c>
      <c r="AB273" s="15" t="n">
        <f aca="false">SUM(V273:AA273)</f>
        <v>33712.0770833333</v>
      </c>
      <c r="AC273" s="15" t="n">
        <f aca="false">(S273*Ipotesi!$C$64+T273*Ipotesi!$C$65+U273*Ipotesi!$C$63)*(1+Ipotesi!$C$66)^(F273-1)/12</f>
        <v>12266.65625</v>
      </c>
      <c r="AD273" s="15" t="n">
        <f aca="false">INDEX(Ipotesi!$C$48:$G$48,1,F273)*G273/12</f>
        <v>33</v>
      </c>
      <c r="AE273" s="15" t="n">
        <f aca="false">INDEX(Ipotesi!$C$50:$G$50,1,F273)*G273/12</f>
        <v>3.66666666666667</v>
      </c>
      <c r="AF273" s="15" t="n">
        <f aca="false">(S273*Parametri_v3!$C$7*Parametri_v3!$C$8+Parametri_v3!$C$10)/12</f>
        <v>35.2916666666667</v>
      </c>
      <c r="AG273" s="15" t="n">
        <f aca="false">AD273+AE273*(1+Parametri_v3!$C$9)</f>
        <v>38.5</v>
      </c>
      <c r="AH273" s="16" t="n">
        <f aca="false">IF(AG273=0,1,MIN(1,AF273/AG273))</f>
        <v>0.916666666666666</v>
      </c>
      <c r="AI273" s="15" t="n">
        <f aca="false">AD273*AH273</f>
        <v>30.25</v>
      </c>
      <c r="AJ273" s="15" t="n">
        <f aca="false">AE273*AH273</f>
        <v>3.36111111111111</v>
      </c>
      <c r="AK273" s="15" t="n">
        <f aca="false">AI273*INDEX(Ipotesi!$C$49:$G$49,1,F273)*H273</f>
        <v>23141.25</v>
      </c>
      <c r="AL273" s="15" t="n">
        <f aca="false">AJ273*INDEX(Ipotesi!$C$51:$G$51,1,F273)*H273</f>
        <v>6806.25</v>
      </c>
      <c r="AM273" s="15" t="n">
        <f aca="false">AK273+AL273</f>
        <v>29947.5</v>
      </c>
      <c r="AN273" s="15" t="n">
        <f aca="false">INDEX(Ipotesi!$C$30:$G$30,1,F273)*G273/12</f>
        <v>22.9166666666667</v>
      </c>
      <c r="AO273" s="15" t="n">
        <f aca="false">O273*Parametri_v3!$C$7*Parametri_v3!$C$11*(1-Parametri_v3!$C$14)/12</f>
        <v>25.41</v>
      </c>
      <c r="AP273" s="15" t="n">
        <f aca="false">MIN(AN273,AO273)</f>
        <v>22.9166666666667</v>
      </c>
      <c r="AQ273" s="15" t="n">
        <f aca="false">AP273*INDEX(Ipotesi!$C$31:$G$31,1,F273)*H273</f>
        <v>20625</v>
      </c>
      <c r="AR273" s="15" t="n">
        <f aca="false">INDEX(Ipotesi!$C$75:$G$75,1,F273)*J273/12</f>
        <v>4000</v>
      </c>
      <c r="AS273" s="15" t="n">
        <f aca="false">INDEX(Ipotesi!$C$81:$G$81,1,F273)*J273/12</f>
        <v>250</v>
      </c>
      <c r="AT273" s="15" t="n">
        <f aca="false">AR273*Parametri_v3!$C$15+Z273*Parametri_v3!$C$16</f>
        <v>7341.835</v>
      </c>
      <c r="AU273" s="15" t="n">
        <f aca="false">Q273*Parametri_v3!$C$16*Parametri_v3!$C$17</f>
        <v>84</v>
      </c>
      <c r="AV273" s="17" t="n">
        <f aca="false">BD272</f>
        <v>8.21374839463331</v>
      </c>
      <c r="AW273" s="17" t="n">
        <f aca="false">AV273*(1-(1-INDEX(Ipotesi!$C$34:$G$34,1,F273))^(1/12))</f>
        <v>0.0718013929456491</v>
      </c>
      <c r="AX273" s="15" t="n">
        <f aca="false">ROUND(INDEX(Ipotesi!$C$32:$G$32,1,F273)*Ipotesi!G8,0)</f>
        <v>46</v>
      </c>
      <c r="AY273" s="15" t="n">
        <f aca="false">MAX(0,(AX273-(AV273-AW273))/(13-E273))</f>
        <v>4.73225662478904</v>
      </c>
      <c r="AZ273" s="15" t="n">
        <f aca="false">MIN(P273*Parametri_v3!$C$22,Q273*(1-Parametri_v3!$C$16)*Parametri_v3!$C$23)</f>
        <v>54</v>
      </c>
      <c r="BA273" s="15" t="n">
        <f aca="false">IF(OR(INDEX(Ipotesi!$C$35:$G$35,1,F273)&lt;=0,29-Parametri_v3!$C$21&lt;1),0,INDEX($AT$245:$AT$304,MAX(1,29-Parametri_v3!$C$21))/(INDEX(Ipotesi!$C$35:$G$35,1,F273)*Ipotesi!G27))</f>
        <v>1.12951307692308</v>
      </c>
      <c r="BB273" s="15" t="n">
        <f aca="false">IF(29-Parametri_v3!$C$21&lt;1,0,INDEX($AU$245:$AU$304,MAX(1,29-Parametri_v3!$C$21)))*Parametri_v3!$C$18*Parametri_v3!$C$19*Parametri_v3!$C$20</f>
        <v>3.15</v>
      </c>
      <c r="BC273" s="17" t="n">
        <f aca="false">MAX(0,MIN(AY273,BA273,BB273,MAX(0,AZ273-(AV273-AW273))))</f>
        <v>1.12951307692308</v>
      </c>
      <c r="BD273" s="17" t="n">
        <f aca="false">AV273-AW273+BC273</f>
        <v>9.27146007861074</v>
      </c>
      <c r="BE273" s="17" t="n">
        <f aca="false">(AV273+BD273)/2</f>
        <v>8.74260423662202</v>
      </c>
      <c r="BF273" s="15" t="n">
        <f aca="false">BE273*INDEX(Ipotesi!$C$33:$G$33,1,F273)*H273/12</f>
        <v>3606.32424760658</v>
      </c>
      <c r="BG273" s="15" t="n">
        <f aca="false">BD273*INDEX(Ipotesi!$C$33:$G$33,1,F273)*H273</f>
        <v>45893.7273891231</v>
      </c>
      <c r="BH273" s="15" t="n">
        <f aca="false">AM273*INDEX(Ipotesi!$C$37:$G$37,1,F273)</f>
        <v>2994.75</v>
      </c>
      <c r="BI273" s="15" t="n">
        <f aca="false">AQ273+BF273+BH273</f>
        <v>27226.0742476066</v>
      </c>
      <c r="BJ273" s="15" t="n">
        <f aca="false">INDEX(Ipotesi!$C$68:$G$68,1,F273)*Ipotesi!$C$69/12</f>
        <v>2400</v>
      </c>
      <c r="BK273" s="15" t="n">
        <f aca="false">INDEX(Ipotesi!$C$68:$G$68,1,F273)*(1-Ipotesi!$C$69)/12</f>
        <v>3600</v>
      </c>
      <c r="BL273" s="15" t="n">
        <f aca="false">(AQ273+BF273)*Ipotesi!$C$67</f>
        <v>726.939727428198</v>
      </c>
      <c r="BM273" s="15" t="n">
        <f aca="false">AM273*Ipotesi!$C$67</f>
        <v>898.425</v>
      </c>
      <c r="BN273" s="15" t="n">
        <f aca="false">INDEX(Ipotesi!$C$72:$G$72,1,F273)/12*Ipotesi!G126+BF273*Ipotesi!$C$73</f>
        <v>1038.50593980853</v>
      </c>
      <c r="BO273" s="15" t="n">
        <f aca="false">INDEX(Ipotesi!$C$74:$G$74,1,F273)/12*Ipotesi!G126</f>
        <v>1750</v>
      </c>
      <c r="BP273" s="15" t="n">
        <f aca="false">INDEX(Ipotesi!$C$76:$G$76,1,F273)/12</f>
        <v>1083.33333333333</v>
      </c>
      <c r="BQ273" s="15" t="n">
        <f aca="false">INDEX(Ipotesi!$C$77:$G$77,1,F273)/12*Ipotesi!G126</f>
        <v>1250</v>
      </c>
      <c r="BR273" s="15" t="n">
        <f aca="false">INDEX(Ipotesi!$C$78:$G$78,1,F273)/12</f>
        <v>1666.66666666667</v>
      </c>
      <c r="BS273" s="15" t="n">
        <f aca="false">SUM(M273:R273)*(Ipotesi!$C$85+Ipotesi!$C$86)/12</f>
        <v>2180.20833333333</v>
      </c>
      <c r="BT273" s="15" t="n">
        <f aca="false">BI273*Ipotesi!$C$87</f>
        <v>816.782227428198</v>
      </c>
      <c r="BU273" s="15" t="n">
        <f aca="false">INDEX(Ipotesi!$C$55:$G$55,1,F273)*K273/12</f>
        <v>900</v>
      </c>
      <c r="BV273" s="15" t="n">
        <f aca="false">INDEX(Ipotesi!$C$80:$G$80,1,F273)/12*Ipotesi!G126</f>
        <v>750</v>
      </c>
      <c r="BW273" s="15" t="n">
        <f aca="false">INDEX(Ipotesi!$C$82:$G$82,1,F273)/12</f>
        <v>1000</v>
      </c>
      <c r="BX273" s="15" t="n">
        <f aca="false">INDEX(Ipotesi!$C$83:$G$83,1,F273)/12</f>
        <v>666.666666666667</v>
      </c>
      <c r="BY273" s="15" t="n">
        <f aca="false">SUM(S273:U273)*(Ipotesi!$C$85+Ipotesi!$C$86)/12</f>
        <v>933.333333333333</v>
      </c>
      <c r="BZ273" s="15" t="n">
        <f aca="false">AM273*Ipotesi!$C$87</f>
        <v>898.425</v>
      </c>
      <c r="CA273" s="15" t="n">
        <f aca="false">AB273+BJ273+BL273+BN273+BO273+AR273+BP273+BQ273+BR273+BS273+BT273</f>
        <v>50624.5133113316</v>
      </c>
      <c r="CB273" s="15" t="n">
        <f aca="false">AC273+BK273+BM273+BH273+BU273+BV273+AS273+BW273+BX273+BY273+BZ273</f>
        <v>25158.25625</v>
      </c>
      <c r="CC273" s="15" t="n">
        <f aca="false">BI273-CA273</f>
        <v>-23398.439063725</v>
      </c>
      <c r="CD273" s="15" t="n">
        <f aca="false">AM273-CB273</f>
        <v>4789.24374999999</v>
      </c>
      <c r="CE273" s="15" t="n">
        <f aca="false">INDEX(Ipotesi!$C$79:$G$79,1,F273)/12</f>
        <v>2500</v>
      </c>
      <c r="CF273" s="15" t="n">
        <f aca="false">INDEX(Ipotesi!$C$84:$G$84,1,F273)/12</f>
        <v>416.666666666667</v>
      </c>
      <c r="CG273" s="15" t="n">
        <f aca="false">Y273*MAX(0,Parametri_v3!$C$12-IF(P273=0,0,MIN(1,BE273/(P273*Parametri_v3!$C$22))))+W273*Parametri_v3!$C$13+X273*Parametri_v3!$C$14</f>
        <v>11526.5633818903</v>
      </c>
      <c r="CH273" s="15" t="n">
        <f aca="false">AB273*Parametri_v3!$C$32</f>
        <v>1685.60385416667</v>
      </c>
      <c r="CI273" s="15" t="n">
        <f aca="false">AC273*Parametri_v3!$C$32</f>
        <v>613.3328125</v>
      </c>
      <c r="CJ273" s="15" t="n">
        <f aca="false">CA273-AB273</f>
        <v>16912.4362279983</v>
      </c>
      <c r="CK273" s="15" t="n">
        <f aca="false">CB273-AC273-BH273</f>
        <v>9896.85</v>
      </c>
      <c r="CL273" s="15" t="n">
        <f aca="false">BF273*Ipotesi!$C$73+INDEX(Ipotesi!$C$72:$G$72,1,F273)/12*Ipotesi!G126*Parametri_v3!$C$58+Z273*(1-Parametri_v3!$C$16)</f>
        <v>2470.72093980853</v>
      </c>
      <c r="CM273" s="16" t="n">
        <f aca="false">IF(BF273=0,0,1-CL273/BF273)</f>
        <v>0.314892181021084</v>
      </c>
    </row>
    <row r="274" customFormat="false" ht="18" hidden="false" customHeight="true" outlineLevel="0" collapsed="false">
      <c r="A274" s="68" t="n">
        <f aca="false">5</f>
        <v>5</v>
      </c>
      <c r="B274" s="68" t="n">
        <f aca="false">30</f>
        <v>30</v>
      </c>
      <c r="C274" s="18" t="n">
        <f aca="false">EDATE(Parametri_v3!$C$5,30-1)</f>
        <v>47270</v>
      </c>
      <c r="D274" s="68" t="n">
        <f aca="false">YEAR(C274)</f>
        <v>2029</v>
      </c>
      <c r="E274" s="68" t="n">
        <f aca="false">MONTH(C274)</f>
        <v>6</v>
      </c>
      <c r="F274" s="68" t="n">
        <f aca="false">INT((30-1)/12)+1</f>
        <v>3</v>
      </c>
      <c r="G274" s="15" t="n">
        <f aca="false">Ipotesi!G7</f>
        <v>0.55</v>
      </c>
      <c r="H274" s="15" t="n">
        <f aca="false">Ipotesi!G9</f>
        <v>0.9</v>
      </c>
      <c r="I274" s="15" t="n">
        <f aca="false">Ipotesi!G10</f>
        <v>0.3</v>
      </c>
      <c r="J274" s="15" t="n">
        <f aca="false">Ipotesi!G11</f>
        <v>0.2</v>
      </c>
      <c r="K274" s="15" t="n">
        <f aca="false">Ipotesi!G12</f>
        <v>0.6</v>
      </c>
      <c r="L274" s="15" t="n">
        <f aca="false">Ipotesi!G13</f>
        <v>120</v>
      </c>
      <c r="M274" s="17" t="n">
        <f aca="false">INDEX(Ipotesi!$C$40:$G$40,1,F274)</f>
        <v>1</v>
      </c>
      <c r="N274" s="17" t="n">
        <f aca="false">INDEX(Ipotesi!$C$41:$G$41,1,F274)</f>
        <v>1</v>
      </c>
      <c r="O274" s="17" t="n">
        <f aca="false">INDEX(Ipotesi!$C$42:$G$42,1,F274)*Ipotesi!G125</f>
        <v>2.475</v>
      </c>
      <c r="P274" s="17" t="n">
        <f aca="false">INDEX(Ipotesi!$C$43:$G$43,1,F274)*I274</f>
        <v>1.5</v>
      </c>
      <c r="Q274" s="17" t="n">
        <f aca="false">INDEX(Ipotesi!$C$44:$G$44,1,F274)*I274</f>
        <v>1.2</v>
      </c>
      <c r="R274" s="17" t="n">
        <f aca="false">INDEX(Ipotesi!$C$45:$G$45,1,F274)*I274</f>
        <v>0.3</v>
      </c>
      <c r="S274" s="17" t="n">
        <f aca="false">INDEX(Ipotesi!$C$52:$G$52,1,F274)*Ipotesi!G125</f>
        <v>2.75</v>
      </c>
      <c r="T274" s="17" t="n">
        <f aca="false">INDEX(Ipotesi!$C$53:$G$53,1,F274)*I274</f>
        <v>0.3</v>
      </c>
      <c r="U274" s="17" t="n">
        <f aca="false">INDEX(Ipotesi!$C$54:$G$54,1,F274)*I274</f>
        <v>0.15</v>
      </c>
      <c r="V274" s="15" t="n">
        <f aca="false">M274*INDEX(Ipotesi!$C$58:$G$58,1,F274)*K274/12</f>
        <v>4250</v>
      </c>
      <c r="W274" s="15" t="n">
        <f aca="false">N274*Ipotesi!$C$59*(1+Ipotesi!$C$66)^(F274-1)/12</f>
        <v>6188.58333333333</v>
      </c>
      <c r="X274" s="15" t="n">
        <f aca="false">O274*Ipotesi!$C$60*(1+Ipotesi!$C$66)^(F274-1)/12</f>
        <v>10940.53125</v>
      </c>
      <c r="Y274" s="15" t="n">
        <f aca="false">P274*Ipotesi!$C$61*(1+Ipotesi!$C$66)^(F274-1)/12</f>
        <v>6630.625</v>
      </c>
      <c r="Z274" s="15" t="n">
        <f aca="false">Q274*Ipotesi!$C$62*(1+Ipotesi!$C$66)^(F274-1)/12</f>
        <v>4774.05</v>
      </c>
      <c r="AA274" s="15" t="n">
        <f aca="false">R274*Ipotesi!$C$63*(1+Ipotesi!$C$66)^(F274-1)/12</f>
        <v>928.2875</v>
      </c>
      <c r="AB274" s="15" t="n">
        <f aca="false">SUM(V274:AA274)</f>
        <v>33712.0770833333</v>
      </c>
      <c r="AC274" s="15" t="n">
        <f aca="false">(S274*Ipotesi!$C$64+T274*Ipotesi!$C$65+U274*Ipotesi!$C$63)*(1+Ipotesi!$C$66)^(F274-1)/12</f>
        <v>12266.65625</v>
      </c>
      <c r="AD274" s="15" t="n">
        <f aca="false">INDEX(Ipotesi!$C$48:$G$48,1,F274)*G274/12</f>
        <v>33</v>
      </c>
      <c r="AE274" s="15" t="n">
        <f aca="false">INDEX(Ipotesi!$C$50:$G$50,1,F274)*G274/12</f>
        <v>3.66666666666667</v>
      </c>
      <c r="AF274" s="15" t="n">
        <f aca="false">(S274*Parametri_v3!$C$7*Parametri_v3!$C$8+Parametri_v3!$C$10)/12</f>
        <v>35.2916666666667</v>
      </c>
      <c r="AG274" s="15" t="n">
        <f aca="false">AD274+AE274*(1+Parametri_v3!$C$9)</f>
        <v>38.5</v>
      </c>
      <c r="AH274" s="16" t="n">
        <f aca="false">IF(AG274=0,1,MIN(1,AF274/AG274))</f>
        <v>0.916666666666666</v>
      </c>
      <c r="AI274" s="15" t="n">
        <f aca="false">AD274*AH274</f>
        <v>30.25</v>
      </c>
      <c r="AJ274" s="15" t="n">
        <f aca="false">AE274*AH274</f>
        <v>3.36111111111111</v>
      </c>
      <c r="AK274" s="15" t="n">
        <f aca="false">AI274*INDEX(Ipotesi!$C$49:$G$49,1,F274)*H274</f>
        <v>23141.25</v>
      </c>
      <c r="AL274" s="15" t="n">
        <f aca="false">AJ274*INDEX(Ipotesi!$C$51:$G$51,1,F274)*H274</f>
        <v>6806.25</v>
      </c>
      <c r="AM274" s="15" t="n">
        <f aca="false">AK274+AL274</f>
        <v>29947.5</v>
      </c>
      <c r="AN274" s="15" t="n">
        <f aca="false">INDEX(Ipotesi!$C$30:$G$30,1,F274)*G274/12</f>
        <v>22.9166666666667</v>
      </c>
      <c r="AO274" s="15" t="n">
        <f aca="false">O274*Parametri_v3!$C$7*Parametri_v3!$C$11*(1-Parametri_v3!$C$14)/12</f>
        <v>25.41</v>
      </c>
      <c r="AP274" s="15" t="n">
        <f aca="false">MIN(AN274,AO274)</f>
        <v>22.9166666666667</v>
      </c>
      <c r="AQ274" s="15" t="n">
        <f aca="false">AP274*INDEX(Ipotesi!$C$31:$G$31,1,F274)*H274</f>
        <v>20625</v>
      </c>
      <c r="AR274" s="15" t="n">
        <f aca="false">INDEX(Ipotesi!$C$75:$G$75,1,F274)*J274/12</f>
        <v>4000</v>
      </c>
      <c r="AS274" s="15" t="n">
        <f aca="false">INDEX(Ipotesi!$C$81:$G$81,1,F274)*J274/12</f>
        <v>250</v>
      </c>
      <c r="AT274" s="15" t="n">
        <f aca="false">AR274*Parametri_v3!$C$15+Z274*Parametri_v3!$C$16</f>
        <v>7341.835</v>
      </c>
      <c r="AU274" s="15" t="n">
        <f aca="false">Q274*Parametri_v3!$C$16*Parametri_v3!$C$17</f>
        <v>84</v>
      </c>
      <c r="AV274" s="17" t="n">
        <f aca="false">BD273</f>
        <v>9.27146007861074</v>
      </c>
      <c r="AW274" s="17" t="n">
        <f aca="false">AV274*(1-(1-INDEX(Ipotesi!$C$34:$G$34,1,F274))^(1/12))</f>
        <v>0.0810474969892169</v>
      </c>
      <c r="AX274" s="15" t="n">
        <f aca="false">ROUND(INDEX(Ipotesi!$C$32:$G$32,1,F274)*Ipotesi!G8,0)</f>
        <v>46</v>
      </c>
      <c r="AY274" s="15" t="n">
        <f aca="false">MAX(0,(AX274-(AV274-AW274))/(13-E274))</f>
        <v>5.25851248833978</v>
      </c>
      <c r="AZ274" s="15" t="n">
        <f aca="false">MIN(P274*Parametri_v3!$C$22,Q274*(1-Parametri_v3!$C$16)*Parametri_v3!$C$23)</f>
        <v>54</v>
      </c>
      <c r="BA274" s="15" t="n">
        <f aca="false">IF(OR(INDEX(Ipotesi!$C$35:$G$35,1,F274)&lt;=0,30-Parametri_v3!$C$21&lt;1),0,INDEX($AT$245:$AT$304,MAX(1,30-Parametri_v3!$C$21))/(INDEX(Ipotesi!$C$35:$G$35,1,F274)*Ipotesi!G27))</f>
        <v>1.12951307692308</v>
      </c>
      <c r="BB274" s="15" t="n">
        <f aca="false">IF(30-Parametri_v3!$C$21&lt;1,0,INDEX($AU$245:$AU$304,MAX(1,30-Parametri_v3!$C$21)))*Parametri_v3!$C$18*Parametri_v3!$C$19*Parametri_v3!$C$20</f>
        <v>3.15</v>
      </c>
      <c r="BC274" s="17" t="n">
        <f aca="false">MAX(0,MIN(AY274,BA274,BB274,MAX(0,AZ274-(AV274-AW274))))</f>
        <v>1.12951307692308</v>
      </c>
      <c r="BD274" s="17" t="n">
        <f aca="false">AV274-AW274+BC274</f>
        <v>10.3199256585446</v>
      </c>
      <c r="BE274" s="17" t="n">
        <f aca="false">(AV274+BD274)/2</f>
        <v>9.79569286857766</v>
      </c>
      <c r="BF274" s="15" t="n">
        <f aca="false">BE274*INDEX(Ipotesi!$C$33:$G$33,1,F274)*H274/12</f>
        <v>4040.72330828829</v>
      </c>
      <c r="BG274" s="15" t="n">
        <f aca="false">BD274*INDEX(Ipotesi!$C$33:$G$33,1,F274)*H274</f>
        <v>51083.6320097957</v>
      </c>
      <c r="BH274" s="15" t="n">
        <f aca="false">AM274*INDEX(Ipotesi!$C$37:$G$37,1,F274)</f>
        <v>2994.75</v>
      </c>
      <c r="BI274" s="15" t="n">
        <f aca="false">AQ274+BF274+BH274</f>
        <v>27660.4733082883</v>
      </c>
      <c r="BJ274" s="15" t="n">
        <f aca="false">INDEX(Ipotesi!$C$68:$G$68,1,F274)*Ipotesi!$C$69/12</f>
        <v>2400</v>
      </c>
      <c r="BK274" s="15" t="n">
        <f aca="false">INDEX(Ipotesi!$C$68:$G$68,1,F274)*(1-Ipotesi!$C$69)/12</f>
        <v>3600</v>
      </c>
      <c r="BL274" s="15" t="n">
        <f aca="false">(AQ274+BF274)*Ipotesi!$C$67</f>
        <v>739.971699248649</v>
      </c>
      <c r="BM274" s="15" t="n">
        <f aca="false">AM274*Ipotesi!$C$67</f>
        <v>898.425</v>
      </c>
      <c r="BN274" s="15" t="n">
        <f aca="false">INDEX(Ipotesi!$C$72:$G$72,1,F274)/12*Ipotesi!G126+BF274*Ipotesi!$C$73</f>
        <v>1073.25786466306</v>
      </c>
      <c r="BO274" s="15" t="n">
        <f aca="false">INDEX(Ipotesi!$C$74:$G$74,1,F274)/12*Ipotesi!G126</f>
        <v>1750</v>
      </c>
      <c r="BP274" s="15" t="n">
        <f aca="false">INDEX(Ipotesi!$C$76:$G$76,1,F274)/12</f>
        <v>1083.33333333333</v>
      </c>
      <c r="BQ274" s="15" t="n">
        <f aca="false">INDEX(Ipotesi!$C$77:$G$77,1,F274)/12*Ipotesi!G126</f>
        <v>1250</v>
      </c>
      <c r="BR274" s="15" t="n">
        <f aca="false">INDEX(Ipotesi!$C$78:$G$78,1,F274)/12</f>
        <v>1666.66666666667</v>
      </c>
      <c r="BS274" s="15" t="n">
        <f aca="false">SUM(M274:R274)*(Ipotesi!$C$85+Ipotesi!$C$86)/12</f>
        <v>2180.20833333333</v>
      </c>
      <c r="BT274" s="15" t="n">
        <f aca="false">BI274*Ipotesi!$C$87</f>
        <v>829.814199248649</v>
      </c>
      <c r="BU274" s="15" t="n">
        <f aca="false">INDEX(Ipotesi!$C$55:$G$55,1,F274)*K274/12</f>
        <v>900</v>
      </c>
      <c r="BV274" s="15" t="n">
        <f aca="false">INDEX(Ipotesi!$C$80:$G$80,1,F274)/12*Ipotesi!G126</f>
        <v>750</v>
      </c>
      <c r="BW274" s="15" t="n">
        <f aca="false">INDEX(Ipotesi!$C$82:$G$82,1,F274)/12</f>
        <v>1000</v>
      </c>
      <c r="BX274" s="15" t="n">
        <f aca="false">INDEX(Ipotesi!$C$83:$G$83,1,F274)/12</f>
        <v>666.666666666667</v>
      </c>
      <c r="BY274" s="15" t="n">
        <f aca="false">SUM(S274:U274)*(Ipotesi!$C$85+Ipotesi!$C$86)/12</f>
        <v>933.333333333333</v>
      </c>
      <c r="BZ274" s="15" t="n">
        <f aca="false">AM274*Ipotesi!$C$87</f>
        <v>898.425</v>
      </c>
      <c r="CA274" s="15" t="n">
        <f aca="false">AB274+BJ274+BL274+BN274+BO274+AR274+BP274+BQ274+BR274+BS274+BT274</f>
        <v>50685.329179827</v>
      </c>
      <c r="CB274" s="15" t="n">
        <f aca="false">AC274+BK274+BM274+BH274+BU274+BV274+AS274+BW274+BX274+BY274+BZ274</f>
        <v>25158.25625</v>
      </c>
      <c r="CC274" s="15" t="n">
        <f aca="false">BI274-CA274</f>
        <v>-23024.8558715387</v>
      </c>
      <c r="CD274" s="15" t="n">
        <f aca="false">AM274-CB274</f>
        <v>4789.24374999999</v>
      </c>
      <c r="CE274" s="15" t="n">
        <f aca="false">INDEX(Ipotesi!$C$79:$G$79,1,F274)/12</f>
        <v>2500</v>
      </c>
      <c r="CF274" s="15" t="n">
        <f aca="false">INDEX(Ipotesi!$C$84:$G$84,1,F274)/12</f>
        <v>416.666666666667</v>
      </c>
      <c r="CG274" s="15" t="n">
        <f aca="false">Y274*MAX(0,Parametri_v3!$C$12-IF(P274=0,0,MIN(1,BE274/(P274*Parametri_v3!$C$22))))+W274*Parametri_v3!$C$13+X274*Parametri_v3!$C$14</f>
        <v>11480.0124764886</v>
      </c>
      <c r="CH274" s="15" t="n">
        <f aca="false">AB274*Parametri_v3!$C$32</f>
        <v>1685.60385416667</v>
      </c>
      <c r="CI274" s="15" t="n">
        <f aca="false">AC274*Parametri_v3!$C$32</f>
        <v>613.3328125</v>
      </c>
      <c r="CJ274" s="15" t="n">
        <f aca="false">CA274-AB274</f>
        <v>16973.2520964937</v>
      </c>
      <c r="CK274" s="15" t="n">
        <f aca="false">CB274-AC274-BH274</f>
        <v>9896.85</v>
      </c>
      <c r="CL274" s="15" t="n">
        <f aca="false">BF274*Ipotesi!$C$73+INDEX(Ipotesi!$C$72:$G$72,1,F274)/12*Ipotesi!G126*Parametri_v3!$C$58+Z274*(1-Parametri_v3!$C$16)</f>
        <v>2505.47286466306</v>
      </c>
      <c r="CM274" s="16" t="n">
        <f aca="false">IF(BF274=0,0,1-CL274/BF274)</f>
        <v>0.379944462041272</v>
      </c>
    </row>
    <row r="275" customFormat="false" ht="18" hidden="false" customHeight="true" outlineLevel="0" collapsed="false">
      <c r="A275" s="68" t="n">
        <f aca="false">5</f>
        <v>5</v>
      </c>
      <c r="B275" s="68" t="n">
        <f aca="false">31</f>
        <v>31</v>
      </c>
      <c r="C275" s="18" t="n">
        <f aca="false">EDATE(Parametri_v3!$C$5,31-1)</f>
        <v>47300</v>
      </c>
      <c r="D275" s="68" t="n">
        <f aca="false">YEAR(C275)</f>
        <v>2029</v>
      </c>
      <c r="E275" s="68" t="n">
        <f aca="false">MONTH(C275)</f>
        <v>7</v>
      </c>
      <c r="F275" s="68" t="n">
        <f aca="false">INT((31-1)/12)+1</f>
        <v>3</v>
      </c>
      <c r="G275" s="15" t="n">
        <f aca="false">Ipotesi!G7</f>
        <v>0.55</v>
      </c>
      <c r="H275" s="15" t="n">
        <f aca="false">Ipotesi!G9</f>
        <v>0.9</v>
      </c>
      <c r="I275" s="15" t="n">
        <f aca="false">Ipotesi!G10</f>
        <v>0.3</v>
      </c>
      <c r="J275" s="15" t="n">
        <f aca="false">Ipotesi!G11</f>
        <v>0.2</v>
      </c>
      <c r="K275" s="15" t="n">
        <f aca="false">Ipotesi!G12</f>
        <v>0.6</v>
      </c>
      <c r="L275" s="15" t="n">
        <f aca="false">Ipotesi!G13</f>
        <v>120</v>
      </c>
      <c r="M275" s="17" t="n">
        <f aca="false">INDEX(Ipotesi!$C$40:$G$40,1,F275)</f>
        <v>1</v>
      </c>
      <c r="N275" s="17" t="n">
        <f aca="false">INDEX(Ipotesi!$C$41:$G$41,1,F275)</f>
        <v>1</v>
      </c>
      <c r="O275" s="17" t="n">
        <f aca="false">INDEX(Ipotesi!$C$42:$G$42,1,F275)*Ipotesi!G125</f>
        <v>2.475</v>
      </c>
      <c r="P275" s="17" t="n">
        <f aca="false">INDEX(Ipotesi!$C$43:$G$43,1,F275)*I275</f>
        <v>1.5</v>
      </c>
      <c r="Q275" s="17" t="n">
        <f aca="false">INDEX(Ipotesi!$C$44:$G$44,1,F275)*I275</f>
        <v>1.2</v>
      </c>
      <c r="R275" s="17" t="n">
        <f aca="false">INDEX(Ipotesi!$C$45:$G$45,1,F275)*I275</f>
        <v>0.3</v>
      </c>
      <c r="S275" s="17" t="n">
        <f aca="false">INDEX(Ipotesi!$C$52:$G$52,1,F275)*Ipotesi!G125</f>
        <v>2.75</v>
      </c>
      <c r="T275" s="17" t="n">
        <f aca="false">INDEX(Ipotesi!$C$53:$G$53,1,F275)*I275</f>
        <v>0.3</v>
      </c>
      <c r="U275" s="17" t="n">
        <f aca="false">INDEX(Ipotesi!$C$54:$G$54,1,F275)*I275</f>
        <v>0.15</v>
      </c>
      <c r="V275" s="15" t="n">
        <f aca="false">M275*INDEX(Ipotesi!$C$58:$G$58,1,F275)*K275/12</f>
        <v>4250</v>
      </c>
      <c r="W275" s="15" t="n">
        <f aca="false">N275*Ipotesi!$C$59*(1+Ipotesi!$C$66)^(F275-1)/12</f>
        <v>6188.58333333333</v>
      </c>
      <c r="X275" s="15" t="n">
        <f aca="false">O275*Ipotesi!$C$60*(1+Ipotesi!$C$66)^(F275-1)/12</f>
        <v>10940.53125</v>
      </c>
      <c r="Y275" s="15" t="n">
        <f aca="false">P275*Ipotesi!$C$61*(1+Ipotesi!$C$66)^(F275-1)/12</f>
        <v>6630.625</v>
      </c>
      <c r="Z275" s="15" t="n">
        <f aca="false">Q275*Ipotesi!$C$62*(1+Ipotesi!$C$66)^(F275-1)/12</f>
        <v>4774.05</v>
      </c>
      <c r="AA275" s="15" t="n">
        <f aca="false">R275*Ipotesi!$C$63*(1+Ipotesi!$C$66)^(F275-1)/12</f>
        <v>928.2875</v>
      </c>
      <c r="AB275" s="15" t="n">
        <f aca="false">SUM(V275:AA275)</f>
        <v>33712.0770833333</v>
      </c>
      <c r="AC275" s="15" t="n">
        <f aca="false">(S275*Ipotesi!$C$64+T275*Ipotesi!$C$65+U275*Ipotesi!$C$63)*(1+Ipotesi!$C$66)^(F275-1)/12</f>
        <v>12266.65625</v>
      </c>
      <c r="AD275" s="15" t="n">
        <f aca="false">INDEX(Ipotesi!$C$48:$G$48,1,F275)*G275/12</f>
        <v>33</v>
      </c>
      <c r="AE275" s="15" t="n">
        <f aca="false">INDEX(Ipotesi!$C$50:$G$50,1,F275)*G275/12</f>
        <v>3.66666666666667</v>
      </c>
      <c r="AF275" s="15" t="n">
        <f aca="false">(S275*Parametri_v3!$C$7*Parametri_v3!$C$8+Parametri_v3!$C$10)/12</f>
        <v>35.2916666666667</v>
      </c>
      <c r="AG275" s="15" t="n">
        <f aca="false">AD275+AE275*(1+Parametri_v3!$C$9)</f>
        <v>38.5</v>
      </c>
      <c r="AH275" s="16" t="n">
        <f aca="false">IF(AG275=0,1,MIN(1,AF275/AG275))</f>
        <v>0.916666666666666</v>
      </c>
      <c r="AI275" s="15" t="n">
        <f aca="false">AD275*AH275</f>
        <v>30.25</v>
      </c>
      <c r="AJ275" s="15" t="n">
        <f aca="false">AE275*AH275</f>
        <v>3.36111111111111</v>
      </c>
      <c r="AK275" s="15" t="n">
        <f aca="false">AI275*INDEX(Ipotesi!$C$49:$G$49,1,F275)*H275</f>
        <v>23141.25</v>
      </c>
      <c r="AL275" s="15" t="n">
        <f aca="false">AJ275*INDEX(Ipotesi!$C$51:$G$51,1,F275)*H275</f>
        <v>6806.25</v>
      </c>
      <c r="AM275" s="15" t="n">
        <f aca="false">AK275+AL275</f>
        <v>29947.5</v>
      </c>
      <c r="AN275" s="15" t="n">
        <f aca="false">INDEX(Ipotesi!$C$30:$G$30,1,F275)*G275/12</f>
        <v>22.9166666666667</v>
      </c>
      <c r="AO275" s="15" t="n">
        <f aca="false">O275*Parametri_v3!$C$7*Parametri_v3!$C$11*(1-Parametri_v3!$C$14)/12</f>
        <v>25.41</v>
      </c>
      <c r="AP275" s="15" t="n">
        <f aca="false">MIN(AN275,AO275)</f>
        <v>22.9166666666667</v>
      </c>
      <c r="AQ275" s="15" t="n">
        <f aca="false">AP275*INDEX(Ipotesi!$C$31:$G$31,1,F275)*H275</f>
        <v>20625</v>
      </c>
      <c r="AR275" s="15" t="n">
        <f aca="false">INDEX(Ipotesi!$C$75:$G$75,1,F275)*J275/12</f>
        <v>4000</v>
      </c>
      <c r="AS275" s="15" t="n">
        <f aca="false">INDEX(Ipotesi!$C$81:$G$81,1,F275)*J275/12</f>
        <v>250</v>
      </c>
      <c r="AT275" s="15" t="n">
        <f aca="false">AR275*Parametri_v3!$C$15+Z275*Parametri_v3!$C$16</f>
        <v>7341.835</v>
      </c>
      <c r="AU275" s="15" t="n">
        <f aca="false">Q275*Parametri_v3!$C$16*Parametri_v3!$C$17</f>
        <v>84</v>
      </c>
      <c r="AV275" s="17" t="n">
        <f aca="false">BD274</f>
        <v>10.3199256585446</v>
      </c>
      <c r="AW275" s="17" t="n">
        <f aca="false">AV275*(1-(1-INDEX(Ipotesi!$C$34:$G$34,1,F275))^(1/12))</f>
        <v>0.0902127751883892</v>
      </c>
      <c r="AX275" s="15" t="n">
        <f aca="false">ROUND(INDEX(Ipotesi!$C$32:$G$32,1,F275)*Ipotesi!G8,0)</f>
        <v>46</v>
      </c>
      <c r="AY275" s="15" t="n">
        <f aca="false">MAX(0,(AX275-(AV275-AW275))/(13-E275))</f>
        <v>5.96171451944063</v>
      </c>
      <c r="AZ275" s="15" t="n">
        <f aca="false">MIN(P275*Parametri_v3!$C$22,Q275*(1-Parametri_v3!$C$16)*Parametri_v3!$C$23)</f>
        <v>54</v>
      </c>
      <c r="BA275" s="15" t="n">
        <f aca="false">IF(OR(INDEX(Ipotesi!$C$35:$G$35,1,F275)&lt;=0,31-Parametri_v3!$C$21&lt;1),0,INDEX($AT$245:$AT$304,MAX(1,31-Parametri_v3!$C$21))/(INDEX(Ipotesi!$C$35:$G$35,1,F275)*Ipotesi!G27))</f>
        <v>1.12951307692308</v>
      </c>
      <c r="BB275" s="15" t="n">
        <f aca="false">IF(31-Parametri_v3!$C$21&lt;1,0,INDEX($AU$245:$AU$304,MAX(1,31-Parametri_v3!$C$21)))*Parametri_v3!$C$18*Parametri_v3!$C$19*Parametri_v3!$C$20</f>
        <v>3.15</v>
      </c>
      <c r="BC275" s="17" t="n">
        <f aca="false">MAX(0,MIN(AY275,BA275,BB275,MAX(0,AZ275-(AV275-AW275))))</f>
        <v>1.12951307692308</v>
      </c>
      <c r="BD275" s="17" t="n">
        <f aca="false">AV275-AW275+BC275</f>
        <v>11.3592259602793</v>
      </c>
      <c r="BE275" s="17" t="n">
        <f aca="false">(AV275+BD275)/2</f>
        <v>10.8395758094119</v>
      </c>
      <c r="BF275" s="15" t="n">
        <f aca="false">BE275*INDEX(Ipotesi!$C$33:$G$33,1,F275)*H275/12</f>
        <v>4471.32502138243</v>
      </c>
      <c r="BG275" s="15" t="n">
        <f aca="false">BD275*INDEX(Ipotesi!$C$33:$G$33,1,F275)*H275</f>
        <v>56228.1685033825</v>
      </c>
      <c r="BH275" s="15" t="n">
        <f aca="false">AM275*INDEX(Ipotesi!$C$37:$G$37,1,F275)</f>
        <v>2994.75</v>
      </c>
      <c r="BI275" s="15" t="n">
        <f aca="false">AQ275+BF275+BH275</f>
        <v>28091.0750213824</v>
      </c>
      <c r="BJ275" s="15" t="n">
        <f aca="false">INDEX(Ipotesi!$C$68:$G$68,1,F275)*Ipotesi!$C$69/12</f>
        <v>2400</v>
      </c>
      <c r="BK275" s="15" t="n">
        <f aca="false">INDEX(Ipotesi!$C$68:$G$68,1,F275)*(1-Ipotesi!$C$69)/12</f>
        <v>3600</v>
      </c>
      <c r="BL275" s="15" t="n">
        <f aca="false">(AQ275+BF275)*Ipotesi!$C$67</f>
        <v>752.889750641473</v>
      </c>
      <c r="BM275" s="15" t="n">
        <f aca="false">AM275*Ipotesi!$C$67</f>
        <v>898.425</v>
      </c>
      <c r="BN275" s="15" t="n">
        <f aca="false">INDEX(Ipotesi!$C$72:$G$72,1,F275)/12*Ipotesi!G126+BF275*Ipotesi!$C$73</f>
        <v>1107.70600171059</v>
      </c>
      <c r="BO275" s="15" t="n">
        <f aca="false">INDEX(Ipotesi!$C$74:$G$74,1,F275)/12*Ipotesi!G126</f>
        <v>1750</v>
      </c>
      <c r="BP275" s="15" t="n">
        <f aca="false">INDEX(Ipotesi!$C$76:$G$76,1,F275)/12</f>
        <v>1083.33333333333</v>
      </c>
      <c r="BQ275" s="15" t="n">
        <f aca="false">INDEX(Ipotesi!$C$77:$G$77,1,F275)/12*Ipotesi!G126</f>
        <v>1250</v>
      </c>
      <c r="BR275" s="15" t="n">
        <f aca="false">INDEX(Ipotesi!$C$78:$G$78,1,F275)/12</f>
        <v>1666.66666666667</v>
      </c>
      <c r="BS275" s="15" t="n">
        <f aca="false">SUM(M275:R275)*(Ipotesi!$C$85+Ipotesi!$C$86)/12</f>
        <v>2180.20833333333</v>
      </c>
      <c r="BT275" s="15" t="n">
        <f aca="false">BI275*Ipotesi!$C$87</f>
        <v>842.732250641473</v>
      </c>
      <c r="BU275" s="15" t="n">
        <f aca="false">INDEX(Ipotesi!$C$55:$G$55,1,F275)*K275/12</f>
        <v>900</v>
      </c>
      <c r="BV275" s="15" t="n">
        <f aca="false">INDEX(Ipotesi!$C$80:$G$80,1,F275)/12*Ipotesi!G126</f>
        <v>750</v>
      </c>
      <c r="BW275" s="15" t="n">
        <f aca="false">INDEX(Ipotesi!$C$82:$G$82,1,F275)/12</f>
        <v>1000</v>
      </c>
      <c r="BX275" s="15" t="n">
        <f aca="false">INDEX(Ipotesi!$C$83:$G$83,1,F275)/12</f>
        <v>666.666666666667</v>
      </c>
      <c r="BY275" s="15" t="n">
        <f aca="false">SUM(S275:U275)*(Ipotesi!$C$85+Ipotesi!$C$86)/12</f>
        <v>933.333333333333</v>
      </c>
      <c r="BZ275" s="15" t="n">
        <f aca="false">AM275*Ipotesi!$C$87</f>
        <v>898.425</v>
      </c>
      <c r="CA275" s="15" t="n">
        <f aca="false">AB275+BJ275+BL275+BN275+BO275+AR275+BP275+BQ275+BR275+BS275+BT275</f>
        <v>50745.6134196602</v>
      </c>
      <c r="CB275" s="15" t="n">
        <f aca="false">AC275+BK275+BM275+BH275+BU275+BV275+AS275+BW275+BX275+BY275+BZ275</f>
        <v>25158.25625</v>
      </c>
      <c r="CC275" s="15" t="n">
        <f aca="false">BI275-CA275</f>
        <v>-22654.5383982778</v>
      </c>
      <c r="CD275" s="15" t="n">
        <f aca="false">AM275-CB275</f>
        <v>4789.24374999999</v>
      </c>
      <c r="CE275" s="15" t="n">
        <f aca="false">INDEX(Ipotesi!$C$79:$G$79,1,F275)/12</f>
        <v>2500</v>
      </c>
      <c r="CF275" s="15" t="n">
        <f aca="false">INDEX(Ipotesi!$C$84:$G$84,1,F275)/12</f>
        <v>416.666666666667</v>
      </c>
      <c r="CG275" s="15" t="n">
        <f aca="false">Y275*MAX(0,Parametri_v3!$C$12-IF(P275=0,0,MIN(1,BE275/(P275*Parametri_v3!$C$22))))+W275*Parametri_v3!$C$13+X275*Parametri_v3!$C$14</f>
        <v>11433.8685009915</v>
      </c>
      <c r="CH275" s="15" t="n">
        <f aca="false">AB275*Parametri_v3!$C$32</f>
        <v>1685.60385416667</v>
      </c>
      <c r="CI275" s="15" t="n">
        <f aca="false">AC275*Parametri_v3!$C$32</f>
        <v>613.3328125</v>
      </c>
      <c r="CJ275" s="15" t="n">
        <f aca="false">CA275-AB275</f>
        <v>17033.5363363269</v>
      </c>
      <c r="CK275" s="15" t="n">
        <f aca="false">CB275-AC275-BH275</f>
        <v>9896.85</v>
      </c>
      <c r="CL275" s="15" t="n">
        <f aca="false">BF275*Ipotesi!$C$73+INDEX(Ipotesi!$C$72:$G$72,1,F275)/12*Ipotesi!G126*Parametri_v3!$C$58+Z275*(1-Parametri_v3!$C$16)</f>
        <v>2539.92100171059</v>
      </c>
      <c r="CM275" s="16" t="n">
        <f aca="false">IF(BF275=0,0,1-CL275/BF275)</f>
        <v>0.431953394225564</v>
      </c>
    </row>
    <row r="276" customFormat="false" ht="18" hidden="false" customHeight="true" outlineLevel="0" collapsed="false">
      <c r="A276" s="68" t="n">
        <f aca="false">5</f>
        <v>5</v>
      </c>
      <c r="B276" s="68" t="n">
        <f aca="false">32</f>
        <v>32</v>
      </c>
      <c r="C276" s="18" t="n">
        <f aca="false">EDATE(Parametri_v3!$C$5,32-1)</f>
        <v>47331</v>
      </c>
      <c r="D276" s="68" t="n">
        <f aca="false">YEAR(C276)</f>
        <v>2029</v>
      </c>
      <c r="E276" s="68" t="n">
        <f aca="false">MONTH(C276)</f>
        <v>8</v>
      </c>
      <c r="F276" s="68" t="n">
        <f aca="false">INT((32-1)/12)+1</f>
        <v>3</v>
      </c>
      <c r="G276" s="15" t="n">
        <f aca="false">Ipotesi!G7</f>
        <v>0.55</v>
      </c>
      <c r="H276" s="15" t="n">
        <f aca="false">Ipotesi!G9</f>
        <v>0.9</v>
      </c>
      <c r="I276" s="15" t="n">
        <f aca="false">Ipotesi!G10</f>
        <v>0.3</v>
      </c>
      <c r="J276" s="15" t="n">
        <f aca="false">Ipotesi!G11</f>
        <v>0.2</v>
      </c>
      <c r="K276" s="15" t="n">
        <f aca="false">Ipotesi!G12</f>
        <v>0.6</v>
      </c>
      <c r="L276" s="15" t="n">
        <f aca="false">Ipotesi!G13</f>
        <v>120</v>
      </c>
      <c r="M276" s="17" t="n">
        <f aca="false">INDEX(Ipotesi!$C$40:$G$40,1,F276)</f>
        <v>1</v>
      </c>
      <c r="N276" s="17" t="n">
        <f aca="false">INDEX(Ipotesi!$C$41:$G$41,1,F276)</f>
        <v>1</v>
      </c>
      <c r="O276" s="17" t="n">
        <f aca="false">INDEX(Ipotesi!$C$42:$G$42,1,F276)*Ipotesi!G125</f>
        <v>2.475</v>
      </c>
      <c r="P276" s="17" t="n">
        <f aca="false">INDEX(Ipotesi!$C$43:$G$43,1,F276)*I276</f>
        <v>1.5</v>
      </c>
      <c r="Q276" s="17" t="n">
        <f aca="false">INDEX(Ipotesi!$C$44:$G$44,1,F276)*I276</f>
        <v>1.2</v>
      </c>
      <c r="R276" s="17" t="n">
        <f aca="false">INDEX(Ipotesi!$C$45:$G$45,1,F276)*I276</f>
        <v>0.3</v>
      </c>
      <c r="S276" s="17" t="n">
        <f aca="false">INDEX(Ipotesi!$C$52:$G$52,1,F276)*Ipotesi!G125</f>
        <v>2.75</v>
      </c>
      <c r="T276" s="17" t="n">
        <f aca="false">INDEX(Ipotesi!$C$53:$G$53,1,F276)*I276</f>
        <v>0.3</v>
      </c>
      <c r="U276" s="17" t="n">
        <f aca="false">INDEX(Ipotesi!$C$54:$G$54,1,F276)*I276</f>
        <v>0.15</v>
      </c>
      <c r="V276" s="15" t="n">
        <f aca="false">M276*INDEX(Ipotesi!$C$58:$G$58,1,F276)*K276/12</f>
        <v>4250</v>
      </c>
      <c r="W276" s="15" t="n">
        <f aca="false">N276*Ipotesi!$C$59*(1+Ipotesi!$C$66)^(F276-1)/12</f>
        <v>6188.58333333333</v>
      </c>
      <c r="X276" s="15" t="n">
        <f aca="false">O276*Ipotesi!$C$60*(1+Ipotesi!$C$66)^(F276-1)/12</f>
        <v>10940.53125</v>
      </c>
      <c r="Y276" s="15" t="n">
        <f aca="false">P276*Ipotesi!$C$61*(1+Ipotesi!$C$66)^(F276-1)/12</f>
        <v>6630.625</v>
      </c>
      <c r="Z276" s="15" t="n">
        <f aca="false">Q276*Ipotesi!$C$62*(1+Ipotesi!$C$66)^(F276-1)/12</f>
        <v>4774.05</v>
      </c>
      <c r="AA276" s="15" t="n">
        <f aca="false">R276*Ipotesi!$C$63*(1+Ipotesi!$C$66)^(F276-1)/12</f>
        <v>928.2875</v>
      </c>
      <c r="AB276" s="15" t="n">
        <f aca="false">SUM(V276:AA276)</f>
        <v>33712.0770833333</v>
      </c>
      <c r="AC276" s="15" t="n">
        <f aca="false">(S276*Ipotesi!$C$64+T276*Ipotesi!$C$65+U276*Ipotesi!$C$63)*(1+Ipotesi!$C$66)^(F276-1)/12</f>
        <v>12266.65625</v>
      </c>
      <c r="AD276" s="15" t="n">
        <f aca="false">INDEX(Ipotesi!$C$48:$G$48,1,F276)*G276/12</f>
        <v>33</v>
      </c>
      <c r="AE276" s="15" t="n">
        <f aca="false">INDEX(Ipotesi!$C$50:$G$50,1,F276)*G276/12</f>
        <v>3.66666666666667</v>
      </c>
      <c r="AF276" s="15" t="n">
        <f aca="false">(S276*Parametri_v3!$C$7*Parametri_v3!$C$8+Parametri_v3!$C$10)/12</f>
        <v>35.2916666666667</v>
      </c>
      <c r="AG276" s="15" t="n">
        <f aca="false">AD276+AE276*(1+Parametri_v3!$C$9)</f>
        <v>38.5</v>
      </c>
      <c r="AH276" s="16" t="n">
        <f aca="false">IF(AG276=0,1,MIN(1,AF276/AG276))</f>
        <v>0.916666666666666</v>
      </c>
      <c r="AI276" s="15" t="n">
        <f aca="false">AD276*AH276</f>
        <v>30.25</v>
      </c>
      <c r="AJ276" s="15" t="n">
        <f aca="false">AE276*AH276</f>
        <v>3.36111111111111</v>
      </c>
      <c r="AK276" s="15" t="n">
        <f aca="false">AI276*INDEX(Ipotesi!$C$49:$G$49,1,F276)*H276</f>
        <v>23141.25</v>
      </c>
      <c r="AL276" s="15" t="n">
        <f aca="false">AJ276*INDEX(Ipotesi!$C$51:$G$51,1,F276)*H276</f>
        <v>6806.25</v>
      </c>
      <c r="AM276" s="15" t="n">
        <f aca="false">AK276+AL276</f>
        <v>29947.5</v>
      </c>
      <c r="AN276" s="15" t="n">
        <f aca="false">INDEX(Ipotesi!$C$30:$G$30,1,F276)*G276/12</f>
        <v>22.9166666666667</v>
      </c>
      <c r="AO276" s="15" t="n">
        <f aca="false">O276*Parametri_v3!$C$7*Parametri_v3!$C$11*(1-Parametri_v3!$C$14)/12</f>
        <v>25.41</v>
      </c>
      <c r="AP276" s="15" t="n">
        <f aca="false">MIN(AN276,AO276)</f>
        <v>22.9166666666667</v>
      </c>
      <c r="AQ276" s="15" t="n">
        <f aca="false">AP276*INDEX(Ipotesi!$C$31:$G$31,1,F276)*H276</f>
        <v>20625</v>
      </c>
      <c r="AR276" s="15" t="n">
        <f aca="false">INDEX(Ipotesi!$C$75:$G$75,1,F276)*J276/12</f>
        <v>4000</v>
      </c>
      <c r="AS276" s="15" t="n">
        <f aca="false">INDEX(Ipotesi!$C$81:$G$81,1,F276)*J276/12</f>
        <v>250</v>
      </c>
      <c r="AT276" s="15" t="n">
        <f aca="false">AR276*Parametri_v3!$C$15+Z276*Parametri_v3!$C$16</f>
        <v>7341.835</v>
      </c>
      <c r="AU276" s="15" t="n">
        <f aca="false">Q276*Parametri_v3!$C$16*Parametri_v3!$C$17</f>
        <v>84</v>
      </c>
      <c r="AV276" s="17" t="n">
        <f aca="false">BD275</f>
        <v>11.3592259602793</v>
      </c>
      <c r="AW276" s="17" t="n">
        <f aca="false">AV276*(1-(1-INDEX(Ipotesi!$C$34:$G$34,1,F276))^(1/12))</f>
        <v>0.0992979340912528</v>
      </c>
      <c r="AX276" s="15" t="n">
        <f aca="false">ROUND(INDEX(Ipotesi!$C$32:$G$32,1,F276)*Ipotesi!G8,0)</f>
        <v>46</v>
      </c>
      <c r="AY276" s="15" t="n">
        <f aca="false">MAX(0,(AX276-(AV276-AW276))/(13-E276))</f>
        <v>6.94801439476239</v>
      </c>
      <c r="AZ276" s="15" t="n">
        <f aca="false">MIN(P276*Parametri_v3!$C$22,Q276*(1-Parametri_v3!$C$16)*Parametri_v3!$C$23)</f>
        <v>54</v>
      </c>
      <c r="BA276" s="15" t="n">
        <f aca="false">IF(OR(INDEX(Ipotesi!$C$35:$G$35,1,F276)&lt;=0,32-Parametri_v3!$C$21&lt;1),0,INDEX($AT$245:$AT$304,MAX(1,32-Parametri_v3!$C$21))/(INDEX(Ipotesi!$C$35:$G$35,1,F276)*Ipotesi!G27))</f>
        <v>1.12951307692308</v>
      </c>
      <c r="BB276" s="15" t="n">
        <f aca="false">IF(32-Parametri_v3!$C$21&lt;1,0,INDEX($AU$245:$AU$304,MAX(1,32-Parametri_v3!$C$21)))*Parametri_v3!$C$18*Parametri_v3!$C$19*Parametri_v3!$C$20</f>
        <v>3.15</v>
      </c>
      <c r="BC276" s="17" t="n">
        <f aca="false">MAX(0,MIN(AY276,BA276,BB276,MAX(0,AZ276-(AV276-AW276))))</f>
        <v>1.12951307692308</v>
      </c>
      <c r="BD276" s="17" t="n">
        <f aca="false">AV276-AW276+BC276</f>
        <v>12.3894411031111</v>
      </c>
      <c r="BE276" s="17" t="n">
        <f aca="false">(AV276+BD276)/2</f>
        <v>11.8743335316952</v>
      </c>
      <c r="BF276" s="15" t="n">
        <f aca="false">BE276*INDEX(Ipotesi!$C$33:$G$33,1,F276)*H276/12</f>
        <v>4898.16258182427</v>
      </c>
      <c r="BG276" s="15" t="n">
        <f aca="false">BD276*INDEX(Ipotesi!$C$33:$G$33,1,F276)*H276</f>
        <v>61327.7334604</v>
      </c>
      <c r="BH276" s="15" t="n">
        <f aca="false">AM276*INDEX(Ipotesi!$C$37:$G$37,1,F276)</f>
        <v>2994.75</v>
      </c>
      <c r="BI276" s="15" t="n">
        <f aca="false">AQ276+BF276+BH276</f>
        <v>28517.9125818243</v>
      </c>
      <c r="BJ276" s="15" t="n">
        <f aca="false">INDEX(Ipotesi!$C$68:$G$68,1,F276)*Ipotesi!$C$69/12</f>
        <v>2400</v>
      </c>
      <c r="BK276" s="15" t="n">
        <f aca="false">INDEX(Ipotesi!$C$68:$G$68,1,F276)*(1-Ipotesi!$C$69)/12</f>
        <v>3600</v>
      </c>
      <c r="BL276" s="15" t="n">
        <f aca="false">(AQ276+BF276)*Ipotesi!$C$67</f>
        <v>765.694877454728</v>
      </c>
      <c r="BM276" s="15" t="n">
        <f aca="false">AM276*Ipotesi!$C$67</f>
        <v>898.425</v>
      </c>
      <c r="BN276" s="15" t="n">
        <f aca="false">INDEX(Ipotesi!$C$72:$G$72,1,F276)/12*Ipotesi!G126+BF276*Ipotesi!$C$73</f>
        <v>1141.85300654594</v>
      </c>
      <c r="BO276" s="15" t="n">
        <f aca="false">INDEX(Ipotesi!$C$74:$G$74,1,F276)/12*Ipotesi!G126</f>
        <v>1750</v>
      </c>
      <c r="BP276" s="15" t="n">
        <f aca="false">INDEX(Ipotesi!$C$76:$G$76,1,F276)/12</f>
        <v>1083.33333333333</v>
      </c>
      <c r="BQ276" s="15" t="n">
        <f aca="false">INDEX(Ipotesi!$C$77:$G$77,1,F276)/12*Ipotesi!G126</f>
        <v>1250</v>
      </c>
      <c r="BR276" s="15" t="n">
        <f aca="false">INDEX(Ipotesi!$C$78:$G$78,1,F276)/12</f>
        <v>1666.66666666667</v>
      </c>
      <c r="BS276" s="15" t="n">
        <f aca="false">SUM(M276:R276)*(Ipotesi!$C$85+Ipotesi!$C$86)/12</f>
        <v>2180.20833333333</v>
      </c>
      <c r="BT276" s="15" t="n">
        <f aca="false">BI276*Ipotesi!$C$87</f>
        <v>855.537377454728</v>
      </c>
      <c r="BU276" s="15" t="n">
        <f aca="false">INDEX(Ipotesi!$C$55:$G$55,1,F276)*K276/12</f>
        <v>900</v>
      </c>
      <c r="BV276" s="15" t="n">
        <f aca="false">INDEX(Ipotesi!$C$80:$G$80,1,F276)/12*Ipotesi!G126</f>
        <v>750</v>
      </c>
      <c r="BW276" s="15" t="n">
        <f aca="false">INDEX(Ipotesi!$C$82:$G$82,1,F276)/12</f>
        <v>1000</v>
      </c>
      <c r="BX276" s="15" t="n">
        <f aca="false">INDEX(Ipotesi!$C$83:$G$83,1,F276)/12</f>
        <v>666.666666666667</v>
      </c>
      <c r="BY276" s="15" t="n">
        <f aca="false">SUM(S276:U276)*(Ipotesi!$C$85+Ipotesi!$C$86)/12</f>
        <v>933.333333333333</v>
      </c>
      <c r="BZ276" s="15" t="n">
        <f aca="false">AM276*Ipotesi!$C$87</f>
        <v>898.425</v>
      </c>
      <c r="CA276" s="15" t="n">
        <f aca="false">AB276+BJ276+BL276+BN276+BO276+AR276+BP276+BQ276+BR276+BS276+BT276</f>
        <v>50805.3706781221</v>
      </c>
      <c r="CB276" s="15" t="n">
        <f aca="false">AC276+BK276+BM276+BH276+BU276+BV276+AS276+BW276+BX276+BY276+BZ276</f>
        <v>25158.25625</v>
      </c>
      <c r="CC276" s="15" t="n">
        <f aca="false">BI276-CA276</f>
        <v>-22287.4580962978</v>
      </c>
      <c r="CD276" s="15" t="n">
        <f aca="false">AM276-CB276</f>
        <v>4789.24374999999</v>
      </c>
      <c r="CE276" s="15" t="n">
        <f aca="false">INDEX(Ipotesi!$C$79:$G$79,1,F276)/12</f>
        <v>2500</v>
      </c>
      <c r="CF276" s="15" t="n">
        <f aca="false">INDEX(Ipotesi!$C$84:$G$84,1,F276)/12</f>
        <v>416.666666666667</v>
      </c>
      <c r="CG276" s="15" t="n">
        <f aca="false">Y276*MAX(0,Parametri_v3!$C$12-IF(P276=0,0,MIN(1,BE276/(P276*Parametri_v3!$C$22))))+W276*Parametri_v3!$C$13+X276*Parametri_v3!$C$14</f>
        <v>11388.127898176</v>
      </c>
      <c r="CH276" s="15" t="n">
        <f aca="false">AB276*Parametri_v3!$C$32</f>
        <v>1685.60385416667</v>
      </c>
      <c r="CI276" s="15" t="n">
        <f aca="false">AC276*Parametri_v3!$C$32</f>
        <v>613.3328125</v>
      </c>
      <c r="CJ276" s="15" t="n">
        <f aca="false">CA276-AB276</f>
        <v>17093.2935947887</v>
      </c>
      <c r="CK276" s="15" t="n">
        <f aca="false">CB276-AC276-BH276</f>
        <v>9896.85</v>
      </c>
      <c r="CL276" s="15" t="n">
        <f aca="false">BF276*Ipotesi!$C$73+INDEX(Ipotesi!$C$72:$G$72,1,F276)/12*Ipotesi!G126*Parametri_v3!$C$58+Z276*(1-Parametri_v3!$C$16)</f>
        <v>2574.06800654594</v>
      </c>
      <c r="CM276" s="16" t="n">
        <f aca="false">IF(BF276=0,0,1-CL276/BF276)</f>
        <v>0.474482938541567</v>
      </c>
    </row>
    <row r="277" customFormat="false" ht="18" hidden="false" customHeight="true" outlineLevel="0" collapsed="false">
      <c r="A277" s="68" t="n">
        <f aca="false">5</f>
        <v>5</v>
      </c>
      <c r="B277" s="68" t="n">
        <f aca="false">33</f>
        <v>33</v>
      </c>
      <c r="C277" s="18" t="n">
        <f aca="false">EDATE(Parametri_v3!$C$5,33-1)</f>
        <v>47362</v>
      </c>
      <c r="D277" s="68" t="n">
        <f aca="false">YEAR(C277)</f>
        <v>2029</v>
      </c>
      <c r="E277" s="68" t="n">
        <f aca="false">MONTH(C277)</f>
        <v>9</v>
      </c>
      <c r="F277" s="68" t="n">
        <f aca="false">INT((33-1)/12)+1</f>
        <v>3</v>
      </c>
      <c r="G277" s="15" t="n">
        <f aca="false">Ipotesi!G7</f>
        <v>0.55</v>
      </c>
      <c r="H277" s="15" t="n">
        <f aca="false">Ipotesi!G9</f>
        <v>0.9</v>
      </c>
      <c r="I277" s="15" t="n">
        <f aca="false">Ipotesi!G10</f>
        <v>0.3</v>
      </c>
      <c r="J277" s="15" t="n">
        <f aca="false">Ipotesi!G11</f>
        <v>0.2</v>
      </c>
      <c r="K277" s="15" t="n">
        <f aca="false">Ipotesi!G12</f>
        <v>0.6</v>
      </c>
      <c r="L277" s="15" t="n">
        <f aca="false">Ipotesi!G13</f>
        <v>120</v>
      </c>
      <c r="M277" s="17" t="n">
        <f aca="false">INDEX(Ipotesi!$C$40:$G$40,1,F277)</f>
        <v>1</v>
      </c>
      <c r="N277" s="17" t="n">
        <f aca="false">INDEX(Ipotesi!$C$41:$G$41,1,F277)</f>
        <v>1</v>
      </c>
      <c r="O277" s="17" t="n">
        <f aca="false">INDEX(Ipotesi!$C$42:$G$42,1,F277)*Ipotesi!G125</f>
        <v>2.475</v>
      </c>
      <c r="P277" s="17" t="n">
        <f aca="false">INDEX(Ipotesi!$C$43:$G$43,1,F277)*I277</f>
        <v>1.5</v>
      </c>
      <c r="Q277" s="17" t="n">
        <f aca="false">INDEX(Ipotesi!$C$44:$G$44,1,F277)*I277</f>
        <v>1.2</v>
      </c>
      <c r="R277" s="17" t="n">
        <f aca="false">INDEX(Ipotesi!$C$45:$G$45,1,F277)*I277</f>
        <v>0.3</v>
      </c>
      <c r="S277" s="17" t="n">
        <f aca="false">INDEX(Ipotesi!$C$52:$G$52,1,F277)*Ipotesi!G125</f>
        <v>2.75</v>
      </c>
      <c r="T277" s="17" t="n">
        <f aca="false">INDEX(Ipotesi!$C$53:$G$53,1,F277)*I277</f>
        <v>0.3</v>
      </c>
      <c r="U277" s="17" t="n">
        <f aca="false">INDEX(Ipotesi!$C$54:$G$54,1,F277)*I277</f>
        <v>0.15</v>
      </c>
      <c r="V277" s="15" t="n">
        <f aca="false">M277*INDEX(Ipotesi!$C$58:$G$58,1,F277)*K277/12</f>
        <v>4250</v>
      </c>
      <c r="W277" s="15" t="n">
        <f aca="false">N277*Ipotesi!$C$59*(1+Ipotesi!$C$66)^(F277-1)/12</f>
        <v>6188.58333333333</v>
      </c>
      <c r="X277" s="15" t="n">
        <f aca="false">O277*Ipotesi!$C$60*(1+Ipotesi!$C$66)^(F277-1)/12</f>
        <v>10940.53125</v>
      </c>
      <c r="Y277" s="15" t="n">
        <f aca="false">P277*Ipotesi!$C$61*(1+Ipotesi!$C$66)^(F277-1)/12</f>
        <v>6630.625</v>
      </c>
      <c r="Z277" s="15" t="n">
        <f aca="false">Q277*Ipotesi!$C$62*(1+Ipotesi!$C$66)^(F277-1)/12</f>
        <v>4774.05</v>
      </c>
      <c r="AA277" s="15" t="n">
        <f aca="false">R277*Ipotesi!$C$63*(1+Ipotesi!$C$66)^(F277-1)/12</f>
        <v>928.2875</v>
      </c>
      <c r="AB277" s="15" t="n">
        <f aca="false">SUM(V277:AA277)</f>
        <v>33712.0770833333</v>
      </c>
      <c r="AC277" s="15" t="n">
        <f aca="false">(S277*Ipotesi!$C$64+T277*Ipotesi!$C$65+U277*Ipotesi!$C$63)*(1+Ipotesi!$C$66)^(F277-1)/12</f>
        <v>12266.65625</v>
      </c>
      <c r="AD277" s="15" t="n">
        <f aca="false">INDEX(Ipotesi!$C$48:$G$48,1,F277)*G277/12</f>
        <v>33</v>
      </c>
      <c r="AE277" s="15" t="n">
        <f aca="false">INDEX(Ipotesi!$C$50:$G$50,1,F277)*G277/12</f>
        <v>3.66666666666667</v>
      </c>
      <c r="AF277" s="15" t="n">
        <f aca="false">(S277*Parametri_v3!$C$7*Parametri_v3!$C$8+Parametri_v3!$C$10)/12</f>
        <v>35.2916666666667</v>
      </c>
      <c r="AG277" s="15" t="n">
        <f aca="false">AD277+AE277*(1+Parametri_v3!$C$9)</f>
        <v>38.5</v>
      </c>
      <c r="AH277" s="16" t="n">
        <f aca="false">IF(AG277=0,1,MIN(1,AF277/AG277))</f>
        <v>0.916666666666666</v>
      </c>
      <c r="AI277" s="15" t="n">
        <f aca="false">AD277*AH277</f>
        <v>30.25</v>
      </c>
      <c r="AJ277" s="15" t="n">
        <f aca="false">AE277*AH277</f>
        <v>3.36111111111111</v>
      </c>
      <c r="AK277" s="15" t="n">
        <f aca="false">AI277*INDEX(Ipotesi!$C$49:$G$49,1,F277)*H277</f>
        <v>23141.25</v>
      </c>
      <c r="AL277" s="15" t="n">
        <f aca="false">AJ277*INDEX(Ipotesi!$C$51:$G$51,1,F277)*H277</f>
        <v>6806.25</v>
      </c>
      <c r="AM277" s="15" t="n">
        <f aca="false">AK277+AL277</f>
        <v>29947.5</v>
      </c>
      <c r="AN277" s="15" t="n">
        <f aca="false">INDEX(Ipotesi!$C$30:$G$30,1,F277)*G277/12</f>
        <v>22.9166666666667</v>
      </c>
      <c r="AO277" s="15" t="n">
        <f aca="false">O277*Parametri_v3!$C$7*Parametri_v3!$C$11*(1-Parametri_v3!$C$14)/12</f>
        <v>25.41</v>
      </c>
      <c r="AP277" s="15" t="n">
        <f aca="false">MIN(AN277,AO277)</f>
        <v>22.9166666666667</v>
      </c>
      <c r="AQ277" s="15" t="n">
        <f aca="false">AP277*INDEX(Ipotesi!$C$31:$G$31,1,F277)*H277</f>
        <v>20625</v>
      </c>
      <c r="AR277" s="15" t="n">
        <f aca="false">INDEX(Ipotesi!$C$75:$G$75,1,F277)*J277/12</f>
        <v>4000</v>
      </c>
      <c r="AS277" s="15" t="n">
        <f aca="false">INDEX(Ipotesi!$C$81:$G$81,1,F277)*J277/12</f>
        <v>250</v>
      </c>
      <c r="AT277" s="15" t="n">
        <f aca="false">AR277*Parametri_v3!$C$15+Z277*Parametri_v3!$C$16</f>
        <v>7341.835</v>
      </c>
      <c r="AU277" s="15" t="n">
        <f aca="false">Q277*Parametri_v3!$C$16*Parametri_v3!$C$17</f>
        <v>84</v>
      </c>
      <c r="AV277" s="17" t="n">
        <f aca="false">BD276</f>
        <v>12.3894411031111</v>
      </c>
      <c r="AW277" s="17" t="n">
        <f aca="false">AV277*(1-(1-INDEX(Ipotesi!$C$34:$G$34,1,F277))^(1/12))</f>
        <v>0.108303674069526</v>
      </c>
      <c r="AX277" s="15" t="n">
        <f aca="false">ROUND(INDEX(Ipotesi!$C$32:$G$32,1,F277)*Ipotesi!G8,0)</f>
        <v>46</v>
      </c>
      <c r="AY277" s="15" t="n">
        <f aca="false">MAX(0,(AX277-(AV277-AW277))/(13-E277))</f>
        <v>8.42971564273961</v>
      </c>
      <c r="AZ277" s="15" t="n">
        <f aca="false">MIN(P277*Parametri_v3!$C$22,Q277*(1-Parametri_v3!$C$16)*Parametri_v3!$C$23)</f>
        <v>54</v>
      </c>
      <c r="BA277" s="15" t="n">
        <f aca="false">IF(OR(INDEX(Ipotesi!$C$35:$G$35,1,F277)&lt;=0,33-Parametri_v3!$C$21&lt;1),0,INDEX($AT$245:$AT$304,MAX(1,33-Parametri_v3!$C$21))/(INDEX(Ipotesi!$C$35:$G$35,1,F277)*Ipotesi!G27))</f>
        <v>1.12951307692308</v>
      </c>
      <c r="BB277" s="15" t="n">
        <f aca="false">IF(33-Parametri_v3!$C$21&lt;1,0,INDEX($AU$245:$AU$304,MAX(1,33-Parametri_v3!$C$21)))*Parametri_v3!$C$18*Parametri_v3!$C$19*Parametri_v3!$C$20</f>
        <v>3.15</v>
      </c>
      <c r="BC277" s="17" t="n">
        <f aca="false">MAX(0,MIN(AY277,BA277,BB277,MAX(0,AZ277-(AV277-AW277))))</f>
        <v>1.12951307692308</v>
      </c>
      <c r="BD277" s="17" t="n">
        <f aca="false">AV277-AW277+BC277</f>
        <v>13.4106505059647</v>
      </c>
      <c r="BE277" s="17" t="n">
        <f aca="false">(AV277+BD277)/2</f>
        <v>12.9000458045379</v>
      </c>
      <c r="BF277" s="15" t="n">
        <f aca="false">BE277*INDEX(Ipotesi!$C$33:$G$33,1,F277)*H277/12</f>
        <v>5321.26889437188</v>
      </c>
      <c r="BG277" s="15" t="n">
        <f aca="false">BD277*INDEX(Ipotesi!$C$33:$G$33,1,F277)*H277</f>
        <v>66382.7200045251</v>
      </c>
      <c r="BH277" s="15" t="n">
        <f aca="false">AM277*INDEX(Ipotesi!$C$37:$G$37,1,F277)</f>
        <v>2994.75</v>
      </c>
      <c r="BI277" s="15" t="n">
        <f aca="false">AQ277+BF277+BH277</f>
        <v>28941.0188943719</v>
      </c>
      <c r="BJ277" s="15" t="n">
        <f aca="false">INDEX(Ipotesi!$C$68:$G$68,1,F277)*Ipotesi!$C$69/12</f>
        <v>2400</v>
      </c>
      <c r="BK277" s="15" t="n">
        <f aca="false">INDEX(Ipotesi!$C$68:$G$68,1,F277)*(1-Ipotesi!$C$69)/12</f>
        <v>3600</v>
      </c>
      <c r="BL277" s="15" t="n">
        <f aca="false">(AQ277+BF277)*Ipotesi!$C$67</f>
        <v>778.388066831156</v>
      </c>
      <c r="BM277" s="15" t="n">
        <f aca="false">AM277*Ipotesi!$C$67</f>
        <v>898.425</v>
      </c>
      <c r="BN277" s="15" t="n">
        <f aca="false">INDEX(Ipotesi!$C$72:$G$72,1,F277)/12*Ipotesi!G126+BF277*Ipotesi!$C$73</f>
        <v>1175.70151154975</v>
      </c>
      <c r="BO277" s="15" t="n">
        <f aca="false">INDEX(Ipotesi!$C$74:$G$74,1,F277)/12*Ipotesi!G126</f>
        <v>1750</v>
      </c>
      <c r="BP277" s="15" t="n">
        <f aca="false">INDEX(Ipotesi!$C$76:$G$76,1,F277)/12</f>
        <v>1083.33333333333</v>
      </c>
      <c r="BQ277" s="15" t="n">
        <f aca="false">INDEX(Ipotesi!$C$77:$G$77,1,F277)/12*Ipotesi!G126</f>
        <v>1250</v>
      </c>
      <c r="BR277" s="15" t="n">
        <f aca="false">INDEX(Ipotesi!$C$78:$G$78,1,F277)/12</f>
        <v>1666.66666666667</v>
      </c>
      <c r="BS277" s="15" t="n">
        <f aca="false">SUM(M277:R277)*(Ipotesi!$C$85+Ipotesi!$C$86)/12</f>
        <v>2180.20833333333</v>
      </c>
      <c r="BT277" s="15" t="n">
        <f aca="false">BI277*Ipotesi!$C$87</f>
        <v>868.230566831156</v>
      </c>
      <c r="BU277" s="15" t="n">
        <f aca="false">INDEX(Ipotesi!$C$55:$G$55,1,F277)*K277/12</f>
        <v>900</v>
      </c>
      <c r="BV277" s="15" t="n">
        <f aca="false">INDEX(Ipotesi!$C$80:$G$80,1,F277)/12*Ipotesi!G126</f>
        <v>750</v>
      </c>
      <c r="BW277" s="15" t="n">
        <f aca="false">INDEX(Ipotesi!$C$82:$G$82,1,F277)/12</f>
        <v>1000</v>
      </c>
      <c r="BX277" s="15" t="n">
        <f aca="false">INDEX(Ipotesi!$C$83:$G$83,1,F277)/12</f>
        <v>666.666666666667</v>
      </c>
      <c r="BY277" s="15" t="n">
        <f aca="false">SUM(S277:U277)*(Ipotesi!$C$85+Ipotesi!$C$86)/12</f>
        <v>933.333333333333</v>
      </c>
      <c r="BZ277" s="15" t="n">
        <f aca="false">AM277*Ipotesi!$C$87</f>
        <v>898.425</v>
      </c>
      <c r="CA277" s="15" t="n">
        <f aca="false">AB277+BJ277+BL277+BN277+BO277+AR277+BP277+BQ277+BR277+BS277+BT277</f>
        <v>50864.6055618787</v>
      </c>
      <c r="CB277" s="15" t="n">
        <f aca="false">AC277+BK277+BM277+BH277+BU277+BV277+AS277+BW277+BX277+BY277+BZ277</f>
        <v>25158.25625</v>
      </c>
      <c r="CC277" s="15" t="n">
        <f aca="false">BI277-CA277</f>
        <v>-21923.5866675068</v>
      </c>
      <c r="CD277" s="15" t="n">
        <f aca="false">AM277-CB277</f>
        <v>4789.24374999999</v>
      </c>
      <c r="CE277" s="15" t="n">
        <f aca="false">INDEX(Ipotesi!$C$79:$G$79,1,F277)/12</f>
        <v>2500</v>
      </c>
      <c r="CF277" s="15" t="n">
        <f aca="false">INDEX(Ipotesi!$C$84:$G$84,1,F277)/12</f>
        <v>416.666666666667</v>
      </c>
      <c r="CG277" s="15" t="n">
        <f aca="false">Y277*MAX(0,Parametri_v3!$C$12-IF(P277=0,0,MIN(1,BE277/(P277*Parametri_v3!$C$22))))+W277*Parametri_v3!$C$13+X277*Parametri_v3!$C$14</f>
        <v>11342.7871419152</v>
      </c>
      <c r="CH277" s="15" t="n">
        <f aca="false">AB277*Parametri_v3!$C$32</f>
        <v>1685.60385416667</v>
      </c>
      <c r="CI277" s="15" t="n">
        <f aca="false">AC277*Parametri_v3!$C$32</f>
        <v>613.3328125</v>
      </c>
      <c r="CJ277" s="15" t="n">
        <f aca="false">CA277-AB277</f>
        <v>17152.5284785454</v>
      </c>
      <c r="CK277" s="15" t="n">
        <f aca="false">CB277-AC277-BH277</f>
        <v>9896.85</v>
      </c>
      <c r="CL277" s="15" t="n">
        <f aca="false">BF277*Ipotesi!$C$73+INDEX(Ipotesi!$C$72:$G$72,1,F277)/12*Ipotesi!G126*Parametri_v3!$C$58+Z277*(1-Parametri_v3!$C$16)</f>
        <v>2607.91651154975</v>
      </c>
      <c r="CM277" s="16" t="n">
        <f aca="false">IF(BF277=0,0,1-CL277/BF277)</f>
        <v>0.509907023434194</v>
      </c>
    </row>
    <row r="278" customFormat="false" ht="18" hidden="false" customHeight="true" outlineLevel="0" collapsed="false">
      <c r="A278" s="68" t="n">
        <f aca="false">5</f>
        <v>5</v>
      </c>
      <c r="B278" s="68" t="n">
        <f aca="false">34</f>
        <v>34</v>
      </c>
      <c r="C278" s="18" t="n">
        <f aca="false">EDATE(Parametri_v3!$C$5,34-1)</f>
        <v>47392</v>
      </c>
      <c r="D278" s="68" t="n">
        <f aca="false">YEAR(C278)</f>
        <v>2029</v>
      </c>
      <c r="E278" s="68" t="n">
        <f aca="false">MONTH(C278)</f>
        <v>10</v>
      </c>
      <c r="F278" s="68" t="n">
        <f aca="false">INT((34-1)/12)+1</f>
        <v>3</v>
      </c>
      <c r="G278" s="15" t="n">
        <f aca="false">Ipotesi!G7</f>
        <v>0.55</v>
      </c>
      <c r="H278" s="15" t="n">
        <f aca="false">Ipotesi!G9</f>
        <v>0.9</v>
      </c>
      <c r="I278" s="15" t="n">
        <f aca="false">Ipotesi!G10</f>
        <v>0.3</v>
      </c>
      <c r="J278" s="15" t="n">
        <f aca="false">Ipotesi!G11</f>
        <v>0.2</v>
      </c>
      <c r="K278" s="15" t="n">
        <f aca="false">Ipotesi!G12</f>
        <v>0.6</v>
      </c>
      <c r="L278" s="15" t="n">
        <f aca="false">Ipotesi!G13</f>
        <v>120</v>
      </c>
      <c r="M278" s="17" t="n">
        <f aca="false">INDEX(Ipotesi!$C$40:$G$40,1,F278)</f>
        <v>1</v>
      </c>
      <c r="N278" s="17" t="n">
        <f aca="false">INDEX(Ipotesi!$C$41:$G$41,1,F278)</f>
        <v>1</v>
      </c>
      <c r="O278" s="17" t="n">
        <f aca="false">INDEX(Ipotesi!$C$42:$G$42,1,F278)*Ipotesi!G125</f>
        <v>2.475</v>
      </c>
      <c r="P278" s="17" t="n">
        <f aca="false">INDEX(Ipotesi!$C$43:$G$43,1,F278)*I278</f>
        <v>1.5</v>
      </c>
      <c r="Q278" s="17" t="n">
        <f aca="false">INDEX(Ipotesi!$C$44:$G$44,1,F278)*I278</f>
        <v>1.2</v>
      </c>
      <c r="R278" s="17" t="n">
        <f aca="false">INDEX(Ipotesi!$C$45:$G$45,1,F278)*I278</f>
        <v>0.3</v>
      </c>
      <c r="S278" s="17" t="n">
        <f aca="false">INDEX(Ipotesi!$C$52:$G$52,1,F278)*Ipotesi!G125</f>
        <v>2.75</v>
      </c>
      <c r="T278" s="17" t="n">
        <f aca="false">INDEX(Ipotesi!$C$53:$G$53,1,F278)*I278</f>
        <v>0.3</v>
      </c>
      <c r="U278" s="17" t="n">
        <f aca="false">INDEX(Ipotesi!$C$54:$G$54,1,F278)*I278</f>
        <v>0.15</v>
      </c>
      <c r="V278" s="15" t="n">
        <f aca="false">M278*INDEX(Ipotesi!$C$58:$G$58,1,F278)*K278/12</f>
        <v>4250</v>
      </c>
      <c r="W278" s="15" t="n">
        <f aca="false">N278*Ipotesi!$C$59*(1+Ipotesi!$C$66)^(F278-1)/12</f>
        <v>6188.58333333333</v>
      </c>
      <c r="X278" s="15" t="n">
        <f aca="false">O278*Ipotesi!$C$60*(1+Ipotesi!$C$66)^(F278-1)/12</f>
        <v>10940.53125</v>
      </c>
      <c r="Y278" s="15" t="n">
        <f aca="false">P278*Ipotesi!$C$61*(1+Ipotesi!$C$66)^(F278-1)/12</f>
        <v>6630.625</v>
      </c>
      <c r="Z278" s="15" t="n">
        <f aca="false">Q278*Ipotesi!$C$62*(1+Ipotesi!$C$66)^(F278-1)/12</f>
        <v>4774.05</v>
      </c>
      <c r="AA278" s="15" t="n">
        <f aca="false">R278*Ipotesi!$C$63*(1+Ipotesi!$C$66)^(F278-1)/12</f>
        <v>928.2875</v>
      </c>
      <c r="AB278" s="15" t="n">
        <f aca="false">SUM(V278:AA278)</f>
        <v>33712.0770833333</v>
      </c>
      <c r="AC278" s="15" t="n">
        <f aca="false">(S278*Ipotesi!$C$64+T278*Ipotesi!$C$65+U278*Ipotesi!$C$63)*(1+Ipotesi!$C$66)^(F278-1)/12</f>
        <v>12266.65625</v>
      </c>
      <c r="AD278" s="15" t="n">
        <f aca="false">INDEX(Ipotesi!$C$48:$G$48,1,F278)*G278/12</f>
        <v>33</v>
      </c>
      <c r="AE278" s="15" t="n">
        <f aca="false">INDEX(Ipotesi!$C$50:$G$50,1,F278)*G278/12</f>
        <v>3.66666666666667</v>
      </c>
      <c r="AF278" s="15" t="n">
        <f aca="false">(S278*Parametri_v3!$C$7*Parametri_v3!$C$8+Parametri_v3!$C$10)/12</f>
        <v>35.2916666666667</v>
      </c>
      <c r="AG278" s="15" t="n">
        <f aca="false">AD278+AE278*(1+Parametri_v3!$C$9)</f>
        <v>38.5</v>
      </c>
      <c r="AH278" s="16" t="n">
        <f aca="false">IF(AG278=0,1,MIN(1,AF278/AG278))</f>
        <v>0.916666666666666</v>
      </c>
      <c r="AI278" s="15" t="n">
        <f aca="false">AD278*AH278</f>
        <v>30.25</v>
      </c>
      <c r="AJ278" s="15" t="n">
        <f aca="false">AE278*AH278</f>
        <v>3.36111111111111</v>
      </c>
      <c r="AK278" s="15" t="n">
        <f aca="false">AI278*INDEX(Ipotesi!$C$49:$G$49,1,F278)*H278</f>
        <v>23141.25</v>
      </c>
      <c r="AL278" s="15" t="n">
        <f aca="false">AJ278*INDEX(Ipotesi!$C$51:$G$51,1,F278)*H278</f>
        <v>6806.25</v>
      </c>
      <c r="AM278" s="15" t="n">
        <f aca="false">AK278+AL278</f>
        <v>29947.5</v>
      </c>
      <c r="AN278" s="15" t="n">
        <f aca="false">INDEX(Ipotesi!$C$30:$G$30,1,F278)*G278/12</f>
        <v>22.9166666666667</v>
      </c>
      <c r="AO278" s="15" t="n">
        <f aca="false">O278*Parametri_v3!$C$7*Parametri_v3!$C$11*(1-Parametri_v3!$C$14)/12</f>
        <v>25.41</v>
      </c>
      <c r="AP278" s="15" t="n">
        <f aca="false">MIN(AN278,AO278)</f>
        <v>22.9166666666667</v>
      </c>
      <c r="AQ278" s="15" t="n">
        <f aca="false">AP278*INDEX(Ipotesi!$C$31:$G$31,1,F278)*H278</f>
        <v>20625</v>
      </c>
      <c r="AR278" s="15" t="n">
        <f aca="false">INDEX(Ipotesi!$C$75:$G$75,1,F278)*J278/12</f>
        <v>4000</v>
      </c>
      <c r="AS278" s="15" t="n">
        <f aca="false">INDEX(Ipotesi!$C$81:$G$81,1,F278)*J278/12</f>
        <v>250</v>
      </c>
      <c r="AT278" s="15" t="n">
        <f aca="false">AR278*Parametri_v3!$C$15+Z278*Parametri_v3!$C$16</f>
        <v>7341.835</v>
      </c>
      <c r="AU278" s="15" t="n">
        <f aca="false">Q278*Parametri_v3!$C$16*Parametri_v3!$C$17</f>
        <v>84</v>
      </c>
      <c r="AV278" s="17" t="n">
        <f aca="false">BD277</f>
        <v>13.4106505059647</v>
      </c>
      <c r="AW278" s="17" t="n">
        <f aca="false">AV278*(1-(1-INDEX(Ipotesi!$C$34:$G$34,1,F278))^(1/12))</f>
        <v>0.11723068937255</v>
      </c>
      <c r="AX278" s="15" t="n">
        <f aca="false">ROUND(INDEX(Ipotesi!$C$32:$G$32,1,F278)*Ipotesi!G8,0)</f>
        <v>46</v>
      </c>
      <c r="AY278" s="15" t="n">
        <f aca="false">MAX(0,(AX278-(AV278-AW278))/(13-E278))</f>
        <v>10.9021933944693</v>
      </c>
      <c r="AZ278" s="15" t="n">
        <f aca="false">MIN(P278*Parametri_v3!$C$22,Q278*(1-Parametri_v3!$C$16)*Parametri_v3!$C$23)</f>
        <v>54</v>
      </c>
      <c r="BA278" s="15" t="n">
        <f aca="false">IF(OR(INDEX(Ipotesi!$C$35:$G$35,1,F278)&lt;=0,34-Parametri_v3!$C$21&lt;1),0,INDEX($AT$245:$AT$304,MAX(1,34-Parametri_v3!$C$21))/(INDEX(Ipotesi!$C$35:$G$35,1,F278)*Ipotesi!G27))</f>
        <v>1.12951307692308</v>
      </c>
      <c r="BB278" s="15" t="n">
        <f aca="false">IF(34-Parametri_v3!$C$21&lt;1,0,INDEX($AU$245:$AU$304,MAX(1,34-Parametri_v3!$C$21)))*Parametri_v3!$C$18*Parametri_v3!$C$19*Parametri_v3!$C$20</f>
        <v>3.15</v>
      </c>
      <c r="BC278" s="17" t="n">
        <f aca="false">MAX(0,MIN(AY278,BA278,BB278,MAX(0,AZ278-(AV278-AW278))))</f>
        <v>1.12951307692308</v>
      </c>
      <c r="BD278" s="17" t="n">
        <f aca="false">AV278-AW278+BC278</f>
        <v>14.4229328935152</v>
      </c>
      <c r="BE278" s="17" t="n">
        <f aca="false">(AV278+BD278)/2</f>
        <v>13.9167916997399</v>
      </c>
      <c r="BF278" s="15" t="n">
        <f aca="false">BE278*INDEX(Ipotesi!$C$33:$G$33,1,F278)*H278/12</f>
        <v>5740.67657614272</v>
      </c>
      <c r="BG278" s="15" t="n">
        <f aca="false">BD278*INDEX(Ipotesi!$C$33:$G$33,1,F278)*H278</f>
        <v>71393.5178229002</v>
      </c>
      <c r="BH278" s="15" t="n">
        <f aca="false">AM278*INDEX(Ipotesi!$C$37:$G$37,1,F278)</f>
        <v>2994.75</v>
      </c>
      <c r="BI278" s="15" t="n">
        <f aca="false">AQ278+BF278+BH278</f>
        <v>29360.4265761427</v>
      </c>
      <c r="BJ278" s="15" t="n">
        <f aca="false">INDEX(Ipotesi!$C$68:$G$68,1,F278)*Ipotesi!$C$69/12</f>
        <v>2400</v>
      </c>
      <c r="BK278" s="15" t="n">
        <f aca="false">INDEX(Ipotesi!$C$68:$G$68,1,F278)*(1-Ipotesi!$C$69)/12</f>
        <v>3600</v>
      </c>
      <c r="BL278" s="15" t="n">
        <f aca="false">(AQ278+BF278)*Ipotesi!$C$67</f>
        <v>790.970297284282</v>
      </c>
      <c r="BM278" s="15" t="n">
        <f aca="false">AM278*Ipotesi!$C$67</f>
        <v>898.425</v>
      </c>
      <c r="BN278" s="15" t="n">
        <f aca="false">INDEX(Ipotesi!$C$72:$G$72,1,F278)/12*Ipotesi!G126+BF278*Ipotesi!$C$73</f>
        <v>1209.25412609142</v>
      </c>
      <c r="BO278" s="15" t="n">
        <f aca="false">INDEX(Ipotesi!$C$74:$G$74,1,F278)/12*Ipotesi!G126</f>
        <v>1750</v>
      </c>
      <c r="BP278" s="15" t="n">
        <f aca="false">INDEX(Ipotesi!$C$76:$G$76,1,F278)/12</f>
        <v>1083.33333333333</v>
      </c>
      <c r="BQ278" s="15" t="n">
        <f aca="false">INDEX(Ipotesi!$C$77:$G$77,1,F278)/12*Ipotesi!G126</f>
        <v>1250</v>
      </c>
      <c r="BR278" s="15" t="n">
        <f aca="false">INDEX(Ipotesi!$C$78:$G$78,1,F278)/12</f>
        <v>1666.66666666667</v>
      </c>
      <c r="BS278" s="15" t="n">
        <f aca="false">SUM(M278:R278)*(Ipotesi!$C$85+Ipotesi!$C$86)/12</f>
        <v>2180.20833333333</v>
      </c>
      <c r="BT278" s="15" t="n">
        <f aca="false">BI278*Ipotesi!$C$87</f>
        <v>880.812797284282</v>
      </c>
      <c r="BU278" s="15" t="n">
        <f aca="false">INDEX(Ipotesi!$C$55:$G$55,1,F278)*K278/12</f>
        <v>900</v>
      </c>
      <c r="BV278" s="15" t="n">
        <f aca="false">INDEX(Ipotesi!$C$80:$G$80,1,F278)/12*Ipotesi!G126</f>
        <v>750</v>
      </c>
      <c r="BW278" s="15" t="n">
        <f aca="false">INDEX(Ipotesi!$C$82:$G$82,1,F278)/12</f>
        <v>1000</v>
      </c>
      <c r="BX278" s="15" t="n">
        <f aca="false">INDEX(Ipotesi!$C$83:$G$83,1,F278)/12</f>
        <v>666.666666666667</v>
      </c>
      <c r="BY278" s="15" t="n">
        <f aca="false">SUM(S278:U278)*(Ipotesi!$C$85+Ipotesi!$C$86)/12</f>
        <v>933.333333333333</v>
      </c>
      <c r="BZ278" s="15" t="n">
        <f aca="false">AM278*Ipotesi!$C$87</f>
        <v>898.425</v>
      </c>
      <c r="CA278" s="15" t="n">
        <f aca="false">AB278+BJ278+BL278+BN278+BO278+AR278+BP278+BQ278+BR278+BS278+BT278</f>
        <v>50923.3226373266</v>
      </c>
      <c r="CB278" s="15" t="n">
        <f aca="false">AC278+BK278+BM278+BH278+BU278+BV278+AS278+BW278+BX278+BY278+BZ278</f>
        <v>25158.25625</v>
      </c>
      <c r="CC278" s="15" t="n">
        <f aca="false">BI278-CA278</f>
        <v>-21562.8960611839</v>
      </c>
      <c r="CD278" s="15" t="n">
        <f aca="false">AM278-CB278</f>
        <v>4789.24374999999</v>
      </c>
      <c r="CE278" s="15" t="n">
        <f aca="false">INDEX(Ipotesi!$C$79:$G$79,1,F278)/12</f>
        <v>2500</v>
      </c>
      <c r="CF278" s="15" t="n">
        <f aca="false">INDEX(Ipotesi!$C$84:$G$84,1,F278)/12</f>
        <v>416.666666666667</v>
      </c>
      <c r="CG278" s="15" t="n">
        <f aca="false">Y278*MAX(0,Parametri_v3!$C$12-IF(P278=0,0,MIN(1,BE278/(P278*Parametri_v3!$C$22))))+W278*Parametri_v3!$C$13+X278*Parametri_v3!$C$14</f>
        <v>11297.8427369061</v>
      </c>
      <c r="CH278" s="15" t="n">
        <f aca="false">AB278*Parametri_v3!$C$32</f>
        <v>1685.60385416667</v>
      </c>
      <c r="CI278" s="15" t="n">
        <f aca="false">AC278*Parametri_v3!$C$32</f>
        <v>613.3328125</v>
      </c>
      <c r="CJ278" s="15" t="n">
        <f aca="false">CA278-AB278</f>
        <v>17211.2455539933</v>
      </c>
      <c r="CK278" s="15" t="n">
        <f aca="false">CB278-AC278-BH278</f>
        <v>9896.85</v>
      </c>
      <c r="CL278" s="15" t="n">
        <f aca="false">BF278*Ipotesi!$C$73+INDEX(Ipotesi!$C$72:$G$72,1,F278)/12*Ipotesi!G126*Parametri_v3!$C$58+Z278*(1-Parametri_v3!$C$16)</f>
        <v>2641.46912609142</v>
      </c>
      <c r="CM278" s="16" t="n">
        <f aca="false">IF(BF278=0,0,1-CL278/BF278)</f>
        <v>0.539867977048399</v>
      </c>
    </row>
    <row r="279" customFormat="false" ht="18" hidden="false" customHeight="true" outlineLevel="0" collapsed="false">
      <c r="A279" s="68" t="n">
        <f aca="false">5</f>
        <v>5</v>
      </c>
      <c r="B279" s="68" t="n">
        <f aca="false">35</f>
        <v>35</v>
      </c>
      <c r="C279" s="18" t="n">
        <f aca="false">EDATE(Parametri_v3!$C$5,35-1)</f>
        <v>47423</v>
      </c>
      <c r="D279" s="68" t="n">
        <f aca="false">YEAR(C279)</f>
        <v>2029</v>
      </c>
      <c r="E279" s="68" t="n">
        <f aca="false">MONTH(C279)</f>
        <v>11</v>
      </c>
      <c r="F279" s="68" t="n">
        <f aca="false">INT((35-1)/12)+1</f>
        <v>3</v>
      </c>
      <c r="G279" s="15" t="n">
        <f aca="false">Ipotesi!G7</f>
        <v>0.55</v>
      </c>
      <c r="H279" s="15" t="n">
        <f aca="false">Ipotesi!G9</f>
        <v>0.9</v>
      </c>
      <c r="I279" s="15" t="n">
        <f aca="false">Ipotesi!G10</f>
        <v>0.3</v>
      </c>
      <c r="J279" s="15" t="n">
        <f aca="false">Ipotesi!G11</f>
        <v>0.2</v>
      </c>
      <c r="K279" s="15" t="n">
        <f aca="false">Ipotesi!G12</f>
        <v>0.6</v>
      </c>
      <c r="L279" s="15" t="n">
        <f aca="false">Ipotesi!G13</f>
        <v>120</v>
      </c>
      <c r="M279" s="17" t="n">
        <f aca="false">INDEX(Ipotesi!$C$40:$G$40,1,F279)</f>
        <v>1</v>
      </c>
      <c r="N279" s="17" t="n">
        <f aca="false">INDEX(Ipotesi!$C$41:$G$41,1,F279)</f>
        <v>1</v>
      </c>
      <c r="O279" s="17" t="n">
        <f aca="false">INDEX(Ipotesi!$C$42:$G$42,1,F279)*Ipotesi!G125</f>
        <v>2.475</v>
      </c>
      <c r="P279" s="17" t="n">
        <f aca="false">INDEX(Ipotesi!$C$43:$G$43,1,F279)*I279</f>
        <v>1.5</v>
      </c>
      <c r="Q279" s="17" t="n">
        <f aca="false">INDEX(Ipotesi!$C$44:$G$44,1,F279)*I279</f>
        <v>1.2</v>
      </c>
      <c r="R279" s="17" t="n">
        <f aca="false">INDEX(Ipotesi!$C$45:$G$45,1,F279)*I279</f>
        <v>0.3</v>
      </c>
      <c r="S279" s="17" t="n">
        <f aca="false">INDEX(Ipotesi!$C$52:$G$52,1,F279)*Ipotesi!G125</f>
        <v>2.75</v>
      </c>
      <c r="T279" s="17" t="n">
        <f aca="false">INDEX(Ipotesi!$C$53:$G$53,1,F279)*I279</f>
        <v>0.3</v>
      </c>
      <c r="U279" s="17" t="n">
        <f aca="false">INDEX(Ipotesi!$C$54:$G$54,1,F279)*I279</f>
        <v>0.15</v>
      </c>
      <c r="V279" s="15" t="n">
        <f aca="false">M279*INDEX(Ipotesi!$C$58:$G$58,1,F279)*K279/12</f>
        <v>4250</v>
      </c>
      <c r="W279" s="15" t="n">
        <f aca="false">N279*Ipotesi!$C$59*(1+Ipotesi!$C$66)^(F279-1)/12</f>
        <v>6188.58333333333</v>
      </c>
      <c r="X279" s="15" t="n">
        <f aca="false">O279*Ipotesi!$C$60*(1+Ipotesi!$C$66)^(F279-1)/12</f>
        <v>10940.53125</v>
      </c>
      <c r="Y279" s="15" t="n">
        <f aca="false">P279*Ipotesi!$C$61*(1+Ipotesi!$C$66)^(F279-1)/12</f>
        <v>6630.625</v>
      </c>
      <c r="Z279" s="15" t="n">
        <f aca="false">Q279*Ipotesi!$C$62*(1+Ipotesi!$C$66)^(F279-1)/12</f>
        <v>4774.05</v>
      </c>
      <c r="AA279" s="15" t="n">
        <f aca="false">R279*Ipotesi!$C$63*(1+Ipotesi!$C$66)^(F279-1)/12</f>
        <v>928.2875</v>
      </c>
      <c r="AB279" s="15" t="n">
        <f aca="false">SUM(V279:AA279)</f>
        <v>33712.0770833333</v>
      </c>
      <c r="AC279" s="15" t="n">
        <f aca="false">(S279*Ipotesi!$C$64+T279*Ipotesi!$C$65+U279*Ipotesi!$C$63)*(1+Ipotesi!$C$66)^(F279-1)/12</f>
        <v>12266.65625</v>
      </c>
      <c r="AD279" s="15" t="n">
        <f aca="false">INDEX(Ipotesi!$C$48:$G$48,1,F279)*G279/12</f>
        <v>33</v>
      </c>
      <c r="AE279" s="15" t="n">
        <f aca="false">INDEX(Ipotesi!$C$50:$G$50,1,F279)*G279/12</f>
        <v>3.66666666666667</v>
      </c>
      <c r="AF279" s="15" t="n">
        <f aca="false">(S279*Parametri_v3!$C$7*Parametri_v3!$C$8+Parametri_v3!$C$10)/12</f>
        <v>35.2916666666667</v>
      </c>
      <c r="AG279" s="15" t="n">
        <f aca="false">AD279+AE279*(1+Parametri_v3!$C$9)</f>
        <v>38.5</v>
      </c>
      <c r="AH279" s="16" t="n">
        <f aca="false">IF(AG279=0,1,MIN(1,AF279/AG279))</f>
        <v>0.916666666666666</v>
      </c>
      <c r="AI279" s="15" t="n">
        <f aca="false">AD279*AH279</f>
        <v>30.25</v>
      </c>
      <c r="AJ279" s="15" t="n">
        <f aca="false">AE279*AH279</f>
        <v>3.36111111111111</v>
      </c>
      <c r="AK279" s="15" t="n">
        <f aca="false">AI279*INDEX(Ipotesi!$C$49:$G$49,1,F279)*H279</f>
        <v>23141.25</v>
      </c>
      <c r="AL279" s="15" t="n">
        <f aca="false">AJ279*INDEX(Ipotesi!$C$51:$G$51,1,F279)*H279</f>
        <v>6806.25</v>
      </c>
      <c r="AM279" s="15" t="n">
        <f aca="false">AK279+AL279</f>
        <v>29947.5</v>
      </c>
      <c r="AN279" s="15" t="n">
        <f aca="false">INDEX(Ipotesi!$C$30:$G$30,1,F279)*G279/12</f>
        <v>22.9166666666667</v>
      </c>
      <c r="AO279" s="15" t="n">
        <f aca="false">O279*Parametri_v3!$C$7*Parametri_v3!$C$11*(1-Parametri_v3!$C$14)/12</f>
        <v>25.41</v>
      </c>
      <c r="AP279" s="15" t="n">
        <f aca="false">MIN(AN279,AO279)</f>
        <v>22.9166666666667</v>
      </c>
      <c r="AQ279" s="15" t="n">
        <f aca="false">AP279*INDEX(Ipotesi!$C$31:$G$31,1,F279)*H279</f>
        <v>20625</v>
      </c>
      <c r="AR279" s="15" t="n">
        <f aca="false">INDEX(Ipotesi!$C$75:$G$75,1,F279)*J279/12</f>
        <v>4000</v>
      </c>
      <c r="AS279" s="15" t="n">
        <f aca="false">INDEX(Ipotesi!$C$81:$G$81,1,F279)*J279/12</f>
        <v>250</v>
      </c>
      <c r="AT279" s="15" t="n">
        <f aca="false">AR279*Parametri_v3!$C$15+Z279*Parametri_v3!$C$16</f>
        <v>7341.835</v>
      </c>
      <c r="AU279" s="15" t="n">
        <f aca="false">Q279*Parametri_v3!$C$16*Parametri_v3!$C$17</f>
        <v>84</v>
      </c>
      <c r="AV279" s="17" t="n">
        <f aca="false">BD278</f>
        <v>14.4229328935152</v>
      </c>
      <c r="AW279" s="17" t="n">
        <f aca="false">AV279*(1-(1-INDEX(Ipotesi!$C$34:$G$34,1,F279))^(1/12))</f>
        <v>0.126079668180808</v>
      </c>
      <c r="AX279" s="15" t="n">
        <f aca="false">ROUND(INDEX(Ipotesi!$C$32:$G$32,1,F279)*Ipotesi!G8,0)</f>
        <v>46</v>
      </c>
      <c r="AY279" s="15" t="n">
        <f aca="false">MAX(0,(AX279-(AV279-AW279))/(13-E279))</f>
        <v>15.8515733873328</v>
      </c>
      <c r="AZ279" s="15" t="n">
        <f aca="false">MIN(P279*Parametri_v3!$C$22,Q279*(1-Parametri_v3!$C$16)*Parametri_v3!$C$23)</f>
        <v>54</v>
      </c>
      <c r="BA279" s="15" t="n">
        <f aca="false">IF(OR(INDEX(Ipotesi!$C$35:$G$35,1,F279)&lt;=0,35-Parametri_v3!$C$21&lt;1),0,INDEX($AT$245:$AT$304,MAX(1,35-Parametri_v3!$C$21))/(INDEX(Ipotesi!$C$35:$G$35,1,F279)*Ipotesi!G27))</f>
        <v>1.12951307692308</v>
      </c>
      <c r="BB279" s="15" t="n">
        <f aca="false">IF(35-Parametri_v3!$C$21&lt;1,0,INDEX($AU$245:$AU$304,MAX(1,35-Parametri_v3!$C$21)))*Parametri_v3!$C$18*Parametri_v3!$C$19*Parametri_v3!$C$20</f>
        <v>3.15</v>
      </c>
      <c r="BC279" s="17" t="n">
        <f aca="false">MAX(0,MIN(AY279,BA279,BB279,MAX(0,AZ279-(AV279-AW279))))</f>
        <v>1.12951307692308</v>
      </c>
      <c r="BD279" s="17" t="n">
        <f aca="false">AV279-AW279+BC279</f>
        <v>15.4263663022575</v>
      </c>
      <c r="BE279" s="17" t="n">
        <f aca="false">(AV279+BD279)/2</f>
        <v>14.9246495978863</v>
      </c>
      <c r="BF279" s="15" t="n">
        <f aca="false">BE279*INDEX(Ipotesi!$C$33:$G$33,1,F279)*H279/12</f>
        <v>6156.41795912811</v>
      </c>
      <c r="BG279" s="15" t="n">
        <f aca="false">BD279*INDEX(Ipotesi!$C$33:$G$33,1,F279)*H279</f>
        <v>76360.5131961744</v>
      </c>
      <c r="BH279" s="15" t="n">
        <f aca="false">AM279*INDEX(Ipotesi!$C$37:$G$37,1,F279)</f>
        <v>2994.75</v>
      </c>
      <c r="BI279" s="15" t="n">
        <f aca="false">AQ279+BF279+BH279</f>
        <v>29776.1679591281</v>
      </c>
      <c r="BJ279" s="15" t="n">
        <f aca="false">INDEX(Ipotesi!$C$68:$G$68,1,F279)*Ipotesi!$C$69/12</f>
        <v>2400</v>
      </c>
      <c r="BK279" s="15" t="n">
        <f aca="false">INDEX(Ipotesi!$C$68:$G$68,1,F279)*(1-Ipotesi!$C$69)/12</f>
        <v>3600</v>
      </c>
      <c r="BL279" s="15" t="n">
        <f aca="false">(AQ279+BF279)*Ipotesi!$C$67</f>
        <v>803.442538773843</v>
      </c>
      <c r="BM279" s="15" t="n">
        <f aca="false">AM279*Ipotesi!$C$67</f>
        <v>898.425</v>
      </c>
      <c r="BN279" s="15" t="n">
        <f aca="false">INDEX(Ipotesi!$C$72:$G$72,1,F279)/12*Ipotesi!G126+BF279*Ipotesi!$C$73</f>
        <v>1242.51343673025</v>
      </c>
      <c r="BO279" s="15" t="n">
        <f aca="false">INDEX(Ipotesi!$C$74:$G$74,1,F279)/12*Ipotesi!G126</f>
        <v>1750</v>
      </c>
      <c r="BP279" s="15" t="n">
        <f aca="false">INDEX(Ipotesi!$C$76:$G$76,1,F279)/12</f>
        <v>1083.33333333333</v>
      </c>
      <c r="BQ279" s="15" t="n">
        <f aca="false">INDEX(Ipotesi!$C$77:$G$77,1,F279)/12*Ipotesi!G126</f>
        <v>1250</v>
      </c>
      <c r="BR279" s="15" t="n">
        <f aca="false">INDEX(Ipotesi!$C$78:$G$78,1,F279)/12</f>
        <v>1666.66666666667</v>
      </c>
      <c r="BS279" s="15" t="n">
        <f aca="false">SUM(M279:R279)*(Ipotesi!$C$85+Ipotesi!$C$86)/12</f>
        <v>2180.20833333333</v>
      </c>
      <c r="BT279" s="15" t="n">
        <f aca="false">BI279*Ipotesi!$C$87</f>
        <v>893.285038773843</v>
      </c>
      <c r="BU279" s="15" t="n">
        <f aca="false">INDEX(Ipotesi!$C$55:$G$55,1,F279)*K279/12</f>
        <v>900</v>
      </c>
      <c r="BV279" s="15" t="n">
        <f aca="false">INDEX(Ipotesi!$C$80:$G$80,1,F279)/12*Ipotesi!G126</f>
        <v>750</v>
      </c>
      <c r="BW279" s="15" t="n">
        <f aca="false">INDEX(Ipotesi!$C$82:$G$82,1,F279)/12</f>
        <v>1000</v>
      </c>
      <c r="BX279" s="15" t="n">
        <f aca="false">INDEX(Ipotesi!$C$83:$G$83,1,F279)/12</f>
        <v>666.666666666667</v>
      </c>
      <c r="BY279" s="15" t="n">
        <f aca="false">SUM(S279:U279)*(Ipotesi!$C$85+Ipotesi!$C$86)/12</f>
        <v>933.333333333333</v>
      </c>
      <c r="BZ279" s="15" t="n">
        <f aca="false">AM279*Ipotesi!$C$87</f>
        <v>898.425</v>
      </c>
      <c r="CA279" s="15" t="n">
        <f aca="false">AB279+BJ279+BL279+BN279+BO279+AR279+BP279+BQ279+BR279+BS279+BT279</f>
        <v>50981.5264309446</v>
      </c>
      <c r="CB279" s="15" t="n">
        <f aca="false">AC279+BK279+BM279+BH279+BU279+BV279+AS279+BW279+BX279+BY279+BZ279</f>
        <v>25158.25625</v>
      </c>
      <c r="CC279" s="15" t="n">
        <f aca="false">BI279-CA279</f>
        <v>-21205.3584718165</v>
      </c>
      <c r="CD279" s="15" t="n">
        <f aca="false">AM279-CB279</f>
        <v>4789.24374999999</v>
      </c>
      <c r="CE279" s="15" t="n">
        <f aca="false">INDEX(Ipotesi!$C$79:$G$79,1,F279)/12</f>
        <v>2500</v>
      </c>
      <c r="CF279" s="15" t="n">
        <f aca="false">INDEX(Ipotesi!$C$84:$G$84,1,F279)/12</f>
        <v>416.666666666667</v>
      </c>
      <c r="CG279" s="15" t="n">
        <f aca="false">Y279*MAX(0,Parametri_v3!$C$12-IF(P279=0,0,MIN(1,BE279/(P279*Parametri_v3!$C$22))))+W279*Parametri_v3!$C$13+X279*Parametri_v3!$C$14</f>
        <v>11253.2912184001</v>
      </c>
      <c r="CH279" s="15" t="n">
        <f aca="false">AB279*Parametri_v3!$C$32</f>
        <v>1685.60385416667</v>
      </c>
      <c r="CI279" s="15" t="n">
        <f aca="false">AC279*Parametri_v3!$C$32</f>
        <v>613.3328125</v>
      </c>
      <c r="CJ279" s="15" t="n">
        <f aca="false">CA279-AB279</f>
        <v>17269.4493476113</v>
      </c>
      <c r="CK279" s="15" t="n">
        <f aca="false">CB279-AC279-BH279</f>
        <v>9896.85</v>
      </c>
      <c r="CL279" s="15" t="n">
        <f aca="false">BF279*Ipotesi!$C$73+INDEX(Ipotesi!$C$72:$G$72,1,F279)/12*Ipotesi!G126*Parametri_v3!$C$58+Z279*(1-Parametri_v3!$C$16)</f>
        <v>2674.72843673025</v>
      </c>
      <c r="CM279" s="16" t="n">
        <f aca="false">IF(BF279=0,0,1-CL279/BF279)</f>
        <v>0.56553819859413</v>
      </c>
    </row>
    <row r="280" customFormat="false" ht="18" hidden="false" customHeight="true" outlineLevel="0" collapsed="false">
      <c r="A280" s="68" t="n">
        <f aca="false">5</f>
        <v>5</v>
      </c>
      <c r="B280" s="68" t="n">
        <f aca="false">36</f>
        <v>36</v>
      </c>
      <c r="C280" s="18" t="n">
        <f aca="false">EDATE(Parametri_v3!$C$5,36-1)</f>
        <v>47453</v>
      </c>
      <c r="D280" s="68" t="n">
        <f aca="false">YEAR(C280)</f>
        <v>2029</v>
      </c>
      <c r="E280" s="68" t="n">
        <f aca="false">MONTH(C280)</f>
        <v>12</v>
      </c>
      <c r="F280" s="68" t="n">
        <f aca="false">INT((36-1)/12)+1</f>
        <v>3</v>
      </c>
      <c r="G280" s="15" t="n">
        <f aca="false">Ipotesi!G7</f>
        <v>0.55</v>
      </c>
      <c r="H280" s="15" t="n">
        <f aca="false">Ipotesi!G9</f>
        <v>0.9</v>
      </c>
      <c r="I280" s="15" t="n">
        <f aca="false">Ipotesi!G10</f>
        <v>0.3</v>
      </c>
      <c r="J280" s="15" t="n">
        <f aca="false">Ipotesi!G11</f>
        <v>0.2</v>
      </c>
      <c r="K280" s="15" t="n">
        <f aca="false">Ipotesi!G12</f>
        <v>0.6</v>
      </c>
      <c r="L280" s="15" t="n">
        <f aca="false">Ipotesi!G13</f>
        <v>120</v>
      </c>
      <c r="M280" s="17" t="n">
        <f aca="false">INDEX(Ipotesi!$C$40:$G$40,1,F280)</f>
        <v>1</v>
      </c>
      <c r="N280" s="17" t="n">
        <f aca="false">INDEX(Ipotesi!$C$41:$G$41,1,F280)</f>
        <v>1</v>
      </c>
      <c r="O280" s="17" t="n">
        <f aca="false">INDEX(Ipotesi!$C$42:$G$42,1,F280)*Ipotesi!G125</f>
        <v>2.475</v>
      </c>
      <c r="P280" s="17" t="n">
        <f aca="false">INDEX(Ipotesi!$C$43:$G$43,1,F280)*I280</f>
        <v>1.5</v>
      </c>
      <c r="Q280" s="17" t="n">
        <f aca="false">INDEX(Ipotesi!$C$44:$G$44,1,F280)*I280</f>
        <v>1.2</v>
      </c>
      <c r="R280" s="17" t="n">
        <f aca="false">INDEX(Ipotesi!$C$45:$G$45,1,F280)*I280</f>
        <v>0.3</v>
      </c>
      <c r="S280" s="17" t="n">
        <f aca="false">INDEX(Ipotesi!$C$52:$G$52,1,F280)*Ipotesi!G125</f>
        <v>2.75</v>
      </c>
      <c r="T280" s="17" t="n">
        <f aca="false">INDEX(Ipotesi!$C$53:$G$53,1,F280)*I280</f>
        <v>0.3</v>
      </c>
      <c r="U280" s="17" t="n">
        <f aca="false">INDEX(Ipotesi!$C$54:$G$54,1,F280)*I280</f>
        <v>0.15</v>
      </c>
      <c r="V280" s="15" t="n">
        <f aca="false">M280*INDEX(Ipotesi!$C$58:$G$58,1,F280)*K280/12</f>
        <v>4250</v>
      </c>
      <c r="W280" s="15" t="n">
        <f aca="false">N280*Ipotesi!$C$59*(1+Ipotesi!$C$66)^(F280-1)/12</f>
        <v>6188.58333333333</v>
      </c>
      <c r="X280" s="15" t="n">
        <f aca="false">O280*Ipotesi!$C$60*(1+Ipotesi!$C$66)^(F280-1)/12</f>
        <v>10940.53125</v>
      </c>
      <c r="Y280" s="15" t="n">
        <f aca="false">P280*Ipotesi!$C$61*(1+Ipotesi!$C$66)^(F280-1)/12</f>
        <v>6630.625</v>
      </c>
      <c r="Z280" s="15" t="n">
        <f aca="false">Q280*Ipotesi!$C$62*(1+Ipotesi!$C$66)^(F280-1)/12</f>
        <v>4774.05</v>
      </c>
      <c r="AA280" s="15" t="n">
        <f aca="false">R280*Ipotesi!$C$63*(1+Ipotesi!$C$66)^(F280-1)/12</f>
        <v>928.2875</v>
      </c>
      <c r="AB280" s="15" t="n">
        <f aca="false">SUM(V280:AA280)</f>
        <v>33712.0770833333</v>
      </c>
      <c r="AC280" s="15" t="n">
        <f aca="false">(S280*Ipotesi!$C$64+T280*Ipotesi!$C$65+U280*Ipotesi!$C$63)*(1+Ipotesi!$C$66)^(F280-1)/12</f>
        <v>12266.65625</v>
      </c>
      <c r="AD280" s="15" t="n">
        <f aca="false">INDEX(Ipotesi!$C$48:$G$48,1,F280)*G280/12</f>
        <v>33</v>
      </c>
      <c r="AE280" s="15" t="n">
        <f aca="false">INDEX(Ipotesi!$C$50:$G$50,1,F280)*G280/12</f>
        <v>3.66666666666667</v>
      </c>
      <c r="AF280" s="15" t="n">
        <f aca="false">(S280*Parametri_v3!$C$7*Parametri_v3!$C$8+Parametri_v3!$C$10)/12</f>
        <v>35.2916666666667</v>
      </c>
      <c r="AG280" s="15" t="n">
        <f aca="false">AD280+AE280*(1+Parametri_v3!$C$9)</f>
        <v>38.5</v>
      </c>
      <c r="AH280" s="16" t="n">
        <f aca="false">IF(AG280=0,1,MIN(1,AF280/AG280))</f>
        <v>0.916666666666666</v>
      </c>
      <c r="AI280" s="15" t="n">
        <f aca="false">AD280*AH280</f>
        <v>30.25</v>
      </c>
      <c r="AJ280" s="15" t="n">
        <f aca="false">AE280*AH280</f>
        <v>3.36111111111111</v>
      </c>
      <c r="AK280" s="15" t="n">
        <f aca="false">AI280*INDEX(Ipotesi!$C$49:$G$49,1,F280)*H280</f>
        <v>23141.25</v>
      </c>
      <c r="AL280" s="15" t="n">
        <f aca="false">AJ280*INDEX(Ipotesi!$C$51:$G$51,1,F280)*H280</f>
        <v>6806.25</v>
      </c>
      <c r="AM280" s="15" t="n">
        <f aca="false">AK280+AL280</f>
        <v>29947.5</v>
      </c>
      <c r="AN280" s="15" t="n">
        <f aca="false">INDEX(Ipotesi!$C$30:$G$30,1,F280)*G280/12</f>
        <v>22.9166666666667</v>
      </c>
      <c r="AO280" s="15" t="n">
        <f aca="false">O280*Parametri_v3!$C$7*Parametri_v3!$C$11*(1-Parametri_v3!$C$14)/12</f>
        <v>25.41</v>
      </c>
      <c r="AP280" s="15" t="n">
        <f aca="false">MIN(AN280,AO280)</f>
        <v>22.9166666666667</v>
      </c>
      <c r="AQ280" s="15" t="n">
        <f aca="false">AP280*INDEX(Ipotesi!$C$31:$G$31,1,F280)*H280</f>
        <v>20625</v>
      </c>
      <c r="AR280" s="15" t="n">
        <f aca="false">INDEX(Ipotesi!$C$75:$G$75,1,F280)*J280/12</f>
        <v>4000</v>
      </c>
      <c r="AS280" s="15" t="n">
        <f aca="false">INDEX(Ipotesi!$C$81:$G$81,1,F280)*J280/12</f>
        <v>250</v>
      </c>
      <c r="AT280" s="15" t="n">
        <f aca="false">AR280*Parametri_v3!$C$15+Z280*Parametri_v3!$C$16</f>
        <v>7341.835</v>
      </c>
      <c r="AU280" s="15" t="n">
        <f aca="false">Q280*Parametri_v3!$C$16*Parametri_v3!$C$17</f>
        <v>84</v>
      </c>
      <c r="AV280" s="17" t="n">
        <f aca="false">BD279</f>
        <v>15.4263663022575</v>
      </c>
      <c r="AW280" s="17" t="n">
        <f aca="false">AV280*(1-(1-INDEX(Ipotesi!$C$34:$G$34,1,F280))^(1/12))</f>
        <v>0.134851292658978</v>
      </c>
      <c r="AX280" s="15" t="n">
        <f aca="false">ROUND(INDEX(Ipotesi!$C$32:$G$32,1,F280)*Ipotesi!G8,0)</f>
        <v>46</v>
      </c>
      <c r="AY280" s="15" t="n">
        <f aca="false">MAX(0,(AX280-(AV280-AW280))/(13-E280))</f>
        <v>30.7084849904015</v>
      </c>
      <c r="AZ280" s="15" t="n">
        <f aca="false">MIN(P280*Parametri_v3!$C$22,Q280*(1-Parametri_v3!$C$16)*Parametri_v3!$C$23)</f>
        <v>54</v>
      </c>
      <c r="BA280" s="15" t="n">
        <f aca="false">IF(OR(INDEX(Ipotesi!$C$35:$G$35,1,F280)&lt;=0,36-Parametri_v3!$C$21&lt;1),0,INDEX($AT$245:$AT$304,MAX(1,36-Parametri_v3!$C$21))/(INDEX(Ipotesi!$C$35:$G$35,1,F280)*Ipotesi!G27))</f>
        <v>1.12951307692308</v>
      </c>
      <c r="BB280" s="15" t="n">
        <f aca="false">IF(36-Parametri_v3!$C$21&lt;1,0,INDEX($AU$245:$AU$304,MAX(1,36-Parametri_v3!$C$21)))*Parametri_v3!$C$18*Parametri_v3!$C$19*Parametri_v3!$C$20</f>
        <v>3.15</v>
      </c>
      <c r="BC280" s="17" t="n">
        <f aca="false">MAX(0,MIN(AY280,BA280,BB280,MAX(0,AZ280-(AV280-AW280))))</f>
        <v>1.12951307692308</v>
      </c>
      <c r="BD280" s="17" t="n">
        <f aca="false">AV280-AW280+BC280</f>
        <v>16.4210280865216</v>
      </c>
      <c r="BE280" s="17" t="n">
        <f aca="false">(AV280+BD280)/2</f>
        <v>15.9236971943895</v>
      </c>
      <c r="BF280" s="15" t="n">
        <f aca="false">BE280*INDEX(Ipotesi!$C$33:$G$33,1,F280)*H280/12</f>
        <v>6568.52509268567</v>
      </c>
      <c r="BG280" s="15" t="n">
        <f aca="false">BD280*INDEX(Ipotesi!$C$33:$G$33,1,F280)*H280</f>
        <v>81284.0890282817</v>
      </c>
      <c r="BH280" s="15" t="n">
        <f aca="false">AM280*INDEX(Ipotesi!$C$37:$G$37,1,F280)</f>
        <v>2994.75</v>
      </c>
      <c r="BI280" s="15" t="n">
        <f aca="false">AQ280+BF280+BH280</f>
        <v>30188.2750926857</v>
      </c>
      <c r="BJ280" s="15" t="n">
        <f aca="false">INDEX(Ipotesi!$C$68:$G$68,1,F280)*Ipotesi!$C$69/12</f>
        <v>2400</v>
      </c>
      <c r="BK280" s="15" t="n">
        <f aca="false">INDEX(Ipotesi!$C$68:$G$68,1,F280)*(1-Ipotesi!$C$69)/12</f>
        <v>3600</v>
      </c>
      <c r="BL280" s="15" t="n">
        <f aca="false">(AQ280+BF280)*Ipotesi!$C$67</f>
        <v>815.80575278057</v>
      </c>
      <c r="BM280" s="15" t="n">
        <f aca="false">AM280*Ipotesi!$C$67</f>
        <v>898.425</v>
      </c>
      <c r="BN280" s="15" t="n">
        <f aca="false">INDEX(Ipotesi!$C$72:$G$72,1,F280)/12*Ipotesi!G126+BF280*Ipotesi!$C$73</f>
        <v>1275.48200741485</v>
      </c>
      <c r="BO280" s="15" t="n">
        <f aca="false">INDEX(Ipotesi!$C$74:$G$74,1,F280)/12*Ipotesi!G126</f>
        <v>1750</v>
      </c>
      <c r="BP280" s="15" t="n">
        <f aca="false">INDEX(Ipotesi!$C$76:$G$76,1,F280)/12</f>
        <v>1083.33333333333</v>
      </c>
      <c r="BQ280" s="15" t="n">
        <f aca="false">INDEX(Ipotesi!$C$77:$G$77,1,F280)/12*Ipotesi!G126</f>
        <v>1250</v>
      </c>
      <c r="BR280" s="15" t="n">
        <f aca="false">INDEX(Ipotesi!$C$78:$G$78,1,F280)/12</f>
        <v>1666.66666666667</v>
      </c>
      <c r="BS280" s="15" t="n">
        <f aca="false">SUM(M280:R280)*(Ipotesi!$C$85+Ipotesi!$C$86)/12</f>
        <v>2180.20833333333</v>
      </c>
      <c r="BT280" s="15" t="n">
        <f aca="false">BI280*Ipotesi!$C$87</f>
        <v>905.64825278057</v>
      </c>
      <c r="BU280" s="15" t="n">
        <f aca="false">INDEX(Ipotesi!$C$55:$G$55,1,F280)*K280/12</f>
        <v>900</v>
      </c>
      <c r="BV280" s="15" t="n">
        <f aca="false">INDEX(Ipotesi!$C$80:$G$80,1,F280)/12*Ipotesi!G126</f>
        <v>750</v>
      </c>
      <c r="BW280" s="15" t="n">
        <f aca="false">INDEX(Ipotesi!$C$82:$G$82,1,F280)/12</f>
        <v>1000</v>
      </c>
      <c r="BX280" s="15" t="n">
        <f aca="false">INDEX(Ipotesi!$C$83:$G$83,1,F280)/12</f>
        <v>666.666666666667</v>
      </c>
      <c r="BY280" s="15" t="n">
        <f aca="false">SUM(S280:U280)*(Ipotesi!$C$85+Ipotesi!$C$86)/12</f>
        <v>933.333333333333</v>
      </c>
      <c r="BZ280" s="15" t="n">
        <f aca="false">AM280*Ipotesi!$C$87</f>
        <v>898.425</v>
      </c>
      <c r="CA280" s="15" t="n">
        <f aca="false">AB280+BJ280+BL280+BN280+BO280+AR280+BP280+BQ280+BR280+BS280+BT280</f>
        <v>51039.2214296427</v>
      </c>
      <c r="CB280" s="15" t="n">
        <f aca="false">AC280+BK280+BM280+BH280+BU280+BV280+AS280+BW280+BX280+BY280+BZ280</f>
        <v>25158.25625</v>
      </c>
      <c r="CC280" s="15" t="n">
        <f aca="false">BI280-CA280</f>
        <v>-20850.946336957</v>
      </c>
      <c r="CD280" s="15" t="n">
        <f aca="false">AM280-CB280</f>
        <v>4789.24374999999</v>
      </c>
      <c r="CE280" s="15" t="n">
        <f aca="false">INDEX(Ipotesi!$C$79:$G$79,1,F280)/12</f>
        <v>2500</v>
      </c>
      <c r="CF280" s="15" t="n">
        <f aca="false">INDEX(Ipotesi!$C$84:$G$84,1,F280)/12</f>
        <v>416.666666666667</v>
      </c>
      <c r="CG280" s="15" t="n">
        <f aca="false">Y280*MAX(0,Parametri_v3!$C$12-IF(P280=0,0,MIN(1,BE280/(P280*Parametri_v3!$C$22))))+W280*Parametri_v3!$C$13+X280*Parametri_v3!$C$14</f>
        <v>11209.1291519363</v>
      </c>
      <c r="CH280" s="15" t="n">
        <f aca="false">AB280*Parametri_v3!$C$32</f>
        <v>1685.60385416667</v>
      </c>
      <c r="CI280" s="15" t="n">
        <f aca="false">AC280*Parametri_v3!$C$32</f>
        <v>613.3328125</v>
      </c>
      <c r="CJ280" s="15" t="n">
        <f aca="false">CA280-AB280</f>
        <v>17327.1443463093</v>
      </c>
      <c r="CK280" s="15" t="n">
        <f aca="false">CB280-AC280-BH280</f>
        <v>9896.85</v>
      </c>
      <c r="CL280" s="15" t="n">
        <f aca="false">BF280*Ipotesi!$C$73+INDEX(Ipotesi!$C$72:$G$72,1,F280)/12*Ipotesi!G126*Parametri_v3!$C$58+Z280*(1-Parametri_v3!$C$16)</f>
        <v>2707.69700741485</v>
      </c>
      <c r="CM280" s="16" t="n">
        <f aca="false">IF(BF280=0,0,1-CL280/BF280)</f>
        <v>0.587777017030811</v>
      </c>
    </row>
    <row r="281" customFormat="false" ht="18" hidden="false" customHeight="true" outlineLevel="0" collapsed="false">
      <c r="A281" s="68" t="n">
        <f aca="false">5</f>
        <v>5</v>
      </c>
      <c r="B281" s="68" t="n">
        <f aca="false">37</f>
        <v>37</v>
      </c>
      <c r="C281" s="18" t="n">
        <f aca="false">EDATE(Parametri_v3!$C$5,37-1)</f>
        <v>47484</v>
      </c>
      <c r="D281" s="68" t="n">
        <f aca="false">YEAR(C281)</f>
        <v>2030</v>
      </c>
      <c r="E281" s="68" t="n">
        <f aca="false">MONTH(C281)</f>
        <v>1</v>
      </c>
      <c r="F281" s="68" t="n">
        <f aca="false">INT((37-1)/12)+1</f>
        <v>4</v>
      </c>
      <c r="G281" s="15" t="n">
        <f aca="false">Ipotesi!G7</f>
        <v>0.55</v>
      </c>
      <c r="H281" s="15" t="n">
        <f aca="false">Ipotesi!G9</f>
        <v>0.9</v>
      </c>
      <c r="I281" s="15" t="n">
        <f aca="false">Ipotesi!G10</f>
        <v>0.3</v>
      </c>
      <c r="J281" s="15" t="n">
        <f aca="false">Ipotesi!G11</f>
        <v>0.2</v>
      </c>
      <c r="K281" s="15" t="n">
        <f aca="false">Ipotesi!G12</f>
        <v>0.6</v>
      </c>
      <c r="L281" s="15" t="n">
        <f aca="false">Ipotesi!G13</f>
        <v>120</v>
      </c>
      <c r="M281" s="17" t="n">
        <f aca="false">INDEX(Ipotesi!$C$40:$G$40,1,F281)</f>
        <v>1</v>
      </c>
      <c r="N281" s="17" t="n">
        <f aca="false">INDEX(Ipotesi!$C$41:$G$41,1,F281)</f>
        <v>1</v>
      </c>
      <c r="O281" s="17" t="n">
        <f aca="false">INDEX(Ipotesi!$C$42:$G$42,1,F281)*Ipotesi!G125</f>
        <v>3.575</v>
      </c>
      <c r="P281" s="17" t="n">
        <f aca="false">INDEX(Ipotesi!$C$43:$G$43,1,F281)*I281</f>
        <v>1.8</v>
      </c>
      <c r="Q281" s="17" t="n">
        <f aca="false">INDEX(Ipotesi!$C$44:$G$44,1,F281)*I281</f>
        <v>1.5</v>
      </c>
      <c r="R281" s="17" t="n">
        <f aca="false">INDEX(Ipotesi!$C$45:$G$45,1,F281)*I281</f>
        <v>0.45</v>
      </c>
      <c r="S281" s="17" t="n">
        <f aca="false">INDEX(Ipotesi!$C$52:$G$52,1,F281)*Ipotesi!G125</f>
        <v>3.85</v>
      </c>
      <c r="T281" s="17" t="n">
        <f aca="false">INDEX(Ipotesi!$C$53:$G$53,1,F281)*I281</f>
        <v>0.3</v>
      </c>
      <c r="U281" s="17" t="n">
        <f aca="false">INDEX(Ipotesi!$C$54:$G$54,1,F281)*I281</f>
        <v>0.15</v>
      </c>
      <c r="V281" s="15" t="n">
        <f aca="false">M281*INDEX(Ipotesi!$C$58:$G$58,1,F281)*K281/12</f>
        <v>4750</v>
      </c>
      <c r="W281" s="15" t="n">
        <f aca="false">N281*Ipotesi!$C$59*(1+Ipotesi!$C$66)^(F281-1)/12</f>
        <v>6374.24083333333</v>
      </c>
      <c r="X281" s="15" t="n">
        <f aca="false">O281*Ipotesi!$C$60*(1+Ipotesi!$C$66)^(F281-1)/12</f>
        <v>16277.0792708333</v>
      </c>
      <c r="Y281" s="15" t="n">
        <f aca="false">P281*Ipotesi!$C$61*(1+Ipotesi!$C$66)^(F281-1)/12</f>
        <v>8195.4525</v>
      </c>
      <c r="Z281" s="15" t="n">
        <f aca="false">Q281*Ipotesi!$C$62*(1+Ipotesi!$C$66)^(F281-1)/12</f>
        <v>6146.589375</v>
      </c>
      <c r="AA281" s="15" t="n">
        <f aca="false">R281*Ipotesi!$C$63*(1+Ipotesi!$C$66)^(F281-1)/12</f>
        <v>1434.2041875</v>
      </c>
      <c r="AB281" s="15" t="n">
        <f aca="false">SUM(V281:AA281)</f>
        <v>43177.5661666667</v>
      </c>
      <c r="AC281" s="15" t="n">
        <f aca="false">(S281*Ipotesi!$C$64+T281*Ipotesi!$C$65+U281*Ipotesi!$C$63)*(1+Ipotesi!$C$66)^(F281-1)/12</f>
        <v>16841.6548875</v>
      </c>
      <c r="AD281" s="15" t="n">
        <f aca="false">INDEX(Ipotesi!$C$48:$G$48,1,F281)*G281/12</f>
        <v>43.5416666666667</v>
      </c>
      <c r="AE281" s="15" t="n">
        <f aca="false">INDEX(Ipotesi!$C$50:$G$50,1,F281)*G281/12</f>
        <v>4.58333333333333</v>
      </c>
      <c r="AF281" s="15" t="n">
        <f aca="false">(S281*Parametri_v3!$C$7*Parametri_v3!$C$8+Parametri_v3!$C$10)/12</f>
        <v>49.4083333333333</v>
      </c>
      <c r="AG281" s="15" t="n">
        <f aca="false">AD281+AE281*(1+Parametri_v3!$C$9)</f>
        <v>50.4166666666667</v>
      </c>
      <c r="AH281" s="16" t="n">
        <f aca="false">IF(AG281=0,1,MIN(1,AF281/AG281))</f>
        <v>0.98</v>
      </c>
      <c r="AI281" s="15" t="n">
        <f aca="false">AD281*AH281</f>
        <v>42.6708333333333</v>
      </c>
      <c r="AJ281" s="15" t="n">
        <f aca="false">AE281*AH281</f>
        <v>4.49166666666667</v>
      </c>
      <c r="AK281" s="15" t="n">
        <f aca="false">AI281*INDEX(Ipotesi!$C$49:$G$49,1,F281)*H281</f>
        <v>34563.375</v>
      </c>
      <c r="AL281" s="15" t="n">
        <f aca="false">AJ281*INDEX(Ipotesi!$C$51:$G$51,1,F281)*H281</f>
        <v>10106.25</v>
      </c>
      <c r="AM281" s="15" t="n">
        <f aca="false">AK281+AL281</f>
        <v>44669.625</v>
      </c>
      <c r="AN281" s="15" t="n">
        <f aca="false">INDEX(Ipotesi!$C$30:$G$30,1,F281)*G281/12</f>
        <v>33.9166666666667</v>
      </c>
      <c r="AO281" s="15" t="n">
        <f aca="false">O281*Parametri_v3!$C$7*Parametri_v3!$C$11*(1-Parametri_v3!$C$14)/12</f>
        <v>36.7033333333333</v>
      </c>
      <c r="AP281" s="15" t="n">
        <f aca="false">MIN(AN281,AO281)</f>
        <v>33.9166666666667</v>
      </c>
      <c r="AQ281" s="15" t="n">
        <f aca="false">AP281*INDEX(Ipotesi!$C$31:$G$31,1,F281)*H281</f>
        <v>32051.25</v>
      </c>
      <c r="AR281" s="15" t="n">
        <f aca="false">INDEX(Ipotesi!$C$75:$G$75,1,F281)*J281/12</f>
        <v>5583.33333333333</v>
      </c>
      <c r="AS281" s="15" t="n">
        <f aca="false">INDEX(Ipotesi!$C$81:$G$81,1,F281)*J281/12</f>
        <v>333.333333333333</v>
      </c>
      <c r="AT281" s="15" t="n">
        <f aca="false">AR281*Parametri_v3!$C$15+Z281*Parametri_v3!$C$16</f>
        <v>9885.94589583333</v>
      </c>
      <c r="AU281" s="15" t="n">
        <f aca="false">Q281*Parametri_v3!$C$16*Parametri_v3!$C$17</f>
        <v>105</v>
      </c>
      <c r="AV281" s="17" t="n">
        <f aca="false">BD280</f>
        <v>16.4210280865216</v>
      </c>
      <c r="AW281" s="17" t="n">
        <f aca="false">AV281*(1-(1-INDEX(Ipotesi!$C$34:$G$34,1,F281))^(1/12))</f>
        <v>0.143546239008519</v>
      </c>
      <c r="AX281" s="15" t="n">
        <f aca="false">ROUND(INDEX(Ipotesi!$C$32:$G$32,1,F281)*Ipotesi!G8,0)</f>
        <v>109</v>
      </c>
      <c r="AY281" s="15" t="n">
        <f aca="false">MAX(0,(AX281-(AV281-AW281))/(13-E281))</f>
        <v>7.72687651270725</v>
      </c>
      <c r="AZ281" s="15" t="n">
        <f aca="false">MIN(P281*Parametri_v3!$C$22,Q281*(1-Parametri_v3!$C$16)*Parametri_v3!$C$23)</f>
        <v>67.5</v>
      </c>
      <c r="BA281" s="15" t="n">
        <f aca="false">IF(OR(INDEX(Ipotesi!$C$35:$G$35,1,F281)&lt;=0,37-Parametri_v3!$C$21&lt;1),0,INDEX($AT$245:$AT$304,MAX(1,37-Parametri_v3!$C$21))/(INDEX(Ipotesi!$C$35:$G$35,1,F281)*Ipotesi!G27))</f>
        <v>0.941260897435898</v>
      </c>
      <c r="BB281" s="15" t="n">
        <f aca="false">IF(37-Parametri_v3!$C$21&lt;1,0,INDEX($AU$245:$AU$304,MAX(1,37-Parametri_v3!$C$21)))*Parametri_v3!$C$18*Parametri_v3!$C$19*Parametri_v3!$C$20</f>
        <v>3.15</v>
      </c>
      <c r="BC281" s="17" t="n">
        <f aca="false">MAX(0,MIN(AY281,BA281,BB281,MAX(0,AZ281-(AV281-AW281))))</f>
        <v>0.941260897435898</v>
      </c>
      <c r="BD281" s="17" t="n">
        <f aca="false">AV281-AW281+BC281</f>
        <v>17.2187427449489</v>
      </c>
      <c r="BE281" s="17" t="n">
        <f aca="false">(AV281+BD281)/2</f>
        <v>16.8198854157352</v>
      </c>
      <c r="BF281" s="15" t="n">
        <f aca="false">BE281*INDEX(Ipotesi!$C$33:$G$33,1,F281)*H281/12</f>
        <v>7568.94843708086</v>
      </c>
      <c r="BG281" s="15" t="n">
        <f aca="false">BD281*INDEX(Ipotesi!$C$33:$G$33,1,F281)*H281</f>
        <v>92981.2108227242</v>
      </c>
      <c r="BH281" s="15" t="n">
        <f aca="false">AM281*INDEX(Ipotesi!$C$37:$G$37,1,F281)</f>
        <v>4466.9625</v>
      </c>
      <c r="BI281" s="15" t="n">
        <f aca="false">AQ281+BF281+BH281</f>
        <v>44087.1609370809</v>
      </c>
      <c r="BJ281" s="15" t="n">
        <f aca="false">INDEX(Ipotesi!$C$68:$G$68,1,F281)*Ipotesi!$C$69/12</f>
        <v>3000</v>
      </c>
      <c r="BK281" s="15" t="n">
        <f aca="false">INDEX(Ipotesi!$C$68:$G$68,1,F281)*(1-Ipotesi!$C$69)/12</f>
        <v>4500</v>
      </c>
      <c r="BL281" s="15" t="n">
        <f aca="false">(AQ281+BF281)*Ipotesi!$C$67</f>
        <v>1188.60595311243</v>
      </c>
      <c r="BM281" s="15" t="n">
        <f aca="false">AM281*Ipotesi!$C$67</f>
        <v>1340.08875</v>
      </c>
      <c r="BN281" s="15" t="n">
        <f aca="false">INDEX(Ipotesi!$C$72:$G$72,1,F281)/12*Ipotesi!G126+BF281*Ipotesi!$C$73</f>
        <v>1355.51587496647</v>
      </c>
      <c r="BO281" s="15" t="n">
        <f aca="false">INDEX(Ipotesi!$C$74:$G$74,1,F281)/12*Ipotesi!G126</f>
        <v>2500</v>
      </c>
      <c r="BP281" s="15" t="n">
        <f aca="false">INDEX(Ipotesi!$C$76:$G$76,1,F281)/12</f>
        <v>1500</v>
      </c>
      <c r="BQ281" s="15" t="n">
        <f aca="false">INDEX(Ipotesi!$C$77:$G$77,1,F281)/12*Ipotesi!G126</f>
        <v>1250</v>
      </c>
      <c r="BR281" s="15" t="n">
        <f aca="false">INDEX(Ipotesi!$C$78:$G$78,1,F281)/12</f>
        <v>2000</v>
      </c>
      <c r="BS281" s="15" t="n">
        <f aca="false">SUM(M281:R281)*(Ipotesi!$C$85+Ipotesi!$C$86)/12</f>
        <v>2719.79166666667</v>
      </c>
      <c r="BT281" s="15" t="n">
        <f aca="false">BI281*Ipotesi!$C$87</f>
        <v>1322.61482811243</v>
      </c>
      <c r="BU281" s="15" t="n">
        <f aca="false">INDEX(Ipotesi!$C$55:$G$55,1,F281)*K281/12</f>
        <v>1200</v>
      </c>
      <c r="BV281" s="15" t="n">
        <f aca="false">INDEX(Ipotesi!$C$80:$G$80,1,F281)/12*Ipotesi!G126</f>
        <v>1000</v>
      </c>
      <c r="BW281" s="15" t="n">
        <f aca="false">INDEX(Ipotesi!$C$82:$G$82,1,F281)/12</f>
        <v>1250</v>
      </c>
      <c r="BX281" s="15" t="n">
        <f aca="false">INDEX(Ipotesi!$C$83:$G$83,1,F281)/12</f>
        <v>750</v>
      </c>
      <c r="BY281" s="15" t="n">
        <f aca="false">SUM(S281:U281)*(Ipotesi!$C$85+Ipotesi!$C$86)/12</f>
        <v>1254.16666666667</v>
      </c>
      <c r="BZ281" s="15" t="n">
        <f aca="false">AM281*Ipotesi!$C$87</f>
        <v>1340.08875</v>
      </c>
      <c r="CA281" s="15" t="n">
        <f aca="false">AB281+BJ281+BL281+BN281+BO281+AR281+BP281+BQ281+BR281+BS281+BT281</f>
        <v>65597.427822858</v>
      </c>
      <c r="CB281" s="15" t="n">
        <f aca="false">AC281+BK281+BM281+BH281+BU281+BV281+AS281+BW281+BX281+BY281+BZ281</f>
        <v>34276.2948875</v>
      </c>
      <c r="CC281" s="15" t="n">
        <f aca="false">BI281-CA281</f>
        <v>-21510.2668857771</v>
      </c>
      <c r="CD281" s="15" t="n">
        <f aca="false">AM281-CB281</f>
        <v>10393.3301125</v>
      </c>
      <c r="CE281" s="15" t="n">
        <f aca="false">INDEX(Ipotesi!$C$79:$G$79,1,F281)/12</f>
        <v>3333.33333333333</v>
      </c>
      <c r="CF281" s="15" t="n">
        <f aca="false">INDEX(Ipotesi!$C$84:$G$84,1,F281)/12</f>
        <v>666.666666666667</v>
      </c>
      <c r="CG281" s="15" t="n">
        <f aca="false">Y281*MAX(0,Parametri_v3!$C$12-IF(P281=0,0,MIN(1,BE281/(P281*Parametri_v3!$C$22))))+W281*Parametri_v3!$C$13+X281*Parametri_v3!$C$14</f>
        <v>13872.174482055</v>
      </c>
      <c r="CH281" s="15" t="n">
        <f aca="false">AB281*Parametri_v3!$C$32</f>
        <v>2158.87830833333</v>
      </c>
      <c r="CI281" s="15" t="n">
        <f aca="false">AC281*Parametri_v3!$C$32</f>
        <v>842.082744375</v>
      </c>
      <c r="CJ281" s="15" t="n">
        <f aca="false">CA281-AB281</f>
        <v>22419.8616561913</v>
      </c>
      <c r="CK281" s="15" t="n">
        <f aca="false">CB281-AC281-BH281</f>
        <v>12967.6775</v>
      </c>
      <c r="CL281" s="15" t="n">
        <f aca="false">BF281*Ipotesi!$C$73+INDEX(Ipotesi!$C$72:$G$72,1,F281)/12*Ipotesi!G126*Parametri_v3!$C$58+Z281*(1-Parametri_v3!$C$16)</f>
        <v>3199.49268746647</v>
      </c>
      <c r="CM281" s="16" t="n">
        <f aca="false">IF(BF281=0,0,1-CL281/BF281)</f>
        <v>0.577287028170002</v>
      </c>
    </row>
    <row r="282" customFormat="false" ht="18" hidden="false" customHeight="true" outlineLevel="0" collapsed="false">
      <c r="A282" s="68" t="n">
        <f aca="false">5</f>
        <v>5</v>
      </c>
      <c r="B282" s="68" t="n">
        <f aca="false">38</f>
        <v>38</v>
      </c>
      <c r="C282" s="18" t="n">
        <f aca="false">EDATE(Parametri_v3!$C$5,38-1)</f>
        <v>47515</v>
      </c>
      <c r="D282" s="68" t="n">
        <f aca="false">YEAR(C282)</f>
        <v>2030</v>
      </c>
      <c r="E282" s="68" t="n">
        <f aca="false">MONTH(C282)</f>
        <v>2</v>
      </c>
      <c r="F282" s="68" t="n">
        <f aca="false">INT((38-1)/12)+1</f>
        <v>4</v>
      </c>
      <c r="G282" s="15" t="n">
        <f aca="false">Ipotesi!G7</f>
        <v>0.55</v>
      </c>
      <c r="H282" s="15" t="n">
        <f aca="false">Ipotesi!G9</f>
        <v>0.9</v>
      </c>
      <c r="I282" s="15" t="n">
        <f aca="false">Ipotesi!G10</f>
        <v>0.3</v>
      </c>
      <c r="J282" s="15" t="n">
        <f aca="false">Ipotesi!G11</f>
        <v>0.2</v>
      </c>
      <c r="K282" s="15" t="n">
        <f aca="false">Ipotesi!G12</f>
        <v>0.6</v>
      </c>
      <c r="L282" s="15" t="n">
        <f aca="false">Ipotesi!G13</f>
        <v>120</v>
      </c>
      <c r="M282" s="17" t="n">
        <f aca="false">INDEX(Ipotesi!$C$40:$G$40,1,F282)</f>
        <v>1</v>
      </c>
      <c r="N282" s="17" t="n">
        <f aca="false">INDEX(Ipotesi!$C$41:$G$41,1,F282)</f>
        <v>1</v>
      </c>
      <c r="O282" s="17" t="n">
        <f aca="false">INDEX(Ipotesi!$C$42:$G$42,1,F282)*Ipotesi!G125</f>
        <v>3.575</v>
      </c>
      <c r="P282" s="17" t="n">
        <f aca="false">INDEX(Ipotesi!$C$43:$G$43,1,F282)*I282</f>
        <v>1.8</v>
      </c>
      <c r="Q282" s="17" t="n">
        <f aca="false">INDEX(Ipotesi!$C$44:$G$44,1,F282)*I282</f>
        <v>1.5</v>
      </c>
      <c r="R282" s="17" t="n">
        <f aca="false">INDEX(Ipotesi!$C$45:$G$45,1,F282)*I282</f>
        <v>0.45</v>
      </c>
      <c r="S282" s="17" t="n">
        <f aca="false">INDEX(Ipotesi!$C$52:$G$52,1,F282)*Ipotesi!G125</f>
        <v>3.85</v>
      </c>
      <c r="T282" s="17" t="n">
        <f aca="false">INDEX(Ipotesi!$C$53:$G$53,1,F282)*I282</f>
        <v>0.3</v>
      </c>
      <c r="U282" s="17" t="n">
        <f aca="false">INDEX(Ipotesi!$C$54:$G$54,1,F282)*I282</f>
        <v>0.15</v>
      </c>
      <c r="V282" s="15" t="n">
        <f aca="false">M282*INDEX(Ipotesi!$C$58:$G$58,1,F282)*K282/12</f>
        <v>4750</v>
      </c>
      <c r="W282" s="15" t="n">
        <f aca="false">N282*Ipotesi!$C$59*(1+Ipotesi!$C$66)^(F282-1)/12</f>
        <v>6374.24083333333</v>
      </c>
      <c r="X282" s="15" t="n">
        <f aca="false">O282*Ipotesi!$C$60*(1+Ipotesi!$C$66)^(F282-1)/12</f>
        <v>16277.0792708333</v>
      </c>
      <c r="Y282" s="15" t="n">
        <f aca="false">P282*Ipotesi!$C$61*(1+Ipotesi!$C$66)^(F282-1)/12</f>
        <v>8195.4525</v>
      </c>
      <c r="Z282" s="15" t="n">
        <f aca="false">Q282*Ipotesi!$C$62*(1+Ipotesi!$C$66)^(F282-1)/12</f>
        <v>6146.589375</v>
      </c>
      <c r="AA282" s="15" t="n">
        <f aca="false">R282*Ipotesi!$C$63*(1+Ipotesi!$C$66)^(F282-1)/12</f>
        <v>1434.2041875</v>
      </c>
      <c r="AB282" s="15" t="n">
        <f aca="false">SUM(V282:AA282)</f>
        <v>43177.5661666667</v>
      </c>
      <c r="AC282" s="15" t="n">
        <f aca="false">(S282*Ipotesi!$C$64+T282*Ipotesi!$C$65+U282*Ipotesi!$C$63)*(1+Ipotesi!$C$66)^(F282-1)/12</f>
        <v>16841.6548875</v>
      </c>
      <c r="AD282" s="15" t="n">
        <f aca="false">INDEX(Ipotesi!$C$48:$G$48,1,F282)*G282/12</f>
        <v>43.5416666666667</v>
      </c>
      <c r="AE282" s="15" t="n">
        <f aca="false">INDEX(Ipotesi!$C$50:$G$50,1,F282)*G282/12</f>
        <v>4.58333333333333</v>
      </c>
      <c r="AF282" s="15" t="n">
        <f aca="false">(S282*Parametri_v3!$C$7*Parametri_v3!$C$8+Parametri_v3!$C$10)/12</f>
        <v>49.4083333333333</v>
      </c>
      <c r="AG282" s="15" t="n">
        <f aca="false">AD282+AE282*(1+Parametri_v3!$C$9)</f>
        <v>50.4166666666667</v>
      </c>
      <c r="AH282" s="16" t="n">
        <f aca="false">IF(AG282=0,1,MIN(1,AF282/AG282))</f>
        <v>0.98</v>
      </c>
      <c r="AI282" s="15" t="n">
        <f aca="false">AD282*AH282</f>
        <v>42.6708333333333</v>
      </c>
      <c r="AJ282" s="15" t="n">
        <f aca="false">AE282*AH282</f>
        <v>4.49166666666667</v>
      </c>
      <c r="AK282" s="15" t="n">
        <f aca="false">AI282*INDEX(Ipotesi!$C$49:$G$49,1,F282)*H282</f>
        <v>34563.375</v>
      </c>
      <c r="AL282" s="15" t="n">
        <f aca="false">AJ282*INDEX(Ipotesi!$C$51:$G$51,1,F282)*H282</f>
        <v>10106.25</v>
      </c>
      <c r="AM282" s="15" t="n">
        <f aca="false">AK282+AL282</f>
        <v>44669.625</v>
      </c>
      <c r="AN282" s="15" t="n">
        <f aca="false">INDEX(Ipotesi!$C$30:$G$30,1,F282)*G282/12</f>
        <v>33.9166666666667</v>
      </c>
      <c r="AO282" s="15" t="n">
        <f aca="false">O282*Parametri_v3!$C$7*Parametri_v3!$C$11*(1-Parametri_v3!$C$14)/12</f>
        <v>36.7033333333333</v>
      </c>
      <c r="AP282" s="15" t="n">
        <f aca="false">MIN(AN282,AO282)</f>
        <v>33.9166666666667</v>
      </c>
      <c r="AQ282" s="15" t="n">
        <f aca="false">AP282*INDEX(Ipotesi!$C$31:$G$31,1,F282)*H282</f>
        <v>32051.25</v>
      </c>
      <c r="AR282" s="15" t="n">
        <f aca="false">INDEX(Ipotesi!$C$75:$G$75,1,F282)*J282/12</f>
        <v>5583.33333333333</v>
      </c>
      <c r="AS282" s="15" t="n">
        <f aca="false">INDEX(Ipotesi!$C$81:$G$81,1,F282)*J282/12</f>
        <v>333.333333333333</v>
      </c>
      <c r="AT282" s="15" t="n">
        <f aca="false">AR282*Parametri_v3!$C$15+Z282*Parametri_v3!$C$16</f>
        <v>9885.94589583333</v>
      </c>
      <c r="AU282" s="15" t="n">
        <f aca="false">Q282*Parametri_v3!$C$16*Parametri_v3!$C$17</f>
        <v>105</v>
      </c>
      <c r="AV282" s="17" t="n">
        <f aca="false">BD281</f>
        <v>17.2187427449489</v>
      </c>
      <c r="AW282" s="17" t="n">
        <f aca="false">AV282*(1-(1-INDEX(Ipotesi!$C$34:$G$34,1,F282))^(1/12))</f>
        <v>0.15051955020535</v>
      </c>
      <c r="AX282" s="15" t="n">
        <f aca="false">ROUND(INDEX(Ipotesi!$C$32:$G$32,1,F282)*Ipotesi!G8,0)</f>
        <v>109</v>
      </c>
      <c r="AY282" s="15" t="n">
        <f aca="false">MAX(0,(AX282-(AV282-AW282))/(13-E282))</f>
        <v>8.35743425502331</v>
      </c>
      <c r="AZ282" s="15" t="n">
        <f aca="false">MIN(P282*Parametri_v3!$C$22,Q282*(1-Parametri_v3!$C$16)*Parametri_v3!$C$23)</f>
        <v>67.5</v>
      </c>
      <c r="BA282" s="15" t="n">
        <f aca="false">IF(OR(INDEX(Ipotesi!$C$35:$G$35,1,F282)&lt;=0,38-Parametri_v3!$C$21&lt;1),0,INDEX($AT$245:$AT$304,MAX(1,38-Parametri_v3!$C$21))/(INDEX(Ipotesi!$C$35:$G$35,1,F282)*Ipotesi!G27))</f>
        <v>0.941260897435898</v>
      </c>
      <c r="BB282" s="15" t="n">
        <f aca="false">IF(38-Parametri_v3!$C$21&lt;1,0,INDEX($AU$245:$AU$304,MAX(1,38-Parametri_v3!$C$21)))*Parametri_v3!$C$18*Parametri_v3!$C$19*Parametri_v3!$C$20</f>
        <v>3.15</v>
      </c>
      <c r="BC282" s="17" t="n">
        <f aca="false">MAX(0,MIN(AY282,BA282,BB282,MAX(0,AZ282-(AV282-AW282))))</f>
        <v>0.941260897435898</v>
      </c>
      <c r="BD282" s="17" t="n">
        <f aca="false">AV282-AW282+BC282</f>
        <v>18.0094840921795</v>
      </c>
      <c r="BE282" s="17" t="n">
        <f aca="false">(AV282+BD282)/2</f>
        <v>17.6141134185642</v>
      </c>
      <c r="BF282" s="15" t="n">
        <f aca="false">BE282*INDEX(Ipotesi!$C$33:$G$33,1,F282)*H282/12</f>
        <v>7926.35103835389</v>
      </c>
      <c r="BG282" s="15" t="n">
        <f aca="false">BD282*INDEX(Ipotesi!$C$33:$G$33,1,F282)*H282</f>
        <v>97251.2140977692</v>
      </c>
      <c r="BH282" s="15" t="n">
        <f aca="false">AM282*INDEX(Ipotesi!$C$37:$G$37,1,F282)</f>
        <v>4466.9625</v>
      </c>
      <c r="BI282" s="15" t="n">
        <f aca="false">AQ282+BF282+BH282</f>
        <v>44444.5635383539</v>
      </c>
      <c r="BJ282" s="15" t="n">
        <f aca="false">INDEX(Ipotesi!$C$68:$G$68,1,F282)*Ipotesi!$C$69/12</f>
        <v>3000</v>
      </c>
      <c r="BK282" s="15" t="n">
        <f aca="false">INDEX(Ipotesi!$C$68:$G$68,1,F282)*(1-Ipotesi!$C$69)/12</f>
        <v>4500</v>
      </c>
      <c r="BL282" s="15" t="n">
        <f aca="false">(AQ282+BF282)*Ipotesi!$C$67</f>
        <v>1199.32803115062</v>
      </c>
      <c r="BM282" s="15" t="n">
        <f aca="false">AM282*Ipotesi!$C$67</f>
        <v>1340.08875</v>
      </c>
      <c r="BN282" s="15" t="n">
        <f aca="false">INDEX(Ipotesi!$C$72:$G$72,1,F282)/12*Ipotesi!G126+BF282*Ipotesi!$C$73</f>
        <v>1384.10808306831</v>
      </c>
      <c r="BO282" s="15" t="n">
        <f aca="false">INDEX(Ipotesi!$C$74:$G$74,1,F282)/12*Ipotesi!G126</f>
        <v>2500</v>
      </c>
      <c r="BP282" s="15" t="n">
        <f aca="false">INDEX(Ipotesi!$C$76:$G$76,1,F282)/12</f>
        <v>1500</v>
      </c>
      <c r="BQ282" s="15" t="n">
        <f aca="false">INDEX(Ipotesi!$C$77:$G$77,1,F282)/12*Ipotesi!G126</f>
        <v>1250</v>
      </c>
      <c r="BR282" s="15" t="n">
        <f aca="false">INDEX(Ipotesi!$C$78:$G$78,1,F282)/12</f>
        <v>2000</v>
      </c>
      <c r="BS282" s="15" t="n">
        <f aca="false">SUM(M282:R282)*(Ipotesi!$C$85+Ipotesi!$C$86)/12</f>
        <v>2719.79166666667</v>
      </c>
      <c r="BT282" s="15" t="n">
        <f aca="false">BI282*Ipotesi!$C$87</f>
        <v>1333.33690615062</v>
      </c>
      <c r="BU282" s="15" t="n">
        <f aca="false">INDEX(Ipotesi!$C$55:$G$55,1,F282)*K282/12</f>
        <v>1200</v>
      </c>
      <c r="BV282" s="15" t="n">
        <f aca="false">INDEX(Ipotesi!$C$80:$G$80,1,F282)/12*Ipotesi!G126</f>
        <v>1000</v>
      </c>
      <c r="BW282" s="15" t="n">
        <f aca="false">INDEX(Ipotesi!$C$82:$G$82,1,F282)/12</f>
        <v>1250</v>
      </c>
      <c r="BX282" s="15" t="n">
        <f aca="false">INDEX(Ipotesi!$C$83:$G$83,1,F282)/12</f>
        <v>750</v>
      </c>
      <c r="BY282" s="15" t="n">
        <f aca="false">SUM(S282:U282)*(Ipotesi!$C$85+Ipotesi!$C$86)/12</f>
        <v>1254.16666666667</v>
      </c>
      <c r="BZ282" s="15" t="n">
        <f aca="false">AM282*Ipotesi!$C$87</f>
        <v>1340.08875</v>
      </c>
      <c r="CA282" s="15" t="n">
        <f aca="false">AB282+BJ282+BL282+BN282+BO282+AR282+BP282+BQ282+BR282+BS282+BT282</f>
        <v>65647.4641870362</v>
      </c>
      <c r="CB282" s="15" t="n">
        <f aca="false">AC282+BK282+BM282+BH282+BU282+BV282+AS282+BW282+BX282+BY282+BZ282</f>
        <v>34276.2948875</v>
      </c>
      <c r="CC282" s="15" t="n">
        <f aca="false">BI282-CA282</f>
        <v>-21202.9006486823</v>
      </c>
      <c r="CD282" s="15" t="n">
        <f aca="false">AM282-CB282</f>
        <v>10393.3301125</v>
      </c>
      <c r="CE282" s="15" t="n">
        <f aca="false">INDEX(Ipotesi!$C$79:$G$79,1,F282)/12</f>
        <v>3333.33333333333</v>
      </c>
      <c r="CF282" s="15" t="n">
        <f aca="false">INDEX(Ipotesi!$C$84:$G$84,1,F282)/12</f>
        <v>666.666666666667</v>
      </c>
      <c r="CG282" s="15" t="n">
        <f aca="false">Y282*MAX(0,Parametri_v3!$C$12-IF(P282=0,0,MIN(1,BE282/(P282*Parametri_v3!$C$22))))+W282*Parametri_v3!$C$13+X282*Parametri_v3!$C$14</f>
        <v>13836.0130494364</v>
      </c>
      <c r="CH282" s="15" t="n">
        <f aca="false">AB282*Parametri_v3!$C$32</f>
        <v>2158.87830833333</v>
      </c>
      <c r="CI282" s="15" t="n">
        <f aca="false">AC282*Parametri_v3!$C$32</f>
        <v>842.082744375</v>
      </c>
      <c r="CJ282" s="15" t="n">
        <f aca="false">CA282-AB282</f>
        <v>22469.8980203695</v>
      </c>
      <c r="CK282" s="15" t="n">
        <f aca="false">CB282-AC282-BH282</f>
        <v>12967.6775</v>
      </c>
      <c r="CL282" s="15" t="n">
        <f aca="false">BF282*Ipotesi!$C$73+INDEX(Ipotesi!$C$72:$G$72,1,F282)/12*Ipotesi!G126*Parametri_v3!$C$58+Z282*(1-Parametri_v3!$C$16)</f>
        <v>3228.08489556831</v>
      </c>
      <c r="CM282" s="16" t="n">
        <f aca="false">IF(BF282=0,0,1-CL282/BF282)</f>
        <v>0.592740104501011</v>
      </c>
    </row>
    <row r="283" customFormat="false" ht="18" hidden="false" customHeight="true" outlineLevel="0" collapsed="false">
      <c r="A283" s="68" t="n">
        <f aca="false">5</f>
        <v>5</v>
      </c>
      <c r="B283" s="68" t="n">
        <f aca="false">39</f>
        <v>39</v>
      </c>
      <c r="C283" s="18" t="n">
        <f aca="false">EDATE(Parametri_v3!$C$5,39-1)</f>
        <v>47543</v>
      </c>
      <c r="D283" s="68" t="n">
        <f aca="false">YEAR(C283)</f>
        <v>2030</v>
      </c>
      <c r="E283" s="68" t="n">
        <f aca="false">MONTH(C283)</f>
        <v>3</v>
      </c>
      <c r="F283" s="68" t="n">
        <f aca="false">INT((39-1)/12)+1</f>
        <v>4</v>
      </c>
      <c r="G283" s="15" t="n">
        <f aca="false">Ipotesi!G7</f>
        <v>0.55</v>
      </c>
      <c r="H283" s="15" t="n">
        <f aca="false">Ipotesi!G9</f>
        <v>0.9</v>
      </c>
      <c r="I283" s="15" t="n">
        <f aca="false">Ipotesi!G10</f>
        <v>0.3</v>
      </c>
      <c r="J283" s="15" t="n">
        <f aca="false">Ipotesi!G11</f>
        <v>0.2</v>
      </c>
      <c r="K283" s="15" t="n">
        <f aca="false">Ipotesi!G12</f>
        <v>0.6</v>
      </c>
      <c r="L283" s="15" t="n">
        <f aca="false">Ipotesi!G13</f>
        <v>120</v>
      </c>
      <c r="M283" s="17" t="n">
        <f aca="false">INDEX(Ipotesi!$C$40:$G$40,1,F283)</f>
        <v>1</v>
      </c>
      <c r="N283" s="17" t="n">
        <f aca="false">INDEX(Ipotesi!$C$41:$G$41,1,F283)</f>
        <v>1</v>
      </c>
      <c r="O283" s="17" t="n">
        <f aca="false">INDEX(Ipotesi!$C$42:$G$42,1,F283)*Ipotesi!G125</f>
        <v>3.575</v>
      </c>
      <c r="P283" s="17" t="n">
        <f aca="false">INDEX(Ipotesi!$C$43:$G$43,1,F283)*I283</f>
        <v>1.8</v>
      </c>
      <c r="Q283" s="17" t="n">
        <f aca="false">INDEX(Ipotesi!$C$44:$G$44,1,F283)*I283</f>
        <v>1.5</v>
      </c>
      <c r="R283" s="17" t="n">
        <f aca="false">INDEX(Ipotesi!$C$45:$G$45,1,F283)*I283</f>
        <v>0.45</v>
      </c>
      <c r="S283" s="17" t="n">
        <f aca="false">INDEX(Ipotesi!$C$52:$G$52,1,F283)*Ipotesi!G125</f>
        <v>3.85</v>
      </c>
      <c r="T283" s="17" t="n">
        <f aca="false">INDEX(Ipotesi!$C$53:$G$53,1,F283)*I283</f>
        <v>0.3</v>
      </c>
      <c r="U283" s="17" t="n">
        <f aca="false">INDEX(Ipotesi!$C$54:$G$54,1,F283)*I283</f>
        <v>0.15</v>
      </c>
      <c r="V283" s="15" t="n">
        <f aca="false">M283*INDEX(Ipotesi!$C$58:$G$58,1,F283)*K283/12</f>
        <v>4750</v>
      </c>
      <c r="W283" s="15" t="n">
        <f aca="false">N283*Ipotesi!$C$59*(1+Ipotesi!$C$66)^(F283-1)/12</f>
        <v>6374.24083333333</v>
      </c>
      <c r="X283" s="15" t="n">
        <f aca="false">O283*Ipotesi!$C$60*(1+Ipotesi!$C$66)^(F283-1)/12</f>
        <v>16277.0792708333</v>
      </c>
      <c r="Y283" s="15" t="n">
        <f aca="false">P283*Ipotesi!$C$61*(1+Ipotesi!$C$66)^(F283-1)/12</f>
        <v>8195.4525</v>
      </c>
      <c r="Z283" s="15" t="n">
        <f aca="false">Q283*Ipotesi!$C$62*(1+Ipotesi!$C$66)^(F283-1)/12</f>
        <v>6146.589375</v>
      </c>
      <c r="AA283" s="15" t="n">
        <f aca="false">R283*Ipotesi!$C$63*(1+Ipotesi!$C$66)^(F283-1)/12</f>
        <v>1434.2041875</v>
      </c>
      <c r="AB283" s="15" t="n">
        <f aca="false">SUM(V283:AA283)</f>
        <v>43177.5661666667</v>
      </c>
      <c r="AC283" s="15" t="n">
        <f aca="false">(S283*Ipotesi!$C$64+T283*Ipotesi!$C$65+U283*Ipotesi!$C$63)*(1+Ipotesi!$C$66)^(F283-1)/12</f>
        <v>16841.6548875</v>
      </c>
      <c r="AD283" s="15" t="n">
        <f aca="false">INDEX(Ipotesi!$C$48:$G$48,1,F283)*G283/12</f>
        <v>43.5416666666667</v>
      </c>
      <c r="AE283" s="15" t="n">
        <f aca="false">INDEX(Ipotesi!$C$50:$G$50,1,F283)*G283/12</f>
        <v>4.58333333333333</v>
      </c>
      <c r="AF283" s="15" t="n">
        <f aca="false">(S283*Parametri_v3!$C$7*Parametri_v3!$C$8+Parametri_v3!$C$10)/12</f>
        <v>49.4083333333333</v>
      </c>
      <c r="AG283" s="15" t="n">
        <f aca="false">AD283+AE283*(1+Parametri_v3!$C$9)</f>
        <v>50.4166666666667</v>
      </c>
      <c r="AH283" s="16" t="n">
        <f aca="false">IF(AG283=0,1,MIN(1,AF283/AG283))</f>
        <v>0.98</v>
      </c>
      <c r="AI283" s="15" t="n">
        <f aca="false">AD283*AH283</f>
        <v>42.6708333333333</v>
      </c>
      <c r="AJ283" s="15" t="n">
        <f aca="false">AE283*AH283</f>
        <v>4.49166666666667</v>
      </c>
      <c r="AK283" s="15" t="n">
        <f aca="false">AI283*INDEX(Ipotesi!$C$49:$G$49,1,F283)*H283</f>
        <v>34563.375</v>
      </c>
      <c r="AL283" s="15" t="n">
        <f aca="false">AJ283*INDEX(Ipotesi!$C$51:$G$51,1,F283)*H283</f>
        <v>10106.25</v>
      </c>
      <c r="AM283" s="15" t="n">
        <f aca="false">AK283+AL283</f>
        <v>44669.625</v>
      </c>
      <c r="AN283" s="15" t="n">
        <f aca="false">INDEX(Ipotesi!$C$30:$G$30,1,F283)*G283/12</f>
        <v>33.9166666666667</v>
      </c>
      <c r="AO283" s="15" t="n">
        <f aca="false">O283*Parametri_v3!$C$7*Parametri_v3!$C$11*(1-Parametri_v3!$C$14)/12</f>
        <v>36.7033333333333</v>
      </c>
      <c r="AP283" s="15" t="n">
        <f aca="false">MIN(AN283,AO283)</f>
        <v>33.9166666666667</v>
      </c>
      <c r="AQ283" s="15" t="n">
        <f aca="false">AP283*INDEX(Ipotesi!$C$31:$G$31,1,F283)*H283</f>
        <v>32051.25</v>
      </c>
      <c r="AR283" s="15" t="n">
        <f aca="false">INDEX(Ipotesi!$C$75:$G$75,1,F283)*J283/12</f>
        <v>5583.33333333333</v>
      </c>
      <c r="AS283" s="15" t="n">
        <f aca="false">INDEX(Ipotesi!$C$81:$G$81,1,F283)*J283/12</f>
        <v>333.333333333333</v>
      </c>
      <c r="AT283" s="15" t="n">
        <f aca="false">AR283*Parametri_v3!$C$15+Z283*Parametri_v3!$C$16</f>
        <v>9885.94589583333</v>
      </c>
      <c r="AU283" s="15" t="n">
        <f aca="false">Q283*Parametri_v3!$C$16*Parametri_v3!$C$17</f>
        <v>105</v>
      </c>
      <c r="AV283" s="17" t="n">
        <f aca="false">BD282</f>
        <v>18.0094840921795</v>
      </c>
      <c r="AW283" s="17" t="n">
        <f aca="false">AV283*(1-(1-INDEX(Ipotesi!$C$34:$G$34,1,F283))^(1/12))</f>
        <v>0.157431903428632</v>
      </c>
      <c r="AX283" s="15" t="n">
        <f aca="false">ROUND(INDEX(Ipotesi!$C$32:$G$32,1,F283)*Ipotesi!G8,0)</f>
        <v>109</v>
      </c>
      <c r="AY283" s="15" t="n">
        <f aca="false">MAX(0,(AX283-(AV283-AW283))/(13-E283))</f>
        <v>9.11479478112492</v>
      </c>
      <c r="AZ283" s="15" t="n">
        <f aca="false">MIN(P283*Parametri_v3!$C$22,Q283*(1-Parametri_v3!$C$16)*Parametri_v3!$C$23)</f>
        <v>67.5</v>
      </c>
      <c r="BA283" s="15" t="n">
        <f aca="false">IF(OR(INDEX(Ipotesi!$C$35:$G$35,1,F283)&lt;=0,39-Parametri_v3!$C$21&lt;1),0,INDEX($AT$245:$AT$304,MAX(1,39-Parametri_v3!$C$21))/(INDEX(Ipotesi!$C$35:$G$35,1,F283)*Ipotesi!G27))</f>
        <v>0.941260897435898</v>
      </c>
      <c r="BB283" s="15" t="n">
        <f aca="false">IF(39-Parametri_v3!$C$21&lt;1,0,INDEX($AU$245:$AU$304,MAX(1,39-Parametri_v3!$C$21)))*Parametri_v3!$C$18*Parametri_v3!$C$19*Parametri_v3!$C$20</f>
        <v>3.15</v>
      </c>
      <c r="BC283" s="17" t="n">
        <f aca="false">MAX(0,MIN(AY283,BA283,BB283,MAX(0,AZ283-(AV283-AW283))))</f>
        <v>0.941260897435898</v>
      </c>
      <c r="BD283" s="17" t="n">
        <f aca="false">AV283-AW283+BC283</f>
        <v>18.7933130861867</v>
      </c>
      <c r="BE283" s="17" t="n">
        <f aca="false">(AV283+BD283)/2</f>
        <v>18.4013985891831</v>
      </c>
      <c r="BF283" s="15" t="n">
        <f aca="false">BE283*INDEX(Ipotesi!$C$33:$G$33,1,F283)*H283/12</f>
        <v>8280.6293651324</v>
      </c>
      <c r="BG283" s="15" t="n">
        <f aca="false">BD283*INDEX(Ipotesi!$C$33:$G$33,1,F283)*H283</f>
        <v>101483.890665408</v>
      </c>
      <c r="BH283" s="15" t="n">
        <f aca="false">AM283*INDEX(Ipotesi!$C$37:$G$37,1,F283)</f>
        <v>4466.9625</v>
      </c>
      <c r="BI283" s="15" t="n">
        <f aca="false">AQ283+BF283+BH283</f>
        <v>44798.8418651324</v>
      </c>
      <c r="BJ283" s="15" t="n">
        <f aca="false">INDEX(Ipotesi!$C$68:$G$68,1,F283)*Ipotesi!$C$69/12</f>
        <v>3000</v>
      </c>
      <c r="BK283" s="15" t="n">
        <f aca="false">INDEX(Ipotesi!$C$68:$G$68,1,F283)*(1-Ipotesi!$C$69)/12</f>
        <v>4500</v>
      </c>
      <c r="BL283" s="15" t="n">
        <f aca="false">(AQ283+BF283)*Ipotesi!$C$67</f>
        <v>1209.95638095397</v>
      </c>
      <c r="BM283" s="15" t="n">
        <f aca="false">AM283*Ipotesi!$C$67</f>
        <v>1340.08875</v>
      </c>
      <c r="BN283" s="15" t="n">
        <f aca="false">INDEX(Ipotesi!$C$72:$G$72,1,F283)/12*Ipotesi!G126+BF283*Ipotesi!$C$73</f>
        <v>1412.45034921059</v>
      </c>
      <c r="BO283" s="15" t="n">
        <f aca="false">INDEX(Ipotesi!$C$74:$G$74,1,F283)/12*Ipotesi!G126</f>
        <v>2500</v>
      </c>
      <c r="BP283" s="15" t="n">
        <f aca="false">INDEX(Ipotesi!$C$76:$G$76,1,F283)/12</f>
        <v>1500</v>
      </c>
      <c r="BQ283" s="15" t="n">
        <f aca="false">INDEX(Ipotesi!$C$77:$G$77,1,F283)/12*Ipotesi!G126</f>
        <v>1250</v>
      </c>
      <c r="BR283" s="15" t="n">
        <f aca="false">INDEX(Ipotesi!$C$78:$G$78,1,F283)/12</f>
        <v>2000</v>
      </c>
      <c r="BS283" s="15" t="n">
        <f aca="false">SUM(M283:R283)*(Ipotesi!$C$85+Ipotesi!$C$86)/12</f>
        <v>2719.79166666667</v>
      </c>
      <c r="BT283" s="15" t="n">
        <f aca="false">BI283*Ipotesi!$C$87</f>
        <v>1343.96525595397</v>
      </c>
      <c r="BU283" s="15" t="n">
        <f aca="false">INDEX(Ipotesi!$C$55:$G$55,1,F283)*K283/12</f>
        <v>1200</v>
      </c>
      <c r="BV283" s="15" t="n">
        <f aca="false">INDEX(Ipotesi!$C$80:$G$80,1,F283)/12*Ipotesi!G126</f>
        <v>1000</v>
      </c>
      <c r="BW283" s="15" t="n">
        <f aca="false">INDEX(Ipotesi!$C$82:$G$82,1,F283)/12</f>
        <v>1250</v>
      </c>
      <c r="BX283" s="15" t="n">
        <f aca="false">INDEX(Ipotesi!$C$83:$G$83,1,F283)/12</f>
        <v>750</v>
      </c>
      <c r="BY283" s="15" t="n">
        <f aca="false">SUM(S283:U283)*(Ipotesi!$C$85+Ipotesi!$C$86)/12</f>
        <v>1254.16666666667</v>
      </c>
      <c r="BZ283" s="15" t="n">
        <f aca="false">AM283*Ipotesi!$C$87</f>
        <v>1340.08875</v>
      </c>
      <c r="CA283" s="15" t="n">
        <f aca="false">AB283+BJ283+BL283+BN283+BO283+AR283+BP283+BQ283+BR283+BS283+BT283</f>
        <v>65697.0631527852</v>
      </c>
      <c r="CB283" s="15" t="n">
        <f aca="false">AC283+BK283+BM283+BH283+BU283+BV283+AS283+BW283+BX283+BY283+BZ283</f>
        <v>34276.2948875</v>
      </c>
      <c r="CC283" s="15" t="n">
        <f aca="false">BI283-CA283</f>
        <v>-20898.2212876528</v>
      </c>
      <c r="CD283" s="15" t="n">
        <f aca="false">AM283-CB283</f>
        <v>10393.3301125</v>
      </c>
      <c r="CE283" s="15" t="n">
        <f aca="false">INDEX(Ipotesi!$C$79:$G$79,1,F283)/12</f>
        <v>3333.33333333333</v>
      </c>
      <c r="CF283" s="15" t="n">
        <f aca="false">INDEX(Ipotesi!$C$84:$G$84,1,F283)/12</f>
        <v>666.666666666667</v>
      </c>
      <c r="CG283" s="15" t="n">
        <f aca="false">Y283*MAX(0,Parametri_v3!$C$12-IF(P283=0,0,MIN(1,BE283/(P283*Parametri_v3!$C$22))))+W283*Parametri_v3!$C$13+X283*Parametri_v3!$C$14</f>
        <v>13800.1677259932</v>
      </c>
      <c r="CH283" s="15" t="n">
        <f aca="false">AB283*Parametri_v3!$C$32</f>
        <v>2158.87830833333</v>
      </c>
      <c r="CI283" s="15" t="n">
        <f aca="false">AC283*Parametri_v3!$C$32</f>
        <v>842.082744375</v>
      </c>
      <c r="CJ283" s="15" t="n">
        <f aca="false">CA283-AB283</f>
        <v>22519.4969861185</v>
      </c>
      <c r="CK283" s="15" t="n">
        <f aca="false">CB283-AC283-BH283</f>
        <v>12967.6775</v>
      </c>
      <c r="CL283" s="15" t="n">
        <f aca="false">BF283*Ipotesi!$C$73+INDEX(Ipotesi!$C$72:$G$72,1,F283)/12*Ipotesi!G126*Parametri_v3!$C$58+Z283*(1-Parametri_v3!$C$16)</f>
        <v>3256.42716171059</v>
      </c>
      <c r="CM283" s="16" t="n">
        <f aca="false">IF(BF283=0,0,1-CL283/BF283)</f>
        <v>0.60674158712832</v>
      </c>
    </row>
    <row r="284" customFormat="false" ht="18" hidden="false" customHeight="true" outlineLevel="0" collapsed="false">
      <c r="A284" s="68" t="n">
        <f aca="false">5</f>
        <v>5</v>
      </c>
      <c r="B284" s="68" t="n">
        <f aca="false">40</f>
        <v>40</v>
      </c>
      <c r="C284" s="18" t="n">
        <f aca="false">EDATE(Parametri_v3!$C$5,40-1)</f>
        <v>47574</v>
      </c>
      <c r="D284" s="68" t="n">
        <f aca="false">YEAR(C284)</f>
        <v>2030</v>
      </c>
      <c r="E284" s="68" t="n">
        <f aca="false">MONTH(C284)</f>
        <v>4</v>
      </c>
      <c r="F284" s="68" t="n">
        <f aca="false">INT((40-1)/12)+1</f>
        <v>4</v>
      </c>
      <c r="G284" s="15" t="n">
        <f aca="false">Ipotesi!G7</f>
        <v>0.55</v>
      </c>
      <c r="H284" s="15" t="n">
        <f aca="false">Ipotesi!G9</f>
        <v>0.9</v>
      </c>
      <c r="I284" s="15" t="n">
        <f aca="false">Ipotesi!G10</f>
        <v>0.3</v>
      </c>
      <c r="J284" s="15" t="n">
        <f aca="false">Ipotesi!G11</f>
        <v>0.2</v>
      </c>
      <c r="K284" s="15" t="n">
        <f aca="false">Ipotesi!G12</f>
        <v>0.6</v>
      </c>
      <c r="L284" s="15" t="n">
        <f aca="false">Ipotesi!G13</f>
        <v>120</v>
      </c>
      <c r="M284" s="17" t="n">
        <f aca="false">INDEX(Ipotesi!$C$40:$G$40,1,F284)</f>
        <v>1</v>
      </c>
      <c r="N284" s="17" t="n">
        <f aca="false">INDEX(Ipotesi!$C$41:$G$41,1,F284)</f>
        <v>1</v>
      </c>
      <c r="O284" s="17" t="n">
        <f aca="false">INDEX(Ipotesi!$C$42:$G$42,1,F284)*Ipotesi!G125</f>
        <v>3.575</v>
      </c>
      <c r="P284" s="17" t="n">
        <f aca="false">INDEX(Ipotesi!$C$43:$G$43,1,F284)*I284</f>
        <v>1.8</v>
      </c>
      <c r="Q284" s="17" t="n">
        <f aca="false">INDEX(Ipotesi!$C$44:$G$44,1,F284)*I284</f>
        <v>1.5</v>
      </c>
      <c r="R284" s="17" t="n">
        <f aca="false">INDEX(Ipotesi!$C$45:$G$45,1,F284)*I284</f>
        <v>0.45</v>
      </c>
      <c r="S284" s="17" t="n">
        <f aca="false">INDEX(Ipotesi!$C$52:$G$52,1,F284)*Ipotesi!G125</f>
        <v>3.85</v>
      </c>
      <c r="T284" s="17" t="n">
        <f aca="false">INDEX(Ipotesi!$C$53:$G$53,1,F284)*I284</f>
        <v>0.3</v>
      </c>
      <c r="U284" s="17" t="n">
        <f aca="false">INDEX(Ipotesi!$C$54:$G$54,1,F284)*I284</f>
        <v>0.15</v>
      </c>
      <c r="V284" s="15" t="n">
        <f aca="false">M284*INDEX(Ipotesi!$C$58:$G$58,1,F284)*K284/12</f>
        <v>4750</v>
      </c>
      <c r="W284" s="15" t="n">
        <f aca="false">N284*Ipotesi!$C$59*(1+Ipotesi!$C$66)^(F284-1)/12</f>
        <v>6374.24083333333</v>
      </c>
      <c r="X284" s="15" t="n">
        <f aca="false">O284*Ipotesi!$C$60*(1+Ipotesi!$C$66)^(F284-1)/12</f>
        <v>16277.0792708333</v>
      </c>
      <c r="Y284" s="15" t="n">
        <f aca="false">P284*Ipotesi!$C$61*(1+Ipotesi!$C$66)^(F284-1)/12</f>
        <v>8195.4525</v>
      </c>
      <c r="Z284" s="15" t="n">
        <f aca="false">Q284*Ipotesi!$C$62*(1+Ipotesi!$C$66)^(F284-1)/12</f>
        <v>6146.589375</v>
      </c>
      <c r="AA284" s="15" t="n">
        <f aca="false">R284*Ipotesi!$C$63*(1+Ipotesi!$C$66)^(F284-1)/12</f>
        <v>1434.2041875</v>
      </c>
      <c r="AB284" s="15" t="n">
        <f aca="false">SUM(V284:AA284)</f>
        <v>43177.5661666667</v>
      </c>
      <c r="AC284" s="15" t="n">
        <f aca="false">(S284*Ipotesi!$C$64+T284*Ipotesi!$C$65+U284*Ipotesi!$C$63)*(1+Ipotesi!$C$66)^(F284-1)/12</f>
        <v>16841.6548875</v>
      </c>
      <c r="AD284" s="15" t="n">
        <f aca="false">INDEX(Ipotesi!$C$48:$G$48,1,F284)*G284/12</f>
        <v>43.5416666666667</v>
      </c>
      <c r="AE284" s="15" t="n">
        <f aca="false">INDEX(Ipotesi!$C$50:$G$50,1,F284)*G284/12</f>
        <v>4.58333333333333</v>
      </c>
      <c r="AF284" s="15" t="n">
        <f aca="false">(S284*Parametri_v3!$C$7*Parametri_v3!$C$8+Parametri_v3!$C$10)/12</f>
        <v>49.4083333333333</v>
      </c>
      <c r="AG284" s="15" t="n">
        <f aca="false">AD284+AE284*(1+Parametri_v3!$C$9)</f>
        <v>50.4166666666667</v>
      </c>
      <c r="AH284" s="16" t="n">
        <f aca="false">IF(AG284=0,1,MIN(1,AF284/AG284))</f>
        <v>0.98</v>
      </c>
      <c r="AI284" s="15" t="n">
        <f aca="false">AD284*AH284</f>
        <v>42.6708333333333</v>
      </c>
      <c r="AJ284" s="15" t="n">
        <f aca="false">AE284*AH284</f>
        <v>4.49166666666667</v>
      </c>
      <c r="AK284" s="15" t="n">
        <f aca="false">AI284*INDEX(Ipotesi!$C$49:$G$49,1,F284)*H284</f>
        <v>34563.375</v>
      </c>
      <c r="AL284" s="15" t="n">
        <f aca="false">AJ284*INDEX(Ipotesi!$C$51:$G$51,1,F284)*H284</f>
        <v>10106.25</v>
      </c>
      <c r="AM284" s="15" t="n">
        <f aca="false">AK284+AL284</f>
        <v>44669.625</v>
      </c>
      <c r="AN284" s="15" t="n">
        <f aca="false">INDEX(Ipotesi!$C$30:$G$30,1,F284)*G284/12</f>
        <v>33.9166666666667</v>
      </c>
      <c r="AO284" s="15" t="n">
        <f aca="false">O284*Parametri_v3!$C$7*Parametri_v3!$C$11*(1-Parametri_v3!$C$14)/12</f>
        <v>36.7033333333333</v>
      </c>
      <c r="AP284" s="15" t="n">
        <f aca="false">MIN(AN284,AO284)</f>
        <v>33.9166666666667</v>
      </c>
      <c r="AQ284" s="15" t="n">
        <f aca="false">AP284*INDEX(Ipotesi!$C$31:$G$31,1,F284)*H284</f>
        <v>32051.25</v>
      </c>
      <c r="AR284" s="15" t="n">
        <f aca="false">INDEX(Ipotesi!$C$75:$G$75,1,F284)*J284/12</f>
        <v>5583.33333333333</v>
      </c>
      <c r="AS284" s="15" t="n">
        <f aca="false">INDEX(Ipotesi!$C$81:$G$81,1,F284)*J284/12</f>
        <v>333.333333333333</v>
      </c>
      <c r="AT284" s="15" t="n">
        <f aca="false">AR284*Parametri_v3!$C$15+Z284*Parametri_v3!$C$16</f>
        <v>9885.94589583333</v>
      </c>
      <c r="AU284" s="15" t="n">
        <f aca="false">Q284*Parametri_v3!$C$16*Parametri_v3!$C$17</f>
        <v>105</v>
      </c>
      <c r="AV284" s="17" t="n">
        <f aca="false">BD283</f>
        <v>18.7933130861867</v>
      </c>
      <c r="AW284" s="17" t="n">
        <f aca="false">AV284*(1-(1-INDEX(Ipotesi!$C$34:$G$34,1,F284))^(1/12))</f>
        <v>0.164283831549255</v>
      </c>
      <c r="AX284" s="15" t="n">
        <f aca="false">ROUND(INDEX(Ipotesi!$C$32:$G$32,1,F284)*Ipotesi!G8,0)</f>
        <v>109</v>
      </c>
      <c r="AY284" s="15" t="n">
        <f aca="false">MAX(0,(AX284-(AV284-AW284))/(13-E284))</f>
        <v>10.0412189717069</v>
      </c>
      <c r="AZ284" s="15" t="n">
        <f aca="false">MIN(P284*Parametri_v3!$C$22,Q284*(1-Parametri_v3!$C$16)*Parametri_v3!$C$23)</f>
        <v>67.5</v>
      </c>
      <c r="BA284" s="15" t="n">
        <f aca="false">IF(OR(INDEX(Ipotesi!$C$35:$G$35,1,F284)&lt;=0,40-Parametri_v3!$C$21&lt;1),0,INDEX($AT$245:$AT$304,MAX(1,40-Parametri_v3!$C$21))/(INDEX(Ipotesi!$C$35:$G$35,1,F284)*Ipotesi!G27))</f>
        <v>1.26742896100427</v>
      </c>
      <c r="BB284" s="15" t="n">
        <f aca="false">IF(40-Parametri_v3!$C$21&lt;1,0,INDEX($AU$245:$AU$304,MAX(1,40-Parametri_v3!$C$21)))*Parametri_v3!$C$18*Parametri_v3!$C$19*Parametri_v3!$C$20</f>
        <v>3.9375</v>
      </c>
      <c r="BC284" s="17" t="n">
        <f aca="false">MAX(0,MIN(AY284,BA284,BB284,MAX(0,AZ284-(AV284-AW284))))</f>
        <v>1.26742896100427</v>
      </c>
      <c r="BD284" s="17" t="n">
        <f aca="false">AV284-AW284+BC284</f>
        <v>19.8964582156418</v>
      </c>
      <c r="BE284" s="17" t="n">
        <f aca="false">(AV284+BD284)/2</f>
        <v>19.3448856509143</v>
      </c>
      <c r="BF284" s="15" t="n">
        <f aca="false">BE284*INDEX(Ipotesi!$C$33:$G$33,1,F284)*H284/12</f>
        <v>8705.19854291141</v>
      </c>
      <c r="BG284" s="15" t="n">
        <f aca="false">BD284*INDEX(Ipotesi!$C$33:$G$33,1,F284)*H284</f>
        <v>107440.874364465</v>
      </c>
      <c r="BH284" s="15" t="n">
        <f aca="false">AM284*INDEX(Ipotesi!$C$37:$G$37,1,F284)</f>
        <v>4466.9625</v>
      </c>
      <c r="BI284" s="15" t="n">
        <f aca="false">AQ284+BF284+BH284</f>
        <v>45223.4110429114</v>
      </c>
      <c r="BJ284" s="15" t="n">
        <f aca="false">INDEX(Ipotesi!$C$68:$G$68,1,F284)*Ipotesi!$C$69/12</f>
        <v>3000</v>
      </c>
      <c r="BK284" s="15" t="n">
        <f aca="false">INDEX(Ipotesi!$C$68:$G$68,1,F284)*(1-Ipotesi!$C$69)/12</f>
        <v>4500</v>
      </c>
      <c r="BL284" s="15" t="n">
        <f aca="false">(AQ284+BF284)*Ipotesi!$C$67</f>
        <v>1222.69345628734</v>
      </c>
      <c r="BM284" s="15" t="n">
        <f aca="false">AM284*Ipotesi!$C$67</f>
        <v>1340.08875</v>
      </c>
      <c r="BN284" s="15" t="n">
        <f aca="false">INDEX(Ipotesi!$C$72:$G$72,1,F284)/12*Ipotesi!G126+BF284*Ipotesi!$C$73</f>
        <v>1446.41588343291</v>
      </c>
      <c r="BO284" s="15" t="n">
        <f aca="false">INDEX(Ipotesi!$C$74:$G$74,1,F284)/12*Ipotesi!G126</f>
        <v>2500</v>
      </c>
      <c r="BP284" s="15" t="n">
        <f aca="false">INDEX(Ipotesi!$C$76:$G$76,1,F284)/12</f>
        <v>1500</v>
      </c>
      <c r="BQ284" s="15" t="n">
        <f aca="false">INDEX(Ipotesi!$C$77:$G$77,1,F284)/12*Ipotesi!G126</f>
        <v>1250</v>
      </c>
      <c r="BR284" s="15" t="n">
        <f aca="false">INDEX(Ipotesi!$C$78:$G$78,1,F284)/12</f>
        <v>2000</v>
      </c>
      <c r="BS284" s="15" t="n">
        <f aca="false">SUM(M284:R284)*(Ipotesi!$C$85+Ipotesi!$C$86)/12</f>
        <v>2719.79166666667</v>
      </c>
      <c r="BT284" s="15" t="n">
        <f aca="false">BI284*Ipotesi!$C$87</f>
        <v>1356.70233128734</v>
      </c>
      <c r="BU284" s="15" t="n">
        <f aca="false">INDEX(Ipotesi!$C$55:$G$55,1,F284)*K284/12</f>
        <v>1200</v>
      </c>
      <c r="BV284" s="15" t="n">
        <f aca="false">INDEX(Ipotesi!$C$80:$G$80,1,F284)/12*Ipotesi!G126</f>
        <v>1000</v>
      </c>
      <c r="BW284" s="15" t="n">
        <f aca="false">INDEX(Ipotesi!$C$82:$G$82,1,F284)/12</f>
        <v>1250</v>
      </c>
      <c r="BX284" s="15" t="n">
        <f aca="false">INDEX(Ipotesi!$C$83:$G$83,1,F284)/12</f>
        <v>750</v>
      </c>
      <c r="BY284" s="15" t="n">
        <f aca="false">SUM(S284:U284)*(Ipotesi!$C$85+Ipotesi!$C$86)/12</f>
        <v>1254.16666666667</v>
      </c>
      <c r="BZ284" s="15" t="n">
        <f aca="false">AM284*Ipotesi!$C$87</f>
        <v>1340.08875</v>
      </c>
      <c r="CA284" s="15" t="n">
        <f aca="false">AB284+BJ284+BL284+BN284+BO284+AR284+BP284+BQ284+BR284+BS284+BT284</f>
        <v>65756.5028376743</v>
      </c>
      <c r="CB284" s="15" t="n">
        <f aca="false">AC284+BK284+BM284+BH284+BU284+BV284+AS284+BW284+BX284+BY284+BZ284</f>
        <v>34276.2948875</v>
      </c>
      <c r="CC284" s="15" t="n">
        <f aca="false">BI284-CA284</f>
        <v>-20533.0917947628</v>
      </c>
      <c r="CD284" s="15" t="n">
        <f aca="false">AM284-CB284</f>
        <v>10393.3301125</v>
      </c>
      <c r="CE284" s="15" t="n">
        <f aca="false">INDEX(Ipotesi!$C$79:$G$79,1,F284)/12</f>
        <v>3333.33333333333</v>
      </c>
      <c r="CF284" s="15" t="n">
        <f aca="false">INDEX(Ipotesi!$C$84:$G$84,1,F284)/12</f>
        <v>666.666666666667</v>
      </c>
      <c r="CG284" s="15" t="n">
        <f aca="false">Y284*MAX(0,Parametri_v3!$C$12-IF(P284=0,0,MIN(1,BE284/(P284*Parametri_v3!$C$22))))+W284*Parametri_v3!$C$13+X284*Parametri_v3!$C$14</f>
        <v>13757.2104848889</v>
      </c>
      <c r="CH284" s="15" t="n">
        <f aca="false">AB284*Parametri_v3!$C$32</f>
        <v>2158.87830833333</v>
      </c>
      <c r="CI284" s="15" t="n">
        <f aca="false">AC284*Parametri_v3!$C$32</f>
        <v>842.082744375</v>
      </c>
      <c r="CJ284" s="15" t="n">
        <f aca="false">CA284-AB284</f>
        <v>22578.9366710076</v>
      </c>
      <c r="CK284" s="15" t="n">
        <f aca="false">CB284-AC284-BH284</f>
        <v>12967.6775</v>
      </c>
      <c r="CL284" s="15" t="n">
        <f aca="false">BF284*Ipotesi!$C$73+INDEX(Ipotesi!$C$72:$G$72,1,F284)/12*Ipotesi!G126*Parametri_v3!$C$58+Z284*(1-Parametri_v3!$C$16)</f>
        <v>3290.39269593291</v>
      </c>
      <c r="CM284" s="16" t="n">
        <f aca="false">IF(BF284=0,0,1-CL284/BF284)</f>
        <v>0.622019798892208</v>
      </c>
    </row>
    <row r="285" customFormat="false" ht="18" hidden="false" customHeight="true" outlineLevel="0" collapsed="false">
      <c r="A285" s="68" t="n">
        <f aca="false">5</f>
        <v>5</v>
      </c>
      <c r="B285" s="68" t="n">
        <f aca="false">41</f>
        <v>41</v>
      </c>
      <c r="C285" s="18" t="n">
        <f aca="false">EDATE(Parametri_v3!$C$5,41-1)</f>
        <v>47604</v>
      </c>
      <c r="D285" s="68" t="n">
        <f aca="false">YEAR(C285)</f>
        <v>2030</v>
      </c>
      <c r="E285" s="68" t="n">
        <f aca="false">MONTH(C285)</f>
        <v>5</v>
      </c>
      <c r="F285" s="68" t="n">
        <f aca="false">INT((41-1)/12)+1</f>
        <v>4</v>
      </c>
      <c r="G285" s="15" t="n">
        <f aca="false">Ipotesi!G7</f>
        <v>0.55</v>
      </c>
      <c r="H285" s="15" t="n">
        <f aca="false">Ipotesi!G9</f>
        <v>0.9</v>
      </c>
      <c r="I285" s="15" t="n">
        <f aca="false">Ipotesi!G10</f>
        <v>0.3</v>
      </c>
      <c r="J285" s="15" t="n">
        <f aca="false">Ipotesi!G11</f>
        <v>0.2</v>
      </c>
      <c r="K285" s="15" t="n">
        <f aca="false">Ipotesi!G12</f>
        <v>0.6</v>
      </c>
      <c r="L285" s="15" t="n">
        <f aca="false">Ipotesi!G13</f>
        <v>120</v>
      </c>
      <c r="M285" s="17" t="n">
        <f aca="false">INDEX(Ipotesi!$C$40:$G$40,1,F285)</f>
        <v>1</v>
      </c>
      <c r="N285" s="17" t="n">
        <f aca="false">INDEX(Ipotesi!$C$41:$G$41,1,F285)</f>
        <v>1</v>
      </c>
      <c r="O285" s="17" t="n">
        <f aca="false">INDEX(Ipotesi!$C$42:$G$42,1,F285)*Ipotesi!G125</f>
        <v>3.575</v>
      </c>
      <c r="P285" s="17" t="n">
        <f aca="false">INDEX(Ipotesi!$C$43:$G$43,1,F285)*I285</f>
        <v>1.8</v>
      </c>
      <c r="Q285" s="17" t="n">
        <f aca="false">INDEX(Ipotesi!$C$44:$G$44,1,F285)*I285</f>
        <v>1.5</v>
      </c>
      <c r="R285" s="17" t="n">
        <f aca="false">INDEX(Ipotesi!$C$45:$G$45,1,F285)*I285</f>
        <v>0.45</v>
      </c>
      <c r="S285" s="17" t="n">
        <f aca="false">INDEX(Ipotesi!$C$52:$G$52,1,F285)*Ipotesi!G125</f>
        <v>3.85</v>
      </c>
      <c r="T285" s="17" t="n">
        <f aca="false">INDEX(Ipotesi!$C$53:$G$53,1,F285)*I285</f>
        <v>0.3</v>
      </c>
      <c r="U285" s="17" t="n">
        <f aca="false">INDEX(Ipotesi!$C$54:$G$54,1,F285)*I285</f>
        <v>0.15</v>
      </c>
      <c r="V285" s="15" t="n">
        <f aca="false">M285*INDEX(Ipotesi!$C$58:$G$58,1,F285)*K285/12</f>
        <v>4750</v>
      </c>
      <c r="W285" s="15" t="n">
        <f aca="false">N285*Ipotesi!$C$59*(1+Ipotesi!$C$66)^(F285-1)/12</f>
        <v>6374.24083333333</v>
      </c>
      <c r="X285" s="15" t="n">
        <f aca="false">O285*Ipotesi!$C$60*(1+Ipotesi!$C$66)^(F285-1)/12</f>
        <v>16277.0792708333</v>
      </c>
      <c r="Y285" s="15" t="n">
        <f aca="false">P285*Ipotesi!$C$61*(1+Ipotesi!$C$66)^(F285-1)/12</f>
        <v>8195.4525</v>
      </c>
      <c r="Z285" s="15" t="n">
        <f aca="false">Q285*Ipotesi!$C$62*(1+Ipotesi!$C$66)^(F285-1)/12</f>
        <v>6146.589375</v>
      </c>
      <c r="AA285" s="15" t="n">
        <f aca="false">R285*Ipotesi!$C$63*(1+Ipotesi!$C$66)^(F285-1)/12</f>
        <v>1434.2041875</v>
      </c>
      <c r="AB285" s="15" t="n">
        <f aca="false">SUM(V285:AA285)</f>
        <v>43177.5661666667</v>
      </c>
      <c r="AC285" s="15" t="n">
        <f aca="false">(S285*Ipotesi!$C$64+T285*Ipotesi!$C$65+U285*Ipotesi!$C$63)*(1+Ipotesi!$C$66)^(F285-1)/12</f>
        <v>16841.6548875</v>
      </c>
      <c r="AD285" s="15" t="n">
        <f aca="false">INDEX(Ipotesi!$C$48:$G$48,1,F285)*G285/12</f>
        <v>43.5416666666667</v>
      </c>
      <c r="AE285" s="15" t="n">
        <f aca="false">INDEX(Ipotesi!$C$50:$G$50,1,F285)*G285/12</f>
        <v>4.58333333333333</v>
      </c>
      <c r="AF285" s="15" t="n">
        <f aca="false">(S285*Parametri_v3!$C$7*Parametri_v3!$C$8+Parametri_v3!$C$10)/12</f>
        <v>49.4083333333333</v>
      </c>
      <c r="AG285" s="15" t="n">
        <f aca="false">AD285+AE285*(1+Parametri_v3!$C$9)</f>
        <v>50.4166666666667</v>
      </c>
      <c r="AH285" s="16" t="n">
        <f aca="false">IF(AG285=0,1,MIN(1,AF285/AG285))</f>
        <v>0.98</v>
      </c>
      <c r="AI285" s="15" t="n">
        <f aca="false">AD285*AH285</f>
        <v>42.6708333333333</v>
      </c>
      <c r="AJ285" s="15" t="n">
        <f aca="false">AE285*AH285</f>
        <v>4.49166666666667</v>
      </c>
      <c r="AK285" s="15" t="n">
        <f aca="false">AI285*INDEX(Ipotesi!$C$49:$G$49,1,F285)*H285</f>
        <v>34563.375</v>
      </c>
      <c r="AL285" s="15" t="n">
        <f aca="false">AJ285*INDEX(Ipotesi!$C$51:$G$51,1,F285)*H285</f>
        <v>10106.25</v>
      </c>
      <c r="AM285" s="15" t="n">
        <f aca="false">AK285+AL285</f>
        <v>44669.625</v>
      </c>
      <c r="AN285" s="15" t="n">
        <f aca="false">INDEX(Ipotesi!$C$30:$G$30,1,F285)*G285/12</f>
        <v>33.9166666666667</v>
      </c>
      <c r="AO285" s="15" t="n">
        <f aca="false">O285*Parametri_v3!$C$7*Parametri_v3!$C$11*(1-Parametri_v3!$C$14)/12</f>
        <v>36.7033333333333</v>
      </c>
      <c r="AP285" s="15" t="n">
        <f aca="false">MIN(AN285,AO285)</f>
        <v>33.9166666666667</v>
      </c>
      <c r="AQ285" s="15" t="n">
        <f aca="false">AP285*INDEX(Ipotesi!$C$31:$G$31,1,F285)*H285</f>
        <v>32051.25</v>
      </c>
      <c r="AR285" s="15" t="n">
        <f aca="false">INDEX(Ipotesi!$C$75:$G$75,1,F285)*J285/12</f>
        <v>5583.33333333333</v>
      </c>
      <c r="AS285" s="15" t="n">
        <f aca="false">INDEX(Ipotesi!$C$81:$G$81,1,F285)*J285/12</f>
        <v>333.333333333333</v>
      </c>
      <c r="AT285" s="15" t="n">
        <f aca="false">AR285*Parametri_v3!$C$15+Z285*Parametri_v3!$C$16</f>
        <v>9885.94589583333</v>
      </c>
      <c r="AU285" s="15" t="n">
        <f aca="false">Q285*Parametri_v3!$C$16*Parametri_v3!$C$17</f>
        <v>105</v>
      </c>
      <c r="AV285" s="17" t="n">
        <f aca="false">BD284</f>
        <v>19.8964582156418</v>
      </c>
      <c r="AW285" s="17" t="n">
        <f aca="false">AV285*(1-(1-INDEX(Ipotesi!$C$34:$G$34,1,F285))^(1/12))</f>
        <v>0.17392709709752</v>
      </c>
      <c r="AX285" s="15" t="n">
        <f aca="false">ROUND(INDEX(Ipotesi!$C$32:$G$32,1,F285)*Ipotesi!G8,0)</f>
        <v>109</v>
      </c>
      <c r="AY285" s="15" t="n">
        <f aca="false">MAX(0,(AX285-(AV285-AW285))/(13-E285))</f>
        <v>11.159683610182</v>
      </c>
      <c r="AZ285" s="15" t="n">
        <f aca="false">MIN(P285*Parametri_v3!$C$22,Q285*(1-Parametri_v3!$C$16)*Parametri_v3!$C$23)</f>
        <v>67.5</v>
      </c>
      <c r="BA285" s="15" t="n">
        <f aca="false">IF(OR(INDEX(Ipotesi!$C$35:$G$35,1,F285)&lt;=0,41-Parametri_v3!$C$21&lt;1),0,INDEX($AT$245:$AT$304,MAX(1,41-Parametri_v3!$C$21))/(INDEX(Ipotesi!$C$35:$G$35,1,F285)*Ipotesi!G27))</f>
        <v>1.26742896100427</v>
      </c>
      <c r="BB285" s="15" t="n">
        <f aca="false">IF(41-Parametri_v3!$C$21&lt;1,0,INDEX($AU$245:$AU$304,MAX(1,41-Parametri_v3!$C$21)))*Parametri_v3!$C$18*Parametri_v3!$C$19*Parametri_v3!$C$20</f>
        <v>3.9375</v>
      </c>
      <c r="BC285" s="17" t="n">
        <f aca="false">MAX(0,MIN(AY285,BA285,BB285,MAX(0,AZ285-(AV285-AW285))))</f>
        <v>1.26742896100427</v>
      </c>
      <c r="BD285" s="17" t="n">
        <f aca="false">AV285-AW285+BC285</f>
        <v>20.9899600795485</v>
      </c>
      <c r="BE285" s="17" t="n">
        <f aca="false">(AV285+BD285)/2</f>
        <v>20.4432091475951</v>
      </c>
      <c r="BF285" s="15" t="n">
        <f aca="false">BE285*INDEX(Ipotesi!$C$33:$G$33,1,F285)*H285/12</f>
        <v>9199.44411641781</v>
      </c>
      <c r="BG285" s="15" t="n">
        <f aca="false">BD285*INDEX(Ipotesi!$C$33:$G$33,1,F285)*H285</f>
        <v>113345.784429562</v>
      </c>
      <c r="BH285" s="15" t="n">
        <f aca="false">AM285*INDEX(Ipotesi!$C$37:$G$37,1,F285)</f>
        <v>4466.9625</v>
      </c>
      <c r="BI285" s="15" t="n">
        <f aca="false">AQ285+BF285+BH285</f>
        <v>45717.6566164178</v>
      </c>
      <c r="BJ285" s="15" t="n">
        <f aca="false">INDEX(Ipotesi!$C$68:$G$68,1,F285)*Ipotesi!$C$69/12</f>
        <v>3000</v>
      </c>
      <c r="BK285" s="15" t="n">
        <f aca="false">INDEX(Ipotesi!$C$68:$G$68,1,F285)*(1-Ipotesi!$C$69)/12</f>
        <v>4500</v>
      </c>
      <c r="BL285" s="15" t="n">
        <f aca="false">(AQ285+BF285)*Ipotesi!$C$67</f>
        <v>1237.52082349253</v>
      </c>
      <c r="BM285" s="15" t="n">
        <f aca="false">AM285*Ipotesi!$C$67</f>
        <v>1340.08875</v>
      </c>
      <c r="BN285" s="15" t="n">
        <f aca="false">INDEX(Ipotesi!$C$72:$G$72,1,F285)/12*Ipotesi!G126+BF285*Ipotesi!$C$73</f>
        <v>1485.95552931343</v>
      </c>
      <c r="BO285" s="15" t="n">
        <f aca="false">INDEX(Ipotesi!$C$74:$G$74,1,F285)/12*Ipotesi!G126</f>
        <v>2500</v>
      </c>
      <c r="BP285" s="15" t="n">
        <f aca="false">INDEX(Ipotesi!$C$76:$G$76,1,F285)/12</f>
        <v>1500</v>
      </c>
      <c r="BQ285" s="15" t="n">
        <f aca="false">INDEX(Ipotesi!$C$77:$G$77,1,F285)/12*Ipotesi!G126</f>
        <v>1250</v>
      </c>
      <c r="BR285" s="15" t="n">
        <f aca="false">INDEX(Ipotesi!$C$78:$G$78,1,F285)/12</f>
        <v>2000</v>
      </c>
      <c r="BS285" s="15" t="n">
        <f aca="false">SUM(M285:R285)*(Ipotesi!$C$85+Ipotesi!$C$86)/12</f>
        <v>2719.79166666667</v>
      </c>
      <c r="BT285" s="15" t="n">
        <f aca="false">BI285*Ipotesi!$C$87</f>
        <v>1371.52969849253</v>
      </c>
      <c r="BU285" s="15" t="n">
        <f aca="false">INDEX(Ipotesi!$C$55:$G$55,1,F285)*K285/12</f>
        <v>1200</v>
      </c>
      <c r="BV285" s="15" t="n">
        <f aca="false">INDEX(Ipotesi!$C$80:$G$80,1,F285)/12*Ipotesi!G126</f>
        <v>1000</v>
      </c>
      <c r="BW285" s="15" t="n">
        <f aca="false">INDEX(Ipotesi!$C$82:$G$82,1,F285)/12</f>
        <v>1250</v>
      </c>
      <c r="BX285" s="15" t="n">
        <f aca="false">INDEX(Ipotesi!$C$83:$G$83,1,F285)/12</f>
        <v>750</v>
      </c>
      <c r="BY285" s="15" t="n">
        <f aca="false">SUM(S285:U285)*(Ipotesi!$C$85+Ipotesi!$C$86)/12</f>
        <v>1254.16666666667</v>
      </c>
      <c r="BZ285" s="15" t="n">
        <f aca="false">AM285*Ipotesi!$C$87</f>
        <v>1340.08875</v>
      </c>
      <c r="CA285" s="15" t="n">
        <f aca="false">AB285+BJ285+BL285+BN285+BO285+AR285+BP285+BQ285+BR285+BS285+BT285</f>
        <v>65825.6972179652</v>
      </c>
      <c r="CB285" s="15" t="n">
        <f aca="false">AC285+BK285+BM285+BH285+BU285+BV285+AS285+BW285+BX285+BY285+BZ285</f>
        <v>34276.2948875</v>
      </c>
      <c r="CC285" s="15" t="n">
        <f aca="false">BI285-CA285</f>
        <v>-20108.0406015474</v>
      </c>
      <c r="CD285" s="15" t="n">
        <f aca="false">AM285-CB285</f>
        <v>10393.3301125</v>
      </c>
      <c r="CE285" s="15" t="n">
        <f aca="false">INDEX(Ipotesi!$C$79:$G$79,1,F285)/12</f>
        <v>3333.33333333333</v>
      </c>
      <c r="CF285" s="15" t="n">
        <f aca="false">INDEX(Ipotesi!$C$84:$G$84,1,F285)/12</f>
        <v>666.666666666667</v>
      </c>
      <c r="CG285" s="15" t="n">
        <f aca="false">Y285*MAX(0,Parametri_v3!$C$12-IF(P285=0,0,MIN(1,BE285/(P285*Parametri_v3!$C$22))))+W285*Parametri_v3!$C$13+X285*Parametri_v3!$C$14</f>
        <v>13707.2034957407</v>
      </c>
      <c r="CH285" s="15" t="n">
        <f aca="false">AB285*Parametri_v3!$C$32</f>
        <v>2158.87830833333</v>
      </c>
      <c r="CI285" s="15" t="n">
        <f aca="false">AC285*Parametri_v3!$C$32</f>
        <v>842.082744375</v>
      </c>
      <c r="CJ285" s="15" t="n">
        <f aca="false">CA285-AB285</f>
        <v>22648.1310512985</v>
      </c>
      <c r="CK285" s="15" t="n">
        <f aca="false">CB285-AC285-BH285</f>
        <v>12967.6775</v>
      </c>
      <c r="CL285" s="15" t="n">
        <f aca="false">BF285*Ipotesi!$C$73+INDEX(Ipotesi!$C$72:$G$72,1,F285)/12*Ipotesi!G126*Parametri_v3!$C$58+Z285*(1-Parametri_v3!$C$16)</f>
        <v>3329.93234181343</v>
      </c>
      <c r="CM285" s="16" t="n">
        <f aca="false">IF(BF285=0,0,1-CL285/BF285)</f>
        <v>0.638028961350974</v>
      </c>
    </row>
    <row r="286" customFormat="false" ht="18" hidden="false" customHeight="true" outlineLevel="0" collapsed="false">
      <c r="A286" s="68" t="n">
        <f aca="false">5</f>
        <v>5</v>
      </c>
      <c r="B286" s="68" t="n">
        <f aca="false">42</f>
        <v>42</v>
      </c>
      <c r="C286" s="18" t="n">
        <f aca="false">EDATE(Parametri_v3!$C$5,42-1)</f>
        <v>47635</v>
      </c>
      <c r="D286" s="68" t="n">
        <f aca="false">YEAR(C286)</f>
        <v>2030</v>
      </c>
      <c r="E286" s="68" t="n">
        <f aca="false">MONTH(C286)</f>
        <v>6</v>
      </c>
      <c r="F286" s="68" t="n">
        <f aca="false">INT((42-1)/12)+1</f>
        <v>4</v>
      </c>
      <c r="G286" s="15" t="n">
        <f aca="false">Ipotesi!G7</f>
        <v>0.55</v>
      </c>
      <c r="H286" s="15" t="n">
        <f aca="false">Ipotesi!G9</f>
        <v>0.9</v>
      </c>
      <c r="I286" s="15" t="n">
        <f aca="false">Ipotesi!G10</f>
        <v>0.3</v>
      </c>
      <c r="J286" s="15" t="n">
        <f aca="false">Ipotesi!G11</f>
        <v>0.2</v>
      </c>
      <c r="K286" s="15" t="n">
        <f aca="false">Ipotesi!G12</f>
        <v>0.6</v>
      </c>
      <c r="L286" s="15" t="n">
        <f aca="false">Ipotesi!G13</f>
        <v>120</v>
      </c>
      <c r="M286" s="17" t="n">
        <f aca="false">INDEX(Ipotesi!$C$40:$G$40,1,F286)</f>
        <v>1</v>
      </c>
      <c r="N286" s="17" t="n">
        <f aca="false">INDEX(Ipotesi!$C$41:$G$41,1,F286)</f>
        <v>1</v>
      </c>
      <c r="O286" s="17" t="n">
        <f aca="false">INDEX(Ipotesi!$C$42:$G$42,1,F286)*Ipotesi!G125</f>
        <v>3.575</v>
      </c>
      <c r="P286" s="17" t="n">
        <f aca="false">INDEX(Ipotesi!$C$43:$G$43,1,F286)*I286</f>
        <v>1.8</v>
      </c>
      <c r="Q286" s="17" t="n">
        <f aca="false">INDEX(Ipotesi!$C$44:$G$44,1,F286)*I286</f>
        <v>1.5</v>
      </c>
      <c r="R286" s="17" t="n">
        <f aca="false">INDEX(Ipotesi!$C$45:$G$45,1,F286)*I286</f>
        <v>0.45</v>
      </c>
      <c r="S286" s="17" t="n">
        <f aca="false">INDEX(Ipotesi!$C$52:$G$52,1,F286)*Ipotesi!G125</f>
        <v>3.85</v>
      </c>
      <c r="T286" s="17" t="n">
        <f aca="false">INDEX(Ipotesi!$C$53:$G$53,1,F286)*I286</f>
        <v>0.3</v>
      </c>
      <c r="U286" s="17" t="n">
        <f aca="false">INDEX(Ipotesi!$C$54:$G$54,1,F286)*I286</f>
        <v>0.15</v>
      </c>
      <c r="V286" s="15" t="n">
        <f aca="false">M286*INDEX(Ipotesi!$C$58:$G$58,1,F286)*K286/12</f>
        <v>4750</v>
      </c>
      <c r="W286" s="15" t="n">
        <f aca="false">N286*Ipotesi!$C$59*(1+Ipotesi!$C$66)^(F286-1)/12</f>
        <v>6374.24083333333</v>
      </c>
      <c r="X286" s="15" t="n">
        <f aca="false">O286*Ipotesi!$C$60*(1+Ipotesi!$C$66)^(F286-1)/12</f>
        <v>16277.0792708333</v>
      </c>
      <c r="Y286" s="15" t="n">
        <f aca="false">P286*Ipotesi!$C$61*(1+Ipotesi!$C$66)^(F286-1)/12</f>
        <v>8195.4525</v>
      </c>
      <c r="Z286" s="15" t="n">
        <f aca="false">Q286*Ipotesi!$C$62*(1+Ipotesi!$C$66)^(F286-1)/12</f>
        <v>6146.589375</v>
      </c>
      <c r="AA286" s="15" t="n">
        <f aca="false">R286*Ipotesi!$C$63*(1+Ipotesi!$C$66)^(F286-1)/12</f>
        <v>1434.2041875</v>
      </c>
      <c r="AB286" s="15" t="n">
        <f aca="false">SUM(V286:AA286)</f>
        <v>43177.5661666667</v>
      </c>
      <c r="AC286" s="15" t="n">
        <f aca="false">(S286*Ipotesi!$C$64+T286*Ipotesi!$C$65+U286*Ipotesi!$C$63)*(1+Ipotesi!$C$66)^(F286-1)/12</f>
        <v>16841.6548875</v>
      </c>
      <c r="AD286" s="15" t="n">
        <f aca="false">INDEX(Ipotesi!$C$48:$G$48,1,F286)*G286/12</f>
        <v>43.5416666666667</v>
      </c>
      <c r="AE286" s="15" t="n">
        <f aca="false">INDEX(Ipotesi!$C$50:$G$50,1,F286)*G286/12</f>
        <v>4.58333333333333</v>
      </c>
      <c r="AF286" s="15" t="n">
        <f aca="false">(S286*Parametri_v3!$C$7*Parametri_v3!$C$8+Parametri_v3!$C$10)/12</f>
        <v>49.4083333333333</v>
      </c>
      <c r="AG286" s="15" t="n">
        <f aca="false">AD286+AE286*(1+Parametri_v3!$C$9)</f>
        <v>50.4166666666667</v>
      </c>
      <c r="AH286" s="16" t="n">
        <f aca="false">IF(AG286=0,1,MIN(1,AF286/AG286))</f>
        <v>0.98</v>
      </c>
      <c r="AI286" s="15" t="n">
        <f aca="false">AD286*AH286</f>
        <v>42.6708333333333</v>
      </c>
      <c r="AJ286" s="15" t="n">
        <f aca="false">AE286*AH286</f>
        <v>4.49166666666667</v>
      </c>
      <c r="AK286" s="15" t="n">
        <f aca="false">AI286*INDEX(Ipotesi!$C$49:$G$49,1,F286)*H286</f>
        <v>34563.375</v>
      </c>
      <c r="AL286" s="15" t="n">
        <f aca="false">AJ286*INDEX(Ipotesi!$C$51:$G$51,1,F286)*H286</f>
        <v>10106.25</v>
      </c>
      <c r="AM286" s="15" t="n">
        <f aca="false">AK286+AL286</f>
        <v>44669.625</v>
      </c>
      <c r="AN286" s="15" t="n">
        <f aca="false">INDEX(Ipotesi!$C$30:$G$30,1,F286)*G286/12</f>
        <v>33.9166666666667</v>
      </c>
      <c r="AO286" s="15" t="n">
        <f aca="false">O286*Parametri_v3!$C$7*Parametri_v3!$C$11*(1-Parametri_v3!$C$14)/12</f>
        <v>36.7033333333333</v>
      </c>
      <c r="AP286" s="15" t="n">
        <f aca="false">MIN(AN286,AO286)</f>
        <v>33.9166666666667</v>
      </c>
      <c r="AQ286" s="15" t="n">
        <f aca="false">AP286*INDEX(Ipotesi!$C$31:$G$31,1,F286)*H286</f>
        <v>32051.25</v>
      </c>
      <c r="AR286" s="15" t="n">
        <f aca="false">INDEX(Ipotesi!$C$75:$G$75,1,F286)*J286/12</f>
        <v>5583.33333333333</v>
      </c>
      <c r="AS286" s="15" t="n">
        <f aca="false">INDEX(Ipotesi!$C$81:$G$81,1,F286)*J286/12</f>
        <v>333.333333333333</v>
      </c>
      <c r="AT286" s="15" t="n">
        <f aca="false">AR286*Parametri_v3!$C$15+Z286*Parametri_v3!$C$16</f>
        <v>9885.94589583333</v>
      </c>
      <c r="AU286" s="15" t="n">
        <f aca="false">Q286*Parametri_v3!$C$16*Parametri_v3!$C$17</f>
        <v>105</v>
      </c>
      <c r="AV286" s="17" t="n">
        <f aca="false">BD285</f>
        <v>20.9899600795485</v>
      </c>
      <c r="AW286" s="17" t="n">
        <f aca="false">AV286*(1-(1-INDEX(Ipotesi!$C$34:$G$34,1,F286))^(1/12))</f>
        <v>0.183486064970028</v>
      </c>
      <c r="AX286" s="15" t="n">
        <f aca="false">ROUND(INDEX(Ipotesi!$C$32:$G$32,1,F286)*Ipotesi!G8,0)</f>
        <v>109</v>
      </c>
      <c r="AY286" s="15" t="n">
        <f aca="false">MAX(0,(AX286-(AV286-AW286))/(13-E286))</f>
        <v>12.5990751407745</v>
      </c>
      <c r="AZ286" s="15" t="n">
        <f aca="false">MIN(P286*Parametri_v3!$C$22,Q286*(1-Parametri_v3!$C$16)*Parametri_v3!$C$23)</f>
        <v>67.5</v>
      </c>
      <c r="BA286" s="15" t="n">
        <f aca="false">IF(OR(INDEX(Ipotesi!$C$35:$G$35,1,F286)&lt;=0,42-Parametri_v3!$C$21&lt;1),0,INDEX($AT$245:$AT$304,MAX(1,42-Parametri_v3!$C$21))/(INDEX(Ipotesi!$C$35:$G$35,1,F286)*Ipotesi!G27))</f>
        <v>1.26742896100427</v>
      </c>
      <c r="BB286" s="15" t="n">
        <f aca="false">IF(42-Parametri_v3!$C$21&lt;1,0,INDEX($AU$245:$AU$304,MAX(1,42-Parametri_v3!$C$21)))*Parametri_v3!$C$18*Parametri_v3!$C$19*Parametri_v3!$C$20</f>
        <v>3.9375</v>
      </c>
      <c r="BC286" s="17" t="n">
        <f aca="false">MAX(0,MIN(AY286,BA286,BB286,MAX(0,AZ286-(AV286-AW286))))</f>
        <v>1.26742896100427</v>
      </c>
      <c r="BD286" s="17" t="n">
        <f aca="false">AV286-AW286+BC286</f>
        <v>22.0739029755828</v>
      </c>
      <c r="BE286" s="17" t="n">
        <f aca="false">(AV286+BD286)/2</f>
        <v>21.5319315275656</v>
      </c>
      <c r="BF286" s="15" t="n">
        <f aca="false">BE286*INDEX(Ipotesi!$C$33:$G$33,1,F286)*H286/12</f>
        <v>9689.36918740454</v>
      </c>
      <c r="BG286" s="15" t="n">
        <f aca="false">BD286*INDEX(Ipotesi!$C$33:$G$33,1,F286)*H286</f>
        <v>119199.076068147</v>
      </c>
      <c r="BH286" s="15" t="n">
        <f aca="false">AM286*INDEX(Ipotesi!$C$37:$G$37,1,F286)</f>
        <v>4466.9625</v>
      </c>
      <c r="BI286" s="15" t="n">
        <f aca="false">AQ286+BF286+BH286</f>
        <v>46207.5816874046</v>
      </c>
      <c r="BJ286" s="15" t="n">
        <f aca="false">INDEX(Ipotesi!$C$68:$G$68,1,F286)*Ipotesi!$C$69/12</f>
        <v>3000</v>
      </c>
      <c r="BK286" s="15" t="n">
        <f aca="false">INDEX(Ipotesi!$C$68:$G$68,1,F286)*(1-Ipotesi!$C$69)/12</f>
        <v>4500</v>
      </c>
      <c r="BL286" s="15" t="n">
        <f aca="false">(AQ286+BF286)*Ipotesi!$C$67</f>
        <v>1252.21857562214</v>
      </c>
      <c r="BM286" s="15" t="n">
        <f aca="false">AM286*Ipotesi!$C$67</f>
        <v>1340.08875</v>
      </c>
      <c r="BN286" s="15" t="n">
        <f aca="false">INDEX(Ipotesi!$C$72:$G$72,1,F286)/12*Ipotesi!G126+BF286*Ipotesi!$C$73</f>
        <v>1525.14953499236</v>
      </c>
      <c r="BO286" s="15" t="n">
        <f aca="false">INDEX(Ipotesi!$C$74:$G$74,1,F286)/12*Ipotesi!G126</f>
        <v>2500</v>
      </c>
      <c r="BP286" s="15" t="n">
        <f aca="false">INDEX(Ipotesi!$C$76:$G$76,1,F286)/12</f>
        <v>1500</v>
      </c>
      <c r="BQ286" s="15" t="n">
        <f aca="false">INDEX(Ipotesi!$C$77:$G$77,1,F286)/12*Ipotesi!G126</f>
        <v>1250</v>
      </c>
      <c r="BR286" s="15" t="n">
        <f aca="false">INDEX(Ipotesi!$C$78:$G$78,1,F286)/12</f>
        <v>2000</v>
      </c>
      <c r="BS286" s="15" t="n">
        <f aca="false">SUM(M286:R286)*(Ipotesi!$C$85+Ipotesi!$C$86)/12</f>
        <v>2719.79166666667</v>
      </c>
      <c r="BT286" s="15" t="n">
        <f aca="false">BI286*Ipotesi!$C$87</f>
        <v>1386.22745062214</v>
      </c>
      <c r="BU286" s="15" t="n">
        <f aca="false">INDEX(Ipotesi!$C$55:$G$55,1,F286)*K286/12</f>
        <v>1200</v>
      </c>
      <c r="BV286" s="15" t="n">
        <f aca="false">INDEX(Ipotesi!$C$80:$G$80,1,F286)/12*Ipotesi!G126</f>
        <v>1000</v>
      </c>
      <c r="BW286" s="15" t="n">
        <f aca="false">INDEX(Ipotesi!$C$82:$G$82,1,F286)/12</f>
        <v>1250</v>
      </c>
      <c r="BX286" s="15" t="n">
        <f aca="false">INDEX(Ipotesi!$C$83:$G$83,1,F286)/12</f>
        <v>750</v>
      </c>
      <c r="BY286" s="15" t="n">
        <f aca="false">SUM(S286:U286)*(Ipotesi!$C$85+Ipotesi!$C$86)/12</f>
        <v>1254.16666666667</v>
      </c>
      <c r="BZ286" s="15" t="n">
        <f aca="false">AM286*Ipotesi!$C$87</f>
        <v>1340.08875</v>
      </c>
      <c r="CA286" s="15" t="n">
        <f aca="false">AB286+BJ286+BL286+BN286+BO286+AR286+BP286+BQ286+BR286+BS286+BT286</f>
        <v>65894.2867279033</v>
      </c>
      <c r="CB286" s="15" t="n">
        <f aca="false">AC286+BK286+BM286+BH286+BU286+BV286+AS286+BW286+BX286+BY286+BZ286</f>
        <v>34276.2948875</v>
      </c>
      <c r="CC286" s="15" t="n">
        <f aca="false">BI286-CA286</f>
        <v>-19686.7050404987</v>
      </c>
      <c r="CD286" s="15" t="n">
        <f aca="false">AM286-CB286</f>
        <v>10393.3301125</v>
      </c>
      <c r="CE286" s="15" t="n">
        <f aca="false">INDEX(Ipotesi!$C$79:$G$79,1,F286)/12</f>
        <v>3333.33333333333</v>
      </c>
      <c r="CF286" s="15" t="n">
        <f aca="false">INDEX(Ipotesi!$C$84:$G$84,1,F286)/12</f>
        <v>666.666666666667</v>
      </c>
      <c r="CG286" s="15" t="n">
        <f aca="false">Y286*MAX(0,Parametri_v3!$C$12-IF(P286=0,0,MIN(1,BE286/(P286*Parametri_v3!$C$22))))+W286*Parametri_v3!$C$13+X286*Parametri_v3!$C$14</f>
        <v>13657.6336482366</v>
      </c>
      <c r="CH286" s="15" t="n">
        <f aca="false">AB286*Parametri_v3!$C$32</f>
        <v>2158.87830833333</v>
      </c>
      <c r="CI286" s="15" t="n">
        <f aca="false">AC286*Parametri_v3!$C$32</f>
        <v>842.082744375</v>
      </c>
      <c r="CJ286" s="15" t="n">
        <f aca="false">CA286-AB286</f>
        <v>22716.7205612366</v>
      </c>
      <c r="CK286" s="15" t="n">
        <f aca="false">CB286-AC286-BH286</f>
        <v>12967.6775</v>
      </c>
      <c r="CL286" s="15" t="n">
        <f aca="false">BF286*Ipotesi!$C$73+INDEX(Ipotesi!$C$72:$G$72,1,F286)/12*Ipotesi!G126*Parametri_v3!$C$58+Z286*(1-Parametri_v3!$C$16)</f>
        <v>3369.12634749236</v>
      </c>
      <c r="CM286" s="16" t="n">
        <f aca="false">IF(BF286=0,0,1-CL286/BF286)</f>
        <v>0.652286306535623</v>
      </c>
    </row>
    <row r="287" customFormat="false" ht="18" hidden="false" customHeight="true" outlineLevel="0" collapsed="false">
      <c r="A287" s="68" t="n">
        <f aca="false">5</f>
        <v>5</v>
      </c>
      <c r="B287" s="68" t="n">
        <f aca="false">43</f>
        <v>43</v>
      </c>
      <c r="C287" s="18" t="n">
        <f aca="false">EDATE(Parametri_v3!$C$5,43-1)</f>
        <v>47665</v>
      </c>
      <c r="D287" s="68" t="n">
        <f aca="false">YEAR(C287)</f>
        <v>2030</v>
      </c>
      <c r="E287" s="68" t="n">
        <f aca="false">MONTH(C287)</f>
        <v>7</v>
      </c>
      <c r="F287" s="68" t="n">
        <f aca="false">INT((43-1)/12)+1</f>
        <v>4</v>
      </c>
      <c r="G287" s="15" t="n">
        <f aca="false">Ipotesi!G7</f>
        <v>0.55</v>
      </c>
      <c r="H287" s="15" t="n">
        <f aca="false">Ipotesi!G9</f>
        <v>0.9</v>
      </c>
      <c r="I287" s="15" t="n">
        <f aca="false">Ipotesi!G10</f>
        <v>0.3</v>
      </c>
      <c r="J287" s="15" t="n">
        <f aca="false">Ipotesi!G11</f>
        <v>0.2</v>
      </c>
      <c r="K287" s="15" t="n">
        <f aca="false">Ipotesi!G12</f>
        <v>0.6</v>
      </c>
      <c r="L287" s="15" t="n">
        <f aca="false">Ipotesi!G13</f>
        <v>120</v>
      </c>
      <c r="M287" s="17" t="n">
        <f aca="false">INDEX(Ipotesi!$C$40:$G$40,1,F287)</f>
        <v>1</v>
      </c>
      <c r="N287" s="17" t="n">
        <f aca="false">INDEX(Ipotesi!$C$41:$G$41,1,F287)</f>
        <v>1</v>
      </c>
      <c r="O287" s="17" t="n">
        <f aca="false">INDEX(Ipotesi!$C$42:$G$42,1,F287)*Ipotesi!G125</f>
        <v>3.575</v>
      </c>
      <c r="P287" s="17" t="n">
        <f aca="false">INDEX(Ipotesi!$C$43:$G$43,1,F287)*I287</f>
        <v>1.8</v>
      </c>
      <c r="Q287" s="17" t="n">
        <f aca="false">INDEX(Ipotesi!$C$44:$G$44,1,F287)*I287</f>
        <v>1.5</v>
      </c>
      <c r="R287" s="17" t="n">
        <f aca="false">INDEX(Ipotesi!$C$45:$G$45,1,F287)*I287</f>
        <v>0.45</v>
      </c>
      <c r="S287" s="17" t="n">
        <f aca="false">INDEX(Ipotesi!$C$52:$G$52,1,F287)*Ipotesi!G125</f>
        <v>3.85</v>
      </c>
      <c r="T287" s="17" t="n">
        <f aca="false">INDEX(Ipotesi!$C$53:$G$53,1,F287)*I287</f>
        <v>0.3</v>
      </c>
      <c r="U287" s="17" t="n">
        <f aca="false">INDEX(Ipotesi!$C$54:$G$54,1,F287)*I287</f>
        <v>0.15</v>
      </c>
      <c r="V287" s="15" t="n">
        <f aca="false">M287*INDEX(Ipotesi!$C$58:$G$58,1,F287)*K287/12</f>
        <v>4750</v>
      </c>
      <c r="W287" s="15" t="n">
        <f aca="false">N287*Ipotesi!$C$59*(1+Ipotesi!$C$66)^(F287-1)/12</f>
        <v>6374.24083333333</v>
      </c>
      <c r="X287" s="15" t="n">
        <f aca="false">O287*Ipotesi!$C$60*(1+Ipotesi!$C$66)^(F287-1)/12</f>
        <v>16277.0792708333</v>
      </c>
      <c r="Y287" s="15" t="n">
        <f aca="false">P287*Ipotesi!$C$61*(1+Ipotesi!$C$66)^(F287-1)/12</f>
        <v>8195.4525</v>
      </c>
      <c r="Z287" s="15" t="n">
        <f aca="false">Q287*Ipotesi!$C$62*(1+Ipotesi!$C$66)^(F287-1)/12</f>
        <v>6146.589375</v>
      </c>
      <c r="AA287" s="15" t="n">
        <f aca="false">R287*Ipotesi!$C$63*(1+Ipotesi!$C$66)^(F287-1)/12</f>
        <v>1434.2041875</v>
      </c>
      <c r="AB287" s="15" t="n">
        <f aca="false">SUM(V287:AA287)</f>
        <v>43177.5661666667</v>
      </c>
      <c r="AC287" s="15" t="n">
        <f aca="false">(S287*Ipotesi!$C$64+T287*Ipotesi!$C$65+U287*Ipotesi!$C$63)*(1+Ipotesi!$C$66)^(F287-1)/12</f>
        <v>16841.6548875</v>
      </c>
      <c r="AD287" s="15" t="n">
        <f aca="false">INDEX(Ipotesi!$C$48:$G$48,1,F287)*G287/12</f>
        <v>43.5416666666667</v>
      </c>
      <c r="AE287" s="15" t="n">
        <f aca="false">INDEX(Ipotesi!$C$50:$G$50,1,F287)*G287/12</f>
        <v>4.58333333333333</v>
      </c>
      <c r="AF287" s="15" t="n">
        <f aca="false">(S287*Parametri_v3!$C$7*Parametri_v3!$C$8+Parametri_v3!$C$10)/12</f>
        <v>49.4083333333333</v>
      </c>
      <c r="AG287" s="15" t="n">
        <f aca="false">AD287+AE287*(1+Parametri_v3!$C$9)</f>
        <v>50.4166666666667</v>
      </c>
      <c r="AH287" s="16" t="n">
        <f aca="false">IF(AG287=0,1,MIN(1,AF287/AG287))</f>
        <v>0.98</v>
      </c>
      <c r="AI287" s="15" t="n">
        <f aca="false">AD287*AH287</f>
        <v>42.6708333333333</v>
      </c>
      <c r="AJ287" s="15" t="n">
        <f aca="false">AE287*AH287</f>
        <v>4.49166666666667</v>
      </c>
      <c r="AK287" s="15" t="n">
        <f aca="false">AI287*INDEX(Ipotesi!$C$49:$G$49,1,F287)*H287</f>
        <v>34563.375</v>
      </c>
      <c r="AL287" s="15" t="n">
        <f aca="false">AJ287*INDEX(Ipotesi!$C$51:$G$51,1,F287)*H287</f>
        <v>10106.25</v>
      </c>
      <c r="AM287" s="15" t="n">
        <f aca="false">AK287+AL287</f>
        <v>44669.625</v>
      </c>
      <c r="AN287" s="15" t="n">
        <f aca="false">INDEX(Ipotesi!$C$30:$G$30,1,F287)*G287/12</f>
        <v>33.9166666666667</v>
      </c>
      <c r="AO287" s="15" t="n">
        <f aca="false">O287*Parametri_v3!$C$7*Parametri_v3!$C$11*(1-Parametri_v3!$C$14)/12</f>
        <v>36.7033333333333</v>
      </c>
      <c r="AP287" s="15" t="n">
        <f aca="false">MIN(AN287,AO287)</f>
        <v>33.9166666666667</v>
      </c>
      <c r="AQ287" s="15" t="n">
        <f aca="false">AP287*INDEX(Ipotesi!$C$31:$G$31,1,F287)*H287</f>
        <v>32051.25</v>
      </c>
      <c r="AR287" s="15" t="n">
        <f aca="false">INDEX(Ipotesi!$C$75:$G$75,1,F287)*J287/12</f>
        <v>5583.33333333333</v>
      </c>
      <c r="AS287" s="15" t="n">
        <f aca="false">INDEX(Ipotesi!$C$81:$G$81,1,F287)*J287/12</f>
        <v>333.333333333333</v>
      </c>
      <c r="AT287" s="15" t="n">
        <f aca="false">AR287*Parametri_v3!$C$15+Z287*Parametri_v3!$C$16</f>
        <v>9885.94589583333</v>
      </c>
      <c r="AU287" s="15" t="n">
        <f aca="false">Q287*Parametri_v3!$C$16*Parametri_v3!$C$17</f>
        <v>105</v>
      </c>
      <c r="AV287" s="17" t="n">
        <f aca="false">BD286</f>
        <v>22.0739029755828</v>
      </c>
      <c r="AW287" s="17" t="n">
        <f aca="false">AV287*(1-(1-INDEX(Ipotesi!$C$34:$G$34,1,F287))^(1/12))</f>
        <v>0.192961472064267</v>
      </c>
      <c r="AX287" s="15" t="n">
        <f aca="false">ROUND(INDEX(Ipotesi!$C$32:$G$32,1,F287)*Ipotesi!G8,0)</f>
        <v>109</v>
      </c>
      <c r="AY287" s="15" t="n">
        <f aca="false">MAX(0,(AX287-(AV287-AW287))/(13-E287))</f>
        <v>14.5198430827469</v>
      </c>
      <c r="AZ287" s="15" t="n">
        <f aca="false">MIN(P287*Parametri_v3!$C$22,Q287*(1-Parametri_v3!$C$16)*Parametri_v3!$C$23)</f>
        <v>67.5</v>
      </c>
      <c r="BA287" s="15" t="n">
        <f aca="false">IF(OR(INDEX(Ipotesi!$C$35:$G$35,1,F287)&lt;=0,43-Parametri_v3!$C$21&lt;1),0,INDEX($AT$245:$AT$304,MAX(1,43-Parametri_v3!$C$21))/(INDEX(Ipotesi!$C$35:$G$35,1,F287)*Ipotesi!G27))</f>
        <v>1.26742896100427</v>
      </c>
      <c r="BB287" s="15" t="n">
        <f aca="false">IF(43-Parametri_v3!$C$21&lt;1,0,INDEX($AU$245:$AU$304,MAX(1,43-Parametri_v3!$C$21)))*Parametri_v3!$C$18*Parametri_v3!$C$19*Parametri_v3!$C$20</f>
        <v>3.9375</v>
      </c>
      <c r="BC287" s="17" t="n">
        <f aca="false">MAX(0,MIN(AY287,BA287,BB287,MAX(0,AZ287-(AV287-AW287))))</f>
        <v>1.26742896100427</v>
      </c>
      <c r="BD287" s="17" t="n">
        <f aca="false">AV287-AW287+BC287</f>
        <v>23.1483704645228</v>
      </c>
      <c r="BE287" s="17" t="n">
        <f aca="false">(AV287+BD287)/2</f>
        <v>22.6111367200528</v>
      </c>
      <c r="BF287" s="15" t="n">
        <f aca="false">BE287*INDEX(Ipotesi!$C$33:$G$33,1,F287)*H287/12</f>
        <v>10175.0115240237</v>
      </c>
      <c r="BG287" s="15" t="n">
        <f aca="false">BD287*INDEX(Ipotesi!$C$33:$G$33,1,F287)*H287</f>
        <v>125001.200508423</v>
      </c>
      <c r="BH287" s="15" t="n">
        <f aca="false">AM287*INDEX(Ipotesi!$C$37:$G$37,1,F287)</f>
        <v>4466.9625</v>
      </c>
      <c r="BI287" s="15" t="n">
        <f aca="false">AQ287+BF287+BH287</f>
        <v>46693.2240240238</v>
      </c>
      <c r="BJ287" s="15" t="n">
        <f aca="false">INDEX(Ipotesi!$C$68:$G$68,1,F287)*Ipotesi!$C$69/12</f>
        <v>3000</v>
      </c>
      <c r="BK287" s="15" t="n">
        <f aca="false">INDEX(Ipotesi!$C$68:$G$68,1,F287)*(1-Ipotesi!$C$69)/12</f>
        <v>4500</v>
      </c>
      <c r="BL287" s="15" t="n">
        <f aca="false">(AQ287+BF287)*Ipotesi!$C$67</f>
        <v>1266.78784572071</v>
      </c>
      <c r="BM287" s="15" t="n">
        <f aca="false">AM287*Ipotesi!$C$67</f>
        <v>1340.08875</v>
      </c>
      <c r="BN287" s="15" t="n">
        <f aca="false">INDEX(Ipotesi!$C$72:$G$72,1,F287)/12*Ipotesi!G126+BF287*Ipotesi!$C$73</f>
        <v>1564.0009219219</v>
      </c>
      <c r="BO287" s="15" t="n">
        <f aca="false">INDEX(Ipotesi!$C$74:$G$74,1,F287)/12*Ipotesi!G126</f>
        <v>2500</v>
      </c>
      <c r="BP287" s="15" t="n">
        <f aca="false">INDEX(Ipotesi!$C$76:$G$76,1,F287)/12</f>
        <v>1500</v>
      </c>
      <c r="BQ287" s="15" t="n">
        <f aca="false">INDEX(Ipotesi!$C$77:$G$77,1,F287)/12*Ipotesi!G126</f>
        <v>1250</v>
      </c>
      <c r="BR287" s="15" t="n">
        <f aca="false">INDEX(Ipotesi!$C$78:$G$78,1,F287)/12</f>
        <v>2000</v>
      </c>
      <c r="BS287" s="15" t="n">
        <f aca="false">SUM(M287:R287)*(Ipotesi!$C$85+Ipotesi!$C$86)/12</f>
        <v>2719.79166666667</v>
      </c>
      <c r="BT287" s="15" t="n">
        <f aca="false">BI287*Ipotesi!$C$87</f>
        <v>1400.79672072071</v>
      </c>
      <c r="BU287" s="15" t="n">
        <f aca="false">INDEX(Ipotesi!$C$55:$G$55,1,F287)*K287/12</f>
        <v>1200</v>
      </c>
      <c r="BV287" s="15" t="n">
        <f aca="false">INDEX(Ipotesi!$C$80:$G$80,1,F287)/12*Ipotesi!G126</f>
        <v>1000</v>
      </c>
      <c r="BW287" s="15" t="n">
        <f aca="false">INDEX(Ipotesi!$C$82:$G$82,1,F287)/12</f>
        <v>1250</v>
      </c>
      <c r="BX287" s="15" t="n">
        <f aca="false">INDEX(Ipotesi!$C$83:$G$83,1,F287)/12</f>
        <v>750</v>
      </c>
      <c r="BY287" s="15" t="n">
        <f aca="false">SUM(S287:U287)*(Ipotesi!$C$85+Ipotesi!$C$86)/12</f>
        <v>1254.16666666667</v>
      </c>
      <c r="BZ287" s="15" t="n">
        <f aca="false">AM287*Ipotesi!$C$87</f>
        <v>1340.08875</v>
      </c>
      <c r="CA287" s="15" t="n">
        <f aca="false">AB287+BJ287+BL287+BN287+BO287+AR287+BP287+BQ287+BR287+BS287+BT287</f>
        <v>65962.27665503</v>
      </c>
      <c r="CB287" s="15" t="n">
        <f aca="false">AC287+BK287+BM287+BH287+BU287+BV287+AS287+BW287+BX287+BY287+BZ287</f>
        <v>34276.2948875</v>
      </c>
      <c r="CC287" s="15" t="n">
        <f aca="false">BI287-CA287</f>
        <v>-19269.0526310062</v>
      </c>
      <c r="CD287" s="15" t="n">
        <f aca="false">AM287-CB287</f>
        <v>10393.3301125</v>
      </c>
      <c r="CE287" s="15" t="n">
        <f aca="false">INDEX(Ipotesi!$C$79:$G$79,1,F287)/12</f>
        <v>3333.33333333333</v>
      </c>
      <c r="CF287" s="15" t="n">
        <f aca="false">INDEX(Ipotesi!$C$84:$G$84,1,F287)/12</f>
        <v>666.666666666667</v>
      </c>
      <c r="CG287" s="15" t="n">
        <f aca="false">Y287*MAX(0,Parametri_v3!$C$12-IF(P287=0,0,MIN(1,BE287/(P287*Parametri_v3!$C$22))))+W287*Parametri_v3!$C$13+X287*Parametri_v3!$C$14</f>
        <v>13608.4971210545</v>
      </c>
      <c r="CH287" s="15" t="n">
        <f aca="false">AB287*Parametri_v3!$C$32</f>
        <v>2158.87830833333</v>
      </c>
      <c r="CI287" s="15" t="n">
        <f aca="false">AC287*Parametri_v3!$C$32</f>
        <v>842.082744375</v>
      </c>
      <c r="CJ287" s="15" t="n">
        <f aca="false">CA287-AB287</f>
        <v>22784.7104883633</v>
      </c>
      <c r="CK287" s="15" t="n">
        <f aca="false">CB287-AC287-BH287</f>
        <v>12967.6775</v>
      </c>
      <c r="CL287" s="15" t="n">
        <f aca="false">BF287*Ipotesi!$C$73+INDEX(Ipotesi!$C$72:$G$72,1,F287)/12*Ipotesi!G126*Parametri_v3!$C$58+Z287*(1-Parametri_v3!$C$16)</f>
        <v>3407.9777344219</v>
      </c>
      <c r="CM287" s="16" t="n">
        <f aca="false">IF(BF287=0,0,1-CL287/BF287)</f>
        <v>0.665063992667184</v>
      </c>
    </row>
    <row r="288" customFormat="false" ht="18" hidden="false" customHeight="true" outlineLevel="0" collapsed="false">
      <c r="A288" s="68" t="n">
        <f aca="false">5</f>
        <v>5</v>
      </c>
      <c r="B288" s="68" t="n">
        <f aca="false">44</f>
        <v>44</v>
      </c>
      <c r="C288" s="18" t="n">
        <f aca="false">EDATE(Parametri_v3!$C$5,44-1)</f>
        <v>47696</v>
      </c>
      <c r="D288" s="68" t="n">
        <f aca="false">YEAR(C288)</f>
        <v>2030</v>
      </c>
      <c r="E288" s="68" t="n">
        <f aca="false">MONTH(C288)</f>
        <v>8</v>
      </c>
      <c r="F288" s="68" t="n">
        <f aca="false">INT((44-1)/12)+1</f>
        <v>4</v>
      </c>
      <c r="G288" s="15" t="n">
        <f aca="false">Ipotesi!G7</f>
        <v>0.55</v>
      </c>
      <c r="H288" s="15" t="n">
        <f aca="false">Ipotesi!G9</f>
        <v>0.9</v>
      </c>
      <c r="I288" s="15" t="n">
        <f aca="false">Ipotesi!G10</f>
        <v>0.3</v>
      </c>
      <c r="J288" s="15" t="n">
        <f aca="false">Ipotesi!G11</f>
        <v>0.2</v>
      </c>
      <c r="K288" s="15" t="n">
        <f aca="false">Ipotesi!G12</f>
        <v>0.6</v>
      </c>
      <c r="L288" s="15" t="n">
        <f aca="false">Ipotesi!G13</f>
        <v>120</v>
      </c>
      <c r="M288" s="17" t="n">
        <f aca="false">INDEX(Ipotesi!$C$40:$G$40,1,F288)</f>
        <v>1</v>
      </c>
      <c r="N288" s="17" t="n">
        <f aca="false">INDEX(Ipotesi!$C$41:$G$41,1,F288)</f>
        <v>1</v>
      </c>
      <c r="O288" s="17" t="n">
        <f aca="false">INDEX(Ipotesi!$C$42:$G$42,1,F288)*Ipotesi!G125</f>
        <v>3.575</v>
      </c>
      <c r="P288" s="17" t="n">
        <f aca="false">INDEX(Ipotesi!$C$43:$G$43,1,F288)*I288</f>
        <v>1.8</v>
      </c>
      <c r="Q288" s="17" t="n">
        <f aca="false">INDEX(Ipotesi!$C$44:$G$44,1,F288)*I288</f>
        <v>1.5</v>
      </c>
      <c r="R288" s="17" t="n">
        <f aca="false">INDEX(Ipotesi!$C$45:$G$45,1,F288)*I288</f>
        <v>0.45</v>
      </c>
      <c r="S288" s="17" t="n">
        <f aca="false">INDEX(Ipotesi!$C$52:$G$52,1,F288)*Ipotesi!G125</f>
        <v>3.85</v>
      </c>
      <c r="T288" s="17" t="n">
        <f aca="false">INDEX(Ipotesi!$C$53:$G$53,1,F288)*I288</f>
        <v>0.3</v>
      </c>
      <c r="U288" s="17" t="n">
        <f aca="false">INDEX(Ipotesi!$C$54:$G$54,1,F288)*I288</f>
        <v>0.15</v>
      </c>
      <c r="V288" s="15" t="n">
        <f aca="false">M288*INDEX(Ipotesi!$C$58:$G$58,1,F288)*K288/12</f>
        <v>4750</v>
      </c>
      <c r="W288" s="15" t="n">
        <f aca="false">N288*Ipotesi!$C$59*(1+Ipotesi!$C$66)^(F288-1)/12</f>
        <v>6374.24083333333</v>
      </c>
      <c r="X288" s="15" t="n">
        <f aca="false">O288*Ipotesi!$C$60*(1+Ipotesi!$C$66)^(F288-1)/12</f>
        <v>16277.0792708333</v>
      </c>
      <c r="Y288" s="15" t="n">
        <f aca="false">P288*Ipotesi!$C$61*(1+Ipotesi!$C$66)^(F288-1)/12</f>
        <v>8195.4525</v>
      </c>
      <c r="Z288" s="15" t="n">
        <f aca="false">Q288*Ipotesi!$C$62*(1+Ipotesi!$C$66)^(F288-1)/12</f>
        <v>6146.589375</v>
      </c>
      <c r="AA288" s="15" t="n">
        <f aca="false">R288*Ipotesi!$C$63*(1+Ipotesi!$C$66)^(F288-1)/12</f>
        <v>1434.2041875</v>
      </c>
      <c r="AB288" s="15" t="n">
        <f aca="false">SUM(V288:AA288)</f>
        <v>43177.5661666667</v>
      </c>
      <c r="AC288" s="15" t="n">
        <f aca="false">(S288*Ipotesi!$C$64+T288*Ipotesi!$C$65+U288*Ipotesi!$C$63)*(1+Ipotesi!$C$66)^(F288-1)/12</f>
        <v>16841.6548875</v>
      </c>
      <c r="AD288" s="15" t="n">
        <f aca="false">INDEX(Ipotesi!$C$48:$G$48,1,F288)*G288/12</f>
        <v>43.5416666666667</v>
      </c>
      <c r="AE288" s="15" t="n">
        <f aca="false">INDEX(Ipotesi!$C$50:$G$50,1,F288)*G288/12</f>
        <v>4.58333333333333</v>
      </c>
      <c r="AF288" s="15" t="n">
        <f aca="false">(S288*Parametri_v3!$C$7*Parametri_v3!$C$8+Parametri_v3!$C$10)/12</f>
        <v>49.4083333333333</v>
      </c>
      <c r="AG288" s="15" t="n">
        <f aca="false">AD288+AE288*(1+Parametri_v3!$C$9)</f>
        <v>50.4166666666667</v>
      </c>
      <c r="AH288" s="16" t="n">
        <f aca="false">IF(AG288=0,1,MIN(1,AF288/AG288))</f>
        <v>0.98</v>
      </c>
      <c r="AI288" s="15" t="n">
        <f aca="false">AD288*AH288</f>
        <v>42.6708333333333</v>
      </c>
      <c r="AJ288" s="15" t="n">
        <f aca="false">AE288*AH288</f>
        <v>4.49166666666667</v>
      </c>
      <c r="AK288" s="15" t="n">
        <f aca="false">AI288*INDEX(Ipotesi!$C$49:$G$49,1,F288)*H288</f>
        <v>34563.375</v>
      </c>
      <c r="AL288" s="15" t="n">
        <f aca="false">AJ288*INDEX(Ipotesi!$C$51:$G$51,1,F288)*H288</f>
        <v>10106.25</v>
      </c>
      <c r="AM288" s="15" t="n">
        <f aca="false">AK288+AL288</f>
        <v>44669.625</v>
      </c>
      <c r="AN288" s="15" t="n">
        <f aca="false">INDEX(Ipotesi!$C$30:$G$30,1,F288)*G288/12</f>
        <v>33.9166666666667</v>
      </c>
      <c r="AO288" s="15" t="n">
        <f aca="false">O288*Parametri_v3!$C$7*Parametri_v3!$C$11*(1-Parametri_v3!$C$14)/12</f>
        <v>36.7033333333333</v>
      </c>
      <c r="AP288" s="15" t="n">
        <f aca="false">MIN(AN288,AO288)</f>
        <v>33.9166666666667</v>
      </c>
      <c r="AQ288" s="15" t="n">
        <f aca="false">AP288*INDEX(Ipotesi!$C$31:$G$31,1,F288)*H288</f>
        <v>32051.25</v>
      </c>
      <c r="AR288" s="15" t="n">
        <f aca="false">INDEX(Ipotesi!$C$75:$G$75,1,F288)*J288/12</f>
        <v>5583.33333333333</v>
      </c>
      <c r="AS288" s="15" t="n">
        <f aca="false">INDEX(Ipotesi!$C$81:$G$81,1,F288)*J288/12</f>
        <v>333.333333333333</v>
      </c>
      <c r="AT288" s="15" t="n">
        <f aca="false">AR288*Parametri_v3!$C$15+Z288*Parametri_v3!$C$16</f>
        <v>9885.94589583333</v>
      </c>
      <c r="AU288" s="15" t="n">
        <f aca="false">Q288*Parametri_v3!$C$16*Parametri_v3!$C$17</f>
        <v>105</v>
      </c>
      <c r="AV288" s="17" t="n">
        <f aca="false">BD287</f>
        <v>23.1483704645228</v>
      </c>
      <c r="AW288" s="17" t="n">
        <f aca="false">AV288*(1-(1-INDEX(Ipotesi!$C$34:$G$34,1,F288))^(1/12))</f>
        <v>0.20235404883605</v>
      </c>
      <c r="AX288" s="15" t="n">
        <f aca="false">ROUND(INDEX(Ipotesi!$C$32:$G$32,1,F288)*Ipotesi!G8,0)</f>
        <v>109</v>
      </c>
      <c r="AY288" s="15" t="n">
        <f aca="false">MAX(0,(AX288-(AV288-AW288))/(13-E288))</f>
        <v>17.2107967168627</v>
      </c>
      <c r="AZ288" s="15" t="n">
        <f aca="false">MIN(P288*Parametri_v3!$C$22,Q288*(1-Parametri_v3!$C$16)*Parametri_v3!$C$23)</f>
        <v>67.5</v>
      </c>
      <c r="BA288" s="15" t="n">
        <f aca="false">IF(OR(INDEX(Ipotesi!$C$35:$G$35,1,F288)&lt;=0,44-Parametri_v3!$C$21&lt;1),0,INDEX($AT$245:$AT$304,MAX(1,44-Parametri_v3!$C$21))/(INDEX(Ipotesi!$C$35:$G$35,1,F288)*Ipotesi!G27))</f>
        <v>1.26742896100427</v>
      </c>
      <c r="BB288" s="15" t="n">
        <f aca="false">IF(44-Parametri_v3!$C$21&lt;1,0,INDEX($AU$245:$AU$304,MAX(1,44-Parametri_v3!$C$21)))*Parametri_v3!$C$18*Parametri_v3!$C$19*Parametri_v3!$C$20</f>
        <v>3.9375</v>
      </c>
      <c r="BC288" s="17" t="n">
        <f aca="false">MAX(0,MIN(AY288,BA288,BB288,MAX(0,AZ288-(AV288-AW288))))</f>
        <v>1.26742896100427</v>
      </c>
      <c r="BD288" s="17" t="n">
        <f aca="false">AV288-AW288+BC288</f>
        <v>24.213445376691</v>
      </c>
      <c r="BE288" s="17" t="n">
        <f aca="false">(AV288+BD288)/2</f>
        <v>23.6809079206069</v>
      </c>
      <c r="BF288" s="15" t="n">
        <f aca="false">BE288*INDEX(Ipotesi!$C$33:$G$33,1,F288)*H288/12</f>
        <v>10656.4085642731</v>
      </c>
      <c r="BG288" s="15" t="n">
        <f aca="false">BD288*INDEX(Ipotesi!$C$33:$G$33,1,F288)*H288</f>
        <v>130752.605034131</v>
      </c>
      <c r="BH288" s="15" t="n">
        <f aca="false">AM288*INDEX(Ipotesi!$C$37:$G$37,1,F288)</f>
        <v>4466.9625</v>
      </c>
      <c r="BI288" s="15" t="n">
        <f aca="false">AQ288+BF288+BH288</f>
        <v>47174.6210642731</v>
      </c>
      <c r="BJ288" s="15" t="n">
        <f aca="false">INDEX(Ipotesi!$C$68:$G$68,1,F288)*Ipotesi!$C$69/12</f>
        <v>3000</v>
      </c>
      <c r="BK288" s="15" t="n">
        <f aca="false">INDEX(Ipotesi!$C$68:$G$68,1,F288)*(1-Ipotesi!$C$69)/12</f>
        <v>4500</v>
      </c>
      <c r="BL288" s="15" t="n">
        <f aca="false">(AQ288+BF288)*Ipotesi!$C$67</f>
        <v>1281.22975692819</v>
      </c>
      <c r="BM288" s="15" t="n">
        <f aca="false">AM288*Ipotesi!$C$67</f>
        <v>1340.08875</v>
      </c>
      <c r="BN288" s="15" t="n">
        <f aca="false">INDEX(Ipotesi!$C$72:$G$72,1,F288)/12*Ipotesi!G126+BF288*Ipotesi!$C$73</f>
        <v>1602.51268514185</v>
      </c>
      <c r="BO288" s="15" t="n">
        <f aca="false">INDEX(Ipotesi!$C$74:$G$74,1,F288)/12*Ipotesi!G126</f>
        <v>2500</v>
      </c>
      <c r="BP288" s="15" t="n">
        <f aca="false">INDEX(Ipotesi!$C$76:$G$76,1,F288)/12</f>
        <v>1500</v>
      </c>
      <c r="BQ288" s="15" t="n">
        <f aca="false">INDEX(Ipotesi!$C$77:$G$77,1,F288)/12*Ipotesi!G126</f>
        <v>1250</v>
      </c>
      <c r="BR288" s="15" t="n">
        <f aca="false">INDEX(Ipotesi!$C$78:$G$78,1,F288)/12</f>
        <v>2000</v>
      </c>
      <c r="BS288" s="15" t="n">
        <f aca="false">SUM(M288:R288)*(Ipotesi!$C$85+Ipotesi!$C$86)/12</f>
        <v>2719.79166666667</v>
      </c>
      <c r="BT288" s="15" t="n">
        <f aca="false">BI288*Ipotesi!$C$87</f>
        <v>1415.23863192819</v>
      </c>
      <c r="BU288" s="15" t="n">
        <f aca="false">INDEX(Ipotesi!$C$55:$G$55,1,F288)*K288/12</f>
        <v>1200</v>
      </c>
      <c r="BV288" s="15" t="n">
        <f aca="false">INDEX(Ipotesi!$C$80:$G$80,1,F288)/12*Ipotesi!G126</f>
        <v>1000</v>
      </c>
      <c r="BW288" s="15" t="n">
        <f aca="false">INDEX(Ipotesi!$C$82:$G$82,1,F288)/12</f>
        <v>1250</v>
      </c>
      <c r="BX288" s="15" t="n">
        <f aca="false">INDEX(Ipotesi!$C$83:$G$83,1,F288)/12</f>
        <v>750</v>
      </c>
      <c r="BY288" s="15" t="n">
        <f aca="false">SUM(S288:U288)*(Ipotesi!$C$85+Ipotesi!$C$86)/12</f>
        <v>1254.16666666667</v>
      </c>
      <c r="BZ288" s="15" t="n">
        <f aca="false">AM288*Ipotesi!$C$87</f>
        <v>1340.08875</v>
      </c>
      <c r="CA288" s="15" t="n">
        <f aca="false">AB288+BJ288+BL288+BN288+BO288+AR288+BP288+BQ288+BR288+BS288+BT288</f>
        <v>66029.6722406649</v>
      </c>
      <c r="CB288" s="15" t="n">
        <f aca="false">AC288+BK288+BM288+BH288+BU288+BV288+AS288+BW288+BX288+BY288+BZ288</f>
        <v>34276.2948875</v>
      </c>
      <c r="CC288" s="15" t="n">
        <f aca="false">BI288-CA288</f>
        <v>-18855.0511763918</v>
      </c>
      <c r="CD288" s="15" t="n">
        <f aca="false">AM288-CB288</f>
        <v>10393.3301125</v>
      </c>
      <c r="CE288" s="15" t="n">
        <f aca="false">INDEX(Ipotesi!$C$79:$G$79,1,F288)/12</f>
        <v>3333.33333333333</v>
      </c>
      <c r="CF288" s="15" t="n">
        <f aca="false">INDEX(Ipotesi!$C$84:$G$84,1,F288)/12</f>
        <v>666.666666666667</v>
      </c>
      <c r="CG288" s="15" t="n">
        <f aca="false">Y288*MAX(0,Parametri_v3!$C$12-IF(P288=0,0,MIN(1,BE288/(P288*Parametri_v3!$C$22))))+W288*Parametri_v3!$C$13+X288*Parametri_v3!$C$14</f>
        <v>13559.7901262766</v>
      </c>
      <c r="CH288" s="15" t="n">
        <f aca="false">AB288*Parametri_v3!$C$32</f>
        <v>2158.87830833333</v>
      </c>
      <c r="CI288" s="15" t="n">
        <f aca="false">AC288*Parametri_v3!$C$32</f>
        <v>842.082744375</v>
      </c>
      <c r="CJ288" s="15" t="n">
        <f aca="false">CA288-AB288</f>
        <v>22852.1060739982</v>
      </c>
      <c r="CK288" s="15" t="n">
        <f aca="false">CB288-AC288-BH288</f>
        <v>12967.6775</v>
      </c>
      <c r="CL288" s="15" t="n">
        <f aca="false">BF288*Ipotesi!$C$73+INDEX(Ipotesi!$C$72:$G$72,1,F288)/12*Ipotesi!G126*Parametri_v3!$C$58+Z288*(1-Parametri_v3!$C$16)</f>
        <v>3446.48949764185</v>
      </c>
      <c r="CM288" s="16" t="n">
        <f aca="false">IF(BF288=0,0,1-CL288/BF288)</f>
        <v>0.676580578076124</v>
      </c>
    </row>
    <row r="289" customFormat="false" ht="18" hidden="false" customHeight="true" outlineLevel="0" collapsed="false">
      <c r="A289" s="68" t="n">
        <f aca="false">5</f>
        <v>5</v>
      </c>
      <c r="B289" s="68" t="n">
        <f aca="false">45</f>
        <v>45</v>
      </c>
      <c r="C289" s="18" t="n">
        <f aca="false">EDATE(Parametri_v3!$C$5,45-1)</f>
        <v>47727</v>
      </c>
      <c r="D289" s="68" t="n">
        <f aca="false">YEAR(C289)</f>
        <v>2030</v>
      </c>
      <c r="E289" s="68" t="n">
        <f aca="false">MONTH(C289)</f>
        <v>9</v>
      </c>
      <c r="F289" s="68" t="n">
        <f aca="false">INT((45-1)/12)+1</f>
        <v>4</v>
      </c>
      <c r="G289" s="15" t="n">
        <f aca="false">Ipotesi!G7</f>
        <v>0.55</v>
      </c>
      <c r="H289" s="15" t="n">
        <f aca="false">Ipotesi!G9</f>
        <v>0.9</v>
      </c>
      <c r="I289" s="15" t="n">
        <f aca="false">Ipotesi!G10</f>
        <v>0.3</v>
      </c>
      <c r="J289" s="15" t="n">
        <f aca="false">Ipotesi!G11</f>
        <v>0.2</v>
      </c>
      <c r="K289" s="15" t="n">
        <f aca="false">Ipotesi!G12</f>
        <v>0.6</v>
      </c>
      <c r="L289" s="15" t="n">
        <f aca="false">Ipotesi!G13</f>
        <v>120</v>
      </c>
      <c r="M289" s="17" t="n">
        <f aca="false">INDEX(Ipotesi!$C$40:$G$40,1,F289)</f>
        <v>1</v>
      </c>
      <c r="N289" s="17" t="n">
        <f aca="false">INDEX(Ipotesi!$C$41:$G$41,1,F289)</f>
        <v>1</v>
      </c>
      <c r="O289" s="17" t="n">
        <f aca="false">INDEX(Ipotesi!$C$42:$G$42,1,F289)*Ipotesi!G125</f>
        <v>3.575</v>
      </c>
      <c r="P289" s="17" t="n">
        <f aca="false">INDEX(Ipotesi!$C$43:$G$43,1,F289)*I289</f>
        <v>1.8</v>
      </c>
      <c r="Q289" s="17" t="n">
        <f aca="false">INDEX(Ipotesi!$C$44:$G$44,1,F289)*I289</f>
        <v>1.5</v>
      </c>
      <c r="R289" s="17" t="n">
        <f aca="false">INDEX(Ipotesi!$C$45:$G$45,1,F289)*I289</f>
        <v>0.45</v>
      </c>
      <c r="S289" s="17" t="n">
        <f aca="false">INDEX(Ipotesi!$C$52:$G$52,1,F289)*Ipotesi!G125</f>
        <v>3.85</v>
      </c>
      <c r="T289" s="17" t="n">
        <f aca="false">INDEX(Ipotesi!$C$53:$G$53,1,F289)*I289</f>
        <v>0.3</v>
      </c>
      <c r="U289" s="17" t="n">
        <f aca="false">INDEX(Ipotesi!$C$54:$G$54,1,F289)*I289</f>
        <v>0.15</v>
      </c>
      <c r="V289" s="15" t="n">
        <f aca="false">M289*INDEX(Ipotesi!$C$58:$G$58,1,F289)*K289/12</f>
        <v>4750</v>
      </c>
      <c r="W289" s="15" t="n">
        <f aca="false">N289*Ipotesi!$C$59*(1+Ipotesi!$C$66)^(F289-1)/12</f>
        <v>6374.24083333333</v>
      </c>
      <c r="X289" s="15" t="n">
        <f aca="false">O289*Ipotesi!$C$60*(1+Ipotesi!$C$66)^(F289-1)/12</f>
        <v>16277.0792708333</v>
      </c>
      <c r="Y289" s="15" t="n">
        <f aca="false">P289*Ipotesi!$C$61*(1+Ipotesi!$C$66)^(F289-1)/12</f>
        <v>8195.4525</v>
      </c>
      <c r="Z289" s="15" t="n">
        <f aca="false">Q289*Ipotesi!$C$62*(1+Ipotesi!$C$66)^(F289-1)/12</f>
        <v>6146.589375</v>
      </c>
      <c r="AA289" s="15" t="n">
        <f aca="false">R289*Ipotesi!$C$63*(1+Ipotesi!$C$66)^(F289-1)/12</f>
        <v>1434.2041875</v>
      </c>
      <c r="AB289" s="15" t="n">
        <f aca="false">SUM(V289:AA289)</f>
        <v>43177.5661666667</v>
      </c>
      <c r="AC289" s="15" t="n">
        <f aca="false">(S289*Ipotesi!$C$64+T289*Ipotesi!$C$65+U289*Ipotesi!$C$63)*(1+Ipotesi!$C$66)^(F289-1)/12</f>
        <v>16841.6548875</v>
      </c>
      <c r="AD289" s="15" t="n">
        <f aca="false">INDEX(Ipotesi!$C$48:$G$48,1,F289)*G289/12</f>
        <v>43.5416666666667</v>
      </c>
      <c r="AE289" s="15" t="n">
        <f aca="false">INDEX(Ipotesi!$C$50:$G$50,1,F289)*G289/12</f>
        <v>4.58333333333333</v>
      </c>
      <c r="AF289" s="15" t="n">
        <f aca="false">(S289*Parametri_v3!$C$7*Parametri_v3!$C$8+Parametri_v3!$C$10)/12</f>
        <v>49.4083333333333</v>
      </c>
      <c r="AG289" s="15" t="n">
        <f aca="false">AD289+AE289*(1+Parametri_v3!$C$9)</f>
        <v>50.4166666666667</v>
      </c>
      <c r="AH289" s="16" t="n">
        <f aca="false">IF(AG289=0,1,MIN(1,AF289/AG289))</f>
        <v>0.98</v>
      </c>
      <c r="AI289" s="15" t="n">
        <f aca="false">AD289*AH289</f>
        <v>42.6708333333333</v>
      </c>
      <c r="AJ289" s="15" t="n">
        <f aca="false">AE289*AH289</f>
        <v>4.49166666666667</v>
      </c>
      <c r="AK289" s="15" t="n">
        <f aca="false">AI289*INDEX(Ipotesi!$C$49:$G$49,1,F289)*H289</f>
        <v>34563.375</v>
      </c>
      <c r="AL289" s="15" t="n">
        <f aca="false">AJ289*INDEX(Ipotesi!$C$51:$G$51,1,F289)*H289</f>
        <v>10106.25</v>
      </c>
      <c r="AM289" s="15" t="n">
        <f aca="false">AK289+AL289</f>
        <v>44669.625</v>
      </c>
      <c r="AN289" s="15" t="n">
        <f aca="false">INDEX(Ipotesi!$C$30:$G$30,1,F289)*G289/12</f>
        <v>33.9166666666667</v>
      </c>
      <c r="AO289" s="15" t="n">
        <f aca="false">O289*Parametri_v3!$C$7*Parametri_v3!$C$11*(1-Parametri_v3!$C$14)/12</f>
        <v>36.7033333333333</v>
      </c>
      <c r="AP289" s="15" t="n">
        <f aca="false">MIN(AN289,AO289)</f>
        <v>33.9166666666667</v>
      </c>
      <c r="AQ289" s="15" t="n">
        <f aca="false">AP289*INDEX(Ipotesi!$C$31:$G$31,1,F289)*H289</f>
        <v>32051.25</v>
      </c>
      <c r="AR289" s="15" t="n">
        <f aca="false">INDEX(Ipotesi!$C$75:$G$75,1,F289)*J289/12</f>
        <v>5583.33333333333</v>
      </c>
      <c r="AS289" s="15" t="n">
        <f aca="false">INDEX(Ipotesi!$C$81:$G$81,1,F289)*J289/12</f>
        <v>333.333333333333</v>
      </c>
      <c r="AT289" s="15" t="n">
        <f aca="false">AR289*Parametri_v3!$C$15+Z289*Parametri_v3!$C$16</f>
        <v>9885.94589583333</v>
      </c>
      <c r="AU289" s="15" t="n">
        <f aca="false">Q289*Parametri_v3!$C$16*Parametri_v3!$C$17</f>
        <v>105</v>
      </c>
      <c r="AV289" s="17" t="n">
        <f aca="false">BD288</f>
        <v>24.213445376691</v>
      </c>
      <c r="AW289" s="17" t="n">
        <f aca="false">AV289*(1-(1-INDEX(Ipotesi!$C$34:$G$34,1,F289))^(1/12))</f>
        <v>0.211664519355833</v>
      </c>
      <c r="AX289" s="15" t="n">
        <f aca="false">ROUND(INDEX(Ipotesi!$C$32:$G$32,1,F289)*Ipotesi!G8,0)</f>
        <v>109</v>
      </c>
      <c r="AY289" s="15" t="n">
        <f aca="false">MAX(0,(AX289-(AV289-AW289))/(13-E289))</f>
        <v>21.2495547856662</v>
      </c>
      <c r="AZ289" s="15" t="n">
        <f aca="false">MIN(P289*Parametri_v3!$C$22,Q289*(1-Parametri_v3!$C$16)*Parametri_v3!$C$23)</f>
        <v>67.5</v>
      </c>
      <c r="BA289" s="15" t="n">
        <f aca="false">IF(OR(INDEX(Ipotesi!$C$35:$G$35,1,F289)&lt;=0,45-Parametri_v3!$C$21&lt;1),0,INDEX($AT$245:$AT$304,MAX(1,45-Parametri_v3!$C$21))/(INDEX(Ipotesi!$C$35:$G$35,1,F289)*Ipotesi!G27))</f>
        <v>1.26742896100427</v>
      </c>
      <c r="BB289" s="15" t="n">
        <f aca="false">IF(45-Parametri_v3!$C$21&lt;1,0,INDEX($AU$245:$AU$304,MAX(1,45-Parametri_v3!$C$21)))*Parametri_v3!$C$18*Parametri_v3!$C$19*Parametri_v3!$C$20</f>
        <v>3.9375</v>
      </c>
      <c r="BC289" s="17" t="n">
        <f aca="false">MAX(0,MIN(AY289,BA289,BB289,MAX(0,AZ289-(AV289-AW289))))</f>
        <v>1.26742896100427</v>
      </c>
      <c r="BD289" s="17" t="n">
        <f aca="false">AV289-AW289+BC289</f>
        <v>25.2692098183394</v>
      </c>
      <c r="BE289" s="17" t="n">
        <f aca="false">(AV289+BD289)/2</f>
        <v>24.7413275975152</v>
      </c>
      <c r="BF289" s="15" t="n">
        <f aca="false">BE289*INDEX(Ipotesi!$C$33:$G$33,1,F289)*H289/12</f>
        <v>11133.5974188818</v>
      </c>
      <c r="BG289" s="15" t="n">
        <f aca="false">BD289*INDEX(Ipotesi!$C$33:$G$33,1,F289)*H289</f>
        <v>136453.733019033</v>
      </c>
      <c r="BH289" s="15" t="n">
        <f aca="false">AM289*INDEX(Ipotesi!$C$37:$G$37,1,F289)</f>
        <v>4466.9625</v>
      </c>
      <c r="BI289" s="15" t="n">
        <f aca="false">AQ289+BF289+BH289</f>
        <v>47651.8099188819</v>
      </c>
      <c r="BJ289" s="15" t="n">
        <f aca="false">INDEX(Ipotesi!$C$68:$G$68,1,F289)*Ipotesi!$C$69/12</f>
        <v>3000</v>
      </c>
      <c r="BK289" s="15" t="n">
        <f aca="false">INDEX(Ipotesi!$C$68:$G$68,1,F289)*(1-Ipotesi!$C$69)/12</f>
        <v>4500</v>
      </c>
      <c r="BL289" s="15" t="n">
        <f aca="false">(AQ289+BF289)*Ipotesi!$C$67</f>
        <v>1295.54542256646</v>
      </c>
      <c r="BM289" s="15" t="n">
        <f aca="false">AM289*Ipotesi!$C$67</f>
        <v>1340.08875</v>
      </c>
      <c r="BN289" s="15" t="n">
        <f aca="false">INDEX(Ipotesi!$C$72:$G$72,1,F289)/12*Ipotesi!G126+BF289*Ipotesi!$C$73</f>
        <v>1640.68779351055</v>
      </c>
      <c r="BO289" s="15" t="n">
        <f aca="false">INDEX(Ipotesi!$C$74:$G$74,1,F289)/12*Ipotesi!G126</f>
        <v>2500</v>
      </c>
      <c r="BP289" s="15" t="n">
        <f aca="false">INDEX(Ipotesi!$C$76:$G$76,1,F289)/12</f>
        <v>1500</v>
      </c>
      <c r="BQ289" s="15" t="n">
        <f aca="false">INDEX(Ipotesi!$C$77:$G$77,1,F289)/12*Ipotesi!G126</f>
        <v>1250</v>
      </c>
      <c r="BR289" s="15" t="n">
        <f aca="false">INDEX(Ipotesi!$C$78:$G$78,1,F289)/12</f>
        <v>2000</v>
      </c>
      <c r="BS289" s="15" t="n">
        <f aca="false">SUM(M289:R289)*(Ipotesi!$C$85+Ipotesi!$C$86)/12</f>
        <v>2719.79166666667</v>
      </c>
      <c r="BT289" s="15" t="n">
        <f aca="false">BI289*Ipotesi!$C$87</f>
        <v>1429.55429756646</v>
      </c>
      <c r="BU289" s="15" t="n">
        <f aca="false">INDEX(Ipotesi!$C$55:$G$55,1,F289)*K289/12</f>
        <v>1200</v>
      </c>
      <c r="BV289" s="15" t="n">
        <f aca="false">INDEX(Ipotesi!$C$80:$G$80,1,F289)/12*Ipotesi!G126</f>
        <v>1000</v>
      </c>
      <c r="BW289" s="15" t="n">
        <f aca="false">INDEX(Ipotesi!$C$82:$G$82,1,F289)/12</f>
        <v>1250</v>
      </c>
      <c r="BX289" s="15" t="n">
        <f aca="false">INDEX(Ipotesi!$C$83:$G$83,1,F289)/12</f>
        <v>750</v>
      </c>
      <c r="BY289" s="15" t="n">
        <f aca="false">SUM(S289:U289)*(Ipotesi!$C$85+Ipotesi!$C$86)/12</f>
        <v>1254.16666666667</v>
      </c>
      <c r="BZ289" s="15" t="n">
        <f aca="false">AM289*Ipotesi!$C$87</f>
        <v>1340.08875</v>
      </c>
      <c r="CA289" s="15" t="n">
        <f aca="false">AB289+BJ289+BL289+BN289+BO289+AR289+BP289+BQ289+BR289+BS289+BT289</f>
        <v>66096.4786803101</v>
      </c>
      <c r="CB289" s="15" t="n">
        <f aca="false">AC289+BK289+BM289+BH289+BU289+BV289+AS289+BW289+BX289+BY289+BZ289</f>
        <v>34276.2948875</v>
      </c>
      <c r="CC289" s="15" t="n">
        <f aca="false">BI289-CA289</f>
        <v>-18444.6687614283</v>
      </c>
      <c r="CD289" s="15" t="n">
        <f aca="false">AM289-CB289</f>
        <v>10393.3301125</v>
      </c>
      <c r="CE289" s="15" t="n">
        <f aca="false">INDEX(Ipotesi!$C$79:$G$79,1,F289)/12</f>
        <v>3333.33333333333</v>
      </c>
      <c r="CF289" s="15" t="n">
        <f aca="false">INDEX(Ipotesi!$C$84:$G$84,1,F289)/12</f>
        <v>666.666666666667</v>
      </c>
      <c r="CG289" s="15" t="n">
        <f aca="false">Y289*MAX(0,Parametri_v3!$C$12-IF(P289=0,0,MIN(1,BE289/(P289*Parametri_v3!$C$22))))+W289*Parametri_v3!$C$13+X289*Parametri_v3!$C$14</f>
        <v>13511.5089090979</v>
      </c>
      <c r="CH289" s="15" t="n">
        <f aca="false">AB289*Parametri_v3!$C$32</f>
        <v>2158.87830833333</v>
      </c>
      <c r="CI289" s="15" t="n">
        <f aca="false">AC289*Parametri_v3!$C$32</f>
        <v>842.082744375</v>
      </c>
      <c r="CJ289" s="15" t="n">
        <f aca="false">CA289-AB289</f>
        <v>22918.9125136435</v>
      </c>
      <c r="CK289" s="15" t="n">
        <f aca="false">CB289-AC289-BH289</f>
        <v>12967.6775</v>
      </c>
      <c r="CL289" s="15" t="n">
        <f aca="false">BF289*Ipotesi!$C$73+INDEX(Ipotesi!$C$72:$G$72,1,F289)/12*Ipotesi!G126*Parametri_v3!$C$58+Z289*(1-Parametri_v3!$C$16)</f>
        <v>3484.66460601055</v>
      </c>
      <c r="CM289" s="16" t="n">
        <f aca="false">IF(BF289=0,0,1-CL289/BF289)</f>
        <v>0.687013597231315</v>
      </c>
    </row>
    <row r="290" customFormat="false" ht="18" hidden="false" customHeight="true" outlineLevel="0" collapsed="false">
      <c r="A290" s="68" t="n">
        <f aca="false">5</f>
        <v>5</v>
      </c>
      <c r="B290" s="68" t="n">
        <f aca="false">46</f>
        <v>46</v>
      </c>
      <c r="C290" s="18" t="n">
        <f aca="false">EDATE(Parametri_v3!$C$5,46-1)</f>
        <v>47757</v>
      </c>
      <c r="D290" s="68" t="n">
        <f aca="false">YEAR(C290)</f>
        <v>2030</v>
      </c>
      <c r="E290" s="68" t="n">
        <f aca="false">MONTH(C290)</f>
        <v>10</v>
      </c>
      <c r="F290" s="68" t="n">
        <f aca="false">INT((46-1)/12)+1</f>
        <v>4</v>
      </c>
      <c r="G290" s="15" t="n">
        <f aca="false">Ipotesi!G7</f>
        <v>0.55</v>
      </c>
      <c r="H290" s="15" t="n">
        <f aca="false">Ipotesi!G9</f>
        <v>0.9</v>
      </c>
      <c r="I290" s="15" t="n">
        <f aca="false">Ipotesi!G10</f>
        <v>0.3</v>
      </c>
      <c r="J290" s="15" t="n">
        <f aca="false">Ipotesi!G11</f>
        <v>0.2</v>
      </c>
      <c r="K290" s="15" t="n">
        <f aca="false">Ipotesi!G12</f>
        <v>0.6</v>
      </c>
      <c r="L290" s="15" t="n">
        <f aca="false">Ipotesi!G13</f>
        <v>120</v>
      </c>
      <c r="M290" s="17" t="n">
        <f aca="false">INDEX(Ipotesi!$C$40:$G$40,1,F290)</f>
        <v>1</v>
      </c>
      <c r="N290" s="17" t="n">
        <f aca="false">INDEX(Ipotesi!$C$41:$G$41,1,F290)</f>
        <v>1</v>
      </c>
      <c r="O290" s="17" t="n">
        <f aca="false">INDEX(Ipotesi!$C$42:$G$42,1,F290)*Ipotesi!G125</f>
        <v>3.575</v>
      </c>
      <c r="P290" s="17" t="n">
        <f aca="false">INDEX(Ipotesi!$C$43:$G$43,1,F290)*I290</f>
        <v>1.8</v>
      </c>
      <c r="Q290" s="17" t="n">
        <f aca="false">INDEX(Ipotesi!$C$44:$G$44,1,F290)*I290</f>
        <v>1.5</v>
      </c>
      <c r="R290" s="17" t="n">
        <f aca="false">INDEX(Ipotesi!$C$45:$G$45,1,F290)*I290</f>
        <v>0.45</v>
      </c>
      <c r="S290" s="17" t="n">
        <f aca="false">INDEX(Ipotesi!$C$52:$G$52,1,F290)*Ipotesi!G125</f>
        <v>3.85</v>
      </c>
      <c r="T290" s="17" t="n">
        <f aca="false">INDEX(Ipotesi!$C$53:$G$53,1,F290)*I290</f>
        <v>0.3</v>
      </c>
      <c r="U290" s="17" t="n">
        <f aca="false">INDEX(Ipotesi!$C$54:$G$54,1,F290)*I290</f>
        <v>0.15</v>
      </c>
      <c r="V290" s="15" t="n">
        <f aca="false">M290*INDEX(Ipotesi!$C$58:$G$58,1,F290)*K290/12</f>
        <v>4750</v>
      </c>
      <c r="W290" s="15" t="n">
        <f aca="false">N290*Ipotesi!$C$59*(1+Ipotesi!$C$66)^(F290-1)/12</f>
        <v>6374.24083333333</v>
      </c>
      <c r="X290" s="15" t="n">
        <f aca="false">O290*Ipotesi!$C$60*(1+Ipotesi!$C$66)^(F290-1)/12</f>
        <v>16277.0792708333</v>
      </c>
      <c r="Y290" s="15" t="n">
        <f aca="false">P290*Ipotesi!$C$61*(1+Ipotesi!$C$66)^(F290-1)/12</f>
        <v>8195.4525</v>
      </c>
      <c r="Z290" s="15" t="n">
        <f aca="false">Q290*Ipotesi!$C$62*(1+Ipotesi!$C$66)^(F290-1)/12</f>
        <v>6146.589375</v>
      </c>
      <c r="AA290" s="15" t="n">
        <f aca="false">R290*Ipotesi!$C$63*(1+Ipotesi!$C$66)^(F290-1)/12</f>
        <v>1434.2041875</v>
      </c>
      <c r="AB290" s="15" t="n">
        <f aca="false">SUM(V290:AA290)</f>
        <v>43177.5661666667</v>
      </c>
      <c r="AC290" s="15" t="n">
        <f aca="false">(S290*Ipotesi!$C$64+T290*Ipotesi!$C$65+U290*Ipotesi!$C$63)*(1+Ipotesi!$C$66)^(F290-1)/12</f>
        <v>16841.6548875</v>
      </c>
      <c r="AD290" s="15" t="n">
        <f aca="false">INDEX(Ipotesi!$C$48:$G$48,1,F290)*G290/12</f>
        <v>43.5416666666667</v>
      </c>
      <c r="AE290" s="15" t="n">
        <f aca="false">INDEX(Ipotesi!$C$50:$G$50,1,F290)*G290/12</f>
        <v>4.58333333333333</v>
      </c>
      <c r="AF290" s="15" t="n">
        <f aca="false">(S290*Parametri_v3!$C$7*Parametri_v3!$C$8+Parametri_v3!$C$10)/12</f>
        <v>49.4083333333333</v>
      </c>
      <c r="AG290" s="15" t="n">
        <f aca="false">AD290+AE290*(1+Parametri_v3!$C$9)</f>
        <v>50.4166666666667</v>
      </c>
      <c r="AH290" s="16" t="n">
        <f aca="false">IF(AG290=0,1,MIN(1,AF290/AG290))</f>
        <v>0.98</v>
      </c>
      <c r="AI290" s="15" t="n">
        <f aca="false">AD290*AH290</f>
        <v>42.6708333333333</v>
      </c>
      <c r="AJ290" s="15" t="n">
        <f aca="false">AE290*AH290</f>
        <v>4.49166666666667</v>
      </c>
      <c r="AK290" s="15" t="n">
        <f aca="false">AI290*INDEX(Ipotesi!$C$49:$G$49,1,F290)*H290</f>
        <v>34563.375</v>
      </c>
      <c r="AL290" s="15" t="n">
        <f aca="false">AJ290*INDEX(Ipotesi!$C$51:$G$51,1,F290)*H290</f>
        <v>10106.25</v>
      </c>
      <c r="AM290" s="15" t="n">
        <f aca="false">AK290+AL290</f>
        <v>44669.625</v>
      </c>
      <c r="AN290" s="15" t="n">
        <f aca="false">INDEX(Ipotesi!$C$30:$G$30,1,F290)*G290/12</f>
        <v>33.9166666666667</v>
      </c>
      <c r="AO290" s="15" t="n">
        <f aca="false">O290*Parametri_v3!$C$7*Parametri_v3!$C$11*(1-Parametri_v3!$C$14)/12</f>
        <v>36.7033333333333</v>
      </c>
      <c r="AP290" s="15" t="n">
        <f aca="false">MIN(AN290,AO290)</f>
        <v>33.9166666666667</v>
      </c>
      <c r="AQ290" s="15" t="n">
        <f aca="false">AP290*INDEX(Ipotesi!$C$31:$G$31,1,F290)*H290</f>
        <v>32051.25</v>
      </c>
      <c r="AR290" s="15" t="n">
        <f aca="false">INDEX(Ipotesi!$C$75:$G$75,1,F290)*J290/12</f>
        <v>5583.33333333333</v>
      </c>
      <c r="AS290" s="15" t="n">
        <f aca="false">INDEX(Ipotesi!$C$81:$G$81,1,F290)*J290/12</f>
        <v>333.333333333333</v>
      </c>
      <c r="AT290" s="15" t="n">
        <f aca="false">AR290*Parametri_v3!$C$15+Z290*Parametri_v3!$C$16</f>
        <v>9885.94589583333</v>
      </c>
      <c r="AU290" s="15" t="n">
        <f aca="false">Q290*Parametri_v3!$C$16*Parametri_v3!$C$17</f>
        <v>105</v>
      </c>
      <c r="AV290" s="17" t="n">
        <f aca="false">BD289</f>
        <v>25.2692098183394</v>
      </c>
      <c r="AW290" s="17" t="n">
        <f aca="false">AV290*(1-(1-INDEX(Ipotesi!$C$34:$G$34,1,F290))^(1/12))</f>
        <v>0.220893601364526</v>
      </c>
      <c r="AX290" s="15" t="n">
        <f aca="false">ROUND(INDEX(Ipotesi!$C$32:$G$32,1,F290)*Ipotesi!G8,0)</f>
        <v>109</v>
      </c>
      <c r="AY290" s="15" t="n">
        <f aca="false">MAX(0,(AX290-(AV290-AW290))/(13-E290))</f>
        <v>27.9838945943417</v>
      </c>
      <c r="AZ290" s="15" t="n">
        <f aca="false">MIN(P290*Parametri_v3!$C$22,Q290*(1-Parametri_v3!$C$16)*Parametri_v3!$C$23)</f>
        <v>67.5</v>
      </c>
      <c r="BA290" s="15" t="n">
        <f aca="false">IF(OR(INDEX(Ipotesi!$C$35:$G$35,1,F290)&lt;=0,46-Parametri_v3!$C$21&lt;1),0,INDEX($AT$245:$AT$304,MAX(1,46-Parametri_v3!$C$21))/(INDEX(Ipotesi!$C$35:$G$35,1,F290)*Ipotesi!G27))</f>
        <v>1.26742896100427</v>
      </c>
      <c r="BB290" s="15" t="n">
        <f aca="false">IF(46-Parametri_v3!$C$21&lt;1,0,INDEX($AU$245:$AU$304,MAX(1,46-Parametri_v3!$C$21)))*Parametri_v3!$C$18*Parametri_v3!$C$19*Parametri_v3!$C$20</f>
        <v>3.9375</v>
      </c>
      <c r="BC290" s="17" t="n">
        <f aca="false">MAX(0,MIN(AY290,BA290,BB290,MAX(0,AZ290-(AV290-AW290))))</f>
        <v>1.26742896100427</v>
      </c>
      <c r="BD290" s="17" t="n">
        <f aca="false">AV290-AW290+BC290</f>
        <v>26.3157451779792</v>
      </c>
      <c r="BE290" s="17" t="n">
        <f aca="false">(AV290+BD290)/2</f>
        <v>25.7924774981593</v>
      </c>
      <c r="BF290" s="15" t="n">
        <f aca="false">BE290*INDEX(Ipotesi!$C$33:$G$33,1,F290)*H290/12</f>
        <v>11606.6148741717</v>
      </c>
      <c r="BG290" s="15" t="n">
        <f aca="false">BD290*INDEX(Ipotesi!$C$33:$G$33,1,F290)*H290</f>
        <v>142105.023961088</v>
      </c>
      <c r="BH290" s="15" t="n">
        <f aca="false">AM290*INDEX(Ipotesi!$C$37:$G$37,1,F290)</f>
        <v>4466.9625</v>
      </c>
      <c r="BI290" s="15" t="n">
        <f aca="false">AQ290+BF290+BH290</f>
        <v>48124.8273741717</v>
      </c>
      <c r="BJ290" s="15" t="n">
        <f aca="false">INDEX(Ipotesi!$C$68:$G$68,1,F290)*Ipotesi!$C$69/12</f>
        <v>3000</v>
      </c>
      <c r="BK290" s="15" t="n">
        <f aca="false">INDEX(Ipotesi!$C$68:$G$68,1,F290)*(1-Ipotesi!$C$69)/12</f>
        <v>4500</v>
      </c>
      <c r="BL290" s="15" t="n">
        <f aca="false">(AQ290+BF290)*Ipotesi!$C$67</f>
        <v>1309.73594622515</v>
      </c>
      <c r="BM290" s="15" t="n">
        <f aca="false">AM290*Ipotesi!$C$67</f>
        <v>1340.08875</v>
      </c>
      <c r="BN290" s="15" t="n">
        <f aca="false">INDEX(Ipotesi!$C$72:$G$72,1,F290)/12*Ipotesi!G126+BF290*Ipotesi!$C$73</f>
        <v>1678.52918993374</v>
      </c>
      <c r="BO290" s="15" t="n">
        <f aca="false">INDEX(Ipotesi!$C$74:$G$74,1,F290)/12*Ipotesi!G126</f>
        <v>2500</v>
      </c>
      <c r="BP290" s="15" t="n">
        <f aca="false">INDEX(Ipotesi!$C$76:$G$76,1,F290)/12</f>
        <v>1500</v>
      </c>
      <c r="BQ290" s="15" t="n">
        <f aca="false">INDEX(Ipotesi!$C$77:$G$77,1,F290)/12*Ipotesi!G126</f>
        <v>1250</v>
      </c>
      <c r="BR290" s="15" t="n">
        <f aca="false">INDEX(Ipotesi!$C$78:$G$78,1,F290)/12</f>
        <v>2000</v>
      </c>
      <c r="BS290" s="15" t="n">
        <f aca="false">SUM(M290:R290)*(Ipotesi!$C$85+Ipotesi!$C$86)/12</f>
        <v>2719.79166666667</v>
      </c>
      <c r="BT290" s="15" t="n">
        <f aca="false">BI290*Ipotesi!$C$87</f>
        <v>1443.74482122515</v>
      </c>
      <c r="BU290" s="15" t="n">
        <f aca="false">INDEX(Ipotesi!$C$55:$G$55,1,F290)*K290/12</f>
        <v>1200</v>
      </c>
      <c r="BV290" s="15" t="n">
        <f aca="false">INDEX(Ipotesi!$C$80:$G$80,1,F290)/12*Ipotesi!G126</f>
        <v>1000</v>
      </c>
      <c r="BW290" s="15" t="n">
        <f aca="false">INDEX(Ipotesi!$C$82:$G$82,1,F290)/12</f>
        <v>1250</v>
      </c>
      <c r="BX290" s="15" t="n">
        <f aca="false">INDEX(Ipotesi!$C$83:$G$83,1,F290)/12</f>
        <v>750</v>
      </c>
      <c r="BY290" s="15" t="n">
        <f aca="false">SUM(S290:U290)*(Ipotesi!$C$85+Ipotesi!$C$86)/12</f>
        <v>1254.16666666667</v>
      </c>
      <c r="BZ290" s="15" t="n">
        <f aca="false">AM290*Ipotesi!$C$87</f>
        <v>1340.08875</v>
      </c>
      <c r="CA290" s="15" t="n">
        <f aca="false">AB290+BJ290+BL290+BN290+BO290+AR290+BP290+BQ290+BR290+BS290+BT290</f>
        <v>66162.7011240507</v>
      </c>
      <c r="CB290" s="15" t="n">
        <f aca="false">AC290+BK290+BM290+BH290+BU290+BV290+AS290+BW290+BX290+BY290+BZ290</f>
        <v>34276.2948875</v>
      </c>
      <c r="CC290" s="15" t="n">
        <f aca="false">BI290-CA290</f>
        <v>-18037.873749879</v>
      </c>
      <c r="CD290" s="15" t="n">
        <f aca="false">AM290-CB290</f>
        <v>10393.3301125</v>
      </c>
      <c r="CE290" s="15" t="n">
        <f aca="false">INDEX(Ipotesi!$C$79:$G$79,1,F290)/12</f>
        <v>3333.33333333333</v>
      </c>
      <c r="CF290" s="15" t="n">
        <f aca="false">INDEX(Ipotesi!$C$84:$G$84,1,F290)/12</f>
        <v>666.666666666667</v>
      </c>
      <c r="CG290" s="15" t="n">
        <f aca="false">Y290*MAX(0,Parametri_v3!$C$12-IF(P290=0,0,MIN(1,BE290/(P290*Parametri_v3!$C$22))))+W290*Parametri_v3!$C$13+X290*Parametri_v3!$C$14</f>
        <v>13463.6497475362</v>
      </c>
      <c r="CH290" s="15" t="n">
        <f aca="false">AB290*Parametri_v3!$C$32</f>
        <v>2158.87830833333</v>
      </c>
      <c r="CI290" s="15" t="n">
        <f aca="false">AC290*Parametri_v3!$C$32</f>
        <v>842.082744375</v>
      </c>
      <c r="CJ290" s="15" t="n">
        <f aca="false">CA290-AB290</f>
        <v>22985.134957384</v>
      </c>
      <c r="CK290" s="15" t="n">
        <f aca="false">CB290-AC290-BH290</f>
        <v>12967.6775</v>
      </c>
      <c r="CL290" s="15" t="n">
        <f aca="false">BF290*Ipotesi!$C$73+INDEX(Ipotesi!$C$72:$G$72,1,F290)/12*Ipotesi!G126*Parametri_v3!$C$58+Z290*(1-Parametri_v3!$C$16)</f>
        <v>3522.50600243374</v>
      </c>
      <c r="CM290" s="16" t="n">
        <f aca="false">IF(BF290=0,0,1-CL290/BF290)</f>
        <v>0.69650875465228</v>
      </c>
    </row>
    <row r="291" customFormat="false" ht="18" hidden="false" customHeight="true" outlineLevel="0" collapsed="false">
      <c r="A291" s="68" t="n">
        <f aca="false">5</f>
        <v>5</v>
      </c>
      <c r="B291" s="68" t="n">
        <f aca="false">47</f>
        <v>47</v>
      </c>
      <c r="C291" s="18" t="n">
        <f aca="false">EDATE(Parametri_v3!$C$5,47-1)</f>
        <v>47788</v>
      </c>
      <c r="D291" s="68" t="n">
        <f aca="false">YEAR(C291)</f>
        <v>2030</v>
      </c>
      <c r="E291" s="68" t="n">
        <f aca="false">MONTH(C291)</f>
        <v>11</v>
      </c>
      <c r="F291" s="68" t="n">
        <f aca="false">INT((47-1)/12)+1</f>
        <v>4</v>
      </c>
      <c r="G291" s="15" t="n">
        <f aca="false">Ipotesi!G7</f>
        <v>0.55</v>
      </c>
      <c r="H291" s="15" t="n">
        <f aca="false">Ipotesi!G9</f>
        <v>0.9</v>
      </c>
      <c r="I291" s="15" t="n">
        <f aca="false">Ipotesi!G10</f>
        <v>0.3</v>
      </c>
      <c r="J291" s="15" t="n">
        <f aca="false">Ipotesi!G11</f>
        <v>0.2</v>
      </c>
      <c r="K291" s="15" t="n">
        <f aca="false">Ipotesi!G12</f>
        <v>0.6</v>
      </c>
      <c r="L291" s="15" t="n">
        <f aca="false">Ipotesi!G13</f>
        <v>120</v>
      </c>
      <c r="M291" s="17" t="n">
        <f aca="false">INDEX(Ipotesi!$C$40:$G$40,1,F291)</f>
        <v>1</v>
      </c>
      <c r="N291" s="17" t="n">
        <f aca="false">INDEX(Ipotesi!$C$41:$G$41,1,F291)</f>
        <v>1</v>
      </c>
      <c r="O291" s="17" t="n">
        <f aca="false">INDEX(Ipotesi!$C$42:$G$42,1,F291)*Ipotesi!G125</f>
        <v>3.575</v>
      </c>
      <c r="P291" s="17" t="n">
        <f aca="false">INDEX(Ipotesi!$C$43:$G$43,1,F291)*I291</f>
        <v>1.8</v>
      </c>
      <c r="Q291" s="17" t="n">
        <f aca="false">INDEX(Ipotesi!$C$44:$G$44,1,F291)*I291</f>
        <v>1.5</v>
      </c>
      <c r="R291" s="17" t="n">
        <f aca="false">INDEX(Ipotesi!$C$45:$G$45,1,F291)*I291</f>
        <v>0.45</v>
      </c>
      <c r="S291" s="17" t="n">
        <f aca="false">INDEX(Ipotesi!$C$52:$G$52,1,F291)*Ipotesi!G125</f>
        <v>3.85</v>
      </c>
      <c r="T291" s="17" t="n">
        <f aca="false">INDEX(Ipotesi!$C$53:$G$53,1,F291)*I291</f>
        <v>0.3</v>
      </c>
      <c r="U291" s="17" t="n">
        <f aca="false">INDEX(Ipotesi!$C$54:$G$54,1,F291)*I291</f>
        <v>0.15</v>
      </c>
      <c r="V291" s="15" t="n">
        <f aca="false">M291*INDEX(Ipotesi!$C$58:$G$58,1,F291)*K291/12</f>
        <v>4750</v>
      </c>
      <c r="W291" s="15" t="n">
        <f aca="false">N291*Ipotesi!$C$59*(1+Ipotesi!$C$66)^(F291-1)/12</f>
        <v>6374.24083333333</v>
      </c>
      <c r="X291" s="15" t="n">
        <f aca="false">O291*Ipotesi!$C$60*(1+Ipotesi!$C$66)^(F291-1)/12</f>
        <v>16277.0792708333</v>
      </c>
      <c r="Y291" s="15" t="n">
        <f aca="false">P291*Ipotesi!$C$61*(1+Ipotesi!$C$66)^(F291-1)/12</f>
        <v>8195.4525</v>
      </c>
      <c r="Z291" s="15" t="n">
        <f aca="false">Q291*Ipotesi!$C$62*(1+Ipotesi!$C$66)^(F291-1)/12</f>
        <v>6146.589375</v>
      </c>
      <c r="AA291" s="15" t="n">
        <f aca="false">R291*Ipotesi!$C$63*(1+Ipotesi!$C$66)^(F291-1)/12</f>
        <v>1434.2041875</v>
      </c>
      <c r="AB291" s="15" t="n">
        <f aca="false">SUM(V291:AA291)</f>
        <v>43177.5661666667</v>
      </c>
      <c r="AC291" s="15" t="n">
        <f aca="false">(S291*Ipotesi!$C$64+T291*Ipotesi!$C$65+U291*Ipotesi!$C$63)*(1+Ipotesi!$C$66)^(F291-1)/12</f>
        <v>16841.6548875</v>
      </c>
      <c r="AD291" s="15" t="n">
        <f aca="false">INDEX(Ipotesi!$C$48:$G$48,1,F291)*G291/12</f>
        <v>43.5416666666667</v>
      </c>
      <c r="AE291" s="15" t="n">
        <f aca="false">INDEX(Ipotesi!$C$50:$G$50,1,F291)*G291/12</f>
        <v>4.58333333333333</v>
      </c>
      <c r="AF291" s="15" t="n">
        <f aca="false">(S291*Parametri_v3!$C$7*Parametri_v3!$C$8+Parametri_v3!$C$10)/12</f>
        <v>49.4083333333333</v>
      </c>
      <c r="AG291" s="15" t="n">
        <f aca="false">AD291+AE291*(1+Parametri_v3!$C$9)</f>
        <v>50.4166666666667</v>
      </c>
      <c r="AH291" s="16" t="n">
        <f aca="false">IF(AG291=0,1,MIN(1,AF291/AG291))</f>
        <v>0.98</v>
      </c>
      <c r="AI291" s="15" t="n">
        <f aca="false">AD291*AH291</f>
        <v>42.6708333333333</v>
      </c>
      <c r="AJ291" s="15" t="n">
        <f aca="false">AE291*AH291</f>
        <v>4.49166666666667</v>
      </c>
      <c r="AK291" s="15" t="n">
        <f aca="false">AI291*INDEX(Ipotesi!$C$49:$G$49,1,F291)*H291</f>
        <v>34563.375</v>
      </c>
      <c r="AL291" s="15" t="n">
        <f aca="false">AJ291*INDEX(Ipotesi!$C$51:$G$51,1,F291)*H291</f>
        <v>10106.25</v>
      </c>
      <c r="AM291" s="15" t="n">
        <f aca="false">AK291+AL291</f>
        <v>44669.625</v>
      </c>
      <c r="AN291" s="15" t="n">
        <f aca="false">INDEX(Ipotesi!$C$30:$G$30,1,F291)*G291/12</f>
        <v>33.9166666666667</v>
      </c>
      <c r="AO291" s="15" t="n">
        <f aca="false">O291*Parametri_v3!$C$7*Parametri_v3!$C$11*(1-Parametri_v3!$C$14)/12</f>
        <v>36.7033333333333</v>
      </c>
      <c r="AP291" s="15" t="n">
        <f aca="false">MIN(AN291,AO291)</f>
        <v>33.9166666666667</v>
      </c>
      <c r="AQ291" s="15" t="n">
        <f aca="false">AP291*INDEX(Ipotesi!$C$31:$G$31,1,F291)*H291</f>
        <v>32051.25</v>
      </c>
      <c r="AR291" s="15" t="n">
        <f aca="false">INDEX(Ipotesi!$C$75:$G$75,1,F291)*J291/12</f>
        <v>5583.33333333333</v>
      </c>
      <c r="AS291" s="15" t="n">
        <f aca="false">INDEX(Ipotesi!$C$81:$G$81,1,F291)*J291/12</f>
        <v>333.333333333333</v>
      </c>
      <c r="AT291" s="15" t="n">
        <f aca="false">AR291*Parametri_v3!$C$15+Z291*Parametri_v3!$C$16</f>
        <v>9885.94589583333</v>
      </c>
      <c r="AU291" s="15" t="n">
        <f aca="false">Q291*Parametri_v3!$C$16*Parametri_v3!$C$17</f>
        <v>105</v>
      </c>
      <c r="AV291" s="17" t="n">
        <f aca="false">BD290</f>
        <v>26.3157451779792</v>
      </c>
      <c r="AW291" s="17" t="n">
        <f aca="false">AV291*(1-(1-INDEX(Ipotesi!$C$34:$G$34,1,F291))^(1/12))</f>
        <v>0.23004200632883</v>
      </c>
      <c r="AX291" s="15" t="n">
        <f aca="false">ROUND(INDEX(Ipotesi!$C$32:$G$32,1,F291)*Ipotesi!G8,0)</f>
        <v>109</v>
      </c>
      <c r="AY291" s="15" t="n">
        <f aca="false">MAX(0,(AX291-(AV291-AW291))/(13-E291))</f>
        <v>41.4571484141748</v>
      </c>
      <c r="AZ291" s="15" t="n">
        <f aca="false">MIN(P291*Parametri_v3!$C$22,Q291*(1-Parametri_v3!$C$16)*Parametri_v3!$C$23)</f>
        <v>67.5</v>
      </c>
      <c r="BA291" s="15" t="n">
        <f aca="false">IF(OR(INDEX(Ipotesi!$C$35:$G$35,1,F291)&lt;=0,47-Parametri_v3!$C$21&lt;1),0,INDEX($AT$245:$AT$304,MAX(1,47-Parametri_v3!$C$21))/(INDEX(Ipotesi!$C$35:$G$35,1,F291)*Ipotesi!G27))</f>
        <v>1.26742896100427</v>
      </c>
      <c r="BB291" s="15" t="n">
        <f aca="false">IF(47-Parametri_v3!$C$21&lt;1,0,INDEX($AU$245:$AU$304,MAX(1,47-Parametri_v3!$C$21)))*Parametri_v3!$C$18*Parametri_v3!$C$19*Parametri_v3!$C$20</f>
        <v>3.9375</v>
      </c>
      <c r="BC291" s="17" t="n">
        <f aca="false">MAX(0,MIN(AY291,BA291,BB291,MAX(0,AZ291-(AV291-AW291))))</f>
        <v>1.26742896100427</v>
      </c>
      <c r="BD291" s="17" t="n">
        <f aca="false">AV291-AW291+BC291</f>
        <v>27.3531321326546</v>
      </c>
      <c r="BE291" s="17" t="n">
        <f aca="false">(AV291+BD291)/2</f>
        <v>26.8344386553169</v>
      </c>
      <c r="BF291" s="15" t="n">
        <f aca="false">BE291*INDEX(Ipotesi!$C$33:$G$33,1,F291)*H291/12</f>
        <v>12075.4973948926</v>
      </c>
      <c r="BG291" s="15" t="n">
        <f aca="false">BD291*INDEX(Ipotesi!$C$33:$G$33,1,F291)*H291</f>
        <v>147706.913516335</v>
      </c>
      <c r="BH291" s="15" t="n">
        <f aca="false">AM291*INDEX(Ipotesi!$C$37:$G$37,1,F291)</f>
        <v>4466.9625</v>
      </c>
      <c r="BI291" s="15" t="n">
        <f aca="false">AQ291+BF291+BH291</f>
        <v>48593.7098948926</v>
      </c>
      <c r="BJ291" s="15" t="n">
        <f aca="false">INDEX(Ipotesi!$C$68:$G$68,1,F291)*Ipotesi!$C$69/12</f>
        <v>3000</v>
      </c>
      <c r="BK291" s="15" t="n">
        <f aca="false">INDEX(Ipotesi!$C$68:$G$68,1,F291)*(1-Ipotesi!$C$69)/12</f>
        <v>4500</v>
      </c>
      <c r="BL291" s="15" t="n">
        <f aca="false">(AQ291+BF291)*Ipotesi!$C$67</f>
        <v>1323.80242184678</v>
      </c>
      <c r="BM291" s="15" t="n">
        <f aca="false">AM291*Ipotesi!$C$67</f>
        <v>1340.08875</v>
      </c>
      <c r="BN291" s="15" t="n">
        <f aca="false">INDEX(Ipotesi!$C$72:$G$72,1,F291)/12*Ipotesi!G126+BF291*Ipotesi!$C$73</f>
        <v>1716.03979159141</v>
      </c>
      <c r="BO291" s="15" t="n">
        <f aca="false">INDEX(Ipotesi!$C$74:$G$74,1,F291)/12*Ipotesi!G126</f>
        <v>2500</v>
      </c>
      <c r="BP291" s="15" t="n">
        <f aca="false">INDEX(Ipotesi!$C$76:$G$76,1,F291)/12</f>
        <v>1500</v>
      </c>
      <c r="BQ291" s="15" t="n">
        <f aca="false">INDEX(Ipotesi!$C$77:$G$77,1,F291)/12*Ipotesi!G126</f>
        <v>1250</v>
      </c>
      <c r="BR291" s="15" t="n">
        <f aca="false">INDEX(Ipotesi!$C$78:$G$78,1,F291)/12</f>
        <v>2000</v>
      </c>
      <c r="BS291" s="15" t="n">
        <f aca="false">SUM(M291:R291)*(Ipotesi!$C$85+Ipotesi!$C$86)/12</f>
        <v>2719.79166666667</v>
      </c>
      <c r="BT291" s="15" t="n">
        <f aca="false">BI291*Ipotesi!$C$87</f>
        <v>1457.81129684678</v>
      </c>
      <c r="BU291" s="15" t="n">
        <f aca="false">INDEX(Ipotesi!$C$55:$G$55,1,F291)*K291/12</f>
        <v>1200</v>
      </c>
      <c r="BV291" s="15" t="n">
        <f aca="false">INDEX(Ipotesi!$C$80:$G$80,1,F291)/12*Ipotesi!G126</f>
        <v>1000</v>
      </c>
      <c r="BW291" s="15" t="n">
        <f aca="false">INDEX(Ipotesi!$C$82:$G$82,1,F291)/12</f>
        <v>1250</v>
      </c>
      <c r="BX291" s="15" t="n">
        <f aca="false">INDEX(Ipotesi!$C$83:$G$83,1,F291)/12</f>
        <v>750</v>
      </c>
      <c r="BY291" s="15" t="n">
        <f aca="false">SUM(S291:U291)*(Ipotesi!$C$85+Ipotesi!$C$86)/12</f>
        <v>1254.16666666667</v>
      </c>
      <c r="BZ291" s="15" t="n">
        <f aca="false">AM291*Ipotesi!$C$87</f>
        <v>1340.08875</v>
      </c>
      <c r="CA291" s="15" t="n">
        <f aca="false">AB291+BJ291+BL291+BN291+BO291+AR291+BP291+BQ291+BR291+BS291+BT291</f>
        <v>66228.3446769516</v>
      </c>
      <c r="CB291" s="15" t="n">
        <f aca="false">AC291+BK291+BM291+BH291+BU291+BV291+AS291+BW291+BX291+BY291+BZ291</f>
        <v>34276.2948875</v>
      </c>
      <c r="CC291" s="15" t="n">
        <f aca="false">BI291-CA291</f>
        <v>-17634.634782059</v>
      </c>
      <c r="CD291" s="15" t="n">
        <f aca="false">AM291-CB291</f>
        <v>10393.3301125</v>
      </c>
      <c r="CE291" s="15" t="n">
        <f aca="false">INDEX(Ipotesi!$C$79:$G$79,1,F291)/12</f>
        <v>3333.33333333333</v>
      </c>
      <c r="CF291" s="15" t="n">
        <f aca="false">INDEX(Ipotesi!$C$84:$G$84,1,F291)/12</f>
        <v>666.666666666667</v>
      </c>
      <c r="CG291" s="15" t="n">
        <f aca="false">Y291*MAX(0,Parametri_v3!$C$12-IF(P291=0,0,MIN(1,BE291/(P291*Parametri_v3!$C$22))))+W291*Parametri_v3!$C$13+X291*Parametri_v3!$C$14</f>
        <v>13416.2089521455</v>
      </c>
      <c r="CH291" s="15" t="n">
        <f aca="false">AB291*Parametri_v3!$C$32</f>
        <v>2158.87830833333</v>
      </c>
      <c r="CI291" s="15" t="n">
        <f aca="false">AC291*Parametri_v3!$C$32</f>
        <v>842.082744375</v>
      </c>
      <c r="CJ291" s="15" t="n">
        <f aca="false">CA291-AB291</f>
        <v>23050.778510285</v>
      </c>
      <c r="CK291" s="15" t="n">
        <f aca="false">CB291-AC291-BH291</f>
        <v>12967.6775</v>
      </c>
      <c r="CL291" s="15" t="n">
        <f aca="false">BF291*Ipotesi!$C$73+INDEX(Ipotesi!$C$72:$G$72,1,F291)/12*Ipotesi!G126*Parametri_v3!$C$58+Z291*(1-Parametri_v3!$C$16)</f>
        <v>3560.01660409141</v>
      </c>
      <c r="CM291" s="16" t="n">
        <f aca="false">IF(BF291=0,0,1-CL291/BF291)</f>
        <v>0.705186752340559</v>
      </c>
    </row>
    <row r="292" customFormat="false" ht="18" hidden="false" customHeight="true" outlineLevel="0" collapsed="false">
      <c r="A292" s="68" t="n">
        <f aca="false">5</f>
        <v>5</v>
      </c>
      <c r="B292" s="68" t="n">
        <f aca="false">48</f>
        <v>48</v>
      </c>
      <c r="C292" s="18" t="n">
        <f aca="false">EDATE(Parametri_v3!$C$5,48-1)</f>
        <v>47818</v>
      </c>
      <c r="D292" s="68" t="n">
        <f aca="false">YEAR(C292)</f>
        <v>2030</v>
      </c>
      <c r="E292" s="68" t="n">
        <f aca="false">MONTH(C292)</f>
        <v>12</v>
      </c>
      <c r="F292" s="68" t="n">
        <f aca="false">INT((48-1)/12)+1</f>
        <v>4</v>
      </c>
      <c r="G292" s="15" t="n">
        <f aca="false">Ipotesi!G7</f>
        <v>0.55</v>
      </c>
      <c r="H292" s="15" t="n">
        <f aca="false">Ipotesi!G9</f>
        <v>0.9</v>
      </c>
      <c r="I292" s="15" t="n">
        <f aca="false">Ipotesi!G10</f>
        <v>0.3</v>
      </c>
      <c r="J292" s="15" t="n">
        <f aca="false">Ipotesi!G11</f>
        <v>0.2</v>
      </c>
      <c r="K292" s="15" t="n">
        <f aca="false">Ipotesi!G12</f>
        <v>0.6</v>
      </c>
      <c r="L292" s="15" t="n">
        <f aca="false">Ipotesi!G13</f>
        <v>120</v>
      </c>
      <c r="M292" s="17" t="n">
        <f aca="false">INDEX(Ipotesi!$C$40:$G$40,1,F292)</f>
        <v>1</v>
      </c>
      <c r="N292" s="17" t="n">
        <f aca="false">INDEX(Ipotesi!$C$41:$G$41,1,F292)</f>
        <v>1</v>
      </c>
      <c r="O292" s="17" t="n">
        <f aca="false">INDEX(Ipotesi!$C$42:$G$42,1,F292)*Ipotesi!G125</f>
        <v>3.575</v>
      </c>
      <c r="P292" s="17" t="n">
        <f aca="false">INDEX(Ipotesi!$C$43:$G$43,1,F292)*I292</f>
        <v>1.8</v>
      </c>
      <c r="Q292" s="17" t="n">
        <f aca="false">INDEX(Ipotesi!$C$44:$G$44,1,F292)*I292</f>
        <v>1.5</v>
      </c>
      <c r="R292" s="17" t="n">
        <f aca="false">INDEX(Ipotesi!$C$45:$G$45,1,F292)*I292</f>
        <v>0.45</v>
      </c>
      <c r="S292" s="17" t="n">
        <f aca="false">INDEX(Ipotesi!$C$52:$G$52,1,F292)*Ipotesi!G125</f>
        <v>3.85</v>
      </c>
      <c r="T292" s="17" t="n">
        <f aca="false">INDEX(Ipotesi!$C$53:$G$53,1,F292)*I292</f>
        <v>0.3</v>
      </c>
      <c r="U292" s="17" t="n">
        <f aca="false">INDEX(Ipotesi!$C$54:$G$54,1,F292)*I292</f>
        <v>0.15</v>
      </c>
      <c r="V292" s="15" t="n">
        <f aca="false">M292*INDEX(Ipotesi!$C$58:$G$58,1,F292)*K292/12</f>
        <v>4750</v>
      </c>
      <c r="W292" s="15" t="n">
        <f aca="false">N292*Ipotesi!$C$59*(1+Ipotesi!$C$66)^(F292-1)/12</f>
        <v>6374.24083333333</v>
      </c>
      <c r="X292" s="15" t="n">
        <f aca="false">O292*Ipotesi!$C$60*(1+Ipotesi!$C$66)^(F292-1)/12</f>
        <v>16277.0792708333</v>
      </c>
      <c r="Y292" s="15" t="n">
        <f aca="false">P292*Ipotesi!$C$61*(1+Ipotesi!$C$66)^(F292-1)/12</f>
        <v>8195.4525</v>
      </c>
      <c r="Z292" s="15" t="n">
        <f aca="false">Q292*Ipotesi!$C$62*(1+Ipotesi!$C$66)^(F292-1)/12</f>
        <v>6146.589375</v>
      </c>
      <c r="AA292" s="15" t="n">
        <f aca="false">R292*Ipotesi!$C$63*(1+Ipotesi!$C$66)^(F292-1)/12</f>
        <v>1434.2041875</v>
      </c>
      <c r="AB292" s="15" t="n">
        <f aca="false">SUM(V292:AA292)</f>
        <v>43177.5661666667</v>
      </c>
      <c r="AC292" s="15" t="n">
        <f aca="false">(S292*Ipotesi!$C$64+T292*Ipotesi!$C$65+U292*Ipotesi!$C$63)*(1+Ipotesi!$C$66)^(F292-1)/12</f>
        <v>16841.6548875</v>
      </c>
      <c r="AD292" s="15" t="n">
        <f aca="false">INDEX(Ipotesi!$C$48:$G$48,1,F292)*G292/12</f>
        <v>43.5416666666667</v>
      </c>
      <c r="AE292" s="15" t="n">
        <f aca="false">INDEX(Ipotesi!$C$50:$G$50,1,F292)*G292/12</f>
        <v>4.58333333333333</v>
      </c>
      <c r="AF292" s="15" t="n">
        <f aca="false">(S292*Parametri_v3!$C$7*Parametri_v3!$C$8+Parametri_v3!$C$10)/12</f>
        <v>49.4083333333333</v>
      </c>
      <c r="AG292" s="15" t="n">
        <f aca="false">AD292+AE292*(1+Parametri_v3!$C$9)</f>
        <v>50.4166666666667</v>
      </c>
      <c r="AH292" s="16" t="n">
        <f aca="false">IF(AG292=0,1,MIN(1,AF292/AG292))</f>
        <v>0.98</v>
      </c>
      <c r="AI292" s="15" t="n">
        <f aca="false">AD292*AH292</f>
        <v>42.6708333333333</v>
      </c>
      <c r="AJ292" s="15" t="n">
        <f aca="false">AE292*AH292</f>
        <v>4.49166666666667</v>
      </c>
      <c r="AK292" s="15" t="n">
        <f aca="false">AI292*INDEX(Ipotesi!$C$49:$G$49,1,F292)*H292</f>
        <v>34563.375</v>
      </c>
      <c r="AL292" s="15" t="n">
        <f aca="false">AJ292*INDEX(Ipotesi!$C$51:$G$51,1,F292)*H292</f>
        <v>10106.25</v>
      </c>
      <c r="AM292" s="15" t="n">
        <f aca="false">AK292+AL292</f>
        <v>44669.625</v>
      </c>
      <c r="AN292" s="15" t="n">
        <f aca="false">INDEX(Ipotesi!$C$30:$G$30,1,F292)*G292/12</f>
        <v>33.9166666666667</v>
      </c>
      <c r="AO292" s="15" t="n">
        <f aca="false">O292*Parametri_v3!$C$7*Parametri_v3!$C$11*(1-Parametri_v3!$C$14)/12</f>
        <v>36.7033333333333</v>
      </c>
      <c r="AP292" s="15" t="n">
        <f aca="false">MIN(AN292,AO292)</f>
        <v>33.9166666666667</v>
      </c>
      <c r="AQ292" s="15" t="n">
        <f aca="false">AP292*INDEX(Ipotesi!$C$31:$G$31,1,F292)*H292</f>
        <v>32051.25</v>
      </c>
      <c r="AR292" s="15" t="n">
        <f aca="false">INDEX(Ipotesi!$C$75:$G$75,1,F292)*J292/12</f>
        <v>5583.33333333333</v>
      </c>
      <c r="AS292" s="15" t="n">
        <f aca="false">INDEX(Ipotesi!$C$81:$G$81,1,F292)*J292/12</f>
        <v>333.333333333333</v>
      </c>
      <c r="AT292" s="15" t="n">
        <f aca="false">AR292*Parametri_v3!$C$15+Z292*Parametri_v3!$C$16</f>
        <v>9885.94589583333</v>
      </c>
      <c r="AU292" s="15" t="n">
        <f aca="false">Q292*Parametri_v3!$C$16*Parametri_v3!$C$17</f>
        <v>105</v>
      </c>
      <c r="AV292" s="17" t="n">
        <f aca="false">BD291</f>
        <v>27.3531321326546</v>
      </c>
      <c r="AW292" s="17" t="n">
        <f aca="false">AV292*(1-(1-INDEX(Ipotesi!$C$34:$G$34,1,F292))^(1/12))</f>
        <v>0.239110439496081</v>
      </c>
      <c r="AX292" s="15" t="n">
        <f aca="false">ROUND(INDEX(Ipotesi!$C$32:$G$32,1,F292)*Ipotesi!G8,0)</f>
        <v>109</v>
      </c>
      <c r="AY292" s="15" t="n">
        <f aca="false">MAX(0,(AX292-(AV292-AW292))/(13-E292))</f>
        <v>81.8859783068415</v>
      </c>
      <c r="AZ292" s="15" t="n">
        <f aca="false">MIN(P292*Parametri_v3!$C$22,Q292*(1-Parametri_v3!$C$16)*Parametri_v3!$C$23)</f>
        <v>67.5</v>
      </c>
      <c r="BA292" s="15" t="n">
        <f aca="false">IF(OR(INDEX(Ipotesi!$C$35:$G$35,1,F292)&lt;=0,48-Parametri_v3!$C$21&lt;1),0,INDEX($AT$245:$AT$304,MAX(1,48-Parametri_v3!$C$21))/(INDEX(Ipotesi!$C$35:$G$35,1,F292)*Ipotesi!G27))</f>
        <v>1.26742896100427</v>
      </c>
      <c r="BB292" s="15" t="n">
        <f aca="false">IF(48-Parametri_v3!$C$21&lt;1,0,INDEX($AU$245:$AU$304,MAX(1,48-Parametri_v3!$C$21)))*Parametri_v3!$C$18*Parametri_v3!$C$19*Parametri_v3!$C$20</f>
        <v>3.9375</v>
      </c>
      <c r="BC292" s="17" t="n">
        <f aca="false">MAX(0,MIN(AY292,BA292,BB292,MAX(0,AZ292-(AV292-AW292))))</f>
        <v>1.26742896100427</v>
      </c>
      <c r="BD292" s="17" t="n">
        <f aca="false">AV292-AW292+BC292</f>
        <v>28.3814506541628</v>
      </c>
      <c r="BE292" s="17" t="n">
        <f aca="false">(AV292+BD292)/2</f>
        <v>27.8672913934087</v>
      </c>
      <c r="BF292" s="15" t="n">
        <f aca="false">BE292*INDEX(Ipotesi!$C$33:$G$33,1,F292)*H292/12</f>
        <v>12540.2811270339</v>
      </c>
      <c r="BG292" s="15" t="n">
        <f aca="false">BD292*INDEX(Ipotesi!$C$33:$G$33,1,F292)*H292</f>
        <v>153259.833532479</v>
      </c>
      <c r="BH292" s="15" t="n">
        <f aca="false">AM292*INDEX(Ipotesi!$C$37:$G$37,1,F292)</f>
        <v>4466.9625</v>
      </c>
      <c r="BI292" s="15" t="n">
        <f aca="false">AQ292+BF292+BH292</f>
        <v>49058.4936270339</v>
      </c>
      <c r="BJ292" s="15" t="n">
        <f aca="false">INDEX(Ipotesi!$C$68:$G$68,1,F292)*Ipotesi!$C$69/12</f>
        <v>3000</v>
      </c>
      <c r="BK292" s="15" t="n">
        <f aca="false">INDEX(Ipotesi!$C$68:$G$68,1,F292)*(1-Ipotesi!$C$69)/12</f>
        <v>4500</v>
      </c>
      <c r="BL292" s="15" t="n">
        <f aca="false">(AQ292+BF292)*Ipotesi!$C$67</f>
        <v>1337.74593381102</v>
      </c>
      <c r="BM292" s="15" t="n">
        <f aca="false">AM292*Ipotesi!$C$67</f>
        <v>1340.08875</v>
      </c>
      <c r="BN292" s="15" t="n">
        <f aca="false">INDEX(Ipotesi!$C$72:$G$72,1,F292)/12*Ipotesi!G126+BF292*Ipotesi!$C$73</f>
        <v>1753.22249016271</v>
      </c>
      <c r="BO292" s="15" t="n">
        <f aca="false">INDEX(Ipotesi!$C$74:$G$74,1,F292)/12*Ipotesi!G126</f>
        <v>2500</v>
      </c>
      <c r="BP292" s="15" t="n">
        <f aca="false">INDEX(Ipotesi!$C$76:$G$76,1,F292)/12</f>
        <v>1500</v>
      </c>
      <c r="BQ292" s="15" t="n">
        <f aca="false">INDEX(Ipotesi!$C$77:$G$77,1,F292)/12*Ipotesi!G126</f>
        <v>1250</v>
      </c>
      <c r="BR292" s="15" t="n">
        <f aca="false">INDEX(Ipotesi!$C$78:$G$78,1,F292)/12</f>
        <v>2000</v>
      </c>
      <c r="BS292" s="15" t="n">
        <f aca="false">SUM(M292:R292)*(Ipotesi!$C$85+Ipotesi!$C$86)/12</f>
        <v>2719.79166666667</v>
      </c>
      <c r="BT292" s="15" t="n">
        <f aca="false">BI292*Ipotesi!$C$87</f>
        <v>1471.75480881102</v>
      </c>
      <c r="BU292" s="15" t="n">
        <f aca="false">INDEX(Ipotesi!$C$55:$G$55,1,F292)*K292/12</f>
        <v>1200</v>
      </c>
      <c r="BV292" s="15" t="n">
        <f aca="false">INDEX(Ipotesi!$C$80:$G$80,1,F292)/12*Ipotesi!G126</f>
        <v>1000</v>
      </c>
      <c r="BW292" s="15" t="n">
        <f aca="false">INDEX(Ipotesi!$C$82:$G$82,1,F292)/12</f>
        <v>1250</v>
      </c>
      <c r="BX292" s="15" t="n">
        <f aca="false">INDEX(Ipotesi!$C$83:$G$83,1,F292)/12</f>
        <v>750</v>
      </c>
      <c r="BY292" s="15" t="n">
        <f aca="false">SUM(S292:U292)*(Ipotesi!$C$85+Ipotesi!$C$86)/12</f>
        <v>1254.16666666667</v>
      </c>
      <c r="BZ292" s="15" t="n">
        <f aca="false">AM292*Ipotesi!$C$87</f>
        <v>1340.08875</v>
      </c>
      <c r="CA292" s="15" t="n">
        <f aca="false">AB292+BJ292+BL292+BN292+BO292+AR292+BP292+BQ292+BR292+BS292+BT292</f>
        <v>66293.4143994514</v>
      </c>
      <c r="CB292" s="15" t="n">
        <f aca="false">AC292+BK292+BM292+BH292+BU292+BV292+AS292+BW292+BX292+BY292+BZ292</f>
        <v>34276.2948875</v>
      </c>
      <c r="CC292" s="15" t="n">
        <f aca="false">BI292-CA292</f>
        <v>-17234.9207724175</v>
      </c>
      <c r="CD292" s="15" t="n">
        <f aca="false">AM292-CB292</f>
        <v>10393.3301125</v>
      </c>
      <c r="CE292" s="15" t="n">
        <f aca="false">INDEX(Ipotesi!$C$79:$G$79,1,F292)/12</f>
        <v>3333.33333333333</v>
      </c>
      <c r="CF292" s="15" t="n">
        <f aca="false">INDEX(Ipotesi!$C$84:$G$84,1,F292)/12</f>
        <v>666.666666666667</v>
      </c>
      <c r="CG292" s="15" t="n">
        <f aca="false">Y292*MAX(0,Parametri_v3!$C$12-IF(P292=0,0,MIN(1,BE292/(P292*Parametri_v3!$C$22))))+W292*Parametri_v3!$C$13+X292*Parametri_v3!$C$14</f>
        <v>13369.1828657314</v>
      </c>
      <c r="CH292" s="15" t="n">
        <f aca="false">AB292*Parametri_v3!$C$32</f>
        <v>2158.87830833333</v>
      </c>
      <c r="CI292" s="15" t="n">
        <f aca="false">AC292*Parametri_v3!$C$32</f>
        <v>842.082744375</v>
      </c>
      <c r="CJ292" s="15" t="n">
        <f aca="false">CA292-AB292</f>
        <v>23115.8482327848</v>
      </c>
      <c r="CK292" s="15" t="n">
        <f aca="false">CB292-AC292-BH292</f>
        <v>12967.6775</v>
      </c>
      <c r="CL292" s="15" t="n">
        <f aca="false">BF292*Ipotesi!$C$73+INDEX(Ipotesi!$C$72:$G$72,1,F292)/12*Ipotesi!G126*Parametri_v3!$C$58+Z292*(1-Parametri_v3!$C$16)</f>
        <v>3597.19930266271</v>
      </c>
      <c r="CM292" s="16" t="n">
        <f aca="false">IF(BF292=0,0,1-CL292/BF292)</f>
        <v>0.713148432142563</v>
      </c>
    </row>
    <row r="293" customFormat="false" ht="18" hidden="false" customHeight="true" outlineLevel="0" collapsed="false">
      <c r="A293" s="68" t="n">
        <f aca="false">5</f>
        <v>5</v>
      </c>
      <c r="B293" s="68" t="n">
        <f aca="false">49</f>
        <v>49</v>
      </c>
      <c r="C293" s="18" t="n">
        <f aca="false">EDATE(Parametri_v3!$C$5,49-1)</f>
        <v>47849</v>
      </c>
      <c r="D293" s="68" t="n">
        <f aca="false">YEAR(C293)</f>
        <v>2031</v>
      </c>
      <c r="E293" s="68" t="n">
        <f aca="false">MONTH(C293)</f>
        <v>1</v>
      </c>
      <c r="F293" s="68" t="n">
        <f aca="false">INT((49-1)/12)+1</f>
        <v>5</v>
      </c>
      <c r="G293" s="15" t="n">
        <f aca="false">Ipotesi!G7</f>
        <v>0.55</v>
      </c>
      <c r="H293" s="15" t="n">
        <f aca="false">Ipotesi!G9</f>
        <v>0.9</v>
      </c>
      <c r="I293" s="15" t="n">
        <f aca="false">Ipotesi!G10</f>
        <v>0.3</v>
      </c>
      <c r="J293" s="15" t="n">
        <f aca="false">Ipotesi!G11</f>
        <v>0.2</v>
      </c>
      <c r="K293" s="15" t="n">
        <f aca="false">Ipotesi!G12</f>
        <v>0.6</v>
      </c>
      <c r="L293" s="15" t="n">
        <f aca="false">Ipotesi!G13</f>
        <v>120</v>
      </c>
      <c r="M293" s="17" t="n">
        <f aca="false">INDEX(Ipotesi!$C$40:$G$40,1,F293)</f>
        <v>1</v>
      </c>
      <c r="N293" s="17" t="n">
        <f aca="false">INDEX(Ipotesi!$C$41:$G$41,1,F293)</f>
        <v>1</v>
      </c>
      <c r="O293" s="17" t="n">
        <f aca="false">INDEX(Ipotesi!$C$42:$G$42,1,F293)*Ipotesi!G125</f>
        <v>4.675</v>
      </c>
      <c r="P293" s="17" t="n">
        <f aca="false">INDEX(Ipotesi!$C$43:$G$43,1,F293)*I293</f>
        <v>2.1</v>
      </c>
      <c r="Q293" s="17" t="n">
        <f aca="false">INDEX(Ipotesi!$C$44:$G$44,1,F293)*I293</f>
        <v>1.8</v>
      </c>
      <c r="R293" s="17" t="n">
        <f aca="false">INDEX(Ipotesi!$C$45:$G$45,1,F293)*I293</f>
        <v>0.6</v>
      </c>
      <c r="S293" s="17" t="n">
        <f aca="false">INDEX(Ipotesi!$C$52:$G$52,1,F293)*Ipotesi!G125</f>
        <v>4.95</v>
      </c>
      <c r="T293" s="17" t="n">
        <f aca="false">INDEX(Ipotesi!$C$53:$G$53,1,F293)*I293</f>
        <v>0.3</v>
      </c>
      <c r="U293" s="17" t="n">
        <f aca="false">INDEX(Ipotesi!$C$54:$G$54,1,F293)*I293</f>
        <v>0.3</v>
      </c>
      <c r="V293" s="15" t="n">
        <f aca="false">M293*INDEX(Ipotesi!$C$58:$G$58,1,F293)*K293/12</f>
        <v>5000</v>
      </c>
      <c r="W293" s="15" t="n">
        <f aca="false">N293*Ipotesi!$C$59*(1+Ipotesi!$C$66)^(F293-1)/12</f>
        <v>6565.46805833334</v>
      </c>
      <c r="X293" s="15" t="n">
        <f aca="false">O293*Ipotesi!$C$60*(1+Ipotesi!$C$66)^(F293-1)/12</f>
        <v>21923.9736947917</v>
      </c>
      <c r="Y293" s="15" t="n">
        <f aca="false">P293*Ipotesi!$C$61*(1+Ipotesi!$C$66)^(F293-1)/12</f>
        <v>9848.2020875</v>
      </c>
      <c r="Z293" s="15" t="n">
        <f aca="false">Q293*Ipotesi!$C$62*(1+Ipotesi!$C$66)^(F293-1)/12</f>
        <v>7597.1844675</v>
      </c>
      <c r="AA293" s="15" t="n">
        <f aca="false">R293*Ipotesi!$C$63*(1+Ipotesi!$C$66)^(F293-1)/12</f>
        <v>1969.6404175</v>
      </c>
      <c r="AB293" s="15" t="n">
        <f aca="false">SUM(V293:AA293)</f>
        <v>52904.468725625</v>
      </c>
      <c r="AC293" s="15" t="n">
        <f aca="false">(S293*Ipotesi!$C$64+T293*Ipotesi!$C$65+U293*Ipotesi!$C$63)*(1+Ipotesi!$C$66)^(F293-1)/12</f>
        <v>22172.523557</v>
      </c>
      <c r="AD293" s="15" t="n">
        <f aca="false">INDEX(Ipotesi!$C$48:$G$48,1,F293)*G293/12</f>
        <v>52.7083333333333</v>
      </c>
      <c r="AE293" s="15" t="n">
        <f aca="false">INDEX(Ipotesi!$C$50:$G$50,1,F293)*G293/12</f>
        <v>5.27083333333333</v>
      </c>
      <c r="AF293" s="15" t="n">
        <f aca="false">(S293*Parametri_v3!$C$7*Parametri_v3!$C$8+Parametri_v3!$C$10)/12</f>
        <v>63.525</v>
      </c>
      <c r="AG293" s="15" t="n">
        <f aca="false">AD293+AE293*(1+Parametri_v3!$C$9)</f>
        <v>60.6145833333333</v>
      </c>
      <c r="AH293" s="16" t="n">
        <f aca="false">IF(AG293=0,1,MIN(1,AF293/AG293))</f>
        <v>1</v>
      </c>
      <c r="AI293" s="15" t="n">
        <f aca="false">AD293*AH293</f>
        <v>52.7083333333333</v>
      </c>
      <c r="AJ293" s="15" t="n">
        <f aca="false">AE293*AH293</f>
        <v>5.27083333333333</v>
      </c>
      <c r="AK293" s="15" t="n">
        <f aca="false">AI293*INDEX(Ipotesi!$C$49:$G$49,1,F293)*H293</f>
        <v>45065.625</v>
      </c>
      <c r="AL293" s="15" t="n">
        <f aca="false">AJ293*INDEX(Ipotesi!$C$51:$G$51,1,F293)*H293</f>
        <v>12333.75</v>
      </c>
      <c r="AM293" s="15" t="n">
        <f aca="false">AK293+AL293</f>
        <v>57399.375</v>
      </c>
      <c r="AN293" s="15" t="n">
        <f aca="false">INDEX(Ipotesi!$C$30:$G$30,1,F293)*G293/12</f>
        <v>44.9166666666667</v>
      </c>
      <c r="AO293" s="15" t="n">
        <f aca="false">O293*Parametri_v3!$C$7*Parametri_v3!$C$11*(1-Parametri_v3!$C$14)/12</f>
        <v>47.9966666666667</v>
      </c>
      <c r="AP293" s="15" t="n">
        <f aca="false">MIN(AN293,AO293)</f>
        <v>44.9166666666667</v>
      </c>
      <c r="AQ293" s="15" t="n">
        <f aca="false">AP293*INDEX(Ipotesi!$C$31:$G$31,1,F293)*H293</f>
        <v>44467.5</v>
      </c>
      <c r="AR293" s="15" t="n">
        <f aca="false">INDEX(Ipotesi!$C$75:$G$75,1,F293)*J293/12</f>
        <v>7166.66666666667</v>
      </c>
      <c r="AS293" s="15" t="n">
        <f aca="false">INDEX(Ipotesi!$C$81:$G$81,1,F293)*J293/12</f>
        <v>416.666666666667</v>
      </c>
      <c r="AT293" s="15" t="n">
        <f aca="false">AR293*Parametri_v3!$C$15+Z293*Parametri_v3!$C$16</f>
        <v>12484.6957939167</v>
      </c>
      <c r="AU293" s="15" t="n">
        <f aca="false">Q293*Parametri_v3!$C$16*Parametri_v3!$C$17</f>
        <v>126</v>
      </c>
      <c r="AV293" s="17" t="n">
        <f aca="false">BD292</f>
        <v>28.3814506541628</v>
      </c>
      <c r="AW293" s="17" t="n">
        <f aca="false">AV293*(1-(1-INDEX(Ipotesi!$C$34:$G$34,1,F293))^(1/12))</f>
        <v>0.248099599948614</v>
      </c>
      <c r="AX293" s="15" t="n">
        <f aca="false">ROUND(INDEX(Ipotesi!$C$32:$G$32,1,F293)*Ipotesi!G8,0)</f>
        <v>196</v>
      </c>
      <c r="AY293" s="15" t="n">
        <f aca="false">MAX(0,(AX293-(AV293-AW293))/(13-E293))</f>
        <v>13.9888874121488</v>
      </c>
      <c r="AZ293" s="15" t="n">
        <f aca="false">MIN(P293*Parametri_v3!$C$22,Q293*(1-Parametri_v3!$C$16)*Parametri_v3!$C$23)</f>
        <v>81</v>
      </c>
      <c r="BA293" s="15" t="n">
        <f aca="false">IF(OR(INDEX(Ipotesi!$C$35:$G$35,1,F293)&lt;=0,49-Parametri_v3!$C$21&lt;1),0,INDEX($AT$245:$AT$304,MAX(1,49-Parametri_v3!$C$21))/(INDEX(Ipotesi!$C$35:$G$35,1,F293)*Ipotesi!G27))</f>
        <v>1.16993442554241</v>
      </c>
      <c r="BB293" s="15" t="n">
        <f aca="false">IF(49-Parametri_v3!$C$21&lt;1,0,INDEX($AU$245:$AU$304,MAX(1,49-Parametri_v3!$C$21)))*Parametri_v3!$C$18*Parametri_v3!$C$19*Parametri_v3!$C$20</f>
        <v>3.9375</v>
      </c>
      <c r="BC293" s="17" t="n">
        <f aca="false">MAX(0,MIN(AY293,BA293,BB293,MAX(0,AZ293-(AV293-AW293))))</f>
        <v>1.16993442554241</v>
      </c>
      <c r="BD293" s="17" t="n">
        <f aca="false">AV293-AW293+BC293</f>
        <v>29.3032854797566</v>
      </c>
      <c r="BE293" s="17" t="n">
        <f aca="false">(AV293+BD293)/2</f>
        <v>28.8423680669597</v>
      </c>
      <c r="BF293" s="15" t="n">
        <f aca="false">BE293*INDEX(Ipotesi!$C$33:$G$33,1,F293)*H293/12</f>
        <v>13411.7011511363</v>
      </c>
      <c r="BG293" s="15" t="n">
        <f aca="false">BD293*INDEX(Ipotesi!$C$33:$G$33,1,F293)*H293</f>
        <v>163512.332977042</v>
      </c>
      <c r="BH293" s="15" t="n">
        <f aca="false">AM293*INDEX(Ipotesi!$C$37:$G$37,1,F293)</f>
        <v>5739.9375</v>
      </c>
      <c r="BI293" s="15" t="n">
        <f aca="false">AQ293+BF293+BH293</f>
        <v>63619.1386511363</v>
      </c>
      <c r="BJ293" s="15" t="n">
        <f aca="false">INDEX(Ipotesi!$C$68:$G$68,1,F293)*Ipotesi!$C$69/12</f>
        <v>3333.33333333333</v>
      </c>
      <c r="BK293" s="15" t="n">
        <f aca="false">INDEX(Ipotesi!$C$68:$G$68,1,F293)*(1-Ipotesi!$C$69)/12</f>
        <v>5000</v>
      </c>
      <c r="BL293" s="15" t="n">
        <f aca="false">(AQ293+BF293)*Ipotesi!$C$67</f>
        <v>1736.37603453409</v>
      </c>
      <c r="BM293" s="15" t="n">
        <f aca="false">AM293*Ipotesi!$C$67</f>
        <v>1721.98125</v>
      </c>
      <c r="BN293" s="15" t="n">
        <f aca="false">INDEX(Ipotesi!$C$72:$G$72,1,F293)/12*Ipotesi!G126+BF293*Ipotesi!$C$73</f>
        <v>1822.9360920909</v>
      </c>
      <c r="BO293" s="15" t="n">
        <f aca="false">INDEX(Ipotesi!$C$74:$G$74,1,F293)/12*Ipotesi!G126</f>
        <v>3250</v>
      </c>
      <c r="BP293" s="15" t="n">
        <f aca="false">INDEX(Ipotesi!$C$76:$G$76,1,F293)/12</f>
        <v>1916.66666666667</v>
      </c>
      <c r="BQ293" s="15" t="n">
        <f aca="false">INDEX(Ipotesi!$C$77:$G$77,1,F293)/12*Ipotesi!G126</f>
        <v>1500</v>
      </c>
      <c r="BR293" s="15" t="n">
        <f aca="false">INDEX(Ipotesi!$C$78:$G$78,1,F293)/12</f>
        <v>2333.33333333333</v>
      </c>
      <c r="BS293" s="15" t="n">
        <f aca="false">SUM(M293:R293)*(Ipotesi!$C$85+Ipotesi!$C$86)/12</f>
        <v>3259.375</v>
      </c>
      <c r="BT293" s="15" t="n">
        <f aca="false">BI293*Ipotesi!$C$87</f>
        <v>1908.57415953409</v>
      </c>
      <c r="BU293" s="15" t="n">
        <f aca="false">INDEX(Ipotesi!$C$55:$G$55,1,F293)*K293/12</f>
        <v>1200</v>
      </c>
      <c r="BV293" s="15" t="n">
        <f aca="false">INDEX(Ipotesi!$C$80:$G$80,1,F293)/12*Ipotesi!G126</f>
        <v>1250</v>
      </c>
      <c r="BW293" s="15" t="n">
        <f aca="false">INDEX(Ipotesi!$C$82:$G$82,1,F293)/12</f>
        <v>1500</v>
      </c>
      <c r="BX293" s="15" t="n">
        <f aca="false">INDEX(Ipotesi!$C$83:$G$83,1,F293)/12</f>
        <v>833.333333333333</v>
      </c>
      <c r="BY293" s="15" t="n">
        <f aca="false">SUM(S293:U293)*(Ipotesi!$C$85+Ipotesi!$C$86)/12</f>
        <v>1618.75</v>
      </c>
      <c r="BZ293" s="15" t="n">
        <f aca="false">AM293*Ipotesi!$C$87</f>
        <v>1721.98125</v>
      </c>
      <c r="CA293" s="15" t="n">
        <f aca="false">AB293+BJ293+BL293+BN293+BO293+AR293+BP293+BQ293+BR293+BS293+BT293</f>
        <v>81131.7300117841</v>
      </c>
      <c r="CB293" s="15" t="n">
        <f aca="false">AC293+BK293+BM293+BH293+BU293+BV293+AS293+BW293+BX293+BY293+BZ293</f>
        <v>43175.173557</v>
      </c>
      <c r="CC293" s="15" t="n">
        <f aca="false">BI293-CA293</f>
        <v>-17512.5913606478</v>
      </c>
      <c r="CD293" s="15" t="n">
        <f aca="false">AM293-CB293</f>
        <v>14224.201443</v>
      </c>
      <c r="CE293" s="15" t="n">
        <f aca="false">INDEX(Ipotesi!$C$79:$G$79,1,F293)/12</f>
        <v>4166.66666666667</v>
      </c>
      <c r="CF293" s="15" t="n">
        <f aca="false">INDEX(Ipotesi!$C$84:$G$84,1,F293)/12</f>
        <v>666.666666666667</v>
      </c>
      <c r="CG293" s="15" t="n">
        <f aca="false">Y293*MAX(0,Parametri_v3!$C$12-IF(P293=0,0,MIN(1,BE293/(P293*Parametri_v3!$C$22))))+W293*Parametri_v3!$C$13+X293*Parametri_v3!$C$14</f>
        <v>16163.1333822656</v>
      </c>
      <c r="CH293" s="15" t="n">
        <f aca="false">AB293*Parametri_v3!$C$32</f>
        <v>2645.22343628125</v>
      </c>
      <c r="CI293" s="15" t="n">
        <f aca="false">AC293*Parametri_v3!$C$32</f>
        <v>1108.62617785</v>
      </c>
      <c r="CJ293" s="15" t="n">
        <f aca="false">CA293-AB293</f>
        <v>28227.2612861591</v>
      </c>
      <c r="CK293" s="15" t="n">
        <f aca="false">CB293-AC293-BH293</f>
        <v>15262.7125</v>
      </c>
      <c r="CL293" s="15" t="n">
        <f aca="false">BF293*Ipotesi!$C$73+INDEX(Ipotesi!$C$72:$G$72,1,F293)/12*Ipotesi!G126*Parametri_v3!$C$58+Z293*(1-Parametri_v3!$C$16)</f>
        <v>4102.0914323409</v>
      </c>
      <c r="CM293" s="16" t="n">
        <f aca="false">IF(BF293=0,0,1-CL293/BF293)</f>
        <v>0.694140856099126</v>
      </c>
    </row>
    <row r="294" customFormat="false" ht="18" hidden="false" customHeight="true" outlineLevel="0" collapsed="false">
      <c r="A294" s="68" t="n">
        <f aca="false">5</f>
        <v>5</v>
      </c>
      <c r="B294" s="68" t="n">
        <f aca="false">50</f>
        <v>50</v>
      </c>
      <c r="C294" s="18" t="n">
        <f aca="false">EDATE(Parametri_v3!$C$5,50-1)</f>
        <v>47880</v>
      </c>
      <c r="D294" s="68" t="n">
        <f aca="false">YEAR(C294)</f>
        <v>2031</v>
      </c>
      <c r="E294" s="68" t="n">
        <f aca="false">MONTH(C294)</f>
        <v>2</v>
      </c>
      <c r="F294" s="68" t="n">
        <f aca="false">INT((50-1)/12)+1</f>
        <v>5</v>
      </c>
      <c r="G294" s="15" t="n">
        <f aca="false">Ipotesi!G7</f>
        <v>0.55</v>
      </c>
      <c r="H294" s="15" t="n">
        <f aca="false">Ipotesi!G9</f>
        <v>0.9</v>
      </c>
      <c r="I294" s="15" t="n">
        <f aca="false">Ipotesi!G10</f>
        <v>0.3</v>
      </c>
      <c r="J294" s="15" t="n">
        <f aca="false">Ipotesi!G11</f>
        <v>0.2</v>
      </c>
      <c r="K294" s="15" t="n">
        <f aca="false">Ipotesi!G12</f>
        <v>0.6</v>
      </c>
      <c r="L294" s="15" t="n">
        <f aca="false">Ipotesi!G13</f>
        <v>120</v>
      </c>
      <c r="M294" s="17" t="n">
        <f aca="false">INDEX(Ipotesi!$C$40:$G$40,1,F294)</f>
        <v>1</v>
      </c>
      <c r="N294" s="17" t="n">
        <f aca="false">INDEX(Ipotesi!$C$41:$G$41,1,F294)</f>
        <v>1</v>
      </c>
      <c r="O294" s="17" t="n">
        <f aca="false">INDEX(Ipotesi!$C$42:$G$42,1,F294)*Ipotesi!G125</f>
        <v>4.675</v>
      </c>
      <c r="P294" s="17" t="n">
        <f aca="false">INDEX(Ipotesi!$C$43:$G$43,1,F294)*I294</f>
        <v>2.1</v>
      </c>
      <c r="Q294" s="17" t="n">
        <f aca="false">INDEX(Ipotesi!$C$44:$G$44,1,F294)*I294</f>
        <v>1.8</v>
      </c>
      <c r="R294" s="17" t="n">
        <f aca="false">INDEX(Ipotesi!$C$45:$G$45,1,F294)*I294</f>
        <v>0.6</v>
      </c>
      <c r="S294" s="17" t="n">
        <f aca="false">INDEX(Ipotesi!$C$52:$G$52,1,F294)*Ipotesi!G125</f>
        <v>4.95</v>
      </c>
      <c r="T294" s="17" t="n">
        <f aca="false">INDEX(Ipotesi!$C$53:$G$53,1,F294)*I294</f>
        <v>0.3</v>
      </c>
      <c r="U294" s="17" t="n">
        <f aca="false">INDEX(Ipotesi!$C$54:$G$54,1,F294)*I294</f>
        <v>0.3</v>
      </c>
      <c r="V294" s="15" t="n">
        <f aca="false">M294*INDEX(Ipotesi!$C$58:$G$58,1,F294)*K294/12</f>
        <v>5000</v>
      </c>
      <c r="W294" s="15" t="n">
        <f aca="false">N294*Ipotesi!$C$59*(1+Ipotesi!$C$66)^(F294-1)/12</f>
        <v>6565.46805833334</v>
      </c>
      <c r="X294" s="15" t="n">
        <f aca="false">O294*Ipotesi!$C$60*(1+Ipotesi!$C$66)^(F294-1)/12</f>
        <v>21923.9736947917</v>
      </c>
      <c r="Y294" s="15" t="n">
        <f aca="false">P294*Ipotesi!$C$61*(1+Ipotesi!$C$66)^(F294-1)/12</f>
        <v>9848.2020875</v>
      </c>
      <c r="Z294" s="15" t="n">
        <f aca="false">Q294*Ipotesi!$C$62*(1+Ipotesi!$C$66)^(F294-1)/12</f>
        <v>7597.1844675</v>
      </c>
      <c r="AA294" s="15" t="n">
        <f aca="false">R294*Ipotesi!$C$63*(1+Ipotesi!$C$66)^(F294-1)/12</f>
        <v>1969.6404175</v>
      </c>
      <c r="AB294" s="15" t="n">
        <f aca="false">SUM(V294:AA294)</f>
        <v>52904.468725625</v>
      </c>
      <c r="AC294" s="15" t="n">
        <f aca="false">(S294*Ipotesi!$C$64+T294*Ipotesi!$C$65+U294*Ipotesi!$C$63)*(1+Ipotesi!$C$66)^(F294-1)/12</f>
        <v>22172.523557</v>
      </c>
      <c r="AD294" s="15" t="n">
        <f aca="false">INDEX(Ipotesi!$C$48:$G$48,1,F294)*G294/12</f>
        <v>52.7083333333333</v>
      </c>
      <c r="AE294" s="15" t="n">
        <f aca="false">INDEX(Ipotesi!$C$50:$G$50,1,F294)*G294/12</f>
        <v>5.27083333333333</v>
      </c>
      <c r="AF294" s="15" t="n">
        <f aca="false">(S294*Parametri_v3!$C$7*Parametri_v3!$C$8+Parametri_v3!$C$10)/12</f>
        <v>63.525</v>
      </c>
      <c r="AG294" s="15" t="n">
        <f aca="false">AD294+AE294*(1+Parametri_v3!$C$9)</f>
        <v>60.6145833333333</v>
      </c>
      <c r="AH294" s="16" t="n">
        <f aca="false">IF(AG294=0,1,MIN(1,AF294/AG294))</f>
        <v>1</v>
      </c>
      <c r="AI294" s="15" t="n">
        <f aca="false">AD294*AH294</f>
        <v>52.7083333333333</v>
      </c>
      <c r="AJ294" s="15" t="n">
        <f aca="false">AE294*AH294</f>
        <v>5.27083333333333</v>
      </c>
      <c r="AK294" s="15" t="n">
        <f aca="false">AI294*INDEX(Ipotesi!$C$49:$G$49,1,F294)*H294</f>
        <v>45065.625</v>
      </c>
      <c r="AL294" s="15" t="n">
        <f aca="false">AJ294*INDEX(Ipotesi!$C$51:$G$51,1,F294)*H294</f>
        <v>12333.75</v>
      </c>
      <c r="AM294" s="15" t="n">
        <f aca="false">AK294+AL294</f>
        <v>57399.375</v>
      </c>
      <c r="AN294" s="15" t="n">
        <f aca="false">INDEX(Ipotesi!$C$30:$G$30,1,F294)*G294/12</f>
        <v>44.9166666666667</v>
      </c>
      <c r="AO294" s="15" t="n">
        <f aca="false">O294*Parametri_v3!$C$7*Parametri_v3!$C$11*(1-Parametri_v3!$C$14)/12</f>
        <v>47.9966666666667</v>
      </c>
      <c r="AP294" s="15" t="n">
        <f aca="false">MIN(AN294,AO294)</f>
        <v>44.9166666666667</v>
      </c>
      <c r="AQ294" s="15" t="n">
        <f aca="false">AP294*INDEX(Ipotesi!$C$31:$G$31,1,F294)*H294</f>
        <v>44467.5</v>
      </c>
      <c r="AR294" s="15" t="n">
        <f aca="false">INDEX(Ipotesi!$C$75:$G$75,1,F294)*J294/12</f>
        <v>7166.66666666667</v>
      </c>
      <c r="AS294" s="15" t="n">
        <f aca="false">INDEX(Ipotesi!$C$81:$G$81,1,F294)*J294/12</f>
        <v>416.666666666667</v>
      </c>
      <c r="AT294" s="15" t="n">
        <f aca="false">AR294*Parametri_v3!$C$15+Z294*Parametri_v3!$C$16</f>
        <v>12484.6957939167</v>
      </c>
      <c r="AU294" s="15" t="n">
        <f aca="false">Q294*Parametri_v3!$C$16*Parametri_v3!$C$17</f>
        <v>126</v>
      </c>
      <c r="AV294" s="17" t="n">
        <f aca="false">BD293</f>
        <v>29.3032854797566</v>
      </c>
      <c r="AW294" s="17" t="n">
        <f aca="false">AV294*(1-(1-INDEX(Ipotesi!$C$34:$G$34,1,F294))^(1/12))</f>
        <v>0.256157921358446</v>
      </c>
      <c r="AX294" s="15" t="n">
        <f aca="false">ROUND(INDEX(Ipotesi!$C$32:$G$32,1,F294)*Ipotesi!G8,0)</f>
        <v>196</v>
      </c>
      <c r="AY294" s="15" t="n">
        <f aca="false">MAX(0,(AX294-(AV294-AW294))/(13-E294))</f>
        <v>15.1775338583274</v>
      </c>
      <c r="AZ294" s="15" t="n">
        <f aca="false">MIN(P294*Parametri_v3!$C$22,Q294*(1-Parametri_v3!$C$16)*Parametri_v3!$C$23)</f>
        <v>81</v>
      </c>
      <c r="BA294" s="15" t="n">
        <f aca="false">IF(OR(INDEX(Ipotesi!$C$35:$G$35,1,F294)&lt;=0,50-Parametri_v3!$C$21&lt;1),0,INDEX($AT$245:$AT$304,MAX(1,50-Parametri_v3!$C$21))/(INDEX(Ipotesi!$C$35:$G$35,1,F294)*Ipotesi!G27))</f>
        <v>1.16993442554241</v>
      </c>
      <c r="BB294" s="15" t="n">
        <f aca="false">IF(50-Parametri_v3!$C$21&lt;1,0,INDEX($AU$245:$AU$304,MAX(1,50-Parametri_v3!$C$21)))*Parametri_v3!$C$18*Parametri_v3!$C$19*Parametri_v3!$C$20</f>
        <v>3.9375</v>
      </c>
      <c r="BC294" s="17" t="n">
        <f aca="false">MAX(0,MIN(AY294,BA294,BB294,MAX(0,AZ294-(AV294-AW294))))</f>
        <v>1.16993442554241</v>
      </c>
      <c r="BD294" s="17" t="n">
        <f aca="false">AV294-AW294+BC294</f>
        <v>30.2170619839406</v>
      </c>
      <c r="BE294" s="17" t="n">
        <f aca="false">(AV294+BD294)/2</f>
        <v>29.7601737318486</v>
      </c>
      <c r="BF294" s="15" t="n">
        <f aca="false">BE294*INDEX(Ipotesi!$C$33:$G$33,1,F294)*H294/12</f>
        <v>13838.4807853096</v>
      </c>
      <c r="BG294" s="15" t="n">
        <f aca="false">BD294*INDEX(Ipotesi!$C$33:$G$33,1,F294)*H294</f>
        <v>168611.205870388</v>
      </c>
      <c r="BH294" s="15" t="n">
        <f aca="false">AM294*INDEX(Ipotesi!$C$37:$G$37,1,F294)</f>
        <v>5739.9375</v>
      </c>
      <c r="BI294" s="15" t="n">
        <f aca="false">AQ294+BF294+BH294</f>
        <v>64045.9182853096</v>
      </c>
      <c r="BJ294" s="15" t="n">
        <f aca="false">INDEX(Ipotesi!$C$68:$G$68,1,F294)*Ipotesi!$C$69/12</f>
        <v>3333.33333333333</v>
      </c>
      <c r="BK294" s="15" t="n">
        <f aca="false">INDEX(Ipotesi!$C$68:$G$68,1,F294)*(1-Ipotesi!$C$69)/12</f>
        <v>5000</v>
      </c>
      <c r="BL294" s="15" t="n">
        <f aca="false">(AQ294+BF294)*Ipotesi!$C$67</f>
        <v>1749.17942355929</v>
      </c>
      <c r="BM294" s="15" t="n">
        <f aca="false">AM294*Ipotesi!$C$67</f>
        <v>1721.98125</v>
      </c>
      <c r="BN294" s="15" t="n">
        <f aca="false">INDEX(Ipotesi!$C$72:$G$72,1,F294)/12*Ipotesi!G126+BF294*Ipotesi!$C$73</f>
        <v>1857.07846282477</v>
      </c>
      <c r="BO294" s="15" t="n">
        <f aca="false">INDEX(Ipotesi!$C$74:$G$74,1,F294)/12*Ipotesi!G126</f>
        <v>3250</v>
      </c>
      <c r="BP294" s="15" t="n">
        <f aca="false">INDEX(Ipotesi!$C$76:$G$76,1,F294)/12</f>
        <v>1916.66666666667</v>
      </c>
      <c r="BQ294" s="15" t="n">
        <f aca="false">INDEX(Ipotesi!$C$77:$G$77,1,F294)/12*Ipotesi!G126</f>
        <v>1500</v>
      </c>
      <c r="BR294" s="15" t="n">
        <f aca="false">INDEX(Ipotesi!$C$78:$G$78,1,F294)/12</f>
        <v>2333.33333333333</v>
      </c>
      <c r="BS294" s="15" t="n">
        <f aca="false">SUM(M294:R294)*(Ipotesi!$C$85+Ipotesi!$C$86)/12</f>
        <v>3259.375</v>
      </c>
      <c r="BT294" s="15" t="n">
        <f aca="false">BI294*Ipotesi!$C$87</f>
        <v>1921.37754855929</v>
      </c>
      <c r="BU294" s="15" t="n">
        <f aca="false">INDEX(Ipotesi!$C$55:$G$55,1,F294)*K294/12</f>
        <v>1200</v>
      </c>
      <c r="BV294" s="15" t="n">
        <f aca="false">INDEX(Ipotesi!$C$80:$G$80,1,F294)/12*Ipotesi!G126</f>
        <v>1250</v>
      </c>
      <c r="BW294" s="15" t="n">
        <f aca="false">INDEX(Ipotesi!$C$82:$G$82,1,F294)/12</f>
        <v>1500</v>
      </c>
      <c r="BX294" s="15" t="n">
        <f aca="false">INDEX(Ipotesi!$C$83:$G$83,1,F294)/12</f>
        <v>833.333333333333</v>
      </c>
      <c r="BY294" s="15" t="n">
        <f aca="false">SUM(S294:U294)*(Ipotesi!$C$85+Ipotesi!$C$86)/12</f>
        <v>1618.75</v>
      </c>
      <c r="BZ294" s="15" t="n">
        <f aca="false">AM294*Ipotesi!$C$87</f>
        <v>1721.98125</v>
      </c>
      <c r="CA294" s="15" t="n">
        <f aca="false">AB294+BJ294+BL294+BN294+BO294+AR294+BP294+BQ294+BR294+BS294+BT294</f>
        <v>81191.4791605684</v>
      </c>
      <c r="CB294" s="15" t="n">
        <f aca="false">AC294+BK294+BM294+BH294+BU294+BV294+AS294+BW294+BX294+BY294+BZ294</f>
        <v>43175.173557</v>
      </c>
      <c r="CC294" s="15" t="n">
        <f aca="false">BI294-CA294</f>
        <v>-17145.5608752588</v>
      </c>
      <c r="CD294" s="15" t="n">
        <f aca="false">AM294-CB294</f>
        <v>14224.201443</v>
      </c>
      <c r="CE294" s="15" t="n">
        <f aca="false">INDEX(Ipotesi!$C$79:$G$79,1,F294)/12</f>
        <v>4166.66666666667</v>
      </c>
      <c r="CF294" s="15" t="n">
        <f aca="false">INDEX(Ipotesi!$C$84:$G$84,1,F294)/12</f>
        <v>666.666666666667</v>
      </c>
      <c r="CG294" s="15" t="n">
        <f aca="false">Y294*MAX(0,Parametri_v3!$C$12-IF(P294=0,0,MIN(1,BE294/(P294*Parametri_v3!$C$22))))+W294*Parametri_v3!$C$13+X294*Parametri_v3!$C$14</f>
        <v>16120.0917838614</v>
      </c>
      <c r="CH294" s="15" t="n">
        <f aca="false">AB294*Parametri_v3!$C$32</f>
        <v>2645.22343628125</v>
      </c>
      <c r="CI294" s="15" t="n">
        <f aca="false">AC294*Parametri_v3!$C$32</f>
        <v>1108.62617785</v>
      </c>
      <c r="CJ294" s="15" t="n">
        <f aca="false">CA294-AB294</f>
        <v>28287.0104349434</v>
      </c>
      <c r="CK294" s="15" t="n">
        <f aca="false">CB294-AC294-BH294</f>
        <v>15262.7125</v>
      </c>
      <c r="CL294" s="15" t="n">
        <f aca="false">BF294*Ipotesi!$C$73+INDEX(Ipotesi!$C$72:$G$72,1,F294)/12*Ipotesi!G126*Parametri_v3!$C$58+Z294*(1-Parametri_v3!$C$16)</f>
        <v>4136.23380307477</v>
      </c>
      <c r="CM294" s="16" t="n">
        <f aca="false">IF(BF294=0,0,1-CL294/BF294)</f>
        <v>0.701106366569831</v>
      </c>
    </row>
    <row r="295" customFormat="false" ht="18" hidden="false" customHeight="true" outlineLevel="0" collapsed="false">
      <c r="A295" s="68" t="n">
        <f aca="false">5</f>
        <v>5</v>
      </c>
      <c r="B295" s="68" t="n">
        <f aca="false">51</f>
        <v>51</v>
      </c>
      <c r="C295" s="18" t="n">
        <f aca="false">EDATE(Parametri_v3!$C$5,51-1)</f>
        <v>47908</v>
      </c>
      <c r="D295" s="68" t="n">
        <f aca="false">YEAR(C295)</f>
        <v>2031</v>
      </c>
      <c r="E295" s="68" t="n">
        <f aca="false">MONTH(C295)</f>
        <v>3</v>
      </c>
      <c r="F295" s="68" t="n">
        <f aca="false">INT((51-1)/12)+1</f>
        <v>5</v>
      </c>
      <c r="G295" s="15" t="n">
        <f aca="false">Ipotesi!G7</f>
        <v>0.55</v>
      </c>
      <c r="H295" s="15" t="n">
        <f aca="false">Ipotesi!G9</f>
        <v>0.9</v>
      </c>
      <c r="I295" s="15" t="n">
        <f aca="false">Ipotesi!G10</f>
        <v>0.3</v>
      </c>
      <c r="J295" s="15" t="n">
        <f aca="false">Ipotesi!G11</f>
        <v>0.2</v>
      </c>
      <c r="K295" s="15" t="n">
        <f aca="false">Ipotesi!G12</f>
        <v>0.6</v>
      </c>
      <c r="L295" s="15" t="n">
        <f aca="false">Ipotesi!G13</f>
        <v>120</v>
      </c>
      <c r="M295" s="17" t="n">
        <f aca="false">INDEX(Ipotesi!$C$40:$G$40,1,F295)</f>
        <v>1</v>
      </c>
      <c r="N295" s="17" t="n">
        <f aca="false">INDEX(Ipotesi!$C$41:$G$41,1,F295)</f>
        <v>1</v>
      </c>
      <c r="O295" s="17" t="n">
        <f aca="false">INDEX(Ipotesi!$C$42:$G$42,1,F295)*Ipotesi!G125</f>
        <v>4.675</v>
      </c>
      <c r="P295" s="17" t="n">
        <f aca="false">INDEX(Ipotesi!$C$43:$G$43,1,F295)*I295</f>
        <v>2.1</v>
      </c>
      <c r="Q295" s="17" t="n">
        <f aca="false">INDEX(Ipotesi!$C$44:$G$44,1,F295)*I295</f>
        <v>1.8</v>
      </c>
      <c r="R295" s="17" t="n">
        <f aca="false">INDEX(Ipotesi!$C$45:$G$45,1,F295)*I295</f>
        <v>0.6</v>
      </c>
      <c r="S295" s="17" t="n">
        <f aca="false">INDEX(Ipotesi!$C$52:$G$52,1,F295)*Ipotesi!G125</f>
        <v>4.95</v>
      </c>
      <c r="T295" s="17" t="n">
        <f aca="false">INDEX(Ipotesi!$C$53:$G$53,1,F295)*I295</f>
        <v>0.3</v>
      </c>
      <c r="U295" s="17" t="n">
        <f aca="false">INDEX(Ipotesi!$C$54:$G$54,1,F295)*I295</f>
        <v>0.3</v>
      </c>
      <c r="V295" s="15" t="n">
        <f aca="false">M295*INDEX(Ipotesi!$C$58:$G$58,1,F295)*K295/12</f>
        <v>5000</v>
      </c>
      <c r="W295" s="15" t="n">
        <f aca="false">N295*Ipotesi!$C$59*(1+Ipotesi!$C$66)^(F295-1)/12</f>
        <v>6565.46805833334</v>
      </c>
      <c r="X295" s="15" t="n">
        <f aca="false">O295*Ipotesi!$C$60*(1+Ipotesi!$C$66)^(F295-1)/12</f>
        <v>21923.9736947917</v>
      </c>
      <c r="Y295" s="15" t="n">
        <f aca="false">P295*Ipotesi!$C$61*(1+Ipotesi!$C$66)^(F295-1)/12</f>
        <v>9848.2020875</v>
      </c>
      <c r="Z295" s="15" t="n">
        <f aca="false">Q295*Ipotesi!$C$62*(1+Ipotesi!$C$66)^(F295-1)/12</f>
        <v>7597.1844675</v>
      </c>
      <c r="AA295" s="15" t="n">
        <f aca="false">R295*Ipotesi!$C$63*(1+Ipotesi!$C$66)^(F295-1)/12</f>
        <v>1969.6404175</v>
      </c>
      <c r="AB295" s="15" t="n">
        <f aca="false">SUM(V295:AA295)</f>
        <v>52904.468725625</v>
      </c>
      <c r="AC295" s="15" t="n">
        <f aca="false">(S295*Ipotesi!$C$64+T295*Ipotesi!$C$65+U295*Ipotesi!$C$63)*(1+Ipotesi!$C$66)^(F295-1)/12</f>
        <v>22172.523557</v>
      </c>
      <c r="AD295" s="15" t="n">
        <f aca="false">INDEX(Ipotesi!$C$48:$G$48,1,F295)*G295/12</f>
        <v>52.7083333333333</v>
      </c>
      <c r="AE295" s="15" t="n">
        <f aca="false">INDEX(Ipotesi!$C$50:$G$50,1,F295)*G295/12</f>
        <v>5.27083333333333</v>
      </c>
      <c r="AF295" s="15" t="n">
        <f aca="false">(S295*Parametri_v3!$C$7*Parametri_v3!$C$8+Parametri_v3!$C$10)/12</f>
        <v>63.525</v>
      </c>
      <c r="AG295" s="15" t="n">
        <f aca="false">AD295+AE295*(1+Parametri_v3!$C$9)</f>
        <v>60.6145833333333</v>
      </c>
      <c r="AH295" s="16" t="n">
        <f aca="false">IF(AG295=0,1,MIN(1,AF295/AG295))</f>
        <v>1</v>
      </c>
      <c r="AI295" s="15" t="n">
        <f aca="false">AD295*AH295</f>
        <v>52.7083333333333</v>
      </c>
      <c r="AJ295" s="15" t="n">
        <f aca="false">AE295*AH295</f>
        <v>5.27083333333333</v>
      </c>
      <c r="AK295" s="15" t="n">
        <f aca="false">AI295*INDEX(Ipotesi!$C$49:$G$49,1,F295)*H295</f>
        <v>45065.625</v>
      </c>
      <c r="AL295" s="15" t="n">
        <f aca="false">AJ295*INDEX(Ipotesi!$C$51:$G$51,1,F295)*H295</f>
        <v>12333.75</v>
      </c>
      <c r="AM295" s="15" t="n">
        <f aca="false">AK295+AL295</f>
        <v>57399.375</v>
      </c>
      <c r="AN295" s="15" t="n">
        <f aca="false">INDEX(Ipotesi!$C$30:$G$30,1,F295)*G295/12</f>
        <v>44.9166666666667</v>
      </c>
      <c r="AO295" s="15" t="n">
        <f aca="false">O295*Parametri_v3!$C$7*Parametri_v3!$C$11*(1-Parametri_v3!$C$14)/12</f>
        <v>47.9966666666667</v>
      </c>
      <c r="AP295" s="15" t="n">
        <f aca="false">MIN(AN295,AO295)</f>
        <v>44.9166666666667</v>
      </c>
      <c r="AQ295" s="15" t="n">
        <f aca="false">AP295*INDEX(Ipotesi!$C$31:$G$31,1,F295)*H295</f>
        <v>44467.5</v>
      </c>
      <c r="AR295" s="15" t="n">
        <f aca="false">INDEX(Ipotesi!$C$75:$G$75,1,F295)*J295/12</f>
        <v>7166.66666666667</v>
      </c>
      <c r="AS295" s="15" t="n">
        <f aca="false">INDEX(Ipotesi!$C$81:$G$81,1,F295)*J295/12</f>
        <v>416.666666666667</v>
      </c>
      <c r="AT295" s="15" t="n">
        <f aca="false">AR295*Parametri_v3!$C$15+Z295*Parametri_v3!$C$16</f>
        <v>12484.6957939167</v>
      </c>
      <c r="AU295" s="15" t="n">
        <f aca="false">Q295*Parametri_v3!$C$16*Parametri_v3!$C$17</f>
        <v>126</v>
      </c>
      <c r="AV295" s="17" t="n">
        <f aca="false">BD294</f>
        <v>30.2170619839406</v>
      </c>
      <c r="AW295" s="17" t="n">
        <f aca="false">AV295*(1-(1-INDEX(Ipotesi!$C$34:$G$34,1,F295))^(1/12))</f>
        <v>0.264145800057565</v>
      </c>
      <c r="AX295" s="15" t="n">
        <f aca="false">ROUND(INDEX(Ipotesi!$C$32:$G$32,1,F295)*Ipotesi!G8,0)</f>
        <v>196</v>
      </c>
      <c r="AY295" s="15" t="n">
        <f aca="false">MAX(0,(AX295-(AV295-AW295))/(13-E295))</f>
        <v>16.6047083816117</v>
      </c>
      <c r="AZ295" s="15" t="n">
        <f aca="false">MIN(P295*Parametri_v3!$C$22,Q295*(1-Parametri_v3!$C$16)*Parametri_v3!$C$23)</f>
        <v>81</v>
      </c>
      <c r="BA295" s="15" t="n">
        <f aca="false">IF(OR(INDEX(Ipotesi!$C$35:$G$35,1,F295)&lt;=0,51-Parametri_v3!$C$21&lt;1),0,INDEX($AT$245:$AT$304,MAX(1,51-Parametri_v3!$C$21))/(INDEX(Ipotesi!$C$35:$G$35,1,F295)*Ipotesi!G27))</f>
        <v>1.16993442554241</v>
      </c>
      <c r="BB295" s="15" t="n">
        <f aca="false">IF(51-Parametri_v3!$C$21&lt;1,0,INDEX($AU$245:$AU$304,MAX(1,51-Parametri_v3!$C$21)))*Parametri_v3!$C$18*Parametri_v3!$C$19*Parametri_v3!$C$20</f>
        <v>3.9375</v>
      </c>
      <c r="BC295" s="17" t="n">
        <f aca="false">MAX(0,MIN(AY295,BA295,BB295,MAX(0,AZ295-(AV295-AW295))))</f>
        <v>1.16993442554241</v>
      </c>
      <c r="BD295" s="17" t="n">
        <f aca="false">AV295-AW295+BC295</f>
        <v>31.1228506094254</v>
      </c>
      <c r="BE295" s="17" t="n">
        <f aca="false">(AV295+BD295)/2</f>
        <v>30.669956296683</v>
      </c>
      <c r="BF295" s="15" t="n">
        <f aca="false">BE295*INDEX(Ipotesi!$C$33:$G$33,1,F295)*H295/12</f>
        <v>14261.5296779576</v>
      </c>
      <c r="BG295" s="15" t="n">
        <f aca="false">BD295*INDEX(Ipotesi!$C$33:$G$33,1,F295)*H295</f>
        <v>173665.506400594</v>
      </c>
      <c r="BH295" s="15" t="n">
        <f aca="false">AM295*INDEX(Ipotesi!$C$37:$G$37,1,F295)</f>
        <v>5739.9375</v>
      </c>
      <c r="BI295" s="15" t="n">
        <f aca="false">AQ295+BF295+BH295</f>
        <v>64468.9671779576</v>
      </c>
      <c r="BJ295" s="15" t="n">
        <f aca="false">INDEX(Ipotesi!$C$68:$G$68,1,F295)*Ipotesi!$C$69/12</f>
        <v>3333.33333333333</v>
      </c>
      <c r="BK295" s="15" t="n">
        <f aca="false">INDEX(Ipotesi!$C$68:$G$68,1,F295)*(1-Ipotesi!$C$69)/12</f>
        <v>5000</v>
      </c>
      <c r="BL295" s="15" t="n">
        <f aca="false">(AQ295+BF295)*Ipotesi!$C$67</f>
        <v>1761.87089033873</v>
      </c>
      <c r="BM295" s="15" t="n">
        <f aca="false">AM295*Ipotesi!$C$67</f>
        <v>1721.98125</v>
      </c>
      <c r="BN295" s="15" t="n">
        <f aca="false">INDEX(Ipotesi!$C$72:$G$72,1,F295)/12*Ipotesi!G126+BF295*Ipotesi!$C$73</f>
        <v>1890.92237423661</v>
      </c>
      <c r="BO295" s="15" t="n">
        <f aca="false">INDEX(Ipotesi!$C$74:$G$74,1,F295)/12*Ipotesi!G126</f>
        <v>3250</v>
      </c>
      <c r="BP295" s="15" t="n">
        <f aca="false">INDEX(Ipotesi!$C$76:$G$76,1,F295)/12</f>
        <v>1916.66666666667</v>
      </c>
      <c r="BQ295" s="15" t="n">
        <f aca="false">INDEX(Ipotesi!$C$77:$G$77,1,F295)/12*Ipotesi!G126</f>
        <v>1500</v>
      </c>
      <c r="BR295" s="15" t="n">
        <f aca="false">INDEX(Ipotesi!$C$78:$G$78,1,F295)/12</f>
        <v>2333.33333333333</v>
      </c>
      <c r="BS295" s="15" t="n">
        <f aca="false">SUM(M295:R295)*(Ipotesi!$C$85+Ipotesi!$C$86)/12</f>
        <v>3259.375</v>
      </c>
      <c r="BT295" s="15" t="n">
        <f aca="false">BI295*Ipotesi!$C$87</f>
        <v>1934.06901533873</v>
      </c>
      <c r="BU295" s="15" t="n">
        <f aca="false">INDEX(Ipotesi!$C$55:$G$55,1,F295)*K295/12</f>
        <v>1200</v>
      </c>
      <c r="BV295" s="15" t="n">
        <f aca="false">INDEX(Ipotesi!$C$80:$G$80,1,F295)/12*Ipotesi!G126</f>
        <v>1250</v>
      </c>
      <c r="BW295" s="15" t="n">
        <f aca="false">INDEX(Ipotesi!$C$82:$G$82,1,F295)/12</f>
        <v>1500</v>
      </c>
      <c r="BX295" s="15" t="n">
        <f aca="false">INDEX(Ipotesi!$C$83:$G$83,1,F295)/12</f>
        <v>833.333333333333</v>
      </c>
      <c r="BY295" s="15" t="n">
        <f aca="false">SUM(S295:U295)*(Ipotesi!$C$85+Ipotesi!$C$86)/12</f>
        <v>1618.75</v>
      </c>
      <c r="BZ295" s="15" t="n">
        <f aca="false">AM295*Ipotesi!$C$87</f>
        <v>1721.98125</v>
      </c>
      <c r="CA295" s="15" t="n">
        <f aca="false">AB295+BJ295+BL295+BN295+BO295+AR295+BP295+BQ295+BR295+BS295+BT295</f>
        <v>81250.7060055391</v>
      </c>
      <c r="CB295" s="15" t="n">
        <f aca="false">AC295+BK295+BM295+BH295+BU295+BV295+AS295+BW295+BX295+BY295+BZ295</f>
        <v>43175.173557</v>
      </c>
      <c r="CC295" s="15" t="n">
        <f aca="false">BI295-CA295</f>
        <v>-16781.7388275815</v>
      </c>
      <c r="CD295" s="15" t="n">
        <f aca="false">AM295-CB295</f>
        <v>14224.201443</v>
      </c>
      <c r="CE295" s="15" t="n">
        <f aca="false">INDEX(Ipotesi!$C$79:$G$79,1,F295)/12</f>
        <v>4166.66666666667</v>
      </c>
      <c r="CF295" s="15" t="n">
        <f aca="false">INDEX(Ipotesi!$C$84:$G$84,1,F295)/12</f>
        <v>666.666666666667</v>
      </c>
      <c r="CG295" s="15" t="n">
        <f aca="false">Y295*MAX(0,Parametri_v3!$C$12-IF(P295=0,0,MIN(1,BE295/(P295*Parametri_v3!$C$22))))+W295*Parametri_v3!$C$13+X295*Parametri_v3!$C$14</f>
        <v>16077.4264383654</v>
      </c>
      <c r="CH295" s="15" t="n">
        <f aca="false">AB295*Parametri_v3!$C$32</f>
        <v>2645.22343628125</v>
      </c>
      <c r="CI295" s="15" t="n">
        <f aca="false">AC295*Parametri_v3!$C$32</f>
        <v>1108.62617785</v>
      </c>
      <c r="CJ295" s="15" t="n">
        <f aca="false">CA295-AB295</f>
        <v>28346.2372799141</v>
      </c>
      <c r="CK295" s="15" t="n">
        <f aca="false">CB295-AC295-BH295</f>
        <v>15262.7125</v>
      </c>
      <c r="CL295" s="15" t="n">
        <f aca="false">BF295*Ipotesi!$C$73+INDEX(Ipotesi!$C$72:$G$72,1,F295)/12*Ipotesi!G126*Parametri_v3!$C$58+Z295*(1-Parametri_v3!$C$16)</f>
        <v>4170.07771448661</v>
      </c>
      <c r="CM295" s="16" t="n">
        <f aca="false">IF(BF295=0,0,1-CL295/BF295)</f>
        <v>0.707599548670307</v>
      </c>
    </row>
    <row r="296" customFormat="false" ht="18" hidden="false" customHeight="true" outlineLevel="0" collapsed="false">
      <c r="A296" s="68" t="n">
        <f aca="false">5</f>
        <v>5</v>
      </c>
      <c r="B296" s="68" t="n">
        <f aca="false">52</f>
        <v>52</v>
      </c>
      <c r="C296" s="18" t="n">
        <f aca="false">EDATE(Parametri_v3!$C$5,52-1)</f>
        <v>47939</v>
      </c>
      <c r="D296" s="68" t="n">
        <f aca="false">YEAR(C296)</f>
        <v>2031</v>
      </c>
      <c r="E296" s="68" t="n">
        <f aca="false">MONTH(C296)</f>
        <v>4</v>
      </c>
      <c r="F296" s="68" t="n">
        <f aca="false">INT((52-1)/12)+1</f>
        <v>5</v>
      </c>
      <c r="G296" s="15" t="n">
        <f aca="false">Ipotesi!G7</f>
        <v>0.55</v>
      </c>
      <c r="H296" s="15" t="n">
        <f aca="false">Ipotesi!G9</f>
        <v>0.9</v>
      </c>
      <c r="I296" s="15" t="n">
        <f aca="false">Ipotesi!G10</f>
        <v>0.3</v>
      </c>
      <c r="J296" s="15" t="n">
        <f aca="false">Ipotesi!G11</f>
        <v>0.2</v>
      </c>
      <c r="K296" s="15" t="n">
        <f aca="false">Ipotesi!G12</f>
        <v>0.6</v>
      </c>
      <c r="L296" s="15" t="n">
        <f aca="false">Ipotesi!G13</f>
        <v>120</v>
      </c>
      <c r="M296" s="17" t="n">
        <f aca="false">INDEX(Ipotesi!$C$40:$G$40,1,F296)</f>
        <v>1</v>
      </c>
      <c r="N296" s="17" t="n">
        <f aca="false">INDEX(Ipotesi!$C$41:$G$41,1,F296)</f>
        <v>1</v>
      </c>
      <c r="O296" s="17" t="n">
        <f aca="false">INDEX(Ipotesi!$C$42:$G$42,1,F296)*Ipotesi!G125</f>
        <v>4.675</v>
      </c>
      <c r="P296" s="17" t="n">
        <f aca="false">INDEX(Ipotesi!$C$43:$G$43,1,F296)*I296</f>
        <v>2.1</v>
      </c>
      <c r="Q296" s="17" t="n">
        <f aca="false">INDEX(Ipotesi!$C$44:$G$44,1,F296)*I296</f>
        <v>1.8</v>
      </c>
      <c r="R296" s="17" t="n">
        <f aca="false">INDEX(Ipotesi!$C$45:$G$45,1,F296)*I296</f>
        <v>0.6</v>
      </c>
      <c r="S296" s="17" t="n">
        <f aca="false">INDEX(Ipotesi!$C$52:$G$52,1,F296)*Ipotesi!G125</f>
        <v>4.95</v>
      </c>
      <c r="T296" s="17" t="n">
        <f aca="false">INDEX(Ipotesi!$C$53:$G$53,1,F296)*I296</f>
        <v>0.3</v>
      </c>
      <c r="U296" s="17" t="n">
        <f aca="false">INDEX(Ipotesi!$C$54:$G$54,1,F296)*I296</f>
        <v>0.3</v>
      </c>
      <c r="V296" s="15" t="n">
        <f aca="false">M296*INDEX(Ipotesi!$C$58:$G$58,1,F296)*K296/12</f>
        <v>5000</v>
      </c>
      <c r="W296" s="15" t="n">
        <f aca="false">N296*Ipotesi!$C$59*(1+Ipotesi!$C$66)^(F296-1)/12</f>
        <v>6565.46805833334</v>
      </c>
      <c r="X296" s="15" t="n">
        <f aca="false">O296*Ipotesi!$C$60*(1+Ipotesi!$C$66)^(F296-1)/12</f>
        <v>21923.9736947917</v>
      </c>
      <c r="Y296" s="15" t="n">
        <f aca="false">P296*Ipotesi!$C$61*(1+Ipotesi!$C$66)^(F296-1)/12</f>
        <v>9848.2020875</v>
      </c>
      <c r="Z296" s="15" t="n">
        <f aca="false">Q296*Ipotesi!$C$62*(1+Ipotesi!$C$66)^(F296-1)/12</f>
        <v>7597.1844675</v>
      </c>
      <c r="AA296" s="15" t="n">
        <f aca="false">R296*Ipotesi!$C$63*(1+Ipotesi!$C$66)^(F296-1)/12</f>
        <v>1969.6404175</v>
      </c>
      <c r="AB296" s="15" t="n">
        <f aca="false">SUM(V296:AA296)</f>
        <v>52904.468725625</v>
      </c>
      <c r="AC296" s="15" t="n">
        <f aca="false">(S296*Ipotesi!$C$64+T296*Ipotesi!$C$65+U296*Ipotesi!$C$63)*(1+Ipotesi!$C$66)^(F296-1)/12</f>
        <v>22172.523557</v>
      </c>
      <c r="AD296" s="15" t="n">
        <f aca="false">INDEX(Ipotesi!$C$48:$G$48,1,F296)*G296/12</f>
        <v>52.7083333333333</v>
      </c>
      <c r="AE296" s="15" t="n">
        <f aca="false">INDEX(Ipotesi!$C$50:$G$50,1,F296)*G296/12</f>
        <v>5.27083333333333</v>
      </c>
      <c r="AF296" s="15" t="n">
        <f aca="false">(S296*Parametri_v3!$C$7*Parametri_v3!$C$8+Parametri_v3!$C$10)/12</f>
        <v>63.525</v>
      </c>
      <c r="AG296" s="15" t="n">
        <f aca="false">AD296+AE296*(1+Parametri_v3!$C$9)</f>
        <v>60.6145833333333</v>
      </c>
      <c r="AH296" s="16" t="n">
        <f aca="false">IF(AG296=0,1,MIN(1,AF296/AG296))</f>
        <v>1</v>
      </c>
      <c r="AI296" s="15" t="n">
        <f aca="false">AD296*AH296</f>
        <v>52.7083333333333</v>
      </c>
      <c r="AJ296" s="15" t="n">
        <f aca="false">AE296*AH296</f>
        <v>5.27083333333333</v>
      </c>
      <c r="AK296" s="15" t="n">
        <f aca="false">AI296*INDEX(Ipotesi!$C$49:$G$49,1,F296)*H296</f>
        <v>45065.625</v>
      </c>
      <c r="AL296" s="15" t="n">
        <f aca="false">AJ296*INDEX(Ipotesi!$C$51:$G$51,1,F296)*H296</f>
        <v>12333.75</v>
      </c>
      <c r="AM296" s="15" t="n">
        <f aca="false">AK296+AL296</f>
        <v>57399.375</v>
      </c>
      <c r="AN296" s="15" t="n">
        <f aca="false">INDEX(Ipotesi!$C$30:$G$30,1,F296)*G296/12</f>
        <v>44.9166666666667</v>
      </c>
      <c r="AO296" s="15" t="n">
        <f aca="false">O296*Parametri_v3!$C$7*Parametri_v3!$C$11*(1-Parametri_v3!$C$14)/12</f>
        <v>47.9966666666667</v>
      </c>
      <c r="AP296" s="15" t="n">
        <f aca="false">MIN(AN296,AO296)</f>
        <v>44.9166666666667</v>
      </c>
      <c r="AQ296" s="15" t="n">
        <f aca="false">AP296*INDEX(Ipotesi!$C$31:$G$31,1,F296)*H296</f>
        <v>44467.5</v>
      </c>
      <c r="AR296" s="15" t="n">
        <f aca="false">INDEX(Ipotesi!$C$75:$G$75,1,F296)*J296/12</f>
        <v>7166.66666666667</v>
      </c>
      <c r="AS296" s="15" t="n">
        <f aca="false">INDEX(Ipotesi!$C$81:$G$81,1,F296)*J296/12</f>
        <v>416.666666666667</v>
      </c>
      <c r="AT296" s="15" t="n">
        <f aca="false">AR296*Parametri_v3!$C$15+Z296*Parametri_v3!$C$16</f>
        <v>12484.6957939167</v>
      </c>
      <c r="AU296" s="15" t="n">
        <f aca="false">Q296*Parametri_v3!$C$16*Parametri_v3!$C$17</f>
        <v>126</v>
      </c>
      <c r="AV296" s="17" t="n">
        <f aca="false">BD295</f>
        <v>31.1228506094254</v>
      </c>
      <c r="AW296" s="17" t="n">
        <f aca="false">AV296*(1-(1-INDEX(Ipotesi!$C$34:$G$34,1,F296))^(1/12))</f>
        <v>0.272063851828743</v>
      </c>
      <c r="AX296" s="15" t="n">
        <f aca="false">ROUND(INDEX(Ipotesi!$C$32:$G$32,1,F296)*Ipotesi!G8,0)</f>
        <v>196</v>
      </c>
      <c r="AY296" s="15" t="n">
        <f aca="false">MAX(0,(AX296-(AV296-AW296))/(13-E296))</f>
        <v>18.3499125824893</v>
      </c>
      <c r="AZ296" s="15" t="n">
        <f aca="false">MIN(P296*Parametri_v3!$C$22,Q296*(1-Parametri_v3!$C$16)*Parametri_v3!$C$23)</f>
        <v>81</v>
      </c>
      <c r="BA296" s="15" t="n">
        <f aca="false">IF(OR(INDEX(Ipotesi!$C$35:$G$35,1,F296)&lt;=0,52-Parametri_v3!$C$21&lt;1),0,INDEX($AT$245:$AT$304,MAX(1,52-Parametri_v3!$C$21))/(INDEX(Ipotesi!$C$35:$G$35,1,F296)*Ipotesi!G27))</f>
        <v>1.47747879217949</v>
      </c>
      <c r="BB296" s="15" t="n">
        <f aca="false">IF(52-Parametri_v3!$C$21&lt;1,0,INDEX($AU$245:$AU$304,MAX(1,52-Parametri_v3!$C$21)))*Parametri_v3!$C$18*Parametri_v3!$C$19*Parametri_v3!$C$20</f>
        <v>4.725</v>
      </c>
      <c r="BC296" s="17" t="n">
        <f aca="false">MAX(0,MIN(AY296,BA296,BB296,MAX(0,AZ296-(AV296-AW296))))</f>
        <v>1.47747879217949</v>
      </c>
      <c r="BD296" s="17" t="n">
        <f aca="false">AV296-AW296+BC296</f>
        <v>32.3282655497762</v>
      </c>
      <c r="BE296" s="17" t="n">
        <f aca="false">(AV296+BD296)/2</f>
        <v>31.7255580796008</v>
      </c>
      <c r="BF296" s="15" t="n">
        <f aca="false">BE296*INDEX(Ipotesi!$C$33:$G$33,1,F296)*H296/12</f>
        <v>14752.3845070144</v>
      </c>
      <c r="BG296" s="15" t="n">
        <f aca="false">BD296*INDEX(Ipotesi!$C$33:$G$33,1,F296)*H296</f>
        <v>180391.721767751</v>
      </c>
      <c r="BH296" s="15" t="n">
        <f aca="false">AM296*INDEX(Ipotesi!$C$37:$G$37,1,F296)</f>
        <v>5739.9375</v>
      </c>
      <c r="BI296" s="15" t="n">
        <f aca="false">AQ296+BF296+BH296</f>
        <v>64959.8220070144</v>
      </c>
      <c r="BJ296" s="15" t="n">
        <f aca="false">INDEX(Ipotesi!$C$68:$G$68,1,F296)*Ipotesi!$C$69/12</f>
        <v>3333.33333333333</v>
      </c>
      <c r="BK296" s="15" t="n">
        <f aca="false">INDEX(Ipotesi!$C$68:$G$68,1,F296)*(1-Ipotesi!$C$69)/12</f>
        <v>5000</v>
      </c>
      <c r="BL296" s="15" t="n">
        <f aca="false">(AQ296+BF296)*Ipotesi!$C$67</f>
        <v>1776.59653521043</v>
      </c>
      <c r="BM296" s="15" t="n">
        <f aca="false">AM296*Ipotesi!$C$67</f>
        <v>1721.98125</v>
      </c>
      <c r="BN296" s="15" t="n">
        <f aca="false">INDEX(Ipotesi!$C$72:$G$72,1,F296)/12*Ipotesi!G126+BF296*Ipotesi!$C$73</f>
        <v>1930.19076056115</v>
      </c>
      <c r="BO296" s="15" t="n">
        <f aca="false">INDEX(Ipotesi!$C$74:$G$74,1,F296)/12*Ipotesi!G126</f>
        <v>3250</v>
      </c>
      <c r="BP296" s="15" t="n">
        <f aca="false">INDEX(Ipotesi!$C$76:$G$76,1,F296)/12</f>
        <v>1916.66666666667</v>
      </c>
      <c r="BQ296" s="15" t="n">
        <f aca="false">INDEX(Ipotesi!$C$77:$G$77,1,F296)/12*Ipotesi!G126</f>
        <v>1500</v>
      </c>
      <c r="BR296" s="15" t="n">
        <f aca="false">INDEX(Ipotesi!$C$78:$G$78,1,F296)/12</f>
        <v>2333.33333333333</v>
      </c>
      <c r="BS296" s="15" t="n">
        <f aca="false">SUM(M296:R296)*(Ipotesi!$C$85+Ipotesi!$C$86)/12</f>
        <v>3259.375</v>
      </c>
      <c r="BT296" s="15" t="n">
        <f aca="false">BI296*Ipotesi!$C$87</f>
        <v>1948.79466021043</v>
      </c>
      <c r="BU296" s="15" t="n">
        <f aca="false">INDEX(Ipotesi!$C$55:$G$55,1,F296)*K296/12</f>
        <v>1200</v>
      </c>
      <c r="BV296" s="15" t="n">
        <f aca="false">INDEX(Ipotesi!$C$80:$G$80,1,F296)/12*Ipotesi!G126</f>
        <v>1250</v>
      </c>
      <c r="BW296" s="15" t="n">
        <f aca="false">INDEX(Ipotesi!$C$82:$G$82,1,F296)/12</f>
        <v>1500</v>
      </c>
      <c r="BX296" s="15" t="n">
        <f aca="false">INDEX(Ipotesi!$C$83:$G$83,1,F296)/12</f>
        <v>833.333333333333</v>
      </c>
      <c r="BY296" s="15" t="n">
        <f aca="false">SUM(S296:U296)*(Ipotesi!$C$85+Ipotesi!$C$86)/12</f>
        <v>1618.75</v>
      </c>
      <c r="BZ296" s="15" t="n">
        <f aca="false">AM296*Ipotesi!$C$87</f>
        <v>1721.98125</v>
      </c>
      <c r="CA296" s="15" t="n">
        <f aca="false">AB296+BJ296+BL296+BN296+BO296+AR296+BP296+BQ296+BR296+BS296+BT296</f>
        <v>81319.425681607</v>
      </c>
      <c r="CB296" s="15" t="n">
        <f aca="false">AC296+BK296+BM296+BH296+BU296+BV296+AS296+BW296+BX296+BY296+BZ296</f>
        <v>43175.173557</v>
      </c>
      <c r="CC296" s="15" t="n">
        <f aca="false">BI296-CA296</f>
        <v>-16359.6036745927</v>
      </c>
      <c r="CD296" s="15" t="n">
        <f aca="false">AM296-CB296</f>
        <v>14224.201443</v>
      </c>
      <c r="CE296" s="15" t="n">
        <f aca="false">INDEX(Ipotesi!$C$79:$G$79,1,F296)/12</f>
        <v>4166.66666666667</v>
      </c>
      <c r="CF296" s="15" t="n">
        <f aca="false">INDEX(Ipotesi!$C$84:$G$84,1,F296)/12</f>
        <v>666.666666666667</v>
      </c>
      <c r="CG296" s="15" t="n">
        <f aca="false">Y296*MAX(0,Parametri_v3!$C$12-IF(P296=0,0,MIN(1,BE296/(P296*Parametri_v3!$C$22))))+W296*Parametri_v3!$C$13+X296*Parametri_v3!$C$14</f>
        <v>16027.9227255934</v>
      </c>
      <c r="CH296" s="15" t="n">
        <f aca="false">AB296*Parametri_v3!$C$32</f>
        <v>2645.22343628125</v>
      </c>
      <c r="CI296" s="15" t="n">
        <f aca="false">AC296*Parametri_v3!$C$32</f>
        <v>1108.62617785</v>
      </c>
      <c r="CJ296" s="15" t="n">
        <f aca="false">CA296-AB296</f>
        <v>28414.956955982</v>
      </c>
      <c r="CK296" s="15" t="n">
        <f aca="false">CB296-AC296-BH296</f>
        <v>15262.7125</v>
      </c>
      <c r="CL296" s="15" t="n">
        <f aca="false">BF296*Ipotesi!$C$73+INDEX(Ipotesi!$C$72:$G$72,1,F296)/12*Ipotesi!G126*Parametri_v3!$C$58+Z296*(1-Parametri_v3!$C$16)</f>
        <v>4209.34610081115</v>
      </c>
      <c r="CM296" s="16" t="n">
        <f aca="false">IF(BF296=0,0,1-CL296/BF296)</f>
        <v>0.714666730737006</v>
      </c>
    </row>
    <row r="297" customFormat="false" ht="18" hidden="false" customHeight="true" outlineLevel="0" collapsed="false">
      <c r="A297" s="68" t="n">
        <f aca="false">5</f>
        <v>5</v>
      </c>
      <c r="B297" s="68" t="n">
        <f aca="false">53</f>
        <v>53</v>
      </c>
      <c r="C297" s="18" t="n">
        <f aca="false">EDATE(Parametri_v3!$C$5,53-1)</f>
        <v>47969</v>
      </c>
      <c r="D297" s="68" t="n">
        <f aca="false">YEAR(C297)</f>
        <v>2031</v>
      </c>
      <c r="E297" s="68" t="n">
        <f aca="false">MONTH(C297)</f>
        <v>5</v>
      </c>
      <c r="F297" s="68" t="n">
        <f aca="false">INT((53-1)/12)+1</f>
        <v>5</v>
      </c>
      <c r="G297" s="15" t="n">
        <f aca="false">Ipotesi!G7</f>
        <v>0.55</v>
      </c>
      <c r="H297" s="15" t="n">
        <f aca="false">Ipotesi!G9</f>
        <v>0.9</v>
      </c>
      <c r="I297" s="15" t="n">
        <f aca="false">Ipotesi!G10</f>
        <v>0.3</v>
      </c>
      <c r="J297" s="15" t="n">
        <f aca="false">Ipotesi!G11</f>
        <v>0.2</v>
      </c>
      <c r="K297" s="15" t="n">
        <f aca="false">Ipotesi!G12</f>
        <v>0.6</v>
      </c>
      <c r="L297" s="15" t="n">
        <f aca="false">Ipotesi!G13</f>
        <v>120</v>
      </c>
      <c r="M297" s="17" t="n">
        <f aca="false">INDEX(Ipotesi!$C$40:$G$40,1,F297)</f>
        <v>1</v>
      </c>
      <c r="N297" s="17" t="n">
        <f aca="false">INDEX(Ipotesi!$C$41:$G$41,1,F297)</f>
        <v>1</v>
      </c>
      <c r="O297" s="17" t="n">
        <f aca="false">INDEX(Ipotesi!$C$42:$G$42,1,F297)*Ipotesi!G125</f>
        <v>4.675</v>
      </c>
      <c r="P297" s="17" t="n">
        <f aca="false">INDEX(Ipotesi!$C$43:$G$43,1,F297)*I297</f>
        <v>2.1</v>
      </c>
      <c r="Q297" s="17" t="n">
        <f aca="false">INDEX(Ipotesi!$C$44:$G$44,1,F297)*I297</f>
        <v>1.8</v>
      </c>
      <c r="R297" s="17" t="n">
        <f aca="false">INDEX(Ipotesi!$C$45:$G$45,1,F297)*I297</f>
        <v>0.6</v>
      </c>
      <c r="S297" s="17" t="n">
        <f aca="false">INDEX(Ipotesi!$C$52:$G$52,1,F297)*Ipotesi!G125</f>
        <v>4.95</v>
      </c>
      <c r="T297" s="17" t="n">
        <f aca="false">INDEX(Ipotesi!$C$53:$G$53,1,F297)*I297</f>
        <v>0.3</v>
      </c>
      <c r="U297" s="17" t="n">
        <f aca="false">INDEX(Ipotesi!$C$54:$G$54,1,F297)*I297</f>
        <v>0.3</v>
      </c>
      <c r="V297" s="15" t="n">
        <f aca="false">M297*INDEX(Ipotesi!$C$58:$G$58,1,F297)*K297/12</f>
        <v>5000</v>
      </c>
      <c r="W297" s="15" t="n">
        <f aca="false">N297*Ipotesi!$C$59*(1+Ipotesi!$C$66)^(F297-1)/12</f>
        <v>6565.46805833334</v>
      </c>
      <c r="X297" s="15" t="n">
        <f aca="false">O297*Ipotesi!$C$60*(1+Ipotesi!$C$66)^(F297-1)/12</f>
        <v>21923.9736947917</v>
      </c>
      <c r="Y297" s="15" t="n">
        <f aca="false">P297*Ipotesi!$C$61*(1+Ipotesi!$C$66)^(F297-1)/12</f>
        <v>9848.2020875</v>
      </c>
      <c r="Z297" s="15" t="n">
        <f aca="false">Q297*Ipotesi!$C$62*(1+Ipotesi!$C$66)^(F297-1)/12</f>
        <v>7597.1844675</v>
      </c>
      <c r="AA297" s="15" t="n">
        <f aca="false">R297*Ipotesi!$C$63*(1+Ipotesi!$C$66)^(F297-1)/12</f>
        <v>1969.6404175</v>
      </c>
      <c r="AB297" s="15" t="n">
        <f aca="false">SUM(V297:AA297)</f>
        <v>52904.468725625</v>
      </c>
      <c r="AC297" s="15" t="n">
        <f aca="false">(S297*Ipotesi!$C$64+T297*Ipotesi!$C$65+U297*Ipotesi!$C$63)*(1+Ipotesi!$C$66)^(F297-1)/12</f>
        <v>22172.523557</v>
      </c>
      <c r="AD297" s="15" t="n">
        <f aca="false">INDEX(Ipotesi!$C$48:$G$48,1,F297)*G297/12</f>
        <v>52.7083333333333</v>
      </c>
      <c r="AE297" s="15" t="n">
        <f aca="false">INDEX(Ipotesi!$C$50:$G$50,1,F297)*G297/12</f>
        <v>5.27083333333333</v>
      </c>
      <c r="AF297" s="15" t="n">
        <f aca="false">(S297*Parametri_v3!$C$7*Parametri_v3!$C$8+Parametri_v3!$C$10)/12</f>
        <v>63.525</v>
      </c>
      <c r="AG297" s="15" t="n">
        <f aca="false">AD297+AE297*(1+Parametri_v3!$C$9)</f>
        <v>60.6145833333333</v>
      </c>
      <c r="AH297" s="16" t="n">
        <f aca="false">IF(AG297=0,1,MIN(1,AF297/AG297))</f>
        <v>1</v>
      </c>
      <c r="AI297" s="15" t="n">
        <f aca="false">AD297*AH297</f>
        <v>52.7083333333333</v>
      </c>
      <c r="AJ297" s="15" t="n">
        <f aca="false">AE297*AH297</f>
        <v>5.27083333333333</v>
      </c>
      <c r="AK297" s="15" t="n">
        <f aca="false">AI297*INDEX(Ipotesi!$C$49:$G$49,1,F297)*H297</f>
        <v>45065.625</v>
      </c>
      <c r="AL297" s="15" t="n">
        <f aca="false">AJ297*INDEX(Ipotesi!$C$51:$G$51,1,F297)*H297</f>
        <v>12333.75</v>
      </c>
      <c r="AM297" s="15" t="n">
        <f aca="false">AK297+AL297</f>
        <v>57399.375</v>
      </c>
      <c r="AN297" s="15" t="n">
        <f aca="false">INDEX(Ipotesi!$C$30:$G$30,1,F297)*G297/12</f>
        <v>44.9166666666667</v>
      </c>
      <c r="AO297" s="15" t="n">
        <f aca="false">O297*Parametri_v3!$C$7*Parametri_v3!$C$11*(1-Parametri_v3!$C$14)/12</f>
        <v>47.9966666666667</v>
      </c>
      <c r="AP297" s="15" t="n">
        <f aca="false">MIN(AN297,AO297)</f>
        <v>44.9166666666667</v>
      </c>
      <c r="AQ297" s="15" t="n">
        <f aca="false">AP297*INDEX(Ipotesi!$C$31:$G$31,1,F297)*H297</f>
        <v>44467.5</v>
      </c>
      <c r="AR297" s="15" t="n">
        <f aca="false">INDEX(Ipotesi!$C$75:$G$75,1,F297)*J297/12</f>
        <v>7166.66666666667</v>
      </c>
      <c r="AS297" s="15" t="n">
        <f aca="false">INDEX(Ipotesi!$C$81:$G$81,1,F297)*J297/12</f>
        <v>416.666666666667</v>
      </c>
      <c r="AT297" s="15" t="n">
        <f aca="false">AR297*Parametri_v3!$C$15+Z297*Parametri_v3!$C$16</f>
        <v>12484.6957939167</v>
      </c>
      <c r="AU297" s="15" t="n">
        <f aca="false">Q297*Parametri_v3!$C$16*Parametri_v3!$C$17</f>
        <v>126</v>
      </c>
      <c r="AV297" s="17" t="n">
        <f aca="false">BD296</f>
        <v>32.3282655497762</v>
      </c>
      <c r="AW297" s="17" t="n">
        <f aca="false">AV297*(1-(1-INDEX(Ipotesi!$C$34:$G$34,1,F297))^(1/12))</f>
        <v>0.282601120276268</v>
      </c>
      <c r="AX297" s="15" t="n">
        <f aca="false">ROUND(INDEX(Ipotesi!$C$32:$G$32,1,F297)*Ipotesi!G8,0)</f>
        <v>196</v>
      </c>
      <c r="AY297" s="15" t="n">
        <f aca="false">MAX(0,(AX297-(AV297-AW297))/(13-E297))</f>
        <v>20.4942919463125</v>
      </c>
      <c r="AZ297" s="15" t="n">
        <f aca="false">MIN(P297*Parametri_v3!$C$22,Q297*(1-Parametri_v3!$C$16)*Parametri_v3!$C$23)</f>
        <v>81</v>
      </c>
      <c r="BA297" s="15" t="n">
        <f aca="false">IF(OR(INDEX(Ipotesi!$C$35:$G$35,1,F297)&lt;=0,53-Parametri_v3!$C$21&lt;1),0,INDEX($AT$245:$AT$304,MAX(1,53-Parametri_v3!$C$21))/(INDEX(Ipotesi!$C$35:$G$35,1,F297)*Ipotesi!G27))</f>
        <v>1.47747879217949</v>
      </c>
      <c r="BB297" s="15" t="n">
        <f aca="false">IF(53-Parametri_v3!$C$21&lt;1,0,INDEX($AU$245:$AU$304,MAX(1,53-Parametri_v3!$C$21)))*Parametri_v3!$C$18*Parametri_v3!$C$19*Parametri_v3!$C$20</f>
        <v>4.725</v>
      </c>
      <c r="BC297" s="17" t="n">
        <f aca="false">MAX(0,MIN(AY297,BA297,BB297,MAX(0,AZ297-(AV297-AW297))))</f>
        <v>1.47747879217949</v>
      </c>
      <c r="BD297" s="17" t="n">
        <f aca="false">AV297-AW297+BC297</f>
        <v>33.5231432216794</v>
      </c>
      <c r="BE297" s="17" t="n">
        <f aca="false">(AV297+BD297)/2</f>
        <v>32.9257043857278</v>
      </c>
      <c r="BF297" s="15" t="n">
        <f aca="false">BE297*INDEX(Ipotesi!$C$33:$G$33,1,F297)*H297/12</f>
        <v>15310.4525393634</v>
      </c>
      <c r="BG297" s="15" t="n">
        <f aca="false">BD297*INDEX(Ipotesi!$C$33:$G$33,1,F297)*H297</f>
        <v>187059.139176971</v>
      </c>
      <c r="BH297" s="15" t="n">
        <f aca="false">AM297*INDEX(Ipotesi!$C$37:$G$37,1,F297)</f>
        <v>5739.9375</v>
      </c>
      <c r="BI297" s="15" t="n">
        <f aca="false">AQ297+BF297+BH297</f>
        <v>65517.8900393634</v>
      </c>
      <c r="BJ297" s="15" t="n">
        <f aca="false">INDEX(Ipotesi!$C$68:$G$68,1,F297)*Ipotesi!$C$69/12</f>
        <v>3333.33333333333</v>
      </c>
      <c r="BK297" s="15" t="n">
        <f aca="false">INDEX(Ipotesi!$C$68:$G$68,1,F297)*(1-Ipotesi!$C$69)/12</f>
        <v>5000</v>
      </c>
      <c r="BL297" s="15" t="n">
        <f aca="false">(AQ297+BF297)*Ipotesi!$C$67</f>
        <v>1793.3385761809</v>
      </c>
      <c r="BM297" s="15" t="n">
        <f aca="false">AM297*Ipotesi!$C$67</f>
        <v>1721.98125</v>
      </c>
      <c r="BN297" s="15" t="n">
        <f aca="false">INDEX(Ipotesi!$C$72:$G$72,1,F297)/12*Ipotesi!G126+BF297*Ipotesi!$C$73</f>
        <v>1974.83620314907</v>
      </c>
      <c r="BO297" s="15" t="n">
        <f aca="false">INDEX(Ipotesi!$C$74:$G$74,1,F297)/12*Ipotesi!G126</f>
        <v>3250</v>
      </c>
      <c r="BP297" s="15" t="n">
        <f aca="false">INDEX(Ipotesi!$C$76:$G$76,1,F297)/12</f>
        <v>1916.66666666667</v>
      </c>
      <c r="BQ297" s="15" t="n">
        <f aca="false">INDEX(Ipotesi!$C$77:$G$77,1,F297)/12*Ipotesi!G126</f>
        <v>1500</v>
      </c>
      <c r="BR297" s="15" t="n">
        <f aca="false">INDEX(Ipotesi!$C$78:$G$78,1,F297)/12</f>
        <v>2333.33333333333</v>
      </c>
      <c r="BS297" s="15" t="n">
        <f aca="false">SUM(M297:R297)*(Ipotesi!$C$85+Ipotesi!$C$86)/12</f>
        <v>3259.375</v>
      </c>
      <c r="BT297" s="15" t="n">
        <f aca="false">BI297*Ipotesi!$C$87</f>
        <v>1965.5367011809</v>
      </c>
      <c r="BU297" s="15" t="n">
        <f aca="false">INDEX(Ipotesi!$C$55:$G$55,1,F297)*K297/12</f>
        <v>1200</v>
      </c>
      <c r="BV297" s="15" t="n">
        <f aca="false">INDEX(Ipotesi!$C$80:$G$80,1,F297)/12*Ipotesi!G126</f>
        <v>1250</v>
      </c>
      <c r="BW297" s="15" t="n">
        <f aca="false">INDEX(Ipotesi!$C$82:$G$82,1,F297)/12</f>
        <v>1500</v>
      </c>
      <c r="BX297" s="15" t="n">
        <f aca="false">INDEX(Ipotesi!$C$83:$G$83,1,F297)/12</f>
        <v>833.333333333333</v>
      </c>
      <c r="BY297" s="15" t="n">
        <f aca="false">SUM(S297:U297)*(Ipotesi!$C$85+Ipotesi!$C$86)/12</f>
        <v>1618.75</v>
      </c>
      <c r="BZ297" s="15" t="n">
        <f aca="false">AM297*Ipotesi!$C$87</f>
        <v>1721.98125</v>
      </c>
      <c r="CA297" s="15" t="n">
        <f aca="false">AB297+BJ297+BL297+BN297+BO297+AR297+BP297+BQ297+BR297+BS297+BT297</f>
        <v>81397.5552061359</v>
      </c>
      <c r="CB297" s="15" t="n">
        <f aca="false">AC297+BK297+BM297+BH297+BU297+BV297+AS297+BW297+BX297+BY297+BZ297</f>
        <v>43175.173557</v>
      </c>
      <c r="CC297" s="15" t="n">
        <f aca="false">BI297-CA297</f>
        <v>-15879.6651667725</v>
      </c>
      <c r="CD297" s="15" t="n">
        <f aca="false">AM297-CB297</f>
        <v>14224.201443</v>
      </c>
      <c r="CE297" s="15" t="n">
        <f aca="false">INDEX(Ipotesi!$C$79:$G$79,1,F297)/12</f>
        <v>4166.66666666667</v>
      </c>
      <c r="CF297" s="15" t="n">
        <f aca="false">INDEX(Ipotesi!$C$84:$G$84,1,F297)/12</f>
        <v>666.666666666667</v>
      </c>
      <c r="CG297" s="15" t="n">
        <f aca="false">Y297*MAX(0,Parametri_v3!$C$12-IF(P297=0,0,MIN(1,BE297/(P297*Parametri_v3!$C$22))))+W297*Parametri_v3!$C$13+X297*Parametri_v3!$C$14</f>
        <v>15971.640423892</v>
      </c>
      <c r="CH297" s="15" t="n">
        <f aca="false">AB297*Parametri_v3!$C$32</f>
        <v>2645.22343628125</v>
      </c>
      <c r="CI297" s="15" t="n">
        <f aca="false">AC297*Parametri_v3!$C$32</f>
        <v>1108.62617785</v>
      </c>
      <c r="CJ297" s="15" t="n">
        <f aca="false">CA297-AB297</f>
        <v>28493.0864805109</v>
      </c>
      <c r="CK297" s="15" t="n">
        <f aca="false">CB297-AC297-BH297</f>
        <v>15262.7125</v>
      </c>
      <c r="CL297" s="15" t="n">
        <f aca="false">BF297*Ipotesi!$C$73+INDEX(Ipotesi!$C$72:$G$72,1,F297)/12*Ipotesi!G126*Parametri_v3!$C$58+Z297*(1-Parametri_v3!$C$16)</f>
        <v>4253.99154339907</v>
      </c>
      <c r="CM297" s="16" t="n">
        <f aca="false">IF(BF297=0,0,1-CL297/BF297)</f>
        <v>0.722151155724366</v>
      </c>
    </row>
    <row r="298" customFormat="false" ht="18" hidden="false" customHeight="true" outlineLevel="0" collapsed="false">
      <c r="A298" s="68" t="n">
        <f aca="false">5</f>
        <v>5</v>
      </c>
      <c r="B298" s="68" t="n">
        <f aca="false">54</f>
        <v>54</v>
      </c>
      <c r="C298" s="18" t="n">
        <f aca="false">EDATE(Parametri_v3!$C$5,54-1)</f>
        <v>48000</v>
      </c>
      <c r="D298" s="68" t="n">
        <f aca="false">YEAR(C298)</f>
        <v>2031</v>
      </c>
      <c r="E298" s="68" t="n">
        <f aca="false">MONTH(C298)</f>
        <v>6</v>
      </c>
      <c r="F298" s="68" t="n">
        <f aca="false">INT((54-1)/12)+1</f>
        <v>5</v>
      </c>
      <c r="G298" s="15" t="n">
        <f aca="false">Ipotesi!G7</f>
        <v>0.55</v>
      </c>
      <c r="H298" s="15" t="n">
        <f aca="false">Ipotesi!G9</f>
        <v>0.9</v>
      </c>
      <c r="I298" s="15" t="n">
        <f aca="false">Ipotesi!G10</f>
        <v>0.3</v>
      </c>
      <c r="J298" s="15" t="n">
        <f aca="false">Ipotesi!G11</f>
        <v>0.2</v>
      </c>
      <c r="K298" s="15" t="n">
        <f aca="false">Ipotesi!G12</f>
        <v>0.6</v>
      </c>
      <c r="L298" s="15" t="n">
        <f aca="false">Ipotesi!G13</f>
        <v>120</v>
      </c>
      <c r="M298" s="17" t="n">
        <f aca="false">INDEX(Ipotesi!$C$40:$G$40,1,F298)</f>
        <v>1</v>
      </c>
      <c r="N298" s="17" t="n">
        <f aca="false">INDEX(Ipotesi!$C$41:$G$41,1,F298)</f>
        <v>1</v>
      </c>
      <c r="O298" s="17" t="n">
        <f aca="false">INDEX(Ipotesi!$C$42:$G$42,1,F298)*Ipotesi!G125</f>
        <v>4.675</v>
      </c>
      <c r="P298" s="17" t="n">
        <f aca="false">INDEX(Ipotesi!$C$43:$G$43,1,F298)*I298</f>
        <v>2.1</v>
      </c>
      <c r="Q298" s="17" t="n">
        <f aca="false">INDEX(Ipotesi!$C$44:$G$44,1,F298)*I298</f>
        <v>1.8</v>
      </c>
      <c r="R298" s="17" t="n">
        <f aca="false">INDEX(Ipotesi!$C$45:$G$45,1,F298)*I298</f>
        <v>0.6</v>
      </c>
      <c r="S298" s="17" t="n">
        <f aca="false">INDEX(Ipotesi!$C$52:$G$52,1,F298)*Ipotesi!G125</f>
        <v>4.95</v>
      </c>
      <c r="T298" s="17" t="n">
        <f aca="false">INDEX(Ipotesi!$C$53:$G$53,1,F298)*I298</f>
        <v>0.3</v>
      </c>
      <c r="U298" s="17" t="n">
        <f aca="false">INDEX(Ipotesi!$C$54:$G$54,1,F298)*I298</f>
        <v>0.3</v>
      </c>
      <c r="V298" s="15" t="n">
        <f aca="false">M298*INDEX(Ipotesi!$C$58:$G$58,1,F298)*K298/12</f>
        <v>5000</v>
      </c>
      <c r="W298" s="15" t="n">
        <f aca="false">N298*Ipotesi!$C$59*(1+Ipotesi!$C$66)^(F298-1)/12</f>
        <v>6565.46805833334</v>
      </c>
      <c r="X298" s="15" t="n">
        <f aca="false">O298*Ipotesi!$C$60*(1+Ipotesi!$C$66)^(F298-1)/12</f>
        <v>21923.9736947917</v>
      </c>
      <c r="Y298" s="15" t="n">
        <f aca="false">P298*Ipotesi!$C$61*(1+Ipotesi!$C$66)^(F298-1)/12</f>
        <v>9848.2020875</v>
      </c>
      <c r="Z298" s="15" t="n">
        <f aca="false">Q298*Ipotesi!$C$62*(1+Ipotesi!$C$66)^(F298-1)/12</f>
        <v>7597.1844675</v>
      </c>
      <c r="AA298" s="15" t="n">
        <f aca="false">R298*Ipotesi!$C$63*(1+Ipotesi!$C$66)^(F298-1)/12</f>
        <v>1969.6404175</v>
      </c>
      <c r="AB298" s="15" t="n">
        <f aca="false">SUM(V298:AA298)</f>
        <v>52904.468725625</v>
      </c>
      <c r="AC298" s="15" t="n">
        <f aca="false">(S298*Ipotesi!$C$64+T298*Ipotesi!$C$65+U298*Ipotesi!$C$63)*(1+Ipotesi!$C$66)^(F298-1)/12</f>
        <v>22172.523557</v>
      </c>
      <c r="AD298" s="15" t="n">
        <f aca="false">INDEX(Ipotesi!$C$48:$G$48,1,F298)*G298/12</f>
        <v>52.7083333333333</v>
      </c>
      <c r="AE298" s="15" t="n">
        <f aca="false">INDEX(Ipotesi!$C$50:$G$50,1,F298)*G298/12</f>
        <v>5.27083333333333</v>
      </c>
      <c r="AF298" s="15" t="n">
        <f aca="false">(S298*Parametri_v3!$C$7*Parametri_v3!$C$8+Parametri_v3!$C$10)/12</f>
        <v>63.525</v>
      </c>
      <c r="AG298" s="15" t="n">
        <f aca="false">AD298+AE298*(1+Parametri_v3!$C$9)</f>
        <v>60.6145833333333</v>
      </c>
      <c r="AH298" s="16" t="n">
        <f aca="false">IF(AG298=0,1,MIN(1,AF298/AG298))</f>
        <v>1</v>
      </c>
      <c r="AI298" s="15" t="n">
        <f aca="false">AD298*AH298</f>
        <v>52.7083333333333</v>
      </c>
      <c r="AJ298" s="15" t="n">
        <f aca="false">AE298*AH298</f>
        <v>5.27083333333333</v>
      </c>
      <c r="AK298" s="15" t="n">
        <f aca="false">AI298*INDEX(Ipotesi!$C$49:$G$49,1,F298)*H298</f>
        <v>45065.625</v>
      </c>
      <c r="AL298" s="15" t="n">
        <f aca="false">AJ298*INDEX(Ipotesi!$C$51:$G$51,1,F298)*H298</f>
        <v>12333.75</v>
      </c>
      <c r="AM298" s="15" t="n">
        <f aca="false">AK298+AL298</f>
        <v>57399.375</v>
      </c>
      <c r="AN298" s="15" t="n">
        <f aca="false">INDEX(Ipotesi!$C$30:$G$30,1,F298)*G298/12</f>
        <v>44.9166666666667</v>
      </c>
      <c r="AO298" s="15" t="n">
        <f aca="false">O298*Parametri_v3!$C$7*Parametri_v3!$C$11*(1-Parametri_v3!$C$14)/12</f>
        <v>47.9966666666667</v>
      </c>
      <c r="AP298" s="15" t="n">
        <f aca="false">MIN(AN298,AO298)</f>
        <v>44.9166666666667</v>
      </c>
      <c r="AQ298" s="15" t="n">
        <f aca="false">AP298*INDEX(Ipotesi!$C$31:$G$31,1,F298)*H298</f>
        <v>44467.5</v>
      </c>
      <c r="AR298" s="15" t="n">
        <f aca="false">INDEX(Ipotesi!$C$75:$G$75,1,F298)*J298/12</f>
        <v>7166.66666666667</v>
      </c>
      <c r="AS298" s="15" t="n">
        <f aca="false">INDEX(Ipotesi!$C$81:$G$81,1,F298)*J298/12</f>
        <v>416.666666666667</v>
      </c>
      <c r="AT298" s="15" t="n">
        <f aca="false">AR298*Parametri_v3!$C$15+Z298*Parametri_v3!$C$16</f>
        <v>12484.6957939167</v>
      </c>
      <c r="AU298" s="15" t="n">
        <f aca="false">Q298*Parametri_v3!$C$16*Parametri_v3!$C$17</f>
        <v>126</v>
      </c>
      <c r="AV298" s="17" t="n">
        <f aca="false">BD297</f>
        <v>33.5231432216794</v>
      </c>
      <c r="AW298" s="17" t="n">
        <f aca="false">AV298*(1-(1-INDEX(Ipotesi!$C$34:$G$34,1,F298))^(1/12))</f>
        <v>0.2930462760225</v>
      </c>
      <c r="AX298" s="15" t="n">
        <f aca="false">ROUND(INDEX(Ipotesi!$C$32:$G$32,1,F298)*Ipotesi!G8,0)</f>
        <v>196</v>
      </c>
      <c r="AY298" s="15" t="n">
        <f aca="false">MAX(0,(AX298-(AV298-AW298))/(13-E298))</f>
        <v>23.2528432934776</v>
      </c>
      <c r="AZ298" s="15" t="n">
        <f aca="false">MIN(P298*Parametri_v3!$C$22,Q298*(1-Parametri_v3!$C$16)*Parametri_v3!$C$23)</f>
        <v>81</v>
      </c>
      <c r="BA298" s="15" t="n">
        <f aca="false">IF(OR(INDEX(Ipotesi!$C$35:$G$35,1,F298)&lt;=0,54-Parametri_v3!$C$21&lt;1),0,INDEX($AT$245:$AT$304,MAX(1,54-Parametri_v3!$C$21))/(INDEX(Ipotesi!$C$35:$G$35,1,F298)*Ipotesi!G27))</f>
        <v>1.47747879217949</v>
      </c>
      <c r="BB298" s="15" t="n">
        <f aca="false">IF(54-Parametri_v3!$C$21&lt;1,0,INDEX($AU$245:$AU$304,MAX(1,54-Parametri_v3!$C$21)))*Parametri_v3!$C$18*Parametri_v3!$C$19*Parametri_v3!$C$20</f>
        <v>4.725</v>
      </c>
      <c r="BC298" s="17" t="n">
        <f aca="false">MAX(0,MIN(AY298,BA298,BB298,MAX(0,AZ298-(AV298-AW298))))</f>
        <v>1.47747879217949</v>
      </c>
      <c r="BD298" s="17" t="n">
        <f aca="false">AV298-AW298+BC298</f>
        <v>34.7075757378364</v>
      </c>
      <c r="BE298" s="17" t="n">
        <f aca="false">(AV298+BD298)/2</f>
        <v>34.1153594797579</v>
      </c>
      <c r="BF298" s="15" t="n">
        <f aca="false">BE298*INDEX(Ipotesi!$C$33:$G$33,1,F298)*H298/12</f>
        <v>15863.6421580874</v>
      </c>
      <c r="BG298" s="15" t="n">
        <f aca="false">BD298*INDEX(Ipotesi!$C$33:$G$33,1,F298)*H298</f>
        <v>193668.272617127</v>
      </c>
      <c r="BH298" s="15" t="n">
        <f aca="false">AM298*INDEX(Ipotesi!$C$37:$G$37,1,F298)</f>
        <v>5739.9375</v>
      </c>
      <c r="BI298" s="15" t="n">
        <f aca="false">AQ298+BF298+BH298</f>
        <v>66071.0796580874</v>
      </c>
      <c r="BJ298" s="15" t="n">
        <f aca="false">INDEX(Ipotesi!$C$68:$G$68,1,F298)*Ipotesi!$C$69/12</f>
        <v>3333.33333333333</v>
      </c>
      <c r="BK298" s="15" t="n">
        <f aca="false">INDEX(Ipotesi!$C$68:$G$68,1,F298)*(1-Ipotesi!$C$69)/12</f>
        <v>5000</v>
      </c>
      <c r="BL298" s="15" t="n">
        <f aca="false">(AQ298+BF298)*Ipotesi!$C$67</f>
        <v>1809.93426474262</v>
      </c>
      <c r="BM298" s="15" t="n">
        <f aca="false">AM298*Ipotesi!$C$67</f>
        <v>1721.98125</v>
      </c>
      <c r="BN298" s="15" t="n">
        <f aca="false">INDEX(Ipotesi!$C$72:$G$72,1,F298)/12*Ipotesi!G126+BF298*Ipotesi!$C$73</f>
        <v>2019.09137264699</v>
      </c>
      <c r="BO298" s="15" t="n">
        <f aca="false">INDEX(Ipotesi!$C$74:$G$74,1,F298)/12*Ipotesi!G126</f>
        <v>3250</v>
      </c>
      <c r="BP298" s="15" t="n">
        <f aca="false">INDEX(Ipotesi!$C$76:$G$76,1,F298)/12</f>
        <v>1916.66666666667</v>
      </c>
      <c r="BQ298" s="15" t="n">
        <f aca="false">INDEX(Ipotesi!$C$77:$G$77,1,F298)/12*Ipotesi!G126</f>
        <v>1500</v>
      </c>
      <c r="BR298" s="15" t="n">
        <f aca="false">INDEX(Ipotesi!$C$78:$G$78,1,F298)/12</f>
        <v>2333.33333333333</v>
      </c>
      <c r="BS298" s="15" t="n">
        <f aca="false">SUM(M298:R298)*(Ipotesi!$C$85+Ipotesi!$C$86)/12</f>
        <v>3259.375</v>
      </c>
      <c r="BT298" s="15" t="n">
        <f aca="false">BI298*Ipotesi!$C$87</f>
        <v>1982.13238974262</v>
      </c>
      <c r="BU298" s="15" t="n">
        <f aca="false">INDEX(Ipotesi!$C$55:$G$55,1,F298)*K298/12</f>
        <v>1200</v>
      </c>
      <c r="BV298" s="15" t="n">
        <f aca="false">INDEX(Ipotesi!$C$80:$G$80,1,F298)/12*Ipotesi!G126</f>
        <v>1250</v>
      </c>
      <c r="BW298" s="15" t="n">
        <f aca="false">INDEX(Ipotesi!$C$82:$G$82,1,F298)/12</f>
        <v>1500</v>
      </c>
      <c r="BX298" s="15" t="n">
        <f aca="false">INDEX(Ipotesi!$C$83:$G$83,1,F298)/12</f>
        <v>833.333333333333</v>
      </c>
      <c r="BY298" s="15" t="n">
        <f aca="false">SUM(S298:U298)*(Ipotesi!$C$85+Ipotesi!$C$86)/12</f>
        <v>1618.75</v>
      </c>
      <c r="BZ298" s="15" t="n">
        <f aca="false">AM298*Ipotesi!$C$87</f>
        <v>1721.98125</v>
      </c>
      <c r="CA298" s="15" t="n">
        <f aca="false">AB298+BJ298+BL298+BN298+BO298+AR298+BP298+BQ298+BR298+BS298+BT298</f>
        <v>81475.0017527573</v>
      </c>
      <c r="CB298" s="15" t="n">
        <f aca="false">AC298+BK298+BM298+BH298+BU298+BV298+AS298+BW298+BX298+BY298+BZ298</f>
        <v>43175.173557</v>
      </c>
      <c r="CC298" s="15" t="n">
        <f aca="false">BI298-CA298</f>
        <v>-15403.9220946698</v>
      </c>
      <c r="CD298" s="15" t="n">
        <f aca="false">AM298-CB298</f>
        <v>14224.201443</v>
      </c>
      <c r="CE298" s="15" t="n">
        <f aca="false">INDEX(Ipotesi!$C$79:$G$79,1,F298)/12</f>
        <v>4166.66666666667</v>
      </c>
      <c r="CF298" s="15" t="n">
        <f aca="false">INDEX(Ipotesi!$C$84:$G$84,1,F298)/12</f>
        <v>666.666666666667</v>
      </c>
      <c r="CG298" s="15" t="n">
        <f aca="false">Y298*MAX(0,Parametri_v3!$C$12-IF(P298=0,0,MIN(1,BE298/(P298*Parametri_v3!$C$22))))+W298*Parametri_v3!$C$13+X298*Parametri_v3!$C$14</f>
        <v>15915.8501201756</v>
      </c>
      <c r="CH298" s="15" t="n">
        <f aca="false">AB298*Parametri_v3!$C$32</f>
        <v>2645.22343628125</v>
      </c>
      <c r="CI298" s="15" t="n">
        <f aca="false">AC298*Parametri_v3!$C$32</f>
        <v>1108.62617785</v>
      </c>
      <c r="CJ298" s="15" t="n">
        <f aca="false">CA298-AB298</f>
        <v>28570.5330271322</v>
      </c>
      <c r="CK298" s="15" t="n">
        <f aca="false">CB298-AC298-BH298</f>
        <v>15262.7125</v>
      </c>
      <c r="CL298" s="15" t="n">
        <f aca="false">BF298*Ipotesi!$C$73+INDEX(Ipotesi!$C$72:$G$72,1,F298)/12*Ipotesi!G126*Parametri_v3!$C$58+Z298*(1-Parametri_v3!$C$16)</f>
        <v>4298.24671289699</v>
      </c>
      <c r="CM298" s="16" t="n">
        <f aca="false">IF(BF298=0,0,1-CL298/BF298)</f>
        <v>0.729050449445135</v>
      </c>
    </row>
    <row r="299" customFormat="false" ht="18" hidden="false" customHeight="true" outlineLevel="0" collapsed="false">
      <c r="A299" s="68" t="n">
        <f aca="false">5</f>
        <v>5</v>
      </c>
      <c r="B299" s="68" t="n">
        <f aca="false">55</f>
        <v>55</v>
      </c>
      <c r="C299" s="18" t="n">
        <f aca="false">EDATE(Parametri_v3!$C$5,55-1)</f>
        <v>48030</v>
      </c>
      <c r="D299" s="68" t="n">
        <f aca="false">YEAR(C299)</f>
        <v>2031</v>
      </c>
      <c r="E299" s="68" t="n">
        <f aca="false">MONTH(C299)</f>
        <v>7</v>
      </c>
      <c r="F299" s="68" t="n">
        <f aca="false">INT((55-1)/12)+1</f>
        <v>5</v>
      </c>
      <c r="G299" s="15" t="n">
        <f aca="false">Ipotesi!G7</f>
        <v>0.55</v>
      </c>
      <c r="H299" s="15" t="n">
        <f aca="false">Ipotesi!G9</f>
        <v>0.9</v>
      </c>
      <c r="I299" s="15" t="n">
        <f aca="false">Ipotesi!G10</f>
        <v>0.3</v>
      </c>
      <c r="J299" s="15" t="n">
        <f aca="false">Ipotesi!G11</f>
        <v>0.2</v>
      </c>
      <c r="K299" s="15" t="n">
        <f aca="false">Ipotesi!G12</f>
        <v>0.6</v>
      </c>
      <c r="L299" s="15" t="n">
        <f aca="false">Ipotesi!G13</f>
        <v>120</v>
      </c>
      <c r="M299" s="17" t="n">
        <f aca="false">INDEX(Ipotesi!$C$40:$G$40,1,F299)</f>
        <v>1</v>
      </c>
      <c r="N299" s="17" t="n">
        <f aca="false">INDEX(Ipotesi!$C$41:$G$41,1,F299)</f>
        <v>1</v>
      </c>
      <c r="O299" s="17" t="n">
        <f aca="false">INDEX(Ipotesi!$C$42:$G$42,1,F299)*Ipotesi!G125</f>
        <v>4.675</v>
      </c>
      <c r="P299" s="17" t="n">
        <f aca="false">INDEX(Ipotesi!$C$43:$G$43,1,F299)*I299</f>
        <v>2.1</v>
      </c>
      <c r="Q299" s="17" t="n">
        <f aca="false">INDEX(Ipotesi!$C$44:$G$44,1,F299)*I299</f>
        <v>1.8</v>
      </c>
      <c r="R299" s="17" t="n">
        <f aca="false">INDEX(Ipotesi!$C$45:$G$45,1,F299)*I299</f>
        <v>0.6</v>
      </c>
      <c r="S299" s="17" t="n">
        <f aca="false">INDEX(Ipotesi!$C$52:$G$52,1,F299)*Ipotesi!G125</f>
        <v>4.95</v>
      </c>
      <c r="T299" s="17" t="n">
        <f aca="false">INDEX(Ipotesi!$C$53:$G$53,1,F299)*I299</f>
        <v>0.3</v>
      </c>
      <c r="U299" s="17" t="n">
        <f aca="false">INDEX(Ipotesi!$C$54:$G$54,1,F299)*I299</f>
        <v>0.3</v>
      </c>
      <c r="V299" s="15" t="n">
        <f aca="false">M299*INDEX(Ipotesi!$C$58:$G$58,1,F299)*K299/12</f>
        <v>5000</v>
      </c>
      <c r="W299" s="15" t="n">
        <f aca="false">N299*Ipotesi!$C$59*(1+Ipotesi!$C$66)^(F299-1)/12</f>
        <v>6565.46805833334</v>
      </c>
      <c r="X299" s="15" t="n">
        <f aca="false">O299*Ipotesi!$C$60*(1+Ipotesi!$C$66)^(F299-1)/12</f>
        <v>21923.9736947917</v>
      </c>
      <c r="Y299" s="15" t="n">
        <f aca="false">P299*Ipotesi!$C$61*(1+Ipotesi!$C$66)^(F299-1)/12</f>
        <v>9848.2020875</v>
      </c>
      <c r="Z299" s="15" t="n">
        <f aca="false">Q299*Ipotesi!$C$62*(1+Ipotesi!$C$66)^(F299-1)/12</f>
        <v>7597.1844675</v>
      </c>
      <c r="AA299" s="15" t="n">
        <f aca="false">R299*Ipotesi!$C$63*(1+Ipotesi!$C$66)^(F299-1)/12</f>
        <v>1969.6404175</v>
      </c>
      <c r="AB299" s="15" t="n">
        <f aca="false">SUM(V299:AA299)</f>
        <v>52904.468725625</v>
      </c>
      <c r="AC299" s="15" t="n">
        <f aca="false">(S299*Ipotesi!$C$64+T299*Ipotesi!$C$65+U299*Ipotesi!$C$63)*(1+Ipotesi!$C$66)^(F299-1)/12</f>
        <v>22172.523557</v>
      </c>
      <c r="AD299" s="15" t="n">
        <f aca="false">INDEX(Ipotesi!$C$48:$G$48,1,F299)*G299/12</f>
        <v>52.7083333333333</v>
      </c>
      <c r="AE299" s="15" t="n">
        <f aca="false">INDEX(Ipotesi!$C$50:$G$50,1,F299)*G299/12</f>
        <v>5.27083333333333</v>
      </c>
      <c r="AF299" s="15" t="n">
        <f aca="false">(S299*Parametri_v3!$C$7*Parametri_v3!$C$8+Parametri_v3!$C$10)/12</f>
        <v>63.525</v>
      </c>
      <c r="AG299" s="15" t="n">
        <f aca="false">AD299+AE299*(1+Parametri_v3!$C$9)</f>
        <v>60.6145833333333</v>
      </c>
      <c r="AH299" s="16" t="n">
        <f aca="false">IF(AG299=0,1,MIN(1,AF299/AG299))</f>
        <v>1</v>
      </c>
      <c r="AI299" s="15" t="n">
        <f aca="false">AD299*AH299</f>
        <v>52.7083333333333</v>
      </c>
      <c r="AJ299" s="15" t="n">
        <f aca="false">AE299*AH299</f>
        <v>5.27083333333333</v>
      </c>
      <c r="AK299" s="15" t="n">
        <f aca="false">AI299*INDEX(Ipotesi!$C$49:$G$49,1,F299)*H299</f>
        <v>45065.625</v>
      </c>
      <c r="AL299" s="15" t="n">
        <f aca="false">AJ299*INDEX(Ipotesi!$C$51:$G$51,1,F299)*H299</f>
        <v>12333.75</v>
      </c>
      <c r="AM299" s="15" t="n">
        <f aca="false">AK299+AL299</f>
        <v>57399.375</v>
      </c>
      <c r="AN299" s="15" t="n">
        <f aca="false">INDEX(Ipotesi!$C$30:$G$30,1,F299)*G299/12</f>
        <v>44.9166666666667</v>
      </c>
      <c r="AO299" s="15" t="n">
        <f aca="false">O299*Parametri_v3!$C$7*Parametri_v3!$C$11*(1-Parametri_v3!$C$14)/12</f>
        <v>47.9966666666667</v>
      </c>
      <c r="AP299" s="15" t="n">
        <f aca="false">MIN(AN299,AO299)</f>
        <v>44.9166666666667</v>
      </c>
      <c r="AQ299" s="15" t="n">
        <f aca="false">AP299*INDEX(Ipotesi!$C$31:$G$31,1,F299)*H299</f>
        <v>44467.5</v>
      </c>
      <c r="AR299" s="15" t="n">
        <f aca="false">INDEX(Ipotesi!$C$75:$G$75,1,F299)*J299/12</f>
        <v>7166.66666666667</v>
      </c>
      <c r="AS299" s="15" t="n">
        <f aca="false">INDEX(Ipotesi!$C$81:$G$81,1,F299)*J299/12</f>
        <v>416.666666666667</v>
      </c>
      <c r="AT299" s="15" t="n">
        <f aca="false">AR299*Parametri_v3!$C$15+Z299*Parametri_v3!$C$16</f>
        <v>12484.6957939167</v>
      </c>
      <c r="AU299" s="15" t="n">
        <f aca="false">Q299*Parametri_v3!$C$16*Parametri_v3!$C$17</f>
        <v>126</v>
      </c>
      <c r="AV299" s="17" t="n">
        <f aca="false">BD298</f>
        <v>34.7075757378364</v>
      </c>
      <c r="AW299" s="17" t="n">
        <f aca="false">AV299*(1-(1-INDEX(Ipotesi!$C$34:$G$34,1,F299))^(1/12))</f>
        <v>0.303400124280836</v>
      </c>
      <c r="AX299" s="15" t="n">
        <f aca="false">ROUND(INDEX(Ipotesi!$C$32:$G$32,1,F299)*Ipotesi!G8,0)</f>
        <v>196</v>
      </c>
      <c r="AY299" s="15" t="n">
        <f aca="false">MAX(0,(AX299-(AV299-AW299))/(13-E299))</f>
        <v>26.9326373977407</v>
      </c>
      <c r="AZ299" s="15" t="n">
        <f aca="false">MIN(P299*Parametri_v3!$C$22,Q299*(1-Parametri_v3!$C$16)*Parametri_v3!$C$23)</f>
        <v>81</v>
      </c>
      <c r="BA299" s="15" t="n">
        <f aca="false">IF(OR(INDEX(Ipotesi!$C$35:$G$35,1,F299)&lt;=0,55-Parametri_v3!$C$21&lt;1),0,INDEX($AT$245:$AT$304,MAX(1,55-Parametri_v3!$C$21))/(INDEX(Ipotesi!$C$35:$G$35,1,F299)*Ipotesi!G27))</f>
        <v>1.47747879217949</v>
      </c>
      <c r="BB299" s="15" t="n">
        <f aca="false">IF(55-Parametri_v3!$C$21&lt;1,0,INDEX($AU$245:$AU$304,MAX(1,55-Parametri_v3!$C$21)))*Parametri_v3!$C$18*Parametri_v3!$C$19*Parametri_v3!$C$20</f>
        <v>4.725</v>
      </c>
      <c r="BC299" s="17" t="n">
        <f aca="false">MAX(0,MIN(AY299,BA299,BB299,MAX(0,AZ299-(AV299-AW299))))</f>
        <v>1.47747879217949</v>
      </c>
      <c r="BD299" s="17" t="n">
        <f aca="false">AV299-AW299+BC299</f>
        <v>35.881654405735</v>
      </c>
      <c r="BE299" s="17" t="n">
        <f aca="false">(AV299+BD299)/2</f>
        <v>35.2946150717857</v>
      </c>
      <c r="BF299" s="15" t="n">
        <f aca="false">BE299*INDEX(Ipotesi!$C$33:$G$33,1,F299)*H299/12</f>
        <v>16411.9960083803</v>
      </c>
      <c r="BG299" s="15" t="n">
        <f aca="false">BD299*INDEX(Ipotesi!$C$33:$G$33,1,F299)*H299</f>
        <v>200219.631584001</v>
      </c>
      <c r="BH299" s="15" t="n">
        <f aca="false">AM299*INDEX(Ipotesi!$C$37:$G$37,1,F299)</f>
        <v>5739.9375</v>
      </c>
      <c r="BI299" s="15" t="n">
        <f aca="false">AQ299+BF299+BH299</f>
        <v>66619.4335083804</v>
      </c>
      <c r="BJ299" s="15" t="n">
        <f aca="false">INDEX(Ipotesi!$C$68:$G$68,1,F299)*Ipotesi!$C$69/12</f>
        <v>3333.33333333333</v>
      </c>
      <c r="BK299" s="15" t="n">
        <f aca="false">INDEX(Ipotesi!$C$68:$G$68,1,F299)*(1-Ipotesi!$C$69)/12</f>
        <v>5000</v>
      </c>
      <c r="BL299" s="15" t="n">
        <f aca="false">(AQ299+BF299)*Ipotesi!$C$67</f>
        <v>1826.38488025141</v>
      </c>
      <c r="BM299" s="15" t="n">
        <f aca="false">AM299*Ipotesi!$C$67</f>
        <v>1721.98125</v>
      </c>
      <c r="BN299" s="15" t="n">
        <f aca="false">INDEX(Ipotesi!$C$72:$G$72,1,F299)/12*Ipotesi!G126+BF299*Ipotesi!$C$73</f>
        <v>2062.95968067043</v>
      </c>
      <c r="BO299" s="15" t="n">
        <f aca="false">INDEX(Ipotesi!$C$74:$G$74,1,F299)/12*Ipotesi!G126</f>
        <v>3250</v>
      </c>
      <c r="BP299" s="15" t="n">
        <f aca="false">INDEX(Ipotesi!$C$76:$G$76,1,F299)/12</f>
        <v>1916.66666666667</v>
      </c>
      <c r="BQ299" s="15" t="n">
        <f aca="false">INDEX(Ipotesi!$C$77:$G$77,1,F299)/12*Ipotesi!G126</f>
        <v>1500</v>
      </c>
      <c r="BR299" s="15" t="n">
        <f aca="false">INDEX(Ipotesi!$C$78:$G$78,1,F299)/12</f>
        <v>2333.33333333333</v>
      </c>
      <c r="BS299" s="15" t="n">
        <f aca="false">SUM(M299:R299)*(Ipotesi!$C$85+Ipotesi!$C$86)/12</f>
        <v>3259.375</v>
      </c>
      <c r="BT299" s="15" t="n">
        <f aca="false">BI299*Ipotesi!$C$87</f>
        <v>1998.58300525141</v>
      </c>
      <c r="BU299" s="15" t="n">
        <f aca="false">INDEX(Ipotesi!$C$55:$G$55,1,F299)*K299/12</f>
        <v>1200</v>
      </c>
      <c r="BV299" s="15" t="n">
        <f aca="false">INDEX(Ipotesi!$C$80:$G$80,1,F299)/12*Ipotesi!G126</f>
        <v>1250</v>
      </c>
      <c r="BW299" s="15" t="n">
        <f aca="false">INDEX(Ipotesi!$C$82:$G$82,1,F299)/12</f>
        <v>1500</v>
      </c>
      <c r="BX299" s="15" t="n">
        <f aca="false">INDEX(Ipotesi!$C$83:$G$83,1,F299)/12</f>
        <v>833.333333333333</v>
      </c>
      <c r="BY299" s="15" t="n">
        <f aca="false">SUM(S299:U299)*(Ipotesi!$C$85+Ipotesi!$C$86)/12</f>
        <v>1618.75</v>
      </c>
      <c r="BZ299" s="15" t="n">
        <f aca="false">AM299*Ipotesi!$C$87</f>
        <v>1721.98125</v>
      </c>
      <c r="CA299" s="15" t="n">
        <f aca="false">AB299+BJ299+BL299+BN299+BO299+AR299+BP299+BQ299+BR299+BS299+BT299</f>
        <v>81551.7712917983</v>
      </c>
      <c r="CB299" s="15" t="n">
        <f aca="false">AC299+BK299+BM299+BH299+BU299+BV299+AS299+BW299+BX299+BY299+BZ299</f>
        <v>43175.173557</v>
      </c>
      <c r="CC299" s="15" t="n">
        <f aca="false">BI299-CA299</f>
        <v>-14932.3377834179</v>
      </c>
      <c r="CD299" s="15" t="n">
        <f aca="false">AM299-CB299</f>
        <v>14224.201443</v>
      </c>
      <c r="CE299" s="15" t="n">
        <f aca="false">INDEX(Ipotesi!$C$79:$G$79,1,F299)/12</f>
        <v>4166.66666666667</v>
      </c>
      <c r="CF299" s="15" t="n">
        <f aca="false">INDEX(Ipotesi!$C$84:$G$84,1,F299)/12</f>
        <v>666.666666666667</v>
      </c>
      <c r="CG299" s="15" t="n">
        <f aca="false">Y299*MAX(0,Parametri_v3!$C$12-IF(P299=0,0,MIN(1,BE299/(P299*Parametri_v3!$C$22))))+W299*Parametri_v3!$C$13+X299*Parametri_v3!$C$14</f>
        <v>15860.5475135894</v>
      </c>
      <c r="CH299" s="15" t="n">
        <f aca="false">AB299*Parametri_v3!$C$32</f>
        <v>2645.22343628125</v>
      </c>
      <c r="CI299" s="15" t="n">
        <f aca="false">AC299*Parametri_v3!$C$32</f>
        <v>1108.62617785</v>
      </c>
      <c r="CJ299" s="15" t="n">
        <f aca="false">CA299-AB299</f>
        <v>28647.3025661733</v>
      </c>
      <c r="CK299" s="15" t="n">
        <f aca="false">CB299-AC299-BH299</f>
        <v>15262.7125</v>
      </c>
      <c r="CL299" s="15" t="n">
        <f aca="false">BF299*Ipotesi!$C$73+INDEX(Ipotesi!$C$72:$G$72,1,F299)/12*Ipotesi!G126*Parametri_v3!$C$58+Z299*(1-Parametri_v3!$C$16)</f>
        <v>4342.11502092043</v>
      </c>
      <c r="CM299" s="16" t="n">
        <f aca="false">IF(BF299=0,0,1-CL299/BF299)</f>
        <v>0.735430412077651</v>
      </c>
    </row>
    <row r="300" customFormat="false" ht="18" hidden="false" customHeight="true" outlineLevel="0" collapsed="false">
      <c r="A300" s="68" t="n">
        <f aca="false">5</f>
        <v>5</v>
      </c>
      <c r="B300" s="68" t="n">
        <f aca="false">56</f>
        <v>56</v>
      </c>
      <c r="C300" s="18" t="n">
        <f aca="false">EDATE(Parametri_v3!$C$5,56-1)</f>
        <v>48061</v>
      </c>
      <c r="D300" s="68" t="n">
        <f aca="false">YEAR(C300)</f>
        <v>2031</v>
      </c>
      <c r="E300" s="68" t="n">
        <f aca="false">MONTH(C300)</f>
        <v>8</v>
      </c>
      <c r="F300" s="68" t="n">
        <f aca="false">INT((56-1)/12)+1</f>
        <v>5</v>
      </c>
      <c r="G300" s="15" t="n">
        <f aca="false">Ipotesi!G7</f>
        <v>0.55</v>
      </c>
      <c r="H300" s="15" t="n">
        <f aca="false">Ipotesi!G9</f>
        <v>0.9</v>
      </c>
      <c r="I300" s="15" t="n">
        <f aca="false">Ipotesi!G10</f>
        <v>0.3</v>
      </c>
      <c r="J300" s="15" t="n">
        <f aca="false">Ipotesi!G11</f>
        <v>0.2</v>
      </c>
      <c r="K300" s="15" t="n">
        <f aca="false">Ipotesi!G12</f>
        <v>0.6</v>
      </c>
      <c r="L300" s="15" t="n">
        <f aca="false">Ipotesi!G13</f>
        <v>120</v>
      </c>
      <c r="M300" s="17" t="n">
        <f aca="false">INDEX(Ipotesi!$C$40:$G$40,1,F300)</f>
        <v>1</v>
      </c>
      <c r="N300" s="17" t="n">
        <f aca="false">INDEX(Ipotesi!$C$41:$G$41,1,F300)</f>
        <v>1</v>
      </c>
      <c r="O300" s="17" t="n">
        <f aca="false">INDEX(Ipotesi!$C$42:$G$42,1,F300)*Ipotesi!G125</f>
        <v>4.675</v>
      </c>
      <c r="P300" s="17" t="n">
        <f aca="false">INDEX(Ipotesi!$C$43:$G$43,1,F300)*I300</f>
        <v>2.1</v>
      </c>
      <c r="Q300" s="17" t="n">
        <f aca="false">INDEX(Ipotesi!$C$44:$G$44,1,F300)*I300</f>
        <v>1.8</v>
      </c>
      <c r="R300" s="17" t="n">
        <f aca="false">INDEX(Ipotesi!$C$45:$G$45,1,F300)*I300</f>
        <v>0.6</v>
      </c>
      <c r="S300" s="17" t="n">
        <f aca="false">INDEX(Ipotesi!$C$52:$G$52,1,F300)*Ipotesi!G125</f>
        <v>4.95</v>
      </c>
      <c r="T300" s="17" t="n">
        <f aca="false">INDEX(Ipotesi!$C$53:$G$53,1,F300)*I300</f>
        <v>0.3</v>
      </c>
      <c r="U300" s="17" t="n">
        <f aca="false">INDEX(Ipotesi!$C$54:$G$54,1,F300)*I300</f>
        <v>0.3</v>
      </c>
      <c r="V300" s="15" t="n">
        <f aca="false">M300*INDEX(Ipotesi!$C$58:$G$58,1,F300)*K300/12</f>
        <v>5000</v>
      </c>
      <c r="W300" s="15" t="n">
        <f aca="false">N300*Ipotesi!$C$59*(1+Ipotesi!$C$66)^(F300-1)/12</f>
        <v>6565.46805833334</v>
      </c>
      <c r="X300" s="15" t="n">
        <f aca="false">O300*Ipotesi!$C$60*(1+Ipotesi!$C$66)^(F300-1)/12</f>
        <v>21923.9736947917</v>
      </c>
      <c r="Y300" s="15" t="n">
        <f aca="false">P300*Ipotesi!$C$61*(1+Ipotesi!$C$66)^(F300-1)/12</f>
        <v>9848.2020875</v>
      </c>
      <c r="Z300" s="15" t="n">
        <f aca="false">Q300*Ipotesi!$C$62*(1+Ipotesi!$C$66)^(F300-1)/12</f>
        <v>7597.1844675</v>
      </c>
      <c r="AA300" s="15" t="n">
        <f aca="false">R300*Ipotesi!$C$63*(1+Ipotesi!$C$66)^(F300-1)/12</f>
        <v>1969.6404175</v>
      </c>
      <c r="AB300" s="15" t="n">
        <f aca="false">SUM(V300:AA300)</f>
        <v>52904.468725625</v>
      </c>
      <c r="AC300" s="15" t="n">
        <f aca="false">(S300*Ipotesi!$C$64+T300*Ipotesi!$C$65+U300*Ipotesi!$C$63)*(1+Ipotesi!$C$66)^(F300-1)/12</f>
        <v>22172.523557</v>
      </c>
      <c r="AD300" s="15" t="n">
        <f aca="false">INDEX(Ipotesi!$C$48:$G$48,1,F300)*G300/12</f>
        <v>52.7083333333333</v>
      </c>
      <c r="AE300" s="15" t="n">
        <f aca="false">INDEX(Ipotesi!$C$50:$G$50,1,F300)*G300/12</f>
        <v>5.27083333333333</v>
      </c>
      <c r="AF300" s="15" t="n">
        <f aca="false">(S300*Parametri_v3!$C$7*Parametri_v3!$C$8+Parametri_v3!$C$10)/12</f>
        <v>63.525</v>
      </c>
      <c r="AG300" s="15" t="n">
        <f aca="false">AD300+AE300*(1+Parametri_v3!$C$9)</f>
        <v>60.6145833333333</v>
      </c>
      <c r="AH300" s="16" t="n">
        <f aca="false">IF(AG300=0,1,MIN(1,AF300/AG300))</f>
        <v>1</v>
      </c>
      <c r="AI300" s="15" t="n">
        <f aca="false">AD300*AH300</f>
        <v>52.7083333333333</v>
      </c>
      <c r="AJ300" s="15" t="n">
        <f aca="false">AE300*AH300</f>
        <v>5.27083333333333</v>
      </c>
      <c r="AK300" s="15" t="n">
        <f aca="false">AI300*INDEX(Ipotesi!$C$49:$G$49,1,F300)*H300</f>
        <v>45065.625</v>
      </c>
      <c r="AL300" s="15" t="n">
        <f aca="false">AJ300*INDEX(Ipotesi!$C$51:$G$51,1,F300)*H300</f>
        <v>12333.75</v>
      </c>
      <c r="AM300" s="15" t="n">
        <f aca="false">AK300+AL300</f>
        <v>57399.375</v>
      </c>
      <c r="AN300" s="15" t="n">
        <f aca="false">INDEX(Ipotesi!$C$30:$G$30,1,F300)*G300/12</f>
        <v>44.9166666666667</v>
      </c>
      <c r="AO300" s="15" t="n">
        <f aca="false">O300*Parametri_v3!$C$7*Parametri_v3!$C$11*(1-Parametri_v3!$C$14)/12</f>
        <v>47.9966666666667</v>
      </c>
      <c r="AP300" s="15" t="n">
        <f aca="false">MIN(AN300,AO300)</f>
        <v>44.9166666666667</v>
      </c>
      <c r="AQ300" s="15" t="n">
        <f aca="false">AP300*INDEX(Ipotesi!$C$31:$G$31,1,F300)*H300</f>
        <v>44467.5</v>
      </c>
      <c r="AR300" s="15" t="n">
        <f aca="false">INDEX(Ipotesi!$C$75:$G$75,1,F300)*J300/12</f>
        <v>7166.66666666667</v>
      </c>
      <c r="AS300" s="15" t="n">
        <f aca="false">INDEX(Ipotesi!$C$81:$G$81,1,F300)*J300/12</f>
        <v>416.666666666667</v>
      </c>
      <c r="AT300" s="15" t="n">
        <f aca="false">AR300*Parametri_v3!$C$15+Z300*Parametri_v3!$C$16</f>
        <v>12484.6957939167</v>
      </c>
      <c r="AU300" s="15" t="n">
        <f aca="false">Q300*Parametri_v3!$C$16*Parametri_v3!$C$17</f>
        <v>126</v>
      </c>
      <c r="AV300" s="17" t="n">
        <f aca="false">BD299</f>
        <v>35.881654405735</v>
      </c>
      <c r="AW300" s="17" t="n">
        <f aca="false">AV300*(1-(1-INDEX(Ipotesi!$C$34:$G$34,1,F300))^(1/12))</f>
        <v>0.313663463225815</v>
      </c>
      <c r="AX300" s="15" t="n">
        <f aca="false">ROUND(INDEX(Ipotesi!$C$32:$G$32,1,F300)*Ipotesi!G8,0)</f>
        <v>196</v>
      </c>
      <c r="AY300" s="15" t="n">
        <f aca="false">MAX(0,(AX300-(AV300-AW300))/(13-E300))</f>
        <v>32.0864018114982</v>
      </c>
      <c r="AZ300" s="15" t="n">
        <f aca="false">MIN(P300*Parametri_v3!$C$22,Q300*(1-Parametri_v3!$C$16)*Parametri_v3!$C$23)</f>
        <v>81</v>
      </c>
      <c r="BA300" s="15" t="n">
        <f aca="false">IF(OR(INDEX(Ipotesi!$C$35:$G$35,1,F300)&lt;=0,56-Parametri_v3!$C$21&lt;1),0,INDEX($AT$245:$AT$304,MAX(1,56-Parametri_v3!$C$21))/(INDEX(Ipotesi!$C$35:$G$35,1,F300)*Ipotesi!G27))</f>
        <v>1.47747879217949</v>
      </c>
      <c r="BB300" s="15" t="n">
        <f aca="false">IF(56-Parametri_v3!$C$21&lt;1,0,INDEX($AU$245:$AU$304,MAX(1,56-Parametri_v3!$C$21)))*Parametri_v3!$C$18*Parametri_v3!$C$19*Parametri_v3!$C$20</f>
        <v>4.725</v>
      </c>
      <c r="BC300" s="17" t="n">
        <f aca="false">MAX(0,MIN(AY300,BA300,BB300,MAX(0,AZ300-(AV300-AW300))))</f>
        <v>1.47747879217949</v>
      </c>
      <c r="BD300" s="17" t="n">
        <f aca="false">AV300-AW300+BC300</f>
        <v>37.0454697346887</v>
      </c>
      <c r="BE300" s="17" t="n">
        <f aca="false">(AV300+BD300)/2</f>
        <v>36.4635620702119</v>
      </c>
      <c r="BF300" s="15" t="n">
        <f aca="false">BE300*INDEX(Ipotesi!$C$33:$G$33,1,F300)*H300/12</f>
        <v>16955.5563626485</v>
      </c>
      <c r="BG300" s="15" t="n">
        <f aca="false">BD300*INDEX(Ipotesi!$C$33:$G$33,1,F300)*H300</f>
        <v>206713.721119563</v>
      </c>
      <c r="BH300" s="15" t="n">
        <f aca="false">AM300*INDEX(Ipotesi!$C$37:$G$37,1,F300)</f>
        <v>5739.9375</v>
      </c>
      <c r="BI300" s="15" t="n">
        <f aca="false">AQ300+BF300+BH300</f>
        <v>67162.9938626485</v>
      </c>
      <c r="BJ300" s="15" t="n">
        <f aca="false">INDEX(Ipotesi!$C$68:$G$68,1,F300)*Ipotesi!$C$69/12</f>
        <v>3333.33333333333</v>
      </c>
      <c r="BK300" s="15" t="n">
        <f aca="false">INDEX(Ipotesi!$C$68:$G$68,1,F300)*(1-Ipotesi!$C$69)/12</f>
        <v>5000</v>
      </c>
      <c r="BL300" s="15" t="n">
        <f aca="false">(AQ300+BF300)*Ipotesi!$C$67</f>
        <v>1842.69169087946</v>
      </c>
      <c r="BM300" s="15" t="n">
        <f aca="false">AM300*Ipotesi!$C$67</f>
        <v>1721.98125</v>
      </c>
      <c r="BN300" s="15" t="n">
        <f aca="false">INDEX(Ipotesi!$C$72:$G$72,1,F300)/12*Ipotesi!G126+BF300*Ipotesi!$C$73</f>
        <v>2106.44450901188</v>
      </c>
      <c r="BO300" s="15" t="n">
        <f aca="false">INDEX(Ipotesi!$C$74:$G$74,1,F300)/12*Ipotesi!G126</f>
        <v>3250</v>
      </c>
      <c r="BP300" s="15" t="n">
        <f aca="false">INDEX(Ipotesi!$C$76:$G$76,1,F300)/12</f>
        <v>1916.66666666667</v>
      </c>
      <c r="BQ300" s="15" t="n">
        <f aca="false">INDEX(Ipotesi!$C$77:$G$77,1,F300)/12*Ipotesi!G126</f>
        <v>1500</v>
      </c>
      <c r="BR300" s="15" t="n">
        <f aca="false">INDEX(Ipotesi!$C$78:$G$78,1,F300)/12</f>
        <v>2333.33333333333</v>
      </c>
      <c r="BS300" s="15" t="n">
        <f aca="false">SUM(M300:R300)*(Ipotesi!$C$85+Ipotesi!$C$86)/12</f>
        <v>3259.375</v>
      </c>
      <c r="BT300" s="15" t="n">
        <f aca="false">BI300*Ipotesi!$C$87</f>
        <v>2014.88981587946</v>
      </c>
      <c r="BU300" s="15" t="n">
        <f aca="false">INDEX(Ipotesi!$C$55:$G$55,1,F300)*K300/12</f>
        <v>1200</v>
      </c>
      <c r="BV300" s="15" t="n">
        <f aca="false">INDEX(Ipotesi!$C$80:$G$80,1,F300)/12*Ipotesi!G126</f>
        <v>1250</v>
      </c>
      <c r="BW300" s="15" t="n">
        <f aca="false">INDEX(Ipotesi!$C$82:$G$82,1,F300)/12</f>
        <v>1500</v>
      </c>
      <c r="BX300" s="15" t="n">
        <f aca="false">INDEX(Ipotesi!$C$83:$G$83,1,F300)/12</f>
        <v>833.333333333333</v>
      </c>
      <c r="BY300" s="15" t="n">
        <f aca="false">SUM(S300:U300)*(Ipotesi!$C$85+Ipotesi!$C$86)/12</f>
        <v>1618.75</v>
      </c>
      <c r="BZ300" s="15" t="n">
        <f aca="false">AM300*Ipotesi!$C$87</f>
        <v>1721.98125</v>
      </c>
      <c r="CA300" s="15" t="n">
        <f aca="false">AB300+BJ300+BL300+BN300+BO300+AR300+BP300+BQ300+BR300+BS300+BT300</f>
        <v>81627.8697413958</v>
      </c>
      <c r="CB300" s="15" t="n">
        <f aca="false">AC300+BK300+BM300+BH300+BU300+BV300+AS300+BW300+BX300+BY300+BZ300</f>
        <v>43175.173557</v>
      </c>
      <c r="CC300" s="15" t="n">
        <f aca="false">BI300-CA300</f>
        <v>-14464.8758787473</v>
      </c>
      <c r="CD300" s="15" t="n">
        <f aca="false">AM300-CB300</f>
        <v>14224.201443</v>
      </c>
      <c r="CE300" s="15" t="n">
        <f aca="false">INDEX(Ipotesi!$C$79:$G$79,1,F300)/12</f>
        <v>4166.66666666667</v>
      </c>
      <c r="CF300" s="15" t="n">
        <f aca="false">INDEX(Ipotesi!$C$84:$G$84,1,F300)/12</f>
        <v>666.666666666667</v>
      </c>
      <c r="CG300" s="15" t="n">
        <f aca="false">Y300*MAX(0,Parametri_v3!$C$12-IF(P300=0,0,MIN(1,BE300/(P300*Parametri_v3!$C$22))))+W300*Parametri_v3!$C$13+X300*Parametri_v3!$C$14</f>
        <v>15805.7283408748</v>
      </c>
      <c r="CH300" s="15" t="n">
        <f aca="false">AB300*Parametri_v3!$C$32</f>
        <v>2645.22343628125</v>
      </c>
      <c r="CI300" s="15" t="n">
        <f aca="false">AC300*Parametri_v3!$C$32</f>
        <v>1108.62617785</v>
      </c>
      <c r="CJ300" s="15" t="n">
        <f aca="false">CA300-AB300</f>
        <v>28723.4010157708</v>
      </c>
      <c r="CK300" s="15" t="n">
        <f aca="false">CB300-AC300-BH300</f>
        <v>15262.7125</v>
      </c>
      <c r="CL300" s="15" t="n">
        <f aca="false">BF300*Ipotesi!$C$73+INDEX(Ipotesi!$C$72:$G$72,1,F300)/12*Ipotesi!G126*Parametri_v3!$C$58+Z300*(1-Parametri_v3!$C$16)</f>
        <v>4385.59984926188</v>
      </c>
      <c r="CM300" s="16" t="n">
        <f aca="false">IF(BF300=0,0,1-CL300/BF300)</f>
        <v>0.741347334439409</v>
      </c>
    </row>
    <row r="301" customFormat="false" ht="18" hidden="false" customHeight="true" outlineLevel="0" collapsed="false">
      <c r="A301" s="68" t="n">
        <f aca="false">5</f>
        <v>5</v>
      </c>
      <c r="B301" s="68" t="n">
        <f aca="false">57</f>
        <v>57</v>
      </c>
      <c r="C301" s="18" t="n">
        <f aca="false">EDATE(Parametri_v3!$C$5,57-1)</f>
        <v>48092</v>
      </c>
      <c r="D301" s="68" t="n">
        <f aca="false">YEAR(C301)</f>
        <v>2031</v>
      </c>
      <c r="E301" s="68" t="n">
        <f aca="false">MONTH(C301)</f>
        <v>9</v>
      </c>
      <c r="F301" s="68" t="n">
        <f aca="false">INT((57-1)/12)+1</f>
        <v>5</v>
      </c>
      <c r="G301" s="15" t="n">
        <f aca="false">Ipotesi!G7</f>
        <v>0.55</v>
      </c>
      <c r="H301" s="15" t="n">
        <f aca="false">Ipotesi!G9</f>
        <v>0.9</v>
      </c>
      <c r="I301" s="15" t="n">
        <f aca="false">Ipotesi!G10</f>
        <v>0.3</v>
      </c>
      <c r="J301" s="15" t="n">
        <f aca="false">Ipotesi!G11</f>
        <v>0.2</v>
      </c>
      <c r="K301" s="15" t="n">
        <f aca="false">Ipotesi!G12</f>
        <v>0.6</v>
      </c>
      <c r="L301" s="15" t="n">
        <f aca="false">Ipotesi!G13</f>
        <v>120</v>
      </c>
      <c r="M301" s="17" t="n">
        <f aca="false">INDEX(Ipotesi!$C$40:$G$40,1,F301)</f>
        <v>1</v>
      </c>
      <c r="N301" s="17" t="n">
        <f aca="false">INDEX(Ipotesi!$C$41:$G$41,1,F301)</f>
        <v>1</v>
      </c>
      <c r="O301" s="17" t="n">
        <f aca="false">INDEX(Ipotesi!$C$42:$G$42,1,F301)*Ipotesi!G125</f>
        <v>4.675</v>
      </c>
      <c r="P301" s="17" t="n">
        <f aca="false">INDEX(Ipotesi!$C$43:$G$43,1,F301)*I301</f>
        <v>2.1</v>
      </c>
      <c r="Q301" s="17" t="n">
        <f aca="false">INDEX(Ipotesi!$C$44:$G$44,1,F301)*I301</f>
        <v>1.8</v>
      </c>
      <c r="R301" s="17" t="n">
        <f aca="false">INDEX(Ipotesi!$C$45:$G$45,1,F301)*I301</f>
        <v>0.6</v>
      </c>
      <c r="S301" s="17" t="n">
        <f aca="false">INDEX(Ipotesi!$C$52:$G$52,1,F301)*Ipotesi!G125</f>
        <v>4.95</v>
      </c>
      <c r="T301" s="17" t="n">
        <f aca="false">INDEX(Ipotesi!$C$53:$G$53,1,F301)*I301</f>
        <v>0.3</v>
      </c>
      <c r="U301" s="17" t="n">
        <f aca="false">INDEX(Ipotesi!$C$54:$G$54,1,F301)*I301</f>
        <v>0.3</v>
      </c>
      <c r="V301" s="15" t="n">
        <f aca="false">M301*INDEX(Ipotesi!$C$58:$G$58,1,F301)*K301/12</f>
        <v>5000</v>
      </c>
      <c r="W301" s="15" t="n">
        <f aca="false">N301*Ipotesi!$C$59*(1+Ipotesi!$C$66)^(F301-1)/12</f>
        <v>6565.46805833334</v>
      </c>
      <c r="X301" s="15" t="n">
        <f aca="false">O301*Ipotesi!$C$60*(1+Ipotesi!$C$66)^(F301-1)/12</f>
        <v>21923.9736947917</v>
      </c>
      <c r="Y301" s="15" t="n">
        <f aca="false">P301*Ipotesi!$C$61*(1+Ipotesi!$C$66)^(F301-1)/12</f>
        <v>9848.2020875</v>
      </c>
      <c r="Z301" s="15" t="n">
        <f aca="false">Q301*Ipotesi!$C$62*(1+Ipotesi!$C$66)^(F301-1)/12</f>
        <v>7597.1844675</v>
      </c>
      <c r="AA301" s="15" t="n">
        <f aca="false">R301*Ipotesi!$C$63*(1+Ipotesi!$C$66)^(F301-1)/12</f>
        <v>1969.6404175</v>
      </c>
      <c r="AB301" s="15" t="n">
        <f aca="false">SUM(V301:AA301)</f>
        <v>52904.468725625</v>
      </c>
      <c r="AC301" s="15" t="n">
        <f aca="false">(S301*Ipotesi!$C$64+T301*Ipotesi!$C$65+U301*Ipotesi!$C$63)*(1+Ipotesi!$C$66)^(F301-1)/12</f>
        <v>22172.523557</v>
      </c>
      <c r="AD301" s="15" t="n">
        <f aca="false">INDEX(Ipotesi!$C$48:$G$48,1,F301)*G301/12</f>
        <v>52.7083333333333</v>
      </c>
      <c r="AE301" s="15" t="n">
        <f aca="false">INDEX(Ipotesi!$C$50:$G$50,1,F301)*G301/12</f>
        <v>5.27083333333333</v>
      </c>
      <c r="AF301" s="15" t="n">
        <f aca="false">(S301*Parametri_v3!$C$7*Parametri_v3!$C$8+Parametri_v3!$C$10)/12</f>
        <v>63.525</v>
      </c>
      <c r="AG301" s="15" t="n">
        <f aca="false">AD301+AE301*(1+Parametri_v3!$C$9)</f>
        <v>60.6145833333333</v>
      </c>
      <c r="AH301" s="16" t="n">
        <f aca="false">IF(AG301=0,1,MIN(1,AF301/AG301))</f>
        <v>1</v>
      </c>
      <c r="AI301" s="15" t="n">
        <f aca="false">AD301*AH301</f>
        <v>52.7083333333333</v>
      </c>
      <c r="AJ301" s="15" t="n">
        <f aca="false">AE301*AH301</f>
        <v>5.27083333333333</v>
      </c>
      <c r="AK301" s="15" t="n">
        <f aca="false">AI301*INDEX(Ipotesi!$C$49:$G$49,1,F301)*H301</f>
        <v>45065.625</v>
      </c>
      <c r="AL301" s="15" t="n">
        <f aca="false">AJ301*INDEX(Ipotesi!$C$51:$G$51,1,F301)*H301</f>
        <v>12333.75</v>
      </c>
      <c r="AM301" s="15" t="n">
        <f aca="false">AK301+AL301</f>
        <v>57399.375</v>
      </c>
      <c r="AN301" s="15" t="n">
        <f aca="false">INDEX(Ipotesi!$C$30:$G$30,1,F301)*G301/12</f>
        <v>44.9166666666667</v>
      </c>
      <c r="AO301" s="15" t="n">
        <f aca="false">O301*Parametri_v3!$C$7*Parametri_v3!$C$11*(1-Parametri_v3!$C$14)/12</f>
        <v>47.9966666666667</v>
      </c>
      <c r="AP301" s="15" t="n">
        <f aca="false">MIN(AN301,AO301)</f>
        <v>44.9166666666667</v>
      </c>
      <c r="AQ301" s="15" t="n">
        <f aca="false">AP301*INDEX(Ipotesi!$C$31:$G$31,1,F301)*H301</f>
        <v>44467.5</v>
      </c>
      <c r="AR301" s="15" t="n">
        <f aca="false">INDEX(Ipotesi!$C$75:$G$75,1,F301)*J301/12</f>
        <v>7166.66666666667</v>
      </c>
      <c r="AS301" s="15" t="n">
        <f aca="false">INDEX(Ipotesi!$C$81:$G$81,1,F301)*J301/12</f>
        <v>416.666666666667</v>
      </c>
      <c r="AT301" s="15" t="n">
        <f aca="false">AR301*Parametri_v3!$C$15+Z301*Parametri_v3!$C$16</f>
        <v>12484.6957939167</v>
      </c>
      <c r="AU301" s="15" t="n">
        <f aca="false">Q301*Parametri_v3!$C$16*Parametri_v3!$C$17</f>
        <v>126</v>
      </c>
      <c r="AV301" s="17" t="n">
        <f aca="false">BD300</f>
        <v>37.0454697346887</v>
      </c>
      <c r="AW301" s="17" t="n">
        <f aca="false">AV301*(1-(1-INDEX(Ipotesi!$C$34:$G$34,1,F301))^(1/12))</f>
        <v>0.32383708405464</v>
      </c>
      <c r="AX301" s="15" t="n">
        <f aca="false">ROUND(INDEX(Ipotesi!$C$32:$G$32,1,F301)*Ipotesi!G8,0)</f>
        <v>196</v>
      </c>
      <c r="AY301" s="15" t="n">
        <f aca="false">MAX(0,(AX301-(AV301-AW301))/(13-E301))</f>
        <v>39.8195918373415</v>
      </c>
      <c r="AZ301" s="15" t="n">
        <f aca="false">MIN(P301*Parametri_v3!$C$22,Q301*(1-Parametri_v3!$C$16)*Parametri_v3!$C$23)</f>
        <v>81</v>
      </c>
      <c r="BA301" s="15" t="n">
        <f aca="false">IF(OR(INDEX(Ipotesi!$C$35:$G$35,1,F301)&lt;=0,57-Parametri_v3!$C$21&lt;1),0,INDEX($AT$245:$AT$304,MAX(1,57-Parametri_v3!$C$21))/(INDEX(Ipotesi!$C$35:$G$35,1,F301)*Ipotesi!G27))</f>
        <v>1.47747879217949</v>
      </c>
      <c r="BB301" s="15" t="n">
        <f aca="false">IF(57-Parametri_v3!$C$21&lt;1,0,INDEX($AU$245:$AU$304,MAX(1,57-Parametri_v3!$C$21)))*Parametri_v3!$C$18*Parametri_v3!$C$19*Parametri_v3!$C$20</f>
        <v>4.725</v>
      </c>
      <c r="BC301" s="17" t="n">
        <f aca="false">MAX(0,MIN(AY301,BA301,BB301,MAX(0,AZ301-(AV301-AW301))))</f>
        <v>1.47747879217949</v>
      </c>
      <c r="BD301" s="17" t="n">
        <f aca="false">AV301-AW301+BC301</f>
        <v>38.1991114428135</v>
      </c>
      <c r="BE301" s="17" t="n">
        <f aca="false">(AV301+BD301)/2</f>
        <v>37.6222905887511</v>
      </c>
      <c r="BF301" s="15" t="n">
        <f aca="false">BE301*INDEX(Ipotesi!$C$33:$G$33,1,F301)*H301/12</f>
        <v>17494.3651237693</v>
      </c>
      <c r="BG301" s="15" t="n">
        <f aca="false">BD301*INDEX(Ipotesi!$C$33:$G$33,1,F301)*H301</f>
        <v>213151.0418509</v>
      </c>
      <c r="BH301" s="15" t="n">
        <f aca="false">AM301*INDEX(Ipotesi!$C$37:$G$37,1,F301)</f>
        <v>5739.9375</v>
      </c>
      <c r="BI301" s="15" t="n">
        <f aca="false">AQ301+BF301+BH301</f>
        <v>67701.8026237693</v>
      </c>
      <c r="BJ301" s="15" t="n">
        <f aca="false">INDEX(Ipotesi!$C$68:$G$68,1,F301)*Ipotesi!$C$69/12</f>
        <v>3333.33333333333</v>
      </c>
      <c r="BK301" s="15" t="n">
        <f aca="false">INDEX(Ipotesi!$C$68:$G$68,1,F301)*(1-Ipotesi!$C$69)/12</f>
        <v>5000</v>
      </c>
      <c r="BL301" s="15" t="n">
        <f aca="false">(AQ301+BF301)*Ipotesi!$C$67</f>
        <v>1858.85595371308</v>
      </c>
      <c r="BM301" s="15" t="n">
        <f aca="false">AM301*Ipotesi!$C$67</f>
        <v>1721.98125</v>
      </c>
      <c r="BN301" s="15" t="n">
        <f aca="false">INDEX(Ipotesi!$C$72:$G$72,1,F301)/12*Ipotesi!G126+BF301*Ipotesi!$C$73</f>
        <v>2149.54920990154</v>
      </c>
      <c r="BO301" s="15" t="n">
        <f aca="false">INDEX(Ipotesi!$C$74:$G$74,1,F301)/12*Ipotesi!G126</f>
        <v>3250</v>
      </c>
      <c r="BP301" s="15" t="n">
        <f aca="false">INDEX(Ipotesi!$C$76:$G$76,1,F301)/12</f>
        <v>1916.66666666667</v>
      </c>
      <c r="BQ301" s="15" t="n">
        <f aca="false">INDEX(Ipotesi!$C$77:$G$77,1,F301)/12*Ipotesi!G126</f>
        <v>1500</v>
      </c>
      <c r="BR301" s="15" t="n">
        <f aca="false">INDEX(Ipotesi!$C$78:$G$78,1,F301)/12</f>
        <v>2333.33333333333</v>
      </c>
      <c r="BS301" s="15" t="n">
        <f aca="false">SUM(M301:R301)*(Ipotesi!$C$85+Ipotesi!$C$86)/12</f>
        <v>3259.375</v>
      </c>
      <c r="BT301" s="15" t="n">
        <f aca="false">BI301*Ipotesi!$C$87</f>
        <v>2031.05407871308</v>
      </c>
      <c r="BU301" s="15" t="n">
        <f aca="false">INDEX(Ipotesi!$C$55:$G$55,1,F301)*K301/12</f>
        <v>1200</v>
      </c>
      <c r="BV301" s="15" t="n">
        <f aca="false">INDEX(Ipotesi!$C$80:$G$80,1,F301)/12*Ipotesi!G126</f>
        <v>1250</v>
      </c>
      <c r="BW301" s="15" t="n">
        <f aca="false">INDEX(Ipotesi!$C$82:$G$82,1,F301)/12</f>
        <v>1500</v>
      </c>
      <c r="BX301" s="15" t="n">
        <f aca="false">INDEX(Ipotesi!$C$83:$G$83,1,F301)/12</f>
        <v>833.333333333333</v>
      </c>
      <c r="BY301" s="15" t="n">
        <f aca="false">SUM(S301:U301)*(Ipotesi!$C$85+Ipotesi!$C$86)/12</f>
        <v>1618.75</v>
      </c>
      <c r="BZ301" s="15" t="n">
        <f aca="false">AM301*Ipotesi!$C$87</f>
        <v>1721.98125</v>
      </c>
      <c r="CA301" s="15" t="n">
        <f aca="false">AB301+BJ301+BL301+BN301+BO301+AR301+BP301+BQ301+BR301+BS301+BT301</f>
        <v>81703.3029679527</v>
      </c>
      <c r="CB301" s="15" t="n">
        <f aca="false">AC301+BK301+BM301+BH301+BU301+BV301+AS301+BW301+BX301+BY301+BZ301</f>
        <v>43175.173557</v>
      </c>
      <c r="CC301" s="15" t="n">
        <f aca="false">BI301-CA301</f>
        <v>-14001.5003441834</v>
      </c>
      <c r="CD301" s="15" t="n">
        <f aca="false">AM301-CB301</f>
        <v>14224.201443</v>
      </c>
      <c r="CE301" s="15" t="n">
        <f aca="false">INDEX(Ipotesi!$C$79:$G$79,1,F301)/12</f>
        <v>4166.66666666667</v>
      </c>
      <c r="CF301" s="15" t="n">
        <f aca="false">INDEX(Ipotesi!$C$84:$G$84,1,F301)/12</f>
        <v>666.666666666667</v>
      </c>
      <c r="CG301" s="15" t="n">
        <f aca="false">Y301*MAX(0,Parametri_v3!$C$12-IF(P301=0,0,MIN(1,BE301/(P301*Parametri_v3!$C$22))))+W301*Parametri_v3!$C$13+X301*Parametri_v3!$C$14</f>
        <v>15751.3883760409</v>
      </c>
      <c r="CH301" s="15" t="n">
        <f aca="false">AB301*Parametri_v3!$C$32</f>
        <v>2645.22343628125</v>
      </c>
      <c r="CI301" s="15" t="n">
        <f aca="false">AC301*Parametri_v3!$C$32</f>
        <v>1108.62617785</v>
      </c>
      <c r="CJ301" s="15" t="n">
        <f aca="false">CA301-AB301</f>
        <v>28798.8342423277</v>
      </c>
      <c r="CK301" s="15" t="n">
        <f aca="false">CB301-AC301-BH301</f>
        <v>15262.7125</v>
      </c>
      <c r="CL301" s="15" t="n">
        <f aca="false">BF301*Ipotesi!$C$73+INDEX(Ipotesi!$C$72:$G$72,1,F301)/12*Ipotesi!G126*Parametri_v3!$C$58+Z301*(1-Parametri_v3!$C$16)</f>
        <v>4428.70455015154</v>
      </c>
      <c r="CM301" s="16" t="n">
        <f aca="false">IF(BF301=0,0,1-CL301/BF301)</f>
        <v>0.746849655942396</v>
      </c>
    </row>
    <row r="302" customFormat="false" ht="18" hidden="false" customHeight="true" outlineLevel="0" collapsed="false">
      <c r="A302" s="68" t="n">
        <f aca="false">5</f>
        <v>5</v>
      </c>
      <c r="B302" s="68" t="n">
        <f aca="false">58</f>
        <v>58</v>
      </c>
      <c r="C302" s="18" t="n">
        <f aca="false">EDATE(Parametri_v3!$C$5,58-1)</f>
        <v>48122</v>
      </c>
      <c r="D302" s="68" t="n">
        <f aca="false">YEAR(C302)</f>
        <v>2031</v>
      </c>
      <c r="E302" s="68" t="n">
        <f aca="false">MONTH(C302)</f>
        <v>10</v>
      </c>
      <c r="F302" s="68" t="n">
        <f aca="false">INT((58-1)/12)+1</f>
        <v>5</v>
      </c>
      <c r="G302" s="15" t="n">
        <f aca="false">Ipotesi!G7</f>
        <v>0.55</v>
      </c>
      <c r="H302" s="15" t="n">
        <f aca="false">Ipotesi!G9</f>
        <v>0.9</v>
      </c>
      <c r="I302" s="15" t="n">
        <f aca="false">Ipotesi!G10</f>
        <v>0.3</v>
      </c>
      <c r="J302" s="15" t="n">
        <f aca="false">Ipotesi!G11</f>
        <v>0.2</v>
      </c>
      <c r="K302" s="15" t="n">
        <f aca="false">Ipotesi!G12</f>
        <v>0.6</v>
      </c>
      <c r="L302" s="15" t="n">
        <f aca="false">Ipotesi!G13</f>
        <v>120</v>
      </c>
      <c r="M302" s="17" t="n">
        <f aca="false">INDEX(Ipotesi!$C$40:$G$40,1,F302)</f>
        <v>1</v>
      </c>
      <c r="N302" s="17" t="n">
        <f aca="false">INDEX(Ipotesi!$C$41:$G$41,1,F302)</f>
        <v>1</v>
      </c>
      <c r="O302" s="17" t="n">
        <f aca="false">INDEX(Ipotesi!$C$42:$G$42,1,F302)*Ipotesi!G125</f>
        <v>4.675</v>
      </c>
      <c r="P302" s="17" t="n">
        <f aca="false">INDEX(Ipotesi!$C$43:$G$43,1,F302)*I302</f>
        <v>2.1</v>
      </c>
      <c r="Q302" s="17" t="n">
        <f aca="false">INDEX(Ipotesi!$C$44:$G$44,1,F302)*I302</f>
        <v>1.8</v>
      </c>
      <c r="R302" s="17" t="n">
        <f aca="false">INDEX(Ipotesi!$C$45:$G$45,1,F302)*I302</f>
        <v>0.6</v>
      </c>
      <c r="S302" s="17" t="n">
        <f aca="false">INDEX(Ipotesi!$C$52:$G$52,1,F302)*Ipotesi!G125</f>
        <v>4.95</v>
      </c>
      <c r="T302" s="17" t="n">
        <f aca="false">INDEX(Ipotesi!$C$53:$G$53,1,F302)*I302</f>
        <v>0.3</v>
      </c>
      <c r="U302" s="17" t="n">
        <f aca="false">INDEX(Ipotesi!$C$54:$G$54,1,F302)*I302</f>
        <v>0.3</v>
      </c>
      <c r="V302" s="15" t="n">
        <f aca="false">M302*INDEX(Ipotesi!$C$58:$G$58,1,F302)*K302/12</f>
        <v>5000</v>
      </c>
      <c r="W302" s="15" t="n">
        <f aca="false">N302*Ipotesi!$C$59*(1+Ipotesi!$C$66)^(F302-1)/12</f>
        <v>6565.46805833334</v>
      </c>
      <c r="X302" s="15" t="n">
        <f aca="false">O302*Ipotesi!$C$60*(1+Ipotesi!$C$66)^(F302-1)/12</f>
        <v>21923.9736947917</v>
      </c>
      <c r="Y302" s="15" t="n">
        <f aca="false">P302*Ipotesi!$C$61*(1+Ipotesi!$C$66)^(F302-1)/12</f>
        <v>9848.2020875</v>
      </c>
      <c r="Z302" s="15" t="n">
        <f aca="false">Q302*Ipotesi!$C$62*(1+Ipotesi!$C$66)^(F302-1)/12</f>
        <v>7597.1844675</v>
      </c>
      <c r="AA302" s="15" t="n">
        <f aca="false">R302*Ipotesi!$C$63*(1+Ipotesi!$C$66)^(F302-1)/12</f>
        <v>1969.6404175</v>
      </c>
      <c r="AB302" s="15" t="n">
        <f aca="false">SUM(V302:AA302)</f>
        <v>52904.468725625</v>
      </c>
      <c r="AC302" s="15" t="n">
        <f aca="false">(S302*Ipotesi!$C$64+T302*Ipotesi!$C$65+U302*Ipotesi!$C$63)*(1+Ipotesi!$C$66)^(F302-1)/12</f>
        <v>22172.523557</v>
      </c>
      <c r="AD302" s="15" t="n">
        <f aca="false">INDEX(Ipotesi!$C$48:$G$48,1,F302)*G302/12</f>
        <v>52.7083333333333</v>
      </c>
      <c r="AE302" s="15" t="n">
        <f aca="false">INDEX(Ipotesi!$C$50:$G$50,1,F302)*G302/12</f>
        <v>5.27083333333333</v>
      </c>
      <c r="AF302" s="15" t="n">
        <f aca="false">(S302*Parametri_v3!$C$7*Parametri_v3!$C$8+Parametri_v3!$C$10)/12</f>
        <v>63.525</v>
      </c>
      <c r="AG302" s="15" t="n">
        <f aca="false">AD302+AE302*(1+Parametri_v3!$C$9)</f>
        <v>60.6145833333333</v>
      </c>
      <c r="AH302" s="16" t="n">
        <f aca="false">IF(AG302=0,1,MIN(1,AF302/AG302))</f>
        <v>1</v>
      </c>
      <c r="AI302" s="15" t="n">
        <f aca="false">AD302*AH302</f>
        <v>52.7083333333333</v>
      </c>
      <c r="AJ302" s="15" t="n">
        <f aca="false">AE302*AH302</f>
        <v>5.27083333333333</v>
      </c>
      <c r="AK302" s="15" t="n">
        <f aca="false">AI302*INDEX(Ipotesi!$C$49:$G$49,1,F302)*H302</f>
        <v>45065.625</v>
      </c>
      <c r="AL302" s="15" t="n">
        <f aca="false">AJ302*INDEX(Ipotesi!$C$51:$G$51,1,F302)*H302</f>
        <v>12333.75</v>
      </c>
      <c r="AM302" s="15" t="n">
        <f aca="false">AK302+AL302</f>
        <v>57399.375</v>
      </c>
      <c r="AN302" s="15" t="n">
        <f aca="false">INDEX(Ipotesi!$C$30:$G$30,1,F302)*G302/12</f>
        <v>44.9166666666667</v>
      </c>
      <c r="AO302" s="15" t="n">
        <f aca="false">O302*Parametri_v3!$C$7*Parametri_v3!$C$11*(1-Parametri_v3!$C$14)/12</f>
        <v>47.9966666666667</v>
      </c>
      <c r="AP302" s="15" t="n">
        <f aca="false">MIN(AN302,AO302)</f>
        <v>44.9166666666667</v>
      </c>
      <c r="AQ302" s="15" t="n">
        <f aca="false">AP302*INDEX(Ipotesi!$C$31:$G$31,1,F302)*H302</f>
        <v>44467.5</v>
      </c>
      <c r="AR302" s="15" t="n">
        <f aca="false">INDEX(Ipotesi!$C$75:$G$75,1,F302)*J302/12</f>
        <v>7166.66666666667</v>
      </c>
      <c r="AS302" s="15" t="n">
        <f aca="false">INDEX(Ipotesi!$C$81:$G$81,1,F302)*J302/12</f>
        <v>416.666666666667</v>
      </c>
      <c r="AT302" s="15" t="n">
        <f aca="false">AR302*Parametri_v3!$C$15+Z302*Parametri_v3!$C$16</f>
        <v>12484.6957939167</v>
      </c>
      <c r="AU302" s="15" t="n">
        <f aca="false">Q302*Parametri_v3!$C$16*Parametri_v3!$C$17</f>
        <v>126</v>
      </c>
      <c r="AV302" s="17" t="n">
        <f aca="false">BD301</f>
        <v>38.1991114428135</v>
      </c>
      <c r="AW302" s="17" t="n">
        <f aca="false">AV302*(1-(1-INDEX(Ipotesi!$C$34:$G$34,1,F302))^(1/12))</f>
        <v>0.33392177104818</v>
      </c>
      <c r="AX302" s="15" t="n">
        <f aca="false">ROUND(INDEX(Ipotesi!$C$32:$G$32,1,F302)*Ipotesi!G8,0)</f>
        <v>196</v>
      </c>
      <c r="AY302" s="15" t="n">
        <f aca="false">MAX(0,(AX302-(AV302-AW302))/(13-E302))</f>
        <v>52.7116034427449</v>
      </c>
      <c r="AZ302" s="15" t="n">
        <f aca="false">MIN(P302*Parametri_v3!$C$22,Q302*(1-Parametri_v3!$C$16)*Parametri_v3!$C$23)</f>
        <v>81</v>
      </c>
      <c r="BA302" s="15" t="n">
        <f aca="false">IF(OR(INDEX(Ipotesi!$C$35:$G$35,1,F302)&lt;=0,58-Parametri_v3!$C$21&lt;1),0,INDEX($AT$245:$AT$304,MAX(1,58-Parametri_v3!$C$21))/(INDEX(Ipotesi!$C$35:$G$35,1,F302)*Ipotesi!G27))</f>
        <v>1.47747879217949</v>
      </c>
      <c r="BB302" s="15" t="n">
        <f aca="false">IF(58-Parametri_v3!$C$21&lt;1,0,INDEX($AU$245:$AU$304,MAX(1,58-Parametri_v3!$C$21)))*Parametri_v3!$C$18*Parametri_v3!$C$19*Parametri_v3!$C$20</f>
        <v>4.725</v>
      </c>
      <c r="BC302" s="17" t="n">
        <f aca="false">MAX(0,MIN(AY302,BA302,BB302,MAX(0,AZ302-(AV302-AW302))))</f>
        <v>1.47747879217949</v>
      </c>
      <c r="BD302" s="17" t="n">
        <f aca="false">AV302-AW302+BC302</f>
        <v>39.3426684639449</v>
      </c>
      <c r="BE302" s="17" t="n">
        <f aca="false">(AV302+BD302)/2</f>
        <v>38.7708899533792</v>
      </c>
      <c r="BF302" s="15" t="n">
        <f aca="false">BE302*INDEX(Ipotesi!$C$33:$G$33,1,F302)*H302/12</f>
        <v>18028.4638283213</v>
      </c>
      <c r="BG302" s="15" t="n">
        <f aca="false">BD302*INDEX(Ipotesi!$C$33:$G$33,1,F302)*H302</f>
        <v>219532.090028812</v>
      </c>
      <c r="BH302" s="15" t="n">
        <f aca="false">AM302*INDEX(Ipotesi!$C$37:$G$37,1,F302)</f>
        <v>5739.9375</v>
      </c>
      <c r="BI302" s="15" t="n">
        <f aca="false">AQ302+BF302+BH302</f>
        <v>68235.9013283213</v>
      </c>
      <c r="BJ302" s="15" t="n">
        <f aca="false">INDEX(Ipotesi!$C$68:$G$68,1,F302)*Ipotesi!$C$69/12</f>
        <v>3333.33333333333</v>
      </c>
      <c r="BK302" s="15" t="n">
        <f aca="false">INDEX(Ipotesi!$C$68:$G$68,1,F302)*(1-Ipotesi!$C$69)/12</f>
        <v>5000</v>
      </c>
      <c r="BL302" s="15" t="n">
        <f aca="false">(AQ302+BF302)*Ipotesi!$C$67</f>
        <v>1874.87891484964</v>
      </c>
      <c r="BM302" s="15" t="n">
        <f aca="false">AM302*Ipotesi!$C$67</f>
        <v>1721.98125</v>
      </c>
      <c r="BN302" s="15" t="n">
        <f aca="false">INDEX(Ipotesi!$C$72:$G$72,1,F302)/12*Ipotesi!G126+BF302*Ipotesi!$C$73</f>
        <v>2192.27710626571</v>
      </c>
      <c r="BO302" s="15" t="n">
        <f aca="false">INDEX(Ipotesi!$C$74:$G$74,1,F302)/12*Ipotesi!G126</f>
        <v>3250</v>
      </c>
      <c r="BP302" s="15" t="n">
        <f aca="false">INDEX(Ipotesi!$C$76:$G$76,1,F302)/12</f>
        <v>1916.66666666667</v>
      </c>
      <c r="BQ302" s="15" t="n">
        <f aca="false">INDEX(Ipotesi!$C$77:$G$77,1,F302)/12*Ipotesi!G126</f>
        <v>1500</v>
      </c>
      <c r="BR302" s="15" t="n">
        <f aca="false">INDEX(Ipotesi!$C$78:$G$78,1,F302)/12</f>
        <v>2333.33333333333</v>
      </c>
      <c r="BS302" s="15" t="n">
        <f aca="false">SUM(M302:R302)*(Ipotesi!$C$85+Ipotesi!$C$86)/12</f>
        <v>3259.375</v>
      </c>
      <c r="BT302" s="15" t="n">
        <f aca="false">BI302*Ipotesi!$C$87</f>
        <v>2047.07703984964</v>
      </c>
      <c r="BU302" s="15" t="n">
        <f aca="false">INDEX(Ipotesi!$C$55:$G$55,1,F302)*K302/12</f>
        <v>1200</v>
      </c>
      <c r="BV302" s="15" t="n">
        <f aca="false">INDEX(Ipotesi!$C$80:$G$80,1,F302)/12*Ipotesi!G126</f>
        <v>1250</v>
      </c>
      <c r="BW302" s="15" t="n">
        <f aca="false">INDEX(Ipotesi!$C$82:$G$82,1,F302)/12</f>
        <v>1500</v>
      </c>
      <c r="BX302" s="15" t="n">
        <f aca="false">INDEX(Ipotesi!$C$83:$G$83,1,F302)/12</f>
        <v>833.333333333333</v>
      </c>
      <c r="BY302" s="15" t="n">
        <f aca="false">SUM(S302:U302)*(Ipotesi!$C$85+Ipotesi!$C$86)/12</f>
        <v>1618.75</v>
      </c>
      <c r="BZ302" s="15" t="n">
        <f aca="false">AM302*Ipotesi!$C$87</f>
        <v>1721.98125</v>
      </c>
      <c r="CA302" s="15" t="n">
        <f aca="false">AB302+BJ302+BL302+BN302+BO302+AR302+BP302+BQ302+BR302+BS302+BT302</f>
        <v>81778.07678659</v>
      </c>
      <c r="CB302" s="15" t="n">
        <f aca="false">AC302+BK302+BM302+BH302+BU302+BV302+AS302+BW302+BX302+BY302+BZ302</f>
        <v>43175.173557</v>
      </c>
      <c r="CC302" s="15" t="n">
        <f aca="false">BI302-CA302</f>
        <v>-13542.1754582687</v>
      </c>
      <c r="CD302" s="15" t="n">
        <f aca="false">AM302-CB302</f>
        <v>14224.201443</v>
      </c>
      <c r="CE302" s="15" t="n">
        <f aca="false">INDEX(Ipotesi!$C$79:$G$79,1,F302)/12</f>
        <v>4166.66666666667</v>
      </c>
      <c r="CF302" s="15" t="n">
        <f aca="false">INDEX(Ipotesi!$C$84:$G$84,1,F302)/12</f>
        <v>666.666666666667</v>
      </c>
      <c r="CG302" s="15" t="n">
        <f aca="false">Y302*MAX(0,Parametri_v3!$C$12-IF(P302=0,0,MIN(1,BE302/(P302*Parametri_v3!$C$22))))+W302*Parametri_v3!$C$13+X302*Parametri_v3!$C$14</f>
        <v>15697.5234300388</v>
      </c>
      <c r="CH302" s="15" t="n">
        <f aca="false">AB302*Parametri_v3!$C$32</f>
        <v>2645.22343628125</v>
      </c>
      <c r="CI302" s="15" t="n">
        <f aca="false">AC302*Parametri_v3!$C$32</f>
        <v>1108.62617785</v>
      </c>
      <c r="CJ302" s="15" t="n">
        <f aca="false">CA302-AB302</f>
        <v>28873.608060965</v>
      </c>
      <c r="CK302" s="15" t="n">
        <f aca="false">CB302-AC302-BH302</f>
        <v>15262.7125</v>
      </c>
      <c r="CL302" s="15" t="n">
        <f aca="false">BF302*Ipotesi!$C$73+INDEX(Ipotesi!$C$72:$G$72,1,F302)/12*Ipotesi!G126*Parametri_v3!$C$58+Z302*(1-Parametri_v3!$C$16)</f>
        <v>4471.43244651571</v>
      </c>
      <c r="CM302" s="16" t="n">
        <f aca="false">IF(BF302=0,0,1-CL302/BF302)</f>
        <v>0.751979287359391</v>
      </c>
    </row>
    <row r="303" customFormat="false" ht="18" hidden="false" customHeight="true" outlineLevel="0" collapsed="false">
      <c r="A303" s="68" t="n">
        <f aca="false">5</f>
        <v>5</v>
      </c>
      <c r="B303" s="68" t="n">
        <f aca="false">59</f>
        <v>59</v>
      </c>
      <c r="C303" s="18" t="n">
        <f aca="false">EDATE(Parametri_v3!$C$5,59-1)</f>
        <v>48153</v>
      </c>
      <c r="D303" s="68" t="n">
        <f aca="false">YEAR(C303)</f>
        <v>2031</v>
      </c>
      <c r="E303" s="68" t="n">
        <f aca="false">MONTH(C303)</f>
        <v>11</v>
      </c>
      <c r="F303" s="68" t="n">
        <f aca="false">INT((59-1)/12)+1</f>
        <v>5</v>
      </c>
      <c r="G303" s="15" t="n">
        <f aca="false">Ipotesi!G7</f>
        <v>0.55</v>
      </c>
      <c r="H303" s="15" t="n">
        <f aca="false">Ipotesi!G9</f>
        <v>0.9</v>
      </c>
      <c r="I303" s="15" t="n">
        <f aca="false">Ipotesi!G10</f>
        <v>0.3</v>
      </c>
      <c r="J303" s="15" t="n">
        <f aca="false">Ipotesi!G11</f>
        <v>0.2</v>
      </c>
      <c r="K303" s="15" t="n">
        <f aca="false">Ipotesi!G12</f>
        <v>0.6</v>
      </c>
      <c r="L303" s="15" t="n">
        <f aca="false">Ipotesi!G13</f>
        <v>120</v>
      </c>
      <c r="M303" s="17" t="n">
        <f aca="false">INDEX(Ipotesi!$C$40:$G$40,1,F303)</f>
        <v>1</v>
      </c>
      <c r="N303" s="17" t="n">
        <f aca="false">INDEX(Ipotesi!$C$41:$G$41,1,F303)</f>
        <v>1</v>
      </c>
      <c r="O303" s="17" t="n">
        <f aca="false">INDEX(Ipotesi!$C$42:$G$42,1,F303)*Ipotesi!G125</f>
        <v>4.675</v>
      </c>
      <c r="P303" s="17" t="n">
        <f aca="false">INDEX(Ipotesi!$C$43:$G$43,1,F303)*I303</f>
        <v>2.1</v>
      </c>
      <c r="Q303" s="17" t="n">
        <f aca="false">INDEX(Ipotesi!$C$44:$G$44,1,F303)*I303</f>
        <v>1.8</v>
      </c>
      <c r="R303" s="17" t="n">
        <f aca="false">INDEX(Ipotesi!$C$45:$G$45,1,F303)*I303</f>
        <v>0.6</v>
      </c>
      <c r="S303" s="17" t="n">
        <f aca="false">INDEX(Ipotesi!$C$52:$G$52,1,F303)*Ipotesi!G125</f>
        <v>4.95</v>
      </c>
      <c r="T303" s="17" t="n">
        <f aca="false">INDEX(Ipotesi!$C$53:$G$53,1,F303)*I303</f>
        <v>0.3</v>
      </c>
      <c r="U303" s="17" t="n">
        <f aca="false">INDEX(Ipotesi!$C$54:$G$54,1,F303)*I303</f>
        <v>0.3</v>
      </c>
      <c r="V303" s="15" t="n">
        <f aca="false">M303*INDEX(Ipotesi!$C$58:$G$58,1,F303)*K303/12</f>
        <v>5000</v>
      </c>
      <c r="W303" s="15" t="n">
        <f aca="false">N303*Ipotesi!$C$59*(1+Ipotesi!$C$66)^(F303-1)/12</f>
        <v>6565.46805833334</v>
      </c>
      <c r="X303" s="15" t="n">
        <f aca="false">O303*Ipotesi!$C$60*(1+Ipotesi!$C$66)^(F303-1)/12</f>
        <v>21923.9736947917</v>
      </c>
      <c r="Y303" s="15" t="n">
        <f aca="false">P303*Ipotesi!$C$61*(1+Ipotesi!$C$66)^(F303-1)/12</f>
        <v>9848.2020875</v>
      </c>
      <c r="Z303" s="15" t="n">
        <f aca="false">Q303*Ipotesi!$C$62*(1+Ipotesi!$C$66)^(F303-1)/12</f>
        <v>7597.1844675</v>
      </c>
      <c r="AA303" s="15" t="n">
        <f aca="false">R303*Ipotesi!$C$63*(1+Ipotesi!$C$66)^(F303-1)/12</f>
        <v>1969.6404175</v>
      </c>
      <c r="AB303" s="15" t="n">
        <f aca="false">SUM(V303:AA303)</f>
        <v>52904.468725625</v>
      </c>
      <c r="AC303" s="15" t="n">
        <f aca="false">(S303*Ipotesi!$C$64+T303*Ipotesi!$C$65+U303*Ipotesi!$C$63)*(1+Ipotesi!$C$66)^(F303-1)/12</f>
        <v>22172.523557</v>
      </c>
      <c r="AD303" s="15" t="n">
        <f aca="false">INDEX(Ipotesi!$C$48:$G$48,1,F303)*G303/12</f>
        <v>52.7083333333333</v>
      </c>
      <c r="AE303" s="15" t="n">
        <f aca="false">INDEX(Ipotesi!$C$50:$G$50,1,F303)*G303/12</f>
        <v>5.27083333333333</v>
      </c>
      <c r="AF303" s="15" t="n">
        <f aca="false">(S303*Parametri_v3!$C$7*Parametri_v3!$C$8+Parametri_v3!$C$10)/12</f>
        <v>63.525</v>
      </c>
      <c r="AG303" s="15" t="n">
        <f aca="false">AD303+AE303*(1+Parametri_v3!$C$9)</f>
        <v>60.6145833333333</v>
      </c>
      <c r="AH303" s="16" t="n">
        <f aca="false">IF(AG303=0,1,MIN(1,AF303/AG303))</f>
        <v>1</v>
      </c>
      <c r="AI303" s="15" t="n">
        <f aca="false">AD303*AH303</f>
        <v>52.7083333333333</v>
      </c>
      <c r="AJ303" s="15" t="n">
        <f aca="false">AE303*AH303</f>
        <v>5.27083333333333</v>
      </c>
      <c r="AK303" s="15" t="n">
        <f aca="false">AI303*INDEX(Ipotesi!$C$49:$G$49,1,F303)*H303</f>
        <v>45065.625</v>
      </c>
      <c r="AL303" s="15" t="n">
        <f aca="false">AJ303*INDEX(Ipotesi!$C$51:$G$51,1,F303)*H303</f>
        <v>12333.75</v>
      </c>
      <c r="AM303" s="15" t="n">
        <f aca="false">AK303+AL303</f>
        <v>57399.375</v>
      </c>
      <c r="AN303" s="15" t="n">
        <f aca="false">INDEX(Ipotesi!$C$30:$G$30,1,F303)*G303/12</f>
        <v>44.9166666666667</v>
      </c>
      <c r="AO303" s="15" t="n">
        <f aca="false">O303*Parametri_v3!$C$7*Parametri_v3!$C$11*(1-Parametri_v3!$C$14)/12</f>
        <v>47.9966666666667</v>
      </c>
      <c r="AP303" s="15" t="n">
        <f aca="false">MIN(AN303,AO303)</f>
        <v>44.9166666666667</v>
      </c>
      <c r="AQ303" s="15" t="n">
        <f aca="false">AP303*INDEX(Ipotesi!$C$31:$G$31,1,F303)*H303</f>
        <v>44467.5</v>
      </c>
      <c r="AR303" s="15" t="n">
        <f aca="false">INDEX(Ipotesi!$C$75:$G$75,1,F303)*J303/12</f>
        <v>7166.66666666667</v>
      </c>
      <c r="AS303" s="15" t="n">
        <f aca="false">INDEX(Ipotesi!$C$81:$G$81,1,F303)*J303/12</f>
        <v>416.666666666667</v>
      </c>
      <c r="AT303" s="15" t="n">
        <f aca="false">AR303*Parametri_v3!$C$15+Z303*Parametri_v3!$C$16</f>
        <v>12484.6957939167</v>
      </c>
      <c r="AU303" s="15" t="n">
        <f aca="false">Q303*Parametri_v3!$C$16*Parametri_v3!$C$17</f>
        <v>126</v>
      </c>
      <c r="AV303" s="17" t="n">
        <f aca="false">BD302</f>
        <v>39.3426684639449</v>
      </c>
      <c r="AW303" s="17" t="n">
        <f aca="false">AV303*(1-(1-INDEX(Ipotesi!$C$34:$G$34,1,F303))^(1/12))</f>
        <v>0.343918301631422</v>
      </c>
      <c r="AX303" s="15" t="n">
        <f aca="false">ROUND(INDEX(Ipotesi!$C$32:$G$32,1,F303)*Ipotesi!G8,0)</f>
        <v>196</v>
      </c>
      <c r="AY303" s="15" t="n">
        <f aca="false">MAX(0,(AX303-(AV303-AW303))/(13-E303))</f>
        <v>78.5006249188433</v>
      </c>
      <c r="AZ303" s="15" t="n">
        <f aca="false">MIN(P303*Parametri_v3!$C$22,Q303*(1-Parametri_v3!$C$16)*Parametri_v3!$C$23)</f>
        <v>81</v>
      </c>
      <c r="BA303" s="15" t="n">
        <f aca="false">IF(OR(INDEX(Ipotesi!$C$35:$G$35,1,F303)&lt;=0,59-Parametri_v3!$C$21&lt;1),0,INDEX($AT$245:$AT$304,MAX(1,59-Parametri_v3!$C$21))/(INDEX(Ipotesi!$C$35:$G$35,1,F303)*Ipotesi!G27))</f>
        <v>1.47747879217949</v>
      </c>
      <c r="BB303" s="15" t="n">
        <f aca="false">IF(59-Parametri_v3!$C$21&lt;1,0,INDEX($AU$245:$AU$304,MAX(1,59-Parametri_v3!$C$21)))*Parametri_v3!$C$18*Parametri_v3!$C$19*Parametri_v3!$C$20</f>
        <v>4.725</v>
      </c>
      <c r="BC303" s="17" t="n">
        <f aca="false">MAX(0,MIN(AY303,BA303,BB303,MAX(0,AZ303-(AV303-AW303))))</f>
        <v>1.47747879217949</v>
      </c>
      <c r="BD303" s="17" t="n">
        <f aca="false">AV303-AW303+BC303</f>
        <v>40.4762289544929</v>
      </c>
      <c r="BE303" s="17" t="n">
        <f aca="false">(AV303+BD303)/2</f>
        <v>39.9094487092189</v>
      </c>
      <c r="BF303" s="15" t="n">
        <f aca="false">BE303*INDEX(Ipotesi!$C$33:$G$33,1,F303)*H303/12</f>
        <v>18557.8936497868</v>
      </c>
      <c r="BG303" s="15" t="n">
        <f aca="false">BD303*INDEX(Ipotesi!$C$33:$G$33,1,F303)*H303</f>
        <v>225857.35756607</v>
      </c>
      <c r="BH303" s="15" t="n">
        <f aca="false">AM303*INDEX(Ipotesi!$C$37:$G$37,1,F303)</f>
        <v>5739.9375</v>
      </c>
      <c r="BI303" s="15" t="n">
        <f aca="false">AQ303+BF303+BH303</f>
        <v>68765.3311497868</v>
      </c>
      <c r="BJ303" s="15" t="n">
        <f aca="false">INDEX(Ipotesi!$C$68:$G$68,1,F303)*Ipotesi!$C$69/12</f>
        <v>3333.33333333333</v>
      </c>
      <c r="BK303" s="15" t="n">
        <f aca="false">INDEX(Ipotesi!$C$68:$G$68,1,F303)*(1-Ipotesi!$C$69)/12</f>
        <v>5000</v>
      </c>
      <c r="BL303" s="15" t="n">
        <f aca="false">(AQ303+BF303)*Ipotesi!$C$67</f>
        <v>1890.7618094936</v>
      </c>
      <c r="BM303" s="15" t="n">
        <f aca="false">AM303*Ipotesi!$C$67</f>
        <v>1721.98125</v>
      </c>
      <c r="BN303" s="15" t="n">
        <f aca="false">INDEX(Ipotesi!$C$72:$G$72,1,F303)/12*Ipotesi!G126+BF303*Ipotesi!$C$73</f>
        <v>2234.63149198294</v>
      </c>
      <c r="BO303" s="15" t="n">
        <f aca="false">INDEX(Ipotesi!$C$74:$G$74,1,F303)/12*Ipotesi!G126</f>
        <v>3250</v>
      </c>
      <c r="BP303" s="15" t="n">
        <f aca="false">INDEX(Ipotesi!$C$76:$G$76,1,F303)/12</f>
        <v>1916.66666666667</v>
      </c>
      <c r="BQ303" s="15" t="n">
        <f aca="false">INDEX(Ipotesi!$C$77:$G$77,1,F303)/12*Ipotesi!G126</f>
        <v>1500</v>
      </c>
      <c r="BR303" s="15" t="n">
        <f aca="false">INDEX(Ipotesi!$C$78:$G$78,1,F303)/12</f>
        <v>2333.33333333333</v>
      </c>
      <c r="BS303" s="15" t="n">
        <f aca="false">SUM(M303:R303)*(Ipotesi!$C$85+Ipotesi!$C$86)/12</f>
        <v>3259.375</v>
      </c>
      <c r="BT303" s="15" t="n">
        <f aca="false">BI303*Ipotesi!$C$87</f>
        <v>2062.9599344936</v>
      </c>
      <c r="BU303" s="15" t="n">
        <f aca="false">INDEX(Ipotesi!$C$55:$G$55,1,F303)*K303/12</f>
        <v>1200</v>
      </c>
      <c r="BV303" s="15" t="n">
        <f aca="false">INDEX(Ipotesi!$C$80:$G$80,1,F303)/12*Ipotesi!G126</f>
        <v>1250</v>
      </c>
      <c r="BW303" s="15" t="n">
        <f aca="false">INDEX(Ipotesi!$C$82:$G$82,1,F303)/12</f>
        <v>1500</v>
      </c>
      <c r="BX303" s="15" t="n">
        <f aca="false">INDEX(Ipotesi!$C$83:$G$83,1,F303)/12</f>
        <v>833.333333333333</v>
      </c>
      <c r="BY303" s="15" t="n">
        <f aca="false">SUM(S303:U303)*(Ipotesi!$C$85+Ipotesi!$C$86)/12</f>
        <v>1618.75</v>
      </c>
      <c r="BZ303" s="15" t="n">
        <f aca="false">AM303*Ipotesi!$C$87</f>
        <v>1721.98125</v>
      </c>
      <c r="CA303" s="15" t="n">
        <f aca="false">AB303+BJ303+BL303+BN303+BO303+AR303+BP303+BQ303+BR303+BS303+BT303</f>
        <v>81852.1969615952</v>
      </c>
      <c r="CB303" s="15" t="n">
        <f aca="false">AC303+BK303+BM303+BH303+BU303+BV303+AS303+BW303+BX303+BY303+BZ303</f>
        <v>43175.173557</v>
      </c>
      <c r="CC303" s="15" t="n">
        <f aca="false">BI303-CA303</f>
        <v>-13086.8658118084</v>
      </c>
      <c r="CD303" s="15" t="n">
        <f aca="false">AM303-CB303</f>
        <v>14224.201443</v>
      </c>
      <c r="CE303" s="15" t="n">
        <f aca="false">INDEX(Ipotesi!$C$79:$G$79,1,F303)/12</f>
        <v>4166.66666666667</v>
      </c>
      <c r="CF303" s="15" t="n">
        <f aca="false">INDEX(Ipotesi!$C$84:$G$84,1,F303)/12</f>
        <v>666.666666666667</v>
      </c>
      <c r="CG303" s="15" t="n">
        <f aca="false">Y303*MAX(0,Parametri_v3!$C$12-IF(P303=0,0,MIN(1,BE303/(P303*Parametri_v3!$C$22))))+W303*Parametri_v3!$C$13+X303*Parametri_v3!$C$14</f>
        <v>15644.1293504388</v>
      </c>
      <c r="CH303" s="15" t="n">
        <f aca="false">AB303*Parametri_v3!$C$32</f>
        <v>2645.22343628125</v>
      </c>
      <c r="CI303" s="15" t="n">
        <f aca="false">AC303*Parametri_v3!$C$32</f>
        <v>1108.62617785</v>
      </c>
      <c r="CJ303" s="15" t="n">
        <f aca="false">CA303-AB303</f>
        <v>28947.7282359702</v>
      </c>
      <c r="CK303" s="15" t="n">
        <f aca="false">CB303-AC303-BH303</f>
        <v>15262.7125</v>
      </c>
      <c r="CL303" s="15" t="n">
        <f aca="false">BF303*Ipotesi!$C$73+INDEX(Ipotesi!$C$72:$G$72,1,F303)/12*Ipotesi!G126*Parametri_v3!$C$58+Z303*(1-Parametri_v3!$C$16)</f>
        <v>4513.78683223294</v>
      </c>
      <c r="CM303" s="16" t="n">
        <f aca="false">IF(BF303=0,0,1-CL303/BF303)</f>
        <v>0.756772674883563</v>
      </c>
    </row>
    <row r="304" customFormat="false" ht="18" hidden="false" customHeight="true" outlineLevel="0" collapsed="false">
      <c r="A304" s="68" t="n">
        <f aca="false">5</f>
        <v>5</v>
      </c>
      <c r="B304" s="68" t="n">
        <f aca="false">60</f>
        <v>60</v>
      </c>
      <c r="C304" s="18" t="n">
        <f aca="false">EDATE(Parametri_v3!$C$5,60-1)</f>
        <v>48183</v>
      </c>
      <c r="D304" s="68" t="n">
        <f aca="false">YEAR(C304)</f>
        <v>2031</v>
      </c>
      <c r="E304" s="68" t="n">
        <f aca="false">MONTH(C304)</f>
        <v>12</v>
      </c>
      <c r="F304" s="68" t="n">
        <f aca="false">INT((60-1)/12)+1</f>
        <v>5</v>
      </c>
      <c r="G304" s="15" t="n">
        <f aca="false">Ipotesi!G7</f>
        <v>0.55</v>
      </c>
      <c r="H304" s="15" t="n">
        <f aca="false">Ipotesi!G9</f>
        <v>0.9</v>
      </c>
      <c r="I304" s="15" t="n">
        <f aca="false">Ipotesi!G10</f>
        <v>0.3</v>
      </c>
      <c r="J304" s="15" t="n">
        <f aca="false">Ipotesi!G11</f>
        <v>0.2</v>
      </c>
      <c r="K304" s="15" t="n">
        <f aca="false">Ipotesi!G12</f>
        <v>0.6</v>
      </c>
      <c r="L304" s="15" t="n">
        <f aca="false">Ipotesi!G13</f>
        <v>120</v>
      </c>
      <c r="M304" s="17" t="n">
        <f aca="false">INDEX(Ipotesi!$C$40:$G$40,1,F304)</f>
        <v>1</v>
      </c>
      <c r="N304" s="17" t="n">
        <f aca="false">INDEX(Ipotesi!$C$41:$G$41,1,F304)</f>
        <v>1</v>
      </c>
      <c r="O304" s="17" t="n">
        <f aca="false">INDEX(Ipotesi!$C$42:$G$42,1,F304)*Ipotesi!G125</f>
        <v>4.675</v>
      </c>
      <c r="P304" s="17" t="n">
        <f aca="false">INDEX(Ipotesi!$C$43:$G$43,1,F304)*I304</f>
        <v>2.1</v>
      </c>
      <c r="Q304" s="17" t="n">
        <f aca="false">INDEX(Ipotesi!$C$44:$G$44,1,F304)*I304</f>
        <v>1.8</v>
      </c>
      <c r="R304" s="17" t="n">
        <f aca="false">INDEX(Ipotesi!$C$45:$G$45,1,F304)*I304</f>
        <v>0.6</v>
      </c>
      <c r="S304" s="17" t="n">
        <f aca="false">INDEX(Ipotesi!$C$52:$G$52,1,F304)*Ipotesi!G125</f>
        <v>4.95</v>
      </c>
      <c r="T304" s="17" t="n">
        <f aca="false">INDEX(Ipotesi!$C$53:$G$53,1,F304)*I304</f>
        <v>0.3</v>
      </c>
      <c r="U304" s="17" t="n">
        <f aca="false">INDEX(Ipotesi!$C$54:$G$54,1,F304)*I304</f>
        <v>0.3</v>
      </c>
      <c r="V304" s="15" t="n">
        <f aca="false">M304*INDEX(Ipotesi!$C$58:$G$58,1,F304)*K304/12</f>
        <v>5000</v>
      </c>
      <c r="W304" s="15" t="n">
        <f aca="false">N304*Ipotesi!$C$59*(1+Ipotesi!$C$66)^(F304-1)/12</f>
        <v>6565.46805833334</v>
      </c>
      <c r="X304" s="15" t="n">
        <f aca="false">O304*Ipotesi!$C$60*(1+Ipotesi!$C$66)^(F304-1)/12</f>
        <v>21923.9736947917</v>
      </c>
      <c r="Y304" s="15" t="n">
        <f aca="false">P304*Ipotesi!$C$61*(1+Ipotesi!$C$66)^(F304-1)/12</f>
        <v>9848.2020875</v>
      </c>
      <c r="Z304" s="15" t="n">
        <f aca="false">Q304*Ipotesi!$C$62*(1+Ipotesi!$C$66)^(F304-1)/12</f>
        <v>7597.1844675</v>
      </c>
      <c r="AA304" s="15" t="n">
        <f aca="false">R304*Ipotesi!$C$63*(1+Ipotesi!$C$66)^(F304-1)/12</f>
        <v>1969.6404175</v>
      </c>
      <c r="AB304" s="15" t="n">
        <f aca="false">SUM(V304:AA304)</f>
        <v>52904.468725625</v>
      </c>
      <c r="AC304" s="15" t="n">
        <f aca="false">(S304*Ipotesi!$C$64+T304*Ipotesi!$C$65+U304*Ipotesi!$C$63)*(1+Ipotesi!$C$66)^(F304-1)/12</f>
        <v>22172.523557</v>
      </c>
      <c r="AD304" s="15" t="n">
        <f aca="false">INDEX(Ipotesi!$C$48:$G$48,1,F304)*G304/12</f>
        <v>52.7083333333333</v>
      </c>
      <c r="AE304" s="15" t="n">
        <f aca="false">INDEX(Ipotesi!$C$50:$G$50,1,F304)*G304/12</f>
        <v>5.27083333333333</v>
      </c>
      <c r="AF304" s="15" t="n">
        <f aca="false">(S304*Parametri_v3!$C$7*Parametri_v3!$C$8+Parametri_v3!$C$10)/12</f>
        <v>63.525</v>
      </c>
      <c r="AG304" s="15" t="n">
        <f aca="false">AD304+AE304*(1+Parametri_v3!$C$9)</f>
        <v>60.6145833333333</v>
      </c>
      <c r="AH304" s="16" t="n">
        <f aca="false">IF(AG304=0,1,MIN(1,AF304/AG304))</f>
        <v>1</v>
      </c>
      <c r="AI304" s="15" t="n">
        <f aca="false">AD304*AH304</f>
        <v>52.7083333333333</v>
      </c>
      <c r="AJ304" s="15" t="n">
        <f aca="false">AE304*AH304</f>
        <v>5.27083333333333</v>
      </c>
      <c r="AK304" s="15" t="n">
        <f aca="false">AI304*INDEX(Ipotesi!$C$49:$G$49,1,F304)*H304</f>
        <v>45065.625</v>
      </c>
      <c r="AL304" s="15" t="n">
        <f aca="false">AJ304*INDEX(Ipotesi!$C$51:$G$51,1,F304)*H304</f>
        <v>12333.75</v>
      </c>
      <c r="AM304" s="15" t="n">
        <f aca="false">AK304+AL304</f>
        <v>57399.375</v>
      </c>
      <c r="AN304" s="15" t="n">
        <f aca="false">INDEX(Ipotesi!$C$30:$G$30,1,F304)*G304/12</f>
        <v>44.9166666666667</v>
      </c>
      <c r="AO304" s="15" t="n">
        <f aca="false">O304*Parametri_v3!$C$7*Parametri_v3!$C$11*(1-Parametri_v3!$C$14)/12</f>
        <v>47.9966666666667</v>
      </c>
      <c r="AP304" s="15" t="n">
        <f aca="false">MIN(AN304,AO304)</f>
        <v>44.9166666666667</v>
      </c>
      <c r="AQ304" s="15" t="n">
        <f aca="false">AP304*INDEX(Ipotesi!$C$31:$G$31,1,F304)*H304</f>
        <v>44467.5</v>
      </c>
      <c r="AR304" s="15" t="n">
        <f aca="false">INDEX(Ipotesi!$C$75:$G$75,1,F304)*J304/12</f>
        <v>7166.66666666667</v>
      </c>
      <c r="AS304" s="15" t="n">
        <f aca="false">INDEX(Ipotesi!$C$81:$G$81,1,F304)*J304/12</f>
        <v>416.666666666667</v>
      </c>
      <c r="AT304" s="15" t="n">
        <f aca="false">AR304*Parametri_v3!$C$15+Z304*Parametri_v3!$C$16</f>
        <v>12484.6957939167</v>
      </c>
      <c r="AU304" s="15" t="n">
        <f aca="false">Q304*Parametri_v3!$C$16*Parametri_v3!$C$17</f>
        <v>126</v>
      </c>
      <c r="AV304" s="17" t="n">
        <f aca="false">BD303</f>
        <v>40.4762289544929</v>
      </c>
      <c r="AW304" s="17" t="n">
        <f aca="false">AV304*(1-(1-INDEX(Ipotesi!$C$34:$G$34,1,F304))^(1/12))</f>
        <v>0.353827446433408</v>
      </c>
      <c r="AX304" s="15" t="n">
        <f aca="false">ROUND(INDEX(Ipotesi!$C$32:$G$32,1,F304)*Ipotesi!G8,0)</f>
        <v>196</v>
      </c>
      <c r="AY304" s="15" t="n">
        <f aca="false">MAX(0,(AX304-(AV304-AW304))/(13-E304))</f>
        <v>155.877598491941</v>
      </c>
      <c r="AZ304" s="15" t="n">
        <f aca="false">MIN(P304*Parametri_v3!$C$22,Q304*(1-Parametri_v3!$C$16)*Parametri_v3!$C$23)</f>
        <v>81</v>
      </c>
      <c r="BA304" s="15" t="n">
        <f aca="false">IF(OR(INDEX(Ipotesi!$C$35:$G$35,1,F304)&lt;=0,60-Parametri_v3!$C$21&lt;1),0,INDEX($AT$245:$AT$304,MAX(1,60-Parametri_v3!$C$21))/(INDEX(Ipotesi!$C$35:$G$35,1,F304)*Ipotesi!G27))</f>
        <v>1.47747879217949</v>
      </c>
      <c r="BB304" s="15" t="n">
        <f aca="false">IF(60-Parametri_v3!$C$21&lt;1,0,INDEX($AU$245:$AU$304,MAX(1,60-Parametri_v3!$C$21)))*Parametri_v3!$C$18*Parametri_v3!$C$19*Parametri_v3!$C$20</f>
        <v>4.725</v>
      </c>
      <c r="BC304" s="17" t="n">
        <f aca="false">MAX(0,MIN(AY304,BA304,BB304,MAX(0,AZ304-(AV304-AW304))))</f>
        <v>1.47747879217949</v>
      </c>
      <c r="BD304" s="17" t="n">
        <f aca="false">AV304-AW304+BC304</f>
        <v>41.599880300239</v>
      </c>
      <c r="BE304" s="17" t="n">
        <f aca="false">(AV304+BD304)/2</f>
        <v>41.038054627366</v>
      </c>
      <c r="BF304" s="15" t="n">
        <f aca="false">BE304*INDEX(Ipotesi!$C$33:$G$33,1,F304)*H304/12</f>
        <v>19082.6954017252</v>
      </c>
      <c r="BG304" s="15" t="n">
        <f aca="false">BD304*INDEX(Ipotesi!$C$33:$G$33,1,F304)*H304</f>
        <v>232127.332075334</v>
      </c>
      <c r="BH304" s="15" t="n">
        <f aca="false">AM304*INDEX(Ipotesi!$C$37:$G$37,1,F304)</f>
        <v>5739.9375</v>
      </c>
      <c r="BI304" s="15" t="n">
        <f aca="false">AQ304+BF304+BH304</f>
        <v>69290.1329017252</v>
      </c>
      <c r="BJ304" s="15" t="n">
        <f aca="false">INDEX(Ipotesi!$C$68:$G$68,1,F304)*Ipotesi!$C$69/12</f>
        <v>3333.33333333333</v>
      </c>
      <c r="BK304" s="15" t="n">
        <f aca="false">INDEX(Ipotesi!$C$68:$G$68,1,F304)*(1-Ipotesi!$C$69)/12</f>
        <v>5000</v>
      </c>
      <c r="BL304" s="15" t="n">
        <f aca="false">(AQ304+BF304)*Ipotesi!$C$67</f>
        <v>1906.50586205176</v>
      </c>
      <c r="BM304" s="15" t="n">
        <f aca="false">AM304*Ipotesi!$C$67</f>
        <v>1721.98125</v>
      </c>
      <c r="BN304" s="15" t="n">
        <f aca="false">INDEX(Ipotesi!$C$72:$G$72,1,F304)/12*Ipotesi!G126+BF304*Ipotesi!$C$73</f>
        <v>2276.61563213801</v>
      </c>
      <c r="BO304" s="15" t="n">
        <f aca="false">INDEX(Ipotesi!$C$74:$G$74,1,F304)/12*Ipotesi!G126</f>
        <v>3250</v>
      </c>
      <c r="BP304" s="15" t="n">
        <f aca="false">INDEX(Ipotesi!$C$76:$G$76,1,F304)/12</f>
        <v>1916.66666666667</v>
      </c>
      <c r="BQ304" s="15" t="n">
        <f aca="false">INDEX(Ipotesi!$C$77:$G$77,1,F304)/12*Ipotesi!G126</f>
        <v>1500</v>
      </c>
      <c r="BR304" s="15" t="n">
        <f aca="false">INDEX(Ipotesi!$C$78:$G$78,1,F304)/12</f>
        <v>2333.33333333333</v>
      </c>
      <c r="BS304" s="15" t="n">
        <f aca="false">SUM(M304:R304)*(Ipotesi!$C$85+Ipotesi!$C$86)/12</f>
        <v>3259.375</v>
      </c>
      <c r="BT304" s="15" t="n">
        <f aca="false">BI304*Ipotesi!$C$87</f>
        <v>2078.70398705176</v>
      </c>
      <c r="BU304" s="15" t="n">
        <f aca="false">INDEX(Ipotesi!$C$55:$G$55,1,F304)*K304/12</f>
        <v>1200</v>
      </c>
      <c r="BV304" s="15" t="n">
        <f aca="false">INDEX(Ipotesi!$C$80:$G$80,1,F304)/12*Ipotesi!G126</f>
        <v>1250</v>
      </c>
      <c r="BW304" s="15" t="n">
        <f aca="false">INDEX(Ipotesi!$C$82:$G$82,1,F304)/12</f>
        <v>1500</v>
      </c>
      <c r="BX304" s="15" t="n">
        <f aca="false">INDEX(Ipotesi!$C$83:$G$83,1,F304)/12</f>
        <v>833.333333333333</v>
      </c>
      <c r="BY304" s="15" t="n">
        <f aca="false">SUM(S304:U304)*(Ipotesi!$C$85+Ipotesi!$C$86)/12</f>
        <v>1618.75</v>
      </c>
      <c r="BZ304" s="15" t="n">
        <f aca="false">AM304*Ipotesi!$C$87</f>
        <v>1721.98125</v>
      </c>
      <c r="CA304" s="15" t="n">
        <f aca="false">AB304+BJ304+BL304+BN304+BO304+AR304+BP304+BQ304+BR304+BS304+BT304</f>
        <v>81925.6692068665</v>
      </c>
      <c r="CB304" s="15" t="n">
        <f aca="false">AC304+BK304+BM304+BH304+BU304+BV304+AS304+BW304+BX304+BY304+BZ304</f>
        <v>43175.173557</v>
      </c>
      <c r="CC304" s="15" t="n">
        <f aca="false">BI304-CA304</f>
        <v>-12635.5363051414</v>
      </c>
      <c r="CD304" s="15" t="n">
        <f aca="false">AM304-CB304</f>
        <v>14224.201443</v>
      </c>
      <c r="CE304" s="15" t="n">
        <f aca="false">INDEX(Ipotesi!$C$79:$G$79,1,F304)/12</f>
        <v>4166.66666666667</v>
      </c>
      <c r="CF304" s="15" t="n">
        <f aca="false">INDEX(Ipotesi!$C$84:$G$84,1,F304)/12</f>
        <v>666.666666666667</v>
      </c>
      <c r="CG304" s="15" t="n">
        <f aca="false">Y304*MAX(0,Parametri_v3!$C$12-IF(P304=0,0,MIN(1,BE304/(P304*Parametri_v3!$C$22))))+W304*Parametri_v3!$C$13+X304*Parametri_v3!$C$14</f>
        <v>15591.2020211099</v>
      </c>
      <c r="CH304" s="15" t="n">
        <f aca="false">AB304*Parametri_v3!$C$32</f>
        <v>2645.22343628125</v>
      </c>
      <c r="CI304" s="15" t="n">
        <f aca="false">AC304*Parametri_v3!$C$32</f>
        <v>1108.62617785</v>
      </c>
      <c r="CJ304" s="15" t="n">
        <f aca="false">CA304-AB304</f>
        <v>29021.2004812415</v>
      </c>
      <c r="CK304" s="15" t="n">
        <f aca="false">CB304-AC304-BH304</f>
        <v>15262.7125</v>
      </c>
      <c r="CL304" s="15" t="n">
        <f aca="false">BF304*Ipotesi!$C$73+INDEX(Ipotesi!$C$72:$G$72,1,F304)/12*Ipotesi!G126*Parametri_v3!$C$58+Z304*(1-Parametri_v3!$C$16)</f>
        <v>4555.77097238801</v>
      </c>
      <c r="CM304" s="16" t="n">
        <f aca="false">IF(BF304=0,0,1-CL304/BF304)</f>
        <v>0.76126166264876</v>
      </c>
    </row>
    <row r="305" customFormat="false" ht="18" hidden="false" customHeight="true" outlineLevel="0" collapsed="false">
      <c r="A305" s="68" t="n">
        <f aca="false">6</f>
        <v>6</v>
      </c>
      <c r="B305" s="68" t="n">
        <f aca="false">1</f>
        <v>1</v>
      </c>
      <c r="C305" s="18" t="n">
        <f aca="false">EDATE(Parametri_v3!$C$5,1-1)</f>
        <v>46388</v>
      </c>
      <c r="D305" s="68" t="n">
        <f aca="false">YEAR(C305)</f>
        <v>2027</v>
      </c>
      <c r="E305" s="68" t="n">
        <f aca="false">MONTH(C305)</f>
        <v>1</v>
      </c>
      <c r="F305" s="68" t="n">
        <f aca="false">INT((1-1)/12)+1</f>
        <v>1</v>
      </c>
      <c r="G305" s="15" t="n">
        <f aca="false">Ipotesi!H7</f>
        <v>1</v>
      </c>
      <c r="H305" s="15" t="n">
        <f aca="false">Ipotesi!H9</f>
        <v>1</v>
      </c>
      <c r="I305" s="15" t="n">
        <f aca="false">Ipotesi!H10</f>
        <v>1</v>
      </c>
      <c r="J305" s="15" t="n">
        <f aca="false">Ipotesi!H11</f>
        <v>1</v>
      </c>
      <c r="K305" s="15" t="n">
        <f aca="false">Ipotesi!H12</f>
        <v>1</v>
      </c>
      <c r="L305" s="15" t="n">
        <f aca="false">Ipotesi!H13</f>
        <v>90</v>
      </c>
      <c r="M305" s="17" t="n">
        <f aca="false">INDEX(Ipotesi!$C$40:$G$40,1,F305)</f>
        <v>1</v>
      </c>
      <c r="N305" s="17" t="n">
        <f aca="false">INDEX(Ipotesi!$C$41:$G$41,1,F305)</f>
        <v>0.75</v>
      </c>
      <c r="O305" s="17" t="n">
        <f aca="false">INDEX(Ipotesi!$C$42:$G$42,1,F305)*Ipotesi!H125</f>
        <v>1</v>
      </c>
      <c r="P305" s="17" t="n">
        <f aca="false">INDEX(Ipotesi!$C$43:$G$43,1,F305)*I305</f>
        <v>1</v>
      </c>
      <c r="Q305" s="17" t="n">
        <f aca="false">INDEX(Ipotesi!$C$44:$G$44,1,F305)*I305</f>
        <v>0.5</v>
      </c>
      <c r="R305" s="17" t="n">
        <f aca="false">INDEX(Ipotesi!$C$45:$G$45,1,F305)*I305</f>
        <v>0</v>
      </c>
      <c r="S305" s="17" t="n">
        <f aca="false">INDEX(Ipotesi!$C$52:$G$52,1,F305)*Ipotesi!H125</f>
        <v>1.5</v>
      </c>
      <c r="T305" s="17" t="n">
        <f aca="false">INDEX(Ipotesi!$C$53:$G$53,1,F305)*I305</f>
        <v>0</v>
      </c>
      <c r="U305" s="17" t="n">
        <f aca="false">INDEX(Ipotesi!$C$54:$G$54,1,F305)*I305</f>
        <v>0</v>
      </c>
      <c r="V305" s="15" t="n">
        <f aca="false">M305*INDEX(Ipotesi!$C$58:$G$58,1,F305)*K305/12</f>
        <v>3333.33333333333</v>
      </c>
      <c r="W305" s="15" t="n">
        <f aca="false">N305*Ipotesi!$C$59*(1+Ipotesi!$C$66)^(F305-1)/12</f>
        <v>4375</v>
      </c>
      <c r="X305" s="15" t="n">
        <f aca="false">O305*Ipotesi!$C$60*(1+Ipotesi!$C$66)^(F305-1)/12</f>
        <v>4166.66666666667</v>
      </c>
      <c r="Y305" s="15" t="n">
        <f aca="false">P305*Ipotesi!$C$61*(1+Ipotesi!$C$66)^(F305-1)/12</f>
        <v>4166.66666666667</v>
      </c>
      <c r="Z305" s="15" t="n">
        <f aca="false">Q305*Ipotesi!$C$62*(1+Ipotesi!$C$66)^(F305-1)/12</f>
        <v>1875</v>
      </c>
      <c r="AA305" s="15" t="n">
        <f aca="false">R305*Ipotesi!$C$63*(1+Ipotesi!$C$66)^(F305-1)/12</f>
        <v>0</v>
      </c>
      <c r="AB305" s="15" t="n">
        <f aca="false">SUM(V305:AA305)</f>
        <v>17916.6666666667</v>
      </c>
      <c r="AC305" s="15" t="n">
        <f aca="false">(S305*Ipotesi!$C$64+T305*Ipotesi!$C$65+U305*Ipotesi!$C$63)*(1+Ipotesi!$C$66)^(F305-1)/12</f>
        <v>5250</v>
      </c>
      <c r="AD305" s="15" t="n">
        <f aca="false">INDEX(Ipotesi!$C$48:$G$48,1,F305)*G305/12</f>
        <v>16.6666666666667</v>
      </c>
      <c r="AE305" s="15" t="n">
        <f aca="false">INDEX(Ipotesi!$C$50:$G$50,1,F305)*G305/12</f>
        <v>2.08333333333333</v>
      </c>
      <c r="AF305" s="15" t="n">
        <f aca="false">(S305*Parametri_v3!$C$7*Parametri_v3!$C$8+Parametri_v3!$C$10)/12</f>
        <v>19.25</v>
      </c>
      <c r="AG305" s="15" t="n">
        <f aca="false">AD305+AE305*(1+Parametri_v3!$C$9)</f>
        <v>19.7916666666667</v>
      </c>
      <c r="AH305" s="16" t="n">
        <f aca="false">IF(AG305=0,1,MIN(1,AF305/AG305))</f>
        <v>0.972631578947368</v>
      </c>
      <c r="AI305" s="15" t="n">
        <f aca="false">AD305*AH305</f>
        <v>16.2105263157895</v>
      </c>
      <c r="AJ305" s="15" t="n">
        <f aca="false">AE305*AH305</f>
        <v>2.02631578947368</v>
      </c>
      <c r="AK305" s="15" t="n">
        <f aca="false">AI305*INDEX(Ipotesi!$C$49:$G$49,1,F305)*H305</f>
        <v>12157.8947368421</v>
      </c>
      <c r="AL305" s="15" t="n">
        <f aca="false">AJ305*INDEX(Ipotesi!$C$51:$G$51,1,F305)*H305</f>
        <v>4052.63157894737</v>
      </c>
      <c r="AM305" s="15" t="n">
        <f aca="false">AK305+AL305</f>
        <v>16210.5263157895</v>
      </c>
      <c r="AN305" s="15" t="n">
        <f aca="false">INDEX(Ipotesi!$C$30:$G$30,1,F305)*G305/12</f>
        <v>8.33333333333333</v>
      </c>
      <c r="AO305" s="15" t="n">
        <f aca="false">O305*Parametri_v3!$C$7*Parametri_v3!$C$11*(1-Parametri_v3!$C$14)/12</f>
        <v>10.2666666666667</v>
      </c>
      <c r="AP305" s="15" t="n">
        <f aca="false">MIN(AN305,AO305)</f>
        <v>8.33333333333333</v>
      </c>
      <c r="AQ305" s="15" t="n">
        <f aca="false">AP305*INDEX(Ipotesi!$C$31:$G$31,1,F305)*H305</f>
        <v>7500</v>
      </c>
      <c r="AR305" s="15" t="n">
        <f aca="false">INDEX(Ipotesi!$C$75:$G$75,1,F305)*J305/12</f>
        <v>2083.33333333333</v>
      </c>
      <c r="AS305" s="15" t="n">
        <f aca="false">INDEX(Ipotesi!$C$81:$G$81,1,F305)*J305/12</f>
        <v>416.666666666667</v>
      </c>
      <c r="AT305" s="15" t="n">
        <f aca="false">AR305*Parametri_v3!$C$15+Z305*Parametri_v3!$C$16</f>
        <v>3395.83333333333</v>
      </c>
      <c r="AU305" s="15" t="n">
        <f aca="false">Q305*Parametri_v3!$C$16*Parametri_v3!$C$17</f>
        <v>35</v>
      </c>
      <c r="AV305" s="17" t="n">
        <f aca="false">0</f>
        <v>0</v>
      </c>
      <c r="AW305" s="17" t="n">
        <f aca="false">AV305*(1-(1-INDEX(Ipotesi!$C$34:$G$34,1,F305))^(1/12))</f>
        <v>0</v>
      </c>
      <c r="AX305" s="15" t="n">
        <f aca="false">ROUND(INDEX(Ipotesi!$C$32:$G$32,1,F305)*Ipotesi!H8,0)</f>
        <v>5</v>
      </c>
      <c r="AY305" s="15" t="n">
        <f aca="false">MAX(0,(AX305-(AV305-AW305))/(13-E305))</f>
        <v>0.416666666666667</v>
      </c>
      <c r="AZ305" s="15" t="n">
        <f aca="false">MIN(P305*Parametri_v3!$C$22,Q305*(1-Parametri_v3!$C$16)*Parametri_v3!$C$23)</f>
        <v>22.5</v>
      </c>
      <c r="BA305" s="15" t="n">
        <f aca="false">IF(OR(INDEX(Ipotesi!$C$35:$G$35,1,F305)&lt;=0,1-Parametri_v3!$C$21&lt;1),0,INDEX($AT$305:$AT$364,MAX(1,1-Parametri_v3!$C$21))/(INDEX(Ipotesi!$C$35:$G$35,1,F305)*Ipotesi!H27))</f>
        <v>0</v>
      </c>
      <c r="BB305" s="15" t="n">
        <f aca="false">IF(1-Parametri_v3!$C$21&lt;1,0,INDEX($AU$305:$AU$364,MAX(1,1-Parametri_v3!$C$21)))*Parametri_v3!$C$18*Parametri_v3!$C$19*Parametri_v3!$C$20</f>
        <v>0</v>
      </c>
      <c r="BC305" s="17" t="n">
        <f aca="false">MAX(0,MIN(AY305,BA305,BB305,MAX(0,AZ305-(AV305-AW305))))</f>
        <v>0</v>
      </c>
      <c r="BD305" s="17" t="n">
        <f aca="false">AV305-AW305+BC305</f>
        <v>0</v>
      </c>
      <c r="BE305" s="17" t="n">
        <f aca="false">(AV305+BD305)/2</f>
        <v>0</v>
      </c>
      <c r="BF305" s="15" t="n">
        <f aca="false">BE305*INDEX(Ipotesi!$C$33:$G$33,1,F305)*H305/12</f>
        <v>0</v>
      </c>
      <c r="BG305" s="15" t="n">
        <f aca="false">BD305*INDEX(Ipotesi!$C$33:$G$33,1,F305)*H305</f>
        <v>0</v>
      </c>
      <c r="BH305" s="15" t="n">
        <f aca="false">AM305*INDEX(Ipotesi!$C$37:$G$37,1,F305)</f>
        <v>1621.05263157895</v>
      </c>
      <c r="BI305" s="15" t="n">
        <f aca="false">AQ305+BF305+BH305</f>
        <v>9121.05263157895</v>
      </c>
      <c r="BJ305" s="15" t="n">
        <f aca="false">INDEX(Ipotesi!$C$68:$G$68,1,F305)*Ipotesi!$C$69/12</f>
        <v>1000</v>
      </c>
      <c r="BK305" s="15" t="n">
        <f aca="false">INDEX(Ipotesi!$C$68:$G$68,1,F305)*(1-Ipotesi!$C$69)/12</f>
        <v>1500</v>
      </c>
      <c r="BL305" s="15" t="n">
        <f aca="false">(AQ305+BF305)*Ipotesi!$C$67</f>
        <v>225</v>
      </c>
      <c r="BM305" s="15" t="n">
        <f aca="false">AM305*Ipotesi!$C$67</f>
        <v>486.315789473684</v>
      </c>
      <c r="BN305" s="15" t="n">
        <f aca="false">INDEX(Ipotesi!$C$72:$G$72,1,F305)/12*Ipotesi!H126+BF305*Ipotesi!$C$73</f>
        <v>1250</v>
      </c>
      <c r="BO305" s="15" t="n">
        <f aca="false">INDEX(Ipotesi!$C$74:$G$74,1,F305)/12*Ipotesi!H126</f>
        <v>1000</v>
      </c>
      <c r="BP305" s="15" t="n">
        <f aca="false">INDEX(Ipotesi!$C$76:$G$76,1,F305)/12</f>
        <v>500</v>
      </c>
      <c r="BQ305" s="15" t="n">
        <f aca="false">INDEX(Ipotesi!$C$77:$G$77,1,F305)/12*Ipotesi!H126</f>
        <v>1250</v>
      </c>
      <c r="BR305" s="15" t="n">
        <f aca="false">INDEX(Ipotesi!$C$78:$G$78,1,F305)/12</f>
        <v>1000</v>
      </c>
      <c r="BS305" s="15" t="n">
        <f aca="false">SUM(M305:R305)*(Ipotesi!$C$85+Ipotesi!$C$86)/12</f>
        <v>1239.58333333333</v>
      </c>
      <c r="BT305" s="15" t="n">
        <f aca="false">BI305*Ipotesi!$C$87</f>
        <v>273.631578947368</v>
      </c>
      <c r="BU305" s="15" t="n">
        <f aca="false">INDEX(Ipotesi!$C$55:$G$55,1,F305)*K305/12</f>
        <v>500</v>
      </c>
      <c r="BV305" s="15" t="n">
        <f aca="false">INDEX(Ipotesi!$C$80:$G$80,1,F305)/12*Ipotesi!H126</f>
        <v>500</v>
      </c>
      <c r="BW305" s="15" t="n">
        <f aca="false">INDEX(Ipotesi!$C$82:$G$82,1,F305)/12</f>
        <v>416.666666666667</v>
      </c>
      <c r="BX305" s="15" t="n">
        <f aca="false">INDEX(Ipotesi!$C$83:$G$83,1,F305)/12</f>
        <v>500</v>
      </c>
      <c r="BY305" s="15" t="n">
        <f aca="false">SUM(S305:U305)*(Ipotesi!$C$85+Ipotesi!$C$86)/12</f>
        <v>437.5</v>
      </c>
      <c r="BZ305" s="15" t="n">
        <f aca="false">AM305*Ipotesi!$C$87</f>
        <v>486.315789473684</v>
      </c>
      <c r="CA305" s="15" t="n">
        <f aca="false">AB305+BJ305+BL305+BN305+BO305+AR305+BP305+BQ305+BR305+BS305+BT305</f>
        <v>27738.2149122807</v>
      </c>
      <c r="CB305" s="15" t="n">
        <f aca="false">AC305+BK305+BM305+BH305+BU305+BV305+AS305+BW305+BX305+BY305+BZ305</f>
        <v>12114.5175438596</v>
      </c>
      <c r="CC305" s="15" t="n">
        <f aca="false">BI305-CA305</f>
        <v>-18617.1622807018</v>
      </c>
      <c r="CD305" s="15" t="n">
        <f aca="false">AM305-CB305</f>
        <v>4096.00877192982</v>
      </c>
      <c r="CE305" s="15" t="n">
        <f aca="false">INDEX(Ipotesi!$C$79:$G$79,1,F305)/12</f>
        <v>1666.66666666667</v>
      </c>
      <c r="CF305" s="15" t="n">
        <f aca="false">INDEX(Ipotesi!$C$84:$G$84,1,F305)/12</f>
        <v>250</v>
      </c>
      <c r="CG305" s="15" t="n">
        <f aca="false">Y305*MAX(0,Parametri_v3!$C$12-IF(P305=0,0,MIN(1,BE305/(P305*Parametri_v3!$C$22))))+W305*Parametri_v3!$C$13+X305*Parametri_v3!$C$14</f>
        <v>7187.5</v>
      </c>
      <c r="CH305" s="15" t="n">
        <f aca="false">AB305*Parametri_v3!$C$32</f>
        <v>895.833333333334</v>
      </c>
      <c r="CI305" s="15" t="n">
        <f aca="false">AC305*Parametri_v3!$C$32</f>
        <v>262.5</v>
      </c>
      <c r="CJ305" s="15" t="n">
        <f aca="false">CA305-AB305</f>
        <v>9821.54824561403</v>
      </c>
      <c r="CK305" s="15" t="n">
        <f aca="false">CB305-AC305-BH305</f>
        <v>5243.4649122807</v>
      </c>
      <c r="CL305" s="15" t="n">
        <f aca="false">BF305*Ipotesi!$C$73+INDEX(Ipotesi!$C$72:$G$72,1,F305)/12*Ipotesi!H126*Parametri_v3!$C$58+Z305*(1-Parametri_v3!$C$16)</f>
        <v>1812.5</v>
      </c>
      <c r="CM305" s="16" t="n">
        <f aca="false">IF(BF305=0,0,1-CL305/BF305)</f>
        <v>0</v>
      </c>
    </row>
    <row r="306" customFormat="false" ht="18" hidden="false" customHeight="true" outlineLevel="0" collapsed="false">
      <c r="A306" s="68" t="n">
        <f aca="false">6</f>
        <v>6</v>
      </c>
      <c r="B306" s="68" t="n">
        <f aca="false">2</f>
        <v>2</v>
      </c>
      <c r="C306" s="18" t="n">
        <f aca="false">EDATE(Parametri_v3!$C$5,2-1)</f>
        <v>46419</v>
      </c>
      <c r="D306" s="68" t="n">
        <f aca="false">YEAR(C306)</f>
        <v>2027</v>
      </c>
      <c r="E306" s="68" t="n">
        <f aca="false">MONTH(C306)</f>
        <v>2</v>
      </c>
      <c r="F306" s="68" t="n">
        <f aca="false">INT((2-1)/12)+1</f>
        <v>1</v>
      </c>
      <c r="G306" s="15" t="n">
        <f aca="false">Ipotesi!H7</f>
        <v>1</v>
      </c>
      <c r="H306" s="15" t="n">
        <f aca="false">Ipotesi!H9</f>
        <v>1</v>
      </c>
      <c r="I306" s="15" t="n">
        <f aca="false">Ipotesi!H10</f>
        <v>1</v>
      </c>
      <c r="J306" s="15" t="n">
        <f aca="false">Ipotesi!H11</f>
        <v>1</v>
      </c>
      <c r="K306" s="15" t="n">
        <f aca="false">Ipotesi!H12</f>
        <v>1</v>
      </c>
      <c r="L306" s="15" t="n">
        <f aca="false">Ipotesi!H13</f>
        <v>90</v>
      </c>
      <c r="M306" s="17" t="n">
        <f aca="false">INDEX(Ipotesi!$C$40:$G$40,1,F306)</f>
        <v>1</v>
      </c>
      <c r="N306" s="17" t="n">
        <f aca="false">INDEX(Ipotesi!$C$41:$G$41,1,F306)</f>
        <v>0.75</v>
      </c>
      <c r="O306" s="17" t="n">
        <f aca="false">INDEX(Ipotesi!$C$42:$G$42,1,F306)*Ipotesi!H125</f>
        <v>1</v>
      </c>
      <c r="P306" s="17" t="n">
        <f aca="false">INDEX(Ipotesi!$C$43:$G$43,1,F306)*I306</f>
        <v>1</v>
      </c>
      <c r="Q306" s="17" t="n">
        <f aca="false">INDEX(Ipotesi!$C$44:$G$44,1,F306)*I306</f>
        <v>0.5</v>
      </c>
      <c r="R306" s="17" t="n">
        <f aca="false">INDEX(Ipotesi!$C$45:$G$45,1,F306)*I306</f>
        <v>0</v>
      </c>
      <c r="S306" s="17" t="n">
        <f aca="false">INDEX(Ipotesi!$C$52:$G$52,1,F306)*Ipotesi!H125</f>
        <v>1.5</v>
      </c>
      <c r="T306" s="17" t="n">
        <f aca="false">INDEX(Ipotesi!$C$53:$G$53,1,F306)*I306</f>
        <v>0</v>
      </c>
      <c r="U306" s="17" t="n">
        <f aca="false">INDEX(Ipotesi!$C$54:$G$54,1,F306)*I306</f>
        <v>0</v>
      </c>
      <c r="V306" s="15" t="n">
        <f aca="false">M306*INDEX(Ipotesi!$C$58:$G$58,1,F306)*K306/12</f>
        <v>3333.33333333333</v>
      </c>
      <c r="W306" s="15" t="n">
        <f aca="false">N306*Ipotesi!$C$59*(1+Ipotesi!$C$66)^(F306-1)/12</f>
        <v>4375</v>
      </c>
      <c r="X306" s="15" t="n">
        <f aca="false">O306*Ipotesi!$C$60*(1+Ipotesi!$C$66)^(F306-1)/12</f>
        <v>4166.66666666667</v>
      </c>
      <c r="Y306" s="15" t="n">
        <f aca="false">P306*Ipotesi!$C$61*(1+Ipotesi!$C$66)^(F306-1)/12</f>
        <v>4166.66666666667</v>
      </c>
      <c r="Z306" s="15" t="n">
        <f aca="false">Q306*Ipotesi!$C$62*(1+Ipotesi!$C$66)^(F306-1)/12</f>
        <v>1875</v>
      </c>
      <c r="AA306" s="15" t="n">
        <f aca="false">R306*Ipotesi!$C$63*(1+Ipotesi!$C$66)^(F306-1)/12</f>
        <v>0</v>
      </c>
      <c r="AB306" s="15" t="n">
        <f aca="false">SUM(V306:AA306)</f>
        <v>17916.6666666667</v>
      </c>
      <c r="AC306" s="15" t="n">
        <f aca="false">(S306*Ipotesi!$C$64+T306*Ipotesi!$C$65+U306*Ipotesi!$C$63)*(1+Ipotesi!$C$66)^(F306-1)/12</f>
        <v>5250</v>
      </c>
      <c r="AD306" s="15" t="n">
        <f aca="false">INDEX(Ipotesi!$C$48:$G$48,1,F306)*G306/12</f>
        <v>16.6666666666667</v>
      </c>
      <c r="AE306" s="15" t="n">
        <f aca="false">INDEX(Ipotesi!$C$50:$G$50,1,F306)*G306/12</f>
        <v>2.08333333333333</v>
      </c>
      <c r="AF306" s="15" t="n">
        <f aca="false">(S306*Parametri_v3!$C$7*Parametri_v3!$C$8+Parametri_v3!$C$10)/12</f>
        <v>19.25</v>
      </c>
      <c r="AG306" s="15" t="n">
        <f aca="false">AD306+AE306*(1+Parametri_v3!$C$9)</f>
        <v>19.7916666666667</v>
      </c>
      <c r="AH306" s="16" t="n">
        <f aca="false">IF(AG306=0,1,MIN(1,AF306/AG306))</f>
        <v>0.972631578947368</v>
      </c>
      <c r="AI306" s="15" t="n">
        <f aca="false">AD306*AH306</f>
        <v>16.2105263157895</v>
      </c>
      <c r="AJ306" s="15" t="n">
        <f aca="false">AE306*AH306</f>
        <v>2.02631578947368</v>
      </c>
      <c r="AK306" s="15" t="n">
        <f aca="false">AI306*INDEX(Ipotesi!$C$49:$G$49,1,F306)*H306</f>
        <v>12157.8947368421</v>
      </c>
      <c r="AL306" s="15" t="n">
        <f aca="false">AJ306*INDEX(Ipotesi!$C$51:$G$51,1,F306)*H306</f>
        <v>4052.63157894737</v>
      </c>
      <c r="AM306" s="15" t="n">
        <f aca="false">AK306+AL306</f>
        <v>16210.5263157895</v>
      </c>
      <c r="AN306" s="15" t="n">
        <f aca="false">INDEX(Ipotesi!$C$30:$G$30,1,F306)*G306/12</f>
        <v>8.33333333333333</v>
      </c>
      <c r="AO306" s="15" t="n">
        <f aca="false">O306*Parametri_v3!$C$7*Parametri_v3!$C$11*(1-Parametri_v3!$C$14)/12</f>
        <v>10.2666666666667</v>
      </c>
      <c r="AP306" s="15" t="n">
        <f aca="false">MIN(AN306,AO306)</f>
        <v>8.33333333333333</v>
      </c>
      <c r="AQ306" s="15" t="n">
        <f aca="false">AP306*INDEX(Ipotesi!$C$31:$G$31,1,F306)*H306</f>
        <v>7500</v>
      </c>
      <c r="AR306" s="15" t="n">
        <f aca="false">INDEX(Ipotesi!$C$75:$G$75,1,F306)*J306/12</f>
        <v>2083.33333333333</v>
      </c>
      <c r="AS306" s="15" t="n">
        <f aca="false">INDEX(Ipotesi!$C$81:$G$81,1,F306)*J306/12</f>
        <v>416.666666666667</v>
      </c>
      <c r="AT306" s="15" t="n">
        <f aca="false">AR306*Parametri_v3!$C$15+Z306*Parametri_v3!$C$16</f>
        <v>3395.83333333333</v>
      </c>
      <c r="AU306" s="15" t="n">
        <f aca="false">Q306*Parametri_v3!$C$16*Parametri_v3!$C$17</f>
        <v>35</v>
      </c>
      <c r="AV306" s="17" t="n">
        <f aca="false">BD305</f>
        <v>0</v>
      </c>
      <c r="AW306" s="17" t="n">
        <f aca="false">AV306*(1-(1-INDEX(Ipotesi!$C$34:$G$34,1,F306))^(1/12))</f>
        <v>0</v>
      </c>
      <c r="AX306" s="15" t="n">
        <f aca="false">ROUND(INDEX(Ipotesi!$C$32:$G$32,1,F306)*Ipotesi!H8,0)</f>
        <v>5</v>
      </c>
      <c r="AY306" s="15" t="n">
        <f aca="false">MAX(0,(AX306-(AV306-AW306))/(13-E306))</f>
        <v>0.454545454545455</v>
      </c>
      <c r="AZ306" s="15" t="n">
        <f aca="false">MIN(P306*Parametri_v3!$C$22,Q306*(1-Parametri_v3!$C$16)*Parametri_v3!$C$23)</f>
        <v>22.5</v>
      </c>
      <c r="BA306" s="15" t="n">
        <f aca="false">IF(OR(INDEX(Ipotesi!$C$35:$G$35,1,F306)&lt;=0,2-Parametri_v3!$C$21&lt;1),0,INDEX($AT$305:$AT$364,MAX(1,2-Parametri_v3!$C$21))/(INDEX(Ipotesi!$C$35:$G$35,1,F306)*Ipotesi!H27))</f>
        <v>0</v>
      </c>
      <c r="BB306" s="15" t="n">
        <f aca="false">IF(2-Parametri_v3!$C$21&lt;1,0,INDEX($AU$305:$AU$364,MAX(1,2-Parametri_v3!$C$21)))*Parametri_v3!$C$18*Parametri_v3!$C$19*Parametri_v3!$C$20</f>
        <v>0</v>
      </c>
      <c r="BC306" s="17" t="n">
        <f aca="false">MAX(0,MIN(AY306,BA306,BB306,MAX(0,AZ306-(AV306-AW306))))</f>
        <v>0</v>
      </c>
      <c r="BD306" s="17" t="n">
        <f aca="false">AV306-AW306+BC306</f>
        <v>0</v>
      </c>
      <c r="BE306" s="17" t="n">
        <f aca="false">(AV306+BD306)/2</f>
        <v>0</v>
      </c>
      <c r="BF306" s="15" t="n">
        <f aca="false">BE306*INDEX(Ipotesi!$C$33:$G$33,1,F306)*H306/12</f>
        <v>0</v>
      </c>
      <c r="BG306" s="15" t="n">
        <f aca="false">BD306*INDEX(Ipotesi!$C$33:$G$33,1,F306)*H306</f>
        <v>0</v>
      </c>
      <c r="BH306" s="15" t="n">
        <f aca="false">AM306*INDEX(Ipotesi!$C$37:$G$37,1,F306)</f>
        <v>1621.05263157895</v>
      </c>
      <c r="BI306" s="15" t="n">
        <f aca="false">AQ306+BF306+BH306</f>
        <v>9121.05263157895</v>
      </c>
      <c r="BJ306" s="15" t="n">
        <f aca="false">INDEX(Ipotesi!$C$68:$G$68,1,F306)*Ipotesi!$C$69/12</f>
        <v>1000</v>
      </c>
      <c r="BK306" s="15" t="n">
        <f aca="false">INDEX(Ipotesi!$C$68:$G$68,1,F306)*(1-Ipotesi!$C$69)/12</f>
        <v>1500</v>
      </c>
      <c r="BL306" s="15" t="n">
        <f aca="false">(AQ306+BF306)*Ipotesi!$C$67</f>
        <v>225</v>
      </c>
      <c r="BM306" s="15" t="n">
        <f aca="false">AM306*Ipotesi!$C$67</f>
        <v>486.315789473684</v>
      </c>
      <c r="BN306" s="15" t="n">
        <f aca="false">INDEX(Ipotesi!$C$72:$G$72,1,F306)/12*Ipotesi!H126+BF306*Ipotesi!$C$73</f>
        <v>1250</v>
      </c>
      <c r="BO306" s="15" t="n">
        <f aca="false">INDEX(Ipotesi!$C$74:$G$74,1,F306)/12*Ipotesi!H126</f>
        <v>1000</v>
      </c>
      <c r="BP306" s="15" t="n">
        <f aca="false">INDEX(Ipotesi!$C$76:$G$76,1,F306)/12</f>
        <v>500</v>
      </c>
      <c r="BQ306" s="15" t="n">
        <f aca="false">INDEX(Ipotesi!$C$77:$G$77,1,F306)/12*Ipotesi!H126</f>
        <v>1250</v>
      </c>
      <c r="BR306" s="15" t="n">
        <f aca="false">INDEX(Ipotesi!$C$78:$G$78,1,F306)/12</f>
        <v>1000</v>
      </c>
      <c r="BS306" s="15" t="n">
        <f aca="false">SUM(M306:R306)*(Ipotesi!$C$85+Ipotesi!$C$86)/12</f>
        <v>1239.58333333333</v>
      </c>
      <c r="BT306" s="15" t="n">
        <f aca="false">BI306*Ipotesi!$C$87</f>
        <v>273.631578947368</v>
      </c>
      <c r="BU306" s="15" t="n">
        <f aca="false">INDEX(Ipotesi!$C$55:$G$55,1,F306)*K306/12</f>
        <v>500</v>
      </c>
      <c r="BV306" s="15" t="n">
        <f aca="false">INDEX(Ipotesi!$C$80:$G$80,1,F306)/12*Ipotesi!H126</f>
        <v>500</v>
      </c>
      <c r="BW306" s="15" t="n">
        <f aca="false">INDEX(Ipotesi!$C$82:$G$82,1,F306)/12</f>
        <v>416.666666666667</v>
      </c>
      <c r="BX306" s="15" t="n">
        <f aca="false">INDEX(Ipotesi!$C$83:$G$83,1,F306)/12</f>
        <v>500</v>
      </c>
      <c r="BY306" s="15" t="n">
        <f aca="false">SUM(S306:U306)*(Ipotesi!$C$85+Ipotesi!$C$86)/12</f>
        <v>437.5</v>
      </c>
      <c r="BZ306" s="15" t="n">
        <f aca="false">AM306*Ipotesi!$C$87</f>
        <v>486.315789473684</v>
      </c>
      <c r="CA306" s="15" t="n">
        <f aca="false">AB306+BJ306+BL306+BN306+BO306+AR306+BP306+BQ306+BR306+BS306+BT306</f>
        <v>27738.2149122807</v>
      </c>
      <c r="CB306" s="15" t="n">
        <f aca="false">AC306+BK306+BM306+BH306+BU306+BV306+AS306+BW306+BX306+BY306+BZ306</f>
        <v>12114.5175438596</v>
      </c>
      <c r="CC306" s="15" t="n">
        <f aca="false">BI306-CA306</f>
        <v>-18617.1622807018</v>
      </c>
      <c r="CD306" s="15" t="n">
        <f aca="false">AM306-CB306</f>
        <v>4096.00877192982</v>
      </c>
      <c r="CE306" s="15" t="n">
        <f aca="false">INDEX(Ipotesi!$C$79:$G$79,1,F306)/12</f>
        <v>1666.66666666667</v>
      </c>
      <c r="CF306" s="15" t="n">
        <f aca="false">INDEX(Ipotesi!$C$84:$G$84,1,F306)/12</f>
        <v>250</v>
      </c>
      <c r="CG306" s="15" t="n">
        <f aca="false">Y306*MAX(0,Parametri_v3!$C$12-IF(P306=0,0,MIN(1,BE306/(P306*Parametri_v3!$C$22))))+W306*Parametri_v3!$C$13+X306*Parametri_v3!$C$14</f>
        <v>7187.5</v>
      </c>
      <c r="CH306" s="15" t="n">
        <f aca="false">AB306*Parametri_v3!$C$32</f>
        <v>895.833333333334</v>
      </c>
      <c r="CI306" s="15" t="n">
        <f aca="false">AC306*Parametri_v3!$C$32</f>
        <v>262.5</v>
      </c>
      <c r="CJ306" s="15" t="n">
        <f aca="false">CA306-AB306</f>
        <v>9821.54824561403</v>
      </c>
      <c r="CK306" s="15" t="n">
        <f aca="false">CB306-AC306-BH306</f>
        <v>5243.4649122807</v>
      </c>
      <c r="CL306" s="15" t="n">
        <f aca="false">BF306*Ipotesi!$C$73+INDEX(Ipotesi!$C$72:$G$72,1,F306)/12*Ipotesi!H126*Parametri_v3!$C$58+Z306*(1-Parametri_v3!$C$16)</f>
        <v>1812.5</v>
      </c>
      <c r="CM306" s="16" t="n">
        <f aca="false">IF(BF306=0,0,1-CL306/BF306)</f>
        <v>0</v>
      </c>
    </row>
    <row r="307" customFormat="false" ht="18" hidden="false" customHeight="true" outlineLevel="0" collapsed="false">
      <c r="A307" s="68" t="n">
        <f aca="false">6</f>
        <v>6</v>
      </c>
      <c r="B307" s="68" t="n">
        <f aca="false">3</f>
        <v>3</v>
      </c>
      <c r="C307" s="18" t="n">
        <f aca="false">EDATE(Parametri_v3!$C$5,3-1)</f>
        <v>46447</v>
      </c>
      <c r="D307" s="68" t="n">
        <f aca="false">YEAR(C307)</f>
        <v>2027</v>
      </c>
      <c r="E307" s="68" t="n">
        <f aca="false">MONTH(C307)</f>
        <v>3</v>
      </c>
      <c r="F307" s="68" t="n">
        <f aca="false">INT((3-1)/12)+1</f>
        <v>1</v>
      </c>
      <c r="G307" s="15" t="n">
        <f aca="false">Ipotesi!H7</f>
        <v>1</v>
      </c>
      <c r="H307" s="15" t="n">
        <f aca="false">Ipotesi!H9</f>
        <v>1</v>
      </c>
      <c r="I307" s="15" t="n">
        <f aca="false">Ipotesi!H10</f>
        <v>1</v>
      </c>
      <c r="J307" s="15" t="n">
        <f aca="false">Ipotesi!H11</f>
        <v>1</v>
      </c>
      <c r="K307" s="15" t="n">
        <f aca="false">Ipotesi!H12</f>
        <v>1</v>
      </c>
      <c r="L307" s="15" t="n">
        <f aca="false">Ipotesi!H13</f>
        <v>90</v>
      </c>
      <c r="M307" s="17" t="n">
        <f aca="false">INDEX(Ipotesi!$C$40:$G$40,1,F307)</f>
        <v>1</v>
      </c>
      <c r="N307" s="17" t="n">
        <f aca="false">INDEX(Ipotesi!$C$41:$G$41,1,F307)</f>
        <v>0.75</v>
      </c>
      <c r="O307" s="17" t="n">
        <f aca="false">INDEX(Ipotesi!$C$42:$G$42,1,F307)*Ipotesi!H125</f>
        <v>1</v>
      </c>
      <c r="P307" s="17" t="n">
        <f aca="false">INDEX(Ipotesi!$C$43:$G$43,1,F307)*I307</f>
        <v>1</v>
      </c>
      <c r="Q307" s="17" t="n">
        <f aca="false">INDEX(Ipotesi!$C$44:$G$44,1,F307)*I307</f>
        <v>0.5</v>
      </c>
      <c r="R307" s="17" t="n">
        <f aca="false">INDEX(Ipotesi!$C$45:$G$45,1,F307)*I307</f>
        <v>0</v>
      </c>
      <c r="S307" s="17" t="n">
        <f aca="false">INDEX(Ipotesi!$C$52:$G$52,1,F307)*Ipotesi!H125</f>
        <v>1.5</v>
      </c>
      <c r="T307" s="17" t="n">
        <f aca="false">INDEX(Ipotesi!$C$53:$G$53,1,F307)*I307</f>
        <v>0</v>
      </c>
      <c r="U307" s="17" t="n">
        <f aca="false">INDEX(Ipotesi!$C$54:$G$54,1,F307)*I307</f>
        <v>0</v>
      </c>
      <c r="V307" s="15" t="n">
        <f aca="false">M307*INDEX(Ipotesi!$C$58:$G$58,1,F307)*K307/12</f>
        <v>3333.33333333333</v>
      </c>
      <c r="W307" s="15" t="n">
        <f aca="false">N307*Ipotesi!$C$59*(1+Ipotesi!$C$66)^(F307-1)/12</f>
        <v>4375</v>
      </c>
      <c r="X307" s="15" t="n">
        <f aca="false">O307*Ipotesi!$C$60*(1+Ipotesi!$C$66)^(F307-1)/12</f>
        <v>4166.66666666667</v>
      </c>
      <c r="Y307" s="15" t="n">
        <f aca="false">P307*Ipotesi!$C$61*(1+Ipotesi!$C$66)^(F307-1)/12</f>
        <v>4166.66666666667</v>
      </c>
      <c r="Z307" s="15" t="n">
        <f aca="false">Q307*Ipotesi!$C$62*(1+Ipotesi!$C$66)^(F307-1)/12</f>
        <v>1875</v>
      </c>
      <c r="AA307" s="15" t="n">
        <f aca="false">R307*Ipotesi!$C$63*(1+Ipotesi!$C$66)^(F307-1)/12</f>
        <v>0</v>
      </c>
      <c r="AB307" s="15" t="n">
        <f aca="false">SUM(V307:AA307)</f>
        <v>17916.6666666667</v>
      </c>
      <c r="AC307" s="15" t="n">
        <f aca="false">(S307*Ipotesi!$C$64+T307*Ipotesi!$C$65+U307*Ipotesi!$C$63)*(1+Ipotesi!$C$66)^(F307-1)/12</f>
        <v>5250</v>
      </c>
      <c r="AD307" s="15" t="n">
        <f aca="false">INDEX(Ipotesi!$C$48:$G$48,1,F307)*G307/12</f>
        <v>16.6666666666667</v>
      </c>
      <c r="AE307" s="15" t="n">
        <f aca="false">INDEX(Ipotesi!$C$50:$G$50,1,F307)*G307/12</f>
        <v>2.08333333333333</v>
      </c>
      <c r="AF307" s="15" t="n">
        <f aca="false">(S307*Parametri_v3!$C$7*Parametri_v3!$C$8+Parametri_v3!$C$10)/12</f>
        <v>19.25</v>
      </c>
      <c r="AG307" s="15" t="n">
        <f aca="false">AD307+AE307*(1+Parametri_v3!$C$9)</f>
        <v>19.7916666666667</v>
      </c>
      <c r="AH307" s="16" t="n">
        <f aca="false">IF(AG307=0,1,MIN(1,AF307/AG307))</f>
        <v>0.972631578947368</v>
      </c>
      <c r="AI307" s="15" t="n">
        <f aca="false">AD307*AH307</f>
        <v>16.2105263157895</v>
      </c>
      <c r="AJ307" s="15" t="n">
        <f aca="false">AE307*AH307</f>
        <v>2.02631578947368</v>
      </c>
      <c r="AK307" s="15" t="n">
        <f aca="false">AI307*INDEX(Ipotesi!$C$49:$G$49,1,F307)*H307</f>
        <v>12157.8947368421</v>
      </c>
      <c r="AL307" s="15" t="n">
        <f aca="false">AJ307*INDEX(Ipotesi!$C$51:$G$51,1,F307)*H307</f>
        <v>4052.63157894737</v>
      </c>
      <c r="AM307" s="15" t="n">
        <f aca="false">AK307+AL307</f>
        <v>16210.5263157895</v>
      </c>
      <c r="AN307" s="15" t="n">
        <f aca="false">INDEX(Ipotesi!$C$30:$G$30,1,F307)*G307/12</f>
        <v>8.33333333333333</v>
      </c>
      <c r="AO307" s="15" t="n">
        <f aca="false">O307*Parametri_v3!$C$7*Parametri_v3!$C$11*(1-Parametri_v3!$C$14)/12</f>
        <v>10.2666666666667</v>
      </c>
      <c r="AP307" s="15" t="n">
        <f aca="false">MIN(AN307,AO307)</f>
        <v>8.33333333333333</v>
      </c>
      <c r="AQ307" s="15" t="n">
        <f aca="false">AP307*INDEX(Ipotesi!$C$31:$G$31,1,F307)*H307</f>
        <v>7500</v>
      </c>
      <c r="AR307" s="15" t="n">
        <f aca="false">INDEX(Ipotesi!$C$75:$G$75,1,F307)*J307/12</f>
        <v>2083.33333333333</v>
      </c>
      <c r="AS307" s="15" t="n">
        <f aca="false">INDEX(Ipotesi!$C$81:$G$81,1,F307)*J307/12</f>
        <v>416.666666666667</v>
      </c>
      <c r="AT307" s="15" t="n">
        <f aca="false">AR307*Parametri_v3!$C$15+Z307*Parametri_v3!$C$16</f>
        <v>3395.83333333333</v>
      </c>
      <c r="AU307" s="15" t="n">
        <f aca="false">Q307*Parametri_v3!$C$16*Parametri_v3!$C$17</f>
        <v>35</v>
      </c>
      <c r="AV307" s="17" t="n">
        <f aca="false">BD306</f>
        <v>0</v>
      </c>
      <c r="AW307" s="17" t="n">
        <f aca="false">AV307*(1-(1-INDEX(Ipotesi!$C$34:$G$34,1,F307))^(1/12))</f>
        <v>0</v>
      </c>
      <c r="AX307" s="15" t="n">
        <f aca="false">ROUND(INDEX(Ipotesi!$C$32:$G$32,1,F307)*Ipotesi!H8,0)</f>
        <v>5</v>
      </c>
      <c r="AY307" s="15" t="n">
        <f aca="false">MAX(0,(AX307-(AV307-AW307))/(13-E307))</f>
        <v>0.5</v>
      </c>
      <c r="AZ307" s="15" t="n">
        <f aca="false">MIN(P307*Parametri_v3!$C$22,Q307*(1-Parametri_v3!$C$16)*Parametri_v3!$C$23)</f>
        <v>22.5</v>
      </c>
      <c r="BA307" s="15" t="n">
        <f aca="false">IF(OR(INDEX(Ipotesi!$C$35:$G$35,1,F307)&lt;=0,3-Parametri_v3!$C$21&lt;1),0,INDEX($AT$305:$AT$364,MAX(1,3-Parametri_v3!$C$21))/(INDEX(Ipotesi!$C$35:$G$35,1,F307)*Ipotesi!H27))</f>
        <v>0</v>
      </c>
      <c r="BB307" s="15" t="n">
        <f aca="false">IF(3-Parametri_v3!$C$21&lt;1,0,INDEX($AU$305:$AU$364,MAX(1,3-Parametri_v3!$C$21)))*Parametri_v3!$C$18*Parametri_v3!$C$19*Parametri_v3!$C$20</f>
        <v>0</v>
      </c>
      <c r="BC307" s="17" t="n">
        <f aca="false">MAX(0,MIN(AY307,BA307,BB307,MAX(0,AZ307-(AV307-AW307))))</f>
        <v>0</v>
      </c>
      <c r="BD307" s="17" t="n">
        <f aca="false">AV307-AW307+BC307</f>
        <v>0</v>
      </c>
      <c r="BE307" s="17" t="n">
        <f aca="false">(AV307+BD307)/2</f>
        <v>0</v>
      </c>
      <c r="BF307" s="15" t="n">
        <f aca="false">BE307*INDEX(Ipotesi!$C$33:$G$33,1,F307)*H307/12</f>
        <v>0</v>
      </c>
      <c r="BG307" s="15" t="n">
        <f aca="false">BD307*INDEX(Ipotesi!$C$33:$G$33,1,F307)*H307</f>
        <v>0</v>
      </c>
      <c r="BH307" s="15" t="n">
        <f aca="false">AM307*INDEX(Ipotesi!$C$37:$G$37,1,F307)</f>
        <v>1621.05263157895</v>
      </c>
      <c r="BI307" s="15" t="n">
        <f aca="false">AQ307+BF307+BH307</f>
        <v>9121.05263157895</v>
      </c>
      <c r="BJ307" s="15" t="n">
        <f aca="false">INDEX(Ipotesi!$C$68:$G$68,1,F307)*Ipotesi!$C$69/12</f>
        <v>1000</v>
      </c>
      <c r="BK307" s="15" t="n">
        <f aca="false">INDEX(Ipotesi!$C$68:$G$68,1,F307)*(1-Ipotesi!$C$69)/12</f>
        <v>1500</v>
      </c>
      <c r="BL307" s="15" t="n">
        <f aca="false">(AQ307+BF307)*Ipotesi!$C$67</f>
        <v>225</v>
      </c>
      <c r="BM307" s="15" t="n">
        <f aca="false">AM307*Ipotesi!$C$67</f>
        <v>486.315789473684</v>
      </c>
      <c r="BN307" s="15" t="n">
        <f aca="false">INDEX(Ipotesi!$C$72:$G$72,1,F307)/12*Ipotesi!H126+BF307*Ipotesi!$C$73</f>
        <v>1250</v>
      </c>
      <c r="BO307" s="15" t="n">
        <f aca="false">INDEX(Ipotesi!$C$74:$G$74,1,F307)/12*Ipotesi!H126</f>
        <v>1000</v>
      </c>
      <c r="BP307" s="15" t="n">
        <f aca="false">INDEX(Ipotesi!$C$76:$G$76,1,F307)/12</f>
        <v>500</v>
      </c>
      <c r="BQ307" s="15" t="n">
        <f aca="false">INDEX(Ipotesi!$C$77:$G$77,1,F307)/12*Ipotesi!H126</f>
        <v>1250</v>
      </c>
      <c r="BR307" s="15" t="n">
        <f aca="false">INDEX(Ipotesi!$C$78:$G$78,1,F307)/12</f>
        <v>1000</v>
      </c>
      <c r="BS307" s="15" t="n">
        <f aca="false">SUM(M307:R307)*(Ipotesi!$C$85+Ipotesi!$C$86)/12</f>
        <v>1239.58333333333</v>
      </c>
      <c r="BT307" s="15" t="n">
        <f aca="false">BI307*Ipotesi!$C$87</f>
        <v>273.631578947368</v>
      </c>
      <c r="BU307" s="15" t="n">
        <f aca="false">INDEX(Ipotesi!$C$55:$G$55,1,F307)*K307/12</f>
        <v>500</v>
      </c>
      <c r="BV307" s="15" t="n">
        <f aca="false">INDEX(Ipotesi!$C$80:$G$80,1,F307)/12*Ipotesi!H126</f>
        <v>500</v>
      </c>
      <c r="BW307" s="15" t="n">
        <f aca="false">INDEX(Ipotesi!$C$82:$G$82,1,F307)/12</f>
        <v>416.666666666667</v>
      </c>
      <c r="BX307" s="15" t="n">
        <f aca="false">INDEX(Ipotesi!$C$83:$G$83,1,F307)/12</f>
        <v>500</v>
      </c>
      <c r="BY307" s="15" t="n">
        <f aca="false">SUM(S307:U307)*(Ipotesi!$C$85+Ipotesi!$C$86)/12</f>
        <v>437.5</v>
      </c>
      <c r="BZ307" s="15" t="n">
        <f aca="false">AM307*Ipotesi!$C$87</f>
        <v>486.315789473684</v>
      </c>
      <c r="CA307" s="15" t="n">
        <f aca="false">AB307+BJ307+BL307+BN307+BO307+AR307+BP307+BQ307+BR307+BS307+BT307</f>
        <v>27738.2149122807</v>
      </c>
      <c r="CB307" s="15" t="n">
        <f aca="false">AC307+BK307+BM307+BH307+BU307+BV307+AS307+BW307+BX307+BY307+BZ307</f>
        <v>12114.5175438596</v>
      </c>
      <c r="CC307" s="15" t="n">
        <f aca="false">BI307-CA307</f>
        <v>-18617.1622807018</v>
      </c>
      <c r="CD307" s="15" t="n">
        <f aca="false">AM307-CB307</f>
        <v>4096.00877192982</v>
      </c>
      <c r="CE307" s="15" t="n">
        <f aca="false">INDEX(Ipotesi!$C$79:$G$79,1,F307)/12</f>
        <v>1666.66666666667</v>
      </c>
      <c r="CF307" s="15" t="n">
        <f aca="false">INDEX(Ipotesi!$C$84:$G$84,1,F307)/12</f>
        <v>250</v>
      </c>
      <c r="CG307" s="15" t="n">
        <f aca="false">Y307*MAX(0,Parametri_v3!$C$12-IF(P307=0,0,MIN(1,BE307/(P307*Parametri_v3!$C$22))))+W307*Parametri_v3!$C$13+X307*Parametri_v3!$C$14</f>
        <v>7187.5</v>
      </c>
      <c r="CH307" s="15" t="n">
        <f aca="false">AB307*Parametri_v3!$C$32</f>
        <v>895.833333333334</v>
      </c>
      <c r="CI307" s="15" t="n">
        <f aca="false">AC307*Parametri_v3!$C$32</f>
        <v>262.5</v>
      </c>
      <c r="CJ307" s="15" t="n">
        <f aca="false">CA307-AB307</f>
        <v>9821.54824561403</v>
      </c>
      <c r="CK307" s="15" t="n">
        <f aca="false">CB307-AC307-BH307</f>
        <v>5243.4649122807</v>
      </c>
      <c r="CL307" s="15" t="n">
        <f aca="false">BF307*Ipotesi!$C$73+INDEX(Ipotesi!$C$72:$G$72,1,F307)/12*Ipotesi!H126*Parametri_v3!$C$58+Z307*(1-Parametri_v3!$C$16)</f>
        <v>1812.5</v>
      </c>
      <c r="CM307" s="16" t="n">
        <f aca="false">IF(BF307=0,0,1-CL307/BF307)</f>
        <v>0</v>
      </c>
    </row>
    <row r="308" customFormat="false" ht="18" hidden="false" customHeight="true" outlineLevel="0" collapsed="false">
      <c r="A308" s="68" t="n">
        <f aca="false">6</f>
        <v>6</v>
      </c>
      <c r="B308" s="68" t="n">
        <f aca="false">4</f>
        <v>4</v>
      </c>
      <c r="C308" s="18" t="n">
        <f aca="false">EDATE(Parametri_v3!$C$5,4-1)</f>
        <v>46478</v>
      </c>
      <c r="D308" s="68" t="n">
        <f aca="false">YEAR(C308)</f>
        <v>2027</v>
      </c>
      <c r="E308" s="68" t="n">
        <f aca="false">MONTH(C308)</f>
        <v>4</v>
      </c>
      <c r="F308" s="68" t="n">
        <f aca="false">INT((4-1)/12)+1</f>
        <v>1</v>
      </c>
      <c r="G308" s="15" t="n">
        <f aca="false">Ipotesi!H7</f>
        <v>1</v>
      </c>
      <c r="H308" s="15" t="n">
        <f aca="false">Ipotesi!H9</f>
        <v>1</v>
      </c>
      <c r="I308" s="15" t="n">
        <f aca="false">Ipotesi!H10</f>
        <v>1</v>
      </c>
      <c r="J308" s="15" t="n">
        <f aca="false">Ipotesi!H11</f>
        <v>1</v>
      </c>
      <c r="K308" s="15" t="n">
        <f aca="false">Ipotesi!H12</f>
        <v>1</v>
      </c>
      <c r="L308" s="15" t="n">
        <f aca="false">Ipotesi!H13</f>
        <v>90</v>
      </c>
      <c r="M308" s="17" t="n">
        <f aca="false">INDEX(Ipotesi!$C$40:$G$40,1,F308)</f>
        <v>1</v>
      </c>
      <c r="N308" s="17" t="n">
        <f aca="false">INDEX(Ipotesi!$C$41:$G$41,1,F308)</f>
        <v>0.75</v>
      </c>
      <c r="O308" s="17" t="n">
        <f aca="false">INDEX(Ipotesi!$C$42:$G$42,1,F308)*Ipotesi!H125</f>
        <v>1</v>
      </c>
      <c r="P308" s="17" t="n">
        <f aca="false">INDEX(Ipotesi!$C$43:$G$43,1,F308)*I308</f>
        <v>1</v>
      </c>
      <c r="Q308" s="17" t="n">
        <f aca="false">INDEX(Ipotesi!$C$44:$G$44,1,F308)*I308</f>
        <v>0.5</v>
      </c>
      <c r="R308" s="17" t="n">
        <f aca="false">INDEX(Ipotesi!$C$45:$G$45,1,F308)*I308</f>
        <v>0</v>
      </c>
      <c r="S308" s="17" t="n">
        <f aca="false">INDEX(Ipotesi!$C$52:$G$52,1,F308)*Ipotesi!H125</f>
        <v>1.5</v>
      </c>
      <c r="T308" s="17" t="n">
        <f aca="false">INDEX(Ipotesi!$C$53:$G$53,1,F308)*I308</f>
        <v>0</v>
      </c>
      <c r="U308" s="17" t="n">
        <f aca="false">INDEX(Ipotesi!$C$54:$G$54,1,F308)*I308</f>
        <v>0</v>
      </c>
      <c r="V308" s="15" t="n">
        <f aca="false">M308*INDEX(Ipotesi!$C$58:$G$58,1,F308)*K308/12</f>
        <v>3333.33333333333</v>
      </c>
      <c r="W308" s="15" t="n">
        <f aca="false">N308*Ipotesi!$C$59*(1+Ipotesi!$C$66)^(F308-1)/12</f>
        <v>4375</v>
      </c>
      <c r="X308" s="15" t="n">
        <f aca="false">O308*Ipotesi!$C$60*(1+Ipotesi!$C$66)^(F308-1)/12</f>
        <v>4166.66666666667</v>
      </c>
      <c r="Y308" s="15" t="n">
        <f aca="false">P308*Ipotesi!$C$61*(1+Ipotesi!$C$66)^(F308-1)/12</f>
        <v>4166.66666666667</v>
      </c>
      <c r="Z308" s="15" t="n">
        <f aca="false">Q308*Ipotesi!$C$62*(1+Ipotesi!$C$66)^(F308-1)/12</f>
        <v>1875</v>
      </c>
      <c r="AA308" s="15" t="n">
        <f aca="false">R308*Ipotesi!$C$63*(1+Ipotesi!$C$66)^(F308-1)/12</f>
        <v>0</v>
      </c>
      <c r="AB308" s="15" t="n">
        <f aca="false">SUM(V308:AA308)</f>
        <v>17916.6666666667</v>
      </c>
      <c r="AC308" s="15" t="n">
        <f aca="false">(S308*Ipotesi!$C$64+T308*Ipotesi!$C$65+U308*Ipotesi!$C$63)*(1+Ipotesi!$C$66)^(F308-1)/12</f>
        <v>5250</v>
      </c>
      <c r="AD308" s="15" t="n">
        <f aca="false">INDEX(Ipotesi!$C$48:$G$48,1,F308)*G308/12</f>
        <v>16.6666666666667</v>
      </c>
      <c r="AE308" s="15" t="n">
        <f aca="false">INDEX(Ipotesi!$C$50:$G$50,1,F308)*G308/12</f>
        <v>2.08333333333333</v>
      </c>
      <c r="AF308" s="15" t="n">
        <f aca="false">(S308*Parametri_v3!$C$7*Parametri_v3!$C$8+Parametri_v3!$C$10)/12</f>
        <v>19.25</v>
      </c>
      <c r="AG308" s="15" t="n">
        <f aca="false">AD308+AE308*(1+Parametri_v3!$C$9)</f>
        <v>19.7916666666667</v>
      </c>
      <c r="AH308" s="16" t="n">
        <f aca="false">IF(AG308=0,1,MIN(1,AF308/AG308))</f>
        <v>0.972631578947368</v>
      </c>
      <c r="AI308" s="15" t="n">
        <f aca="false">AD308*AH308</f>
        <v>16.2105263157895</v>
      </c>
      <c r="AJ308" s="15" t="n">
        <f aca="false">AE308*AH308</f>
        <v>2.02631578947368</v>
      </c>
      <c r="AK308" s="15" t="n">
        <f aca="false">AI308*INDEX(Ipotesi!$C$49:$G$49,1,F308)*H308</f>
        <v>12157.8947368421</v>
      </c>
      <c r="AL308" s="15" t="n">
        <f aca="false">AJ308*INDEX(Ipotesi!$C$51:$G$51,1,F308)*H308</f>
        <v>4052.63157894737</v>
      </c>
      <c r="AM308" s="15" t="n">
        <f aca="false">AK308+AL308</f>
        <v>16210.5263157895</v>
      </c>
      <c r="AN308" s="15" t="n">
        <f aca="false">INDEX(Ipotesi!$C$30:$G$30,1,F308)*G308/12</f>
        <v>8.33333333333333</v>
      </c>
      <c r="AO308" s="15" t="n">
        <f aca="false">O308*Parametri_v3!$C$7*Parametri_v3!$C$11*(1-Parametri_v3!$C$14)/12</f>
        <v>10.2666666666667</v>
      </c>
      <c r="AP308" s="15" t="n">
        <f aca="false">MIN(AN308,AO308)</f>
        <v>8.33333333333333</v>
      </c>
      <c r="AQ308" s="15" t="n">
        <f aca="false">AP308*INDEX(Ipotesi!$C$31:$G$31,1,F308)*H308</f>
        <v>7500</v>
      </c>
      <c r="AR308" s="15" t="n">
        <f aca="false">INDEX(Ipotesi!$C$75:$G$75,1,F308)*J308/12</f>
        <v>2083.33333333333</v>
      </c>
      <c r="AS308" s="15" t="n">
        <f aca="false">INDEX(Ipotesi!$C$81:$G$81,1,F308)*J308/12</f>
        <v>416.666666666667</v>
      </c>
      <c r="AT308" s="15" t="n">
        <f aca="false">AR308*Parametri_v3!$C$15+Z308*Parametri_v3!$C$16</f>
        <v>3395.83333333333</v>
      </c>
      <c r="AU308" s="15" t="n">
        <f aca="false">Q308*Parametri_v3!$C$16*Parametri_v3!$C$17</f>
        <v>35</v>
      </c>
      <c r="AV308" s="17" t="n">
        <f aca="false">BD307</f>
        <v>0</v>
      </c>
      <c r="AW308" s="17" t="n">
        <f aca="false">AV308*(1-(1-INDEX(Ipotesi!$C$34:$G$34,1,F308))^(1/12))</f>
        <v>0</v>
      </c>
      <c r="AX308" s="15" t="n">
        <f aca="false">ROUND(INDEX(Ipotesi!$C$32:$G$32,1,F308)*Ipotesi!H8,0)</f>
        <v>5</v>
      </c>
      <c r="AY308" s="15" t="n">
        <f aca="false">MAX(0,(AX308-(AV308-AW308))/(13-E308))</f>
        <v>0.555555555555556</v>
      </c>
      <c r="AZ308" s="15" t="n">
        <f aca="false">MIN(P308*Parametri_v3!$C$22,Q308*(1-Parametri_v3!$C$16)*Parametri_v3!$C$23)</f>
        <v>22.5</v>
      </c>
      <c r="BA308" s="15" t="n">
        <f aca="false">IF(OR(INDEX(Ipotesi!$C$35:$G$35,1,F308)&lt;=0,4-Parametri_v3!$C$21&lt;1),0,INDEX($AT$305:$AT$364,MAX(1,4-Parametri_v3!$C$21))/(INDEX(Ipotesi!$C$35:$G$35,1,F308)*Ipotesi!H27))</f>
        <v>0.679166666666667</v>
      </c>
      <c r="BB308" s="15" t="n">
        <f aca="false">IF(4-Parametri_v3!$C$21&lt;1,0,INDEX($AU$305:$AU$364,MAX(1,4-Parametri_v3!$C$21)))*Parametri_v3!$C$18*Parametri_v3!$C$19*Parametri_v3!$C$20</f>
        <v>1.3125</v>
      </c>
      <c r="BC308" s="17" t="n">
        <f aca="false">MAX(0,MIN(AY308,BA308,BB308,MAX(0,AZ308-(AV308-AW308))))</f>
        <v>0.555555555555556</v>
      </c>
      <c r="BD308" s="17" t="n">
        <f aca="false">AV308-AW308+BC308</f>
        <v>0.555555555555556</v>
      </c>
      <c r="BE308" s="17" t="n">
        <f aca="false">(AV308+BD308)/2</f>
        <v>0.277777777777778</v>
      </c>
      <c r="BF308" s="15" t="n">
        <f aca="false">BE308*INDEX(Ipotesi!$C$33:$G$33,1,F308)*H308/12</f>
        <v>46.2962962962963</v>
      </c>
      <c r="BG308" s="15" t="n">
        <f aca="false">BD308*INDEX(Ipotesi!$C$33:$G$33,1,F308)*H308</f>
        <v>1111.11111111111</v>
      </c>
      <c r="BH308" s="15" t="n">
        <f aca="false">AM308*INDEX(Ipotesi!$C$37:$G$37,1,F308)</f>
        <v>1621.05263157895</v>
      </c>
      <c r="BI308" s="15" t="n">
        <f aca="false">AQ308+BF308+BH308</f>
        <v>9167.34892787525</v>
      </c>
      <c r="BJ308" s="15" t="n">
        <f aca="false">INDEX(Ipotesi!$C$68:$G$68,1,F308)*Ipotesi!$C$69/12</f>
        <v>1000</v>
      </c>
      <c r="BK308" s="15" t="n">
        <f aca="false">INDEX(Ipotesi!$C$68:$G$68,1,F308)*(1-Ipotesi!$C$69)/12</f>
        <v>1500</v>
      </c>
      <c r="BL308" s="15" t="n">
        <f aca="false">(AQ308+BF308)*Ipotesi!$C$67</f>
        <v>226.388888888889</v>
      </c>
      <c r="BM308" s="15" t="n">
        <f aca="false">AM308*Ipotesi!$C$67</f>
        <v>486.315789473684</v>
      </c>
      <c r="BN308" s="15" t="n">
        <f aca="false">INDEX(Ipotesi!$C$72:$G$72,1,F308)/12*Ipotesi!H126+BF308*Ipotesi!$C$73</f>
        <v>1253.7037037037</v>
      </c>
      <c r="BO308" s="15" t="n">
        <f aca="false">INDEX(Ipotesi!$C$74:$G$74,1,F308)/12*Ipotesi!H126</f>
        <v>1000</v>
      </c>
      <c r="BP308" s="15" t="n">
        <f aca="false">INDEX(Ipotesi!$C$76:$G$76,1,F308)/12</f>
        <v>500</v>
      </c>
      <c r="BQ308" s="15" t="n">
        <f aca="false">INDEX(Ipotesi!$C$77:$G$77,1,F308)/12*Ipotesi!H126</f>
        <v>1250</v>
      </c>
      <c r="BR308" s="15" t="n">
        <f aca="false">INDEX(Ipotesi!$C$78:$G$78,1,F308)/12</f>
        <v>1000</v>
      </c>
      <c r="BS308" s="15" t="n">
        <f aca="false">SUM(M308:R308)*(Ipotesi!$C$85+Ipotesi!$C$86)/12</f>
        <v>1239.58333333333</v>
      </c>
      <c r="BT308" s="15" t="n">
        <f aca="false">BI308*Ipotesi!$C$87</f>
        <v>275.020467836257</v>
      </c>
      <c r="BU308" s="15" t="n">
        <f aca="false">INDEX(Ipotesi!$C$55:$G$55,1,F308)*K308/12</f>
        <v>500</v>
      </c>
      <c r="BV308" s="15" t="n">
        <f aca="false">INDEX(Ipotesi!$C$80:$G$80,1,F308)/12*Ipotesi!H126</f>
        <v>500</v>
      </c>
      <c r="BW308" s="15" t="n">
        <f aca="false">INDEX(Ipotesi!$C$82:$G$82,1,F308)/12</f>
        <v>416.666666666667</v>
      </c>
      <c r="BX308" s="15" t="n">
        <f aca="false">INDEX(Ipotesi!$C$83:$G$83,1,F308)/12</f>
        <v>500</v>
      </c>
      <c r="BY308" s="15" t="n">
        <f aca="false">SUM(S308:U308)*(Ipotesi!$C$85+Ipotesi!$C$86)/12</f>
        <v>437.5</v>
      </c>
      <c r="BZ308" s="15" t="n">
        <f aca="false">AM308*Ipotesi!$C$87</f>
        <v>486.315789473684</v>
      </c>
      <c r="CA308" s="15" t="n">
        <f aca="false">AB308+BJ308+BL308+BN308+BO308+AR308+BP308+BQ308+BR308+BS308+BT308</f>
        <v>27744.6963937622</v>
      </c>
      <c r="CB308" s="15" t="n">
        <f aca="false">AC308+BK308+BM308+BH308+BU308+BV308+AS308+BW308+BX308+BY308+BZ308</f>
        <v>12114.5175438596</v>
      </c>
      <c r="CC308" s="15" t="n">
        <f aca="false">BI308-CA308</f>
        <v>-18577.3474658869</v>
      </c>
      <c r="CD308" s="15" t="n">
        <f aca="false">AM308-CB308</f>
        <v>4096.00877192982</v>
      </c>
      <c r="CE308" s="15" t="n">
        <f aca="false">INDEX(Ipotesi!$C$79:$G$79,1,F308)/12</f>
        <v>1666.66666666667</v>
      </c>
      <c r="CF308" s="15" t="n">
        <f aca="false">INDEX(Ipotesi!$C$84:$G$84,1,F308)/12</f>
        <v>250</v>
      </c>
      <c r="CG308" s="15" t="n">
        <f aca="false">Y308*MAX(0,Parametri_v3!$C$12-IF(P308=0,0,MIN(1,BE308/(P308*Parametri_v3!$C$22))))+W308*Parametri_v3!$C$13+X308*Parametri_v3!$C$14</f>
        <v>7175.92592592593</v>
      </c>
      <c r="CH308" s="15" t="n">
        <f aca="false">AB308*Parametri_v3!$C$32</f>
        <v>895.833333333334</v>
      </c>
      <c r="CI308" s="15" t="n">
        <f aca="false">AC308*Parametri_v3!$C$32</f>
        <v>262.5</v>
      </c>
      <c r="CJ308" s="15" t="n">
        <f aca="false">CA308-AB308</f>
        <v>9828.02972709552</v>
      </c>
      <c r="CK308" s="15" t="n">
        <f aca="false">CB308-AC308-BH308</f>
        <v>5243.4649122807</v>
      </c>
      <c r="CL308" s="15" t="n">
        <f aca="false">BF308*Ipotesi!$C$73+INDEX(Ipotesi!$C$72:$G$72,1,F308)/12*Ipotesi!H126*Parametri_v3!$C$58+Z308*(1-Parametri_v3!$C$16)</f>
        <v>1816.2037037037</v>
      </c>
      <c r="CM308" s="16" t="n">
        <f aca="false">IF(BF308=0,0,1-CL308/BF308)</f>
        <v>-38.23</v>
      </c>
    </row>
    <row r="309" customFormat="false" ht="18" hidden="false" customHeight="true" outlineLevel="0" collapsed="false">
      <c r="A309" s="68" t="n">
        <f aca="false">6</f>
        <v>6</v>
      </c>
      <c r="B309" s="68" t="n">
        <f aca="false">5</f>
        <v>5</v>
      </c>
      <c r="C309" s="18" t="n">
        <f aca="false">EDATE(Parametri_v3!$C$5,5-1)</f>
        <v>46508</v>
      </c>
      <c r="D309" s="68" t="n">
        <f aca="false">YEAR(C309)</f>
        <v>2027</v>
      </c>
      <c r="E309" s="68" t="n">
        <f aca="false">MONTH(C309)</f>
        <v>5</v>
      </c>
      <c r="F309" s="68" t="n">
        <f aca="false">INT((5-1)/12)+1</f>
        <v>1</v>
      </c>
      <c r="G309" s="15" t="n">
        <f aca="false">Ipotesi!H7</f>
        <v>1</v>
      </c>
      <c r="H309" s="15" t="n">
        <f aca="false">Ipotesi!H9</f>
        <v>1</v>
      </c>
      <c r="I309" s="15" t="n">
        <f aca="false">Ipotesi!H10</f>
        <v>1</v>
      </c>
      <c r="J309" s="15" t="n">
        <f aca="false">Ipotesi!H11</f>
        <v>1</v>
      </c>
      <c r="K309" s="15" t="n">
        <f aca="false">Ipotesi!H12</f>
        <v>1</v>
      </c>
      <c r="L309" s="15" t="n">
        <f aca="false">Ipotesi!H13</f>
        <v>90</v>
      </c>
      <c r="M309" s="17" t="n">
        <f aca="false">INDEX(Ipotesi!$C$40:$G$40,1,F309)</f>
        <v>1</v>
      </c>
      <c r="N309" s="17" t="n">
        <f aca="false">INDEX(Ipotesi!$C$41:$G$41,1,F309)</f>
        <v>0.75</v>
      </c>
      <c r="O309" s="17" t="n">
        <f aca="false">INDEX(Ipotesi!$C$42:$G$42,1,F309)*Ipotesi!H125</f>
        <v>1</v>
      </c>
      <c r="P309" s="17" t="n">
        <f aca="false">INDEX(Ipotesi!$C$43:$G$43,1,F309)*I309</f>
        <v>1</v>
      </c>
      <c r="Q309" s="17" t="n">
        <f aca="false">INDEX(Ipotesi!$C$44:$G$44,1,F309)*I309</f>
        <v>0.5</v>
      </c>
      <c r="R309" s="17" t="n">
        <f aca="false">INDEX(Ipotesi!$C$45:$G$45,1,F309)*I309</f>
        <v>0</v>
      </c>
      <c r="S309" s="17" t="n">
        <f aca="false">INDEX(Ipotesi!$C$52:$G$52,1,F309)*Ipotesi!H125</f>
        <v>1.5</v>
      </c>
      <c r="T309" s="17" t="n">
        <f aca="false">INDEX(Ipotesi!$C$53:$G$53,1,F309)*I309</f>
        <v>0</v>
      </c>
      <c r="U309" s="17" t="n">
        <f aca="false">INDEX(Ipotesi!$C$54:$G$54,1,F309)*I309</f>
        <v>0</v>
      </c>
      <c r="V309" s="15" t="n">
        <f aca="false">M309*INDEX(Ipotesi!$C$58:$G$58,1,F309)*K309/12</f>
        <v>3333.33333333333</v>
      </c>
      <c r="W309" s="15" t="n">
        <f aca="false">N309*Ipotesi!$C$59*(1+Ipotesi!$C$66)^(F309-1)/12</f>
        <v>4375</v>
      </c>
      <c r="X309" s="15" t="n">
        <f aca="false">O309*Ipotesi!$C$60*(1+Ipotesi!$C$66)^(F309-1)/12</f>
        <v>4166.66666666667</v>
      </c>
      <c r="Y309" s="15" t="n">
        <f aca="false">P309*Ipotesi!$C$61*(1+Ipotesi!$C$66)^(F309-1)/12</f>
        <v>4166.66666666667</v>
      </c>
      <c r="Z309" s="15" t="n">
        <f aca="false">Q309*Ipotesi!$C$62*(1+Ipotesi!$C$66)^(F309-1)/12</f>
        <v>1875</v>
      </c>
      <c r="AA309" s="15" t="n">
        <f aca="false">R309*Ipotesi!$C$63*(1+Ipotesi!$C$66)^(F309-1)/12</f>
        <v>0</v>
      </c>
      <c r="AB309" s="15" t="n">
        <f aca="false">SUM(V309:AA309)</f>
        <v>17916.6666666667</v>
      </c>
      <c r="AC309" s="15" t="n">
        <f aca="false">(S309*Ipotesi!$C$64+T309*Ipotesi!$C$65+U309*Ipotesi!$C$63)*(1+Ipotesi!$C$66)^(F309-1)/12</f>
        <v>5250</v>
      </c>
      <c r="AD309" s="15" t="n">
        <f aca="false">INDEX(Ipotesi!$C$48:$G$48,1,F309)*G309/12</f>
        <v>16.6666666666667</v>
      </c>
      <c r="AE309" s="15" t="n">
        <f aca="false">INDEX(Ipotesi!$C$50:$G$50,1,F309)*G309/12</f>
        <v>2.08333333333333</v>
      </c>
      <c r="AF309" s="15" t="n">
        <f aca="false">(S309*Parametri_v3!$C$7*Parametri_v3!$C$8+Parametri_v3!$C$10)/12</f>
        <v>19.25</v>
      </c>
      <c r="AG309" s="15" t="n">
        <f aca="false">AD309+AE309*(1+Parametri_v3!$C$9)</f>
        <v>19.7916666666667</v>
      </c>
      <c r="AH309" s="16" t="n">
        <f aca="false">IF(AG309=0,1,MIN(1,AF309/AG309))</f>
        <v>0.972631578947368</v>
      </c>
      <c r="AI309" s="15" t="n">
        <f aca="false">AD309*AH309</f>
        <v>16.2105263157895</v>
      </c>
      <c r="AJ309" s="15" t="n">
        <f aca="false">AE309*AH309</f>
        <v>2.02631578947368</v>
      </c>
      <c r="AK309" s="15" t="n">
        <f aca="false">AI309*INDEX(Ipotesi!$C$49:$G$49,1,F309)*H309</f>
        <v>12157.8947368421</v>
      </c>
      <c r="AL309" s="15" t="n">
        <f aca="false">AJ309*INDEX(Ipotesi!$C$51:$G$51,1,F309)*H309</f>
        <v>4052.63157894737</v>
      </c>
      <c r="AM309" s="15" t="n">
        <f aca="false">AK309+AL309</f>
        <v>16210.5263157895</v>
      </c>
      <c r="AN309" s="15" t="n">
        <f aca="false">INDEX(Ipotesi!$C$30:$G$30,1,F309)*G309/12</f>
        <v>8.33333333333333</v>
      </c>
      <c r="AO309" s="15" t="n">
        <f aca="false">O309*Parametri_v3!$C$7*Parametri_v3!$C$11*(1-Parametri_v3!$C$14)/12</f>
        <v>10.2666666666667</v>
      </c>
      <c r="AP309" s="15" t="n">
        <f aca="false">MIN(AN309,AO309)</f>
        <v>8.33333333333333</v>
      </c>
      <c r="AQ309" s="15" t="n">
        <f aca="false">AP309*INDEX(Ipotesi!$C$31:$G$31,1,F309)*H309</f>
        <v>7500</v>
      </c>
      <c r="AR309" s="15" t="n">
        <f aca="false">INDEX(Ipotesi!$C$75:$G$75,1,F309)*J309/12</f>
        <v>2083.33333333333</v>
      </c>
      <c r="AS309" s="15" t="n">
        <f aca="false">INDEX(Ipotesi!$C$81:$G$81,1,F309)*J309/12</f>
        <v>416.666666666667</v>
      </c>
      <c r="AT309" s="15" t="n">
        <f aca="false">AR309*Parametri_v3!$C$15+Z309*Parametri_v3!$C$16</f>
        <v>3395.83333333333</v>
      </c>
      <c r="AU309" s="15" t="n">
        <f aca="false">Q309*Parametri_v3!$C$16*Parametri_v3!$C$17</f>
        <v>35</v>
      </c>
      <c r="AV309" s="17" t="n">
        <f aca="false">BD308</f>
        <v>0.555555555555556</v>
      </c>
      <c r="AW309" s="17" t="n">
        <f aca="false">AV309*(1-(1-INDEX(Ipotesi!$C$34:$G$34,1,F309))^(1/12))</f>
        <v>0</v>
      </c>
      <c r="AX309" s="15" t="n">
        <f aca="false">ROUND(INDEX(Ipotesi!$C$32:$G$32,1,F309)*Ipotesi!H8,0)</f>
        <v>5</v>
      </c>
      <c r="AY309" s="15" t="n">
        <f aca="false">MAX(0,(AX309-(AV309-AW309))/(13-E309))</f>
        <v>0.555555555555556</v>
      </c>
      <c r="AZ309" s="15" t="n">
        <f aca="false">MIN(P309*Parametri_v3!$C$22,Q309*(1-Parametri_v3!$C$16)*Parametri_v3!$C$23)</f>
        <v>22.5</v>
      </c>
      <c r="BA309" s="15" t="n">
        <f aca="false">IF(OR(INDEX(Ipotesi!$C$35:$G$35,1,F309)&lt;=0,5-Parametri_v3!$C$21&lt;1),0,INDEX($AT$305:$AT$364,MAX(1,5-Parametri_v3!$C$21))/(INDEX(Ipotesi!$C$35:$G$35,1,F309)*Ipotesi!H27))</f>
        <v>0.679166666666667</v>
      </c>
      <c r="BB309" s="15" t="n">
        <f aca="false">IF(5-Parametri_v3!$C$21&lt;1,0,INDEX($AU$305:$AU$364,MAX(1,5-Parametri_v3!$C$21)))*Parametri_v3!$C$18*Parametri_v3!$C$19*Parametri_v3!$C$20</f>
        <v>1.3125</v>
      </c>
      <c r="BC309" s="17" t="n">
        <f aca="false">MAX(0,MIN(AY309,BA309,BB309,MAX(0,AZ309-(AV309-AW309))))</f>
        <v>0.555555555555556</v>
      </c>
      <c r="BD309" s="17" t="n">
        <f aca="false">AV309-AW309+BC309</f>
        <v>1.11111111111111</v>
      </c>
      <c r="BE309" s="17" t="n">
        <f aca="false">(AV309+BD309)/2</f>
        <v>0.833333333333333</v>
      </c>
      <c r="BF309" s="15" t="n">
        <f aca="false">BE309*INDEX(Ipotesi!$C$33:$G$33,1,F309)*H309/12</f>
        <v>138.888888888889</v>
      </c>
      <c r="BG309" s="15" t="n">
        <f aca="false">BD309*INDEX(Ipotesi!$C$33:$G$33,1,F309)*H309</f>
        <v>2222.22222222222</v>
      </c>
      <c r="BH309" s="15" t="n">
        <f aca="false">AM309*INDEX(Ipotesi!$C$37:$G$37,1,F309)</f>
        <v>1621.05263157895</v>
      </c>
      <c r="BI309" s="15" t="n">
        <f aca="false">AQ309+BF309+BH309</f>
        <v>9259.94152046784</v>
      </c>
      <c r="BJ309" s="15" t="n">
        <f aca="false">INDEX(Ipotesi!$C$68:$G$68,1,F309)*Ipotesi!$C$69/12</f>
        <v>1000</v>
      </c>
      <c r="BK309" s="15" t="n">
        <f aca="false">INDEX(Ipotesi!$C$68:$G$68,1,F309)*(1-Ipotesi!$C$69)/12</f>
        <v>1500</v>
      </c>
      <c r="BL309" s="15" t="n">
        <f aca="false">(AQ309+BF309)*Ipotesi!$C$67</f>
        <v>229.166666666667</v>
      </c>
      <c r="BM309" s="15" t="n">
        <f aca="false">AM309*Ipotesi!$C$67</f>
        <v>486.315789473684</v>
      </c>
      <c r="BN309" s="15" t="n">
        <f aca="false">INDEX(Ipotesi!$C$72:$G$72,1,F309)/12*Ipotesi!H126+BF309*Ipotesi!$C$73</f>
        <v>1261.11111111111</v>
      </c>
      <c r="BO309" s="15" t="n">
        <f aca="false">INDEX(Ipotesi!$C$74:$G$74,1,F309)/12*Ipotesi!H126</f>
        <v>1000</v>
      </c>
      <c r="BP309" s="15" t="n">
        <f aca="false">INDEX(Ipotesi!$C$76:$G$76,1,F309)/12</f>
        <v>500</v>
      </c>
      <c r="BQ309" s="15" t="n">
        <f aca="false">INDEX(Ipotesi!$C$77:$G$77,1,F309)/12*Ipotesi!H126</f>
        <v>1250</v>
      </c>
      <c r="BR309" s="15" t="n">
        <f aca="false">INDEX(Ipotesi!$C$78:$G$78,1,F309)/12</f>
        <v>1000</v>
      </c>
      <c r="BS309" s="15" t="n">
        <f aca="false">SUM(M309:R309)*(Ipotesi!$C$85+Ipotesi!$C$86)/12</f>
        <v>1239.58333333333</v>
      </c>
      <c r="BT309" s="15" t="n">
        <f aca="false">BI309*Ipotesi!$C$87</f>
        <v>277.798245614035</v>
      </c>
      <c r="BU309" s="15" t="n">
        <f aca="false">INDEX(Ipotesi!$C$55:$G$55,1,F309)*K309/12</f>
        <v>500</v>
      </c>
      <c r="BV309" s="15" t="n">
        <f aca="false">INDEX(Ipotesi!$C$80:$G$80,1,F309)/12*Ipotesi!H126</f>
        <v>500</v>
      </c>
      <c r="BW309" s="15" t="n">
        <f aca="false">INDEX(Ipotesi!$C$82:$G$82,1,F309)/12</f>
        <v>416.666666666667</v>
      </c>
      <c r="BX309" s="15" t="n">
        <f aca="false">INDEX(Ipotesi!$C$83:$G$83,1,F309)/12</f>
        <v>500</v>
      </c>
      <c r="BY309" s="15" t="n">
        <f aca="false">SUM(S309:U309)*(Ipotesi!$C$85+Ipotesi!$C$86)/12</f>
        <v>437.5</v>
      </c>
      <c r="BZ309" s="15" t="n">
        <f aca="false">AM309*Ipotesi!$C$87</f>
        <v>486.315789473684</v>
      </c>
      <c r="CA309" s="15" t="n">
        <f aca="false">AB309+BJ309+BL309+BN309+BO309+AR309+BP309+BQ309+BR309+BS309+BT309</f>
        <v>27757.6593567251</v>
      </c>
      <c r="CB309" s="15" t="n">
        <f aca="false">AC309+BK309+BM309+BH309+BU309+BV309+AS309+BW309+BX309+BY309+BZ309</f>
        <v>12114.5175438596</v>
      </c>
      <c r="CC309" s="15" t="n">
        <f aca="false">BI309-CA309</f>
        <v>-18497.7178362573</v>
      </c>
      <c r="CD309" s="15" t="n">
        <f aca="false">AM309-CB309</f>
        <v>4096.00877192982</v>
      </c>
      <c r="CE309" s="15" t="n">
        <f aca="false">INDEX(Ipotesi!$C$79:$G$79,1,F309)/12</f>
        <v>1666.66666666667</v>
      </c>
      <c r="CF309" s="15" t="n">
        <f aca="false">INDEX(Ipotesi!$C$84:$G$84,1,F309)/12</f>
        <v>250</v>
      </c>
      <c r="CG309" s="15" t="n">
        <f aca="false">Y309*MAX(0,Parametri_v3!$C$12-IF(P309=0,0,MIN(1,BE309/(P309*Parametri_v3!$C$22))))+W309*Parametri_v3!$C$13+X309*Parametri_v3!$C$14</f>
        <v>7152.77777777778</v>
      </c>
      <c r="CH309" s="15" t="n">
        <f aca="false">AB309*Parametri_v3!$C$32</f>
        <v>895.833333333334</v>
      </c>
      <c r="CI309" s="15" t="n">
        <f aca="false">AC309*Parametri_v3!$C$32</f>
        <v>262.5</v>
      </c>
      <c r="CJ309" s="15" t="n">
        <f aca="false">CA309-AB309</f>
        <v>9840.99269005848</v>
      </c>
      <c r="CK309" s="15" t="n">
        <f aca="false">CB309-AC309-BH309</f>
        <v>5243.4649122807</v>
      </c>
      <c r="CL309" s="15" t="n">
        <f aca="false">BF309*Ipotesi!$C$73+INDEX(Ipotesi!$C$72:$G$72,1,F309)/12*Ipotesi!H126*Parametri_v3!$C$58+Z309*(1-Parametri_v3!$C$16)</f>
        <v>1823.61111111111</v>
      </c>
      <c r="CM309" s="16" t="n">
        <f aca="false">IF(BF309=0,0,1-CL309/BF309)</f>
        <v>-12.13</v>
      </c>
    </row>
    <row r="310" customFormat="false" ht="18" hidden="false" customHeight="true" outlineLevel="0" collapsed="false">
      <c r="A310" s="68" t="n">
        <f aca="false">6</f>
        <v>6</v>
      </c>
      <c r="B310" s="68" t="n">
        <f aca="false">6</f>
        <v>6</v>
      </c>
      <c r="C310" s="18" t="n">
        <f aca="false">EDATE(Parametri_v3!$C$5,6-1)</f>
        <v>46539</v>
      </c>
      <c r="D310" s="68" t="n">
        <f aca="false">YEAR(C310)</f>
        <v>2027</v>
      </c>
      <c r="E310" s="68" t="n">
        <f aca="false">MONTH(C310)</f>
        <v>6</v>
      </c>
      <c r="F310" s="68" t="n">
        <f aca="false">INT((6-1)/12)+1</f>
        <v>1</v>
      </c>
      <c r="G310" s="15" t="n">
        <f aca="false">Ipotesi!H7</f>
        <v>1</v>
      </c>
      <c r="H310" s="15" t="n">
        <f aca="false">Ipotesi!H9</f>
        <v>1</v>
      </c>
      <c r="I310" s="15" t="n">
        <f aca="false">Ipotesi!H10</f>
        <v>1</v>
      </c>
      <c r="J310" s="15" t="n">
        <f aca="false">Ipotesi!H11</f>
        <v>1</v>
      </c>
      <c r="K310" s="15" t="n">
        <f aca="false">Ipotesi!H12</f>
        <v>1</v>
      </c>
      <c r="L310" s="15" t="n">
        <f aca="false">Ipotesi!H13</f>
        <v>90</v>
      </c>
      <c r="M310" s="17" t="n">
        <f aca="false">INDEX(Ipotesi!$C$40:$G$40,1,F310)</f>
        <v>1</v>
      </c>
      <c r="N310" s="17" t="n">
        <f aca="false">INDEX(Ipotesi!$C$41:$G$41,1,F310)</f>
        <v>0.75</v>
      </c>
      <c r="O310" s="17" t="n">
        <f aca="false">INDEX(Ipotesi!$C$42:$G$42,1,F310)*Ipotesi!H125</f>
        <v>1</v>
      </c>
      <c r="P310" s="17" t="n">
        <f aca="false">INDEX(Ipotesi!$C$43:$G$43,1,F310)*I310</f>
        <v>1</v>
      </c>
      <c r="Q310" s="17" t="n">
        <f aca="false">INDEX(Ipotesi!$C$44:$G$44,1,F310)*I310</f>
        <v>0.5</v>
      </c>
      <c r="R310" s="17" t="n">
        <f aca="false">INDEX(Ipotesi!$C$45:$G$45,1,F310)*I310</f>
        <v>0</v>
      </c>
      <c r="S310" s="17" t="n">
        <f aca="false">INDEX(Ipotesi!$C$52:$G$52,1,F310)*Ipotesi!H125</f>
        <v>1.5</v>
      </c>
      <c r="T310" s="17" t="n">
        <f aca="false">INDEX(Ipotesi!$C$53:$G$53,1,F310)*I310</f>
        <v>0</v>
      </c>
      <c r="U310" s="17" t="n">
        <f aca="false">INDEX(Ipotesi!$C$54:$G$54,1,F310)*I310</f>
        <v>0</v>
      </c>
      <c r="V310" s="15" t="n">
        <f aca="false">M310*INDEX(Ipotesi!$C$58:$G$58,1,F310)*K310/12</f>
        <v>3333.33333333333</v>
      </c>
      <c r="W310" s="15" t="n">
        <f aca="false">N310*Ipotesi!$C$59*(1+Ipotesi!$C$66)^(F310-1)/12</f>
        <v>4375</v>
      </c>
      <c r="X310" s="15" t="n">
        <f aca="false">O310*Ipotesi!$C$60*(1+Ipotesi!$C$66)^(F310-1)/12</f>
        <v>4166.66666666667</v>
      </c>
      <c r="Y310" s="15" t="n">
        <f aca="false">P310*Ipotesi!$C$61*(1+Ipotesi!$C$66)^(F310-1)/12</f>
        <v>4166.66666666667</v>
      </c>
      <c r="Z310" s="15" t="n">
        <f aca="false">Q310*Ipotesi!$C$62*(1+Ipotesi!$C$66)^(F310-1)/12</f>
        <v>1875</v>
      </c>
      <c r="AA310" s="15" t="n">
        <f aca="false">R310*Ipotesi!$C$63*(1+Ipotesi!$C$66)^(F310-1)/12</f>
        <v>0</v>
      </c>
      <c r="AB310" s="15" t="n">
        <f aca="false">SUM(V310:AA310)</f>
        <v>17916.6666666667</v>
      </c>
      <c r="AC310" s="15" t="n">
        <f aca="false">(S310*Ipotesi!$C$64+T310*Ipotesi!$C$65+U310*Ipotesi!$C$63)*(1+Ipotesi!$C$66)^(F310-1)/12</f>
        <v>5250</v>
      </c>
      <c r="AD310" s="15" t="n">
        <f aca="false">INDEX(Ipotesi!$C$48:$G$48,1,F310)*G310/12</f>
        <v>16.6666666666667</v>
      </c>
      <c r="AE310" s="15" t="n">
        <f aca="false">INDEX(Ipotesi!$C$50:$G$50,1,F310)*G310/12</f>
        <v>2.08333333333333</v>
      </c>
      <c r="AF310" s="15" t="n">
        <f aca="false">(S310*Parametri_v3!$C$7*Parametri_v3!$C$8+Parametri_v3!$C$10)/12</f>
        <v>19.25</v>
      </c>
      <c r="AG310" s="15" t="n">
        <f aca="false">AD310+AE310*(1+Parametri_v3!$C$9)</f>
        <v>19.7916666666667</v>
      </c>
      <c r="AH310" s="16" t="n">
        <f aca="false">IF(AG310=0,1,MIN(1,AF310/AG310))</f>
        <v>0.972631578947368</v>
      </c>
      <c r="AI310" s="15" t="n">
        <f aca="false">AD310*AH310</f>
        <v>16.2105263157895</v>
      </c>
      <c r="AJ310" s="15" t="n">
        <f aca="false">AE310*AH310</f>
        <v>2.02631578947368</v>
      </c>
      <c r="AK310" s="15" t="n">
        <f aca="false">AI310*INDEX(Ipotesi!$C$49:$G$49,1,F310)*H310</f>
        <v>12157.8947368421</v>
      </c>
      <c r="AL310" s="15" t="n">
        <f aca="false">AJ310*INDEX(Ipotesi!$C$51:$G$51,1,F310)*H310</f>
        <v>4052.63157894737</v>
      </c>
      <c r="AM310" s="15" t="n">
        <f aca="false">AK310+AL310</f>
        <v>16210.5263157895</v>
      </c>
      <c r="AN310" s="15" t="n">
        <f aca="false">INDEX(Ipotesi!$C$30:$G$30,1,F310)*G310/12</f>
        <v>8.33333333333333</v>
      </c>
      <c r="AO310" s="15" t="n">
        <f aca="false">O310*Parametri_v3!$C$7*Parametri_v3!$C$11*(1-Parametri_v3!$C$14)/12</f>
        <v>10.2666666666667</v>
      </c>
      <c r="AP310" s="15" t="n">
        <f aca="false">MIN(AN310,AO310)</f>
        <v>8.33333333333333</v>
      </c>
      <c r="AQ310" s="15" t="n">
        <f aca="false">AP310*INDEX(Ipotesi!$C$31:$G$31,1,F310)*H310</f>
        <v>7500</v>
      </c>
      <c r="AR310" s="15" t="n">
        <f aca="false">INDEX(Ipotesi!$C$75:$G$75,1,F310)*J310/12</f>
        <v>2083.33333333333</v>
      </c>
      <c r="AS310" s="15" t="n">
        <f aca="false">INDEX(Ipotesi!$C$81:$G$81,1,F310)*J310/12</f>
        <v>416.666666666667</v>
      </c>
      <c r="AT310" s="15" t="n">
        <f aca="false">AR310*Parametri_v3!$C$15+Z310*Parametri_v3!$C$16</f>
        <v>3395.83333333333</v>
      </c>
      <c r="AU310" s="15" t="n">
        <f aca="false">Q310*Parametri_v3!$C$16*Parametri_v3!$C$17</f>
        <v>35</v>
      </c>
      <c r="AV310" s="17" t="n">
        <f aca="false">BD309</f>
        <v>1.11111111111111</v>
      </c>
      <c r="AW310" s="17" t="n">
        <f aca="false">AV310*(1-(1-INDEX(Ipotesi!$C$34:$G$34,1,F310))^(1/12))</f>
        <v>0</v>
      </c>
      <c r="AX310" s="15" t="n">
        <f aca="false">ROUND(INDEX(Ipotesi!$C$32:$G$32,1,F310)*Ipotesi!H8,0)</f>
        <v>5</v>
      </c>
      <c r="AY310" s="15" t="n">
        <f aca="false">MAX(0,(AX310-(AV310-AW310))/(13-E310))</f>
        <v>0.555555555555556</v>
      </c>
      <c r="AZ310" s="15" t="n">
        <f aca="false">MIN(P310*Parametri_v3!$C$22,Q310*(1-Parametri_v3!$C$16)*Parametri_v3!$C$23)</f>
        <v>22.5</v>
      </c>
      <c r="BA310" s="15" t="n">
        <f aca="false">IF(OR(INDEX(Ipotesi!$C$35:$G$35,1,F310)&lt;=0,6-Parametri_v3!$C$21&lt;1),0,INDEX($AT$305:$AT$364,MAX(1,6-Parametri_v3!$C$21))/(INDEX(Ipotesi!$C$35:$G$35,1,F310)*Ipotesi!H27))</f>
        <v>0.679166666666667</v>
      </c>
      <c r="BB310" s="15" t="n">
        <f aca="false">IF(6-Parametri_v3!$C$21&lt;1,0,INDEX($AU$305:$AU$364,MAX(1,6-Parametri_v3!$C$21)))*Parametri_v3!$C$18*Parametri_v3!$C$19*Parametri_v3!$C$20</f>
        <v>1.3125</v>
      </c>
      <c r="BC310" s="17" t="n">
        <f aca="false">MAX(0,MIN(AY310,BA310,BB310,MAX(0,AZ310-(AV310-AW310))))</f>
        <v>0.555555555555556</v>
      </c>
      <c r="BD310" s="17" t="n">
        <f aca="false">AV310-AW310+BC310</f>
        <v>1.66666666666667</v>
      </c>
      <c r="BE310" s="17" t="n">
        <f aca="false">(AV310+BD310)/2</f>
        <v>1.38888888888889</v>
      </c>
      <c r="BF310" s="15" t="n">
        <f aca="false">BE310*INDEX(Ipotesi!$C$33:$G$33,1,F310)*H310/12</f>
        <v>231.481481481482</v>
      </c>
      <c r="BG310" s="15" t="n">
        <f aca="false">BD310*INDEX(Ipotesi!$C$33:$G$33,1,F310)*H310</f>
        <v>3333.33333333333</v>
      </c>
      <c r="BH310" s="15" t="n">
        <f aca="false">AM310*INDEX(Ipotesi!$C$37:$G$37,1,F310)</f>
        <v>1621.05263157895</v>
      </c>
      <c r="BI310" s="15" t="n">
        <f aca="false">AQ310+BF310+BH310</f>
        <v>9352.53411306043</v>
      </c>
      <c r="BJ310" s="15" t="n">
        <f aca="false">INDEX(Ipotesi!$C$68:$G$68,1,F310)*Ipotesi!$C$69/12</f>
        <v>1000</v>
      </c>
      <c r="BK310" s="15" t="n">
        <f aca="false">INDEX(Ipotesi!$C$68:$G$68,1,F310)*(1-Ipotesi!$C$69)/12</f>
        <v>1500</v>
      </c>
      <c r="BL310" s="15" t="n">
        <f aca="false">(AQ310+BF310)*Ipotesi!$C$67</f>
        <v>231.944444444444</v>
      </c>
      <c r="BM310" s="15" t="n">
        <f aca="false">AM310*Ipotesi!$C$67</f>
        <v>486.315789473684</v>
      </c>
      <c r="BN310" s="15" t="n">
        <f aca="false">INDEX(Ipotesi!$C$72:$G$72,1,F310)/12*Ipotesi!H126+BF310*Ipotesi!$C$73</f>
        <v>1268.51851851852</v>
      </c>
      <c r="BO310" s="15" t="n">
        <f aca="false">INDEX(Ipotesi!$C$74:$G$74,1,F310)/12*Ipotesi!H126</f>
        <v>1000</v>
      </c>
      <c r="BP310" s="15" t="n">
        <f aca="false">INDEX(Ipotesi!$C$76:$G$76,1,F310)/12</f>
        <v>500</v>
      </c>
      <c r="BQ310" s="15" t="n">
        <f aca="false">INDEX(Ipotesi!$C$77:$G$77,1,F310)/12*Ipotesi!H126</f>
        <v>1250</v>
      </c>
      <c r="BR310" s="15" t="n">
        <f aca="false">INDEX(Ipotesi!$C$78:$G$78,1,F310)/12</f>
        <v>1000</v>
      </c>
      <c r="BS310" s="15" t="n">
        <f aca="false">SUM(M310:R310)*(Ipotesi!$C$85+Ipotesi!$C$86)/12</f>
        <v>1239.58333333333</v>
      </c>
      <c r="BT310" s="15" t="n">
        <f aca="false">BI310*Ipotesi!$C$87</f>
        <v>280.576023391813</v>
      </c>
      <c r="BU310" s="15" t="n">
        <f aca="false">INDEX(Ipotesi!$C$55:$G$55,1,F310)*K310/12</f>
        <v>500</v>
      </c>
      <c r="BV310" s="15" t="n">
        <f aca="false">INDEX(Ipotesi!$C$80:$G$80,1,F310)/12*Ipotesi!H126</f>
        <v>500</v>
      </c>
      <c r="BW310" s="15" t="n">
        <f aca="false">INDEX(Ipotesi!$C$82:$G$82,1,F310)/12</f>
        <v>416.666666666667</v>
      </c>
      <c r="BX310" s="15" t="n">
        <f aca="false">INDEX(Ipotesi!$C$83:$G$83,1,F310)/12</f>
        <v>500</v>
      </c>
      <c r="BY310" s="15" t="n">
        <f aca="false">SUM(S310:U310)*(Ipotesi!$C$85+Ipotesi!$C$86)/12</f>
        <v>437.5</v>
      </c>
      <c r="BZ310" s="15" t="n">
        <f aca="false">AM310*Ipotesi!$C$87</f>
        <v>486.315789473684</v>
      </c>
      <c r="CA310" s="15" t="n">
        <f aca="false">AB310+BJ310+BL310+BN310+BO310+AR310+BP310+BQ310+BR310+BS310+BT310</f>
        <v>27770.6223196881</v>
      </c>
      <c r="CB310" s="15" t="n">
        <f aca="false">AC310+BK310+BM310+BH310+BU310+BV310+AS310+BW310+BX310+BY310+BZ310</f>
        <v>12114.5175438596</v>
      </c>
      <c r="CC310" s="15" t="n">
        <f aca="false">BI310-CA310</f>
        <v>-18418.0882066277</v>
      </c>
      <c r="CD310" s="15" t="n">
        <f aca="false">AM310-CB310</f>
        <v>4096.00877192982</v>
      </c>
      <c r="CE310" s="15" t="n">
        <f aca="false">INDEX(Ipotesi!$C$79:$G$79,1,F310)/12</f>
        <v>1666.66666666667</v>
      </c>
      <c r="CF310" s="15" t="n">
        <f aca="false">INDEX(Ipotesi!$C$84:$G$84,1,F310)/12</f>
        <v>250</v>
      </c>
      <c r="CG310" s="15" t="n">
        <f aca="false">Y310*MAX(0,Parametri_v3!$C$12-IF(P310=0,0,MIN(1,BE310/(P310*Parametri_v3!$C$22))))+W310*Parametri_v3!$C$13+X310*Parametri_v3!$C$14</f>
        <v>7129.62962962963</v>
      </c>
      <c r="CH310" s="15" t="n">
        <f aca="false">AB310*Parametri_v3!$C$32</f>
        <v>895.833333333334</v>
      </c>
      <c r="CI310" s="15" t="n">
        <f aca="false">AC310*Parametri_v3!$C$32</f>
        <v>262.5</v>
      </c>
      <c r="CJ310" s="15" t="n">
        <f aca="false">CA310-AB310</f>
        <v>9853.95565302144</v>
      </c>
      <c r="CK310" s="15" t="n">
        <f aca="false">CB310-AC310-BH310</f>
        <v>5243.4649122807</v>
      </c>
      <c r="CL310" s="15" t="n">
        <f aca="false">BF310*Ipotesi!$C$73+INDEX(Ipotesi!$C$72:$G$72,1,F310)/12*Ipotesi!H126*Parametri_v3!$C$58+Z310*(1-Parametri_v3!$C$16)</f>
        <v>1831.01851851852</v>
      </c>
      <c r="CM310" s="16" t="n">
        <f aca="false">IF(BF310=0,0,1-CL310/BF310)</f>
        <v>-6.91</v>
      </c>
    </row>
    <row r="311" customFormat="false" ht="18" hidden="false" customHeight="true" outlineLevel="0" collapsed="false">
      <c r="A311" s="68" t="n">
        <f aca="false">6</f>
        <v>6</v>
      </c>
      <c r="B311" s="68" t="n">
        <f aca="false">7</f>
        <v>7</v>
      </c>
      <c r="C311" s="18" t="n">
        <f aca="false">EDATE(Parametri_v3!$C$5,7-1)</f>
        <v>46569</v>
      </c>
      <c r="D311" s="68" t="n">
        <f aca="false">YEAR(C311)</f>
        <v>2027</v>
      </c>
      <c r="E311" s="68" t="n">
        <f aca="false">MONTH(C311)</f>
        <v>7</v>
      </c>
      <c r="F311" s="68" t="n">
        <f aca="false">INT((7-1)/12)+1</f>
        <v>1</v>
      </c>
      <c r="G311" s="15" t="n">
        <f aca="false">Ipotesi!H7</f>
        <v>1</v>
      </c>
      <c r="H311" s="15" t="n">
        <f aca="false">Ipotesi!H9</f>
        <v>1</v>
      </c>
      <c r="I311" s="15" t="n">
        <f aca="false">Ipotesi!H10</f>
        <v>1</v>
      </c>
      <c r="J311" s="15" t="n">
        <f aca="false">Ipotesi!H11</f>
        <v>1</v>
      </c>
      <c r="K311" s="15" t="n">
        <f aca="false">Ipotesi!H12</f>
        <v>1</v>
      </c>
      <c r="L311" s="15" t="n">
        <f aca="false">Ipotesi!H13</f>
        <v>90</v>
      </c>
      <c r="M311" s="17" t="n">
        <f aca="false">INDEX(Ipotesi!$C$40:$G$40,1,F311)</f>
        <v>1</v>
      </c>
      <c r="N311" s="17" t="n">
        <f aca="false">INDEX(Ipotesi!$C$41:$G$41,1,F311)</f>
        <v>0.75</v>
      </c>
      <c r="O311" s="17" t="n">
        <f aca="false">INDEX(Ipotesi!$C$42:$G$42,1,F311)*Ipotesi!H125</f>
        <v>1</v>
      </c>
      <c r="P311" s="17" t="n">
        <f aca="false">INDEX(Ipotesi!$C$43:$G$43,1,F311)*I311</f>
        <v>1</v>
      </c>
      <c r="Q311" s="17" t="n">
        <f aca="false">INDEX(Ipotesi!$C$44:$G$44,1,F311)*I311</f>
        <v>0.5</v>
      </c>
      <c r="R311" s="17" t="n">
        <f aca="false">INDEX(Ipotesi!$C$45:$G$45,1,F311)*I311</f>
        <v>0</v>
      </c>
      <c r="S311" s="17" t="n">
        <f aca="false">INDEX(Ipotesi!$C$52:$G$52,1,F311)*Ipotesi!H125</f>
        <v>1.5</v>
      </c>
      <c r="T311" s="17" t="n">
        <f aca="false">INDEX(Ipotesi!$C$53:$G$53,1,F311)*I311</f>
        <v>0</v>
      </c>
      <c r="U311" s="17" t="n">
        <f aca="false">INDEX(Ipotesi!$C$54:$G$54,1,F311)*I311</f>
        <v>0</v>
      </c>
      <c r="V311" s="15" t="n">
        <f aca="false">M311*INDEX(Ipotesi!$C$58:$G$58,1,F311)*K311/12</f>
        <v>3333.33333333333</v>
      </c>
      <c r="W311" s="15" t="n">
        <f aca="false">N311*Ipotesi!$C$59*(1+Ipotesi!$C$66)^(F311-1)/12</f>
        <v>4375</v>
      </c>
      <c r="X311" s="15" t="n">
        <f aca="false">O311*Ipotesi!$C$60*(1+Ipotesi!$C$66)^(F311-1)/12</f>
        <v>4166.66666666667</v>
      </c>
      <c r="Y311" s="15" t="n">
        <f aca="false">P311*Ipotesi!$C$61*(1+Ipotesi!$C$66)^(F311-1)/12</f>
        <v>4166.66666666667</v>
      </c>
      <c r="Z311" s="15" t="n">
        <f aca="false">Q311*Ipotesi!$C$62*(1+Ipotesi!$C$66)^(F311-1)/12</f>
        <v>1875</v>
      </c>
      <c r="AA311" s="15" t="n">
        <f aca="false">R311*Ipotesi!$C$63*(1+Ipotesi!$C$66)^(F311-1)/12</f>
        <v>0</v>
      </c>
      <c r="AB311" s="15" t="n">
        <f aca="false">SUM(V311:AA311)</f>
        <v>17916.6666666667</v>
      </c>
      <c r="AC311" s="15" t="n">
        <f aca="false">(S311*Ipotesi!$C$64+T311*Ipotesi!$C$65+U311*Ipotesi!$C$63)*(1+Ipotesi!$C$66)^(F311-1)/12</f>
        <v>5250</v>
      </c>
      <c r="AD311" s="15" t="n">
        <f aca="false">INDEX(Ipotesi!$C$48:$G$48,1,F311)*G311/12</f>
        <v>16.6666666666667</v>
      </c>
      <c r="AE311" s="15" t="n">
        <f aca="false">INDEX(Ipotesi!$C$50:$G$50,1,F311)*G311/12</f>
        <v>2.08333333333333</v>
      </c>
      <c r="AF311" s="15" t="n">
        <f aca="false">(S311*Parametri_v3!$C$7*Parametri_v3!$C$8+Parametri_v3!$C$10)/12</f>
        <v>19.25</v>
      </c>
      <c r="AG311" s="15" t="n">
        <f aca="false">AD311+AE311*(1+Parametri_v3!$C$9)</f>
        <v>19.7916666666667</v>
      </c>
      <c r="AH311" s="16" t="n">
        <f aca="false">IF(AG311=0,1,MIN(1,AF311/AG311))</f>
        <v>0.972631578947368</v>
      </c>
      <c r="AI311" s="15" t="n">
        <f aca="false">AD311*AH311</f>
        <v>16.2105263157895</v>
      </c>
      <c r="AJ311" s="15" t="n">
        <f aca="false">AE311*AH311</f>
        <v>2.02631578947368</v>
      </c>
      <c r="AK311" s="15" t="n">
        <f aca="false">AI311*INDEX(Ipotesi!$C$49:$G$49,1,F311)*H311</f>
        <v>12157.8947368421</v>
      </c>
      <c r="AL311" s="15" t="n">
        <f aca="false">AJ311*INDEX(Ipotesi!$C$51:$G$51,1,F311)*H311</f>
        <v>4052.63157894737</v>
      </c>
      <c r="AM311" s="15" t="n">
        <f aca="false">AK311+AL311</f>
        <v>16210.5263157895</v>
      </c>
      <c r="AN311" s="15" t="n">
        <f aca="false">INDEX(Ipotesi!$C$30:$G$30,1,F311)*G311/12</f>
        <v>8.33333333333333</v>
      </c>
      <c r="AO311" s="15" t="n">
        <f aca="false">O311*Parametri_v3!$C$7*Parametri_v3!$C$11*(1-Parametri_v3!$C$14)/12</f>
        <v>10.2666666666667</v>
      </c>
      <c r="AP311" s="15" t="n">
        <f aca="false">MIN(AN311,AO311)</f>
        <v>8.33333333333333</v>
      </c>
      <c r="AQ311" s="15" t="n">
        <f aca="false">AP311*INDEX(Ipotesi!$C$31:$G$31,1,F311)*H311</f>
        <v>7500</v>
      </c>
      <c r="AR311" s="15" t="n">
        <f aca="false">INDEX(Ipotesi!$C$75:$G$75,1,F311)*J311/12</f>
        <v>2083.33333333333</v>
      </c>
      <c r="AS311" s="15" t="n">
        <f aca="false">INDEX(Ipotesi!$C$81:$G$81,1,F311)*J311/12</f>
        <v>416.666666666667</v>
      </c>
      <c r="AT311" s="15" t="n">
        <f aca="false">AR311*Parametri_v3!$C$15+Z311*Parametri_v3!$C$16</f>
        <v>3395.83333333333</v>
      </c>
      <c r="AU311" s="15" t="n">
        <f aca="false">Q311*Parametri_v3!$C$16*Parametri_v3!$C$17</f>
        <v>35</v>
      </c>
      <c r="AV311" s="17" t="n">
        <f aca="false">BD310</f>
        <v>1.66666666666667</v>
      </c>
      <c r="AW311" s="17" t="n">
        <f aca="false">AV311*(1-(1-INDEX(Ipotesi!$C$34:$G$34,1,F311))^(1/12))</f>
        <v>0</v>
      </c>
      <c r="AX311" s="15" t="n">
        <f aca="false">ROUND(INDEX(Ipotesi!$C$32:$G$32,1,F311)*Ipotesi!H8,0)</f>
        <v>5</v>
      </c>
      <c r="AY311" s="15" t="n">
        <f aca="false">MAX(0,(AX311-(AV311-AW311))/(13-E311))</f>
        <v>0.555555555555556</v>
      </c>
      <c r="AZ311" s="15" t="n">
        <f aca="false">MIN(P311*Parametri_v3!$C$22,Q311*(1-Parametri_v3!$C$16)*Parametri_v3!$C$23)</f>
        <v>22.5</v>
      </c>
      <c r="BA311" s="15" t="n">
        <f aca="false">IF(OR(INDEX(Ipotesi!$C$35:$G$35,1,F311)&lt;=0,7-Parametri_v3!$C$21&lt;1),0,INDEX($AT$305:$AT$364,MAX(1,7-Parametri_v3!$C$21))/(INDEX(Ipotesi!$C$35:$G$35,1,F311)*Ipotesi!H27))</f>
        <v>0.679166666666667</v>
      </c>
      <c r="BB311" s="15" t="n">
        <f aca="false">IF(7-Parametri_v3!$C$21&lt;1,0,INDEX($AU$305:$AU$364,MAX(1,7-Parametri_v3!$C$21)))*Parametri_v3!$C$18*Parametri_v3!$C$19*Parametri_v3!$C$20</f>
        <v>1.3125</v>
      </c>
      <c r="BC311" s="17" t="n">
        <f aca="false">MAX(0,MIN(AY311,BA311,BB311,MAX(0,AZ311-(AV311-AW311))))</f>
        <v>0.555555555555556</v>
      </c>
      <c r="BD311" s="17" t="n">
        <f aca="false">AV311-AW311+BC311</f>
        <v>2.22222222222222</v>
      </c>
      <c r="BE311" s="17" t="n">
        <f aca="false">(AV311+BD311)/2</f>
        <v>1.94444444444444</v>
      </c>
      <c r="BF311" s="15" t="n">
        <f aca="false">BE311*INDEX(Ipotesi!$C$33:$G$33,1,F311)*H311/12</f>
        <v>324.074074074074</v>
      </c>
      <c r="BG311" s="15" t="n">
        <f aca="false">BD311*INDEX(Ipotesi!$C$33:$G$33,1,F311)*H311</f>
        <v>4444.44444444444</v>
      </c>
      <c r="BH311" s="15" t="n">
        <f aca="false">AM311*INDEX(Ipotesi!$C$37:$G$37,1,F311)</f>
        <v>1621.05263157895</v>
      </c>
      <c r="BI311" s="15" t="n">
        <f aca="false">AQ311+BF311+BH311</f>
        <v>9445.12670565302</v>
      </c>
      <c r="BJ311" s="15" t="n">
        <f aca="false">INDEX(Ipotesi!$C$68:$G$68,1,F311)*Ipotesi!$C$69/12</f>
        <v>1000</v>
      </c>
      <c r="BK311" s="15" t="n">
        <f aca="false">INDEX(Ipotesi!$C$68:$G$68,1,F311)*(1-Ipotesi!$C$69)/12</f>
        <v>1500</v>
      </c>
      <c r="BL311" s="15" t="n">
        <f aca="false">(AQ311+BF311)*Ipotesi!$C$67</f>
        <v>234.722222222222</v>
      </c>
      <c r="BM311" s="15" t="n">
        <f aca="false">AM311*Ipotesi!$C$67</f>
        <v>486.315789473684</v>
      </c>
      <c r="BN311" s="15" t="n">
        <f aca="false">INDEX(Ipotesi!$C$72:$G$72,1,F311)/12*Ipotesi!H126+BF311*Ipotesi!$C$73</f>
        <v>1275.92592592593</v>
      </c>
      <c r="BO311" s="15" t="n">
        <f aca="false">INDEX(Ipotesi!$C$74:$G$74,1,F311)/12*Ipotesi!H126</f>
        <v>1000</v>
      </c>
      <c r="BP311" s="15" t="n">
        <f aca="false">INDEX(Ipotesi!$C$76:$G$76,1,F311)/12</f>
        <v>500</v>
      </c>
      <c r="BQ311" s="15" t="n">
        <f aca="false">INDEX(Ipotesi!$C$77:$G$77,1,F311)/12*Ipotesi!H126</f>
        <v>1250</v>
      </c>
      <c r="BR311" s="15" t="n">
        <f aca="false">INDEX(Ipotesi!$C$78:$G$78,1,F311)/12</f>
        <v>1000</v>
      </c>
      <c r="BS311" s="15" t="n">
        <f aca="false">SUM(M311:R311)*(Ipotesi!$C$85+Ipotesi!$C$86)/12</f>
        <v>1239.58333333333</v>
      </c>
      <c r="BT311" s="15" t="n">
        <f aca="false">BI311*Ipotesi!$C$87</f>
        <v>283.353801169591</v>
      </c>
      <c r="BU311" s="15" t="n">
        <f aca="false">INDEX(Ipotesi!$C$55:$G$55,1,F311)*K311/12</f>
        <v>500</v>
      </c>
      <c r="BV311" s="15" t="n">
        <f aca="false">INDEX(Ipotesi!$C$80:$G$80,1,F311)/12*Ipotesi!H126</f>
        <v>500</v>
      </c>
      <c r="BW311" s="15" t="n">
        <f aca="false">INDEX(Ipotesi!$C$82:$G$82,1,F311)/12</f>
        <v>416.666666666667</v>
      </c>
      <c r="BX311" s="15" t="n">
        <f aca="false">INDEX(Ipotesi!$C$83:$G$83,1,F311)/12</f>
        <v>500</v>
      </c>
      <c r="BY311" s="15" t="n">
        <f aca="false">SUM(S311:U311)*(Ipotesi!$C$85+Ipotesi!$C$86)/12</f>
        <v>437.5</v>
      </c>
      <c r="BZ311" s="15" t="n">
        <f aca="false">AM311*Ipotesi!$C$87</f>
        <v>486.315789473684</v>
      </c>
      <c r="CA311" s="15" t="n">
        <f aca="false">AB311+BJ311+BL311+BN311+BO311+AR311+BP311+BQ311+BR311+BS311+BT311</f>
        <v>27783.5852826511</v>
      </c>
      <c r="CB311" s="15" t="n">
        <f aca="false">AC311+BK311+BM311+BH311+BU311+BV311+AS311+BW311+BX311+BY311+BZ311</f>
        <v>12114.5175438596</v>
      </c>
      <c r="CC311" s="15" t="n">
        <f aca="false">BI311-CA311</f>
        <v>-18338.458576998</v>
      </c>
      <c r="CD311" s="15" t="n">
        <f aca="false">AM311-CB311</f>
        <v>4096.00877192982</v>
      </c>
      <c r="CE311" s="15" t="n">
        <f aca="false">INDEX(Ipotesi!$C$79:$G$79,1,F311)/12</f>
        <v>1666.66666666667</v>
      </c>
      <c r="CF311" s="15" t="n">
        <f aca="false">INDEX(Ipotesi!$C$84:$G$84,1,F311)/12</f>
        <v>250</v>
      </c>
      <c r="CG311" s="15" t="n">
        <f aca="false">Y311*MAX(0,Parametri_v3!$C$12-IF(P311=0,0,MIN(1,BE311/(P311*Parametri_v3!$C$22))))+W311*Parametri_v3!$C$13+X311*Parametri_v3!$C$14</f>
        <v>7106.48148148148</v>
      </c>
      <c r="CH311" s="15" t="n">
        <f aca="false">AB311*Parametri_v3!$C$32</f>
        <v>895.833333333334</v>
      </c>
      <c r="CI311" s="15" t="n">
        <f aca="false">AC311*Parametri_v3!$C$32</f>
        <v>262.5</v>
      </c>
      <c r="CJ311" s="15" t="n">
        <f aca="false">CA311-AB311</f>
        <v>9866.9186159844</v>
      </c>
      <c r="CK311" s="15" t="n">
        <f aca="false">CB311-AC311-BH311</f>
        <v>5243.4649122807</v>
      </c>
      <c r="CL311" s="15" t="n">
        <f aca="false">BF311*Ipotesi!$C$73+INDEX(Ipotesi!$C$72:$G$72,1,F311)/12*Ipotesi!H126*Parametri_v3!$C$58+Z311*(1-Parametri_v3!$C$16)</f>
        <v>1838.42592592593</v>
      </c>
      <c r="CM311" s="16" t="n">
        <f aca="false">IF(BF311=0,0,1-CL311/BF311)</f>
        <v>-4.67285714285714</v>
      </c>
    </row>
    <row r="312" customFormat="false" ht="18" hidden="false" customHeight="true" outlineLevel="0" collapsed="false">
      <c r="A312" s="68" t="n">
        <f aca="false">6</f>
        <v>6</v>
      </c>
      <c r="B312" s="68" t="n">
        <f aca="false">8</f>
        <v>8</v>
      </c>
      <c r="C312" s="18" t="n">
        <f aca="false">EDATE(Parametri_v3!$C$5,8-1)</f>
        <v>46600</v>
      </c>
      <c r="D312" s="68" t="n">
        <f aca="false">YEAR(C312)</f>
        <v>2027</v>
      </c>
      <c r="E312" s="68" t="n">
        <f aca="false">MONTH(C312)</f>
        <v>8</v>
      </c>
      <c r="F312" s="68" t="n">
        <f aca="false">INT((8-1)/12)+1</f>
        <v>1</v>
      </c>
      <c r="G312" s="15" t="n">
        <f aca="false">Ipotesi!H7</f>
        <v>1</v>
      </c>
      <c r="H312" s="15" t="n">
        <f aca="false">Ipotesi!H9</f>
        <v>1</v>
      </c>
      <c r="I312" s="15" t="n">
        <f aca="false">Ipotesi!H10</f>
        <v>1</v>
      </c>
      <c r="J312" s="15" t="n">
        <f aca="false">Ipotesi!H11</f>
        <v>1</v>
      </c>
      <c r="K312" s="15" t="n">
        <f aca="false">Ipotesi!H12</f>
        <v>1</v>
      </c>
      <c r="L312" s="15" t="n">
        <f aca="false">Ipotesi!H13</f>
        <v>90</v>
      </c>
      <c r="M312" s="17" t="n">
        <f aca="false">INDEX(Ipotesi!$C$40:$G$40,1,F312)</f>
        <v>1</v>
      </c>
      <c r="N312" s="17" t="n">
        <f aca="false">INDEX(Ipotesi!$C$41:$G$41,1,F312)</f>
        <v>0.75</v>
      </c>
      <c r="O312" s="17" t="n">
        <f aca="false">INDEX(Ipotesi!$C$42:$G$42,1,F312)*Ipotesi!H125</f>
        <v>1</v>
      </c>
      <c r="P312" s="17" t="n">
        <f aca="false">INDEX(Ipotesi!$C$43:$G$43,1,F312)*I312</f>
        <v>1</v>
      </c>
      <c r="Q312" s="17" t="n">
        <f aca="false">INDEX(Ipotesi!$C$44:$G$44,1,F312)*I312</f>
        <v>0.5</v>
      </c>
      <c r="R312" s="17" t="n">
        <f aca="false">INDEX(Ipotesi!$C$45:$G$45,1,F312)*I312</f>
        <v>0</v>
      </c>
      <c r="S312" s="17" t="n">
        <f aca="false">INDEX(Ipotesi!$C$52:$G$52,1,F312)*Ipotesi!H125</f>
        <v>1.5</v>
      </c>
      <c r="T312" s="17" t="n">
        <f aca="false">INDEX(Ipotesi!$C$53:$G$53,1,F312)*I312</f>
        <v>0</v>
      </c>
      <c r="U312" s="17" t="n">
        <f aca="false">INDEX(Ipotesi!$C$54:$G$54,1,F312)*I312</f>
        <v>0</v>
      </c>
      <c r="V312" s="15" t="n">
        <f aca="false">M312*INDEX(Ipotesi!$C$58:$G$58,1,F312)*K312/12</f>
        <v>3333.33333333333</v>
      </c>
      <c r="W312" s="15" t="n">
        <f aca="false">N312*Ipotesi!$C$59*(1+Ipotesi!$C$66)^(F312-1)/12</f>
        <v>4375</v>
      </c>
      <c r="X312" s="15" t="n">
        <f aca="false">O312*Ipotesi!$C$60*(1+Ipotesi!$C$66)^(F312-1)/12</f>
        <v>4166.66666666667</v>
      </c>
      <c r="Y312" s="15" t="n">
        <f aca="false">P312*Ipotesi!$C$61*(1+Ipotesi!$C$66)^(F312-1)/12</f>
        <v>4166.66666666667</v>
      </c>
      <c r="Z312" s="15" t="n">
        <f aca="false">Q312*Ipotesi!$C$62*(1+Ipotesi!$C$66)^(F312-1)/12</f>
        <v>1875</v>
      </c>
      <c r="AA312" s="15" t="n">
        <f aca="false">R312*Ipotesi!$C$63*(1+Ipotesi!$C$66)^(F312-1)/12</f>
        <v>0</v>
      </c>
      <c r="AB312" s="15" t="n">
        <f aca="false">SUM(V312:AA312)</f>
        <v>17916.6666666667</v>
      </c>
      <c r="AC312" s="15" t="n">
        <f aca="false">(S312*Ipotesi!$C$64+T312*Ipotesi!$C$65+U312*Ipotesi!$C$63)*(1+Ipotesi!$C$66)^(F312-1)/12</f>
        <v>5250</v>
      </c>
      <c r="AD312" s="15" t="n">
        <f aca="false">INDEX(Ipotesi!$C$48:$G$48,1,F312)*G312/12</f>
        <v>16.6666666666667</v>
      </c>
      <c r="AE312" s="15" t="n">
        <f aca="false">INDEX(Ipotesi!$C$50:$G$50,1,F312)*G312/12</f>
        <v>2.08333333333333</v>
      </c>
      <c r="AF312" s="15" t="n">
        <f aca="false">(S312*Parametri_v3!$C$7*Parametri_v3!$C$8+Parametri_v3!$C$10)/12</f>
        <v>19.25</v>
      </c>
      <c r="AG312" s="15" t="n">
        <f aca="false">AD312+AE312*(1+Parametri_v3!$C$9)</f>
        <v>19.7916666666667</v>
      </c>
      <c r="AH312" s="16" t="n">
        <f aca="false">IF(AG312=0,1,MIN(1,AF312/AG312))</f>
        <v>0.972631578947368</v>
      </c>
      <c r="AI312" s="15" t="n">
        <f aca="false">AD312*AH312</f>
        <v>16.2105263157895</v>
      </c>
      <c r="AJ312" s="15" t="n">
        <f aca="false">AE312*AH312</f>
        <v>2.02631578947368</v>
      </c>
      <c r="AK312" s="15" t="n">
        <f aca="false">AI312*INDEX(Ipotesi!$C$49:$G$49,1,F312)*H312</f>
        <v>12157.8947368421</v>
      </c>
      <c r="AL312" s="15" t="n">
        <f aca="false">AJ312*INDEX(Ipotesi!$C$51:$G$51,1,F312)*H312</f>
        <v>4052.63157894737</v>
      </c>
      <c r="AM312" s="15" t="n">
        <f aca="false">AK312+AL312</f>
        <v>16210.5263157895</v>
      </c>
      <c r="AN312" s="15" t="n">
        <f aca="false">INDEX(Ipotesi!$C$30:$G$30,1,F312)*G312/12</f>
        <v>8.33333333333333</v>
      </c>
      <c r="AO312" s="15" t="n">
        <f aca="false">O312*Parametri_v3!$C$7*Parametri_v3!$C$11*(1-Parametri_v3!$C$14)/12</f>
        <v>10.2666666666667</v>
      </c>
      <c r="AP312" s="15" t="n">
        <f aca="false">MIN(AN312,AO312)</f>
        <v>8.33333333333333</v>
      </c>
      <c r="AQ312" s="15" t="n">
        <f aca="false">AP312*INDEX(Ipotesi!$C$31:$G$31,1,F312)*H312</f>
        <v>7500</v>
      </c>
      <c r="AR312" s="15" t="n">
        <f aca="false">INDEX(Ipotesi!$C$75:$G$75,1,F312)*J312/12</f>
        <v>2083.33333333333</v>
      </c>
      <c r="AS312" s="15" t="n">
        <f aca="false">INDEX(Ipotesi!$C$81:$G$81,1,F312)*J312/12</f>
        <v>416.666666666667</v>
      </c>
      <c r="AT312" s="15" t="n">
        <f aca="false">AR312*Parametri_v3!$C$15+Z312*Parametri_v3!$C$16</f>
        <v>3395.83333333333</v>
      </c>
      <c r="AU312" s="15" t="n">
        <f aca="false">Q312*Parametri_v3!$C$16*Parametri_v3!$C$17</f>
        <v>35</v>
      </c>
      <c r="AV312" s="17" t="n">
        <f aca="false">BD311</f>
        <v>2.22222222222222</v>
      </c>
      <c r="AW312" s="17" t="n">
        <f aca="false">AV312*(1-(1-INDEX(Ipotesi!$C$34:$G$34,1,F312))^(1/12))</f>
        <v>0</v>
      </c>
      <c r="AX312" s="15" t="n">
        <f aca="false">ROUND(INDEX(Ipotesi!$C$32:$G$32,1,F312)*Ipotesi!H8,0)</f>
        <v>5</v>
      </c>
      <c r="AY312" s="15" t="n">
        <f aca="false">MAX(0,(AX312-(AV312-AW312))/(13-E312))</f>
        <v>0.555555555555556</v>
      </c>
      <c r="AZ312" s="15" t="n">
        <f aca="false">MIN(P312*Parametri_v3!$C$22,Q312*(1-Parametri_v3!$C$16)*Parametri_v3!$C$23)</f>
        <v>22.5</v>
      </c>
      <c r="BA312" s="15" t="n">
        <f aca="false">IF(OR(INDEX(Ipotesi!$C$35:$G$35,1,F312)&lt;=0,8-Parametri_v3!$C$21&lt;1),0,INDEX($AT$305:$AT$364,MAX(1,8-Parametri_v3!$C$21))/(INDEX(Ipotesi!$C$35:$G$35,1,F312)*Ipotesi!H27))</f>
        <v>0.679166666666667</v>
      </c>
      <c r="BB312" s="15" t="n">
        <f aca="false">IF(8-Parametri_v3!$C$21&lt;1,0,INDEX($AU$305:$AU$364,MAX(1,8-Parametri_v3!$C$21)))*Parametri_v3!$C$18*Parametri_v3!$C$19*Parametri_v3!$C$20</f>
        <v>1.3125</v>
      </c>
      <c r="BC312" s="17" t="n">
        <f aca="false">MAX(0,MIN(AY312,BA312,BB312,MAX(0,AZ312-(AV312-AW312))))</f>
        <v>0.555555555555556</v>
      </c>
      <c r="BD312" s="17" t="n">
        <f aca="false">AV312-AW312+BC312</f>
        <v>2.77777777777778</v>
      </c>
      <c r="BE312" s="17" t="n">
        <f aca="false">(AV312+BD312)/2</f>
        <v>2.5</v>
      </c>
      <c r="BF312" s="15" t="n">
        <f aca="false">BE312*INDEX(Ipotesi!$C$33:$G$33,1,F312)*H312/12</f>
        <v>416.666666666667</v>
      </c>
      <c r="BG312" s="15" t="n">
        <f aca="false">BD312*INDEX(Ipotesi!$C$33:$G$33,1,F312)*H312</f>
        <v>5555.55555555556</v>
      </c>
      <c r="BH312" s="15" t="n">
        <f aca="false">AM312*INDEX(Ipotesi!$C$37:$G$37,1,F312)</f>
        <v>1621.05263157895</v>
      </c>
      <c r="BI312" s="15" t="n">
        <f aca="false">AQ312+BF312+BH312</f>
        <v>9537.71929824561</v>
      </c>
      <c r="BJ312" s="15" t="n">
        <f aca="false">INDEX(Ipotesi!$C$68:$G$68,1,F312)*Ipotesi!$C$69/12</f>
        <v>1000</v>
      </c>
      <c r="BK312" s="15" t="n">
        <f aca="false">INDEX(Ipotesi!$C$68:$G$68,1,F312)*(1-Ipotesi!$C$69)/12</f>
        <v>1500</v>
      </c>
      <c r="BL312" s="15" t="n">
        <f aca="false">(AQ312+BF312)*Ipotesi!$C$67</f>
        <v>237.5</v>
      </c>
      <c r="BM312" s="15" t="n">
        <f aca="false">AM312*Ipotesi!$C$67</f>
        <v>486.315789473684</v>
      </c>
      <c r="BN312" s="15" t="n">
        <f aca="false">INDEX(Ipotesi!$C$72:$G$72,1,F312)/12*Ipotesi!H126+BF312*Ipotesi!$C$73</f>
        <v>1283.33333333333</v>
      </c>
      <c r="BO312" s="15" t="n">
        <f aca="false">INDEX(Ipotesi!$C$74:$G$74,1,F312)/12*Ipotesi!H126</f>
        <v>1000</v>
      </c>
      <c r="BP312" s="15" t="n">
        <f aca="false">INDEX(Ipotesi!$C$76:$G$76,1,F312)/12</f>
        <v>500</v>
      </c>
      <c r="BQ312" s="15" t="n">
        <f aca="false">INDEX(Ipotesi!$C$77:$G$77,1,F312)/12*Ipotesi!H126</f>
        <v>1250</v>
      </c>
      <c r="BR312" s="15" t="n">
        <f aca="false">INDEX(Ipotesi!$C$78:$G$78,1,F312)/12</f>
        <v>1000</v>
      </c>
      <c r="BS312" s="15" t="n">
        <f aca="false">SUM(M312:R312)*(Ipotesi!$C$85+Ipotesi!$C$86)/12</f>
        <v>1239.58333333333</v>
      </c>
      <c r="BT312" s="15" t="n">
        <f aca="false">BI312*Ipotesi!$C$87</f>
        <v>286.131578947368</v>
      </c>
      <c r="BU312" s="15" t="n">
        <f aca="false">INDEX(Ipotesi!$C$55:$G$55,1,F312)*K312/12</f>
        <v>500</v>
      </c>
      <c r="BV312" s="15" t="n">
        <f aca="false">INDEX(Ipotesi!$C$80:$G$80,1,F312)/12*Ipotesi!H126</f>
        <v>500</v>
      </c>
      <c r="BW312" s="15" t="n">
        <f aca="false">INDEX(Ipotesi!$C$82:$G$82,1,F312)/12</f>
        <v>416.666666666667</v>
      </c>
      <c r="BX312" s="15" t="n">
        <f aca="false">INDEX(Ipotesi!$C$83:$G$83,1,F312)/12</f>
        <v>500</v>
      </c>
      <c r="BY312" s="15" t="n">
        <f aca="false">SUM(S312:U312)*(Ipotesi!$C$85+Ipotesi!$C$86)/12</f>
        <v>437.5</v>
      </c>
      <c r="BZ312" s="15" t="n">
        <f aca="false">AM312*Ipotesi!$C$87</f>
        <v>486.315789473684</v>
      </c>
      <c r="CA312" s="15" t="n">
        <f aca="false">AB312+BJ312+BL312+BN312+BO312+AR312+BP312+BQ312+BR312+BS312+BT312</f>
        <v>27796.548245614</v>
      </c>
      <c r="CB312" s="15" t="n">
        <f aca="false">AC312+BK312+BM312+BH312+BU312+BV312+AS312+BW312+BX312+BY312+BZ312</f>
        <v>12114.5175438596</v>
      </c>
      <c r="CC312" s="15" t="n">
        <f aca="false">BI312-CA312</f>
        <v>-18258.8289473684</v>
      </c>
      <c r="CD312" s="15" t="n">
        <f aca="false">AM312-CB312</f>
        <v>4096.00877192982</v>
      </c>
      <c r="CE312" s="15" t="n">
        <f aca="false">INDEX(Ipotesi!$C$79:$G$79,1,F312)/12</f>
        <v>1666.66666666667</v>
      </c>
      <c r="CF312" s="15" t="n">
        <f aca="false">INDEX(Ipotesi!$C$84:$G$84,1,F312)/12</f>
        <v>250</v>
      </c>
      <c r="CG312" s="15" t="n">
        <f aca="false">Y312*MAX(0,Parametri_v3!$C$12-IF(P312=0,0,MIN(1,BE312/(P312*Parametri_v3!$C$22))))+W312*Parametri_v3!$C$13+X312*Parametri_v3!$C$14</f>
        <v>7083.33333333333</v>
      </c>
      <c r="CH312" s="15" t="n">
        <f aca="false">AB312*Parametri_v3!$C$32</f>
        <v>895.833333333334</v>
      </c>
      <c r="CI312" s="15" t="n">
        <f aca="false">AC312*Parametri_v3!$C$32</f>
        <v>262.5</v>
      </c>
      <c r="CJ312" s="15" t="n">
        <f aca="false">CA312-AB312</f>
        <v>9879.88157894737</v>
      </c>
      <c r="CK312" s="15" t="n">
        <f aca="false">CB312-AC312-BH312</f>
        <v>5243.4649122807</v>
      </c>
      <c r="CL312" s="15" t="n">
        <f aca="false">BF312*Ipotesi!$C$73+INDEX(Ipotesi!$C$72:$G$72,1,F312)/12*Ipotesi!H126*Parametri_v3!$C$58+Z312*(1-Parametri_v3!$C$16)</f>
        <v>1845.83333333333</v>
      </c>
      <c r="CM312" s="16" t="n">
        <f aca="false">IF(BF312=0,0,1-CL312/BF312)</f>
        <v>-3.43</v>
      </c>
    </row>
    <row r="313" customFormat="false" ht="18" hidden="false" customHeight="true" outlineLevel="0" collapsed="false">
      <c r="A313" s="68" t="n">
        <f aca="false">6</f>
        <v>6</v>
      </c>
      <c r="B313" s="68" t="n">
        <f aca="false">9</f>
        <v>9</v>
      </c>
      <c r="C313" s="18" t="n">
        <f aca="false">EDATE(Parametri_v3!$C$5,9-1)</f>
        <v>46631</v>
      </c>
      <c r="D313" s="68" t="n">
        <f aca="false">YEAR(C313)</f>
        <v>2027</v>
      </c>
      <c r="E313" s="68" t="n">
        <f aca="false">MONTH(C313)</f>
        <v>9</v>
      </c>
      <c r="F313" s="68" t="n">
        <f aca="false">INT((9-1)/12)+1</f>
        <v>1</v>
      </c>
      <c r="G313" s="15" t="n">
        <f aca="false">Ipotesi!H7</f>
        <v>1</v>
      </c>
      <c r="H313" s="15" t="n">
        <f aca="false">Ipotesi!H9</f>
        <v>1</v>
      </c>
      <c r="I313" s="15" t="n">
        <f aca="false">Ipotesi!H10</f>
        <v>1</v>
      </c>
      <c r="J313" s="15" t="n">
        <f aca="false">Ipotesi!H11</f>
        <v>1</v>
      </c>
      <c r="K313" s="15" t="n">
        <f aca="false">Ipotesi!H12</f>
        <v>1</v>
      </c>
      <c r="L313" s="15" t="n">
        <f aca="false">Ipotesi!H13</f>
        <v>90</v>
      </c>
      <c r="M313" s="17" t="n">
        <f aca="false">INDEX(Ipotesi!$C$40:$G$40,1,F313)</f>
        <v>1</v>
      </c>
      <c r="N313" s="17" t="n">
        <f aca="false">INDEX(Ipotesi!$C$41:$G$41,1,F313)</f>
        <v>0.75</v>
      </c>
      <c r="O313" s="17" t="n">
        <f aca="false">INDEX(Ipotesi!$C$42:$G$42,1,F313)*Ipotesi!H125</f>
        <v>1</v>
      </c>
      <c r="P313" s="17" t="n">
        <f aca="false">INDEX(Ipotesi!$C$43:$G$43,1,F313)*I313</f>
        <v>1</v>
      </c>
      <c r="Q313" s="17" t="n">
        <f aca="false">INDEX(Ipotesi!$C$44:$G$44,1,F313)*I313</f>
        <v>0.5</v>
      </c>
      <c r="R313" s="17" t="n">
        <f aca="false">INDEX(Ipotesi!$C$45:$G$45,1,F313)*I313</f>
        <v>0</v>
      </c>
      <c r="S313" s="17" t="n">
        <f aca="false">INDEX(Ipotesi!$C$52:$G$52,1,F313)*Ipotesi!H125</f>
        <v>1.5</v>
      </c>
      <c r="T313" s="17" t="n">
        <f aca="false">INDEX(Ipotesi!$C$53:$G$53,1,F313)*I313</f>
        <v>0</v>
      </c>
      <c r="U313" s="17" t="n">
        <f aca="false">INDEX(Ipotesi!$C$54:$G$54,1,F313)*I313</f>
        <v>0</v>
      </c>
      <c r="V313" s="15" t="n">
        <f aca="false">M313*INDEX(Ipotesi!$C$58:$G$58,1,F313)*K313/12</f>
        <v>3333.33333333333</v>
      </c>
      <c r="W313" s="15" t="n">
        <f aca="false">N313*Ipotesi!$C$59*(1+Ipotesi!$C$66)^(F313-1)/12</f>
        <v>4375</v>
      </c>
      <c r="X313" s="15" t="n">
        <f aca="false">O313*Ipotesi!$C$60*(1+Ipotesi!$C$66)^(F313-1)/12</f>
        <v>4166.66666666667</v>
      </c>
      <c r="Y313" s="15" t="n">
        <f aca="false">P313*Ipotesi!$C$61*(1+Ipotesi!$C$66)^(F313-1)/12</f>
        <v>4166.66666666667</v>
      </c>
      <c r="Z313" s="15" t="n">
        <f aca="false">Q313*Ipotesi!$C$62*(1+Ipotesi!$C$66)^(F313-1)/12</f>
        <v>1875</v>
      </c>
      <c r="AA313" s="15" t="n">
        <f aca="false">R313*Ipotesi!$C$63*(1+Ipotesi!$C$66)^(F313-1)/12</f>
        <v>0</v>
      </c>
      <c r="AB313" s="15" t="n">
        <f aca="false">SUM(V313:AA313)</f>
        <v>17916.6666666667</v>
      </c>
      <c r="AC313" s="15" t="n">
        <f aca="false">(S313*Ipotesi!$C$64+T313*Ipotesi!$C$65+U313*Ipotesi!$C$63)*(1+Ipotesi!$C$66)^(F313-1)/12</f>
        <v>5250</v>
      </c>
      <c r="AD313" s="15" t="n">
        <f aca="false">INDEX(Ipotesi!$C$48:$G$48,1,F313)*G313/12</f>
        <v>16.6666666666667</v>
      </c>
      <c r="AE313" s="15" t="n">
        <f aca="false">INDEX(Ipotesi!$C$50:$G$50,1,F313)*G313/12</f>
        <v>2.08333333333333</v>
      </c>
      <c r="AF313" s="15" t="n">
        <f aca="false">(S313*Parametri_v3!$C$7*Parametri_v3!$C$8+Parametri_v3!$C$10)/12</f>
        <v>19.25</v>
      </c>
      <c r="AG313" s="15" t="n">
        <f aca="false">AD313+AE313*(1+Parametri_v3!$C$9)</f>
        <v>19.7916666666667</v>
      </c>
      <c r="AH313" s="16" t="n">
        <f aca="false">IF(AG313=0,1,MIN(1,AF313/AG313))</f>
        <v>0.972631578947368</v>
      </c>
      <c r="AI313" s="15" t="n">
        <f aca="false">AD313*AH313</f>
        <v>16.2105263157895</v>
      </c>
      <c r="AJ313" s="15" t="n">
        <f aca="false">AE313*AH313</f>
        <v>2.02631578947368</v>
      </c>
      <c r="AK313" s="15" t="n">
        <f aca="false">AI313*INDEX(Ipotesi!$C$49:$G$49,1,F313)*H313</f>
        <v>12157.8947368421</v>
      </c>
      <c r="AL313" s="15" t="n">
        <f aca="false">AJ313*INDEX(Ipotesi!$C$51:$G$51,1,F313)*H313</f>
        <v>4052.63157894737</v>
      </c>
      <c r="AM313" s="15" t="n">
        <f aca="false">AK313+AL313</f>
        <v>16210.5263157895</v>
      </c>
      <c r="AN313" s="15" t="n">
        <f aca="false">INDEX(Ipotesi!$C$30:$G$30,1,F313)*G313/12</f>
        <v>8.33333333333333</v>
      </c>
      <c r="AO313" s="15" t="n">
        <f aca="false">O313*Parametri_v3!$C$7*Parametri_v3!$C$11*(1-Parametri_v3!$C$14)/12</f>
        <v>10.2666666666667</v>
      </c>
      <c r="AP313" s="15" t="n">
        <f aca="false">MIN(AN313,AO313)</f>
        <v>8.33333333333333</v>
      </c>
      <c r="AQ313" s="15" t="n">
        <f aca="false">AP313*INDEX(Ipotesi!$C$31:$G$31,1,F313)*H313</f>
        <v>7500</v>
      </c>
      <c r="AR313" s="15" t="n">
        <f aca="false">INDEX(Ipotesi!$C$75:$G$75,1,F313)*J313/12</f>
        <v>2083.33333333333</v>
      </c>
      <c r="AS313" s="15" t="n">
        <f aca="false">INDEX(Ipotesi!$C$81:$G$81,1,F313)*J313/12</f>
        <v>416.666666666667</v>
      </c>
      <c r="AT313" s="15" t="n">
        <f aca="false">AR313*Parametri_v3!$C$15+Z313*Parametri_v3!$C$16</f>
        <v>3395.83333333333</v>
      </c>
      <c r="AU313" s="15" t="n">
        <f aca="false">Q313*Parametri_v3!$C$16*Parametri_v3!$C$17</f>
        <v>35</v>
      </c>
      <c r="AV313" s="17" t="n">
        <f aca="false">BD312</f>
        <v>2.77777777777778</v>
      </c>
      <c r="AW313" s="17" t="n">
        <f aca="false">AV313*(1-(1-INDEX(Ipotesi!$C$34:$G$34,1,F313))^(1/12))</f>
        <v>0</v>
      </c>
      <c r="AX313" s="15" t="n">
        <f aca="false">ROUND(INDEX(Ipotesi!$C$32:$G$32,1,F313)*Ipotesi!H8,0)</f>
        <v>5</v>
      </c>
      <c r="AY313" s="15" t="n">
        <f aca="false">MAX(0,(AX313-(AV313-AW313))/(13-E313))</f>
        <v>0.555555555555556</v>
      </c>
      <c r="AZ313" s="15" t="n">
        <f aca="false">MIN(P313*Parametri_v3!$C$22,Q313*(1-Parametri_v3!$C$16)*Parametri_v3!$C$23)</f>
        <v>22.5</v>
      </c>
      <c r="BA313" s="15" t="n">
        <f aca="false">IF(OR(INDEX(Ipotesi!$C$35:$G$35,1,F313)&lt;=0,9-Parametri_v3!$C$21&lt;1),0,INDEX($AT$305:$AT$364,MAX(1,9-Parametri_v3!$C$21))/(INDEX(Ipotesi!$C$35:$G$35,1,F313)*Ipotesi!H27))</f>
        <v>0.679166666666667</v>
      </c>
      <c r="BB313" s="15" t="n">
        <f aca="false">IF(9-Parametri_v3!$C$21&lt;1,0,INDEX($AU$305:$AU$364,MAX(1,9-Parametri_v3!$C$21)))*Parametri_v3!$C$18*Parametri_v3!$C$19*Parametri_v3!$C$20</f>
        <v>1.3125</v>
      </c>
      <c r="BC313" s="17" t="n">
        <f aca="false">MAX(0,MIN(AY313,BA313,BB313,MAX(0,AZ313-(AV313-AW313))))</f>
        <v>0.555555555555556</v>
      </c>
      <c r="BD313" s="17" t="n">
        <f aca="false">AV313-AW313+BC313</f>
        <v>3.33333333333333</v>
      </c>
      <c r="BE313" s="17" t="n">
        <f aca="false">(AV313+BD313)/2</f>
        <v>3.05555555555556</v>
      </c>
      <c r="BF313" s="15" t="n">
        <f aca="false">BE313*INDEX(Ipotesi!$C$33:$G$33,1,F313)*H313/12</f>
        <v>509.259259259259</v>
      </c>
      <c r="BG313" s="15" t="n">
        <f aca="false">BD313*INDEX(Ipotesi!$C$33:$G$33,1,F313)*H313</f>
        <v>6666.66666666667</v>
      </c>
      <c r="BH313" s="15" t="n">
        <f aca="false">AM313*INDEX(Ipotesi!$C$37:$G$37,1,F313)</f>
        <v>1621.05263157895</v>
      </c>
      <c r="BI313" s="15" t="n">
        <f aca="false">AQ313+BF313+BH313</f>
        <v>9630.31189083821</v>
      </c>
      <c r="BJ313" s="15" t="n">
        <f aca="false">INDEX(Ipotesi!$C$68:$G$68,1,F313)*Ipotesi!$C$69/12</f>
        <v>1000</v>
      </c>
      <c r="BK313" s="15" t="n">
        <f aca="false">INDEX(Ipotesi!$C$68:$G$68,1,F313)*(1-Ipotesi!$C$69)/12</f>
        <v>1500</v>
      </c>
      <c r="BL313" s="15" t="n">
        <f aca="false">(AQ313+BF313)*Ipotesi!$C$67</f>
        <v>240.277777777778</v>
      </c>
      <c r="BM313" s="15" t="n">
        <f aca="false">AM313*Ipotesi!$C$67</f>
        <v>486.315789473684</v>
      </c>
      <c r="BN313" s="15" t="n">
        <f aca="false">INDEX(Ipotesi!$C$72:$G$72,1,F313)/12*Ipotesi!H126+BF313*Ipotesi!$C$73</f>
        <v>1290.74074074074</v>
      </c>
      <c r="BO313" s="15" t="n">
        <f aca="false">INDEX(Ipotesi!$C$74:$G$74,1,F313)/12*Ipotesi!H126</f>
        <v>1000</v>
      </c>
      <c r="BP313" s="15" t="n">
        <f aca="false">INDEX(Ipotesi!$C$76:$G$76,1,F313)/12</f>
        <v>500</v>
      </c>
      <c r="BQ313" s="15" t="n">
        <f aca="false">INDEX(Ipotesi!$C$77:$G$77,1,F313)/12*Ipotesi!H126</f>
        <v>1250</v>
      </c>
      <c r="BR313" s="15" t="n">
        <f aca="false">INDEX(Ipotesi!$C$78:$G$78,1,F313)/12</f>
        <v>1000</v>
      </c>
      <c r="BS313" s="15" t="n">
        <f aca="false">SUM(M313:R313)*(Ipotesi!$C$85+Ipotesi!$C$86)/12</f>
        <v>1239.58333333333</v>
      </c>
      <c r="BT313" s="15" t="n">
        <f aca="false">BI313*Ipotesi!$C$87</f>
        <v>288.909356725146</v>
      </c>
      <c r="BU313" s="15" t="n">
        <f aca="false">INDEX(Ipotesi!$C$55:$G$55,1,F313)*K313/12</f>
        <v>500</v>
      </c>
      <c r="BV313" s="15" t="n">
        <f aca="false">INDEX(Ipotesi!$C$80:$G$80,1,F313)/12*Ipotesi!H126</f>
        <v>500</v>
      </c>
      <c r="BW313" s="15" t="n">
        <f aca="false">INDEX(Ipotesi!$C$82:$G$82,1,F313)/12</f>
        <v>416.666666666667</v>
      </c>
      <c r="BX313" s="15" t="n">
        <f aca="false">INDEX(Ipotesi!$C$83:$G$83,1,F313)/12</f>
        <v>500</v>
      </c>
      <c r="BY313" s="15" t="n">
        <f aca="false">SUM(S313:U313)*(Ipotesi!$C$85+Ipotesi!$C$86)/12</f>
        <v>437.5</v>
      </c>
      <c r="BZ313" s="15" t="n">
        <f aca="false">AM313*Ipotesi!$C$87</f>
        <v>486.315789473684</v>
      </c>
      <c r="CA313" s="15" t="n">
        <f aca="false">AB313+BJ313+BL313+BN313+BO313+AR313+BP313+BQ313+BR313+BS313+BT313</f>
        <v>27809.511208577</v>
      </c>
      <c r="CB313" s="15" t="n">
        <f aca="false">AC313+BK313+BM313+BH313+BU313+BV313+AS313+BW313+BX313+BY313+BZ313</f>
        <v>12114.5175438596</v>
      </c>
      <c r="CC313" s="15" t="n">
        <f aca="false">BI313-CA313</f>
        <v>-18179.1993177388</v>
      </c>
      <c r="CD313" s="15" t="n">
        <f aca="false">AM313-CB313</f>
        <v>4096.00877192982</v>
      </c>
      <c r="CE313" s="15" t="n">
        <f aca="false">INDEX(Ipotesi!$C$79:$G$79,1,F313)/12</f>
        <v>1666.66666666667</v>
      </c>
      <c r="CF313" s="15" t="n">
        <f aca="false">INDEX(Ipotesi!$C$84:$G$84,1,F313)/12</f>
        <v>250</v>
      </c>
      <c r="CG313" s="15" t="n">
        <f aca="false">Y313*MAX(0,Parametri_v3!$C$12-IF(P313=0,0,MIN(1,BE313/(P313*Parametri_v3!$C$22))))+W313*Parametri_v3!$C$13+X313*Parametri_v3!$C$14</f>
        <v>7060.18518518519</v>
      </c>
      <c r="CH313" s="15" t="n">
        <f aca="false">AB313*Parametri_v3!$C$32</f>
        <v>895.833333333334</v>
      </c>
      <c r="CI313" s="15" t="n">
        <f aca="false">AC313*Parametri_v3!$C$32</f>
        <v>262.5</v>
      </c>
      <c r="CJ313" s="15" t="n">
        <f aca="false">CA313-AB313</f>
        <v>9892.84454191033</v>
      </c>
      <c r="CK313" s="15" t="n">
        <f aca="false">CB313-AC313-BH313</f>
        <v>5243.4649122807</v>
      </c>
      <c r="CL313" s="15" t="n">
        <f aca="false">BF313*Ipotesi!$C$73+INDEX(Ipotesi!$C$72:$G$72,1,F313)/12*Ipotesi!H126*Parametri_v3!$C$58+Z313*(1-Parametri_v3!$C$16)</f>
        <v>1853.24074074074</v>
      </c>
      <c r="CM313" s="16" t="n">
        <f aca="false">IF(BF313=0,0,1-CL313/BF313)</f>
        <v>-2.63909090909091</v>
      </c>
    </row>
    <row r="314" customFormat="false" ht="18" hidden="false" customHeight="true" outlineLevel="0" collapsed="false">
      <c r="A314" s="68" t="n">
        <f aca="false">6</f>
        <v>6</v>
      </c>
      <c r="B314" s="68" t="n">
        <f aca="false">10</f>
        <v>10</v>
      </c>
      <c r="C314" s="18" t="n">
        <f aca="false">EDATE(Parametri_v3!$C$5,10-1)</f>
        <v>46661</v>
      </c>
      <c r="D314" s="68" t="n">
        <f aca="false">YEAR(C314)</f>
        <v>2027</v>
      </c>
      <c r="E314" s="68" t="n">
        <f aca="false">MONTH(C314)</f>
        <v>10</v>
      </c>
      <c r="F314" s="68" t="n">
        <f aca="false">INT((10-1)/12)+1</f>
        <v>1</v>
      </c>
      <c r="G314" s="15" t="n">
        <f aca="false">Ipotesi!H7</f>
        <v>1</v>
      </c>
      <c r="H314" s="15" t="n">
        <f aca="false">Ipotesi!H9</f>
        <v>1</v>
      </c>
      <c r="I314" s="15" t="n">
        <f aca="false">Ipotesi!H10</f>
        <v>1</v>
      </c>
      <c r="J314" s="15" t="n">
        <f aca="false">Ipotesi!H11</f>
        <v>1</v>
      </c>
      <c r="K314" s="15" t="n">
        <f aca="false">Ipotesi!H12</f>
        <v>1</v>
      </c>
      <c r="L314" s="15" t="n">
        <f aca="false">Ipotesi!H13</f>
        <v>90</v>
      </c>
      <c r="M314" s="17" t="n">
        <f aca="false">INDEX(Ipotesi!$C$40:$G$40,1,F314)</f>
        <v>1</v>
      </c>
      <c r="N314" s="17" t="n">
        <f aca="false">INDEX(Ipotesi!$C$41:$G$41,1,F314)</f>
        <v>0.75</v>
      </c>
      <c r="O314" s="17" t="n">
        <f aca="false">INDEX(Ipotesi!$C$42:$G$42,1,F314)*Ipotesi!H125</f>
        <v>1</v>
      </c>
      <c r="P314" s="17" t="n">
        <f aca="false">INDEX(Ipotesi!$C$43:$G$43,1,F314)*I314</f>
        <v>1</v>
      </c>
      <c r="Q314" s="17" t="n">
        <f aca="false">INDEX(Ipotesi!$C$44:$G$44,1,F314)*I314</f>
        <v>0.5</v>
      </c>
      <c r="R314" s="17" t="n">
        <f aca="false">INDEX(Ipotesi!$C$45:$G$45,1,F314)*I314</f>
        <v>0</v>
      </c>
      <c r="S314" s="17" t="n">
        <f aca="false">INDEX(Ipotesi!$C$52:$G$52,1,F314)*Ipotesi!H125</f>
        <v>1.5</v>
      </c>
      <c r="T314" s="17" t="n">
        <f aca="false">INDEX(Ipotesi!$C$53:$G$53,1,F314)*I314</f>
        <v>0</v>
      </c>
      <c r="U314" s="17" t="n">
        <f aca="false">INDEX(Ipotesi!$C$54:$G$54,1,F314)*I314</f>
        <v>0</v>
      </c>
      <c r="V314" s="15" t="n">
        <f aca="false">M314*INDEX(Ipotesi!$C$58:$G$58,1,F314)*K314/12</f>
        <v>3333.33333333333</v>
      </c>
      <c r="W314" s="15" t="n">
        <f aca="false">N314*Ipotesi!$C$59*(1+Ipotesi!$C$66)^(F314-1)/12</f>
        <v>4375</v>
      </c>
      <c r="X314" s="15" t="n">
        <f aca="false">O314*Ipotesi!$C$60*(1+Ipotesi!$C$66)^(F314-1)/12</f>
        <v>4166.66666666667</v>
      </c>
      <c r="Y314" s="15" t="n">
        <f aca="false">P314*Ipotesi!$C$61*(1+Ipotesi!$C$66)^(F314-1)/12</f>
        <v>4166.66666666667</v>
      </c>
      <c r="Z314" s="15" t="n">
        <f aca="false">Q314*Ipotesi!$C$62*(1+Ipotesi!$C$66)^(F314-1)/12</f>
        <v>1875</v>
      </c>
      <c r="AA314" s="15" t="n">
        <f aca="false">R314*Ipotesi!$C$63*(1+Ipotesi!$C$66)^(F314-1)/12</f>
        <v>0</v>
      </c>
      <c r="AB314" s="15" t="n">
        <f aca="false">SUM(V314:AA314)</f>
        <v>17916.6666666667</v>
      </c>
      <c r="AC314" s="15" t="n">
        <f aca="false">(S314*Ipotesi!$C$64+T314*Ipotesi!$C$65+U314*Ipotesi!$C$63)*(1+Ipotesi!$C$66)^(F314-1)/12</f>
        <v>5250</v>
      </c>
      <c r="AD314" s="15" t="n">
        <f aca="false">INDEX(Ipotesi!$C$48:$G$48,1,F314)*G314/12</f>
        <v>16.6666666666667</v>
      </c>
      <c r="AE314" s="15" t="n">
        <f aca="false">INDEX(Ipotesi!$C$50:$G$50,1,F314)*G314/12</f>
        <v>2.08333333333333</v>
      </c>
      <c r="AF314" s="15" t="n">
        <f aca="false">(S314*Parametri_v3!$C$7*Parametri_v3!$C$8+Parametri_v3!$C$10)/12</f>
        <v>19.25</v>
      </c>
      <c r="AG314" s="15" t="n">
        <f aca="false">AD314+AE314*(1+Parametri_v3!$C$9)</f>
        <v>19.7916666666667</v>
      </c>
      <c r="AH314" s="16" t="n">
        <f aca="false">IF(AG314=0,1,MIN(1,AF314/AG314))</f>
        <v>0.972631578947368</v>
      </c>
      <c r="AI314" s="15" t="n">
        <f aca="false">AD314*AH314</f>
        <v>16.2105263157895</v>
      </c>
      <c r="AJ314" s="15" t="n">
        <f aca="false">AE314*AH314</f>
        <v>2.02631578947368</v>
      </c>
      <c r="AK314" s="15" t="n">
        <f aca="false">AI314*INDEX(Ipotesi!$C$49:$G$49,1,F314)*H314</f>
        <v>12157.8947368421</v>
      </c>
      <c r="AL314" s="15" t="n">
        <f aca="false">AJ314*INDEX(Ipotesi!$C$51:$G$51,1,F314)*H314</f>
        <v>4052.63157894737</v>
      </c>
      <c r="AM314" s="15" t="n">
        <f aca="false">AK314+AL314</f>
        <v>16210.5263157895</v>
      </c>
      <c r="AN314" s="15" t="n">
        <f aca="false">INDEX(Ipotesi!$C$30:$G$30,1,F314)*G314/12</f>
        <v>8.33333333333333</v>
      </c>
      <c r="AO314" s="15" t="n">
        <f aca="false">O314*Parametri_v3!$C$7*Parametri_v3!$C$11*(1-Parametri_v3!$C$14)/12</f>
        <v>10.2666666666667</v>
      </c>
      <c r="AP314" s="15" t="n">
        <f aca="false">MIN(AN314,AO314)</f>
        <v>8.33333333333333</v>
      </c>
      <c r="AQ314" s="15" t="n">
        <f aca="false">AP314*INDEX(Ipotesi!$C$31:$G$31,1,F314)*H314</f>
        <v>7500</v>
      </c>
      <c r="AR314" s="15" t="n">
        <f aca="false">INDEX(Ipotesi!$C$75:$G$75,1,F314)*J314/12</f>
        <v>2083.33333333333</v>
      </c>
      <c r="AS314" s="15" t="n">
        <f aca="false">INDEX(Ipotesi!$C$81:$G$81,1,F314)*J314/12</f>
        <v>416.666666666667</v>
      </c>
      <c r="AT314" s="15" t="n">
        <f aca="false">AR314*Parametri_v3!$C$15+Z314*Parametri_v3!$C$16</f>
        <v>3395.83333333333</v>
      </c>
      <c r="AU314" s="15" t="n">
        <f aca="false">Q314*Parametri_v3!$C$16*Parametri_v3!$C$17</f>
        <v>35</v>
      </c>
      <c r="AV314" s="17" t="n">
        <f aca="false">BD313</f>
        <v>3.33333333333333</v>
      </c>
      <c r="AW314" s="17" t="n">
        <f aca="false">AV314*(1-(1-INDEX(Ipotesi!$C$34:$G$34,1,F314))^(1/12))</f>
        <v>0</v>
      </c>
      <c r="AX314" s="15" t="n">
        <f aca="false">ROUND(INDEX(Ipotesi!$C$32:$G$32,1,F314)*Ipotesi!H8,0)</f>
        <v>5</v>
      </c>
      <c r="AY314" s="15" t="n">
        <f aca="false">MAX(0,(AX314-(AV314-AW314))/(13-E314))</f>
        <v>0.555555555555556</v>
      </c>
      <c r="AZ314" s="15" t="n">
        <f aca="false">MIN(P314*Parametri_v3!$C$22,Q314*(1-Parametri_v3!$C$16)*Parametri_v3!$C$23)</f>
        <v>22.5</v>
      </c>
      <c r="BA314" s="15" t="n">
        <f aca="false">IF(OR(INDEX(Ipotesi!$C$35:$G$35,1,F314)&lt;=0,10-Parametri_v3!$C$21&lt;1),0,INDEX($AT$305:$AT$364,MAX(1,10-Parametri_v3!$C$21))/(INDEX(Ipotesi!$C$35:$G$35,1,F314)*Ipotesi!H27))</f>
        <v>0.679166666666667</v>
      </c>
      <c r="BB314" s="15" t="n">
        <f aca="false">IF(10-Parametri_v3!$C$21&lt;1,0,INDEX($AU$305:$AU$364,MAX(1,10-Parametri_v3!$C$21)))*Parametri_v3!$C$18*Parametri_v3!$C$19*Parametri_v3!$C$20</f>
        <v>1.3125</v>
      </c>
      <c r="BC314" s="17" t="n">
        <f aca="false">MAX(0,MIN(AY314,BA314,BB314,MAX(0,AZ314-(AV314-AW314))))</f>
        <v>0.555555555555556</v>
      </c>
      <c r="BD314" s="17" t="n">
        <f aca="false">AV314-AW314+BC314</f>
        <v>3.88888888888889</v>
      </c>
      <c r="BE314" s="17" t="n">
        <f aca="false">(AV314+BD314)/2</f>
        <v>3.61111111111111</v>
      </c>
      <c r="BF314" s="15" t="n">
        <f aca="false">BE314*INDEX(Ipotesi!$C$33:$G$33,1,F314)*H314/12</f>
        <v>601.851851851852</v>
      </c>
      <c r="BG314" s="15" t="n">
        <f aca="false">BD314*INDEX(Ipotesi!$C$33:$G$33,1,F314)*H314</f>
        <v>7777.77777777778</v>
      </c>
      <c r="BH314" s="15" t="n">
        <f aca="false">AM314*INDEX(Ipotesi!$C$37:$G$37,1,F314)</f>
        <v>1621.05263157895</v>
      </c>
      <c r="BI314" s="15" t="n">
        <f aca="false">AQ314+BF314+BH314</f>
        <v>9722.9044834308</v>
      </c>
      <c r="BJ314" s="15" t="n">
        <f aca="false">INDEX(Ipotesi!$C$68:$G$68,1,F314)*Ipotesi!$C$69/12</f>
        <v>1000</v>
      </c>
      <c r="BK314" s="15" t="n">
        <f aca="false">INDEX(Ipotesi!$C$68:$G$68,1,F314)*(1-Ipotesi!$C$69)/12</f>
        <v>1500</v>
      </c>
      <c r="BL314" s="15" t="n">
        <f aca="false">(AQ314+BF314)*Ipotesi!$C$67</f>
        <v>243.055555555556</v>
      </c>
      <c r="BM314" s="15" t="n">
        <f aca="false">AM314*Ipotesi!$C$67</f>
        <v>486.315789473684</v>
      </c>
      <c r="BN314" s="15" t="n">
        <f aca="false">INDEX(Ipotesi!$C$72:$G$72,1,F314)/12*Ipotesi!H126+BF314*Ipotesi!$C$73</f>
        <v>1298.14814814815</v>
      </c>
      <c r="BO314" s="15" t="n">
        <f aca="false">INDEX(Ipotesi!$C$74:$G$74,1,F314)/12*Ipotesi!H126</f>
        <v>1000</v>
      </c>
      <c r="BP314" s="15" t="n">
        <f aca="false">INDEX(Ipotesi!$C$76:$G$76,1,F314)/12</f>
        <v>500</v>
      </c>
      <c r="BQ314" s="15" t="n">
        <f aca="false">INDEX(Ipotesi!$C$77:$G$77,1,F314)/12*Ipotesi!H126</f>
        <v>1250</v>
      </c>
      <c r="BR314" s="15" t="n">
        <f aca="false">INDEX(Ipotesi!$C$78:$G$78,1,F314)/12</f>
        <v>1000</v>
      </c>
      <c r="BS314" s="15" t="n">
        <f aca="false">SUM(M314:R314)*(Ipotesi!$C$85+Ipotesi!$C$86)/12</f>
        <v>1239.58333333333</v>
      </c>
      <c r="BT314" s="15" t="n">
        <f aca="false">BI314*Ipotesi!$C$87</f>
        <v>291.687134502924</v>
      </c>
      <c r="BU314" s="15" t="n">
        <f aca="false">INDEX(Ipotesi!$C$55:$G$55,1,F314)*K314/12</f>
        <v>500</v>
      </c>
      <c r="BV314" s="15" t="n">
        <f aca="false">INDEX(Ipotesi!$C$80:$G$80,1,F314)/12*Ipotesi!H126</f>
        <v>500</v>
      </c>
      <c r="BW314" s="15" t="n">
        <f aca="false">INDEX(Ipotesi!$C$82:$G$82,1,F314)/12</f>
        <v>416.666666666667</v>
      </c>
      <c r="BX314" s="15" t="n">
        <f aca="false">INDEX(Ipotesi!$C$83:$G$83,1,F314)/12</f>
        <v>500</v>
      </c>
      <c r="BY314" s="15" t="n">
        <f aca="false">SUM(S314:U314)*(Ipotesi!$C$85+Ipotesi!$C$86)/12</f>
        <v>437.5</v>
      </c>
      <c r="BZ314" s="15" t="n">
        <f aca="false">AM314*Ipotesi!$C$87</f>
        <v>486.315789473684</v>
      </c>
      <c r="CA314" s="15" t="n">
        <f aca="false">AB314+BJ314+BL314+BN314+BO314+AR314+BP314+BQ314+BR314+BS314+BT314</f>
        <v>27822.47417154</v>
      </c>
      <c r="CB314" s="15" t="n">
        <f aca="false">AC314+BK314+BM314+BH314+BU314+BV314+AS314+BW314+BX314+BY314+BZ314</f>
        <v>12114.5175438596</v>
      </c>
      <c r="CC314" s="15" t="n">
        <f aca="false">BI314-CA314</f>
        <v>-18099.5696881092</v>
      </c>
      <c r="CD314" s="15" t="n">
        <f aca="false">AM314-CB314</f>
        <v>4096.00877192982</v>
      </c>
      <c r="CE314" s="15" t="n">
        <f aca="false">INDEX(Ipotesi!$C$79:$G$79,1,F314)/12</f>
        <v>1666.66666666667</v>
      </c>
      <c r="CF314" s="15" t="n">
        <f aca="false">INDEX(Ipotesi!$C$84:$G$84,1,F314)/12</f>
        <v>250</v>
      </c>
      <c r="CG314" s="15" t="n">
        <f aca="false">Y314*MAX(0,Parametri_v3!$C$12-IF(P314=0,0,MIN(1,BE314/(P314*Parametri_v3!$C$22))))+W314*Parametri_v3!$C$13+X314*Parametri_v3!$C$14</f>
        <v>7037.03703703704</v>
      </c>
      <c r="CH314" s="15" t="n">
        <f aca="false">AB314*Parametri_v3!$C$32</f>
        <v>895.833333333334</v>
      </c>
      <c r="CI314" s="15" t="n">
        <f aca="false">AC314*Parametri_v3!$C$32</f>
        <v>262.5</v>
      </c>
      <c r="CJ314" s="15" t="n">
        <f aca="false">CA314-AB314</f>
        <v>9905.80750487329</v>
      </c>
      <c r="CK314" s="15" t="n">
        <f aca="false">CB314-AC314-BH314</f>
        <v>5243.4649122807</v>
      </c>
      <c r="CL314" s="15" t="n">
        <f aca="false">BF314*Ipotesi!$C$73+INDEX(Ipotesi!$C$72:$G$72,1,F314)/12*Ipotesi!H126*Parametri_v3!$C$58+Z314*(1-Parametri_v3!$C$16)</f>
        <v>1860.64814814815</v>
      </c>
      <c r="CM314" s="16" t="n">
        <f aca="false">IF(BF314=0,0,1-CL314/BF314)</f>
        <v>-2.09153846153846</v>
      </c>
    </row>
    <row r="315" customFormat="false" ht="18" hidden="false" customHeight="true" outlineLevel="0" collapsed="false">
      <c r="A315" s="68" t="n">
        <f aca="false">6</f>
        <v>6</v>
      </c>
      <c r="B315" s="68" t="n">
        <f aca="false">11</f>
        <v>11</v>
      </c>
      <c r="C315" s="18" t="n">
        <f aca="false">EDATE(Parametri_v3!$C$5,11-1)</f>
        <v>46692</v>
      </c>
      <c r="D315" s="68" t="n">
        <f aca="false">YEAR(C315)</f>
        <v>2027</v>
      </c>
      <c r="E315" s="68" t="n">
        <f aca="false">MONTH(C315)</f>
        <v>11</v>
      </c>
      <c r="F315" s="68" t="n">
        <f aca="false">INT((11-1)/12)+1</f>
        <v>1</v>
      </c>
      <c r="G315" s="15" t="n">
        <f aca="false">Ipotesi!H7</f>
        <v>1</v>
      </c>
      <c r="H315" s="15" t="n">
        <f aca="false">Ipotesi!H9</f>
        <v>1</v>
      </c>
      <c r="I315" s="15" t="n">
        <f aca="false">Ipotesi!H10</f>
        <v>1</v>
      </c>
      <c r="J315" s="15" t="n">
        <f aca="false">Ipotesi!H11</f>
        <v>1</v>
      </c>
      <c r="K315" s="15" t="n">
        <f aca="false">Ipotesi!H12</f>
        <v>1</v>
      </c>
      <c r="L315" s="15" t="n">
        <f aca="false">Ipotesi!H13</f>
        <v>90</v>
      </c>
      <c r="M315" s="17" t="n">
        <f aca="false">INDEX(Ipotesi!$C$40:$G$40,1,F315)</f>
        <v>1</v>
      </c>
      <c r="N315" s="17" t="n">
        <f aca="false">INDEX(Ipotesi!$C$41:$G$41,1,F315)</f>
        <v>0.75</v>
      </c>
      <c r="O315" s="17" t="n">
        <f aca="false">INDEX(Ipotesi!$C$42:$G$42,1,F315)*Ipotesi!H125</f>
        <v>1</v>
      </c>
      <c r="P315" s="17" t="n">
        <f aca="false">INDEX(Ipotesi!$C$43:$G$43,1,F315)*I315</f>
        <v>1</v>
      </c>
      <c r="Q315" s="17" t="n">
        <f aca="false">INDEX(Ipotesi!$C$44:$G$44,1,F315)*I315</f>
        <v>0.5</v>
      </c>
      <c r="R315" s="17" t="n">
        <f aca="false">INDEX(Ipotesi!$C$45:$G$45,1,F315)*I315</f>
        <v>0</v>
      </c>
      <c r="S315" s="17" t="n">
        <f aca="false">INDEX(Ipotesi!$C$52:$G$52,1,F315)*Ipotesi!H125</f>
        <v>1.5</v>
      </c>
      <c r="T315" s="17" t="n">
        <f aca="false">INDEX(Ipotesi!$C$53:$G$53,1,F315)*I315</f>
        <v>0</v>
      </c>
      <c r="U315" s="17" t="n">
        <f aca="false">INDEX(Ipotesi!$C$54:$G$54,1,F315)*I315</f>
        <v>0</v>
      </c>
      <c r="V315" s="15" t="n">
        <f aca="false">M315*INDEX(Ipotesi!$C$58:$G$58,1,F315)*K315/12</f>
        <v>3333.33333333333</v>
      </c>
      <c r="W315" s="15" t="n">
        <f aca="false">N315*Ipotesi!$C$59*(1+Ipotesi!$C$66)^(F315-1)/12</f>
        <v>4375</v>
      </c>
      <c r="X315" s="15" t="n">
        <f aca="false">O315*Ipotesi!$C$60*(1+Ipotesi!$C$66)^(F315-1)/12</f>
        <v>4166.66666666667</v>
      </c>
      <c r="Y315" s="15" t="n">
        <f aca="false">P315*Ipotesi!$C$61*(1+Ipotesi!$C$66)^(F315-1)/12</f>
        <v>4166.66666666667</v>
      </c>
      <c r="Z315" s="15" t="n">
        <f aca="false">Q315*Ipotesi!$C$62*(1+Ipotesi!$C$66)^(F315-1)/12</f>
        <v>1875</v>
      </c>
      <c r="AA315" s="15" t="n">
        <f aca="false">R315*Ipotesi!$C$63*(1+Ipotesi!$C$66)^(F315-1)/12</f>
        <v>0</v>
      </c>
      <c r="AB315" s="15" t="n">
        <f aca="false">SUM(V315:AA315)</f>
        <v>17916.6666666667</v>
      </c>
      <c r="AC315" s="15" t="n">
        <f aca="false">(S315*Ipotesi!$C$64+T315*Ipotesi!$C$65+U315*Ipotesi!$C$63)*(1+Ipotesi!$C$66)^(F315-1)/12</f>
        <v>5250</v>
      </c>
      <c r="AD315" s="15" t="n">
        <f aca="false">INDEX(Ipotesi!$C$48:$G$48,1,F315)*G315/12</f>
        <v>16.6666666666667</v>
      </c>
      <c r="AE315" s="15" t="n">
        <f aca="false">INDEX(Ipotesi!$C$50:$G$50,1,F315)*G315/12</f>
        <v>2.08333333333333</v>
      </c>
      <c r="AF315" s="15" t="n">
        <f aca="false">(S315*Parametri_v3!$C$7*Parametri_v3!$C$8+Parametri_v3!$C$10)/12</f>
        <v>19.25</v>
      </c>
      <c r="AG315" s="15" t="n">
        <f aca="false">AD315+AE315*(1+Parametri_v3!$C$9)</f>
        <v>19.7916666666667</v>
      </c>
      <c r="AH315" s="16" t="n">
        <f aca="false">IF(AG315=0,1,MIN(1,AF315/AG315))</f>
        <v>0.972631578947368</v>
      </c>
      <c r="AI315" s="15" t="n">
        <f aca="false">AD315*AH315</f>
        <v>16.2105263157895</v>
      </c>
      <c r="AJ315" s="15" t="n">
        <f aca="false">AE315*AH315</f>
        <v>2.02631578947368</v>
      </c>
      <c r="AK315" s="15" t="n">
        <f aca="false">AI315*INDEX(Ipotesi!$C$49:$G$49,1,F315)*H315</f>
        <v>12157.8947368421</v>
      </c>
      <c r="AL315" s="15" t="n">
        <f aca="false">AJ315*INDEX(Ipotesi!$C$51:$G$51,1,F315)*H315</f>
        <v>4052.63157894737</v>
      </c>
      <c r="AM315" s="15" t="n">
        <f aca="false">AK315+AL315</f>
        <v>16210.5263157895</v>
      </c>
      <c r="AN315" s="15" t="n">
        <f aca="false">INDEX(Ipotesi!$C$30:$G$30,1,F315)*G315/12</f>
        <v>8.33333333333333</v>
      </c>
      <c r="AO315" s="15" t="n">
        <f aca="false">O315*Parametri_v3!$C$7*Parametri_v3!$C$11*(1-Parametri_v3!$C$14)/12</f>
        <v>10.2666666666667</v>
      </c>
      <c r="AP315" s="15" t="n">
        <f aca="false">MIN(AN315,AO315)</f>
        <v>8.33333333333333</v>
      </c>
      <c r="AQ315" s="15" t="n">
        <f aca="false">AP315*INDEX(Ipotesi!$C$31:$G$31,1,F315)*H315</f>
        <v>7500</v>
      </c>
      <c r="AR315" s="15" t="n">
        <f aca="false">INDEX(Ipotesi!$C$75:$G$75,1,F315)*J315/12</f>
        <v>2083.33333333333</v>
      </c>
      <c r="AS315" s="15" t="n">
        <f aca="false">INDEX(Ipotesi!$C$81:$G$81,1,F315)*J315/12</f>
        <v>416.666666666667</v>
      </c>
      <c r="AT315" s="15" t="n">
        <f aca="false">AR315*Parametri_v3!$C$15+Z315*Parametri_v3!$C$16</f>
        <v>3395.83333333333</v>
      </c>
      <c r="AU315" s="15" t="n">
        <f aca="false">Q315*Parametri_v3!$C$16*Parametri_v3!$C$17</f>
        <v>35</v>
      </c>
      <c r="AV315" s="17" t="n">
        <f aca="false">BD314</f>
        <v>3.88888888888889</v>
      </c>
      <c r="AW315" s="17" t="n">
        <f aca="false">AV315*(1-(1-INDEX(Ipotesi!$C$34:$G$34,1,F315))^(1/12))</f>
        <v>0</v>
      </c>
      <c r="AX315" s="15" t="n">
        <f aca="false">ROUND(INDEX(Ipotesi!$C$32:$G$32,1,F315)*Ipotesi!H8,0)</f>
        <v>5</v>
      </c>
      <c r="AY315" s="15" t="n">
        <f aca="false">MAX(0,(AX315-(AV315-AW315))/(13-E315))</f>
        <v>0.555555555555556</v>
      </c>
      <c r="AZ315" s="15" t="n">
        <f aca="false">MIN(P315*Parametri_v3!$C$22,Q315*(1-Parametri_v3!$C$16)*Parametri_v3!$C$23)</f>
        <v>22.5</v>
      </c>
      <c r="BA315" s="15" t="n">
        <f aca="false">IF(OR(INDEX(Ipotesi!$C$35:$G$35,1,F315)&lt;=0,11-Parametri_v3!$C$21&lt;1),0,INDEX($AT$305:$AT$364,MAX(1,11-Parametri_v3!$C$21))/(INDEX(Ipotesi!$C$35:$G$35,1,F315)*Ipotesi!H27))</f>
        <v>0.679166666666667</v>
      </c>
      <c r="BB315" s="15" t="n">
        <f aca="false">IF(11-Parametri_v3!$C$21&lt;1,0,INDEX($AU$305:$AU$364,MAX(1,11-Parametri_v3!$C$21)))*Parametri_v3!$C$18*Parametri_v3!$C$19*Parametri_v3!$C$20</f>
        <v>1.3125</v>
      </c>
      <c r="BC315" s="17" t="n">
        <f aca="false">MAX(0,MIN(AY315,BA315,BB315,MAX(0,AZ315-(AV315-AW315))))</f>
        <v>0.555555555555556</v>
      </c>
      <c r="BD315" s="17" t="n">
        <f aca="false">AV315-AW315+BC315</f>
        <v>4.44444444444445</v>
      </c>
      <c r="BE315" s="17" t="n">
        <f aca="false">(AV315+BD315)/2</f>
        <v>4.16666666666667</v>
      </c>
      <c r="BF315" s="15" t="n">
        <f aca="false">BE315*INDEX(Ipotesi!$C$33:$G$33,1,F315)*H315/12</f>
        <v>694.444444444445</v>
      </c>
      <c r="BG315" s="15" t="n">
        <f aca="false">BD315*INDEX(Ipotesi!$C$33:$G$33,1,F315)*H315</f>
        <v>8888.88888888889</v>
      </c>
      <c r="BH315" s="15" t="n">
        <f aca="false">AM315*INDEX(Ipotesi!$C$37:$G$37,1,F315)</f>
        <v>1621.05263157895</v>
      </c>
      <c r="BI315" s="15" t="n">
        <f aca="false">AQ315+BF315+BH315</f>
        <v>9815.49707602339</v>
      </c>
      <c r="BJ315" s="15" t="n">
        <f aca="false">INDEX(Ipotesi!$C$68:$G$68,1,F315)*Ipotesi!$C$69/12</f>
        <v>1000</v>
      </c>
      <c r="BK315" s="15" t="n">
        <f aca="false">INDEX(Ipotesi!$C$68:$G$68,1,F315)*(1-Ipotesi!$C$69)/12</f>
        <v>1500</v>
      </c>
      <c r="BL315" s="15" t="n">
        <f aca="false">(AQ315+BF315)*Ipotesi!$C$67</f>
        <v>245.833333333333</v>
      </c>
      <c r="BM315" s="15" t="n">
        <f aca="false">AM315*Ipotesi!$C$67</f>
        <v>486.315789473684</v>
      </c>
      <c r="BN315" s="15" t="n">
        <f aca="false">INDEX(Ipotesi!$C$72:$G$72,1,F315)/12*Ipotesi!H126+BF315*Ipotesi!$C$73</f>
        <v>1305.55555555556</v>
      </c>
      <c r="BO315" s="15" t="n">
        <f aca="false">INDEX(Ipotesi!$C$74:$G$74,1,F315)/12*Ipotesi!H126</f>
        <v>1000</v>
      </c>
      <c r="BP315" s="15" t="n">
        <f aca="false">INDEX(Ipotesi!$C$76:$G$76,1,F315)/12</f>
        <v>500</v>
      </c>
      <c r="BQ315" s="15" t="n">
        <f aca="false">INDEX(Ipotesi!$C$77:$G$77,1,F315)/12*Ipotesi!H126</f>
        <v>1250</v>
      </c>
      <c r="BR315" s="15" t="n">
        <f aca="false">INDEX(Ipotesi!$C$78:$G$78,1,F315)/12</f>
        <v>1000</v>
      </c>
      <c r="BS315" s="15" t="n">
        <f aca="false">SUM(M315:R315)*(Ipotesi!$C$85+Ipotesi!$C$86)/12</f>
        <v>1239.58333333333</v>
      </c>
      <c r="BT315" s="15" t="n">
        <f aca="false">BI315*Ipotesi!$C$87</f>
        <v>294.464912280702</v>
      </c>
      <c r="BU315" s="15" t="n">
        <f aca="false">INDEX(Ipotesi!$C$55:$G$55,1,F315)*K315/12</f>
        <v>500</v>
      </c>
      <c r="BV315" s="15" t="n">
        <f aca="false">INDEX(Ipotesi!$C$80:$G$80,1,F315)/12*Ipotesi!H126</f>
        <v>500</v>
      </c>
      <c r="BW315" s="15" t="n">
        <f aca="false">INDEX(Ipotesi!$C$82:$G$82,1,F315)/12</f>
        <v>416.666666666667</v>
      </c>
      <c r="BX315" s="15" t="n">
        <f aca="false">INDEX(Ipotesi!$C$83:$G$83,1,F315)/12</f>
        <v>500</v>
      </c>
      <c r="BY315" s="15" t="n">
        <f aca="false">SUM(S315:U315)*(Ipotesi!$C$85+Ipotesi!$C$86)/12</f>
        <v>437.5</v>
      </c>
      <c r="BZ315" s="15" t="n">
        <f aca="false">AM315*Ipotesi!$C$87</f>
        <v>486.315789473684</v>
      </c>
      <c r="CA315" s="15" t="n">
        <f aca="false">AB315+BJ315+BL315+BN315+BO315+AR315+BP315+BQ315+BR315+BS315+BT315</f>
        <v>27835.4371345029</v>
      </c>
      <c r="CB315" s="15" t="n">
        <f aca="false">AC315+BK315+BM315+BH315+BU315+BV315+AS315+BW315+BX315+BY315+BZ315</f>
        <v>12114.5175438596</v>
      </c>
      <c r="CC315" s="15" t="n">
        <f aca="false">BI315-CA315</f>
        <v>-18019.9400584795</v>
      </c>
      <c r="CD315" s="15" t="n">
        <f aca="false">AM315-CB315</f>
        <v>4096.00877192982</v>
      </c>
      <c r="CE315" s="15" t="n">
        <f aca="false">INDEX(Ipotesi!$C$79:$G$79,1,F315)/12</f>
        <v>1666.66666666667</v>
      </c>
      <c r="CF315" s="15" t="n">
        <f aca="false">INDEX(Ipotesi!$C$84:$G$84,1,F315)/12</f>
        <v>250</v>
      </c>
      <c r="CG315" s="15" t="n">
        <f aca="false">Y315*MAX(0,Parametri_v3!$C$12-IF(P315=0,0,MIN(1,BE315/(P315*Parametri_v3!$C$22))))+W315*Parametri_v3!$C$13+X315*Parametri_v3!$C$14</f>
        <v>7013.88888888889</v>
      </c>
      <c r="CH315" s="15" t="n">
        <f aca="false">AB315*Parametri_v3!$C$32</f>
        <v>895.833333333334</v>
      </c>
      <c r="CI315" s="15" t="n">
        <f aca="false">AC315*Parametri_v3!$C$32</f>
        <v>262.5</v>
      </c>
      <c r="CJ315" s="15" t="n">
        <f aca="false">CA315-AB315</f>
        <v>9918.77046783625</v>
      </c>
      <c r="CK315" s="15" t="n">
        <f aca="false">CB315-AC315-BH315</f>
        <v>5243.4649122807</v>
      </c>
      <c r="CL315" s="15" t="n">
        <f aca="false">BF315*Ipotesi!$C$73+INDEX(Ipotesi!$C$72:$G$72,1,F315)/12*Ipotesi!H126*Parametri_v3!$C$58+Z315*(1-Parametri_v3!$C$16)</f>
        <v>1868.05555555556</v>
      </c>
      <c r="CM315" s="16" t="n">
        <f aca="false">IF(BF315=0,0,1-CL315/BF315)</f>
        <v>-1.69</v>
      </c>
    </row>
    <row r="316" customFormat="false" ht="18" hidden="false" customHeight="true" outlineLevel="0" collapsed="false">
      <c r="A316" s="68" t="n">
        <f aca="false">6</f>
        <v>6</v>
      </c>
      <c r="B316" s="68" t="n">
        <f aca="false">12</f>
        <v>12</v>
      </c>
      <c r="C316" s="18" t="n">
        <f aca="false">EDATE(Parametri_v3!$C$5,12-1)</f>
        <v>46722</v>
      </c>
      <c r="D316" s="68" t="n">
        <f aca="false">YEAR(C316)</f>
        <v>2027</v>
      </c>
      <c r="E316" s="68" t="n">
        <f aca="false">MONTH(C316)</f>
        <v>12</v>
      </c>
      <c r="F316" s="68" t="n">
        <f aca="false">INT((12-1)/12)+1</f>
        <v>1</v>
      </c>
      <c r="G316" s="15" t="n">
        <f aca="false">Ipotesi!H7</f>
        <v>1</v>
      </c>
      <c r="H316" s="15" t="n">
        <f aca="false">Ipotesi!H9</f>
        <v>1</v>
      </c>
      <c r="I316" s="15" t="n">
        <f aca="false">Ipotesi!H10</f>
        <v>1</v>
      </c>
      <c r="J316" s="15" t="n">
        <f aca="false">Ipotesi!H11</f>
        <v>1</v>
      </c>
      <c r="K316" s="15" t="n">
        <f aca="false">Ipotesi!H12</f>
        <v>1</v>
      </c>
      <c r="L316" s="15" t="n">
        <f aca="false">Ipotesi!H13</f>
        <v>90</v>
      </c>
      <c r="M316" s="17" t="n">
        <f aca="false">INDEX(Ipotesi!$C$40:$G$40,1,F316)</f>
        <v>1</v>
      </c>
      <c r="N316" s="17" t="n">
        <f aca="false">INDEX(Ipotesi!$C$41:$G$41,1,F316)</f>
        <v>0.75</v>
      </c>
      <c r="O316" s="17" t="n">
        <f aca="false">INDEX(Ipotesi!$C$42:$G$42,1,F316)*Ipotesi!H125</f>
        <v>1</v>
      </c>
      <c r="P316" s="17" t="n">
        <f aca="false">INDEX(Ipotesi!$C$43:$G$43,1,F316)*I316</f>
        <v>1</v>
      </c>
      <c r="Q316" s="17" t="n">
        <f aca="false">INDEX(Ipotesi!$C$44:$G$44,1,F316)*I316</f>
        <v>0.5</v>
      </c>
      <c r="R316" s="17" t="n">
        <f aca="false">INDEX(Ipotesi!$C$45:$G$45,1,F316)*I316</f>
        <v>0</v>
      </c>
      <c r="S316" s="17" t="n">
        <f aca="false">INDEX(Ipotesi!$C$52:$G$52,1,F316)*Ipotesi!H125</f>
        <v>1.5</v>
      </c>
      <c r="T316" s="17" t="n">
        <f aca="false">INDEX(Ipotesi!$C$53:$G$53,1,F316)*I316</f>
        <v>0</v>
      </c>
      <c r="U316" s="17" t="n">
        <f aca="false">INDEX(Ipotesi!$C$54:$G$54,1,F316)*I316</f>
        <v>0</v>
      </c>
      <c r="V316" s="15" t="n">
        <f aca="false">M316*INDEX(Ipotesi!$C$58:$G$58,1,F316)*K316/12</f>
        <v>3333.33333333333</v>
      </c>
      <c r="W316" s="15" t="n">
        <f aca="false">N316*Ipotesi!$C$59*(1+Ipotesi!$C$66)^(F316-1)/12</f>
        <v>4375</v>
      </c>
      <c r="X316" s="15" t="n">
        <f aca="false">O316*Ipotesi!$C$60*(1+Ipotesi!$C$66)^(F316-1)/12</f>
        <v>4166.66666666667</v>
      </c>
      <c r="Y316" s="15" t="n">
        <f aca="false">P316*Ipotesi!$C$61*(1+Ipotesi!$C$66)^(F316-1)/12</f>
        <v>4166.66666666667</v>
      </c>
      <c r="Z316" s="15" t="n">
        <f aca="false">Q316*Ipotesi!$C$62*(1+Ipotesi!$C$66)^(F316-1)/12</f>
        <v>1875</v>
      </c>
      <c r="AA316" s="15" t="n">
        <f aca="false">R316*Ipotesi!$C$63*(1+Ipotesi!$C$66)^(F316-1)/12</f>
        <v>0</v>
      </c>
      <c r="AB316" s="15" t="n">
        <f aca="false">SUM(V316:AA316)</f>
        <v>17916.6666666667</v>
      </c>
      <c r="AC316" s="15" t="n">
        <f aca="false">(S316*Ipotesi!$C$64+T316*Ipotesi!$C$65+U316*Ipotesi!$C$63)*(1+Ipotesi!$C$66)^(F316-1)/12</f>
        <v>5250</v>
      </c>
      <c r="AD316" s="15" t="n">
        <f aca="false">INDEX(Ipotesi!$C$48:$G$48,1,F316)*G316/12</f>
        <v>16.6666666666667</v>
      </c>
      <c r="AE316" s="15" t="n">
        <f aca="false">INDEX(Ipotesi!$C$50:$G$50,1,F316)*G316/12</f>
        <v>2.08333333333333</v>
      </c>
      <c r="AF316" s="15" t="n">
        <f aca="false">(S316*Parametri_v3!$C$7*Parametri_v3!$C$8+Parametri_v3!$C$10)/12</f>
        <v>19.25</v>
      </c>
      <c r="AG316" s="15" t="n">
        <f aca="false">AD316+AE316*(1+Parametri_v3!$C$9)</f>
        <v>19.7916666666667</v>
      </c>
      <c r="AH316" s="16" t="n">
        <f aca="false">IF(AG316=0,1,MIN(1,AF316/AG316))</f>
        <v>0.972631578947368</v>
      </c>
      <c r="AI316" s="15" t="n">
        <f aca="false">AD316*AH316</f>
        <v>16.2105263157895</v>
      </c>
      <c r="AJ316" s="15" t="n">
        <f aca="false">AE316*AH316</f>
        <v>2.02631578947368</v>
      </c>
      <c r="AK316" s="15" t="n">
        <f aca="false">AI316*INDEX(Ipotesi!$C$49:$G$49,1,F316)*H316</f>
        <v>12157.8947368421</v>
      </c>
      <c r="AL316" s="15" t="n">
        <f aca="false">AJ316*INDEX(Ipotesi!$C$51:$G$51,1,F316)*H316</f>
        <v>4052.63157894737</v>
      </c>
      <c r="AM316" s="15" t="n">
        <f aca="false">AK316+AL316</f>
        <v>16210.5263157895</v>
      </c>
      <c r="AN316" s="15" t="n">
        <f aca="false">INDEX(Ipotesi!$C$30:$G$30,1,F316)*G316/12</f>
        <v>8.33333333333333</v>
      </c>
      <c r="AO316" s="15" t="n">
        <f aca="false">O316*Parametri_v3!$C$7*Parametri_v3!$C$11*(1-Parametri_v3!$C$14)/12</f>
        <v>10.2666666666667</v>
      </c>
      <c r="AP316" s="15" t="n">
        <f aca="false">MIN(AN316,AO316)</f>
        <v>8.33333333333333</v>
      </c>
      <c r="AQ316" s="15" t="n">
        <f aca="false">AP316*INDEX(Ipotesi!$C$31:$G$31,1,F316)*H316</f>
        <v>7500</v>
      </c>
      <c r="AR316" s="15" t="n">
        <f aca="false">INDEX(Ipotesi!$C$75:$G$75,1,F316)*J316/12</f>
        <v>2083.33333333333</v>
      </c>
      <c r="AS316" s="15" t="n">
        <f aca="false">INDEX(Ipotesi!$C$81:$G$81,1,F316)*J316/12</f>
        <v>416.666666666667</v>
      </c>
      <c r="AT316" s="15" t="n">
        <f aca="false">AR316*Parametri_v3!$C$15+Z316*Parametri_v3!$C$16</f>
        <v>3395.83333333333</v>
      </c>
      <c r="AU316" s="15" t="n">
        <f aca="false">Q316*Parametri_v3!$C$16*Parametri_v3!$C$17</f>
        <v>35</v>
      </c>
      <c r="AV316" s="17" t="n">
        <f aca="false">BD315</f>
        <v>4.44444444444445</v>
      </c>
      <c r="AW316" s="17" t="n">
        <f aca="false">AV316*(1-(1-INDEX(Ipotesi!$C$34:$G$34,1,F316))^(1/12))</f>
        <v>0</v>
      </c>
      <c r="AX316" s="15" t="n">
        <f aca="false">ROUND(INDEX(Ipotesi!$C$32:$G$32,1,F316)*Ipotesi!H8,0)</f>
        <v>5</v>
      </c>
      <c r="AY316" s="15" t="n">
        <f aca="false">MAX(0,(AX316-(AV316-AW316))/(13-E316))</f>
        <v>0.555555555555555</v>
      </c>
      <c r="AZ316" s="15" t="n">
        <f aca="false">MIN(P316*Parametri_v3!$C$22,Q316*(1-Parametri_v3!$C$16)*Parametri_v3!$C$23)</f>
        <v>22.5</v>
      </c>
      <c r="BA316" s="15" t="n">
        <f aca="false">IF(OR(INDEX(Ipotesi!$C$35:$G$35,1,F316)&lt;=0,12-Parametri_v3!$C$21&lt;1),0,INDEX($AT$305:$AT$364,MAX(1,12-Parametri_v3!$C$21))/(INDEX(Ipotesi!$C$35:$G$35,1,F316)*Ipotesi!H27))</f>
        <v>0.679166666666667</v>
      </c>
      <c r="BB316" s="15" t="n">
        <f aca="false">IF(12-Parametri_v3!$C$21&lt;1,0,INDEX($AU$305:$AU$364,MAX(1,12-Parametri_v3!$C$21)))*Parametri_v3!$C$18*Parametri_v3!$C$19*Parametri_v3!$C$20</f>
        <v>1.3125</v>
      </c>
      <c r="BC316" s="17" t="n">
        <f aca="false">MAX(0,MIN(AY316,BA316,BB316,MAX(0,AZ316-(AV316-AW316))))</f>
        <v>0.555555555555555</v>
      </c>
      <c r="BD316" s="17" t="n">
        <f aca="false">AV316-AW316+BC316</f>
        <v>5</v>
      </c>
      <c r="BE316" s="17" t="n">
        <f aca="false">(AV316+BD316)/2</f>
        <v>4.72222222222222</v>
      </c>
      <c r="BF316" s="15" t="n">
        <f aca="false">BE316*INDEX(Ipotesi!$C$33:$G$33,1,F316)*H316/12</f>
        <v>787.037037037037</v>
      </c>
      <c r="BG316" s="15" t="n">
        <f aca="false">BD316*INDEX(Ipotesi!$C$33:$G$33,1,F316)*H316</f>
        <v>10000</v>
      </c>
      <c r="BH316" s="15" t="n">
        <f aca="false">AM316*INDEX(Ipotesi!$C$37:$G$37,1,F316)</f>
        <v>1621.05263157895</v>
      </c>
      <c r="BI316" s="15" t="n">
        <f aca="false">AQ316+BF316+BH316</f>
        <v>9908.08966861599</v>
      </c>
      <c r="BJ316" s="15" t="n">
        <f aca="false">INDEX(Ipotesi!$C$68:$G$68,1,F316)*Ipotesi!$C$69/12</f>
        <v>1000</v>
      </c>
      <c r="BK316" s="15" t="n">
        <f aca="false">INDEX(Ipotesi!$C$68:$G$68,1,F316)*(1-Ipotesi!$C$69)/12</f>
        <v>1500</v>
      </c>
      <c r="BL316" s="15" t="n">
        <f aca="false">(AQ316+BF316)*Ipotesi!$C$67</f>
        <v>248.611111111111</v>
      </c>
      <c r="BM316" s="15" t="n">
        <f aca="false">AM316*Ipotesi!$C$67</f>
        <v>486.315789473684</v>
      </c>
      <c r="BN316" s="15" t="n">
        <f aca="false">INDEX(Ipotesi!$C$72:$G$72,1,F316)/12*Ipotesi!H126+BF316*Ipotesi!$C$73</f>
        <v>1312.96296296296</v>
      </c>
      <c r="BO316" s="15" t="n">
        <f aca="false">INDEX(Ipotesi!$C$74:$G$74,1,F316)/12*Ipotesi!H126</f>
        <v>1000</v>
      </c>
      <c r="BP316" s="15" t="n">
        <f aca="false">INDEX(Ipotesi!$C$76:$G$76,1,F316)/12</f>
        <v>500</v>
      </c>
      <c r="BQ316" s="15" t="n">
        <f aca="false">INDEX(Ipotesi!$C$77:$G$77,1,F316)/12*Ipotesi!H126</f>
        <v>1250</v>
      </c>
      <c r="BR316" s="15" t="n">
        <f aca="false">INDEX(Ipotesi!$C$78:$G$78,1,F316)/12</f>
        <v>1000</v>
      </c>
      <c r="BS316" s="15" t="n">
        <f aca="false">SUM(M316:R316)*(Ipotesi!$C$85+Ipotesi!$C$86)/12</f>
        <v>1239.58333333333</v>
      </c>
      <c r="BT316" s="15" t="n">
        <f aca="false">BI316*Ipotesi!$C$87</f>
        <v>297.24269005848</v>
      </c>
      <c r="BU316" s="15" t="n">
        <f aca="false">INDEX(Ipotesi!$C$55:$G$55,1,F316)*K316/12</f>
        <v>500</v>
      </c>
      <c r="BV316" s="15" t="n">
        <f aca="false">INDEX(Ipotesi!$C$80:$G$80,1,F316)/12*Ipotesi!H126</f>
        <v>500</v>
      </c>
      <c r="BW316" s="15" t="n">
        <f aca="false">INDEX(Ipotesi!$C$82:$G$82,1,F316)/12</f>
        <v>416.666666666667</v>
      </c>
      <c r="BX316" s="15" t="n">
        <f aca="false">INDEX(Ipotesi!$C$83:$G$83,1,F316)/12</f>
        <v>500</v>
      </c>
      <c r="BY316" s="15" t="n">
        <f aca="false">SUM(S316:U316)*(Ipotesi!$C$85+Ipotesi!$C$86)/12</f>
        <v>437.5</v>
      </c>
      <c r="BZ316" s="15" t="n">
        <f aca="false">AM316*Ipotesi!$C$87</f>
        <v>486.315789473684</v>
      </c>
      <c r="CA316" s="15" t="n">
        <f aca="false">AB316+BJ316+BL316+BN316+BO316+AR316+BP316+BQ316+BR316+BS316+BT316</f>
        <v>27848.4000974659</v>
      </c>
      <c r="CB316" s="15" t="n">
        <f aca="false">AC316+BK316+BM316+BH316+BU316+BV316+AS316+BW316+BX316+BY316+BZ316</f>
        <v>12114.5175438596</v>
      </c>
      <c r="CC316" s="15" t="n">
        <f aca="false">BI316-CA316</f>
        <v>-17940.3104288499</v>
      </c>
      <c r="CD316" s="15" t="n">
        <f aca="false">AM316-CB316</f>
        <v>4096.00877192982</v>
      </c>
      <c r="CE316" s="15" t="n">
        <f aca="false">INDEX(Ipotesi!$C$79:$G$79,1,F316)/12</f>
        <v>1666.66666666667</v>
      </c>
      <c r="CF316" s="15" t="n">
        <f aca="false">INDEX(Ipotesi!$C$84:$G$84,1,F316)/12</f>
        <v>250</v>
      </c>
      <c r="CG316" s="15" t="n">
        <f aca="false">Y316*MAX(0,Parametri_v3!$C$12-IF(P316=0,0,MIN(1,BE316/(P316*Parametri_v3!$C$22))))+W316*Parametri_v3!$C$13+X316*Parametri_v3!$C$14</f>
        <v>6990.74074074074</v>
      </c>
      <c r="CH316" s="15" t="n">
        <f aca="false">AB316*Parametri_v3!$C$32</f>
        <v>895.833333333334</v>
      </c>
      <c r="CI316" s="15" t="n">
        <f aca="false">AC316*Parametri_v3!$C$32</f>
        <v>262.5</v>
      </c>
      <c r="CJ316" s="15" t="n">
        <f aca="false">CA316-AB316</f>
        <v>9931.73343079922</v>
      </c>
      <c r="CK316" s="15" t="n">
        <f aca="false">CB316-AC316-BH316</f>
        <v>5243.4649122807</v>
      </c>
      <c r="CL316" s="15" t="n">
        <f aca="false">BF316*Ipotesi!$C$73+INDEX(Ipotesi!$C$72:$G$72,1,F316)/12*Ipotesi!H126*Parametri_v3!$C$58+Z316*(1-Parametri_v3!$C$16)</f>
        <v>1875.46296296296</v>
      </c>
      <c r="CM316" s="16" t="n">
        <f aca="false">IF(BF316=0,0,1-CL316/BF316)</f>
        <v>-1.38294117647059</v>
      </c>
    </row>
    <row r="317" customFormat="false" ht="18" hidden="false" customHeight="true" outlineLevel="0" collapsed="false">
      <c r="A317" s="68" t="n">
        <f aca="false">6</f>
        <v>6</v>
      </c>
      <c r="B317" s="68" t="n">
        <f aca="false">13</f>
        <v>13</v>
      </c>
      <c r="C317" s="18" t="n">
        <f aca="false">EDATE(Parametri_v3!$C$5,13-1)</f>
        <v>46753</v>
      </c>
      <c r="D317" s="68" t="n">
        <f aca="false">YEAR(C317)</f>
        <v>2028</v>
      </c>
      <c r="E317" s="68" t="n">
        <f aca="false">MONTH(C317)</f>
        <v>1</v>
      </c>
      <c r="F317" s="68" t="n">
        <f aca="false">INT((13-1)/12)+1</f>
        <v>2</v>
      </c>
      <c r="G317" s="15" t="n">
        <f aca="false">Ipotesi!H7</f>
        <v>1</v>
      </c>
      <c r="H317" s="15" t="n">
        <f aca="false">Ipotesi!H9</f>
        <v>1</v>
      </c>
      <c r="I317" s="15" t="n">
        <f aca="false">Ipotesi!H10</f>
        <v>1</v>
      </c>
      <c r="J317" s="15" t="n">
        <f aca="false">Ipotesi!H11</f>
        <v>1</v>
      </c>
      <c r="K317" s="15" t="n">
        <f aca="false">Ipotesi!H12</f>
        <v>1</v>
      </c>
      <c r="L317" s="15" t="n">
        <f aca="false">Ipotesi!H13</f>
        <v>90</v>
      </c>
      <c r="M317" s="17" t="n">
        <f aca="false">INDEX(Ipotesi!$C$40:$G$40,1,F317)</f>
        <v>1</v>
      </c>
      <c r="N317" s="17" t="n">
        <f aca="false">INDEX(Ipotesi!$C$41:$G$41,1,F317)</f>
        <v>1</v>
      </c>
      <c r="O317" s="17" t="n">
        <f aca="false">INDEX(Ipotesi!$C$42:$G$42,1,F317)*Ipotesi!H125</f>
        <v>2.5</v>
      </c>
      <c r="P317" s="17" t="n">
        <f aca="false">INDEX(Ipotesi!$C$43:$G$43,1,F317)*I317</f>
        <v>2.5</v>
      </c>
      <c r="Q317" s="17" t="n">
        <f aca="false">INDEX(Ipotesi!$C$44:$G$44,1,F317)*I317</f>
        <v>1.5</v>
      </c>
      <c r="R317" s="17" t="n">
        <f aca="false">INDEX(Ipotesi!$C$45:$G$45,1,F317)*I317</f>
        <v>0.5</v>
      </c>
      <c r="S317" s="17" t="n">
        <f aca="false">INDEX(Ipotesi!$C$52:$G$52,1,F317)*Ipotesi!H125</f>
        <v>3</v>
      </c>
      <c r="T317" s="17" t="n">
        <f aca="false">INDEX(Ipotesi!$C$53:$G$53,1,F317)*I317</f>
        <v>1</v>
      </c>
      <c r="U317" s="17" t="n">
        <f aca="false">INDEX(Ipotesi!$C$54:$G$54,1,F317)*I317</f>
        <v>0</v>
      </c>
      <c r="V317" s="15" t="n">
        <f aca="false">M317*INDEX(Ipotesi!$C$58:$G$58,1,F317)*K317/12</f>
        <v>5000</v>
      </c>
      <c r="W317" s="15" t="n">
        <f aca="false">N317*Ipotesi!$C$59*(1+Ipotesi!$C$66)^(F317-1)/12</f>
        <v>6008.33333333333</v>
      </c>
      <c r="X317" s="15" t="n">
        <f aca="false">O317*Ipotesi!$C$60*(1+Ipotesi!$C$66)^(F317-1)/12</f>
        <v>10729.1666666667</v>
      </c>
      <c r="Y317" s="15" t="n">
        <f aca="false">P317*Ipotesi!$C$61*(1+Ipotesi!$C$66)^(F317-1)/12</f>
        <v>10729.1666666667</v>
      </c>
      <c r="Z317" s="15" t="n">
        <f aca="false">Q317*Ipotesi!$C$62*(1+Ipotesi!$C$66)^(F317-1)/12</f>
        <v>5793.75</v>
      </c>
      <c r="AA317" s="15" t="n">
        <f aca="false">R317*Ipotesi!$C$63*(1+Ipotesi!$C$66)^(F317-1)/12</f>
        <v>1502.08333333333</v>
      </c>
      <c r="AB317" s="15" t="n">
        <f aca="false">SUM(V317:AA317)</f>
        <v>39762.5</v>
      </c>
      <c r="AC317" s="15" t="n">
        <f aca="false">(S317*Ipotesi!$C$64+T317*Ipotesi!$C$65+U317*Ipotesi!$C$63)*(1+Ipotesi!$C$66)^(F317-1)/12</f>
        <v>15965</v>
      </c>
      <c r="AD317" s="15" t="n">
        <f aca="false">INDEX(Ipotesi!$C$48:$G$48,1,F317)*G317/12</f>
        <v>37.5</v>
      </c>
      <c r="AE317" s="15" t="n">
        <f aca="false">INDEX(Ipotesi!$C$50:$G$50,1,F317)*G317/12</f>
        <v>4.58333333333333</v>
      </c>
      <c r="AF317" s="15" t="n">
        <f aca="false">(S317*Parametri_v3!$C$7*Parametri_v3!$C$8+Parametri_v3!$C$10)/12</f>
        <v>38.5</v>
      </c>
      <c r="AG317" s="15" t="n">
        <f aca="false">AD317+AE317*(1+Parametri_v3!$C$9)</f>
        <v>44.375</v>
      </c>
      <c r="AH317" s="16" t="n">
        <f aca="false">IF(AG317=0,1,MIN(1,AF317/AG317))</f>
        <v>0.867605633802817</v>
      </c>
      <c r="AI317" s="15" t="n">
        <f aca="false">AD317*AH317</f>
        <v>32.5352112676056</v>
      </c>
      <c r="AJ317" s="15" t="n">
        <f aca="false">AE317*AH317</f>
        <v>3.97652582159624</v>
      </c>
      <c r="AK317" s="15" t="n">
        <f aca="false">AI317*INDEX(Ipotesi!$C$49:$G$49,1,F317)*H317</f>
        <v>26028.1690140845</v>
      </c>
      <c r="AL317" s="15" t="n">
        <f aca="false">AJ317*INDEX(Ipotesi!$C$51:$G$51,1,F317)*H317</f>
        <v>7953.05164319249</v>
      </c>
      <c r="AM317" s="15" t="n">
        <f aca="false">AK317+AL317</f>
        <v>33981.220657277</v>
      </c>
      <c r="AN317" s="15" t="n">
        <f aca="false">INDEX(Ipotesi!$C$30:$G$30,1,F317)*G317/12</f>
        <v>22.5</v>
      </c>
      <c r="AO317" s="15" t="n">
        <f aca="false">O317*Parametri_v3!$C$7*Parametri_v3!$C$11*(1-Parametri_v3!$C$14)/12</f>
        <v>25.6666666666667</v>
      </c>
      <c r="AP317" s="15" t="n">
        <f aca="false">MIN(AN317,AO317)</f>
        <v>22.5</v>
      </c>
      <c r="AQ317" s="15" t="n">
        <f aca="false">AP317*INDEX(Ipotesi!$C$31:$G$31,1,F317)*H317</f>
        <v>21375</v>
      </c>
      <c r="AR317" s="15" t="n">
        <f aca="false">INDEX(Ipotesi!$C$75:$G$75,1,F317)*J317/12</f>
        <v>4583.33333333333</v>
      </c>
      <c r="AS317" s="15" t="n">
        <f aca="false">INDEX(Ipotesi!$C$81:$G$81,1,F317)*J317/12</f>
        <v>833.333333333333</v>
      </c>
      <c r="AT317" s="15" t="n">
        <f aca="false">AR317*Parametri_v3!$C$15+Z317*Parametri_v3!$C$16</f>
        <v>8638.95833333333</v>
      </c>
      <c r="AU317" s="15" t="n">
        <f aca="false">Q317*Parametri_v3!$C$16*Parametri_v3!$C$17</f>
        <v>105</v>
      </c>
      <c r="AV317" s="17" t="n">
        <f aca="false">BD316</f>
        <v>5</v>
      </c>
      <c r="AW317" s="17" t="n">
        <f aca="false">AV317*(1-(1-INDEX(Ipotesi!$C$34:$G$34,1,F317))^(1/12))</f>
        <v>0.0437080547734836</v>
      </c>
      <c r="AX317" s="15" t="n">
        <f aca="false">ROUND(INDEX(Ipotesi!$C$32:$G$32,1,F317)*Ipotesi!H8,0)</f>
        <v>35</v>
      </c>
      <c r="AY317" s="15" t="n">
        <f aca="false">MAX(0,(AX317-(AV317-AW317))/(13-E317))</f>
        <v>2.50364233789779</v>
      </c>
      <c r="AZ317" s="15" t="n">
        <f aca="false">MIN(P317*Parametri_v3!$C$22,Q317*(1-Parametri_v3!$C$16)*Parametri_v3!$C$23)</f>
        <v>67.5</v>
      </c>
      <c r="BA317" s="15" t="n">
        <f aca="false">IF(OR(INDEX(Ipotesi!$C$35:$G$35,1,F317)&lt;=0,13-Parametri_v3!$C$21&lt;1),0,INDEX($AT$305:$AT$364,MAX(1,13-Parametri_v3!$C$21))/(INDEX(Ipotesi!$C$35:$G$35,1,F317)*Ipotesi!H27))</f>
        <v>1.13194444444444</v>
      </c>
      <c r="BB317" s="15" t="n">
        <f aca="false">IF(13-Parametri_v3!$C$21&lt;1,0,INDEX($AU$305:$AU$364,MAX(1,13-Parametri_v3!$C$21)))*Parametri_v3!$C$18*Parametri_v3!$C$19*Parametri_v3!$C$20</f>
        <v>1.3125</v>
      </c>
      <c r="BC317" s="17" t="n">
        <f aca="false">MAX(0,MIN(AY317,BA317,BB317,MAX(0,AZ317-(AV317-AW317))))</f>
        <v>1.13194444444444</v>
      </c>
      <c r="BD317" s="17" t="n">
        <f aca="false">AV317-AW317+BC317</f>
        <v>6.08823638967096</v>
      </c>
      <c r="BE317" s="17" t="n">
        <f aca="false">(AV317+BD317)/2</f>
        <v>5.54411819483548</v>
      </c>
      <c r="BF317" s="15" t="n">
        <f aca="false">BE317*INDEX(Ipotesi!$C$33:$G$33,1,F317)*H317/12</f>
        <v>1848.03939827849</v>
      </c>
      <c r="BG317" s="15" t="n">
        <f aca="false">BD317*INDEX(Ipotesi!$C$33:$G$33,1,F317)*H317</f>
        <v>24352.9455586838</v>
      </c>
      <c r="BH317" s="15" t="n">
        <f aca="false">AM317*INDEX(Ipotesi!$C$37:$G$37,1,F317)</f>
        <v>3398.1220657277</v>
      </c>
      <c r="BI317" s="15" t="n">
        <f aca="false">AQ317+BF317+BH317</f>
        <v>26621.1614640062</v>
      </c>
      <c r="BJ317" s="15" t="n">
        <f aca="false">INDEX(Ipotesi!$C$68:$G$68,1,F317)*Ipotesi!$C$69/12</f>
        <v>1600</v>
      </c>
      <c r="BK317" s="15" t="n">
        <f aca="false">INDEX(Ipotesi!$C$68:$G$68,1,F317)*(1-Ipotesi!$C$69)/12</f>
        <v>2400</v>
      </c>
      <c r="BL317" s="15" t="n">
        <f aca="false">(AQ317+BF317)*Ipotesi!$C$67</f>
        <v>696.691181948355</v>
      </c>
      <c r="BM317" s="15" t="n">
        <f aca="false">AM317*Ipotesi!$C$67</f>
        <v>1019.43661971831</v>
      </c>
      <c r="BN317" s="15" t="n">
        <f aca="false">INDEX(Ipotesi!$C$72:$G$72,1,F317)/12*Ipotesi!H126+BF317*Ipotesi!$C$73</f>
        <v>1397.84315186228</v>
      </c>
      <c r="BO317" s="15" t="n">
        <f aca="false">INDEX(Ipotesi!$C$74:$G$74,1,F317)/12*Ipotesi!H126</f>
        <v>1833.33333333333</v>
      </c>
      <c r="BP317" s="15" t="n">
        <f aca="false">INDEX(Ipotesi!$C$76:$G$76,1,F317)/12</f>
        <v>750</v>
      </c>
      <c r="BQ317" s="15" t="n">
        <f aca="false">INDEX(Ipotesi!$C$77:$G$77,1,F317)/12*Ipotesi!H126</f>
        <v>1666.66666666667</v>
      </c>
      <c r="BR317" s="15" t="n">
        <f aca="false">INDEX(Ipotesi!$C$78:$G$78,1,F317)/12</f>
        <v>1250</v>
      </c>
      <c r="BS317" s="15" t="n">
        <f aca="false">SUM(M317:R317)*(Ipotesi!$C$85+Ipotesi!$C$86)/12</f>
        <v>2625</v>
      </c>
      <c r="BT317" s="15" t="n">
        <f aca="false">BI317*Ipotesi!$C$87</f>
        <v>798.634843920186</v>
      </c>
      <c r="BU317" s="15" t="n">
        <f aca="false">INDEX(Ipotesi!$C$55:$G$55,1,F317)*K317/12</f>
        <v>1000</v>
      </c>
      <c r="BV317" s="15" t="n">
        <f aca="false">INDEX(Ipotesi!$C$80:$G$80,1,F317)/12*Ipotesi!H126</f>
        <v>833.333333333333</v>
      </c>
      <c r="BW317" s="15" t="n">
        <f aca="false">INDEX(Ipotesi!$C$82:$G$82,1,F317)/12</f>
        <v>666.666666666667</v>
      </c>
      <c r="BX317" s="15" t="n">
        <f aca="false">INDEX(Ipotesi!$C$83:$G$83,1,F317)/12</f>
        <v>583.333333333333</v>
      </c>
      <c r="BY317" s="15" t="n">
        <f aca="false">SUM(S317:U317)*(Ipotesi!$C$85+Ipotesi!$C$86)/12</f>
        <v>1166.66666666667</v>
      </c>
      <c r="BZ317" s="15" t="n">
        <f aca="false">AM317*Ipotesi!$C$87</f>
        <v>1019.43661971831</v>
      </c>
      <c r="CA317" s="15" t="n">
        <f aca="false">AB317+BJ317+BL317+BN317+BO317+AR317+BP317+BQ317+BR317+BS317+BT317</f>
        <v>56964.0025110642</v>
      </c>
      <c r="CB317" s="15" t="n">
        <f aca="false">AC317+BK317+BM317+BH317+BU317+BV317+AS317+BW317+BX317+BY317+BZ317</f>
        <v>28885.3286384976</v>
      </c>
      <c r="CC317" s="15" t="n">
        <f aca="false">BI317-CA317</f>
        <v>-30342.841047058</v>
      </c>
      <c r="CD317" s="15" t="n">
        <f aca="false">AM317-CB317</f>
        <v>5095.89201877934</v>
      </c>
      <c r="CE317" s="15" t="n">
        <f aca="false">INDEX(Ipotesi!$C$79:$G$79,1,F317)/12</f>
        <v>2083.33333333333</v>
      </c>
      <c r="CF317" s="15" t="n">
        <f aca="false">INDEX(Ipotesi!$C$84:$G$84,1,F317)/12</f>
        <v>416.666666666667</v>
      </c>
      <c r="CG317" s="15" t="n">
        <f aca="false">Y317*MAX(0,Parametri_v3!$C$12-IF(P317=0,0,MIN(1,BE317/(P317*Parametri_v3!$C$22))))+W317*Parametri_v3!$C$13+X317*Parametri_v3!$C$14</f>
        <v>15641.2315941383</v>
      </c>
      <c r="CH317" s="15" t="n">
        <f aca="false">AB317*Parametri_v3!$C$32</f>
        <v>1988.125</v>
      </c>
      <c r="CI317" s="15" t="n">
        <f aca="false">AC317*Parametri_v3!$C$32</f>
        <v>798.25</v>
      </c>
      <c r="CJ317" s="15" t="n">
        <f aca="false">CA317-AB317</f>
        <v>17201.5025110642</v>
      </c>
      <c r="CK317" s="15" t="n">
        <f aca="false">CB317-AC317-BH317</f>
        <v>9522.20657276995</v>
      </c>
      <c r="CL317" s="15" t="n">
        <f aca="false">BF317*Ipotesi!$C$73+INDEX(Ipotesi!$C$72:$G$72,1,F317)/12*Ipotesi!H126*Parametri_v3!$C$58+Z317*(1-Parametri_v3!$C$16)</f>
        <v>3135.96815186228</v>
      </c>
      <c r="CM317" s="16" t="n">
        <f aca="false">IF(BF317=0,0,1-CL317/BF317)</f>
        <v>-0.696916285866812</v>
      </c>
    </row>
    <row r="318" customFormat="false" ht="18" hidden="false" customHeight="true" outlineLevel="0" collapsed="false">
      <c r="A318" s="68" t="n">
        <f aca="false">6</f>
        <v>6</v>
      </c>
      <c r="B318" s="68" t="n">
        <f aca="false">14</f>
        <v>14</v>
      </c>
      <c r="C318" s="18" t="n">
        <f aca="false">EDATE(Parametri_v3!$C$5,14-1)</f>
        <v>46784</v>
      </c>
      <c r="D318" s="68" t="n">
        <f aca="false">YEAR(C318)</f>
        <v>2028</v>
      </c>
      <c r="E318" s="68" t="n">
        <f aca="false">MONTH(C318)</f>
        <v>2</v>
      </c>
      <c r="F318" s="68" t="n">
        <f aca="false">INT((14-1)/12)+1</f>
        <v>2</v>
      </c>
      <c r="G318" s="15" t="n">
        <f aca="false">Ipotesi!H7</f>
        <v>1</v>
      </c>
      <c r="H318" s="15" t="n">
        <f aca="false">Ipotesi!H9</f>
        <v>1</v>
      </c>
      <c r="I318" s="15" t="n">
        <f aca="false">Ipotesi!H10</f>
        <v>1</v>
      </c>
      <c r="J318" s="15" t="n">
        <f aca="false">Ipotesi!H11</f>
        <v>1</v>
      </c>
      <c r="K318" s="15" t="n">
        <f aca="false">Ipotesi!H12</f>
        <v>1</v>
      </c>
      <c r="L318" s="15" t="n">
        <f aca="false">Ipotesi!H13</f>
        <v>90</v>
      </c>
      <c r="M318" s="17" t="n">
        <f aca="false">INDEX(Ipotesi!$C$40:$G$40,1,F318)</f>
        <v>1</v>
      </c>
      <c r="N318" s="17" t="n">
        <f aca="false">INDEX(Ipotesi!$C$41:$G$41,1,F318)</f>
        <v>1</v>
      </c>
      <c r="O318" s="17" t="n">
        <f aca="false">INDEX(Ipotesi!$C$42:$G$42,1,F318)*Ipotesi!H125</f>
        <v>2.5</v>
      </c>
      <c r="P318" s="17" t="n">
        <f aca="false">INDEX(Ipotesi!$C$43:$G$43,1,F318)*I318</f>
        <v>2.5</v>
      </c>
      <c r="Q318" s="17" t="n">
        <f aca="false">INDEX(Ipotesi!$C$44:$G$44,1,F318)*I318</f>
        <v>1.5</v>
      </c>
      <c r="R318" s="17" t="n">
        <f aca="false">INDEX(Ipotesi!$C$45:$G$45,1,F318)*I318</f>
        <v>0.5</v>
      </c>
      <c r="S318" s="17" t="n">
        <f aca="false">INDEX(Ipotesi!$C$52:$G$52,1,F318)*Ipotesi!H125</f>
        <v>3</v>
      </c>
      <c r="T318" s="17" t="n">
        <f aca="false">INDEX(Ipotesi!$C$53:$G$53,1,F318)*I318</f>
        <v>1</v>
      </c>
      <c r="U318" s="17" t="n">
        <f aca="false">INDEX(Ipotesi!$C$54:$G$54,1,F318)*I318</f>
        <v>0</v>
      </c>
      <c r="V318" s="15" t="n">
        <f aca="false">M318*INDEX(Ipotesi!$C$58:$G$58,1,F318)*K318/12</f>
        <v>5000</v>
      </c>
      <c r="W318" s="15" t="n">
        <f aca="false">N318*Ipotesi!$C$59*(1+Ipotesi!$C$66)^(F318-1)/12</f>
        <v>6008.33333333333</v>
      </c>
      <c r="X318" s="15" t="n">
        <f aca="false">O318*Ipotesi!$C$60*(1+Ipotesi!$C$66)^(F318-1)/12</f>
        <v>10729.1666666667</v>
      </c>
      <c r="Y318" s="15" t="n">
        <f aca="false">P318*Ipotesi!$C$61*(1+Ipotesi!$C$66)^(F318-1)/12</f>
        <v>10729.1666666667</v>
      </c>
      <c r="Z318" s="15" t="n">
        <f aca="false">Q318*Ipotesi!$C$62*(1+Ipotesi!$C$66)^(F318-1)/12</f>
        <v>5793.75</v>
      </c>
      <c r="AA318" s="15" t="n">
        <f aca="false">R318*Ipotesi!$C$63*(1+Ipotesi!$C$66)^(F318-1)/12</f>
        <v>1502.08333333333</v>
      </c>
      <c r="AB318" s="15" t="n">
        <f aca="false">SUM(V318:AA318)</f>
        <v>39762.5</v>
      </c>
      <c r="AC318" s="15" t="n">
        <f aca="false">(S318*Ipotesi!$C$64+T318*Ipotesi!$C$65+U318*Ipotesi!$C$63)*(1+Ipotesi!$C$66)^(F318-1)/12</f>
        <v>15965</v>
      </c>
      <c r="AD318" s="15" t="n">
        <f aca="false">INDEX(Ipotesi!$C$48:$G$48,1,F318)*G318/12</f>
        <v>37.5</v>
      </c>
      <c r="AE318" s="15" t="n">
        <f aca="false">INDEX(Ipotesi!$C$50:$G$50,1,F318)*G318/12</f>
        <v>4.58333333333333</v>
      </c>
      <c r="AF318" s="15" t="n">
        <f aca="false">(S318*Parametri_v3!$C$7*Parametri_v3!$C$8+Parametri_v3!$C$10)/12</f>
        <v>38.5</v>
      </c>
      <c r="AG318" s="15" t="n">
        <f aca="false">AD318+AE318*(1+Parametri_v3!$C$9)</f>
        <v>44.375</v>
      </c>
      <c r="AH318" s="16" t="n">
        <f aca="false">IF(AG318=0,1,MIN(1,AF318/AG318))</f>
        <v>0.867605633802817</v>
      </c>
      <c r="AI318" s="15" t="n">
        <f aca="false">AD318*AH318</f>
        <v>32.5352112676056</v>
      </c>
      <c r="AJ318" s="15" t="n">
        <f aca="false">AE318*AH318</f>
        <v>3.97652582159624</v>
      </c>
      <c r="AK318" s="15" t="n">
        <f aca="false">AI318*INDEX(Ipotesi!$C$49:$G$49,1,F318)*H318</f>
        <v>26028.1690140845</v>
      </c>
      <c r="AL318" s="15" t="n">
        <f aca="false">AJ318*INDEX(Ipotesi!$C$51:$G$51,1,F318)*H318</f>
        <v>7953.05164319249</v>
      </c>
      <c r="AM318" s="15" t="n">
        <f aca="false">AK318+AL318</f>
        <v>33981.220657277</v>
      </c>
      <c r="AN318" s="15" t="n">
        <f aca="false">INDEX(Ipotesi!$C$30:$G$30,1,F318)*G318/12</f>
        <v>22.5</v>
      </c>
      <c r="AO318" s="15" t="n">
        <f aca="false">O318*Parametri_v3!$C$7*Parametri_v3!$C$11*(1-Parametri_v3!$C$14)/12</f>
        <v>25.6666666666667</v>
      </c>
      <c r="AP318" s="15" t="n">
        <f aca="false">MIN(AN318,AO318)</f>
        <v>22.5</v>
      </c>
      <c r="AQ318" s="15" t="n">
        <f aca="false">AP318*INDEX(Ipotesi!$C$31:$G$31,1,F318)*H318</f>
        <v>21375</v>
      </c>
      <c r="AR318" s="15" t="n">
        <f aca="false">INDEX(Ipotesi!$C$75:$G$75,1,F318)*J318/12</f>
        <v>4583.33333333333</v>
      </c>
      <c r="AS318" s="15" t="n">
        <f aca="false">INDEX(Ipotesi!$C$81:$G$81,1,F318)*J318/12</f>
        <v>833.333333333333</v>
      </c>
      <c r="AT318" s="15" t="n">
        <f aca="false">AR318*Parametri_v3!$C$15+Z318*Parametri_v3!$C$16</f>
        <v>8638.95833333333</v>
      </c>
      <c r="AU318" s="15" t="n">
        <f aca="false">Q318*Parametri_v3!$C$16*Parametri_v3!$C$17</f>
        <v>105</v>
      </c>
      <c r="AV318" s="17" t="n">
        <f aca="false">BD317</f>
        <v>6.08823638967096</v>
      </c>
      <c r="AW318" s="17" t="n">
        <f aca="false">AV318*(1-(1-INDEX(Ipotesi!$C$34:$G$34,1,F318))^(1/12))</f>
        <v>0.0532209939187309</v>
      </c>
      <c r="AX318" s="15" t="n">
        <f aca="false">ROUND(INDEX(Ipotesi!$C$32:$G$32,1,F318)*Ipotesi!H8,0)</f>
        <v>35</v>
      </c>
      <c r="AY318" s="15" t="n">
        <f aca="false">MAX(0,(AX318-(AV318-AW318))/(13-E318))</f>
        <v>2.63318041856798</v>
      </c>
      <c r="AZ318" s="15" t="n">
        <f aca="false">MIN(P318*Parametri_v3!$C$22,Q318*(1-Parametri_v3!$C$16)*Parametri_v3!$C$23)</f>
        <v>67.5</v>
      </c>
      <c r="BA318" s="15" t="n">
        <f aca="false">IF(OR(INDEX(Ipotesi!$C$35:$G$35,1,F318)&lt;=0,14-Parametri_v3!$C$21&lt;1),0,INDEX($AT$305:$AT$364,MAX(1,14-Parametri_v3!$C$21))/(INDEX(Ipotesi!$C$35:$G$35,1,F318)*Ipotesi!H27))</f>
        <v>1.13194444444444</v>
      </c>
      <c r="BB318" s="15" t="n">
        <f aca="false">IF(14-Parametri_v3!$C$21&lt;1,0,INDEX($AU$305:$AU$364,MAX(1,14-Parametri_v3!$C$21)))*Parametri_v3!$C$18*Parametri_v3!$C$19*Parametri_v3!$C$20</f>
        <v>1.3125</v>
      </c>
      <c r="BC318" s="17" t="n">
        <f aca="false">MAX(0,MIN(AY318,BA318,BB318,MAX(0,AZ318-(AV318-AW318))))</f>
        <v>1.13194444444444</v>
      </c>
      <c r="BD318" s="17" t="n">
        <f aca="false">AV318-AW318+BC318</f>
        <v>7.16695984019667</v>
      </c>
      <c r="BE318" s="17" t="n">
        <f aca="false">(AV318+BD318)/2</f>
        <v>6.62759811493382</v>
      </c>
      <c r="BF318" s="15" t="n">
        <f aca="false">BE318*INDEX(Ipotesi!$C$33:$G$33,1,F318)*H318/12</f>
        <v>2209.19937164461</v>
      </c>
      <c r="BG318" s="15" t="n">
        <f aca="false">BD318*INDEX(Ipotesi!$C$33:$G$33,1,F318)*H318</f>
        <v>28667.8393607867</v>
      </c>
      <c r="BH318" s="15" t="n">
        <f aca="false">AM318*INDEX(Ipotesi!$C$37:$G$37,1,F318)</f>
        <v>3398.1220657277</v>
      </c>
      <c r="BI318" s="15" t="n">
        <f aca="false">AQ318+BF318+BH318</f>
        <v>26982.3214373723</v>
      </c>
      <c r="BJ318" s="15" t="n">
        <f aca="false">INDEX(Ipotesi!$C$68:$G$68,1,F318)*Ipotesi!$C$69/12</f>
        <v>1600</v>
      </c>
      <c r="BK318" s="15" t="n">
        <f aca="false">INDEX(Ipotesi!$C$68:$G$68,1,F318)*(1-Ipotesi!$C$69)/12</f>
        <v>2400</v>
      </c>
      <c r="BL318" s="15" t="n">
        <f aca="false">(AQ318+BF318)*Ipotesi!$C$67</f>
        <v>707.525981149338</v>
      </c>
      <c r="BM318" s="15" t="n">
        <f aca="false">AM318*Ipotesi!$C$67</f>
        <v>1019.43661971831</v>
      </c>
      <c r="BN318" s="15" t="n">
        <f aca="false">INDEX(Ipotesi!$C$72:$G$72,1,F318)/12*Ipotesi!H126+BF318*Ipotesi!$C$73</f>
        <v>1426.73594973157</v>
      </c>
      <c r="BO318" s="15" t="n">
        <f aca="false">INDEX(Ipotesi!$C$74:$G$74,1,F318)/12*Ipotesi!H126</f>
        <v>1833.33333333333</v>
      </c>
      <c r="BP318" s="15" t="n">
        <f aca="false">INDEX(Ipotesi!$C$76:$G$76,1,F318)/12</f>
        <v>750</v>
      </c>
      <c r="BQ318" s="15" t="n">
        <f aca="false">INDEX(Ipotesi!$C$77:$G$77,1,F318)/12*Ipotesi!H126</f>
        <v>1666.66666666667</v>
      </c>
      <c r="BR318" s="15" t="n">
        <f aca="false">INDEX(Ipotesi!$C$78:$G$78,1,F318)/12</f>
        <v>1250</v>
      </c>
      <c r="BS318" s="15" t="n">
        <f aca="false">SUM(M318:R318)*(Ipotesi!$C$85+Ipotesi!$C$86)/12</f>
        <v>2625</v>
      </c>
      <c r="BT318" s="15" t="n">
        <f aca="false">BI318*Ipotesi!$C$87</f>
        <v>809.469643121169</v>
      </c>
      <c r="BU318" s="15" t="n">
        <f aca="false">INDEX(Ipotesi!$C$55:$G$55,1,F318)*K318/12</f>
        <v>1000</v>
      </c>
      <c r="BV318" s="15" t="n">
        <f aca="false">INDEX(Ipotesi!$C$80:$G$80,1,F318)/12*Ipotesi!H126</f>
        <v>833.333333333333</v>
      </c>
      <c r="BW318" s="15" t="n">
        <f aca="false">INDEX(Ipotesi!$C$82:$G$82,1,F318)/12</f>
        <v>666.666666666667</v>
      </c>
      <c r="BX318" s="15" t="n">
        <f aca="false">INDEX(Ipotesi!$C$83:$G$83,1,F318)/12</f>
        <v>583.333333333333</v>
      </c>
      <c r="BY318" s="15" t="n">
        <f aca="false">SUM(S318:U318)*(Ipotesi!$C$85+Ipotesi!$C$86)/12</f>
        <v>1166.66666666667</v>
      </c>
      <c r="BZ318" s="15" t="n">
        <f aca="false">AM318*Ipotesi!$C$87</f>
        <v>1019.43661971831</v>
      </c>
      <c r="CA318" s="15" t="n">
        <f aca="false">AB318+BJ318+BL318+BN318+BO318+AR318+BP318+BQ318+BR318+BS318+BT318</f>
        <v>57014.5649073354</v>
      </c>
      <c r="CB318" s="15" t="n">
        <f aca="false">AC318+BK318+BM318+BH318+BU318+BV318+AS318+BW318+BX318+BY318+BZ318</f>
        <v>28885.3286384976</v>
      </c>
      <c r="CC318" s="15" t="n">
        <f aca="false">BI318-CA318</f>
        <v>-30032.2434699631</v>
      </c>
      <c r="CD318" s="15" t="n">
        <f aca="false">AM318-CB318</f>
        <v>5095.89201877934</v>
      </c>
      <c r="CE318" s="15" t="n">
        <f aca="false">INDEX(Ipotesi!$C$79:$G$79,1,F318)/12</f>
        <v>2083.33333333333</v>
      </c>
      <c r="CF318" s="15" t="n">
        <f aca="false">INDEX(Ipotesi!$C$84:$G$84,1,F318)/12</f>
        <v>416.666666666667</v>
      </c>
      <c r="CG318" s="15" t="n">
        <f aca="false">Y318*MAX(0,Parametri_v3!$C$12-IF(P318=0,0,MIN(1,BE318/(P318*Parametri_v3!$C$22))))+W318*Parametri_v3!$C$13+X318*Parametri_v3!$C$14</f>
        <v>15594.7322475674</v>
      </c>
      <c r="CH318" s="15" t="n">
        <f aca="false">AB318*Parametri_v3!$C$32</f>
        <v>1988.125</v>
      </c>
      <c r="CI318" s="15" t="n">
        <f aca="false">AC318*Parametri_v3!$C$32</f>
        <v>798.25</v>
      </c>
      <c r="CJ318" s="15" t="n">
        <f aca="false">CA318-AB318</f>
        <v>17252.0649073354</v>
      </c>
      <c r="CK318" s="15" t="n">
        <f aca="false">CB318-AC318-BH318</f>
        <v>9522.20657276995</v>
      </c>
      <c r="CL318" s="15" t="n">
        <f aca="false">BF318*Ipotesi!$C$73+INDEX(Ipotesi!$C$72:$G$72,1,F318)/12*Ipotesi!H126*Parametri_v3!$C$58+Z318*(1-Parametri_v3!$C$16)</f>
        <v>3164.86094973157</v>
      </c>
      <c r="CM318" s="16" t="n">
        <f aca="false">IF(BF318=0,0,1-CL318/BF318)</f>
        <v>-0.4325827674736</v>
      </c>
    </row>
    <row r="319" customFormat="false" ht="18" hidden="false" customHeight="true" outlineLevel="0" collapsed="false">
      <c r="A319" s="68" t="n">
        <f aca="false">6</f>
        <v>6</v>
      </c>
      <c r="B319" s="68" t="n">
        <f aca="false">15</f>
        <v>15</v>
      </c>
      <c r="C319" s="18" t="n">
        <f aca="false">EDATE(Parametri_v3!$C$5,15-1)</f>
        <v>46813</v>
      </c>
      <c r="D319" s="68" t="n">
        <f aca="false">YEAR(C319)</f>
        <v>2028</v>
      </c>
      <c r="E319" s="68" t="n">
        <f aca="false">MONTH(C319)</f>
        <v>3</v>
      </c>
      <c r="F319" s="68" t="n">
        <f aca="false">INT((15-1)/12)+1</f>
        <v>2</v>
      </c>
      <c r="G319" s="15" t="n">
        <f aca="false">Ipotesi!H7</f>
        <v>1</v>
      </c>
      <c r="H319" s="15" t="n">
        <f aca="false">Ipotesi!H9</f>
        <v>1</v>
      </c>
      <c r="I319" s="15" t="n">
        <f aca="false">Ipotesi!H10</f>
        <v>1</v>
      </c>
      <c r="J319" s="15" t="n">
        <f aca="false">Ipotesi!H11</f>
        <v>1</v>
      </c>
      <c r="K319" s="15" t="n">
        <f aca="false">Ipotesi!H12</f>
        <v>1</v>
      </c>
      <c r="L319" s="15" t="n">
        <f aca="false">Ipotesi!H13</f>
        <v>90</v>
      </c>
      <c r="M319" s="17" t="n">
        <f aca="false">INDEX(Ipotesi!$C$40:$G$40,1,F319)</f>
        <v>1</v>
      </c>
      <c r="N319" s="17" t="n">
        <f aca="false">INDEX(Ipotesi!$C$41:$G$41,1,F319)</f>
        <v>1</v>
      </c>
      <c r="O319" s="17" t="n">
        <f aca="false">INDEX(Ipotesi!$C$42:$G$42,1,F319)*Ipotesi!H125</f>
        <v>2.5</v>
      </c>
      <c r="P319" s="17" t="n">
        <f aca="false">INDEX(Ipotesi!$C$43:$G$43,1,F319)*I319</f>
        <v>2.5</v>
      </c>
      <c r="Q319" s="17" t="n">
        <f aca="false">INDEX(Ipotesi!$C$44:$G$44,1,F319)*I319</f>
        <v>1.5</v>
      </c>
      <c r="R319" s="17" t="n">
        <f aca="false">INDEX(Ipotesi!$C$45:$G$45,1,F319)*I319</f>
        <v>0.5</v>
      </c>
      <c r="S319" s="17" t="n">
        <f aca="false">INDEX(Ipotesi!$C$52:$G$52,1,F319)*Ipotesi!H125</f>
        <v>3</v>
      </c>
      <c r="T319" s="17" t="n">
        <f aca="false">INDEX(Ipotesi!$C$53:$G$53,1,F319)*I319</f>
        <v>1</v>
      </c>
      <c r="U319" s="17" t="n">
        <f aca="false">INDEX(Ipotesi!$C$54:$G$54,1,F319)*I319</f>
        <v>0</v>
      </c>
      <c r="V319" s="15" t="n">
        <f aca="false">M319*INDEX(Ipotesi!$C$58:$G$58,1,F319)*K319/12</f>
        <v>5000</v>
      </c>
      <c r="W319" s="15" t="n">
        <f aca="false">N319*Ipotesi!$C$59*(1+Ipotesi!$C$66)^(F319-1)/12</f>
        <v>6008.33333333333</v>
      </c>
      <c r="X319" s="15" t="n">
        <f aca="false">O319*Ipotesi!$C$60*(1+Ipotesi!$C$66)^(F319-1)/12</f>
        <v>10729.1666666667</v>
      </c>
      <c r="Y319" s="15" t="n">
        <f aca="false">P319*Ipotesi!$C$61*(1+Ipotesi!$C$66)^(F319-1)/12</f>
        <v>10729.1666666667</v>
      </c>
      <c r="Z319" s="15" t="n">
        <f aca="false">Q319*Ipotesi!$C$62*(1+Ipotesi!$C$66)^(F319-1)/12</f>
        <v>5793.75</v>
      </c>
      <c r="AA319" s="15" t="n">
        <f aca="false">R319*Ipotesi!$C$63*(1+Ipotesi!$C$66)^(F319-1)/12</f>
        <v>1502.08333333333</v>
      </c>
      <c r="AB319" s="15" t="n">
        <f aca="false">SUM(V319:AA319)</f>
        <v>39762.5</v>
      </c>
      <c r="AC319" s="15" t="n">
        <f aca="false">(S319*Ipotesi!$C$64+T319*Ipotesi!$C$65+U319*Ipotesi!$C$63)*(1+Ipotesi!$C$66)^(F319-1)/12</f>
        <v>15965</v>
      </c>
      <c r="AD319" s="15" t="n">
        <f aca="false">INDEX(Ipotesi!$C$48:$G$48,1,F319)*G319/12</f>
        <v>37.5</v>
      </c>
      <c r="AE319" s="15" t="n">
        <f aca="false">INDEX(Ipotesi!$C$50:$G$50,1,F319)*G319/12</f>
        <v>4.58333333333333</v>
      </c>
      <c r="AF319" s="15" t="n">
        <f aca="false">(S319*Parametri_v3!$C$7*Parametri_v3!$C$8+Parametri_v3!$C$10)/12</f>
        <v>38.5</v>
      </c>
      <c r="AG319" s="15" t="n">
        <f aca="false">AD319+AE319*(1+Parametri_v3!$C$9)</f>
        <v>44.375</v>
      </c>
      <c r="AH319" s="16" t="n">
        <f aca="false">IF(AG319=0,1,MIN(1,AF319/AG319))</f>
        <v>0.867605633802817</v>
      </c>
      <c r="AI319" s="15" t="n">
        <f aca="false">AD319*AH319</f>
        <v>32.5352112676056</v>
      </c>
      <c r="AJ319" s="15" t="n">
        <f aca="false">AE319*AH319</f>
        <v>3.97652582159624</v>
      </c>
      <c r="AK319" s="15" t="n">
        <f aca="false">AI319*INDEX(Ipotesi!$C$49:$G$49,1,F319)*H319</f>
        <v>26028.1690140845</v>
      </c>
      <c r="AL319" s="15" t="n">
        <f aca="false">AJ319*INDEX(Ipotesi!$C$51:$G$51,1,F319)*H319</f>
        <v>7953.05164319249</v>
      </c>
      <c r="AM319" s="15" t="n">
        <f aca="false">AK319+AL319</f>
        <v>33981.220657277</v>
      </c>
      <c r="AN319" s="15" t="n">
        <f aca="false">INDEX(Ipotesi!$C$30:$G$30,1,F319)*G319/12</f>
        <v>22.5</v>
      </c>
      <c r="AO319" s="15" t="n">
        <f aca="false">O319*Parametri_v3!$C$7*Parametri_v3!$C$11*(1-Parametri_v3!$C$14)/12</f>
        <v>25.6666666666667</v>
      </c>
      <c r="AP319" s="15" t="n">
        <f aca="false">MIN(AN319,AO319)</f>
        <v>22.5</v>
      </c>
      <c r="AQ319" s="15" t="n">
        <f aca="false">AP319*INDEX(Ipotesi!$C$31:$G$31,1,F319)*H319</f>
        <v>21375</v>
      </c>
      <c r="AR319" s="15" t="n">
        <f aca="false">INDEX(Ipotesi!$C$75:$G$75,1,F319)*J319/12</f>
        <v>4583.33333333333</v>
      </c>
      <c r="AS319" s="15" t="n">
        <f aca="false">INDEX(Ipotesi!$C$81:$G$81,1,F319)*J319/12</f>
        <v>833.333333333333</v>
      </c>
      <c r="AT319" s="15" t="n">
        <f aca="false">AR319*Parametri_v3!$C$15+Z319*Parametri_v3!$C$16</f>
        <v>8638.95833333333</v>
      </c>
      <c r="AU319" s="15" t="n">
        <f aca="false">Q319*Parametri_v3!$C$16*Parametri_v3!$C$17</f>
        <v>105</v>
      </c>
      <c r="AV319" s="17" t="n">
        <f aca="false">BD318</f>
        <v>7.16695984019667</v>
      </c>
      <c r="AW319" s="17" t="n">
        <f aca="false">AV319*(1-(1-INDEX(Ipotesi!$C$34:$G$34,1,F319))^(1/12))</f>
        <v>0.0626507746509347</v>
      </c>
      <c r="AX319" s="15" t="n">
        <f aca="false">ROUND(INDEX(Ipotesi!$C$32:$G$32,1,F319)*Ipotesi!H8,0)</f>
        <v>35</v>
      </c>
      <c r="AY319" s="15" t="n">
        <f aca="false">MAX(0,(AX319-(AV319-AW319))/(13-E319))</f>
        <v>2.78956909344543</v>
      </c>
      <c r="AZ319" s="15" t="n">
        <f aca="false">MIN(P319*Parametri_v3!$C$22,Q319*(1-Parametri_v3!$C$16)*Parametri_v3!$C$23)</f>
        <v>67.5</v>
      </c>
      <c r="BA319" s="15" t="n">
        <f aca="false">IF(OR(INDEX(Ipotesi!$C$35:$G$35,1,F319)&lt;=0,15-Parametri_v3!$C$21&lt;1),0,INDEX($AT$305:$AT$364,MAX(1,15-Parametri_v3!$C$21))/(INDEX(Ipotesi!$C$35:$G$35,1,F319)*Ipotesi!H27))</f>
        <v>1.13194444444444</v>
      </c>
      <c r="BB319" s="15" t="n">
        <f aca="false">IF(15-Parametri_v3!$C$21&lt;1,0,INDEX($AU$305:$AU$364,MAX(1,15-Parametri_v3!$C$21)))*Parametri_v3!$C$18*Parametri_v3!$C$19*Parametri_v3!$C$20</f>
        <v>1.3125</v>
      </c>
      <c r="BC319" s="17" t="n">
        <f aca="false">MAX(0,MIN(AY319,BA319,BB319,MAX(0,AZ319-(AV319-AW319))))</f>
        <v>1.13194444444444</v>
      </c>
      <c r="BD319" s="17" t="n">
        <f aca="false">AV319-AW319+BC319</f>
        <v>8.23625350999018</v>
      </c>
      <c r="BE319" s="17" t="n">
        <f aca="false">(AV319+BD319)/2</f>
        <v>7.70160667509343</v>
      </c>
      <c r="BF319" s="15" t="n">
        <f aca="false">BE319*INDEX(Ipotesi!$C$33:$G$33,1,F319)*H319/12</f>
        <v>2567.20222503114</v>
      </c>
      <c r="BG319" s="15" t="n">
        <f aca="false">BD319*INDEX(Ipotesi!$C$33:$G$33,1,F319)*H319</f>
        <v>32945.0140399607</v>
      </c>
      <c r="BH319" s="15" t="n">
        <f aca="false">AM319*INDEX(Ipotesi!$C$37:$G$37,1,F319)</f>
        <v>3398.1220657277</v>
      </c>
      <c r="BI319" s="15" t="n">
        <f aca="false">AQ319+BF319+BH319</f>
        <v>27340.3242907588</v>
      </c>
      <c r="BJ319" s="15" t="n">
        <f aca="false">INDEX(Ipotesi!$C$68:$G$68,1,F319)*Ipotesi!$C$69/12</f>
        <v>1600</v>
      </c>
      <c r="BK319" s="15" t="n">
        <f aca="false">INDEX(Ipotesi!$C$68:$G$68,1,F319)*(1-Ipotesi!$C$69)/12</f>
        <v>2400</v>
      </c>
      <c r="BL319" s="15" t="n">
        <f aca="false">(AQ319+BF319)*Ipotesi!$C$67</f>
        <v>718.266066750934</v>
      </c>
      <c r="BM319" s="15" t="n">
        <f aca="false">AM319*Ipotesi!$C$67</f>
        <v>1019.43661971831</v>
      </c>
      <c r="BN319" s="15" t="n">
        <f aca="false">INDEX(Ipotesi!$C$72:$G$72,1,F319)/12*Ipotesi!H126+BF319*Ipotesi!$C$73</f>
        <v>1455.37617800249</v>
      </c>
      <c r="BO319" s="15" t="n">
        <f aca="false">INDEX(Ipotesi!$C$74:$G$74,1,F319)/12*Ipotesi!H126</f>
        <v>1833.33333333333</v>
      </c>
      <c r="BP319" s="15" t="n">
        <f aca="false">INDEX(Ipotesi!$C$76:$G$76,1,F319)/12</f>
        <v>750</v>
      </c>
      <c r="BQ319" s="15" t="n">
        <f aca="false">INDEX(Ipotesi!$C$77:$G$77,1,F319)/12*Ipotesi!H126</f>
        <v>1666.66666666667</v>
      </c>
      <c r="BR319" s="15" t="n">
        <f aca="false">INDEX(Ipotesi!$C$78:$G$78,1,F319)/12</f>
        <v>1250</v>
      </c>
      <c r="BS319" s="15" t="n">
        <f aca="false">SUM(M319:R319)*(Ipotesi!$C$85+Ipotesi!$C$86)/12</f>
        <v>2625</v>
      </c>
      <c r="BT319" s="15" t="n">
        <f aca="false">BI319*Ipotesi!$C$87</f>
        <v>820.209728722765</v>
      </c>
      <c r="BU319" s="15" t="n">
        <f aca="false">INDEX(Ipotesi!$C$55:$G$55,1,F319)*K319/12</f>
        <v>1000</v>
      </c>
      <c r="BV319" s="15" t="n">
        <f aca="false">INDEX(Ipotesi!$C$80:$G$80,1,F319)/12*Ipotesi!H126</f>
        <v>833.333333333333</v>
      </c>
      <c r="BW319" s="15" t="n">
        <f aca="false">INDEX(Ipotesi!$C$82:$G$82,1,F319)/12</f>
        <v>666.666666666667</v>
      </c>
      <c r="BX319" s="15" t="n">
        <f aca="false">INDEX(Ipotesi!$C$83:$G$83,1,F319)/12</f>
        <v>583.333333333333</v>
      </c>
      <c r="BY319" s="15" t="n">
        <f aca="false">SUM(S319:U319)*(Ipotesi!$C$85+Ipotesi!$C$86)/12</f>
        <v>1166.66666666667</v>
      </c>
      <c r="BZ319" s="15" t="n">
        <f aca="false">AM319*Ipotesi!$C$87</f>
        <v>1019.43661971831</v>
      </c>
      <c r="CA319" s="15" t="n">
        <f aca="false">AB319+BJ319+BL319+BN319+BO319+AR319+BP319+BQ319+BR319+BS319+BT319</f>
        <v>57064.6853068095</v>
      </c>
      <c r="CB319" s="15" t="n">
        <f aca="false">AC319+BK319+BM319+BH319+BU319+BV319+AS319+BW319+BX319+BY319+BZ319</f>
        <v>28885.3286384976</v>
      </c>
      <c r="CC319" s="15" t="n">
        <f aca="false">BI319-CA319</f>
        <v>-29724.3610160507</v>
      </c>
      <c r="CD319" s="15" t="n">
        <f aca="false">AM319-CB319</f>
        <v>5095.89201877934</v>
      </c>
      <c r="CE319" s="15" t="n">
        <f aca="false">INDEX(Ipotesi!$C$79:$G$79,1,F319)/12</f>
        <v>2083.33333333333</v>
      </c>
      <c r="CF319" s="15" t="n">
        <f aca="false">INDEX(Ipotesi!$C$84:$G$84,1,F319)/12</f>
        <v>416.666666666667</v>
      </c>
      <c r="CG319" s="15" t="n">
        <f aca="false">Y319*MAX(0,Parametri_v3!$C$12-IF(P319=0,0,MIN(1,BE319/(P319*Parametri_v3!$C$22))))+W319*Parametri_v3!$C$13+X319*Parametri_v3!$C$14</f>
        <v>15548.6393801939</v>
      </c>
      <c r="CH319" s="15" t="n">
        <f aca="false">AB319*Parametri_v3!$C$32</f>
        <v>1988.125</v>
      </c>
      <c r="CI319" s="15" t="n">
        <f aca="false">AC319*Parametri_v3!$C$32</f>
        <v>798.25</v>
      </c>
      <c r="CJ319" s="15" t="n">
        <f aca="false">CA319-AB319</f>
        <v>17302.1853068095</v>
      </c>
      <c r="CK319" s="15" t="n">
        <f aca="false">CB319-AC319-BH319</f>
        <v>9522.20657276995</v>
      </c>
      <c r="CL319" s="15" t="n">
        <f aca="false">BF319*Ipotesi!$C$73+INDEX(Ipotesi!$C$72:$G$72,1,F319)/12*Ipotesi!H126*Parametri_v3!$C$58+Z319*(1-Parametri_v3!$C$16)</f>
        <v>3193.50117800249</v>
      </c>
      <c r="CM319" s="16" t="n">
        <f aca="false">IF(BF319=0,0,1-CL319/BF319)</f>
        <v>-0.243961674255619</v>
      </c>
    </row>
    <row r="320" customFormat="false" ht="18" hidden="false" customHeight="true" outlineLevel="0" collapsed="false">
      <c r="A320" s="68" t="n">
        <f aca="false">6</f>
        <v>6</v>
      </c>
      <c r="B320" s="68" t="n">
        <f aca="false">16</f>
        <v>16</v>
      </c>
      <c r="C320" s="18" t="n">
        <f aca="false">EDATE(Parametri_v3!$C$5,16-1)</f>
        <v>46844</v>
      </c>
      <c r="D320" s="68" t="n">
        <f aca="false">YEAR(C320)</f>
        <v>2028</v>
      </c>
      <c r="E320" s="68" t="n">
        <f aca="false">MONTH(C320)</f>
        <v>4</v>
      </c>
      <c r="F320" s="68" t="n">
        <f aca="false">INT((16-1)/12)+1</f>
        <v>2</v>
      </c>
      <c r="G320" s="15" t="n">
        <f aca="false">Ipotesi!H7</f>
        <v>1</v>
      </c>
      <c r="H320" s="15" t="n">
        <f aca="false">Ipotesi!H9</f>
        <v>1</v>
      </c>
      <c r="I320" s="15" t="n">
        <f aca="false">Ipotesi!H10</f>
        <v>1</v>
      </c>
      <c r="J320" s="15" t="n">
        <f aca="false">Ipotesi!H11</f>
        <v>1</v>
      </c>
      <c r="K320" s="15" t="n">
        <f aca="false">Ipotesi!H12</f>
        <v>1</v>
      </c>
      <c r="L320" s="15" t="n">
        <f aca="false">Ipotesi!H13</f>
        <v>90</v>
      </c>
      <c r="M320" s="17" t="n">
        <f aca="false">INDEX(Ipotesi!$C$40:$G$40,1,F320)</f>
        <v>1</v>
      </c>
      <c r="N320" s="17" t="n">
        <f aca="false">INDEX(Ipotesi!$C$41:$G$41,1,F320)</f>
        <v>1</v>
      </c>
      <c r="O320" s="17" t="n">
        <f aca="false">INDEX(Ipotesi!$C$42:$G$42,1,F320)*Ipotesi!H125</f>
        <v>2.5</v>
      </c>
      <c r="P320" s="17" t="n">
        <f aca="false">INDEX(Ipotesi!$C$43:$G$43,1,F320)*I320</f>
        <v>2.5</v>
      </c>
      <c r="Q320" s="17" t="n">
        <f aca="false">INDEX(Ipotesi!$C$44:$G$44,1,F320)*I320</f>
        <v>1.5</v>
      </c>
      <c r="R320" s="17" t="n">
        <f aca="false">INDEX(Ipotesi!$C$45:$G$45,1,F320)*I320</f>
        <v>0.5</v>
      </c>
      <c r="S320" s="17" t="n">
        <f aca="false">INDEX(Ipotesi!$C$52:$G$52,1,F320)*Ipotesi!H125</f>
        <v>3</v>
      </c>
      <c r="T320" s="17" t="n">
        <f aca="false">INDEX(Ipotesi!$C$53:$G$53,1,F320)*I320</f>
        <v>1</v>
      </c>
      <c r="U320" s="17" t="n">
        <f aca="false">INDEX(Ipotesi!$C$54:$G$54,1,F320)*I320</f>
        <v>0</v>
      </c>
      <c r="V320" s="15" t="n">
        <f aca="false">M320*INDEX(Ipotesi!$C$58:$G$58,1,F320)*K320/12</f>
        <v>5000</v>
      </c>
      <c r="W320" s="15" t="n">
        <f aca="false">N320*Ipotesi!$C$59*(1+Ipotesi!$C$66)^(F320-1)/12</f>
        <v>6008.33333333333</v>
      </c>
      <c r="X320" s="15" t="n">
        <f aca="false">O320*Ipotesi!$C$60*(1+Ipotesi!$C$66)^(F320-1)/12</f>
        <v>10729.1666666667</v>
      </c>
      <c r="Y320" s="15" t="n">
        <f aca="false">P320*Ipotesi!$C$61*(1+Ipotesi!$C$66)^(F320-1)/12</f>
        <v>10729.1666666667</v>
      </c>
      <c r="Z320" s="15" t="n">
        <f aca="false">Q320*Ipotesi!$C$62*(1+Ipotesi!$C$66)^(F320-1)/12</f>
        <v>5793.75</v>
      </c>
      <c r="AA320" s="15" t="n">
        <f aca="false">R320*Ipotesi!$C$63*(1+Ipotesi!$C$66)^(F320-1)/12</f>
        <v>1502.08333333333</v>
      </c>
      <c r="AB320" s="15" t="n">
        <f aca="false">SUM(V320:AA320)</f>
        <v>39762.5</v>
      </c>
      <c r="AC320" s="15" t="n">
        <f aca="false">(S320*Ipotesi!$C$64+T320*Ipotesi!$C$65+U320*Ipotesi!$C$63)*(1+Ipotesi!$C$66)^(F320-1)/12</f>
        <v>15965</v>
      </c>
      <c r="AD320" s="15" t="n">
        <f aca="false">INDEX(Ipotesi!$C$48:$G$48,1,F320)*G320/12</f>
        <v>37.5</v>
      </c>
      <c r="AE320" s="15" t="n">
        <f aca="false">INDEX(Ipotesi!$C$50:$G$50,1,F320)*G320/12</f>
        <v>4.58333333333333</v>
      </c>
      <c r="AF320" s="15" t="n">
        <f aca="false">(S320*Parametri_v3!$C$7*Parametri_v3!$C$8+Parametri_v3!$C$10)/12</f>
        <v>38.5</v>
      </c>
      <c r="AG320" s="15" t="n">
        <f aca="false">AD320+AE320*(1+Parametri_v3!$C$9)</f>
        <v>44.375</v>
      </c>
      <c r="AH320" s="16" t="n">
        <f aca="false">IF(AG320=0,1,MIN(1,AF320/AG320))</f>
        <v>0.867605633802817</v>
      </c>
      <c r="AI320" s="15" t="n">
        <f aca="false">AD320*AH320</f>
        <v>32.5352112676056</v>
      </c>
      <c r="AJ320" s="15" t="n">
        <f aca="false">AE320*AH320</f>
        <v>3.97652582159624</v>
      </c>
      <c r="AK320" s="15" t="n">
        <f aca="false">AI320*INDEX(Ipotesi!$C$49:$G$49,1,F320)*H320</f>
        <v>26028.1690140845</v>
      </c>
      <c r="AL320" s="15" t="n">
        <f aca="false">AJ320*INDEX(Ipotesi!$C$51:$G$51,1,F320)*H320</f>
        <v>7953.05164319249</v>
      </c>
      <c r="AM320" s="15" t="n">
        <f aca="false">AK320+AL320</f>
        <v>33981.220657277</v>
      </c>
      <c r="AN320" s="15" t="n">
        <f aca="false">INDEX(Ipotesi!$C$30:$G$30,1,F320)*G320/12</f>
        <v>22.5</v>
      </c>
      <c r="AO320" s="15" t="n">
        <f aca="false">O320*Parametri_v3!$C$7*Parametri_v3!$C$11*(1-Parametri_v3!$C$14)/12</f>
        <v>25.6666666666667</v>
      </c>
      <c r="AP320" s="15" t="n">
        <f aca="false">MIN(AN320,AO320)</f>
        <v>22.5</v>
      </c>
      <c r="AQ320" s="15" t="n">
        <f aca="false">AP320*INDEX(Ipotesi!$C$31:$G$31,1,F320)*H320</f>
        <v>21375</v>
      </c>
      <c r="AR320" s="15" t="n">
        <f aca="false">INDEX(Ipotesi!$C$75:$G$75,1,F320)*J320/12</f>
        <v>4583.33333333333</v>
      </c>
      <c r="AS320" s="15" t="n">
        <f aca="false">INDEX(Ipotesi!$C$81:$G$81,1,F320)*J320/12</f>
        <v>833.333333333333</v>
      </c>
      <c r="AT320" s="15" t="n">
        <f aca="false">AR320*Parametri_v3!$C$15+Z320*Parametri_v3!$C$16</f>
        <v>8638.95833333333</v>
      </c>
      <c r="AU320" s="15" t="n">
        <f aca="false">Q320*Parametri_v3!$C$16*Parametri_v3!$C$17</f>
        <v>105</v>
      </c>
      <c r="AV320" s="17" t="n">
        <f aca="false">BD319</f>
        <v>8.23625350999018</v>
      </c>
      <c r="AW320" s="17" t="n">
        <f aca="false">AV320*(1-(1-INDEX(Ipotesi!$C$34:$G$34,1,F320))^(1/12))</f>
        <v>0.0719981239085895</v>
      </c>
      <c r="AX320" s="15" t="n">
        <f aca="false">ROUND(INDEX(Ipotesi!$C$32:$G$32,1,F320)*Ipotesi!H8,0)</f>
        <v>35</v>
      </c>
      <c r="AY320" s="15" t="n">
        <f aca="false">MAX(0,(AX320-(AV320-AW320))/(13-E320))</f>
        <v>2.98174940154649</v>
      </c>
      <c r="AZ320" s="15" t="n">
        <f aca="false">MIN(P320*Parametri_v3!$C$22,Q320*(1-Parametri_v3!$C$16)*Parametri_v3!$C$23)</f>
        <v>67.5</v>
      </c>
      <c r="BA320" s="15" t="n">
        <f aca="false">IF(OR(INDEX(Ipotesi!$C$35:$G$35,1,F320)&lt;=0,16-Parametri_v3!$C$21&lt;1),0,INDEX($AT$305:$AT$364,MAX(1,16-Parametri_v3!$C$21))/(INDEX(Ipotesi!$C$35:$G$35,1,F320)*Ipotesi!H27))</f>
        <v>2.87965277777778</v>
      </c>
      <c r="BB320" s="15" t="n">
        <f aca="false">IF(16-Parametri_v3!$C$21&lt;1,0,INDEX($AU$305:$AU$364,MAX(1,16-Parametri_v3!$C$21)))*Parametri_v3!$C$18*Parametri_v3!$C$19*Parametri_v3!$C$20</f>
        <v>3.9375</v>
      </c>
      <c r="BC320" s="17" t="n">
        <f aca="false">MAX(0,MIN(AY320,BA320,BB320,MAX(0,AZ320-(AV320-AW320))))</f>
        <v>2.87965277777778</v>
      </c>
      <c r="BD320" s="17" t="n">
        <f aca="false">AV320-AW320+BC320</f>
        <v>11.0439081638594</v>
      </c>
      <c r="BE320" s="17" t="n">
        <f aca="false">(AV320+BD320)/2</f>
        <v>9.64008083692478</v>
      </c>
      <c r="BF320" s="15" t="n">
        <f aca="false">BE320*INDEX(Ipotesi!$C$33:$G$33,1,F320)*H320/12</f>
        <v>3213.36027897493</v>
      </c>
      <c r="BG320" s="15" t="n">
        <f aca="false">BD320*INDEX(Ipotesi!$C$33:$G$33,1,F320)*H320</f>
        <v>44175.6326554375</v>
      </c>
      <c r="BH320" s="15" t="n">
        <f aca="false">AM320*INDEX(Ipotesi!$C$37:$G$37,1,F320)</f>
        <v>3398.1220657277</v>
      </c>
      <c r="BI320" s="15" t="n">
        <f aca="false">AQ320+BF320+BH320</f>
        <v>27986.4823447026</v>
      </c>
      <c r="BJ320" s="15" t="n">
        <f aca="false">INDEX(Ipotesi!$C$68:$G$68,1,F320)*Ipotesi!$C$69/12</f>
        <v>1600</v>
      </c>
      <c r="BK320" s="15" t="n">
        <f aca="false">INDEX(Ipotesi!$C$68:$G$68,1,F320)*(1-Ipotesi!$C$69)/12</f>
        <v>2400</v>
      </c>
      <c r="BL320" s="15" t="n">
        <f aca="false">(AQ320+BF320)*Ipotesi!$C$67</f>
        <v>737.650808369248</v>
      </c>
      <c r="BM320" s="15" t="n">
        <f aca="false">AM320*Ipotesi!$C$67</f>
        <v>1019.43661971831</v>
      </c>
      <c r="BN320" s="15" t="n">
        <f aca="false">INDEX(Ipotesi!$C$72:$G$72,1,F320)/12*Ipotesi!H126+BF320*Ipotesi!$C$73</f>
        <v>1507.06882231799</v>
      </c>
      <c r="BO320" s="15" t="n">
        <f aca="false">INDEX(Ipotesi!$C$74:$G$74,1,F320)/12*Ipotesi!H126</f>
        <v>1833.33333333333</v>
      </c>
      <c r="BP320" s="15" t="n">
        <f aca="false">INDEX(Ipotesi!$C$76:$G$76,1,F320)/12</f>
        <v>750</v>
      </c>
      <c r="BQ320" s="15" t="n">
        <f aca="false">INDEX(Ipotesi!$C$77:$G$77,1,F320)/12*Ipotesi!H126</f>
        <v>1666.66666666667</v>
      </c>
      <c r="BR320" s="15" t="n">
        <f aca="false">INDEX(Ipotesi!$C$78:$G$78,1,F320)/12</f>
        <v>1250</v>
      </c>
      <c r="BS320" s="15" t="n">
        <f aca="false">SUM(M320:R320)*(Ipotesi!$C$85+Ipotesi!$C$86)/12</f>
        <v>2625</v>
      </c>
      <c r="BT320" s="15" t="n">
        <f aca="false">BI320*Ipotesi!$C$87</f>
        <v>839.594470341079</v>
      </c>
      <c r="BU320" s="15" t="n">
        <f aca="false">INDEX(Ipotesi!$C$55:$G$55,1,F320)*K320/12</f>
        <v>1000</v>
      </c>
      <c r="BV320" s="15" t="n">
        <f aca="false">INDEX(Ipotesi!$C$80:$G$80,1,F320)/12*Ipotesi!H126</f>
        <v>833.333333333333</v>
      </c>
      <c r="BW320" s="15" t="n">
        <f aca="false">INDEX(Ipotesi!$C$82:$G$82,1,F320)/12</f>
        <v>666.666666666667</v>
      </c>
      <c r="BX320" s="15" t="n">
        <f aca="false">INDEX(Ipotesi!$C$83:$G$83,1,F320)/12</f>
        <v>583.333333333333</v>
      </c>
      <c r="BY320" s="15" t="n">
        <f aca="false">SUM(S320:U320)*(Ipotesi!$C$85+Ipotesi!$C$86)/12</f>
        <v>1166.66666666667</v>
      </c>
      <c r="BZ320" s="15" t="n">
        <f aca="false">AM320*Ipotesi!$C$87</f>
        <v>1019.43661971831</v>
      </c>
      <c r="CA320" s="15" t="n">
        <f aca="false">AB320+BJ320+BL320+BN320+BO320+AR320+BP320+BQ320+BR320+BS320+BT320</f>
        <v>57155.1474343617</v>
      </c>
      <c r="CB320" s="15" t="n">
        <f aca="false">AC320+BK320+BM320+BH320+BU320+BV320+AS320+BW320+BX320+BY320+BZ320</f>
        <v>28885.3286384976</v>
      </c>
      <c r="CC320" s="15" t="n">
        <f aca="false">BI320-CA320</f>
        <v>-29168.665089659</v>
      </c>
      <c r="CD320" s="15" t="n">
        <f aca="false">AM320-CB320</f>
        <v>5095.89201877934</v>
      </c>
      <c r="CE320" s="15" t="n">
        <f aca="false">INDEX(Ipotesi!$C$79:$G$79,1,F320)/12</f>
        <v>2083.33333333333</v>
      </c>
      <c r="CF320" s="15" t="n">
        <f aca="false">INDEX(Ipotesi!$C$84:$G$84,1,F320)/12</f>
        <v>416.666666666667</v>
      </c>
      <c r="CG320" s="15" t="n">
        <f aca="false">Y320*MAX(0,Parametri_v3!$C$12-IF(P320=0,0,MIN(1,BE320/(P320*Parametri_v3!$C$22))))+W320*Parametri_v3!$C$13+X320*Parametri_v3!$C$14</f>
        <v>15465.4465307486</v>
      </c>
      <c r="CH320" s="15" t="n">
        <f aca="false">AB320*Parametri_v3!$C$32</f>
        <v>1988.125</v>
      </c>
      <c r="CI320" s="15" t="n">
        <f aca="false">AC320*Parametri_v3!$C$32</f>
        <v>798.25</v>
      </c>
      <c r="CJ320" s="15" t="n">
        <f aca="false">CA320-AB320</f>
        <v>17392.6474343617</v>
      </c>
      <c r="CK320" s="15" t="n">
        <f aca="false">CB320-AC320-BH320</f>
        <v>9522.20657276995</v>
      </c>
      <c r="CL320" s="15" t="n">
        <f aca="false">BF320*Ipotesi!$C$73+INDEX(Ipotesi!$C$72:$G$72,1,F320)/12*Ipotesi!H126*Parametri_v3!$C$58+Z320*(1-Parametri_v3!$C$16)</f>
        <v>3245.19382231799</v>
      </c>
      <c r="CM320" s="16" t="n">
        <f aca="false">IF(BF320=0,0,1-CL320/BF320)</f>
        <v>-0.00990662128717901</v>
      </c>
    </row>
    <row r="321" customFormat="false" ht="18" hidden="false" customHeight="true" outlineLevel="0" collapsed="false">
      <c r="A321" s="68" t="n">
        <f aca="false">6</f>
        <v>6</v>
      </c>
      <c r="B321" s="68" t="n">
        <f aca="false">17</f>
        <v>17</v>
      </c>
      <c r="C321" s="18" t="n">
        <f aca="false">EDATE(Parametri_v3!$C$5,17-1)</f>
        <v>46874</v>
      </c>
      <c r="D321" s="68" t="n">
        <f aca="false">YEAR(C321)</f>
        <v>2028</v>
      </c>
      <c r="E321" s="68" t="n">
        <f aca="false">MONTH(C321)</f>
        <v>5</v>
      </c>
      <c r="F321" s="68" t="n">
        <f aca="false">INT((17-1)/12)+1</f>
        <v>2</v>
      </c>
      <c r="G321" s="15" t="n">
        <f aca="false">Ipotesi!H7</f>
        <v>1</v>
      </c>
      <c r="H321" s="15" t="n">
        <f aca="false">Ipotesi!H9</f>
        <v>1</v>
      </c>
      <c r="I321" s="15" t="n">
        <f aca="false">Ipotesi!H10</f>
        <v>1</v>
      </c>
      <c r="J321" s="15" t="n">
        <f aca="false">Ipotesi!H11</f>
        <v>1</v>
      </c>
      <c r="K321" s="15" t="n">
        <f aca="false">Ipotesi!H12</f>
        <v>1</v>
      </c>
      <c r="L321" s="15" t="n">
        <f aca="false">Ipotesi!H13</f>
        <v>90</v>
      </c>
      <c r="M321" s="17" t="n">
        <f aca="false">INDEX(Ipotesi!$C$40:$G$40,1,F321)</f>
        <v>1</v>
      </c>
      <c r="N321" s="17" t="n">
        <f aca="false">INDEX(Ipotesi!$C$41:$G$41,1,F321)</f>
        <v>1</v>
      </c>
      <c r="O321" s="17" t="n">
        <f aca="false">INDEX(Ipotesi!$C$42:$G$42,1,F321)*Ipotesi!H125</f>
        <v>2.5</v>
      </c>
      <c r="P321" s="17" t="n">
        <f aca="false">INDEX(Ipotesi!$C$43:$G$43,1,F321)*I321</f>
        <v>2.5</v>
      </c>
      <c r="Q321" s="17" t="n">
        <f aca="false">INDEX(Ipotesi!$C$44:$G$44,1,F321)*I321</f>
        <v>1.5</v>
      </c>
      <c r="R321" s="17" t="n">
        <f aca="false">INDEX(Ipotesi!$C$45:$G$45,1,F321)*I321</f>
        <v>0.5</v>
      </c>
      <c r="S321" s="17" t="n">
        <f aca="false">INDEX(Ipotesi!$C$52:$G$52,1,F321)*Ipotesi!H125</f>
        <v>3</v>
      </c>
      <c r="T321" s="17" t="n">
        <f aca="false">INDEX(Ipotesi!$C$53:$G$53,1,F321)*I321</f>
        <v>1</v>
      </c>
      <c r="U321" s="17" t="n">
        <f aca="false">INDEX(Ipotesi!$C$54:$G$54,1,F321)*I321</f>
        <v>0</v>
      </c>
      <c r="V321" s="15" t="n">
        <f aca="false">M321*INDEX(Ipotesi!$C$58:$G$58,1,F321)*K321/12</f>
        <v>5000</v>
      </c>
      <c r="W321" s="15" t="n">
        <f aca="false">N321*Ipotesi!$C$59*(1+Ipotesi!$C$66)^(F321-1)/12</f>
        <v>6008.33333333333</v>
      </c>
      <c r="X321" s="15" t="n">
        <f aca="false">O321*Ipotesi!$C$60*(1+Ipotesi!$C$66)^(F321-1)/12</f>
        <v>10729.1666666667</v>
      </c>
      <c r="Y321" s="15" t="n">
        <f aca="false">P321*Ipotesi!$C$61*(1+Ipotesi!$C$66)^(F321-1)/12</f>
        <v>10729.1666666667</v>
      </c>
      <c r="Z321" s="15" t="n">
        <f aca="false">Q321*Ipotesi!$C$62*(1+Ipotesi!$C$66)^(F321-1)/12</f>
        <v>5793.75</v>
      </c>
      <c r="AA321" s="15" t="n">
        <f aca="false">R321*Ipotesi!$C$63*(1+Ipotesi!$C$66)^(F321-1)/12</f>
        <v>1502.08333333333</v>
      </c>
      <c r="AB321" s="15" t="n">
        <f aca="false">SUM(V321:AA321)</f>
        <v>39762.5</v>
      </c>
      <c r="AC321" s="15" t="n">
        <f aca="false">(S321*Ipotesi!$C$64+T321*Ipotesi!$C$65+U321*Ipotesi!$C$63)*(1+Ipotesi!$C$66)^(F321-1)/12</f>
        <v>15965</v>
      </c>
      <c r="AD321" s="15" t="n">
        <f aca="false">INDEX(Ipotesi!$C$48:$G$48,1,F321)*G321/12</f>
        <v>37.5</v>
      </c>
      <c r="AE321" s="15" t="n">
        <f aca="false">INDEX(Ipotesi!$C$50:$G$50,1,F321)*G321/12</f>
        <v>4.58333333333333</v>
      </c>
      <c r="AF321" s="15" t="n">
        <f aca="false">(S321*Parametri_v3!$C$7*Parametri_v3!$C$8+Parametri_v3!$C$10)/12</f>
        <v>38.5</v>
      </c>
      <c r="AG321" s="15" t="n">
        <f aca="false">AD321+AE321*(1+Parametri_v3!$C$9)</f>
        <v>44.375</v>
      </c>
      <c r="AH321" s="16" t="n">
        <f aca="false">IF(AG321=0,1,MIN(1,AF321/AG321))</f>
        <v>0.867605633802817</v>
      </c>
      <c r="AI321" s="15" t="n">
        <f aca="false">AD321*AH321</f>
        <v>32.5352112676056</v>
      </c>
      <c r="AJ321" s="15" t="n">
        <f aca="false">AE321*AH321</f>
        <v>3.97652582159624</v>
      </c>
      <c r="AK321" s="15" t="n">
        <f aca="false">AI321*INDEX(Ipotesi!$C$49:$G$49,1,F321)*H321</f>
        <v>26028.1690140845</v>
      </c>
      <c r="AL321" s="15" t="n">
        <f aca="false">AJ321*INDEX(Ipotesi!$C$51:$G$51,1,F321)*H321</f>
        <v>7953.05164319249</v>
      </c>
      <c r="AM321" s="15" t="n">
        <f aca="false">AK321+AL321</f>
        <v>33981.220657277</v>
      </c>
      <c r="AN321" s="15" t="n">
        <f aca="false">INDEX(Ipotesi!$C$30:$G$30,1,F321)*G321/12</f>
        <v>22.5</v>
      </c>
      <c r="AO321" s="15" t="n">
        <f aca="false">O321*Parametri_v3!$C$7*Parametri_v3!$C$11*(1-Parametri_v3!$C$14)/12</f>
        <v>25.6666666666667</v>
      </c>
      <c r="AP321" s="15" t="n">
        <f aca="false">MIN(AN321,AO321)</f>
        <v>22.5</v>
      </c>
      <c r="AQ321" s="15" t="n">
        <f aca="false">AP321*INDEX(Ipotesi!$C$31:$G$31,1,F321)*H321</f>
        <v>21375</v>
      </c>
      <c r="AR321" s="15" t="n">
        <f aca="false">INDEX(Ipotesi!$C$75:$G$75,1,F321)*J321/12</f>
        <v>4583.33333333333</v>
      </c>
      <c r="AS321" s="15" t="n">
        <f aca="false">INDEX(Ipotesi!$C$81:$G$81,1,F321)*J321/12</f>
        <v>833.333333333333</v>
      </c>
      <c r="AT321" s="15" t="n">
        <f aca="false">AR321*Parametri_v3!$C$15+Z321*Parametri_v3!$C$16</f>
        <v>8638.95833333333</v>
      </c>
      <c r="AU321" s="15" t="n">
        <f aca="false">Q321*Parametri_v3!$C$16*Parametri_v3!$C$17</f>
        <v>105</v>
      </c>
      <c r="AV321" s="17" t="n">
        <f aca="false">BD320</f>
        <v>11.0439081638594</v>
      </c>
      <c r="AW321" s="17" t="n">
        <f aca="false">AV321*(1-(1-INDEX(Ipotesi!$C$34:$G$34,1,F321))^(1/12))</f>
        <v>0.0965415485878576</v>
      </c>
      <c r="AX321" s="15" t="n">
        <f aca="false">ROUND(INDEX(Ipotesi!$C$32:$G$32,1,F321)*Ipotesi!H8,0)</f>
        <v>35</v>
      </c>
      <c r="AY321" s="15" t="n">
        <f aca="false">MAX(0,(AX321-(AV321-AW321))/(13-E321))</f>
        <v>3.00657917309106</v>
      </c>
      <c r="AZ321" s="15" t="n">
        <f aca="false">MIN(P321*Parametri_v3!$C$22,Q321*(1-Parametri_v3!$C$16)*Parametri_v3!$C$23)</f>
        <v>67.5</v>
      </c>
      <c r="BA321" s="15" t="n">
        <f aca="false">IF(OR(INDEX(Ipotesi!$C$35:$G$35,1,F321)&lt;=0,17-Parametri_v3!$C$21&lt;1),0,INDEX($AT$305:$AT$364,MAX(1,17-Parametri_v3!$C$21))/(INDEX(Ipotesi!$C$35:$G$35,1,F321)*Ipotesi!H27))</f>
        <v>2.87965277777778</v>
      </c>
      <c r="BB321" s="15" t="n">
        <f aca="false">IF(17-Parametri_v3!$C$21&lt;1,0,INDEX($AU$305:$AU$364,MAX(1,17-Parametri_v3!$C$21)))*Parametri_v3!$C$18*Parametri_v3!$C$19*Parametri_v3!$C$20</f>
        <v>3.9375</v>
      </c>
      <c r="BC321" s="17" t="n">
        <f aca="false">MAX(0,MIN(AY321,BA321,BB321,MAX(0,AZ321-(AV321-AW321))))</f>
        <v>2.87965277777778</v>
      </c>
      <c r="BD321" s="17" t="n">
        <f aca="false">AV321-AW321+BC321</f>
        <v>13.8270193930493</v>
      </c>
      <c r="BE321" s="17" t="n">
        <f aca="false">(AV321+BD321)/2</f>
        <v>12.4354637784543</v>
      </c>
      <c r="BF321" s="15" t="n">
        <f aca="false">BE321*INDEX(Ipotesi!$C$33:$G$33,1,F321)*H321/12</f>
        <v>4145.15459281811</v>
      </c>
      <c r="BG321" s="15" t="n">
        <f aca="false">BD321*INDEX(Ipotesi!$C$33:$G$33,1,F321)*H321</f>
        <v>55308.0775721972</v>
      </c>
      <c r="BH321" s="15" t="n">
        <f aca="false">AM321*INDEX(Ipotesi!$C$37:$G$37,1,F321)</f>
        <v>3398.1220657277</v>
      </c>
      <c r="BI321" s="15" t="n">
        <f aca="false">AQ321+BF321+BH321</f>
        <v>28918.2766585458</v>
      </c>
      <c r="BJ321" s="15" t="n">
        <f aca="false">INDEX(Ipotesi!$C$68:$G$68,1,F321)*Ipotesi!$C$69/12</f>
        <v>1600</v>
      </c>
      <c r="BK321" s="15" t="n">
        <f aca="false">INDEX(Ipotesi!$C$68:$G$68,1,F321)*(1-Ipotesi!$C$69)/12</f>
        <v>2400</v>
      </c>
      <c r="BL321" s="15" t="n">
        <f aca="false">(AQ321+BF321)*Ipotesi!$C$67</f>
        <v>765.604637784543</v>
      </c>
      <c r="BM321" s="15" t="n">
        <f aca="false">AM321*Ipotesi!$C$67</f>
        <v>1019.43661971831</v>
      </c>
      <c r="BN321" s="15" t="n">
        <f aca="false">INDEX(Ipotesi!$C$72:$G$72,1,F321)/12*Ipotesi!H126+BF321*Ipotesi!$C$73</f>
        <v>1581.61236742545</v>
      </c>
      <c r="BO321" s="15" t="n">
        <f aca="false">INDEX(Ipotesi!$C$74:$G$74,1,F321)/12*Ipotesi!H126</f>
        <v>1833.33333333333</v>
      </c>
      <c r="BP321" s="15" t="n">
        <f aca="false">INDEX(Ipotesi!$C$76:$G$76,1,F321)/12</f>
        <v>750</v>
      </c>
      <c r="BQ321" s="15" t="n">
        <f aca="false">INDEX(Ipotesi!$C$77:$G$77,1,F321)/12*Ipotesi!H126</f>
        <v>1666.66666666667</v>
      </c>
      <c r="BR321" s="15" t="n">
        <f aca="false">INDEX(Ipotesi!$C$78:$G$78,1,F321)/12</f>
        <v>1250</v>
      </c>
      <c r="BS321" s="15" t="n">
        <f aca="false">SUM(M321:R321)*(Ipotesi!$C$85+Ipotesi!$C$86)/12</f>
        <v>2625</v>
      </c>
      <c r="BT321" s="15" t="n">
        <f aca="false">BI321*Ipotesi!$C$87</f>
        <v>867.548299756374</v>
      </c>
      <c r="BU321" s="15" t="n">
        <f aca="false">INDEX(Ipotesi!$C$55:$G$55,1,F321)*K321/12</f>
        <v>1000</v>
      </c>
      <c r="BV321" s="15" t="n">
        <f aca="false">INDEX(Ipotesi!$C$80:$G$80,1,F321)/12*Ipotesi!H126</f>
        <v>833.333333333333</v>
      </c>
      <c r="BW321" s="15" t="n">
        <f aca="false">INDEX(Ipotesi!$C$82:$G$82,1,F321)/12</f>
        <v>666.666666666667</v>
      </c>
      <c r="BX321" s="15" t="n">
        <f aca="false">INDEX(Ipotesi!$C$83:$G$83,1,F321)/12</f>
        <v>583.333333333333</v>
      </c>
      <c r="BY321" s="15" t="n">
        <f aca="false">SUM(S321:U321)*(Ipotesi!$C$85+Ipotesi!$C$86)/12</f>
        <v>1166.66666666667</v>
      </c>
      <c r="BZ321" s="15" t="n">
        <f aca="false">AM321*Ipotesi!$C$87</f>
        <v>1019.43661971831</v>
      </c>
      <c r="CA321" s="15" t="n">
        <f aca="false">AB321+BJ321+BL321+BN321+BO321+AR321+BP321+BQ321+BR321+BS321+BT321</f>
        <v>57285.5986382997</v>
      </c>
      <c r="CB321" s="15" t="n">
        <f aca="false">AC321+BK321+BM321+BH321+BU321+BV321+AS321+BW321+BX321+BY321+BZ321</f>
        <v>28885.3286384976</v>
      </c>
      <c r="CC321" s="15" t="n">
        <f aca="false">BI321-CA321</f>
        <v>-28367.3219797539</v>
      </c>
      <c r="CD321" s="15" t="n">
        <f aca="false">AM321-CB321</f>
        <v>5095.89201877934</v>
      </c>
      <c r="CE321" s="15" t="n">
        <f aca="false">INDEX(Ipotesi!$C$79:$G$79,1,F321)/12</f>
        <v>2083.33333333333</v>
      </c>
      <c r="CF321" s="15" t="n">
        <f aca="false">INDEX(Ipotesi!$C$84:$G$84,1,F321)/12</f>
        <v>416.666666666667</v>
      </c>
      <c r="CG321" s="15" t="n">
        <f aca="false">Y321*MAX(0,Parametri_v3!$C$12-IF(P321=0,0,MIN(1,BE321/(P321*Parametri_v3!$C$22))))+W321*Parametri_v3!$C$13+X321*Parametri_v3!$C$14</f>
        <v>15345.4780128413</v>
      </c>
      <c r="CH321" s="15" t="n">
        <f aca="false">AB321*Parametri_v3!$C$32</f>
        <v>1988.125</v>
      </c>
      <c r="CI321" s="15" t="n">
        <f aca="false">AC321*Parametri_v3!$C$32</f>
        <v>798.25</v>
      </c>
      <c r="CJ321" s="15" t="n">
        <f aca="false">CA321-AB321</f>
        <v>17523.0986382997</v>
      </c>
      <c r="CK321" s="15" t="n">
        <f aca="false">CB321-AC321-BH321</f>
        <v>9522.20657276995</v>
      </c>
      <c r="CL321" s="15" t="n">
        <f aca="false">BF321*Ipotesi!$C$73+INDEX(Ipotesi!$C$72:$G$72,1,F321)/12*Ipotesi!H126*Parametri_v3!$C$58+Z321*(1-Parametri_v3!$C$16)</f>
        <v>3319.73736742545</v>
      </c>
      <c r="CM321" s="16" t="n">
        <f aca="false">IF(BF321=0,0,1-CL321/BF321)</f>
        <v>0.199128212690252</v>
      </c>
    </row>
    <row r="322" customFormat="false" ht="18" hidden="false" customHeight="true" outlineLevel="0" collapsed="false">
      <c r="A322" s="68" t="n">
        <f aca="false">6</f>
        <v>6</v>
      </c>
      <c r="B322" s="68" t="n">
        <f aca="false">18</f>
        <v>18</v>
      </c>
      <c r="C322" s="18" t="n">
        <f aca="false">EDATE(Parametri_v3!$C$5,18-1)</f>
        <v>46905</v>
      </c>
      <c r="D322" s="68" t="n">
        <f aca="false">YEAR(C322)</f>
        <v>2028</v>
      </c>
      <c r="E322" s="68" t="n">
        <f aca="false">MONTH(C322)</f>
        <v>6</v>
      </c>
      <c r="F322" s="68" t="n">
        <f aca="false">INT((18-1)/12)+1</f>
        <v>2</v>
      </c>
      <c r="G322" s="15" t="n">
        <f aca="false">Ipotesi!H7</f>
        <v>1</v>
      </c>
      <c r="H322" s="15" t="n">
        <f aca="false">Ipotesi!H9</f>
        <v>1</v>
      </c>
      <c r="I322" s="15" t="n">
        <f aca="false">Ipotesi!H10</f>
        <v>1</v>
      </c>
      <c r="J322" s="15" t="n">
        <f aca="false">Ipotesi!H11</f>
        <v>1</v>
      </c>
      <c r="K322" s="15" t="n">
        <f aca="false">Ipotesi!H12</f>
        <v>1</v>
      </c>
      <c r="L322" s="15" t="n">
        <f aca="false">Ipotesi!H13</f>
        <v>90</v>
      </c>
      <c r="M322" s="17" t="n">
        <f aca="false">INDEX(Ipotesi!$C$40:$G$40,1,F322)</f>
        <v>1</v>
      </c>
      <c r="N322" s="17" t="n">
        <f aca="false">INDEX(Ipotesi!$C$41:$G$41,1,F322)</f>
        <v>1</v>
      </c>
      <c r="O322" s="17" t="n">
        <f aca="false">INDEX(Ipotesi!$C$42:$G$42,1,F322)*Ipotesi!H125</f>
        <v>2.5</v>
      </c>
      <c r="P322" s="17" t="n">
        <f aca="false">INDEX(Ipotesi!$C$43:$G$43,1,F322)*I322</f>
        <v>2.5</v>
      </c>
      <c r="Q322" s="17" t="n">
        <f aca="false">INDEX(Ipotesi!$C$44:$G$44,1,F322)*I322</f>
        <v>1.5</v>
      </c>
      <c r="R322" s="17" t="n">
        <f aca="false">INDEX(Ipotesi!$C$45:$G$45,1,F322)*I322</f>
        <v>0.5</v>
      </c>
      <c r="S322" s="17" t="n">
        <f aca="false">INDEX(Ipotesi!$C$52:$G$52,1,F322)*Ipotesi!H125</f>
        <v>3</v>
      </c>
      <c r="T322" s="17" t="n">
        <f aca="false">INDEX(Ipotesi!$C$53:$G$53,1,F322)*I322</f>
        <v>1</v>
      </c>
      <c r="U322" s="17" t="n">
        <f aca="false">INDEX(Ipotesi!$C$54:$G$54,1,F322)*I322</f>
        <v>0</v>
      </c>
      <c r="V322" s="15" t="n">
        <f aca="false">M322*INDEX(Ipotesi!$C$58:$G$58,1,F322)*K322/12</f>
        <v>5000</v>
      </c>
      <c r="W322" s="15" t="n">
        <f aca="false">N322*Ipotesi!$C$59*(1+Ipotesi!$C$66)^(F322-1)/12</f>
        <v>6008.33333333333</v>
      </c>
      <c r="X322" s="15" t="n">
        <f aca="false">O322*Ipotesi!$C$60*(1+Ipotesi!$C$66)^(F322-1)/12</f>
        <v>10729.1666666667</v>
      </c>
      <c r="Y322" s="15" t="n">
        <f aca="false">P322*Ipotesi!$C$61*(1+Ipotesi!$C$66)^(F322-1)/12</f>
        <v>10729.1666666667</v>
      </c>
      <c r="Z322" s="15" t="n">
        <f aca="false">Q322*Ipotesi!$C$62*(1+Ipotesi!$C$66)^(F322-1)/12</f>
        <v>5793.75</v>
      </c>
      <c r="AA322" s="15" t="n">
        <f aca="false">R322*Ipotesi!$C$63*(1+Ipotesi!$C$66)^(F322-1)/12</f>
        <v>1502.08333333333</v>
      </c>
      <c r="AB322" s="15" t="n">
        <f aca="false">SUM(V322:AA322)</f>
        <v>39762.5</v>
      </c>
      <c r="AC322" s="15" t="n">
        <f aca="false">(S322*Ipotesi!$C$64+T322*Ipotesi!$C$65+U322*Ipotesi!$C$63)*(1+Ipotesi!$C$66)^(F322-1)/12</f>
        <v>15965</v>
      </c>
      <c r="AD322" s="15" t="n">
        <f aca="false">INDEX(Ipotesi!$C$48:$G$48,1,F322)*G322/12</f>
        <v>37.5</v>
      </c>
      <c r="AE322" s="15" t="n">
        <f aca="false">INDEX(Ipotesi!$C$50:$G$50,1,F322)*G322/12</f>
        <v>4.58333333333333</v>
      </c>
      <c r="AF322" s="15" t="n">
        <f aca="false">(S322*Parametri_v3!$C$7*Parametri_v3!$C$8+Parametri_v3!$C$10)/12</f>
        <v>38.5</v>
      </c>
      <c r="AG322" s="15" t="n">
        <f aca="false">AD322+AE322*(1+Parametri_v3!$C$9)</f>
        <v>44.375</v>
      </c>
      <c r="AH322" s="16" t="n">
        <f aca="false">IF(AG322=0,1,MIN(1,AF322/AG322))</f>
        <v>0.867605633802817</v>
      </c>
      <c r="AI322" s="15" t="n">
        <f aca="false">AD322*AH322</f>
        <v>32.5352112676056</v>
      </c>
      <c r="AJ322" s="15" t="n">
        <f aca="false">AE322*AH322</f>
        <v>3.97652582159624</v>
      </c>
      <c r="AK322" s="15" t="n">
        <f aca="false">AI322*INDEX(Ipotesi!$C$49:$G$49,1,F322)*H322</f>
        <v>26028.1690140845</v>
      </c>
      <c r="AL322" s="15" t="n">
        <f aca="false">AJ322*INDEX(Ipotesi!$C$51:$G$51,1,F322)*H322</f>
        <v>7953.05164319249</v>
      </c>
      <c r="AM322" s="15" t="n">
        <f aca="false">AK322+AL322</f>
        <v>33981.220657277</v>
      </c>
      <c r="AN322" s="15" t="n">
        <f aca="false">INDEX(Ipotesi!$C$30:$G$30,1,F322)*G322/12</f>
        <v>22.5</v>
      </c>
      <c r="AO322" s="15" t="n">
        <f aca="false">O322*Parametri_v3!$C$7*Parametri_v3!$C$11*(1-Parametri_v3!$C$14)/12</f>
        <v>25.6666666666667</v>
      </c>
      <c r="AP322" s="15" t="n">
        <f aca="false">MIN(AN322,AO322)</f>
        <v>22.5</v>
      </c>
      <c r="AQ322" s="15" t="n">
        <f aca="false">AP322*INDEX(Ipotesi!$C$31:$G$31,1,F322)*H322</f>
        <v>21375</v>
      </c>
      <c r="AR322" s="15" t="n">
        <f aca="false">INDEX(Ipotesi!$C$75:$G$75,1,F322)*J322/12</f>
        <v>4583.33333333333</v>
      </c>
      <c r="AS322" s="15" t="n">
        <f aca="false">INDEX(Ipotesi!$C$81:$G$81,1,F322)*J322/12</f>
        <v>833.333333333333</v>
      </c>
      <c r="AT322" s="15" t="n">
        <f aca="false">AR322*Parametri_v3!$C$15+Z322*Parametri_v3!$C$16</f>
        <v>8638.95833333333</v>
      </c>
      <c r="AU322" s="15" t="n">
        <f aca="false">Q322*Parametri_v3!$C$16*Parametri_v3!$C$17</f>
        <v>105</v>
      </c>
      <c r="AV322" s="17" t="n">
        <f aca="false">BD321</f>
        <v>13.8270193930493</v>
      </c>
      <c r="AW322" s="17" t="n">
        <f aca="false">AV322*(1-(1-INDEX(Ipotesi!$C$34:$G$34,1,F322))^(1/12))</f>
        <v>0.120870424197084</v>
      </c>
      <c r="AX322" s="15" t="n">
        <f aca="false">ROUND(INDEX(Ipotesi!$C$32:$G$32,1,F322)*Ipotesi!H8,0)</f>
        <v>35</v>
      </c>
      <c r="AY322" s="15" t="n">
        <f aca="false">MAX(0,(AX322-(AV322-AW322))/(13-E322))</f>
        <v>3.0419787187354</v>
      </c>
      <c r="AZ322" s="15" t="n">
        <f aca="false">MIN(P322*Parametri_v3!$C$22,Q322*(1-Parametri_v3!$C$16)*Parametri_v3!$C$23)</f>
        <v>67.5</v>
      </c>
      <c r="BA322" s="15" t="n">
        <f aca="false">IF(OR(INDEX(Ipotesi!$C$35:$G$35,1,F322)&lt;=0,18-Parametri_v3!$C$21&lt;1),0,INDEX($AT$305:$AT$364,MAX(1,18-Parametri_v3!$C$21))/(INDEX(Ipotesi!$C$35:$G$35,1,F322)*Ipotesi!H27))</f>
        <v>2.87965277777778</v>
      </c>
      <c r="BB322" s="15" t="n">
        <f aca="false">IF(18-Parametri_v3!$C$21&lt;1,0,INDEX($AU$305:$AU$364,MAX(1,18-Parametri_v3!$C$21)))*Parametri_v3!$C$18*Parametri_v3!$C$19*Parametri_v3!$C$20</f>
        <v>3.9375</v>
      </c>
      <c r="BC322" s="17" t="n">
        <f aca="false">MAX(0,MIN(AY322,BA322,BB322,MAX(0,AZ322-(AV322-AW322))))</f>
        <v>2.87965277777778</v>
      </c>
      <c r="BD322" s="17" t="n">
        <f aca="false">AV322-AW322+BC322</f>
        <v>16.58580174663</v>
      </c>
      <c r="BE322" s="17" t="n">
        <f aca="false">(AV322+BD322)/2</f>
        <v>15.2064105698396</v>
      </c>
      <c r="BF322" s="15" t="n">
        <f aca="false">BE322*INDEX(Ipotesi!$C$33:$G$33,1,F322)*H322/12</f>
        <v>5068.80352327988</v>
      </c>
      <c r="BG322" s="15" t="n">
        <f aca="false">BD322*INDEX(Ipotesi!$C$33:$G$33,1,F322)*H322</f>
        <v>66343.2069865199</v>
      </c>
      <c r="BH322" s="15" t="n">
        <f aca="false">AM322*INDEX(Ipotesi!$C$37:$G$37,1,F322)</f>
        <v>3398.1220657277</v>
      </c>
      <c r="BI322" s="15" t="n">
        <f aca="false">AQ322+BF322+BH322</f>
        <v>29841.9255890076</v>
      </c>
      <c r="BJ322" s="15" t="n">
        <f aca="false">INDEX(Ipotesi!$C$68:$G$68,1,F322)*Ipotesi!$C$69/12</f>
        <v>1600</v>
      </c>
      <c r="BK322" s="15" t="n">
        <f aca="false">INDEX(Ipotesi!$C$68:$G$68,1,F322)*(1-Ipotesi!$C$69)/12</f>
        <v>2400</v>
      </c>
      <c r="BL322" s="15" t="n">
        <f aca="false">(AQ322+BF322)*Ipotesi!$C$67</f>
        <v>793.314105698396</v>
      </c>
      <c r="BM322" s="15" t="n">
        <f aca="false">AM322*Ipotesi!$C$67</f>
        <v>1019.43661971831</v>
      </c>
      <c r="BN322" s="15" t="n">
        <f aca="false">INDEX(Ipotesi!$C$72:$G$72,1,F322)/12*Ipotesi!H126+BF322*Ipotesi!$C$73</f>
        <v>1655.50428186239</v>
      </c>
      <c r="BO322" s="15" t="n">
        <f aca="false">INDEX(Ipotesi!$C$74:$G$74,1,F322)/12*Ipotesi!H126</f>
        <v>1833.33333333333</v>
      </c>
      <c r="BP322" s="15" t="n">
        <f aca="false">INDEX(Ipotesi!$C$76:$G$76,1,F322)/12</f>
        <v>750</v>
      </c>
      <c r="BQ322" s="15" t="n">
        <f aca="false">INDEX(Ipotesi!$C$77:$G$77,1,F322)/12*Ipotesi!H126</f>
        <v>1666.66666666667</v>
      </c>
      <c r="BR322" s="15" t="n">
        <f aca="false">INDEX(Ipotesi!$C$78:$G$78,1,F322)/12</f>
        <v>1250</v>
      </c>
      <c r="BS322" s="15" t="n">
        <f aca="false">SUM(M322:R322)*(Ipotesi!$C$85+Ipotesi!$C$86)/12</f>
        <v>2625</v>
      </c>
      <c r="BT322" s="15" t="n">
        <f aca="false">BI322*Ipotesi!$C$87</f>
        <v>895.257767670227</v>
      </c>
      <c r="BU322" s="15" t="n">
        <f aca="false">INDEX(Ipotesi!$C$55:$G$55,1,F322)*K322/12</f>
        <v>1000</v>
      </c>
      <c r="BV322" s="15" t="n">
        <f aca="false">INDEX(Ipotesi!$C$80:$G$80,1,F322)/12*Ipotesi!H126</f>
        <v>833.333333333333</v>
      </c>
      <c r="BW322" s="15" t="n">
        <f aca="false">INDEX(Ipotesi!$C$82:$G$82,1,F322)/12</f>
        <v>666.666666666667</v>
      </c>
      <c r="BX322" s="15" t="n">
        <f aca="false">INDEX(Ipotesi!$C$83:$G$83,1,F322)/12</f>
        <v>583.333333333333</v>
      </c>
      <c r="BY322" s="15" t="n">
        <f aca="false">SUM(S322:U322)*(Ipotesi!$C$85+Ipotesi!$C$86)/12</f>
        <v>1166.66666666667</v>
      </c>
      <c r="BZ322" s="15" t="n">
        <f aca="false">AM322*Ipotesi!$C$87</f>
        <v>1019.43661971831</v>
      </c>
      <c r="CA322" s="15" t="n">
        <f aca="false">AB322+BJ322+BL322+BN322+BO322+AR322+BP322+BQ322+BR322+BS322+BT322</f>
        <v>57414.9094885644</v>
      </c>
      <c r="CB322" s="15" t="n">
        <f aca="false">AC322+BK322+BM322+BH322+BU322+BV322+AS322+BW322+BX322+BY322+BZ322</f>
        <v>28885.3286384976</v>
      </c>
      <c r="CC322" s="15" t="n">
        <f aca="false">BI322-CA322</f>
        <v>-27572.9838995568</v>
      </c>
      <c r="CD322" s="15" t="n">
        <f aca="false">AM322-CB322</f>
        <v>5095.89201877934</v>
      </c>
      <c r="CE322" s="15" t="n">
        <f aca="false">INDEX(Ipotesi!$C$79:$G$79,1,F322)/12</f>
        <v>2083.33333333333</v>
      </c>
      <c r="CF322" s="15" t="n">
        <f aca="false">INDEX(Ipotesi!$C$84:$G$84,1,F322)/12</f>
        <v>416.666666666667</v>
      </c>
      <c r="CG322" s="15" t="n">
        <f aca="false">Y322*MAX(0,Parametri_v3!$C$12-IF(P322=0,0,MIN(1,BE322/(P322*Parametri_v3!$C$22))))+W322*Parametri_v3!$C$13+X322*Parametri_v3!$C$14</f>
        <v>15226.5582130444</v>
      </c>
      <c r="CH322" s="15" t="n">
        <f aca="false">AB322*Parametri_v3!$C$32</f>
        <v>1988.125</v>
      </c>
      <c r="CI322" s="15" t="n">
        <f aca="false">AC322*Parametri_v3!$C$32</f>
        <v>798.25</v>
      </c>
      <c r="CJ322" s="15" t="n">
        <f aca="false">CA322-AB322</f>
        <v>17652.4094885644</v>
      </c>
      <c r="CK322" s="15" t="n">
        <f aca="false">CB322-AC322-BH322</f>
        <v>9522.20657276995</v>
      </c>
      <c r="CL322" s="15" t="n">
        <f aca="false">BF322*Ipotesi!$C$73+INDEX(Ipotesi!$C$72:$G$72,1,F322)/12*Ipotesi!H126*Parametri_v3!$C$58+Z322*(1-Parametri_v3!$C$16)</f>
        <v>3393.62928186239</v>
      </c>
      <c r="CM322" s="16" t="n">
        <f aca="false">IF(BF322=0,0,1-CL322/BF322)</f>
        <v>0.330487112732579</v>
      </c>
    </row>
    <row r="323" customFormat="false" ht="18" hidden="false" customHeight="true" outlineLevel="0" collapsed="false">
      <c r="A323" s="68" t="n">
        <f aca="false">6</f>
        <v>6</v>
      </c>
      <c r="B323" s="68" t="n">
        <f aca="false">19</f>
        <v>19</v>
      </c>
      <c r="C323" s="18" t="n">
        <f aca="false">EDATE(Parametri_v3!$C$5,19-1)</f>
        <v>46935</v>
      </c>
      <c r="D323" s="68" t="n">
        <f aca="false">YEAR(C323)</f>
        <v>2028</v>
      </c>
      <c r="E323" s="68" t="n">
        <f aca="false">MONTH(C323)</f>
        <v>7</v>
      </c>
      <c r="F323" s="68" t="n">
        <f aca="false">INT((19-1)/12)+1</f>
        <v>2</v>
      </c>
      <c r="G323" s="15" t="n">
        <f aca="false">Ipotesi!H7</f>
        <v>1</v>
      </c>
      <c r="H323" s="15" t="n">
        <f aca="false">Ipotesi!H9</f>
        <v>1</v>
      </c>
      <c r="I323" s="15" t="n">
        <f aca="false">Ipotesi!H10</f>
        <v>1</v>
      </c>
      <c r="J323" s="15" t="n">
        <f aca="false">Ipotesi!H11</f>
        <v>1</v>
      </c>
      <c r="K323" s="15" t="n">
        <f aca="false">Ipotesi!H12</f>
        <v>1</v>
      </c>
      <c r="L323" s="15" t="n">
        <f aca="false">Ipotesi!H13</f>
        <v>90</v>
      </c>
      <c r="M323" s="17" t="n">
        <f aca="false">INDEX(Ipotesi!$C$40:$G$40,1,F323)</f>
        <v>1</v>
      </c>
      <c r="N323" s="17" t="n">
        <f aca="false">INDEX(Ipotesi!$C$41:$G$41,1,F323)</f>
        <v>1</v>
      </c>
      <c r="O323" s="17" t="n">
        <f aca="false">INDEX(Ipotesi!$C$42:$G$42,1,F323)*Ipotesi!H125</f>
        <v>2.5</v>
      </c>
      <c r="P323" s="17" t="n">
        <f aca="false">INDEX(Ipotesi!$C$43:$G$43,1,F323)*I323</f>
        <v>2.5</v>
      </c>
      <c r="Q323" s="17" t="n">
        <f aca="false">INDEX(Ipotesi!$C$44:$G$44,1,F323)*I323</f>
        <v>1.5</v>
      </c>
      <c r="R323" s="17" t="n">
        <f aca="false">INDEX(Ipotesi!$C$45:$G$45,1,F323)*I323</f>
        <v>0.5</v>
      </c>
      <c r="S323" s="17" t="n">
        <f aca="false">INDEX(Ipotesi!$C$52:$G$52,1,F323)*Ipotesi!H125</f>
        <v>3</v>
      </c>
      <c r="T323" s="17" t="n">
        <f aca="false">INDEX(Ipotesi!$C$53:$G$53,1,F323)*I323</f>
        <v>1</v>
      </c>
      <c r="U323" s="17" t="n">
        <f aca="false">INDEX(Ipotesi!$C$54:$G$54,1,F323)*I323</f>
        <v>0</v>
      </c>
      <c r="V323" s="15" t="n">
        <f aca="false">M323*INDEX(Ipotesi!$C$58:$G$58,1,F323)*K323/12</f>
        <v>5000</v>
      </c>
      <c r="W323" s="15" t="n">
        <f aca="false">N323*Ipotesi!$C$59*(1+Ipotesi!$C$66)^(F323-1)/12</f>
        <v>6008.33333333333</v>
      </c>
      <c r="X323" s="15" t="n">
        <f aca="false">O323*Ipotesi!$C$60*(1+Ipotesi!$C$66)^(F323-1)/12</f>
        <v>10729.1666666667</v>
      </c>
      <c r="Y323" s="15" t="n">
        <f aca="false">P323*Ipotesi!$C$61*(1+Ipotesi!$C$66)^(F323-1)/12</f>
        <v>10729.1666666667</v>
      </c>
      <c r="Z323" s="15" t="n">
        <f aca="false">Q323*Ipotesi!$C$62*(1+Ipotesi!$C$66)^(F323-1)/12</f>
        <v>5793.75</v>
      </c>
      <c r="AA323" s="15" t="n">
        <f aca="false">R323*Ipotesi!$C$63*(1+Ipotesi!$C$66)^(F323-1)/12</f>
        <v>1502.08333333333</v>
      </c>
      <c r="AB323" s="15" t="n">
        <f aca="false">SUM(V323:AA323)</f>
        <v>39762.5</v>
      </c>
      <c r="AC323" s="15" t="n">
        <f aca="false">(S323*Ipotesi!$C$64+T323*Ipotesi!$C$65+U323*Ipotesi!$C$63)*(1+Ipotesi!$C$66)^(F323-1)/12</f>
        <v>15965</v>
      </c>
      <c r="AD323" s="15" t="n">
        <f aca="false">INDEX(Ipotesi!$C$48:$G$48,1,F323)*G323/12</f>
        <v>37.5</v>
      </c>
      <c r="AE323" s="15" t="n">
        <f aca="false">INDEX(Ipotesi!$C$50:$G$50,1,F323)*G323/12</f>
        <v>4.58333333333333</v>
      </c>
      <c r="AF323" s="15" t="n">
        <f aca="false">(S323*Parametri_v3!$C$7*Parametri_v3!$C$8+Parametri_v3!$C$10)/12</f>
        <v>38.5</v>
      </c>
      <c r="AG323" s="15" t="n">
        <f aca="false">AD323+AE323*(1+Parametri_v3!$C$9)</f>
        <v>44.375</v>
      </c>
      <c r="AH323" s="16" t="n">
        <f aca="false">IF(AG323=0,1,MIN(1,AF323/AG323))</f>
        <v>0.867605633802817</v>
      </c>
      <c r="AI323" s="15" t="n">
        <f aca="false">AD323*AH323</f>
        <v>32.5352112676056</v>
      </c>
      <c r="AJ323" s="15" t="n">
        <f aca="false">AE323*AH323</f>
        <v>3.97652582159624</v>
      </c>
      <c r="AK323" s="15" t="n">
        <f aca="false">AI323*INDEX(Ipotesi!$C$49:$G$49,1,F323)*H323</f>
        <v>26028.1690140845</v>
      </c>
      <c r="AL323" s="15" t="n">
        <f aca="false">AJ323*INDEX(Ipotesi!$C$51:$G$51,1,F323)*H323</f>
        <v>7953.05164319249</v>
      </c>
      <c r="AM323" s="15" t="n">
        <f aca="false">AK323+AL323</f>
        <v>33981.220657277</v>
      </c>
      <c r="AN323" s="15" t="n">
        <f aca="false">INDEX(Ipotesi!$C$30:$G$30,1,F323)*G323/12</f>
        <v>22.5</v>
      </c>
      <c r="AO323" s="15" t="n">
        <f aca="false">O323*Parametri_v3!$C$7*Parametri_v3!$C$11*(1-Parametri_v3!$C$14)/12</f>
        <v>25.6666666666667</v>
      </c>
      <c r="AP323" s="15" t="n">
        <f aca="false">MIN(AN323,AO323)</f>
        <v>22.5</v>
      </c>
      <c r="AQ323" s="15" t="n">
        <f aca="false">AP323*INDEX(Ipotesi!$C$31:$G$31,1,F323)*H323</f>
        <v>21375</v>
      </c>
      <c r="AR323" s="15" t="n">
        <f aca="false">INDEX(Ipotesi!$C$75:$G$75,1,F323)*J323/12</f>
        <v>4583.33333333333</v>
      </c>
      <c r="AS323" s="15" t="n">
        <f aca="false">INDEX(Ipotesi!$C$81:$G$81,1,F323)*J323/12</f>
        <v>833.333333333333</v>
      </c>
      <c r="AT323" s="15" t="n">
        <f aca="false">AR323*Parametri_v3!$C$15+Z323*Parametri_v3!$C$16</f>
        <v>8638.95833333333</v>
      </c>
      <c r="AU323" s="15" t="n">
        <f aca="false">Q323*Parametri_v3!$C$16*Parametri_v3!$C$17</f>
        <v>105</v>
      </c>
      <c r="AV323" s="17" t="n">
        <f aca="false">BD322</f>
        <v>16.58580174663</v>
      </c>
      <c r="AW323" s="17" t="n">
        <f aca="false">AV323*(1-(1-INDEX(Ipotesi!$C$34:$G$34,1,F323))^(1/12))</f>
        <v>0.144986626240769</v>
      </c>
      <c r="AX323" s="15" t="n">
        <f aca="false">ROUND(INDEX(Ipotesi!$C$32:$G$32,1,F323)*Ipotesi!H8,0)</f>
        <v>35</v>
      </c>
      <c r="AY323" s="15" t="n">
        <f aca="false">MAX(0,(AX323-(AV323-AW323))/(13-E323))</f>
        <v>3.09319747993513</v>
      </c>
      <c r="AZ323" s="15" t="n">
        <f aca="false">MIN(P323*Parametri_v3!$C$22,Q323*(1-Parametri_v3!$C$16)*Parametri_v3!$C$23)</f>
        <v>67.5</v>
      </c>
      <c r="BA323" s="15" t="n">
        <f aca="false">IF(OR(INDEX(Ipotesi!$C$35:$G$35,1,F323)&lt;=0,19-Parametri_v3!$C$21&lt;1),0,INDEX($AT$305:$AT$364,MAX(1,19-Parametri_v3!$C$21))/(INDEX(Ipotesi!$C$35:$G$35,1,F323)*Ipotesi!H27))</f>
        <v>2.87965277777778</v>
      </c>
      <c r="BB323" s="15" t="n">
        <f aca="false">IF(19-Parametri_v3!$C$21&lt;1,0,INDEX($AU$305:$AU$364,MAX(1,19-Parametri_v3!$C$21)))*Parametri_v3!$C$18*Parametri_v3!$C$19*Parametri_v3!$C$20</f>
        <v>3.9375</v>
      </c>
      <c r="BC323" s="17" t="n">
        <f aca="false">MAX(0,MIN(AY323,BA323,BB323,MAX(0,AZ323-(AV323-AW323))))</f>
        <v>2.87965277777778</v>
      </c>
      <c r="BD323" s="17" t="n">
        <f aca="false">AV323-AW323+BC323</f>
        <v>19.320467898167</v>
      </c>
      <c r="BE323" s="17" t="n">
        <f aca="false">(AV323+BD323)/2</f>
        <v>17.9531348223985</v>
      </c>
      <c r="BF323" s="15" t="n">
        <f aca="false">BE323*INDEX(Ipotesi!$C$33:$G$33,1,F323)*H323/12</f>
        <v>5984.37827413283</v>
      </c>
      <c r="BG323" s="15" t="n">
        <f aca="false">BD323*INDEX(Ipotesi!$C$33:$G$33,1,F323)*H323</f>
        <v>77281.871592668</v>
      </c>
      <c r="BH323" s="15" t="n">
        <f aca="false">AM323*INDEX(Ipotesi!$C$37:$G$37,1,F323)</f>
        <v>3398.1220657277</v>
      </c>
      <c r="BI323" s="15" t="n">
        <f aca="false">AQ323+BF323+BH323</f>
        <v>30757.5003398605</v>
      </c>
      <c r="BJ323" s="15" t="n">
        <f aca="false">INDEX(Ipotesi!$C$68:$G$68,1,F323)*Ipotesi!$C$69/12</f>
        <v>1600</v>
      </c>
      <c r="BK323" s="15" t="n">
        <f aca="false">INDEX(Ipotesi!$C$68:$G$68,1,F323)*(1-Ipotesi!$C$69)/12</f>
        <v>2400</v>
      </c>
      <c r="BL323" s="15" t="n">
        <f aca="false">(AQ323+BF323)*Ipotesi!$C$67</f>
        <v>820.781348223985</v>
      </c>
      <c r="BM323" s="15" t="n">
        <f aca="false">AM323*Ipotesi!$C$67</f>
        <v>1019.43661971831</v>
      </c>
      <c r="BN323" s="15" t="n">
        <f aca="false">INDEX(Ipotesi!$C$72:$G$72,1,F323)/12*Ipotesi!H126+BF323*Ipotesi!$C$73</f>
        <v>1728.75026193063</v>
      </c>
      <c r="BO323" s="15" t="n">
        <f aca="false">INDEX(Ipotesi!$C$74:$G$74,1,F323)/12*Ipotesi!H126</f>
        <v>1833.33333333333</v>
      </c>
      <c r="BP323" s="15" t="n">
        <f aca="false">INDEX(Ipotesi!$C$76:$G$76,1,F323)/12</f>
        <v>750</v>
      </c>
      <c r="BQ323" s="15" t="n">
        <f aca="false">INDEX(Ipotesi!$C$77:$G$77,1,F323)/12*Ipotesi!H126</f>
        <v>1666.66666666667</v>
      </c>
      <c r="BR323" s="15" t="n">
        <f aca="false">INDEX(Ipotesi!$C$78:$G$78,1,F323)/12</f>
        <v>1250</v>
      </c>
      <c r="BS323" s="15" t="n">
        <f aca="false">SUM(M323:R323)*(Ipotesi!$C$85+Ipotesi!$C$86)/12</f>
        <v>2625</v>
      </c>
      <c r="BT323" s="15" t="n">
        <f aca="false">BI323*Ipotesi!$C$87</f>
        <v>922.725010195816</v>
      </c>
      <c r="BU323" s="15" t="n">
        <f aca="false">INDEX(Ipotesi!$C$55:$G$55,1,F323)*K323/12</f>
        <v>1000</v>
      </c>
      <c r="BV323" s="15" t="n">
        <f aca="false">INDEX(Ipotesi!$C$80:$G$80,1,F323)/12*Ipotesi!H126</f>
        <v>833.333333333333</v>
      </c>
      <c r="BW323" s="15" t="n">
        <f aca="false">INDEX(Ipotesi!$C$82:$G$82,1,F323)/12</f>
        <v>666.666666666667</v>
      </c>
      <c r="BX323" s="15" t="n">
        <f aca="false">INDEX(Ipotesi!$C$83:$G$83,1,F323)/12</f>
        <v>583.333333333333</v>
      </c>
      <c r="BY323" s="15" t="n">
        <f aca="false">SUM(S323:U323)*(Ipotesi!$C$85+Ipotesi!$C$86)/12</f>
        <v>1166.66666666667</v>
      </c>
      <c r="BZ323" s="15" t="n">
        <f aca="false">AM323*Ipotesi!$C$87</f>
        <v>1019.43661971831</v>
      </c>
      <c r="CA323" s="15" t="n">
        <f aca="false">AB323+BJ323+BL323+BN323+BO323+AR323+BP323+BQ323+BR323+BS323+BT323</f>
        <v>57543.0899536838</v>
      </c>
      <c r="CB323" s="15" t="n">
        <f aca="false">AC323+BK323+BM323+BH323+BU323+BV323+AS323+BW323+BX323+BY323+BZ323</f>
        <v>28885.3286384976</v>
      </c>
      <c r="CC323" s="15" t="n">
        <f aca="false">BI323-CA323</f>
        <v>-26785.5896138232</v>
      </c>
      <c r="CD323" s="15" t="n">
        <f aca="false">AM323-CB323</f>
        <v>5095.89201877934</v>
      </c>
      <c r="CE323" s="15" t="n">
        <f aca="false">INDEX(Ipotesi!$C$79:$G$79,1,F323)/12</f>
        <v>2083.33333333333</v>
      </c>
      <c r="CF323" s="15" t="n">
        <f aca="false">INDEX(Ipotesi!$C$84:$G$84,1,F323)/12</f>
        <v>416.666666666667</v>
      </c>
      <c r="CG323" s="15" t="n">
        <f aca="false">Y323*MAX(0,Parametri_v3!$C$12-IF(P323=0,0,MIN(1,BE323/(P323*Parametri_v3!$C$22))))+W323*Parametri_v3!$C$13+X323*Parametri_v3!$C$14</f>
        <v>15108.6779638721</v>
      </c>
      <c r="CH323" s="15" t="n">
        <f aca="false">AB323*Parametri_v3!$C$32</f>
        <v>1988.125</v>
      </c>
      <c r="CI323" s="15" t="n">
        <f aca="false">AC323*Parametri_v3!$C$32</f>
        <v>798.25</v>
      </c>
      <c r="CJ323" s="15" t="n">
        <f aca="false">CA323-AB323</f>
        <v>17780.5899536838</v>
      </c>
      <c r="CK323" s="15" t="n">
        <f aca="false">CB323-AC323-BH323</f>
        <v>9522.20657276995</v>
      </c>
      <c r="CL323" s="15" t="n">
        <f aca="false">BF323*Ipotesi!$C$73+INDEX(Ipotesi!$C$72:$G$72,1,F323)/12*Ipotesi!H126*Parametri_v3!$C$58+Z323*(1-Parametri_v3!$C$16)</f>
        <v>3466.87526193063</v>
      </c>
      <c r="CM323" s="16" t="n">
        <f aca="false">IF(BF323=0,0,1-CL323/BF323)</f>
        <v>0.420679124360166</v>
      </c>
    </row>
    <row r="324" customFormat="false" ht="18" hidden="false" customHeight="true" outlineLevel="0" collapsed="false">
      <c r="A324" s="68" t="n">
        <f aca="false">6</f>
        <v>6</v>
      </c>
      <c r="B324" s="68" t="n">
        <f aca="false">20</f>
        <v>20</v>
      </c>
      <c r="C324" s="18" t="n">
        <f aca="false">EDATE(Parametri_v3!$C$5,20-1)</f>
        <v>46966</v>
      </c>
      <c r="D324" s="68" t="n">
        <f aca="false">YEAR(C324)</f>
        <v>2028</v>
      </c>
      <c r="E324" s="68" t="n">
        <f aca="false">MONTH(C324)</f>
        <v>8</v>
      </c>
      <c r="F324" s="68" t="n">
        <f aca="false">INT((20-1)/12)+1</f>
        <v>2</v>
      </c>
      <c r="G324" s="15" t="n">
        <f aca="false">Ipotesi!H7</f>
        <v>1</v>
      </c>
      <c r="H324" s="15" t="n">
        <f aca="false">Ipotesi!H9</f>
        <v>1</v>
      </c>
      <c r="I324" s="15" t="n">
        <f aca="false">Ipotesi!H10</f>
        <v>1</v>
      </c>
      <c r="J324" s="15" t="n">
        <f aca="false">Ipotesi!H11</f>
        <v>1</v>
      </c>
      <c r="K324" s="15" t="n">
        <f aca="false">Ipotesi!H12</f>
        <v>1</v>
      </c>
      <c r="L324" s="15" t="n">
        <f aca="false">Ipotesi!H13</f>
        <v>90</v>
      </c>
      <c r="M324" s="17" t="n">
        <f aca="false">INDEX(Ipotesi!$C$40:$G$40,1,F324)</f>
        <v>1</v>
      </c>
      <c r="N324" s="17" t="n">
        <f aca="false">INDEX(Ipotesi!$C$41:$G$41,1,F324)</f>
        <v>1</v>
      </c>
      <c r="O324" s="17" t="n">
        <f aca="false">INDEX(Ipotesi!$C$42:$G$42,1,F324)*Ipotesi!H125</f>
        <v>2.5</v>
      </c>
      <c r="P324" s="17" t="n">
        <f aca="false">INDEX(Ipotesi!$C$43:$G$43,1,F324)*I324</f>
        <v>2.5</v>
      </c>
      <c r="Q324" s="17" t="n">
        <f aca="false">INDEX(Ipotesi!$C$44:$G$44,1,F324)*I324</f>
        <v>1.5</v>
      </c>
      <c r="R324" s="17" t="n">
        <f aca="false">INDEX(Ipotesi!$C$45:$G$45,1,F324)*I324</f>
        <v>0.5</v>
      </c>
      <c r="S324" s="17" t="n">
        <f aca="false">INDEX(Ipotesi!$C$52:$G$52,1,F324)*Ipotesi!H125</f>
        <v>3</v>
      </c>
      <c r="T324" s="17" t="n">
        <f aca="false">INDEX(Ipotesi!$C$53:$G$53,1,F324)*I324</f>
        <v>1</v>
      </c>
      <c r="U324" s="17" t="n">
        <f aca="false">INDEX(Ipotesi!$C$54:$G$54,1,F324)*I324</f>
        <v>0</v>
      </c>
      <c r="V324" s="15" t="n">
        <f aca="false">M324*INDEX(Ipotesi!$C$58:$G$58,1,F324)*K324/12</f>
        <v>5000</v>
      </c>
      <c r="W324" s="15" t="n">
        <f aca="false">N324*Ipotesi!$C$59*(1+Ipotesi!$C$66)^(F324-1)/12</f>
        <v>6008.33333333333</v>
      </c>
      <c r="X324" s="15" t="n">
        <f aca="false">O324*Ipotesi!$C$60*(1+Ipotesi!$C$66)^(F324-1)/12</f>
        <v>10729.1666666667</v>
      </c>
      <c r="Y324" s="15" t="n">
        <f aca="false">P324*Ipotesi!$C$61*(1+Ipotesi!$C$66)^(F324-1)/12</f>
        <v>10729.1666666667</v>
      </c>
      <c r="Z324" s="15" t="n">
        <f aca="false">Q324*Ipotesi!$C$62*(1+Ipotesi!$C$66)^(F324-1)/12</f>
        <v>5793.75</v>
      </c>
      <c r="AA324" s="15" t="n">
        <f aca="false">R324*Ipotesi!$C$63*(1+Ipotesi!$C$66)^(F324-1)/12</f>
        <v>1502.08333333333</v>
      </c>
      <c r="AB324" s="15" t="n">
        <f aca="false">SUM(V324:AA324)</f>
        <v>39762.5</v>
      </c>
      <c r="AC324" s="15" t="n">
        <f aca="false">(S324*Ipotesi!$C$64+T324*Ipotesi!$C$65+U324*Ipotesi!$C$63)*(1+Ipotesi!$C$66)^(F324-1)/12</f>
        <v>15965</v>
      </c>
      <c r="AD324" s="15" t="n">
        <f aca="false">INDEX(Ipotesi!$C$48:$G$48,1,F324)*G324/12</f>
        <v>37.5</v>
      </c>
      <c r="AE324" s="15" t="n">
        <f aca="false">INDEX(Ipotesi!$C$50:$G$50,1,F324)*G324/12</f>
        <v>4.58333333333333</v>
      </c>
      <c r="AF324" s="15" t="n">
        <f aca="false">(S324*Parametri_v3!$C$7*Parametri_v3!$C$8+Parametri_v3!$C$10)/12</f>
        <v>38.5</v>
      </c>
      <c r="AG324" s="15" t="n">
        <f aca="false">AD324+AE324*(1+Parametri_v3!$C$9)</f>
        <v>44.375</v>
      </c>
      <c r="AH324" s="16" t="n">
        <f aca="false">IF(AG324=0,1,MIN(1,AF324/AG324))</f>
        <v>0.867605633802817</v>
      </c>
      <c r="AI324" s="15" t="n">
        <f aca="false">AD324*AH324</f>
        <v>32.5352112676056</v>
      </c>
      <c r="AJ324" s="15" t="n">
        <f aca="false">AE324*AH324</f>
        <v>3.97652582159624</v>
      </c>
      <c r="AK324" s="15" t="n">
        <f aca="false">AI324*INDEX(Ipotesi!$C$49:$G$49,1,F324)*H324</f>
        <v>26028.1690140845</v>
      </c>
      <c r="AL324" s="15" t="n">
        <f aca="false">AJ324*INDEX(Ipotesi!$C$51:$G$51,1,F324)*H324</f>
        <v>7953.05164319249</v>
      </c>
      <c r="AM324" s="15" t="n">
        <f aca="false">AK324+AL324</f>
        <v>33981.220657277</v>
      </c>
      <c r="AN324" s="15" t="n">
        <f aca="false">INDEX(Ipotesi!$C$30:$G$30,1,F324)*G324/12</f>
        <v>22.5</v>
      </c>
      <c r="AO324" s="15" t="n">
        <f aca="false">O324*Parametri_v3!$C$7*Parametri_v3!$C$11*(1-Parametri_v3!$C$14)/12</f>
        <v>25.6666666666667</v>
      </c>
      <c r="AP324" s="15" t="n">
        <f aca="false">MIN(AN324,AO324)</f>
        <v>22.5</v>
      </c>
      <c r="AQ324" s="15" t="n">
        <f aca="false">AP324*INDEX(Ipotesi!$C$31:$G$31,1,F324)*H324</f>
        <v>21375</v>
      </c>
      <c r="AR324" s="15" t="n">
        <f aca="false">INDEX(Ipotesi!$C$75:$G$75,1,F324)*J324/12</f>
        <v>4583.33333333333</v>
      </c>
      <c r="AS324" s="15" t="n">
        <f aca="false">INDEX(Ipotesi!$C$81:$G$81,1,F324)*J324/12</f>
        <v>833.333333333333</v>
      </c>
      <c r="AT324" s="15" t="n">
        <f aca="false">AR324*Parametri_v3!$C$15+Z324*Parametri_v3!$C$16</f>
        <v>8638.95833333333</v>
      </c>
      <c r="AU324" s="15" t="n">
        <f aca="false">Q324*Parametri_v3!$C$16*Parametri_v3!$C$17</f>
        <v>105</v>
      </c>
      <c r="AV324" s="17" t="n">
        <f aca="false">BD323</f>
        <v>19.320467898167</v>
      </c>
      <c r="AW324" s="17" t="n">
        <f aca="false">AV324*(1-(1-INDEX(Ipotesi!$C$34:$G$34,1,F324))^(1/12))</f>
        <v>0.168892013828483</v>
      </c>
      <c r="AX324" s="15" t="n">
        <f aca="false">ROUND(INDEX(Ipotesi!$C$32:$G$32,1,F324)*Ipotesi!H8,0)</f>
        <v>35</v>
      </c>
      <c r="AY324" s="15" t="n">
        <f aca="false">MAX(0,(AX324-(AV324-AW324))/(13-E324))</f>
        <v>3.1696848231323</v>
      </c>
      <c r="AZ324" s="15" t="n">
        <f aca="false">MIN(P324*Parametri_v3!$C$22,Q324*(1-Parametri_v3!$C$16)*Parametri_v3!$C$23)</f>
        <v>67.5</v>
      </c>
      <c r="BA324" s="15" t="n">
        <f aca="false">IF(OR(INDEX(Ipotesi!$C$35:$G$35,1,F324)&lt;=0,20-Parametri_v3!$C$21&lt;1),0,INDEX($AT$305:$AT$364,MAX(1,20-Parametri_v3!$C$21))/(INDEX(Ipotesi!$C$35:$G$35,1,F324)*Ipotesi!H27))</f>
        <v>2.87965277777778</v>
      </c>
      <c r="BB324" s="15" t="n">
        <f aca="false">IF(20-Parametri_v3!$C$21&lt;1,0,INDEX($AU$305:$AU$364,MAX(1,20-Parametri_v3!$C$21)))*Parametri_v3!$C$18*Parametri_v3!$C$19*Parametri_v3!$C$20</f>
        <v>3.9375</v>
      </c>
      <c r="BC324" s="17" t="n">
        <f aca="false">MAX(0,MIN(AY324,BA324,BB324,MAX(0,AZ324-(AV324-AW324))))</f>
        <v>2.87965277777778</v>
      </c>
      <c r="BD324" s="17" t="n">
        <f aca="false">AV324-AW324+BC324</f>
        <v>22.0312286621163</v>
      </c>
      <c r="BE324" s="17" t="n">
        <f aca="false">(AV324+BD324)/2</f>
        <v>20.6758482801416</v>
      </c>
      <c r="BF324" s="15" t="n">
        <f aca="false">BE324*INDEX(Ipotesi!$C$33:$G$33,1,F324)*H324/12</f>
        <v>6891.94942671388</v>
      </c>
      <c r="BG324" s="15" t="n">
        <f aca="false">BD324*INDEX(Ipotesi!$C$33:$G$33,1,F324)*H324</f>
        <v>88124.9146484652</v>
      </c>
      <c r="BH324" s="15" t="n">
        <f aca="false">AM324*INDEX(Ipotesi!$C$37:$G$37,1,F324)</f>
        <v>3398.1220657277</v>
      </c>
      <c r="BI324" s="15" t="n">
        <f aca="false">AQ324+BF324+BH324</f>
        <v>31665.0714924416</v>
      </c>
      <c r="BJ324" s="15" t="n">
        <f aca="false">INDEX(Ipotesi!$C$68:$G$68,1,F324)*Ipotesi!$C$69/12</f>
        <v>1600</v>
      </c>
      <c r="BK324" s="15" t="n">
        <f aca="false">INDEX(Ipotesi!$C$68:$G$68,1,F324)*(1-Ipotesi!$C$69)/12</f>
        <v>2400</v>
      </c>
      <c r="BL324" s="15" t="n">
        <f aca="false">(AQ324+BF324)*Ipotesi!$C$67</f>
        <v>848.008482801416</v>
      </c>
      <c r="BM324" s="15" t="n">
        <f aca="false">AM324*Ipotesi!$C$67</f>
        <v>1019.43661971831</v>
      </c>
      <c r="BN324" s="15" t="n">
        <f aca="false">INDEX(Ipotesi!$C$72:$G$72,1,F324)/12*Ipotesi!H126+BF324*Ipotesi!$C$73</f>
        <v>1801.35595413711</v>
      </c>
      <c r="BO324" s="15" t="n">
        <f aca="false">INDEX(Ipotesi!$C$74:$G$74,1,F324)/12*Ipotesi!H126</f>
        <v>1833.33333333333</v>
      </c>
      <c r="BP324" s="15" t="n">
        <f aca="false">INDEX(Ipotesi!$C$76:$G$76,1,F324)/12</f>
        <v>750</v>
      </c>
      <c r="BQ324" s="15" t="n">
        <f aca="false">INDEX(Ipotesi!$C$77:$G$77,1,F324)/12*Ipotesi!H126</f>
        <v>1666.66666666667</v>
      </c>
      <c r="BR324" s="15" t="n">
        <f aca="false">INDEX(Ipotesi!$C$78:$G$78,1,F324)/12</f>
        <v>1250</v>
      </c>
      <c r="BS324" s="15" t="n">
        <f aca="false">SUM(M324:R324)*(Ipotesi!$C$85+Ipotesi!$C$86)/12</f>
        <v>2625</v>
      </c>
      <c r="BT324" s="15" t="n">
        <f aca="false">BI324*Ipotesi!$C$87</f>
        <v>949.952144773247</v>
      </c>
      <c r="BU324" s="15" t="n">
        <f aca="false">INDEX(Ipotesi!$C$55:$G$55,1,F324)*K324/12</f>
        <v>1000</v>
      </c>
      <c r="BV324" s="15" t="n">
        <f aca="false">INDEX(Ipotesi!$C$80:$G$80,1,F324)/12*Ipotesi!H126</f>
        <v>833.333333333333</v>
      </c>
      <c r="BW324" s="15" t="n">
        <f aca="false">INDEX(Ipotesi!$C$82:$G$82,1,F324)/12</f>
        <v>666.666666666667</v>
      </c>
      <c r="BX324" s="15" t="n">
        <f aca="false">INDEX(Ipotesi!$C$83:$G$83,1,F324)/12</f>
        <v>583.333333333333</v>
      </c>
      <c r="BY324" s="15" t="n">
        <f aca="false">SUM(S324:U324)*(Ipotesi!$C$85+Ipotesi!$C$86)/12</f>
        <v>1166.66666666667</v>
      </c>
      <c r="BZ324" s="15" t="n">
        <f aca="false">AM324*Ipotesi!$C$87</f>
        <v>1019.43661971831</v>
      </c>
      <c r="CA324" s="15" t="n">
        <f aca="false">AB324+BJ324+BL324+BN324+BO324+AR324+BP324+BQ324+BR324+BS324+BT324</f>
        <v>57670.1499150451</v>
      </c>
      <c r="CB324" s="15" t="n">
        <f aca="false">AC324+BK324+BM324+BH324+BU324+BV324+AS324+BW324+BX324+BY324+BZ324</f>
        <v>28885.3286384976</v>
      </c>
      <c r="CC324" s="15" t="n">
        <f aca="false">BI324-CA324</f>
        <v>-26005.0784226035</v>
      </c>
      <c r="CD324" s="15" t="n">
        <f aca="false">AM324-CB324</f>
        <v>5095.89201877934</v>
      </c>
      <c r="CE324" s="15" t="n">
        <f aca="false">INDEX(Ipotesi!$C$79:$G$79,1,F324)/12</f>
        <v>2083.33333333333</v>
      </c>
      <c r="CF324" s="15" t="n">
        <f aca="false">INDEX(Ipotesi!$C$84:$G$84,1,F324)/12</f>
        <v>416.666666666667</v>
      </c>
      <c r="CG324" s="15" t="n">
        <f aca="false">Y324*MAX(0,Parametri_v3!$C$12-IF(P324=0,0,MIN(1,BE324/(P324*Parametri_v3!$C$22))))+W324*Parametri_v3!$C$13+X324*Parametri_v3!$C$14</f>
        <v>14991.8281779773</v>
      </c>
      <c r="CH324" s="15" t="n">
        <f aca="false">AB324*Parametri_v3!$C$32</f>
        <v>1988.125</v>
      </c>
      <c r="CI324" s="15" t="n">
        <f aca="false">AC324*Parametri_v3!$C$32</f>
        <v>798.25</v>
      </c>
      <c r="CJ324" s="15" t="n">
        <f aca="false">CA324-AB324</f>
        <v>17907.6499150451</v>
      </c>
      <c r="CK324" s="15" t="n">
        <f aca="false">CB324-AC324-BH324</f>
        <v>9522.20657276995</v>
      </c>
      <c r="CL324" s="15" t="n">
        <f aca="false">BF324*Ipotesi!$C$73+INDEX(Ipotesi!$C$72:$G$72,1,F324)/12*Ipotesi!H126*Parametri_v3!$C$58+Z324*(1-Parametri_v3!$C$16)</f>
        <v>3539.48095413711</v>
      </c>
      <c r="CM324" s="16" t="n">
        <f aca="false">IF(BF324=0,0,1-CL324/BF324)</f>
        <v>0.48643254107209</v>
      </c>
    </row>
    <row r="325" customFormat="false" ht="18" hidden="false" customHeight="true" outlineLevel="0" collapsed="false">
      <c r="A325" s="68" t="n">
        <f aca="false">6</f>
        <v>6</v>
      </c>
      <c r="B325" s="68" t="n">
        <f aca="false">21</f>
        <v>21</v>
      </c>
      <c r="C325" s="18" t="n">
        <f aca="false">EDATE(Parametri_v3!$C$5,21-1)</f>
        <v>46997</v>
      </c>
      <c r="D325" s="68" t="n">
        <f aca="false">YEAR(C325)</f>
        <v>2028</v>
      </c>
      <c r="E325" s="68" t="n">
        <f aca="false">MONTH(C325)</f>
        <v>9</v>
      </c>
      <c r="F325" s="68" t="n">
        <f aca="false">INT((21-1)/12)+1</f>
        <v>2</v>
      </c>
      <c r="G325" s="15" t="n">
        <f aca="false">Ipotesi!H7</f>
        <v>1</v>
      </c>
      <c r="H325" s="15" t="n">
        <f aca="false">Ipotesi!H9</f>
        <v>1</v>
      </c>
      <c r="I325" s="15" t="n">
        <f aca="false">Ipotesi!H10</f>
        <v>1</v>
      </c>
      <c r="J325" s="15" t="n">
        <f aca="false">Ipotesi!H11</f>
        <v>1</v>
      </c>
      <c r="K325" s="15" t="n">
        <f aca="false">Ipotesi!H12</f>
        <v>1</v>
      </c>
      <c r="L325" s="15" t="n">
        <f aca="false">Ipotesi!H13</f>
        <v>90</v>
      </c>
      <c r="M325" s="17" t="n">
        <f aca="false">INDEX(Ipotesi!$C$40:$G$40,1,F325)</f>
        <v>1</v>
      </c>
      <c r="N325" s="17" t="n">
        <f aca="false">INDEX(Ipotesi!$C$41:$G$41,1,F325)</f>
        <v>1</v>
      </c>
      <c r="O325" s="17" t="n">
        <f aca="false">INDEX(Ipotesi!$C$42:$G$42,1,F325)*Ipotesi!H125</f>
        <v>2.5</v>
      </c>
      <c r="P325" s="17" t="n">
        <f aca="false">INDEX(Ipotesi!$C$43:$G$43,1,F325)*I325</f>
        <v>2.5</v>
      </c>
      <c r="Q325" s="17" t="n">
        <f aca="false">INDEX(Ipotesi!$C$44:$G$44,1,F325)*I325</f>
        <v>1.5</v>
      </c>
      <c r="R325" s="17" t="n">
        <f aca="false">INDEX(Ipotesi!$C$45:$G$45,1,F325)*I325</f>
        <v>0.5</v>
      </c>
      <c r="S325" s="17" t="n">
        <f aca="false">INDEX(Ipotesi!$C$52:$G$52,1,F325)*Ipotesi!H125</f>
        <v>3</v>
      </c>
      <c r="T325" s="17" t="n">
        <f aca="false">INDEX(Ipotesi!$C$53:$G$53,1,F325)*I325</f>
        <v>1</v>
      </c>
      <c r="U325" s="17" t="n">
        <f aca="false">INDEX(Ipotesi!$C$54:$G$54,1,F325)*I325</f>
        <v>0</v>
      </c>
      <c r="V325" s="15" t="n">
        <f aca="false">M325*INDEX(Ipotesi!$C$58:$G$58,1,F325)*K325/12</f>
        <v>5000</v>
      </c>
      <c r="W325" s="15" t="n">
        <f aca="false">N325*Ipotesi!$C$59*(1+Ipotesi!$C$66)^(F325-1)/12</f>
        <v>6008.33333333333</v>
      </c>
      <c r="X325" s="15" t="n">
        <f aca="false">O325*Ipotesi!$C$60*(1+Ipotesi!$C$66)^(F325-1)/12</f>
        <v>10729.1666666667</v>
      </c>
      <c r="Y325" s="15" t="n">
        <f aca="false">P325*Ipotesi!$C$61*(1+Ipotesi!$C$66)^(F325-1)/12</f>
        <v>10729.1666666667</v>
      </c>
      <c r="Z325" s="15" t="n">
        <f aca="false">Q325*Ipotesi!$C$62*(1+Ipotesi!$C$66)^(F325-1)/12</f>
        <v>5793.75</v>
      </c>
      <c r="AA325" s="15" t="n">
        <f aca="false">R325*Ipotesi!$C$63*(1+Ipotesi!$C$66)^(F325-1)/12</f>
        <v>1502.08333333333</v>
      </c>
      <c r="AB325" s="15" t="n">
        <f aca="false">SUM(V325:AA325)</f>
        <v>39762.5</v>
      </c>
      <c r="AC325" s="15" t="n">
        <f aca="false">(S325*Ipotesi!$C$64+T325*Ipotesi!$C$65+U325*Ipotesi!$C$63)*(1+Ipotesi!$C$66)^(F325-1)/12</f>
        <v>15965</v>
      </c>
      <c r="AD325" s="15" t="n">
        <f aca="false">INDEX(Ipotesi!$C$48:$G$48,1,F325)*G325/12</f>
        <v>37.5</v>
      </c>
      <c r="AE325" s="15" t="n">
        <f aca="false">INDEX(Ipotesi!$C$50:$G$50,1,F325)*G325/12</f>
        <v>4.58333333333333</v>
      </c>
      <c r="AF325" s="15" t="n">
        <f aca="false">(S325*Parametri_v3!$C$7*Parametri_v3!$C$8+Parametri_v3!$C$10)/12</f>
        <v>38.5</v>
      </c>
      <c r="AG325" s="15" t="n">
        <f aca="false">AD325+AE325*(1+Parametri_v3!$C$9)</f>
        <v>44.375</v>
      </c>
      <c r="AH325" s="16" t="n">
        <f aca="false">IF(AG325=0,1,MIN(1,AF325/AG325))</f>
        <v>0.867605633802817</v>
      </c>
      <c r="AI325" s="15" t="n">
        <f aca="false">AD325*AH325</f>
        <v>32.5352112676056</v>
      </c>
      <c r="AJ325" s="15" t="n">
        <f aca="false">AE325*AH325</f>
        <v>3.97652582159624</v>
      </c>
      <c r="AK325" s="15" t="n">
        <f aca="false">AI325*INDEX(Ipotesi!$C$49:$G$49,1,F325)*H325</f>
        <v>26028.1690140845</v>
      </c>
      <c r="AL325" s="15" t="n">
        <f aca="false">AJ325*INDEX(Ipotesi!$C$51:$G$51,1,F325)*H325</f>
        <v>7953.05164319249</v>
      </c>
      <c r="AM325" s="15" t="n">
        <f aca="false">AK325+AL325</f>
        <v>33981.220657277</v>
      </c>
      <c r="AN325" s="15" t="n">
        <f aca="false">INDEX(Ipotesi!$C$30:$G$30,1,F325)*G325/12</f>
        <v>22.5</v>
      </c>
      <c r="AO325" s="15" t="n">
        <f aca="false">O325*Parametri_v3!$C$7*Parametri_v3!$C$11*(1-Parametri_v3!$C$14)/12</f>
        <v>25.6666666666667</v>
      </c>
      <c r="AP325" s="15" t="n">
        <f aca="false">MIN(AN325,AO325)</f>
        <v>22.5</v>
      </c>
      <c r="AQ325" s="15" t="n">
        <f aca="false">AP325*INDEX(Ipotesi!$C$31:$G$31,1,F325)*H325</f>
        <v>21375</v>
      </c>
      <c r="AR325" s="15" t="n">
        <f aca="false">INDEX(Ipotesi!$C$75:$G$75,1,F325)*J325/12</f>
        <v>4583.33333333333</v>
      </c>
      <c r="AS325" s="15" t="n">
        <f aca="false">INDEX(Ipotesi!$C$81:$G$81,1,F325)*J325/12</f>
        <v>833.333333333333</v>
      </c>
      <c r="AT325" s="15" t="n">
        <f aca="false">AR325*Parametri_v3!$C$15+Z325*Parametri_v3!$C$16</f>
        <v>8638.95833333333</v>
      </c>
      <c r="AU325" s="15" t="n">
        <f aca="false">Q325*Parametri_v3!$C$16*Parametri_v3!$C$17</f>
        <v>105</v>
      </c>
      <c r="AV325" s="17" t="n">
        <f aca="false">BD324</f>
        <v>22.0312286621163</v>
      </c>
      <c r="AW325" s="17" t="n">
        <f aca="false">AV325*(1-(1-INDEX(Ipotesi!$C$34:$G$34,1,F325))^(1/12))</f>
        <v>0.192588429818184</v>
      </c>
      <c r="AX325" s="15" t="n">
        <f aca="false">ROUND(INDEX(Ipotesi!$C$32:$G$32,1,F325)*Ipotesi!H8,0)</f>
        <v>35</v>
      </c>
      <c r="AY325" s="15" t="n">
        <f aca="false">MAX(0,(AX325-(AV325-AW325))/(13-E325))</f>
        <v>3.29033994192547</v>
      </c>
      <c r="AZ325" s="15" t="n">
        <f aca="false">MIN(P325*Parametri_v3!$C$22,Q325*(1-Parametri_v3!$C$16)*Parametri_v3!$C$23)</f>
        <v>67.5</v>
      </c>
      <c r="BA325" s="15" t="n">
        <f aca="false">IF(OR(INDEX(Ipotesi!$C$35:$G$35,1,F325)&lt;=0,21-Parametri_v3!$C$21&lt;1),0,INDEX($AT$305:$AT$364,MAX(1,21-Parametri_v3!$C$21))/(INDEX(Ipotesi!$C$35:$G$35,1,F325)*Ipotesi!H27))</f>
        <v>2.87965277777778</v>
      </c>
      <c r="BB325" s="15" t="n">
        <f aca="false">IF(21-Parametri_v3!$C$21&lt;1,0,INDEX($AU$305:$AU$364,MAX(1,21-Parametri_v3!$C$21)))*Parametri_v3!$C$18*Parametri_v3!$C$19*Parametri_v3!$C$20</f>
        <v>3.9375</v>
      </c>
      <c r="BC325" s="17" t="n">
        <f aca="false">MAX(0,MIN(AY325,BA325,BB325,MAX(0,AZ325-(AV325-AW325))))</f>
        <v>2.87965277777778</v>
      </c>
      <c r="BD325" s="17" t="n">
        <f aca="false">AV325-AW325+BC325</f>
        <v>24.7182930100759</v>
      </c>
      <c r="BE325" s="17" t="n">
        <f aca="false">(AV325+BD325)/2</f>
        <v>23.3747608360961</v>
      </c>
      <c r="BF325" s="15" t="n">
        <f aca="false">BE325*INDEX(Ipotesi!$C$33:$G$33,1,F325)*H325/12</f>
        <v>7791.58694536536</v>
      </c>
      <c r="BG325" s="15" t="n">
        <f aca="false">BD325*INDEX(Ipotesi!$C$33:$G$33,1,F325)*H325</f>
        <v>98873.1720403035</v>
      </c>
      <c r="BH325" s="15" t="n">
        <f aca="false">AM325*INDEX(Ipotesi!$C$37:$G$37,1,F325)</f>
        <v>3398.1220657277</v>
      </c>
      <c r="BI325" s="15" t="n">
        <f aca="false">AQ325+BF325+BH325</f>
        <v>32564.7090110931</v>
      </c>
      <c r="BJ325" s="15" t="n">
        <f aca="false">INDEX(Ipotesi!$C$68:$G$68,1,F325)*Ipotesi!$C$69/12</f>
        <v>1600</v>
      </c>
      <c r="BK325" s="15" t="n">
        <f aca="false">INDEX(Ipotesi!$C$68:$G$68,1,F325)*(1-Ipotesi!$C$69)/12</f>
        <v>2400</v>
      </c>
      <c r="BL325" s="15" t="n">
        <f aca="false">(AQ325+BF325)*Ipotesi!$C$67</f>
        <v>874.997608360961</v>
      </c>
      <c r="BM325" s="15" t="n">
        <f aca="false">AM325*Ipotesi!$C$67</f>
        <v>1019.43661971831</v>
      </c>
      <c r="BN325" s="15" t="n">
        <f aca="false">INDEX(Ipotesi!$C$72:$G$72,1,F325)/12*Ipotesi!H126+BF325*Ipotesi!$C$73</f>
        <v>1873.32695562923</v>
      </c>
      <c r="BO325" s="15" t="n">
        <f aca="false">INDEX(Ipotesi!$C$74:$G$74,1,F325)/12*Ipotesi!H126</f>
        <v>1833.33333333333</v>
      </c>
      <c r="BP325" s="15" t="n">
        <f aca="false">INDEX(Ipotesi!$C$76:$G$76,1,F325)/12</f>
        <v>750</v>
      </c>
      <c r="BQ325" s="15" t="n">
        <f aca="false">INDEX(Ipotesi!$C$77:$G$77,1,F325)/12*Ipotesi!H126</f>
        <v>1666.66666666667</v>
      </c>
      <c r="BR325" s="15" t="n">
        <f aca="false">INDEX(Ipotesi!$C$78:$G$78,1,F325)/12</f>
        <v>1250</v>
      </c>
      <c r="BS325" s="15" t="n">
        <f aca="false">SUM(M325:R325)*(Ipotesi!$C$85+Ipotesi!$C$86)/12</f>
        <v>2625</v>
      </c>
      <c r="BT325" s="15" t="n">
        <f aca="false">BI325*Ipotesi!$C$87</f>
        <v>976.941270332792</v>
      </c>
      <c r="BU325" s="15" t="n">
        <f aca="false">INDEX(Ipotesi!$C$55:$G$55,1,F325)*K325/12</f>
        <v>1000</v>
      </c>
      <c r="BV325" s="15" t="n">
        <f aca="false">INDEX(Ipotesi!$C$80:$G$80,1,F325)/12*Ipotesi!H126</f>
        <v>833.333333333333</v>
      </c>
      <c r="BW325" s="15" t="n">
        <f aca="false">INDEX(Ipotesi!$C$82:$G$82,1,F325)/12</f>
        <v>666.666666666667</v>
      </c>
      <c r="BX325" s="15" t="n">
        <f aca="false">INDEX(Ipotesi!$C$83:$G$83,1,F325)/12</f>
        <v>583.333333333333</v>
      </c>
      <c r="BY325" s="15" t="n">
        <f aca="false">SUM(S325:U325)*(Ipotesi!$C$85+Ipotesi!$C$86)/12</f>
        <v>1166.66666666667</v>
      </c>
      <c r="BZ325" s="15" t="n">
        <f aca="false">AM325*Ipotesi!$C$87</f>
        <v>1019.43661971831</v>
      </c>
      <c r="CA325" s="15" t="n">
        <f aca="false">AB325+BJ325+BL325+BN325+BO325+AR325+BP325+BQ325+BR325+BS325+BT325</f>
        <v>57796.0991676563</v>
      </c>
      <c r="CB325" s="15" t="n">
        <f aca="false">AC325+BK325+BM325+BH325+BU325+BV325+AS325+BW325+BX325+BY325+BZ325</f>
        <v>28885.3286384976</v>
      </c>
      <c r="CC325" s="15" t="n">
        <f aca="false">BI325-CA325</f>
        <v>-25231.3901565633</v>
      </c>
      <c r="CD325" s="15" t="n">
        <f aca="false">AM325-CB325</f>
        <v>5095.89201877934</v>
      </c>
      <c r="CE325" s="15" t="n">
        <f aca="false">INDEX(Ipotesi!$C$79:$G$79,1,F325)/12</f>
        <v>2083.33333333333</v>
      </c>
      <c r="CF325" s="15" t="n">
        <f aca="false">INDEX(Ipotesi!$C$84:$G$84,1,F325)/12</f>
        <v>416.666666666667</v>
      </c>
      <c r="CG325" s="15" t="n">
        <f aca="false">Y325*MAX(0,Parametri_v3!$C$12-IF(P325=0,0,MIN(1,BE325/(P325*Parametri_v3!$C$22))))+W325*Parametri_v3!$C$13+X325*Parametri_v3!$C$14</f>
        <v>14875.9998474509</v>
      </c>
      <c r="CH325" s="15" t="n">
        <f aca="false">AB325*Parametri_v3!$C$32</f>
        <v>1988.125</v>
      </c>
      <c r="CI325" s="15" t="n">
        <f aca="false">AC325*Parametri_v3!$C$32</f>
        <v>798.25</v>
      </c>
      <c r="CJ325" s="15" t="n">
        <f aca="false">CA325-AB325</f>
        <v>18033.5991676563</v>
      </c>
      <c r="CK325" s="15" t="n">
        <f aca="false">CB325-AC325-BH325</f>
        <v>9522.20657276995</v>
      </c>
      <c r="CL325" s="15" t="n">
        <f aca="false">BF325*Ipotesi!$C$73+INDEX(Ipotesi!$C$72:$G$72,1,F325)/12*Ipotesi!H126*Parametri_v3!$C$58+Z325*(1-Parametri_v3!$C$16)</f>
        <v>3611.45195562923</v>
      </c>
      <c r="CM325" s="16" t="n">
        <f aca="false">IF(BF325=0,0,1-CL325/BF325)</f>
        <v>0.536493402312938</v>
      </c>
    </row>
    <row r="326" customFormat="false" ht="18" hidden="false" customHeight="true" outlineLevel="0" collapsed="false">
      <c r="A326" s="68" t="n">
        <f aca="false">6</f>
        <v>6</v>
      </c>
      <c r="B326" s="68" t="n">
        <f aca="false">22</f>
        <v>22</v>
      </c>
      <c r="C326" s="18" t="n">
        <f aca="false">EDATE(Parametri_v3!$C$5,22-1)</f>
        <v>47027</v>
      </c>
      <c r="D326" s="68" t="n">
        <f aca="false">YEAR(C326)</f>
        <v>2028</v>
      </c>
      <c r="E326" s="68" t="n">
        <f aca="false">MONTH(C326)</f>
        <v>10</v>
      </c>
      <c r="F326" s="68" t="n">
        <f aca="false">INT((22-1)/12)+1</f>
        <v>2</v>
      </c>
      <c r="G326" s="15" t="n">
        <f aca="false">Ipotesi!H7</f>
        <v>1</v>
      </c>
      <c r="H326" s="15" t="n">
        <f aca="false">Ipotesi!H9</f>
        <v>1</v>
      </c>
      <c r="I326" s="15" t="n">
        <f aca="false">Ipotesi!H10</f>
        <v>1</v>
      </c>
      <c r="J326" s="15" t="n">
        <f aca="false">Ipotesi!H11</f>
        <v>1</v>
      </c>
      <c r="K326" s="15" t="n">
        <f aca="false">Ipotesi!H12</f>
        <v>1</v>
      </c>
      <c r="L326" s="15" t="n">
        <f aca="false">Ipotesi!H13</f>
        <v>90</v>
      </c>
      <c r="M326" s="17" t="n">
        <f aca="false">INDEX(Ipotesi!$C$40:$G$40,1,F326)</f>
        <v>1</v>
      </c>
      <c r="N326" s="17" t="n">
        <f aca="false">INDEX(Ipotesi!$C$41:$G$41,1,F326)</f>
        <v>1</v>
      </c>
      <c r="O326" s="17" t="n">
        <f aca="false">INDEX(Ipotesi!$C$42:$G$42,1,F326)*Ipotesi!H125</f>
        <v>2.5</v>
      </c>
      <c r="P326" s="17" t="n">
        <f aca="false">INDEX(Ipotesi!$C$43:$G$43,1,F326)*I326</f>
        <v>2.5</v>
      </c>
      <c r="Q326" s="17" t="n">
        <f aca="false">INDEX(Ipotesi!$C$44:$G$44,1,F326)*I326</f>
        <v>1.5</v>
      </c>
      <c r="R326" s="17" t="n">
        <f aca="false">INDEX(Ipotesi!$C$45:$G$45,1,F326)*I326</f>
        <v>0.5</v>
      </c>
      <c r="S326" s="17" t="n">
        <f aca="false">INDEX(Ipotesi!$C$52:$G$52,1,F326)*Ipotesi!H125</f>
        <v>3</v>
      </c>
      <c r="T326" s="17" t="n">
        <f aca="false">INDEX(Ipotesi!$C$53:$G$53,1,F326)*I326</f>
        <v>1</v>
      </c>
      <c r="U326" s="17" t="n">
        <f aca="false">INDEX(Ipotesi!$C$54:$G$54,1,F326)*I326</f>
        <v>0</v>
      </c>
      <c r="V326" s="15" t="n">
        <f aca="false">M326*INDEX(Ipotesi!$C$58:$G$58,1,F326)*K326/12</f>
        <v>5000</v>
      </c>
      <c r="W326" s="15" t="n">
        <f aca="false">N326*Ipotesi!$C$59*(1+Ipotesi!$C$66)^(F326-1)/12</f>
        <v>6008.33333333333</v>
      </c>
      <c r="X326" s="15" t="n">
        <f aca="false">O326*Ipotesi!$C$60*(1+Ipotesi!$C$66)^(F326-1)/12</f>
        <v>10729.1666666667</v>
      </c>
      <c r="Y326" s="15" t="n">
        <f aca="false">P326*Ipotesi!$C$61*(1+Ipotesi!$C$66)^(F326-1)/12</f>
        <v>10729.1666666667</v>
      </c>
      <c r="Z326" s="15" t="n">
        <f aca="false">Q326*Ipotesi!$C$62*(1+Ipotesi!$C$66)^(F326-1)/12</f>
        <v>5793.75</v>
      </c>
      <c r="AA326" s="15" t="n">
        <f aca="false">R326*Ipotesi!$C$63*(1+Ipotesi!$C$66)^(F326-1)/12</f>
        <v>1502.08333333333</v>
      </c>
      <c r="AB326" s="15" t="n">
        <f aca="false">SUM(V326:AA326)</f>
        <v>39762.5</v>
      </c>
      <c r="AC326" s="15" t="n">
        <f aca="false">(S326*Ipotesi!$C$64+T326*Ipotesi!$C$65+U326*Ipotesi!$C$63)*(1+Ipotesi!$C$66)^(F326-1)/12</f>
        <v>15965</v>
      </c>
      <c r="AD326" s="15" t="n">
        <f aca="false">INDEX(Ipotesi!$C$48:$G$48,1,F326)*G326/12</f>
        <v>37.5</v>
      </c>
      <c r="AE326" s="15" t="n">
        <f aca="false">INDEX(Ipotesi!$C$50:$G$50,1,F326)*G326/12</f>
        <v>4.58333333333333</v>
      </c>
      <c r="AF326" s="15" t="n">
        <f aca="false">(S326*Parametri_v3!$C$7*Parametri_v3!$C$8+Parametri_v3!$C$10)/12</f>
        <v>38.5</v>
      </c>
      <c r="AG326" s="15" t="n">
        <f aca="false">AD326+AE326*(1+Parametri_v3!$C$9)</f>
        <v>44.375</v>
      </c>
      <c r="AH326" s="16" t="n">
        <f aca="false">IF(AG326=0,1,MIN(1,AF326/AG326))</f>
        <v>0.867605633802817</v>
      </c>
      <c r="AI326" s="15" t="n">
        <f aca="false">AD326*AH326</f>
        <v>32.5352112676056</v>
      </c>
      <c r="AJ326" s="15" t="n">
        <f aca="false">AE326*AH326</f>
        <v>3.97652582159624</v>
      </c>
      <c r="AK326" s="15" t="n">
        <f aca="false">AI326*INDEX(Ipotesi!$C$49:$G$49,1,F326)*H326</f>
        <v>26028.1690140845</v>
      </c>
      <c r="AL326" s="15" t="n">
        <f aca="false">AJ326*INDEX(Ipotesi!$C$51:$G$51,1,F326)*H326</f>
        <v>7953.05164319249</v>
      </c>
      <c r="AM326" s="15" t="n">
        <f aca="false">AK326+AL326</f>
        <v>33981.220657277</v>
      </c>
      <c r="AN326" s="15" t="n">
        <f aca="false">INDEX(Ipotesi!$C$30:$G$30,1,F326)*G326/12</f>
        <v>22.5</v>
      </c>
      <c r="AO326" s="15" t="n">
        <f aca="false">O326*Parametri_v3!$C$7*Parametri_v3!$C$11*(1-Parametri_v3!$C$14)/12</f>
        <v>25.6666666666667</v>
      </c>
      <c r="AP326" s="15" t="n">
        <f aca="false">MIN(AN326,AO326)</f>
        <v>22.5</v>
      </c>
      <c r="AQ326" s="15" t="n">
        <f aca="false">AP326*INDEX(Ipotesi!$C$31:$G$31,1,F326)*H326</f>
        <v>21375</v>
      </c>
      <c r="AR326" s="15" t="n">
        <f aca="false">INDEX(Ipotesi!$C$75:$G$75,1,F326)*J326/12</f>
        <v>4583.33333333333</v>
      </c>
      <c r="AS326" s="15" t="n">
        <f aca="false">INDEX(Ipotesi!$C$81:$G$81,1,F326)*J326/12</f>
        <v>833.333333333333</v>
      </c>
      <c r="AT326" s="15" t="n">
        <f aca="false">AR326*Parametri_v3!$C$15+Z326*Parametri_v3!$C$16</f>
        <v>8638.95833333333</v>
      </c>
      <c r="AU326" s="15" t="n">
        <f aca="false">Q326*Parametri_v3!$C$16*Parametri_v3!$C$17</f>
        <v>105</v>
      </c>
      <c r="AV326" s="17" t="n">
        <f aca="false">BD325</f>
        <v>24.7182930100759</v>
      </c>
      <c r="AW326" s="17" t="n">
        <f aca="false">AV326*(1-(1-INDEX(Ipotesi!$C$34:$G$34,1,F326))^(1/12))</f>
        <v>0.216077700958283</v>
      </c>
      <c r="AX326" s="15" t="n">
        <f aca="false">ROUND(INDEX(Ipotesi!$C$32:$G$32,1,F326)*Ipotesi!H8,0)</f>
        <v>35</v>
      </c>
      <c r="AY326" s="15" t="n">
        <f aca="false">MAX(0,(AX326-(AV326-AW326))/(13-E326))</f>
        <v>3.49926156362747</v>
      </c>
      <c r="AZ326" s="15" t="n">
        <f aca="false">MIN(P326*Parametri_v3!$C$22,Q326*(1-Parametri_v3!$C$16)*Parametri_v3!$C$23)</f>
        <v>67.5</v>
      </c>
      <c r="BA326" s="15" t="n">
        <f aca="false">IF(OR(INDEX(Ipotesi!$C$35:$G$35,1,F326)&lt;=0,22-Parametri_v3!$C$21&lt;1),0,INDEX($AT$305:$AT$364,MAX(1,22-Parametri_v3!$C$21))/(INDEX(Ipotesi!$C$35:$G$35,1,F326)*Ipotesi!H27))</f>
        <v>2.87965277777778</v>
      </c>
      <c r="BB326" s="15" t="n">
        <f aca="false">IF(22-Parametri_v3!$C$21&lt;1,0,INDEX($AU$305:$AU$364,MAX(1,22-Parametri_v3!$C$21)))*Parametri_v3!$C$18*Parametri_v3!$C$19*Parametri_v3!$C$20</f>
        <v>3.9375</v>
      </c>
      <c r="BC326" s="17" t="n">
        <f aca="false">MAX(0,MIN(AY326,BA326,BB326,MAX(0,AZ326-(AV326-AW326))))</f>
        <v>2.87965277777778</v>
      </c>
      <c r="BD326" s="17" t="n">
        <f aca="false">AV326-AW326+BC326</f>
        <v>27.3818680868954</v>
      </c>
      <c r="BE326" s="17" t="n">
        <f aca="false">(AV326+BD326)/2</f>
        <v>26.0500805484856</v>
      </c>
      <c r="BF326" s="15" t="n">
        <f aca="false">BE326*INDEX(Ipotesi!$C$33:$G$33,1,F326)*H326/12</f>
        <v>8683.36018282855</v>
      </c>
      <c r="BG326" s="15" t="n">
        <f aca="false">BD326*INDEX(Ipotesi!$C$33:$G$33,1,F326)*H326</f>
        <v>109527.472347582</v>
      </c>
      <c r="BH326" s="15" t="n">
        <f aca="false">AM326*INDEX(Ipotesi!$C$37:$G$37,1,F326)</f>
        <v>3398.1220657277</v>
      </c>
      <c r="BI326" s="15" t="n">
        <f aca="false">AQ326+BF326+BH326</f>
        <v>33456.4822485563</v>
      </c>
      <c r="BJ326" s="15" t="n">
        <f aca="false">INDEX(Ipotesi!$C$68:$G$68,1,F326)*Ipotesi!$C$69/12</f>
        <v>1600</v>
      </c>
      <c r="BK326" s="15" t="n">
        <f aca="false">INDEX(Ipotesi!$C$68:$G$68,1,F326)*(1-Ipotesi!$C$69)/12</f>
        <v>2400</v>
      </c>
      <c r="BL326" s="15" t="n">
        <f aca="false">(AQ326+BF326)*Ipotesi!$C$67</f>
        <v>901.750805484856</v>
      </c>
      <c r="BM326" s="15" t="n">
        <f aca="false">AM326*Ipotesi!$C$67</f>
        <v>1019.43661971831</v>
      </c>
      <c r="BN326" s="15" t="n">
        <f aca="false">INDEX(Ipotesi!$C$72:$G$72,1,F326)/12*Ipotesi!H126+BF326*Ipotesi!$C$73</f>
        <v>1944.66881462628</v>
      </c>
      <c r="BO326" s="15" t="n">
        <f aca="false">INDEX(Ipotesi!$C$74:$G$74,1,F326)/12*Ipotesi!H126</f>
        <v>1833.33333333333</v>
      </c>
      <c r="BP326" s="15" t="n">
        <f aca="false">INDEX(Ipotesi!$C$76:$G$76,1,F326)/12</f>
        <v>750</v>
      </c>
      <c r="BQ326" s="15" t="n">
        <f aca="false">INDEX(Ipotesi!$C$77:$G$77,1,F326)/12*Ipotesi!H126</f>
        <v>1666.66666666667</v>
      </c>
      <c r="BR326" s="15" t="n">
        <f aca="false">INDEX(Ipotesi!$C$78:$G$78,1,F326)/12</f>
        <v>1250</v>
      </c>
      <c r="BS326" s="15" t="n">
        <f aca="false">SUM(M326:R326)*(Ipotesi!$C$85+Ipotesi!$C$86)/12</f>
        <v>2625</v>
      </c>
      <c r="BT326" s="15" t="n">
        <f aca="false">BI326*Ipotesi!$C$87</f>
        <v>1003.69446745669</v>
      </c>
      <c r="BU326" s="15" t="n">
        <f aca="false">INDEX(Ipotesi!$C$55:$G$55,1,F326)*K326/12</f>
        <v>1000</v>
      </c>
      <c r="BV326" s="15" t="n">
        <f aca="false">INDEX(Ipotesi!$C$80:$G$80,1,F326)/12*Ipotesi!H126</f>
        <v>833.333333333333</v>
      </c>
      <c r="BW326" s="15" t="n">
        <f aca="false">INDEX(Ipotesi!$C$82:$G$82,1,F326)/12</f>
        <v>666.666666666667</v>
      </c>
      <c r="BX326" s="15" t="n">
        <f aca="false">INDEX(Ipotesi!$C$83:$G$83,1,F326)/12</f>
        <v>583.333333333333</v>
      </c>
      <c r="BY326" s="15" t="n">
        <f aca="false">SUM(S326:U326)*(Ipotesi!$C$85+Ipotesi!$C$86)/12</f>
        <v>1166.66666666667</v>
      </c>
      <c r="BZ326" s="15" t="n">
        <f aca="false">AM326*Ipotesi!$C$87</f>
        <v>1019.43661971831</v>
      </c>
      <c r="CA326" s="15" t="n">
        <f aca="false">AB326+BJ326+BL326+BN326+BO326+AR326+BP326+BQ326+BR326+BS326+BT326</f>
        <v>57920.9474209012</v>
      </c>
      <c r="CB326" s="15" t="n">
        <f aca="false">AC326+BK326+BM326+BH326+BU326+BV326+AS326+BW326+BX326+BY326+BZ326</f>
        <v>28885.3286384976</v>
      </c>
      <c r="CC326" s="15" t="n">
        <f aca="false">BI326-CA326</f>
        <v>-24464.4651723449</v>
      </c>
      <c r="CD326" s="15" t="n">
        <f aca="false">AM326-CB326</f>
        <v>5095.89201877934</v>
      </c>
      <c r="CE326" s="15" t="n">
        <f aca="false">INDEX(Ipotesi!$C$79:$G$79,1,F326)/12</f>
        <v>2083.33333333333</v>
      </c>
      <c r="CF326" s="15" t="n">
        <f aca="false">INDEX(Ipotesi!$C$84:$G$84,1,F326)/12</f>
        <v>416.666666666667</v>
      </c>
      <c r="CG326" s="15" t="n">
        <f aca="false">Y326*MAX(0,Parametri_v3!$C$12-IF(P326=0,0,MIN(1,BE326/(P326*Parametri_v3!$C$22))))+W326*Parametri_v3!$C$13+X326*Parametri_v3!$C$14</f>
        <v>14761.1840431275</v>
      </c>
      <c r="CH326" s="15" t="n">
        <f aca="false">AB326*Parametri_v3!$C$32</f>
        <v>1988.125</v>
      </c>
      <c r="CI326" s="15" t="n">
        <f aca="false">AC326*Parametri_v3!$C$32</f>
        <v>798.25</v>
      </c>
      <c r="CJ326" s="15" t="n">
        <f aca="false">CA326-AB326</f>
        <v>18158.4474209012</v>
      </c>
      <c r="CK326" s="15" t="n">
        <f aca="false">CB326-AC326-BH326</f>
        <v>9522.20657276995</v>
      </c>
      <c r="CL326" s="15" t="n">
        <f aca="false">BF326*Ipotesi!$C$73+INDEX(Ipotesi!$C$72:$G$72,1,F326)/12*Ipotesi!H126*Parametri_v3!$C$58+Z326*(1-Parametri_v3!$C$16)</f>
        <v>3682.79381462628</v>
      </c>
      <c r="CM326" s="16" t="n">
        <f aca="false">IF(BF326=0,0,1-CL326/BF326)</f>
        <v>0.575879183048395</v>
      </c>
    </row>
    <row r="327" customFormat="false" ht="18" hidden="false" customHeight="true" outlineLevel="0" collapsed="false">
      <c r="A327" s="68" t="n">
        <f aca="false">6</f>
        <v>6</v>
      </c>
      <c r="B327" s="68" t="n">
        <f aca="false">23</f>
        <v>23</v>
      </c>
      <c r="C327" s="18" t="n">
        <f aca="false">EDATE(Parametri_v3!$C$5,23-1)</f>
        <v>47058</v>
      </c>
      <c r="D327" s="68" t="n">
        <f aca="false">YEAR(C327)</f>
        <v>2028</v>
      </c>
      <c r="E327" s="68" t="n">
        <f aca="false">MONTH(C327)</f>
        <v>11</v>
      </c>
      <c r="F327" s="68" t="n">
        <f aca="false">INT((23-1)/12)+1</f>
        <v>2</v>
      </c>
      <c r="G327" s="15" t="n">
        <f aca="false">Ipotesi!H7</f>
        <v>1</v>
      </c>
      <c r="H327" s="15" t="n">
        <f aca="false">Ipotesi!H9</f>
        <v>1</v>
      </c>
      <c r="I327" s="15" t="n">
        <f aca="false">Ipotesi!H10</f>
        <v>1</v>
      </c>
      <c r="J327" s="15" t="n">
        <f aca="false">Ipotesi!H11</f>
        <v>1</v>
      </c>
      <c r="K327" s="15" t="n">
        <f aca="false">Ipotesi!H12</f>
        <v>1</v>
      </c>
      <c r="L327" s="15" t="n">
        <f aca="false">Ipotesi!H13</f>
        <v>90</v>
      </c>
      <c r="M327" s="17" t="n">
        <f aca="false">INDEX(Ipotesi!$C$40:$G$40,1,F327)</f>
        <v>1</v>
      </c>
      <c r="N327" s="17" t="n">
        <f aca="false">INDEX(Ipotesi!$C$41:$G$41,1,F327)</f>
        <v>1</v>
      </c>
      <c r="O327" s="17" t="n">
        <f aca="false">INDEX(Ipotesi!$C$42:$G$42,1,F327)*Ipotesi!H125</f>
        <v>2.5</v>
      </c>
      <c r="P327" s="17" t="n">
        <f aca="false">INDEX(Ipotesi!$C$43:$G$43,1,F327)*I327</f>
        <v>2.5</v>
      </c>
      <c r="Q327" s="17" t="n">
        <f aca="false">INDEX(Ipotesi!$C$44:$G$44,1,F327)*I327</f>
        <v>1.5</v>
      </c>
      <c r="R327" s="17" t="n">
        <f aca="false">INDEX(Ipotesi!$C$45:$G$45,1,F327)*I327</f>
        <v>0.5</v>
      </c>
      <c r="S327" s="17" t="n">
        <f aca="false">INDEX(Ipotesi!$C$52:$G$52,1,F327)*Ipotesi!H125</f>
        <v>3</v>
      </c>
      <c r="T327" s="17" t="n">
        <f aca="false">INDEX(Ipotesi!$C$53:$G$53,1,F327)*I327</f>
        <v>1</v>
      </c>
      <c r="U327" s="17" t="n">
        <f aca="false">INDEX(Ipotesi!$C$54:$G$54,1,F327)*I327</f>
        <v>0</v>
      </c>
      <c r="V327" s="15" t="n">
        <f aca="false">M327*INDEX(Ipotesi!$C$58:$G$58,1,F327)*K327/12</f>
        <v>5000</v>
      </c>
      <c r="W327" s="15" t="n">
        <f aca="false">N327*Ipotesi!$C$59*(1+Ipotesi!$C$66)^(F327-1)/12</f>
        <v>6008.33333333333</v>
      </c>
      <c r="X327" s="15" t="n">
        <f aca="false">O327*Ipotesi!$C$60*(1+Ipotesi!$C$66)^(F327-1)/12</f>
        <v>10729.1666666667</v>
      </c>
      <c r="Y327" s="15" t="n">
        <f aca="false">P327*Ipotesi!$C$61*(1+Ipotesi!$C$66)^(F327-1)/12</f>
        <v>10729.1666666667</v>
      </c>
      <c r="Z327" s="15" t="n">
        <f aca="false">Q327*Ipotesi!$C$62*(1+Ipotesi!$C$66)^(F327-1)/12</f>
        <v>5793.75</v>
      </c>
      <c r="AA327" s="15" t="n">
        <f aca="false">R327*Ipotesi!$C$63*(1+Ipotesi!$C$66)^(F327-1)/12</f>
        <v>1502.08333333333</v>
      </c>
      <c r="AB327" s="15" t="n">
        <f aca="false">SUM(V327:AA327)</f>
        <v>39762.5</v>
      </c>
      <c r="AC327" s="15" t="n">
        <f aca="false">(S327*Ipotesi!$C$64+T327*Ipotesi!$C$65+U327*Ipotesi!$C$63)*(1+Ipotesi!$C$66)^(F327-1)/12</f>
        <v>15965</v>
      </c>
      <c r="AD327" s="15" t="n">
        <f aca="false">INDEX(Ipotesi!$C$48:$G$48,1,F327)*G327/12</f>
        <v>37.5</v>
      </c>
      <c r="AE327" s="15" t="n">
        <f aca="false">INDEX(Ipotesi!$C$50:$G$50,1,F327)*G327/12</f>
        <v>4.58333333333333</v>
      </c>
      <c r="AF327" s="15" t="n">
        <f aca="false">(S327*Parametri_v3!$C$7*Parametri_v3!$C$8+Parametri_v3!$C$10)/12</f>
        <v>38.5</v>
      </c>
      <c r="AG327" s="15" t="n">
        <f aca="false">AD327+AE327*(1+Parametri_v3!$C$9)</f>
        <v>44.375</v>
      </c>
      <c r="AH327" s="16" t="n">
        <f aca="false">IF(AG327=0,1,MIN(1,AF327/AG327))</f>
        <v>0.867605633802817</v>
      </c>
      <c r="AI327" s="15" t="n">
        <f aca="false">AD327*AH327</f>
        <v>32.5352112676056</v>
      </c>
      <c r="AJ327" s="15" t="n">
        <f aca="false">AE327*AH327</f>
        <v>3.97652582159624</v>
      </c>
      <c r="AK327" s="15" t="n">
        <f aca="false">AI327*INDEX(Ipotesi!$C$49:$G$49,1,F327)*H327</f>
        <v>26028.1690140845</v>
      </c>
      <c r="AL327" s="15" t="n">
        <f aca="false">AJ327*INDEX(Ipotesi!$C$51:$G$51,1,F327)*H327</f>
        <v>7953.05164319249</v>
      </c>
      <c r="AM327" s="15" t="n">
        <f aca="false">AK327+AL327</f>
        <v>33981.220657277</v>
      </c>
      <c r="AN327" s="15" t="n">
        <f aca="false">INDEX(Ipotesi!$C$30:$G$30,1,F327)*G327/12</f>
        <v>22.5</v>
      </c>
      <c r="AO327" s="15" t="n">
        <f aca="false">O327*Parametri_v3!$C$7*Parametri_v3!$C$11*(1-Parametri_v3!$C$14)/12</f>
        <v>25.6666666666667</v>
      </c>
      <c r="AP327" s="15" t="n">
        <f aca="false">MIN(AN327,AO327)</f>
        <v>22.5</v>
      </c>
      <c r="AQ327" s="15" t="n">
        <f aca="false">AP327*INDEX(Ipotesi!$C$31:$G$31,1,F327)*H327</f>
        <v>21375</v>
      </c>
      <c r="AR327" s="15" t="n">
        <f aca="false">INDEX(Ipotesi!$C$75:$G$75,1,F327)*J327/12</f>
        <v>4583.33333333333</v>
      </c>
      <c r="AS327" s="15" t="n">
        <f aca="false">INDEX(Ipotesi!$C$81:$G$81,1,F327)*J327/12</f>
        <v>833.333333333333</v>
      </c>
      <c r="AT327" s="15" t="n">
        <f aca="false">AR327*Parametri_v3!$C$15+Z327*Parametri_v3!$C$16</f>
        <v>8638.95833333333</v>
      </c>
      <c r="AU327" s="15" t="n">
        <f aca="false">Q327*Parametri_v3!$C$16*Parametri_v3!$C$17</f>
        <v>105</v>
      </c>
      <c r="AV327" s="17" t="n">
        <f aca="false">BD326</f>
        <v>27.3818680868954</v>
      </c>
      <c r="AW327" s="17" t="n">
        <f aca="false">AV327*(1-(1-INDEX(Ipotesi!$C$34:$G$34,1,F327))^(1/12))</f>
        <v>0.239361638028465</v>
      </c>
      <c r="AX327" s="15" t="n">
        <f aca="false">ROUND(INDEX(Ipotesi!$C$32:$G$32,1,F327)*Ipotesi!H8,0)</f>
        <v>35</v>
      </c>
      <c r="AY327" s="15" t="n">
        <f aca="false">MAX(0,(AX327-(AV327-AW327))/(13-E327))</f>
        <v>3.92874677556654</v>
      </c>
      <c r="AZ327" s="15" t="n">
        <f aca="false">MIN(P327*Parametri_v3!$C$22,Q327*(1-Parametri_v3!$C$16)*Parametri_v3!$C$23)</f>
        <v>67.5</v>
      </c>
      <c r="BA327" s="15" t="n">
        <f aca="false">IF(OR(INDEX(Ipotesi!$C$35:$G$35,1,F327)&lt;=0,23-Parametri_v3!$C$21&lt;1),0,INDEX($AT$305:$AT$364,MAX(1,23-Parametri_v3!$C$21))/(INDEX(Ipotesi!$C$35:$G$35,1,F327)*Ipotesi!H27))</f>
        <v>2.87965277777778</v>
      </c>
      <c r="BB327" s="15" t="n">
        <f aca="false">IF(23-Parametri_v3!$C$21&lt;1,0,INDEX($AU$305:$AU$364,MAX(1,23-Parametri_v3!$C$21)))*Parametri_v3!$C$18*Parametri_v3!$C$19*Parametri_v3!$C$20</f>
        <v>3.9375</v>
      </c>
      <c r="BC327" s="17" t="n">
        <f aca="false">MAX(0,MIN(AY327,BA327,BB327,MAX(0,AZ327-(AV327-AW327))))</f>
        <v>2.87965277777778</v>
      </c>
      <c r="BD327" s="17" t="n">
        <f aca="false">AV327-AW327+BC327</f>
        <v>30.0221592266447</v>
      </c>
      <c r="BE327" s="17" t="n">
        <f aca="false">(AV327+BD327)/2</f>
        <v>28.70201365677</v>
      </c>
      <c r="BF327" s="15" t="n">
        <f aca="false">BE327*INDEX(Ipotesi!$C$33:$G$33,1,F327)*H327/12</f>
        <v>9567.33788559001</v>
      </c>
      <c r="BG327" s="15" t="n">
        <f aca="false">BD327*INDEX(Ipotesi!$C$33:$G$33,1,F327)*H327</f>
        <v>120088.636906579</v>
      </c>
      <c r="BH327" s="15" t="n">
        <f aca="false">AM327*INDEX(Ipotesi!$C$37:$G$37,1,F327)</f>
        <v>3398.1220657277</v>
      </c>
      <c r="BI327" s="15" t="n">
        <f aca="false">AQ327+BF327+BH327</f>
        <v>34340.4599513177</v>
      </c>
      <c r="BJ327" s="15" t="n">
        <f aca="false">INDEX(Ipotesi!$C$68:$G$68,1,F327)*Ipotesi!$C$69/12</f>
        <v>1600</v>
      </c>
      <c r="BK327" s="15" t="n">
        <f aca="false">INDEX(Ipotesi!$C$68:$G$68,1,F327)*(1-Ipotesi!$C$69)/12</f>
        <v>2400</v>
      </c>
      <c r="BL327" s="15" t="n">
        <f aca="false">(AQ327+BF327)*Ipotesi!$C$67</f>
        <v>928.2701365677</v>
      </c>
      <c r="BM327" s="15" t="n">
        <f aca="false">AM327*Ipotesi!$C$67</f>
        <v>1019.43661971831</v>
      </c>
      <c r="BN327" s="15" t="n">
        <f aca="false">INDEX(Ipotesi!$C$72:$G$72,1,F327)/12*Ipotesi!H126+BF327*Ipotesi!$C$73</f>
        <v>2015.3870308472</v>
      </c>
      <c r="BO327" s="15" t="n">
        <f aca="false">INDEX(Ipotesi!$C$74:$G$74,1,F327)/12*Ipotesi!H126</f>
        <v>1833.33333333333</v>
      </c>
      <c r="BP327" s="15" t="n">
        <f aca="false">INDEX(Ipotesi!$C$76:$G$76,1,F327)/12</f>
        <v>750</v>
      </c>
      <c r="BQ327" s="15" t="n">
        <f aca="false">INDEX(Ipotesi!$C$77:$G$77,1,F327)/12*Ipotesi!H126</f>
        <v>1666.66666666667</v>
      </c>
      <c r="BR327" s="15" t="n">
        <f aca="false">INDEX(Ipotesi!$C$78:$G$78,1,F327)/12</f>
        <v>1250</v>
      </c>
      <c r="BS327" s="15" t="n">
        <f aca="false">SUM(M327:R327)*(Ipotesi!$C$85+Ipotesi!$C$86)/12</f>
        <v>2625</v>
      </c>
      <c r="BT327" s="15" t="n">
        <f aca="false">BI327*Ipotesi!$C$87</f>
        <v>1030.21379853953</v>
      </c>
      <c r="BU327" s="15" t="n">
        <f aca="false">INDEX(Ipotesi!$C$55:$G$55,1,F327)*K327/12</f>
        <v>1000</v>
      </c>
      <c r="BV327" s="15" t="n">
        <f aca="false">INDEX(Ipotesi!$C$80:$G$80,1,F327)/12*Ipotesi!H126</f>
        <v>833.333333333333</v>
      </c>
      <c r="BW327" s="15" t="n">
        <f aca="false">INDEX(Ipotesi!$C$82:$G$82,1,F327)/12</f>
        <v>666.666666666667</v>
      </c>
      <c r="BX327" s="15" t="n">
        <f aca="false">INDEX(Ipotesi!$C$83:$G$83,1,F327)/12</f>
        <v>583.333333333333</v>
      </c>
      <c r="BY327" s="15" t="n">
        <f aca="false">SUM(S327:U327)*(Ipotesi!$C$85+Ipotesi!$C$86)/12</f>
        <v>1166.66666666667</v>
      </c>
      <c r="BZ327" s="15" t="n">
        <f aca="false">AM327*Ipotesi!$C$87</f>
        <v>1019.43661971831</v>
      </c>
      <c r="CA327" s="15" t="n">
        <f aca="false">AB327+BJ327+BL327+BN327+BO327+AR327+BP327+BQ327+BR327+BS327+BT327</f>
        <v>58044.7042992878</v>
      </c>
      <c r="CB327" s="15" t="n">
        <f aca="false">AC327+BK327+BM327+BH327+BU327+BV327+AS327+BW327+BX327+BY327+BZ327</f>
        <v>28885.3286384976</v>
      </c>
      <c r="CC327" s="15" t="n">
        <f aca="false">BI327-CA327</f>
        <v>-23704.2443479701</v>
      </c>
      <c r="CD327" s="15" t="n">
        <f aca="false">AM327-CB327</f>
        <v>5095.89201877934</v>
      </c>
      <c r="CE327" s="15" t="n">
        <f aca="false">INDEX(Ipotesi!$C$79:$G$79,1,F327)/12</f>
        <v>2083.33333333333</v>
      </c>
      <c r="CF327" s="15" t="n">
        <f aca="false">INDEX(Ipotesi!$C$84:$G$84,1,F327)/12</f>
        <v>416.666666666667</v>
      </c>
      <c r="CG327" s="15" t="n">
        <f aca="false">Y327*MAX(0,Parametri_v3!$C$12-IF(P327=0,0,MIN(1,BE327/(P327*Parametri_v3!$C$22))))+W327*Parametri_v3!$C$13+X327*Parametri_v3!$C$14</f>
        <v>14647.371913897</v>
      </c>
      <c r="CH327" s="15" t="n">
        <f aca="false">AB327*Parametri_v3!$C$32</f>
        <v>1988.125</v>
      </c>
      <c r="CI327" s="15" t="n">
        <f aca="false">AC327*Parametri_v3!$C$32</f>
        <v>798.25</v>
      </c>
      <c r="CJ327" s="15" t="n">
        <f aca="false">CA327-AB327</f>
        <v>18282.2042992878</v>
      </c>
      <c r="CK327" s="15" t="n">
        <f aca="false">CB327-AC327-BH327</f>
        <v>9522.20657276995</v>
      </c>
      <c r="CL327" s="15" t="n">
        <f aca="false">BF327*Ipotesi!$C$73+INDEX(Ipotesi!$C$72:$G$72,1,F327)/12*Ipotesi!H126*Parametri_v3!$C$58+Z327*(1-Parametri_v3!$C$16)</f>
        <v>3753.5120308472</v>
      </c>
      <c r="CM327" s="16" t="n">
        <f aca="false">IF(BF327=0,0,1-CL327/BF327)</f>
        <v>0.607674352496674</v>
      </c>
    </row>
    <row r="328" customFormat="false" ht="18" hidden="false" customHeight="true" outlineLevel="0" collapsed="false">
      <c r="A328" s="68" t="n">
        <f aca="false">6</f>
        <v>6</v>
      </c>
      <c r="B328" s="68" t="n">
        <f aca="false">24</f>
        <v>24</v>
      </c>
      <c r="C328" s="18" t="n">
        <f aca="false">EDATE(Parametri_v3!$C$5,24-1)</f>
        <v>47088</v>
      </c>
      <c r="D328" s="68" t="n">
        <f aca="false">YEAR(C328)</f>
        <v>2028</v>
      </c>
      <c r="E328" s="68" t="n">
        <f aca="false">MONTH(C328)</f>
        <v>12</v>
      </c>
      <c r="F328" s="68" t="n">
        <f aca="false">INT((24-1)/12)+1</f>
        <v>2</v>
      </c>
      <c r="G328" s="15" t="n">
        <f aca="false">Ipotesi!H7</f>
        <v>1</v>
      </c>
      <c r="H328" s="15" t="n">
        <f aca="false">Ipotesi!H9</f>
        <v>1</v>
      </c>
      <c r="I328" s="15" t="n">
        <f aca="false">Ipotesi!H10</f>
        <v>1</v>
      </c>
      <c r="J328" s="15" t="n">
        <f aca="false">Ipotesi!H11</f>
        <v>1</v>
      </c>
      <c r="K328" s="15" t="n">
        <f aca="false">Ipotesi!H12</f>
        <v>1</v>
      </c>
      <c r="L328" s="15" t="n">
        <f aca="false">Ipotesi!H13</f>
        <v>90</v>
      </c>
      <c r="M328" s="17" t="n">
        <f aca="false">INDEX(Ipotesi!$C$40:$G$40,1,F328)</f>
        <v>1</v>
      </c>
      <c r="N328" s="17" t="n">
        <f aca="false">INDEX(Ipotesi!$C$41:$G$41,1,F328)</f>
        <v>1</v>
      </c>
      <c r="O328" s="17" t="n">
        <f aca="false">INDEX(Ipotesi!$C$42:$G$42,1,F328)*Ipotesi!H125</f>
        <v>2.5</v>
      </c>
      <c r="P328" s="17" t="n">
        <f aca="false">INDEX(Ipotesi!$C$43:$G$43,1,F328)*I328</f>
        <v>2.5</v>
      </c>
      <c r="Q328" s="17" t="n">
        <f aca="false">INDEX(Ipotesi!$C$44:$G$44,1,F328)*I328</f>
        <v>1.5</v>
      </c>
      <c r="R328" s="17" t="n">
        <f aca="false">INDEX(Ipotesi!$C$45:$G$45,1,F328)*I328</f>
        <v>0.5</v>
      </c>
      <c r="S328" s="17" t="n">
        <f aca="false">INDEX(Ipotesi!$C$52:$G$52,1,F328)*Ipotesi!H125</f>
        <v>3</v>
      </c>
      <c r="T328" s="17" t="n">
        <f aca="false">INDEX(Ipotesi!$C$53:$G$53,1,F328)*I328</f>
        <v>1</v>
      </c>
      <c r="U328" s="17" t="n">
        <f aca="false">INDEX(Ipotesi!$C$54:$G$54,1,F328)*I328</f>
        <v>0</v>
      </c>
      <c r="V328" s="15" t="n">
        <f aca="false">M328*INDEX(Ipotesi!$C$58:$G$58,1,F328)*K328/12</f>
        <v>5000</v>
      </c>
      <c r="W328" s="15" t="n">
        <f aca="false">N328*Ipotesi!$C$59*(1+Ipotesi!$C$66)^(F328-1)/12</f>
        <v>6008.33333333333</v>
      </c>
      <c r="X328" s="15" t="n">
        <f aca="false">O328*Ipotesi!$C$60*(1+Ipotesi!$C$66)^(F328-1)/12</f>
        <v>10729.1666666667</v>
      </c>
      <c r="Y328" s="15" t="n">
        <f aca="false">P328*Ipotesi!$C$61*(1+Ipotesi!$C$66)^(F328-1)/12</f>
        <v>10729.1666666667</v>
      </c>
      <c r="Z328" s="15" t="n">
        <f aca="false">Q328*Ipotesi!$C$62*(1+Ipotesi!$C$66)^(F328-1)/12</f>
        <v>5793.75</v>
      </c>
      <c r="AA328" s="15" t="n">
        <f aca="false">R328*Ipotesi!$C$63*(1+Ipotesi!$C$66)^(F328-1)/12</f>
        <v>1502.08333333333</v>
      </c>
      <c r="AB328" s="15" t="n">
        <f aca="false">SUM(V328:AA328)</f>
        <v>39762.5</v>
      </c>
      <c r="AC328" s="15" t="n">
        <f aca="false">(S328*Ipotesi!$C$64+T328*Ipotesi!$C$65+U328*Ipotesi!$C$63)*(1+Ipotesi!$C$66)^(F328-1)/12</f>
        <v>15965</v>
      </c>
      <c r="AD328" s="15" t="n">
        <f aca="false">INDEX(Ipotesi!$C$48:$G$48,1,F328)*G328/12</f>
        <v>37.5</v>
      </c>
      <c r="AE328" s="15" t="n">
        <f aca="false">INDEX(Ipotesi!$C$50:$G$50,1,F328)*G328/12</f>
        <v>4.58333333333333</v>
      </c>
      <c r="AF328" s="15" t="n">
        <f aca="false">(S328*Parametri_v3!$C$7*Parametri_v3!$C$8+Parametri_v3!$C$10)/12</f>
        <v>38.5</v>
      </c>
      <c r="AG328" s="15" t="n">
        <f aca="false">AD328+AE328*(1+Parametri_v3!$C$9)</f>
        <v>44.375</v>
      </c>
      <c r="AH328" s="16" t="n">
        <f aca="false">IF(AG328=0,1,MIN(1,AF328/AG328))</f>
        <v>0.867605633802817</v>
      </c>
      <c r="AI328" s="15" t="n">
        <f aca="false">AD328*AH328</f>
        <v>32.5352112676056</v>
      </c>
      <c r="AJ328" s="15" t="n">
        <f aca="false">AE328*AH328</f>
        <v>3.97652582159624</v>
      </c>
      <c r="AK328" s="15" t="n">
        <f aca="false">AI328*INDEX(Ipotesi!$C$49:$G$49,1,F328)*H328</f>
        <v>26028.1690140845</v>
      </c>
      <c r="AL328" s="15" t="n">
        <f aca="false">AJ328*INDEX(Ipotesi!$C$51:$G$51,1,F328)*H328</f>
        <v>7953.05164319249</v>
      </c>
      <c r="AM328" s="15" t="n">
        <f aca="false">AK328+AL328</f>
        <v>33981.220657277</v>
      </c>
      <c r="AN328" s="15" t="n">
        <f aca="false">INDEX(Ipotesi!$C$30:$G$30,1,F328)*G328/12</f>
        <v>22.5</v>
      </c>
      <c r="AO328" s="15" t="n">
        <f aca="false">O328*Parametri_v3!$C$7*Parametri_v3!$C$11*(1-Parametri_v3!$C$14)/12</f>
        <v>25.6666666666667</v>
      </c>
      <c r="AP328" s="15" t="n">
        <f aca="false">MIN(AN328,AO328)</f>
        <v>22.5</v>
      </c>
      <c r="AQ328" s="15" t="n">
        <f aca="false">AP328*INDEX(Ipotesi!$C$31:$G$31,1,F328)*H328</f>
        <v>21375</v>
      </c>
      <c r="AR328" s="15" t="n">
        <f aca="false">INDEX(Ipotesi!$C$75:$G$75,1,F328)*J328/12</f>
        <v>4583.33333333333</v>
      </c>
      <c r="AS328" s="15" t="n">
        <f aca="false">INDEX(Ipotesi!$C$81:$G$81,1,F328)*J328/12</f>
        <v>833.333333333333</v>
      </c>
      <c r="AT328" s="15" t="n">
        <f aca="false">AR328*Parametri_v3!$C$15+Z328*Parametri_v3!$C$16</f>
        <v>8638.95833333333</v>
      </c>
      <c r="AU328" s="15" t="n">
        <f aca="false">Q328*Parametri_v3!$C$16*Parametri_v3!$C$17</f>
        <v>105</v>
      </c>
      <c r="AV328" s="17" t="n">
        <f aca="false">BD327</f>
        <v>30.0221592266447</v>
      </c>
      <c r="AW328" s="17" t="n">
        <f aca="false">AV328*(1-(1-INDEX(Ipotesi!$C$34:$G$34,1,F328))^(1/12))</f>
        <v>0.262442035979287</v>
      </c>
      <c r="AX328" s="15" t="n">
        <f aca="false">ROUND(INDEX(Ipotesi!$C$32:$G$32,1,F328)*Ipotesi!H8,0)</f>
        <v>35</v>
      </c>
      <c r="AY328" s="15" t="n">
        <f aca="false">MAX(0,(AX328-(AV328-AW328))/(13-E328))</f>
        <v>5.2402828093346</v>
      </c>
      <c r="AZ328" s="15" t="n">
        <f aca="false">MIN(P328*Parametri_v3!$C$22,Q328*(1-Parametri_v3!$C$16)*Parametri_v3!$C$23)</f>
        <v>67.5</v>
      </c>
      <c r="BA328" s="15" t="n">
        <f aca="false">IF(OR(INDEX(Ipotesi!$C$35:$G$35,1,F328)&lt;=0,24-Parametri_v3!$C$21&lt;1),0,INDEX($AT$305:$AT$364,MAX(1,24-Parametri_v3!$C$21))/(INDEX(Ipotesi!$C$35:$G$35,1,F328)*Ipotesi!H27))</f>
        <v>2.87965277777778</v>
      </c>
      <c r="BB328" s="15" t="n">
        <f aca="false">IF(24-Parametri_v3!$C$21&lt;1,0,INDEX($AU$305:$AU$364,MAX(1,24-Parametri_v3!$C$21)))*Parametri_v3!$C$18*Parametri_v3!$C$19*Parametri_v3!$C$20</f>
        <v>3.9375</v>
      </c>
      <c r="BC328" s="17" t="n">
        <f aca="false">MAX(0,MIN(AY328,BA328,BB328,MAX(0,AZ328-(AV328-AW328))))</f>
        <v>2.87965277777778</v>
      </c>
      <c r="BD328" s="17" t="n">
        <f aca="false">AV328-AW328+BC328</f>
        <v>32.6393699684432</v>
      </c>
      <c r="BE328" s="17" t="n">
        <f aca="false">(AV328+BD328)/2</f>
        <v>31.3307645975439</v>
      </c>
      <c r="BF328" s="15" t="n">
        <f aca="false">BE328*INDEX(Ipotesi!$C$33:$G$33,1,F328)*H328/12</f>
        <v>10443.5881991813</v>
      </c>
      <c r="BG328" s="15" t="n">
        <f aca="false">BD328*INDEX(Ipotesi!$C$33:$G$33,1,F328)*H328</f>
        <v>130557.479873773</v>
      </c>
      <c r="BH328" s="15" t="n">
        <f aca="false">AM328*INDEX(Ipotesi!$C$37:$G$37,1,F328)</f>
        <v>3398.1220657277</v>
      </c>
      <c r="BI328" s="15" t="n">
        <f aca="false">AQ328+BF328+BH328</f>
        <v>35216.710264909</v>
      </c>
      <c r="BJ328" s="15" t="n">
        <f aca="false">INDEX(Ipotesi!$C$68:$G$68,1,F328)*Ipotesi!$C$69/12</f>
        <v>1600</v>
      </c>
      <c r="BK328" s="15" t="n">
        <f aca="false">INDEX(Ipotesi!$C$68:$G$68,1,F328)*(1-Ipotesi!$C$69)/12</f>
        <v>2400</v>
      </c>
      <c r="BL328" s="15" t="n">
        <f aca="false">(AQ328+BF328)*Ipotesi!$C$67</f>
        <v>954.557645975439</v>
      </c>
      <c r="BM328" s="15" t="n">
        <f aca="false">AM328*Ipotesi!$C$67</f>
        <v>1019.43661971831</v>
      </c>
      <c r="BN328" s="15" t="n">
        <f aca="false">INDEX(Ipotesi!$C$72:$G$72,1,F328)/12*Ipotesi!H126+BF328*Ipotesi!$C$73</f>
        <v>2085.48705593451</v>
      </c>
      <c r="BO328" s="15" t="n">
        <f aca="false">INDEX(Ipotesi!$C$74:$G$74,1,F328)/12*Ipotesi!H126</f>
        <v>1833.33333333333</v>
      </c>
      <c r="BP328" s="15" t="n">
        <f aca="false">INDEX(Ipotesi!$C$76:$G$76,1,F328)/12</f>
        <v>750</v>
      </c>
      <c r="BQ328" s="15" t="n">
        <f aca="false">INDEX(Ipotesi!$C$77:$G$77,1,F328)/12*Ipotesi!H126</f>
        <v>1666.66666666667</v>
      </c>
      <c r="BR328" s="15" t="n">
        <f aca="false">INDEX(Ipotesi!$C$78:$G$78,1,F328)/12</f>
        <v>1250</v>
      </c>
      <c r="BS328" s="15" t="n">
        <f aca="false">SUM(M328:R328)*(Ipotesi!$C$85+Ipotesi!$C$86)/12</f>
        <v>2625</v>
      </c>
      <c r="BT328" s="15" t="n">
        <f aca="false">BI328*Ipotesi!$C$87</f>
        <v>1056.50130794727</v>
      </c>
      <c r="BU328" s="15" t="n">
        <f aca="false">INDEX(Ipotesi!$C$55:$G$55,1,F328)*K328/12</f>
        <v>1000</v>
      </c>
      <c r="BV328" s="15" t="n">
        <f aca="false">INDEX(Ipotesi!$C$80:$G$80,1,F328)/12*Ipotesi!H126</f>
        <v>833.333333333333</v>
      </c>
      <c r="BW328" s="15" t="n">
        <f aca="false">INDEX(Ipotesi!$C$82:$G$82,1,F328)/12</f>
        <v>666.666666666667</v>
      </c>
      <c r="BX328" s="15" t="n">
        <f aca="false">INDEX(Ipotesi!$C$83:$G$83,1,F328)/12</f>
        <v>583.333333333333</v>
      </c>
      <c r="BY328" s="15" t="n">
        <f aca="false">SUM(S328:U328)*(Ipotesi!$C$85+Ipotesi!$C$86)/12</f>
        <v>1166.66666666667</v>
      </c>
      <c r="BZ328" s="15" t="n">
        <f aca="false">AM328*Ipotesi!$C$87</f>
        <v>1019.43661971831</v>
      </c>
      <c r="CA328" s="15" t="n">
        <f aca="false">AB328+BJ328+BL328+BN328+BO328+AR328+BP328+BQ328+BR328+BS328+BT328</f>
        <v>58167.3793431906</v>
      </c>
      <c r="CB328" s="15" t="n">
        <f aca="false">AC328+BK328+BM328+BH328+BU328+BV328+AS328+BW328+BX328+BY328+BZ328</f>
        <v>28885.3286384976</v>
      </c>
      <c r="CC328" s="15" t="n">
        <f aca="false">BI328-CA328</f>
        <v>-22950.6690782815</v>
      </c>
      <c r="CD328" s="15" t="n">
        <f aca="false">AM328-CB328</f>
        <v>5095.89201877934</v>
      </c>
      <c r="CE328" s="15" t="n">
        <f aca="false">INDEX(Ipotesi!$C$79:$G$79,1,F328)/12</f>
        <v>2083.33333333333</v>
      </c>
      <c r="CF328" s="15" t="n">
        <f aca="false">INDEX(Ipotesi!$C$84:$G$84,1,F328)/12</f>
        <v>416.666666666667</v>
      </c>
      <c r="CG328" s="15" t="n">
        <f aca="false">Y328*MAX(0,Parametri_v3!$C$12-IF(P328=0,0,MIN(1,BE328/(P328*Parametri_v3!$C$22))))+W328*Parametri_v3!$C$13+X328*Parametri_v3!$C$14</f>
        <v>14534.5546860221</v>
      </c>
      <c r="CH328" s="15" t="n">
        <f aca="false">AB328*Parametri_v3!$C$32</f>
        <v>1988.125</v>
      </c>
      <c r="CI328" s="15" t="n">
        <f aca="false">AC328*Parametri_v3!$C$32</f>
        <v>798.25</v>
      </c>
      <c r="CJ328" s="15" t="n">
        <f aca="false">CA328-AB328</f>
        <v>18404.8793431906</v>
      </c>
      <c r="CK328" s="15" t="n">
        <f aca="false">CB328-AC328-BH328</f>
        <v>9522.20657276995</v>
      </c>
      <c r="CL328" s="15" t="n">
        <f aca="false">BF328*Ipotesi!$C$73+INDEX(Ipotesi!$C$72:$G$72,1,F328)/12*Ipotesi!H126*Parametri_v3!$C$58+Z328*(1-Parametri_v3!$C$16)</f>
        <v>3823.61205593451</v>
      </c>
      <c r="CM328" s="16" t="n">
        <f aca="false">IF(BF328=0,0,1-CL328/BF328)</f>
        <v>0.633879469104858</v>
      </c>
    </row>
    <row r="329" customFormat="false" ht="18" hidden="false" customHeight="true" outlineLevel="0" collapsed="false">
      <c r="A329" s="68" t="n">
        <f aca="false">6</f>
        <v>6</v>
      </c>
      <c r="B329" s="68" t="n">
        <f aca="false">25</f>
        <v>25</v>
      </c>
      <c r="C329" s="18" t="n">
        <f aca="false">EDATE(Parametri_v3!$C$5,25-1)</f>
        <v>47119</v>
      </c>
      <c r="D329" s="68" t="n">
        <f aca="false">YEAR(C329)</f>
        <v>2029</v>
      </c>
      <c r="E329" s="68" t="n">
        <f aca="false">MONTH(C329)</f>
        <v>1</v>
      </c>
      <c r="F329" s="68" t="n">
        <f aca="false">INT((25-1)/12)+1</f>
        <v>3</v>
      </c>
      <c r="G329" s="15" t="n">
        <f aca="false">Ipotesi!H7</f>
        <v>1</v>
      </c>
      <c r="H329" s="15" t="n">
        <f aca="false">Ipotesi!H9</f>
        <v>1</v>
      </c>
      <c r="I329" s="15" t="n">
        <f aca="false">Ipotesi!H10</f>
        <v>1</v>
      </c>
      <c r="J329" s="15" t="n">
        <f aca="false">Ipotesi!H11</f>
        <v>1</v>
      </c>
      <c r="K329" s="15" t="n">
        <f aca="false">Ipotesi!H12</f>
        <v>1</v>
      </c>
      <c r="L329" s="15" t="n">
        <f aca="false">Ipotesi!H13</f>
        <v>90</v>
      </c>
      <c r="M329" s="17" t="n">
        <f aca="false">INDEX(Ipotesi!$C$40:$G$40,1,F329)</f>
        <v>1</v>
      </c>
      <c r="N329" s="17" t="n">
        <f aca="false">INDEX(Ipotesi!$C$41:$G$41,1,F329)</f>
        <v>1</v>
      </c>
      <c r="O329" s="17" t="n">
        <f aca="false">INDEX(Ipotesi!$C$42:$G$42,1,F329)*Ipotesi!H125</f>
        <v>4.5</v>
      </c>
      <c r="P329" s="17" t="n">
        <f aca="false">INDEX(Ipotesi!$C$43:$G$43,1,F329)*I329</f>
        <v>5</v>
      </c>
      <c r="Q329" s="17" t="n">
        <f aca="false">INDEX(Ipotesi!$C$44:$G$44,1,F329)*I329</f>
        <v>4</v>
      </c>
      <c r="R329" s="17" t="n">
        <f aca="false">INDEX(Ipotesi!$C$45:$G$45,1,F329)*I329</f>
        <v>1</v>
      </c>
      <c r="S329" s="17" t="n">
        <f aca="false">INDEX(Ipotesi!$C$52:$G$52,1,F329)*Ipotesi!H125</f>
        <v>5</v>
      </c>
      <c r="T329" s="17" t="n">
        <f aca="false">INDEX(Ipotesi!$C$53:$G$53,1,F329)*I329</f>
        <v>1</v>
      </c>
      <c r="U329" s="17" t="n">
        <f aca="false">INDEX(Ipotesi!$C$54:$G$54,1,F329)*I329</f>
        <v>0.5</v>
      </c>
      <c r="V329" s="15" t="n">
        <f aca="false">M329*INDEX(Ipotesi!$C$58:$G$58,1,F329)*K329/12</f>
        <v>7083.33333333333</v>
      </c>
      <c r="W329" s="15" t="n">
        <f aca="false">N329*Ipotesi!$C$59*(1+Ipotesi!$C$66)^(F329-1)/12</f>
        <v>6188.58333333333</v>
      </c>
      <c r="X329" s="15" t="n">
        <f aca="false">O329*Ipotesi!$C$60*(1+Ipotesi!$C$66)^(F329-1)/12</f>
        <v>19891.875</v>
      </c>
      <c r="Y329" s="15" t="n">
        <f aca="false">P329*Ipotesi!$C$61*(1+Ipotesi!$C$66)^(F329-1)/12</f>
        <v>22102.0833333333</v>
      </c>
      <c r="Z329" s="15" t="n">
        <f aca="false">Q329*Ipotesi!$C$62*(1+Ipotesi!$C$66)^(F329-1)/12</f>
        <v>15913.5</v>
      </c>
      <c r="AA329" s="15" t="n">
        <f aca="false">R329*Ipotesi!$C$63*(1+Ipotesi!$C$66)^(F329-1)/12</f>
        <v>3094.29166666667</v>
      </c>
      <c r="AB329" s="15" t="n">
        <f aca="false">SUM(V329:AA329)</f>
        <v>74273.6666666667</v>
      </c>
      <c r="AC329" s="15" t="n">
        <f aca="false">(S329*Ipotesi!$C$64+T329*Ipotesi!$C$65+U329*Ipotesi!$C$63)*(1+Ipotesi!$C$66)^(F329-1)/12</f>
        <v>25417.3958333333</v>
      </c>
      <c r="AD329" s="15" t="n">
        <f aca="false">INDEX(Ipotesi!$C$48:$G$48,1,F329)*G329/12</f>
        <v>60</v>
      </c>
      <c r="AE329" s="15" t="n">
        <f aca="false">INDEX(Ipotesi!$C$50:$G$50,1,F329)*G329/12</f>
        <v>6.66666666666667</v>
      </c>
      <c r="AF329" s="15" t="n">
        <f aca="false">(S329*Parametri_v3!$C$7*Parametri_v3!$C$8+Parametri_v3!$C$10)/12</f>
        <v>64.1666666666667</v>
      </c>
      <c r="AG329" s="15" t="n">
        <f aca="false">AD329+AE329*(1+Parametri_v3!$C$9)</f>
        <v>70</v>
      </c>
      <c r="AH329" s="16" t="n">
        <f aca="false">IF(AG329=0,1,MIN(1,AF329/AG329))</f>
        <v>0.916666666666667</v>
      </c>
      <c r="AI329" s="15" t="n">
        <f aca="false">AD329*AH329</f>
        <v>55</v>
      </c>
      <c r="AJ329" s="15" t="n">
        <f aca="false">AE329*AH329</f>
        <v>6.11111111111111</v>
      </c>
      <c r="AK329" s="15" t="n">
        <f aca="false">AI329*INDEX(Ipotesi!$C$49:$G$49,1,F329)*H329</f>
        <v>46750</v>
      </c>
      <c r="AL329" s="15" t="n">
        <f aca="false">AJ329*INDEX(Ipotesi!$C$51:$G$51,1,F329)*H329</f>
        <v>13750</v>
      </c>
      <c r="AM329" s="15" t="n">
        <f aca="false">AK329+AL329</f>
        <v>60500</v>
      </c>
      <c r="AN329" s="15" t="n">
        <f aca="false">INDEX(Ipotesi!$C$30:$G$30,1,F329)*G329/12</f>
        <v>41.6666666666667</v>
      </c>
      <c r="AO329" s="15" t="n">
        <f aca="false">O329*Parametri_v3!$C$7*Parametri_v3!$C$11*(1-Parametri_v3!$C$14)/12</f>
        <v>46.2</v>
      </c>
      <c r="AP329" s="15" t="n">
        <f aca="false">MIN(AN329,AO329)</f>
        <v>41.6666666666667</v>
      </c>
      <c r="AQ329" s="15" t="n">
        <f aca="false">AP329*INDEX(Ipotesi!$C$31:$G$31,1,F329)*H329</f>
        <v>41666.6666666667</v>
      </c>
      <c r="AR329" s="15" t="n">
        <f aca="false">INDEX(Ipotesi!$C$75:$G$75,1,F329)*J329/12</f>
        <v>20000</v>
      </c>
      <c r="AS329" s="15" t="n">
        <f aca="false">INDEX(Ipotesi!$C$81:$G$81,1,F329)*J329/12</f>
        <v>1250</v>
      </c>
      <c r="AT329" s="15" t="n">
        <f aca="false">AR329*Parametri_v3!$C$15+Z329*Parametri_v3!$C$16</f>
        <v>31139.45</v>
      </c>
      <c r="AU329" s="15" t="n">
        <f aca="false">Q329*Parametri_v3!$C$16*Parametri_v3!$C$17</f>
        <v>280</v>
      </c>
      <c r="AV329" s="17" t="n">
        <f aca="false">BD328</f>
        <v>32.6393699684432</v>
      </c>
      <c r="AW329" s="17" t="n">
        <f aca="false">AV329*(1-(1-INDEX(Ipotesi!$C$34:$G$34,1,F329))^(1/12))</f>
        <v>0.285320674070542</v>
      </c>
      <c r="AX329" s="15" t="n">
        <f aca="false">ROUND(INDEX(Ipotesi!$C$32:$G$32,1,F329)*Ipotesi!H8,0)</f>
        <v>130</v>
      </c>
      <c r="AY329" s="15" t="n">
        <f aca="false">MAX(0,(AX329-(AV329-AW329))/(13-E329))</f>
        <v>8.13716255880228</v>
      </c>
      <c r="AZ329" s="15" t="n">
        <f aca="false">MIN(P329*Parametri_v3!$C$22,Q329*(1-Parametri_v3!$C$16)*Parametri_v3!$C$23)</f>
        <v>180</v>
      </c>
      <c r="BA329" s="15" t="n">
        <f aca="false">IF(OR(INDEX(Ipotesi!$C$35:$G$35,1,F329)&lt;=0,25-Parametri_v3!$C$21&lt;1),0,INDEX($AT$305:$AT$364,MAX(1,25-Parametri_v3!$C$21))/(INDEX(Ipotesi!$C$35:$G$35,1,F329)*Ipotesi!H27))</f>
        <v>1.72779166666667</v>
      </c>
      <c r="BB329" s="15" t="n">
        <f aca="false">IF(25-Parametri_v3!$C$21&lt;1,0,INDEX($AU$305:$AU$364,MAX(1,25-Parametri_v3!$C$21)))*Parametri_v3!$C$18*Parametri_v3!$C$19*Parametri_v3!$C$20</f>
        <v>3.9375</v>
      </c>
      <c r="BC329" s="17" t="n">
        <f aca="false">MAX(0,MIN(AY329,BA329,BB329,MAX(0,AZ329-(AV329-AW329))))</f>
        <v>1.72779166666667</v>
      </c>
      <c r="BD329" s="17" t="n">
        <f aca="false">AV329-AW329+BC329</f>
        <v>34.0818409610393</v>
      </c>
      <c r="BE329" s="17" t="n">
        <f aca="false">(AV329+BD329)/2</f>
        <v>33.3606054647413</v>
      </c>
      <c r="BF329" s="15" t="n">
        <f aca="false">BE329*INDEX(Ipotesi!$C$33:$G$33,1,F329)*H329/12</f>
        <v>15290.2775046731</v>
      </c>
      <c r="BG329" s="15" t="n">
        <f aca="false">BD329*INDEX(Ipotesi!$C$33:$G$33,1,F329)*H329</f>
        <v>187450.125285716</v>
      </c>
      <c r="BH329" s="15" t="n">
        <f aca="false">AM329*INDEX(Ipotesi!$C$37:$G$37,1,F329)</f>
        <v>6050</v>
      </c>
      <c r="BI329" s="15" t="n">
        <f aca="false">AQ329+BF329+BH329</f>
        <v>63006.9441713397</v>
      </c>
      <c r="BJ329" s="15" t="n">
        <f aca="false">INDEX(Ipotesi!$C$68:$G$68,1,F329)*Ipotesi!$C$69/12</f>
        <v>2400</v>
      </c>
      <c r="BK329" s="15" t="n">
        <f aca="false">INDEX(Ipotesi!$C$68:$G$68,1,F329)*(1-Ipotesi!$C$69)/12</f>
        <v>3600</v>
      </c>
      <c r="BL329" s="15" t="n">
        <f aca="false">(AQ329+BF329)*Ipotesi!$C$67</f>
        <v>1708.70832514019</v>
      </c>
      <c r="BM329" s="15" t="n">
        <f aca="false">AM329*Ipotesi!$C$67</f>
        <v>1815</v>
      </c>
      <c r="BN329" s="15" t="n">
        <f aca="false">INDEX(Ipotesi!$C$72:$G$72,1,F329)/12*Ipotesi!H126+BF329*Ipotesi!$C$73</f>
        <v>2473.22220037385</v>
      </c>
      <c r="BO329" s="15" t="n">
        <f aca="false">INDEX(Ipotesi!$C$74:$G$74,1,F329)/12*Ipotesi!H126</f>
        <v>2916.66666666667</v>
      </c>
      <c r="BP329" s="15" t="n">
        <f aca="false">INDEX(Ipotesi!$C$76:$G$76,1,F329)/12</f>
        <v>1083.33333333333</v>
      </c>
      <c r="BQ329" s="15" t="n">
        <f aca="false">INDEX(Ipotesi!$C$77:$G$77,1,F329)/12*Ipotesi!H126</f>
        <v>2083.33333333333</v>
      </c>
      <c r="BR329" s="15" t="n">
        <f aca="false">INDEX(Ipotesi!$C$78:$G$78,1,F329)/12</f>
        <v>1666.66666666667</v>
      </c>
      <c r="BS329" s="15" t="n">
        <f aca="false">SUM(M329:R329)*(Ipotesi!$C$85+Ipotesi!$C$86)/12</f>
        <v>4812.5</v>
      </c>
      <c r="BT329" s="15" t="n">
        <f aca="false">BI329*Ipotesi!$C$87</f>
        <v>1890.20832514019</v>
      </c>
      <c r="BU329" s="15" t="n">
        <f aca="false">INDEX(Ipotesi!$C$55:$G$55,1,F329)*K329/12</f>
        <v>1500</v>
      </c>
      <c r="BV329" s="15" t="n">
        <f aca="false">INDEX(Ipotesi!$C$80:$G$80,1,F329)/12*Ipotesi!H126</f>
        <v>1250</v>
      </c>
      <c r="BW329" s="15" t="n">
        <f aca="false">INDEX(Ipotesi!$C$82:$G$82,1,F329)/12</f>
        <v>1000</v>
      </c>
      <c r="BX329" s="15" t="n">
        <f aca="false">INDEX(Ipotesi!$C$83:$G$83,1,F329)/12</f>
        <v>666.666666666667</v>
      </c>
      <c r="BY329" s="15" t="n">
        <f aca="false">SUM(S329:U329)*(Ipotesi!$C$85+Ipotesi!$C$86)/12</f>
        <v>1895.83333333333</v>
      </c>
      <c r="BZ329" s="15" t="n">
        <f aca="false">AM329*Ipotesi!$C$87</f>
        <v>1815</v>
      </c>
      <c r="CA329" s="15" t="n">
        <f aca="false">AB329+BJ329+BL329+BN329+BO329+AR329+BP329+BQ329+BR329+BS329+BT329</f>
        <v>115308.305517321</v>
      </c>
      <c r="CB329" s="15" t="n">
        <f aca="false">AC329+BK329+BM329+BH329+BU329+BV329+AS329+BW329+BX329+BY329+BZ329</f>
        <v>46259.8958333333</v>
      </c>
      <c r="CC329" s="15" t="n">
        <f aca="false">BI329-CA329</f>
        <v>-52301.3613459812</v>
      </c>
      <c r="CD329" s="15" t="n">
        <f aca="false">AM329-CB329</f>
        <v>14240.1041666667</v>
      </c>
      <c r="CE329" s="15" t="n">
        <f aca="false">INDEX(Ipotesi!$C$79:$G$79,1,F329)/12</f>
        <v>2500</v>
      </c>
      <c r="CF329" s="15" t="n">
        <f aca="false">INDEX(Ipotesi!$C$84:$G$84,1,F329)/12</f>
        <v>416.666666666667</v>
      </c>
      <c r="CG329" s="15" t="n">
        <f aca="false">Y329*MAX(0,Parametri_v3!$C$12-IF(P329=0,0,MIN(1,BE329/(P329*Parametri_v3!$C$22))))+W329*Parametri_v3!$C$13+X329*Parametri_v3!$C$14</f>
        <v>27700.0722359357</v>
      </c>
      <c r="CH329" s="15" t="n">
        <f aca="false">AB329*Parametri_v3!$C$32</f>
        <v>3713.68333333333</v>
      </c>
      <c r="CI329" s="15" t="n">
        <f aca="false">AC329*Parametri_v3!$C$32</f>
        <v>1270.86979166667</v>
      </c>
      <c r="CJ329" s="15" t="n">
        <f aca="false">CA329-AB329</f>
        <v>41034.6388506542</v>
      </c>
      <c r="CK329" s="15" t="n">
        <f aca="false">CB329-AC329-BH329</f>
        <v>14792.5</v>
      </c>
      <c r="CL329" s="15" t="n">
        <f aca="false">BF329*Ipotesi!$C$73+INDEX(Ipotesi!$C$72:$G$72,1,F329)/12*Ipotesi!H126*Parametri_v3!$C$58+Z329*(1-Parametri_v3!$C$16)</f>
        <v>7247.27220037385</v>
      </c>
      <c r="CM329" s="16" t="n">
        <f aca="false">IF(BF329=0,0,1-CL329/BF329)</f>
        <v>0.526020884960465</v>
      </c>
    </row>
    <row r="330" customFormat="false" ht="18" hidden="false" customHeight="true" outlineLevel="0" collapsed="false">
      <c r="A330" s="68" t="n">
        <f aca="false">6</f>
        <v>6</v>
      </c>
      <c r="B330" s="68" t="n">
        <f aca="false">26</f>
        <v>26</v>
      </c>
      <c r="C330" s="18" t="n">
        <f aca="false">EDATE(Parametri_v3!$C$5,26-1)</f>
        <v>47150</v>
      </c>
      <c r="D330" s="68" t="n">
        <f aca="false">YEAR(C330)</f>
        <v>2029</v>
      </c>
      <c r="E330" s="68" t="n">
        <f aca="false">MONTH(C330)</f>
        <v>2</v>
      </c>
      <c r="F330" s="68" t="n">
        <f aca="false">INT((26-1)/12)+1</f>
        <v>3</v>
      </c>
      <c r="G330" s="15" t="n">
        <f aca="false">Ipotesi!H7</f>
        <v>1</v>
      </c>
      <c r="H330" s="15" t="n">
        <f aca="false">Ipotesi!H9</f>
        <v>1</v>
      </c>
      <c r="I330" s="15" t="n">
        <f aca="false">Ipotesi!H10</f>
        <v>1</v>
      </c>
      <c r="J330" s="15" t="n">
        <f aca="false">Ipotesi!H11</f>
        <v>1</v>
      </c>
      <c r="K330" s="15" t="n">
        <f aca="false">Ipotesi!H12</f>
        <v>1</v>
      </c>
      <c r="L330" s="15" t="n">
        <f aca="false">Ipotesi!H13</f>
        <v>90</v>
      </c>
      <c r="M330" s="17" t="n">
        <f aca="false">INDEX(Ipotesi!$C$40:$G$40,1,F330)</f>
        <v>1</v>
      </c>
      <c r="N330" s="17" t="n">
        <f aca="false">INDEX(Ipotesi!$C$41:$G$41,1,F330)</f>
        <v>1</v>
      </c>
      <c r="O330" s="17" t="n">
        <f aca="false">INDEX(Ipotesi!$C$42:$G$42,1,F330)*Ipotesi!H125</f>
        <v>4.5</v>
      </c>
      <c r="P330" s="17" t="n">
        <f aca="false">INDEX(Ipotesi!$C$43:$G$43,1,F330)*I330</f>
        <v>5</v>
      </c>
      <c r="Q330" s="17" t="n">
        <f aca="false">INDEX(Ipotesi!$C$44:$G$44,1,F330)*I330</f>
        <v>4</v>
      </c>
      <c r="R330" s="17" t="n">
        <f aca="false">INDEX(Ipotesi!$C$45:$G$45,1,F330)*I330</f>
        <v>1</v>
      </c>
      <c r="S330" s="17" t="n">
        <f aca="false">INDEX(Ipotesi!$C$52:$G$52,1,F330)*Ipotesi!H125</f>
        <v>5</v>
      </c>
      <c r="T330" s="17" t="n">
        <f aca="false">INDEX(Ipotesi!$C$53:$G$53,1,F330)*I330</f>
        <v>1</v>
      </c>
      <c r="U330" s="17" t="n">
        <f aca="false">INDEX(Ipotesi!$C$54:$G$54,1,F330)*I330</f>
        <v>0.5</v>
      </c>
      <c r="V330" s="15" t="n">
        <f aca="false">M330*INDEX(Ipotesi!$C$58:$G$58,1,F330)*K330/12</f>
        <v>7083.33333333333</v>
      </c>
      <c r="W330" s="15" t="n">
        <f aca="false">N330*Ipotesi!$C$59*(1+Ipotesi!$C$66)^(F330-1)/12</f>
        <v>6188.58333333333</v>
      </c>
      <c r="X330" s="15" t="n">
        <f aca="false">O330*Ipotesi!$C$60*(1+Ipotesi!$C$66)^(F330-1)/12</f>
        <v>19891.875</v>
      </c>
      <c r="Y330" s="15" t="n">
        <f aca="false">P330*Ipotesi!$C$61*(1+Ipotesi!$C$66)^(F330-1)/12</f>
        <v>22102.0833333333</v>
      </c>
      <c r="Z330" s="15" t="n">
        <f aca="false">Q330*Ipotesi!$C$62*(1+Ipotesi!$C$66)^(F330-1)/12</f>
        <v>15913.5</v>
      </c>
      <c r="AA330" s="15" t="n">
        <f aca="false">R330*Ipotesi!$C$63*(1+Ipotesi!$C$66)^(F330-1)/12</f>
        <v>3094.29166666667</v>
      </c>
      <c r="AB330" s="15" t="n">
        <f aca="false">SUM(V330:AA330)</f>
        <v>74273.6666666667</v>
      </c>
      <c r="AC330" s="15" t="n">
        <f aca="false">(S330*Ipotesi!$C$64+T330*Ipotesi!$C$65+U330*Ipotesi!$C$63)*(1+Ipotesi!$C$66)^(F330-1)/12</f>
        <v>25417.3958333333</v>
      </c>
      <c r="AD330" s="15" t="n">
        <f aca="false">INDEX(Ipotesi!$C$48:$G$48,1,F330)*G330/12</f>
        <v>60</v>
      </c>
      <c r="AE330" s="15" t="n">
        <f aca="false">INDEX(Ipotesi!$C$50:$G$50,1,F330)*G330/12</f>
        <v>6.66666666666667</v>
      </c>
      <c r="AF330" s="15" t="n">
        <f aca="false">(S330*Parametri_v3!$C$7*Parametri_v3!$C$8+Parametri_v3!$C$10)/12</f>
        <v>64.1666666666667</v>
      </c>
      <c r="AG330" s="15" t="n">
        <f aca="false">AD330+AE330*(1+Parametri_v3!$C$9)</f>
        <v>70</v>
      </c>
      <c r="AH330" s="16" t="n">
        <f aca="false">IF(AG330=0,1,MIN(1,AF330/AG330))</f>
        <v>0.916666666666667</v>
      </c>
      <c r="AI330" s="15" t="n">
        <f aca="false">AD330*AH330</f>
        <v>55</v>
      </c>
      <c r="AJ330" s="15" t="n">
        <f aca="false">AE330*AH330</f>
        <v>6.11111111111111</v>
      </c>
      <c r="AK330" s="15" t="n">
        <f aca="false">AI330*INDEX(Ipotesi!$C$49:$G$49,1,F330)*H330</f>
        <v>46750</v>
      </c>
      <c r="AL330" s="15" t="n">
        <f aca="false">AJ330*INDEX(Ipotesi!$C$51:$G$51,1,F330)*H330</f>
        <v>13750</v>
      </c>
      <c r="AM330" s="15" t="n">
        <f aca="false">AK330+AL330</f>
        <v>60500</v>
      </c>
      <c r="AN330" s="15" t="n">
        <f aca="false">INDEX(Ipotesi!$C$30:$G$30,1,F330)*G330/12</f>
        <v>41.6666666666667</v>
      </c>
      <c r="AO330" s="15" t="n">
        <f aca="false">O330*Parametri_v3!$C$7*Parametri_v3!$C$11*(1-Parametri_v3!$C$14)/12</f>
        <v>46.2</v>
      </c>
      <c r="AP330" s="15" t="n">
        <f aca="false">MIN(AN330,AO330)</f>
        <v>41.6666666666667</v>
      </c>
      <c r="AQ330" s="15" t="n">
        <f aca="false">AP330*INDEX(Ipotesi!$C$31:$G$31,1,F330)*H330</f>
        <v>41666.6666666667</v>
      </c>
      <c r="AR330" s="15" t="n">
        <f aca="false">INDEX(Ipotesi!$C$75:$G$75,1,F330)*J330/12</f>
        <v>20000</v>
      </c>
      <c r="AS330" s="15" t="n">
        <f aca="false">INDEX(Ipotesi!$C$81:$G$81,1,F330)*J330/12</f>
        <v>1250</v>
      </c>
      <c r="AT330" s="15" t="n">
        <f aca="false">AR330*Parametri_v3!$C$15+Z330*Parametri_v3!$C$16</f>
        <v>31139.45</v>
      </c>
      <c r="AU330" s="15" t="n">
        <f aca="false">Q330*Parametri_v3!$C$16*Parametri_v3!$C$17</f>
        <v>280</v>
      </c>
      <c r="AV330" s="17" t="n">
        <f aca="false">BD329</f>
        <v>34.0818409610393</v>
      </c>
      <c r="AW330" s="17" t="n">
        <f aca="false">AV330*(1-(1-INDEX(Ipotesi!$C$34:$G$34,1,F330))^(1/12))</f>
        <v>0.297930194301253</v>
      </c>
      <c r="AX330" s="15" t="n">
        <f aca="false">ROUND(INDEX(Ipotesi!$C$32:$G$32,1,F330)*Ipotesi!H8,0)</f>
        <v>130</v>
      </c>
      <c r="AY330" s="15" t="n">
        <f aca="false">MAX(0,(AX330-(AV330-AW330))/(13-E330))</f>
        <v>8.74691720302381</v>
      </c>
      <c r="AZ330" s="15" t="n">
        <f aca="false">MIN(P330*Parametri_v3!$C$22,Q330*(1-Parametri_v3!$C$16)*Parametri_v3!$C$23)</f>
        <v>180</v>
      </c>
      <c r="BA330" s="15" t="n">
        <f aca="false">IF(OR(INDEX(Ipotesi!$C$35:$G$35,1,F330)&lt;=0,26-Parametri_v3!$C$21&lt;1),0,INDEX($AT$305:$AT$364,MAX(1,26-Parametri_v3!$C$21))/(INDEX(Ipotesi!$C$35:$G$35,1,F330)*Ipotesi!H27))</f>
        <v>1.72779166666667</v>
      </c>
      <c r="BB330" s="15" t="n">
        <f aca="false">IF(26-Parametri_v3!$C$21&lt;1,0,INDEX($AU$305:$AU$364,MAX(1,26-Parametri_v3!$C$21)))*Parametri_v3!$C$18*Parametri_v3!$C$19*Parametri_v3!$C$20</f>
        <v>3.9375</v>
      </c>
      <c r="BC330" s="17" t="n">
        <f aca="false">MAX(0,MIN(AY330,BA330,BB330,MAX(0,AZ330-(AV330-AW330))))</f>
        <v>1.72779166666667</v>
      </c>
      <c r="BD330" s="17" t="n">
        <f aca="false">AV330-AW330+BC330</f>
        <v>35.5117024334047</v>
      </c>
      <c r="BE330" s="17" t="n">
        <f aca="false">(AV330+BD330)/2</f>
        <v>34.796771697222</v>
      </c>
      <c r="BF330" s="15" t="n">
        <f aca="false">BE330*INDEX(Ipotesi!$C$33:$G$33,1,F330)*H330/12</f>
        <v>15948.5203612268</v>
      </c>
      <c r="BG330" s="15" t="n">
        <f aca="false">BD330*INDEX(Ipotesi!$C$33:$G$33,1,F330)*H330</f>
        <v>195314.363383726</v>
      </c>
      <c r="BH330" s="15" t="n">
        <f aca="false">AM330*INDEX(Ipotesi!$C$37:$G$37,1,F330)</f>
        <v>6050</v>
      </c>
      <c r="BI330" s="15" t="n">
        <f aca="false">AQ330+BF330+BH330</f>
        <v>63665.1870278934</v>
      </c>
      <c r="BJ330" s="15" t="n">
        <f aca="false">INDEX(Ipotesi!$C$68:$G$68,1,F330)*Ipotesi!$C$69/12</f>
        <v>2400</v>
      </c>
      <c r="BK330" s="15" t="n">
        <f aca="false">INDEX(Ipotesi!$C$68:$G$68,1,F330)*(1-Ipotesi!$C$69)/12</f>
        <v>3600</v>
      </c>
      <c r="BL330" s="15" t="n">
        <f aca="false">(AQ330+BF330)*Ipotesi!$C$67</f>
        <v>1728.4556108368</v>
      </c>
      <c r="BM330" s="15" t="n">
        <f aca="false">AM330*Ipotesi!$C$67</f>
        <v>1815</v>
      </c>
      <c r="BN330" s="15" t="n">
        <f aca="false">INDEX(Ipotesi!$C$72:$G$72,1,F330)/12*Ipotesi!H126+BF330*Ipotesi!$C$73</f>
        <v>2525.88162889814</v>
      </c>
      <c r="BO330" s="15" t="n">
        <f aca="false">INDEX(Ipotesi!$C$74:$G$74,1,F330)/12*Ipotesi!H126</f>
        <v>2916.66666666667</v>
      </c>
      <c r="BP330" s="15" t="n">
        <f aca="false">INDEX(Ipotesi!$C$76:$G$76,1,F330)/12</f>
        <v>1083.33333333333</v>
      </c>
      <c r="BQ330" s="15" t="n">
        <f aca="false">INDEX(Ipotesi!$C$77:$G$77,1,F330)/12*Ipotesi!H126</f>
        <v>2083.33333333333</v>
      </c>
      <c r="BR330" s="15" t="n">
        <f aca="false">INDEX(Ipotesi!$C$78:$G$78,1,F330)/12</f>
        <v>1666.66666666667</v>
      </c>
      <c r="BS330" s="15" t="n">
        <f aca="false">SUM(M330:R330)*(Ipotesi!$C$85+Ipotesi!$C$86)/12</f>
        <v>4812.5</v>
      </c>
      <c r="BT330" s="15" t="n">
        <f aca="false">BI330*Ipotesi!$C$87</f>
        <v>1909.9556108368</v>
      </c>
      <c r="BU330" s="15" t="n">
        <f aca="false">INDEX(Ipotesi!$C$55:$G$55,1,F330)*K330/12</f>
        <v>1500</v>
      </c>
      <c r="BV330" s="15" t="n">
        <f aca="false">INDEX(Ipotesi!$C$80:$G$80,1,F330)/12*Ipotesi!H126</f>
        <v>1250</v>
      </c>
      <c r="BW330" s="15" t="n">
        <f aca="false">INDEX(Ipotesi!$C$82:$G$82,1,F330)/12</f>
        <v>1000</v>
      </c>
      <c r="BX330" s="15" t="n">
        <f aca="false">INDEX(Ipotesi!$C$83:$G$83,1,F330)/12</f>
        <v>666.666666666667</v>
      </c>
      <c r="BY330" s="15" t="n">
        <f aca="false">SUM(S330:U330)*(Ipotesi!$C$85+Ipotesi!$C$86)/12</f>
        <v>1895.83333333333</v>
      </c>
      <c r="BZ330" s="15" t="n">
        <f aca="false">AM330*Ipotesi!$C$87</f>
        <v>1815</v>
      </c>
      <c r="CA330" s="15" t="n">
        <f aca="false">AB330+BJ330+BL330+BN330+BO330+AR330+BP330+BQ330+BR330+BS330+BT330</f>
        <v>115400.459517238</v>
      </c>
      <c r="CB330" s="15" t="n">
        <f aca="false">AC330+BK330+BM330+BH330+BU330+BV330+AS330+BW330+BX330+BY330+BZ330</f>
        <v>46259.8958333333</v>
      </c>
      <c r="CC330" s="15" t="n">
        <f aca="false">BI330-CA330</f>
        <v>-51735.272489345</v>
      </c>
      <c r="CD330" s="15" t="n">
        <f aca="false">AM330-CB330</f>
        <v>14240.1041666667</v>
      </c>
      <c r="CE330" s="15" t="n">
        <f aca="false">INDEX(Ipotesi!$C$79:$G$79,1,F330)/12</f>
        <v>2500</v>
      </c>
      <c r="CF330" s="15" t="n">
        <f aca="false">INDEX(Ipotesi!$C$84:$G$84,1,F330)/12</f>
        <v>416.666666666667</v>
      </c>
      <c r="CG330" s="15" t="n">
        <f aca="false">Y330*MAX(0,Parametri_v3!$C$12-IF(P330=0,0,MIN(1,BE330/(P330*Parametri_v3!$C$22))))+W330*Parametri_v3!$C$13+X330*Parametri_v3!$C$14</f>
        <v>27636.5877044341</v>
      </c>
      <c r="CH330" s="15" t="n">
        <f aca="false">AB330*Parametri_v3!$C$32</f>
        <v>3713.68333333333</v>
      </c>
      <c r="CI330" s="15" t="n">
        <f aca="false">AC330*Parametri_v3!$C$32</f>
        <v>1270.86979166667</v>
      </c>
      <c r="CJ330" s="15" t="n">
        <f aca="false">CA330-AB330</f>
        <v>41126.7928505717</v>
      </c>
      <c r="CK330" s="15" t="n">
        <f aca="false">CB330-AC330-BH330</f>
        <v>14792.5</v>
      </c>
      <c r="CL330" s="15" t="n">
        <f aca="false">BF330*Ipotesi!$C$73+INDEX(Ipotesi!$C$72:$G$72,1,F330)/12*Ipotesi!H126*Parametri_v3!$C$58+Z330*(1-Parametri_v3!$C$16)</f>
        <v>7299.93162889814</v>
      </c>
      <c r="CM330" s="16" t="n">
        <f aca="false">IF(BF330=0,0,1-CL330/BF330)</f>
        <v>0.542281574493558</v>
      </c>
    </row>
    <row r="331" customFormat="false" ht="18" hidden="false" customHeight="true" outlineLevel="0" collapsed="false">
      <c r="A331" s="68" t="n">
        <f aca="false">6</f>
        <v>6</v>
      </c>
      <c r="B331" s="68" t="n">
        <f aca="false">27</f>
        <v>27</v>
      </c>
      <c r="C331" s="18" t="n">
        <f aca="false">EDATE(Parametri_v3!$C$5,27-1)</f>
        <v>47178</v>
      </c>
      <c r="D331" s="68" t="n">
        <f aca="false">YEAR(C331)</f>
        <v>2029</v>
      </c>
      <c r="E331" s="68" t="n">
        <f aca="false">MONTH(C331)</f>
        <v>3</v>
      </c>
      <c r="F331" s="68" t="n">
        <f aca="false">INT((27-1)/12)+1</f>
        <v>3</v>
      </c>
      <c r="G331" s="15" t="n">
        <f aca="false">Ipotesi!H7</f>
        <v>1</v>
      </c>
      <c r="H331" s="15" t="n">
        <f aca="false">Ipotesi!H9</f>
        <v>1</v>
      </c>
      <c r="I331" s="15" t="n">
        <f aca="false">Ipotesi!H10</f>
        <v>1</v>
      </c>
      <c r="J331" s="15" t="n">
        <f aca="false">Ipotesi!H11</f>
        <v>1</v>
      </c>
      <c r="K331" s="15" t="n">
        <f aca="false">Ipotesi!H12</f>
        <v>1</v>
      </c>
      <c r="L331" s="15" t="n">
        <f aca="false">Ipotesi!H13</f>
        <v>90</v>
      </c>
      <c r="M331" s="17" t="n">
        <f aca="false">INDEX(Ipotesi!$C$40:$G$40,1,F331)</f>
        <v>1</v>
      </c>
      <c r="N331" s="17" t="n">
        <f aca="false">INDEX(Ipotesi!$C$41:$G$41,1,F331)</f>
        <v>1</v>
      </c>
      <c r="O331" s="17" t="n">
        <f aca="false">INDEX(Ipotesi!$C$42:$G$42,1,F331)*Ipotesi!H125</f>
        <v>4.5</v>
      </c>
      <c r="P331" s="17" t="n">
        <f aca="false">INDEX(Ipotesi!$C$43:$G$43,1,F331)*I331</f>
        <v>5</v>
      </c>
      <c r="Q331" s="17" t="n">
        <f aca="false">INDEX(Ipotesi!$C$44:$G$44,1,F331)*I331</f>
        <v>4</v>
      </c>
      <c r="R331" s="17" t="n">
        <f aca="false">INDEX(Ipotesi!$C$45:$G$45,1,F331)*I331</f>
        <v>1</v>
      </c>
      <c r="S331" s="17" t="n">
        <f aca="false">INDEX(Ipotesi!$C$52:$G$52,1,F331)*Ipotesi!H125</f>
        <v>5</v>
      </c>
      <c r="T331" s="17" t="n">
        <f aca="false">INDEX(Ipotesi!$C$53:$G$53,1,F331)*I331</f>
        <v>1</v>
      </c>
      <c r="U331" s="17" t="n">
        <f aca="false">INDEX(Ipotesi!$C$54:$G$54,1,F331)*I331</f>
        <v>0.5</v>
      </c>
      <c r="V331" s="15" t="n">
        <f aca="false">M331*INDEX(Ipotesi!$C$58:$G$58,1,F331)*K331/12</f>
        <v>7083.33333333333</v>
      </c>
      <c r="W331" s="15" t="n">
        <f aca="false">N331*Ipotesi!$C$59*(1+Ipotesi!$C$66)^(F331-1)/12</f>
        <v>6188.58333333333</v>
      </c>
      <c r="X331" s="15" t="n">
        <f aca="false">O331*Ipotesi!$C$60*(1+Ipotesi!$C$66)^(F331-1)/12</f>
        <v>19891.875</v>
      </c>
      <c r="Y331" s="15" t="n">
        <f aca="false">P331*Ipotesi!$C$61*(1+Ipotesi!$C$66)^(F331-1)/12</f>
        <v>22102.0833333333</v>
      </c>
      <c r="Z331" s="15" t="n">
        <f aca="false">Q331*Ipotesi!$C$62*(1+Ipotesi!$C$66)^(F331-1)/12</f>
        <v>15913.5</v>
      </c>
      <c r="AA331" s="15" t="n">
        <f aca="false">R331*Ipotesi!$C$63*(1+Ipotesi!$C$66)^(F331-1)/12</f>
        <v>3094.29166666667</v>
      </c>
      <c r="AB331" s="15" t="n">
        <f aca="false">SUM(V331:AA331)</f>
        <v>74273.6666666667</v>
      </c>
      <c r="AC331" s="15" t="n">
        <f aca="false">(S331*Ipotesi!$C$64+T331*Ipotesi!$C$65+U331*Ipotesi!$C$63)*(1+Ipotesi!$C$66)^(F331-1)/12</f>
        <v>25417.3958333333</v>
      </c>
      <c r="AD331" s="15" t="n">
        <f aca="false">INDEX(Ipotesi!$C$48:$G$48,1,F331)*G331/12</f>
        <v>60</v>
      </c>
      <c r="AE331" s="15" t="n">
        <f aca="false">INDEX(Ipotesi!$C$50:$G$50,1,F331)*G331/12</f>
        <v>6.66666666666667</v>
      </c>
      <c r="AF331" s="15" t="n">
        <f aca="false">(S331*Parametri_v3!$C$7*Parametri_v3!$C$8+Parametri_v3!$C$10)/12</f>
        <v>64.1666666666667</v>
      </c>
      <c r="AG331" s="15" t="n">
        <f aca="false">AD331+AE331*(1+Parametri_v3!$C$9)</f>
        <v>70</v>
      </c>
      <c r="AH331" s="16" t="n">
        <f aca="false">IF(AG331=0,1,MIN(1,AF331/AG331))</f>
        <v>0.916666666666667</v>
      </c>
      <c r="AI331" s="15" t="n">
        <f aca="false">AD331*AH331</f>
        <v>55</v>
      </c>
      <c r="AJ331" s="15" t="n">
        <f aca="false">AE331*AH331</f>
        <v>6.11111111111111</v>
      </c>
      <c r="AK331" s="15" t="n">
        <f aca="false">AI331*INDEX(Ipotesi!$C$49:$G$49,1,F331)*H331</f>
        <v>46750</v>
      </c>
      <c r="AL331" s="15" t="n">
        <f aca="false">AJ331*INDEX(Ipotesi!$C$51:$G$51,1,F331)*H331</f>
        <v>13750</v>
      </c>
      <c r="AM331" s="15" t="n">
        <f aca="false">AK331+AL331</f>
        <v>60500</v>
      </c>
      <c r="AN331" s="15" t="n">
        <f aca="false">INDEX(Ipotesi!$C$30:$G$30,1,F331)*G331/12</f>
        <v>41.6666666666667</v>
      </c>
      <c r="AO331" s="15" t="n">
        <f aca="false">O331*Parametri_v3!$C$7*Parametri_v3!$C$11*(1-Parametri_v3!$C$14)/12</f>
        <v>46.2</v>
      </c>
      <c r="AP331" s="15" t="n">
        <f aca="false">MIN(AN331,AO331)</f>
        <v>41.6666666666667</v>
      </c>
      <c r="AQ331" s="15" t="n">
        <f aca="false">AP331*INDEX(Ipotesi!$C$31:$G$31,1,F331)*H331</f>
        <v>41666.6666666667</v>
      </c>
      <c r="AR331" s="15" t="n">
        <f aca="false">INDEX(Ipotesi!$C$75:$G$75,1,F331)*J331/12</f>
        <v>20000</v>
      </c>
      <c r="AS331" s="15" t="n">
        <f aca="false">INDEX(Ipotesi!$C$81:$G$81,1,F331)*J331/12</f>
        <v>1250</v>
      </c>
      <c r="AT331" s="15" t="n">
        <f aca="false">AR331*Parametri_v3!$C$15+Z331*Parametri_v3!$C$16</f>
        <v>31139.45</v>
      </c>
      <c r="AU331" s="15" t="n">
        <f aca="false">Q331*Parametri_v3!$C$16*Parametri_v3!$C$17</f>
        <v>280</v>
      </c>
      <c r="AV331" s="17" t="n">
        <f aca="false">BD330</f>
        <v>35.5117024334047</v>
      </c>
      <c r="AW331" s="17" t="n">
        <f aca="false">AV331*(1-(1-INDEX(Ipotesi!$C$34:$G$34,1,F331))^(1/12))</f>
        <v>0.310429487011781</v>
      </c>
      <c r="AX331" s="15" t="n">
        <f aca="false">ROUND(INDEX(Ipotesi!$C$32:$G$32,1,F331)*Ipotesi!H8,0)</f>
        <v>130</v>
      </c>
      <c r="AY331" s="15" t="n">
        <f aca="false">MAX(0,(AX331-(AV331-AW331))/(13-E331))</f>
        <v>9.47987270536071</v>
      </c>
      <c r="AZ331" s="15" t="n">
        <f aca="false">MIN(P331*Parametri_v3!$C$22,Q331*(1-Parametri_v3!$C$16)*Parametri_v3!$C$23)</f>
        <v>180</v>
      </c>
      <c r="BA331" s="15" t="n">
        <f aca="false">IF(OR(INDEX(Ipotesi!$C$35:$G$35,1,F331)&lt;=0,27-Parametri_v3!$C$21&lt;1),0,INDEX($AT$305:$AT$364,MAX(1,27-Parametri_v3!$C$21))/(INDEX(Ipotesi!$C$35:$G$35,1,F331)*Ipotesi!H27))</f>
        <v>1.72779166666667</v>
      </c>
      <c r="BB331" s="15" t="n">
        <f aca="false">IF(27-Parametri_v3!$C$21&lt;1,0,INDEX($AU$305:$AU$364,MAX(1,27-Parametri_v3!$C$21)))*Parametri_v3!$C$18*Parametri_v3!$C$19*Parametri_v3!$C$20</f>
        <v>3.9375</v>
      </c>
      <c r="BC331" s="17" t="n">
        <f aca="false">MAX(0,MIN(AY331,BA331,BB331,MAX(0,AZ331-(AV331-AW331))))</f>
        <v>1.72779166666667</v>
      </c>
      <c r="BD331" s="17" t="n">
        <f aca="false">AV331-AW331+BC331</f>
        <v>36.9290646130596</v>
      </c>
      <c r="BE331" s="17" t="n">
        <f aca="false">(AV331+BD331)/2</f>
        <v>36.2203835232322</v>
      </c>
      <c r="BF331" s="15" t="n">
        <f aca="false">BE331*INDEX(Ipotesi!$C$33:$G$33,1,F331)*H331/12</f>
        <v>16601.0091148147</v>
      </c>
      <c r="BG331" s="15" t="n">
        <f aca="false">BD331*INDEX(Ipotesi!$C$33:$G$33,1,F331)*H331</f>
        <v>203109.855371828</v>
      </c>
      <c r="BH331" s="15" t="n">
        <f aca="false">AM331*INDEX(Ipotesi!$C$37:$G$37,1,F331)</f>
        <v>6050</v>
      </c>
      <c r="BI331" s="15" t="n">
        <f aca="false">AQ331+BF331+BH331</f>
        <v>64317.6757814814</v>
      </c>
      <c r="BJ331" s="15" t="n">
        <f aca="false">INDEX(Ipotesi!$C$68:$G$68,1,F331)*Ipotesi!$C$69/12</f>
        <v>2400</v>
      </c>
      <c r="BK331" s="15" t="n">
        <f aca="false">INDEX(Ipotesi!$C$68:$G$68,1,F331)*(1-Ipotesi!$C$69)/12</f>
        <v>3600</v>
      </c>
      <c r="BL331" s="15" t="n">
        <f aca="false">(AQ331+BF331)*Ipotesi!$C$67</f>
        <v>1748.03027344444</v>
      </c>
      <c r="BM331" s="15" t="n">
        <f aca="false">AM331*Ipotesi!$C$67</f>
        <v>1815</v>
      </c>
      <c r="BN331" s="15" t="n">
        <f aca="false">INDEX(Ipotesi!$C$72:$G$72,1,F331)/12*Ipotesi!H126+BF331*Ipotesi!$C$73</f>
        <v>2578.08072918518</v>
      </c>
      <c r="BO331" s="15" t="n">
        <f aca="false">INDEX(Ipotesi!$C$74:$G$74,1,F331)/12*Ipotesi!H126</f>
        <v>2916.66666666667</v>
      </c>
      <c r="BP331" s="15" t="n">
        <f aca="false">INDEX(Ipotesi!$C$76:$G$76,1,F331)/12</f>
        <v>1083.33333333333</v>
      </c>
      <c r="BQ331" s="15" t="n">
        <f aca="false">INDEX(Ipotesi!$C$77:$G$77,1,F331)/12*Ipotesi!H126</f>
        <v>2083.33333333333</v>
      </c>
      <c r="BR331" s="15" t="n">
        <f aca="false">INDEX(Ipotesi!$C$78:$G$78,1,F331)/12</f>
        <v>1666.66666666667</v>
      </c>
      <c r="BS331" s="15" t="n">
        <f aca="false">SUM(M331:R331)*(Ipotesi!$C$85+Ipotesi!$C$86)/12</f>
        <v>4812.5</v>
      </c>
      <c r="BT331" s="15" t="n">
        <f aca="false">BI331*Ipotesi!$C$87</f>
        <v>1929.53027344444</v>
      </c>
      <c r="BU331" s="15" t="n">
        <f aca="false">INDEX(Ipotesi!$C$55:$G$55,1,F331)*K331/12</f>
        <v>1500</v>
      </c>
      <c r="BV331" s="15" t="n">
        <f aca="false">INDEX(Ipotesi!$C$80:$G$80,1,F331)/12*Ipotesi!H126</f>
        <v>1250</v>
      </c>
      <c r="BW331" s="15" t="n">
        <f aca="false">INDEX(Ipotesi!$C$82:$G$82,1,F331)/12</f>
        <v>1000</v>
      </c>
      <c r="BX331" s="15" t="n">
        <f aca="false">INDEX(Ipotesi!$C$83:$G$83,1,F331)/12</f>
        <v>666.666666666667</v>
      </c>
      <c r="BY331" s="15" t="n">
        <f aca="false">SUM(S331:U331)*(Ipotesi!$C$85+Ipotesi!$C$86)/12</f>
        <v>1895.83333333333</v>
      </c>
      <c r="BZ331" s="15" t="n">
        <f aca="false">AM331*Ipotesi!$C$87</f>
        <v>1815</v>
      </c>
      <c r="CA331" s="15" t="n">
        <f aca="false">AB331+BJ331+BL331+BN331+BO331+AR331+BP331+BQ331+BR331+BS331+BT331</f>
        <v>115491.807942741</v>
      </c>
      <c r="CB331" s="15" t="n">
        <f aca="false">AC331+BK331+BM331+BH331+BU331+BV331+AS331+BW331+BX331+BY331+BZ331</f>
        <v>46259.8958333333</v>
      </c>
      <c r="CC331" s="15" t="n">
        <f aca="false">BI331-CA331</f>
        <v>-51174.1321612593</v>
      </c>
      <c r="CD331" s="15" t="n">
        <f aca="false">AM331-CB331</f>
        <v>14240.1041666667</v>
      </c>
      <c r="CE331" s="15" t="n">
        <f aca="false">INDEX(Ipotesi!$C$79:$G$79,1,F331)/12</f>
        <v>2500</v>
      </c>
      <c r="CF331" s="15" t="n">
        <f aca="false">INDEX(Ipotesi!$C$84:$G$84,1,F331)/12</f>
        <v>416.666666666667</v>
      </c>
      <c r="CG331" s="15" t="n">
        <f aca="false">Y331*MAX(0,Parametri_v3!$C$12-IF(P331=0,0,MIN(1,BE331/(P331*Parametri_v3!$C$22))))+W331*Parametri_v3!$C$13+X331*Parametri_v3!$C$14</f>
        <v>27573.6581300085</v>
      </c>
      <c r="CH331" s="15" t="n">
        <f aca="false">AB331*Parametri_v3!$C$32</f>
        <v>3713.68333333333</v>
      </c>
      <c r="CI331" s="15" t="n">
        <f aca="false">AC331*Parametri_v3!$C$32</f>
        <v>1270.86979166667</v>
      </c>
      <c r="CJ331" s="15" t="n">
        <f aca="false">CA331-AB331</f>
        <v>41218.1412760741</v>
      </c>
      <c r="CK331" s="15" t="n">
        <f aca="false">CB331-AC331-BH331</f>
        <v>14792.5</v>
      </c>
      <c r="CL331" s="15" t="n">
        <f aca="false">BF331*Ipotesi!$C$73+INDEX(Ipotesi!$C$72:$G$72,1,F331)/12*Ipotesi!H126*Parametri_v3!$C$58+Z331*(1-Parametri_v3!$C$16)</f>
        <v>7352.13072918518</v>
      </c>
      <c r="CM331" s="16" t="n">
        <f aca="false">IF(BF331=0,0,1-CL331/BF331)</f>
        <v>0.557127480725004</v>
      </c>
    </row>
    <row r="332" customFormat="false" ht="18" hidden="false" customHeight="true" outlineLevel="0" collapsed="false">
      <c r="A332" s="68" t="n">
        <f aca="false">6</f>
        <v>6</v>
      </c>
      <c r="B332" s="68" t="n">
        <f aca="false">28</f>
        <v>28</v>
      </c>
      <c r="C332" s="18" t="n">
        <f aca="false">EDATE(Parametri_v3!$C$5,28-1)</f>
        <v>47209</v>
      </c>
      <c r="D332" s="68" t="n">
        <f aca="false">YEAR(C332)</f>
        <v>2029</v>
      </c>
      <c r="E332" s="68" t="n">
        <f aca="false">MONTH(C332)</f>
        <v>4</v>
      </c>
      <c r="F332" s="68" t="n">
        <f aca="false">INT((28-1)/12)+1</f>
        <v>3</v>
      </c>
      <c r="G332" s="15" t="n">
        <f aca="false">Ipotesi!H7</f>
        <v>1</v>
      </c>
      <c r="H332" s="15" t="n">
        <f aca="false">Ipotesi!H9</f>
        <v>1</v>
      </c>
      <c r="I332" s="15" t="n">
        <f aca="false">Ipotesi!H10</f>
        <v>1</v>
      </c>
      <c r="J332" s="15" t="n">
        <f aca="false">Ipotesi!H11</f>
        <v>1</v>
      </c>
      <c r="K332" s="15" t="n">
        <f aca="false">Ipotesi!H12</f>
        <v>1</v>
      </c>
      <c r="L332" s="15" t="n">
        <f aca="false">Ipotesi!H13</f>
        <v>90</v>
      </c>
      <c r="M332" s="17" t="n">
        <f aca="false">INDEX(Ipotesi!$C$40:$G$40,1,F332)</f>
        <v>1</v>
      </c>
      <c r="N332" s="17" t="n">
        <f aca="false">INDEX(Ipotesi!$C$41:$G$41,1,F332)</f>
        <v>1</v>
      </c>
      <c r="O332" s="17" t="n">
        <f aca="false">INDEX(Ipotesi!$C$42:$G$42,1,F332)*Ipotesi!H125</f>
        <v>4.5</v>
      </c>
      <c r="P332" s="17" t="n">
        <f aca="false">INDEX(Ipotesi!$C$43:$G$43,1,F332)*I332</f>
        <v>5</v>
      </c>
      <c r="Q332" s="17" t="n">
        <f aca="false">INDEX(Ipotesi!$C$44:$G$44,1,F332)*I332</f>
        <v>4</v>
      </c>
      <c r="R332" s="17" t="n">
        <f aca="false">INDEX(Ipotesi!$C$45:$G$45,1,F332)*I332</f>
        <v>1</v>
      </c>
      <c r="S332" s="17" t="n">
        <f aca="false">INDEX(Ipotesi!$C$52:$G$52,1,F332)*Ipotesi!H125</f>
        <v>5</v>
      </c>
      <c r="T332" s="17" t="n">
        <f aca="false">INDEX(Ipotesi!$C$53:$G$53,1,F332)*I332</f>
        <v>1</v>
      </c>
      <c r="U332" s="17" t="n">
        <f aca="false">INDEX(Ipotesi!$C$54:$G$54,1,F332)*I332</f>
        <v>0.5</v>
      </c>
      <c r="V332" s="15" t="n">
        <f aca="false">M332*INDEX(Ipotesi!$C$58:$G$58,1,F332)*K332/12</f>
        <v>7083.33333333333</v>
      </c>
      <c r="W332" s="15" t="n">
        <f aca="false">N332*Ipotesi!$C$59*(1+Ipotesi!$C$66)^(F332-1)/12</f>
        <v>6188.58333333333</v>
      </c>
      <c r="X332" s="15" t="n">
        <f aca="false">O332*Ipotesi!$C$60*(1+Ipotesi!$C$66)^(F332-1)/12</f>
        <v>19891.875</v>
      </c>
      <c r="Y332" s="15" t="n">
        <f aca="false">P332*Ipotesi!$C$61*(1+Ipotesi!$C$66)^(F332-1)/12</f>
        <v>22102.0833333333</v>
      </c>
      <c r="Z332" s="15" t="n">
        <f aca="false">Q332*Ipotesi!$C$62*(1+Ipotesi!$C$66)^(F332-1)/12</f>
        <v>15913.5</v>
      </c>
      <c r="AA332" s="15" t="n">
        <f aca="false">R332*Ipotesi!$C$63*(1+Ipotesi!$C$66)^(F332-1)/12</f>
        <v>3094.29166666667</v>
      </c>
      <c r="AB332" s="15" t="n">
        <f aca="false">SUM(V332:AA332)</f>
        <v>74273.6666666667</v>
      </c>
      <c r="AC332" s="15" t="n">
        <f aca="false">(S332*Ipotesi!$C$64+T332*Ipotesi!$C$65+U332*Ipotesi!$C$63)*(1+Ipotesi!$C$66)^(F332-1)/12</f>
        <v>25417.3958333333</v>
      </c>
      <c r="AD332" s="15" t="n">
        <f aca="false">INDEX(Ipotesi!$C$48:$G$48,1,F332)*G332/12</f>
        <v>60</v>
      </c>
      <c r="AE332" s="15" t="n">
        <f aca="false">INDEX(Ipotesi!$C$50:$G$50,1,F332)*G332/12</f>
        <v>6.66666666666667</v>
      </c>
      <c r="AF332" s="15" t="n">
        <f aca="false">(S332*Parametri_v3!$C$7*Parametri_v3!$C$8+Parametri_v3!$C$10)/12</f>
        <v>64.1666666666667</v>
      </c>
      <c r="AG332" s="15" t="n">
        <f aca="false">AD332+AE332*(1+Parametri_v3!$C$9)</f>
        <v>70</v>
      </c>
      <c r="AH332" s="16" t="n">
        <f aca="false">IF(AG332=0,1,MIN(1,AF332/AG332))</f>
        <v>0.916666666666667</v>
      </c>
      <c r="AI332" s="15" t="n">
        <f aca="false">AD332*AH332</f>
        <v>55</v>
      </c>
      <c r="AJ332" s="15" t="n">
        <f aca="false">AE332*AH332</f>
        <v>6.11111111111111</v>
      </c>
      <c r="AK332" s="15" t="n">
        <f aca="false">AI332*INDEX(Ipotesi!$C$49:$G$49,1,F332)*H332</f>
        <v>46750</v>
      </c>
      <c r="AL332" s="15" t="n">
        <f aca="false">AJ332*INDEX(Ipotesi!$C$51:$G$51,1,F332)*H332</f>
        <v>13750</v>
      </c>
      <c r="AM332" s="15" t="n">
        <f aca="false">AK332+AL332</f>
        <v>60500</v>
      </c>
      <c r="AN332" s="15" t="n">
        <f aca="false">INDEX(Ipotesi!$C$30:$G$30,1,F332)*G332/12</f>
        <v>41.6666666666667</v>
      </c>
      <c r="AO332" s="15" t="n">
        <f aca="false">O332*Parametri_v3!$C$7*Parametri_v3!$C$11*(1-Parametri_v3!$C$14)/12</f>
        <v>46.2</v>
      </c>
      <c r="AP332" s="15" t="n">
        <f aca="false">MIN(AN332,AO332)</f>
        <v>41.6666666666667</v>
      </c>
      <c r="AQ332" s="15" t="n">
        <f aca="false">AP332*INDEX(Ipotesi!$C$31:$G$31,1,F332)*H332</f>
        <v>41666.6666666667</v>
      </c>
      <c r="AR332" s="15" t="n">
        <f aca="false">INDEX(Ipotesi!$C$75:$G$75,1,F332)*J332/12</f>
        <v>20000</v>
      </c>
      <c r="AS332" s="15" t="n">
        <f aca="false">INDEX(Ipotesi!$C$81:$G$81,1,F332)*J332/12</f>
        <v>1250</v>
      </c>
      <c r="AT332" s="15" t="n">
        <f aca="false">AR332*Parametri_v3!$C$15+Z332*Parametri_v3!$C$16</f>
        <v>31139.45</v>
      </c>
      <c r="AU332" s="15" t="n">
        <f aca="false">Q332*Parametri_v3!$C$16*Parametri_v3!$C$17</f>
        <v>280</v>
      </c>
      <c r="AV332" s="17" t="n">
        <f aca="false">BD331</f>
        <v>36.9290646130596</v>
      </c>
      <c r="AW332" s="17" t="n">
        <f aca="false">AV332*(1-(1-INDEX(Ipotesi!$C$34:$G$34,1,F332))^(1/12))</f>
        <v>0.322819515768225</v>
      </c>
      <c r="AX332" s="15" t="n">
        <f aca="false">ROUND(INDEX(Ipotesi!$C$32:$G$32,1,F332)*Ipotesi!H8,0)</f>
        <v>130</v>
      </c>
      <c r="AY332" s="15" t="n">
        <f aca="false">MAX(0,(AX332-(AV332-AW332))/(13-E332))</f>
        <v>10.3770838780787</v>
      </c>
      <c r="AZ332" s="15" t="n">
        <f aca="false">MIN(P332*Parametri_v3!$C$22,Q332*(1-Parametri_v3!$C$16)*Parametri_v3!$C$23)</f>
        <v>180</v>
      </c>
      <c r="BA332" s="15" t="n">
        <f aca="false">IF(OR(INDEX(Ipotesi!$C$35:$G$35,1,F332)&lt;=0,28-Parametri_v3!$C$21&lt;1),0,INDEX($AT$305:$AT$364,MAX(1,28-Parametri_v3!$C$21))/(INDEX(Ipotesi!$C$35:$G$35,1,F332)*Ipotesi!H27))</f>
        <v>6.22789</v>
      </c>
      <c r="BB332" s="15" t="n">
        <f aca="false">IF(28-Parametri_v3!$C$21&lt;1,0,INDEX($AU$305:$AU$364,MAX(1,28-Parametri_v3!$C$21)))*Parametri_v3!$C$18*Parametri_v3!$C$19*Parametri_v3!$C$20</f>
        <v>10.5</v>
      </c>
      <c r="BC332" s="17" t="n">
        <f aca="false">MAX(0,MIN(AY332,BA332,BB332,MAX(0,AZ332-(AV332-AW332))))</f>
        <v>6.22789</v>
      </c>
      <c r="BD332" s="17" t="n">
        <f aca="false">AV332-AW332+BC332</f>
        <v>42.8341350972914</v>
      </c>
      <c r="BE332" s="17" t="n">
        <f aca="false">(AV332+BD332)/2</f>
        <v>39.8815998551755</v>
      </c>
      <c r="BF332" s="15" t="n">
        <f aca="false">BE332*INDEX(Ipotesi!$C$33:$G$33,1,F332)*H332/12</f>
        <v>18279.0666002888</v>
      </c>
      <c r="BG332" s="15" t="n">
        <f aca="false">BD332*INDEX(Ipotesi!$C$33:$G$33,1,F332)*H332</f>
        <v>235587.743035103</v>
      </c>
      <c r="BH332" s="15" t="n">
        <f aca="false">AM332*INDEX(Ipotesi!$C$37:$G$37,1,F332)</f>
        <v>6050</v>
      </c>
      <c r="BI332" s="15" t="n">
        <f aca="false">AQ332+BF332+BH332</f>
        <v>65995.7332669555</v>
      </c>
      <c r="BJ332" s="15" t="n">
        <f aca="false">INDEX(Ipotesi!$C$68:$G$68,1,F332)*Ipotesi!$C$69/12</f>
        <v>2400</v>
      </c>
      <c r="BK332" s="15" t="n">
        <f aca="false">INDEX(Ipotesi!$C$68:$G$68,1,F332)*(1-Ipotesi!$C$69)/12</f>
        <v>3600</v>
      </c>
      <c r="BL332" s="15" t="n">
        <f aca="false">(AQ332+BF332)*Ipotesi!$C$67</f>
        <v>1798.37199800866</v>
      </c>
      <c r="BM332" s="15" t="n">
        <f aca="false">AM332*Ipotesi!$C$67</f>
        <v>1815</v>
      </c>
      <c r="BN332" s="15" t="n">
        <f aca="false">INDEX(Ipotesi!$C$72:$G$72,1,F332)/12*Ipotesi!H126+BF332*Ipotesi!$C$73</f>
        <v>2712.3253280231</v>
      </c>
      <c r="BO332" s="15" t="n">
        <f aca="false">INDEX(Ipotesi!$C$74:$G$74,1,F332)/12*Ipotesi!H126</f>
        <v>2916.66666666667</v>
      </c>
      <c r="BP332" s="15" t="n">
        <f aca="false">INDEX(Ipotesi!$C$76:$G$76,1,F332)/12</f>
        <v>1083.33333333333</v>
      </c>
      <c r="BQ332" s="15" t="n">
        <f aca="false">INDEX(Ipotesi!$C$77:$G$77,1,F332)/12*Ipotesi!H126</f>
        <v>2083.33333333333</v>
      </c>
      <c r="BR332" s="15" t="n">
        <f aca="false">INDEX(Ipotesi!$C$78:$G$78,1,F332)/12</f>
        <v>1666.66666666667</v>
      </c>
      <c r="BS332" s="15" t="n">
        <f aca="false">SUM(M332:R332)*(Ipotesi!$C$85+Ipotesi!$C$86)/12</f>
        <v>4812.5</v>
      </c>
      <c r="BT332" s="15" t="n">
        <f aca="false">BI332*Ipotesi!$C$87</f>
        <v>1979.87199800866</v>
      </c>
      <c r="BU332" s="15" t="n">
        <f aca="false">INDEX(Ipotesi!$C$55:$G$55,1,F332)*K332/12</f>
        <v>1500</v>
      </c>
      <c r="BV332" s="15" t="n">
        <f aca="false">INDEX(Ipotesi!$C$80:$G$80,1,F332)/12*Ipotesi!H126</f>
        <v>1250</v>
      </c>
      <c r="BW332" s="15" t="n">
        <f aca="false">INDEX(Ipotesi!$C$82:$G$82,1,F332)/12</f>
        <v>1000</v>
      </c>
      <c r="BX332" s="15" t="n">
        <f aca="false">INDEX(Ipotesi!$C$83:$G$83,1,F332)/12</f>
        <v>666.666666666667</v>
      </c>
      <c r="BY332" s="15" t="n">
        <f aca="false">SUM(S332:U332)*(Ipotesi!$C$85+Ipotesi!$C$86)/12</f>
        <v>1895.83333333333</v>
      </c>
      <c r="BZ332" s="15" t="n">
        <f aca="false">AM332*Ipotesi!$C$87</f>
        <v>1815</v>
      </c>
      <c r="CA332" s="15" t="n">
        <f aca="false">AB332+BJ332+BL332+BN332+BO332+AR332+BP332+BQ332+BR332+BS332+BT332</f>
        <v>115726.735990707</v>
      </c>
      <c r="CB332" s="15" t="n">
        <f aca="false">AC332+BK332+BM332+BH332+BU332+BV332+AS332+BW332+BX332+BY332+BZ332</f>
        <v>46259.8958333333</v>
      </c>
      <c r="CC332" s="15" t="n">
        <f aca="false">BI332-CA332</f>
        <v>-49731.0027237517</v>
      </c>
      <c r="CD332" s="15" t="n">
        <f aca="false">AM332-CB332</f>
        <v>14240.1041666667</v>
      </c>
      <c r="CE332" s="15" t="n">
        <f aca="false">INDEX(Ipotesi!$C$79:$G$79,1,F332)/12</f>
        <v>2500</v>
      </c>
      <c r="CF332" s="15" t="n">
        <f aca="false">INDEX(Ipotesi!$C$84:$G$84,1,F332)/12</f>
        <v>416.666666666667</v>
      </c>
      <c r="CG332" s="15" t="n">
        <f aca="false">Y332*MAX(0,Parametri_v3!$C$12-IF(P332=0,0,MIN(1,BE332/(P332*Parametri_v3!$C$22))))+W332*Parametri_v3!$C$13+X332*Parametri_v3!$C$14</f>
        <v>27411.8171130685</v>
      </c>
      <c r="CH332" s="15" t="n">
        <f aca="false">AB332*Parametri_v3!$C$32</f>
        <v>3713.68333333333</v>
      </c>
      <c r="CI332" s="15" t="n">
        <f aca="false">AC332*Parametri_v3!$C$32</f>
        <v>1270.86979166667</v>
      </c>
      <c r="CJ332" s="15" t="n">
        <f aca="false">CA332-AB332</f>
        <v>41453.0693240404</v>
      </c>
      <c r="CK332" s="15" t="n">
        <f aca="false">CB332-AC332-BH332</f>
        <v>14792.5</v>
      </c>
      <c r="CL332" s="15" t="n">
        <f aca="false">BF332*Ipotesi!$C$73+INDEX(Ipotesi!$C$72:$G$72,1,F332)/12*Ipotesi!H126*Parametri_v3!$C$58+Z332*(1-Parametri_v3!$C$16)</f>
        <v>7486.3753280231</v>
      </c>
      <c r="CM332" s="16" t="n">
        <f aca="false">IF(BF332=0,0,1-CL332/BF332)</f>
        <v>0.590439955620883</v>
      </c>
    </row>
    <row r="333" customFormat="false" ht="18" hidden="false" customHeight="true" outlineLevel="0" collapsed="false">
      <c r="A333" s="68" t="n">
        <f aca="false">6</f>
        <v>6</v>
      </c>
      <c r="B333" s="68" t="n">
        <f aca="false">29</f>
        <v>29</v>
      </c>
      <c r="C333" s="18" t="n">
        <f aca="false">EDATE(Parametri_v3!$C$5,29-1)</f>
        <v>47239</v>
      </c>
      <c r="D333" s="68" t="n">
        <f aca="false">YEAR(C333)</f>
        <v>2029</v>
      </c>
      <c r="E333" s="68" t="n">
        <f aca="false">MONTH(C333)</f>
        <v>5</v>
      </c>
      <c r="F333" s="68" t="n">
        <f aca="false">INT((29-1)/12)+1</f>
        <v>3</v>
      </c>
      <c r="G333" s="15" t="n">
        <f aca="false">Ipotesi!H7</f>
        <v>1</v>
      </c>
      <c r="H333" s="15" t="n">
        <f aca="false">Ipotesi!H9</f>
        <v>1</v>
      </c>
      <c r="I333" s="15" t="n">
        <f aca="false">Ipotesi!H10</f>
        <v>1</v>
      </c>
      <c r="J333" s="15" t="n">
        <f aca="false">Ipotesi!H11</f>
        <v>1</v>
      </c>
      <c r="K333" s="15" t="n">
        <f aca="false">Ipotesi!H12</f>
        <v>1</v>
      </c>
      <c r="L333" s="15" t="n">
        <f aca="false">Ipotesi!H13</f>
        <v>90</v>
      </c>
      <c r="M333" s="17" t="n">
        <f aca="false">INDEX(Ipotesi!$C$40:$G$40,1,F333)</f>
        <v>1</v>
      </c>
      <c r="N333" s="17" t="n">
        <f aca="false">INDEX(Ipotesi!$C$41:$G$41,1,F333)</f>
        <v>1</v>
      </c>
      <c r="O333" s="17" t="n">
        <f aca="false">INDEX(Ipotesi!$C$42:$G$42,1,F333)*Ipotesi!H125</f>
        <v>4.5</v>
      </c>
      <c r="P333" s="17" t="n">
        <f aca="false">INDEX(Ipotesi!$C$43:$G$43,1,F333)*I333</f>
        <v>5</v>
      </c>
      <c r="Q333" s="17" t="n">
        <f aca="false">INDEX(Ipotesi!$C$44:$G$44,1,F333)*I333</f>
        <v>4</v>
      </c>
      <c r="R333" s="17" t="n">
        <f aca="false">INDEX(Ipotesi!$C$45:$G$45,1,F333)*I333</f>
        <v>1</v>
      </c>
      <c r="S333" s="17" t="n">
        <f aca="false">INDEX(Ipotesi!$C$52:$G$52,1,F333)*Ipotesi!H125</f>
        <v>5</v>
      </c>
      <c r="T333" s="17" t="n">
        <f aca="false">INDEX(Ipotesi!$C$53:$G$53,1,F333)*I333</f>
        <v>1</v>
      </c>
      <c r="U333" s="17" t="n">
        <f aca="false">INDEX(Ipotesi!$C$54:$G$54,1,F333)*I333</f>
        <v>0.5</v>
      </c>
      <c r="V333" s="15" t="n">
        <f aca="false">M333*INDEX(Ipotesi!$C$58:$G$58,1,F333)*K333/12</f>
        <v>7083.33333333333</v>
      </c>
      <c r="W333" s="15" t="n">
        <f aca="false">N333*Ipotesi!$C$59*(1+Ipotesi!$C$66)^(F333-1)/12</f>
        <v>6188.58333333333</v>
      </c>
      <c r="X333" s="15" t="n">
        <f aca="false">O333*Ipotesi!$C$60*(1+Ipotesi!$C$66)^(F333-1)/12</f>
        <v>19891.875</v>
      </c>
      <c r="Y333" s="15" t="n">
        <f aca="false">P333*Ipotesi!$C$61*(1+Ipotesi!$C$66)^(F333-1)/12</f>
        <v>22102.0833333333</v>
      </c>
      <c r="Z333" s="15" t="n">
        <f aca="false">Q333*Ipotesi!$C$62*(1+Ipotesi!$C$66)^(F333-1)/12</f>
        <v>15913.5</v>
      </c>
      <c r="AA333" s="15" t="n">
        <f aca="false">R333*Ipotesi!$C$63*(1+Ipotesi!$C$66)^(F333-1)/12</f>
        <v>3094.29166666667</v>
      </c>
      <c r="AB333" s="15" t="n">
        <f aca="false">SUM(V333:AA333)</f>
        <v>74273.6666666667</v>
      </c>
      <c r="AC333" s="15" t="n">
        <f aca="false">(S333*Ipotesi!$C$64+T333*Ipotesi!$C$65+U333*Ipotesi!$C$63)*(1+Ipotesi!$C$66)^(F333-1)/12</f>
        <v>25417.3958333333</v>
      </c>
      <c r="AD333" s="15" t="n">
        <f aca="false">INDEX(Ipotesi!$C$48:$G$48,1,F333)*G333/12</f>
        <v>60</v>
      </c>
      <c r="AE333" s="15" t="n">
        <f aca="false">INDEX(Ipotesi!$C$50:$G$50,1,F333)*G333/12</f>
        <v>6.66666666666667</v>
      </c>
      <c r="AF333" s="15" t="n">
        <f aca="false">(S333*Parametri_v3!$C$7*Parametri_v3!$C$8+Parametri_v3!$C$10)/12</f>
        <v>64.1666666666667</v>
      </c>
      <c r="AG333" s="15" t="n">
        <f aca="false">AD333+AE333*(1+Parametri_v3!$C$9)</f>
        <v>70</v>
      </c>
      <c r="AH333" s="16" t="n">
        <f aca="false">IF(AG333=0,1,MIN(1,AF333/AG333))</f>
        <v>0.916666666666667</v>
      </c>
      <c r="AI333" s="15" t="n">
        <f aca="false">AD333*AH333</f>
        <v>55</v>
      </c>
      <c r="AJ333" s="15" t="n">
        <f aca="false">AE333*AH333</f>
        <v>6.11111111111111</v>
      </c>
      <c r="AK333" s="15" t="n">
        <f aca="false">AI333*INDEX(Ipotesi!$C$49:$G$49,1,F333)*H333</f>
        <v>46750</v>
      </c>
      <c r="AL333" s="15" t="n">
        <f aca="false">AJ333*INDEX(Ipotesi!$C$51:$G$51,1,F333)*H333</f>
        <v>13750</v>
      </c>
      <c r="AM333" s="15" t="n">
        <f aca="false">AK333+AL333</f>
        <v>60500</v>
      </c>
      <c r="AN333" s="15" t="n">
        <f aca="false">INDEX(Ipotesi!$C$30:$G$30,1,F333)*G333/12</f>
        <v>41.6666666666667</v>
      </c>
      <c r="AO333" s="15" t="n">
        <f aca="false">O333*Parametri_v3!$C$7*Parametri_v3!$C$11*(1-Parametri_v3!$C$14)/12</f>
        <v>46.2</v>
      </c>
      <c r="AP333" s="15" t="n">
        <f aca="false">MIN(AN333,AO333)</f>
        <v>41.6666666666667</v>
      </c>
      <c r="AQ333" s="15" t="n">
        <f aca="false">AP333*INDEX(Ipotesi!$C$31:$G$31,1,F333)*H333</f>
        <v>41666.6666666667</v>
      </c>
      <c r="AR333" s="15" t="n">
        <f aca="false">INDEX(Ipotesi!$C$75:$G$75,1,F333)*J333/12</f>
        <v>20000</v>
      </c>
      <c r="AS333" s="15" t="n">
        <f aca="false">INDEX(Ipotesi!$C$81:$G$81,1,F333)*J333/12</f>
        <v>1250</v>
      </c>
      <c r="AT333" s="15" t="n">
        <f aca="false">AR333*Parametri_v3!$C$15+Z333*Parametri_v3!$C$16</f>
        <v>31139.45</v>
      </c>
      <c r="AU333" s="15" t="n">
        <f aca="false">Q333*Parametri_v3!$C$16*Parametri_v3!$C$17</f>
        <v>280</v>
      </c>
      <c r="AV333" s="17" t="n">
        <f aca="false">BD332</f>
        <v>42.8341350972914</v>
      </c>
      <c r="AW333" s="17" t="n">
        <f aca="false">AV333*(1-(1-INDEX(Ipotesi!$C$34:$G$34,1,F333))^(1/12))</f>
        <v>0.374439344601442</v>
      </c>
      <c r="AX333" s="15" t="n">
        <f aca="false">ROUND(INDEX(Ipotesi!$C$32:$G$32,1,F333)*Ipotesi!H8,0)</f>
        <v>130</v>
      </c>
      <c r="AY333" s="15" t="n">
        <f aca="false">MAX(0,(AX333-(AV333-AW333))/(13-E333))</f>
        <v>10.9425380309138</v>
      </c>
      <c r="AZ333" s="15" t="n">
        <f aca="false">MIN(P333*Parametri_v3!$C$22,Q333*(1-Parametri_v3!$C$16)*Parametri_v3!$C$23)</f>
        <v>180</v>
      </c>
      <c r="BA333" s="15" t="n">
        <f aca="false">IF(OR(INDEX(Ipotesi!$C$35:$G$35,1,F333)&lt;=0,29-Parametri_v3!$C$21&lt;1),0,INDEX($AT$305:$AT$364,MAX(1,29-Parametri_v3!$C$21))/(INDEX(Ipotesi!$C$35:$G$35,1,F333)*Ipotesi!H27))</f>
        <v>6.22789</v>
      </c>
      <c r="BB333" s="15" t="n">
        <f aca="false">IF(29-Parametri_v3!$C$21&lt;1,0,INDEX($AU$305:$AU$364,MAX(1,29-Parametri_v3!$C$21)))*Parametri_v3!$C$18*Parametri_v3!$C$19*Parametri_v3!$C$20</f>
        <v>10.5</v>
      </c>
      <c r="BC333" s="17" t="n">
        <f aca="false">MAX(0,MIN(AY333,BA333,BB333,MAX(0,AZ333-(AV333-AW333))))</f>
        <v>6.22789</v>
      </c>
      <c r="BD333" s="17" t="n">
        <f aca="false">AV333-AW333+BC333</f>
        <v>48.68758575269</v>
      </c>
      <c r="BE333" s="17" t="n">
        <f aca="false">(AV333+BD333)/2</f>
        <v>45.7608604249907</v>
      </c>
      <c r="BF333" s="15" t="n">
        <f aca="false">BE333*INDEX(Ipotesi!$C$33:$G$33,1,F333)*H333/12</f>
        <v>20973.7276947874</v>
      </c>
      <c r="BG333" s="15" t="n">
        <f aca="false">BD333*INDEX(Ipotesi!$C$33:$G$33,1,F333)*H333</f>
        <v>267781.721639795</v>
      </c>
      <c r="BH333" s="15" t="n">
        <f aca="false">AM333*INDEX(Ipotesi!$C$37:$G$37,1,F333)</f>
        <v>6050</v>
      </c>
      <c r="BI333" s="15" t="n">
        <f aca="false">AQ333+BF333+BH333</f>
        <v>68690.3943614541</v>
      </c>
      <c r="BJ333" s="15" t="n">
        <f aca="false">INDEX(Ipotesi!$C$68:$G$68,1,F333)*Ipotesi!$C$69/12</f>
        <v>2400</v>
      </c>
      <c r="BK333" s="15" t="n">
        <f aca="false">INDEX(Ipotesi!$C$68:$G$68,1,F333)*(1-Ipotesi!$C$69)/12</f>
        <v>3600</v>
      </c>
      <c r="BL333" s="15" t="n">
        <f aca="false">(AQ333+BF333)*Ipotesi!$C$67</f>
        <v>1879.21183084362</v>
      </c>
      <c r="BM333" s="15" t="n">
        <f aca="false">AM333*Ipotesi!$C$67</f>
        <v>1815</v>
      </c>
      <c r="BN333" s="15" t="n">
        <f aca="false">INDEX(Ipotesi!$C$72:$G$72,1,F333)/12*Ipotesi!H126+BF333*Ipotesi!$C$73</f>
        <v>2927.89821558299</v>
      </c>
      <c r="BO333" s="15" t="n">
        <f aca="false">INDEX(Ipotesi!$C$74:$G$74,1,F333)/12*Ipotesi!H126</f>
        <v>2916.66666666667</v>
      </c>
      <c r="BP333" s="15" t="n">
        <f aca="false">INDEX(Ipotesi!$C$76:$G$76,1,F333)/12</f>
        <v>1083.33333333333</v>
      </c>
      <c r="BQ333" s="15" t="n">
        <f aca="false">INDEX(Ipotesi!$C$77:$G$77,1,F333)/12*Ipotesi!H126</f>
        <v>2083.33333333333</v>
      </c>
      <c r="BR333" s="15" t="n">
        <f aca="false">INDEX(Ipotesi!$C$78:$G$78,1,F333)/12</f>
        <v>1666.66666666667</v>
      </c>
      <c r="BS333" s="15" t="n">
        <f aca="false">SUM(M333:R333)*(Ipotesi!$C$85+Ipotesi!$C$86)/12</f>
        <v>4812.5</v>
      </c>
      <c r="BT333" s="15" t="n">
        <f aca="false">BI333*Ipotesi!$C$87</f>
        <v>2060.71183084362</v>
      </c>
      <c r="BU333" s="15" t="n">
        <f aca="false">INDEX(Ipotesi!$C$55:$G$55,1,F333)*K333/12</f>
        <v>1500</v>
      </c>
      <c r="BV333" s="15" t="n">
        <f aca="false">INDEX(Ipotesi!$C$80:$G$80,1,F333)/12*Ipotesi!H126</f>
        <v>1250</v>
      </c>
      <c r="BW333" s="15" t="n">
        <f aca="false">INDEX(Ipotesi!$C$82:$G$82,1,F333)/12</f>
        <v>1000</v>
      </c>
      <c r="BX333" s="15" t="n">
        <f aca="false">INDEX(Ipotesi!$C$83:$G$83,1,F333)/12</f>
        <v>666.666666666667</v>
      </c>
      <c r="BY333" s="15" t="n">
        <f aca="false">SUM(S333:U333)*(Ipotesi!$C$85+Ipotesi!$C$86)/12</f>
        <v>1895.83333333333</v>
      </c>
      <c r="BZ333" s="15" t="n">
        <f aca="false">AM333*Ipotesi!$C$87</f>
        <v>1815</v>
      </c>
      <c r="CA333" s="15" t="n">
        <f aca="false">AB333+BJ333+BL333+BN333+BO333+AR333+BP333+BQ333+BR333+BS333+BT333</f>
        <v>116103.988543937</v>
      </c>
      <c r="CB333" s="15" t="n">
        <f aca="false">AC333+BK333+BM333+BH333+BU333+BV333+AS333+BW333+BX333+BY333+BZ333</f>
        <v>46259.8958333333</v>
      </c>
      <c r="CC333" s="15" t="n">
        <f aca="false">BI333-CA333</f>
        <v>-47413.5941824828</v>
      </c>
      <c r="CD333" s="15" t="n">
        <f aca="false">AM333-CB333</f>
        <v>14240.1041666667</v>
      </c>
      <c r="CE333" s="15" t="n">
        <f aca="false">INDEX(Ipotesi!$C$79:$G$79,1,F333)/12</f>
        <v>2500</v>
      </c>
      <c r="CF333" s="15" t="n">
        <f aca="false">INDEX(Ipotesi!$C$84:$G$84,1,F333)/12</f>
        <v>416.666666666667</v>
      </c>
      <c r="CG333" s="15" t="n">
        <f aca="false">Y333*MAX(0,Parametri_v3!$C$12-IF(P333=0,0,MIN(1,BE333/(P333*Parametri_v3!$C$22))))+W333*Parametri_v3!$C$13+X333*Parametri_v3!$C$14</f>
        <v>27151.9292989636</v>
      </c>
      <c r="CH333" s="15" t="n">
        <f aca="false">AB333*Parametri_v3!$C$32</f>
        <v>3713.68333333333</v>
      </c>
      <c r="CI333" s="15" t="n">
        <f aca="false">AC333*Parametri_v3!$C$32</f>
        <v>1270.86979166667</v>
      </c>
      <c r="CJ333" s="15" t="n">
        <f aca="false">CA333-AB333</f>
        <v>41830.3218772702</v>
      </c>
      <c r="CK333" s="15" t="n">
        <f aca="false">CB333-AC333-BH333</f>
        <v>14792.5</v>
      </c>
      <c r="CL333" s="15" t="n">
        <f aca="false">BF333*Ipotesi!$C$73+INDEX(Ipotesi!$C$72:$G$72,1,F333)/12*Ipotesi!H126*Parametri_v3!$C$58+Z333*(1-Parametri_v3!$C$16)</f>
        <v>7701.94821558299</v>
      </c>
      <c r="CM333" s="16" t="n">
        <f aca="false">IF(BF333=0,0,1-CL333/BF333)</f>
        <v>0.632781147554559</v>
      </c>
    </row>
    <row r="334" customFormat="false" ht="18" hidden="false" customHeight="true" outlineLevel="0" collapsed="false">
      <c r="A334" s="68" t="n">
        <f aca="false">6</f>
        <v>6</v>
      </c>
      <c r="B334" s="68" t="n">
        <f aca="false">30</f>
        <v>30</v>
      </c>
      <c r="C334" s="18" t="n">
        <f aca="false">EDATE(Parametri_v3!$C$5,30-1)</f>
        <v>47270</v>
      </c>
      <c r="D334" s="68" t="n">
        <f aca="false">YEAR(C334)</f>
        <v>2029</v>
      </c>
      <c r="E334" s="68" t="n">
        <f aca="false">MONTH(C334)</f>
        <v>6</v>
      </c>
      <c r="F334" s="68" t="n">
        <f aca="false">INT((30-1)/12)+1</f>
        <v>3</v>
      </c>
      <c r="G334" s="15" t="n">
        <f aca="false">Ipotesi!H7</f>
        <v>1</v>
      </c>
      <c r="H334" s="15" t="n">
        <f aca="false">Ipotesi!H9</f>
        <v>1</v>
      </c>
      <c r="I334" s="15" t="n">
        <f aca="false">Ipotesi!H10</f>
        <v>1</v>
      </c>
      <c r="J334" s="15" t="n">
        <f aca="false">Ipotesi!H11</f>
        <v>1</v>
      </c>
      <c r="K334" s="15" t="n">
        <f aca="false">Ipotesi!H12</f>
        <v>1</v>
      </c>
      <c r="L334" s="15" t="n">
        <f aca="false">Ipotesi!H13</f>
        <v>90</v>
      </c>
      <c r="M334" s="17" t="n">
        <f aca="false">INDEX(Ipotesi!$C$40:$G$40,1,F334)</f>
        <v>1</v>
      </c>
      <c r="N334" s="17" t="n">
        <f aca="false">INDEX(Ipotesi!$C$41:$G$41,1,F334)</f>
        <v>1</v>
      </c>
      <c r="O334" s="17" t="n">
        <f aca="false">INDEX(Ipotesi!$C$42:$G$42,1,F334)*Ipotesi!H125</f>
        <v>4.5</v>
      </c>
      <c r="P334" s="17" t="n">
        <f aca="false">INDEX(Ipotesi!$C$43:$G$43,1,F334)*I334</f>
        <v>5</v>
      </c>
      <c r="Q334" s="17" t="n">
        <f aca="false">INDEX(Ipotesi!$C$44:$G$44,1,F334)*I334</f>
        <v>4</v>
      </c>
      <c r="R334" s="17" t="n">
        <f aca="false">INDEX(Ipotesi!$C$45:$G$45,1,F334)*I334</f>
        <v>1</v>
      </c>
      <c r="S334" s="17" t="n">
        <f aca="false">INDEX(Ipotesi!$C$52:$G$52,1,F334)*Ipotesi!H125</f>
        <v>5</v>
      </c>
      <c r="T334" s="17" t="n">
        <f aca="false">INDEX(Ipotesi!$C$53:$G$53,1,F334)*I334</f>
        <v>1</v>
      </c>
      <c r="U334" s="17" t="n">
        <f aca="false">INDEX(Ipotesi!$C$54:$G$54,1,F334)*I334</f>
        <v>0.5</v>
      </c>
      <c r="V334" s="15" t="n">
        <f aca="false">M334*INDEX(Ipotesi!$C$58:$G$58,1,F334)*K334/12</f>
        <v>7083.33333333333</v>
      </c>
      <c r="W334" s="15" t="n">
        <f aca="false">N334*Ipotesi!$C$59*(1+Ipotesi!$C$66)^(F334-1)/12</f>
        <v>6188.58333333333</v>
      </c>
      <c r="X334" s="15" t="n">
        <f aca="false">O334*Ipotesi!$C$60*(1+Ipotesi!$C$66)^(F334-1)/12</f>
        <v>19891.875</v>
      </c>
      <c r="Y334" s="15" t="n">
        <f aca="false">P334*Ipotesi!$C$61*(1+Ipotesi!$C$66)^(F334-1)/12</f>
        <v>22102.0833333333</v>
      </c>
      <c r="Z334" s="15" t="n">
        <f aca="false">Q334*Ipotesi!$C$62*(1+Ipotesi!$C$66)^(F334-1)/12</f>
        <v>15913.5</v>
      </c>
      <c r="AA334" s="15" t="n">
        <f aca="false">R334*Ipotesi!$C$63*(1+Ipotesi!$C$66)^(F334-1)/12</f>
        <v>3094.29166666667</v>
      </c>
      <c r="AB334" s="15" t="n">
        <f aca="false">SUM(V334:AA334)</f>
        <v>74273.6666666667</v>
      </c>
      <c r="AC334" s="15" t="n">
        <f aca="false">(S334*Ipotesi!$C$64+T334*Ipotesi!$C$65+U334*Ipotesi!$C$63)*(1+Ipotesi!$C$66)^(F334-1)/12</f>
        <v>25417.3958333333</v>
      </c>
      <c r="AD334" s="15" t="n">
        <f aca="false">INDEX(Ipotesi!$C$48:$G$48,1,F334)*G334/12</f>
        <v>60</v>
      </c>
      <c r="AE334" s="15" t="n">
        <f aca="false">INDEX(Ipotesi!$C$50:$G$50,1,F334)*G334/12</f>
        <v>6.66666666666667</v>
      </c>
      <c r="AF334" s="15" t="n">
        <f aca="false">(S334*Parametri_v3!$C$7*Parametri_v3!$C$8+Parametri_v3!$C$10)/12</f>
        <v>64.1666666666667</v>
      </c>
      <c r="AG334" s="15" t="n">
        <f aca="false">AD334+AE334*(1+Parametri_v3!$C$9)</f>
        <v>70</v>
      </c>
      <c r="AH334" s="16" t="n">
        <f aca="false">IF(AG334=0,1,MIN(1,AF334/AG334))</f>
        <v>0.916666666666667</v>
      </c>
      <c r="AI334" s="15" t="n">
        <f aca="false">AD334*AH334</f>
        <v>55</v>
      </c>
      <c r="AJ334" s="15" t="n">
        <f aca="false">AE334*AH334</f>
        <v>6.11111111111111</v>
      </c>
      <c r="AK334" s="15" t="n">
        <f aca="false">AI334*INDEX(Ipotesi!$C$49:$G$49,1,F334)*H334</f>
        <v>46750</v>
      </c>
      <c r="AL334" s="15" t="n">
        <f aca="false">AJ334*INDEX(Ipotesi!$C$51:$G$51,1,F334)*H334</f>
        <v>13750</v>
      </c>
      <c r="AM334" s="15" t="n">
        <f aca="false">AK334+AL334</f>
        <v>60500</v>
      </c>
      <c r="AN334" s="15" t="n">
        <f aca="false">INDEX(Ipotesi!$C$30:$G$30,1,F334)*G334/12</f>
        <v>41.6666666666667</v>
      </c>
      <c r="AO334" s="15" t="n">
        <f aca="false">O334*Parametri_v3!$C$7*Parametri_v3!$C$11*(1-Parametri_v3!$C$14)/12</f>
        <v>46.2</v>
      </c>
      <c r="AP334" s="15" t="n">
        <f aca="false">MIN(AN334,AO334)</f>
        <v>41.6666666666667</v>
      </c>
      <c r="AQ334" s="15" t="n">
        <f aca="false">AP334*INDEX(Ipotesi!$C$31:$G$31,1,F334)*H334</f>
        <v>41666.6666666667</v>
      </c>
      <c r="AR334" s="15" t="n">
        <f aca="false">INDEX(Ipotesi!$C$75:$G$75,1,F334)*J334/12</f>
        <v>20000</v>
      </c>
      <c r="AS334" s="15" t="n">
        <f aca="false">INDEX(Ipotesi!$C$81:$G$81,1,F334)*J334/12</f>
        <v>1250</v>
      </c>
      <c r="AT334" s="15" t="n">
        <f aca="false">AR334*Parametri_v3!$C$15+Z334*Parametri_v3!$C$16</f>
        <v>31139.45</v>
      </c>
      <c r="AU334" s="15" t="n">
        <f aca="false">Q334*Parametri_v3!$C$16*Parametri_v3!$C$17</f>
        <v>280</v>
      </c>
      <c r="AV334" s="17" t="n">
        <f aca="false">BD333</f>
        <v>48.68758575269</v>
      </c>
      <c r="AW334" s="17" t="n">
        <f aca="false">AV334*(1-(1-INDEX(Ipotesi!$C$34:$G$34,1,F334))^(1/12))</f>
        <v>0.425607932973451</v>
      </c>
      <c r="AX334" s="15" t="n">
        <f aca="false">ROUND(INDEX(Ipotesi!$C$32:$G$32,1,F334)*Ipotesi!H8,0)</f>
        <v>130</v>
      </c>
      <c r="AY334" s="15" t="n">
        <f aca="false">MAX(0,(AX334-(AV334-AW334))/(13-E334))</f>
        <v>11.6768603114691</v>
      </c>
      <c r="AZ334" s="15" t="n">
        <f aca="false">MIN(P334*Parametri_v3!$C$22,Q334*(1-Parametri_v3!$C$16)*Parametri_v3!$C$23)</f>
        <v>180</v>
      </c>
      <c r="BA334" s="15" t="n">
        <f aca="false">IF(OR(INDEX(Ipotesi!$C$35:$G$35,1,F334)&lt;=0,30-Parametri_v3!$C$21&lt;1),0,INDEX($AT$305:$AT$364,MAX(1,30-Parametri_v3!$C$21))/(INDEX(Ipotesi!$C$35:$G$35,1,F334)*Ipotesi!H27))</f>
        <v>6.22789</v>
      </c>
      <c r="BB334" s="15" t="n">
        <f aca="false">IF(30-Parametri_v3!$C$21&lt;1,0,INDEX($AU$305:$AU$364,MAX(1,30-Parametri_v3!$C$21)))*Parametri_v3!$C$18*Parametri_v3!$C$19*Parametri_v3!$C$20</f>
        <v>10.5</v>
      </c>
      <c r="BC334" s="17" t="n">
        <f aca="false">MAX(0,MIN(AY334,BA334,BB334,MAX(0,AZ334-(AV334-AW334))))</f>
        <v>6.22789</v>
      </c>
      <c r="BD334" s="17" t="n">
        <f aca="false">AV334-AW334+BC334</f>
        <v>54.4898678197165</v>
      </c>
      <c r="BE334" s="17" t="n">
        <f aca="false">(AV334+BD334)/2</f>
        <v>51.5887267862032</v>
      </c>
      <c r="BF334" s="15" t="n">
        <f aca="false">BE334*INDEX(Ipotesi!$C$33:$G$33,1,F334)*H334/12</f>
        <v>23644.8331103431</v>
      </c>
      <c r="BG334" s="15" t="n">
        <f aca="false">BD334*INDEX(Ipotesi!$C$33:$G$33,1,F334)*H334</f>
        <v>299694.273008441</v>
      </c>
      <c r="BH334" s="15" t="n">
        <f aca="false">AM334*INDEX(Ipotesi!$C$37:$G$37,1,F334)</f>
        <v>6050</v>
      </c>
      <c r="BI334" s="15" t="n">
        <f aca="false">AQ334+BF334+BH334</f>
        <v>71361.4997770098</v>
      </c>
      <c r="BJ334" s="15" t="n">
        <f aca="false">INDEX(Ipotesi!$C$68:$G$68,1,F334)*Ipotesi!$C$69/12</f>
        <v>2400</v>
      </c>
      <c r="BK334" s="15" t="n">
        <f aca="false">INDEX(Ipotesi!$C$68:$G$68,1,F334)*(1-Ipotesi!$C$69)/12</f>
        <v>3600</v>
      </c>
      <c r="BL334" s="15" t="n">
        <f aca="false">(AQ334+BF334)*Ipotesi!$C$67</f>
        <v>1959.34499331029</v>
      </c>
      <c r="BM334" s="15" t="n">
        <f aca="false">AM334*Ipotesi!$C$67</f>
        <v>1815</v>
      </c>
      <c r="BN334" s="15" t="n">
        <f aca="false">INDEX(Ipotesi!$C$72:$G$72,1,F334)/12*Ipotesi!H126+BF334*Ipotesi!$C$73</f>
        <v>3141.58664882745</v>
      </c>
      <c r="BO334" s="15" t="n">
        <f aca="false">INDEX(Ipotesi!$C$74:$G$74,1,F334)/12*Ipotesi!H126</f>
        <v>2916.66666666667</v>
      </c>
      <c r="BP334" s="15" t="n">
        <f aca="false">INDEX(Ipotesi!$C$76:$G$76,1,F334)/12</f>
        <v>1083.33333333333</v>
      </c>
      <c r="BQ334" s="15" t="n">
        <f aca="false">INDEX(Ipotesi!$C$77:$G$77,1,F334)/12*Ipotesi!H126</f>
        <v>2083.33333333333</v>
      </c>
      <c r="BR334" s="15" t="n">
        <f aca="false">INDEX(Ipotesi!$C$78:$G$78,1,F334)/12</f>
        <v>1666.66666666667</v>
      </c>
      <c r="BS334" s="15" t="n">
        <f aca="false">SUM(M334:R334)*(Ipotesi!$C$85+Ipotesi!$C$86)/12</f>
        <v>4812.5</v>
      </c>
      <c r="BT334" s="15" t="n">
        <f aca="false">BI334*Ipotesi!$C$87</f>
        <v>2140.84499331029</v>
      </c>
      <c r="BU334" s="15" t="n">
        <f aca="false">INDEX(Ipotesi!$C$55:$G$55,1,F334)*K334/12</f>
        <v>1500</v>
      </c>
      <c r="BV334" s="15" t="n">
        <f aca="false">INDEX(Ipotesi!$C$80:$G$80,1,F334)/12*Ipotesi!H126</f>
        <v>1250</v>
      </c>
      <c r="BW334" s="15" t="n">
        <f aca="false">INDEX(Ipotesi!$C$82:$G$82,1,F334)/12</f>
        <v>1000</v>
      </c>
      <c r="BX334" s="15" t="n">
        <f aca="false">INDEX(Ipotesi!$C$83:$G$83,1,F334)/12</f>
        <v>666.666666666667</v>
      </c>
      <c r="BY334" s="15" t="n">
        <f aca="false">SUM(S334:U334)*(Ipotesi!$C$85+Ipotesi!$C$86)/12</f>
        <v>1895.83333333333</v>
      </c>
      <c r="BZ334" s="15" t="n">
        <f aca="false">AM334*Ipotesi!$C$87</f>
        <v>1815</v>
      </c>
      <c r="CA334" s="15" t="n">
        <f aca="false">AB334+BJ334+BL334+BN334+BO334+AR334+BP334+BQ334+BR334+BS334+BT334</f>
        <v>116477.943302115</v>
      </c>
      <c r="CB334" s="15" t="n">
        <f aca="false">AC334+BK334+BM334+BH334+BU334+BV334+AS334+BW334+BX334+BY334+BZ334</f>
        <v>46259.8958333333</v>
      </c>
      <c r="CC334" s="15" t="n">
        <f aca="false">BI334-CA334</f>
        <v>-45116.4435251049</v>
      </c>
      <c r="CD334" s="15" t="n">
        <f aca="false">AM334-CB334</f>
        <v>14240.1041666667</v>
      </c>
      <c r="CE334" s="15" t="n">
        <f aca="false">INDEX(Ipotesi!$C$79:$G$79,1,F334)/12</f>
        <v>2500</v>
      </c>
      <c r="CF334" s="15" t="n">
        <f aca="false">INDEX(Ipotesi!$C$84:$G$84,1,F334)/12</f>
        <v>416.666666666667</v>
      </c>
      <c r="CG334" s="15" t="n">
        <f aca="false">Y334*MAX(0,Parametri_v3!$C$12-IF(P334=0,0,MIN(1,BE334/(P334*Parametri_v3!$C$22))))+W334*Parametri_v3!$C$13+X334*Parametri_v3!$C$14</f>
        <v>26894.3133230215</v>
      </c>
      <c r="CH334" s="15" t="n">
        <f aca="false">AB334*Parametri_v3!$C$32</f>
        <v>3713.68333333333</v>
      </c>
      <c r="CI334" s="15" t="n">
        <f aca="false">AC334*Parametri_v3!$C$32</f>
        <v>1270.86979166667</v>
      </c>
      <c r="CJ334" s="15" t="n">
        <f aca="false">CA334-AB334</f>
        <v>42204.276635448</v>
      </c>
      <c r="CK334" s="15" t="n">
        <f aca="false">CB334-AC334-BH334</f>
        <v>14792.5</v>
      </c>
      <c r="CL334" s="15" t="n">
        <f aca="false">BF334*Ipotesi!$C$73+INDEX(Ipotesi!$C$72:$G$72,1,F334)/12*Ipotesi!H126*Parametri_v3!$C$58+Z334*(1-Parametri_v3!$C$16)</f>
        <v>7915.63664882745</v>
      </c>
      <c r="CM334" s="16" t="n">
        <f aca="false">IF(BF334=0,0,1-CL334/BF334)</f>
        <v>0.665227637180283</v>
      </c>
    </row>
    <row r="335" customFormat="false" ht="18" hidden="false" customHeight="true" outlineLevel="0" collapsed="false">
      <c r="A335" s="68" t="n">
        <f aca="false">6</f>
        <v>6</v>
      </c>
      <c r="B335" s="68" t="n">
        <f aca="false">31</f>
        <v>31</v>
      </c>
      <c r="C335" s="18" t="n">
        <f aca="false">EDATE(Parametri_v3!$C$5,31-1)</f>
        <v>47300</v>
      </c>
      <c r="D335" s="68" t="n">
        <f aca="false">YEAR(C335)</f>
        <v>2029</v>
      </c>
      <c r="E335" s="68" t="n">
        <f aca="false">MONTH(C335)</f>
        <v>7</v>
      </c>
      <c r="F335" s="68" t="n">
        <f aca="false">INT((31-1)/12)+1</f>
        <v>3</v>
      </c>
      <c r="G335" s="15" t="n">
        <f aca="false">Ipotesi!H7</f>
        <v>1</v>
      </c>
      <c r="H335" s="15" t="n">
        <f aca="false">Ipotesi!H9</f>
        <v>1</v>
      </c>
      <c r="I335" s="15" t="n">
        <f aca="false">Ipotesi!H10</f>
        <v>1</v>
      </c>
      <c r="J335" s="15" t="n">
        <f aca="false">Ipotesi!H11</f>
        <v>1</v>
      </c>
      <c r="K335" s="15" t="n">
        <f aca="false">Ipotesi!H12</f>
        <v>1</v>
      </c>
      <c r="L335" s="15" t="n">
        <f aca="false">Ipotesi!H13</f>
        <v>90</v>
      </c>
      <c r="M335" s="17" t="n">
        <f aca="false">INDEX(Ipotesi!$C$40:$G$40,1,F335)</f>
        <v>1</v>
      </c>
      <c r="N335" s="17" t="n">
        <f aca="false">INDEX(Ipotesi!$C$41:$G$41,1,F335)</f>
        <v>1</v>
      </c>
      <c r="O335" s="17" t="n">
        <f aca="false">INDEX(Ipotesi!$C$42:$G$42,1,F335)*Ipotesi!H125</f>
        <v>4.5</v>
      </c>
      <c r="P335" s="17" t="n">
        <f aca="false">INDEX(Ipotesi!$C$43:$G$43,1,F335)*I335</f>
        <v>5</v>
      </c>
      <c r="Q335" s="17" t="n">
        <f aca="false">INDEX(Ipotesi!$C$44:$G$44,1,F335)*I335</f>
        <v>4</v>
      </c>
      <c r="R335" s="17" t="n">
        <f aca="false">INDEX(Ipotesi!$C$45:$G$45,1,F335)*I335</f>
        <v>1</v>
      </c>
      <c r="S335" s="17" t="n">
        <f aca="false">INDEX(Ipotesi!$C$52:$G$52,1,F335)*Ipotesi!H125</f>
        <v>5</v>
      </c>
      <c r="T335" s="17" t="n">
        <f aca="false">INDEX(Ipotesi!$C$53:$G$53,1,F335)*I335</f>
        <v>1</v>
      </c>
      <c r="U335" s="17" t="n">
        <f aca="false">INDEX(Ipotesi!$C$54:$G$54,1,F335)*I335</f>
        <v>0.5</v>
      </c>
      <c r="V335" s="15" t="n">
        <f aca="false">M335*INDEX(Ipotesi!$C$58:$G$58,1,F335)*K335/12</f>
        <v>7083.33333333333</v>
      </c>
      <c r="W335" s="15" t="n">
        <f aca="false">N335*Ipotesi!$C$59*(1+Ipotesi!$C$66)^(F335-1)/12</f>
        <v>6188.58333333333</v>
      </c>
      <c r="X335" s="15" t="n">
        <f aca="false">O335*Ipotesi!$C$60*(1+Ipotesi!$C$66)^(F335-1)/12</f>
        <v>19891.875</v>
      </c>
      <c r="Y335" s="15" t="n">
        <f aca="false">P335*Ipotesi!$C$61*(1+Ipotesi!$C$66)^(F335-1)/12</f>
        <v>22102.0833333333</v>
      </c>
      <c r="Z335" s="15" t="n">
        <f aca="false">Q335*Ipotesi!$C$62*(1+Ipotesi!$C$66)^(F335-1)/12</f>
        <v>15913.5</v>
      </c>
      <c r="AA335" s="15" t="n">
        <f aca="false">R335*Ipotesi!$C$63*(1+Ipotesi!$C$66)^(F335-1)/12</f>
        <v>3094.29166666667</v>
      </c>
      <c r="AB335" s="15" t="n">
        <f aca="false">SUM(V335:AA335)</f>
        <v>74273.6666666667</v>
      </c>
      <c r="AC335" s="15" t="n">
        <f aca="false">(S335*Ipotesi!$C$64+T335*Ipotesi!$C$65+U335*Ipotesi!$C$63)*(1+Ipotesi!$C$66)^(F335-1)/12</f>
        <v>25417.3958333333</v>
      </c>
      <c r="AD335" s="15" t="n">
        <f aca="false">INDEX(Ipotesi!$C$48:$G$48,1,F335)*G335/12</f>
        <v>60</v>
      </c>
      <c r="AE335" s="15" t="n">
        <f aca="false">INDEX(Ipotesi!$C$50:$G$50,1,F335)*G335/12</f>
        <v>6.66666666666667</v>
      </c>
      <c r="AF335" s="15" t="n">
        <f aca="false">(S335*Parametri_v3!$C$7*Parametri_v3!$C$8+Parametri_v3!$C$10)/12</f>
        <v>64.1666666666667</v>
      </c>
      <c r="AG335" s="15" t="n">
        <f aca="false">AD335+AE335*(1+Parametri_v3!$C$9)</f>
        <v>70</v>
      </c>
      <c r="AH335" s="16" t="n">
        <f aca="false">IF(AG335=0,1,MIN(1,AF335/AG335))</f>
        <v>0.916666666666667</v>
      </c>
      <c r="AI335" s="15" t="n">
        <f aca="false">AD335*AH335</f>
        <v>55</v>
      </c>
      <c r="AJ335" s="15" t="n">
        <f aca="false">AE335*AH335</f>
        <v>6.11111111111111</v>
      </c>
      <c r="AK335" s="15" t="n">
        <f aca="false">AI335*INDEX(Ipotesi!$C$49:$G$49,1,F335)*H335</f>
        <v>46750</v>
      </c>
      <c r="AL335" s="15" t="n">
        <f aca="false">AJ335*INDEX(Ipotesi!$C$51:$G$51,1,F335)*H335</f>
        <v>13750</v>
      </c>
      <c r="AM335" s="15" t="n">
        <f aca="false">AK335+AL335</f>
        <v>60500</v>
      </c>
      <c r="AN335" s="15" t="n">
        <f aca="false">INDEX(Ipotesi!$C$30:$G$30,1,F335)*G335/12</f>
        <v>41.6666666666667</v>
      </c>
      <c r="AO335" s="15" t="n">
        <f aca="false">O335*Parametri_v3!$C$7*Parametri_v3!$C$11*(1-Parametri_v3!$C$14)/12</f>
        <v>46.2</v>
      </c>
      <c r="AP335" s="15" t="n">
        <f aca="false">MIN(AN335,AO335)</f>
        <v>41.6666666666667</v>
      </c>
      <c r="AQ335" s="15" t="n">
        <f aca="false">AP335*INDEX(Ipotesi!$C$31:$G$31,1,F335)*H335</f>
        <v>41666.6666666667</v>
      </c>
      <c r="AR335" s="15" t="n">
        <f aca="false">INDEX(Ipotesi!$C$75:$G$75,1,F335)*J335/12</f>
        <v>20000</v>
      </c>
      <c r="AS335" s="15" t="n">
        <f aca="false">INDEX(Ipotesi!$C$81:$G$81,1,F335)*J335/12</f>
        <v>1250</v>
      </c>
      <c r="AT335" s="15" t="n">
        <f aca="false">AR335*Parametri_v3!$C$15+Z335*Parametri_v3!$C$16</f>
        <v>31139.45</v>
      </c>
      <c r="AU335" s="15" t="n">
        <f aca="false">Q335*Parametri_v3!$C$16*Parametri_v3!$C$17</f>
        <v>280</v>
      </c>
      <c r="AV335" s="17" t="n">
        <f aca="false">BD334</f>
        <v>54.4898678197165</v>
      </c>
      <c r="AW335" s="17" t="n">
        <f aca="false">AV335*(1-(1-INDEX(Ipotesi!$C$34:$G$34,1,F335))^(1/12))</f>
        <v>0.47632922545281</v>
      </c>
      <c r="AX335" s="15" t="n">
        <f aca="false">ROUND(INDEX(Ipotesi!$C$32:$G$32,1,F335)*Ipotesi!H8,0)</f>
        <v>130</v>
      </c>
      <c r="AY335" s="15" t="n">
        <f aca="false">MAX(0,(AX335-(AV335-AW335))/(13-E335))</f>
        <v>12.6644102342894</v>
      </c>
      <c r="AZ335" s="15" t="n">
        <f aca="false">MIN(P335*Parametri_v3!$C$22,Q335*(1-Parametri_v3!$C$16)*Parametri_v3!$C$23)</f>
        <v>180</v>
      </c>
      <c r="BA335" s="15" t="n">
        <f aca="false">IF(OR(INDEX(Ipotesi!$C$35:$G$35,1,F335)&lt;=0,31-Parametri_v3!$C$21&lt;1),0,INDEX($AT$305:$AT$364,MAX(1,31-Parametri_v3!$C$21))/(INDEX(Ipotesi!$C$35:$G$35,1,F335)*Ipotesi!H27))</f>
        <v>6.22789</v>
      </c>
      <c r="BB335" s="15" t="n">
        <f aca="false">IF(31-Parametri_v3!$C$21&lt;1,0,INDEX($AU$305:$AU$364,MAX(1,31-Parametri_v3!$C$21)))*Parametri_v3!$C$18*Parametri_v3!$C$19*Parametri_v3!$C$20</f>
        <v>10.5</v>
      </c>
      <c r="BC335" s="17" t="n">
        <f aca="false">MAX(0,MIN(AY335,BA335,BB335,MAX(0,AZ335-(AV335-AW335))))</f>
        <v>6.22789</v>
      </c>
      <c r="BD335" s="17" t="n">
        <f aca="false">AV335-AW335+BC335</f>
        <v>60.2414285942637</v>
      </c>
      <c r="BE335" s="17" t="n">
        <f aca="false">(AV335+BD335)/2</f>
        <v>57.3656482069901</v>
      </c>
      <c r="BF335" s="15" t="n">
        <f aca="false">BE335*INDEX(Ipotesi!$C$33:$G$33,1,F335)*H335/12</f>
        <v>26292.5887615371</v>
      </c>
      <c r="BG335" s="15" t="n">
        <f aca="false">BD335*INDEX(Ipotesi!$C$33:$G$33,1,F335)*H335</f>
        <v>331327.85726845</v>
      </c>
      <c r="BH335" s="15" t="n">
        <f aca="false">AM335*INDEX(Ipotesi!$C$37:$G$37,1,F335)</f>
        <v>6050</v>
      </c>
      <c r="BI335" s="15" t="n">
        <f aca="false">AQ335+BF335+BH335</f>
        <v>74009.2554282038</v>
      </c>
      <c r="BJ335" s="15" t="n">
        <f aca="false">INDEX(Ipotesi!$C$68:$G$68,1,F335)*Ipotesi!$C$69/12</f>
        <v>2400</v>
      </c>
      <c r="BK335" s="15" t="n">
        <f aca="false">INDEX(Ipotesi!$C$68:$G$68,1,F335)*(1-Ipotesi!$C$69)/12</f>
        <v>3600</v>
      </c>
      <c r="BL335" s="15" t="n">
        <f aca="false">(AQ335+BF335)*Ipotesi!$C$67</f>
        <v>2038.77766284611</v>
      </c>
      <c r="BM335" s="15" t="n">
        <f aca="false">AM335*Ipotesi!$C$67</f>
        <v>1815</v>
      </c>
      <c r="BN335" s="15" t="n">
        <f aca="false">INDEX(Ipotesi!$C$72:$G$72,1,F335)/12*Ipotesi!H126+BF335*Ipotesi!$C$73</f>
        <v>3353.40710092297</v>
      </c>
      <c r="BO335" s="15" t="n">
        <f aca="false">INDEX(Ipotesi!$C$74:$G$74,1,F335)/12*Ipotesi!H126</f>
        <v>2916.66666666667</v>
      </c>
      <c r="BP335" s="15" t="n">
        <f aca="false">INDEX(Ipotesi!$C$76:$G$76,1,F335)/12</f>
        <v>1083.33333333333</v>
      </c>
      <c r="BQ335" s="15" t="n">
        <f aca="false">INDEX(Ipotesi!$C$77:$G$77,1,F335)/12*Ipotesi!H126</f>
        <v>2083.33333333333</v>
      </c>
      <c r="BR335" s="15" t="n">
        <f aca="false">INDEX(Ipotesi!$C$78:$G$78,1,F335)/12</f>
        <v>1666.66666666667</v>
      </c>
      <c r="BS335" s="15" t="n">
        <f aca="false">SUM(M335:R335)*(Ipotesi!$C$85+Ipotesi!$C$86)/12</f>
        <v>4812.5</v>
      </c>
      <c r="BT335" s="15" t="n">
        <f aca="false">BI335*Ipotesi!$C$87</f>
        <v>2220.27766284611</v>
      </c>
      <c r="BU335" s="15" t="n">
        <f aca="false">INDEX(Ipotesi!$C$55:$G$55,1,F335)*K335/12</f>
        <v>1500</v>
      </c>
      <c r="BV335" s="15" t="n">
        <f aca="false">INDEX(Ipotesi!$C$80:$G$80,1,F335)/12*Ipotesi!H126</f>
        <v>1250</v>
      </c>
      <c r="BW335" s="15" t="n">
        <f aca="false">INDEX(Ipotesi!$C$82:$G$82,1,F335)/12</f>
        <v>1000</v>
      </c>
      <c r="BX335" s="15" t="n">
        <f aca="false">INDEX(Ipotesi!$C$83:$G$83,1,F335)/12</f>
        <v>666.666666666667</v>
      </c>
      <c r="BY335" s="15" t="n">
        <f aca="false">SUM(S335:U335)*(Ipotesi!$C$85+Ipotesi!$C$86)/12</f>
        <v>1895.83333333333</v>
      </c>
      <c r="BZ335" s="15" t="n">
        <f aca="false">AM335*Ipotesi!$C$87</f>
        <v>1815</v>
      </c>
      <c r="CA335" s="15" t="n">
        <f aca="false">AB335+BJ335+BL335+BN335+BO335+AR335+BP335+BQ335+BR335+BS335+BT335</f>
        <v>116848.629093282</v>
      </c>
      <c r="CB335" s="15" t="n">
        <f aca="false">AC335+BK335+BM335+BH335+BU335+BV335+AS335+BW335+BX335+BY335+BZ335</f>
        <v>46259.8958333333</v>
      </c>
      <c r="CC335" s="15" t="n">
        <f aca="false">BI335-CA335</f>
        <v>-42839.3736650781</v>
      </c>
      <c r="CD335" s="15" t="n">
        <f aca="false">AM335-CB335</f>
        <v>14240.1041666667</v>
      </c>
      <c r="CE335" s="15" t="n">
        <f aca="false">INDEX(Ipotesi!$C$79:$G$79,1,F335)/12</f>
        <v>2500</v>
      </c>
      <c r="CF335" s="15" t="n">
        <f aca="false">INDEX(Ipotesi!$C$84:$G$84,1,F335)/12</f>
        <v>416.666666666667</v>
      </c>
      <c r="CG335" s="15" t="n">
        <f aca="false">Y335*MAX(0,Parametri_v3!$C$12-IF(P335=0,0,MIN(1,BE335/(P335*Parametri_v3!$C$22))))+W335*Parametri_v3!$C$13+X335*Parametri_v3!$C$14</f>
        <v>26638.9493257168</v>
      </c>
      <c r="CH335" s="15" t="n">
        <f aca="false">AB335*Parametri_v3!$C$32</f>
        <v>3713.68333333333</v>
      </c>
      <c r="CI335" s="15" t="n">
        <f aca="false">AC335*Parametri_v3!$C$32</f>
        <v>1270.86979166667</v>
      </c>
      <c r="CJ335" s="15" t="n">
        <f aca="false">CA335-AB335</f>
        <v>42574.9624266152</v>
      </c>
      <c r="CK335" s="15" t="n">
        <f aca="false">CB335-AC335-BH335</f>
        <v>14792.5</v>
      </c>
      <c r="CL335" s="15" t="n">
        <f aca="false">BF335*Ipotesi!$C$73+INDEX(Ipotesi!$C$72:$G$72,1,F335)/12*Ipotesi!H126*Parametri_v3!$C$58+Z335*(1-Parametri_v3!$C$16)</f>
        <v>8127.45710092297</v>
      </c>
      <c r="CM335" s="16" t="n">
        <f aca="false">IF(BF335=0,0,1-CL335/BF335)</f>
        <v>0.690884105226928</v>
      </c>
    </row>
    <row r="336" customFormat="false" ht="18" hidden="false" customHeight="true" outlineLevel="0" collapsed="false">
      <c r="A336" s="68" t="n">
        <f aca="false">6</f>
        <v>6</v>
      </c>
      <c r="B336" s="68" t="n">
        <f aca="false">32</f>
        <v>32</v>
      </c>
      <c r="C336" s="18" t="n">
        <f aca="false">EDATE(Parametri_v3!$C$5,32-1)</f>
        <v>47331</v>
      </c>
      <c r="D336" s="68" t="n">
        <f aca="false">YEAR(C336)</f>
        <v>2029</v>
      </c>
      <c r="E336" s="68" t="n">
        <f aca="false">MONTH(C336)</f>
        <v>8</v>
      </c>
      <c r="F336" s="68" t="n">
        <f aca="false">INT((32-1)/12)+1</f>
        <v>3</v>
      </c>
      <c r="G336" s="15" t="n">
        <f aca="false">Ipotesi!H7</f>
        <v>1</v>
      </c>
      <c r="H336" s="15" t="n">
        <f aca="false">Ipotesi!H9</f>
        <v>1</v>
      </c>
      <c r="I336" s="15" t="n">
        <f aca="false">Ipotesi!H10</f>
        <v>1</v>
      </c>
      <c r="J336" s="15" t="n">
        <f aca="false">Ipotesi!H11</f>
        <v>1</v>
      </c>
      <c r="K336" s="15" t="n">
        <f aca="false">Ipotesi!H12</f>
        <v>1</v>
      </c>
      <c r="L336" s="15" t="n">
        <f aca="false">Ipotesi!H13</f>
        <v>90</v>
      </c>
      <c r="M336" s="17" t="n">
        <f aca="false">INDEX(Ipotesi!$C$40:$G$40,1,F336)</f>
        <v>1</v>
      </c>
      <c r="N336" s="17" t="n">
        <f aca="false">INDEX(Ipotesi!$C$41:$G$41,1,F336)</f>
        <v>1</v>
      </c>
      <c r="O336" s="17" t="n">
        <f aca="false">INDEX(Ipotesi!$C$42:$G$42,1,F336)*Ipotesi!H125</f>
        <v>4.5</v>
      </c>
      <c r="P336" s="17" t="n">
        <f aca="false">INDEX(Ipotesi!$C$43:$G$43,1,F336)*I336</f>
        <v>5</v>
      </c>
      <c r="Q336" s="17" t="n">
        <f aca="false">INDEX(Ipotesi!$C$44:$G$44,1,F336)*I336</f>
        <v>4</v>
      </c>
      <c r="R336" s="17" t="n">
        <f aca="false">INDEX(Ipotesi!$C$45:$G$45,1,F336)*I336</f>
        <v>1</v>
      </c>
      <c r="S336" s="17" t="n">
        <f aca="false">INDEX(Ipotesi!$C$52:$G$52,1,F336)*Ipotesi!H125</f>
        <v>5</v>
      </c>
      <c r="T336" s="17" t="n">
        <f aca="false">INDEX(Ipotesi!$C$53:$G$53,1,F336)*I336</f>
        <v>1</v>
      </c>
      <c r="U336" s="17" t="n">
        <f aca="false">INDEX(Ipotesi!$C$54:$G$54,1,F336)*I336</f>
        <v>0.5</v>
      </c>
      <c r="V336" s="15" t="n">
        <f aca="false">M336*INDEX(Ipotesi!$C$58:$G$58,1,F336)*K336/12</f>
        <v>7083.33333333333</v>
      </c>
      <c r="W336" s="15" t="n">
        <f aca="false">N336*Ipotesi!$C$59*(1+Ipotesi!$C$66)^(F336-1)/12</f>
        <v>6188.58333333333</v>
      </c>
      <c r="X336" s="15" t="n">
        <f aca="false">O336*Ipotesi!$C$60*(1+Ipotesi!$C$66)^(F336-1)/12</f>
        <v>19891.875</v>
      </c>
      <c r="Y336" s="15" t="n">
        <f aca="false">P336*Ipotesi!$C$61*(1+Ipotesi!$C$66)^(F336-1)/12</f>
        <v>22102.0833333333</v>
      </c>
      <c r="Z336" s="15" t="n">
        <f aca="false">Q336*Ipotesi!$C$62*(1+Ipotesi!$C$66)^(F336-1)/12</f>
        <v>15913.5</v>
      </c>
      <c r="AA336" s="15" t="n">
        <f aca="false">R336*Ipotesi!$C$63*(1+Ipotesi!$C$66)^(F336-1)/12</f>
        <v>3094.29166666667</v>
      </c>
      <c r="AB336" s="15" t="n">
        <f aca="false">SUM(V336:AA336)</f>
        <v>74273.6666666667</v>
      </c>
      <c r="AC336" s="15" t="n">
        <f aca="false">(S336*Ipotesi!$C$64+T336*Ipotesi!$C$65+U336*Ipotesi!$C$63)*(1+Ipotesi!$C$66)^(F336-1)/12</f>
        <v>25417.3958333333</v>
      </c>
      <c r="AD336" s="15" t="n">
        <f aca="false">INDEX(Ipotesi!$C$48:$G$48,1,F336)*G336/12</f>
        <v>60</v>
      </c>
      <c r="AE336" s="15" t="n">
        <f aca="false">INDEX(Ipotesi!$C$50:$G$50,1,F336)*G336/12</f>
        <v>6.66666666666667</v>
      </c>
      <c r="AF336" s="15" t="n">
        <f aca="false">(S336*Parametri_v3!$C$7*Parametri_v3!$C$8+Parametri_v3!$C$10)/12</f>
        <v>64.1666666666667</v>
      </c>
      <c r="AG336" s="15" t="n">
        <f aca="false">AD336+AE336*(1+Parametri_v3!$C$9)</f>
        <v>70</v>
      </c>
      <c r="AH336" s="16" t="n">
        <f aca="false">IF(AG336=0,1,MIN(1,AF336/AG336))</f>
        <v>0.916666666666667</v>
      </c>
      <c r="AI336" s="15" t="n">
        <f aca="false">AD336*AH336</f>
        <v>55</v>
      </c>
      <c r="AJ336" s="15" t="n">
        <f aca="false">AE336*AH336</f>
        <v>6.11111111111111</v>
      </c>
      <c r="AK336" s="15" t="n">
        <f aca="false">AI336*INDEX(Ipotesi!$C$49:$G$49,1,F336)*H336</f>
        <v>46750</v>
      </c>
      <c r="AL336" s="15" t="n">
        <f aca="false">AJ336*INDEX(Ipotesi!$C$51:$G$51,1,F336)*H336</f>
        <v>13750</v>
      </c>
      <c r="AM336" s="15" t="n">
        <f aca="false">AK336+AL336</f>
        <v>60500</v>
      </c>
      <c r="AN336" s="15" t="n">
        <f aca="false">INDEX(Ipotesi!$C$30:$G$30,1,F336)*G336/12</f>
        <v>41.6666666666667</v>
      </c>
      <c r="AO336" s="15" t="n">
        <f aca="false">O336*Parametri_v3!$C$7*Parametri_v3!$C$11*(1-Parametri_v3!$C$14)/12</f>
        <v>46.2</v>
      </c>
      <c r="AP336" s="15" t="n">
        <f aca="false">MIN(AN336,AO336)</f>
        <v>41.6666666666667</v>
      </c>
      <c r="AQ336" s="15" t="n">
        <f aca="false">AP336*INDEX(Ipotesi!$C$31:$G$31,1,F336)*H336</f>
        <v>41666.6666666667</v>
      </c>
      <c r="AR336" s="15" t="n">
        <f aca="false">INDEX(Ipotesi!$C$75:$G$75,1,F336)*J336/12</f>
        <v>20000</v>
      </c>
      <c r="AS336" s="15" t="n">
        <f aca="false">INDEX(Ipotesi!$C$81:$G$81,1,F336)*J336/12</f>
        <v>1250</v>
      </c>
      <c r="AT336" s="15" t="n">
        <f aca="false">AR336*Parametri_v3!$C$15+Z336*Parametri_v3!$C$16</f>
        <v>31139.45</v>
      </c>
      <c r="AU336" s="15" t="n">
        <f aca="false">Q336*Parametri_v3!$C$16*Parametri_v3!$C$17</f>
        <v>280</v>
      </c>
      <c r="AV336" s="17" t="n">
        <f aca="false">BD335</f>
        <v>60.2414285942637</v>
      </c>
      <c r="AW336" s="17" t="n">
        <f aca="false">AV336*(1-(1-INDEX(Ipotesi!$C$34:$G$34,1,F336))^(1/12))</f>
        <v>0.526607132126196</v>
      </c>
      <c r="AX336" s="15" t="n">
        <f aca="false">ROUND(INDEX(Ipotesi!$C$32:$G$32,1,F336)*Ipotesi!H8,0)</f>
        <v>130</v>
      </c>
      <c r="AY336" s="15" t="n">
        <f aca="false">MAX(0,(AX336-(AV336-AW336))/(13-E336))</f>
        <v>14.0570357075725</v>
      </c>
      <c r="AZ336" s="15" t="n">
        <f aca="false">MIN(P336*Parametri_v3!$C$22,Q336*(1-Parametri_v3!$C$16)*Parametri_v3!$C$23)</f>
        <v>180</v>
      </c>
      <c r="BA336" s="15" t="n">
        <f aca="false">IF(OR(INDEX(Ipotesi!$C$35:$G$35,1,F336)&lt;=0,32-Parametri_v3!$C$21&lt;1),0,INDEX($AT$305:$AT$364,MAX(1,32-Parametri_v3!$C$21))/(INDEX(Ipotesi!$C$35:$G$35,1,F336)*Ipotesi!H27))</f>
        <v>6.22789</v>
      </c>
      <c r="BB336" s="15" t="n">
        <f aca="false">IF(32-Parametri_v3!$C$21&lt;1,0,INDEX($AU$305:$AU$364,MAX(1,32-Parametri_v3!$C$21)))*Parametri_v3!$C$18*Parametri_v3!$C$19*Parametri_v3!$C$20</f>
        <v>10.5</v>
      </c>
      <c r="BC336" s="17" t="n">
        <f aca="false">MAX(0,MIN(AY336,BA336,BB336,MAX(0,AZ336-(AV336-AW336))))</f>
        <v>6.22789</v>
      </c>
      <c r="BD336" s="17" t="n">
        <f aca="false">AV336-AW336+BC336</f>
        <v>65.9427114621375</v>
      </c>
      <c r="BE336" s="17" t="n">
        <f aca="false">(AV336+BD336)/2</f>
        <v>63.0920700282006</v>
      </c>
      <c r="BF336" s="15" t="n">
        <f aca="false">BE336*INDEX(Ipotesi!$C$33:$G$33,1,F336)*H336/12</f>
        <v>28917.1987629253</v>
      </c>
      <c r="BG336" s="15" t="n">
        <f aca="false">BD336*INDEX(Ipotesi!$C$33:$G$33,1,F336)*H336</f>
        <v>362684.913041756</v>
      </c>
      <c r="BH336" s="15" t="n">
        <f aca="false">AM336*INDEX(Ipotesi!$C$37:$G$37,1,F336)</f>
        <v>6050</v>
      </c>
      <c r="BI336" s="15" t="n">
        <f aca="false">AQ336+BF336+BH336</f>
        <v>76633.8654295919</v>
      </c>
      <c r="BJ336" s="15" t="n">
        <f aca="false">INDEX(Ipotesi!$C$68:$G$68,1,F336)*Ipotesi!$C$69/12</f>
        <v>2400</v>
      </c>
      <c r="BK336" s="15" t="n">
        <f aca="false">INDEX(Ipotesi!$C$68:$G$68,1,F336)*(1-Ipotesi!$C$69)/12</f>
        <v>3600</v>
      </c>
      <c r="BL336" s="15" t="n">
        <f aca="false">(AQ336+BF336)*Ipotesi!$C$67</f>
        <v>2117.51596288776</v>
      </c>
      <c r="BM336" s="15" t="n">
        <f aca="false">AM336*Ipotesi!$C$67</f>
        <v>1815</v>
      </c>
      <c r="BN336" s="15" t="n">
        <f aca="false">INDEX(Ipotesi!$C$72:$G$72,1,F336)/12*Ipotesi!H126+BF336*Ipotesi!$C$73</f>
        <v>3563.37590103402</v>
      </c>
      <c r="BO336" s="15" t="n">
        <f aca="false">INDEX(Ipotesi!$C$74:$G$74,1,F336)/12*Ipotesi!H126</f>
        <v>2916.66666666667</v>
      </c>
      <c r="BP336" s="15" t="n">
        <f aca="false">INDEX(Ipotesi!$C$76:$G$76,1,F336)/12</f>
        <v>1083.33333333333</v>
      </c>
      <c r="BQ336" s="15" t="n">
        <f aca="false">INDEX(Ipotesi!$C$77:$G$77,1,F336)/12*Ipotesi!H126</f>
        <v>2083.33333333333</v>
      </c>
      <c r="BR336" s="15" t="n">
        <f aca="false">INDEX(Ipotesi!$C$78:$G$78,1,F336)/12</f>
        <v>1666.66666666667</v>
      </c>
      <c r="BS336" s="15" t="n">
        <f aca="false">SUM(M336:R336)*(Ipotesi!$C$85+Ipotesi!$C$86)/12</f>
        <v>4812.5</v>
      </c>
      <c r="BT336" s="15" t="n">
        <f aca="false">BI336*Ipotesi!$C$87</f>
        <v>2299.01596288776</v>
      </c>
      <c r="BU336" s="15" t="n">
        <f aca="false">INDEX(Ipotesi!$C$55:$G$55,1,F336)*K336/12</f>
        <v>1500</v>
      </c>
      <c r="BV336" s="15" t="n">
        <f aca="false">INDEX(Ipotesi!$C$80:$G$80,1,F336)/12*Ipotesi!H126</f>
        <v>1250</v>
      </c>
      <c r="BW336" s="15" t="n">
        <f aca="false">INDEX(Ipotesi!$C$82:$G$82,1,F336)/12</f>
        <v>1000</v>
      </c>
      <c r="BX336" s="15" t="n">
        <f aca="false">INDEX(Ipotesi!$C$83:$G$83,1,F336)/12</f>
        <v>666.666666666667</v>
      </c>
      <c r="BY336" s="15" t="n">
        <f aca="false">SUM(S336:U336)*(Ipotesi!$C$85+Ipotesi!$C$86)/12</f>
        <v>1895.83333333333</v>
      </c>
      <c r="BZ336" s="15" t="n">
        <f aca="false">AM336*Ipotesi!$C$87</f>
        <v>1815</v>
      </c>
      <c r="CA336" s="15" t="n">
        <f aca="false">AB336+BJ336+BL336+BN336+BO336+AR336+BP336+BQ336+BR336+BS336+BT336</f>
        <v>117216.074493476</v>
      </c>
      <c r="CB336" s="15" t="n">
        <f aca="false">AC336+BK336+BM336+BH336+BU336+BV336+AS336+BW336+BX336+BY336+BZ336</f>
        <v>46259.8958333333</v>
      </c>
      <c r="CC336" s="15" t="n">
        <f aca="false">BI336-CA336</f>
        <v>-40582.2090638843</v>
      </c>
      <c r="CD336" s="15" t="n">
        <f aca="false">AM336-CB336</f>
        <v>14240.1041666667</v>
      </c>
      <c r="CE336" s="15" t="n">
        <f aca="false">INDEX(Ipotesi!$C$79:$G$79,1,F336)/12</f>
        <v>2500</v>
      </c>
      <c r="CF336" s="15" t="n">
        <f aca="false">INDEX(Ipotesi!$C$84:$G$84,1,F336)/12</f>
        <v>416.666666666667</v>
      </c>
      <c r="CG336" s="15" t="n">
        <f aca="false">Y336*MAX(0,Parametri_v3!$C$12-IF(P336=0,0,MIN(1,BE336/(P336*Parametri_v3!$C$22))))+W336*Parametri_v3!$C$13+X336*Parametri_v3!$C$14</f>
        <v>26385.8176211284</v>
      </c>
      <c r="CH336" s="15" t="n">
        <f aca="false">AB336*Parametri_v3!$C$32</f>
        <v>3713.68333333333</v>
      </c>
      <c r="CI336" s="15" t="n">
        <f aca="false">AC336*Parametri_v3!$C$32</f>
        <v>1270.86979166667</v>
      </c>
      <c r="CJ336" s="15" t="n">
        <f aca="false">CA336-AB336</f>
        <v>42942.4078268096</v>
      </c>
      <c r="CK336" s="15" t="n">
        <f aca="false">CB336-AC336-BH336</f>
        <v>14792.5</v>
      </c>
      <c r="CL336" s="15" t="n">
        <f aca="false">BF336*Ipotesi!$C$73+INDEX(Ipotesi!$C$72:$G$72,1,F336)/12*Ipotesi!H126*Parametri_v3!$C$58+Z336*(1-Parametri_v3!$C$16)</f>
        <v>8337.42590103402</v>
      </c>
      <c r="CM336" s="16" t="n">
        <f aca="false">IF(BF336=0,0,1-CL336/BF336)</f>
        <v>0.71167933763614</v>
      </c>
    </row>
    <row r="337" customFormat="false" ht="18" hidden="false" customHeight="true" outlineLevel="0" collapsed="false">
      <c r="A337" s="68" t="n">
        <f aca="false">6</f>
        <v>6</v>
      </c>
      <c r="B337" s="68" t="n">
        <f aca="false">33</f>
        <v>33</v>
      </c>
      <c r="C337" s="18" t="n">
        <f aca="false">EDATE(Parametri_v3!$C$5,33-1)</f>
        <v>47362</v>
      </c>
      <c r="D337" s="68" t="n">
        <f aca="false">YEAR(C337)</f>
        <v>2029</v>
      </c>
      <c r="E337" s="68" t="n">
        <f aca="false">MONTH(C337)</f>
        <v>9</v>
      </c>
      <c r="F337" s="68" t="n">
        <f aca="false">INT((33-1)/12)+1</f>
        <v>3</v>
      </c>
      <c r="G337" s="15" t="n">
        <f aca="false">Ipotesi!H7</f>
        <v>1</v>
      </c>
      <c r="H337" s="15" t="n">
        <f aca="false">Ipotesi!H9</f>
        <v>1</v>
      </c>
      <c r="I337" s="15" t="n">
        <f aca="false">Ipotesi!H10</f>
        <v>1</v>
      </c>
      <c r="J337" s="15" t="n">
        <f aca="false">Ipotesi!H11</f>
        <v>1</v>
      </c>
      <c r="K337" s="15" t="n">
        <f aca="false">Ipotesi!H12</f>
        <v>1</v>
      </c>
      <c r="L337" s="15" t="n">
        <f aca="false">Ipotesi!H13</f>
        <v>90</v>
      </c>
      <c r="M337" s="17" t="n">
        <f aca="false">INDEX(Ipotesi!$C$40:$G$40,1,F337)</f>
        <v>1</v>
      </c>
      <c r="N337" s="17" t="n">
        <f aca="false">INDEX(Ipotesi!$C$41:$G$41,1,F337)</f>
        <v>1</v>
      </c>
      <c r="O337" s="17" t="n">
        <f aca="false">INDEX(Ipotesi!$C$42:$G$42,1,F337)*Ipotesi!H125</f>
        <v>4.5</v>
      </c>
      <c r="P337" s="17" t="n">
        <f aca="false">INDEX(Ipotesi!$C$43:$G$43,1,F337)*I337</f>
        <v>5</v>
      </c>
      <c r="Q337" s="17" t="n">
        <f aca="false">INDEX(Ipotesi!$C$44:$G$44,1,F337)*I337</f>
        <v>4</v>
      </c>
      <c r="R337" s="17" t="n">
        <f aca="false">INDEX(Ipotesi!$C$45:$G$45,1,F337)*I337</f>
        <v>1</v>
      </c>
      <c r="S337" s="17" t="n">
        <f aca="false">INDEX(Ipotesi!$C$52:$G$52,1,F337)*Ipotesi!H125</f>
        <v>5</v>
      </c>
      <c r="T337" s="17" t="n">
        <f aca="false">INDEX(Ipotesi!$C$53:$G$53,1,F337)*I337</f>
        <v>1</v>
      </c>
      <c r="U337" s="17" t="n">
        <f aca="false">INDEX(Ipotesi!$C$54:$G$54,1,F337)*I337</f>
        <v>0.5</v>
      </c>
      <c r="V337" s="15" t="n">
        <f aca="false">M337*INDEX(Ipotesi!$C$58:$G$58,1,F337)*K337/12</f>
        <v>7083.33333333333</v>
      </c>
      <c r="W337" s="15" t="n">
        <f aca="false">N337*Ipotesi!$C$59*(1+Ipotesi!$C$66)^(F337-1)/12</f>
        <v>6188.58333333333</v>
      </c>
      <c r="X337" s="15" t="n">
        <f aca="false">O337*Ipotesi!$C$60*(1+Ipotesi!$C$66)^(F337-1)/12</f>
        <v>19891.875</v>
      </c>
      <c r="Y337" s="15" t="n">
        <f aca="false">P337*Ipotesi!$C$61*(1+Ipotesi!$C$66)^(F337-1)/12</f>
        <v>22102.0833333333</v>
      </c>
      <c r="Z337" s="15" t="n">
        <f aca="false">Q337*Ipotesi!$C$62*(1+Ipotesi!$C$66)^(F337-1)/12</f>
        <v>15913.5</v>
      </c>
      <c r="AA337" s="15" t="n">
        <f aca="false">R337*Ipotesi!$C$63*(1+Ipotesi!$C$66)^(F337-1)/12</f>
        <v>3094.29166666667</v>
      </c>
      <c r="AB337" s="15" t="n">
        <f aca="false">SUM(V337:AA337)</f>
        <v>74273.6666666667</v>
      </c>
      <c r="AC337" s="15" t="n">
        <f aca="false">(S337*Ipotesi!$C$64+T337*Ipotesi!$C$65+U337*Ipotesi!$C$63)*(1+Ipotesi!$C$66)^(F337-1)/12</f>
        <v>25417.3958333333</v>
      </c>
      <c r="AD337" s="15" t="n">
        <f aca="false">INDEX(Ipotesi!$C$48:$G$48,1,F337)*G337/12</f>
        <v>60</v>
      </c>
      <c r="AE337" s="15" t="n">
        <f aca="false">INDEX(Ipotesi!$C$50:$G$50,1,F337)*G337/12</f>
        <v>6.66666666666667</v>
      </c>
      <c r="AF337" s="15" t="n">
        <f aca="false">(S337*Parametri_v3!$C$7*Parametri_v3!$C$8+Parametri_v3!$C$10)/12</f>
        <v>64.1666666666667</v>
      </c>
      <c r="AG337" s="15" t="n">
        <f aca="false">AD337+AE337*(1+Parametri_v3!$C$9)</f>
        <v>70</v>
      </c>
      <c r="AH337" s="16" t="n">
        <f aca="false">IF(AG337=0,1,MIN(1,AF337/AG337))</f>
        <v>0.916666666666667</v>
      </c>
      <c r="AI337" s="15" t="n">
        <f aca="false">AD337*AH337</f>
        <v>55</v>
      </c>
      <c r="AJ337" s="15" t="n">
        <f aca="false">AE337*AH337</f>
        <v>6.11111111111111</v>
      </c>
      <c r="AK337" s="15" t="n">
        <f aca="false">AI337*INDEX(Ipotesi!$C$49:$G$49,1,F337)*H337</f>
        <v>46750</v>
      </c>
      <c r="AL337" s="15" t="n">
        <f aca="false">AJ337*INDEX(Ipotesi!$C$51:$G$51,1,F337)*H337</f>
        <v>13750</v>
      </c>
      <c r="AM337" s="15" t="n">
        <f aca="false">AK337+AL337</f>
        <v>60500</v>
      </c>
      <c r="AN337" s="15" t="n">
        <f aca="false">INDEX(Ipotesi!$C$30:$G$30,1,F337)*G337/12</f>
        <v>41.6666666666667</v>
      </c>
      <c r="AO337" s="15" t="n">
        <f aca="false">O337*Parametri_v3!$C$7*Parametri_v3!$C$11*(1-Parametri_v3!$C$14)/12</f>
        <v>46.2</v>
      </c>
      <c r="AP337" s="15" t="n">
        <f aca="false">MIN(AN337,AO337)</f>
        <v>41.6666666666667</v>
      </c>
      <c r="AQ337" s="15" t="n">
        <f aca="false">AP337*INDEX(Ipotesi!$C$31:$G$31,1,F337)*H337</f>
        <v>41666.6666666667</v>
      </c>
      <c r="AR337" s="15" t="n">
        <f aca="false">INDEX(Ipotesi!$C$75:$G$75,1,F337)*J337/12</f>
        <v>20000</v>
      </c>
      <c r="AS337" s="15" t="n">
        <f aca="false">INDEX(Ipotesi!$C$81:$G$81,1,F337)*J337/12</f>
        <v>1250</v>
      </c>
      <c r="AT337" s="15" t="n">
        <f aca="false">AR337*Parametri_v3!$C$15+Z337*Parametri_v3!$C$16</f>
        <v>31139.45</v>
      </c>
      <c r="AU337" s="15" t="n">
        <f aca="false">Q337*Parametri_v3!$C$16*Parametri_v3!$C$17</f>
        <v>280</v>
      </c>
      <c r="AV337" s="17" t="n">
        <f aca="false">BD336</f>
        <v>65.9427114621375</v>
      </c>
      <c r="AW337" s="17" t="n">
        <f aca="false">AV337*(1-(1-INDEX(Ipotesi!$C$34:$G$34,1,F337))^(1/12))</f>
        <v>0.576445528899826</v>
      </c>
      <c r="AX337" s="15" t="n">
        <f aca="false">ROUND(INDEX(Ipotesi!$C$32:$G$32,1,F337)*Ipotesi!H8,0)</f>
        <v>130</v>
      </c>
      <c r="AY337" s="15" t="n">
        <f aca="false">MAX(0,(AX337-(AV337-AW337))/(13-E337))</f>
        <v>16.1584335166906</v>
      </c>
      <c r="AZ337" s="15" t="n">
        <f aca="false">MIN(P337*Parametri_v3!$C$22,Q337*(1-Parametri_v3!$C$16)*Parametri_v3!$C$23)</f>
        <v>180</v>
      </c>
      <c r="BA337" s="15" t="n">
        <f aca="false">IF(OR(INDEX(Ipotesi!$C$35:$G$35,1,F337)&lt;=0,33-Parametri_v3!$C$21&lt;1),0,INDEX($AT$305:$AT$364,MAX(1,33-Parametri_v3!$C$21))/(INDEX(Ipotesi!$C$35:$G$35,1,F337)*Ipotesi!H27))</f>
        <v>6.22789</v>
      </c>
      <c r="BB337" s="15" t="n">
        <f aca="false">IF(33-Parametri_v3!$C$21&lt;1,0,INDEX($AU$305:$AU$364,MAX(1,33-Parametri_v3!$C$21)))*Parametri_v3!$C$18*Parametri_v3!$C$19*Parametri_v3!$C$20</f>
        <v>10.5</v>
      </c>
      <c r="BC337" s="17" t="n">
        <f aca="false">MAX(0,MIN(AY337,BA337,BB337,MAX(0,AZ337-(AV337-AW337))))</f>
        <v>6.22789</v>
      </c>
      <c r="BD337" s="17" t="n">
        <f aca="false">AV337-AW337+BC337</f>
        <v>71.5941559332377</v>
      </c>
      <c r="BE337" s="17" t="n">
        <f aca="false">(AV337+BD337)/2</f>
        <v>68.7684336976876</v>
      </c>
      <c r="BF337" s="15" t="n">
        <f aca="false">BE337*INDEX(Ipotesi!$C$33:$G$33,1,F337)*H337/12</f>
        <v>31518.8654447735</v>
      </c>
      <c r="BG337" s="15" t="n">
        <f aca="false">BD337*INDEX(Ipotesi!$C$33:$G$33,1,F337)*H337</f>
        <v>393767.857632807</v>
      </c>
      <c r="BH337" s="15" t="n">
        <f aca="false">AM337*INDEX(Ipotesi!$C$37:$G$37,1,F337)</f>
        <v>6050</v>
      </c>
      <c r="BI337" s="15" t="n">
        <f aca="false">AQ337+BF337+BH337</f>
        <v>79235.5321114401</v>
      </c>
      <c r="BJ337" s="15" t="n">
        <f aca="false">INDEX(Ipotesi!$C$68:$G$68,1,F337)*Ipotesi!$C$69/12</f>
        <v>2400</v>
      </c>
      <c r="BK337" s="15" t="n">
        <f aca="false">INDEX(Ipotesi!$C$68:$G$68,1,F337)*(1-Ipotesi!$C$69)/12</f>
        <v>3600</v>
      </c>
      <c r="BL337" s="15" t="n">
        <f aca="false">(AQ337+BF337)*Ipotesi!$C$67</f>
        <v>2195.5659633432</v>
      </c>
      <c r="BM337" s="15" t="n">
        <f aca="false">AM337*Ipotesi!$C$67</f>
        <v>1815</v>
      </c>
      <c r="BN337" s="15" t="n">
        <f aca="false">INDEX(Ipotesi!$C$72:$G$72,1,F337)/12*Ipotesi!H126+BF337*Ipotesi!$C$73</f>
        <v>3771.50923558188</v>
      </c>
      <c r="BO337" s="15" t="n">
        <f aca="false">INDEX(Ipotesi!$C$74:$G$74,1,F337)/12*Ipotesi!H126</f>
        <v>2916.66666666667</v>
      </c>
      <c r="BP337" s="15" t="n">
        <f aca="false">INDEX(Ipotesi!$C$76:$G$76,1,F337)/12</f>
        <v>1083.33333333333</v>
      </c>
      <c r="BQ337" s="15" t="n">
        <f aca="false">INDEX(Ipotesi!$C$77:$G$77,1,F337)/12*Ipotesi!H126</f>
        <v>2083.33333333333</v>
      </c>
      <c r="BR337" s="15" t="n">
        <f aca="false">INDEX(Ipotesi!$C$78:$G$78,1,F337)/12</f>
        <v>1666.66666666667</v>
      </c>
      <c r="BS337" s="15" t="n">
        <f aca="false">SUM(M337:R337)*(Ipotesi!$C$85+Ipotesi!$C$86)/12</f>
        <v>4812.5</v>
      </c>
      <c r="BT337" s="15" t="n">
        <f aca="false">BI337*Ipotesi!$C$87</f>
        <v>2377.0659633432</v>
      </c>
      <c r="BU337" s="15" t="n">
        <f aca="false">INDEX(Ipotesi!$C$55:$G$55,1,F337)*K337/12</f>
        <v>1500</v>
      </c>
      <c r="BV337" s="15" t="n">
        <f aca="false">INDEX(Ipotesi!$C$80:$G$80,1,F337)/12*Ipotesi!H126</f>
        <v>1250</v>
      </c>
      <c r="BW337" s="15" t="n">
        <f aca="false">INDEX(Ipotesi!$C$82:$G$82,1,F337)/12</f>
        <v>1000</v>
      </c>
      <c r="BX337" s="15" t="n">
        <f aca="false">INDEX(Ipotesi!$C$83:$G$83,1,F337)/12</f>
        <v>666.666666666667</v>
      </c>
      <c r="BY337" s="15" t="n">
        <f aca="false">SUM(S337:U337)*(Ipotesi!$C$85+Ipotesi!$C$86)/12</f>
        <v>1895.83333333333</v>
      </c>
      <c r="BZ337" s="15" t="n">
        <f aca="false">AM337*Ipotesi!$C$87</f>
        <v>1815</v>
      </c>
      <c r="CA337" s="15" t="n">
        <f aca="false">AB337+BJ337+BL337+BN337+BO337+AR337+BP337+BQ337+BR337+BS337+BT337</f>
        <v>117580.307828935</v>
      </c>
      <c r="CB337" s="15" t="n">
        <f aca="false">AC337+BK337+BM337+BH337+BU337+BV337+AS337+BW337+BX337+BY337+BZ337</f>
        <v>46259.8958333333</v>
      </c>
      <c r="CC337" s="15" t="n">
        <f aca="false">BI337-CA337</f>
        <v>-38344.7757174948</v>
      </c>
      <c r="CD337" s="15" t="n">
        <f aca="false">AM337-CB337</f>
        <v>14240.1041666667</v>
      </c>
      <c r="CE337" s="15" t="n">
        <f aca="false">INDEX(Ipotesi!$C$79:$G$79,1,F337)/12</f>
        <v>2500</v>
      </c>
      <c r="CF337" s="15" t="n">
        <f aca="false">INDEX(Ipotesi!$C$84:$G$84,1,F337)/12</f>
        <v>416.666666666667</v>
      </c>
      <c r="CG337" s="15" t="n">
        <f aca="false">Y337*MAX(0,Parametri_v3!$C$12-IF(P337=0,0,MIN(1,BE337/(P337*Parametri_v3!$C$22))))+W337*Parametri_v3!$C$13+X337*Parametri_v3!$C$14</f>
        <v>26134.8986954218</v>
      </c>
      <c r="CH337" s="15" t="n">
        <f aca="false">AB337*Parametri_v3!$C$32</f>
        <v>3713.68333333333</v>
      </c>
      <c r="CI337" s="15" t="n">
        <f aca="false">AC337*Parametri_v3!$C$32</f>
        <v>1270.86979166667</v>
      </c>
      <c r="CJ337" s="15" t="n">
        <f aca="false">CA337-AB337</f>
        <v>43306.6411622683</v>
      </c>
      <c r="CK337" s="15" t="n">
        <f aca="false">CB337-AC337-BH337</f>
        <v>14792.5</v>
      </c>
      <c r="CL337" s="15" t="n">
        <f aca="false">BF337*Ipotesi!$C$73+INDEX(Ipotesi!$C$72:$G$72,1,F337)/12*Ipotesi!H126*Parametri_v3!$C$58+Z337*(1-Parametri_v3!$C$16)</f>
        <v>8545.55923558188</v>
      </c>
      <c r="CM337" s="16" t="n">
        <f aca="false">IF(BF337=0,0,1-CL337/BF337)</f>
        <v>0.728874782927857</v>
      </c>
    </row>
    <row r="338" customFormat="false" ht="18" hidden="false" customHeight="true" outlineLevel="0" collapsed="false">
      <c r="A338" s="68" t="n">
        <f aca="false">6</f>
        <v>6</v>
      </c>
      <c r="B338" s="68" t="n">
        <f aca="false">34</f>
        <v>34</v>
      </c>
      <c r="C338" s="18" t="n">
        <f aca="false">EDATE(Parametri_v3!$C$5,34-1)</f>
        <v>47392</v>
      </c>
      <c r="D338" s="68" t="n">
        <f aca="false">YEAR(C338)</f>
        <v>2029</v>
      </c>
      <c r="E338" s="68" t="n">
        <f aca="false">MONTH(C338)</f>
        <v>10</v>
      </c>
      <c r="F338" s="68" t="n">
        <f aca="false">INT((34-1)/12)+1</f>
        <v>3</v>
      </c>
      <c r="G338" s="15" t="n">
        <f aca="false">Ipotesi!H7</f>
        <v>1</v>
      </c>
      <c r="H338" s="15" t="n">
        <f aca="false">Ipotesi!H9</f>
        <v>1</v>
      </c>
      <c r="I338" s="15" t="n">
        <f aca="false">Ipotesi!H10</f>
        <v>1</v>
      </c>
      <c r="J338" s="15" t="n">
        <f aca="false">Ipotesi!H11</f>
        <v>1</v>
      </c>
      <c r="K338" s="15" t="n">
        <f aca="false">Ipotesi!H12</f>
        <v>1</v>
      </c>
      <c r="L338" s="15" t="n">
        <f aca="false">Ipotesi!H13</f>
        <v>90</v>
      </c>
      <c r="M338" s="17" t="n">
        <f aca="false">INDEX(Ipotesi!$C$40:$G$40,1,F338)</f>
        <v>1</v>
      </c>
      <c r="N338" s="17" t="n">
        <f aca="false">INDEX(Ipotesi!$C$41:$G$41,1,F338)</f>
        <v>1</v>
      </c>
      <c r="O338" s="17" t="n">
        <f aca="false">INDEX(Ipotesi!$C$42:$G$42,1,F338)*Ipotesi!H125</f>
        <v>4.5</v>
      </c>
      <c r="P338" s="17" t="n">
        <f aca="false">INDEX(Ipotesi!$C$43:$G$43,1,F338)*I338</f>
        <v>5</v>
      </c>
      <c r="Q338" s="17" t="n">
        <f aca="false">INDEX(Ipotesi!$C$44:$G$44,1,F338)*I338</f>
        <v>4</v>
      </c>
      <c r="R338" s="17" t="n">
        <f aca="false">INDEX(Ipotesi!$C$45:$G$45,1,F338)*I338</f>
        <v>1</v>
      </c>
      <c r="S338" s="17" t="n">
        <f aca="false">INDEX(Ipotesi!$C$52:$G$52,1,F338)*Ipotesi!H125</f>
        <v>5</v>
      </c>
      <c r="T338" s="17" t="n">
        <f aca="false">INDEX(Ipotesi!$C$53:$G$53,1,F338)*I338</f>
        <v>1</v>
      </c>
      <c r="U338" s="17" t="n">
        <f aca="false">INDEX(Ipotesi!$C$54:$G$54,1,F338)*I338</f>
        <v>0.5</v>
      </c>
      <c r="V338" s="15" t="n">
        <f aca="false">M338*INDEX(Ipotesi!$C$58:$G$58,1,F338)*K338/12</f>
        <v>7083.33333333333</v>
      </c>
      <c r="W338" s="15" t="n">
        <f aca="false">N338*Ipotesi!$C$59*(1+Ipotesi!$C$66)^(F338-1)/12</f>
        <v>6188.58333333333</v>
      </c>
      <c r="X338" s="15" t="n">
        <f aca="false">O338*Ipotesi!$C$60*(1+Ipotesi!$C$66)^(F338-1)/12</f>
        <v>19891.875</v>
      </c>
      <c r="Y338" s="15" t="n">
        <f aca="false">P338*Ipotesi!$C$61*(1+Ipotesi!$C$66)^(F338-1)/12</f>
        <v>22102.0833333333</v>
      </c>
      <c r="Z338" s="15" t="n">
        <f aca="false">Q338*Ipotesi!$C$62*(1+Ipotesi!$C$66)^(F338-1)/12</f>
        <v>15913.5</v>
      </c>
      <c r="AA338" s="15" t="n">
        <f aca="false">R338*Ipotesi!$C$63*(1+Ipotesi!$C$66)^(F338-1)/12</f>
        <v>3094.29166666667</v>
      </c>
      <c r="AB338" s="15" t="n">
        <f aca="false">SUM(V338:AA338)</f>
        <v>74273.6666666667</v>
      </c>
      <c r="AC338" s="15" t="n">
        <f aca="false">(S338*Ipotesi!$C$64+T338*Ipotesi!$C$65+U338*Ipotesi!$C$63)*(1+Ipotesi!$C$66)^(F338-1)/12</f>
        <v>25417.3958333333</v>
      </c>
      <c r="AD338" s="15" t="n">
        <f aca="false">INDEX(Ipotesi!$C$48:$G$48,1,F338)*G338/12</f>
        <v>60</v>
      </c>
      <c r="AE338" s="15" t="n">
        <f aca="false">INDEX(Ipotesi!$C$50:$G$50,1,F338)*G338/12</f>
        <v>6.66666666666667</v>
      </c>
      <c r="AF338" s="15" t="n">
        <f aca="false">(S338*Parametri_v3!$C$7*Parametri_v3!$C$8+Parametri_v3!$C$10)/12</f>
        <v>64.1666666666667</v>
      </c>
      <c r="AG338" s="15" t="n">
        <f aca="false">AD338+AE338*(1+Parametri_v3!$C$9)</f>
        <v>70</v>
      </c>
      <c r="AH338" s="16" t="n">
        <f aca="false">IF(AG338=0,1,MIN(1,AF338/AG338))</f>
        <v>0.916666666666667</v>
      </c>
      <c r="AI338" s="15" t="n">
        <f aca="false">AD338*AH338</f>
        <v>55</v>
      </c>
      <c r="AJ338" s="15" t="n">
        <f aca="false">AE338*AH338</f>
        <v>6.11111111111111</v>
      </c>
      <c r="AK338" s="15" t="n">
        <f aca="false">AI338*INDEX(Ipotesi!$C$49:$G$49,1,F338)*H338</f>
        <v>46750</v>
      </c>
      <c r="AL338" s="15" t="n">
        <f aca="false">AJ338*INDEX(Ipotesi!$C$51:$G$51,1,F338)*H338</f>
        <v>13750</v>
      </c>
      <c r="AM338" s="15" t="n">
        <f aca="false">AK338+AL338</f>
        <v>60500</v>
      </c>
      <c r="AN338" s="15" t="n">
        <f aca="false">INDEX(Ipotesi!$C$30:$G$30,1,F338)*G338/12</f>
        <v>41.6666666666667</v>
      </c>
      <c r="AO338" s="15" t="n">
        <f aca="false">O338*Parametri_v3!$C$7*Parametri_v3!$C$11*(1-Parametri_v3!$C$14)/12</f>
        <v>46.2</v>
      </c>
      <c r="AP338" s="15" t="n">
        <f aca="false">MIN(AN338,AO338)</f>
        <v>41.6666666666667</v>
      </c>
      <c r="AQ338" s="15" t="n">
        <f aca="false">AP338*INDEX(Ipotesi!$C$31:$G$31,1,F338)*H338</f>
        <v>41666.6666666667</v>
      </c>
      <c r="AR338" s="15" t="n">
        <f aca="false">INDEX(Ipotesi!$C$75:$G$75,1,F338)*J338/12</f>
        <v>20000</v>
      </c>
      <c r="AS338" s="15" t="n">
        <f aca="false">INDEX(Ipotesi!$C$81:$G$81,1,F338)*J338/12</f>
        <v>1250</v>
      </c>
      <c r="AT338" s="15" t="n">
        <f aca="false">AR338*Parametri_v3!$C$15+Z338*Parametri_v3!$C$16</f>
        <v>31139.45</v>
      </c>
      <c r="AU338" s="15" t="n">
        <f aca="false">Q338*Parametri_v3!$C$16*Parametri_v3!$C$17</f>
        <v>280</v>
      </c>
      <c r="AV338" s="17" t="n">
        <f aca="false">BD337</f>
        <v>71.5941559332377</v>
      </c>
      <c r="AW338" s="17" t="n">
        <f aca="false">AV338*(1-(1-INDEX(Ipotesi!$C$34:$G$34,1,F338))^(1/12))</f>
        <v>0.625848257798256</v>
      </c>
      <c r="AX338" s="15" t="n">
        <f aca="false">ROUND(INDEX(Ipotesi!$C$32:$G$32,1,F338)*Ipotesi!H8,0)</f>
        <v>130</v>
      </c>
      <c r="AY338" s="15" t="n">
        <f aca="false">MAX(0,(AX338-(AV338-AW338))/(13-E338))</f>
        <v>19.6772307748535</v>
      </c>
      <c r="AZ338" s="15" t="n">
        <f aca="false">MIN(P338*Parametri_v3!$C$22,Q338*(1-Parametri_v3!$C$16)*Parametri_v3!$C$23)</f>
        <v>180</v>
      </c>
      <c r="BA338" s="15" t="n">
        <f aca="false">IF(OR(INDEX(Ipotesi!$C$35:$G$35,1,F338)&lt;=0,34-Parametri_v3!$C$21&lt;1),0,INDEX($AT$305:$AT$364,MAX(1,34-Parametri_v3!$C$21))/(INDEX(Ipotesi!$C$35:$G$35,1,F338)*Ipotesi!H27))</f>
        <v>6.22789</v>
      </c>
      <c r="BB338" s="15" t="n">
        <f aca="false">IF(34-Parametri_v3!$C$21&lt;1,0,INDEX($AU$305:$AU$364,MAX(1,34-Parametri_v3!$C$21)))*Parametri_v3!$C$18*Parametri_v3!$C$19*Parametri_v3!$C$20</f>
        <v>10.5</v>
      </c>
      <c r="BC338" s="17" t="n">
        <f aca="false">MAX(0,MIN(AY338,BA338,BB338,MAX(0,AZ338-(AV338-AW338))))</f>
        <v>6.22789</v>
      </c>
      <c r="BD338" s="17" t="n">
        <f aca="false">AV338-AW338+BC338</f>
        <v>77.1961976754394</v>
      </c>
      <c r="BE338" s="17" t="n">
        <f aca="false">(AV338+BD338)/2</f>
        <v>74.3951768043386</v>
      </c>
      <c r="BF338" s="15" t="n">
        <f aca="false">BE338*INDEX(Ipotesi!$C$33:$G$33,1,F338)*H338/12</f>
        <v>34097.7893686552</v>
      </c>
      <c r="BG338" s="15" t="n">
        <f aca="false">BD338*INDEX(Ipotesi!$C$33:$G$33,1,F338)*H338</f>
        <v>424579.087214917</v>
      </c>
      <c r="BH338" s="15" t="n">
        <f aca="false">AM338*INDEX(Ipotesi!$C$37:$G$37,1,F338)</f>
        <v>6050</v>
      </c>
      <c r="BI338" s="15" t="n">
        <f aca="false">AQ338+BF338+BH338</f>
        <v>81814.4560353218</v>
      </c>
      <c r="BJ338" s="15" t="n">
        <f aca="false">INDEX(Ipotesi!$C$68:$G$68,1,F338)*Ipotesi!$C$69/12</f>
        <v>2400</v>
      </c>
      <c r="BK338" s="15" t="n">
        <f aca="false">INDEX(Ipotesi!$C$68:$G$68,1,F338)*(1-Ipotesi!$C$69)/12</f>
        <v>3600</v>
      </c>
      <c r="BL338" s="15" t="n">
        <f aca="false">(AQ338+BF338)*Ipotesi!$C$67</f>
        <v>2272.93368105966</v>
      </c>
      <c r="BM338" s="15" t="n">
        <f aca="false">AM338*Ipotesi!$C$67</f>
        <v>1815</v>
      </c>
      <c r="BN338" s="15" t="n">
        <f aca="false">INDEX(Ipotesi!$C$72:$G$72,1,F338)/12*Ipotesi!H126+BF338*Ipotesi!$C$73</f>
        <v>3977.82314949241</v>
      </c>
      <c r="BO338" s="15" t="n">
        <f aca="false">INDEX(Ipotesi!$C$74:$G$74,1,F338)/12*Ipotesi!H126</f>
        <v>2916.66666666667</v>
      </c>
      <c r="BP338" s="15" t="n">
        <f aca="false">INDEX(Ipotesi!$C$76:$G$76,1,F338)/12</f>
        <v>1083.33333333333</v>
      </c>
      <c r="BQ338" s="15" t="n">
        <f aca="false">INDEX(Ipotesi!$C$77:$G$77,1,F338)/12*Ipotesi!H126</f>
        <v>2083.33333333333</v>
      </c>
      <c r="BR338" s="15" t="n">
        <f aca="false">INDEX(Ipotesi!$C$78:$G$78,1,F338)/12</f>
        <v>1666.66666666667</v>
      </c>
      <c r="BS338" s="15" t="n">
        <f aca="false">SUM(M338:R338)*(Ipotesi!$C$85+Ipotesi!$C$86)/12</f>
        <v>4812.5</v>
      </c>
      <c r="BT338" s="15" t="n">
        <f aca="false">BI338*Ipotesi!$C$87</f>
        <v>2454.43368105966</v>
      </c>
      <c r="BU338" s="15" t="n">
        <f aca="false">INDEX(Ipotesi!$C$55:$G$55,1,F338)*K338/12</f>
        <v>1500</v>
      </c>
      <c r="BV338" s="15" t="n">
        <f aca="false">INDEX(Ipotesi!$C$80:$G$80,1,F338)/12*Ipotesi!H126</f>
        <v>1250</v>
      </c>
      <c r="BW338" s="15" t="n">
        <f aca="false">INDEX(Ipotesi!$C$82:$G$82,1,F338)/12</f>
        <v>1000</v>
      </c>
      <c r="BX338" s="15" t="n">
        <f aca="false">INDEX(Ipotesi!$C$83:$G$83,1,F338)/12</f>
        <v>666.666666666667</v>
      </c>
      <c r="BY338" s="15" t="n">
        <f aca="false">SUM(S338:U338)*(Ipotesi!$C$85+Ipotesi!$C$86)/12</f>
        <v>1895.83333333333</v>
      </c>
      <c r="BZ338" s="15" t="n">
        <f aca="false">AM338*Ipotesi!$C$87</f>
        <v>1815</v>
      </c>
      <c r="CA338" s="15" t="n">
        <f aca="false">AB338+BJ338+BL338+BN338+BO338+AR338+BP338+BQ338+BR338+BS338+BT338</f>
        <v>117941.357178278</v>
      </c>
      <c r="CB338" s="15" t="n">
        <f aca="false">AC338+BK338+BM338+BH338+BU338+BV338+AS338+BW338+BX338+BY338+BZ338</f>
        <v>46259.8958333333</v>
      </c>
      <c r="CC338" s="15" t="n">
        <f aca="false">BI338-CA338</f>
        <v>-36126.9011429566</v>
      </c>
      <c r="CD338" s="15" t="n">
        <f aca="false">AM338-CB338</f>
        <v>14240.1041666667</v>
      </c>
      <c r="CE338" s="15" t="n">
        <f aca="false">INDEX(Ipotesi!$C$79:$G$79,1,F338)/12</f>
        <v>2500</v>
      </c>
      <c r="CF338" s="15" t="n">
        <f aca="false">INDEX(Ipotesi!$C$84:$G$84,1,F338)/12</f>
        <v>416.666666666667</v>
      </c>
      <c r="CG338" s="15" t="n">
        <f aca="false">Y338*MAX(0,Parametri_v3!$C$12-IF(P338=0,0,MIN(1,BE338/(P338*Parametri_v3!$C$22))))+W338*Parametri_v3!$C$13+X338*Parametri_v3!$C$14</f>
        <v>25886.1732053449</v>
      </c>
      <c r="CH338" s="15" t="n">
        <f aca="false">AB338*Parametri_v3!$C$32</f>
        <v>3713.68333333333</v>
      </c>
      <c r="CI338" s="15" t="n">
        <f aca="false">AC338*Parametri_v3!$C$32</f>
        <v>1270.86979166667</v>
      </c>
      <c r="CJ338" s="15" t="n">
        <f aca="false">CA338-AB338</f>
        <v>43667.6905116117</v>
      </c>
      <c r="CK338" s="15" t="n">
        <f aca="false">CB338-AC338-BH338</f>
        <v>14792.5</v>
      </c>
      <c r="CL338" s="15" t="n">
        <f aca="false">BF338*Ipotesi!$C$73+INDEX(Ipotesi!$C$72:$G$72,1,F338)/12*Ipotesi!H126*Parametri_v3!$C$58+Z338*(1-Parametri_v3!$C$16)</f>
        <v>8751.87314949242</v>
      </c>
      <c r="CM338" s="16" t="n">
        <f aca="false">IF(BF338=0,0,1-CL338/BF338)</f>
        <v>0.743330189096139</v>
      </c>
    </row>
    <row r="339" customFormat="false" ht="18" hidden="false" customHeight="true" outlineLevel="0" collapsed="false">
      <c r="A339" s="68" t="n">
        <f aca="false">6</f>
        <v>6</v>
      </c>
      <c r="B339" s="68" t="n">
        <f aca="false">35</f>
        <v>35</v>
      </c>
      <c r="C339" s="18" t="n">
        <f aca="false">EDATE(Parametri_v3!$C$5,35-1)</f>
        <v>47423</v>
      </c>
      <c r="D339" s="68" t="n">
        <f aca="false">YEAR(C339)</f>
        <v>2029</v>
      </c>
      <c r="E339" s="68" t="n">
        <f aca="false">MONTH(C339)</f>
        <v>11</v>
      </c>
      <c r="F339" s="68" t="n">
        <f aca="false">INT((35-1)/12)+1</f>
        <v>3</v>
      </c>
      <c r="G339" s="15" t="n">
        <f aca="false">Ipotesi!H7</f>
        <v>1</v>
      </c>
      <c r="H339" s="15" t="n">
        <f aca="false">Ipotesi!H9</f>
        <v>1</v>
      </c>
      <c r="I339" s="15" t="n">
        <f aca="false">Ipotesi!H10</f>
        <v>1</v>
      </c>
      <c r="J339" s="15" t="n">
        <f aca="false">Ipotesi!H11</f>
        <v>1</v>
      </c>
      <c r="K339" s="15" t="n">
        <f aca="false">Ipotesi!H12</f>
        <v>1</v>
      </c>
      <c r="L339" s="15" t="n">
        <f aca="false">Ipotesi!H13</f>
        <v>90</v>
      </c>
      <c r="M339" s="17" t="n">
        <f aca="false">INDEX(Ipotesi!$C$40:$G$40,1,F339)</f>
        <v>1</v>
      </c>
      <c r="N339" s="17" t="n">
        <f aca="false">INDEX(Ipotesi!$C$41:$G$41,1,F339)</f>
        <v>1</v>
      </c>
      <c r="O339" s="17" t="n">
        <f aca="false">INDEX(Ipotesi!$C$42:$G$42,1,F339)*Ipotesi!H125</f>
        <v>4.5</v>
      </c>
      <c r="P339" s="17" t="n">
        <f aca="false">INDEX(Ipotesi!$C$43:$G$43,1,F339)*I339</f>
        <v>5</v>
      </c>
      <c r="Q339" s="17" t="n">
        <f aca="false">INDEX(Ipotesi!$C$44:$G$44,1,F339)*I339</f>
        <v>4</v>
      </c>
      <c r="R339" s="17" t="n">
        <f aca="false">INDEX(Ipotesi!$C$45:$G$45,1,F339)*I339</f>
        <v>1</v>
      </c>
      <c r="S339" s="17" t="n">
        <f aca="false">INDEX(Ipotesi!$C$52:$G$52,1,F339)*Ipotesi!H125</f>
        <v>5</v>
      </c>
      <c r="T339" s="17" t="n">
        <f aca="false">INDEX(Ipotesi!$C$53:$G$53,1,F339)*I339</f>
        <v>1</v>
      </c>
      <c r="U339" s="17" t="n">
        <f aca="false">INDEX(Ipotesi!$C$54:$G$54,1,F339)*I339</f>
        <v>0.5</v>
      </c>
      <c r="V339" s="15" t="n">
        <f aca="false">M339*INDEX(Ipotesi!$C$58:$G$58,1,F339)*K339/12</f>
        <v>7083.33333333333</v>
      </c>
      <c r="W339" s="15" t="n">
        <f aca="false">N339*Ipotesi!$C$59*(1+Ipotesi!$C$66)^(F339-1)/12</f>
        <v>6188.58333333333</v>
      </c>
      <c r="X339" s="15" t="n">
        <f aca="false">O339*Ipotesi!$C$60*(1+Ipotesi!$C$66)^(F339-1)/12</f>
        <v>19891.875</v>
      </c>
      <c r="Y339" s="15" t="n">
        <f aca="false">P339*Ipotesi!$C$61*(1+Ipotesi!$C$66)^(F339-1)/12</f>
        <v>22102.0833333333</v>
      </c>
      <c r="Z339" s="15" t="n">
        <f aca="false">Q339*Ipotesi!$C$62*(1+Ipotesi!$C$66)^(F339-1)/12</f>
        <v>15913.5</v>
      </c>
      <c r="AA339" s="15" t="n">
        <f aca="false">R339*Ipotesi!$C$63*(1+Ipotesi!$C$66)^(F339-1)/12</f>
        <v>3094.29166666667</v>
      </c>
      <c r="AB339" s="15" t="n">
        <f aca="false">SUM(V339:AA339)</f>
        <v>74273.6666666667</v>
      </c>
      <c r="AC339" s="15" t="n">
        <f aca="false">(S339*Ipotesi!$C$64+T339*Ipotesi!$C$65+U339*Ipotesi!$C$63)*(1+Ipotesi!$C$66)^(F339-1)/12</f>
        <v>25417.3958333333</v>
      </c>
      <c r="AD339" s="15" t="n">
        <f aca="false">INDEX(Ipotesi!$C$48:$G$48,1,F339)*G339/12</f>
        <v>60</v>
      </c>
      <c r="AE339" s="15" t="n">
        <f aca="false">INDEX(Ipotesi!$C$50:$G$50,1,F339)*G339/12</f>
        <v>6.66666666666667</v>
      </c>
      <c r="AF339" s="15" t="n">
        <f aca="false">(S339*Parametri_v3!$C$7*Parametri_v3!$C$8+Parametri_v3!$C$10)/12</f>
        <v>64.1666666666667</v>
      </c>
      <c r="AG339" s="15" t="n">
        <f aca="false">AD339+AE339*(1+Parametri_v3!$C$9)</f>
        <v>70</v>
      </c>
      <c r="AH339" s="16" t="n">
        <f aca="false">IF(AG339=0,1,MIN(1,AF339/AG339))</f>
        <v>0.916666666666667</v>
      </c>
      <c r="AI339" s="15" t="n">
        <f aca="false">AD339*AH339</f>
        <v>55</v>
      </c>
      <c r="AJ339" s="15" t="n">
        <f aca="false">AE339*AH339</f>
        <v>6.11111111111111</v>
      </c>
      <c r="AK339" s="15" t="n">
        <f aca="false">AI339*INDEX(Ipotesi!$C$49:$G$49,1,F339)*H339</f>
        <v>46750</v>
      </c>
      <c r="AL339" s="15" t="n">
        <f aca="false">AJ339*INDEX(Ipotesi!$C$51:$G$51,1,F339)*H339</f>
        <v>13750</v>
      </c>
      <c r="AM339" s="15" t="n">
        <f aca="false">AK339+AL339</f>
        <v>60500</v>
      </c>
      <c r="AN339" s="15" t="n">
        <f aca="false">INDEX(Ipotesi!$C$30:$G$30,1,F339)*G339/12</f>
        <v>41.6666666666667</v>
      </c>
      <c r="AO339" s="15" t="n">
        <f aca="false">O339*Parametri_v3!$C$7*Parametri_v3!$C$11*(1-Parametri_v3!$C$14)/12</f>
        <v>46.2</v>
      </c>
      <c r="AP339" s="15" t="n">
        <f aca="false">MIN(AN339,AO339)</f>
        <v>41.6666666666667</v>
      </c>
      <c r="AQ339" s="15" t="n">
        <f aca="false">AP339*INDEX(Ipotesi!$C$31:$G$31,1,F339)*H339</f>
        <v>41666.6666666667</v>
      </c>
      <c r="AR339" s="15" t="n">
        <f aca="false">INDEX(Ipotesi!$C$75:$G$75,1,F339)*J339/12</f>
        <v>20000</v>
      </c>
      <c r="AS339" s="15" t="n">
        <f aca="false">INDEX(Ipotesi!$C$81:$G$81,1,F339)*J339/12</f>
        <v>1250</v>
      </c>
      <c r="AT339" s="15" t="n">
        <f aca="false">AR339*Parametri_v3!$C$15+Z339*Parametri_v3!$C$16</f>
        <v>31139.45</v>
      </c>
      <c r="AU339" s="15" t="n">
        <f aca="false">Q339*Parametri_v3!$C$16*Parametri_v3!$C$17</f>
        <v>280</v>
      </c>
      <c r="AV339" s="17" t="n">
        <f aca="false">BD338</f>
        <v>77.1961976754394</v>
      </c>
      <c r="AW339" s="17" t="n">
        <f aca="false">AV339*(1-(1-INDEX(Ipotesi!$C$34:$G$34,1,F339))^(1/12))</f>
        <v>0.674819127260555</v>
      </c>
      <c r="AX339" s="15" t="n">
        <f aca="false">ROUND(INDEX(Ipotesi!$C$32:$G$32,1,F339)*Ipotesi!H8,0)</f>
        <v>130</v>
      </c>
      <c r="AY339" s="15" t="n">
        <f aca="false">MAX(0,(AX339-(AV339-AW339))/(13-E339))</f>
        <v>26.7393107259106</v>
      </c>
      <c r="AZ339" s="15" t="n">
        <f aca="false">MIN(P339*Parametri_v3!$C$22,Q339*(1-Parametri_v3!$C$16)*Parametri_v3!$C$23)</f>
        <v>180</v>
      </c>
      <c r="BA339" s="15" t="n">
        <f aca="false">IF(OR(INDEX(Ipotesi!$C$35:$G$35,1,F339)&lt;=0,35-Parametri_v3!$C$21&lt;1),0,INDEX($AT$305:$AT$364,MAX(1,35-Parametri_v3!$C$21))/(INDEX(Ipotesi!$C$35:$G$35,1,F339)*Ipotesi!H27))</f>
        <v>6.22789</v>
      </c>
      <c r="BB339" s="15" t="n">
        <f aca="false">IF(35-Parametri_v3!$C$21&lt;1,0,INDEX($AU$305:$AU$364,MAX(1,35-Parametri_v3!$C$21)))*Parametri_v3!$C$18*Parametri_v3!$C$19*Parametri_v3!$C$20</f>
        <v>10.5</v>
      </c>
      <c r="BC339" s="17" t="n">
        <f aca="false">MAX(0,MIN(AY339,BA339,BB339,MAX(0,AZ339-(AV339-AW339))))</f>
        <v>6.22789</v>
      </c>
      <c r="BD339" s="17" t="n">
        <f aca="false">AV339-AW339+BC339</f>
        <v>82.7492685481789</v>
      </c>
      <c r="BE339" s="17" t="n">
        <f aca="false">(AV339+BD339)/2</f>
        <v>79.9727331118092</v>
      </c>
      <c r="BF339" s="15" t="n">
        <f aca="false">BE339*INDEX(Ipotesi!$C$33:$G$33,1,F339)*H339/12</f>
        <v>36654.1693429125</v>
      </c>
      <c r="BG339" s="15" t="n">
        <f aca="false">BD339*INDEX(Ipotesi!$C$33:$G$33,1,F339)*H339</f>
        <v>455120.977014984</v>
      </c>
      <c r="BH339" s="15" t="n">
        <f aca="false">AM339*INDEX(Ipotesi!$C$37:$G$37,1,F339)</f>
        <v>6050</v>
      </c>
      <c r="BI339" s="15" t="n">
        <f aca="false">AQ339+BF339+BH339</f>
        <v>84370.8360095792</v>
      </c>
      <c r="BJ339" s="15" t="n">
        <f aca="false">INDEX(Ipotesi!$C$68:$G$68,1,F339)*Ipotesi!$C$69/12</f>
        <v>2400</v>
      </c>
      <c r="BK339" s="15" t="n">
        <f aca="false">INDEX(Ipotesi!$C$68:$G$68,1,F339)*(1-Ipotesi!$C$69)/12</f>
        <v>3600</v>
      </c>
      <c r="BL339" s="15" t="n">
        <f aca="false">(AQ339+BF339)*Ipotesi!$C$67</f>
        <v>2349.62508028738</v>
      </c>
      <c r="BM339" s="15" t="n">
        <f aca="false">AM339*Ipotesi!$C$67</f>
        <v>1815</v>
      </c>
      <c r="BN339" s="15" t="n">
        <f aca="false">INDEX(Ipotesi!$C$72:$G$72,1,F339)/12*Ipotesi!H126+BF339*Ipotesi!$C$73</f>
        <v>4182.333547433</v>
      </c>
      <c r="BO339" s="15" t="n">
        <f aca="false">INDEX(Ipotesi!$C$74:$G$74,1,F339)/12*Ipotesi!H126</f>
        <v>2916.66666666667</v>
      </c>
      <c r="BP339" s="15" t="n">
        <f aca="false">INDEX(Ipotesi!$C$76:$G$76,1,F339)/12</f>
        <v>1083.33333333333</v>
      </c>
      <c r="BQ339" s="15" t="n">
        <f aca="false">INDEX(Ipotesi!$C$77:$G$77,1,F339)/12*Ipotesi!H126</f>
        <v>2083.33333333333</v>
      </c>
      <c r="BR339" s="15" t="n">
        <f aca="false">INDEX(Ipotesi!$C$78:$G$78,1,F339)/12</f>
        <v>1666.66666666667</v>
      </c>
      <c r="BS339" s="15" t="n">
        <f aca="false">SUM(M339:R339)*(Ipotesi!$C$85+Ipotesi!$C$86)/12</f>
        <v>4812.5</v>
      </c>
      <c r="BT339" s="15" t="n">
        <f aca="false">BI339*Ipotesi!$C$87</f>
        <v>2531.12508028738</v>
      </c>
      <c r="BU339" s="15" t="n">
        <f aca="false">INDEX(Ipotesi!$C$55:$G$55,1,F339)*K339/12</f>
        <v>1500</v>
      </c>
      <c r="BV339" s="15" t="n">
        <f aca="false">INDEX(Ipotesi!$C$80:$G$80,1,F339)/12*Ipotesi!H126</f>
        <v>1250</v>
      </c>
      <c r="BW339" s="15" t="n">
        <f aca="false">INDEX(Ipotesi!$C$82:$G$82,1,F339)/12</f>
        <v>1000</v>
      </c>
      <c r="BX339" s="15" t="n">
        <f aca="false">INDEX(Ipotesi!$C$83:$G$83,1,F339)/12</f>
        <v>666.666666666667</v>
      </c>
      <c r="BY339" s="15" t="n">
        <f aca="false">SUM(S339:U339)*(Ipotesi!$C$85+Ipotesi!$C$86)/12</f>
        <v>1895.83333333333</v>
      </c>
      <c r="BZ339" s="15" t="n">
        <f aca="false">AM339*Ipotesi!$C$87</f>
        <v>1815</v>
      </c>
      <c r="CA339" s="15" t="n">
        <f aca="false">AB339+BJ339+BL339+BN339+BO339+AR339+BP339+BQ339+BR339+BS339+BT339</f>
        <v>118299.250374674</v>
      </c>
      <c r="CB339" s="15" t="n">
        <f aca="false">AC339+BK339+BM339+BH339+BU339+BV339+AS339+BW339+BX339+BY339+BZ339</f>
        <v>46259.8958333333</v>
      </c>
      <c r="CC339" s="15" t="n">
        <f aca="false">BI339-CA339</f>
        <v>-33928.4143650952</v>
      </c>
      <c r="CD339" s="15" t="n">
        <f aca="false">AM339-CB339</f>
        <v>14240.1041666667</v>
      </c>
      <c r="CE339" s="15" t="n">
        <f aca="false">INDEX(Ipotesi!$C$79:$G$79,1,F339)/12</f>
        <v>2500</v>
      </c>
      <c r="CF339" s="15" t="n">
        <f aca="false">INDEX(Ipotesi!$C$84:$G$84,1,F339)/12</f>
        <v>416.666666666667</v>
      </c>
      <c r="CG339" s="15" t="n">
        <f aca="false">Y339*MAX(0,Parametri_v3!$C$12-IF(P339=0,0,MIN(1,BE339/(P339*Parametri_v3!$C$22))))+W339*Parametri_v3!$C$13+X339*Parametri_v3!$C$14</f>
        <v>25639.6219767367</v>
      </c>
      <c r="CH339" s="15" t="n">
        <f aca="false">AB339*Parametri_v3!$C$32</f>
        <v>3713.68333333333</v>
      </c>
      <c r="CI339" s="15" t="n">
        <f aca="false">AC339*Parametri_v3!$C$32</f>
        <v>1270.86979166667</v>
      </c>
      <c r="CJ339" s="15" t="n">
        <f aca="false">CA339-AB339</f>
        <v>44025.5837080078</v>
      </c>
      <c r="CK339" s="15" t="n">
        <f aca="false">CB339-AC339-BH339</f>
        <v>14792.5</v>
      </c>
      <c r="CL339" s="15" t="n">
        <f aca="false">BF339*Ipotesi!$C$73+INDEX(Ipotesi!$C$72:$G$72,1,F339)/12*Ipotesi!H126*Parametri_v3!$C$58+Z339*(1-Parametri_v3!$C$16)</f>
        <v>8956.383547433</v>
      </c>
      <c r="CM339" s="16" t="n">
        <f aca="false">IF(BF339=0,0,1-CL339/BF339)</f>
        <v>0.755651711442622</v>
      </c>
    </row>
    <row r="340" customFormat="false" ht="18" hidden="false" customHeight="true" outlineLevel="0" collapsed="false">
      <c r="A340" s="68" t="n">
        <f aca="false">6</f>
        <v>6</v>
      </c>
      <c r="B340" s="68" t="n">
        <f aca="false">36</f>
        <v>36</v>
      </c>
      <c r="C340" s="18" t="n">
        <f aca="false">EDATE(Parametri_v3!$C$5,36-1)</f>
        <v>47453</v>
      </c>
      <c r="D340" s="68" t="n">
        <f aca="false">YEAR(C340)</f>
        <v>2029</v>
      </c>
      <c r="E340" s="68" t="n">
        <f aca="false">MONTH(C340)</f>
        <v>12</v>
      </c>
      <c r="F340" s="68" t="n">
        <f aca="false">INT((36-1)/12)+1</f>
        <v>3</v>
      </c>
      <c r="G340" s="15" t="n">
        <f aca="false">Ipotesi!H7</f>
        <v>1</v>
      </c>
      <c r="H340" s="15" t="n">
        <f aca="false">Ipotesi!H9</f>
        <v>1</v>
      </c>
      <c r="I340" s="15" t="n">
        <f aca="false">Ipotesi!H10</f>
        <v>1</v>
      </c>
      <c r="J340" s="15" t="n">
        <f aca="false">Ipotesi!H11</f>
        <v>1</v>
      </c>
      <c r="K340" s="15" t="n">
        <f aca="false">Ipotesi!H12</f>
        <v>1</v>
      </c>
      <c r="L340" s="15" t="n">
        <f aca="false">Ipotesi!H13</f>
        <v>90</v>
      </c>
      <c r="M340" s="17" t="n">
        <f aca="false">INDEX(Ipotesi!$C$40:$G$40,1,F340)</f>
        <v>1</v>
      </c>
      <c r="N340" s="17" t="n">
        <f aca="false">INDEX(Ipotesi!$C$41:$G$41,1,F340)</f>
        <v>1</v>
      </c>
      <c r="O340" s="17" t="n">
        <f aca="false">INDEX(Ipotesi!$C$42:$G$42,1,F340)*Ipotesi!H125</f>
        <v>4.5</v>
      </c>
      <c r="P340" s="17" t="n">
        <f aca="false">INDEX(Ipotesi!$C$43:$G$43,1,F340)*I340</f>
        <v>5</v>
      </c>
      <c r="Q340" s="17" t="n">
        <f aca="false">INDEX(Ipotesi!$C$44:$G$44,1,F340)*I340</f>
        <v>4</v>
      </c>
      <c r="R340" s="17" t="n">
        <f aca="false">INDEX(Ipotesi!$C$45:$G$45,1,F340)*I340</f>
        <v>1</v>
      </c>
      <c r="S340" s="17" t="n">
        <f aca="false">INDEX(Ipotesi!$C$52:$G$52,1,F340)*Ipotesi!H125</f>
        <v>5</v>
      </c>
      <c r="T340" s="17" t="n">
        <f aca="false">INDEX(Ipotesi!$C$53:$G$53,1,F340)*I340</f>
        <v>1</v>
      </c>
      <c r="U340" s="17" t="n">
        <f aca="false">INDEX(Ipotesi!$C$54:$G$54,1,F340)*I340</f>
        <v>0.5</v>
      </c>
      <c r="V340" s="15" t="n">
        <f aca="false">M340*INDEX(Ipotesi!$C$58:$G$58,1,F340)*K340/12</f>
        <v>7083.33333333333</v>
      </c>
      <c r="W340" s="15" t="n">
        <f aca="false">N340*Ipotesi!$C$59*(1+Ipotesi!$C$66)^(F340-1)/12</f>
        <v>6188.58333333333</v>
      </c>
      <c r="X340" s="15" t="n">
        <f aca="false">O340*Ipotesi!$C$60*(1+Ipotesi!$C$66)^(F340-1)/12</f>
        <v>19891.875</v>
      </c>
      <c r="Y340" s="15" t="n">
        <f aca="false">P340*Ipotesi!$C$61*(1+Ipotesi!$C$66)^(F340-1)/12</f>
        <v>22102.0833333333</v>
      </c>
      <c r="Z340" s="15" t="n">
        <f aca="false">Q340*Ipotesi!$C$62*(1+Ipotesi!$C$66)^(F340-1)/12</f>
        <v>15913.5</v>
      </c>
      <c r="AA340" s="15" t="n">
        <f aca="false">R340*Ipotesi!$C$63*(1+Ipotesi!$C$66)^(F340-1)/12</f>
        <v>3094.29166666667</v>
      </c>
      <c r="AB340" s="15" t="n">
        <f aca="false">SUM(V340:AA340)</f>
        <v>74273.6666666667</v>
      </c>
      <c r="AC340" s="15" t="n">
        <f aca="false">(S340*Ipotesi!$C$64+T340*Ipotesi!$C$65+U340*Ipotesi!$C$63)*(1+Ipotesi!$C$66)^(F340-1)/12</f>
        <v>25417.3958333333</v>
      </c>
      <c r="AD340" s="15" t="n">
        <f aca="false">INDEX(Ipotesi!$C$48:$G$48,1,F340)*G340/12</f>
        <v>60</v>
      </c>
      <c r="AE340" s="15" t="n">
        <f aca="false">INDEX(Ipotesi!$C$50:$G$50,1,F340)*G340/12</f>
        <v>6.66666666666667</v>
      </c>
      <c r="AF340" s="15" t="n">
        <f aca="false">(S340*Parametri_v3!$C$7*Parametri_v3!$C$8+Parametri_v3!$C$10)/12</f>
        <v>64.1666666666667</v>
      </c>
      <c r="AG340" s="15" t="n">
        <f aca="false">AD340+AE340*(1+Parametri_v3!$C$9)</f>
        <v>70</v>
      </c>
      <c r="AH340" s="16" t="n">
        <f aca="false">IF(AG340=0,1,MIN(1,AF340/AG340))</f>
        <v>0.916666666666667</v>
      </c>
      <c r="AI340" s="15" t="n">
        <f aca="false">AD340*AH340</f>
        <v>55</v>
      </c>
      <c r="AJ340" s="15" t="n">
        <f aca="false">AE340*AH340</f>
        <v>6.11111111111111</v>
      </c>
      <c r="AK340" s="15" t="n">
        <f aca="false">AI340*INDEX(Ipotesi!$C$49:$G$49,1,F340)*H340</f>
        <v>46750</v>
      </c>
      <c r="AL340" s="15" t="n">
        <f aca="false">AJ340*INDEX(Ipotesi!$C$51:$G$51,1,F340)*H340</f>
        <v>13750</v>
      </c>
      <c r="AM340" s="15" t="n">
        <f aca="false">AK340+AL340</f>
        <v>60500</v>
      </c>
      <c r="AN340" s="15" t="n">
        <f aca="false">INDEX(Ipotesi!$C$30:$G$30,1,F340)*G340/12</f>
        <v>41.6666666666667</v>
      </c>
      <c r="AO340" s="15" t="n">
        <f aca="false">O340*Parametri_v3!$C$7*Parametri_v3!$C$11*(1-Parametri_v3!$C$14)/12</f>
        <v>46.2</v>
      </c>
      <c r="AP340" s="15" t="n">
        <f aca="false">MIN(AN340,AO340)</f>
        <v>41.6666666666667</v>
      </c>
      <c r="AQ340" s="15" t="n">
        <f aca="false">AP340*INDEX(Ipotesi!$C$31:$G$31,1,F340)*H340</f>
        <v>41666.6666666667</v>
      </c>
      <c r="AR340" s="15" t="n">
        <f aca="false">INDEX(Ipotesi!$C$75:$G$75,1,F340)*J340/12</f>
        <v>20000</v>
      </c>
      <c r="AS340" s="15" t="n">
        <f aca="false">INDEX(Ipotesi!$C$81:$G$81,1,F340)*J340/12</f>
        <v>1250</v>
      </c>
      <c r="AT340" s="15" t="n">
        <f aca="false">AR340*Parametri_v3!$C$15+Z340*Parametri_v3!$C$16</f>
        <v>31139.45</v>
      </c>
      <c r="AU340" s="15" t="n">
        <f aca="false">Q340*Parametri_v3!$C$16*Parametri_v3!$C$17</f>
        <v>280</v>
      </c>
      <c r="AV340" s="17" t="n">
        <f aca="false">BD339</f>
        <v>82.7492685481789</v>
      </c>
      <c r="AW340" s="17" t="n">
        <f aca="false">AV340*(1-(1-INDEX(Ipotesi!$C$34:$G$34,1,F340))^(1/12))</f>
        <v>0.723361912433902</v>
      </c>
      <c r="AX340" s="15" t="n">
        <f aca="false">ROUND(INDEX(Ipotesi!$C$32:$G$32,1,F340)*Ipotesi!H8,0)</f>
        <v>130</v>
      </c>
      <c r="AY340" s="15" t="n">
        <f aca="false">MAX(0,(AX340-(AV340-AW340))/(13-E340))</f>
        <v>47.974093364255</v>
      </c>
      <c r="AZ340" s="15" t="n">
        <f aca="false">MIN(P340*Parametri_v3!$C$22,Q340*(1-Parametri_v3!$C$16)*Parametri_v3!$C$23)</f>
        <v>180</v>
      </c>
      <c r="BA340" s="15" t="n">
        <f aca="false">IF(OR(INDEX(Ipotesi!$C$35:$G$35,1,F340)&lt;=0,36-Parametri_v3!$C$21&lt;1),0,INDEX($AT$305:$AT$364,MAX(1,36-Parametri_v3!$C$21))/(INDEX(Ipotesi!$C$35:$G$35,1,F340)*Ipotesi!H27))</f>
        <v>6.22789</v>
      </c>
      <c r="BB340" s="15" t="n">
        <f aca="false">IF(36-Parametri_v3!$C$21&lt;1,0,INDEX($AU$305:$AU$364,MAX(1,36-Parametri_v3!$C$21)))*Parametri_v3!$C$18*Parametri_v3!$C$19*Parametri_v3!$C$20</f>
        <v>10.5</v>
      </c>
      <c r="BC340" s="17" t="n">
        <f aca="false">MAX(0,MIN(AY340,BA340,BB340,MAX(0,AZ340-(AV340-AW340))))</f>
        <v>6.22789</v>
      </c>
      <c r="BD340" s="17" t="n">
        <f aca="false">AV340-AW340+BC340</f>
        <v>88.253796635745</v>
      </c>
      <c r="BE340" s="17" t="n">
        <f aca="false">(AV340+BD340)/2</f>
        <v>85.5015325919619</v>
      </c>
      <c r="BF340" s="15" t="n">
        <f aca="false">BE340*INDEX(Ipotesi!$C$33:$G$33,1,F340)*H340/12</f>
        <v>39188.2024379826</v>
      </c>
      <c r="BG340" s="15" t="n">
        <f aca="false">BD340*INDEX(Ipotesi!$C$33:$G$33,1,F340)*H340</f>
        <v>485395.881496597</v>
      </c>
      <c r="BH340" s="15" t="n">
        <f aca="false">AM340*INDEX(Ipotesi!$C$37:$G$37,1,F340)</f>
        <v>6050</v>
      </c>
      <c r="BI340" s="15" t="n">
        <f aca="false">AQ340+BF340+BH340</f>
        <v>86904.8691046492</v>
      </c>
      <c r="BJ340" s="15" t="n">
        <f aca="false">INDEX(Ipotesi!$C$68:$G$68,1,F340)*Ipotesi!$C$69/12</f>
        <v>2400</v>
      </c>
      <c r="BK340" s="15" t="n">
        <f aca="false">INDEX(Ipotesi!$C$68:$G$68,1,F340)*(1-Ipotesi!$C$69)/12</f>
        <v>3600</v>
      </c>
      <c r="BL340" s="15" t="n">
        <f aca="false">(AQ340+BF340)*Ipotesi!$C$67</f>
        <v>2425.64607313948</v>
      </c>
      <c r="BM340" s="15" t="n">
        <f aca="false">AM340*Ipotesi!$C$67</f>
        <v>1815</v>
      </c>
      <c r="BN340" s="15" t="n">
        <f aca="false">INDEX(Ipotesi!$C$72:$G$72,1,F340)/12*Ipotesi!H126+BF340*Ipotesi!$C$73</f>
        <v>4385.0561950386</v>
      </c>
      <c r="BO340" s="15" t="n">
        <f aca="false">INDEX(Ipotesi!$C$74:$G$74,1,F340)/12*Ipotesi!H126</f>
        <v>2916.66666666667</v>
      </c>
      <c r="BP340" s="15" t="n">
        <f aca="false">INDEX(Ipotesi!$C$76:$G$76,1,F340)/12</f>
        <v>1083.33333333333</v>
      </c>
      <c r="BQ340" s="15" t="n">
        <f aca="false">INDEX(Ipotesi!$C$77:$G$77,1,F340)/12*Ipotesi!H126</f>
        <v>2083.33333333333</v>
      </c>
      <c r="BR340" s="15" t="n">
        <f aca="false">INDEX(Ipotesi!$C$78:$G$78,1,F340)/12</f>
        <v>1666.66666666667</v>
      </c>
      <c r="BS340" s="15" t="n">
        <f aca="false">SUM(M340:R340)*(Ipotesi!$C$85+Ipotesi!$C$86)/12</f>
        <v>4812.5</v>
      </c>
      <c r="BT340" s="15" t="n">
        <f aca="false">BI340*Ipotesi!$C$87</f>
        <v>2607.14607313948</v>
      </c>
      <c r="BU340" s="15" t="n">
        <f aca="false">INDEX(Ipotesi!$C$55:$G$55,1,F340)*K340/12</f>
        <v>1500</v>
      </c>
      <c r="BV340" s="15" t="n">
        <f aca="false">INDEX(Ipotesi!$C$80:$G$80,1,F340)/12*Ipotesi!H126</f>
        <v>1250</v>
      </c>
      <c r="BW340" s="15" t="n">
        <f aca="false">INDEX(Ipotesi!$C$82:$G$82,1,F340)/12</f>
        <v>1000</v>
      </c>
      <c r="BX340" s="15" t="n">
        <f aca="false">INDEX(Ipotesi!$C$83:$G$83,1,F340)/12</f>
        <v>666.666666666667</v>
      </c>
      <c r="BY340" s="15" t="n">
        <f aca="false">SUM(S340:U340)*(Ipotesi!$C$85+Ipotesi!$C$86)/12</f>
        <v>1895.83333333333</v>
      </c>
      <c r="BZ340" s="15" t="n">
        <f aca="false">AM340*Ipotesi!$C$87</f>
        <v>1815</v>
      </c>
      <c r="CA340" s="15" t="n">
        <f aca="false">AB340+BJ340+BL340+BN340+BO340+AR340+BP340+BQ340+BR340+BS340+BT340</f>
        <v>118654.015007984</v>
      </c>
      <c r="CB340" s="15" t="n">
        <f aca="false">AC340+BK340+BM340+BH340+BU340+BV340+AS340+BW340+BX340+BY340+BZ340</f>
        <v>46259.8958333333</v>
      </c>
      <c r="CC340" s="15" t="n">
        <f aca="false">BI340-CA340</f>
        <v>-31749.145903335</v>
      </c>
      <c r="CD340" s="15" t="n">
        <f aca="false">AM340-CB340</f>
        <v>14240.1041666667</v>
      </c>
      <c r="CE340" s="15" t="n">
        <f aca="false">INDEX(Ipotesi!$C$79:$G$79,1,F340)/12</f>
        <v>2500</v>
      </c>
      <c r="CF340" s="15" t="n">
        <f aca="false">INDEX(Ipotesi!$C$84:$G$84,1,F340)/12</f>
        <v>416.666666666667</v>
      </c>
      <c r="CG340" s="15" t="n">
        <f aca="false">Y340*MAX(0,Parametri_v3!$C$12-IF(P340=0,0,MIN(1,BE340/(P340*Parametri_v3!$C$22))))+W340*Parametri_v3!$C$13+X340*Parametri_v3!$C$14</f>
        <v>25395.2260030495</v>
      </c>
      <c r="CH340" s="15" t="n">
        <f aca="false">AB340*Parametri_v3!$C$32</f>
        <v>3713.68333333333</v>
      </c>
      <c r="CI340" s="15" t="n">
        <f aca="false">AC340*Parametri_v3!$C$32</f>
        <v>1270.86979166667</v>
      </c>
      <c r="CJ340" s="15" t="n">
        <f aca="false">CA340-AB340</f>
        <v>44380.3483413176</v>
      </c>
      <c r="CK340" s="15" t="n">
        <f aca="false">CB340-AC340-BH340</f>
        <v>14792.5</v>
      </c>
      <c r="CL340" s="15" t="n">
        <f aca="false">BF340*Ipotesi!$C$73+INDEX(Ipotesi!$C$72:$G$72,1,F340)/12*Ipotesi!H126*Parametri_v3!$C$58+Z340*(1-Parametri_v3!$C$16)</f>
        <v>9159.10619503861</v>
      </c>
      <c r="CM340" s="16" t="n">
        <f aca="false">IF(BF340=0,0,1-CL340/BF340)</f>
        <v>0.766278991501757</v>
      </c>
    </row>
    <row r="341" customFormat="false" ht="18" hidden="false" customHeight="true" outlineLevel="0" collapsed="false">
      <c r="A341" s="68" t="n">
        <f aca="false">6</f>
        <v>6</v>
      </c>
      <c r="B341" s="68" t="n">
        <f aca="false">37</f>
        <v>37</v>
      </c>
      <c r="C341" s="18" t="n">
        <f aca="false">EDATE(Parametri_v3!$C$5,37-1)</f>
        <v>47484</v>
      </c>
      <c r="D341" s="68" t="n">
        <f aca="false">YEAR(C341)</f>
        <v>2030</v>
      </c>
      <c r="E341" s="68" t="n">
        <f aca="false">MONTH(C341)</f>
        <v>1</v>
      </c>
      <c r="F341" s="68" t="n">
        <f aca="false">INT((37-1)/12)+1</f>
        <v>4</v>
      </c>
      <c r="G341" s="15" t="n">
        <f aca="false">Ipotesi!H7</f>
        <v>1</v>
      </c>
      <c r="H341" s="15" t="n">
        <f aca="false">Ipotesi!H9</f>
        <v>1</v>
      </c>
      <c r="I341" s="15" t="n">
        <f aca="false">Ipotesi!H10</f>
        <v>1</v>
      </c>
      <c r="J341" s="15" t="n">
        <f aca="false">Ipotesi!H11</f>
        <v>1</v>
      </c>
      <c r="K341" s="15" t="n">
        <f aca="false">Ipotesi!H12</f>
        <v>1</v>
      </c>
      <c r="L341" s="15" t="n">
        <f aca="false">Ipotesi!H13</f>
        <v>90</v>
      </c>
      <c r="M341" s="17" t="n">
        <f aca="false">INDEX(Ipotesi!$C$40:$G$40,1,F341)</f>
        <v>1</v>
      </c>
      <c r="N341" s="17" t="n">
        <f aca="false">INDEX(Ipotesi!$C$41:$G$41,1,F341)</f>
        <v>1</v>
      </c>
      <c r="O341" s="17" t="n">
        <f aca="false">INDEX(Ipotesi!$C$42:$G$42,1,F341)*Ipotesi!H125</f>
        <v>6.5</v>
      </c>
      <c r="P341" s="17" t="n">
        <f aca="false">INDEX(Ipotesi!$C$43:$G$43,1,F341)*I341</f>
        <v>6</v>
      </c>
      <c r="Q341" s="17" t="n">
        <f aca="false">INDEX(Ipotesi!$C$44:$G$44,1,F341)*I341</f>
        <v>5</v>
      </c>
      <c r="R341" s="17" t="n">
        <f aca="false">INDEX(Ipotesi!$C$45:$G$45,1,F341)*I341</f>
        <v>1.5</v>
      </c>
      <c r="S341" s="17" t="n">
        <f aca="false">INDEX(Ipotesi!$C$52:$G$52,1,F341)*Ipotesi!H125</f>
        <v>7</v>
      </c>
      <c r="T341" s="17" t="n">
        <f aca="false">INDEX(Ipotesi!$C$53:$G$53,1,F341)*I341</f>
        <v>1</v>
      </c>
      <c r="U341" s="17" t="n">
        <f aca="false">INDEX(Ipotesi!$C$54:$G$54,1,F341)*I341</f>
        <v>0.5</v>
      </c>
      <c r="V341" s="15" t="n">
        <f aca="false">M341*INDEX(Ipotesi!$C$58:$G$58,1,F341)*K341/12</f>
        <v>7916.66666666667</v>
      </c>
      <c r="W341" s="15" t="n">
        <f aca="false">N341*Ipotesi!$C$59*(1+Ipotesi!$C$66)^(F341-1)/12</f>
        <v>6374.24083333333</v>
      </c>
      <c r="X341" s="15" t="n">
        <f aca="false">O341*Ipotesi!$C$60*(1+Ipotesi!$C$66)^(F341-1)/12</f>
        <v>29594.6895833333</v>
      </c>
      <c r="Y341" s="15" t="n">
        <f aca="false">P341*Ipotesi!$C$61*(1+Ipotesi!$C$66)^(F341-1)/12</f>
        <v>27318.175</v>
      </c>
      <c r="Z341" s="15" t="n">
        <f aca="false">Q341*Ipotesi!$C$62*(1+Ipotesi!$C$66)^(F341-1)/12</f>
        <v>20488.63125</v>
      </c>
      <c r="AA341" s="15" t="n">
        <f aca="false">R341*Ipotesi!$C$63*(1+Ipotesi!$C$66)^(F341-1)/12</f>
        <v>4780.680625</v>
      </c>
      <c r="AB341" s="15" t="n">
        <f aca="false">SUM(V341:AA341)</f>
        <v>96473.0839583333</v>
      </c>
      <c r="AC341" s="15" t="n">
        <f aca="false">(S341*Ipotesi!$C$64+T341*Ipotesi!$C$65+U341*Ipotesi!$C$63)*(1+Ipotesi!$C$66)^(F341-1)/12</f>
        <v>33829.0067083333</v>
      </c>
      <c r="AD341" s="15" t="n">
        <f aca="false">INDEX(Ipotesi!$C$48:$G$48,1,F341)*G341/12</f>
        <v>79.1666666666667</v>
      </c>
      <c r="AE341" s="15" t="n">
        <f aca="false">INDEX(Ipotesi!$C$50:$G$50,1,F341)*G341/12</f>
        <v>8.33333333333333</v>
      </c>
      <c r="AF341" s="15" t="n">
        <f aca="false">(S341*Parametri_v3!$C$7*Parametri_v3!$C$8+Parametri_v3!$C$10)/12</f>
        <v>89.8333333333333</v>
      </c>
      <c r="AG341" s="15" t="n">
        <f aca="false">AD341+AE341*(1+Parametri_v3!$C$9)</f>
        <v>91.6666666666667</v>
      </c>
      <c r="AH341" s="16" t="n">
        <f aca="false">IF(AG341=0,1,MIN(1,AF341/AG341))</f>
        <v>0.98</v>
      </c>
      <c r="AI341" s="15" t="n">
        <f aca="false">AD341*AH341</f>
        <v>77.5833333333333</v>
      </c>
      <c r="AJ341" s="15" t="n">
        <f aca="false">AE341*AH341</f>
        <v>8.16666666666667</v>
      </c>
      <c r="AK341" s="15" t="n">
        <f aca="false">AI341*INDEX(Ipotesi!$C$49:$G$49,1,F341)*H341</f>
        <v>69825</v>
      </c>
      <c r="AL341" s="15" t="n">
        <f aca="false">AJ341*INDEX(Ipotesi!$C$51:$G$51,1,F341)*H341</f>
        <v>20416.6666666667</v>
      </c>
      <c r="AM341" s="15" t="n">
        <f aca="false">AK341+AL341</f>
        <v>90241.6666666667</v>
      </c>
      <c r="AN341" s="15" t="n">
        <f aca="false">INDEX(Ipotesi!$C$30:$G$30,1,F341)*G341/12</f>
        <v>61.6666666666667</v>
      </c>
      <c r="AO341" s="15" t="n">
        <f aca="false">O341*Parametri_v3!$C$7*Parametri_v3!$C$11*(1-Parametri_v3!$C$14)/12</f>
        <v>66.7333333333333</v>
      </c>
      <c r="AP341" s="15" t="n">
        <f aca="false">MIN(AN341,AO341)</f>
        <v>61.6666666666667</v>
      </c>
      <c r="AQ341" s="15" t="n">
        <f aca="false">AP341*INDEX(Ipotesi!$C$31:$G$31,1,F341)*H341</f>
        <v>64750</v>
      </c>
      <c r="AR341" s="15" t="n">
        <f aca="false">INDEX(Ipotesi!$C$75:$G$75,1,F341)*J341/12</f>
        <v>27916.6666666667</v>
      </c>
      <c r="AS341" s="15" t="n">
        <f aca="false">INDEX(Ipotesi!$C$81:$G$81,1,F341)*J341/12</f>
        <v>1666.66666666667</v>
      </c>
      <c r="AT341" s="15" t="n">
        <f aca="false">AR341*Parametri_v3!$C$15+Z341*Parametri_v3!$C$16</f>
        <v>42258.7085416667</v>
      </c>
      <c r="AU341" s="15" t="n">
        <f aca="false">Q341*Parametri_v3!$C$16*Parametri_v3!$C$17</f>
        <v>350</v>
      </c>
      <c r="AV341" s="17" t="n">
        <f aca="false">BD340</f>
        <v>88.253796635745</v>
      </c>
      <c r="AW341" s="17" t="n">
        <f aca="false">AV341*(1-(1-INDEX(Ipotesi!$C$34:$G$34,1,F341))^(1/12))</f>
        <v>0.771480355464605</v>
      </c>
      <c r="AX341" s="15" t="n">
        <f aca="false">ROUND(INDEX(Ipotesi!$C$32:$G$32,1,F341)*Ipotesi!H8,0)</f>
        <v>310</v>
      </c>
      <c r="AY341" s="15" t="n">
        <f aca="false">MAX(0,(AX341-(AV341-AW341))/(13-E341))</f>
        <v>18.5431403099766</v>
      </c>
      <c r="AZ341" s="15" t="n">
        <f aca="false">MIN(P341*Parametri_v3!$C$22,Q341*(1-Parametri_v3!$C$16)*Parametri_v3!$C$23)</f>
        <v>225</v>
      </c>
      <c r="BA341" s="15" t="n">
        <f aca="false">IF(OR(INDEX(Ipotesi!$C$35:$G$35,1,F341)&lt;=0,37-Parametri_v3!$C$21&lt;1),0,INDEX($AT$305:$AT$364,MAX(1,37-Parametri_v3!$C$21))/(INDEX(Ipotesi!$C$35:$G$35,1,F341)*Ipotesi!H27))</f>
        <v>5.18990833333333</v>
      </c>
      <c r="BB341" s="15" t="n">
        <f aca="false">IF(37-Parametri_v3!$C$21&lt;1,0,INDEX($AU$305:$AU$364,MAX(1,37-Parametri_v3!$C$21)))*Parametri_v3!$C$18*Parametri_v3!$C$19*Parametri_v3!$C$20</f>
        <v>10.5</v>
      </c>
      <c r="BC341" s="17" t="n">
        <f aca="false">MAX(0,MIN(AY341,BA341,BB341,MAX(0,AZ341-(AV341-AW341))))</f>
        <v>5.18990833333333</v>
      </c>
      <c r="BD341" s="17" t="n">
        <f aca="false">AV341-AW341+BC341</f>
        <v>92.6722246136137</v>
      </c>
      <c r="BE341" s="17" t="n">
        <f aca="false">(AV341+BD341)/2</f>
        <v>90.4630106246794</v>
      </c>
      <c r="BF341" s="15" t="n">
        <f aca="false">BE341*INDEX(Ipotesi!$C$33:$G$33,1,F341)*H341/12</f>
        <v>45231.5053123397</v>
      </c>
      <c r="BG341" s="15" t="n">
        <f aca="false">BD341*INDEX(Ipotesi!$C$33:$G$33,1,F341)*H341</f>
        <v>556033.347681682</v>
      </c>
      <c r="BH341" s="15" t="n">
        <f aca="false">AM341*INDEX(Ipotesi!$C$37:$G$37,1,F341)</f>
        <v>9024.16666666667</v>
      </c>
      <c r="BI341" s="15" t="n">
        <f aca="false">AQ341+BF341+BH341</f>
        <v>119005.671979006</v>
      </c>
      <c r="BJ341" s="15" t="n">
        <f aca="false">INDEX(Ipotesi!$C$68:$G$68,1,F341)*Ipotesi!$C$69/12</f>
        <v>3000</v>
      </c>
      <c r="BK341" s="15" t="n">
        <f aca="false">INDEX(Ipotesi!$C$68:$G$68,1,F341)*(1-Ipotesi!$C$69)/12</f>
        <v>4500</v>
      </c>
      <c r="BL341" s="15" t="n">
        <f aca="false">(AQ341+BF341)*Ipotesi!$C$67</f>
        <v>3299.44515937019</v>
      </c>
      <c r="BM341" s="15" t="n">
        <f aca="false">AM341*Ipotesi!$C$67</f>
        <v>2707.25</v>
      </c>
      <c r="BN341" s="15" t="n">
        <f aca="false">INDEX(Ipotesi!$C$72:$G$72,1,F341)/12*Ipotesi!H126+BF341*Ipotesi!$C$73</f>
        <v>4868.52042498717</v>
      </c>
      <c r="BO341" s="15" t="n">
        <f aca="false">INDEX(Ipotesi!$C$74:$G$74,1,F341)/12*Ipotesi!H126</f>
        <v>4166.66666666667</v>
      </c>
      <c r="BP341" s="15" t="n">
        <f aca="false">INDEX(Ipotesi!$C$76:$G$76,1,F341)/12</f>
        <v>1500</v>
      </c>
      <c r="BQ341" s="15" t="n">
        <f aca="false">INDEX(Ipotesi!$C$77:$G$77,1,F341)/12*Ipotesi!H126</f>
        <v>2083.33333333333</v>
      </c>
      <c r="BR341" s="15" t="n">
        <f aca="false">INDEX(Ipotesi!$C$78:$G$78,1,F341)/12</f>
        <v>2000</v>
      </c>
      <c r="BS341" s="15" t="n">
        <f aca="false">SUM(M341:R341)*(Ipotesi!$C$85+Ipotesi!$C$86)/12</f>
        <v>6125</v>
      </c>
      <c r="BT341" s="15" t="n">
        <f aca="false">BI341*Ipotesi!$C$87</f>
        <v>3570.17015937019</v>
      </c>
      <c r="BU341" s="15" t="n">
        <f aca="false">INDEX(Ipotesi!$C$55:$G$55,1,F341)*K341/12</f>
        <v>2000</v>
      </c>
      <c r="BV341" s="15" t="n">
        <f aca="false">INDEX(Ipotesi!$C$80:$G$80,1,F341)/12*Ipotesi!H126</f>
        <v>1666.66666666667</v>
      </c>
      <c r="BW341" s="15" t="n">
        <f aca="false">INDEX(Ipotesi!$C$82:$G$82,1,F341)/12</f>
        <v>1250</v>
      </c>
      <c r="BX341" s="15" t="n">
        <f aca="false">INDEX(Ipotesi!$C$83:$G$83,1,F341)/12</f>
        <v>750</v>
      </c>
      <c r="BY341" s="15" t="n">
        <f aca="false">SUM(S341:U341)*(Ipotesi!$C$85+Ipotesi!$C$86)/12</f>
        <v>2479.16666666667</v>
      </c>
      <c r="BZ341" s="15" t="n">
        <f aca="false">AM341*Ipotesi!$C$87</f>
        <v>2707.25</v>
      </c>
      <c r="CA341" s="15" t="n">
        <f aca="false">AB341+BJ341+BL341+BN341+BO341+AR341+BP341+BQ341+BR341+BS341+BT341</f>
        <v>155002.886368728</v>
      </c>
      <c r="CB341" s="15" t="n">
        <f aca="false">AC341+BK341+BM341+BH341+BU341+BV341+AS341+BW341+BX341+BY341+BZ341</f>
        <v>62580.173375</v>
      </c>
      <c r="CC341" s="15" t="n">
        <f aca="false">BI341-CA341</f>
        <v>-35997.2143897212</v>
      </c>
      <c r="CD341" s="15" t="n">
        <f aca="false">AM341-CB341</f>
        <v>27661.4932916667</v>
      </c>
      <c r="CE341" s="15" t="n">
        <f aca="false">INDEX(Ipotesi!$C$79:$G$79,1,F341)/12</f>
        <v>3333.33333333333</v>
      </c>
      <c r="CF341" s="15" t="n">
        <f aca="false">INDEX(Ipotesi!$C$84:$G$84,1,F341)/12</f>
        <v>666.666666666667</v>
      </c>
      <c r="CG341" s="15" t="n">
        <f aca="false">Y341*MAX(0,Parametri_v3!$C$12-IF(P341=0,0,MIN(1,BE341/(P341*Parametri_v3!$C$22))))+W341*Parametri_v3!$C$13+X341*Parametri_v3!$C$14</f>
        <v>32305.4260745469</v>
      </c>
      <c r="CH341" s="15" t="n">
        <f aca="false">AB341*Parametri_v3!$C$32</f>
        <v>4823.65419791667</v>
      </c>
      <c r="CI341" s="15" t="n">
        <f aca="false">AC341*Parametri_v3!$C$32</f>
        <v>1691.45033541667</v>
      </c>
      <c r="CJ341" s="15" t="n">
        <f aca="false">CA341-AB341</f>
        <v>58529.8024103942</v>
      </c>
      <c r="CK341" s="15" t="n">
        <f aca="false">CB341-AC341-BH341</f>
        <v>19727</v>
      </c>
      <c r="CL341" s="15" t="n">
        <f aca="false">BF341*Ipotesi!$C$73+INDEX(Ipotesi!$C$72:$G$72,1,F341)/12*Ipotesi!H126*Parametri_v3!$C$58+Z341*(1-Parametri_v3!$C$16)</f>
        <v>11015.1097999872</v>
      </c>
      <c r="CM341" s="16" t="n">
        <f aca="false">IF(BF341=0,0,1-CL341/BF341)</f>
        <v>0.75647262402779</v>
      </c>
    </row>
    <row r="342" customFormat="false" ht="18" hidden="false" customHeight="true" outlineLevel="0" collapsed="false">
      <c r="A342" s="68" t="n">
        <f aca="false">6</f>
        <v>6</v>
      </c>
      <c r="B342" s="68" t="n">
        <f aca="false">38</f>
        <v>38</v>
      </c>
      <c r="C342" s="18" t="n">
        <f aca="false">EDATE(Parametri_v3!$C$5,38-1)</f>
        <v>47515</v>
      </c>
      <c r="D342" s="68" t="n">
        <f aca="false">YEAR(C342)</f>
        <v>2030</v>
      </c>
      <c r="E342" s="68" t="n">
        <f aca="false">MONTH(C342)</f>
        <v>2</v>
      </c>
      <c r="F342" s="68" t="n">
        <f aca="false">INT((38-1)/12)+1</f>
        <v>4</v>
      </c>
      <c r="G342" s="15" t="n">
        <f aca="false">Ipotesi!H7</f>
        <v>1</v>
      </c>
      <c r="H342" s="15" t="n">
        <f aca="false">Ipotesi!H9</f>
        <v>1</v>
      </c>
      <c r="I342" s="15" t="n">
        <f aca="false">Ipotesi!H10</f>
        <v>1</v>
      </c>
      <c r="J342" s="15" t="n">
        <f aca="false">Ipotesi!H11</f>
        <v>1</v>
      </c>
      <c r="K342" s="15" t="n">
        <f aca="false">Ipotesi!H12</f>
        <v>1</v>
      </c>
      <c r="L342" s="15" t="n">
        <f aca="false">Ipotesi!H13</f>
        <v>90</v>
      </c>
      <c r="M342" s="17" t="n">
        <f aca="false">INDEX(Ipotesi!$C$40:$G$40,1,F342)</f>
        <v>1</v>
      </c>
      <c r="N342" s="17" t="n">
        <f aca="false">INDEX(Ipotesi!$C$41:$G$41,1,F342)</f>
        <v>1</v>
      </c>
      <c r="O342" s="17" t="n">
        <f aca="false">INDEX(Ipotesi!$C$42:$G$42,1,F342)*Ipotesi!H125</f>
        <v>6.5</v>
      </c>
      <c r="P342" s="17" t="n">
        <f aca="false">INDEX(Ipotesi!$C$43:$G$43,1,F342)*I342</f>
        <v>6</v>
      </c>
      <c r="Q342" s="17" t="n">
        <f aca="false">INDEX(Ipotesi!$C$44:$G$44,1,F342)*I342</f>
        <v>5</v>
      </c>
      <c r="R342" s="17" t="n">
        <f aca="false">INDEX(Ipotesi!$C$45:$G$45,1,F342)*I342</f>
        <v>1.5</v>
      </c>
      <c r="S342" s="17" t="n">
        <f aca="false">INDEX(Ipotesi!$C$52:$G$52,1,F342)*Ipotesi!H125</f>
        <v>7</v>
      </c>
      <c r="T342" s="17" t="n">
        <f aca="false">INDEX(Ipotesi!$C$53:$G$53,1,F342)*I342</f>
        <v>1</v>
      </c>
      <c r="U342" s="17" t="n">
        <f aca="false">INDEX(Ipotesi!$C$54:$G$54,1,F342)*I342</f>
        <v>0.5</v>
      </c>
      <c r="V342" s="15" t="n">
        <f aca="false">M342*INDEX(Ipotesi!$C$58:$G$58,1,F342)*K342/12</f>
        <v>7916.66666666667</v>
      </c>
      <c r="W342" s="15" t="n">
        <f aca="false">N342*Ipotesi!$C$59*(1+Ipotesi!$C$66)^(F342-1)/12</f>
        <v>6374.24083333333</v>
      </c>
      <c r="X342" s="15" t="n">
        <f aca="false">O342*Ipotesi!$C$60*(1+Ipotesi!$C$66)^(F342-1)/12</f>
        <v>29594.6895833333</v>
      </c>
      <c r="Y342" s="15" t="n">
        <f aca="false">P342*Ipotesi!$C$61*(1+Ipotesi!$C$66)^(F342-1)/12</f>
        <v>27318.175</v>
      </c>
      <c r="Z342" s="15" t="n">
        <f aca="false">Q342*Ipotesi!$C$62*(1+Ipotesi!$C$66)^(F342-1)/12</f>
        <v>20488.63125</v>
      </c>
      <c r="AA342" s="15" t="n">
        <f aca="false">R342*Ipotesi!$C$63*(1+Ipotesi!$C$66)^(F342-1)/12</f>
        <v>4780.680625</v>
      </c>
      <c r="AB342" s="15" t="n">
        <f aca="false">SUM(V342:AA342)</f>
        <v>96473.0839583333</v>
      </c>
      <c r="AC342" s="15" t="n">
        <f aca="false">(S342*Ipotesi!$C$64+T342*Ipotesi!$C$65+U342*Ipotesi!$C$63)*(1+Ipotesi!$C$66)^(F342-1)/12</f>
        <v>33829.0067083333</v>
      </c>
      <c r="AD342" s="15" t="n">
        <f aca="false">INDEX(Ipotesi!$C$48:$G$48,1,F342)*G342/12</f>
        <v>79.1666666666667</v>
      </c>
      <c r="AE342" s="15" t="n">
        <f aca="false">INDEX(Ipotesi!$C$50:$G$50,1,F342)*G342/12</f>
        <v>8.33333333333333</v>
      </c>
      <c r="AF342" s="15" t="n">
        <f aca="false">(S342*Parametri_v3!$C$7*Parametri_v3!$C$8+Parametri_v3!$C$10)/12</f>
        <v>89.8333333333333</v>
      </c>
      <c r="AG342" s="15" t="n">
        <f aca="false">AD342+AE342*(1+Parametri_v3!$C$9)</f>
        <v>91.6666666666667</v>
      </c>
      <c r="AH342" s="16" t="n">
        <f aca="false">IF(AG342=0,1,MIN(1,AF342/AG342))</f>
        <v>0.98</v>
      </c>
      <c r="AI342" s="15" t="n">
        <f aca="false">AD342*AH342</f>
        <v>77.5833333333333</v>
      </c>
      <c r="AJ342" s="15" t="n">
        <f aca="false">AE342*AH342</f>
        <v>8.16666666666667</v>
      </c>
      <c r="AK342" s="15" t="n">
        <f aca="false">AI342*INDEX(Ipotesi!$C$49:$G$49,1,F342)*H342</f>
        <v>69825</v>
      </c>
      <c r="AL342" s="15" t="n">
        <f aca="false">AJ342*INDEX(Ipotesi!$C$51:$G$51,1,F342)*H342</f>
        <v>20416.6666666667</v>
      </c>
      <c r="AM342" s="15" t="n">
        <f aca="false">AK342+AL342</f>
        <v>90241.6666666667</v>
      </c>
      <c r="AN342" s="15" t="n">
        <f aca="false">INDEX(Ipotesi!$C$30:$G$30,1,F342)*G342/12</f>
        <v>61.6666666666667</v>
      </c>
      <c r="AO342" s="15" t="n">
        <f aca="false">O342*Parametri_v3!$C$7*Parametri_v3!$C$11*(1-Parametri_v3!$C$14)/12</f>
        <v>66.7333333333333</v>
      </c>
      <c r="AP342" s="15" t="n">
        <f aca="false">MIN(AN342,AO342)</f>
        <v>61.6666666666667</v>
      </c>
      <c r="AQ342" s="15" t="n">
        <f aca="false">AP342*INDEX(Ipotesi!$C$31:$G$31,1,F342)*H342</f>
        <v>64750</v>
      </c>
      <c r="AR342" s="15" t="n">
        <f aca="false">INDEX(Ipotesi!$C$75:$G$75,1,F342)*J342/12</f>
        <v>27916.6666666667</v>
      </c>
      <c r="AS342" s="15" t="n">
        <f aca="false">INDEX(Ipotesi!$C$81:$G$81,1,F342)*J342/12</f>
        <v>1666.66666666667</v>
      </c>
      <c r="AT342" s="15" t="n">
        <f aca="false">AR342*Parametri_v3!$C$15+Z342*Parametri_v3!$C$16</f>
        <v>42258.7085416667</v>
      </c>
      <c r="AU342" s="15" t="n">
        <f aca="false">Q342*Parametri_v3!$C$16*Parametri_v3!$C$17</f>
        <v>350</v>
      </c>
      <c r="AV342" s="17" t="n">
        <f aca="false">BD341</f>
        <v>92.6722246136137</v>
      </c>
      <c r="AW342" s="17" t="n">
        <f aca="false">AV342*(1-(1-INDEX(Ipotesi!$C$34:$G$34,1,F342))^(1/12))</f>
        <v>0.810104533878481</v>
      </c>
      <c r="AX342" s="15" t="n">
        <f aca="false">ROUND(INDEX(Ipotesi!$C$32:$G$32,1,F342)*Ipotesi!H8,0)</f>
        <v>310</v>
      </c>
      <c r="AY342" s="15" t="n">
        <f aca="false">MAX(0,(AX342-(AV342-AW342))/(13-E342))</f>
        <v>19.8307163563877</v>
      </c>
      <c r="AZ342" s="15" t="n">
        <f aca="false">MIN(P342*Parametri_v3!$C$22,Q342*(1-Parametri_v3!$C$16)*Parametri_v3!$C$23)</f>
        <v>225</v>
      </c>
      <c r="BA342" s="15" t="n">
        <f aca="false">IF(OR(INDEX(Ipotesi!$C$35:$G$35,1,F342)&lt;=0,38-Parametri_v3!$C$21&lt;1),0,INDEX($AT$305:$AT$364,MAX(1,38-Parametri_v3!$C$21))/(INDEX(Ipotesi!$C$35:$G$35,1,F342)*Ipotesi!H27))</f>
        <v>5.18990833333333</v>
      </c>
      <c r="BB342" s="15" t="n">
        <f aca="false">IF(38-Parametri_v3!$C$21&lt;1,0,INDEX($AU$305:$AU$364,MAX(1,38-Parametri_v3!$C$21)))*Parametri_v3!$C$18*Parametri_v3!$C$19*Parametri_v3!$C$20</f>
        <v>10.5</v>
      </c>
      <c r="BC342" s="17" t="n">
        <f aca="false">MAX(0,MIN(AY342,BA342,BB342,MAX(0,AZ342-(AV342-AW342))))</f>
        <v>5.18990833333333</v>
      </c>
      <c r="BD342" s="17" t="n">
        <f aca="false">AV342-AW342+BC342</f>
        <v>97.0520284130686</v>
      </c>
      <c r="BE342" s="17" t="n">
        <f aca="false">(AV342+BD342)/2</f>
        <v>94.8621265133411</v>
      </c>
      <c r="BF342" s="15" t="n">
        <f aca="false">BE342*INDEX(Ipotesi!$C$33:$G$33,1,F342)*H342/12</f>
        <v>47431.0632566706</v>
      </c>
      <c r="BG342" s="15" t="n">
        <f aca="false">BD342*INDEX(Ipotesi!$C$33:$G$33,1,F342)*H342</f>
        <v>582312.170478411</v>
      </c>
      <c r="BH342" s="15" t="n">
        <f aca="false">AM342*INDEX(Ipotesi!$C$37:$G$37,1,F342)</f>
        <v>9024.16666666667</v>
      </c>
      <c r="BI342" s="15" t="n">
        <f aca="false">AQ342+BF342+BH342</f>
        <v>121205.229923337</v>
      </c>
      <c r="BJ342" s="15" t="n">
        <f aca="false">INDEX(Ipotesi!$C$68:$G$68,1,F342)*Ipotesi!$C$69/12</f>
        <v>3000</v>
      </c>
      <c r="BK342" s="15" t="n">
        <f aca="false">INDEX(Ipotesi!$C$68:$G$68,1,F342)*(1-Ipotesi!$C$69)/12</f>
        <v>4500</v>
      </c>
      <c r="BL342" s="15" t="n">
        <f aca="false">(AQ342+BF342)*Ipotesi!$C$67</f>
        <v>3365.43189770012</v>
      </c>
      <c r="BM342" s="15" t="n">
        <f aca="false">AM342*Ipotesi!$C$67</f>
        <v>2707.25</v>
      </c>
      <c r="BN342" s="15" t="n">
        <f aca="false">INDEX(Ipotesi!$C$72:$G$72,1,F342)/12*Ipotesi!H126+BF342*Ipotesi!$C$73</f>
        <v>5044.48506053365</v>
      </c>
      <c r="BO342" s="15" t="n">
        <f aca="false">INDEX(Ipotesi!$C$74:$G$74,1,F342)/12*Ipotesi!H126</f>
        <v>4166.66666666667</v>
      </c>
      <c r="BP342" s="15" t="n">
        <f aca="false">INDEX(Ipotesi!$C$76:$G$76,1,F342)/12</f>
        <v>1500</v>
      </c>
      <c r="BQ342" s="15" t="n">
        <f aca="false">INDEX(Ipotesi!$C$77:$G$77,1,F342)/12*Ipotesi!H126</f>
        <v>2083.33333333333</v>
      </c>
      <c r="BR342" s="15" t="n">
        <f aca="false">INDEX(Ipotesi!$C$78:$G$78,1,F342)/12</f>
        <v>2000</v>
      </c>
      <c r="BS342" s="15" t="n">
        <f aca="false">SUM(M342:R342)*(Ipotesi!$C$85+Ipotesi!$C$86)/12</f>
        <v>6125</v>
      </c>
      <c r="BT342" s="15" t="n">
        <f aca="false">BI342*Ipotesi!$C$87</f>
        <v>3636.15689770012</v>
      </c>
      <c r="BU342" s="15" t="n">
        <f aca="false">INDEX(Ipotesi!$C$55:$G$55,1,F342)*K342/12</f>
        <v>2000</v>
      </c>
      <c r="BV342" s="15" t="n">
        <f aca="false">INDEX(Ipotesi!$C$80:$G$80,1,F342)/12*Ipotesi!H126</f>
        <v>1666.66666666667</v>
      </c>
      <c r="BW342" s="15" t="n">
        <f aca="false">INDEX(Ipotesi!$C$82:$G$82,1,F342)/12</f>
        <v>1250</v>
      </c>
      <c r="BX342" s="15" t="n">
        <f aca="false">INDEX(Ipotesi!$C$83:$G$83,1,F342)/12</f>
        <v>750</v>
      </c>
      <c r="BY342" s="15" t="n">
        <f aca="false">SUM(S342:U342)*(Ipotesi!$C$85+Ipotesi!$C$86)/12</f>
        <v>2479.16666666667</v>
      </c>
      <c r="BZ342" s="15" t="n">
        <f aca="false">AM342*Ipotesi!$C$87</f>
        <v>2707.25</v>
      </c>
      <c r="CA342" s="15" t="n">
        <f aca="false">AB342+BJ342+BL342+BN342+BO342+AR342+BP342+BQ342+BR342+BS342+BT342</f>
        <v>155310.824480934</v>
      </c>
      <c r="CB342" s="15" t="n">
        <f aca="false">AC342+BK342+BM342+BH342+BU342+BV342+AS342+BW342+BX342+BY342+BZ342</f>
        <v>62580.173375</v>
      </c>
      <c r="CC342" s="15" t="n">
        <f aca="false">BI342-CA342</f>
        <v>-34105.5945575967</v>
      </c>
      <c r="CD342" s="15" t="n">
        <f aca="false">AM342-CB342</f>
        <v>27661.4932916667</v>
      </c>
      <c r="CE342" s="15" t="n">
        <f aca="false">INDEX(Ipotesi!$C$79:$G$79,1,F342)/12</f>
        <v>3333.33333333333</v>
      </c>
      <c r="CF342" s="15" t="n">
        <f aca="false">INDEX(Ipotesi!$C$84:$G$84,1,F342)/12</f>
        <v>666.666666666667</v>
      </c>
      <c r="CG342" s="15" t="n">
        <f aca="false">Y342*MAX(0,Parametri_v3!$C$12-IF(P342=0,0,MIN(1,BE342/(P342*Parametri_v3!$C$22))))+W342*Parametri_v3!$C$13+X342*Parametri_v3!$C$14</f>
        <v>32105.1330450607</v>
      </c>
      <c r="CH342" s="15" t="n">
        <f aca="false">AB342*Parametri_v3!$C$32</f>
        <v>4823.65419791667</v>
      </c>
      <c r="CI342" s="15" t="n">
        <f aca="false">AC342*Parametri_v3!$C$32</f>
        <v>1691.45033541667</v>
      </c>
      <c r="CJ342" s="15" t="n">
        <f aca="false">CA342-AB342</f>
        <v>58837.7405226006</v>
      </c>
      <c r="CK342" s="15" t="n">
        <f aca="false">CB342-AC342-BH342</f>
        <v>19727</v>
      </c>
      <c r="CL342" s="15" t="n">
        <f aca="false">BF342*Ipotesi!$C$73+INDEX(Ipotesi!$C$72:$G$72,1,F342)/12*Ipotesi!H126*Parametri_v3!$C$58+Z342*(1-Parametri_v3!$C$16)</f>
        <v>11191.0744355336</v>
      </c>
      <c r="CM342" s="16" t="n">
        <f aca="false">IF(BF342=0,0,1-CL342/BF342)</f>
        <v>0.764056007452885</v>
      </c>
    </row>
    <row r="343" customFormat="false" ht="18" hidden="false" customHeight="true" outlineLevel="0" collapsed="false">
      <c r="A343" s="68" t="n">
        <f aca="false">6</f>
        <v>6</v>
      </c>
      <c r="B343" s="68" t="n">
        <f aca="false">39</f>
        <v>39</v>
      </c>
      <c r="C343" s="18" t="n">
        <f aca="false">EDATE(Parametri_v3!$C$5,39-1)</f>
        <v>47543</v>
      </c>
      <c r="D343" s="68" t="n">
        <f aca="false">YEAR(C343)</f>
        <v>2030</v>
      </c>
      <c r="E343" s="68" t="n">
        <f aca="false">MONTH(C343)</f>
        <v>3</v>
      </c>
      <c r="F343" s="68" t="n">
        <f aca="false">INT((39-1)/12)+1</f>
        <v>4</v>
      </c>
      <c r="G343" s="15" t="n">
        <f aca="false">Ipotesi!H7</f>
        <v>1</v>
      </c>
      <c r="H343" s="15" t="n">
        <f aca="false">Ipotesi!H9</f>
        <v>1</v>
      </c>
      <c r="I343" s="15" t="n">
        <f aca="false">Ipotesi!H10</f>
        <v>1</v>
      </c>
      <c r="J343" s="15" t="n">
        <f aca="false">Ipotesi!H11</f>
        <v>1</v>
      </c>
      <c r="K343" s="15" t="n">
        <f aca="false">Ipotesi!H12</f>
        <v>1</v>
      </c>
      <c r="L343" s="15" t="n">
        <f aca="false">Ipotesi!H13</f>
        <v>90</v>
      </c>
      <c r="M343" s="17" t="n">
        <f aca="false">INDEX(Ipotesi!$C$40:$G$40,1,F343)</f>
        <v>1</v>
      </c>
      <c r="N343" s="17" t="n">
        <f aca="false">INDEX(Ipotesi!$C$41:$G$41,1,F343)</f>
        <v>1</v>
      </c>
      <c r="O343" s="17" t="n">
        <f aca="false">INDEX(Ipotesi!$C$42:$G$42,1,F343)*Ipotesi!H125</f>
        <v>6.5</v>
      </c>
      <c r="P343" s="17" t="n">
        <f aca="false">INDEX(Ipotesi!$C$43:$G$43,1,F343)*I343</f>
        <v>6</v>
      </c>
      <c r="Q343" s="17" t="n">
        <f aca="false">INDEX(Ipotesi!$C$44:$G$44,1,F343)*I343</f>
        <v>5</v>
      </c>
      <c r="R343" s="17" t="n">
        <f aca="false">INDEX(Ipotesi!$C$45:$G$45,1,F343)*I343</f>
        <v>1.5</v>
      </c>
      <c r="S343" s="17" t="n">
        <f aca="false">INDEX(Ipotesi!$C$52:$G$52,1,F343)*Ipotesi!H125</f>
        <v>7</v>
      </c>
      <c r="T343" s="17" t="n">
        <f aca="false">INDEX(Ipotesi!$C$53:$G$53,1,F343)*I343</f>
        <v>1</v>
      </c>
      <c r="U343" s="17" t="n">
        <f aca="false">INDEX(Ipotesi!$C$54:$G$54,1,F343)*I343</f>
        <v>0.5</v>
      </c>
      <c r="V343" s="15" t="n">
        <f aca="false">M343*INDEX(Ipotesi!$C$58:$G$58,1,F343)*K343/12</f>
        <v>7916.66666666667</v>
      </c>
      <c r="W343" s="15" t="n">
        <f aca="false">N343*Ipotesi!$C$59*(1+Ipotesi!$C$66)^(F343-1)/12</f>
        <v>6374.24083333333</v>
      </c>
      <c r="X343" s="15" t="n">
        <f aca="false">O343*Ipotesi!$C$60*(1+Ipotesi!$C$66)^(F343-1)/12</f>
        <v>29594.6895833333</v>
      </c>
      <c r="Y343" s="15" t="n">
        <f aca="false">P343*Ipotesi!$C$61*(1+Ipotesi!$C$66)^(F343-1)/12</f>
        <v>27318.175</v>
      </c>
      <c r="Z343" s="15" t="n">
        <f aca="false">Q343*Ipotesi!$C$62*(1+Ipotesi!$C$66)^(F343-1)/12</f>
        <v>20488.63125</v>
      </c>
      <c r="AA343" s="15" t="n">
        <f aca="false">R343*Ipotesi!$C$63*(1+Ipotesi!$C$66)^(F343-1)/12</f>
        <v>4780.680625</v>
      </c>
      <c r="AB343" s="15" t="n">
        <f aca="false">SUM(V343:AA343)</f>
        <v>96473.0839583333</v>
      </c>
      <c r="AC343" s="15" t="n">
        <f aca="false">(S343*Ipotesi!$C$64+T343*Ipotesi!$C$65+U343*Ipotesi!$C$63)*(1+Ipotesi!$C$66)^(F343-1)/12</f>
        <v>33829.0067083333</v>
      </c>
      <c r="AD343" s="15" t="n">
        <f aca="false">INDEX(Ipotesi!$C$48:$G$48,1,F343)*G343/12</f>
        <v>79.1666666666667</v>
      </c>
      <c r="AE343" s="15" t="n">
        <f aca="false">INDEX(Ipotesi!$C$50:$G$50,1,F343)*G343/12</f>
        <v>8.33333333333333</v>
      </c>
      <c r="AF343" s="15" t="n">
        <f aca="false">(S343*Parametri_v3!$C$7*Parametri_v3!$C$8+Parametri_v3!$C$10)/12</f>
        <v>89.8333333333333</v>
      </c>
      <c r="AG343" s="15" t="n">
        <f aca="false">AD343+AE343*(1+Parametri_v3!$C$9)</f>
        <v>91.6666666666667</v>
      </c>
      <c r="AH343" s="16" t="n">
        <f aca="false">IF(AG343=0,1,MIN(1,AF343/AG343))</f>
        <v>0.98</v>
      </c>
      <c r="AI343" s="15" t="n">
        <f aca="false">AD343*AH343</f>
        <v>77.5833333333333</v>
      </c>
      <c r="AJ343" s="15" t="n">
        <f aca="false">AE343*AH343</f>
        <v>8.16666666666667</v>
      </c>
      <c r="AK343" s="15" t="n">
        <f aca="false">AI343*INDEX(Ipotesi!$C$49:$G$49,1,F343)*H343</f>
        <v>69825</v>
      </c>
      <c r="AL343" s="15" t="n">
        <f aca="false">AJ343*INDEX(Ipotesi!$C$51:$G$51,1,F343)*H343</f>
        <v>20416.6666666667</v>
      </c>
      <c r="AM343" s="15" t="n">
        <f aca="false">AK343+AL343</f>
        <v>90241.6666666667</v>
      </c>
      <c r="AN343" s="15" t="n">
        <f aca="false">INDEX(Ipotesi!$C$30:$G$30,1,F343)*G343/12</f>
        <v>61.6666666666667</v>
      </c>
      <c r="AO343" s="15" t="n">
        <f aca="false">O343*Parametri_v3!$C$7*Parametri_v3!$C$11*(1-Parametri_v3!$C$14)/12</f>
        <v>66.7333333333333</v>
      </c>
      <c r="AP343" s="15" t="n">
        <f aca="false">MIN(AN343,AO343)</f>
        <v>61.6666666666667</v>
      </c>
      <c r="AQ343" s="15" t="n">
        <f aca="false">AP343*INDEX(Ipotesi!$C$31:$G$31,1,F343)*H343</f>
        <v>64750</v>
      </c>
      <c r="AR343" s="15" t="n">
        <f aca="false">INDEX(Ipotesi!$C$75:$G$75,1,F343)*J343/12</f>
        <v>27916.6666666667</v>
      </c>
      <c r="AS343" s="15" t="n">
        <f aca="false">INDEX(Ipotesi!$C$81:$G$81,1,F343)*J343/12</f>
        <v>1666.66666666667</v>
      </c>
      <c r="AT343" s="15" t="n">
        <f aca="false">AR343*Parametri_v3!$C$15+Z343*Parametri_v3!$C$16</f>
        <v>42258.7085416667</v>
      </c>
      <c r="AU343" s="15" t="n">
        <f aca="false">Q343*Parametri_v3!$C$16*Parametri_v3!$C$17</f>
        <v>350</v>
      </c>
      <c r="AV343" s="17" t="n">
        <f aca="false">BD342</f>
        <v>97.0520284130686</v>
      </c>
      <c r="AW343" s="17" t="n">
        <f aca="false">AV343*(1-(1-INDEX(Ipotesi!$C$34:$G$34,1,F343))^(1/12))</f>
        <v>0.848391074751218</v>
      </c>
      <c r="AX343" s="15" t="n">
        <f aca="false">ROUND(INDEX(Ipotesi!$C$32:$G$32,1,F343)*Ipotesi!H8,0)</f>
        <v>310</v>
      </c>
      <c r="AY343" s="15" t="n">
        <f aca="false">MAX(0,(AX343-(AV343-AW343))/(13-E343))</f>
        <v>21.3796362661683</v>
      </c>
      <c r="AZ343" s="15" t="n">
        <f aca="false">MIN(P343*Parametri_v3!$C$22,Q343*(1-Parametri_v3!$C$16)*Parametri_v3!$C$23)</f>
        <v>225</v>
      </c>
      <c r="BA343" s="15" t="n">
        <f aca="false">IF(OR(INDEX(Ipotesi!$C$35:$G$35,1,F343)&lt;=0,39-Parametri_v3!$C$21&lt;1),0,INDEX($AT$305:$AT$364,MAX(1,39-Parametri_v3!$C$21))/(INDEX(Ipotesi!$C$35:$G$35,1,F343)*Ipotesi!H27))</f>
        <v>5.18990833333333</v>
      </c>
      <c r="BB343" s="15" t="n">
        <f aca="false">IF(39-Parametri_v3!$C$21&lt;1,0,INDEX($AU$305:$AU$364,MAX(1,39-Parametri_v3!$C$21)))*Parametri_v3!$C$18*Parametri_v3!$C$19*Parametri_v3!$C$20</f>
        <v>10.5</v>
      </c>
      <c r="BC343" s="17" t="n">
        <f aca="false">MAX(0,MIN(AY343,BA343,BB343,MAX(0,AZ343-(AV343-AW343))))</f>
        <v>5.18990833333333</v>
      </c>
      <c r="BD343" s="17" t="n">
        <f aca="false">AV343-AW343+BC343</f>
        <v>101.393545671651</v>
      </c>
      <c r="BE343" s="17" t="n">
        <f aca="false">(AV343+BD343)/2</f>
        <v>99.2227870423596</v>
      </c>
      <c r="BF343" s="15" t="n">
        <f aca="false">BE343*INDEX(Ipotesi!$C$33:$G$33,1,F343)*H343/12</f>
        <v>49611.3935211798</v>
      </c>
      <c r="BG343" s="15" t="n">
        <f aca="false">BD343*INDEX(Ipotesi!$C$33:$G$33,1,F343)*H343</f>
        <v>608361.274029904</v>
      </c>
      <c r="BH343" s="15" t="n">
        <f aca="false">AM343*INDEX(Ipotesi!$C$37:$G$37,1,F343)</f>
        <v>9024.16666666667</v>
      </c>
      <c r="BI343" s="15" t="n">
        <f aca="false">AQ343+BF343+BH343</f>
        <v>123385.560187847</v>
      </c>
      <c r="BJ343" s="15" t="n">
        <f aca="false">INDEX(Ipotesi!$C$68:$G$68,1,F343)*Ipotesi!$C$69/12</f>
        <v>3000</v>
      </c>
      <c r="BK343" s="15" t="n">
        <f aca="false">INDEX(Ipotesi!$C$68:$G$68,1,F343)*(1-Ipotesi!$C$69)/12</f>
        <v>4500</v>
      </c>
      <c r="BL343" s="15" t="n">
        <f aca="false">(AQ343+BF343)*Ipotesi!$C$67</f>
        <v>3430.84180563539</v>
      </c>
      <c r="BM343" s="15" t="n">
        <f aca="false">AM343*Ipotesi!$C$67</f>
        <v>2707.25</v>
      </c>
      <c r="BN343" s="15" t="n">
        <f aca="false">INDEX(Ipotesi!$C$72:$G$72,1,F343)/12*Ipotesi!H126+BF343*Ipotesi!$C$73</f>
        <v>5218.91148169439</v>
      </c>
      <c r="BO343" s="15" t="n">
        <f aca="false">INDEX(Ipotesi!$C$74:$G$74,1,F343)/12*Ipotesi!H126</f>
        <v>4166.66666666667</v>
      </c>
      <c r="BP343" s="15" t="n">
        <f aca="false">INDEX(Ipotesi!$C$76:$G$76,1,F343)/12</f>
        <v>1500</v>
      </c>
      <c r="BQ343" s="15" t="n">
        <f aca="false">INDEX(Ipotesi!$C$77:$G$77,1,F343)/12*Ipotesi!H126</f>
        <v>2083.33333333333</v>
      </c>
      <c r="BR343" s="15" t="n">
        <f aca="false">INDEX(Ipotesi!$C$78:$G$78,1,F343)/12</f>
        <v>2000</v>
      </c>
      <c r="BS343" s="15" t="n">
        <f aca="false">SUM(M343:R343)*(Ipotesi!$C$85+Ipotesi!$C$86)/12</f>
        <v>6125</v>
      </c>
      <c r="BT343" s="15" t="n">
        <f aca="false">BI343*Ipotesi!$C$87</f>
        <v>3701.56680563539</v>
      </c>
      <c r="BU343" s="15" t="n">
        <f aca="false">INDEX(Ipotesi!$C$55:$G$55,1,F343)*K343/12</f>
        <v>2000</v>
      </c>
      <c r="BV343" s="15" t="n">
        <f aca="false">INDEX(Ipotesi!$C$80:$G$80,1,F343)/12*Ipotesi!H126</f>
        <v>1666.66666666667</v>
      </c>
      <c r="BW343" s="15" t="n">
        <f aca="false">INDEX(Ipotesi!$C$82:$G$82,1,F343)/12</f>
        <v>1250</v>
      </c>
      <c r="BX343" s="15" t="n">
        <f aca="false">INDEX(Ipotesi!$C$83:$G$83,1,F343)/12</f>
        <v>750</v>
      </c>
      <c r="BY343" s="15" t="n">
        <f aca="false">SUM(S343:U343)*(Ipotesi!$C$85+Ipotesi!$C$86)/12</f>
        <v>2479.16666666667</v>
      </c>
      <c r="BZ343" s="15" t="n">
        <f aca="false">AM343*Ipotesi!$C$87</f>
        <v>2707.25</v>
      </c>
      <c r="CA343" s="15" t="n">
        <f aca="false">AB343+BJ343+BL343+BN343+BO343+AR343+BP343+BQ343+BR343+BS343+BT343</f>
        <v>155616.070717965</v>
      </c>
      <c r="CB343" s="15" t="n">
        <f aca="false">AC343+BK343+BM343+BH343+BU343+BV343+AS343+BW343+BX343+BY343+BZ343</f>
        <v>62580.173375</v>
      </c>
      <c r="CC343" s="15" t="n">
        <f aca="false">BI343-CA343</f>
        <v>-32230.5105301187</v>
      </c>
      <c r="CD343" s="15" t="n">
        <f aca="false">AM343-CB343</f>
        <v>27661.4932916667</v>
      </c>
      <c r="CE343" s="15" t="n">
        <f aca="false">INDEX(Ipotesi!$C$79:$G$79,1,F343)/12</f>
        <v>3333.33333333333</v>
      </c>
      <c r="CF343" s="15" t="n">
        <f aca="false">INDEX(Ipotesi!$C$84:$G$84,1,F343)/12</f>
        <v>666.666666666667</v>
      </c>
      <c r="CG343" s="15" t="n">
        <f aca="false">Y343*MAX(0,Parametri_v3!$C$12-IF(P343=0,0,MIN(1,BE343/(P343*Parametri_v3!$C$22))))+W343*Parametri_v3!$C$13+X343*Parametri_v3!$C$14</f>
        <v>31906.5908993151</v>
      </c>
      <c r="CH343" s="15" t="n">
        <f aca="false">AB343*Parametri_v3!$C$32</f>
        <v>4823.65419791667</v>
      </c>
      <c r="CI343" s="15" t="n">
        <f aca="false">AC343*Parametri_v3!$C$32</f>
        <v>1691.45033541667</v>
      </c>
      <c r="CJ343" s="15" t="n">
        <f aca="false">CA343-AB343</f>
        <v>59142.9867596319</v>
      </c>
      <c r="CK343" s="15" t="n">
        <f aca="false">CB343-AC343-BH343</f>
        <v>19727</v>
      </c>
      <c r="CL343" s="15" t="n">
        <f aca="false">BF343*Ipotesi!$C$73+INDEX(Ipotesi!$C$72:$G$72,1,F343)/12*Ipotesi!H126*Parametri_v3!$C$58+Z343*(1-Parametri_v3!$C$16)</f>
        <v>11365.5008566944</v>
      </c>
      <c r="CM343" s="16" t="n">
        <f aca="false">IF(BF343=0,0,1-CL343/BF343)</f>
        <v>0.770909461516289</v>
      </c>
    </row>
    <row r="344" customFormat="false" ht="18" hidden="false" customHeight="true" outlineLevel="0" collapsed="false">
      <c r="A344" s="68" t="n">
        <f aca="false">6</f>
        <v>6</v>
      </c>
      <c r="B344" s="68" t="n">
        <f aca="false">40</f>
        <v>40</v>
      </c>
      <c r="C344" s="18" t="n">
        <f aca="false">EDATE(Parametri_v3!$C$5,40-1)</f>
        <v>47574</v>
      </c>
      <c r="D344" s="68" t="n">
        <f aca="false">YEAR(C344)</f>
        <v>2030</v>
      </c>
      <c r="E344" s="68" t="n">
        <f aca="false">MONTH(C344)</f>
        <v>4</v>
      </c>
      <c r="F344" s="68" t="n">
        <f aca="false">INT((40-1)/12)+1</f>
        <v>4</v>
      </c>
      <c r="G344" s="15" t="n">
        <f aca="false">Ipotesi!H7</f>
        <v>1</v>
      </c>
      <c r="H344" s="15" t="n">
        <f aca="false">Ipotesi!H9</f>
        <v>1</v>
      </c>
      <c r="I344" s="15" t="n">
        <f aca="false">Ipotesi!H10</f>
        <v>1</v>
      </c>
      <c r="J344" s="15" t="n">
        <f aca="false">Ipotesi!H11</f>
        <v>1</v>
      </c>
      <c r="K344" s="15" t="n">
        <f aca="false">Ipotesi!H12</f>
        <v>1</v>
      </c>
      <c r="L344" s="15" t="n">
        <f aca="false">Ipotesi!H13</f>
        <v>90</v>
      </c>
      <c r="M344" s="17" t="n">
        <f aca="false">INDEX(Ipotesi!$C$40:$G$40,1,F344)</f>
        <v>1</v>
      </c>
      <c r="N344" s="17" t="n">
        <f aca="false">INDEX(Ipotesi!$C$41:$G$41,1,F344)</f>
        <v>1</v>
      </c>
      <c r="O344" s="17" t="n">
        <f aca="false">INDEX(Ipotesi!$C$42:$G$42,1,F344)*Ipotesi!H125</f>
        <v>6.5</v>
      </c>
      <c r="P344" s="17" t="n">
        <f aca="false">INDEX(Ipotesi!$C$43:$G$43,1,F344)*I344</f>
        <v>6</v>
      </c>
      <c r="Q344" s="17" t="n">
        <f aca="false">INDEX(Ipotesi!$C$44:$G$44,1,F344)*I344</f>
        <v>5</v>
      </c>
      <c r="R344" s="17" t="n">
        <f aca="false">INDEX(Ipotesi!$C$45:$G$45,1,F344)*I344</f>
        <v>1.5</v>
      </c>
      <c r="S344" s="17" t="n">
        <f aca="false">INDEX(Ipotesi!$C$52:$G$52,1,F344)*Ipotesi!H125</f>
        <v>7</v>
      </c>
      <c r="T344" s="17" t="n">
        <f aca="false">INDEX(Ipotesi!$C$53:$G$53,1,F344)*I344</f>
        <v>1</v>
      </c>
      <c r="U344" s="17" t="n">
        <f aca="false">INDEX(Ipotesi!$C$54:$G$54,1,F344)*I344</f>
        <v>0.5</v>
      </c>
      <c r="V344" s="15" t="n">
        <f aca="false">M344*INDEX(Ipotesi!$C$58:$G$58,1,F344)*K344/12</f>
        <v>7916.66666666667</v>
      </c>
      <c r="W344" s="15" t="n">
        <f aca="false">N344*Ipotesi!$C$59*(1+Ipotesi!$C$66)^(F344-1)/12</f>
        <v>6374.24083333333</v>
      </c>
      <c r="X344" s="15" t="n">
        <f aca="false">O344*Ipotesi!$C$60*(1+Ipotesi!$C$66)^(F344-1)/12</f>
        <v>29594.6895833333</v>
      </c>
      <c r="Y344" s="15" t="n">
        <f aca="false">P344*Ipotesi!$C$61*(1+Ipotesi!$C$66)^(F344-1)/12</f>
        <v>27318.175</v>
      </c>
      <c r="Z344" s="15" t="n">
        <f aca="false">Q344*Ipotesi!$C$62*(1+Ipotesi!$C$66)^(F344-1)/12</f>
        <v>20488.63125</v>
      </c>
      <c r="AA344" s="15" t="n">
        <f aca="false">R344*Ipotesi!$C$63*(1+Ipotesi!$C$66)^(F344-1)/12</f>
        <v>4780.680625</v>
      </c>
      <c r="AB344" s="15" t="n">
        <f aca="false">SUM(V344:AA344)</f>
        <v>96473.0839583333</v>
      </c>
      <c r="AC344" s="15" t="n">
        <f aca="false">(S344*Ipotesi!$C$64+T344*Ipotesi!$C$65+U344*Ipotesi!$C$63)*(1+Ipotesi!$C$66)^(F344-1)/12</f>
        <v>33829.0067083333</v>
      </c>
      <c r="AD344" s="15" t="n">
        <f aca="false">INDEX(Ipotesi!$C$48:$G$48,1,F344)*G344/12</f>
        <v>79.1666666666667</v>
      </c>
      <c r="AE344" s="15" t="n">
        <f aca="false">INDEX(Ipotesi!$C$50:$G$50,1,F344)*G344/12</f>
        <v>8.33333333333333</v>
      </c>
      <c r="AF344" s="15" t="n">
        <f aca="false">(S344*Parametri_v3!$C$7*Parametri_v3!$C$8+Parametri_v3!$C$10)/12</f>
        <v>89.8333333333333</v>
      </c>
      <c r="AG344" s="15" t="n">
        <f aca="false">AD344+AE344*(1+Parametri_v3!$C$9)</f>
        <v>91.6666666666667</v>
      </c>
      <c r="AH344" s="16" t="n">
        <f aca="false">IF(AG344=0,1,MIN(1,AF344/AG344))</f>
        <v>0.98</v>
      </c>
      <c r="AI344" s="15" t="n">
        <f aca="false">AD344*AH344</f>
        <v>77.5833333333333</v>
      </c>
      <c r="AJ344" s="15" t="n">
        <f aca="false">AE344*AH344</f>
        <v>8.16666666666667</v>
      </c>
      <c r="AK344" s="15" t="n">
        <f aca="false">AI344*INDEX(Ipotesi!$C$49:$G$49,1,F344)*H344</f>
        <v>69825</v>
      </c>
      <c r="AL344" s="15" t="n">
        <f aca="false">AJ344*INDEX(Ipotesi!$C$51:$G$51,1,F344)*H344</f>
        <v>20416.6666666667</v>
      </c>
      <c r="AM344" s="15" t="n">
        <f aca="false">AK344+AL344</f>
        <v>90241.6666666667</v>
      </c>
      <c r="AN344" s="15" t="n">
        <f aca="false">INDEX(Ipotesi!$C$30:$G$30,1,F344)*G344/12</f>
        <v>61.6666666666667</v>
      </c>
      <c r="AO344" s="15" t="n">
        <f aca="false">O344*Parametri_v3!$C$7*Parametri_v3!$C$11*(1-Parametri_v3!$C$14)/12</f>
        <v>66.7333333333333</v>
      </c>
      <c r="AP344" s="15" t="n">
        <f aca="false">MIN(AN344,AO344)</f>
        <v>61.6666666666667</v>
      </c>
      <c r="AQ344" s="15" t="n">
        <f aca="false">AP344*INDEX(Ipotesi!$C$31:$G$31,1,F344)*H344</f>
        <v>64750</v>
      </c>
      <c r="AR344" s="15" t="n">
        <f aca="false">INDEX(Ipotesi!$C$75:$G$75,1,F344)*J344/12</f>
        <v>27916.6666666667</v>
      </c>
      <c r="AS344" s="15" t="n">
        <f aca="false">INDEX(Ipotesi!$C$81:$G$81,1,F344)*J344/12</f>
        <v>1666.66666666667</v>
      </c>
      <c r="AT344" s="15" t="n">
        <f aca="false">AR344*Parametri_v3!$C$15+Z344*Parametri_v3!$C$16</f>
        <v>42258.7085416667</v>
      </c>
      <c r="AU344" s="15" t="n">
        <f aca="false">Q344*Parametri_v3!$C$16*Parametri_v3!$C$17</f>
        <v>350</v>
      </c>
      <c r="AV344" s="17" t="n">
        <f aca="false">BD343</f>
        <v>101.393545671651</v>
      </c>
      <c r="AW344" s="17" t="n">
        <f aca="false">AV344*(1-(1-INDEX(Ipotesi!$C$34:$G$34,1,F344))^(1/12))</f>
        <v>0.886342929578844</v>
      </c>
      <c r="AX344" s="15" t="n">
        <f aca="false">ROUND(INDEX(Ipotesi!$C$32:$G$32,1,F344)*Ipotesi!H8,0)</f>
        <v>310</v>
      </c>
      <c r="AY344" s="15" t="n">
        <f aca="false">MAX(0,(AX344-(AV344-AW344))/(13-E344))</f>
        <v>23.2769774731031</v>
      </c>
      <c r="AZ344" s="15" t="n">
        <f aca="false">MIN(P344*Parametri_v3!$C$22,Q344*(1-Parametri_v3!$C$16)*Parametri_v3!$C$23)</f>
        <v>225</v>
      </c>
      <c r="BA344" s="15" t="n">
        <f aca="false">IF(OR(INDEX(Ipotesi!$C$35:$G$35,1,F344)&lt;=0,40-Parametri_v3!$C$21&lt;1),0,INDEX($AT$305:$AT$364,MAX(1,40-Parametri_v3!$C$21))/(INDEX(Ipotesi!$C$35:$G$35,1,F344)*Ipotesi!H27))</f>
        <v>7.04311809027778</v>
      </c>
      <c r="BB344" s="15" t="n">
        <f aca="false">IF(40-Parametri_v3!$C$21&lt;1,0,INDEX($AU$305:$AU$364,MAX(1,40-Parametri_v3!$C$21)))*Parametri_v3!$C$18*Parametri_v3!$C$19*Parametri_v3!$C$20</f>
        <v>13.125</v>
      </c>
      <c r="BC344" s="17" t="n">
        <f aca="false">MAX(0,MIN(AY344,BA344,BB344,MAX(0,AZ344-(AV344-AW344))))</f>
        <v>7.04311809027778</v>
      </c>
      <c r="BD344" s="17" t="n">
        <f aca="false">AV344-AW344+BC344</f>
        <v>107.55032083235</v>
      </c>
      <c r="BE344" s="17" t="n">
        <f aca="false">(AV344+BD344)/2</f>
        <v>104.471933252</v>
      </c>
      <c r="BF344" s="15" t="n">
        <f aca="false">BE344*INDEX(Ipotesi!$C$33:$G$33,1,F344)*H344/12</f>
        <v>52235.9666260001</v>
      </c>
      <c r="BG344" s="15" t="n">
        <f aca="false">BD344*INDEX(Ipotesi!$C$33:$G$33,1,F344)*H344</f>
        <v>645301.924994098</v>
      </c>
      <c r="BH344" s="15" t="n">
        <f aca="false">AM344*INDEX(Ipotesi!$C$37:$G$37,1,F344)</f>
        <v>9024.16666666667</v>
      </c>
      <c r="BI344" s="15" t="n">
        <f aca="false">AQ344+BF344+BH344</f>
        <v>126010.133292667</v>
      </c>
      <c r="BJ344" s="15" t="n">
        <f aca="false">INDEX(Ipotesi!$C$68:$G$68,1,F344)*Ipotesi!$C$69/12</f>
        <v>3000</v>
      </c>
      <c r="BK344" s="15" t="n">
        <f aca="false">INDEX(Ipotesi!$C$68:$G$68,1,F344)*(1-Ipotesi!$C$69)/12</f>
        <v>4500</v>
      </c>
      <c r="BL344" s="15" t="n">
        <f aca="false">(AQ344+BF344)*Ipotesi!$C$67</f>
        <v>3509.57899878</v>
      </c>
      <c r="BM344" s="15" t="n">
        <f aca="false">AM344*Ipotesi!$C$67</f>
        <v>2707.25</v>
      </c>
      <c r="BN344" s="15" t="n">
        <f aca="false">INDEX(Ipotesi!$C$72:$G$72,1,F344)/12*Ipotesi!H126+BF344*Ipotesi!$C$73</f>
        <v>5428.87733008001</v>
      </c>
      <c r="BO344" s="15" t="n">
        <f aca="false">INDEX(Ipotesi!$C$74:$G$74,1,F344)/12*Ipotesi!H126</f>
        <v>4166.66666666667</v>
      </c>
      <c r="BP344" s="15" t="n">
        <f aca="false">INDEX(Ipotesi!$C$76:$G$76,1,F344)/12</f>
        <v>1500</v>
      </c>
      <c r="BQ344" s="15" t="n">
        <f aca="false">INDEX(Ipotesi!$C$77:$G$77,1,F344)/12*Ipotesi!H126</f>
        <v>2083.33333333333</v>
      </c>
      <c r="BR344" s="15" t="n">
        <f aca="false">INDEX(Ipotesi!$C$78:$G$78,1,F344)/12</f>
        <v>2000</v>
      </c>
      <c r="BS344" s="15" t="n">
        <f aca="false">SUM(M344:R344)*(Ipotesi!$C$85+Ipotesi!$C$86)/12</f>
        <v>6125</v>
      </c>
      <c r="BT344" s="15" t="n">
        <f aca="false">BI344*Ipotesi!$C$87</f>
        <v>3780.30399878</v>
      </c>
      <c r="BU344" s="15" t="n">
        <f aca="false">INDEX(Ipotesi!$C$55:$G$55,1,F344)*K344/12</f>
        <v>2000</v>
      </c>
      <c r="BV344" s="15" t="n">
        <f aca="false">INDEX(Ipotesi!$C$80:$G$80,1,F344)/12*Ipotesi!H126</f>
        <v>1666.66666666667</v>
      </c>
      <c r="BW344" s="15" t="n">
        <f aca="false">INDEX(Ipotesi!$C$82:$G$82,1,F344)/12</f>
        <v>1250</v>
      </c>
      <c r="BX344" s="15" t="n">
        <f aca="false">INDEX(Ipotesi!$C$83:$G$83,1,F344)/12</f>
        <v>750</v>
      </c>
      <c r="BY344" s="15" t="n">
        <f aca="false">SUM(S344:U344)*(Ipotesi!$C$85+Ipotesi!$C$86)/12</f>
        <v>2479.16666666667</v>
      </c>
      <c r="BZ344" s="15" t="n">
        <f aca="false">AM344*Ipotesi!$C$87</f>
        <v>2707.25</v>
      </c>
      <c r="CA344" s="15" t="n">
        <f aca="false">AB344+BJ344+BL344+BN344+BO344+AR344+BP344+BQ344+BR344+BS344+BT344</f>
        <v>155983.51095264</v>
      </c>
      <c r="CB344" s="15" t="n">
        <f aca="false">AC344+BK344+BM344+BH344+BU344+BV344+AS344+BW344+BX344+BY344+BZ344</f>
        <v>62580.173375</v>
      </c>
      <c r="CC344" s="15" t="n">
        <f aca="false">BI344-CA344</f>
        <v>-29973.3776599733</v>
      </c>
      <c r="CD344" s="15" t="n">
        <f aca="false">AM344-CB344</f>
        <v>27661.4932916667</v>
      </c>
      <c r="CE344" s="15" t="n">
        <f aca="false">INDEX(Ipotesi!$C$79:$G$79,1,F344)/12</f>
        <v>3333.33333333333</v>
      </c>
      <c r="CF344" s="15" t="n">
        <f aca="false">INDEX(Ipotesi!$C$84:$G$84,1,F344)/12</f>
        <v>666.666666666667</v>
      </c>
      <c r="CG344" s="15" t="n">
        <f aca="false">Y344*MAX(0,Parametri_v3!$C$12-IF(P344=0,0,MIN(1,BE344/(P344*Parametri_v3!$C$22))))+W344*Parametri_v3!$C$13+X344*Parametri_v3!$C$14</f>
        <v>31667.5957413892</v>
      </c>
      <c r="CH344" s="15" t="n">
        <f aca="false">AB344*Parametri_v3!$C$32</f>
        <v>4823.65419791667</v>
      </c>
      <c r="CI344" s="15" t="n">
        <f aca="false">AC344*Parametri_v3!$C$32</f>
        <v>1691.45033541667</v>
      </c>
      <c r="CJ344" s="15" t="n">
        <f aca="false">CA344-AB344</f>
        <v>59510.4269943067</v>
      </c>
      <c r="CK344" s="15" t="n">
        <f aca="false">CB344-AC344-BH344</f>
        <v>19727</v>
      </c>
      <c r="CL344" s="15" t="n">
        <f aca="false">BF344*Ipotesi!$C$73+INDEX(Ipotesi!$C$72:$G$72,1,F344)/12*Ipotesi!H126*Parametri_v3!$C$58+Z344*(1-Parametri_v3!$C$16)</f>
        <v>11575.46670508</v>
      </c>
      <c r="CM344" s="16" t="n">
        <f aca="false">IF(BF344=0,0,1-CL344/BF344)</f>
        <v>0.778400449867077</v>
      </c>
    </row>
    <row r="345" customFormat="false" ht="18" hidden="false" customHeight="true" outlineLevel="0" collapsed="false">
      <c r="A345" s="68" t="n">
        <f aca="false">6</f>
        <v>6</v>
      </c>
      <c r="B345" s="68" t="n">
        <f aca="false">41</f>
        <v>41</v>
      </c>
      <c r="C345" s="18" t="n">
        <f aca="false">EDATE(Parametri_v3!$C$5,41-1)</f>
        <v>47604</v>
      </c>
      <c r="D345" s="68" t="n">
        <f aca="false">YEAR(C345)</f>
        <v>2030</v>
      </c>
      <c r="E345" s="68" t="n">
        <f aca="false">MONTH(C345)</f>
        <v>5</v>
      </c>
      <c r="F345" s="68" t="n">
        <f aca="false">INT((41-1)/12)+1</f>
        <v>4</v>
      </c>
      <c r="G345" s="15" t="n">
        <f aca="false">Ipotesi!H7</f>
        <v>1</v>
      </c>
      <c r="H345" s="15" t="n">
        <f aca="false">Ipotesi!H9</f>
        <v>1</v>
      </c>
      <c r="I345" s="15" t="n">
        <f aca="false">Ipotesi!H10</f>
        <v>1</v>
      </c>
      <c r="J345" s="15" t="n">
        <f aca="false">Ipotesi!H11</f>
        <v>1</v>
      </c>
      <c r="K345" s="15" t="n">
        <f aca="false">Ipotesi!H12</f>
        <v>1</v>
      </c>
      <c r="L345" s="15" t="n">
        <f aca="false">Ipotesi!H13</f>
        <v>90</v>
      </c>
      <c r="M345" s="17" t="n">
        <f aca="false">INDEX(Ipotesi!$C$40:$G$40,1,F345)</f>
        <v>1</v>
      </c>
      <c r="N345" s="17" t="n">
        <f aca="false">INDEX(Ipotesi!$C$41:$G$41,1,F345)</f>
        <v>1</v>
      </c>
      <c r="O345" s="17" t="n">
        <f aca="false">INDEX(Ipotesi!$C$42:$G$42,1,F345)*Ipotesi!H125</f>
        <v>6.5</v>
      </c>
      <c r="P345" s="17" t="n">
        <f aca="false">INDEX(Ipotesi!$C$43:$G$43,1,F345)*I345</f>
        <v>6</v>
      </c>
      <c r="Q345" s="17" t="n">
        <f aca="false">INDEX(Ipotesi!$C$44:$G$44,1,F345)*I345</f>
        <v>5</v>
      </c>
      <c r="R345" s="17" t="n">
        <f aca="false">INDEX(Ipotesi!$C$45:$G$45,1,F345)*I345</f>
        <v>1.5</v>
      </c>
      <c r="S345" s="17" t="n">
        <f aca="false">INDEX(Ipotesi!$C$52:$G$52,1,F345)*Ipotesi!H125</f>
        <v>7</v>
      </c>
      <c r="T345" s="17" t="n">
        <f aca="false">INDEX(Ipotesi!$C$53:$G$53,1,F345)*I345</f>
        <v>1</v>
      </c>
      <c r="U345" s="17" t="n">
        <f aca="false">INDEX(Ipotesi!$C$54:$G$54,1,F345)*I345</f>
        <v>0.5</v>
      </c>
      <c r="V345" s="15" t="n">
        <f aca="false">M345*INDEX(Ipotesi!$C$58:$G$58,1,F345)*K345/12</f>
        <v>7916.66666666667</v>
      </c>
      <c r="W345" s="15" t="n">
        <f aca="false">N345*Ipotesi!$C$59*(1+Ipotesi!$C$66)^(F345-1)/12</f>
        <v>6374.24083333333</v>
      </c>
      <c r="X345" s="15" t="n">
        <f aca="false">O345*Ipotesi!$C$60*(1+Ipotesi!$C$66)^(F345-1)/12</f>
        <v>29594.6895833333</v>
      </c>
      <c r="Y345" s="15" t="n">
        <f aca="false">P345*Ipotesi!$C$61*(1+Ipotesi!$C$66)^(F345-1)/12</f>
        <v>27318.175</v>
      </c>
      <c r="Z345" s="15" t="n">
        <f aca="false">Q345*Ipotesi!$C$62*(1+Ipotesi!$C$66)^(F345-1)/12</f>
        <v>20488.63125</v>
      </c>
      <c r="AA345" s="15" t="n">
        <f aca="false">R345*Ipotesi!$C$63*(1+Ipotesi!$C$66)^(F345-1)/12</f>
        <v>4780.680625</v>
      </c>
      <c r="AB345" s="15" t="n">
        <f aca="false">SUM(V345:AA345)</f>
        <v>96473.0839583333</v>
      </c>
      <c r="AC345" s="15" t="n">
        <f aca="false">(S345*Ipotesi!$C$64+T345*Ipotesi!$C$65+U345*Ipotesi!$C$63)*(1+Ipotesi!$C$66)^(F345-1)/12</f>
        <v>33829.0067083333</v>
      </c>
      <c r="AD345" s="15" t="n">
        <f aca="false">INDEX(Ipotesi!$C$48:$G$48,1,F345)*G345/12</f>
        <v>79.1666666666667</v>
      </c>
      <c r="AE345" s="15" t="n">
        <f aca="false">INDEX(Ipotesi!$C$50:$G$50,1,F345)*G345/12</f>
        <v>8.33333333333333</v>
      </c>
      <c r="AF345" s="15" t="n">
        <f aca="false">(S345*Parametri_v3!$C$7*Parametri_v3!$C$8+Parametri_v3!$C$10)/12</f>
        <v>89.8333333333333</v>
      </c>
      <c r="AG345" s="15" t="n">
        <f aca="false">AD345+AE345*(1+Parametri_v3!$C$9)</f>
        <v>91.6666666666667</v>
      </c>
      <c r="AH345" s="16" t="n">
        <f aca="false">IF(AG345=0,1,MIN(1,AF345/AG345))</f>
        <v>0.98</v>
      </c>
      <c r="AI345" s="15" t="n">
        <f aca="false">AD345*AH345</f>
        <v>77.5833333333333</v>
      </c>
      <c r="AJ345" s="15" t="n">
        <f aca="false">AE345*AH345</f>
        <v>8.16666666666667</v>
      </c>
      <c r="AK345" s="15" t="n">
        <f aca="false">AI345*INDEX(Ipotesi!$C$49:$G$49,1,F345)*H345</f>
        <v>69825</v>
      </c>
      <c r="AL345" s="15" t="n">
        <f aca="false">AJ345*INDEX(Ipotesi!$C$51:$G$51,1,F345)*H345</f>
        <v>20416.6666666667</v>
      </c>
      <c r="AM345" s="15" t="n">
        <f aca="false">AK345+AL345</f>
        <v>90241.6666666667</v>
      </c>
      <c r="AN345" s="15" t="n">
        <f aca="false">INDEX(Ipotesi!$C$30:$G$30,1,F345)*G345/12</f>
        <v>61.6666666666667</v>
      </c>
      <c r="AO345" s="15" t="n">
        <f aca="false">O345*Parametri_v3!$C$7*Parametri_v3!$C$11*(1-Parametri_v3!$C$14)/12</f>
        <v>66.7333333333333</v>
      </c>
      <c r="AP345" s="15" t="n">
        <f aca="false">MIN(AN345,AO345)</f>
        <v>61.6666666666667</v>
      </c>
      <c r="AQ345" s="15" t="n">
        <f aca="false">AP345*INDEX(Ipotesi!$C$31:$G$31,1,F345)*H345</f>
        <v>64750</v>
      </c>
      <c r="AR345" s="15" t="n">
        <f aca="false">INDEX(Ipotesi!$C$75:$G$75,1,F345)*J345/12</f>
        <v>27916.6666666667</v>
      </c>
      <c r="AS345" s="15" t="n">
        <f aca="false">INDEX(Ipotesi!$C$81:$G$81,1,F345)*J345/12</f>
        <v>1666.66666666667</v>
      </c>
      <c r="AT345" s="15" t="n">
        <f aca="false">AR345*Parametri_v3!$C$15+Z345*Parametri_v3!$C$16</f>
        <v>42258.7085416667</v>
      </c>
      <c r="AU345" s="15" t="n">
        <f aca="false">Q345*Parametri_v3!$C$16*Parametri_v3!$C$17</f>
        <v>350</v>
      </c>
      <c r="AV345" s="17" t="n">
        <f aca="false">BD344</f>
        <v>107.55032083235</v>
      </c>
      <c r="AW345" s="17" t="n">
        <f aca="false">AV345*(1-(1-INDEX(Ipotesi!$C$34:$G$34,1,F345))^(1/12))</f>
        <v>0.940163062769214</v>
      </c>
      <c r="AX345" s="15" t="n">
        <f aca="false">ROUND(INDEX(Ipotesi!$C$32:$G$32,1,F345)*Ipotesi!H8,0)</f>
        <v>310</v>
      </c>
      <c r="AY345" s="15" t="n">
        <f aca="false">MAX(0,(AX345-(AV345-AW345))/(13-E345))</f>
        <v>25.4237302788025</v>
      </c>
      <c r="AZ345" s="15" t="n">
        <f aca="false">MIN(P345*Parametri_v3!$C$22,Q345*(1-Parametri_v3!$C$16)*Parametri_v3!$C$23)</f>
        <v>225</v>
      </c>
      <c r="BA345" s="15" t="n">
        <f aca="false">IF(OR(INDEX(Ipotesi!$C$35:$G$35,1,F345)&lt;=0,41-Parametri_v3!$C$21&lt;1),0,INDEX($AT$305:$AT$364,MAX(1,41-Parametri_v3!$C$21))/(INDEX(Ipotesi!$C$35:$G$35,1,F345)*Ipotesi!H27))</f>
        <v>7.04311809027778</v>
      </c>
      <c r="BB345" s="15" t="n">
        <f aca="false">IF(41-Parametri_v3!$C$21&lt;1,0,INDEX($AU$305:$AU$364,MAX(1,41-Parametri_v3!$C$21)))*Parametri_v3!$C$18*Parametri_v3!$C$19*Parametri_v3!$C$20</f>
        <v>13.125</v>
      </c>
      <c r="BC345" s="17" t="n">
        <f aca="false">MAX(0,MIN(AY345,BA345,BB345,MAX(0,AZ345-(AV345-AW345))))</f>
        <v>7.04311809027778</v>
      </c>
      <c r="BD345" s="17" t="n">
        <f aca="false">AV345-AW345+BC345</f>
        <v>113.653275859858</v>
      </c>
      <c r="BE345" s="17" t="n">
        <f aca="false">(AV345+BD345)/2</f>
        <v>110.601798346104</v>
      </c>
      <c r="BF345" s="15" t="n">
        <f aca="false">BE345*INDEX(Ipotesi!$C$33:$G$33,1,F345)*H345/12</f>
        <v>55300.8991730519</v>
      </c>
      <c r="BG345" s="15" t="n">
        <f aca="false">BD345*INDEX(Ipotesi!$C$33:$G$33,1,F345)*H345</f>
        <v>681919.655159149</v>
      </c>
      <c r="BH345" s="15" t="n">
        <f aca="false">AM345*INDEX(Ipotesi!$C$37:$G$37,1,F345)</f>
        <v>9024.16666666667</v>
      </c>
      <c r="BI345" s="15" t="n">
        <f aca="false">AQ345+BF345+BH345</f>
        <v>129075.065839719</v>
      </c>
      <c r="BJ345" s="15" t="n">
        <f aca="false">INDEX(Ipotesi!$C$68:$G$68,1,F345)*Ipotesi!$C$69/12</f>
        <v>3000</v>
      </c>
      <c r="BK345" s="15" t="n">
        <f aca="false">INDEX(Ipotesi!$C$68:$G$68,1,F345)*(1-Ipotesi!$C$69)/12</f>
        <v>4500</v>
      </c>
      <c r="BL345" s="15" t="n">
        <f aca="false">(AQ345+BF345)*Ipotesi!$C$67</f>
        <v>3601.52697519156</v>
      </c>
      <c r="BM345" s="15" t="n">
        <f aca="false">AM345*Ipotesi!$C$67</f>
        <v>2707.25</v>
      </c>
      <c r="BN345" s="15" t="n">
        <f aca="false">INDEX(Ipotesi!$C$72:$G$72,1,F345)/12*Ipotesi!H126+BF345*Ipotesi!$C$73</f>
        <v>5674.07193384416</v>
      </c>
      <c r="BO345" s="15" t="n">
        <f aca="false">INDEX(Ipotesi!$C$74:$G$74,1,F345)/12*Ipotesi!H126</f>
        <v>4166.66666666667</v>
      </c>
      <c r="BP345" s="15" t="n">
        <f aca="false">INDEX(Ipotesi!$C$76:$G$76,1,F345)/12</f>
        <v>1500</v>
      </c>
      <c r="BQ345" s="15" t="n">
        <f aca="false">INDEX(Ipotesi!$C$77:$G$77,1,F345)/12*Ipotesi!H126</f>
        <v>2083.33333333333</v>
      </c>
      <c r="BR345" s="15" t="n">
        <f aca="false">INDEX(Ipotesi!$C$78:$G$78,1,F345)/12</f>
        <v>2000</v>
      </c>
      <c r="BS345" s="15" t="n">
        <f aca="false">SUM(M345:R345)*(Ipotesi!$C$85+Ipotesi!$C$86)/12</f>
        <v>6125</v>
      </c>
      <c r="BT345" s="15" t="n">
        <f aca="false">BI345*Ipotesi!$C$87</f>
        <v>3872.25197519156</v>
      </c>
      <c r="BU345" s="15" t="n">
        <f aca="false">INDEX(Ipotesi!$C$55:$G$55,1,F345)*K345/12</f>
        <v>2000</v>
      </c>
      <c r="BV345" s="15" t="n">
        <f aca="false">INDEX(Ipotesi!$C$80:$G$80,1,F345)/12*Ipotesi!H126</f>
        <v>1666.66666666667</v>
      </c>
      <c r="BW345" s="15" t="n">
        <f aca="false">INDEX(Ipotesi!$C$82:$G$82,1,F345)/12</f>
        <v>1250</v>
      </c>
      <c r="BX345" s="15" t="n">
        <f aca="false">INDEX(Ipotesi!$C$83:$G$83,1,F345)/12</f>
        <v>750</v>
      </c>
      <c r="BY345" s="15" t="n">
        <f aca="false">SUM(S345:U345)*(Ipotesi!$C$85+Ipotesi!$C$86)/12</f>
        <v>2479.16666666667</v>
      </c>
      <c r="BZ345" s="15" t="n">
        <f aca="false">AM345*Ipotesi!$C$87</f>
        <v>2707.25</v>
      </c>
      <c r="CA345" s="15" t="n">
        <f aca="false">AB345+BJ345+BL345+BN345+BO345+AR345+BP345+BQ345+BR345+BS345+BT345</f>
        <v>156412.601509227</v>
      </c>
      <c r="CB345" s="15" t="n">
        <f aca="false">AC345+BK345+BM345+BH345+BU345+BV345+AS345+BW345+BX345+BY345+BZ345</f>
        <v>62580.173375</v>
      </c>
      <c r="CC345" s="15" t="n">
        <f aca="false">BI345-CA345</f>
        <v>-27337.5356695087</v>
      </c>
      <c r="CD345" s="15" t="n">
        <f aca="false">AM345-CB345</f>
        <v>27661.4932916667</v>
      </c>
      <c r="CE345" s="15" t="n">
        <f aca="false">INDEX(Ipotesi!$C$79:$G$79,1,F345)/12</f>
        <v>3333.33333333333</v>
      </c>
      <c r="CF345" s="15" t="n">
        <f aca="false">INDEX(Ipotesi!$C$84:$G$84,1,F345)/12</f>
        <v>666.666666666667</v>
      </c>
      <c r="CG345" s="15" t="n">
        <f aca="false">Y345*MAX(0,Parametri_v3!$C$12-IF(P345=0,0,MIN(1,BE345/(P345*Parametri_v3!$C$22))))+W345*Parametri_v3!$C$13+X345*Parametri_v3!$C$14</f>
        <v>31388.5011957774</v>
      </c>
      <c r="CH345" s="15" t="n">
        <f aca="false">AB345*Parametri_v3!$C$32</f>
        <v>4823.65419791667</v>
      </c>
      <c r="CI345" s="15" t="n">
        <f aca="false">AC345*Parametri_v3!$C$32</f>
        <v>1691.45033541667</v>
      </c>
      <c r="CJ345" s="15" t="n">
        <f aca="false">CA345-AB345</f>
        <v>59939.5175508939</v>
      </c>
      <c r="CK345" s="15" t="n">
        <f aca="false">CB345-AC345-BH345</f>
        <v>19727</v>
      </c>
      <c r="CL345" s="15" t="n">
        <f aca="false">BF345*Ipotesi!$C$73+INDEX(Ipotesi!$C$72:$G$72,1,F345)/12*Ipotesi!H126*Parametri_v3!$C$58+Z345*(1-Parametri_v3!$C$16)</f>
        <v>11820.6613088442</v>
      </c>
      <c r="CM345" s="16" t="n">
        <f aca="false">IF(BF345=0,0,1-CL345/BF345)</f>
        <v>0.786248298208425</v>
      </c>
    </row>
    <row r="346" customFormat="false" ht="18" hidden="false" customHeight="true" outlineLevel="0" collapsed="false">
      <c r="A346" s="68" t="n">
        <f aca="false">6</f>
        <v>6</v>
      </c>
      <c r="B346" s="68" t="n">
        <f aca="false">42</f>
        <v>42</v>
      </c>
      <c r="C346" s="18" t="n">
        <f aca="false">EDATE(Parametri_v3!$C$5,42-1)</f>
        <v>47635</v>
      </c>
      <c r="D346" s="68" t="n">
        <f aca="false">YEAR(C346)</f>
        <v>2030</v>
      </c>
      <c r="E346" s="68" t="n">
        <f aca="false">MONTH(C346)</f>
        <v>6</v>
      </c>
      <c r="F346" s="68" t="n">
        <f aca="false">INT((42-1)/12)+1</f>
        <v>4</v>
      </c>
      <c r="G346" s="15" t="n">
        <f aca="false">Ipotesi!H7</f>
        <v>1</v>
      </c>
      <c r="H346" s="15" t="n">
        <f aca="false">Ipotesi!H9</f>
        <v>1</v>
      </c>
      <c r="I346" s="15" t="n">
        <f aca="false">Ipotesi!H10</f>
        <v>1</v>
      </c>
      <c r="J346" s="15" t="n">
        <f aca="false">Ipotesi!H11</f>
        <v>1</v>
      </c>
      <c r="K346" s="15" t="n">
        <f aca="false">Ipotesi!H12</f>
        <v>1</v>
      </c>
      <c r="L346" s="15" t="n">
        <f aca="false">Ipotesi!H13</f>
        <v>90</v>
      </c>
      <c r="M346" s="17" t="n">
        <f aca="false">INDEX(Ipotesi!$C$40:$G$40,1,F346)</f>
        <v>1</v>
      </c>
      <c r="N346" s="17" t="n">
        <f aca="false">INDEX(Ipotesi!$C$41:$G$41,1,F346)</f>
        <v>1</v>
      </c>
      <c r="O346" s="17" t="n">
        <f aca="false">INDEX(Ipotesi!$C$42:$G$42,1,F346)*Ipotesi!H125</f>
        <v>6.5</v>
      </c>
      <c r="P346" s="17" t="n">
        <f aca="false">INDEX(Ipotesi!$C$43:$G$43,1,F346)*I346</f>
        <v>6</v>
      </c>
      <c r="Q346" s="17" t="n">
        <f aca="false">INDEX(Ipotesi!$C$44:$G$44,1,F346)*I346</f>
        <v>5</v>
      </c>
      <c r="R346" s="17" t="n">
        <f aca="false">INDEX(Ipotesi!$C$45:$G$45,1,F346)*I346</f>
        <v>1.5</v>
      </c>
      <c r="S346" s="17" t="n">
        <f aca="false">INDEX(Ipotesi!$C$52:$G$52,1,F346)*Ipotesi!H125</f>
        <v>7</v>
      </c>
      <c r="T346" s="17" t="n">
        <f aca="false">INDEX(Ipotesi!$C$53:$G$53,1,F346)*I346</f>
        <v>1</v>
      </c>
      <c r="U346" s="17" t="n">
        <f aca="false">INDEX(Ipotesi!$C$54:$G$54,1,F346)*I346</f>
        <v>0.5</v>
      </c>
      <c r="V346" s="15" t="n">
        <f aca="false">M346*INDEX(Ipotesi!$C$58:$G$58,1,F346)*K346/12</f>
        <v>7916.66666666667</v>
      </c>
      <c r="W346" s="15" t="n">
        <f aca="false">N346*Ipotesi!$C$59*(1+Ipotesi!$C$66)^(F346-1)/12</f>
        <v>6374.24083333333</v>
      </c>
      <c r="X346" s="15" t="n">
        <f aca="false">O346*Ipotesi!$C$60*(1+Ipotesi!$C$66)^(F346-1)/12</f>
        <v>29594.6895833333</v>
      </c>
      <c r="Y346" s="15" t="n">
        <f aca="false">P346*Ipotesi!$C$61*(1+Ipotesi!$C$66)^(F346-1)/12</f>
        <v>27318.175</v>
      </c>
      <c r="Z346" s="15" t="n">
        <f aca="false">Q346*Ipotesi!$C$62*(1+Ipotesi!$C$66)^(F346-1)/12</f>
        <v>20488.63125</v>
      </c>
      <c r="AA346" s="15" t="n">
        <f aca="false">R346*Ipotesi!$C$63*(1+Ipotesi!$C$66)^(F346-1)/12</f>
        <v>4780.680625</v>
      </c>
      <c r="AB346" s="15" t="n">
        <f aca="false">SUM(V346:AA346)</f>
        <v>96473.0839583333</v>
      </c>
      <c r="AC346" s="15" t="n">
        <f aca="false">(S346*Ipotesi!$C$64+T346*Ipotesi!$C$65+U346*Ipotesi!$C$63)*(1+Ipotesi!$C$66)^(F346-1)/12</f>
        <v>33829.0067083333</v>
      </c>
      <c r="AD346" s="15" t="n">
        <f aca="false">INDEX(Ipotesi!$C$48:$G$48,1,F346)*G346/12</f>
        <v>79.1666666666667</v>
      </c>
      <c r="AE346" s="15" t="n">
        <f aca="false">INDEX(Ipotesi!$C$50:$G$50,1,F346)*G346/12</f>
        <v>8.33333333333333</v>
      </c>
      <c r="AF346" s="15" t="n">
        <f aca="false">(S346*Parametri_v3!$C$7*Parametri_v3!$C$8+Parametri_v3!$C$10)/12</f>
        <v>89.8333333333333</v>
      </c>
      <c r="AG346" s="15" t="n">
        <f aca="false">AD346+AE346*(1+Parametri_v3!$C$9)</f>
        <v>91.6666666666667</v>
      </c>
      <c r="AH346" s="16" t="n">
        <f aca="false">IF(AG346=0,1,MIN(1,AF346/AG346))</f>
        <v>0.98</v>
      </c>
      <c r="AI346" s="15" t="n">
        <f aca="false">AD346*AH346</f>
        <v>77.5833333333333</v>
      </c>
      <c r="AJ346" s="15" t="n">
        <f aca="false">AE346*AH346</f>
        <v>8.16666666666667</v>
      </c>
      <c r="AK346" s="15" t="n">
        <f aca="false">AI346*INDEX(Ipotesi!$C$49:$G$49,1,F346)*H346</f>
        <v>69825</v>
      </c>
      <c r="AL346" s="15" t="n">
        <f aca="false">AJ346*INDEX(Ipotesi!$C$51:$G$51,1,F346)*H346</f>
        <v>20416.6666666667</v>
      </c>
      <c r="AM346" s="15" t="n">
        <f aca="false">AK346+AL346</f>
        <v>90241.6666666667</v>
      </c>
      <c r="AN346" s="15" t="n">
        <f aca="false">INDEX(Ipotesi!$C$30:$G$30,1,F346)*G346/12</f>
        <v>61.6666666666667</v>
      </c>
      <c r="AO346" s="15" t="n">
        <f aca="false">O346*Parametri_v3!$C$7*Parametri_v3!$C$11*(1-Parametri_v3!$C$14)/12</f>
        <v>66.7333333333333</v>
      </c>
      <c r="AP346" s="15" t="n">
        <f aca="false">MIN(AN346,AO346)</f>
        <v>61.6666666666667</v>
      </c>
      <c r="AQ346" s="15" t="n">
        <f aca="false">AP346*INDEX(Ipotesi!$C$31:$G$31,1,F346)*H346</f>
        <v>64750</v>
      </c>
      <c r="AR346" s="15" t="n">
        <f aca="false">INDEX(Ipotesi!$C$75:$G$75,1,F346)*J346/12</f>
        <v>27916.6666666667</v>
      </c>
      <c r="AS346" s="15" t="n">
        <f aca="false">INDEX(Ipotesi!$C$81:$G$81,1,F346)*J346/12</f>
        <v>1666.66666666667</v>
      </c>
      <c r="AT346" s="15" t="n">
        <f aca="false">AR346*Parametri_v3!$C$15+Z346*Parametri_v3!$C$16</f>
        <v>42258.7085416667</v>
      </c>
      <c r="AU346" s="15" t="n">
        <f aca="false">Q346*Parametri_v3!$C$16*Parametri_v3!$C$17</f>
        <v>350</v>
      </c>
      <c r="AV346" s="17" t="n">
        <f aca="false">BD345</f>
        <v>113.653275859858</v>
      </c>
      <c r="AW346" s="17" t="n">
        <f aca="false">AV346*(1-(1-INDEX(Ipotesi!$C$34:$G$34,1,F346))^(1/12))</f>
        <v>0.993512721293705</v>
      </c>
      <c r="AX346" s="15" t="n">
        <f aca="false">ROUND(INDEX(Ipotesi!$C$32:$G$32,1,F346)*Ipotesi!H8,0)</f>
        <v>310</v>
      </c>
      <c r="AY346" s="15" t="n">
        <f aca="false">MAX(0,(AX346-(AV346-AW346))/(13-E346))</f>
        <v>28.1914624087765</v>
      </c>
      <c r="AZ346" s="15" t="n">
        <f aca="false">MIN(P346*Parametri_v3!$C$22,Q346*(1-Parametri_v3!$C$16)*Parametri_v3!$C$23)</f>
        <v>225</v>
      </c>
      <c r="BA346" s="15" t="n">
        <f aca="false">IF(OR(INDEX(Ipotesi!$C$35:$G$35,1,F346)&lt;=0,42-Parametri_v3!$C$21&lt;1),0,INDEX($AT$305:$AT$364,MAX(1,42-Parametri_v3!$C$21))/(INDEX(Ipotesi!$C$35:$G$35,1,F346)*Ipotesi!H27))</f>
        <v>7.04311809027778</v>
      </c>
      <c r="BB346" s="15" t="n">
        <f aca="false">IF(42-Parametri_v3!$C$21&lt;1,0,INDEX($AU$305:$AU$364,MAX(1,42-Parametri_v3!$C$21)))*Parametri_v3!$C$18*Parametri_v3!$C$19*Parametri_v3!$C$20</f>
        <v>13.125</v>
      </c>
      <c r="BC346" s="17" t="n">
        <f aca="false">MAX(0,MIN(AY346,BA346,BB346,MAX(0,AZ346-(AV346-AW346))))</f>
        <v>7.04311809027778</v>
      </c>
      <c r="BD346" s="17" t="n">
        <f aca="false">AV346-AW346+BC346</f>
        <v>119.702881228842</v>
      </c>
      <c r="BE346" s="17" t="n">
        <f aca="false">(AV346+BD346)/2</f>
        <v>116.67807854435</v>
      </c>
      <c r="BF346" s="15" t="n">
        <f aca="false">BE346*INDEX(Ipotesi!$C$33:$G$33,1,F346)*H346/12</f>
        <v>58339.0392721751</v>
      </c>
      <c r="BG346" s="15" t="n">
        <f aca="false">BD346*INDEX(Ipotesi!$C$33:$G$33,1,F346)*H346</f>
        <v>718217.287373054</v>
      </c>
      <c r="BH346" s="15" t="n">
        <f aca="false">AM346*INDEX(Ipotesi!$C$37:$G$37,1,F346)</f>
        <v>9024.16666666667</v>
      </c>
      <c r="BI346" s="15" t="n">
        <f aca="false">AQ346+BF346+BH346</f>
        <v>132113.205938842</v>
      </c>
      <c r="BJ346" s="15" t="n">
        <f aca="false">INDEX(Ipotesi!$C$68:$G$68,1,F346)*Ipotesi!$C$69/12</f>
        <v>3000</v>
      </c>
      <c r="BK346" s="15" t="n">
        <f aca="false">INDEX(Ipotesi!$C$68:$G$68,1,F346)*(1-Ipotesi!$C$69)/12</f>
        <v>4500</v>
      </c>
      <c r="BL346" s="15" t="n">
        <f aca="false">(AQ346+BF346)*Ipotesi!$C$67</f>
        <v>3692.67117816525</v>
      </c>
      <c r="BM346" s="15" t="n">
        <f aca="false">AM346*Ipotesi!$C$67</f>
        <v>2707.25</v>
      </c>
      <c r="BN346" s="15" t="n">
        <f aca="false">INDEX(Ipotesi!$C$72:$G$72,1,F346)/12*Ipotesi!H126+BF346*Ipotesi!$C$73</f>
        <v>5917.12314177401</v>
      </c>
      <c r="BO346" s="15" t="n">
        <f aca="false">INDEX(Ipotesi!$C$74:$G$74,1,F346)/12*Ipotesi!H126</f>
        <v>4166.66666666667</v>
      </c>
      <c r="BP346" s="15" t="n">
        <f aca="false">INDEX(Ipotesi!$C$76:$G$76,1,F346)/12</f>
        <v>1500</v>
      </c>
      <c r="BQ346" s="15" t="n">
        <f aca="false">INDEX(Ipotesi!$C$77:$G$77,1,F346)/12*Ipotesi!H126</f>
        <v>2083.33333333333</v>
      </c>
      <c r="BR346" s="15" t="n">
        <f aca="false">INDEX(Ipotesi!$C$78:$G$78,1,F346)/12</f>
        <v>2000</v>
      </c>
      <c r="BS346" s="15" t="n">
        <f aca="false">SUM(M346:R346)*(Ipotesi!$C$85+Ipotesi!$C$86)/12</f>
        <v>6125</v>
      </c>
      <c r="BT346" s="15" t="n">
        <f aca="false">BI346*Ipotesi!$C$87</f>
        <v>3963.39617816525</v>
      </c>
      <c r="BU346" s="15" t="n">
        <f aca="false">INDEX(Ipotesi!$C$55:$G$55,1,F346)*K346/12</f>
        <v>2000</v>
      </c>
      <c r="BV346" s="15" t="n">
        <f aca="false">INDEX(Ipotesi!$C$80:$G$80,1,F346)/12*Ipotesi!H126</f>
        <v>1666.66666666667</v>
      </c>
      <c r="BW346" s="15" t="n">
        <f aca="false">INDEX(Ipotesi!$C$82:$G$82,1,F346)/12</f>
        <v>1250</v>
      </c>
      <c r="BX346" s="15" t="n">
        <f aca="false">INDEX(Ipotesi!$C$83:$G$83,1,F346)/12</f>
        <v>750</v>
      </c>
      <c r="BY346" s="15" t="n">
        <f aca="false">SUM(S346:U346)*(Ipotesi!$C$85+Ipotesi!$C$86)/12</f>
        <v>2479.16666666667</v>
      </c>
      <c r="BZ346" s="15" t="n">
        <f aca="false">AM346*Ipotesi!$C$87</f>
        <v>2707.25</v>
      </c>
      <c r="CA346" s="15" t="n">
        <f aca="false">AB346+BJ346+BL346+BN346+BO346+AR346+BP346+BQ346+BR346+BS346+BT346</f>
        <v>156837.941123105</v>
      </c>
      <c r="CB346" s="15" t="n">
        <f aca="false">AC346+BK346+BM346+BH346+BU346+BV346+AS346+BW346+BX346+BY346+BZ346</f>
        <v>62580.173375</v>
      </c>
      <c r="CC346" s="15" t="n">
        <f aca="false">BI346-CA346</f>
        <v>-24724.7351842627</v>
      </c>
      <c r="CD346" s="15" t="n">
        <f aca="false">AM346-CB346</f>
        <v>27661.4932916667</v>
      </c>
      <c r="CE346" s="15" t="n">
        <f aca="false">INDEX(Ipotesi!$C$79:$G$79,1,F346)/12</f>
        <v>3333.33333333333</v>
      </c>
      <c r="CF346" s="15" t="n">
        <f aca="false">INDEX(Ipotesi!$C$84:$G$84,1,F346)/12</f>
        <v>666.666666666667</v>
      </c>
      <c r="CG346" s="15" t="n">
        <f aca="false">Y346*MAX(0,Parametri_v3!$C$12-IF(P346=0,0,MIN(1,BE346/(P346*Parametri_v3!$C$22))))+W346*Parametri_v3!$C$13+X346*Parametri_v3!$C$14</f>
        <v>31111.8463861028</v>
      </c>
      <c r="CH346" s="15" t="n">
        <f aca="false">AB346*Parametri_v3!$C$32</f>
        <v>4823.65419791667</v>
      </c>
      <c r="CI346" s="15" t="n">
        <f aca="false">AC346*Parametri_v3!$C$32</f>
        <v>1691.45033541667</v>
      </c>
      <c r="CJ346" s="15" t="n">
        <f aca="false">CA346-AB346</f>
        <v>60364.8571647712</v>
      </c>
      <c r="CK346" s="15" t="n">
        <f aca="false">CB346-AC346-BH346</f>
        <v>19727</v>
      </c>
      <c r="CL346" s="15" t="n">
        <f aca="false">BF346*Ipotesi!$C$73+INDEX(Ipotesi!$C$72:$G$72,1,F346)/12*Ipotesi!H126*Parametri_v3!$C$58+Z346*(1-Parametri_v3!$C$16)</f>
        <v>12063.712516774</v>
      </c>
      <c r="CM346" s="16" t="n">
        <f aca="false">IF(BF346=0,0,1-CL346/BF346)</f>
        <v>0.793213726738078</v>
      </c>
    </row>
    <row r="347" customFormat="false" ht="18" hidden="false" customHeight="true" outlineLevel="0" collapsed="false">
      <c r="A347" s="68" t="n">
        <f aca="false">6</f>
        <v>6</v>
      </c>
      <c r="B347" s="68" t="n">
        <f aca="false">43</f>
        <v>43</v>
      </c>
      <c r="C347" s="18" t="n">
        <f aca="false">EDATE(Parametri_v3!$C$5,43-1)</f>
        <v>47665</v>
      </c>
      <c r="D347" s="68" t="n">
        <f aca="false">YEAR(C347)</f>
        <v>2030</v>
      </c>
      <c r="E347" s="68" t="n">
        <f aca="false">MONTH(C347)</f>
        <v>7</v>
      </c>
      <c r="F347" s="68" t="n">
        <f aca="false">INT((43-1)/12)+1</f>
        <v>4</v>
      </c>
      <c r="G347" s="15" t="n">
        <f aca="false">Ipotesi!H7</f>
        <v>1</v>
      </c>
      <c r="H347" s="15" t="n">
        <f aca="false">Ipotesi!H9</f>
        <v>1</v>
      </c>
      <c r="I347" s="15" t="n">
        <f aca="false">Ipotesi!H10</f>
        <v>1</v>
      </c>
      <c r="J347" s="15" t="n">
        <f aca="false">Ipotesi!H11</f>
        <v>1</v>
      </c>
      <c r="K347" s="15" t="n">
        <f aca="false">Ipotesi!H12</f>
        <v>1</v>
      </c>
      <c r="L347" s="15" t="n">
        <f aca="false">Ipotesi!H13</f>
        <v>90</v>
      </c>
      <c r="M347" s="17" t="n">
        <f aca="false">INDEX(Ipotesi!$C$40:$G$40,1,F347)</f>
        <v>1</v>
      </c>
      <c r="N347" s="17" t="n">
        <f aca="false">INDEX(Ipotesi!$C$41:$G$41,1,F347)</f>
        <v>1</v>
      </c>
      <c r="O347" s="17" t="n">
        <f aca="false">INDEX(Ipotesi!$C$42:$G$42,1,F347)*Ipotesi!H125</f>
        <v>6.5</v>
      </c>
      <c r="P347" s="17" t="n">
        <f aca="false">INDEX(Ipotesi!$C$43:$G$43,1,F347)*I347</f>
        <v>6</v>
      </c>
      <c r="Q347" s="17" t="n">
        <f aca="false">INDEX(Ipotesi!$C$44:$G$44,1,F347)*I347</f>
        <v>5</v>
      </c>
      <c r="R347" s="17" t="n">
        <f aca="false">INDEX(Ipotesi!$C$45:$G$45,1,F347)*I347</f>
        <v>1.5</v>
      </c>
      <c r="S347" s="17" t="n">
        <f aca="false">INDEX(Ipotesi!$C$52:$G$52,1,F347)*Ipotesi!H125</f>
        <v>7</v>
      </c>
      <c r="T347" s="17" t="n">
        <f aca="false">INDEX(Ipotesi!$C$53:$G$53,1,F347)*I347</f>
        <v>1</v>
      </c>
      <c r="U347" s="17" t="n">
        <f aca="false">INDEX(Ipotesi!$C$54:$G$54,1,F347)*I347</f>
        <v>0.5</v>
      </c>
      <c r="V347" s="15" t="n">
        <f aca="false">M347*INDEX(Ipotesi!$C$58:$G$58,1,F347)*K347/12</f>
        <v>7916.66666666667</v>
      </c>
      <c r="W347" s="15" t="n">
        <f aca="false">N347*Ipotesi!$C$59*(1+Ipotesi!$C$66)^(F347-1)/12</f>
        <v>6374.24083333333</v>
      </c>
      <c r="X347" s="15" t="n">
        <f aca="false">O347*Ipotesi!$C$60*(1+Ipotesi!$C$66)^(F347-1)/12</f>
        <v>29594.6895833333</v>
      </c>
      <c r="Y347" s="15" t="n">
        <f aca="false">P347*Ipotesi!$C$61*(1+Ipotesi!$C$66)^(F347-1)/12</f>
        <v>27318.175</v>
      </c>
      <c r="Z347" s="15" t="n">
        <f aca="false">Q347*Ipotesi!$C$62*(1+Ipotesi!$C$66)^(F347-1)/12</f>
        <v>20488.63125</v>
      </c>
      <c r="AA347" s="15" t="n">
        <f aca="false">R347*Ipotesi!$C$63*(1+Ipotesi!$C$66)^(F347-1)/12</f>
        <v>4780.680625</v>
      </c>
      <c r="AB347" s="15" t="n">
        <f aca="false">SUM(V347:AA347)</f>
        <v>96473.0839583333</v>
      </c>
      <c r="AC347" s="15" t="n">
        <f aca="false">(S347*Ipotesi!$C$64+T347*Ipotesi!$C$65+U347*Ipotesi!$C$63)*(1+Ipotesi!$C$66)^(F347-1)/12</f>
        <v>33829.0067083333</v>
      </c>
      <c r="AD347" s="15" t="n">
        <f aca="false">INDEX(Ipotesi!$C$48:$G$48,1,F347)*G347/12</f>
        <v>79.1666666666667</v>
      </c>
      <c r="AE347" s="15" t="n">
        <f aca="false">INDEX(Ipotesi!$C$50:$G$50,1,F347)*G347/12</f>
        <v>8.33333333333333</v>
      </c>
      <c r="AF347" s="15" t="n">
        <f aca="false">(S347*Parametri_v3!$C$7*Parametri_v3!$C$8+Parametri_v3!$C$10)/12</f>
        <v>89.8333333333333</v>
      </c>
      <c r="AG347" s="15" t="n">
        <f aca="false">AD347+AE347*(1+Parametri_v3!$C$9)</f>
        <v>91.6666666666667</v>
      </c>
      <c r="AH347" s="16" t="n">
        <f aca="false">IF(AG347=0,1,MIN(1,AF347/AG347))</f>
        <v>0.98</v>
      </c>
      <c r="AI347" s="15" t="n">
        <f aca="false">AD347*AH347</f>
        <v>77.5833333333333</v>
      </c>
      <c r="AJ347" s="15" t="n">
        <f aca="false">AE347*AH347</f>
        <v>8.16666666666667</v>
      </c>
      <c r="AK347" s="15" t="n">
        <f aca="false">AI347*INDEX(Ipotesi!$C$49:$G$49,1,F347)*H347</f>
        <v>69825</v>
      </c>
      <c r="AL347" s="15" t="n">
        <f aca="false">AJ347*INDEX(Ipotesi!$C$51:$G$51,1,F347)*H347</f>
        <v>20416.6666666667</v>
      </c>
      <c r="AM347" s="15" t="n">
        <f aca="false">AK347+AL347</f>
        <v>90241.6666666667</v>
      </c>
      <c r="AN347" s="15" t="n">
        <f aca="false">INDEX(Ipotesi!$C$30:$G$30,1,F347)*G347/12</f>
        <v>61.6666666666667</v>
      </c>
      <c r="AO347" s="15" t="n">
        <f aca="false">O347*Parametri_v3!$C$7*Parametri_v3!$C$11*(1-Parametri_v3!$C$14)/12</f>
        <v>66.7333333333333</v>
      </c>
      <c r="AP347" s="15" t="n">
        <f aca="false">MIN(AN347,AO347)</f>
        <v>61.6666666666667</v>
      </c>
      <c r="AQ347" s="15" t="n">
        <f aca="false">AP347*INDEX(Ipotesi!$C$31:$G$31,1,F347)*H347</f>
        <v>64750</v>
      </c>
      <c r="AR347" s="15" t="n">
        <f aca="false">INDEX(Ipotesi!$C$75:$G$75,1,F347)*J347/12</f>
        <v>27916.6666666667</v>
      </c>
      <c r="AS347" s="15" t="n">
        <f aca="false">INDEX(Ipotesi!$C$81:$G$81,1,F347)*J347/12</f>
        <v>1666.66666666667</v>
      </c>
      <c r="AT347" s="15" t="n">
        <f aca="false">AR347*Parametri_v3!$C$15+Z347*Parametri_v3!$C$16</f>
        <v>42258.7085416667</v>
      </c>
      <c r="AU347" s="15" t="n">
        <f aca="false">Q347*Parametri_v3!$C$16*Parametri_v3!$C$17</f>
        <v>350</v>
      </c>
      <c r="AV347" s="17" t="n">
        <f aca="false">BD346</f>
        <v>119.702881228842</v>
      </c>
      <c r="AW347" s="17" t="n">
        <f aca="false">AV347*(1-(1-INDEX(Ipotesi!$C$34:$G$34,1,F347))^(1/12))</f>
        <v>1.04639601785881</v>
      </c>
      <c r="AX347" s="15" t="n">
        <f aca="false">ROUND(INDEX(Ipotesi!$C$32:$G$32,1,F347)*Ipotesi!H8,0)</f>
        <v>310</v>
      </c>
      <c r="AY347" s="15" t="n">
        <f aca="false">MAX(0,(AX347-(AV347-AW347))/(13-E347))</f>
        <v>31.8905857981694</v>
      </c>
      <c r="AZ347" s="15" t="n">
        <f aca="false">MIN(P347*Parametri_v3!$C$22,Q347*(1-Parametri_v3!$C$16)*Parametri_v3!$C$23)</f>
        <v>225</v>
      </c>
      <c r="BA347" s="15" t="n">
        <f aca="false">IF(OR(INDEX(Ipotesi!$C$35:$G$35,1,F347)&lt;=0,43-Parametri_v3!$C$21&lt;1),0,INDEX($AT$305:$AT$364,MAX(1,43-Parametri_v3!$C$21))/(INDEX(Ipotesi!$C$35:$G$35,1,F347)*Ipotesi!H27))</f>
        <v>7.04311809027778</v>
      </c>
      <c r="BB347" s="15" t="n">
        <f aca="false">IF(43-Parametri_v3!$C$21&lt;1,0,INDEX($AU$305:$AU$364,MAX(1,43-Parametri_v3!$C$21)))*Parametri_v3!$C$18*Parametri_v3!$C$19*Parametri_v3!$C$20</f>
        <v>13.125</v>
      </c>
      <c r="BC347" s="17" t="n">
        <f aca="false">MAX(0,MIN(AY347,BA347,BB347,MAX(0,AZ347-(AV347-AW347))))</f>
        <v>7.04311809027778</v>
      </c>
      <c r="BD347" s="17" t="n">
        <f aca="false">AV347-AW347+BC347</f>
        <v>125.699603301261</v>
      </c>
      <c r="BE347" s="17" t="n">
        <f aca="false">(AV347+BD347)/2</f>
        <v>122.701242265052</v>
      </c>
      <c r="BF347" s="15" t="n">
        <f aca="false">BE347*INDEX(Ipotesi!$C$33:$G$33,1,F347)*H347/12</f>
        <v>61350.6211325259</v>
      </c>
      <c r="BG347" s="15" t="n">
        <f aca="false">BD347*INDEX(Ipotesi!$C$33:$G$33,1,F347)*H347</f>
        <v>754197.619807567</v>
      </c>
      <c r="BH347" s="15" t="n">
        <f aca="false">AM347*INDEX(Ipotesi!$C$37:$G$37,1,F347)</f>
        <v>9024.16666666667</v>
      </c>
      <c r="BI347" s="15" t="n">
        <f aca="false">AQ347+BF347+BH347</f>
        <v>135124.787799193</v>
      </c>
      <c r="BJ347" s="15" t="n">
        <f aca="false">INDEX(Ipotesi!$C$68:$G$68,1,F347)*Ipotesi!$C$69/12</f>
        <v>3000</v>
      </c>
      <c r="BK347" s="15" t="n">
        <f aca="false">INDEX(Ipotesi!$C$68:$G$68,1,F347)*(1-Ipotesi!$C$69)/12</f>
        <v>4500</v>
      </c>
      <c r="BL347" s="15" t="n">
        <f aca="false">(AQ347+BF347)*Ipotesi!$C$67</f>
        <v>3783.01863397578</v>
      </c>
      <c r="BM347" s="15" t="n">
        <f aca="false">AM347*Ipotesi!$C$67</f>
        <v>2707.25</v>
      </c>
      <c r="BN347" s="15" t="n">
        <f aca="false">INDEX(Ipotesi!$C$72:$G$72,1,F347)/12*Ipotesi!H126+BF347*Ipotesi!$C$73</f>
        <v>6158.04969060207</v>
      </c>
      <c r="BO347" s="15" t="n">
        <f aca="false">INDEX(Ipotesi!$C$74:$G$74,1,F347)/12*Ipotesi!H126</f>
        <v>4166.66666666667</v>
      </c>
      <c r="BP347" s="15" t="n">
        <f aca="false">INDEX(Ipotesi!$C$76:$G$76,1,F347)/12</f>
        <v>1500</v>
      </c>
      <c r="BQ347" s="15" t="n">
        <f aca="false">INDEX(Ipotesi!$C$77:$G$77,1,F347)/12*Ipotesi!H126</f>
        <v>2083.33333333333</v>
      </c>
      <c r="BR347" s="15" t="n">
        <f aca="false">INDEX(Ipotesi!$C$78:$G$78,1,F347)/12</f>
        <v>2000</v>
      </c>
      <c r="BS347" s="15" t="n">
        <f aca="false">SUM(M347:R347)*(Ipotesi!$C$85+Ipotesi!$C$86)/12</f>
        <v>6125</v>
      </c>
      <c r="BT347" s="15" t="n">
        <f aca="false">BI347*Ipotesi!$C$87</f>
        <v>4053.74363397578</v>
      </c>
      <c r="BU347" s="15" t="n">
        <f aca="false">INDEX(Ipotesi!$C$55:$G$55,1,F347)*K347/12</f>
        <v>2000</v>
      </c>
      <c r="BV347" s="15" t="n">
        <f aca="false">INDEX(Ipotesi!$C$80:$G$80,1,F347)/12*Ipotesi!H126</f>
        <v>1666.66666666667</v>
      </c>
      <c r="BW347" s="15" t="n">
        <f aca="false">INDEX(Ipotesi!$C$82:$G$82,1,F347)/12</f>
        <v>1250</v>
      </c>
      <c r="BX347" s="15" t="n">
        <f aca="false">INDEX(Ipotesi!$C$83:$G$83,1,F347)/12</f>
        <v>750</v>
      </c>
      <c r="BY347" s="15" t="n">
        <f aca="false">SUM(S347:U347)*(Ipotesi!$C$85+Ipotesi!$C$86)/12</f>
        <v>2479.16666666667</v>
      </c>
      <c r="BZ347" s="15" t="n">
        <f aca="false">AM347*Ipotesi!$C$87</f>
        <v>2707.25</v>
      </c>
      <c r="CA347" s="15" t="n">
        <f aca="false">AB347+BJ347+BL347+BN347+BO347+AR347+BP347+BQ347+BR347+BS347+BT347</f>
        <v>157259.562583554</v>
      </c>
      <c r="CB347" s="15" t="n">
        <f aca="false">AC347+BK347+BM347+BH347+BU347+BV347+AS347+BW347+BX347+BY347+BZ347</f>
        <v>62580.173375</v>
      </c>
      <c r="CC347" s="15" t="n">
        <f aca="false">BI347-CA347</f>
        <v>-22134.7747843611</v>
      </c>
      <c r="CD347" s="15" t="n">
        <f aca="false">AM347-CB347</f>
        <v>27661.4932916667</v>
      </c>
      <c r="CE347" s="15" t="n">
        <f aca="false">INDEX(Ipotesi!$C$79:$G$79,1,F347)/12</f>
        <v>3333.33333333333</v>
      </c>
      <c r="CF347" s="15" t="n">
        <f aca="false">INDEX(Ipotesi!$C$84:$G$84,1,F347)/12</f>
        <v>666.666666666667</v>
      </c>
      <c r="CG347" s="15" t="n">
        <f aca="false">Y347*MAX(0,Parametri_v3!$C$12-IF(P347=0,0,MIN(1,BE347/(P347*Parametri_v3!$C$22))))+W347*Parametri_v3!$C$13+X347*Parametri_v3!$C$14</f>
        <v>30837.6099851432</v>
      </c>
      <c r="CH347" s="15" t="n">
        <f aca="false">AB347*Parametri_v3!$C$32</f>
        <v>4823.65419791667</v>
      </c>
      <c r="CI347" s="15" t="n">
        <f aca="false">AC347*Parametri_v3!$C$32</f>
        <v>1691.45033541667</v>
      </c>
      <c r="CJ347" s="15" t="n">
        <f aca="false">CA347-AB347</f>
        <v>60786.4786252203</v>
      </c>
      <c r="CK347" s="15" t="n">
        <f aca="false">CB347-AC347-BH347</f>
        <v>19727</v>
      </c>
      <c r="CL347" s="15" t="n">
        <f aca="false">BF347*Ipotesi!$C$73+INDEX(Ipotesi!$C$72:$G$72,1,F347)/12*Ipotesi!H126*Parametri_v3!$C$58+Z347*(1-Parametri_v3!$C$16)</f>
        <v>12304.6390656021</v>
      </c>
      <c r="CM347" s="16" t="n">
        <f aca="false">IF(BF347=0,0,1-CL347/BF347)</f>
        <v>0.79943741663149</v>
      </c>
    </row>
    <row r="348" customFormat="false" ht="18" hidden="false" customHeight="true" outlineLevel="0" collapsed="false">
      <c r="A348" s="68" t="n">
        <f aca="false">6</f>
        <v>6</v>
      </c>
      <c r="B348" s="68" t="n">
        <f aca="false">44</f>
        <v>44</v>
      </c>
      <c r="C348" s="18" t="n">
        <f aca="false">EDATE(Parametri_v3!$C$5,44-1)</f>
        <v>47696</v>
      </c>
      <c r="D348" s="68" t="n">
        <f aca="false">YEAR(C348)</f>
        <v>2030</v>
      </c>
      <c r="E348" s="68" t="n">
        <f aca="false">MONTH(C348)</f>
        <v>8</v>
      </c>
      <c r="F348" s="68" t="n">
        <f aca="false">INT((44-1)/12)+1</f>
        <v>4</v>
      </c>
      <c r="G348" s="15" t="n">
        <f aca="false">Ipotesi!H7</f>
        <v>1</v>
      </c>
      <c r="H348" s="15" t="n">
        <f aca="false">Ipotesi!H9</f>
        <v>1</v>
      </c>
      <c r="I348" s="15" t="n">
        <f aca="false">Ipotesi!H10</f>
        <v>1</v>
      </c>
      <c r="J348" s="15" t="n">
        <f aca="false">Ipotesi!H11</f>
        <v>1</v>
      </c>
      <c r="K348" s="15" t="n">
        <f aca="false">Ipotesi!H12</f>
        <v>1</v>
      </c>
      <c r="L348" s="15" t="n">
        <f aca="false">Ipotesi!H13</f>
        <v>90</v>
      </c>
      <c r="M348" s="17" t="n">
        <f aca="false">INDEX(Ipotesi!$C$40:$G$40,1,F348)</f>
        <v>1</v>
      </c>
      <c r="N348" s="17" t="n">
        <f aca="false">INDEX(Ipotesi!$C$41:$G$41,1,F348)</f>
        <v>1</v>
      </c>
      <c r="O348" s="17" t="n">
        <f aca="false">INDEX(Ipotesi!$C$42:$G$42,1,F348)*Ipotesi!H125</f>
        <v>6.5</v>
      </c>
      <c r="P348" s="17" t="n">
        <f aca="false">INDEX(Ipotesi!$C$43:$G$43,1,F348)*I348</f>
        <v>6</v>
      </c>
      <c r="Q348" s="17" t="n">
        <f aca="false">INDEX(Ipotesi!$C$44:$G$44,1,F348)*I348</f>
        <v>5</v>
      </c>
      <c r="R348" s="17" t="n">
        <f aca="false">INDEX(Ipotesi!$C$45:$G$45,1,F348)*I348</f>
        <v>1.5</v>
      </c>
      <c r="S348" s="17" t="n">
        <f aca="false">INDEX(Ipotesi!$C$52:$G$52,1,F348)*Ipotesi!H125</f>
        <v>7</v>
      </c>
      <c r="T348" s="17" t="n">
        <f aca="false">INDEX(Ipotesi!$C$53:$G$53,1,F348)*I348</f>
        <v>1</v>
      </c>
      <c r="U348" s="17" t="n">
        <f aca="false">INDEX(Ipotesi!$C$54:$G$54,1,F348)*I348</f>
        <v>0.5</v>
      </c>
      <c r="V348" s="15" t="n">
        <f aca="false">M348*INDEX(Ipotesi!$C$58:$G$58,1,F348)*K348/12</f>
        <v>7916.66666666667</v>
      </c>
      <c r="W348" s="15" t="n">
        <f aca="false">N348*Ipotesi!$C$59*(1+Ipotesi!$C$66)^(F348-1)/12</f>
        <v>6374.24083333333</v>
      </c>
      <c r="X348" s="15" t="n">
        <f aca="false">O348*Ipotesi!$C$60*(1+Ipotesi!$C$66)^(F348-1)/12</f>
        <v>29594.6895833333</v>
      </c>
      <c r="Y348" s="15" t="n">
        <f aca="false">P348*Ipotesi!$C$61*(1+Ipotesi!$C$66)^(F348-1)/12</f>
        <v>27318.175</v>
      </c>
      <c r="Z348" s="15" t="n">
        <f aca="false">Q348*Ipotesi!$C$62*(1+Ipotesi!$C$66)^(F348-1)/12</f>
        <v>20488.63125</v>
      </c>
      <c r="AA348" s="15" t="n">
        <f aca="false">R348*Ipotesi!$C$63*(1+Ipotesi!$C$66)^(F348-1)/12</f>
        <v>4780.680625</v>
      </c>
      <c r="AB348" s="15" t="n">
        <f aca="false">SUM(V348:AA348)</f>
        <v>96473.0839583333</v>
      </c>
      <c r="AC348" s="15" t="n">
        <f aca="false">(S348*Ipotesi!$C$64+T348*Ipotesi!$C$65+U348*Ipotesi!$C$63)*(1+Ipotesi!$C$66)^(F348-1)/12</f>
        <v>33829.0067083333</v>
      </c>
      <c r="AD348" s="15" t="n">
        <f aca="false">INDEX(Ipotesi!$C$48:$G$48,1,F348)*G348/12</f>
        <v>79.1666666666667</v>
      </c>
      <c r="AE348" s="15" t="n">
        <f aca="false">INDEX(Ipotesi!$C$50:$G$50,1,F348)*G348/12</f>
        <v>8.33333333333333</v>
      </c>
      <c r="AF348" s="15" t="n">
        <f aca="false">(S348*Parametri_v3!$C$7*Parametri_v3!$C$8+Parametri_v3!$C$10)/12</f>
        <v>89.8333333333333</v>
      </c>
      <c r="AG348" s="15" t="n">
        <f aca="false">AD348+AE348*(1+Parametri_v3!$C$9)</f>
        <v>91.6666666666667</v>
      </c>
      <c r="AH348" s="16" t="n">
        <f aca="false">IF(AG348=0,1,MIN(1,AF348/AG348))</f>
        <v>0.98</v>
      </c>
      <c r="AI348" s="15" t="n">
        <f aca="false">AD348*AH348</f>
        <v>77.5833333333333</v>
      </c>
      <c r="AJ348" s="15" t="n">
        <f aca="false">AE348*AH348</f>
        <v>8.16666666666667</v>
      </c>
      <c r="AK348" s="15" t="n">
        <f aca="false">AI348*INDEX(Ipotesi!$C$49:$G$49,1,F348)*H348</f>
        <v>69825</v>
      </c>
      <c r="AL348" s="15" t="n">
        <f aca="false">AJ348*INDEX(Ipotesi!$C$51:$G$51,1,F348)*H348</f>
        <v>20416.6666666667</v>
      </c>
      <c r="AM348" s="15" t="n">
        <f aca="false">AK348+AL348</f>
        <v>90241.6666666667</v>
      </c>
      <c r="AN348" s="15" t="n">
        <f aca="false">INDEX(Ipotesi!$C$30:$G$30,1,F348)*G348/12</f>
        <v>61.6666666666667</v>
      </c>
      <c r="AO348" s="15" t="n">
        <f aca="false">O348*Parametri_v3!$C$7*Parametri_v3!$C$11*(1-Parametri_v3!$C$14)/12</f>
        <v>66.7333333333333</v>
      </c>
      <c r="AP348" s="15" t="n">
        <f aca="false">MIN(AN348,AO348)</f>
        <v>61.6666666666667</v>
      </c>
      <c r="AQ348" s="15" t="n">
        <f aca="false">AP348*INDEX(Ipotesi!$C$31:$G$31,1,F348)*H348</f>
        <v>64750</v>
      </c>
      <c r="AR348" s="15" t="n">
        <f aca="false">INDEX(Ipotesi!$C$75:$G$75,1,F348)*J348/12</f>
        <v>27916.6666666667</v>
      </c>
      <c r="AS348" s="15" t="n">
        <f aca="false">INDEX(Ipotesi!$C$81:$G$81,1,F348)*J348/12</f>
        <v>1666.66666666667</v>
      </c>
      <c r="AT348" s="15" t="n">
        <f aca="false">AR348*Parametri_v3!$C$15+Z348*Parametri_v3!$C$16</f>
        <v>42258.7085416667</v>
      </c>
      <c r="AU348" s="15" t="n">
        <f aca="false">Q348*Parametri_v3!$C$16*Parametri_v3!$C$17</f>
        <v>350</v>
      </c>
      <c r="AV348" s="17" t="n">
        <f aca="false">BD347</f>
        <v>125.699603301261</v>
      </c>
      <c r="AW348" s="17" t="n">
        <f aca="false">AV348*(1-(1-INDEX(Ipotesi!$C$34:$G$34,1,F348))^(1/12))</f>
        <v>1.09881702921934</v>
      </c>
      <c r="AX348" s="15" t="n">
        <f aca="false">ROUND(INDEX(Ipotesi!$C$32:$G$32,1,F348)*Ipotesi!H8,0)</f>
        <v>310</v>
      </c>
      <c r="AY348" s="15" t="n">
        <f aca="false">MAX(0,(AX348-(AV348-AW348))/(13-E348))</f>
        <v>37.0798427455916</v>
      </c>
      <c r="AZ348" s="15" t="n">
        <f aca="false">MIN(P348*Parametri_v3!$C$22,Q348*(1-Parametri_v3!$C$16)*Parametri_v3!$C$23)</f>
        <v>225</v>
      </c>
      <c r="BA348" s="15" t="n">
        <f aca="false">IF(OR(INDEX(Ipotesi!$C$35:$G$35,1,F348)&lt;=0,44-Parametri_v3!$C$21&lt;1),0,INDEX($AT$305:$AT$364,MAX(1,44-Parametri_v3!$C$21))/(INDEX(Ipotesi!$C$35:$G$35,1,F348)*Ipotesi!H27))</f>
        <v>7.04311809027778</v>
      </c>
      <c r="BB348" s="15" t="n">
        <f aca="false">IF(44-Parametri_v3!$C$21&lt;1,0,INDEX($AU$305:$AU$364,MAX(1,44-Parametri_v3!$C$21)))*Parametri_v3!$C$18*Parametri_v3!$C$19*Parametri_v3!$C$20</f>
        <v>13.125</v>
      </c>
      <c r="BC348" s="17" t="n">
        <f aca="false">MAX(0,MIN(AY348,BA348,BB348,MAX(0,AZ348-(AV348-AW348))))</f>
        <v>7.04311809027778</v>
      </c>
      <c r="BD348" s="17" t="n">
        <f aca="false">AV348-AW348+BC348</f>
        <v>131.64390436232</v>
      </c>
      <c r="BE348" s="17" t="n">
        <f aca="false">(AV348+BD348)/2</f>
        <v>128.67175383179</v>
      </c>
      <c r="BF348" s="15" t="n">
        <f aca="false">BE348*INDEX(Ipotesi!$C$33:$G$33,1,F348)*H348/12</f>
        <v>64335.8769158952</v>
      </c>
      <c r="BG348" s="15" t="n">
        <f aca="false">BD348*INDEX(Ipotesi!$C$33:$G$33,1,F348)*H348</f>
        <v>789863.426173918</v>
      </c>
      <c r="BH348" s="15" t="n">
        <f aca="false">AM348*INDEX(Ipotesi!$C$37:$G$37,1,F348)</f>
        <v>9024.16666666667</v>
      </c>
      <c r="BI348" s="15" t="n">
        <f aca="false">AQ348+BF348+BH348</f>
        <v>138110.043582562</v>
      </c>
      <c r="BJ348" s="15" t="n">
        <f aca="false">INDEX(Ipotesi!$C$68:$G$68,1,F348)*Ipotesi!$C$69/12</f>
        <v>3000</v>
      </c>
      <c r="BK348" s="15" t="n">
        <f aca="false">INDEX(Ipotesi!$C$68:$G$68,1,F348)*(1-Ipotesi!$C$69)/12</f>
        <v>4500</v>
      </c>
      <c r="BL348" s="15" t="n">
        <f aca="false">(AQ348+BF348)*Ipotesi!$C$67</f>
        <v>3872.57630747686</v>
      </c>
      <c r="BM348" s="15" t="n">
        <f aca="false">AM348*Ipotesi!$C$67</f>
        <v>2707.25</v>
      </c>
      <c r="BN348" s="15" t="n">
        <f aca="false">INDEX(Ipotesi!$C$72:$G$72,1,F348)/12*Ipotesi!H126+BF348*Ipotesi!$C$73</f>
        <v>6396.87015327162</v>
      </c>
      <c r="BO348" s="15" t="n">
        <f aca="false">INDEX(Ipotesi!$C$74:$G$74,1,F348)/12*Ipotesi!H126</f>
        <v>4166.66666666667</v>
      </c>
      <c r="BP348" s="15" t="n">
        <f aca="false">INDEX(Ipotesi!$C$76:$G$76,1,F348)/12</f>
        <v>1500</v>
      </c>
      <c r="BQ348" s="15" t="n">
        <f aca="false">INDEX(Ipotesi!$C$77:$G$77,1,F348)/12*Ipotesi!H126</f>
        <v>2083.33333333333</v>
      </c>
      <c r="BR348" s="15" t="n">
        <f aca="false">INDEX(Ipotesi!$C$78:$G$78,1,F348)/12</f>
        <v>2000</v>
      </c>
      <c r="BS348" s="15" t="n">
        <f aca="false">SUM(M348:R348)*(Ipotesi!$C$85+Ipotesi!$C$86)/12</f>
        <v>6125</v>
      </c>
      <c r="BT348" s="15" t="n">
        <f aca="false">BI348*Ipotesi!$C$87</f>
        <v>4143.30130747686</v>
      </c>
      <c r="BU348" s="15" t="n">
        <f aca="false">INDEX(Ipotesi!$C$55:$G$55,1,F348)*K348/12</f>
        <v>2000</v>
      </c>
      <c r="BV348" s="15" t="n">
        <f aca="false">INDEX(Ipotesi!$C$80:$G$80,1,F348)/12*Ipotesi!H126</f>
        <v>1666.66666666667</v>
      </c>
      <c r="BW348" s="15" t="n">
        <f aca="false">INDEX(Ipotesi!$C$82:$G$82,1,F348)/12</f>
        <v>1250</v>
      </c>
      <c r="BX348" s="15" t="n">
        <f aca="false">INDEX(Ipotesi!$C$83:$G$83,1,F348)/12</f>
        <v>750</v>
      </c>
      <c r="BY348" s="15" t="n">
        <f aca="false">SUM(S348:U348)*(Ipotesi!$C$85+Ipotesi!$C$86)/12</f>
        <v>2479.16666666667</v>
      </c>
      <c r="BZ348" s="15" t="n">
        <f aca="false">AM348*Ipotesi!$C$87</f>
        <v>2707.25</v>
      </c>
      <c r="CA348" s="15" t="n">
        <f aca="false">AB348+BJ348+BL348+BN348+BO348+AR348+BP348+BQ348+BR348+BS348+BT348</f>
        <v>157677.498393225</v>
      </c>
      <c r="CB348" s="15" t="n">
        <f aca="false">AC348+BK348+BM348+BH348+BU348+BV348+AS348+BW348+BX348+BY348+BZ348</f>
        <v>62580.173375</v>
      </c>
      <c r="CC348" s="15" t="n">
        <f aca="false">BI348-CA348</f>
        <v>-19567.4548106635</v>
      </c>
      <c r="CD348" s="15" t="n">
        <f aca="false">AM348-CB348</f>
        <v>27661.4932916667</v>
      </c>
      <c r="CE348" s="15" t="n">
        <f aca="false">INDEX(Ipotesi!$C$79:$G$79,1,F348)/12</f>
        <v>3333.33333333333</v>
      </c>
      <c r="CF348" s="15" t="n">
        <f aca="false">INDEX(Ipotesi!$C$84:$G$84,1,F348)/12</f>
        <v>666.666666666667</v>
      </c>
      <c r="CG348" s="15" t="n">
        <f aca="false">Y348*MAX(0,Parametri_v3!$C$12-IF(P348=0,0,MIN(1,BE348/(P348*Parametri_v3!$C$22))))+W348*Parametri_v3!$C$13+X348*Parametri_v3!$C$14</f>
        <v>30565.7708521104</v>
      </c>
      <c r="CH348" s="15" t="n">
        <f aca="false">AB348*Parametri_v3!$C$32</f>
        <v>4823.65419791667</v>
      </c>
      <c r="CI348" s="15" t="n">
        <f aca="false">AC348*Parametri_v3!$C$32</f>
        <v>1691.45033541667</v>
      </c>
      <c r="CJ348" s="15" t="n">
        <f aca="false">CA348-AB348</f>
        <v>61204.414434892</v>
      </c>
      <c r="CK348" s="15" t="n">
        <f aca="false">CB348-AC348-BH348</f>
        <v>19727</v>
      </c>
      <c r="CL348" s="15" t="n">
        <f aca="false">BF348*Ipotesi!$C$73+INDEX(Ipotesi!$C$72:$G$72,1,F348)/12*Ipotesi!H126*Parametri_v3!$C$58+Z348*(1-Parametri_v3!$C$16)</f>
        <v>12543.4595282716</v>
      </c>
      <c r="CM348" s="16" t="n">
        <f aca="false">IF(BF348=0,0,1-CL348/BF348)</f>
        <v>0.80503165372768</v>
      </c>
    </row>
    <row r="349" customFormat="false" ht="18" hidden="false" customHeight="true" outlineLevel="0" collapsed="false">
      <c r="A349" s="68" t="n">
        <f aca="false">6</f>
        <v>6</v>
      </c>
      <c r="B349" s="68" t="n">
        <f aca="false">45</f>
        <v>45</v>
      </c>
      <c r="C349" s="18" t="n">
        <f aca="false">EDATE(Parametri_v3!$C$5,45-1)</f>
        <v>47727</v>
      </c>
      <c r="D349" s="68" t="n">
        <f aca="false">YEAR(C349)</f>
        <v>2030</v>
      </c>
      <c r="E349" s="68" t="n">
        <f aca="false">MONTH(C349)</f>
        <v>9</v>
      </c>
      <c r="F349" s="68" t="n">
        <f aca="false">INT((45-1)/12)+1</f>
        <v>4</v>
      </c>
      <c r="G349" s="15" t="n">
        <f aca="false">Ipotesi!H7</f>
        <v>1</v>
      </c>
      <c r="H349" s="15" t="n">
        <f aca="false">Ipotesi!H9</f>
        <v>1</v>
      </c>
      <c r="I349" s="15" t="n">
        <f aca="false">Ipotesi!H10</f>
        <v>1</v>
      </c>
      <c r="J349" s="15" t="n">
        <f aca="false">Ipotesi!H11</f>
        <v>1</v>
      </c>
      <c r="K349" s="15" t="n">
        <f aca="false">Ipotesi!H12</f>
        <v>1</v>
      </c>
      <c r="L349" s="15" t="n">
        <f aca="false">Ipotesi!H13</f>
        <v>90</v>
      </c>
      <c r="M349" s="17" t="n">
        <f aca="false">INDEX(Ipotesi!$C$40:$G$40,1,F349)</f>
        <v>1</v>
      </c>
      <c r="N349" s="17" t="n">
        <f aca="false">INDEX(Ipotesi!$C$41:$G$41,1,F349)</f>
        <v>1</v>
      </c>
      <c r="O349" s="17" t="n">
        <f aca="false">INDEX(Ipotesi!$C$42:$G$42,1,F349)*Ipotesi!H125</f>
        <v>6.5</v>
      </c>
      <c r="P349" s="17" t="n">
        <f aca="false">INDEX(Ipotesi!$C$43:$G$43,1,F349)*I349</f>
        <v>6</v>
      </c>
      <c r="Q349" s="17" t="n">
        <f aca="false">INDEX(Ipotesi!$C$44:$G$44,1,F349)*I349</f>
        <v>5</v>
      </c>
      <c r="R349" s="17" t="n">
        <f aca="false">INDEX(Ipotesi!$C$45:$G$45,1,F349)*I349</f>
        <v>1.5</v>
      </c>
      <c r="S349" s="17" t="n">
        <f aca="false">INDEX(Ipotesi!$C$52:$G$52,1,F349)*Ipotesi!H125</f>
        <v>7</v>
      </c>
      <c r="T349" s="17" t="n">
        <f aca="false">INDEX(Ipotesi!$C$53:$G$53,1,F349)*I349</f>
        <v>1</v>
      </c>
      <c r="U349" s="17" t="n">
        <f aca="false">INDEX(Ipotesi!$C$54:$G$54,1,F349)*I349</f>
        <v>0.5</v>
      </c>
      <c r="V349" s="15" t="n">
        <f aca="false">M349*INDEX(Ipotesi!$C$58:$G$58,1,F349)*K349/12</f>
        <v>7916.66666666667</v>
      </c>
      <c r="W349" s="15" t="n">
        <f aca="false">N349*Ipotesi!$C$59*(1+Ipotesi!$C$66)^(F349-1)/12</f>
        <v>6374.24083333333</v>
      </c>
      <c r="X349" s="15" t="n">
        <f aca="false">O349*Ipotesi!$C$60*(1+Ipotesi!$C$66)^(F349-1)/12</f>
        <v>29594.6895833333</v>
      </c>
      <c r="Y349" s="15" t="n">
        <f aca="false">P349*Ipotesi!$C$61*(1+Ipotesi!$C$66)^(F349-1)/12</f>
        <v>27318.175</v>
      </c>
      <c r="Z349" s="15" t="n">
        <f aca="false">Q349*Ipotesi!$C$62*(1+Ipotesi!$C$66)^(F349-1)/12</f>
        <v>20488.63125</v>
      </c>
      <c r="AA349" s="15" t="n">
        <f aca="false">R349*Ipotesi!$C$63*(1+Ipotesi!$C$66)^(F349-1)/12</f>
        <v>4780.680625</v>
      </c>
      <c r="AB349" s="15" t="n">
        <f aca="false">SUM(V349:AA349)</f>
        <v>96473.0839583333</v>
      </c>
      <c r="AC349" s="15" t="n">
        <f aca="false">(S349*Ipotesi!$C$64+T349*Ipotesi!$C$65+U349*Ipotesi!$C$63)*(1+Ipotesi!$C$66)^(F349-1)/12</f>
        <v>33829.0067083333</v>
      </c>
      <c r="AD349" s="15" t="n">
        <f aca="false">INDEX(Ipotesi!$C$48:$G$48,1,F349)*G349/12</f>
        <v>79.1666666666667</v>
      </c>
      <c r="AE349" s="15" t="n">
        <f aca="false">INDEX(Ipotesi!$C$50:$G$50,1,F349)*G349/12</f>
        <v>8.33333333333333</v>
      </c>
      <c r="AF349" s="15" t="n">
        <f aca="false">(S349*Parametri_v3!$C$7*Parametri_v3!$C$8+Parametri_v3!$C$10)/12</f>
        <v>89.8333333333333</v>
      </c>
      <c r="AG349" s="15" t="n">
        <f aca="false">AD349+AE349*(1+Parametri_v3!$C$9)</f>
        <v>91.6666666666667</v>
      </c>
      <c r="AH349" s="16" t="n">
        <f aca="false">IF(AG349=0,1,MIN(1,AF349/AG349))</f>
        <v>0.98</v>
      </c>
      <c r="AI349" s="15" t="n">
        <f aca="false">AD349*AH349</f>
        <v>77.5833333333333</v>
      </c>
      <c r="AJ349" s="15" t="n">
        <f aca="false">AE349*AH349</f>
        <v>8.16666666666667</v>
      </c>
      <c r="AK349" s="15" t="n">
        <f aca="false">AI349*INDEX(Ipotesi!$C$49:$G$49,1,F349)*H349</f>
        <v>69825</v>
      </c>
      <c r="AL349" s="15" t="n">
        <f aca="false">AJ349*INDEX(Ipotesi!$C$51:$G$51,1,F349)*H349</f>
        <v>20416.6666666667</v>
      </c>
      <c r="AM349" s="15" t="n">
        <f aca="false">AK349+AL349</f>
        <v>90241.6666666667</v>
      </c>
      <c r="AN349" s="15" t="n">
        <f aca="false">INDEX(Ipotesi!$C$30:$G$30,1,F349)*G349/12</f>
        <v>61.6666666666667</v>
      </c>
      <c r="AO349" s="15" t="n">
        <f aca="false">O349*Parametri_v3!$C$7*Parametri_v3!$C$11*(1-Parametri_v3!$C$14)/12</f>
        <v>66.7333333333333</v>
      </c>
      <c r="AP349" s="15" t="n">
        <f aca="false">MIN(AN349,AO349)</f>
        <v>61.6666666666667</v>
      </c>
      <c r="AQ349" s="15" t="n">
        <f aca="false">AP349*INDEX(Ipotesi!$C$31:$G$31,1,F349)*H349</f>
        <v>64750</v>
      </c>
      <c r="AR349" s="15" t="n">
        <f aca="false">INDEX(Ipotesi!$C$75:$G$75,1,F349)*J349/12</f>
        <v>27916.6666666667</v>
      </c>
      <c r="AS349" s="15" t="n">
        <f aca="false">INDEX(Ipotesi!$C$81:$G$81,1,F349)*J349/12</f>
        <v>1666.66666666667</v>
      </c>
      <c r="AT349" s="15" t="n">
        <f aca="false">AR349*Parametri_v3!$C$15+Z349*Parametri_v3!$C$16</f>
        <v>42258.7085416667</v>
      </c>
      <c r="AU349" s="15" t="n">
        <f aca="false">Q349*Parametri_v3!$C$16*Parametri_v3!$C$17</f>
        <v>350</v>
      </c>
      <c r="AV349" s="17" t="n">
        <f aca="false">BD348</f>
        <v>131.64390436232</v>
      </c>
      <c r="AW349" s="17" t="n">
        <f aca="false">AV349*(1-(1-INDEX(Ipotesi!$C$34:$G$34,1,F349))^(1/12))</f>
        <v>1.1507797964927</v>
      </c>
      <c r="AX349" s="15" t="n">
        <f aca="false">ROUND(INDEX(Ipotesi!$C$32:$G$32,1,F349)*Ipotesi!H8,0)</f>
        <v>310</v>
      </c>
      <c r="AY349" s="15" t="n">
        <f aca="false">MAX(0,(AX349-(AV349-AW349))/(13-E349))</f>
        <v>44.8767188585433</v>
      </c>
      <c r="AZ349" s="15" t="n">
        <f aca="false">MIN(P349*Parametri_v3!$C$22,Q349*(1-Parametri_v3!$C$16)*Parametri_v3!$C$23)</f>
        <v>225</v>
      </c>
      <c r="BA349" s="15" t="n">
        <f aca="false">IF(OR(INDEX(Ipotesi!$C$35:$G$35,1,F349)&lt;=0,45-Parametri_v3!$C$21&lt;1),0,INDEX($AT$305:$AT$364,MAX(1,45-Parametri_v3!$C$21))/(INDEX(Ipotesi!$C$35:$G$35,1,F349)*Ipotesi!H27))</f>
        <v>7.04311809027778</v>
      </c>
      <c r="BB349" s="15" t="n">
        <f aca="false">IF(45-Parametri_v3!$C$21&lt;1,0,INDEX($AU$305:$AU$364,MAX(1,45-Parametri_v3!$C$21)))*Parametri_v3!$C$18*Parametri_v3!$C$19*Parametri_v3!$C$20</f>
        <v>13.125</v>
      </c>
      <c r="BC349" s="17" t="n">
        <f aca="false">MAX(0,MIN(AY349,BA349,BB349,MAX(0,AZ349-(AV349-AW349))))</f>
        <v>7.04311809027778</v>
      </c>
      <c r="BD349" s="17" t="n">
        <f aca="false">AV349-AW349+BC349</f>
        <v>137.536242656105</v>
      </c>
      <c r="BE349" s="17" t="n">
        <f aca="false">(AV349+BD349)/2</f>
        <v>134.590073509212</v>
      </c>
      <c r="BF349" s="15" t="n">
        <f aca="false">BE349*INDEX(Ipotesi!$C$33:$G$33,1,F349)*H349/12</f>
        <v>67295.0367546061</v>
      </c>
      <c r="BG349" s="15" t="n">
        <f aca="false">BD349*INDEX(Ipotesi!$C$33:$G$33,1,F349)*H349</f>
        <v>825217.455936628</v>
      </c>
      <c r="BH349" s="15" t="n">
        <f aca="false">AM349*INDEX(Ipotesi!$C$37:$G$37,1,F349)</f>
        <v>9024.16666666667</v>
      </c>
      <c r="BI349" s="15" t="n">
        <f aca="false">AQ349+BF349+BH349</f>
        <v>141069.203421273</v>
      </c>
      <c r="BJ349" s="15" t="n">
        <f aca="false">INDEX(Ipotesi!$C$68:$G$68,1,F349)*Ipotesi!$C$69/12</f>
        <v>3000</v>
      </c>
      <c r="BK349" s="15" t="n">
        <f aca="false">INDEX(Ipotesi!$C$68:$G$68,1,F349)*(1-Ipotesi!$C$69)/12</f>
        <v>4500</v>
      </c>
      <c r="BL349" s="15" t="n">
        <f aca="false">(AQ349+BF349)*Ipotesi!$C$67</f>
        <v>3961.35110263818</v>
      </c>
      <c r="BM349" s="15" t="n">
        <f aca="false">AM349*Ipotesi!$C$67</f>
        <v>2707.25</v>
      </c>
      <c r="BN349" s="15" t="n">
        <f aca="false">INDEX(Ipotesi!$C$72:$G$72,1,F349)/12*Ipotesi!H126+BF349*Ipotesi!$C$73</f>
        <v>6633.60294036849</v>
      </c>
      <c r="BO349" s="15" t="n">
        <f aca="false">INDEX(Ipotesi!$C$74:$G$74,1,F349)/12*Ipotesi!H126</f>
        <v>4166.66666666667</v>
      </c>
      <c r="BP349" s="15" t="n">
        <f aca="false">INDEX(Ipotesi!$C$76:$G$76,1,F349)/12</f>
        <v>1500</v>
      </c>
      <c r="BQ349" s="15" t="n">
        <f aca="false">INDEX(Ipotesi!$C$77:$G$77,1,F349)/12*Ipotesi!H126</f>
        <v>2083.33333333333</v>
      </c>
      <c r="BR349" s="15" t="n">
        <f aca="false">INDEX(Ipotesi!$C$78:$G$78,1,F349)/12</f>
        <v>2000</v>
      </c>
      <c r="BS349" s="15" t="n">
        <f aca="false">SUM(M349:R349)*(Ipotesi!$C$85+Ipotesi!$C$86)/12</f>
        <v>6125</v>
      </c>
      <c r="BT349" s="15" t="n">
        <f aca="false">BI349*Ipotesi!$C$87</f>
        <v>4232.07610263818</v>
      </c>
      <c r="BU349" s="15" t="n">
        <f aca="false">INDEX(Ipotesi!$C$55:$G$55,1,F349)*K349/12</f>
        <v>2000</v>
      </c>
      <c r="BV349" s="15" t="n">
        <f aca="false">INDEX(Ipotesi!$C$80:$G$80,1,F349)/12*Ipotesi!H126</f>
        <v>1666.66666666667</v>
      </c>
      <c r="BW349" s="15" t="n">
        <f aca="false">INDEX(Ipotesi!$C$82:$G$82,1,F349)/12</f>
        <v>1250</v>
      </c>
      <c r="BX349" s="15" t="n">
        <f aca="false">INDEX(Ipotesi!$C$83:$G$83,1,F349)/12</f>
        <v>750</v>
      </c>
      <c r="BY349" s="15" t="n">
        <f aca="false">SUM(S349:U349)*(Ipotesi!$C$85+Ipotesi!$C$86)/12</f>
        <v>2479.16666666667</v>
      </c>
      <c r="BZ349" s="15" t="n">
        <f aca="false">AM349*Ipotesi!$C$87</f>
        <v>2707.25</v>
      </c>
      <c r="CA349" s="15" t="n">
        <f aca="false">AB349+BJ349+BL349+BN349+BO349+AR349+BP349+BQ349+BR349+BS349+BT349</f>
        <v>158091.780770645</v>
      </c>
      <c r="CB349" s="15" t="n">
        <f aca="false">AC349+BK349+BM349+BH349+BU349+BV349+AS349+BW349+BX349+BY349+BZ349</f>
        <v>62580.173375</v>
      </c>
      <c r="CC349" s="15" t="n">
        <f aca="false">BI349-CA349</f>
        <v>-17022.5773493721</v>
      </c>
      <c r="CD349" s="15" t="n">
        <f aca="false">AM349-CB349</f>
        <v>27661.4932916667</v>
      </c>
      <c r="CE349" s="15" t="n">
        <f aca="false">INDEX(Ipotesi!$C$79:$G$79,1,F349)/12</f>
        <v>3333.33333333333</v>
      </c>
      <c r="CF349" s="15" t="n">
        <f aca="false">INDEX(Ipotesi!$C$84:$G$84,1,F349)/12</f>
        <v>666.666666666667</v>
      </c>
      <c r="CG349" s="15" t="n">
        <f aca="false">Y349*MAX(0,Parametri_v3!$C$12-IF(P349=0,0,MIN(1,BE349/(P349*Parametri_v3!$C$22))))+W349*Parametri_v3!$C$13+X349*Parametri_v3!$C$14</f>
        <v>30296.3080310208</v>
      </c>
      <c r="CH349" s="15" t="n">
        <f aca="false">AB349*Parametri_v3!$C$32</f>
        <v>4823.65419791667</v>
      </c>
      <c r="CI349" s="15" t="n">
        <f aca="false">AC349*Parametri_v3!$C$32</f>
        <v>1691.45033541667</v>
      </c>
      <c r="CJ349" s="15" t="n">
        <f aca="false">CA349-AB349</f>
        <v>61618.6968123115</v>
      </c>
      <c r="CK349" s="15" t="n">
        <f aca="false">CB349-AC349-BH349</f>
        <v>19727</v>
      </c>
      <c r="CL349" s="15" t="n">
        <f aca="false">BF349*Ipotesi!$C$73+INDEX(Ipotesi!$C$72:$G$72,1,F349)/12*Ipotesi!H126*Parametri_v3!$C$58+Z349*(1-Parametri_v3!$C$16)</f>
        <v>12780.1923153685</v>
      </c>
      <c r="CM349" s="16" t="n">
        <f aca="false">IF(BF349=0,0,1-CL349/BF349)</f>
        <v>0.810087148596531</v>
      </c>
    </row>
    <row r="350" customFormat="false" ht="18" hidden="false" customHeight="true" outlineLevel="0" collapsed="false">
      <c r="A350" s="68" t="n">
        <f aca="false">6</f>
        <v>6</v>
      </c>
      <c r="B350" s="68" t="n">
        <f aca="false">46</f>
        <v>46</v>
      </c>
      <c r="C350" s="18" t="n">
        <f aca="false">EDATE(Parametri_v3!$C$5,46-1)</f>
        <v>47757</v>
      </c>
      <c r="D350" s="68" t="n">
        <f aca="false">YEAR(C350)</f>
        <v>2030</v>
      </c>
      <c r="E350" s="68" t="n">
        <f aca="false">MONTH(C350)</f>
        <v>10</v>
      </c>
      <c r="F350" s="68" t="n">
        <f aca="false">INT((46-1)/12)+1</f>
        <v>4</v>
      </c>
      <c r="G350" s="15" t="n">
        <f aca="false">Ipotesi!H7</f>
        <v>1</v>
      </c>
      <c r="H350" s="15" t="n">
        <f aca="false">Ipotesi!H9</f>
        <v>1</v>
      </c>
      <c r="I350" s="15" t="n">
        <f aca="false">Ipotesi!H10</f>
        <v>1</v>
      </c>
      <c r="J350" s="15" t="n">
        <f aca="false">Ipotesi!H11</f>
        <v>1</v>
      </c>
      <c r="K350" s="15" t="n">
        <f aca="false">Ipotesi!H12</f>
        <v>1</v>
      </c>
      <c r="L350" s="15" t="n">
        <f aca="false">Ipotesi!H13</f>
        <v>90</v>
      </c>
      <c r="M350" s="17" t="n">
        <f aca="false">INDEX(Ipotesi!$C$40:$G$40,1,F350)</f>
        <v>1</v>
      </c>
      <c r="N350" s="17" t="n">
        <f aca="false">INDEX(Ipotesi!$C$41:$G$41,1,F350)</f>
        <v>1</v>
      </c>
      <c r="O350" s="17" t="n">
        <f aca="false">INDEX(Ipotesi!$C$42:$G$42,1,F350)*Ipotesi!H125</f>
        <v>6.5</v>
      </c>
      <c r="P350" s="17" t="n">
        <f aca="false">INDEX(Ipotesi!$C$43:$G$43,1,F350)*I350</f>
        <v>6</v>
      </c>
      <c r="Q350" s="17" t="n">
        <f aca="false">INDEX(Ipotesi!$C$44:$G$44,1,F350)*I350</f>
        <v>5</v>
      </c>
      <c r="R350" s="17" t="n">
        <f aca="false">INDEX(Ipotesi!$C$45:$G$45,1,F350)*I350</f>
        <v>1.5</v>
      </c>
      <c r="S350" s="17" t="n">
        <f aca="false">INDEX(Ipotesi!$C$52:$G$52,1,F350)*Ipotesi!H125</f>
        <v>7</v>
      </c>
      <c r="T350" s="17" t="n">
        <f aca="false">INDEX(Ipotesi!$C$53:$G$53,1,F350)*I350</f>
        <v>1</v>
      </c>
      <c r="U350" s="17" t="n">
        <f aca="false">INDEX(Ipotesi!$C$54:$G$54,1,F350)*I350</f>
        <v>0.5</v>
      </c>
      <c r="V350" s="15" t="n">
        <f aca="false">M350*INDEX(Ipotesi!$C$58:$G$58,1,F350)*K350/12</f>
        <v>7916.66666666667</v>
      </c>
      <c r="W350" s="15" t="n">
        <f aca="false">N350*Ipotesi!$C$59*(1+Ipotesi!$C$66)^(F350-1)/12</f>
        <v>6374.24083333333</v>
      </c>
      <c r="X350" s="15" t="n">
        <f aca="false">O350*Ipotesi!$C$60*(1+Ipotesi!$C$66)^(F350-1)/12</f>
        <v>29594.6895833333</v>
      </c>
      <c r="Y350" s="15" t="n">
        <f aca="false">P350*Ipotesi!$C$61*(1+Ipotesi!$C$66)^(F350-1)/12</f>
        <v>27318.175</v>
      </c>
      <c r="Z350" s="15" t="n">
        <f aca="false">Q350*Ipotesi!$C$62*(1+Ipotesi!$C$66)^(F350-1)/12</f>
        <v>20488.63125</v>
      </c>
      <c r="AA350" s="15" t="n">
        <f aca="false">R350*Ipotesi!$C$63*(1+Ipotesi!$C$66)^(F350-1)/12</f>
        <v>4780.680625</v>
      </c>
      <c r="AB350" s="15" t="n">
        <f aca="false">SUM(V350:AA350)</f>
        <v>96473.0839583333</v>
      </c>
      <c r="AC350" s="15" t="n">
        <f aca="false">(S350*Ipotesi!$C$64+T350*Ipotesi!$C$65+U350*Ipotesi!$C$63)*(1+Ipotesi!$C$66)^(F350-1)/12</f>
        <v>33829.0067083333</v>
      </c>
      <c r="AD350" s="15" t="n">
        <f aca="false">INDEX(Ipotesi!$C$48:$G$48,1,F350)*G350/12</f>
        <v>79.1666666666667</v>
      </c>
      <c r="AE350" s="15" t="n">
        <f aca="false">INDEX(Ipotesi!$C$50:$G$50,1,F350)*G350/12</f>
        <v>8.33333333333333</v>
      </c>
      <c r="AF350" s="15" t="n">
        <f aca="false">(S350*Parametri_v3!$C$7*Parametri_v3!$C$8+Parametri_v3!$C$10)/12</f>
        <v>89.8333333333333</v>
      </c>
      <c r="AG350" s="15" t="n">
        <f aca="false">AD350+AE350*(1+Parametri_v3!$C$9)</f>
        <v>91.6666666666667</v>
      </c>
      <c r="AH350" s="16" t="n">
        <f aca="false">IF(AG350=0,1,MIN(1,AF350/AG350))</f>
        <v>0.98</v>
      </c>
      <c r="AI350" s="15" t="n">
        <f aca="false">AD350*AH350</f>
        <v>77.5833333333333</v>
      </c>
      <c r="AJ350" s="15" t="n">
        <f aca="false">AE350*AH350</f>
        <v>8.16666666666667</v>
      </c>
      <c r="AK350" s="15" t="n">
        <f aca="false">AI350*INDEX(Ipotesi!$C$49:$G$49,1,F350)*H350</f>
        <v>69825</v>
      </c>
      <c r="AL350" s="15" t="n">
        <f aca="false">AJ350*INDEX(Ipotesi!$C$51:$G$51,1,F350)*H350</f>
        <v>20416.6666666667</v>
      </c>
      <c r="AM350" s="15" t="n">
        <f aca="false">AK350+AL350</f>
        <v>90241.6666666667</v>
      </c>
      <c r="AN350" s="15" t="n">
        <f aca="false">INDEX(Ipotesi!$C$30:$G$30,1,F350)*G350/12</f>
        <v>61.6666666666667</v>
      </c>
      <c r="AO350" s="15" t="n">
        <f aca="false">O350*Parametri_v3!$C$7*Parametri_v3!$C$11*(1-Parametri_v3!$C$14)/12</f>
        <v>66.7333333333333</v>
      </c>
      <c r="AP350" s="15" t="n">
        <f aca="false">MIN(AN350,AO350)</f>
        <v>61.6666666666667</v>
      </c>
      <c r="AQ350" s="15" t="n">
        <f aca="false">AP350*INDEX(Ipotesi!$C$31:$G$31,1,F350)*H350</f>
        <v>64750</v>
      </c>
      <c r="AR350" s="15" t="n">
        <f aca="false">INDEX(Ipotesi!$C$75:$G$75,1,F350)*J350/12</f>
        <v>27916.6666666667</v>
      </c>
      <c r="AS350" s="15" t="n">
        <f aca="false">INDEX(Ipotesi!$C$81:$G$81,1,F350)*J350/12</f>
        <v>1666.66666666667</v>
      </c>
      <c r="AT350" s="15" t="n">
        <f aca="false">AR350*Parametri_v3!$C$15+Z350*Parametri_v3!$C$16</f>
        <v>42258.7085416667</v>
      </c>
      <c r="AU350" s="15" t="n">
        <f aca="false">Q350*Parametri_v3!$C$16*Parametri_v3!$C$17</f>
        <v>350</v>
      </c>
      <c r="AV350" s="17" t="n">
        <f aca="false">BD349</f>
        <v>137.536242656105</v>
      </c>
      <c r="AW350" s="17" t="n">
        <f aca="false">AV350*(1-(1-INDEX(Ipotesi!$C$34:$G$34,1,F350))^(1/12))</f>
        <v>1.20228832547043</v>
      </c>
      <c r="AX350" s="15" t="n">
        <f aca="false">ROUND(INDEX(Ipotesi!$C$32:$G$32,1,F350)*Ipotesi!H8,0)</f>
        <v>310</v>
      </c>
      <c r="AY350" s="15" t="n">
        <f aca="false">MAX(0,(AX350-(AV350-AW350))/(13-E350))</f>
        <v>57.8886818897886</v>
      </c>
      <c r="AZ350" s="15" t="n">
        <f aca="false">MIN(P350*Parametri_v3!$C$22,Q350*(1-Parametri_v3!$C$16)*Parametri_v3!$C$23)</f>
        <v>225</v>
      </c>
      <c r="BA350" s="15" t="n">
        <f aca="false">IF(OR(INDEX(Ipotesi!$C$35:$G$35,1,F350)&lt;=0,46-Parametri_v3!$C$21&lt;1),0,INDEX($AT$305:$AT$364,MAX(1,46-Parametri_v3!$C$21))/(INDEX(Ipotesi!$C$35:$G$35,1,F350)*Ipotesi!H27))</f>
        <v>7.04311809027778</v>
      </c>
      <c r="BB350" s="15" t="n">
        <f aca="false">IF(46-Parametri_v3!$C$21&lt;1,0,INDEX($AU$305:$AU$364,MAX(1,46-Parametri_v3!$C$21)))*Parametri_v3!$C$18*Parametri_v3!$C$19*Parametri_v3!$C$20</f>
        <v>13.125</v>
      </c>
      <c r="BC350" s="17" t="n">
        <f aca="false">MAX(0,MIN(AY350,BA350,BB350,MAX(0,AZ350-(AV350-AW350))))</f>
        <v>7.04311809027778</v>
      </c>
      <c r="BD350" s="17" t="n">
        <f aca="false">AV350-AW350+BC350</f>
        <v>143.377072420912</v>
      </c>
      <c r="BE350" s="17" t="n">
        <f aca="false">(AV350+BD350)/2</f>
        <v>140.456657538508</v>
      </c>
      <c r="BF350" s="15" t="n">
        <f aca="false">BE350*INDEX(Ipotesi!$C$33:$G$33,1,F350)*H350/12</f>
        <v>70228.3287692542</v>
      </c>
      <c r="BG350" s="15" t="n">
        <f aca="false">BD350*INDEX(Ipotesi!$C$33:$G$33,1,F350)*H350</f>
        <v>860262.434525473</v>
      </c>
      <c r="BH350" s="15" t="n">
        <f aca="false">AM350*INDEX(Ipotesi!$C$37:$G$37,1,F350)</f>
        <v>9024.16666666667</v>
      </c>
      <c r="BI350" s="15" t="n">
        <f aca="false">AQ350+BF350+BH350</f>
        <v>144002.495435921</v>
      </c>
      <c r="BJ350" s="15" t="n">
        <f aca="false">INDEX(Ipotesi!$C$68:$G$68,1,F350)*Ipotesi!$C$69/12</f>
        <v>3000</v>
      </c>
      <c r="BK350" s="15" t="n">
        <f aca="false">INDEX(Ipotesi!$C$68:$G$68,1,F350)*(1-Ipotesi!$C$69)/12</f>
        <v>4500</v>
      </c>
      <c r="BL350" s="15" t="n">
        <f aca="false">(AQ350+BF350)*Ipotesi!$C$67</f>
        <v>4049.34986307763</v>
      </c>
      <c r="BM350" s="15" t="n">
        <f aca="false">AM350*Ipotesi!$C$67</f>
        <v>2707.25</v>
      </c>
      <c r="BN350" s="15" t="n">
        <f aca="false">INDEX(Ipotesi!$C$72:$G$72,1,F350)/12*Ipotesi!H126+BF350*Ipotesi!$C$73</f>
        <v>6868.26630154034</v>
      </c>
      <c r="BO350" s="15" t="n">
        <f aca="false">INDEX(Ipotesi!$C$74:$G$74,1,F350)/12*Ipotesi!H126</f>
        <v>4166.66666666667</v>
      </c>
      <c r="BP350" s="15" t="n">
        <f aca="false">INDEX(Ipotesi!$C$76:$G$76,1,F350)/12</f>
        <v>1500</v>
      </c>
      <c r="BQ350" s="15" t="n">
        <f aca="false">INDEX(Ipotesi!$C$77:$G$77,1,F350)/12*Ipotesi!H126</f>
        <v>2083.33333333333</v>
      </c>
      <c r="BR350" s="15" t="n">
        <f aca="false">INDEX(Ipotesi!$C$78:$G$78,1,F350)/12</f>
        <v>2000</v>
      </c>
      <c r="BS350" s="15" t="n">
        <f aca="false">SUM(M350:R350)*(Ipotesi!$C$85+Ipotesi!$C$86)/12</f>
        <v>6125</v>
      </c>
      <c r="BT350" s="15" t="n">
        <f aca="false">BI350*Ipotesi!$C$87</f>
        <v>4320.07486307763</v>
      </c>
      <c r="BU350" s="15" t="n">
        <f aca="false">INDEX(Ipotesi!$C$55:$G$55,1,F350)*K350/12</f>
        <v>2000</v>
      </c>
      <c r="BV350" s="15" t="n">
        <f aca="false">INDEX(Ipotesi!$C$80:$G$80,1,F350)/12*Ipotesi!H126</f>
        <v>1666.66666666667</v>
      </c>
      <c r="BW350" s="15" t="n">
        <f aca="false">INDEX(Ipotesi!$C$82:$G$82,1,F350)/12</f>
        <v>1250</v>
      </c>
      <c r="BX350" s="15" t="n">
        <f aca="false">INDEX(Ipotesi!$C$83:$G$83,1,F350)/12</f>
        <v>750</v>
      </c>
      <c r="BY350" s="15" t="n">
        <f aca="false">SUM(S350:U350)*(Ipotesi!$C$85+Ipotesi!$C$86)/12</f>
        <v>2479.16666666667</v>
      </c>
      <c r="BZ350" s="15" t="n">
        <f aca="false">AM350*Ipotesi!$C$87</f>
        <v>2707.25</v>
      </c>
      <c r="CA350" s="15" t="n">
        <f aca="false">AB350+BJ350+BL350+BN350+BO350+AR350+BP350+BQ350+BR350+BS350+BT350</f>
        <v>158502.441652696</v>
      </c>
      <c r="CB350" s="15" t="n">
        <f aca="false">AC350+BK350+BM350+BH350+BU350+BV350+AS350+BW350+BX350+BY350+BZ350</f>
        <v>62580.173375</v>
      </c>
      <c r="CC350" s="15" t="n">
        <f aca="false">BI350-CA350</f>
        <v>-14499.9462167748</v>
      </c>
      <c r="CD350" s="15" t="n">
        <f aca="false">AM350-CB350</f>
        <v>27661.4932916667</v>
      </c>
      <c r="CE350" s="15" t="n">
        <f aca="false">INDEX(Ipotesi!$C$79:$G$79,1,F350)/12</f>
        <v>3333.33333333333</v>
      </c>
      <c r="CF350" s="15" t="n">
        <f aca="false">INDEX(Ipotesi!$C$84:$G$84,1,F350)/12</f>
        <v>666.666666666667</v>
      </c>
      <c r="CG350" s="15" t="n">
        <f aca="false">Y350*MAX(0,Parametri_v3!$C$12-IF(P350=0,0,MIN(1,BE350/(P350*Parametri_v3!$C$22))))+W350*Parametri_v3!$C$13+X350*Parametri_v3!$C$14</f>
        <v>30029.2007490799</v>
      </c>
      <c r="CH350" s="15" t="n">
        <f aca="false">AB350*Parametri_v3!$C$32</f>
        <v>4823.65419791667</v>
      </c>
      <c r="CI350" s="15" t="n">
        <f aca="false">AC350*Parametri_v3!$C$32</f>
        <v>1691.45033541667</v>
      </c>
      <c r="CJ350" s="15" t="n">
        <f aca="false">CA350-AB350</f>
        <v>62029.3576943623</v>
      </c>
      <c r="CK350" s="15" t="n">
        <f aca="false">CB350-AC350-BH350</f>
        <v>19727</v>
      </c>
      <c r="CL350" s="15" t="n">
        <f aca="false">BF350*Ipotesi!$C$73+INDEX(Ipotesi!$C$72:$G$72,1,F350)/12*Ipotesi!H126*Parametri_v3!$C$58+Z350*(1-Parametri_v3!$C$16)</f>
        <v>13014.8556765403</v>
      </c>
      <c r="CM350" s="16" t="n">
        <f aca="false">IF(BF350=0,0,1-CL350/BF350)</f>
        <v>0.814677981028103</v>
      </c>
    </row>
    <row r="351" customFormat="false" ht="18" hidden="false" customHeight="true" outlineLevel="0" collapsed="false">
      <c r="A351" s="68" t="n">
        <f aca="false">6</f>
        <v>6</v>
      </c>
      <c r="B351" s="68" t="n">
        <f aca="false">47</f>
        <v>47</v>
      </c>
      <c r="C351" s="18" t="n">
        <f aca="false">EDATE(Parametri_v3!$C$5,47-1)</f>
        <v>47788</v>
      </c>
      <c r="D351" s="68" t="n">
        <f aca="false">YEAR(C351)</f>
        <v>2030</v>
      </c>
      <c r="E351" s="68" t="n">
        <f aca="false">MONTH(C351)</f>
        <v>11</v>
      </c>
      <c r="F351" s="68" t="n">
        <f aca="false">INT((47-1)/12)+1</f>
        <v>4</v>
      </c>
      <c r="G351" s="15" t="n">
        <f aca="false">Ipotesi!H7</f>
        <v>1</v>
      </c>
      <c r="H351" s="15" t="n">
        <f aca="false">Ipotesi!H9</f>
        <v>1</v>
      </c>
      <c r="I351" s="15" t="n">
        <f aca="false">Ipotesi!H10</f>
        <v>1</v>
      </c>
      <c r="J351" s="15" t="n">
        <f aca="false">Ipotesi!H11</f>
        <v>1</v>
      </c>
      <c r="K351" s="15" t="n">
        <f aca="false">Ipotesi!H12</f>
        <v>1</v>
      </c>
      <c r="L351" s="15" t="n">
        <f aca="false">Ipotesi!H13</f>
        <v>90</v>
      </c>
      <c r="M351" s="17" t="n">
        <f aca="false">INDEX(Ipotesi!$C$40:$G$40,1,F351)</f>
        <v>1</v>
      </c>
      <c r="N351" s="17" t="n">
        <f aca="false">INDEX(Ipotesi!$C$41:$G$41,1,F351)</f>
        <v>1</v>
      </c>
      <c r="O351" s="17" t="n">
        <f aca="false">INDEX(Ipotesi!$C$42:$G$42,1,F351)*Ipotesi!H125</f>
        <v>6.5</v>
      </c>
      <c r="P351" s="17" t="n">
        <f aca="false">INDEX(Ipotesi!$C$43:$G$43,1,F351)*I351</f>
        <v>6</v>
      </c>
      <c r="Q351" s="17" t="n">
        <f aca="false">INDEX(Ipotesi!$C$44:$G$44,1,F351)*I351</f>
        <v>5</v>
      </c>
      <c r="R351" s="17" t="n">
        <f aca="false">INDEX(Ipotesi!$C$45:$G$45,1,F351)*I351</f>
        <v>1.5</v>
      </c>
      <c r="S351" s="17" t="n">
        <f aca="false">INDEX(Ipotesi!$C$52:$G$52,1,F351)*Ipotesi!H125</f>
        <v>7</v>
      </c>
      <c r="T351" s="17" t="n">
        <f aca="false">INDEX(Ipotesi!$C$53:$G$53,1,F351)*I351</f>
        <v>1</v>
      </c>
      <c r="U351" s="17" t="n">
        <f aca="false">INDEX(Ipotesi!$C$54:$G$54,1,F351)*I351</f>
        <v>0.5</v>
      </c>
      <c r="V351" s="15" t="n">
        <f aca="false">M351*INDEX(Ipotesi!$C$58:$G$58,1,F351)*K351/12</f>
        <v>7916.66666666667</v>
      </c>
      <c r="W351" s="15" t="n">
        <f aca="false">N351*Ipotesi!$C$59*(1+Ipotesi!$C$66)^(F351-1)/12</f>
        <v>6374.24083333333</v>
      </c>
      <c r="X351" s="15" t="n">
        <f aca="false">O351*Ipotesi!$C$60*(1+Ipotesi!$C$66)^(F351-1)/12</f>
        <v>29594.6895833333</v>
      </c>
      <c r="Y351" s="15" t="n">
        <f aca="false">P351*Ipotesi!$C$61*(1+Ipotesi!$C$66)^(F351-1)/12</f>
        <v>27318.175</v>
      </c>
      <c r="Z351" s="15" t="n">
        <f aca="false">Q351*Ipotesi!$C$62*(1+Ipotesi!$C$66)^(F351-1)/12</f>
        <v>20488.63125</v>
      </c>
      <c r="AA351" s="15" t="n">
        <f aca="false">R351*Ipotesi!$C$63*(1+Ipotesi!$C$66)^(F351-1)/12</f>
        <v>4780.680625</v>
      </c>
      <c r="AB351" s="15" t="n">
        <f aca="false">SUM(V351:AA351)</f>
        <v>96473.0839583333</v>
      </c>
      <c r="AC351" s="15" t="n">
        <f aca="false">(S351*Ipotesi!$C$64+T351*Ipotesi!$C$65+U351*Ipotesi!$C$63)*(1+Ipotesi!$C$66)^(F351-1)/12</f>
        <v>33829.0067083333</v>
      </c>
      <c r="AD351" s="15" t="n">
        <f aca="false">INDEX(Ipotesi!$C$48:$G$48,1,F351)*G351/12</f>
        <v>79.1666666666667</v>
      </c>
      <c r="AE351" s="15" t="n">
        <f aca="false">INDEX(Ipotesi!$C$50:$G$50,1,F351)*G351/12</f>
        <v>8.33333333333333</v>
      </c>
      <c r="AF351" s="15" t="n">
        <f aca="false">(S351*Parametri_v3!$C$7*Parametri_v3!$C$8+Parametri_v3!$C$10)/12</f>
        <v>89.8333333333333</v>
      </c>
      <c r="AG351" s="15" t="n">
        <f aca="false">AD351+AE351*(1+Parametri_v3!$C$9)</f>
        <v>91.6666666666667</v>
      </c>
      <c r="AH351" s="16" t="n">
        <f aca="false">IF(AG351=0,1,MIN(1,AF351/AG351))</f>
        <v>0.98</v>
      </c>
      <c r="AI351" s="15" t="n">
        <f aca="false">AD351*AH351</f>
        <v>77.5833333333333</v>
      </c>
      <c r="AJ351" s="15" t="n">
        <f aca="false">AE351*AH351</f>
        <v>8.16666666666667</v>
      </c>
      <c r="AK351" s="15" t="n">
        <f aca="false">AI351*INDEX(Ipotesi!$C$49:$G$49,1,F351)*H351</f>
        <v>69825</v>
      </c>
      <c r="AL351" s="15" t="n">
        <f aca="false">AJ351*INDEX(Ipotesi!$C$51:$G$51,1,F351)*H351</f>
        <v>20416.6666666667</v>
      </c>
      <c r="AM351" s="15" t="n">
        <f aca="false">AK351+AL351</f>
        <v>90241.6666666667</v>
      </c>
      <c r="AN351" s="15" t="n">
        <f aca="false">INDEX(Ipotesi!$C$30:$G$30,1,F351)*G351/12</f>
        <v>61.6666666666667</v>
      </c>
      <c r="AO351" s="15" t="n">
        <f aca="false">O351*Parametri_v3!$C$7*Parametri_v3!$C$11*(1-Parametri_v3!$C$14)/12</f>
        <v>66.7333333333333</v>
      </c>
      <c r="AP351" s="15" t="n">
        <f aca="false">MIN(AN351,AO351)</f>
        <v>61.6666666666667</v>
      </c>
      <c r="AQ351" s="15" t="n">
        <f aca="false">AP351*INDEX(Ipotesi!$C$31:$G$31,1,F351)*H351</f>
        <v>64750</v>
      </c>
      <c r="AR351" s="15" t="n">
        <f aca="false">INDEX(Ipotesi!$C$75:$G$75,1,F351)*J351/12</f>
        <v>27916.6666666667</v>
      </c>
      <c r="AS351" s="15" t="n">
        <f aca="false">INDEX(Ipotesi!$C$81:$G$81,1,F351)*J351/12</f>
        <v>1666.66666666667</v>
      </c>
      <c r="AT351" s="15" t="n">
        <f aca="false">AR351*Parametri_v3!$C$15+Z351*Parametri_v3!$C$16</f>
        <v>42258.7085416667</v>
      </c>
      <c r="AU351" s="15" t="n">
        <f aca="false">Q351*Parametri_v3!$C$16*Parametri_v3!$C$17</f>
        <v>350</v>
      </c>
      <c r="AV351" s="17" t="n">
        <f aca="false">BD350</f>
        <v>143.377072420912</v>
      </c>
      <c r="AW351" s="17" t="n">
        <f aca="false">AV351*(1-(1-INDEX(Ipotesi!$C$34:$G$34,1,F351))^(1/12))</f>
        <v>1.25334658692699</v>
      </c>
      <c r="AX351" s="15" t="n">
        <f aca="false">ROUND(INDEX(Ipotesi!$C$32:$G$32,1,F351)*Ipotesi!H8,0)</f>
        <v>310</v>
      </c>
      <c r="AY351" s="15" t="n">
        <f aca="false">MAX(0,(AX351-(AV351-AW351))/(13-E351))</f>
        <v>83.9381370830075</v>
      </c>
      <c r="AZ351" s="15" t="n">
        <f aca="false">MIN(P351*Parametri_v3!$C$22,Q351*(1-Parametri_v3!$C$16)*Parametri_v3!$C$23)</f>
        <v>225</v>
      </c>
      <c r="BA351" s="15" t="n">
        <f aca="false">IF(OR(INDEX(Ipotesi!$C$35:$G$35,1,F351)&lt;=0,47-Parametri_v3!$C$21&lt;1),0,INDEX($AT$305:$AT$364,MAX(1,47-Parametri_v3!$C$21))/(INDEX(Ipotesi!$C$35:$G$35,1,F351)*Ipotesi!H27))</f>
        <v>7.04311809027778</v>
      </c>
      <c r="BB351" s="15" t="n">
        <f aca="false">IF(47-Parametri_v3!$C$21&lt;1,0,INDEX($AU$305:$AU$364,MAX(1,47-Parametri_v3!$C$21)))*Parametri_v3!$C$18*Parametri_v3!$C$19*Parametri_v3!$C$20</f>
        <v>13.125</v>
      </c>
      <c r="BC351" s="17" t="n">
        <f aca="false">MAX(0,MIN(AY351,BA351,BB351,MAX(0,AZ351-(AV351-AW351))))</f>
        <v>7.04311809027778</v>
      </c>
      <c r="BD351" s="17" t="n">
        <f aca="false">AV351-AW351+BC351</f>
        <v>149.166843924263</v>
      </c>
      <c r="BE351" s="17" t="n">
        <f aca="false">(AV351+BD351)/2</f>
        <v>146.271958172587</v>
      </c>
      <c r="BF351" s="15" t="n">
        <f aca="false">BE351*INDEX(Ipotesi!$C$33:$G$33,1,F351)*H351/12</f>
        <v>73135.9790862937</v>
      </c>
      <c r="BG351" s="15" t="n">
        <f aca="false">BD351*INDEX(Ipotesi!$C$33:$G$33,1,F351)*H351</f>
        <v>895001.063545577</v>
      </c>
      <c r="BH351" s="15" t="n">
        <f aca="false">AM351*INDEX(Ipotesi!$C$37:$G$37,1,F351)</f>
        <v>9024.16666666667</v>
      </c>
      <c r="BI351" s="15" t="n">
        <f aca="false">AQ351+BF351+BH351</f>
        <v>146910.14575296</v>
      </c>
      <c r="BJ351" s="15" t="n">
        <f aca="false">INDEX(Ipotesi!$C$68:$G$68,1,F351)*Ipotesi!$C$69/12</f>
        <v>3000</v>
      </c>
      <c r="BK351" s="15" t="n">
        <f aca="false">INDEX(Ipotesi!$C$68:$G$68,1,F351)*(1-Ipotesi!$C$69)/12</f>
        <v>4500</v>
      </c>
      <c r="BL351" s="15" t="n">
        <f aca="false">(AQ351+BF351)*Ipotesi!$C$67</f>
        <v>4136.57937258881</v>
      </c>
      <c r="BM351" s="15" t="n">
        <f aca="false">AM351*Ipotesi!$C$67</f>
        <v>2707.25</v>
      </c>
      <c r="BN351" s="15" t="n">
        <f aca="false">INDEX(Ipotesi!$C$72:$G$72,1,F351)/12*Ipotesi!H126+BF351*Ipotesi!$C$73</f>
        <v>7100.8783269035</v>
      </c>
      <c r="BO351" s="15" t="n">
        <f aca="false">INDEX(Ipotesi!$C$74:$G$74,1,F351)/12*Ipotesi!H126</f>
        <v>4166.66666666667</v>
      </c>
      <c r="BP351" s="15" t="n">
        <f aca="false">INDEX(Ipotesi!$C$76:$G$76,1,F351)/12</f>
        <v>1500</v>
      </c>
      <c r="BQ351" s="15" t="n">
        <f aca="false">INDEX(Ipotesi!$C$77:$G$77,1,F351)/12*Ipotesi!H126</f>
        <v>2083.33333333333</v>
      </c>
      <c r="BR351" s="15" t="n">
        <f aca="false">INDEX(Ipotesi!$C$78:$G$78,1,F351)/12</f>
        <v>2000</v>
      </c>
      <c r="BS351" s="15" t="n">
        <f aca="false">SUM(M351:R351)*(Ipotesi!$C$85+Ipotesi!$C$86)/12</f>
        <v>6125</v>
      </c>
      <c r="BT351" s="15" t="n">
        <f aca="false">BI351*Ipotesi!$C$87</f>
        <v>4407.30437258881</v>
      </c>
      <c r="BU351" s="15" t="n">
        <f aca="false">INDEX(Ipotesi!$C$55:$G$55,1,F351)*K351/12</f>
        <v>2000</v>
      </c>
      <c r="BV351" s="15" t="n">
        <f aca="false">INDEX(Ipotesi!$C$80:$G$80,1,F351)/12*Ipotesi!H126</f>
        <v>1666.66666666667</v>
      </c>
      <c r="BW351" s="15" t="n">
        <f aca="false">INDEX(Ipotesi!$C$82:$G$82,1,F351)/12</f>
        <v>1250</v>
      </c>
      <c r="BX351" s="15" t="n">
        <f aca="false">INDEX(Ipotesi!$C$83:$G$83,1,F351)/12</f>
        <v>750</v>
      </c>
      <c r="BY351" s="15" t="n">
        <f aca="false">SUM(S351:U351)*(Ipotesi!$C$85+Ipotesi!$C$86)/12</f>
        <v>2479.16666666667</v>
      </c>
      <c r="BZ351" s="15" t="n">
        <f aca="false">AM351*Ipotesi!$C$87</f>
        <v>2707.25</v>
      </c>
      <c r="CA351" s="15" t="n">
        <f aca="false">AB351+BJ351+BL351+BN351+BO351+AR351+BP351+BQ351+BR351+BS351+BT351</f>
        <v>158909.512697081</v>
      </c>
      <c r="CB351" s="15" t="n">
        <f aca="false">AC351+BK351+BM351+BH351+BU351+BV351+AS351+BW351+BX351+BY351+BZ351</f>
        <v>62580.173375</v>
      </c>
      <c r="CC351" s="15" t="n">
        <f aca="false">BI351-CA351</f>
        <v>-11999.3669441208</v>
      </c>
      <c r="CD351" s="15" t="n">
        <f aca="false">AM351-CB351</f>
        <v>27661.4932916667</v>
      </c>
      <c r="CE351" s="15" t="n">
        <f aca="false">INDEX(Ipotesi!$C$79:$G$79,1,F351)/12</f>
        <v>3333.33333333333</v>
      </c>
      <c r="CF351" s="15" t="n">
        <f aca="false">INDEX(Ipotesi!$C$84:$G$84,1,F351)/12</f>
        <v>666.666666666667</v>
      </c>
      <c r="CG351" s="15" t="n">
        <f aca="false">Y351*MAX(0,Parametri_v3!$C$12-IF(P351=0,0,MIN(1,BE351/(P351*Parametri_v3!$C$22))))+W351*Parametri_v3!$C$13+X351*Parametri_v3!$C$14</f>
        <v>29764.428415081</v>
      </c>
      <c r="CH351" s="15" t="n">
        <f aca="false">AB351*Parametri_v3!$C$32</f>
        <v>4823.65419791667</v>
      </c>
      <c r="CI351" s="15" t="n">
        <f aca="false">AC351*Parametri_v3!$C$32</f>
        <v>1691.45033541667</v>
      </c>
      <c r="CJ351" s="15" t="n">
        <f aca="false">CA351-AB351</f>
        <v>62436.4287387478</v>
      </c>
      <c r="CK351" s="15" t="n">
        <f aca="false">CB351-AC351-BH351</f>
        <v>19727</v>
      </c>
      <c r="CL351" s="15" t="n">
        <f aca="false">BF351*Ipotesi!$C$73+INDEX(Ipotesi!$C$72:$G$72,1,F351)/12*Ipotesi!H126*Parametri_v3!$C$58+Z351*(1-Parametri_v3!$C$16)</f>
        <v>13247.4677019035</v>
      </c>
      <c r="CM351" s="16" t="n">
        <f aca="false">IF(BF351=0,0,1-CL351/BF351)</f>
        <v>0.818865244337911</v>
      </c>
    </row>
    <row r="352" customFormat="false" ht="18" hidden="false" customHeight="true" outlineLevel="0" collapsed="false">
      <c r="A352" s="68" t="n">
        <f aca="false">6</f>
        <v>6</v>
      </c>
      <c r="B352" s="68" t="n">
        <f aca="false">48</f>
        <v>48</v>
      </c>
      <c r="C352" s="18" t="n">
        <f aca="false">EDATE(Parametri_v3!$C$5,48-1)</f>
        <v>47818</v>
      </c>
      <c r="D352" s="68" t="n">
        <f aca="false">YEAR(C352)</f>
        <v>2030</v>
      </c>
      <c r="E352" s="68" t="n">
        <f aca="false">MONTH(C352)</f>
        <v>12</v>
      </c>
      <c r="F352" s="68" t="n">
        <f aca="false">INT((48-1)/12)+1</f>
        <v>4</v>
      </c>
      <c r="G352" s="15" t="n">
        <f aca="false">Ipotesi!H7</f>
        <v>1</v>
      </c>
      <c r="H352" s="15" t="n">
        <f aca="false">Ipotesi!H9</f>
        <v>1</v>
      </c>
      <c r="I352" s="15" t="n">
        <f aca="false">Ipotesi!H10</f>
        <v>1</v>
      </c>
      <c r="J352" s="15" t="n">
        <f aca="false">Ipotesi!H11</f>
        <v>1</v>
      </c>
      <c r="K352" s="15" t="n">
        <f aca="false">Ipotesi!H12</f>
        <v>1</v>
      </c>
      <c r="L352" s="15" t="n">
        <f aca="false">Ipotesi!H13</f>
        <v>90</v>
      </c>
      <c r="M352" s="17" t="n">
        <f aca="false">INDEX(Ipotesi!$C$40:$G$40,1,F352)</f>
        <v>1</v>
      </c>
      <c r="N352" s="17" t="n">
        <f aca="false">INDEX(Ipotesi!$C$41:$G$41,1,F352)</f>
        <v>1</v>
      </c>
      <c r="O352" s="17" t="n">
        <f aca="false">INDEX(Ipotesi!$C$42:$G$42,1,F352)*Ipotesi!H125</f>
        <v>6.5</v>
      </c>
      <c r="P352" s="17" t="n">
        <f aca="false">INDEX(Ipotesi!$C$43:$G$43,1,F352)*I352</f>
        <v>6</v>
      </c>
      <c r="Q352" s="17" t="n">
        <f aca="false">INDEX(Ipotesi!$C$44:$G$44,1,F352)*I352</f>
        <v>5</v>
      </c>
      <c r="R352" s="17" t="n">
        <f aca="false">INDEX(Ipotesi!$C$45:$G$45,1,F352)*I352</f>
        <v>1.5</v>
      </c>
      <c r="S352" s="17" t="n">
        <f aca="false">INDEX(Ipotesi!$C$52:$G$52,1,F352)*Ipotesi!H125</f>
        <v>7</v>
      </c>
      <c r="T352" s="17" t="n">
        <f aca="false">INDEX(Ipotesi!$C$53:$G$53,1,F352)*I352</f>
        <v>1</v>
      </c>
      <c r="U352" s="17" t="n">
        <f aca="false">INDEX(Ipotesi!$C$54:$G$54,1,F352)*I352</f>
        <v>0.5</v>
      </c>
      <c r="V352" s="15" t="n">
        <f aca="false">M352*INDEX(Ipotesi!$C$58:$G$58,1,F352)*K352/12</f>
        <v>7916.66666666667</v>
      </c>
      <c r="W352" s="15" t="n">
        <f aca="false">N352*Ipotesi!$C$59*(1+Ipotesi!$C$66)^(F352-1)/12</f>
        <v>6374.24083333333</v>
      </c>
      <c r="X352" s="15" t="n">
        <f aca="false">O352*Ipotesi!$C$60*(1+Ipotesi!$C$66)^(F352-1)/12</f>
        <v>29594.6895833333</v>
      </c>
      <c r="Y352" s="15" t="n">
        <f aca="false">P352*Ipotesi!$C$61*(1+Ipotesi!$C$66)^(F352-1)/12</f>
        <v>27318.175</v>
      </c>
      <c r="Z352" s="15" t="n">
        <f aca="false">Q352*Ipotesi!$C$62*(1+Ipotesi!$C$66)^(F352-1)/12</f>
        <v>20488.63125</v>
      </c>
      <c r="AA352" s="15" t="n">
        <f aca="false">R352*Ipotesi!$C$63*(1+Ipotesi!$C$66)^(F352-1)/12</f>
        <v>4780.680625</v>
      </c>
      <c r="AB352" s="15" t="n">
        <f aca="false">SUM(V352:AA352)</f>
        <v>96473.0839583333</v>
      </c>
      <c r="AC352" s="15" t="n">
        <f aca="false">(S352*Ipotesi!$C$64+T352*Ipotesi!$C$65+U352*Ipotesi!$C$63)*(1+Ipotesi!$C$66)^(F352-1)/12</f>
        <v>33829.0067083333</v>
      </c>
      <c r="AD352" s="15" t="n">
        <f aca="false">INDEX(Ipotesi!$C$48:$G$48,1,F352)*G352/12</f>
        <v>79.1666666666667</v>
      </c>
      <c r="AE352" s="15" t="n">
        <f aca="false">INDEX(Ipotesi!$C$50:$G$50,1,F352)*G352/12</f>
        <v>8.33333333333333</v>
      </c>
      <c r="AF352" s="15" t="n">
        <f aca="false">(S352*Parametri_v3!$C$7*Parametri_v3!$C$8+Parametri_v3!$C$10)/12</f>
        <v>89.8333333333333</v>
      </c>
      <c r="AG352" s="15" t="n">
        <f aca="false">AD352+AE352*(1+Parametri_v3!$C$9)</f>
        <v>91.6666666666667</v>
      </c>
      <c r="AH352" s="16" t="n">
        <f aca="false">IF(AG352=0,1,MIN(1,AF352/AG352))</f>
        <v>0.98</v>
      </c>
      <c r="AI352" s="15" t="n">
        <f aca="false">AD352*AH352</f>
        <v>77.5833333333333</v>
      </c>
      <c r="AJ352" s="15" t="n">
        <f aca="false">AE352*AH352</f>
        <v>8.16666666666667</v>
      </c>
      <c r="AK352" s="15" t="n">
        <f aca="false">AI352*INDEX(Ipotesi!$C$49:$G$49,1,F352)*H352</f>
        <v>69825</v>
      </c>
      <c r="AL352" s="15" t="n">
        <f aca="false">AJ352*INDEX(Ipotesi!$C$51:$G$51,1,F352)*H352</f>
        <v>20416.6666666667</v>
      </c>
      <c r="AM352" s="15" t="n">
        <f aca="false">AK352+AL352</f>
        <v>90241.6666666667</v>
      </c>
      <c r="AN352" s="15" t="n">
        <f aca="false">INDEX(Ipotesi!$C$30:$G$30,1,F352)*G352/12</f>
        <v>61.6666666666667</v>
      </c>
      <c r="AO352" s="15" t="n">
        <f aca="false">O352*Parametri_v3!$C$7*Parametri_v3!$C$11*(1-Parametri_v3!$C$14)/12</f>
        <v>66.7333333333333</v>
      </c>
      <c r="AP352" s="15" t="n">
        <f aca="false">MIN(AN352,AO352)</f>
        <v>61.6666666666667</v>
      </c>
      <c r="AQ352" s="15" t="n">
        <f aca="false">AP352*INDEX(Ipotesi!$C$31:$G$31,1,F352)*H352</f>
        <v>64750</v>
      </c>
      <c r="AR352" s="15" t="n">
        <f aca="false">INDEX(Ipotesi!$C$75:$G$75,1,F352)*J352/12</f>
        <v>27916.6666666667</v>
      </c>
      <c r="AS352" s="15" t="n">
        <f aca="false">INDEX(Ipotesi!$C$81:$G$81,1,F352)*J352/12</f>
        <v>1666.66666666667</v>
      </c>
      <c r="AT352" s="15" t="n">
        <f aca="false">AR352*Parametri_v3!$C$15+Z352*Parametri_v3!$C$16</f>
        <v>42258.7085416667</v>
      </c>
      <c r="AU352" s="15" t="n">
        <f aca="false">Q352*Parametri_v3!$C$16*Parametri_v3!$C$17</f>
        <v>350</v>
      </c>
      <c r="AV352" s="17" t="n">
        <f aca="false">BD351</f>
        <v>149.166843924263</v>
      </c>
      <c r="AW352" s="17" t="n">
        <f aca="false">AV352*(1-(1-INDEX(Ipotesi!$C$34:$G$34,1,F352))^(1/12))</f>
        <v>1.30395851692587</v>
      </c>
      <c r="AX352" s="15" t="n">
        <f aca="false">ROUND(INDEX(Ipotesi!$C$32:$G$32,1,F352)*Ipotesi!H8,0)</f>
        <v>310</v>
      </c>
      <c r="AY352" s="15" t="n">
        <f aca="false">MAX(0,(AX352-(AV352-AW352))/(13-E352))</f>
        <v>162.137114592663</v>
      </c>
      <c r="AZ352" s="15" t="n">
        <f aca="false">MIN(P352*Parametri_v3!$C$22,Q352*(1-Parametri_v3!$C$16)*Parametri_v3!$C$23)</f>
        <v>225</v>
      </c>
      <c r="BA352" s="15" t="n">
        <f aca="false">IF(OR(INDEX(Ipotesi!$C$35:$G$35,1,F352)&lt;=0,48-Parametri_v3!$C$21&lt;1),0,INDEX($AT$305:$AT$364,MAX(1,48-Parametri_v3!$C$21))/(INDEX(Ipotesi!$C$35:$G$35,1,F352)*Ipotesi!H27))</f>
        <v>7.04311809027778</v>
      </c>
      <c r="BB352" s="15" t="n">
        <f aca="false">IF(48-Parametri_v3!$C$21&lt;1,0,INDEX($AU$305:$AU$364,MAX(1,48-Parametri_v3!$C$21)))*Parametri_v3!$C$18*Parametri_v3!$C$19*Parametri_v3!$C$20</f>
        <v>13.125</v>
      </c>
      <c r="BC352" s="17" t="n">
        <f aca="false">MAX(0,MIN(AY352,BA352,BB352,MAX(0,AZ352-(AV352-AW352))))</f>
        <v>7.04311809027778</v>
      </c>
      <c r="BD352" s="17" t="n">
        <f aca="false">AV352-AW352+BC352</f>
        <v>154.906003497615</v>
      </c>
      <c r="BE352" s="17" t="n">
        <f aca="false">(AV352+BD352)/2</f>
        <v>152.036423710939</v>
      </c>
      <c r="BF352" s="15" t="n">
        <f aca="false">BE352*INDEX(Ipotesi!$C$33:$G$33,1,F352)*H352/12</f>
        <v>76018.2118554694</v>
      </c>
      <c r="BG352" s="15" t="n">
        <f aca="false">BD352*INDEX(Ipotesi!$C$33:$G$33,1,F352)*H352</f>
        <v>929436.020985689</v>
      </c>
      <c r="BH352" s="15" t="n">
        <f aca="false">AM352*INDEX(Ipotesi!$C$37:$G$37,1,F352)</f>
        <v>9024.16666666667</v>
      </c>
      <c r="BI352" s="15" t="n">
        <f aca="false">AQ352+BF352+BH352</f>
        <v>149792.378522136</v>
      </c>
      <c r="BJ352" s="15" t="n">
        <f aca="false">INDEX(Ipotesi!$C$68:$G$68,1,F352)*Ipotesi!$C$69/12</f>
        <v>3000</v>
      </c>
      <c r="BK352" s="15" t="n">
        <f aca="false">INDEX(Ipotesi!$C$68:$G$68,1,F352)*(1-Ipotesi!$C$69)/12</f>
        <v>4500</v>
      </c>
      <c r="BL352" s="15" t="n">
        <f aca="false">(AQ352+BF352)*Ipotesi!$C$67</f>
        <v>4223.04635566408</v>
      </c>
      <c r="BM352" s="15" t="n">
        <f aca="false">AM352*Ipotesi!$C$67</f>
        <v>2707.25</v>
      </c>
      <c r="BN352" s="15" t="n">
        <f aca="false">INDEX(Ipotesi!$C$72:$G$72,1,F352)/12*Ipotesi!H126+BF352*Ipotesi!$C$73</f>
        <v>7331.45694843755</v>
      </c>
      <c r="BO352" s="15" t="n">
        <f aca="false">INDEX(Ipotesi!$C$74:$G$74,1,F352)/12*Ipotesi!H126</f>
        <v>4166.66666666667</v>
      </c>
      <c r="BP352" s="15" t="n">
        <f aca="false">INDEX(Ipotesi!$C$76:$G$76,1,F352)/12</f>
        <v>1500</v>
      </c>
      <c r="BQ352" s="15" t="n">
        <f aca="false">INDEX(Ipotesi!$C$77:$G$77,1,F352)/12*Ipotesi!H126</f>
        <v>2083.33333333333</v>
      </c>
      <c r="BR352" s="15" t="n">
        <f aca="false">INDEX(Ipotesi!$C$78:$G$78,1,F352)/12</f>
        <v>2000</v>
      </c>
      <c r="BS352" s="15" t="n">
        <f aca="false">SUM(M352:R352)*(Ipotesi!$C$85+Ipotesi!$C$86)/12</f>
        <v>6125</v>
      </c>
      <c r="BT352" s="15" t="n">
        <f aca="false">BI352*Ipotesi!$C$87</f>
        <v>4493.77135566408</v>
      </c>
      <c r="BU352" s="15" t="n">
        <f aca="false">INDEX(Ipotesi!$C$55:$G$55,1,F352)*K352/12</f>
        <v>2000</v>
      </c>
      <c r="BV352" s="15" t="n">
        <f aca="false">INDEX(Ipotesi!$C$80:$G$80,1,F352)/12*Ipotesi!H126</f>
        <v>1666.66666666667</v>
      </c>
      <c r="BW352" s="15" t="n">
        <f aca="false">INDEX(Ipotesi!$C$82:$G$82,1,F352)/12</f>
        <v>1250</v>
      </c>
      <c r="BX352" s="15" t="n">
        <f aca="false">INDEX(Ipotesi!$C$83:$G$83,1,F352)/12</f>
        <v>750</v>
      </c>
      <c r="BY352" s="15" t="n">
        <f aca="false">SUM(S352:U352)*(Ipotesi!$C$85+Ipotesi!$C$86)/12</f>
        <v>2479.16666666667</v>
      </c>
      <c r="BZ352" s="15" t="n">
        <f aca="false">AM352*Ipotesi!$C$87</f>
        <v>2707.25</v>
      </c>
      <c r="CA352" s="15" t="n">
        <f aca="false">AB352+BJ352+BL352+BN352+BO352+AR352+BP352+BQ352+BR352+BS352+BT352</f>
        <v>159313.025284766</v>
      </c>
      <c r="CB352" s="15" t="n">
        <f aca="false">AC352+BK352+BM352+BH352+BU352+BV352+AS352+BW352+BX352+BY352+BZ352</f>
        <v>62580.173375</v>
      </c>
      <c r="CC352" s="15" t="n">
        <f aca="false">BI352-CA352</f>
        <v>-9520.64676262965</v>
      </c>
      <c r="CD352" s="15" t="n">
        <f aca="false">AM352-CB352</f>
        <v>27661.4932916667</v>
      </c>
      <c r="CE352" s="15" t="n">
        <f aca="false">INDEX(Ipotesi!$C$79:$G$79,1,F352)/12</f>
        <v>3333.33333333333</v>
      </c>
      <c r="CF352" s="15" t="n">
        <f aca="false">INDEX(Ipotesi!$C$84:$G$84,1,F352)/12</f>
        <v>666.666666666667</v>
      </c>
      <c r="CG352" s="15" t="n">
        <f aca="false">Y352*MAX(0,Parametri_v3!$C$12-IF(P352=0,0,MIN(1,BE352/(P352*Parametri_v3!$C$22))))+W352*Parametri_v3!$C$13+X352*Parametri_v3!$C$14</f>
        <v>29501.9706178174</v>
      </c>
      <c r="CH352" s="15" t="n">
        <f aca="false">AB352*Parametri_v3!$C$32</f>
        <v>4823.65419791667</v>
      </c>
      <c r="CI352" s="15" t="n">
        <f aca="false">AC352*Parametri_v3!$C$32</f>
        <v>1691.45033541667</v>
      </c>
      <c r="CJ352" s="15" t="n">
        <f aca="false">CA352-AB352</f>
        <v>62839.9413264324</v>
      </c>
      <c r="CK352" s="15" t="n">
        <f aca="false">CB352-AC352-BH352</f>
        <v>19727</v>
      </c>
      <c r="CL352" s="15" t="n">
        <f aca="false">BF352*Ipotesi!$C$73+INDEX(Ipotesi!$C$72:$G$72,1,F352)/12*Ipotesi!H126*Parametri_v3!$C$58+Z352*(1-Parametri_v3!$C$16)</f>
        <v>13478.0463234376</v>
      </c>
      <c r="CM352" s="16" t="n">
        <f aca="false">IF(BF352=0,0,1-CL352/BF352)</f>
        <v>0.822699771614428</v>
      </c>
    </row>
    <row r="353" customFormat="false" ht="18" hidden="false" customHeight="true" outlineLevel="0" collapsed="false">
      <c r="A353" s="68" t="n">
        <f aca="false">6</f>
        <v>6</v>
      </c>
      <c r="B353" s="68" t="n">
        <f aca="false">49</f>
        <v>49</v>
      </c>
      <c r="C353" s="18" t="n">
        <f aca="false">EDATE(Parametri_v3!$C$5,49-1)</f>
        <v>47849</v>
      </c>
      <c r="D353" s="68" t="n">
        <f aca="false">YEAR(C353)</f>
        <v>2031</v>
      </c>
      <c r="E353" s="68" t="n">
        <f aca="false">MONTH(C353)</f>
        <v>1</v>
      </c>
      <c r="F353" s="68" t="n">
        <f aca="false">INT((49-1)/12)+1</f>
        <v>5</v>
      </c>
      <c r="G353" s="15" t="n">
        <f aca="false">Ipotesi!H7</f>
        <v>1</v>
      </c>
      <c r="H353" s="15" t="n">
        <f aca="false">Ipotesi!H9</f>
        <v>1</v>
      </c>
      <c r="I353" s="15" t="n">
        <f aca="false">Ipotesi!H10</f>
        <v>1</v>
      </c>
      <c r="J353" s="15" t="n">
        <f aca="false">Ipotesi!H11</f>
        <v>1</v>
      </c>
      <c r="K353" s="15" t="n">
        <f aca="false">Ipotesi!H12</f>
        <v>1</v>
      </c>
      <c r="L353" s="15" t="n">
        <f aca="false">Ipotesi!H13</f>
        <v>90</v>
      </c>
      <c r="M353" s="17" t="n">
        <f aca="false">INDEX(Ipotesi!$C$40:$G$40,1,F353)</f>
        <v>1</v>
      </c>
      <c r="N353" s="17" t="n">
        <f aca="false">INDEX(Ipotesi!$C$41:$G$41,1,F353)</f>
        <v>1</v>
      </c>
      <c r="O353" s="17" t="n">
        <f aca="false">INDEX(Ipotesi!$C$42:$G$42,1,F353)*Ipotesi!H125</f>
        <v>8.5</v>
      </c>
      <c r="P353" s="17" t="n">
        <f aca="false">INDEX(Ipotesi!$C$43:$G$43,1,F353)*I353</f>
        <v>7</v>
      </c>
      <c r="Q353" s="17" t="n">
        <f aca="false">INDEX(Ipotesi!$C$44:$G$44,1,F353)*I353</f>
        <v>6</v>
      </c>
      <c r="R353" s="17" t="n">
        <f aca="false">INDEX(Ipotesi!$C$45:$G$45,1,F353)*I353</f>
        <v>2</v>
      </c>
      <c r="S353" s="17" t="n">
        <f aca="false">INDEX(Ipotesi!$C$52:$G$52,1,F353)*Ipotesi!H125</f>
        <v>9</v>
      </c>
      <c r="T353" s="17" t="n">
        <f aca="false">INDEX(Ipotesi!$C$53:$G$53,1,F353)*I353</f>
        <v>1</v>
      </c>
      <c r="U353" s="17" t="n">
        <f aca="false">INDEX(Ipotesi!$C$54:$G$54,1,F353)*I353</f>
        <v>1</v>
      </c>
      <c r="V353" s="15" t="n">
        <f aca="false">M353*INDEX(Ipotesi!$C$58:$G$58,1,F353)*K353/12</f>
        <v>8333.33333333333</v>
      </c>
      <c r="W353" s="15" t="n">
        <f aca="false">N353*Ipotesi!$C$59*(1+Ipotesi!$C$66)^(F353-1)/12</f>
        <v>6565.46805833334</v>
      </c>
      <c r="X353" s="15" t="n">
        <f aca="false">O353*Ipotesi!$C$60*(1+Ipotesi!$C$66)^(F353-1)/12</f>
        <v>39861.7703541667</v>
      </c>
      <c r="Y353" s="15" t="n">
        <f aca="false">P353*Ipotesi!$C$61*(1+Ipotesi!$C$66)^(F353-1)/12</f>
        <v>32827.3402916667</v>
      </c>
      <c r="Z353" s="15" t="n">
        <f aca="false">Q353*Ipotesi!$C$62*(1+Ipotesi!$C$66)^(F353-1)/12</f>
        <v>25323.948225</v>
      </c>
      <c r="AA353" s="15" t="n">
        <f aca="false">R353*Ipotesi!$C$63*(1+Ipotesi!$C$66)^(F353-1)/12</f>
        <v>6565.46805833334</v>
      </c>
      <c r="AB353" s="15" t="n">
        <f aca="false">SUM(V353:AA353)</f>
        <v>119477.328320833</v>
      </c>
      <c r="AC353" s="15" t="n">
        <f aca="false">(S353*Ipotesi!$C$64+T353*Ipotesi!$C$65+U353*Ipotesi!$C$63)*(1+Ipotesi!$C$66)^(F353-1)/12</f>
        <v>44363.8055941667</v>
      </c>
      <c r="AD353" s="15" t="n">
        <f aca="false">INDEX(Ipotesi!$C$48:$G$48,1,F353)*G353/12</f>
        <v>95.8333333333333</v>
      </c>
      <c r="AE353" s="15" t="n">
        <f aca="false">INDEX(Ipotesi!$C$50:$G$50,1,F353)*G353/12</f>
        <v>9.58333333333333</v>
      </c>
      <c r="AF353" s="15" t="n">
        <f aca="false">(S353*Parametri_v3!$C$7*Parametri_v3!$C$8+Parametri_v3!$C$10)/12</f>
        <v>115.5</v>
      </c>
      <c r="AG353" s="15" t="n">
        <f aca="false">AD353+AE353*(1+Parametri_v3!$C$9)</f>
        <v>110.208333333333</v>
      </c>
      <c r="AH353" s="16" t="n">
        <f aca="false">IF(AG353=0,1,MIN(1,AF353/AG353))</f>
        <v>1</v>
      </c>
      <c r="AI353" s="15" t="n">
        <f aca="false">AD353*AH353</f>
        <v>95.8333333333333</v>
      </c>
      <c r="AJ353" s="15" t="n">
        <f aca="false">AE353*AH353</f>
        <v>9.58333333333333</v>
      </c>
      <c r="AK353" s="15" t="n">
        <f aca="false">AI353*INDEX(Ipotesi!$C$49:$G$49,1,F353)*H353</f>
        <v>91041.6666666667</v>
      </c>
      <c r="AL353" s="15" t="n">
        <f aca="false">AJ353*INDEX(Ipotesi!$C$51:$G$51,1,F353)*H353</f>
        <v>24916.6666666667</v>
      </c>
      <c r="AM353" s="15" t="n">
        <f aca="false">AK353+AL353</f>
        <v>115958.333333333</v>
      </c>
      <c r="AN353" s="15" t="n">
        <f aca="false">INDEX(Ipotesi!$C$30:$G$30,1,F353)*G353/12</f>
        <v>81.6666666666667</v>
      </c>
      <c r="AO353" s="15" t="n">
        <f aca="false">O353*Parametri_v3!$C$7*Parametri_v3!$C$11*(1-Parametri_v3!$C$14)/12</f>
        <v>87.2666666666667</v>
      </c>
      <c r="AP353" s="15" t="n">
        <f aca="false">MIN(AN353,AO353)</f>
        <v>81.6666666666667</v>
      </c>
      <c r="AQ353" s="15" t="n">
        <f aca="false">AP353*INDEX(Ipotesi!$C$31:$G$31,1,F353)*H353</f>
        <v>89833.3333333333</v>
      </c>
      <c r="AR353" s="15" t="n">
        <f aca="false">INDEX(Ipotesi!$C$75:$G$75,1,F353)*J353/12</f>
        <v>35833.3333333333</v>
      </c>
      <c r="AS353" s="15" t="n">
        <f aca="false">INDEX(Ipotesi!$C$81:$G$81,1,F353)*J353/12</f>
        <v>2083.33333333333</v>
      </c>
      <c r="AT353" s="15" t="n">
        <f aca="false">AR353*Parametri_v3!$C$15+Z353*Parametri_v3!$C$16</f>
        <v>53560.0970908333</v>
      </c>
      <c r="AU353" s="15" t="n">
        <f aca="false">Q353*Parametri_v3!$C$16*Parametri_v3!$C$17</f>
        <v>420</v>
      </c>
      <c r="AV353" s="17" t="n">
        <f aca="false">BD352</f>
        <v>154.906003497615</v>
      </c>
      <c r="AW353" s="17" t="n">
        <f aca="false">AV353*(1-(1-INDEX(Ipotesi!$C$34:$G$34,1,F353))^(1/12))</f>
        <v>1.35412801712304</v>
      </c>
      <c r="AX353" s="15" t="n">
        <f aca="false">ROUND(INDEX(Ipotesi!$C$32:$G$32,1,F353)*Ipotesi!H8,0)</f>
        <v>560</v>
      </c>
      <c r="AY353" s="15" t="n">
        <f aca="false">MAX(0,(AX353-(AV353-AW353))/(13-E353))</f>
        <v>33.8706770432924</v>
      </c>
      <c r="AZ353" s="15" t="n">
        <f aca="false">MIN(P353*Parametri_v3!$C$22,Q353*(1-Parametri_v3!$C$16)*Parametri_v3!$C$23)</f>
        <v>270</v>
      </c>
      <c r="BA353" s="15" t="n">
        <f aca="false">IF(OR(INDEX(Ipotesi!$C$35:$G$35,1,F353)&lt;=0,49-Parametri_v3!$C$21&lt;1),0,INDEX($AT$305:$AT$364,MAX(1,49-Parametri_v3!$C$21))/(INDEX(Ipotesi!$C$35:$G$35,1,F353)*Ipotesi!H27))</f>
        <v>6.50133977564103</v>
      </c>
      <c r="BB353" s="15" t="n">
        <f aca="false">IF(49-Parametri_v3!$C$21&lt;1,0,INDEX($AU$305:$AU$364,MAX(1,49-Parametri_v3!$C$21)))*Parametri_v3!$C$18*Parametri_v3!$C$19*Parametri_v3!$C$20</f>
        <v>13.125</v>
      </c>
      <c r="BC353" s="17" t="n">
        <f aca="false">MAX(0,MIN(AY353,BA353,BB353,MAX(0,AZ353-(AV353-AW353))))</f>
        <v>6.50133977564103</v>
      </c>
      <c r="BD353" s="17" t="n">
        <f aca="false">AV353-AW353+BC353</f>
        <v>160.053215256133</v>
      </c>
      <c r="BE353" s="17" t="n">
        <f aca="false">(AV353+BD353)/2</f>
        <v>157.479609376874</v>
      </c>
      <c r="BF353" s="15" t="n">
        <f aca="false">BE353*INDEX(Ipotesi!$C$33:$G$33,1,F353)*H353/12</f>
        <v>81364.4648447181</v>
      </c>
      <c r="BG353" s="15" t="n">
        <f aca="false">BD353*INDEX(Ipotesi!$C$33:$G$33,1,F353)*H353</f>
        <v>992329.934588023</v>
      </c>
      <c r="BH353" s="15" t="n">
        <f aca="false">AM353*INDEX(Ipotesi!$C$37:$G$37,1,F353)</f>
        <v>11595.8333333333</v>
      </c>
      <c r="BI353" s="15" t="n">
        <f aca="false">AQ353+BF353+BH353</f>
        <v>182793.631511385</v>
      </c>
      <c r="BJ353" s="15" t="n">
        <f aca="false">INDEX(Ipotesi!$C$68:$G$68,1,F353)*Ipotesi!$C$69/12</f>
        <v>3333.33333333333</v>
      </c>
      <c r="BK353" s="15" t="n">
        <f aca="false">INDEX(Ipotesi!$C$68:$G$68,1,F353)*(1-Ipotesi!$C$69)/12</f>
        <v>5000</v>
      </c>
      <c r="BL353" s="15" t="n">
        <f aca="false">(AQ353+BF353)*Ipotesi!$C$67</f>
        <v>5135.93394534154</v>
      </c>
      <c r="BM353" s="15" t="n">
        <f aca="false">AM353*Ipotesi!$C$67</f>
        <v>3478.75</v>
      </c>
      <c r="BN353" s="15" t="n">
        <f aca="false">INDEX(Ipotesi!$C$72:$G$72,1,F353)/12*Ipotesi!H126+BF353*Ipotesi!$C$73</f>
        <v>7759.15718757745</v>
      </c>
      <c r="BO353" s="15" t="n">
        <f aca="false">INDEX(Ipotesi!$C$74:$G$74,1,F353)/12*Ipotesi!H126</f>
        <v>5416.66666666667</v>
      </c>
      <c r="BP353" s="15" t="n">
        <f aca="false">INDEX(Ipotesi!$C$76:$G$76,1,F353)/12</f>
        <v>1916.66666666667</v>
      </c>
      <c r="BQ353" s="15" t="n">
        <f aca="false">INDEX(Ipotesi!$C$77:$G$77,1,F353)/12*Ipotesi!H126</f>
        <v>2500</v>
      </c>
      <c r="BR353" s="15" t="n">
        <f aca="false">INDEX(Ipotesi!$C$78:$G$78,1,F353)/12</f>
        <v>2333.33333333333</v>
      </c>
      <c r="BS353" s="15" t="n">
        <f aca="false">SUM(M353:R353)*(Ipotesi!$C$85+Ipotesi!$C$86)/12</f>
        <v>7437.5</v>
      </c>
      <c r="BT353" s="15" t="n">
        <f aca="false">BI353*Ipotesi!$C$87</f>
        <v>5483.80894534154</v>
      </c>
      <c r="BU353" s="15" t="n">
        <f aca="false">INDEX(Ipotesi!$C$55:$G$55,1,F353)*K353/12</f>
        <v>2000</v>
      </c>
      <c r="BV353" s="15" t="n">
        <f aca="false">INDEX(Ipotesi!$C$80:$G$80,1,F353)/12*Ipotesi!H126</f>
        <v>2083.33333333333</v>
      </c>
      <c r="BW353" s="15" t="n">
        <f aca="false">INDEX(Ipotesi!$C$82:$G$82,1,F353)/12</f>
        <v>1500</v>
      </c>
      <c r="BX353" s="15" t="n">
        <f aca="false">INDEX(Ipotesi!$C$83:$G$83,1,F353)/12</f>
        <v>833.333333333333</v>
      </c>
      <c r="BY353" s="15" t="n">
        <f aca="false">SUM(S353:U353)*(Ipotesi!$C$85+Ipotesi!$C$86)/12</f>
        <v>3208.33333333333</v>
      </c>
      <c r="BZ353" s="15" t="n">
        <f aca="false">AM353*Ipotesi!$C$87</f>
        <v>3478.75</v>
      </c>
      <c r="CA353" s="15" t="n">
        <f aca="false">AB353+BJ353+BL353+BN353+BO353+AR353+BP353+BQ353+BR353+BS353+BT353</f>
        <v>196627.061732427</v>
      </c>
      <c r="CB353" s="15" t="n">
        <f aca="false">AC353+BK353+BM353+BH353+BU353+BV353+AS353+BW353+BX353+BY353+BZ353</f>
        <v>79625.4722608333</v>
      </c>
      <c r="CC353" s="15" t="n">
        <f aca="false">BI353-CA353</f>
        <v>-13833.4302210424</v>
      </c>
      <c r="CD353" s="15" t="n">
        <f aca="false">AM353-CB353</f>
        <v>36332.8610725</v>
      </c>
      <c r="CE353" s="15" t="n">
        <f aca="false">INDEX(Ipotesi!$C$79:$G$79,1,F353)/12</f>
        <v>4166.66666666667</v>
      </c>
      <c r="CF353" s="15" t="n">
        <f aca="false">INDEX(Ipotesi!$C$84:$G$84,1,F353)/12</f>
        <v>666.666666666667</v>
      </c>
      <c r="CG353" s="15" t="n">
        <f aca="false">Y353*MAX(0,Parametri_v3!$C$12-IF(P353=0,0,MIN(1,BE353/(P353*Parametri_v3!$C$22))))+W353*Parametri_v3!$C$13+X353*Parametri_v3!$C$14</f>
        <v>36697.2330687904</v>
      </c>
      <c r="CH353" s="15" t="n">
        <f aca="false">AB353*Parametri_v3!$C$32</f>
        <v>5973.86641604167</v>
      </c>
      <c r="CI353" s="15" t="n">
        <f aca="false">AC353*Parametri_v3!$C$32</f>
        <v>2218.19027970833</v>
      </c>
      <c r="CJ353" s="15" t="n">
        <f aca="false">CA353-AB353</f>
        <v>77149.7334115939</v>
      </c>
      <c r="CK353" s="15" t="n">
        <f aca="false">CB353-AC353-BH353</f>
        <v>23665.8333333333</v>
      </c>
      <c r="CL353" s="15" t="n">
        <f aca="false">BF353*Ipotesi!$C$73+INDEX(Ipotesi!$C$72:$G$72,1,F353)/12*Ipotesi!H126*Parametri_v3!$C$58+Z353*(1-Parametri_v3!$C$16)</f>
        <v>15356.3416550775</v>
      </c>
      <c r="CM353" s="16" t="n">
        <f aca="false">IF(BF353=0,0,1-CL353/BF353)</f>
        <v>0.811264761780409</v>
      </c>
    </row>
    <row r="354" customFormat="false" ht="18" hidden="false" customHeight="true" outlineLevel="0" collapsed="false">
      <c r="A354" s="68" t="n">
        <f aca="false">6</f>
        <v>6</v>
      </c>
      <c r="B354" s="68" t="n">
        <f aca="false">50</f>
        <v>50</v>
      </c>
      <c r="C354" s="18" t="n">
        <f aca="false">EDATE(Parametri_v3!$C$5,50-1)</f>
        <v>47880</v>
      </c>
      <c r="D354" s="68" t="n">
        <f aca="false">YEAR(C354)</f>
        <v>2031</v>
      </c>
      <c r="E354" s="68" t="n">
        <f aca="false">MONTH(C354)</f>
        <v>2</v>
      </c>
      <c r="F354" s="68" t="n">
        <f aca="false">INT((50-1)/12)+1</f>
        <v>5</v>
      </c>
      <c r="G354" s="15" t="n">
        <f aca="false">Ipotesi!H7</f>
        <v>1</v>
      </c>
      <c r="H354" s="15" t="n">
        <f aca="false">Ipotesi!H9</f>
        <v>1</v>
      </c>
      <c r="I354" s="15" t="n">
        <f aca="false">Ipotesi!H10</f>
        <v>1</v>
      </c>
      <c r="J354" s="15" t="n">
        <f aca="false">Ipotesi!H11</f>
        <v>1</v>
      </c>
      <c r="K354" s="15" t="n">
        <f aca="false">Ipotesi!H12</f>
        <v>1</v>
      </c>
      <c r="L354" s="15" t="n">
        <f aca="false">Ipotesi!H13</f>
        <v>90</v>
      </c>
      <c r="M354" s="17" t="n">
        <f aca="false">INDEX(Ipotesi!$C$40:$G$40,1,F354)</f>
        <v>1</v>
      </c>
      <c r="N354" s="17" t="n">
        <f aca="false">INDEX(Ipotesi!$C$41:$G$41,1,F354)</f>
        <v>1</v>
      </c>
      <c r="O354" s="17" t="n">
        <f aca="false">INDEX(Ipotesi!$C$42:$G$42,1,F354)*Ipotesi!H125</f>
        <v>8.5</v>
      </c>
      <c r="P354" s="17" t="n">
        <f aca="false">INDEX(Ipotesi!$C$43:$G$43,1,F354)*I354</f>
        <v>7</v>
      </c>
      <c r="Q354" s="17" t="n">
        <f aca="false">INDEX(Ipotesi!$C$44:$G$44,1,F354)*I354</f>
        <v>6</v>
      </c>
      <c r="R354" s="17" t="n">
        <f aca="false">INDEX(Ipotesi!$C$45:$G$45,1,F354)*I354</f>
        <v>2</v>
      </c>
      <c r="S354" s="17" t="n">
        <f aca="false">INDEX(Ipotesi!$C$52:$G$52,1,F354)*Ipotesi!H125</f>
        <v>9</v>
      </c>
      <c r="T354" s="17" t="n">
        <f aca="false">INDEX(Ipotesi!$C$53:$G$53,1,F354)*I354</f>
        <v>1</v>
      </c>
      <c r="U354" s="17" t="n">
        <f aca="false">INDEX(Ipotesi!$C$54:$G$54,1,F354)*I354</f>
        <v>1</v>
      </c>
      <c r="V354" s="15" t="n">
        <f aca="false">M354*INDEX(Ipotesi!$C$58:$G$58,1,F354)*K354/12</f>
        <v>8333.33333333333</v>
      </c>
      <c r="W354" s="15" t="n">
        <f aca="false">N354*Ipotesi!$C$59*(1+Ipotesi!$C$66)^(F354-1)/12</f>
        <v>6565.46805833334</v>
      </c>
      <c r="X354" s="15" t="n">
        <f aca="false">O354*Ipotesi!$C$60*(1+Ipotesi!$C$66)^(F354-1)/12</f>
        <v>39861.7703541667</v>
      </c>
      <c r="Y354" s="15" t="n">
        <f aca="false">P354*Ipotesi!$C$61*(1+Ipotesi!$C$66)^(F354-1)/12</f>
        <v>32827.3402916667</v>
      </c>
      <c r="Z354" s="15" t="n">
        <f aca="false">Q354*Ipotesi!$C$62*(1+Ipotesi!$C$66)^(F354-1)/12</f>
        <v>25323.948225</v>
      </c>
      <c r="AA354" s="15" t="n">
        <f aca="false">R354*Ipotesi!$C$63*(1+Ipotesi!$C$66)^(F354-1)/12</f>
        <v>6565.46805833334</v>
      </c>
      <c r="AB354" s="15" t="n">
        <f aca="false">SUM(V354:AA354)</f>
        <v>119477.328320833</v>
      </c>
      <c r="AC354" s="15" t="n">
        <f aca="false">(S354*Ipotesi!$C$64+T354*Ipotesi!$C$65+U354*Ipotesi!$C$63)*(1+Ipotesi!$C$66)^(F354-1)/12</f>
        <v>44363.8055941667</v>
      </c>
      <c r="AD354" s="15" t="n">
        <f aca="false">INDEX(Ipotesi!$C$48:$G$48,1,F354)*G354/12</f>
        <v>95.8333333333333</v>
      </c>
      <c r="AE354" s="15" t="n">
        <f aca="false">INDEX(Ipotesi!$C$50:$G$50,1,F354)*G354/12</f>
        <v>9.58333333333333</v>
      </c>
      <c r="AF354" s="15" t="n">
        <f aca="false">(S354*Parametri_v3!$C$7*Parametri_v3!$C$8+Parametri_v3!$C$10)/12</f>
        <v>115.5</v>
      </c>
      <c r="AG354" s="15" t="n">
        <f aca="false">AD354+AE354*(1+Parametri_v3!$C$9)</f>
        <v>110.208333333333</v>
      </c>
      <c r="AH354" s="16" t="n">
        <f aca="false">IF(AG354=0,1,MIN(1,AF354/AG354))</f>
        <v>1</v>
      </c>
      <c r="AI354" s="15" t="n">
        <f aca="false">AD354*AH354</f>
        <v>95.8333333333333</v>
      </c>
      <c r="AJ354" s="15" t="n">
        <f aca="false">AE354*AH354</f>
        <v>9.58333333333333</v>
      </c>
      <c r="AK354" s="15" t="n">
        <f aca="false">AI354*INDEX(Ipotesi!$C$49:$G$49,1,F354)*H354</f>
        <v>91041.6666666667</v>
      </c>
      <c r="AL354" s="15" t="n">
        <f aca="false">AJ354*INDEX(Ipotesi!$C$51:$G$51,1,F354)*H354</f>
        <v>24916.6666666667</v>
      </c>
      <c r="AM354" s="15" t="n">
        <f aca="false">AK354+AL354</f>
        <v>115958.333333333</v>
      </c>
      <c r="AN354" s="15" t="n">
        <f aca="false">INDEX(Ipotesi!$C$30:$G$30,1,F354)*G354/12</f>
        <v>81.6666666666667</v>
      </c>
      <c r="AO354" s="15" t="n">
        <f aca="false">O354*Parametri_v3!$C$7*Parametri_v3!$C$11*(1-Parametri_v3!$C$14)/12</f>
        <v>87.2666666666667</v>
      </c>
      <c r="AP354" s="15" t="n">
        <f aca="false">MIN(AN354,AO354)</f>
        <v>81.6666666666667</v>
      </c>
      <c r="AQ354" s="15" t="n">
        <f aca="false">AP354*INDEX(Ipotesi!$C$31:$G$31,1,F354)*H354</f>
        <v>89833.3333333333</v>
      </c>
      <c r="AR354" s="15" t="n">
        <f aca="false">INDEX(Ipotesi!$C$75:$G$75,1,F354)*J354/12</f>
        <v>35833.3333333333</v>
      </c>
      <c r="AS354" s="15" t="n">
        <f aca="false">INDEX(Ipotesi!$C$81:$G$81,1,F354)*J354/12</f>
        <v>2083.33333333333</v>
      </c>
      <c r="AT354" s="15" t="n">
        <f aca="false">AR354*Parametri_v3!$C$15+Z354*Parametri_v3!$C$16</f>
        <v>53560.0970908333</v>
      </c>
      <c r="AU354" s="15" t="n">
        <f aca="false">Q354*Parametri_v3!$C$16*Parametri_v3!$C$17</f>
        <v>420</v>
      </c>
      <c r="AV354" s="17" t="n">
        <f aca="false">BD353</f>
        <v>160.053215256133</v>
      </c>
      <c r="AW354" s="17" t="n">
        <f aca="false">AV354*(1-(1-INDEX(Ipotesi!$C$34:$G$34,1,F354))^(1/12))</f>
        <v>1.39912293981744</v>
      </c>
      <c r="AX354" s="15" t="n">
        <f aca="false">ROUND(INDEX(Ipotesi!$C$32:$G$32,1,F354)*Ipotesi!H8,0)</f>
        <v>560</v>
      </c>
      <c r="AY354" s="15" t="n">
        <f aca="false">MAX(0,(AX354-(AV354-AW354))/(13-E354))</f>
        <v>36.4859916076077</v>
      </c>
      <c r="AZ354" s="15" t="n">
        <f aca="false">MIN(P354*Parametri_v3!$C$22,Q354*(1-Parametri_v3!$C$16)*Parametri_v3!$C$23)</f>
        <v>270</v>
      </c>
      <c r="BA354" s="15" t="n">
        <f aca="false">IF(OR(INDEX(Ipotesi!$C$35:$G$35,1,F354)&lt;=0,50-Parametri_v3!$C$21&lt;1),0,INDEX($AT$305:$AT$364,MAX(1,50-Parametri_v3!$C$21))/(INDEX(Ipotesi!$C$35:$G$35,1,F354)*Ipotesi!H27))</f>
        <v>6.50133977564103</v>
      </c>
      <c r="BB354" s="15" t="n">
        <f aca="false">IF(50-Parametri_v3!$C$21&lt;1,0,INDEX($AU$305:$AU$364,MAX(1,50-Parametri_v3!$C$21)))*Parametri_v3!$C$18*Parametri_v3!$C$19*Parametri_v3!$C$20</f>
        <v>13.125</v>
      </c>
      <c r="BC354" s="17" t="n">
        <f aca="false">MAX(0,MIN(AY354,BA354,BB354,MAX(0,AZ354-(AV354-AW354))))</f>
        <v>6.50133977564103</v>
      </c>
      <c r="BD354" s="17" t="n">
        <f aca="false">AV354-AW354+BC354</f>
        <v>165.155432091956</v>
      </c>
      <c r="BE354" s="17" t="n">
        <f aca="false">(AV354+BD354)/2</f>
        <v>162.604323674045</v>
      </c>
      <c r="BF354" s="15" t="n">
        <f aca="false">BE354*INDEX(Ipotesi!$C$33:$G$33,1,F354)*H354/12</f>
        <v>84012.2338982563</v>
      </c>
      <c r="BG354" s="15" t="n">
        <f aca="false">BD354*INDEX(Ipotesi!$C$33:$G$33,1,F354)*H354</f>
        <v>1023963.67897013</v>
      </c>
      <c r="BH354" s="15" t="n">
        <f aca="false">AM354*INDEX(Ipotesi!$C$37:$G$37,1,F354)</f>
        <v>11595.8333333333</v>
      </c>
      <c r="BI354" s="15" t="n">
        <f aca="false">AQ354+BF354+BH354</f>
        <v>185441.400564923</v>
      </c>
      <c r="BJ354" s="15" t="n">
        <f aca="false">INDEX(Ipotesi!$C$68:$G$68,1,F354)*Ipotesi!$C$69/12</f>
        <v>3333.33333333333</v>
      </c>
      <c r="BK354" s="15" t="n">
        <f aca="false">INDEX(Ipotesi!$C$68:$G$68,1,F354)*(1-Ipotesi!$C$69)/12</f>
        <v>5000</v>
      </c>
      <c r="BL354" s="15" t="n">
        <f aca="false">(AQ354+BF354)*Ipotesi!$C$67</f>
        <v>5215.36701694769</v>
      </c>
      <c r="BM354" s="15" t="n">
        <f aca="false">AM354*Ipotesi!$C$67</f>
        <v>3478.75</v>
      </c>
      <c r="BN354" s="15" t="n">
        <f aca="false">INDEX(Ipotesi!$C$72:$G$72,1,F354)/12*Ipotesi!H126+BF354*Ipotesi!$C$73</f>
        <v>7970.97871186051</v>
      </c>
      <c r="BO354" s="15" t="n">
        <f aca="false">INDEX(Ipotesi!$C$74:$G$74,1,F354)/12*Ipotesi!H126</f>
        <v>5416.66666666667</v>
      </c>
      <c r="BP354" s="15" t="n">
        <f aca="false">INDEX(Ipotesi!$C$76:$G$76,1,F354)/12</f>
        <v>1916.66666666667</v>
      </c>
      <c r="BQ354" s="15" t="n">
        <f aca="false">INDEX(Ipotesi!$C$77:$G$77,1,F354)/12*Ipotesi!H126</f>
        <v>2500</v>
      </c>
      <c r="BR354" s="15" t="n">
        <f aca="false">INDEX(Ipotesi!$C$78:$G$78,1,F354)/12</f>
        <v>2333.33333333333</v>
      </c>
      <c r="BS354" s="15" t="n">
        <f aca="false">SUM(M354:R354)*(Ipotesi!$C$85+Ipotesi!$C$86)/12</f>
        <v>7437.5</v>
      </c>
      <c r="BT354" s="15" t="n">
        <f aca="false">BI354*Ipotesi!$C$87</f>
        <v>5563.24201694769</v>
      </c>
      <c r="BU354" s="15" t="n">
        <f aca="false">INDEX(Ipotesi!$C$55:$G$55,1,F354)*K354/12</f>
        <v>2000</v>
      </c>
      <c r="BV354" s="15" t="n">
        <f aca="false">INDEX(Ipotesi!$C$80:$G$80,1,F354)/12*Ipotesi!H126</f>
        <v>2083.33333333333</v>
      </c>
      <c r="BW354" s="15" t="n">
        <f aca="false">INDEX(Ipotesi!$C$82:$G$82,1,F354)/12</f>
        <v>1500</v>
      </c>
      <c r="BX354" s="15" t="n">
        <f aca="false">INDEX(Ipotesi!$C$83:$G$83,1,F354)/12</f>
        <v>833.333333333333</v>
      </c>
      <c r="BY354" s="15" t="n">
        <f aca="false">SUM(S354:U354)*(Ipotesi!$C$85+Ipotesi!$C$86)/12</f>
        <v>3208.33333333333</v>
      </c>
      <c r="BZ354" s="15" t="n">
        <f aca="false">AM354*Ipotesi!$C$87</f>
        <v>3478.75</v>
      </c>
      <c r="CA354" s="15" t="n">
        <f aca="false">AB354+BJ354+BL354+BN354+BO354+AR354+BP354+BQ354+BR354+BS354+BT354</f>
        <v>196997.749399923</v>
      </c>
      <c r="CB354" s="15" t="n">
        <f aca="false">AC354+BK354+BM354+BH354+BU354+BV354+AS354+BW354+BX354+BY354+BZ354</f>
        <v>79625.4722608333</v>
      </c>
      <c r="CC354" s="15" t="n">
        <f aca="false">BI354-CA354</f>
        <v>-11556.3488349995</v>
      </c>
      <c r="CD354" s="15" t="n">
        <f aca="false">AM354-CB354</f>
        <v>36332.8610725</v>
      </c>
      <c r="CE354" s="15" t="n">
        <f aca="false">INDEX(Ipotesi!$C$79:$G$79,1,F354)/12</f>
        <v>4166.66666666667</v>
      </c>
      <c r="CF354" s="15" t="n">
        <f aca="false">INDEX(Ipotesi!$C$84:$G$84,1,F354)/12</f>
        <v>666.666666666667</v>
      </c>
      <c r="CG354" s="15" t="n">
        <f aca="false">Y354*MAX(0,Parametri_v3!$C$12-IF(P354=0,0,MIN(1,BE354/(P354*Parametri_v3!$C$22))))+W354*Parametri_v3!$C$13+X354*Parametri_v3!$C$14</f>
        <v>36456.9034400321</v>
      </c>
      <c r="CH354" s="15" t="n">
        <f aca="false">AB354*Parametri_v3!$C$32</f>
        <v>5973.86641604167</v>
      </c>
      <c r="CI354" s="15" t="n">
        <f aca="false">AC354*Parametri_v3!$C$32</f>
        <v>2218.19027970833</v>
      </c>
      <c r="CJ354" s="15" t="n">
        <f aca="false">CA354-AB354</f>
        <v>77520.4210790892</v>
      </c>
      <c r="CK354" s="15" t="n">
        <f aca="false">CB354-AC354-BH354</f>
        <v>23665.8333333333</v>
      </c>
      <c r="CL354" s="15" t="n">
        <f aca="false">BF354*Ipotesi!$C$73+INDEX(Ipotesi!$C$72:$G$72,1,F354)/12*Ipotesi!H126*Parametri_v3!$C$58+Z354*(1-Parametri_v3!$C$16)</f>
        <v>15568.1631793605</v>
      </c>
      <c r="CM354" s="16" t="n">
        <f aca="false">IF(BF354=0,0,1-CL354/BF354)</f>
        <v>0.814691712659201</v>
      </c>
    </row>
    <row r="355" customFormat="false" ht="18" hidden="false" customHeight="true" outlineLevel="0" collapsed="false">
      <c r="A355" s="68" t="n">
        <f aca="false">6</f>
        <v>6</v>
      </c>
      <c r="B355" s="68" t="n">
        <f aca="false">51</f>
        <v>51</v>
      </c>
      <c r="C355" s="18" t="n">
        <f aca="false">EDATE(Parametri_v3!$C$5,51-1)</f>
        <v>47908</v>
      </c>
      <c r="D355" s="68" t="n">
        <f aca="false">YEAR(C355)</f>
        <v>2031</v>
      </c>
      <c r="E355" s="68" t="n">
        <f aca="false">MONTH(C355)</f>
        <v>3</v>
      </c>
      <c r="F355" s="68" t="n">
        <f aca="false">INT((51-1)/12)+1</f>
        <v>5</v>
      </c>
      <c r="G355" s="15" t="n">
        <f aca="false">Ipotesi!H7</f>
        <v>1</v>
      </c>
      <c r="H355" s="15" t="n">
        <f aca="false">Ipotesi!H9</f>
        <v>1</v>
      </c>
      <c r="I355" s="15" t="n">
        <f aca="false">Ipotesi!H10</f>
        <v>1</v>
      </c>
      <c r="J355" s="15" t="n">
        <f aca="false">Ipotesi!H11</f>
        <v>1</v>
      </c>
      <c r="K355" s="15" t="n">
        <f aca="false">Ipotesi!H12</f>
        <v>1</v>
      </c>
      <c r="L355" s="15" t="n">
        <f aca="false">Ipotesi!H13</f>
        <v>90</v>
      </c>
      <c r="M355" s="17" t="n">
        <f aca="false">INDEX(Ipotesi!$C$40:$G$40,1,F355)</f>
        <v>1</v>
      </c>
      <c r="N355" s="17" t="n">
        <f aca="false">INDEX(Ipotesi!$C$41:$G$41,1,F355)</f>
        <v>1</v>
      </c>
      <c r="O355" s="17" t="n">
        <f aca="false">INDEX(Ipotesi!$C$42:$G$42,1,F355)*Ipotesi!H125</f>
        <v>8.5</v>
      </c>
      <c r="P355" s="17" t="n">
        <f aca="false">INDEX(Ipotesi!$C$43:$G$43,1,F355)*I355</f>
        <v>7</v>
      </c>
      <c r="Q355" s="17" t="n">
        <f aca="false">INDEX(Ipotesi!$C$44:$G$44,1,F355)*I355</f>
        <v>6</v>
      </c>
      <c r="R355" s="17" t="n">
        <f aca="false">INDEX(Ipotesi!$C$45:$G$45,1,F355)*I355</f>
        <v>2</v>
      </c>
      <c r="S355" s="17" t="n">
        <f aca="false">INDEX(Ipotesi!$C$52:$G$52,1,F355)*Ipotesi!H125</f>
        <v>9</v>
      </c>
      <c r="T355" s="17" t="n">
        <f aca="false">INDEX(Ipotesi!$C$53:$G$53,1,F355)*I355</f>
        <v>1</v>
      </c>
      <c r="U355" s="17" t="n">
        <f aca="false">INDEX(Ipotesi!$C$54:$G$54,1,F355)*I355</f>
        <v>1</v>
      </c>
      <c r="V355" s="15" t="n">
        <f aca="false">M355*INDEX(Ipotesi!$C$58:$G$58,1,F355)*K355/12</f>
        <v>8333.33333333333</v>
      </c>
      <c r="W355" s="15" t="n">
        <f aca="false">N355*Ipotesi!$C$59*(1+Ipotesi!$C$66)^(F355-1)/12</f>
        <v>6565.46805833334</v>
      </c>
      <c r="X355" s="15" t="n">
        <f aca="false">O355*Ipotesi!$C$60*(1+Ipotesi!$C$66)^(F355-1)/12</f>
        <v>39861.7703541667</v>
      </c>
      <c r="Y355" s="15" t="n">
        <f aca="false">P355*Ipotesi!$C$61*(1+Ipotesi!$C$66)^(F355-1)/12</f>
        <v>32827.3402916667</v>
      </c>
      <c r="Z355" s="15" t="n">
        <f aca="false">Q355*Ipotesi!$C$62*(1+Ipotesi!$C$66)^(F355-1)/12</f>
        <v>25323.948225</v>
      </c>
      <c r="AA355" s="15" t="n">
        <f aca="false">R355*Ipotesi!$C$63*(1+Ipotesi!$C$66)^(F355-1)/12</f>
        <v>6565.46805833334</v>
      </c>
      <c r="AB355" s="15" t="n">
        <f aca="false">SUM(V355:AA355)</f>
        <v>119477.328320833</v>
      </c>
      <c r="AC355" s="15" t="n">
        <f aca="false">(S355*Ipotesi!$C$64+T355*Ipotesi!$C$65+U355*Ipotesi!$C$63)*(1+Ipotesi!$C$66)^(F355-1)/12</f>
        <v>44363.8055941667</v>
      </c>
      <c r="AD355" s="15" t="n">
        <f aca="false">INDEX(Ipotesi!$C$48:$G$48,1,F355)*G355/12</f>
        <v>95.8333333333333</v>
      </c>
      <c r="AE355" s="15" t="n">
        <f aca="false">INDEX(Ipotesi!$C$50:$G$50,1,F355)*G355/12</f>
        <v>9.58333333333333</v>
      </c>
      <c r="AF355" s="15" t="n">
        <f aca="false">(S355*Parametri_v3!$C$7*Parametri_v3!$C$8+Parametri_v3!$C$10)/12</f>
        <v>115.5</v>
      </c>
      <c r="AG355" s="15" t="n">
        <f aca="false">AD355+AE355*(1+Parametri_v3!$C$9)</f>
        <v>110.208333333333</v>
      </c>
      <c r="AH355" s="16" t="n">
        <f aca="false">IF(AG355=0,1,MIN(1,AF355/AG355))</f>
        <v>1</v>
      </c>
      <c r="AI355" s="15" t="n">
        <f aca="false">AD355*AH355</f>
        <v>95.8333333333333</v>
      </c>
      <c r="AJ355" s="15" t="n">
        <f aca="false">AE355*AH355</f>
        <v>9.58333333333333</v>
      </c>
      <c r="AK355" s="15" t="n">
        <f aca="false">AI355*INDEX(Ipotesi!$C$49:$G$49,1,F355)*H355</f>
        <v>91041.6666666667</v>
      </c>
      <c r="AL355" s="15" t="n">
        <f aca="false">AJ355*INDEX(Ipotesi!$C$51:$G$51,1,F355)*H355</f>
        <v>24916.6666666667</v>
      </c>
      <c r="AM355" s="15" t="n">
        <f aca="false">AK355+AL355</f>
        <v>115958.333333333</v>
      </c>
      <c r="AN355" s="15" t="n">
        <f aca="false">INDEX(Ipotesi!$C$30:$G$30,1,F355)*G355/12</f>
        <v>81.6666666666667</v>
      </c>
      <c r="AO355" s="15" t="n">
        <f aca="false">O355*Parametri_v3!$C$7*Parametri_v3!$C$11*(1-Parametri_v3!$C$14)/12</f>
        <v>87.2666666666667</v>
      </c>
      <c r="AP355" s="15" t="n">
        <f aca="false">MIN(AN355,AO355)</f>
        <v>81.6666666666667</v>
      </c>
      <c r="AQ355" s="15" t="n">
        <f aca="false">AP355*INDEX(Ipotesi!$C$31:$G$31,1,F355)*H355</f>
        <v>89833.3333333333</v>
      </c>
      <c r="AR355" s="15" t="n">
        <f aca="false">INDEX(Ipotesi!$C$75:$G$75,1,F355)*J355/12</f>
        <v>35833.3333333333</v>
      </c>
      <c r="AS355" s="15" t="n">
        <f aca="false">INDEX(Ipotesi!$C$81:$G$81,1,F355)*J355/12</f>
        <v>2083.33333333333</v>
      </c>
      <c r="AT355" s="15" t="n">
        <f aca="false">AR355*Parametri_v3!$C$15+Z355*Parametri_v3!$C$16</f>
        <v>53560.0970908333</v>
      </c>
      <c r="AU355" s="15" t="n">
        <f aca="false">Q355*Parametri_v3!$C$16*Parametri_v3!$C$17</f>
        <v>420</v>
      </c>
      <c r="AV355" s="17" t="n">
        <f aca="false">BD354</f>
        <v>165.155432091956</v>
      </c>
      <c r="AW355" s="17" t="n">
        <f aca="false">AV355*(1-(1-INDEX(Ipotesi!$C$34:$G$34,1,F355))^(1/12))</f>
        <v>1.44372453440272</v>
      </c>
      <c r="AX355" s="15" t="n">
        <f aca="false">ROUND(INDEX(Ipotesi!$C$32:$G$32,1,F355)*Ipotesi!H8,0)</f>
        <v>560</v>
      </c>
      <c r="AY355" s="15" t="n">
        <f aca="false">MAX(0,(AX355-(AV355-AW355))/(13-E355))</f>
        <v>39.6288292442446</v>
      </c>
      <c r="AZ355" s="15" t="n">
        <f aca="false">MIN(P355*Parametri_v3!$C$22,Q355*(1-Parametri_v3!$C$16)*Parametri_v3!$C$23)</f>
        <v>270</v>
      </c>
      <c r="BA355" s="15" t="n">
        <f aca="false">IF(OR(INDEX(Ipotesi!$C$35:$G$35,1,F355)&lt;=0,51-Parametri_v3!$C$21&lt;1),0,INDEX($AT$305:$AT$364,MAX(1,51-Parametri_v3!$C$21))/(INDEX(Ipotesi!$C$35:$G$35,1,F355)*Ipotesi!H27))</f>
        <v>6.50133977564103</v>
      </c>
      <c r="BB355" s="15" t="n">
        <f aca="false">IF(51-Parametri_v3!$C$21&lt;1,0,INDEX($AU$305:$AU$364,MAX(1,51-Parametri_v3!$C$21)))*Parametri_v3!$C$18*Parametri_v3!$C$19*Parametri_v3!$C$20</f>
        <v>13.125</v>
      </c>
      <c r="BC355" s="17" t="n">
        <f aca="false">MAX(0,MIN(AY355,BA355,BB355,MAX(0,AZ355-(AV355-AW355))))</f>
        <v>6.50133977564103</v>
      </c>
      <c r="BD355" s="17" t="n">
        <f aca="false">AV355-AW355+BC355</f>
        <v>170.213047333195</v>
      </c>
      <c r="BE355" s="17" t="n">
        <f aca="false">(AV355+BD355)/2</f>
        <v>167.684239712575</v>
      </c>
      <c r="BF355" s="15" t="n">
        <f aca="false">BE355*INDEX(Ipotesi!$C$33:$G$33,1,F355)*H355/12</f>
        <v>86636.8571848307</v>
      </c>
      <c r="BG355" s="15" t="n">
        <f aca="false">BD355*INDEX(Ipotesi!$C$33:$G$33,1,F355)*H355</f>
        <v>1055320.89346581</v>
      </c>
      <c r="BH355" s="15" t="n">
        <f aca="false">AM355*INDEX(Ipotesi!$C$37:$G$37,1,F355)</f>
        <v>11595.8333333333</v>
      </c>
      <c r="BI355" s="15" t="n">
        <f aca="false">AQ355+BF355+BH355</f>
        <v>188066.023851497</v>
      </c>
      <c r="BJ355" s="15" t="n">
        <f aca="false">INDEX(Ipotesi!$C$68:$G$68,1,F355)*Ipotesi!$C$69/12</f>
        <v>3333.33333333333</v>
      </c>
      <c r="BK355" s="15" t="n">
        <f aca="false">INDEX(Ipotesi!$C$68:$G$68,1,F355)*(1-Ipotesi!$C$69)/12</f>
        <v>5000</v>
      </c>
      <c r="BL355" s="15" t="n">
        <f aca="false">(AQ355+BF355)*Ipotesi!$C$67</f>
        <v>5294.10571554492</v>
      </c>
      <c r="BM355" s="15" t="n">
        <f aca="false">AM355*Ipotesi!$C$67</f>
        <v>3478.75</v>
      </c>
      <c r="BN355" s="15" t="n">
        <f aca="false">INDEX(Ipotesi!$C$72:$G$72,1,F355)/12*Ipotesi!H126+BF355*Ipotesi!$C$73</f>
        <v>8180.94857478645</v>
      </c>
      <c r="BO355" s="15" t="n">
        <f aca="false">INDEX(Ipotesi!$C$74:$G$74,1,F355)/12*Ipotesi!H126</f>
        <v>5416.66666666667</v>
      </c>
      <c r="BP355" s="15" t="n">
        <f aca="false">INDEX(Ipotesi!$C$76:$G$76,1,F355)/12</f>
        <v>1916.66666666667</v>
      </c>
      <c r="BQ355" s="15" t="n">
        <f aca="false">INDEX(Ipotesi!$C$77:$G$77,1,F355)/12*Ipotesi!H126</f>
        <v>2500</v>
      </c>
      <c r="BR355" s="15" t="n">
        <f aca="false">INDEX(Ipotesi!$C$78:$G$78,1,F355)/12</f>
        <v>2333.33333333333</v>
      </c>
      <c r="BS355" s="15" t="n">
        <f aca="false">SUM(M355:R355)*(Ipotesi!$C$85+Ipotesi!$C$86)/12</f>
        <v>7437.5</v>
      </c>
      <c r="BT355" s="15" t="n">
        <f aca="false">BI355*Ipotesi!$C$87</f>
        <v>5641.98071554492</v>
      </c>
      <c r="BU355" s="15" t="n">
        <f aca="false">INDEX(Ipotesi!$C$55:$G$55,1,F355)*K355/12</f>
        <v>2000</v>
      </c>
      <c r="BV355" s="15" t="n">
        <f aca="false">INDEX(Ipotesi!$C$80:$G$80,1,F355)/12*Ipotesi!H126</f>
        <v>2083.33333333333</v>
      </c>
      <c r="BW355" s="15" t="n">
        <f aca="false">INDEX(Ipotesi!$C$82:$G$82,1,F355)/12</f>
        <v>1500</v>
      </c>
      <c r="BX355" s="15" t="n">
        <f aca="false">INDEX(Ipotesi!$C$83:$G$83,1,F355)/12</f>
        <v>833.333333333333</v>
      </c>
      <c r="BY355" s="15" t="n">
        <f aca="false">SUM(S355:U355)*(Ipotesi!$C$85+Ipotesi!$C$86)/12</f>
        <v>3208.33333333333</v>
      </c>
      <c r="BZ355" s="15" t="n">
        <f aca="false">AM355*Ipotesi!$C$87</f>
        <v>3478.75</v>
      </c>
      <c r="CA355" s="15" t="n">
        <f aca="false">AB355+BJ355+BL355+BN355+BO355+AR355+BP355+BQ355+BR355+BS355+BT355</f>
        <v>197365.196660043</v>
      </c>
      <c r="CB355" s="15" t="n">
        <f aca="false">AC355+BK355+BM355+BH355+BU355+BV355+AS355+BW355+BX355+BY355+BZ355</f>
        <v>79625.4722608333</v>
      </c>
      <c r="CC355" s="15" t="n">
        <f aca="false">BI355-CA355</f>
        <v>-9299.17280854564</v>
      </c>
      <c r="CD355" s="15" t="n">
        <f aca="false">AM355-CB355</f>
        <v>36332.8610725</v>
      </c>
      <c r="CE355" s="15" t="n">
        <f aca="false">INDEX(Ipotesi!$C$79:$G$79,1,F355)/12</f>
        <v>4166.66666666667</v>
      </c>
      <c r="CF355" s="15" t="n">
        <f aca="false">INDEX(Ipotesi!$C$84:$G$84,1,F355)/12</f>
        <v>666.666666666667</v>
      </c>
      <c r="CG355" s="15" t="n">
        <f aca="false">Y355*MAX(0,Parametri_v3!$C$12-IF(P355=0,0,MIN(1,BE355/(P355*Parametri_v3!$C$22))))+W355*Parametri_v3!$C$13+X355*Parametri_v3!$C$14</f>
        <v>36218.6746793894</v>
      </c>
      <c r="CH355" s="15" t="n">
        <f aca="false">AB355*Parametri_v3!$C$32</f>
        <v>5973.86641604167</v>
      </c>
      <c r="CI355" s="15" t="n">
        <f aca="false">AC355*Parametri_v3!$C$32</f>
        <v>2218.19027970833</v>
      </c>
      <c r="CJ355" s="15" t="n">
        <f aca="false">CA355-AB355</f>
        <v>77887.8683392096</v>
      </c>
      <c r="CK355" s="15" t="n">
        <f aca="false">CB355-AC355-BH355</f>
        <v>23665.8333333333</v>
      </c>
      <c r="CL355" s="15" t="n">
        <f aca="false">BF355*Ipotesi!$C$73+INDEX(Ipotesi!$C$72:$G$72,1,F355)/12*Ipotesi!H126*Parametri_v3!$C$58+Z355*(1-Parametri_v3!$C$16)</f>
        <v>15778.1330422865</v>
      </c>
      <c r="CM355" s="16" t="n">
        <f aca="false">IF(BF355=0,0,1-CL355/BF355)</f>
        <v>0.817881978236751</v>
      </c>
    </row>
    <row r="356" customFormat="false" ht="18" hidden="false" customHeight="true" outlineLevel="0" collapsed="false">
      <c r="A356" s="68" t="n">
        <f aca="false">6</f>
        <v>6</v>
      </c>
      <c r="B356" s="68" t="n">
        <f aca="false">52</f>
        <v>52</v>
      </c>
      <c r="C356" s="18" t="n">
        <f aca="false">EDATE(Parametri_v3!$C$5,52-1)</f>
        <v>47939</v>
      </c>
      <c r="D356" s="68" t="n">
        <f aca="false">YEAR(C356)</f>
        <v>2031</v>
      </c>
      <c r="E356" s="68" t="n">
        <f aca="false">MONTH(C356)</f>
        <v>4</v>
      </c>
      <c r="F356" s="68" t="n">
        <f aca="false">INT((52-1)/12)+1</f>
        <v>5</v>
      </c>
      <c r="G356" s="15" t="n">
        <f aca="false">Ipotesi!H7</f>
        <v>1</v>
      </c>
      <c r="H356" s="15" t="n">
        <f aca="false">Ipotesi!H9</f>
        <v>1</v>
      </c>
      <c r="I356" s="15" t="n">
        <f aca="false">Ipotesi!H10</f>
        <v>1</v>
      </c>
      <c r="J356" s="15" t="n">
        <f aca="false">Ipotesi!H11</f>
        <v>1</v>
      </c>
      <c r="K356" s="15" t="n">
        <f aca="false">Ipotesi!H12</f>
        <v>1</v>
      </c>
      <c r="L356" s="15" t="n">
        <f aca="false">Ipotesi!H13</f>
        <v>90</v>
      </c>
      <c r="M356" s="17" t="n">
        <f aca="false">INDEX(Ipotesi!$C$40:$G$40,1,F356)</f>
        <v>1</v>
      </c>
      <c r="N356" s="17" t="n">
        <f aca="false">INDEX(Ipotesi!$C$41:$G$41,1,F356)</f>
        <v>1</v>
      </c>
      <c r="O356" s="17" t="n">
        <f aca="false">INDEX(Ipotesi!$C$42:$G$42,1,F356)*Ipotesi!H125</f>
        <v>8.5</v>
      </c>
      <c r="P356" s="17" t="n">
        <f aca="false">INDEX(Ipotesi!$C$43:$G$43,1,F356)*I356</f>
        <v>7</v>
      </c>
      <c r="Q356" s="17" t="n">
        <f aca="false">INDEX(Ipotesi!$C$44:$G$44,1,F356)*I356</f>
        <v>6</v>
      </c>
      <c r="R356" s="17" t="n">
        <f aca="false">INDEX(Ipotesi!$C$45:$G$45,1,F356)*I356</f>
        <v>2</v>
      </c>
      <c r="S356" s="17" t="n">
        <f aca="false">INDEX(Ipotesi!$C$52:$G$52,1,F356)*Ipotesi!H125</f>
        <v>9</v>
      </c>
      <c r="T356" s="17" t="n">
        <f aca="false">INDEX(Ipotesi!$C$53:$G$53,1,F356)*I356</f>
        <v>1</v>
      </c>
      <c r="U356" s="17" t="n">
        <f aca="false">INDEX(Ipotesi!$C$54:$G$54,1,F356)*I356</f>
        <v>1</v>
      </c>
      <c r="V356" s="15" t="n">
        <f aca="false">M356*INDEX(Ipotesi!$C$58:$G$58,1,F356)*K356/12</f>
        <v>8333.33333333333</v>
      </c>
      <c r="W356" s="15" t="n">
        <f aca="false">N356*Ipotesi!$C$59*(1+Ipotesi!$C$66)^(F356-1)/12</f>
        <v>6565.46805833334</v>
      </c>
      <c r="X356" s="15" t="n">
        <f aca="false">O356*Ipotesi!$C$60*(1+Ipotesi!$C$66)^(F356-1)/12</f>
        <v>39861.7703541667</v>
      </c>
      <c r="Y356" s="15" t="n">
        <f aca="false">P356*Ipotesi!$C$61*(1+Ipotesi!$C$66)^(F356-1)/12</f>
        <v>32827.3402916667</v>
      </c>
      <c r="Z356" s="15" t="n">
        <f aca="false">Q356*Ipotesi!$C$62*(1+Ipotesi!$C$66)^(F356-1)/12</f>
        <v>25323.948225</v>
      </c>
      <c r="AA356" s="15" t="n">
        <f aca="false">R356*Ipotesi!$C$63*(1+Ipotesi!$C$66)^(F356-1)/12</f>
        <v>6565.46805833334</v>
      </c>
      <c r="AB356" s="15" t="n">
        <f aca="false">SUM(V356:AA356)</f>
        <v>119477.328320833</v>
      </c>
      <c r="AC356" s="15" t="n">
        <f aca="false">(S356*Ipotesi!$C$64+T356*Ipotesi!$C$65+U356*Ipotesi!$C$63)*(1+Ipotesi!$C$66)^(F356-1)/12</f>
        <v>44363.8055941667</v>
      </c>
      <c r="AD356" s="15" t="n">
        <f aca="false">INDEX(Ipotesi!$C$48:$G$48,1,F356)*G356/12</f>
        <v>95.8333333333333</v>
      </c>
      <c r="AE356" s="15" t="n">
        <f aca="false">INDEX(Ipotesi!$C$50:$G$50,1,F356)*G356/12</f>
        <v>9.58333333333333</v>
      </c>
      <c r="AF356" s="15" t="n">
        <f aca="false">(S356*Parametri_v3!$C$7*Parametri_v3!$C$8+Parametri_v3!$C$10)/12</f>
        <v>115.5</v>
      </c>
      <c r="AG356" s="15" t="n">
        <f aca="false">AD356+AE356*(1+Parametri_v3!$C$9)</f>
        <v>110.208333333333</v>
      </c>
      <c r="AH356" s="16" t="n">
        <f aca="false">IF(AG356=0,1,MIN(1,AF356/AG356))</f>
        <v>1</v>
      </c>
      <c r="AI356" s="15" t="n">
        <f aca="false">AD356*AH356</f>
        <v>95.8333333333333</v>
      </c>
      <c r="AJ356" s="15" t="n">
        <f aca="false">AE356*AH356</f>
        <v>9.58333333333333</v>
      </c>
      <c r="AK356" s="15" t="n">
        <f aca="false">AI356*INDEX(Ipotesi!$C$49:$G$49,1,F356)*H356</f>
        <v>91041.6666666667</v>
      </c>
      <c r="AL356" s="15" t="n">
        <f aca="false">AJ356*INDEX(Ipotesi!$C$51:$G$51,1,F356)*H356</f>
        <v>24916.6666666667</v>
      </c>
      <c r="AM356" s="15" t="n">
        <f aca="false">AK356+AL356</f>
        <v>115958.333333333</v>
      </c>
      <c r="AN356" s="15" t="n">
        <f aca="false">INDEX(Ipotesi!$C$30:$G$30,1,F356)*G356/12</f>
        <v>81.6666666666667</v>
      </c>
      <c r="AO356" s="15" t="n">
        <f aca="false">O356*Parametri_v3!$C$7*Parametri_v3!$C$11*(1-Parametri_v3!$C$14)/12</f>
        <v>87.2666666666667</v>
      </c>
      <c r="AP356" s="15" t="n">
        <f aca="false">MIN(AN356,AO356)</f>
        <v>81.6666666666667</v>
      </c>
      <c r="AQ356" s="15" t="n">
        <f aca="false">AP356*INDEX(Ipotesi!$C$31:$G$31,1,F356)*H356</f>
        <v>89833.3333333333</v>
      </c>
      <c r="AR356" s="15" t="n">
        <f aca="false">INDEX(Ipotesi!$C$75:$G$75,1,F356)*J356/12</f>
        <v>35833.3333333333</v>
      </c>
      <c r="AS356" s="15" t="n">
        <f aca="false">INDEX(Ipotesi!$C$81:$G$81,1,F356)*J356/12</f>
        <v>2083.33333333333</v>
      </c>
      <c r="AT356" s="15" t="n">
        <f aca="false">AR356*Parametri_v3!$C$15+Z356*Parametri_v3!$C$16</f>
        <v>53560.0970908333</v>
      </c>
      <c r="AU356" s="15" t="n">
        <f aca="false">Q356*Parametri_v3!$C$16*Parametri_v3!$C$17</f>
        <v>420</v>
      </c>
      <c r="AV356" s="17" t="n">
        <f aca="false">BD355</f>
        <v>170.213047333195</v>
      </c>
      <c r="AW356" s="17" t="n">
        <f aca="false">AV356*(1-(1-INDEX(Ipotesi!$C$34:$G$34,1,F356))^(1/12))</f>
        <v>1.48793623920017</v>
      </c>
      <c r="AX356" s="15" t="n">
        <f aca="false">ROUND(INDEX(Ipotesi!$C$32:$G$32,1,F356)*Ipotesi!H8,0)</f>
        <v>560</v>
      </c>
      <c r="AY356" s="15" t="n">
        <f aca="false">MAX(0,(AX356-(AV356-AW356))/(13-E356))</f>
        <v>43.4749876562228</v>
      </c>
      <c r="AZ356" s="15" t="n">
        <f aca="false">MIN(P356*Parametri_v3!$C$22,Q356*(1-Parametri_v3!$C$16)*Parametri_v3!$C$23)</f>
        <v>270</v>
      </c>
      <c r="BA356" s="15" t="n">
        <f aca="false">IF(OR(INDEX(Ipotesi!$C$35:$G$35,1,F356)&lt;=0,52-Parametri_v3!$C$21&lt;1),0,INDEX($AT$305:$AT$364,MAX(1,52-Parametri_v3!$C$21))/(INDEX(Ipotesi!$C$35:$G$35,1,F356)*Ipotesi!H27))</f>
        <v>8.24001493705128</v>
      </c>
      <c r="BB356" s="15" t="n">
        <f aca="false">IF(52-Parametri_v3!$C$21&lt;1,0,INDEX($AU$305:$AU$364,MAX(1,52-Parametri_v3!$C$21)))*Parametri_v3!$C$18*Parametri_v3!$C$19*Parametri_v3!$C$20</f>
        <v>15.75</v>
      </c>
      <c r="BC356" s="17" t="n">
        <f aca="false">MAX(0,MIN(AY356,BA356,BB356,MAX(0,AZ356-(AV356-AW356))))</f>
        <v>8.24001493705128</v>
      </c>
      <c r="BD356" s="17" t="n">
        <f aca="false">AV356-AW356+BC356</f>
        <v>176.965126031046</v>
      </c>
      <c r="BE356" s="17" t="n">
        <f aca="false">(AV356+BD356)/2</f>
        <v>173.58908668212</v>
      </c>
      <c r="BF356" s="15" t="n">
        <f aca="false">BE356*INDEX(Ipotesi!$C$33:$G$33,1,F356)*H356/12</f>
        <v>89687.6947857621</v>
      </c>
      <c r="BG356" s="15" t="n">
        <f aca="false">BD356*INDEX(Ipotesi!$C$33:$G$33,1,F356)*H356</f>
        <v>1097183.78139248</v>
      </c>
      <c r="BH356" s="15" t="n">
        <f aca="false">AM356*INDEX(Ipotesi!$C$37:$G$37,1,F356)</f>
        <v>11595.8333333333</v>
      </c>
      <c r="BI356" s="15" t="n">
        <f aca="false">AQ356+BF356+BH356</f>
        <v>191116.861452429</v>
      </c>
      <c r="BJ356" s="15" t="n">
        <f aca="false">INDEX(Ipotesi!$C$68:$G$68,1,F356)*Ipotesi!$C$69/12</f>
        <v>3333.33333333333</v>
      </c>
      <c r="BK356" s="15" t="n">
        <f aca="false">INDEX(Ipotesi!$C$68:$G$68,1,F356)*(1-Ipotesi!$C$69)/12</f>
        <v>5000</v>
      </c>
      <c r="BL356" s="15" t="n">
        <f aca="false">(AQ356+BF356)*Ipotesi!$C$67</f>
        <v>5385.63084357286</v>
      </c>
      <c r="BM356" s="15" t="n">
        <f aca="false">AM356*Ipotesi!$C$67</f>
        <v>3478.75</v>
      </c>
      <c r="BN356" s="15" t="n">
        <f aca="false">INDEX(Ipotesi!$C$72:$G$72,1,F356)/12*Ipotesi!H126+BF356*Ipotesi!$C$73</f>
        <v>8425.01558286097</v>
      </c>
      <c r="BO356" s="15" t="n">
        <f aca="false">INDEX(Ipotesi!$C$74:$G$74,1,F356)/12*Ipotesi!H126</f>
        <v>5416.66666666667</v>
      </c>
      <c r="BP356" s="15" t="n">
        <f aca="false">INDEX(Ipotesi!$C$76:$G$76,1,F356)/12</f>
        <v>1916.66666666667</v>
      </c>
      <c r="BQ356" s="15" t="n">
        <f aca="false">INDEX(Ipotesi!$C$77:$G$77,1,F356)/12*Ipotesi!H126</f>
        <v>2500</v>
      </c>
      <c r="BR356" s="15" t="n">
        <f aca="false">INDEX(Ipotesi!$C$78:$G$78,1,F356)/12</f>
        <v>2333.33333333333</v>
      </c>
      <c r="BS356" s="15" t="n">
        <f aca="false">SUM(M356:R356)*(Ipotesi!$C$85+Ipotesi!$C$86)/12</f>
        <v>7437.5</v>
      </c>
      <c r="BT356" s="15" t="n">
        <f aca="false">BI356*Ipotesi!$C$87</f>
        <v>5733.50584357286</v>
      </c>
      <c r="BU356" s="15" t="n">
        <f aca="false">INDEX(Ipotesi!$C$55:$G$55,1,F356)*K356/12</f>
        <v>2000</v>
      </c>
      <c r="BV356" s="15" t="n">
        <f aca="false">INDEX(Ipotesi!$C$80:$G$80,1,F356)/12*Ipotesi!H126</f>
        <v>2083.33333333333</v>
      </c>
      <c r="BW356" s="15" t="n">
        <f aca="false">INDEX(Ipotesi!$C$82:$G$82,1,F356)/12</f>
        <v>1500</v>
      </c>
      <c r="BX356" s="15" t="n">
        <f aca="false">INDEX(Ipotesi!$C$83:$G$83,1,F356)/12</f>
        <v>833.333333333333</v>
      </c>
      <c r="BY356" s="15" t="n">
        <f aca="false">SUM(S356:U356)*(Ipotesi!$C$85+Ipotesi!$C$86)/12</f>
        <v>3208.33333333333</v>
      </c>
      <c r="BZ356" s="15" t="n">
        <f aca="false">AM356*Ipotesi!$C$87</f>
        <v>3478.75</v>
      </c>
      <c r="CA356" s="15" t="n">
        <f aca="false">AB356+BJ356+BL356+BN356+BO356+AR356+BP356+BQ356+BR356+BS356+BT356</f>
        <v>197792.313924173</v>
      </c>
      <c r="CB356" s="15" t="n">
        <f aca="false">AC356+BK356+BM356+BH356+BU356+BV356+AS356+BW356+BX356+BY356+BZ356</f>
        <v>79625.4722608333</v>
      </c>
      <c r="CC356" s="15" t="n">
        <f aca="false">BI356-CA356</f>
        <v>-6675.45247174462</v>
      </c>
      <c r="CD356" s="15" t="n">
        <f aca="false">AM356-CB356</f>
        <v>36332.8610725</v>
      </c>
      <c r="CE356" s="15" t="n">
        <f aca="false">INDEX(Ipotesi!$C$79:$G$79,1,F356)/12</f>
        <v>4166.66666666667</v>
      </c>
      <c r="CF356" s="15" t="n">
        <f aca="false">INDEX(Ipotesi!$C$84:$G$84,1,F356)/12</f>
        <v>666.666666666667</v>
      </c>
      <c r="CG356" s="15" t="n">
        <f aca="false">Y356*MAX(0,Parametri_v3!$C$12-IF(P356=0,0,MIN(1,BE356/(P356*Parametri_v3!$C$22))))+W356*Parametri_v3!$C$13+X356*Parametri_v3!$C$14</f>
        <v>35941.7597924758</v>
      </c>
      <c r="CH356" s="15" t="n">
        <f aca="false">AB356*Parametri_v3!$C$32</f>
        <v>5973.86641604167</v>
      </c>
      <c r="CI356" s="15" t="n">
        <f aca="false">AC356*Parametri_v3!$C$32</f>
        <v>2218.19027970833</v>
      </c>
      <c r="CJ356" s="15" t="n">
        <f aca="false">CA356-AB356</f>
        <v>78314.98560334</v>
      </c>
      <c r="CK356" s="15" t="n">
        <f aca="false">CB356-AC356-BH356</f>
        <v>23665.8333333333</v>
      </c>
      <c r="CL356" s="15" t="n">
        <f aca="false">BF356*Ipotesi!$C$73+INDEX(Ipotesi!$C$72:$G$72,1,F356)/12*Ipotesi!H126*Parametri_v3!$C$58+Z356*(1-Parametri_v3!$C$16)</f>
        <v>16022.200050361</v>
      </c>
      <c r="CM356" s="16" t="n">
        <f aca="false">IF(BF356=0,0,1-CL356/BF356)</f>
        <v>0.821355648747207</v>
      </c>
    </row>
    <row r="357" customFormat="false" ht="18" hidden="false" customHeight="true" outlineLevel="0" collapsed="false">
      <c r="A357" s="68" t="n">
        <f aca="false">6</f>
        <v>6</v>
      </c>
      <c r="B357" s="68" t="n">
        <f aca="false">53</f>
        <v>53</v>
      </c>
      <c r="C357" s="18" t="n">
        <f aca="false">EDATE(Parametri_v3!$C$5,53-1)</f>
        <v>47969</v>
      </c>
      <c r="D357" s="68" t="n">
        <f aca="false">YEAR(C357)</f>
        <v>2031</v>
      </c>
      <c r="E357" s="68" t="n">
        <f aca="false">MONTH(C357)</f>
        <v>5</v>
      </c>
      <c r="F357" s="68" t="n">
        <f aca="false">INT((53-1)/12)+1</f>
        <v>5</v>
      </c>
      <c r="G357" s="15" t="n">
        <f aca="false">Ipotesi!H7</f>
        <v>1</v>
      </c>
      <c r="H357" s="15" t="n">
        <f aca="false">Ipotesi!H9</f>
        <v>1</v>
      </c>
      <c r="I357" s="15" t="n">
        <f aca="false">Ipotesi!H10</f>
        <v>1</v>
      </c>
      <c r="J357" s="15" t="n">
        <f aca="false">Ipotesi!H11</f>
        <v>1</v>
      </c>
      <c r="K357" s="15" t="n">
        <f aca="false">Ipotesi!H12</f>
        <v>1</v>
      </c>
      <c r="L357" s="15" t="n">
        <f aca="false">Ipotesi!H13</f>
        <v>90</v>
      </c>
      <c r="M357" s="17" t="n">
        <f aca="false">INDEX(Ipotesi!$C$40:$G$40,1,F357)</f>
        <v>1</v>
      </c>
      <c r="N357" s="17" t="n">
        <f aca="false">INDEX(Ipotesi!$C$41:$G$41,1,F357)</f>
        <v>1</v>
      </c>
      <c r="O357" s="17" t="n">
        <f aca="false">INDEX(Ipotesi!$C$42:$G$42,1,F357)*Ipotesi!H125</f>
        <v>8.5</v>
      </c>
      <c r="P357" s="17" t="n">
        <f aca="false">INDEX(Ipotesi!$C$43:$G$43,1,F357)*I357</f>
        <v>7</v>
      </c>
      <c r="Q357" s="17" t="n">
        <f aca="false">INDEX(Ipotesi!$C$44:$G$44,1,F357)*I357</f>
        <v>6</v>
      </c>
      <c r="R357" s="17" t="n">
        <f aca="false">INDEX(Ipotesi!$C$45:$G$45,1,F357)*I357</f>
        <v>2</v>
      </c>
      <c r="S357" s="17" t="n">
        <f aca="false">INDEX(Ipotesi!$C$52:$G$52,1,F357)*Ipotesi!H125</f>
        <v>9</v>
      </c>
      <c r="T357" s="17" t="n">
        <f aca="false">INDEX(Ipotesi!$C$53:$G$53,1,F357)*I357</f>
        <v>1</v>
      </c>
      <c r="U357" s="17" t="n">
        <f aca="false">INDEX(Ipotesi!$C$54:$G$54,1,F357)*I357</f>
        <v>1</v>
      </c>
      <c r="V357" s="15" t="n">
        <f aca="false">M357*INDEX(Ipotesi!$C$58:$G$58,1,F357)*K357/12</f>
        <v>8333.33333333333</v>
      </c>
      <c r="W357" s="15" t="n">
        <f aca="false">N357*Ipotesi!$C$59*(1+Ipotesi!$C$66)^(F357-1)/12</f>
        <v>6565.46805833334</v>
      </c>
      <c r="X357" s="15" t="n">
        <f aca="false">O357*Ipotesi!$C$60*(1+Ipotesi!$C$66)^(F357-1)/12</f>
        <v>39861.7703541667</v>
      </c>
      <c r="Y357" s="15" t="n">
        <f aca="false">P357*Ipotesi!$C$61*(1+Ipotesi!$C$66)^(F357-1)/12</f>
        <v>32827.3402916667</v>
      </c>
      <c r="Z357" s="15" t="n">
        <f aca="false">Q357*Ipotesi!$C$62*(1+Ipotesi!$C$66)^(F357-1)/12</f>
        <v>25323.948225</v>
      </c>
      <c r="AA357" s="15" t="n">
        <f aca="false">R357*Ipotesi!$C$63*(1+Ipotesi!$C$66)^(F357-1)/12</f>
        <v>6565.46805833334</v>
      </c>
      <c r="AB357" s="15" t="n">
        <f aca="false">SUM(V357:AA357)</f>
        <v>119477.328320833</v>
      </c>
      <c r="AC357" s="15" t="n">
        <f aca="false">(S357*Ipotesi!$C$64+T357*Ipotesi!$C$65+U357*Ipotesi!$C$63)*(1+Ipotesi!$C$66)^(F357-1)/12</f>
        <v>44363.8055941667</v>
      </c>
      <c r="AD357" s="15" t="n">
        <f aca="false">INDEX(Ipotesi!$C$48:$G$48,1,F357)*G357/12</f>
        <v>95.8333333333333</v>
      </c>
      <c r="AE357" s="15" t="n">
        <f aca="false">INDEX(Ipotesi!$C$50:$G$50,1,F357)*G357/12</f>
        <v>9.58333333333333</v>
      </c>
      <c r="AF357" s="15" t="n">
        <f aca="false">(S357*Parametri_v3!$C$7*Parametri_v3!$C$8+Parametri_v3!$C$10)/12</f>
        <v>115.5</v>
      </c>
      <c r="AG357" s="15" t="n">
        <f aca="false">AD357+AE357*(1+Parametri_v3!$C$9)</f>
        <v>110.208333333333</v>
      </c>
      <c r="AH357" s="16" t="n">
        <f aca="false">IF(AG357=0,1,MIN(1,AF357/AG357))</f>
        <v>1</v>
      </c>
      <c r="AI357" s="15" t="n">
        <f aca="false">AD357*AH357</f>
        <v>95.8333333333333</v>
      </c>
      <c r="AJ357" s="15" t="n">
        <f aca="false">AE357*AH357</f>
        <v>9.58333333333333</v>
      </c>
      <c r="AK357" s="15" t="n">
        <f aca="false">AI357*INDEX(Ipotesi!$C$49:$G$49,1,F357)*H357</f>
        <v>91041.6666666667</v>
      </c>
      <c r="AL357" s="15" t="n">
        <f aca="false">AJ357*INDEX(Ipotesi!$C$51:$G$51,1,F357)*H357</f>
        <v>24916.6666666667</v>
      </c>
      <c r="AM357" s="15" t="n">
        <f aca="false">AK357+AL357</f>
        <v>115958.333333333</v>
      </c>
      <c r="AN357" s="15" t="n">
        <f aca="false">INDEX(Ipotesi!$C$30:$G$30,1,F357)*G357/12</f>
        <v>81.6666666666667</v>
      </c>
      <c r="AO357" s="15" t="n">
        <f aca="false">O357*Parametri_v3!$C$7*Parametri_v3!$C$11*(1-Parametri_v3!$C$14)/12</f>
        <v>87.2666666666667</v>
      </c>
      <c r="AP357" s="15" t="n">
        <f aca="false">MIN(AN357,AO357)</f>
        <v>81.6666666666667</v>
      </c>
      <c r="AQ357" s="15" t="n">
        <f aca="false">AP357*INDEX(Ipotesi!$C$31:$G$31,1,F357)*H357</f>
        <v>89833.3333333333</v>
      </c>
      <c r="AR357" s="15" t="n">
        <f aca="false">INDEX(Ipotesi!$C$75:$G$75,1,F357)*J357/12</f>
        <v>35833.3333333333</v>
      </c>
      <c r="AS357" s="15" t="n">
        <f aca="false">INDEX(Ipotesi!$C$81:$G$81,1,F357)*J357/12</f>
        <v>2083.33333333333</v>
      </c>
      <c r="AT357" s="15" t="n">
        <f aca="false">AR357*Parametri_v3!$C$15+Z357*Parametri_v3!$C$16</f>
        <v>53560.0970908333</v>
      </c>
      <c r="AU357" s="15" t="n">
        <f aca="false">Q357*Parametri_v3!$C$16*Parametri_v3!$C$17</f>
        <v>420</v>
      </c>
      <c r="AV357" s="17" t="n">
        <f aca="false">BD356</f>
        <v>176.965126031046</v>
      </c>
      <c r="AW357" s="17" t="n">
        <f aca="false">AV357*(1-(1-INDEX(Ipotesi!$C$34:$G$34,1,F357))^(1/12))</f>
        <v>1.54696028431228</v>
      </c>
      <c r="AX357" s="15" t="n">
        <f aca="false">ROUND(INDEX(Ipotesi!$C$32:$G$32,1,F357)*Ipotesi!H8,0)</f>
        <v>560</v>
      </c>
      <c r="AY357" s="15" t="n">
        <f aca="false">MAX(0,(AX357-(AV357-AW357))/(13-E357))</f>
        <v>48.0727292816583</v>
      </c>
      <c r="AZ357" s="15" t="n">
        <f aca="false">MIN(P357*Parametri_v3!$C$22,Q357*(1-Parametri_v3!$C$16)*Parametri_v3!$C$23)</f>
        <v>270</v>
      </c>
      <c r="BA357" s="15" t="n">
        <f aca="false">IF(OR(INDEX(Ipotesi!$C$35:$G$35,1,F357)&lt;=0,53-Parametri_v3!$C$21&lt;1),0,INDEX($AT$305:$AT$364,MAX(1,53-Parametri_v3!$C$21))/(INDEX(Ipotesi!$C$35:$G$35,1,F357)*Ipotesi!H27))</f>
        <v>8.24001493705128</v>
      </c>
      <c r="BB357" s="15" t="n">
        <f aca="false">IF(53-Parametri_v3!$C$21&lt;1,0,INDEX($AU$305:$AU$364,MAX(1,53-Parametri_v3!$C$21)))*Parametri_v3!$C$18*Parametri_v3!$C$19*Parametri_v3!$C$20</f>
        <v>15.75</v>
      </c>
      <c r="BC357" s="17" t="n">
        <f aca="false">MAX(0,MIN(AY357,BA357,BB357,MAX(0,AZ357-(AV357-AW357))))</f>
        <v>8.24001493705128</v>
      </c>
      <c r="BD357" s="17" t="n">
        <f aca="false">AV357-AW357+BC357</f>
        <v>183.658180683785</v>
      </c>
      <c r="BE357" s="17" t="n">
        <f aca="false">(AV357+BD357)/2</f>
        <v>180.311653357415</v>
      </c>
      <c r="BF357" s="15" t="n">
        <f aca="false">BE357*INDEX(Ipotesi!$C$33:$G$33,1,F357)*H357/12</f>
        <v>93161.0209013312</v>
      </c>
      <c r="BG357" s="15" t="n">
        <f aca="false">BD357*INDEX(Ipotesi!$C$33:$G$33,1,F357)*H357</f>
        <v>1138680.72023947</v>
      </c>
      <c r="BH357" s="15" t="n">
        <f aca="false">AM357*INDEX(Ipotesi!$C$37:$G$37,1,F357)</f>
        <v>11595.8333333333</v>
      </c>
      <c r="BI357" s="15" t="n">
        <f aca="false">AQ357+BF357+BH357</f>
        <v>194590.187567998</v>
      </c>
      <c r="BJ357" s="15" t="n">
        <f aca="false">INDEX(Ipotesi!$C$68:$G$68,1,F357)*Ipotesi!$C$69/12</f>
        <v>3333.33333333333</v>
      </c>
      <c r="BK357" s="15" t="n">
        <f aca="false">INDEX(Ipotesi!$C$68:$G$68,1,F357)*(1-Ipotesi!$C$69)/12</f>
        <v>5000</v>
      </c>
      <c r="BL357" s="15" t="n">
        <f aca="false">(AQ357+BF357)*Ipotesi!$C$67</f>
        <v>5489.83062703994</v>
      </c>
      <c r="BM357" s="15" t="n">
        <f aca="false">AM357*Ipotesi!$C$67</f>
        <v>3478.75</v>
      </c>
      <c r="BN357" s="15" t="n">
        <f aca="false">INDEX(Ipotesi!$C$72:$G$72,1,F357)/12*Ipotesi!H126+BF357*Ipotesi!$C$73</f>
        <v>8702.8816721065</v>
      </c>
      <c r="BO357" s="15" t="n">
        <f aca="false">INDEX(Ipotesi!$C$74:$G$74,1,F357)/12*Ipotesi!H126</f>
        <v>5416.66666666667</v>
      </c>
      <c r="BP357" s="15" t="n">
        <f aca="false">INDEX(Ipotesi!$C$76:$G$76,1,F357)/12</f>
        <v>1916.66666666667</v>
      </c>
      <c r="BQ357" s="15" t="n">
        <f aca="false">INDEX(Ipotesi!$C$77:$G$77,1,F357)/12*Ipotesi!H126</f>
        <v>2500</v>
      </c>
      <c r="BR357" s="15" t="n">
        <f aca="false">INDEX(Ipotesi!$C$78:$G$78,1,F357)/12</f>
        <v>2333.33333333333</v>
      </c>
      <c r="BS357" s="15" t="n">
        <f aca="false">SUM(M357:R357)*(Ipotesi!$C$85+Ipotesi!$C$86)/12</f>
        <v>7437.5</v>
      </c>
      <c r="BT357" s="15" t="n">
        <f aca="false">BI357*Ipotesi!$C$87</f>
        <v>5837.70562703994</v>
      </c>
      <c r="BU357" s="15" t="n">
        <f aca="false">INDEX(Ipotesi!$C$55:$G$55,1,F357)*K357/12</f>
        <v>2000</v>
      </c>
      <c r="BV357" s="15" t="n">
        <f aca="false">INDEX(Ipotesi!$C$80:$G$80,1,F357)/12*Ipotesi!H126</f>
        <v>2083.33333333333</v>
      </c>
      <c r="BW357" s="15" t="n">
        <f aca="false">INDEX(Ipotesi!$C$82:$G$82,1,F357)/12</f>
        <v>1500</v>
      </c>
      <c r="BX357" s="15" t="n">
        <f aca="false">INDEX(Ipotesi!$C$83:$G$83,1,F357)/12</f>
        <v>833.333333333333</v>
      </c>
      <c r="BY357" s="15" t="n">
        <f aca="false">SUM(S357:U357)*(Ipotesi!$C$85+Ipotesi!$C$86)/12</f>
        <v>3208.33333333333</v>
      </c>
      <c r="BZ357" s="15" t="n">
        <f aca="false">AM357*Ipotesi!$C$87</f>
        <v>3478.75</v>
      </c>
      <c r="CA357" s="15" t="n">
        <f aca="false">AB357+BJ357+BL357+BN357+BO357+AR357+BP357+BQ357+BR357+BS357+BT357</f>
        <v>198278.579580353</v>
      </c>
      <c r="CB357" s="15" t="n">
        <f aca="false">AC357+BK357+BM357+BH357+BU357+BV357+AS357+BW357+BX357+BY357+BZ357</f>
        <v>79625.4722608333</v>
      </c>
      <c r="CC357" s="15" t="n">
        <f aca="false">BI357-CA357</f>
        <v>-3688.39201235518</v>
      </c>
      <c r="CD357" s="15" t="n">
        <f aca="false">AM357-CB357</f>
        <v>36332.8610725</v>
      </c>
      <c r="CE357" s="15" t="n">
        <f aca="false">INDEX(Ipotesi!$C$79:$G$79,1,F357)/12</f>
        <v>4166.66666666667</v>
      </c>
      <c r="CF357" s="15" t="n">
        <f aca="false">INDEX(Ipotesi!$C$84:$G$84,1,F357)/12</f>
        <v>666.666666666667</v>
      </c>
      <c r="CG357" s="15" t="n">
        <f aca="false">Y357*MAX(0,Parametri_v3!$C$12-IF(P357=0,0,MIN(1,BE357/(P357*Parametri_v3!$C$22))))+W357*Parametri_v3!$C$13+X357*Parametri_v3!$C$14</f>
        <v>35626.4969583568</v>
      </c>
      <c r="CH357" s="15" t="n">
        <f aca="false">AB357*Parametri_v3!$C$32</f>
        <v>5973.86641604167</v>
      </c>
      <c r="CI357" s="15" t="n">
        <f aca="false">AC357*Parametri_v3!$C$32</f>
        <v>2218.19027970833</v>
      </c>
      <c r="CJ357" s="15" t="n">
        <f aca="false">CA357-AB357</f>
        <v>78801.2512595197</v>
      </c>
      <c r="CK357" s="15" t="n">
        <f aca="false">CB357-AC357-BH357</f>
        <v>23665.8333333333</v>
      </c>
      <c r="CL357" s="15" t="n">
        <f aca="false">BF357*Ipotesi!$C$73+INDEX(Ipotesi!$C$72:$G$72,1,F357)/12*Ipotesi!H126*Parametri_v3!$C$58+Z357*(1-Parametri_v3!$C$16)</f>
        <v>16300.0661396065</v>
      </c>
      <c r="CM357" s="16" t="n">
        <f aca="false">IF(BF357=0,0,1-CL357/BF357)</f>
        <v>0.825033410090361</v>
      </c>
    </row>
    <row r="358" customFormat="false" ht="18" hidden="false" customHeight="true" outlineLevel="0" collapsed="false">
      <c r="A358" s="68" t="n">
        <f aca="false">6</f>
        <v>6</v>
      </c>
      <c r="B358" s="68" t="n">
        <f aca="false">54</f>
        <v>54</v>
      </c>
      <c r="C358" s="18" t="n">
        <f aca="false">EDATE(Parametri_v3!$C$5,54-1)</f>
        <v>48000</v>
      </c>
      <c r="D358" s="68" t="n">
        <f aca="false">YEAR(C358)</f>
        <v>2031</v>
      </c>
      <c r="E358" s="68" t="n">
        <f aca="false">MONTH(C358)</f>
        <v>6</v>
      </c>
      <c r="F358" s="68" t="n">
        <f aca="false">INT((54-1)/12)+1</f>
        <v>5</v>
      </c>
      <c r="G358" s="15" t="n">
        <f aca="false">Ipotesi!H7</f>
        <v>1</v>
      </c>
      <c r="H358" s="15" t="n">
        <f aca="false">Ipotesi!H9</f>
        <v>1</v>
      </c>
      <c r="I358" s="15" t="n">
        <f aca="false">Ipotesi!H10</f>
        <v>1</v>
      </c>
      <c r="J358" s="15" t="n">
        <f aca="false">Ipotesi!H11</f>
        <v>1</v>
      </c>
      <c r="K358" s="15" t="n">
        <f aca="false">Ipotesi!H12</f>
        <v>1</v>
      </c>
      <c r="L358" s="15" t="n">
        <f aca="false">Ipotesi!H13</f>
        <v>90</v>
      </c>
      <c r="M358" s="17" t="n">
        <f aca="false">INDEX(Ipotesi!$C$40:$G$40,1,F358)</f>
        <v>1</v>
      </c>
      <c r="N358" s="17" t="n">
        <f aca="false">INDEX(Ipotesi!$C$41:$G$41,1,F358)</f>
        <v>1</v>
      </c>
      <c r="O358" s="17" t="n">
        <f aca="false">INDEX(Ipotesi!$C$42:$G$42,1,F358)*Ipotesi!H125</f>
        <v>8.5</v>
      </c>
      <c r="P358" s="17" t="n">
        <f aca="false">INDEX(Ipotesi!$C$43:$G$43,1,F358)*I358</f>
        <v>7</v>
      </c>
      <c r="Q358" s="17" t="n">
        <f aca="false">INDEX(Ipotesi!$C$44:$G$44,1,F358)*I358</f>
        <v>6</v>
      </c>
      <c r="R358" s="17" t="n">
        <f aca="false">INDEX(Ipotesi!$C$45:$G$45,1,F358)*I358</f>
        <v>2</v>
      </c>
      <c r="S358" s="17" t="n">
        <f aca="false">INDEX(Ipotesi!$C$52:$G$52,1,F358)*Ipotesi!H125</f>
        <v>9</v>
      </c>
      <c r="T358" s="17" t="n">
        <f aca="false">INDEX(Ipotesi!$C$53:$G$53,1,F358)*I358</f>
        <v>1</v>
      </c>
      <c r="U358" s="17" t="n">
        <f aca="false">INDEX(Ipotesi!$C$54:$G$54,1,F358)*I358</f>
        <v>1</v>
      </c>
      <c r="V358" s="15" t="n">
        <f aca="false">M358*INDEX(Ipotesi!$C$58:$G$58,1,F358)*K358/12</f>
        <v>8333.33333333333</v>
      </c>
      <c r="W358" s="15" t="n">
        <f aca="false">N358*Ipotesi!$C$59*(1+Ipotesi!$C$66)^(F358-1)/12</f>
        <v>6565.46805833334</v>
      </c>
      <c r="X358" s="15" t="n">
        <f aca="false">O358*Ipotesi!$C$60*(1+Ipotesi!$C$66)^(F358-1)/12</f>
        <v>39861.7703541667</v>
      </c>
      <c r="Y358" s="15" t="n">
        <f aca="false">P358*Ipotesi!$C$61*(1+Ipotesi!$C$66)^(F358-1)/12</f>
        <v>32827.3402916667</v>
      </c>
      <c r="Z358" s="15" t="n">
        <f aca="false">Q358*Ipotesi!$C$62*(1+Ipotesi!$C$66)^(F358-1)/12</f>
        <v>25323.948225</v>
      </c>
      <c r="AA358" s="15" t="n">
        <f aca="false">R358*Ipotesi!$C$63*(1+Ipotesi!$C$66)^(F358-1)/12</f>
        <v>6565.46805833334</v>
      </c>
      <c r="AB358" s="15" t="n">
        <f aca="false">SUM(V358:AA358)</f>
        <v>119477.328320833</v>
      </c>
      <c r="AC358" s="15" t="n">
        <f aca="false">(S358*Ipotesi!$C$64+T358*Ipotesi!$C$65+U358*Ipotesi!$C$63)*(1+Ipotesi!$C$66)^(F358-1)/12</f>
        <v>44363.8055941667</v>
      </c>
      <c r="AD358" s="15" t="n">
        <f aca="false">INDEX(Ipotesi!$C$48:$G$48,1,F358)*G358/12</f>
        <v>95.8333333333333</v>
      </c>
      <c r="AE358" s="15" t="n">
        <f aca="false">INDEX(Ipotesi!$C$50:$G$50,1,F358)*G358/12</f>
        <v>9.58333333333333</v>
      </c>
      <c r="AF358" s="15" t="n">
        <f aca="false">(S358*Parametri_v3!$C$7*Parametri_v3!$C$8+Parametri_v3!$C$10)/12</f>
        <v>115.5</v>
      </c>
      <c r="AG358" s="15" t="n">
        <f aca="false">AD358+AE358*(1+Parametri_v3!$C$9)</f>
        <v>110.208333333333</v>
      </c>
      <c r="AH358" s="16" t="n">
        <f aca="false">IF(AG358=0,1,MIN(1,AF358/AG358))</f>
        <v>1</v>
      </c>
      <c r="AI358" s="15" t="n">
        <f aca="false">AD358*AH358</f>
        <v>95.8333333333333</v>
      </c>
      <c r="AJ358" s="15" t="n">
        <f aca="false">AE358*AH358</f>
        <v>9.58333333333333</v>
      </c>
      <c r="AK358" s="15" t="n">
        <f aca="false">AI358*INDEX(Ipotesi!$C$49:$G$49,1,F358)*H358</f>
        <v>91041.6666666667</v>
      </c>
      <c r="AL358" s="15" t="n">
        <f aca="false">AJ358*INDEX(Ipotesi!$C$51:$G$51,1,F358)*H358</f>
        <v>24916.6666666667</v>
      </c>
      <c r="AM358" s="15" t="n">
        <f aca="false">AK358+AL358</f>
        <v>115958.333333333</v>
      </c>
      <c r="AN358" s="15" t="n">
        <f aca="false">INDEX(Ipotesi!$C$30:$G$30,1,F358)*G358/12</f>
        <v>81.6666666666667</v>
      </c>
      <c r="AO358" s="15" t="n">
        <f aca="false">O358*Parametri_v3!$C$7*Parametri_v3!$C$11*(1-Parametri_v3!$C$14)/12</f>
        <v>87.2666666666667</v>
      </c>
      <c r="AP358" s="15" t="n">
        <f aca="false">MIN(AN358,AO358)</f>
        <v>81.6666666666667</v>
      </c>
      <c r="AQ358" s="15" t="n">
        <f aca="false">AP358*INDEX(Ipotesi!$C$31:$G$31,1,F358)*H358</f>
        <v>89833.3333333333</v>
      </c>
      <c r="AR358" s="15" t="n">
        <f aca="false">INDEX(Ipotesi!$C$75:$G$75,1,F358)*J358/12</f>
        <v>35833.3333333333</v>
      </c>
      <c r="AS358" s="15" t="n">
        <f aca="false">INDEX(Ipotesi!$C$81:$G$81,1,F358)*J358/12</f>
        <v>2083.33333333333</v>
      </c>
      <c r="AT358" s="15" t="n">
        <f aca="false">AR358*Parametri_v3!$C$15+Z358*Parametri_v3!$C$16</f>
        <v>53560.0970908333</v>
      </c>
      <c r="AU358" s="15" t="n">
        <f aca="false">Q358*Parametri_v3!$C$16*Parametri_v3!$C$17</f>
        <v>420</v>
      </c>
      <c r="AV358" s="17" t="n">
        <f aca="false">BD357</f>
        <v>183.658180683785</v>
      </c>
      <c r="AW358" s="17" t="n">
        <f aca="false">AV358*(1-(1-INDEX(Ipotesi!$C$34:$G$34,1,F358))^(1/12))</f>
        <v>1.60546836418504</v>
      </c>
      <c r="AX358" s="15" t="n">
        <f aca="false">ROUND(INDEX(Ipotesi!$C$32:$G$32,1,F358)*Ipotesi!H8,0)</f>
        <v>560</v>
      </c>
      <c r="AY358" s="15" t="n">
        <f aca="false">MAX(0,(AX358-(AV358-AW358))/(13-E358))</f>
        <v>53.9924696686286</v>
      </c>
      <c r="AZ358" s="15" t="n">
        <f aca="false">MIN(P358*Parametri_v3!$C$22,Q358*(1-Parametri_v3!$C$16)*Parametri_v3!$C$23)</f>
        <v>270</v>
      </c>
      <c r="BA358" s="15" t="n">
        <f aca="false">IF(OR(INDEX(Ipotesi!$C$35:$G$35,1,F358)&lt;=0,54-Parametri_v3!$C$21&lt;1),0,INDEX($AT$305:$AT$364,MAX(1,54-Parametri_v3!$C$21))/(INDEX(Ipotesi!$C$35:$G$35,1,F358)*Ipotesi!H27))</f>
        <v>8.24001493705128</v>
      </c>
      <c r="BB358" s="15" t="n">
        <f aca="false">IF(54-Parametri_v3!$C$21&lt;1,0,INDEX($AU$305:$AU$364,MAX(1,54-Parametri_v3!$C$21)))*Parametri_v3!$C$18*Parametri_v3!$C$19*Parametri_v3!$C$20</f>
        <v>15.75</v>
      </c>
      <c r="BC358" s="17" t="n">
        <f aca="false">MAX(0,MIN(AY358,BA358,BB358,MAX(0,AZ358-(AV358-AW358))))</f>
        <v>8.24001493705128</v>
      </c>
      <c r="BD358" s="17" t="n">
        <f aca="false">AV358-AW358+BC358</f>
        <v>190.292727256651</v>
      </c>
      <c r="BE358" s="17" t="n">
        <f aca="false">(AV358+BD358)/2</f>
        <v>186.975453970218</v>
      </c>
      <c r="BF358" s="15" t="n">
        <f aca="false">BE358*INDEX(Ipotesi!$C$33:$G$33,1,F358)*H358/12</f>
        <v>96603.9845512792</v>
      </c>
      <c r="BG358" s="15" t="n">
        <f aca="false">BD358*INDEX(Ipotesi!$C$33:$G$33,1,F358)*H358</f>
        <v>1179814.90899124</v>
      </c>
      <c r="BH358" s="15" t="n">
        <f aca="false">AM358*INDEX(Ipotesi!$C$37:$G$37,1,F358)</f>
        <v>11595.8333333333</v>
      </c>
      <c r="BI358" s="15" t="n">
        <f aca="false">AQ358+BF358+BH358</f>
        <v>198033.151217946</v>
      </c>
      <c r="BJ358" s="15" t="n">
        <f aca="false">INDEX(Ipotesi!$C$68:$G$68,1,F358)*Ipotesi!$C$69/12</f>
        <v>3333.33333333333</v>
      </c>
      <c r="BK358" s="15" t="n">
        <f aca="false">INDEX(Ipotesi!$C$68:$G$68,1,F358)*(1-Ipotesi!$C$69)/12</f>
        <v>5000</v>
      </c>
      <c r="BL358" s="15" t="n">
        <f aca="false">(AQ358+BF358)*Ipotesi!$C$67</f>
        <v>5593.11953653838</v>
      </c>
      <c r="BM358" s="15" t="n">
        <f aca="false">AM358*Ipotesi!$C$67</f>
        <v>3478.75</v>
      </c>
      <c r="BN358" s="15" t="n">
        <f aca="false">INDEX(Ipotesi!$C$72:$G$72,1,F358)/12*Ipotesi!H126+BF358*Ipotesi!$C$73</f>
        <v>8978.31876410234</v>
      </c>
      <c r="BO358" s="15" t="n">
        <f aca="false">INDEX(Ipotesi!$C$74:$G$74,1,F358)/12*Ipotesi!H126</f>
        <v>5416.66666666667</v>
      </c>
      <c r="BP358" s="15" t="n">
        <f aca="false">INDEX(Ipotesi!$C$76:$G$76,1,F358)/12</f>
        <v>1916.66666666667</v>
      </c>
      <c r="BQ358" s="15" t="n">
        <f aca="false">INDEX(Ipotesi!$C$77:$G$77,1,F358)/12*Ipotesi!H126</f>
        <v>2500</v>
      </c>
      <c r="BR358" s="15" t="n">
        <f aca="false">INDEX(Ipotesi!$C$78:$G$78,1,F358)/12</f>
        <v>2333.33333333333</v>
      </c>
      <c r="BS358" s="15" t="n">
        <f aca="false">SUM(M358:R358)*(Ipotesi!$C$85+Ipotesi!$C$86)/12</f>
        <v>7437.5</v>
      </c>
      <c r="BT358" s="15" t="n">
        <f aca="false">BI358*Ipotesi!$C$87</f>
        <v>5940.99453653838</v>
      </c>
      <c r="BU358" s="15" t="n">
        <f aca="false">INDEX(Ipotesi!$C$55:$G$55,1,F358)*K358/12</f>
        <v>2000</v>
      </c>
      <c r="BV358" s="15" t="n">
        <f aca="false">INDEX(Ipotesi!$C$80:$G$80,1,F358)/12*Ipotesi!H126</f>
        <v>2083.33333333333</v>
      </c>
      <c r="BW358" s="15" t="n">
        <f aca="false">INDEX(Ipotesi!$C$82:$G$82,1,F358)/12</f>
        <v>1500</v>
      </c>
      <c r="BX358" s="15" t="n">
        <f aca="false">INDEX(Ipotesi!$C$83:$G$83,1,F358)/12</f>
        <v>833.333333333333</v>
      </c>
      <c r="BY358" s="15" t="n">
        <f aca="false">SUM(S358:U358)*(Ipotesi!$C$85+Ipotesi!$C$86)/12</f>
        <v>3208.33333333333</v>
      </c>
      <c r="BZ358" s="15" t="n">
        <f aca="false">AM358*Ipotesi!$C$87</f>
        <v>3478.75</v>
      </c>
      <c r="CA358" s="15" t="n">
        <f aca="false">AB358+BJ358+BL358+BN358+BO358+AR358+BP358+BQ358+BR358+BS358+BT358</f>
        <v>198760.594491346</v>
      </c>
      <c r="CB358" s="15" t="n">
        <f aca="false">AC358+BK358+BM358+BH358+BU358+BV358+AS358+BW358+BX358+BY358+BZ358</f>
        <v>79625.4722608333</v>
      </c>
      <c r="CC358" s="15" t="n">
        <f aca="false">BI358-CA358</f>
        <v>-727.443273399869</v>
      </c>
      <c r="CD358" s="15" t="n">
        <f aca="false">AM358-CB358</f>
        <v>36332.8610725</v>
      </c>
      <c r="CE358" s="15" t="n">
        <f aca="false">INDEX(Ipotesi!$C$79:$G$79,1,F358)/12</f>
        <v>4166.66666666667</v>
      </c>
      <c r="CF358" s="15" t="n">
        <f aca="false">INDEX(Ipotesi!$C$84:$G$84,1,F358)/12</f>
        <v>666.666666666667</v>
      </c>
      <c r="CG358" s="15" t="n">
        <f aca="false">Y358*MAX(0,Parametri_v3!$C$12-IF(P358=0,0,MIN(1,BE358/(P358*Parametri_v3!$C$22))))+W358*Parametri_v3!$C$13+X358*Parametri_v3!$C$14</f>
        <v>35313.9900292821</v>
      </c>
      <c r="CH358" s="15" t="n">
        <f aca="false">AB358*Parametri_v3!$C$32</f>
        <v>5973.86641604167</v>
      </c>
      <c r="CI358" s="15" t="n">
        <f aca="false">AC358*Parametri_v3!$C$32</f>
        <v>2218.19027970833</v>
      </c>
      <c r="CJ358" s="15" t="n">
        <f aca="false">CA358-AB358</f>
        <v>79283.2661705124</v>
      </c>
      <c r="CK358" s="15" t="n">
        <f aca="false">CB358-AC358-BH358</f>
        <v>23665.8333333333</v>
      </c>
      <c r="CL358" s="15" t="n">
        <f aca="false">BF358*Ipotesi!$C$73+INDEX(Ipotesi!$C$72:$G$72,1,F358)/12*Ipotesi!H126*Parametri_v3!$C$58+Z358*(1-Parametri_v3!$C$16)</f>
        <v>16575.5032316023</v>
      </c>
      <c r="CM358" s="16" t="n">
        <f aca="false">IF(BF358=0,0,1-CL358/BF358)</f>
        <v>0.828418017035273</v>
      </c>
    </row>
    <row r="359" customFormat="false" ht="18" hidden="false" customHeight="true" outlineLevel="0" collapsed="false">
      <c r="A359" s="68" t="n">
        <f aca="false">6</f>
        <v>6</v>
      </c>
      <c r="B359" s="68" t="n">
        <f aca="false">55</f>
        <v>55</v>
      </c>
      <c r="C359" s="18" t="n">
        <f aca="false">EDATE(Parametri_v3!$C$5,55-1)</f>
        <v>48030</v>
      </c>
      <c r="D359" s="68" t="n">
        <f aca="false">YEAR(C359)</f>
        <v>2031</v>
      </c>
      <c r="E359" s="68" t="n">
        <f aca="false">MONTH(C359)</f>
        <v>7</v>
      </c>
      <c r="F359" s="68" t="n">
        <f aca="false">INT((55-1)/12)+1</f>
        <v>5</v>
      </c>
      <c r="G359" s="15" t="n">
        <f aca="false">Ipotesi!H7</f>
        <v>1</v>
      </c>
      <c r="H359" s="15" t="n">
        <f aca="false">Ipotesi!H9</f>
        <v>1</v>
      </c>
      <c r="I359" s="15" t="n">
        <f aca="false">Ipotesi!H10</f>
        <v>1</v>
      </c>
      <c r="J359" s="15" t="n">
        <f aca="false">Ipotesi!H11</f>
        <v>1</v>
      </c>
      <c r="K359" s="15" t="n">
        <f aca="false">Ipotesi!H12</f>
        <v>1</v>
      </c>
      <c r="L359" s="15" t="n">
        <f aca="false">Ipotesi!H13</f>
        <v>90</v>
      </c>
      <c r="M359" s="17" t="n">
        <f aca="false">INDEX(Ipotesi!$C$40:$G$40,1,F359)</f>
        <v>1</v>
      </c>
      <c r="N359" s="17" t="n">
        <f aca="false">INDEX(Ipotesi!$C$41:$G$41,1,F359)</f>
        <v>1</v>
      </c>
      <c r="O359" s="17" t="n">
        <f aca="false">INDEX(Ipotesi!$C$42:$G$42,1,F359)*Ipotesi!H125</f>
        <v>8.5</v>
      </c>
      <c r="P359" s="17" t="n">
        <f aca="false">INDEX(Ipotesi!$C$43:$G$43,1,F359)*I359</f>
        <v>7</v>
      </c>
      <c r="Q359" s="17" t="n">
        <f aca="false">INDEX(Ipotesi!$C$44:$G$44,1,F359)*I359</f>
        <v>6</v>
      </c>
      <c r="R359" s="17" t="n">
        <f aca="false">INDEX(Ipotesi!$C$45:$G$45,1,F359)*I359</f>
        <v>2</v>
      </c>
      <c r="S359" s="17" t="n">
        <f aca="false">INDEX(Ipotesi!$C$52:$G$52,1,F359)*Ipotesi!H125</f>
        <v>9</v>
      </c>
      <c r="T359" s="17" t="n">
        <f aca="false">INDEX(Ipotesi!$C$53:$G$53,1,F359)*I359</f>
        <v>1</v>
      </c>
      <c r="U359" s="17" t="n">
        <f aca="false">INDEX(Ipotesi!$C$54:$G$54,1,F359)*I359</f>
        <v>1</v>
      </c>
      <c r="V359" s="15" t="n">
        <f aca="false">M359*INDEX(Ipotesi!$C$58:$G$58,1,F359)*K359/12</f>
        <v>8333.33333333333</v>
      </c>
      <c r="W359" s="15" t="n">
        <f aca="false">N359*Ipotesi!$C$59*(1+Ipotesi!$C$66)^(F359-1)/12</f>
        <v>6565.46805833334</v>
      </c>
      <c r="X359" s="15" t="n">
        <f aca="false">O359*Ipotesi!$C$60*(1+Ipotesi!$C$66)^(F359-1)/12</f>
        <v>39861.7703541667</v>
      </c>
      <c r="Y359" s="15" t="n">
        <f aca="false">P359*Ipotesi!$C$61*(1+Ipotesi!$C$66)^(F359-1)/12</f>
        <v>32827.3402916667</v>
      </c>
      <c r="Z359" s="15" t="n">
        <f aca="false">Q359*Ipotesi!$C$62*(1+Ipotesi!$C$66)^(F359-1)/12</f>
        <v>25323.948225</v>
      </c>
      <c r="AA359" s="15" t="n">
        <f aca="false">R359*Ipotesi!$C$63*(1+Ipotesi!$C$66)^(F359-1)/12</f>
        <v>6565.46805833334</v>
      </c>
      <c r="AB359" s="15" t="n">
        <f aca="false">SUM(V359:AA359)</f>
        <v>119477.328320833</v>
      </c>
      <c r="AC359" s="15" t="n">
        <f aca="false">(S359*Ipotesi!$C$64+T359*Ipotesi!$C$65+U359*Ipotesi!$C$63)*(1+Ipotesi!$C$66)^(F359-1)/12</f>
        <v>44363.8055941667</v>
      </c>
      <c r="AD359" s="15" t="n">
        <f aca="false">INDEX(Ipotesi!$C$48:$G$48,1,F359)*G359/12</f>
        <v>95.8333333333333</v>
      </c>
      <c r="AE359" s="15" t="n">
        <f aca="false">INDEX(Ipotesi!$C$50:$G$50,1,F359)*G359/12</f>
        <v>9.58333333333333</v>
      </c>
      <c r="AF359" s="15" t="n">
        <f aca="false">(S359*Parametri_v3!$C$7*Parametri_v3!$C$8+Parametri_v3!$C$10)/12</f>
        <v>115.5</v>
      </c>
      <c r="AG359" s="15" t="n">
        <f aca="false">AD359+AE359*(1+Parametri_v3!$C$9)</f>
        <v>110.208333333333</v>
      </c>
      <c r="AH359" s="16" t="n">
        <f aca="false">IF(AG359=0,1,MIN(1,AF359/AG359))</f>
        <v>1</v>
      </c>
      <c r="AI359" s="15" t="n">
        <f aca="false">AD359*AH359</f>
        <v>95.8333333333333</v>
      </c>
      <c r="AJ359" s="15" t="n">
        <f aca="false">AE359*AH359</f>
        <v>9.58333333333333</v>
      </c>
      <c r="AK359" s="15" t="n">
        <f aca="false">AI359*INDEX(Ipotesi!$C$49:$G$49,1,F359)*H359</f>
        <v>91041.6666666667</v>
      </c>
      <c r="AL359" s="15" t="n">
        <f aca="false">AJ359*INDEX(Ipotesi!$C$51:$G$51,1,F359)*H359</f>
        <v>24916.6666666667</v>
      </c>
      <c r="AM359" s="15" t="n">
        <f aca="false">AK359+AL359</f>
        <v>115958.333333333</v>
      </c>
      <c r="AN359" s="15" t="n">
        <f aca="false">INDEX(Ipotesi!$C$30:$G$30,1,F359)*G359/12</f>
        <v>81.6666666666667</v>
      </c>
      <c r="AO359" s="15" t="n">
        <f aca="false">O359*Parametri_v3!$C$7*Parametri_v3!$C$11*(1-Parametri_v3!$C$14)/12</f>
        <v>87.2666666666667</v>
      </c>
      <c r="AP359" s="15" t="n">
        <f aca="false">MIN(AN359,AO359)</f>
        <v>81.6666666666667</v>
      </c>
      <c r="AQ359" s="15" t="n">
        <f aca="false">AP359*INDEX(Ipotesi!$C$31:$G$31,1,F359)*H359</f>
        <v>89833.3333333333</v>
      </c>
      <c r="AR359" s="15" t="n">
        <f aca="false">INDEX(Ipotesi!$C$75:$G$75,1,F359)*J359/12</f>
        <v>35833.3333333333</v>
      </c>
      <c r="AS359" s="15" t="n">
        <f aca="false">INDEX(Ipotesi!$C$81:$G$81,1,F359)*J359/12</f>
        <v>2083.33333333333</v>
      </c>
      <c r="AT359" s="15" t="n">
        <f aca="false">AR359*Parametri_v3!$C$15+Z359*Parametri_v3!$C$16</f>
        <v>53560.0970908333</v>
      </c>
      <c r="AU359" s="15" t="n">
        <f aca="false">Q359*Parametri_v3!$C$16*Parametri_v3!$C$17</f>
        <v>420</v>
      </c>
      <c r="AV359" s="17" t="n">
        <f aca="false">BD358</f>
        <v>190.292727256651</v>
      </c>
      <c r="AW359" s="17" t="n">
        <f aca="false">AV359*(1-(1-INDEX(Ipotesi!$C$34:$G$34,1,F359))^(1/12))</f>
        <v>1.66346498918586</v>
      </c>
      <c r="AX359" s="15" t="n">
        <f aca="false">ROUND(INDEX(Ipotesi!$C$32:$G$32,1,F359)*Ipotesi!H8,0)</f>
        <v>560</v>
      </c>
      <c r="AY359" s="15" t="n">
        <f aca="false">MAX(0,(AX359-(AV359-AW359))/(13-E359))</f>
        <v>61.8951229554225</v>
      </c>
      <c r="AZ359" s="15" t="n">
        <f aca="false">MIN(P359*Parametri_v3!$C$22,Q359*(1-Parametri_v3!$C$16)*Parametri_v3!$C$23)</f>
        <v>270</v>
      </c>
      <c r="BA359" s="15" t="n">
        <f aca="false">IF(OR(INDEX(Ipotesi!$C$35:$G$35,1,F359)&lt;=0,55-Parametri_v3!$C$21&lt;1),0,INDEX($AT$305:$AT$364,MAX(1,55-Parametri_v3!$C$21))/(INDEX(Ipotesi!$C$35:$G$35,1,F359)*Ipotesi!H27))</f>
        <v>8.24001493705128</v>
      </c>
      <c r="BB359" s="15" t="n">
        <f aca="false">IF(55-Parametri_v3!$C$21&lt;1,0,INDEX($AU$305:$AU$364,MAX(1,55-Parametri_v3!$C$21)))*Parametri_v3!$C$18*Parametri_v3!$C$19*Parametri_v3!$C$20</f>
        <v>15.75</v>
      </c>
      <c r="BC359" s="17" t="n">
        <f aca="false">MAX(0,MIN(AY359,BA359,BB359,MAX(0,AZ359-(AV359-AW359))))</f>
        <v>8.24001493705128</v>
      </c>
      <c r="BD359" s="17" t="n">
        <f aca="false">AV359-AW359+BC359</f>
        <v>196.869277204516</v>
      </c>
      <c r="BE359" s="17" t="n">
        <f aca="false">(AV359+BD359)/2</f>
        <v>193.581002230584</v>
      </c>
      <c r="BF359" s="15" t="n">
        <f aca="false">BE359*INDEX(Ipotesi!$C$33:$G$33,1,F359)*H359/12</f>
        <v>100016.851152468</v>
      </c>
      <c r="BG359" s="15" t="n">
        <f aca="false">BD359*INDEX(Ipotesi!$C$33:$G$33,1,F359)*H359</f>
        <v>1220589.518668</v>
      </c>
      <c r="BH359" s="15" t="n">
        <f aca="false">AM359*INDEX(Ipotesi!$C$37:$G$37,1,F359)</f>
        <v>11595.8333333333</v>
      </c>
      <c r="BI359" s="15" t="n">
        <f aca="false">AQ359+BF359+BH359</f>
        <v>201446.017819135</v>
      </c>
      <c r="BJ359" s="15" t="n">
        <f aca="false">INDEX(Ipotesi!$C$68:$G$68,1,F359)*Ipotesi!$C$69/12</f>
        <v>3333.33333333333</v>
      </c>
      <c r="BK359" s="15" t="n">
        <f aca="false">INDEX(Ipotesi!$C$68:$G$68,1,F359)*(1-Ipotesi!$C$69)/12</f>
        <v>5000</v>
      </c>
      <c r="BL359" s="15" t="n">
        <f aca="false">(AQ359+BF359)*Ipotesi!$C$67</f>
        <v>5695.50553457405</v>
      </c>
      <c r="BM359" s="15" t="n">
        <f aca="false">AM359*Ipotesi!$C$67</f>
        <v>3478.75</v>
      </c>
      <c r="BN359" s="15" t="n">
        <f aca="false">INDEX(Ipotesi!$C$72:$G$72,1,F359)/12*Ipotesi!H126+BF359*Ipotesi!$C$73</f>
        <v>9251.34809219746</v>
      </c>
      <c r="BO359" s="15" t="n">
        <f aca="false">INDEX(Ipotesi!$C$74:$G$74,1,F359)/12*Ipotesi!H126</f>
        <v>5416.66666666667</v>
      </c>
      <c r="BP359" s="15" t="n">
        <f aca="false">INDEX(Ipotesi!$C$76:$G$76,1,F359)/12</f>
        <v>1916.66666666667</v>
      </c>
      <c r="BQ359" s="15" t="n">
        <f aca="false">INDEX(Ipotesi!$C$77:$G$77,1,F359)/12*Ipotesi!H126</f>
        <v>2500</v>
      </c>
      <c r="BR359" s="15" t="n">
        <f aca="false">INDEX(Ipotesi!$C$78:$G$78,1,F359)/12</f>
        <v>2333.33333333333</v>
      </c>
      <c r="BS359" s="15" t="n">
        <f aca="false">SUM(M359:R359)*(Ipotesi!$C$85+Ipotesi!$C$86)/12</f>
        <v>7437.5</v>
      </c>
      <c r="BT359" s="15" t="n">
        <f aca="false">BI359*Ipotesi!$C$87</f>
        <v>6043.38053457405</v>
      </c>
      <c r="BU359" s="15" t="n">
        <f aca="false">INDEX(Ipotesi!$C$55:$G$55,1,F359)*K359/12</f>
        <v>2000</v>
      </c>
      <c r="BV359" s="15" t="n">
        <f aca="false">INDEX(Ipotesi!$C$80:$G$80,1,F359)/12*Ipotesi!H126</f>
        <v>2083.33333333333</v>
      </c>
      <c r="BW359" s="15" t="n">
        <f aca="false">INDEX(Ipotesi!$C$82:$G$82,1,F359)/12</f>
        <v>1500</v>
      </c>
      <c r="BX359" s="15" t="n">
        <f aca="false">INDEX(Ipotesi!$C$83:$G$83,1,F359)/12</f>
        <v>833.333333333333</v>
      </c>
      <c r="BY359" s="15" t="n">
        <f aca="false">SUM(S359:U359)*(Ipotesi!$C$85+Ipotesi!$C$86)/12</f>
        <v>3208.33333333333</v>
      </c>
      <c r="BZ359" s="15" t="n">
        <f aca="false">AM359*Ipotesi!$C$87</f>
        <v>3478.75</v>
      </c>
      <c r="CA359" s="15" t="n">
        <f aca="false">AB359+BJ359+BL359+BN359+BO359+AR359+BP359+BQ359+BR359+BS359+BT359</f>
        <v>199238.395815512</v>
      </c>
      <c r="CB359" s="15" t="n">
        <f aca="false">AC359+BK359+BM359+BH359+BU359+BV359+AS359+BW359+BX359+BY359+BZ359</f>
        <v>79625.4722608333</v>
      </c>
      <c r="CC359" s="15" t="n">
        <f aca="false">BI359-CA359</f>
        <v>2207.6220036227</v>
      </c>
      <c r="CD359" s="15" t="n">
        <f aca="false">AM359-CB359</f>
        <v>36332.8610725</v>
      </c>
      <c r="CE359" s="15" t="n">
        <f aca="false">INDEX(Ipotesi!$C$79:$G$79,1,F359)/12</f>
        <v>4166.66666666667</v>
      </c>
      <c r="CF359" s="15" t="n">
        <f aca="false">INDEX(Ipotesi!$C$84:$G$84,1,F359)/12</f>
        <v>666.666666666667</v>
      </c>
      <c r="CG359" s="15" t="n">
        <f aca="false">Y359*MAX(0,Parametri_v3!$C$12-IF(P359=0,0,MIN(1,BE359/(P359*Parametri_v3!$C$22))))+W359*Parametri_v3!$C$13+X359*Parametri_v3!$C$14</f>
        <v>35004.214914202</v>
      </c>
      <c r="CH359" s="15" t="n">
        <f aca="false">AB359*Parametri_v3!$C$32</f>
        <v>5973.86641604167</v>
      </c>
      <c r="CI359" s="15" t="n">
        <f aca="false">AC359*Parametri_v3!$C$32</f>
        <v>2218.19027970833</v>
      </c>
      <c r="CJ359" s="15" t="n">
        <f aca="false">CA359-AB359</f>
        <v>79761.0674946789</v>
      </c>
      <c r="CK359" s="15" t="n">
        <f aca="false">CB359-AC359-BH359</f>
        <v>23665.8333333333</v>
      </c>
      <c r="CL359" s="15" t="n">
        <f aca="false">BF359*Ipotesi!$C$73+INDEX(Ipotesi!$C$72:$G$72,1,F359)/12*Ipotesi!H126*Parametri_v3!$C$58+Z359*(1-Parametri_v3!$C$16)</f>
        <v>16848.5325596975</v>
      </c>
      <c r="CM359" s="16" t="n">
        <f aca="false">IF(BF359=0,0,1-CL359/BF359)</f>
        <v>0.831543061338603</v>
      </c>
    </row>
    <row r="360" customFormat="false" ht="18" hidden="false" customHeight="true" outlineLevel="0" collapsed="false">
      <c r="A360" s="68" t="n">
        <f aca="false">6</f>
        <v>6</v>
      </c>
      <c r="B360" s="68" t="n">
        <f aca="false">56</f>
        <v>56</v>
      </c>
      <c r="C360" s="18" t="n">
        <f aca="false">EDATE(Parametri_v3!$C$5,56-1)</f>
        <v>48061</v>
      </c>
      <c r="D360" s="68" t="n">
        <f aca="false">YEAR(C360)</f>
        <v>2031</v>
      </c>
      <c r="E360" s="68" t="n">
        <f aca="false">MONTH(C360)</f>
        <v>8</v>
      </c>
      <c r="F360" s="68" t="n">
        <f aca="false">INT((56-1)/12)+1</f>
        <v>5</v>
      </c>
      <c r="G360" s="15" t="n">
        <f aca="false">Ipotesi!H7</f>
        <v>1</v>
      </c>
      <c r="H360" s="15" t="n">
        <f aca="false">Ipotesi!H9</f>
        <v>1</v>
      </c>
      <c r="I360" s="15" t="n">
        <f aca="false">Ipotesi!H10</f>
        <v>1</v>
      </c>
      <c r="J360" s="15" t="n">
        <f aca="false">Ipotesi!H11</f>
        <v>1</v>
      </c>
      <c r="K360" s="15" t="n">
        <f aca="false">Ipotesi!H12</f>
        <v>1</v>
      </c>
      <c r="L360" s="15" t="n">
        <f aca="false">Ipotesi!H13</f>
        <v>90</v>
      </c>
      <c r="M360" s="17" t="n">
        <f aca="false">INDEX(Ipotesi!$C$40:$G$40,1,F360)</f>
        <v>1</v>
      </c>
      <c r="N360" s="17" t="n">
        <f aca="false">INDEX(Ipotesi!$C$41:$G$41,1,F360)</f>
        <v>1</v>
      </c>
      <c r="O360" s="17" t="n">
        <f aca="false">INDEX(Ipotesi!$C$42:$G$42,1,F360)*Ipotesi!H125</f>
        <v>8.5</v>
      </c>
      <c r="P360" s="17" t="n">
        <f aca="false">INDEX(Ipotesi!$C$43:$G$43,1,F360)*I360</f>
        <v>7</v>
      </c>
      <c r="Q360" s="17" t="n">
        <f aca="false">INDEX(Ipotesi!$C$44:$G$44,1,F360)*I360</f>
        <v>6</v>
      </c>
      <c r="R360" s="17" t="n">
        <f aca="false">INDEX(Ipotesi!$C$45:$G$45,1,F360)*I360</f>
        <v>2</v>
      </c>
      <c r="S360" s="17" t="n">
        <f aca="false">INDEX(Ipotesi!$C$52:$G$52,1,F360)*Ipotesi!H125</f>
        <v>9</v>
      </c>
      <c r="T360" s="17" t="n">
        <f aca="false">INDEX(Ipotesi!$C$53:$G$53,1,F360)*I360</f>
        <v>1</v>
      </c>
      <c r="U360" s="17" t="n">
        <f aca="false">INDEX(Ipotesi!$C$54:$G$54,1,F360)*I360</f>
        <v>1</v>
      </c>
      <c r="V360" s="15" t="n">
        <f aca="false">M360*INDEX(Ipotesi!$C$58:$G$58,1,F360)*K360/12</f>
        <v>8333.33333333333</v>
      </c>
      <c r="W360" s="15" t="n">
        <f aca="false">N360*Ipotesi!$C$59*(1+Ipotesi!$C$66)^(F360-1)/12</f>
        <v>6565.46805833334</v>
      </c>
      <c r="X360" s="15" t="n">
        <f aca="false">O360*Ipotesi!$C$60*(1+Ipotesi!$C$66)^(F360-1)/12</f>
        <v>39861.7703541667</v>
      </c>
      <c r="Y360" s="15" t="n">
        <f aca="false">P360*Ipotesi!$C$61*(1+Ipotesi!$C$66)^(F360-1)/12</f>
        <v>32827.3402916667</v>
      </c>
      <c r="Z360" s="15" t="n">
        <f aca="false">Q360*Ipotesi!$C$62*(1+Ipotesi!$C$66)^(F360-1)/12</f>
        <v>25323.948225</v>
      </c>
      <c r="AA360" s="15" t="n">
        <f aca="false">R360*Ipotesi!$C$63*(1+Ipotesi!$C$66)^(F360-1)/12</f>
        <v>6565.46805833334</v>
      </c>
      <c r="AB360" s="15" t="n">
        <f aca="false">SUM(V360:AA360)</f>
        <v>119477.328320833</v>
      </c>
      <c r="AC360" s="15" t="n">
        <f aca="false">(S360*Ipotesi!$C$64+T360*Ipotesi!$C$65+U360*Ipotesi!$C$63)*(1+Ipotesi!$C$66)^(F360-1)/12</f>
        <v>44363.8055941667</v>
      </c>
      <c r="AD360" s="15" t="n">
        <f aca="false">INDEX(Ipotesi!$C$48:$G$48,1,F360)*G360/12</f>
        <v>95.8333333333333</v>
      </c>
      <c r="AE360" s="15" t="n">
        <f aca="false">INDEX(Ipotesi!$C$50:$G$50,1,F360)*G360/12</f>
        <v>9.58333333333333</v>
      </c>
      <c r="AF360" s="15" t="n">
        <f aca="false">(S360*Parametri_v3!$C$7*Parametri_v3!$C$8+Parametri_v3!$C$10)/12</f>
        <v>115.5</v>
      </c>
      <c r="AG360" s="15" t="n">
        <f aca="false">AD360+AE360*(1+Parametri_v3!$C$9)</f>
        <v>110.208333333333</v>
      </c>
      <c r="AH360" s="16" t="n">
        <f aca="false">IF(AG360=0,1,MIN(1,AF360/AG360))</f>
        <v>1</v>
      </c>
      <c r="AI360" s="15" t="n">
        <f aca="false">AD360*AH360</f>
        <v>95.8333333333333</v>
      </c>
      <c r="AJ360" s="15" t="n">
        <f aca="false">AE360*AH360</f>
        <v>9.58333333333333</v>
      </c>
      <c r="AK360" s="15" t="n">
        <f aca="false">AI360*INDEX(Ipotesi!$C$49:$G$49,1,F360)*H360</f>
        <v>91041.6666666667</v>
      </c>
      <c r="AL360" s="15" t="n">
        <f aca="false">AJ360*INDEX(Ipotesi!$C$51:$G$51,1,F360)*H360</f>
        <v>24916.6666666667</v>
      </c>
      <c r="AM360" s="15" t="n">
        <f aca="false">AK360+AL360</f>
        <v>115958.333333333</v>
      </c>
      <c r="AN360" s="15" t="n">
        <f aca="false">INDEX(Ipotesi!$C$30:$G$30,1,F360)*G360/12</f>
        <v>81.6666666666667</v>
      </c>
      <c r="AO360" s="15" t="n">
        <f aca="false">O360*Parametri_v3!$C$7*Parametri_v3!$C$11*(1-Parametri_v3!$C$14)/12</f>
        <v>87.2666666666667</v>
      </c>
      <c r="AP360" s="15" t="n">
        <f aca="false">MIN(AN360,AO360)</f>
        <v>81.6666666666667</v>
      </c>
      <c r="AQ360" s="15" t="n">
        <f aca="false">AP360*INDEX(Ipotesi!$C$31:$G$31,1,F360)*H360</f>
        <v>89833.3333333333</v>
      </c>
      <c r="AR360" s="15" t="n">
        <f aca="false">INDEX(Ipotesi!$C$75:$G$75,1,F360)*J360/12</f>
        <v>35833.3333333333</v>
      </c>
      <c r="AS360" s="15" t="n">
        <f aca="false">INDEX(Ipotesi!$C$81:$G$81,1,F360)*J360/12</f>
        <v>2083.33333333333</v>
      </c>
      <c r="AT360" s="15" t="n">
        <f aca="false">AR360*Parametri_v3!$C$15+Z360*Parametri_v3!$C$16</f>
        <v>53560.0970908333</v>
      </c>
      <c r="AU360" s="15" t="n">
        <f aca="false">Q360*Parametri_v3!$C$16*Parametri_v3!$C$17</f>
        <v>420</v>
      </c>
      <c r="AV360" s="17" t="n">
        <f aca="false">BD359</f>
        <v>196.869277204516</v>
      </c>
      <c r="AW360" s="17" t="n">
        <f aca="false">AV360*(1-(1-INDEX(Ipotesi!$C$34:$G$34,1,F360))^(1/12))</f>
        <v>1.72095463025423</v>
      </c>
      <c r="AX360" s="15" t="n">
        <f aca="false">ROUND(INDEX(Ipotesi!$C$32:$G$32,1,F360)*Ipotesi!H8,0)</f>
        <v>560</v>
      </c>
      <c r="AY360" s="15" t="n">
        <f aca="false">MAX(0,(AX360-(AV360-AW360))/(13-E360))</f>
        <v>72.9703354851476</v>
      </c>
      <c r="AZ360" s="15" t="n">
        <f aca="false">MIN(P360*Parametri_v3!$C$22,Q360*(1-Parametri_v3!$C$16)*Parametri_v3!$C$23)</f>
        <v>270</v>
      </c>
      <c r="BA360" s="15" t="n">
        <f aca="false">IF(OR(INDEX(Ipotesi!$C$35:$G$35,1,F360)&lt;=0,56-Parametri_v3!$C$21&lt;1),0,INDEX($AT$305:$AT$364,MAX(1,56-Parametri_v3!$C$21))/(INDEX(Ipotesi!$C$35:$G$35,1,F360)*Ipotesi!H27))</f>
        <v>8.24001493705128</v>
      </c>
      <c r="BB360" s="15" t="n">
        <f aca="false">IF(56-Parametri_v3!$C$21&lt;1,0,INDEX($AU$305:$AU$364,MAX(1,56-Parametri_v3!$C$21)))*Parametri_v3!$C$18*Parametri_v3!$C$19*Parametri_v3!$C$20</f>
        <v>15.75</v>
      </c>
      <c r="BC360" s="17" t="n">
        <f aca="false">MAX(0,MIN(AY360,BA360,BB360,MAX(0,AZ360-(AV360-AW360))))</f>
        <v>8.24001493705128</v>
      </c>
      <c r="BD360" s="17" t="n">
        <f aca="false">AV360-AW360+BC360</f>
        <v>203.388337511314</v>
      </c>
      <c r="BE360" s="17" t="n">
        <f aca="false">(AV360+BD360)/2</f>
        <v>200.128807357915</v>
      </c>
      <c r="BF360" s="15" t="n">
        <f aca="false">BE360*INDEX(Ipotesi!$C$33:$G$33,1,F360)*H360/12</f>
        <v>103399.883801589</v>
      </c>
      <c r="BG360" s="15" t="n">
        <f aca="false">BD360*INDEX(Ipotesi!$C$33:$G$33,1,F360)*H360</f>
        <v>1261007.69257014</v>
      </c>
      <c r="BH360" s="15" t="n">
        <f aca="false">AM360*INDEX(Ipotesi!$C$37:$G$37,1,F360)</f>
        <v>11595.8333333333</v>
      </c>
      <c r="BI360" s="15" t="n">
        <f aca="false">AQ360+BF360+BH360</f>
        <v>204829.050468256</v>
      </c>
      <c r="BJ360" s="15" t="n">
        <f aca="false">INDEX(Ipotesi!$C$68:$G$68,1,F360)*Ipotesi!$C$69/12</f>
        <v>3333.33333333333</v>
      </c>
      <c r="BK360" s="15" t="n">
        <f aca="false">INDEX(Ipotesi!$C$68:$G$68,1,F360)*(1-Ipotesi!$C$69)/12</f>
        <v>5000</v>
      </c>
      <c r="BL360" s="15" t="n">
        <f aca="false">(AQ360+BF360)*Ipotesi!$C$67</f>
        <v>5796.99651404768</v>
      </c>
      <c r="BM360" s="15" t="n">
        <f aca="false">AM360*Ipotesi!$C$67</f>
        <v>3478.75</v>
      </c>
      <c r="BN360" s="15" t="n">
        <f aca="false">INDEX(Ipotesi!$C$72:$G$72,1,F360)/12*Ipotesi!H126+BF360*Ipotesi!$C$73</f>
        <v>9521.99070412715</v>
      </c>
      <c r="BO360" s="15" t="n">
        <f aca="false">INDEX(Ipotesi!$C$74:$G$74,1,F360)/12*Ipotesi!H126</f>
        <v>5416.66666666667</v>
      </c>
      <c r="BP360" s="15" t="n">
        <f aca="false">INDEX(Ipotesi!$C$76:$G$76,1,F360)/12</f>
        <v>1916.66666666667</v>
      </c>
      <c r="BQ360" s="15" t="n">
        <f aca="false">INDEX(Ipotesi!$C$77:$G$77,1,F360)/12*Ipotesi!H126</f>
        <v>2500</v>
      </c>
      <c r="BR360" s="15" t="n">
        <f aca="false">INDEX(Ipotesi!$C$78:$G$78,1,F360)/12</f>
        <v>2333.33333333333</v>
      </c>
      <c r="BS360" s="15" t="n">
        <f aca="false">SUM(M360:R360)*(Ipotesi!$C$85+Ipotesi!$C$86)/12</f>
        <v>7437.5</v>
      </c>
      <c r="BT360" s="15" t="n">
        <f aca="false">BI360*Ipotesi!$C$87</f>
        <v>6144.87151404768</v>
      </c>
      <c r="BU360" s="15" t="n">
        <f aca="false">INDEX(Ipotesi!$C$55:$G$55,1,F360)*K360/12</f>
        <v>2000</v>
      </c>
      <c r="BV360" s="15" t="n">
        <f aca="false">INDEX(Ipotesi!$C$80:$G$80,1,F360)/12*Ipotesi!H126</f>
        <v>2083.33333333333</v>
      </c>
      <c r="BW360" s="15" t="n">
        <f aca="false">INDEX(Ipotesi!$C$82:$G$82,1,F360)/12</f>
        <v>1500</v>
      </c>
      <c r="BX360" s="15" t="n">
        <f aca="false">INDEX(Ipotesi!$C$83:$G$83,1,F360)/12</f>
        <v>833.333333333333</v>
      </c>
      <c r="BY360" s="15" t="n">
        <f aca="false">SUM(S360:U360)*(Ipotesi!$C$85+Ipotesi!$C$86)/12</f>
        <v>3208.33333333333</v>
      </c>
      <c r="BZ360" s="15" t="n">
        <f aca="false">AM360*Ipotesi!$C$87</f>
        <v>3478.75</v>
      </c>
      <c r="CA360" s="15" t="n">
        <f aca="false">AB360+BJ360+BL360+BN360+BO360+AR360+BP360+BQ360+BR360+BS360+BT360</f>
        <v>199712.020386389</v>
      </c>
      <c r="CB360" s="15" t="n">
        <f aca="false">AC360+BK360+BM360+BH360+BU360+BV360+AS360+BW360+BX360+BY360+BZ360</f>
        <v>79625.4722608333</v>
      </c>
      <c r="CC360" s="15" t="n">
        <f aca="false">BI360-CA360</f>
        <v>5117.03008186689</v>
      </c>
      <c r="CD360" s="15" t="n">
        <f aca="false">AM360-CB360</f>
        <v>36332.8610725</v>
      </c>
      <c r="CE360" s="15" t="n">
        <f aca="false">INDEX(Ipotesi!$C$79:$G$79,1,F360)/12</f>
        <v>4166.66666666667</v>
      </c>
      <c r="CF360" s="15" t="n">
        <f aca="false">INDEX(Ipotesi!$C$84:$G$84,1,F360)/12</f>
        <v>666.666666666667</v>
      </c>
      <c r="CG360" s="15" t="n">
        <f aca="false">Y360*MAX(0,Parametri_v3!$C$12-IF(P360=0,0,MIN(1,BE360/(P360*Parametri_v3!$C$22))))+W360*Parametri_v3!$C$13+X360*Parametri_v3!$C$14</f>
        <v>34697.1477326614</v>
      </c>
      <c r="CH360" s="15" t="n">
        <f aca="false">AB360*Parametri_v3!$C$32</f>
        <v>5973.86641604167</v>
      </c>
      <c r="CI360" s="15" t="n">
        <f aca="false">AC360*Parametri_v3!$C$32</f>
        <v>2218.19027970833</v>
      </c>
      <c r="CJ360" s="15" t="n">
        <f aca="false">CA360-AB360</f>
        <v>80234.6920655558</v>
      </c>
      <c r="CK360" s="15" t="n">
        <f aca="false">CB360-AC360-BH360</f>
        <v>23665.8333333333</v>
      </c>
      <c r="CL360" s="15" t="n">
        <f aca="false">BF360*Ipotesi!$C$73+INDEX(Ipotesi!$C$72:$G$72,1,F360)/12*Ipotesi!H126*Parametri_v3!$C$58+Z360*(1-Parametri_v3!$C$16)</f>
        <v>17119.1751716272</v>
      </c>
      <c r="CM360" s="16" t="n">
        <f aca="false">IF(BF360=0,0,1-CL360/BF360)</f>
        <v>0.834437191394948</v>
      </c>
    </row>
    <row r="361" customFormat="false" ht="18" hidden="false" customHeight="true" outlineLevel="0" collapsed="false">
      <c r="A361" s="68" t="n">
        <f aca="false">6</f>
        <v>6</v>
      </c>
      <c r="B361" s="68" t="n">
        <f aca="false">57</f>
        <v>57</v>
      </c>
      <c r="C361" s="18" t="n">
        <f aca="false">EDATE(Parametri_v3!$C$5,57-1)</f>
        <v>48092</v>
      </c>
      <c r="D361" s="68" t="n">
        <f aca="false">YEAR(C361)</f>
        <v>2031</v>
      </c>
      <c r="E361" s="68" t="n">
        <f aca="false">MONTH(C361)</f>
        <v>9</v>
      </c>
      <c r="F361" s="68" t="n">
        <f aca="false">INT((57-1)/12)+1</f>
        <v>5</v>
      </c>
      <c r="G361" s="15" t="n">
        <f aca="false">Ipotesi!H7</f>
        <v>1</v>
      </c>
      <c r="H361" s="15" t="n">
        <f aca="false">Ipotesi!H9</f>
        <v>1</v>
      </c>
      <c r="I361" s="15" t="n">
        <f aca="false">Ipotesi!H10</f>
        <v>1</v>
      </c>
      <c r="J361" s="15" t="n">
        <f aca="false">Ipotesi!H11</f>
        <v>1</v>
      </c>
      <c r="K361" s="15" t="n">
        <f aca="false">Ipotesi!H12</f>
        <v>1</v>
      </c>
      <c r="L361" s="15" t="n">
        <f aca="false">Ipotesi!H13</f>
        <v>90</v>
      </c>
      <c r="M361" s="17" t="n">
        <f aca="false">INDEX(Ipotesi!$C$40:$G$40,1,F361)</f>
        <v>1</v>
      </c>
      <c r="N361" s="17" t="n">
        <f aca="false">INDEX(Ipotesi!$C$41:$G$41,1,F361)</f>
        <v>1</v>
      </c>
      <c r="O361" s="17" t="n">
        <f aca="false">INDEX(Ipotesi!$C$42:$G$42,1,F361)*Ipotesi!H125</f>
        <v>8.5</v>
      </c>
      <c r="P361" s="17" t="n">
        <f aca="false">INDEX(Ipotesi!$C$43:$G$43,1,F361)*I361</f>
        <v>7</v>
      </c>
      <c r="Q361" s="17" t="n">
        <f aca="false">INDEX(Ipotesi!$C$44:$G$44,1,F361)*I361</f>
        <v>6</v>
      </c>
      <c r="R361" s="17" t="n">
        <f aca="false">INDEX(Ipotesi!$C$45:$G$45,1,F361)*I361</f>
        <v>2</v>
      </c>
      <c r="S361" s="17" t="n">
        <f aca="false">INDEX(Ipotesi!$C$52:$G$52,1,F361)*Ipotesi!H125</f>
        <v>9</v>
      </c>
      <c r="T361" s="17" t="n">
        <f aca="false">INDEX(Ipotesi!$C$53:$G$53,1,F361)*I361</f>
        <v>1</v>
      </c>
      <c r="U361" s="17" t="n">
        <f aca="false">INDEX(Ipotesi!$C$54:$G$54,1,F361)*I361</f>
        <v>1</v>
      </c>
      <c r="V361" s="15" t="n">
        <f aca="false">M361*INDEX(Ipotesi!$C$58:$G$58,1,F361)*K361/12</f>
        <v>8333.33333333333</v>
      </c>
      <c r="W361" s="15" t="n">
        <f aca="false">N361*Ipotesi!$C$59*(1+Ipotesi!$C$66)^(F361-1)/12</f>
        <v>6565.46805833334</v>
      </c>
      <c r="X361" s="15" t="n">
        <f aca="false">O361*Ipotesi!$C$60*(1+Ipotesi!$C$66)^(F361-1)/12</f>
        <v>39861.7703541667</v>
      </c>
      <c r="Y361" s="15" t="n">
        <f aca="false">P361*Ipotesi!$C$61*(1+Ipotesi!$C$66)^(F361-1)/12</f>
        <v>32827.3402916667</v>
      </c>
      <c r="Z361" s="15" t="n">
        <f aca="false">Q361*Ipotesi!$C$62*(1+Ipotesi!$C$66)^(F361-1)/12</f>
        <v>25323.948225</v>
      </c>
      <c r="AA361" s="15" t="n">
        <f aca="false">R361*Ipotesi!$C$63*(1+Ipotesi!$C$66)^(F361-1)/12</f>
        <v>6565.46805833334</v>
      </c>
      <c r="AB361" s="15" t="n">
        <f aca="false">SUM(V361:AA361)</f>
        <v>119477.328320833</v>
      </c>
      <c r="AC361" s="15" t="n">
        <f aca="false">(S361*Ipotesi!$C$64+T361*Ipotesi!$C$65+U361*Ipotesi!$C$63)*(1+Ipotesi!$C$66)^(F361-1)/12</f>
        <v>44363.8055941667</v>
      </c>
      <c r="AD361" s="15" t="n">
        <f aca="false">INDEX(Ipotesi!$C$48:$G$48,1,F361)*G361/12</f>
        <v>95.8333333333333</v>
      </c>
      <c r="AE361" s="15" t="n">
        <f aca="false">INDEX(Ipotesi!$C$50:$G$50,1,F361)*G361/12</f>
        <v>9.58333333333333</v>
      </c>
      <c r="AF361" s="15" t="n">
        <f aca="false">(S361*Parametri_v3!$C$7*Parametri_v3!$C$8+Parametri_v3!$C$10)/12</f>
        <v>115.5</v>
      </c>
      <c r="AG361" s="15" t="n">
        <f aca="false">AD361+AE361*(1+Parametri_v3!$C$9)</f>
        <v>110.208333333333</v>
      </c>
      <c r="AH361" s="16" t="n">
        <f aca="false">IF(AG361=0,1,MIN(1,AF361/AG361))</f>
        <v>1</v>
      </c>
      <c r="AI361" s="15" t="n">
        <f aca="false">AD361*AH361</f>
        <v>95.8333333333333</v>
      </c>
      <c r="AJ361" s="15" t="n">
        <f aca="false">AE361*AH361</f>
        <v>9.58333333333333</v>
      </c>
      <c r="AK361" s="15" t="n">
        <f aca="false">AI361*INDEX(Ipotesi!$C$49:$G$49,1,F361)*H361</f>
        <v>91041.6666666667</v>
      </c>
      <c r="AL361" s="15" t="n">
        <f aca="false">AJ361*INDEX(Ipotesi!$C$51:$G$51,1,F361)*H361</f>
        <v>24916.6666666667</v>
      </c>
      <c r="AM361" s="15" t="n">
        <f aca="false">AK361+AL361</f>
        <v>115958.333333333</v>
      </c>
      <c r="AN361" s="15" t="n">
        <f aca="false">INDEX(Ipotesi!$C$30:$G$30,1,F361)*G361/12</f>
        <v>81.6666666666667</v>
      </c>
      <c r="AO361" s="15" t="n">
        <f aca="false">O361*Parametri_v3!$C$7*Parametri_v3!$C$11*(1-Parametri_v3!$C$14)/12</f>
        <v>87.2666666666667</v>
      </c>
      <c r="AP361" s="15" t="n">
        <f aca="false">MIN(AN361,AO361)</f>
        <v>81.6666666666667</v>
      </c>
      <c r="AQ361" s="15" t="n">
        <f aca="false">AP361*INDEX(Ipotesi!$C$31:$G$31,1,F361)*H361</f>
        <v>89833.3333333333</v>
      </c>
      <c r="AR361" s="15" t="n">
        <f aca="false">INDEX(Ipotesi!$C$75:$G$75,1,F361)*J361/12</f>
        <v>35833.3333333333</v>
      </c>
      <c r="AS361" s="15" t="n">
        <f aca="false">INDEX(Ipotesi!$C$81:$G$81,1,F361)*J361/12</f>
        <v>2083.33333333333</v>
      </c>
      <c r="AT361" s="15" t="n">
        <f aca="false">AR361*Parametri_v3!$C$15+Z361*Parametri_v3!$C$16</f>
        <v>53560.0970908333</v>
      </c>
      <c r="AU361" s="15" t="n">
        <f aca="false">Q361*Parametri_v3!$C$16*Parametri_v3!$C$17</f>
        <v>420</v>
      </c>
      <c r="AV361" s="17" t="n">
        <f aca="false">BD360</f>
        <v>203.388337511314</v>
      </c>
      <c r="AW361" s="17" t="n">
        <f aca="false">AV361*(1-(1-INDEX(Ipotesi!$C$34:$G$34,1,F361))^(1/12))</f>
        <v>1.77794171924645</v>
      </c>
      <c r="AX361" s="15" t="n">
        <f aca="false">ROUND(INDEX(Ipotesi!$C$32:$G$32,1,F361)*Ipotesi!H8,0)</f>
        <v>560</v>
      </c>
      <c r="AY361" s="15" t="n">
        <f aca="false">MAX(0,(AX361-(AV361-AW361))/(13-E361))</f>
        <v>89.5974010519832</v>
      </c>
      <c r="AZ361" s="15" t="n">
        <f aca="false">MIN(P361*Parametri_v3!$C$22,Q361*(1-Parametri_v3!$C$16)*Parametri_v3!$C$23)</f>
        <v>270</v>
      </c>
      <c r="BA361" s="15" t="n">
        <f aca="false">IF(OR(INDEX(Ipotesi!$C$35:$G$35,1,F361)&lt;=0,57-Parametri_v3!$C$21&lt;1),0,INDEX($AT$305:$AT$364,MAX(1,57-Parametri_v3!$C$21))/(INDEX(Ipotesi!$C$35:$G$35,1,F361)*Ipotesi!H27))</f>
        <v>8.24001493705128</v>
      </c>
      <c r="BB361" s="15" t="n">
        <f aca="false">IF(57-Parametri_v3!$C$21&lt;1,0,INDEX($AU$305:$AU$364,MAX(1,57-Parametri_v3!$C$21)))*Parametri_v3!$C$18*Parametri_v3!$C$19*Parametri_v3!$C$20</f>
        <v>15.75</v>
      </c>
      <c r="BC361" s="17" t="n">
        <f aca="false">MAX(0,MIN(AY361,BA361,BB361,MAX(0,AZ361-(AV361-AW361))))</f>
        <v>8.24001493705128</v>
      </c>
      <c r="BD361" s="17" t="n">
        <f aca="false">AV361-AW361+BC361</f>
        <v>209.850410729118</v>
      </c>
      <c r="BE361" s="17" t="n">
        <f aca="false">(AV361+BD361)/2</f>
        <v>206.619374120216</v>
      </c>
      <c r="BF361" s="15" t="n">
        <f aca="false">BE361*INDEX(Ipotesi!$C$33:$G$33,1,F361)*H361/12</f>
        <v>106753.343295445</v>
      </c>
      <c r="BG361" s="15" t="n">
        <f aca="false">BD361*INDEX(Ipotesi!$C$33:$G$33,1,F361)*H361</f>
        <v>1301072.54652053</v>
      </c>
      <c r="BH361" s="15" t="n">
        <f aca="false">AM361*INDEX(Ipotesi!$C$37:$G$37,1,F361)</f>
        <v>11595.8333333333</v>
      </c>
      <c r="BI361" s="15" t="n">
        <f aca="false">AQ361+BF361+BH361</f>
        <v>208182.509962112</v>
      </c>
      <c r="BJ361" s="15" t="n">
        <f aca="false">INDEX(Ipotesi!$C$68:$G$68,1,F361)*Ipotesi!$C$69/12</f>
        <v>3333.33333333333</v>
      </c>
      <c r="BK361" s="15" t="n">
        <f aca="false">INDEX(Ipotesi!$C$68:$G$68,1,F361)*(1-Ipotesi!$C$69)/12</f>
        <v>5000</v>
      </c>
      <c r="BL361" s="15" t="n">
        <f aca="false">(AQ361+BF361)*Ipotesi!$C$67</f>
        <v>5897.60029886335</v>
      </c>
      <c r="BM361" s="15" t="n">
        <f aca="false">AM361*Ipotesi!$C$67</f>
        <v>3478.75</v>
      </c>
      <c r="BN361" s="15" t="n">
        <f aca="false">INDEX(Ipotesi!$C$72:$G$72,1,F361)/12*Ipotesi!H126+BF361*Ipotesi!$C$73</f>
        <v>9790.26746363559</v>
      </c>
      <c r="BO361" s="15" t="n">
        <f aca="false">INDEX(Ipotesi!$C$74:$G$74,1,F361)/12*Ipotesi!H126</f>
        <v>5416.66666666667</v>
      </c>
      <c r="BP361" s="15" t="n">
        <f aca="false">INDEX(Ipotesi!$C$76:$G$76,1,F361)/12</f>
        <v>1916.66666666667</v>
      </c>
      <c r="BQ361" s="15" t="n">
        <f aca="false">INDEX(Ipotesi!$C$77:$G$77,1,F361)/12*Ipotesi!H126</f>
        <v>2500</v>
      </c>
      <c r="BR361" s="15" t="n">
        <f aca="false">INDEX(Ipotesi!$C$78:$G$78,1,F361)/12</f>
        <v>2333.33333333333</v>
      </c>
      <c r="BS361" s="15" t="n">
        <f aca="false">SUM(M361:R361)*(Ipotesi!$C$85+Ipotesi!$C$86)/12</f>
        <v>7437.5</v>
      </c>
      <c r="BT361" s="15" t="n">
        <f aca="false">BI361*Ipotesi!$C$87</f>
        <v>6245.47529886335</v>
      </c>
      <c r="BU361" s="15" t="n">
        <f aca="false">INDEX(Ipotesi!$C$55:$G$55,1,F361)*K361/12</f>
        <v>2000</v>
      </c>
      <c r="BV361" s="15" t="n">
        <f aca="false">INDEX(Ipotesi!$C$80:$G$80,1,F361)/12*Ipotesi!H126</f>
        <v>2083.33333333333</v>
      </c>
      <c r="BW361" s="15" t="n">
        <f aca="false">INDEX(Ipotesi!$C$82:$G$82,1,F361)/12</f>
        <v>1500</v>
      </c>
      <c r="BX361" s="15" t="n">
        <f aca="false">INDEX(Ipotesi!$C$83:$G$83,1,F361)/12</f>
        <v>833.333333333333</v>
      </c>
      <c r="BY361" s="15" t="n">
        <f aca="false">SUM(S361:U361)*(Ipotesi!$C$85+Ipotesi!$C$86)/12</f>
        <v>3208.33333333333</v>
      </c>
      <c r="BZ361" s="15" t="n">
        <f aca="false">AM361*Ipotesi!$C$87</f>
        <v>3478.75</v>
      </c>
      <c r="CA361" s="15" t="n">
        <f aca="false">AB361+BJ361+BL361+BN361+BO361+AR361+BP361+BQ361+BR361+BS361+BT361</f>
        <v>200181.504715529</v>
      </c>
      <c r="CB361" s="15" t="n">
        <f aca="false">AC361+BK361+BM361+BH361+BU361+BV361+AS361+BW361+BX361+BY361+BZ361</f>
        <v>79625.4722608333</v>
      </c>
      <c r="CC361" s="15" t="n">
        <f aca="false">BI361-CA361</f>
        <v>8001.00524658262</v>
      </c>
      <c r="CD361" s="15" t="n">
        <f aca="false">AM361-CB361</f>
        <v>36332.8610725</v>
      </c>
      <c r="CE361" s="15" t="n">
        <f aca="false">INDEX(Ipotesi!$C$79:$G$79,1,F361)/12</f>
        <v>4166.66666666667</v>
      </c>
      <c r="CF361" s="15" t="n">
        <f aca="false">INDEX(Ipotesi!$C$84:$G$84,1,F361)/12</f>
        <v>666.666666666667</v>
      </c>
      <c r="CG361" s="15" t="n">
        <f aca="false">Y361*MAX(0,Parametri_v3!$C$12-IF(P361=0,0,MIN(1,BE361/(P361*Parametri_v3!$C$22))))+W361*Parametri_v3!$C$13+X361*Parametri_v3!$C$14</f>
        <v>34392.7648129588</v>
      </c>
      <c r="CH361" s="15" t="n">
        <f aca="false">AB361*Parametri_v3!$C$32</f>
        <v>5973.86641604167</v>
      </c>
      <c r="CI361" s="15" t="n">
        <f aca="false">AC361*Parametri_v3!$C$32</f>
        <v>2218.19027970833</v>
      </c>
      <c r="CJ361" s="15" t="n">
        <f aca="false">CA361-AB361</f>
        <v>80704.1763946956</v>
      </c>
      <c r="CK361" s="15" t="n">
        <f aca="false">CB361-AC361-BH361</f>
        <v>23665.8333333333</v>
      </c>
      <c r="CL361" s="15" t="n">
        <f aca="false">BF361*Ipotesi!$C$73+INDEX(Ipotesi!$C$72:$G$72,1,F361)/12*Ipotesi!H126*Parametri_v3!$C$58+Z361*(1-Parametri_v3!$C$16)</f>
        <v>17387.4519311356</v>
      </c>
      <c r="CM361" s="16" t="n">
        <f aca="false">IF(BF361=0,0,1-CL361/BF361)</f>
        <v>0.837124989303473</v>
      </c>
    </row>
    <row r="362" customFormat="false" ht="18" hidden="false" customHeight="true" outlineLevel="0" collapsed="false">
      <c r="A362" s="68" t="n">
        <f aca="false">6</f>
        <v>6</v>
      </c>
      <c r="B362" s="68" t="n">
        <f aca="false">58</f>
        <v>58</v>
      </c>
      <c r="C362" s="18" t="n">
        <f aca="false">EDATE(Parametri_v3!$C$5,58-1)</f>
        <v>48122</v>
      </c>
      <c r="D362" s="68" t="n">
        <f aca="false">YEAR(C362)</f>
        <v>2031</v>
      </c>
      <c r="E362" s="68" t="n">
        <f aca="false">MONTH(C362)</f>
        <v>10</v>
      </c>
      <c r="F362" s="68" t="n">
        <f aca="false">INT((58-1)/12)+1</f>
        <v>5</v>
      </c>
      <c r="G362" s="15" t="n">
        <f aca="false">Ipotesi!H7</f>
        <v>1</v>
      </c>
      <c r="H362" s="15" t="n">
        <f aca="false">Ipotesi!H9</f>
        <v>1</v>
      </c>
      <c r="I362" s="15" t="n">
        <f aca="false">Ipotesi!H10</f>
        <v>1</v>
      </c>
      <c r="J362" s="15" t="n">
        <f aca="false">Ipotesi!H11</f>
        <v>1</v>
      </c>
      <c r="K362" s="15" t="n">
        <f aca="false">Ipotesi!H12</f>
        <v>1</v>
      </c>
      <c r="L362" s="15" t="n">
        <f aca="false">Ipotesi!H13</f>
        <v>90</v>
      </c>
      <c r="M362" s="17" t="n">
        <f aca="false">INDEX(Ipotesi!$C$40:$G$40,1,F362)</f>
        <v>1</v>
      </c>
      <c r="N362" s="17" t="n">
        <f aca="false">INDEX(Ipotesi!$C$41:$G$41,1,F362)</f>
        <v>1</v>
      </c>
      <c r="O362" s="17" t="n">
        <f aca="false">INDEX(Ipotesi!$C$42:$G$42,1,F362)*Ipotesi!H125</f>
        <v>8.5</v>
      </c>
      <c r="P362" s="17" t="n">
        <f aca="false">INDEX(Ipotesi!$C$43:$G$43,1,F362)*I362</f>
        <v>7</v>
      </c>
      <c r="Q362" s="17" t="n">
        <f aca="false">INDEX(Ipotesi!$C$44:$G$44,1,F362)*I362</f>
        <v>6</v>
      </c>
      <c r="R362" s="17" t="n">
        <f aca="false">INDEX(Ipotesi!$C$45:$G$45,1,F362)*I362</f>
        <v>2</v>
      </c>
      <c r="S362" s="17" t="n">
        <f aca="false">INDEX(Ipotesi!$C$52:$G$52,1,F362)*Ipotesi!H125</f>
        <v>9</v>
      </c>
      <c r="T362" s="17" t="n">
        <f aca="false">INDEX(Ipotesi!$C$53:$G$53,1,F362)*I362</f>
        <v>1</v>
      </c>
      <c r="U362" s="17" t="n">
        <f aca="false">INDEX(Ipotesi!$C$54:$G$54,1,F362)*I362</f>
        <v>1</v>
      </c>
      <c r="V362" s="15" t="n">
        <f aca="false">M362*INDEX(Ipotesi!$C$58:$G$58,1,F362)*K362/12</f>
        <v>8333.33333333333</v>
      </c>
      <c r="W362" s="15" t="n">
        <f aca="false">N362*Ipotesi!$C$59*(1+Ipotesi!$C$66)^(F362-1)/12</f>
        <v>6565.46805833334</v>
      </c>
      <c r="X362" s="15" t="n">
        <f aca="false">O362*Ipotesi!$C$60*(1+Ipotesi!$C$66)^(F362-1)/12</f>
        <v>39861.7703541667</v>
      </c>
      <c r="Y362" s="15" t="n">
        <f aca="false">P362*Ipotesi!$C$61*(1+Ipotesi!$C$66)^(F362-1)/12</f>
        <v>32827.3402916667</v>
      </c>
      <c r="Z362" s="15" t="n">
        <f aca="false">Q362*Ipotesi!$C$62*(1+Ipotesi!$C$66)^(F362-1)/12</f>
        <v>25323.948225</v>
      </c>
      <c r="AA362" s="15" t="n">
        <f aca="false">R362*Ipotesi!$C$63*(1+Ipotesi!$C$66)^(F362-1)/12</f>
        <v>6565.46805833334</v>
      </c>
      <c r="AB362" s="15" t="n">
        <f aca="false">SUM(V362:AA362)</f>
        <v>119477.328320833</v>
      </c>
      <c r="AC362" s="15" t="n">
        <f aca="false">(S362*Ipotesi!$C$64+T362*Ipotesi!$C$65+U362*Ipotesi!$C$63)*(1+Ipotesi!$C$66)^(F362-1)/12</f>
        <v>44363.8055941667</v>
      </c>
      <c r="AD362" s="15" t="n">
        <f aca="false">INDEX(Ipotesi!$C$48:$G$48,1,F362)*G362/12</f>
        <v>95.8333333333333</v>
      </c>
      <c r="AE362" s="15" t="n">
        <f aca="false">INDEX(Ipotesi!$C$50:$G$50,1,F362)*G362/12</f>
        <v>9.58333333333333</v>
      </c>
      <c r="AF362" s="15" t="n">
        <f aca="false">(S362*Parametri_v3!$C$7*Parametri_v3!$C$8+Parametri_v3!$C$10)/12</f>
        <v>115.5</v>
      </c>
      <c r="AG362" s="15" t="n">
        <f aca="false">AD362+AE362*(1+Parametri_v3!$C$9)</f>
        <v>110.208333333333</v>
      </c>
      <c r="AH362" s="16" t="n">
        <f aca="false">IF(AG362=0,1,MIN(1,AF362/AG362))</f>
        <v>1</v>
      </c>
      <c r="AI362" s="15" t="n">
        <f aca="false">AD362*AH362</f>
        <v>95.8333333333333</v>
      </c>
      <c r="AJ362" s="15" t="n">
        <f aca="false">AE362*AH362</f>
        <v>9.58333333333333</v>
      </c>
      <c r="AK362" s="15" t="n">
        <f aca="false">AI362*INDEX(Ipotesi!$C$49:$G$49,1,F362)*H362</f>
        <v>91041.6666666667</v>
      </c>
      <c r="AL362" s="15" t="n">
        <f aca="false">AJ362*INDEX(Ipotesi!$C$51:$G$51,1,F362)*H362</f>
        <v>24916.6666666667</v>
      </c>
      <c r="AM362" s="15" t="n">
        <f aca="false">AK362+AL362</f>
        <v>115958.333333333</v>
      </c>
      <c r="AN362" s="15" t="n">
        <f aca="false">INDEX(Ipotesi!$C$30:$G$30,1,F362)*G362/12</f>
        <v>81.6666666666667</v>
      </c>
      <c r="AO362" s="15" t="n">
        <f aca="false">O362*Parametri_v3!$C$7*Parametri_v3!$C$11*(1-Parametri_v3!$C$14)/12</f>
        <v>87.2666666666667</v>
      </c>
      <c r="AP362" s="15" t="n">
        <f aca="false">MIN(AN362,AO362)</f>
        <v>81.6666666666667</v>
      </c>
      <c r="AQ362" s="15" t="n">
        <f aca="false">AP362*INDEX(Ipotesi!$C$31:$G$31,1,F362)*H362</f>
        <v>89833.3333333333</v>
      </c>
      <c r="AR362" s="15" t="n">
        <f aca="false">INDEX(Ipotesi!$C$75:$G$75,1,F362)*J362/12</f>
        <v>35833.3333333333</v>
      </c>
      <c r="AS362" s="15" t="n">
        <f aca="false">INDEX(Ipotesi!$C$81:$G$81,1,F362)*J362/12</f>
        <v>2083.33333333333</v>
      </c>
      <c r="AT362" s="15" t="n">
        <f aca="false">AR362*Parametri_v3!$C$15+Z362*Parametri_v3!$C$16</f>
        <v>53560.0970908333</v>
      </c>
      <c r="AU362" s="15" t="n">
        <f aca="false">Q362*Parametri_v3!$C$16*Parametri_v3!$C$17</f>
        <v>420</v>
      </c>
      <c r="AV362" s="17" t="n">
        <f aca="false">BD361</f>
        <v>209.850410729118</v>
      </c>
      <c r="AW362" s="17" t="n">
        <f aca="false">AV362*(1-(1-INDEX(Ipotesi!$C$34:$G$34,1,F362))^(1/12))</f>
        <v>1.83443064927727</v>
      </c>
      <c r="AX362" s="15" t="n">
        <f aca="false">ROUND(INDEX(Ipotesi!$C$32:$G$32,1,F362)*Ipotesi!H8,0)</f>
        <v>560</v>
      </c>
      <c r="AY362" s="15" t="n">
        <f aca="false">MAX(0,(AX362-(AV362-AW362))/(13-E362))</f>
        <v>117.328006640053</v>
      </c>
      <c r="AZ362" s="15" t="n">
        <f aca="false">MIN(P362*Parametri_v3!$C$22,Q362*(1-Parametri_v3!$C$16)*Parametri_v3!$C$23)</f>
        <v>270</v>
      </c>
      <c r="BA362" s="15" t="n">
        <f aca="false">IF(OR(INDEX(Ipotesi!$C$35:$G$35,1,F362)&lt;=0,58-Parametri_v3!$C$21&lt;1),0,INDEX($AT$305:$AT$364,MAX(1,58-Parametri_v3!$C$21))/(INDEX(Ipotesi!$C$35:$G$35,1,F362)*Ipotesi!H27))</f>
        <v>8.24001493705128</v>
      </c>
      <c r="BB362" s="15" t="n">
        <f aca="false">IF(58-Parametri_v3!$C$21&lt;1,0,INDEX($AU$305:$AU$364,MAX(1,58-Parametri_v3!$C$21)))*Parametri_v3!$C$18*Parametri_v3!$C$19*Parametri_v3!$C$20</f>
        <v>15.75</v>
      </c>
      <c r="BC362" s="17" t="n">
        <f aca="false">MAX(0,MIN(AY362,BA362,BB362,MAX(0,AZ362-(AV362-AW362))))</f>
        <v>8.24001493705128</v>
      </c>
      <c r="BD362" s="17" t="n">
        <f aca="false">AV362-AW362+BC362</f>
        <v>216.255995016892</v>
      </c>
      <c r="BE362" s="17" t="n">
        <f aca="false">(AV362+BD362)/2</f>
        <v>213.053202873005</v>
      </c>
      <c r="BF362" s="15" t="n">
        <f aca="false">BE362*INDEX(Ipotesi!$C$33:$G$33,1,F362)*H362/12</f>
        <v>110077.488151053</v>
      </c>
      <c r="BG362" s="15" t="n">
        <f aca="false">BD362*INDEX(Ipotesi!$C$33:$G$33,1,F362)*H362</f>
        <v>1340787.16910473</v>
      </c>
      <c r="BH362" s="15" t="n">
        <f aca="false">AM362*INDEX(Ipotesi!$C$37:$G$37,1,F362)</f>
        <v>11595.8333333333</v>
      </c>
      <c r="BI362" s="15" t="n">
        <f aca="false">AQ362+BF362+BH362</f>
        <v>211506.654817719</v>
      </c>
      <c r="BJ362" s="15" t="n">
        <f aca="false">INDEX(Ipotesi!$C$68:$G$68,1,F362)*Ipotesi!$C$69/12</f>
        <v>3333.33333333333</v>
      </c>
      <c r="BK362" s="15" t="n">
        <f aca="false">INDEX(Ipotesi!$C$68:$G$68,1,F362)*(1-Ipotesi!$C$69)/12</f>
        <v>5000</v>
      </c>
      <c r="BL362" s="15" t="n">
        <f aca="false">(AQ362+BF362)*Ipotesi!$C$67</f>
        <v>5997.32464453158</v>
      </c>
      <c r="BM362" s="15" t="n">
        <f aca="false">AM362*Ipotesi!$C$67</f>
        <v>3478.75</v>
      </c>
      <c r="BN362" s="15" t="n">
        <f aca="false">INDEX(Ipotesi!$C$72:$G$72,1,F362)/12*Ipotesi!H126+BF362*Ipotesi!$C$73</f>
        <v>10056.1990520842</v>
      </c>
      <c r="BO362" s="15" t="n">
        <f aca="false">INDEX(Ipotesi!$C$74:$G$74,1,F362)/12*Ipotesi!H126</f>
        <v>5416.66666666667</v>
      </c>
      <c r="BP362" s="15" t="n">
        <f aca="false">INDEX(Ipotesi!$C$76:$G$76,1,F362)/12</f>
        <v>1916.66666666667</v>
      </c>
      <c r="BQ362" s="15" t="n">
        <f aca="false">INDEX(Ipotesi!$C$77:$G$77,1,F362)/12*Ipotesi!H126</f>
        <v>2500</v>
      </c>
      <c r="BR362" s="15" t="n">
        <f aca="false">INDEX(Ipotesi!$C$78:$G$78,1,F362)/12</f>
        <v>2333.33333333333</v>
      </c>
      <c r="BS362" s="15" t="n">
        <f aca="false">SUM(M362:R362)*(Ipotesi!$C$85+Ipotesi!$C$86)/12</f>
        <v>7437.5</v>
      </c>
      <c r="BT362" s="15" t="n">
        <f aca="false">BI362*Ipotesi!$C$87</f>
        <v>6345.19964453158</v>
      </c>
      <c r="BU362" s="15" t="n">
        <f aca="false">INDEX(Ipotesi!$C$55:$G$55,1,F362)*K362/12</f>
        <v>2000</v>
      </c>
      <c r="BV362" s="15" t="n">
        <f aca="false">INDEX(Ipotesi!$C$80:$G$80,1,F362)/12*Ipotesi!H126</f>
        <v>2083.33333333333</v>
      </c>
      <c r="BW362" s="15" t="n">
        <f aca="false">INDEX(Ipotesi!$C$82:$G$82,1,F362)/12</f>
        <v>1500</v>
      </c>
      <c r="BX362" s="15" t="n">
        <f aca="false">INDEX(Ipotesi!$C$83:$G$83,1,F362)/12</f>
        <v>833.333333333333</v>
      </c>
      <c r="BY362" s="15" t="n">
        <f aca="false">SUM(S362:U362)*(Ipotesi!$C$85+Ipotesi!$C$86)/12</f>
        <v>3208.33333333333</v>
      </c>
      <c r="BZ362" s="15" t="n">
        <f aca="false">AM362*Ipotesi!$C$87</f>
        <v>3478.75</v>
      </c>
      <c r="CA362" s="15" t="n">
        <f aca="false">AB362+BJ362+BL362+BN362+BO362+AR362+BP362+BQ362+BR362+BS362+BT362</f>
        <v>200646.884995314</v>
      </c>
      <c r="CB362" s="15" t="n">
        <f aca="false">AC362+BK362+BM362+BH362+BU362+BV362+AS362+BW362+BX362+BY362+BZ362</f>
        <v>79625.4722608333</v>
      </c>
      <c r="CC362" s="15" t="n">
        <f aca="false">BI362-CA362</f>
        <v>10859.7698224054</v>
      </c>
      <c r="CD362" s="15" t="n">
        <f aca="false">AM362-CB362</f>
        <v>36332.8610725</v>
      </c>
      <c r="CE362" s="15" t="n">
        <f aca="false">INDEX(Ipotesi!$C$79:$G$79,1,F362)/12</f>
        <v>4166.66666666667</v>
      </c>
      <c r="CF362" s="15" t="n">
        <f aca="false">INDEX(Ipotesi!$C$84:$G$84,1,F362)/12</f>
        <v>666.666666666667</v>
      </c>
      <c r="CG362" s="15" t="n">
        <f aca="false">Y362*MAX(0,Parametri_v3!$C$12-IF(P362=0,0,MIN(1,BE362/(P362*Parametri_v3!$C$22))))+W362*Parametri_v3!$C$13+X362*Parametri_v3!$C$14</f>
        <v>34091.0426903215</v>
      </c>
      <c r="CH362" s="15" t="n">
        <f aca="false">AB362*Parametri_v3!$C$32</f>
        <v>5973.86641604167</v>
      </c>
      <c r="CI362" s="15" t="n">
        <f aca="false">AC362*Parametri_v3!$C$32</f>
        <v>2218.19027970833</v>
      </c>
      <c r="CJ362" s="15" t="n">
        <f aca="false">CA362-AB362</f>
        <v>81169.5566744807</v>
      </c>
      <c r="CK362" s="15" t="n">
        <f aca="false">CB362-AC362-BH362</f>
        <v>23665.8333333333</v>
      </c>
      <c r="CL362" s="15" t="n">
        <f aca="false">BF362*Ipotesi!$C$73+INDEX(Ipotesi!$C$72:$G$72,1,F362)/12*Ipotesi!H126*Parametri_v3!$C$58+Z362*(1-Parametri_v3!$C$16)</f>
        <v>17653.3835195842</v>
      </c>
      <c r="CM362" s="16" t="n">
        <f aca="false">IF(BF362=0,0,1-CL362/BF362)</f>
        <v>0.839627667599396</v>
      </c>
    </row>
    <row r="363" customFormat="false" ht="18" hidden="false" customHeight="true" outlineLevel="0" collapsed="false">
      <c r="A363" s="68" t="n">
        <f aca="false">6</f>
        <v>6</v>
      </c>
      <c r="B363" s="68" t="n">
        <f aca="false">59</f>
        <v>59</v>
      </c>
      <c r="C363" s="18" t="n">
        <f aca="false">EDATE(Parametri_v3!$C$5,59-1)</f>
        <v>48153</v>
      </c>
      <c r="D363" s="68" t="n">
        <f aca="false">YEAR(C363)</f>
        <v>2031</v>
      </c>
      <c r="E363" s="68" t="n">
        <f aca="false">MONTH(C363)</f>
        <v>11</v>
      </c>
      <c r="F363" s="68" t="n">
        <f aca="false">INT((59-1)/12)+1</f>
        <v>5</v>
      </c>
      <c r="G363" s="15" t="n">
        <f aca="false">Ipotesi!H7</f>
        <v>1</v>
      </c>
      <c r="H363" s="15" t="n">
        <f aca="false">Ipotesi!H9</f>
        <v>1</v>
      </c>
      <c r="I363" s="15" t="n">
        <f aca="false">Ipotesi!H10</f>
        <v>1</v>
      </c>
      <c r="J363" s="15" t="n">
        <f aca="false">Ipotesi!H11</f>
        <v>1</v>
      </c>
      <c r="K363" s="15" t="n">
        <f aca="false">Ipotesi!H12</f>
        <v>1</v>
      </c>
      <c r="L363" s="15" t="n">
        <f aca="false">Ipotesi!H13</f>
        <v>90</v>
      </c>
      <c r="M363" s="17" t="n">
        <f aca="false">INDEX(Ipotesi!$C$40:$G$40,1,F363)</f>
        <v>1</v>
      </c>
      <c r="N363" s="17" t="n">
        <f aca="false">INDEX(Ipotesi!$C$41:$G$41,1,F363)</f>
        <v>1</v>
      </c>
      <c r="O363" s="17" t="n">
        <f aca="false">INDEX(Ipotesi!$C$42:$G$42,1,F363)*Ipotesi!H125</f>
        <v>8.5</v>
      </c>
      <c r="P363" s="17" t="n">
        <f aca="false">INDEX(Ipotesi!$C$43:$G$43,1,F363)*I363</f>
        <v>7</v>
      </c>
      <c r="Q363" s="17" t="n">
        <f aca="false">INDEX(Ipotesi!$C$44:$G$44,1,F363)*I363</f>
        <v>6</v>
      </c>
      <c r="R363" s="17" t="n">
        <f aca="false">INDEX(Ipotesi!$C$45:$G$45,1,F363)*I363</f>
        <v>2</v>
      </c>
      <c r="S363" s="17" t="n">
        <f aca="false">INDEX(Ipotesi!$C$52:$G$52,1,F363)*Ipotesi!H125</f>
        <v>9</v>
      </c>
      <c r="T363" s="17" t="n">
        <f aca="false">INDEX(Ipotesi!$C$53:$G$53,1,F363)*I363</f>
        <v>1</v>
      </c>
      <c r="U363" s="17" t="n">
        <f aca="false">INDEX(Ipotesi!$C$54:$G$54,1,F363)*I363</f>
        <v>1</v>
      </c>
      <c r="V363" s="15" t="n">
        <f aca="false">M363*INDEX(Ipotesi!$C$58:$G$58,1,F363)*K363/12</f>
        <v>8333.33333333333</v>
      </c>
      <c r="W363" s="15" t="n">
        <f aca="false">N363*Ipotesi!$C$59*(1+Ipotesi!$C$66)^(F363-1)/12</f>
        <v>6565.46805833334</v>
      </c>
      <c r="X363" s="15" t="n">
        <f aca="false">O363*Ipotesi!$C$60*(1+Ipotesi!$C$66)^(F363-1)/12</f>
        <v>39861.7703541667</v>
      </c>
      <c r="Y363" s="15" t="n">
        <f aca="false">P363*Ipotesi!$C$61*(1+Ipotesi!$C$66)^(F363-1)/12</f>
        <v>32827.3402916667</v>
      </c>
      <c r="Z363" s="15" t="n">
        <f aca="false">Q363*Ipotesi!$C$62*(1+Ipotesi!$C$66)^(F363-1)/12</f>
        <v>25323.948225</v>
      </c>
      <c r="AA363" s="15" t="n">
        <f aca="false">R363*Ipotesi!$C$63*(1+Ipotesi!$C$66)^(F363-1)/12</f>
        <v>6565.46805833334</v>
      </c>
      <c r="AB363" s="15" t="n">
        <f aca="false">SUM(V363:AA363)</f>
        <v>119477.328320833</v>
      </c>
      <c r="AC363" s="15" t="n">
        <f aca="false">(S363*Ipotesi!$C$64+T363*Ipotesi!$C$65+U363*Ipotesi!$C$63)*(1+Ipotesi!$C$66)^(F363-1)/12</f>
        <v>44363.8055941667</v>
      </c>
      <c r="AD363" s="15" t="n">
        <f aca="false">INDEX(Ipotesi!$C$48:$G$48,1,F363)*G363/12</f>
        <v>95.8333333333333</v>
      </c>
      <c r="AE363" s="15" t="n">
        <f aca="false">INDEX(Ipotesi!$C$50:$G$50,1,F363)*G363/12</f>
        <v>9.58333333333333</v>
      </c>
      <c r="AF363" s="15" t="n">
        <f aca="false">(S363*Parametri_v3!$C$7*Parametri_v3!$C$8+Parametri_v3!$C$10)/12</f>
        <v>115.5</v>
      </c>
      <c r="AG363" s="15" t="n">
        <f aca="false">AD363+AE363*(1+Parametri_v3!$C$9)</f>
        <v>110.208333333333</v>
      </c>
      <c r="AH363" s="16" t="n">
        <f aca="false">IF(AG363=0,1,MIN(1,AF363/AG363))</f>
        <v>1</v>
      </c>
      <c r="AI363" s="15" t="n">
        <f aca="false">AD363*AH363</f>
        <v>95.8333333333333</v>
      </c>
      <c r="AJ363" s="15" t="n">
        <f aca="false">AE363*AH363</f>
        <v>9.58333333333333</v>
      </c>
      <c r="AK363" s="15" t="n">
        <f aca="false">AI363*INDEX(Ipotesi!$C$49:$G$49,1,F363)*H363</f>
        <v>91041.6666666667</v>
      </c>
      <c r="AL363" s="15" t="n">
        <f aca="false">AJ363*INDEX(Ipotesi!$C$51:$G$51,1,F363)*H363</f>
        <v>24916.6666666667</v>
      </c>
      <c r="AM363" s="15" t="n">
        <f aca="false">AK363+AL363</f>
        <v>115958.333333333</v>
      </c>
      <c r="AN363" s="15" t="n">
        <f aca="false">INDEX(Ipotesi!$C$30:$G$30,1,F363)*G363/12</f>
        <v>81.6666666666667</v>
      </c>
      <c r="AO363" s="15" t="n">
        <f aca="false">O363*Parametri_v3!$C$7*Parametri_v3!$C$11*(1-Parametri_v3!$C$14)/12</f>
        <v>87.2666666666667</v>
      </c>
      <c r="AP363" s="15" t="n">
        <f aca="false">MIN(AN363,AO363)</f>
        <v>81.6666666666667</v>
      </c>
      <c r="AQ363" s="15" t="n">
        <f aca="false">AP363*INDEX(Ipotesi!$C$31:$G$31,1,F363)*H363</f>
        <v>89833.3333333333</v>
      </c>
      <c r="AR363" s="15" t="n">
        <f aca="false">INDEX(Ipotesi!$C$75:$G$75,1,F363)*J363/12</f>
        <v>35833.3333333333</v>
      </c>
      <c r="AS363" s="15" t="n">
        <f aca="false">INDEX(Ipotesi!$C$81:$G$81,1,F363)*J363/12</f>
        <v>2083.33333333333</v>
      </c>
      <c r="AT363" s="15" t="n">
        <f aca="false">AR363*Parametri_v3!$C$15+Z363*Parametri_v3!$C$16</f>
        <v>53560.0970908333</v>
      </c>
      <c r="AU363" s="15" t="n">
        <f aca="false">Q363*Parametri_v3!$C$16*Parametri_v3!$C$17</f>
        <v>420</v>
      </c>
      <c r="AV363" s="17" t="n">
        <f aca="false">BD362</f>
        <v>216.255995016892</v>
      </c>
      <c r="AW363" s="17" t="n">
        <f aca="false">AV363*(1-(1-INDEX(Ipotesi!$C$34:$G$34,1,F363))^(1/12))</f>
        <v>1.89042577505851</v>
      </c>
      <c r="AX363" s="15" t="n">
        <f aca="false">ROUND(INDEX(Ipotesi!$C$32:$G$32,1,F363)*Ipotesi!H8,0)</f>
        <v>560</v>
      </c>
      <c r="AY363" s="15" t="n">
        <f aca="false">MAX(0,(AX363-(AV363-AW363))/(13-E363))</f>
        <v>172.817215379083</v>
      </c>
      <c r="AZ363" s="15" t="n">
        <f aca="false">MIN(P363*Parametri_v3!$C$22,Q363*(1-Parametri_v3!$C$16)*Parametri_v3!$C$23)</f>
        <v>270</v>
      </c>
      <c r="BA363" s="15" t="n">
        <f aca="false">IF(OR(INDEX(Ipotesi!$C$35:$G$35,1,F363)&lt;=0,59-Parametri_v3!$C$21&lt;1),0,INDEX($AT$305:$AT$364,MAX(1,59-Parametri_v3!$C$21))/(INDEX(Ipotesi!$C$35:$G$35,1,F363)*Ipotesi!H27))</f>
        <v>8.24001493705128</v>
      </c>
      <c r="BB363" s="15" t="n">
        <f aca="false">IF(59-Parametri_v3!$C$21&lt;1,0,INDEX($AU$305:$AU$364,MAX(1,59-Parametri_v3!$C$21)))*Parametri_v3!$C$18*Parametri_v3!$C$19*Parametri_v3!$C$20</f>
        <v>15.75</v>
      </c>
      <c r="BC363" s="17" t="n">
        <f aca="false">MAX(0,MIN(AY363,BA363,BB363,MAX(0,AZ363-(AV363-AW363))))</f>
        <v>8.24001493705128</v>
      </c>
      <c r="BD363" s="17" t="n">
        <f aca="false">AV363-AW363+BC363</f>
        <v>222.605584178885</v>
      </c>
      <c r="BE363" s="17" t="n">
        <f aca="false">(AV363+BD363)/2</f>
        <v>219.430789597889</v>
      </c>
      <c r="BF363" s="15" t="n">
        <f aca="false">BE363*INDEX(Ipotesi!$C$33:$G$33,1,F363)*H363/12</f>
        <v>113372.574625576</v>
      </c>
      <c r="BG363" s="15" t="n">
        <f aca="false">BD363*INDEX(Ipotesi!$C$33:$G$33,1,F363)*H363</f>
        <v>1380154.62190909</v>
      </c>
      <c r="BH363" s="15" t="n">
        <f aca="false">AM363*INDEX(Ipotesi!$C$37:$G$37,1,F363)</f>
        <v>11595.8333333333</v>
      </c>
      <c r="BI363" s="15" t="n">
        <f aca="false">AQ363+BF363+BH363</f>
        <v>214801.741292243</v>
      </c>
      <c r="BJ363" s="15" t="n">
        <f aca="false">INDEX(Ipotesi!$C$68:$G$68,1,F363)*Ipotesi!$C$69/12</f>
        <v>3333.33333333333</v>
      </c>
      <c r="BK363" s="15" t="n">
        <f aca="false">INDEX(Ipotesi!$C$68:$G$68,1,F363)*(1-Ipotesi!$C$69)/12</f>
        <v>5000</v>
      </c>
      <c r="BL363" s="15" t="n">
        <f aca="false">(AQ363+BF363)*Ipotesi!$C$67</f>
        <v>6096.17723876728</v>
      </c>
      <c r="BM363" s="15" t="n">
        <f aca="false">AM363*Ipotesi!$C$67</f>
        <v>3478.75</v>
      </c>
      <c r="BN363" s="15" t="n">
        <f aca="false">INDEX(Ipotesi!$C$72:$G$72,1,F363)/12*Ipotesi!H126+BF363*Ipotesi!$C$73</f>
        <v>10319.8059700461</v>
      </c>
      <c r="BO363" s="15" t="n">
        <f aca="false">INDEX(Ipotesi!$C$74:$G$74,1,F363)/12*Ipotesi!H126</f>
        <v>5416.66666666667</v>
      </c>
      <c r="BP363" s="15" t="n">
        <f aca="false">INDEX(Ipotesi!$C$76:$G$76,1,F363)/12</f>
        <v>1916.66666666667</v>
      </c>
      <c r="BQ363" s="15" t="n">
        <f aca="false">INDEX(Ipotesi!$C$77:$G$77,1,F363)/12*Ipotesi!H126</f>
        <v>2500</v>
      </c>
      <c r="BR363" s="15" t="n">
        <f aca="false">INDEX(Ipotesi!$C$78:$G$78,1,F363)/12</f>
        <v>2333.33333333333</v>
      </c>
      <c r="BS363" s="15" t="n">
        <f aca="false">SUM(M363:R363)*(Ipotesi!$C$85+Ipotesi!$C$86)/12</f>
        <v>7437.5</v>
      </c>
      <c r="BT363" s="15" t="n">
        <f aca="false">BI363*Ipotesi!$C$87</f>
        <v>6444.05223876728</v>
      </c>
      <c r="BU363" s="15" t="n">
        <f aca="false">INDEX(Ipotesi!$C$55:$G$55,1,F363)*K363/12</f>
        <v>2000</v>
      </c>
      <c r="BV363" s="15" t="n">
        <f aca="false">INDEX(Ipotesi!$C$80:$G$80,1,F363)/12*Ipotesi!H126</f>
        <v>2083.33333333333</v>
      </c>
      <c r="BW363" s="15" t="n">
        <f aca="false">INDEX(Ipotesi!$C$82:$G$82,1,F363)/12</f>
        <v>1500</v>
      </c>
      <c r="BX363" s="15" t="n">
        <f aca="false">INDEX(Ipotesi!$C$83:$G$83,1,F363)/12</f>
        <v>833.333333333333</v>
      </c>
      <c r="BY363" s="15" t="n">
        <f aca="false">SUM(S363:U363)*(Ipotesi!$C$85+Ipotesi!$C$86)/12</f>
        <v>3208.33333333333</v>
      </c>
      <c r="BZ363" s="15" t="n">
        <f aca="false">AM363*Ipotesi!$C$87</f>
        <v>3478.75</v>
      </c>
      <c r="CA363" s="15" t="n">
        <f aca="false">AB363+BJ363+BL363+BN363+BO363+AR363+BP363+BQ363+BR363+BS363+BT363</f>
        <v>201108.197101747</v>
      </c>
      <c r="CB363" s="15" t="n">
        <f aca="false">AC363+BK363+BM363+BH363+BU363+BV363+AS363+BW363+BX363+BY363+BZ363</f>
        <v>79625.4722608333</v>
      </c>
      <c r="CC363" s="15" t="n">
        <f aca="false">BI363-CA363</f>
        <v>13693.5441904952</v>
      </c>
      <c r="CD363" s="15" t="n">
        <f aca="false">AM363-CB363</f>
        <v>36332.8610725</v>
      </c>
      <c r="CE363" s="15" t="n">
        <f aca="false">INDEX(Ipotesi!$C$79:$G$79,1,F363)/12</f>
        <v>4166.66666666667</v>
      </c>
      <c r="CF363" s="15" t="n">
        <f aca="false">INDEX(Ipotesi!$C$84:$G$84,1,F363)/12</f>
        <v>666.666666666667</v>
      </c>
      <c r="CG363" s="15" t="n">
        <f aca="false">Y363*MAX(0,Parametri_v3!$C$12-IF(P363=0,0,MIN(1,BE363/(P363*Parametri_v3!$C$22))))+W363*Parametri_v3!$C$13+X363*Parametri_v3!$C$14</f>
        <v>33791.9581050967</v>
      </c>
      <c r="CH363" s="15" t="n">
        <f aca="false">AB363*Parametri_v3!$C$32</f>
        <v>5973.86641604167</v>
      </c>
      <c r="CI363" s="15" t="n">
        <f aca="false">AC363*Parametri_v3!$C$32</f>
        <v>2218.19027970833</v>
      </c>
      <c r="CJ363" s="15" t="n">
        <f aca="false">CA363-AB363</f>
        <v>81630.8687809139</v>
      </c>
      <c r="CK363" s="15" t="n">
        <f aca="false">CB363-AC363-BH363</f>
        <v>23665.8333333333</v>
      </c>
      <c r="CL363" s="15" t="n">
        <f aca="false">BF363*Ipotesi!$C$73+INDEX(Ipotesi!$C$72:$G$72,1,F363)/12*Ipotesi!H126*Parametri_v3!$C$58+Z363*(1-Parametri_v3!$C$16)</f>
        <v>17916.9904375461</v>
      </c>
      <c r="CM363" s="16" t="n">
        <f aca="false">IF(BF363=0,0,1-CL363/BF363)</f>
        <v>0.84196362747588</v>
      </c>
    </row>
    <row r="364" customFormat="false" ht="18" hidden="false" customHeight="true" outlineLevel="0" collapsed="false">
      <c r="A364" s="68" t="n">
        <f aca="false">6</f>
        <v>6</v>
      </c>
      <c r="B364" s="68" t="n">
        <f aca="false">60</f>
        <v>60</v>
      </c>
      <c r="C364" s="18" t="n">
        <f aca="false">EDATE(Parametri_v3!$C$5,60-1)</f>
        <v>48183</v>
      </c>
      <c r="D364" s="68" t="n">
        <f aca="false">YEAR(C364)</f>
        <v>2031</v>
      </c>
      <c r="E364" s="68" t="n">
        <f aca="false">MONTH(C364)</f>
        <v>12</v>
      </c>
      <c r="F364" s="68" t="n">
        <f aca="false">INT((60-1)/12)+1</f>
        <v>5</v>
      </c>
      <c r="G364" s="15" t="n">
        <f aca="false">Ipotesi!H7</f>
        <v>1</v>
      </c>
      <c r="H364" s="15" t="n">
        <f aca="false">Ipotesi!H9</f>
        <v>1</v>
      </c>
      <c r="I364" s="15" t="n">
        <f aca="false">Ipotesi!H10</f>
        <v>1</v>
      </c>
      <c r="J364" s="15" t="n">
        <f aca="false">Ipotesi!H11</f>
        <v>1</v>
      </c>
      <c r="K364" s="15" t="n">
        <f aca="false">Ipotesi!H12</f>
        <v>1</v>
      </c>
      <c r="L364" s="15" t="n">
        <f aca="false">Ipotesi!H13</f>
        <v>90</v>
      </c>
      <c r="M364" s="17" t="n">
        <f aca="false">INDEX(Ipotesi!$C$40:$G$40,1,F364)</f>
        <v>1</v>
      </c>
      <c r="N364" s="17" t="n">
        <f aca="false">INDEX(Ipotesi!$C$41:$G$41,1,F364)</f>
        <v>1</v>
      </c>
      <c r="O364" s="17" t="n">
        <f aca="false">INDEX(Ipotesi!$C$42:$G$42,1,F364)*Ipotesi!H125</f>
        <v>8.5</v>
      </c>
      <c r="P364" s="17" t="n">
        <f aca="false">INDEX(Ipotesi!$C$43:$G$43,1,F364)*I364</f>
        <v>7</v>
      </c>
      <c r="Q364" s="17" t="n">
        <f aca="false">INDEX(Ipotesi!$C$44:$G$44,1,F364)*I364</f>
        <v>6</v>
      </c>
      <c r="R364" s="17" t="n">
        <f aca="false">INDEX(Ipotesi!$C$45:$G$45,1,F364)*I364</f>
        <v>2</v>
      </c>
      <c r="S364" s="17" t="n">
        <f aca="false">INDEX(Ipotesi!$C$52:$G$52,1,F364)*Ipotesi!H125</f>
        <v>9</v>
      </c>
      <c r="T364" s="17" t="n">
        <f aca="false">INDEX(Ipotesi!$C$53:$G$53,1,F364)*I364</f>
        <v>1</v>
      </c>
      <c r="U364" s="17" t="n">
        <f aca="false">INDEX(Ipotesi!$C$54:$G$54,1,F364)*I364</f>
        <v>1</v>
      </c>
      <c r="V364" s="15" t="n">
        <f aca="false">M364*INDEX(Ipotesi!$C$58:$G$58,1,F364)*K364/12</f>
        <v>8333.33333333333</v>
      </c>
      <c r="W364" s="15" t="n">
        <f aca="false">N364*Ipotesi!$C$59*(1+Ipotesi!$C$66)^(F364-1)/12</f>
        <v>6565.46805833334</v>
      </c>
      <c r="X364" s="15" t="n">
        <f aca="false">O364*Ipotesi!$C$60*(1+Ipotesi!$C$66)^(F364-1)/12</f>
        <v>39861.7703541667</v>
      </c>
      <c r="Y364" s="15" t="n">
        <f aca="false">P364*Ipotesi!$C$61*(1+Ipotesi!$C$66)^(F364-1)/12</f>
        <v>32827.3402916667</v>
      </c>
      <c r="Z364" s="15" t="n">
        <f aca="false">Q364*Ipotesi!$C$62*(1+Ipotesi!$C$66)^(F364-1)/12</f>
        <v>25323.948225</v>
      </c>
      <c r="AA364" s="15" t="n">
        <f aca="false">R364*Ipotesi!$C$63*(1+Ipotesi!$C$66)^(F364-1)/12</f>
        <v>6565.46805833334</v>
      </c>
      <c r="AB364" s="15" t="n">
        <f aca="false">SUM(V364:AA364)</f>
        <v>119477.328320833</v>
      </c>
      <c r="AC364" s="15" t="n">
        <f aca="false">(S364*Ipotesi!$C$64+T364*Ipotesi!$C$65+U364*Ipotesi!$C$63)*(1+Ipotesi!$C$66)^(F364-1)/12</f>
        <v>44363.8055941667</v>
      </c>
      <c r="AD364" s="15" t="n">
        <f aca="false">INDEX(Ipotesi!$C$48:$G$48,1,F364)*G364/12</f>
        <v>95.8333333333333</v>
      </c>
      <c r="AE364" s="15" t="n">
        <f aca="false">INDEX(Ipotesi!$C$50:$G$50,1,F364)*G364/12</f>
        <v>9.58333333333333</v>
      </c>
      <c r="AF364" s="15" t="n">
        <f aca="false">(S364*Parametri_v3!$C$7*Parametri_v3!$C$8+Parametri_v3!$C$10)/12</f>
        <v>115.5</v>
      </c>
      <c r="AG364" s="15" t="n">
        <f aca="false">AD364+AE364*(1+Parametri_v3!$C$9)</f>
        <v>110.208333333333</v>
      </c>
      <c r="AH364" s="16" t="n">
        <f aca="false">IF(AG364=0,1,MIN(1,AF364/AG364))</f>
        <v>1</v>
      </c>
      <c r="AI364" s="15" t="n">
        <f aca="false">AD364*AH364</f>
        <v>95.8333333333333</v>
      </c>
      <c r="AJ364" s="15" t="n">
        <f aca="false">AE364*AH364</f>
        <v>9.58333333333333</v>
      </c>
      <c r="AK364" s="15" t="n">
        <f aca="false">AI364*INDEX(Ipotesi!$C$49:$G$49,1,F364)*H364</f>
        <v>91041.6666666667</v>
      </c>
      <c r="AL364" s="15" t="n">
        <f aca="false">AJ364*INDEX(Ipotesi!$C$51:$G$51,1,F364)*H364</f>
        <v>24916.6666666667</v>
      </c>
      <c r="AM364" s="15" t="n">
        <f aca="false">AK364+AL364</f>
        <v>115958.333333333</v>
      </c>
      <c r="AN364" s="15" t="n">
        <f aca="false">INDEX(Ipotesi!$C$30:$G$30,1,F364)*G364/12</f>
        <v>81.6666666666667</v>
      </c>
      <c r="AO364" s="15" t="n">
        <f aca="false">O364*Parametri_v3!$C$7*Parametri_v3!$C$11*(1-Parametri_v3!$C$14)/12</f>
        <v>87.2666666666667</v>
      </c>
      <c r="AP364" s="15" t="n">
        <f aca="false">MIN(AN364,AO364)</f>
        <v>81.6666666666667</v>
      </c>
      <c r="AQ364" s="15" t="n">
        <f aca="false">AP364*INDEX(Ipotesi!$C$31:$G$31,1,F364)*H364</f>
        <v>89833.3333333333</v>
      </c>
      <c r="AR364" s="15" t="n">
        <f aca="false">INDEX(Ipotesi!$C$75:$G$75,1,F364)*J364/12</f>
        <v>35833.3333333333</v>
      </c>
      <c r="AS364" s="15" t="n">
        <f aca="false">INDEX(Ipotesi!$C$81:$G$81,1,F364)*J364/12</f>
        <v>2083.33333333333</v>
      </c>
      <c r="AT364" s="15" t="n">
        <f aca="false">AR364*Parametri_v3!$C$15+Z364*Parametri_v3!$C$16</f>
        <v>53560.0970908333</v>
      </c>
      <c r="AU364" s="15" t="n">
        <f aca="false">Q364*Parametri_v3!$C$16*Parametri_v3!$C$17</f>
        <v>420</v>
      </c>
      <c r="AV364" s="17" t="n">
        <f aca="false">BD363</f>
        <v>222.605584178885</v>
      </c>
      <c r="AW364" s="17" t="n">
        <f aca="false">AV364*(1-(1-INDEX(Ipotesi!$C$34:$G$34,1,F364))^(1/12))</f>
        <v>1.94593141323481</v>
      </c>
      <c r="AX364" s="15" t="n">
        <f aca="false">ROUND(INDEX(Ipotesi!$C$32:$G$32,1,F364)*Ipotesi!H8,0)</f>
        <v>560</v>
      </c>
      <c r="AY364" s="15" t="n">
        <f aca="false">MAX(0,(AX364-(AV364-AW364))/(13-E364))</f>
        <v>339.34034723435</v>
      </c>
      <c r="AZ364" s="15" t="n">
        <f aca="false">MIN(P364*Parametri_v3!$C$22,Q364*(1-Parametri_v3!$C$16)*Parametri_v3!$C$23)</f>
        <v>270</v>
      </c>
      <c r="BA364" s="15" t="n">
        <f aca="false">IF(OR(INDEX(Ipotesi!$C$35:$G$35,1,F364)&lt;=0,60-Parametri_v3!$C$21&lt;1),0,INDEX($AT$305:$AT$364,MAX(1,60-Parametri_v3!$C$21))/(INDEX(Ipotesi!$C$35:$G$35,1,F364)*Ipotesi!H27))</f>
        <v>8.24001493705128</v>
      </c>
      <c r="BB364" s="15" t="n">
        <f aca="false">IF(60-Parametri_v3!$C$21&lt;1,0,INDEX($AU$305:$AU$364,MAX(1,60-Parametri_v3!$C$21)))*Parametri_v3!$C$18*Parametri_v3!$C$19*Parametri_v3!$C$20</f>
        <v>15.75</v>
      </c>
      <c r="BC364" s="17" t="n">
        <f aca="false">MAX(0,MIN(AY364,BA364,BB364,MAX(0,AZ364-(AV364-AW364))))</f>
        <v>8.24001493705128</v>
      </c>
      <c r="BD364" s="17" t="n">
        <f aca="false">AV364-AW364+BC364</f>
        <v>228.899667702702</v>
      </c>
      <c r="BE364" s="17" t="n">
        <f aca="false">(AV364+BD364)/2</f>
        <v>225.752625940793</v>
      </c>
      <c r="BF364" s="15" t="n">
        <f aca="false">BE364*INDEX(Ipotesi!$C$33:$G$33,1,F364)*H364/12</f>
        <v>116638.856736077</v>
      </c>
      <c r="BG364" s="15" t="n">
        <f aca="false">BD364*INDEX(Ipotesi!$C$33:$G$33,1,F364)*H364</f>
        <v>1419177.93975675</v>
      </c>
      <c r="BH364" s="15" t="n">
        <f aca="false">AM364*INDEX(Ipotesi!$C$37:$G$37,1,F364)</f>
        <v>11595.8333333333</v>
      </c>
      <c r="BI364" s="15" t="n">
        <f aca="false">AQ364+BF364+BH364</f>
        <v>218068.023402743</v>
      </c>
      <c r="BJ364" s="15" t="n">
        <f aca="false">INDEX(Ipotesi!$C$68:$G$68,1,F364)*Ipotesi!$C$69/12</f>
        <v>3333.33333333333</v>
      </c>
      <c r="BK364" s="15" t="n">
        <f aca="false">INDEX(Ipotesi!$C$68:$G$68,1,F364)*(1-Ipotesi!$C$69)/12</f>
        <v>5000</v>
      </c>
      <c r="BL364" s="15" t="n">
        <f aca="false">(AQ364+BF364)*Ipotesi!$C$67</f>
        <v>6194.1657020823</v>
      </c>
      <c r="BM364" s="15" t="n">
        <f aca="false">AM364*Ipotesi!$C$67</f>
        <v>3478.75</v>
      </c>
      <c r="BN364" s="15" t="n">
        <f aca="false">INDEX(Ipotesi!$C$72:$G$72,1,F364)/12*Ipotesi!H126+BF364*Ipotesi!$C$73</f>
        <v>10581.1085388861</v>
      </c>
      <c r="BO364" s="15" t="n">
        <f aca="false">INDEX(Ipotesi!$C$74:$G$74,1,F364)/12*Ipotesi!H126</f>
        <v>5416.66666666667</v>
      </c>
      <c r="BP364" s="15" t="n">
        <f aca="false">INDEX(Ipotesi!$C$76:$G$76,1,F364)/12</f>
        <v>1916.66666666667</v>
      </c>
      <c r="BQ364" s="15" t="n">
        <f aca="false">INDEX(Ipotesi!$C$77:$G$77,1,F364)/12*Ipotesi!H126</f>
        <v>2500</v>
      </c>
      <c r="BR364" s="15" t="n">
        <f aca="false">INDEX(Ipotesi!$C$78:$G$78,1,F364)/12</f>
        <v>2333.33333333333</v>
      </c>
      <c r="BS364" s="15" t="n">
        <f aca="false">SUM(M364:R364)*(Ipotesi!$C$85+Ipotesi!$C$86)/12</f>
        <v>7437.5</v>
      </c>
      <c r="BT364" s="15" t="n">
        <f aca="false">BI364*Ipotesi!$C$87</f>
        <v>6542.0407020823</v>
      </c>
      <c r="BU364" s="15" t="n">
        <f aca="false">INDEX(Ipotesi!$C$55:$G$55,1,F364)*K364/12</f>
        <v>2000</v>
      </c>
      <c r="BV364" s="15" t="n">
        <f aca="false">INDEX(Ipotesi!$C$80:$G$80,1,F364)/12*Ipotesi!H126</f>
        <v>2083.33333333333</v>
      </c>
      <c r="BW364" s="15" t="n">
        <f aca="false">INDEX(Ipotesi!$C$82:$G$82,1,F364)/12</f>
        <v>1500</v>
      </c>
      <c r="BX364" s="15" t="n">
        <f aca="false">INDEX(Ipotesi!$C$83:$G$83,1,F364)/12</f>
        <v>833.333333333333</v>
      </c>
      <c r="BY364" s="15" t="n">
        <f aca="false">SUM(S364:U364)*(Ipotesi!$C$85+Ipotesi!$C$86)/12</f>
        <v>3208.33333333333</v>
      </c>
      <c r="BZ364" s="15" t="n">
        <f aca="false">AM364*Ipotesi!$C$87</f>
        <v>3478.75</v>
      </c>
      <c r="CA364" s="15" t="n">
        <f aca="false">AB364+BJ364+BL364+BN364+BO364+AR364+BP364+BQ364+BR364+BS364+BT364</f>
        <v>201565.476597217</v>
      </c>
      <c r="CB364" s="15" t="n">
        <f aca="false">AC364+BK364+BM364+BH364+BU364+BV364+AS364+BW364+BX364+BY364+BZ364</f>
        <v>79625.4722608333</v>
      </c>
      <c r="CC364" s="15" t="n">
        <f aca="false">BI364-CA364</f>
        <v>16502.5468055258</v>
      </c>
      <c r="CD364" s="15" t="n">
        <f aca="false">AM364-CB364</f>
        <v>36332.8610725</v>
      </c>
      <c r="CE364" s="15" t="n">
        <f aca="false">INDEX(Ipotesi!$C$79:$G$79,1,F364)/12</f>
        <v>4166.66666666667</v>
      </c>
      <c r="CF364" s="15" t="n">
        <f aca="false">INDEX(Ipotesi!$C$84:$G$84,1,F364)/12</f>
        <v>666.666666666667</v>
      </c>
      <c r="CG364" s="15" t="n">
        <f aca="false">Y364*MAX(0,Parametri_v3!$C$12-IF(P364=0,0,MIN(1,BE364/(P364*Parametri_v3!$C$22))))+W364*Parametri_v3!$C$13+X364*Parametri_v3!$C$14</f>
        <v>33495.4880009584</v>
      </c>
      <c r="CH364" s="15" t="n">
        <f aca="false">AB364*Parametri_v3!$C$32</f>
        <v>5973.86641604167</v>
      </c>
      <c r="CI364" s="15" t="n">
        <f aca="false">AC364*Parametri_v3!$C$32</f>
        <v>2218.19027970833</v>
      </c>
      <c r="CJ364" s="15" t="n">
        <f aca="false">CA364-AB364</f>
        <v>82088.1482763841</v>
      </c>
      <c r="CK364" s="15" t="n">
        <f aca="false">CB364-AC364-BH364</f>
        <v>23665.8333333333</v>
      </c>
      <c r="CL364" s="15" t="n">
        <f aca="false">BF364*Ipotesi!$C$73+INDEX(Ipotesi!$C$72:$G$72,1,F364)/12*Ipotesi!H126*Parametri_v3!$C$58+Z364*(1-Parametri_v3!$C$16)</f>
        <v>18178.2930063861</v>
      </c>
      <c r="CM364" s="16" t="n">
        <f aca="false">IF(BF364=0,0,1-CL364/BF364)</f>
        <v>0.844148909590919</v>
      </c>
    </row>
    <row r="365" customFormat="false" ht="18" hidden="false" customHeight="true" outlineLevel="0" collapsed="false">
      <c r="A365" s="68" t="n">
        <f aca="false">7</f>
        <v>7</v>
      </c>
      <c r="B365" s="68" t="n">
        <f aca="false">1</f>
        <v>1</v>
      </c>
      <c r="C365" s="18" t="n">
        <f aca="false">EDATE(Parametri_v3!$C$5,1-1)</f>
        <v>46388</v>
      </c>
      <c r="D365" s="68" t="n">
        <f aca="false">YEAR(C365)</f>
        <v>2027</v>
      </c>
      <c r="E365" s="68" t="n">
        <f aca="false">MONTH(C365)</f>
        <v>1</v>
      </c>
      <c r="F365" s="68" t="n">
        <f aca="false">INT((1-1)/12)+1</f>
        <v>1</v>
      </c>
      <c r="G365" s="15" t="n">
        <f aca="false">Ipotesi!I7</f>
        <v>1</v>
      </c>
      <c r="H365" s="15" t="n">
        <f aca="false">Ipotesi!I9</f>
        <v>1</v>
      </c>
      <c r="I365" s="15" t="n">
        <f aca="false">Ipotesi!I10</f>
        <v>1</v>
      </c>
      <c r="J365" s="15" t="n">
        <f aca="false">Ipotesi!I11</f>
        <v>1</v>
      </c>
      <c r="K365" s="15" t="n">
        <f aca="false">Ipotesi!I12</f>
        <v>1</v>
      </c>
      <c r="L365" s="15" t="n">
        <f aca="false">Ipotesi!I13</f>
        <v>90</v>
      </c>
      <c r="M365" s="17" t="n">
        <f aca="false">INDEX(Ipotesi!$C$40:$G$40,1,F365)</f>
        <v>1</v>
      </c>
      <c r="N365" s="17" t="n">
        <f aca="false">INDEX(Ipotesi!$C$41:$G$41,1,F365)</f>
        <v>0.75</v>
      </c>
      <c r="O365" s="17" t="n">
        <f aca="false">INDEX(Ipotesi!$C$42:$G$42,1,F365)*Ipotesi!I125</f>
        <v>1</v>
      </c>
      <c r="P365" s="17" t="n">
        <f aca="false">INDEX(Ipotesi!$C$43:$G$43,1,F365)*I365</f>
        <v>1</v>
      </c>
      <c r="Q365" s="17" t="n">
        <f aca="false">INDEX(Ipotesi!$C$44:$G$44,1,F365)*I365</f>
        <v>0.5</v>
      </c>
      <c r="R365" s="17" t="n">
        <f aca="false">INDEX(Ipotesi!$C$45:$G$45,1,F365)*I365</f>
        <v>0</v>
      </c>
      <c r="S365" s="17" t="n">
        <f aca="false">INDEX(Ipotesi!$C$52:$G$52,1,F365)*Ipotesi!I125</f>
        <v>1.5</v>
      </c>
      <c r="T365" s="17" t="n">
        <f aca="false">INDEX(Ipotesi!$C$53:$G$53,1,F365)*I365</f>
        <v>0</v>
      </c>
      <c r="U365" s="17" t="n">
        <f aca="false">INDEX(Ipotesi!$C$54:$G$54,1,F365)*I365</f>
        <v>0</v>
      </c>
      <c r="V365" s="15" t="n">
        <f aca="false">M365*INDEX(Ipotesi!$C$58:$G$58,1,F365)*K365/12</f>
        <v>3333.33333333333</v>
      </c>
      <c r="W365" s="15" t="n">
        <f aca="false">N365*Ipotesi!$C$59*(1+Ipotesi!$C$66)^(F365-1)/12</f>
        <v>4375</v>
      </c>
      <c r="X365" s="15" t="n">
        <f aca="false">O365*Ipotesi!$C$60*(1+Ipotesi!$C$66)^(F365-1)/12</f>
        <v>4166.66666666667</v>
      </c>
      <c r="Y365" s="15" t="n">
        <f aca="false">P365*Ipotesi!$C$61*(1+Ipotesi!$C$66)^(F365-1)/12</f>
        <v>4166.66666666667</v>
      </c>
      <c r="Z365" s="15" t="n">
        <f aca="false">Q365*Ipotesi!$C$62*(1+Ipotesi!$C$66)^(F365-1)/12</f>
        <v>1875</v>
      </c>
      <c r="AA365" s="15" t="n">
        <f aca="false">R365*Ipotesi!$C$63*(1+Ipotesi!$C$66)^(F365-1)/12</f>
        <v>0</v>
      </c>
      <c r="AB365" s="15" t="n">
        <f aca="false">SUM(V365:AA365)</f>
        <v>17916.6666666667</v>
      </c>
      <c r="AC365" s="15" t="n">
        <f aca="false">(S365*Ipotesi!$C$64+T365*Ipotesi!$C$65+U365*Ipotesi!$C$63)*(1+Ipotesi!$C$66)^(F365-1)/12</f>
        <v>5250</v>
      </c>
      <c r="AD365" s="15" t="n">
        <f aca="false">INDEX(Ipotesi!$C$48:$G$48,1,F365)*G365/12</f>
        <v>16.6666666666667</v>
      </c>
      <c r="AE365" s="15" t="n">
        <f aca="false">INDEX(Ipotesi!$C$50:$G$50,1,F365)*G365/12</f>
        <v>2.08333333333333</v>
      </c>
      <c r="AF365" s="15" t="n">
        <f aca="false">(S365*Parametri_v3!$C$7*Parametri_v3!$C$8+Parametri_v3!$C$10)/12</f>
        <v>19.25</v>
      </c>
      <c r="AG365" s="15" t="n">
        <f aca="false">AD365+AE365*(1+Parametri_v3!$C$9)</f>
        <v>19.7916666666667</v>
      </c>
      <c r="AH365" s="16" t="n">
        <f aca="false">IF(AG365=0,1,MIN(1,AF365/AG365))</f>
        <v>0.972631578947368</v>
      </c>
      <c r="AI365" s="15" t="n">
        <f aca="false">AD365*AH365</f>
        <v>16.2105263157895</v>
      </c>
      <c r="AJ365" s="15" t="n">
        <f aca="false">AE365*AH365</f>
        <v>2.02631578947368</v>
      </c>
      <c r="AK365" s="15" t="n">
        <f aca="false">AI365*INDEX(Ipotesi!$C$49:$G$49,1,F365)*H365</f>
        <v>12157.8947368421</v>
      </c>
      <c r="AL365" s="15" t="n">
        <f aca="false">AJ365*INDEX(Ipotesi!$C$51:$G$51,1,F365)*H365</f>
        <v>4052.63157894737</v>
      </c>
      <c r="AM365" s="15" t="n">
        <f aca="false">AK365+AL365</f>
        <v>16210.5263157895</v>
      </c>
      <c r="AN365" s="15" t="n">
        <f aca="false">INDEX(Ipotesi!$C$30:$G$30,1,F365)*G365/12</f>
        <v>8.33333333333333</v>
      </c>
      <c r="AO365" s="15" t="n">
        <f aca="false">O365*Parametri_v3!$C$7*Parametri_v3!$C$11*(1-Parametri_v3!$C$14)/12</f>
        <v>10.2666666666667</v>
      </c>
      <c r="AP365" s="15" t="n">
        <f aca="false">MIN(AN365,AO365)</f>
        <v>8.33333333333333</v>
      </c>
      <c r="AQ365" s="15" t="n">
        <f aca="false">AP365*INDEX(Ipotesi!$C$31:$G$31,1,F365)*H365</f>
        <v>7500</v>
      </c>
      <c r="AR365" s="15" t="n">
        <f aca="false">INDEX(Ipotesi!$C$75:$G$75,1,F365)*J365/12</f>
        <v>2083.33333333333</v>
      </c>
      <c r="AS365" s="15" t="n">
        <f aca="false">INDEX(Ipotesi!$C$81:$G$81,1,F365)*J365/12</f>
        <v>416.666666666667</v>
      </c>
      <c r="AT365" s="15" t="n">
        <f aca="false">AR365*Parametri_v3!$C$15+Z365*Parametri_v3!$C$16</f>
        <v>3395.83333333333</v>
      </c>
      <c r="AU365" s="15" t="n">
        <f aca="false">Q365*Parametri_v3!$C$16*Parametri_v3!$C$17</f>
        <v>35</v>
      </c>
      <c r="AV365" s="17" t="n">
        <f aca="false">0</f>
        <v>0</v>
      </c>
      <c r="AW365" s="17" t="n">
        <f aca="false">AV365*(1-(1-INDEX(Ipotesi!$C$34:$G$34,1,F365))^(1/12))</f>
        <v>0</v>
      </c>
      <c r="AX365" s="15" t="n">
        <f aca="false">ROUND(INDEX(Ipotesi!$C$32:$G$32,1,F365)*Ipotesi!I8,0)</f>
        <v>5</v>
      </c>
      <c r="AY365" s="15" t="n">
        <f aca="false">MAX(0,(AX365-(AV365-AW365))/(13-E365))</f>
        <v>0.416666666666667</v>
      </c>
      <c r="AZ365" s="15" t="n">
        <f aca="false">MIN(P365*Parametri_v3!$C$22,Q365*(1-Parametri_v3!$C$16)*Parametri_v3!$C$23)</f>
        <v>22.5</v>
      </c>
      <c r="BA365" s="15" t="n">
        <f aca="false">IF(OR(INDEX(Ipotesi!$C$35:$G$35,1,F365)&lt;=0,1-Parametri_v3!$C$21&lt;1),0,INDEX($AT$365:$AT$424,MAX(1,1-Parametri_v3!$C$21))/(INDEX(Ipotesi!$C$35:$G$35,1,F365)*Ipotesi!I27))</f>
        <v>0</v>
      </c>
      <c r="BB365" s="15" t="n">
        <f aca="false">IF(1-Parametri_v3!$C$21&lt;1,0,INDEX($AU$365:$AU$424,MAX(1,1-Parametri_v3!$C$21)))*Parametri_v3!$C$18*Parametri_v3!$C$19*Parametri_v3!$C$20</f>
        <v>0</v>
      </c>
      <c r="BC365" s="17" t="n">
        <f aca="false">MAX(0,MIN(AY365,BA365,BB365,MAX(0,AZ365-(AV365-AW365))))</f>
        <v>0</v>
      </c>
      <c r="BD365" s="17" t="n">
        <f aca="false">AV365-AW365+BC365</f>
        <v>0</v>
      </c>
      <c r="BE365" s="17" t="n">
        <f aca="false">(AV365+BD365)/2</f>
        <v>0</v>
      </c>
      <c r="BF365" s="15" t="n">
        <f aca="false">BE365*INDEX(Ipotesi!$C$33:$G$33,1,F365)*H365/12</f>
        <v>0</v>
      </c>
      <c r="BG365" s="15" t="n">
        <f aca="false">BD365*INDEX(Ipotesi!$C$33:$G$33,1,F365)*H365</f>
        <v>0</v>
      </c>
      <c r="BH365" s="15" t="n">
        <f aca="false">AM365*INDEX(Ipotesi!$C$37:$G$37,1,F365)</f>
        <v>1621.05263157895</v>
      </c>
      <c r="BI365" s="15" t="n">
        <f aca="false">AQ365+BF365+BH365</f>
        <v>9121.05263157895</v>
      </c>
      <c r="BJ365" s="15" t="n">
        <f aca="false">INDEX(Ipotesi!$C$68:$G$68,1,F365)*Ipotesi!$C$69/12</f>
        <v>1000</v>
      </c>
      <c r="BK365" s="15" t="n">
        <f aca="false">INDEX(Ipotesi!$C$68:$G$68,1,F365)*(1-Ipotesi!$C$69)/12</f>
        <v>1500</v>
      </c>
      <c r="BL365" s="15" t="n">
        <f aca="false">(AQ365+BF365)*Ipotesi!$C$67</f>
        <v>225</v>
      </c>
      <c r="BM365" s="15" t="n">
        <f aca="false">AM365*Ipotesi!$C$67</f>
        <v>486.315789473684</v>
      </c>
      <c r="BN365" s="15" t="n">
        <f aca="false">INDEX(Ipotesi!$C$72:$G$72,1,F365)/12*Ipotesi!I126+BF365*Ipotesi!$C$73</f>
        <v>1250</v>
      </c>
      <c r="BO365" s="15" t="n">
        <f aca="false">INDEX(Ipotesi!$C$74:$G$74,1,F365)/12*Ipotesi!I126</f>
        <v>1000</v>
      </c>
      <c r="BP365" s="15" t="n">
        <f aca="false">INDEX(Ipotesi!$C$76:$G$76,1,F365)/12</f>
        <v>500</v>
      </c>
      <c r="BQ365" s="15" t="n">
        <f aca="false">INDEX(Ipotesi!$C$77:$G$77,1,F365)/12*Ipotesi!I126</f>
        <v>1250</v>
      </c>
      <c r="BR365" s="15" t="n">
        <f aca="false">INDEX(Ipotesi!$C$78:$G$78,1,F365)/12</f>
        <v>1000</v>
      </c>
      <c r="BS365" s="15" t="n">
        <f aca="false">SUM(M365:R365)*(Ipotesi!$C$85+Ipotesi!$C$86)/12</f>
        <v>1239.58333333333</v>
      </c>
      <c r="BT365" s="15" t="n">
        <f aca="false">BI365*Ipotesi!$C$87</f>
        <v>273.631578947368</v>
      </c>
      <c r="BU365" s="15" t="n">
        <f aca="false">INDEX(Ipotesi!$C$55:$G$55,1,F365)*K365/12</f>
        <v>500</v>
      </c>
      <c r="BV365" s="15" t="n">
        <f aca="false">INDEX(Ipotesi!$C$80:$G$80,1,F365)/12*Ipotesi!I126</f>
        <v>500</v>
      </c>
      <c r="BW365" s="15" t="n">
        <f aca="false">INDEX(Ipotesi!$C$82:$G$82,1,F365)/12</f>
        <v>416.666666666667</v>
      </c>
      <c r="BX365" s="15" t="n">
        <f aca="false">INDEX(Ipotesi!$C$83:$G$83,1,F365)/12</f>
        <v>500</v>
      </c>
      <c r="BY365" s="15" t="n">
        <f aca="false">SUM(S365:U365)*(Ipotesi!$C$85+Ipotesi!$C$86)/12</f>
        <v>437.5</v>
      </c>
      <c r="BZ365" s="15" t="n">
        <f aca="false">AM365*Ipotesi!$C$87</f>
        <v>486.315789473684</v>
      </c>
      <c r="CA365" s="15" t="n">
        <f aca="false">AB365+BJ365+BL365+BN365+BO365+AR365+BP365+BQ365+BR365+BS365+BT365</f>
        <v>27738.2149122807</v>
      </c>
      <c r="CB365" s="15" t="n">
        <f aca="false">AC365+BK365+BM365+BH365+BU365+BV365+AS365+BW365+BX365+BY365+BZ365</f>
        <v>12114.5175438596</v>
      </c>
      <c r="CC365" s="15" t="n">
        <f aca="false">BI365-CA365</f>
        <v>-18617.1622807018</v>
      </c>
      <c r="CD365" s="15" t="n">
        <f aca="false">AM365-CB365</f>
        <v>4096.00877192982</v>
      </c>
      <c r="CE365" s="15" t="n">
        <f aca="false">INDEX(Ipotesi!$C$79:$G$79,1,F365)/12</f>
        <v>1666.66666666667</v>
      </c>
      <c r="CF365" s="15" t="n">
        <f aca="false">INDEX(Ipotesi!$C$84:$G$84,1,F365)/12</f>
        <v>250</v>
      </c>
      <c r="CG365" s="15" t="n">
        <f aca="false">Y365*MAX(0,Parametri_v3!$C$12-IF(P365=0,0,MIN(1,BE365/(P365*Parametri_v3!$C$22))))+W365*Parametri_v3!$C$13+X365*Parametri_v3!$C$14</f>
        <v>7187.5</v>
      </c>
      <c r="CH365" s="15" t="n">
        <f aca="false">AB365*Parametri_v3!$C$32</f>
        <v>895.833333333334</v>
      </c>
      <c r="CI365" s="15" t="n">
        <f aca="false">AC365*Parametri_v3!$C$32</f>
        <v>262.5</v>
      </c>
      <c r="CJ365" s="15" t="n">
        <f aca="false">CA365-AB365</f>
        <v>9821.54824561403</v>
      </c>
      <c r="CK365" s="15" t="n">
        <f aca="false">CB365-AC365-BH365</f>
        <v>5243.4649122807</v>
      </c>
      <c r="CL365" s="15" t="n">
        <f aca="false">BF365*Ipotesi!$C$73+INDEX(Ipotesi!$C$72:$G$72,1,F365)/12*Ipotesi!I126*Parametri_v3!$C$58+Z365*(1-Parametri_v3!$C$16)</f>
        <v>1812.5</v>
      </c>
      <c r="CM365" s="16" t="n">
        <f aca="false">IF(BF365=0,0,1-CL365/BF365)</f>
        <v>0</v>
      </c>
    </row>
    <row r="366" customFormat="false" ht="18" hidden="false" customHeight="true" outlineLevel="0" collapsed="false">
      <c r="A366" s="68" t="n">
        <f aca="false">7</f>
        <v>7</v>
      </c>
      <c r="B366" s="68" t="n">
        <f aca="false">2</f>
        <v>2</v>
      </c>
      <c r="C366" s="18" t="n">
        <f aca="false">EDATE(Parametri_v3!$C$5,2-1)</f>
        <v>46419</v>
      </c>
      <c r="D366" s="68" t="n">
        <f aca="false">YEAR(C366)</f>
        <v>2027</v>
      </c>
      <c r="E366" s="68" t="n">
        <f aca="false">MONTH(C366)</f>
        <v>2</v>
      </c>
      <c r="F366" s="68" t="n">
        <f aca="false">INT((2-1)/12)+1</f>
        <v>1</v>
      </c>
      <c r="G366" s="15" t="n">
        <f aca="false">Ipotesi!I7</f>
        <v>1</v>
      </c>
      <c r="H366" s="15" t="n">
        <f aca="false">Ipotesi!I9</f>
        <v>1</v>
      </c>
      <c r="I366" s="15" t="n">
        <f aca="false">Ipotesi!I10</f>
        <v>1</v>
      </c>
      <c r="J366" s="15" t="n">
        <f aca="false">Ipotesi!I11</f>
        <v>1</v>
      </c>
      <c r="K366" s="15" t="n">
        <f aca="false">Ipotesi!I12</f>
        <v>1</v>
      </c>
      <c r="L366" s="15" t="n">
        <f aca="false">Ipotesi!I13</f>
        <v>90</v>
      </c>
      <c r="M366" s="17" t="n">
        <f aca="false">INDEX(Ipotesi!$C$40:$G$40,1,F366)</f>
        <v>1</v>
      </c>
      <c r="N366" s="17" t="n">
        <f aca="false">INDEX(Ipotesi!$C$41:$G$41,1,F366)</f>
        <v>0.75</v>
      </c>
      <c r="O366" s="17" t="n">
        <f aca="false">INDEX(Ipotesi!$C$42:$G$42,1,F366)*Ipotesi!I125</f>
        <v>1</v>
      </c>
      <c r="P366" s="17" t="n">
        <f aca="false">INDEX(Ipotesi!$C$43:$G$43,1,F366)*I366</f>
        <v>1</v>
      </c>
      <c r="Q366" s="17" t="n">
        <f aca="false">INDEX(Ipotesi!$C$44:$G$44,1,F366)*I366</f>
        <v>0.5</v>
      </c>
      <c r="R366" s="17" t="n">
        <f aca="false">INDEX(Ipotesi!$C$45:$G$45,1,F366)*I366</f>
        <v>0</v>
      </c>
      <c r="S366" s="17" t="n">
        <f aca="false">INDEX(Ipotesi!$C$52:$G$52,1,F366)*Ipotesi!I125</f>
        <v>1.5</v>
      </c>
      <c r="T366" s="17" t="n">
        <f aca="false">INDEX(Ipotesi!$C$53:$G$53,1,F366)*I366</f>
        <v>0</v>
      </c>
      <c r="U366" s="17" t="n">
        <f aca="false">INDEX(Ipotesi!$C$54:$G$54,1,F366)*I366</f>
        <v>0</v>
      </c>
      <c r="V366" s="15" t="n">
        <f aca="false">M366*INDEX(Ipotesi!$C$58:$G$58,1,F366)*K366/12</f>
        <v>3333.33333333333</v>
      </c>
      <c r="W366" s="15" t="n">
        <f aca="false">N366*Ipotesi!$C$59*(1+Ipotesi!$C$66)^(F366-1)/12</f>
        <v>4375</v>
      </c>
      <c r="X366" s="15" t="n">
        <f aca="false">O366*Ipotesi!$C$60*(1+Ipotesi!$C$66)^(F366-1)/12</f>
        <v>4166.66666666667</v>
      </c>
      <c r="Y366" s="15" t="n">
        <f aca="false">P366*Ipotesi!$C$61*(1+Ipotesi!$C$66)^(F366-1)/12</f>
        <v>4166.66666666667</v>
      </c>
      <c r="Z366" s="15" t="n">
        <f aca="false">Q366*Ipotesi!$C$62*(1+Ipotesi!$C$66)^(F366-1)/12</f>
        <v>1875</v>
      </c>
      <c r="AA366" s="15" t="n">
        <f aca="false">R366*Ipotesi!$C$63*(1+Ipotesi!$C$66)^(F366-1)/12</f>
        <v>0</v>
      </c>
      <c r="AB366" s="15" t="n">
        <f aca="false">SUM(V366:AA366)</f>
        <v>17916.6666666667</v>
      </c>
      <c r="AC366" s="15" t="n">
        <f aca="false">(S366*Ipotesi!$C$64+T366*Ipotesi!$C$65+U366*Ipotesi!$C$63)*(1+Ipotesi!$C$66)^(F366-1)/12</f>
        <v>5250</v>
      </c>
      <c r="AD366" s="15" t="n">
        <f aca="false">INDEX(Ipotesi!$C$48:$G$48,1,F366)*G366/12</f>
        <v>16.6666666666667</v>
      </c>
      <c r="AE366" s="15" t="n">
        <f aca="false">INDEX(Ipotesi!$C$50:$G$50,1,F366)*G366/12</f>
        <v>2.08333333333333</v>
      </c>
      <c r="AF366" s="15" t="n">
        <f aca="false">(S366*Parametri_v3!$C$7*Parametri_v3!$C$8+Parametri_v3!$C$10)/12</f>
        <v>19.25</v>
      </c>
      <c r="AG366" s="15" t="n">
        <f aca="false">AD366+AE366*(1+Parametri_v3!$C$9)</f>
        <v>19.7916666666667</v>
      </c>
      <c r="AH366" s="16" t="n">
        <f aca="false">IF(AG366=0,1,MIN(1,AF366/AG366))</f>
        <v>0.972631578947368</v>
      </c>
      <c r="AI366" s="15" t="n">
        <f aca="false">AD366*AH366</f>
        <v>16.2105263157895</v>
      </c>
      <c r="AJ366" s="15" t="n">
        <f aca="false">AE366*AH366</f>
        <v>2.02631578947368</v>
      </c>
      <c r="AK366" s="15" t="n">
        <f aca="false">AI366*INDEX(Ipotesi!$C$49:$G$49,1,F366)*H366</f>
        <v>12157.8947368421</v>
      </c>
      <c r="AL366" s="15" t="n">
        <f aca="false">AJ366*INDEX(Ipotesi!$C$51:$G$51,1,F366)*H366</f>
        <v>4052.63157894737</v>
      </c>
      <c r="AM366" s="15" t="n">
        <f aca="false">AK366+AL366</f>
        <v>16210.5263157895</v>
      </c>
      <c r="AN366" s="15" t="n">
        <f aca="false">INDEX(Ipotesi!$C$30:$G$30,1,F366)*G366/12</f>
        <v>8.33333333333333</v>
      </c>
      <c r="AO366" s="15" t="n">
        <f aca="false">O366*Parametri_v3!$C$7*Parametri_v3!$C$11*(1-Parametri_v3!$C$14)/12</f>
        <v>10.2666666666667</v>
      </c>
      <c r="AP366" s="15" t="n">
        <f aca="false">MIN(AN366,AO366)</f>
        <v>8.33333333333333</v>
      </c>
      <c r="AQ366" s="15" t="n">
        <f aca="false">AP366*INDEX(Ipotesi!$C$31:$G$31,1,F366)*H366</f>
        <v>7500</v>
      </c>
      <c r="AR366" s="15" t="n">
        <f aca="false">INDEX(Ipotesi!$C$75:$G$75,1,F366)*J366/12</f>
        <v>2083.33333333333</v>
      </c>
      <c r="AS366" s="15" t="n">
        <f aca="false">INDEX(Ipotesi!$C$81:$G$81,1,F366)*J366/12</f>
        <v>416.666666666667</v>
      </c>
      <c r="AT366" s="15" t="n">
        <f aca="false">AR366*Parametri_v3!$C$15+Z366*Parametri_v3!$C$16</f>
        <v>3395.83333333333</v>
      </c>
      <c r="AU366" s="15" t="n">
        <f aca="false">Q366*Parametri_v3!$C$16*Parametri_v3!$C$17</f>
        <v>35</v>
      </c>
      <c r="AV366" s="17" t="n">
        <f aca="false">BD365</f>
        <v>0</v>
      </c>
      <c r="AW366" s="17" t="n">
        <f aca="false">AV366*(1-(1-INDEX(Ipotesi!$C$34:$G$34,1,F366))^(1/12))</f>
        <v>0</v>
      </c>
      <c r="AX366" s="15" t="n">
        <f aca="false">ROUND(INDEX(Ipotesi!$C$32:$G$32,1,F366)*Ipotesi!I8,0)</f>
        <v>5</v>
      </c>
      <c r="AY366" s="15" t="n">
        <f aca="false">MAX(0,(AX366-(AV366-AW366))/(13-E366))</f>
        <v>0.454545454545455</v>
      </c>
      <c r="AZ366" s="15" t="n">
        <f aca="false">MIN(P366*Parametri_v3!$C$22,Q366*(1-Parametri_v3!$C$16)*Parametri_v3!$C$23)</f>
        <v>22.5</v>
      </c>
      <c r="BA366" s="15" t="n">
        <f aca="false">IF(OR(INDEX(Ipotesi!$C$35:$G$35,1,F366)&lt;=0,2-Parametri_v3!$C$21&lt;1),0,INDEX($AT$365:$AT$424,MAX(1,2-Parametri_v3!$C$21))/(INDEX(Ipotesi!$C$35:$G$35,1,F366)*Ipotesi!I27))</f>
        <v>0</v>
      </c>
      <c r="BB366" s="15" t="n">
        <f aca="false">IF(2-Parametri_v3!$C$21&lt;1,0,INDEX($AU$365:$AU$424,MAX(1,2-Parametri_v3!$C$21)))*Parametri_v3!$C$18*Parametri_v3!$C$19*Parametri_v3!$C$20</f>
        <v>0</v>
      </c>
      <c r="BC366" s="17" t="n">
        <f aca="false">MAX(0,MIN(AY366,BA366,BB366,MAX(0,AZ366-(AV366-AW366))))</f>
        <v>0</v>
      </c>
      <c r="BD366" s="17" t="n">
        <f aca="false">AV366-AW366+BC366</f>
        <v>0</v>
      </c>
      <c r="BE366" s="17" t="n">
        <f aca="false">(AV366+BD366)/2</f>
        <v>0</v>
      </c>
      <c r="BF366" s="15" t="n">
        <f aca="false">BE366*INDEX(Ipotesi!$C$33:$G$33,1,F366)*H366/12</f>
        <v>0</v>
      </c>
      <c r="BG366" s="15" t="n">
        <f aca="false">BD366*INDEX(Ipotesi!$C$33:$G$33,1,F366)*H366</f>
        <v>0</v>
      </c>
      <c r="BH366" s="15" t="n">
        <f aca="false">AM366*INDEX(Ipotesi!$C$37:$G$37,1,F366)</f>
        <v>1621.05263157895</v>
      </c>
      <c r="BI366" s="15" t="n">
        <f aca="false">AQ366+BF366+BH366</f>
        <v>9121.05263157895</v>
      </c>
      <c r="BJ366" s="15" t="n">
        <f aca="false">INDEX(Ipotesi!$C$68:$G$68,1,F366)*Ipotesi!$C$69/12</f>
        <v>1000</v>
      </c>
      <c r="BK366" s="15" t="n">
        <f aca="false">INDEX(Ipotesi!$C$68:$G$68,1,F366)*(1-Ipotesi!$C$69)/12</f>
        <v>1500</v>
      </c>
      <c r="BL366" s="15" t="n">
        <f aca="false">(AQ366+BF366)*Ipotesi!$C$67</f>
        <v>225</v>
      </c>
      <c r="BM366" s="15" t="n">
        <f aca="false">AM366*Ipotesi!$C$67</f>
        <v>486.315789473684</v>
      </c>
      <c r="BN366" s="15" t="n">
        <f aca="false">INDEX(Ipotesi!$C$72:$G$72,1,F366)/12*Ipotesi!I126+BF366*Ipotesi!$C$73</f>
        <v>1250</v>
      </c>
      <c r="BO366" s="15" t="n">
        <f aca="false">INDEX(Ipotesi!$C$74:$G$74,1,F366)/12*Ipotesi!I126</f>
        <v>1000</v>
      </c>
      <c r="BP366" s="15" t="n">
        <f aca="false">INDEX(Ipotesi!$C$76:$G$76,1,F366)/12</f>
        <v>500</v>
      </c>
      <c r="BQ366" s="15" t="n">
        <f aca="false">INDEX(Ipotesi!$C$77:$G$77,1,F366)/12*Ipotesi!I126</f>
        <v>1250</v>
      </c>
      <c r="BR366" s="15" t="n">
        <f aca="false">INDEX(Ipotesi!$C$78:$G$78,1,F366)/12</f>
        <v>1000</v>
      </c>
      <c r="BS366" s="15" t="n">
        <f aca="false">SUM(M366:R366)*(Ipotesi!$C$85+Ipotesi!$C$86)/12</f>
        <v>1239.58333333333</v>
      </c>
      <c r="BT366" s="15" t="n">
        <f aca="false">BI366*Ipotesi!$C$87</f>
        <v>273.631578947368</v>
      </c>
      <c r="BU366" s="15" t="n">
        <f aca="false">INDEX(Ipotesi!$C$55:$G$55,1,F366)*K366/12</f>
        <v>500</v>
      </c>
      <c r="BV366" s="15" t="n">
        <f aca="false">INDEX(Ipotesi!$C$80:$G$80,1,F366)/12*Ipotesi!I126</f>
        <v>500</v>
      </c>
      <c r="BW366" s="15" t="n">
        <f aca="false">INDEX(Ipotesi!$C$82:$G$82,1,F366)/12</f>
        <v>416.666666666667</v>
      </c>
      <c r="BX366" s="15" t="n">
        <f aca="false">INDEX(Ipotesi!$C$83:$G$83,1,F366)/12</f>
        <v>500</v>
      </c>
      <c r="BY366" s="15" t="n">
        <f aca="false">SUM(S366:U366)*(Ipotesi!$C$85+Ipotesi!$C$86)/12</f>
        <v>437.5</v>
      </c>
      <c r="BZ366" s="15" t="n">
        <f aca="false">AM366*Ipotesi!$C$87</f>
        <v>486.315789473684</v>
      </c>
      <c r="CA366" s="15" t="n">
        <f aca="false">AB366+BJ366+BL366+BN366+BO366+AR366+BP366+BQ366+BR366+BS366+BT366</f>
        <v>27738.2149122807</v>
      </c>
      <c r="CB366" s="15" t="n">
        <f aca="false">AC366+BK366+BM366+BH366+BU366+BV366+AS366+BW366+BX366+BY366+BZ366</f>
        <v>12114.5175438596</v>
      </c>
      <c r="CC366" s="15" t="n">
        <f aca="false">BI366-CA366</f>
        <v>-18617.1622807018</v>
      </c>
      <c r="CD366" s="15" t="n">
        <f aca="false">AM366-CB366</f>
        <v>4096.00877192982</v>
      </c>
      <c r="CE366" s="15" t="n">
        <f aca="false">INDEX(Ipotesi!$C$79:$G$79,1,F366)/12</f>
        <v>1666.66666666667</v>
      </c>
      <c r="CF366" s="15" t="n">
        <f aca="false">INDEX(Ipotesi!$C$84:$G$84,1,F366)/12</f>
        <v>250</v>
      </c>
      <c r="CG366" s="15" t="n">
        <f aca="false">Y366*MAX(0,Parametri_v3!$C$12-IF(P366=0,0,MIN(1,BE366/(P366*Parametri_v3!$C$22))))+W366*Parametri_v3!$C$13+X366*Parametri_v3!$C$14</f>
        <v>7187.5</v>
      </c>
      <c r="CH366" s="15" t="n">
        <f aca="false">AB366*Parametri_v3!$C$32</f>
        <v>895.833333333334</v>
      </c>
      <c r="CI366" s="15" t="n">
        <f aca="false">AC366*Parametri_v3!$C$32</f>
        <v>262.5</v>
      </c>
      <c r="CJ366" s="15" t="n">
        <f aca="false">CA366-AB366</f>
        <v>9821.54824561403</v>
      </c>
      <c r="CK366" s="15" t="n">
        <f aca="false">CB366-AC366-BH366</f>
        <v>5243.4649122807</v>
      </c>
      <c r="CL366" s="15" t="n">
        <f aca="false">BF366*Ipotesi!$C$73+INDEX(Ipotesi!$C$72:$G$72,1,F366)/12*Ipotesi!I126*Parametri_v3!$C$58+Z366*(1-Parametri_v3!$C$16)</f>
        <v>1812.5</v>
      </c>
      <c r="CM366" s="16" t="n">
        <f aca="false">IF(BF366=0,0,1-CL366/BF366)</f>
        <v>0</v>
      </c>
    </row>
    <row r="367" customFormat="false" ht="18" hidden="false" customHeight="true" outlineLevel="0" collapsed="false">
      <c r="A367" s="68" t="n">
        <f aca="false">7</f>
        <v>7</v>
      </c>
      <c r="B367" s="68" t="n">
        <f aca="false">3</f>
        <v>3</v>
      </c>
      <c r="C367" s="18" t="n">
        <f aca="false">EDATE(Parametri_v3!$C$5,3-1)</f>
        <v>46447</v>
      </c>
      <c r="D367" s="68" t="n">
        <f aca="false">YEAR(C367)</f>
        <v>2027</v>
      </c>
      <c r="E367" s="68" t="n">
        <f aca="false">MONTH(C367)</f>
        <v>3</v>
      </c>
      <c r="F367" s="68" t="n">
        <f aca="false">INT((3-1)/12)+1</f>
        <v>1</v>
      </c>
      <c r="G367" s="15" t="n">
        <f aca="false">Ipotesi!I7</f>
        <v>1</v>
      </c>
      <c r="H367" s="15" t="n">
        <f aca="false">Ipotesi!I9</f>
        <v>1</v>
      </c>
      <c r="I367" s="15" t="n">
        <f aca="false">Ipotesi!I10</f>
        <v>1</v>
      </c>
      <c r="J367" s="15" t="n">
        <f aca="false">Ipotesi!I11</f>
        <v>1</v>
      </c>
      <c r="K367" s="15" t="n">
        <f aca="false">Ipotesi!I12</f>
        <v>1</v>
      </c>
      <c r="L367" s="15" t="n">
        <f aca="false">Ipotesi!I13</f>
        <v>90</v>
      </c>
      <c r="M367" s="17" t="n">
        <f aca="false">INDEX(Ipotesi!$C$40:$G$40,1,F367)</f>
        <v>1</v>
      </c>
      <c r="N367" s="17" t="n">
        <f aca="false">INDEX(Ipotesi!$C$41:$G$41,1,F367)</f>
        <v>0.75</v>
      </c>
      <c r="O367" s="17" t="n">
        <f aca="false">INDEX(Ipotesi!$C$42:$G$42,1,F367)*Ipotesi!I125</f>
        <v>1</v>
      </c>
      <c r="P367" s="17" t="n">
        <f aca="false">INDEX(Ipotesi!$C$43:$G$43,1,F367)*I367</f>
        <v>1</v>
      </c>
      <c r="Q367" s="17" t="n">
        <f aca="false">INDEX(Ipotesi!$C$44:$G$44,1,F367)*I367</f>
        <v>0.5</v>
      </c>
      <c r="R367" s="17" t="n">
        <f aca="false">INDEX(Ipotesi!$C$45:$G$45,1,F367)*I367</f>
        <v>0</v>
      </c>
      <c r="S367" s="17" t="n">
        <f aca="false">INDEX(Ipotesi!$C$52:$G$52,1,F367)*Ipotesi!I125</f>
        <v>1.5</v>
      </c>
      <c r="T367" s="17" t="n">
        <f aca="false">INDEX(Ipotesi!$C$53:$G$53,1,F367)*I367</f>
        <v>0</v>
      </c>
      <c r="U367" s="17" t="n">
        <f aca="false">INDEX(Ipotesi!$C$54:$G$54,1,F367)*I367</f>
        <v>0</v>
      </c>
      <c r="V367" s="15" t="n">
        <f aca="false">M367*INDEX(Ipotesi!$C$58:$G$58,1,F367)*K367/12</f>
        <v>3333.33333333333</v>
      </c>
      <c r="W367" s="15" t="n">
        <f aca="false">N367*Ipotesi!$C$59*(1+Ipotesi!$C$66)^(F367-1)/12</f>
        <v>4375</v>
      </c>
      <c r="X367" s="15" t="n">
        <f aca="false">O367*Ipotesi!$C$60*(1+Ipotesi!$C$66)^(F367-1)/12</f>
        <v>4166.66666666667</v>
      </c>
      <c r="Y367" s="15" t="n">
        <f aca="false">P367*Ipotesi!$C$61*(1+Ipotesi!$C$66)^(F367-1)/12</f>
        <v>4166.66666666667</v>
      </c>
      <c r="Z367" s="15" t="n">
        <f aca="false">Q367*Ipotesi!$C$62*(1+Ipotesi!$C$66)^(F367-1)/12</f>
        <v>1875</v>
      </c>
      <c r="AA367" s="15" t="n">
        <f aca="false">R367*Ipotesi!$C$63*(1+Ipotesi!$C$66)^(F367-1)/12</f>
        <v>0</v>
      </c>
      <c r="AB367" s="15" t="n">
        <f aca="false">SUM(V367:AA367)</f>
        <v>17916.6666666667</v>
      </c>
      <c r="AC367" s="15" t="n">
        <f aca="false">(S367*Ipotesi!$C$64+T367*Ipotesi!$C$65+U367*Ipotesi!$C$63)*(1+Ipotesi!$C$66)^(F367-1)/12</f>
        <v>5250</v>
      </c>
      <c r="AD367" s="15" t="n">
        <f aca="false">INDEX(Ipotesi!$C$48:$G$48,1,F367)*G367/12</f>
        <v>16.6666666666667</v>
      </c>
      <c r="AE367" s="15" t="n">
        <f aca="false">INDEX(Ipotesi!$C$50:$G$50,1,F367)*G367/12</f>
        <v>2.08333333333333</v>
      </c>
      <c r="AF367" s="15" t="n">
        <f aca="false">(S367*Parametri_v3!$C$7*Parametri_v3!$C$8+Parametri_v3!$C$10)/12</f>
        <v>19.25</v>
      </c>
      <c r="AG367" s="15" t="n">
        <f aca="false">AD367+AE367*(1+Parametri_v3!$C$9)</f>
        <v>19.7916666666667</v>
      </c>
      <c r="AH367" s="16" t="n">
        <f aca="false">IF(AG367=0,1,MIN(1,AF367/AG367))</f>
        <v>0.972631578947368</v>
      </c>
      <c r="AI367" s="15" t="n">
        <f aca="false">AD367*AH367</f>
        <v>16.2105263157895</v>
      </c>
      <c r="AJ367" s="15" t="n">
        <f aca="false">AE367*AH367</f>
        <v>2.02631578947368</v>
      </c>
      <c r="AK367" s="15" t="n">
        <f aca="false">AI367*INDEX(Ipotesi!$C$49:$G$49,1,F367)*H367</f>
        <v>12157.8947368421</v>
      </c>
      <c r="AL367" s="15" t="n">
        <f aca="false">AJ367*INDEX(Ipotesi!$C$51:$G$51,1,F367)*H367</f>
        <v>4052.63157894737</v>
      </c>
      <c r="AM367" s="15" t="n">
        <f aca="false">AK367+AL367</f>
        <v>16210.5263157895</v>
      </c>
      <c r="AN367" s="15" t="n">
        <f aca="false">INDEX(Ipotesi!$C$30:$G$30,1,F367)*G367/12</f>
        <v>8.33333333333333</v>
      </c>
      <c r="AO367" s="15" t="n">
        <f aca="false">O367*Parametri_v3!$C$7*Parametri_v3!$C$11*(1-Parametri_v3!$C$14)/12</f>
        <v>10.2666666666667</v>
      </c>
      <c r="AP367" s="15" t="n">
        <f aca="false">MIN(AN367,AO367)</f>
        <v>8.33333333333333</v>
      </c>
      <c r="AQ367" s="15" t="n">
        <f aca="false">AP367*INDEX(Ipotesi!$C$31:$G$31,1,F367)*H367</f>
        <v>7500</v>
      </c>
      <c r="AR367" s="15" t="n">
        <f aca="false">INDEX(Ipotesi!$C$75:$G$75,1,F367)*J367/12</f>
        <v>2083.33333333333</v>
      </c>
      <c r="AS367" s="15" t="n">
        <f aca="false">INDEX(Ipotesi!$C$81:$G$81,1,F367)*J367/12</f>
        <v>416.666666666667</v>
      </c>
      <c r="AT367" s="15" t="n">
        <f aca="false">AR367*Parametri_v3!$C$15+Z367*Parametri_v3!$C$16</f>
        <v>3395.83333333333</v>
      </c>
      <c r="AU367" s="15" t="n">
        <f aca="false">Q367*Parametri_v3!$C$16*Parametri_v3!$C$17</f>
        <v>35</v>
      </c>
      <c r="AV367" s="17" t="n">
        <f aca="false">BD366</f>
        <v>0</v>
      </c>
      <c r="AW367" s="17" t="n">
        <f aca="false">AV367*(1-(1-INDEX(Ipotesi!$C$34:$G$34,1,F367))^(1/12))</f>
        <v>0</v>
      </c>
      <c r="AX367" s="15" t="n">
        <f aca="false">ROUND(INDEX(Ipotesi!$C$32:$G$32,1,F367)*Ipotesi!I8,0)</f>
        <v>5</v>
      </c>
      <c r="AY367" s="15" t="n">
        <f aca="false">MAX(0,(AX367-(AV367-AW367))/(13-E367))</f>
        <v>0.5</v>
      </c>
      <c r="AZ367" s="15" t="n">
        <f aca="false">MIN(P367*Parametri_v3!$C$22,Q367*(1-Parametri_v3!$C$16)*Parametri_v3!$C$23)</f>
        <v>22.5</v>
      </c>
      <c r="BA367" s="15" t="n">
        <f aca="false">IF(OR(INDEX(Ipotesi!$C$35:$G$35,1,F367)&lt;=0,3-Parametri_v3!$C$21&lt;1),0,INDEX($AT$365:$AT$424,MAX(1,3-Parametri_v3!$C$21))/(INDEX(Ipotesi!$C$35:$G$35,1,F367)*Ipotesi!I27))</f>
        <v>0</v>
      </c>
      <c r="BB367" s="15" t="n">
        <f aca="false">IF(3-Parametri_v3!$C$21&lt;1,0,INDEX($AU$365:$AU$424,MAX(1,3-Parametri_v3!$C$21)))*Parametri_v3!$C$18*Parametri_v3!$C$19*Parametri_v3!$C$20</f>
        <v>0</v>
      </c>
      <c r="BC367" s="17" t="n">
        <f aca="false">MAX(0,MIN(AY367,BA367,BB367,MAX(0,AZ367-(AV367-AW367))))</f>
        <v>0</v>
      </c>
      <c r="BD367" s="17" t="n">
        <f aca="false">AV367-AW367+BC367</f>
        <v>0</v>
      </c>
      <c r="BE367" s="17" t="n">
        <f aca="false">(AV367+BD367)/2</f>
        <v>0</v>
      </c>
      <c r="BF367" s="15" t="n">
        <f aca="false">BE367*INDEX(Ipotesi!$C$33:$G$33,1,F367)*H367/12</f>
        <v>0</v>
      </c>
      <c r="BG367" s="15" t="n">
        <f aca="false">BD367*INDEX(Ipotesi!$C$33:$G$33,1,F367)*H367</f>
        <v>0</v>
      </c>
      <c r="BH367" s="15" t="n">
        <f aca="false">AM367*INDEX(Ipotesi!$C$37:$G$37,1,F367)</f>
        <v>1621.05263157895</v>
      </c>
      <c r="BI367" s="15" t="n">
        <f aca="false">AQ367+BF367+BH367</f>
        <v>9121.05263157895</v>
      </c>
      <c r="BJ367" s="15" t="n">
        <f aca="false">INDEX(Ipotesi!$C$68:$G$68,1,F367)*Ipotesi!$C$69/12</f>
        <v>1000</v>
      </c>
      <c r="BK367" s="15" t="n">
        <f aca="false">INDEX(Ipotesi!$C$68:$G$68,1,F367)*(1-Ipotesi!$C$69)/12</f>
        <v>1500</v>
      </c>
      <c r="BL367" s="15" t="n">
        <f aca="false">(AQ367+BF367)*Ipotesi!$C$67</f>
        <v>225</v>
      </c>
      <c r="BM367" s="15" t="n">
        <f aca="false">AM367*Ipotesi!$C$67</f>
        <v>486.315789473684</v>
      </c>
      <c r="BN367" s="15" t="n">
        <f aca="false">INDEX(Ipotesi!$C$72:$G$72,1,F367)/12*Ipotesi!I126+BF367*Ipotesi!$C$73</f>
        <v>1250</v>
      </c>
      <c r="BO367" s="15" t="n">
        <f aca="false">INDEX(Ipotesi!$C$74:$G$74,1,F367)/12*Ipotesi!I126</f>
        <v>1000</v>
      </c>
      <c r="BP367" s="15" t="n">
        <f aca="false">INDEX(Ipotesi!$C$76:$G$76,1,F367)/12</f>
        <v>500</v>
      </c>
      <c r="BQ367" s="15" t="n">
        <f aca="false">INDEX(Ipotesi!$C$77:$G$77,1,F367)/12*Ipotesi!I126</f>
        <v>1250</v>
      </c>
      <c r="BR367" s="15" t="n">
        <f aca="false">INDEX(Ipotesi!$C$78:$G$78,1,F367)/12</f>
        <v>1000</v>
      </c>
      <c r="BS367" s="15" t="n">
        <f aca="false">SUM(M367:R367)*(Ipotesi!$C$85+Ipotesi!$C$86)/12</f>
        <v>1239.58333333333</v>
      </c>
      <c r="BT367" s="15" t="n">
        <f aca="false">BI367*Ipotesi!$C$87</f>
        <v>273.631578947368</v>
      </c>
      <c r="BU367" s="15" t="n">
        <f aca="false">INDEX(Ipotesi!$C$55:$G$55,1,F367)*K367/12</f>
        <v>500</v>
      </c>
      <c r="BV367" s="15" t="n">
        <f aca="false">INDEX(Ipotesi!$C$80:$G$80,1,F367)/12*Ipotesi!I126</f>
        <v>500</v>
      </c>
      <c r="BW367" s="15" t="n">
        <f aca="false">INDEX(Ipotesi!$C$82:$G$82,1,F367)/12</f>
        <v>416.666666666667</v>
      </c>
      <c r="BX367" s="15" t="n">
        <f aca="false">INDEX(Ipotesi!$C$83:$G$83,1,F367)/12</f>
        <v>500</v>
      </c>
      <c r="BY367" s="15" t="n">
        <f aca="false">SUM(S367:U367)*(Ipotesi!$C$85+Ipotesi!$C$86)/12</f>
        <v>437.5</v>
      </c>
      <c r="BZ367" s="15" t="n">
        <f aca="false">AM367*Ipotesi!$C$87</f>
        <v>486.315789473684</v>
      </c>
      <c r="CA367" s="15" t="n">
        <f aca="false">AB367+BJ367+BL367+BN367+BO367+AR367+BP367+BQ367+BR367+BS367+BT367</f>
        <v>27738.2149122807</v>
      </c>
      <c r="CB367" s="15" t="n">
        <f aca="false">AC367+BK367+BM367+BH367+BU367+BV367+AS367+BW367+BX367+BY367+BZ367</f>
        <v>12114.5175438596</v>
      </c>
      <c r="CC367" s="15" t="n">
        <f aca="false">BI367-CA367</f>
        <v>-18617.1622807018</v>
      </c>
      <c r="CD367" s="15" t="n">
        <f aca="false">AM367-CB367</f>
        <v>4096.00877192982</v>
      </c>
      <c r="CE367" s="15" t="n">
        <f aca="false">INDEX(Ipotesi!$C$79:$G$79,1,F367)/12</f>
        <v>1666.66666666667</v>
      </c>
      <c r="CF367" s="15" t="n">
        <f aca="false">INDEX(Ipotesi!$C$84:$G$84,1,F367)/12</f>
        <v>250</v>
      </c>
      <c r="CG367" s="15" t="n">
        <f aca="false">Y367*MAX(0,Parametri_v3!$C$12-IF(P367=0,0,MIN(1,BE367/(P367*Parametri_v3!$C$22))))+W367*Parametri_v3!$C$13+X367*Parametri_v3!$C$14</f>
        <v>7187.5</v>
      </c>
      <c r="CH367" s="15" t="n">
        <f aca="false">AB367*Parametri_v3!$C$32</f>
        <v>895.833333333334</v>
      </c>
      <c r="CI367" s="15" t="n">
        <f aca="false">AC367*Parametri_v3!$C$32</f>
        <v>262.5</v>
      </c>
      <c r="CJ367" s="15" t="n">
        <f aca="false">CA367-AB367</f>
        <v>9821.54824561403</v>
      </c>
      <c r="CK367" s="15" t="n">
        <f aca="false">CB367-AC367-BH367</f>
        <v>5243.4649122807</v>
      </c>
      <c r="CL367" s="15" t="n">
        <f aca="false">BF367*Ipotesi!$C$73+INDEX(Ipotesi!$C$72:$G$72,1,F367)/12*Ipotesi!I126*Parametri_v3!$C$58+Z367*(1-Parametri_v3!$C$16)</f>
        <v>1812.5</v>
      </c>
      <c r="CM367" s="16" t="n">
        <f aca="false">IF(BF367=0,0,1-CL367/BF367)</f>
        <v>0</v>
      </c>
    </row>
    <row r="368" customFormat="false" ht="18" hidden="false" customHeight="true" outlineLevel="0" collapsed="false">
      <c r="A368" s="68" t="n">
        <f aca="false">7</f>
        <v>7</v>
      </c>
      <c r="B368" s="68" t="n">
        <f aca="false">4</f>
        <v>4</v>
      </c>
      <c r="C368" s="18" t="n">
        <f aca="false">EDATE(Parametri_v3!$C$5,4-1)</f>
        <v>46478</v>
      </c>
      <c r="D368" s="68" t="n">
        <f aca="false">YEAR(C368)</f>
        <v>2027</v>
      </c>
      <c r="E368" s="68" t="n">
        <f aca="false">MONTH(C368)</f>
        <v>4</v>
      </c>
      <c r="F368" s="68" t="n">
        <f aca="false">INT((4-1)/12)+1</f>
        <v>1</v>
      </c>
      <c r="G368" s="15" t="n">
        <f aca="false">Ipotesi!I7</f>
        <v>1</v>
      </c>
      <c r="H368" s="15" t="n">
        <f aca="false">Ipotesi!I9</f>
        <v>1</v>
      </c>
      <c r="I368" s="15" t="n">
        <f aca="false">Ipotesi!I10</f>
        <v>1</v>
      </c>
      <c r="J368" s="15" t="n">
        <f aca="false">Ipotesi!I11</f>
        <v>1</v>
      </c>
      <c r="K368" s="15" t="n">
        <f aca="false">Ipotesi!I12</f>
        <v>1</v>
      </c>
      <c r="L368" s="15" t="n">
        <f aca="false">Ipotesi!I13</f>
        <v>90</v>
      </c>
      <c r="M368" s="17" t="n">
        <f aca="false">INDEX(Ipotesi!$C$40:$G$40,1,F368)</f>
        <v>1</v>
      </c>
      <c r="N368" s="17" t="n">
        <f aca="false">INDEX(Ipotesi!$C$41:$G$41,1,F368)</f>
        <v>0.75</v>
      </c>
      <c r="O368" s="17" t="n">
        <f aca="false">INDEX(Ipotesi!$C$42:$G$42,1,F368)*Ipotesi!I125</f>
        <v>1</v>
      </c>
      <c r="P368" s="17" t="n">
        <f aca="false">INDEX(Ipotesi!$C$43:$G$43,1,F368)*I368</f>
        <v>1</v>
      </c>
      <c r="Q368" s="17" t="n">
        <f aca="false">INDEX(Ipotesi!$C$44:$G$44,1,F368)*I368</f>
        <v>0.5</v>
      </c>
      <c r="R368" s="17" t="n">
        <f aca="false">INDEX(Ipotesi!$C$45:$G$45,1,F368)*I368</f>
        <v>0</v>
      </c>
      <c r="S368" s="17" t="n">
        <f aca="false">INDEX(Ipotesi!$C$52:$G$52,1,F368)*Ipotesi!I125</f>
        <v>1.5</v>
      </c>
      <c r="T368" s="17" t="n">
        <f aca="false">INDEX(Ipotesi!$C$53:$G$53,1,F368)*I368</f>
        <v>0</v>
      </c>
      <c r="U368" s="17" t="n">
        <f aca="false">INDEX(Ipotesi!$C$54:$G$54,1,F368)*I368</f>
        <v>0</v>
      </c>
      <c r="V368" s="15" t="n">
        <f aca="false">M368*INDEX(Ipotesi!$C$58:$G$58,1,F368)*K368/12</f>
        <v>3333.33333333333</v>
      </c>
      <c r="W368" s="15" t="n">
        <f aca="false">N368*Ipotesi!$C$59*(1+Ipotesi!$C$66)^(F368-1)/12</f>
        <v>4375</v>
      </c>
      <c r="X368" s="15" t="n">
        <f aca="false">O368*Ipotesi!$C$60*(1+Ipotesi!$C$66)^(F368-1)/12</f>
        <v>4166.66666666667</v>
      </c>
      <c r="Y368" s="15" t="n">
        <f aca="false">P368*Ipotesi!$C$61*(1+Ipotesi!$C$66)^(F368-1)/12</f>
        <v>4166.66666666667</v>
      </c>
      <c r="Z368" s="15" t="n">
        <f aca="false">Q368*Ipotesi!$C$62*(1+Ipotesi!$C$66)^(F368-1)/12</f>
        <v>1875</v>
      </c>
      <c r="AA368" s="15" t="n">
        <f aca="false">R368*Ipotesi!$C$63*(1+Ipotesi!$C$66)^(F368-1)/12</f>
        <v>0</v>
      </c>
      <c r="AB368" s="15" t="n">
        <f aca="false">SUM(V368:AA368)</f>
        <v>17916.6666666667</v>
      </c>
      <c r="AC368" s="15" t="n">
        <f aca="false">(S368*Ipotesi!$C$64+T368*Ipotesi!$C$65+U368*Ipotesi!$C$63)*(1+Ipotesi!$C$66)^(F368-1)/12</f>
        <v>5250</v>
      </c>
      <c r="AD368" s="15" t="n">
        <f aca="false">INDEX(Ipotesi!$C$48:$G$48,1,F368)*G368/12</f>
        <v>16.6666666666667</v>
      </c>
      <c r="AE368" s="15" t="n">
        <f aca="false">INDEX(Ipotesi!$C$50:$G$50,1,F368)*G368/12</f>
        <v>2.08333333333333</v>
      </c>
      <c r="AF368" s="15" t="n">
        <f aca="false">(S368*Parametri_v3!$C$7*Parametri_v3!$C$8+Parametri_v3!$C$10)/12</f>
        <v>19.25</v>
      </c>
      <c r="AG368" s="15" t="n">
        <f aca="false">AD368+AE368*(1+Parametri_v3!$C$9)</f>
        <v>19.7916666666667</v>
      </c>
      <c r="AH368" s="16" t="n">
        <f aca="false">IF(AG368=0,1,MIN(1,AF368/AG368))</f>
        <v>0.972631578947368</v>
      </c>
      <c r="AI368" s="15" t="n">
        <f aca="false">AD368*AH368</f>
        <v>16.2105263157895</v>
      </c>
      <c r="AJ368" s="15" t="n">
        <f aca="false">AE368*AH368</f>
        <v>2.02631578947368</v>
      </c>
      <c r="AK368" s="15" t="n">
        <f aca="false">AI368*INDEX(Ipotesi!$C$49:$G$49,1,F368)*H368</f>
        <v>12157.8947368421</v>
      </c>
      <c r="AL368" s="15" t="n">
        <f aca="false">AJ368*INDEX(Ipotesi!$C$51:$G$51,1,F368)*H368</f>
        <v>4052.63157894737</v>
      </c>
      <c r="AM368" s="15" t="n">
        <f aca="false">AK368+AL368</f>
        <v>16210.5263157895</v>
      </c>
      <c r="AN368" s="15" t="n">
        <f aca="false">INDEX(Ipotesi!$C$30:$G$30,1,F368)*G368/12</f>
        <v>8.33333333333333</v>
      </c>
      <c r="AO368" s="15" t="n">
        <f aca="false">O368*Parametri_v3!$C$7*Parametri_v3!$C$11*(1-Parametri_v3!$C$14)/12</f>
        <v>10.2666666666667</v>
      </c>
      <c r="AP368" s="15" t="n">
        <f aca="false">MIN(AN368,AO368)</f>
        <v>8.33333333333333</v>
      </c>
      <c r="AQ368" s="15" t="n">
        <f aca="false">AP368*INDEX(Ipotesi!$C$31:$G$31,1,F368)*H368</f>
        <v>7500</v>
      </c>
      <c r="AR368" s="15" t="n">
        <f aca="false">INDEX(Ipotesi!$C$75:$G$75,1,F368)*J368/12</f>
        <v>2083.33333333333</v>
      </c>
      <c r="AS368" s="15" t="n">
        <f aca="false">INDEX(Ipotesi!$C$81:$G$81,1,F368)*J368/12</f>
        <v>416.666666666667</v>
      </c>
      <c r="AT368" s="15" t="n">
        <f aca="false">AR368*Parametri_v3!$C$15+Z368*Parametri_v3!$C$16</f>
        <v>3395.83333333333</v>
      </c>
      <c r="AU368" s="15" t="n">
        <f aca="false">Q368*Parametri_v3!$C$16*Parametri_v3!$C$17</f>
        <v>35</v>
      </c>
      <c r="AV368" s="17" t="n">
        <f aca="false">BD367</f>
        <v>0</v>
      </c>
      <c r="AW368" s="17" t="n">
        <f aca="false">AV368*(1-(1-INDEX(Ipotesi!$C$34:$G$34,1,F368))^(1/12))</f>
        <v>0</v>
      </c>
      <c r="AX368" s="15" t="n">
        <f aca="false">ROUND(INDEX(Ipotesi!$C$32:$G$32,1,F368)*Ipotesi!I8,0)</f>
        <v>5</v>
      </c>
      <c r="AY368" s="15" t="n">
        <f aca="false">MAX(0,(AX368-(AV368-AW368))/(13-E368))</f>
        <v>0.555555555555556</v>
      </c>
      <c r="AZ368" s="15" t="n">
        <f aca="false">MIN(P368*Parametri_v3!$C$22,Q368*(1-Parametri_v3!$C$16)*Parametri_v3!$C$23)</f>
        <v>22.5</v>
      </c>
      <c r="BA368" s="15" t="n">
        <f aca="false">IF(OR(INDEX(Ipotesi!$C$35:$G$35,1,F368)&lt;=0,4-Parametri_v3!$C$21&lt;1),0,INDEX($AT$365:$AT$424,MAX(1,4-Parametri_v3!$C$21))/(INDEX(Ipotesi!$C$35:$G$35,1,F368)*Ipotesi!I27))</f>
        <v>0.679166666666667</v>
      </c>
      <c r="BB368" s="15" t="n">
        <f aca="false">IF(4-Parametri_v3!$C$21&lt;1,0,INDEX($AU$365:$AU$424,MAX(1,4-Parametri_v3!$C$21)))*Parametri_v3!$C$18*Parametri_v3!$C$19*Parametri_v3!$C$20</f>
        <v>1.3125</v>
      </c>
      <c r="BC368" s="17" t="n">
        <f aca="false">MAX(0,MIN(AY368,BA368,BB368,MAX(0,AZ368-(AV368-AW368))))</f>
        <v>0.555555555555556</v>
      </c>
      <c r="BD368" s="17" t="n">
        <f aca="false">AV368-AW368+BC368</f>
        <v>0.555555555555556</v>
      </c>
      <c r="BE368" s="17" t="n">
        <f aca="false">(AV368+BD368)/2</f>
        <v>0.277777777777778</v>
      </c>
      <c r="BF368" s="15" t="n">
        <f aca="false">BE368*INDEX(Ipotesi!$C$33:$G$33,1,F368)*H368/12</f>
        <v>46.2962962962963</v>
      </c>
      <c r="BG368" s="15" t="n">
        <f aca="false">BD368*INDEX(Ipotesi!$C$33:$G$33,1,F368)*H368</f>
        <v>1111.11111111111</v>
      </c>
      <c r="BH368" s="15" t="n">
        <f aca="false">AM368*INDEX(Ipotesi!$C$37:$G$37,1,F368)</f>
        <v>1621.05263157895</v>
      </c>
      <c r="BI368" s="15" t="n">
        <f aca="false">AQ368+BF368+BH368</f>
        <v>9167.34892787525</v>
      </c>
      <c r="BJ368" s="15" t="n">
        <f aca="false">INDEX(Ipotesi!$C$68:$G$68,1,F368)*Ipotesi!$C$69/12</f>
        <v>1000</v>
      </c>
      <c r="BK368" s="15" t="n">
        <f aca="false">INDEX(Ipotesi!$C$68:$G$68,1,F368)*(1-Ipotesi!$C$69)/12</f>
        <v>1500</v>
      </c>
      <c r="BL368" s="15" t="n">
        <f aca="false">(AQ368+BF368)*Ipotesi!$C$67</f>
        <v>226.388888888889</v>
      </c>
      <c r="BM368" s="15" t="n">
        <f aca="false">AM368*Ipotesi!$C$67</f>
        <v>486.315789473684</v>
      </c>
      <c r="BN368" s="15" t="n">
        <f aca="false">INDEX(Ipotesi!$C$72:$G$72,1,F368)/12*Ipotesi!I126+BF368*Ipotesi!$C$73</f>
        <v>1253.7037037037</v>
      </c>
      <c r="BO368" s="15" t="n">
        <f aca="false">INDEX(Ipotesi!$C$74:$G$74,1,F368)/12*Ipotesi!I126</f>
        <v>1000</v>
      </c>
      <c r="BP368" s="15" t="n">
        <f aca="false">INDEX(Ipotesi!$C$76:$G$76,1,F368)/12</f>
        <v>500</v>
      </c>
      <c r="BQ368" s="15" t="n">
        <f aca="false">INDEX(Ipotesi!$C$77:$G$77,1,F368)/12*Ipotesi!I126</f>
        <v>1250</v>
      </c>
      <c r="BR368" s="15" t="n">
        <f aca="false">INDEX(Ipotesi!$C$78:$G$78,1,F368)/12</f>
        <v>1000</v>
      </c>
      <c r="BS368" s="15" t="n">
        <f aca="false">SUM(M368:R368)*(Ipotesi!$C$85+Ipotesi!$C$86)/12</f>
        <v>1239.58333333333</v>
      </c>
      <c r="BT368" s="15" t="n">
        <f aca="false">BI368*Ipotesi!$C$87</f>
        <v>275.020467836257</v>
      </c>
      <c r="BU368" s="15" t="n">
        <f aca="false">INDEX(Ipotesi!$C$55:$G$55,1,F368)*K368/12</f>
        <v>500</v>
      </c>
      <c r="BV368" s="15" t="n">
        <f aca="false">INDEX(Ipotesi!$C$80:$G$80,1,F368)/12*Ipotesi!I126</f>
        <v>500</v>
      </c>
      <c r="BW368" s="15" t="n">
        <f aca="false">INDEX(Ipotesi!$C$82:$G$82,1,F368)/12</f>
        <v>416.666666666667</v>
      </c>
      <c r="BX368" s="15" t="n">
        <f aca="false">INDEX(Ipotesi!$C$83:$G$83,1,F368)/12</f>
        <v>500</v>
      </c>
      <c r="BY368" s="15" t="n">
        <f aca="false">SUM(S368:U368)*(Ipotesi!$C$85+Ipotesi!$C$86)/12</f>
        <v>437.5</v>
      </c>
      <c r="BZ368" s="15" t="n">
        <f aca="false">AM368*Ipotesi!$C$87</f>
        <v>486.315789473684</v>
      </c>
      <c r="CA368" s="15" t="n">
        <f aca="false">AB368+BJ368+BL368+BN368+BO368+AR368+BP368+BQ368+BR368+BS368+BT368</f>
        <v>27744.6963937622</v>
      </c>
      <c r="CB368" s="15" t="n">
        <f aca="false">AC368+BK368+BM368+BH368+BU368+BV368+AS368+BW368+BX368+BY368+BZ368</f>
        <v>12114.5175438596</v>
      </c>
      <c r="CC368" s="15" t="n">
        <f aca="false">BI368-CA368</f>
        <v>-18577.3474658869</v>
      </c>
      <c r="CD368" s="15" t="n">
        <f aca="false">AM368-CB368</f>
        <v>4096.00877192982</v>
      </c>
      <c r="CE368" s="15" t="n">
        <f aca="false">INDEX(Ipotesi!$C$79:$G$79,1,F368)/12</f>
        <v>1666.66666666667</v>
      </c>
      <c r="CF368" s="15" t="n">
        <f aca="false">INDEX(Ipotesi!$C$84:$G$84,1,F368)/12</f>
        <v>250</v>
      </c>
      <c r="CG368" s="15" t="n">
        <f aca="false">Y368*MAX(0,Parametri_v3!$C$12-IF(P368=0,0,MIN(1,BE368/(P368*Parametri_v3!$C$22))))+W368*Parametri_v3!$C$13+X368*Parametri_v3!$C$14</f>
        <v>7175.92592592593</v>
      </c>
      <c r="CH368" s="15" t="n">
        <f aca="false">AB368*Parametri_v3!$C$32</f>
        <v>895.833333333334</v>
      </c>
      <c r="CI368" s="15" t="n">
        <f aca="false">AC368*Parametri_v3!$C$32</f>
        <v>262.5</v>
      </c>
      <c r="CJ368" s="15" t="n">
        <f aca="false">CA368-AB368</f>
        <v>9828.02972709552</v>
      </c>
      <c r="CK368" s="15" t="n">
        <f aca="false">CB368-AC368-BH368</f>
        <v>5243.4649122807</v>
      </c>
      <c r="CL368" s="15" t="n">
        <f aca="false">BF368*Ipotesi!$C$73+INDEX(Ipotesi!$C$72:$G$72,1,F368)/12*Ipotesi!I126*Parametri_v3!$C$58+Z368*(1-Parametri_v3!$C$16)</f>
        <v>1816.2037037037</v>
      </c>
      <c r="CM368" s="16" t="n">
        <f aca="false">IF(BF368=0,0,1-CL368/BF368)</f>
        <v>-38.23</v>
      </c>
    </row>
    <row r="369" customFormat="false" ht="18" hidden="false" customHeight="true" outlineLevel="0" collapsed="false">
      <c r="A369" s="68" t="n">
        <f aca="false">7</f>
        <v>7</v>
      </c>
      <c r="B369" s="68" t="n">
        <f aca="false">5</f>
        <v>5</v>
      </c>
      <c r="C369" s="18" t="n">
        <f aca="false">EDATE(Parametri_v3!$C$5,5-1)</f>
        <v>46508</v>
      </c>
      <c r="D369" s="68" t="n">
        <f aca="false">YEAR(C369)</f>
        <v>2027</v>
      </c>
      <c r="E369" s="68" t="n">
        <f aca="false">MONTH(C369)</f>
        <v>5</v>
      </c>
      <c r="F369" s="68" t="n">
        <f aca="false">INT((5-1)/12)+1</f>
        <v>1</v>
      </c>
      <c r="G369" s="15" t="n">
        <f aca="false">Ipotesi!I7</f>
        <v>1</v>
      </c>
      <c r="H369" s="15" t="n">
        <f aca="false">Ipotesi!I9</f>
        <v>1</v>
      </c>
      <c r="I369" s="15" t="n">
        <f aca="false">Ipotesi!I10</f>
        <v>1</v>
      </c>
      <c r="J369" s="15" t="n">
        <f aca="false">Ipotesi!I11</f>
        <v>1</v>
      </c>
      <c r="K369" s="15" t="n">
        <f aca="false">Ipotesi!I12</f>
        <v>1</v>
      </c>
      <c r="L369" s="15" t="n">
        <f aca="false">Ipotesi!I13</f>
        <v>90</v>
      </c>
      <c r="M369" s="17" t="n">
        <f aca="false">INDEX(Ipotesi!$C$40:$G$40,1,F369)</f>
        <v>1</v>
      </c>
      <c r="N369" s="17" t="n">
        <f aca="false">INDEX(Ipotesi!$C$41:$G$41,1,F369)</f>
        <v>0.75</v>
      </c>
      <c r="O369" s="17" t="n">
        <f aca="false">INDEX(Ipotesi!$C$42:$G$42,1,F369)*Ipotesi!I125</f>
        <v>1</v>
      </c>
      <c r="P369" s="17" t="n">
        <f aca="false">INDEX(Ipotesi!$C$43:$G$43,1,F369)*I369</f>
        <v>1</v>
      </c>
      <c r="Q369" s="17" t="n">
        <f aca="false">INDEX(Ipotesi!$C$44:$G$44,1,F369)*I369</f>
        <v>0.5</v>
      </c>
      <c r="R369" s="17" t="n">
        <f aca="false">INDEX(Ipotesi!$C$45:$G$45,1,F369)*I369</f>
        <v>0</v>
      </c>
      <c r="S369" s="17" t="n">
        <f aca="false">INDEX(Ipotesi!$C$52:$G$52,1,F369)*Ipotesi!I125</f>
        <v>1.5</v>
      </c>
      <c r="T369" s="17" t="n">
        <f aca="false">INDEX(Ipotesi!$C$53:$G$53,1,F369)*I369</f>
        <v>0</v>
      </c>
      <c r="U369" s="17" t="n">
        <f aca="false">INDEX(Ipotesi!$C$54:$G$54,1,F369)*I369</f>
        <v>0</v>
      </c>
      <c r="V369" s="15" t="n">
        <f aca="false">M369*INDEX(Ipotesi!$C$58:$G$58,1,F369)*K369/12</f>
        <v>3333.33333333333</v>
      </c>
      <c r="W369" s="15" t="n">
        <f aca="false">N369*Ipotesi!$C$59*(1+Ipotesi!$C$66)^(F369-1)/12</f>
        <v>4375</v>
      </c>
      <c r="X369" s="15" t="n">
        <f aca="false">O369*Ipotesi!$C$60*(1+Ipotesi!$C$66)^(F369-1)/12</f>
        <v>4166.66666666667</v>
      </c>
      <c r="Y369" s="15" t="n">
        <f aca="false">P369*Ipotesi!$C$61*(1+Ipotesi!$C$66)^(F369-1)/12</f>
        <v>4166.66666666667</v>
      </c>
      <c r="Z369" s="15" t="n">
        <f aca="false">Q369*Ipotesi!$C$62*(1+Ipotesi!$C$66)^(F369-1)/12</f>
        <v>1875</v>
      </c>
      <c r="AA369" s="15" t="n">
        <f aca="false">R369*Ipotesi!$C$63*(1+Ipotesi!$C$66)^(F369-1)/12</f>
        <v>0</v>
      </c>
      <c r="AB369" s="15" t="n">
        <f aca="false">SUM(V369:AA369)</f>
        <v>17916.6666666667</v>
      </c>
      <c r="AC369" s="15" t="n">
        <f aca="false">(S369*Ipotesi!$C$64+T369*Ipotesi!$C$65+U369*Ipotesi!$C$63)*(1+Ipotesi!$C$66)^(F369-1)/12</f>
        <v>5250</v>
      </c>
      <c r="AD369" s="15" t="n">
        <f aca="false">INDEX(Ipotesi!$C$48:$G$48,1,F369)*G369/12</f>
        <v>16.6666666666667</v>
      </c>
      <c r="AE369" s="15" t="n">
        <f aca="false">INDEX(Ipotesi!$C$50:$G$50,1,F369)*G369/12</f>
        <v>2.08333333333333</v>
      </c>
      <c r="AF369" s="15" t="n">
        <f aca="false">(S369*Parametri_v3!$C$7*Parametri_v3!$C$8+Parametri_v3!$C$10)/12</f>
        <v>19.25</v>
      </c>
      <c r="AG369" s="15" t="n">
        <f aca="false">AD369+AE369*(1+Parametri_v3!$C$9)</f>
        <v>19.7916666666667</v>
      </c>
      <c r="AH369" s="16" t="n">
        <f aca="false">IF(AG369=0,1,MIN(1,AF369/AG369))</f>
        <v>0.972631578947368</v>
      </c>
      <c r="AI369" s="15" t="n">
        <f aca="false">AD369*AH369</f>
        <v>16.2105263157895</v>
      </c>
      <c r="AJ369" s="15" t="n">
        <f aca="false">AE369*AH369</f>
        <v>2.02631578947368</v>
      </c>
      <c r="AK369" s="15" t="n">
        <f aca="false">AI369*INDEX(Ipotesi!$C$49:$G$49,1,F369)*H369</f>
        <v>12157.8947368421</v>
      </c>
      <c r="AL369" s="15" t="n">
        <f aca="false">AJ369*INDEX(Ipotesi!$C$51:$G$51,1,F369)*H369</f>
        <v>4052.63157894737</v>
      </c>
      <c r="AM369" s="15" t="n">
        <f aca="false">AK369+AL369</f>
        <v>16210.5263157895</v>
      </c>
      <c r="AN369" s="15" t="n">
        <f aca="false">INDEX(Ipotesi!$C$30:$G$30,1,F369)*G369/12</f>
        <v>8.33333333333333</v>
      </c>
      <c r="AO369" s="15" t="n">
        <f aca="false">O369*Parametri_v3!$C$7*Parametri_v3!$C$11*(1-Parametri_v3!$C$14)/12</f>
        <v>10.2666666666667</v>
      </c>
      <c r="AP369" s="15" t="n">
        <f aca="false">MIN(AN369,AO369)</f>
        <v>8.33333333333333</v>
      </c>
      <c r="AQ369" s="15" t="n">
        <f aca="false">AP369*INDEX(Ipotesi!$C$31:$G$31,1,F369)*H369</f>
        <v>7500</v>
      </c>
      <c r="AR369" s="15" t="n">
        <f aca="false">INDEX(Ipotesi!$C$75:$G$75,1,F369)*J369/12</f>
        <v>2083.33333333333</v>
      </c>
      <c r="AS369" s="15" t="n">
        <f aca="false">INDEX(Ipotesi!$C$81:$G$81,1,F369)*J369/12</f>
        <v>416.666666666667</v>
      </c>
      <c r="AT369" s="15" t="n">
        <f aca="false">AR369*Parametri_v3!$C$15+Z369*Parametri_v3!$C$16</f>
        <v>3395.83333333333</v>
      </c>
      <c r="AU369" s="15" t="n">
        <f aca="false">Q369*Parametri_v3!$C$16*Parametri_v3!$C$17</f>
        <v>35</v>
      </c>
      <c r="AV369" s="17" t="n">
        <f aca="false">BD368</f>
        <v>0.555555555555556</v>
      </c>
      <c r="AW369" s="17" t="n">
        <f aca="false">AV369*(1-(1-INDEX(Ipotesi!$C$34:$G$34,1,F369))^(1/12))</f>
        <v>0</v>
      </c>
      <c r="AX369" s="15" t="n">
        <f aca="false">ROUND(INDEX(Ipotesi!$C$32:$G$32,1,F369)*Ipotesi!I8,0)</f>
        <v>5</v>
      </c>
      <c r="AY369" s="15" t="n">
        <f aca="false">MAX(0,(AX369-(AV369-AW369))/(13-E369))</f>
        <v>0.555555555555556</v>
      </c>
      <c r="AZ369" s="15" t="n">
        <f aca="false">MIN(P369*Parametri_v3!$C$22,Q369*(1-Parametri_v3!$C$16)*Parametri_v3!$C$23)</f>
        <v>22.5</v>
      </c>
      <c r="BA369" s="15" t="n">
        <f aca="false">IF(OR(INDEX(Ipotesi!$C$35:$G$35,1,F369)&lt;=0,5-Parametri_v3!$C$21&lt;1),0,INDEX($AT$365:$AT$424,MAX(1,5-Parametri_v3!$C$21))/(INDEX(Ipotesi!$C$35:$G$35,1,F369)*Ipotesi!I27))</f>
        <v>0.679166666666667</v>
      </c>
      <c r="BB369" s="15" t="n">
        <f aca="false">IF(5-Parametri_v3!$C$21&lt;1,0,INDEX($AU$365:$AU$424,MAX(1,5-Parametri_v3!$C$21)))*Parametri_v3!$C$18*Parametri_v3!$C$19*Parametri_v3!$C$20</f>
        <v>1.3125</v>
      </c>
      <c r="BC369" s="17" t="n">
        <f aca="false">MAX(0,MIN(AY369,BA369,BB369,MAX(0,AZ369-(AV369-AW369))))</f>
        <v>0.555555555555556</v>
      </c>
      <c r="BD369" s="17" t="n">
        <f aca="false">AV369-AW369+BC369</f>
        <v>1.11111111111111</v>
      </c>
      <c r="BE369" s="17" t="n">
        <f aca="false">(AV369+BD369)/2</f>
        <v>0.833333333333333</v>
      </c>
      <c r="BF369" s="15" t="n">
        <f aca="false">BE369*INDEX(Ipotesi!$C$33:$G$33,1,F369)*H369/12</f>
        <v>138.888888888889</v>
      </c>
      <c r="BG369" s="15" t="n">
        <f aca="false">BD369*INDEX(Ipotesi!$C$33:$G$33,1,F369)*H369</f>
        <v>2222.22222222222</v>
      </c>
      <c r="BH369" s="15" t="n">
        <f aca="false">AM369*INDEX(Ipotesi!$C$37:$G$37,1,F369)</f>
        <v>1621.05263157895</v>
      </c>
      <c r="BI369" s="15" t="n">
        <f aca="false">AQ369+BF369+BH369</f>
        <v>9259.94152046784</v>
      </c>
      <c r="BJ369" s="15" t="n">
        <f aca="false">INDEX(Ipotesi!$C$68:$G$68,1,F369)*Ipotesi!$C$69/12</f>
        <v>1000</v>
      </c>
      <c r="BK369" s="15" t="n">
        <f aca="false">INDEX(Ipotesi!$C$68:$G$68,1,F369)*(1-Ipotesi!$C$69)/12</f>
        <v>1500</v>
      </c>
      <c r="BL369" s="15" t="n">
        <f aca="false">(AQ369+BF369)*Ipotesi!$C$67</f>
        <v>229.166666666667</v>
      </c>
      <c r="BM369" s="15" t="n">
        <f aca="false">AM369*Ipotesi!$C$67</f>
        <v>486.315789473684</v>
      </c>
      <c r="BN369" s="15" t="n">
        <f aca="false">INDEX(Ipotesi!$C$72:$G$72,1,F369)/12*Ipotesi!I126+BF369*Ipotesi!$C$73</f>
        <v>1261.11111111111</v>
      </c>
      <c r="BO369" s="15" t="n">
        <f aca="false">INDEX(Ipotesi!$C$74:$G$74,1,F369)/12*Ipotesi!I126</f>
        <v>1000</v>
      </c>
      <c r="BP369" s="15" t="n">
        <f aca="false">INDEX(Ipotesi!$C$76:$G$76,1,F369)/12</f>
        <v>500</v>
      </c>
      <c r="BQ369" s="15" t="n">
        <f aca="false">INDEX(Ipotesi!$C$77:$G$77,1,F369)/12*Ipotesi!I126</f>
        <v>1250</v>
      </c>
      <c r="BR369" s="15" t="n">
        <f aca="false">INDEX(Ipotesi!$C$78:$G$78,1,F369)/12</f>
        <v>1000</v>
      </c>
      <c r="BS369" s="15" t="n">
        <f aca="false">SUM(M369:R369)*(Ipotesi!$C$85+Ipotesi!$C$86)/12</f>
        <v>1239.58333333333</v>
      </c>
      <c r="BT369" s="15" t="n">
        <f aca="false">BI369*Ipotesi!$C$87</f>
        <v>277.798245614035</v>
      </c>
      <c r="BU369" s="15" t="n">
        <f aca="false">INDEX(Ipotesi!$C$55:$G$55,1,F369)*K369/12</f>
        <v>500</v>
      </c>
      <c r="BV369" s="15" t="n">
        <f aca="false">INDEX(Ipotesi!$C$80:$G$80,1,F369)/12*Ipotesi!I126</f>
        <v>500</v>
      </c>
      <c r="BW369" s="15" t="n">
        <f aca="false">INDEX(Ipotesi!$C$82:$G$82,1,F369)/12</f>
        <v>416.666666666667</v>
      </c>
      <c r="BX369" s="15" t="n">
        <f aca="false">INDEX(Ipotesi!$C$83:$G$83,1,F369)/12</f>
        <v>500</v>
      </c>
      <c r="BY369" s="15" t="n">
        <f aca="false">SUM(S369:U369)*(Ipotesi!$C$85+Ipotesi!$C$86)/12</f>
        <v>437.5</v>
      </c>
      <c r="BZ369" s="15" t="n">
        <f aca="false">AM369*Ipotesi!$C$87</f>
        <v>486.315789473684</v>
      </c>
      <c r="CA369" s="15" t="n">
        <f aca="false">AB369+BJ369+BL369+BN369+BO369+AR369+BP369+BQ369+BR369+BS369+BT369</f>
        <v>27757.6593567251</v>
      </c>
      <c r="CB369" s="15" t="n">
        <f aca="false">AC369+BK369+BM369+BH369+BU369+BV369+AS369+BW369+BX369+BY369+BZ369</f>
        <v>12114.5175438596</v>
      </c>
      <c r="CC369" s="15" t="n">
        <f aca="false">BI369-CA369</f>
        <v>-18497.7178362573</v>
      </c>
      <c r="CD369" s="15" t="n">
        <f aca="false">AM369-CB369</f>
        <v>4096.00877192982</v>
      </c>
      <c r="CE369" s="15" t="n">
        <f aca="false">INDEX(Ipotesi!$C$79:$G$79,1,F369)/12</f>
        <v>1666.66666666667</v>
      </c>
      <c r="CF369" s="15" t="n">
        <f aca="false">INDEX(Ipotesi!$C$84:$G$84,1,F369)/12</f>
        <v>250</v>
      </c>
      <c r="CG369" s="15" t="n">
        <f aca="false">Y369*MAX(0,Parametri_v3!$C$12-IF(P369=0,0,MIN(1,BE369/(P369*Parametri_v3!$C$22))))+W369*Parametri_v3!$C$13+X369*Parametri_v3!$C$14</f>
        <v>7152.77777777778</v>
      </c>
      <c r="CH369" s="15" t="n">
        <f aca="false">AB369*Parametri_v3!$C$32</f>
        <v>895.833333333334</v>
      </c>
      <c r="CI369" s="15" t="n">
        <f aca="false">AC369*Parametri_v3!$C$32</f>
        <v>262.5</v>
      </c>
      <c r="CJ369" s="15" t="n">
        <f aca="false">CA369-AB369</f>
        <v>9840.99269005848</v>
      </c>
      <c r="CK369" s="15" t="n">
        <f aca="false">CB369-AC369-BH369</f>
        <v>5243.4649122807</v>
      </c>
      <c r="CL369" s="15" t="n">
        <f aca="false">BF369*Ipotesi!$C$73+INDEX(Ipotesi!$C$72:$G$72,1,F369)/12*Ipotesi!I126*Parametri_v3!$C$58+Z369*(1-Parametri_v3!$C$16)</f>
        <v>1823.61111111111</v>
      </c>
      <c r="CM369" s="16" t="n">
        <f aca="false">IF(BF369=0,0,1-CL369/BF369)</f>
        <v>-12.13</v>
      </c>
    </row>
    <row r="370" customFormat="false" ht="18" hidden="false" customHeight="true" outlineLevel="0" collapsed="false">
      <c r="A370" s="68" t="n">
        <f aca="false">7</f>
        <v>7</v>
      </c>
      <c r="B370" s="68" t="n">
        <f aca="false">6</f>
        <v>6</v>
      </c>
      <c r="C370" s="18" t="n">
        <f aca="false">EDATE(Parametri_v3!$C$5,6-1)</f>
        <v>46539</v>
      </c>
      <c r="D370" s="68" t="n">
        <f aca="false">YEAR(C370)</f>
        <v>2027</v>
      </c>
      <c r="E370" s="68" t="n">
        <f aca="false">MONTH(C370)</f>
        <v>6</v>
      </c>
      <c r="F370" s="68" t="n">
        <f aca="false">INT((6-1)/12)+1</f>
        <v>1</v>
      </c>
      <c r="G370" s="15" t="n">
        <f aca="false">Ipotesi!I7</f>
        <v>1</v>
      </c>
      <c r="H370" s="15" t="n">
        <f aca="false">Ipotesi!I9</f>
        <v>1</v>
      </c>
      <c r="I370" s="15" t="n">
        <f aca="false">Ipotesi!I10</f>
        <v>1</v>
      </c>
      <c r="J370" s="15" t="n">
        <f aca="false">Ipotesi!I11</f>
        <v>1</v>
      </c>
      <c r="K370" s="15" t="n">
        <f aca="false">Ipotesi!I12</f>
        <v>1</v>
      </c>
      <c r="L370" s="15" t="n">
        <f aca="false">Ipotesi!I13</f>
        <v>90</v>
      </c>
      <c r="M370" s="17" t="n">
        <f aca="false">INDEX(Ipotesi!$C$40:$G$40,1,F370)</f>
        <v>1</v>
      </c>
      <c r="N370" s="17" t="n">
        <f aca="false">INDEX(Ipotesi!$C$41:$G$41,1,F370)</f>
        <v>0.75</v>
      </c>
      <c r="O370" s="17" t="n">
        <f aca="false">INDEX(Ipotesi!$C$42:$G$42,1,F370)*Ipotesi!I125</f>
        <v>1</v>
      </c>
      <c r="P370" s="17" t="n">
        <f aca="false">INDEX(Ipotesi!$C$43:$G$43,1,F370)*I370</f>
        <v>1</v>
      </c>
      <c r="Q370" s="17" t="n">
        <f aca="false">INDEX(Ipotesi!$C$44:$G$44,1,F370)*I370</f>
        <v>0.5</v>
      </c>
      <c r="R370" s="17" t="n">
        <f aca="false">INDEX(Ipotesi!$C$45:$G$45,1,F370)*I370</f>
        <v>0</v>
      </c>
      <c r="S370" s="17" t="n">
        <f aca="false">INDEX(Ipotesi!$C$52:$G$52,1,F370)*Ipotesi!I125</f>
        <v>1.5</v>
      </c>
      <c r="T370" s="17" t="n">
        <f aca="false">INDEX(Ipotesi!$C$53:$G$53,1,F370)*I370</f>
        <v>0</v>
      </c>
      <c r="U370" s="17" t="n">
        <f aca="false">INDEX(Ipotesi!$C$54:$G$54,1,F370)*I370</f>
        <v>0</v>
      </c>
      <c r="V370" s="15" t="n">
        <f aca="false">M370*INDEX(Ipotesi!$C$58:$G$58,1,F370)*K370/12</f>
        <v>3333.33333333333</v>
      </c>
      <c r="W370" s="15" t="n">
        <f aca="false">N370*Ipotesi!$C$59*(1+Ipotesi!$C$66)^(F370-1)/12</f>
        <v>4375</v>
      </c>
      <c r="X370" s="15" t="n">
        <f aca="false">O370*Ipotesi!$C$60*(1+Ipotesi!$C$66)^(F370-1)/12</f>
        <v>4166.66666666667</v>
      </c>
      <c r="Y370" s="15" t="n">
        <f aca="false">P370*Ipotesi!$C$61*(1+Ipotesi!$C$66)^(F370-1)/12</f>
        <v>4166.66666666667</v>
      </c>
      <c r="Z370" s="15" t="n">
        <f aca="false">Q370*Ipotesi!$C$62*(1+Ipotesi!$C$66)^(F370-1)/12</f>
        <v>1875</v>
      </c>
      <c r="AA370" s="15" t="n">
        <f aca="false">R370*Ipotesi!$C$63*(1+Ipotesi!$C$66)^(F370-1)/12</f>
        <v>0</v>
      </c>
      <c r="AB370" s="15" t="n">
        <f aca="false">SUM(V370:AA370)</f>
        <v>17916.6666666667</v>
      </c>
      <c r="AC370" s="15" t="n">
        <f aca="false">(S370*Ipotesi!$C$64+T370*Ipotesi!$C$65+U370*Ipotesi!$C$63)*(1+Ipotesi!$C$66)^(F370-1)/12</f>
        <v>5250</v>
      </c>
      <c r="AD370" s="15" t="n">
        <f aca="false">INDEX(Ipotesi!$C$48:$G$48,1,F370)*G370/12</f>
        <v>16.6666666666667</v>
      </c>
      <c r="AE370" s="15" t="n">
        <f aca="false">INDEX(Ipotesi!$C$50:$G$50,1,F370)*G370/12</f>
        <v>2.08333333333333</v>
      </c>
      <c r="AF370" s="15" t="n">
        <f aca="false">(S370*Parametri_v3!$C$7*Parametri_v3!$C$8+Parametri_v3!$C$10)/12</f>
        <v>19.25</v>
      </c>
      <c r="AG370" s="15" t="n">
        <f aca="false">AD370+AE370*(1+Parametri_v3!$C$9)</f>
        <v>19.7916666666667</v>
      </c>
      <c r="AH370" s="16" t="n">
        <f aca="false">IF(AG370=0,1,MIN(1,AF370/AG370))</f>
        <v>0.972631578947368</v>
      </c>
      <c r="AI370" s="15" t="n">
        <f aca="false">AD370*AH370</f>
        <v>16.2105263157895</v>
      </c>
      <c r="AJ370" s="15" t="n">
        <f aca="false">AE370*AH370</f>
        <v>2.02631578947368</v>
      </c>
      <c r="AK370" s="15" t="n">
        <f aca="false">AI370*INDEX(Ipotesi!$C$49:$G$49,1,F370)*H370</f>
        <v>12157.8947368421</v>
      </c>
      <c r="AL370" s="15" t="n">
        <f aca="false">AJ370*INDEX(Ipotesi!$C$51:$G$51,1,F370)*H370</f>
        <v>4052.63157894737</v>
      </c>
      <c r="AM370" s="15" t="n">
        <f aca="false">AK370+AL370</f>
        <v>16210.5263157895</v>
      </c>
      <c r="AN370" s="15" t="n">
        <f aca="false">INDEX(Ipotesi!$C$30:$G$30,1,F370)*G370/12</f>
        <v>8.33333333333333</v>
      </c>
      <c r="AO370" s="15" t="n">
        <f aca="false">O370*Parametri_v3!$C$7*Parametri_v3!$C$11*(1-Parametri_v3!$C$14)/12</f>
        <v>10.2666666666667</v>
      </c>
      <c r="AP370" s="15" t="n">
        <f aca="false">MIN(AN370,AO370)</f>
        <v>8.33333333333333</v>
      </c>
      <c r="AQ370" s="15" t="n">
        <f aca="false">AP370*INDEX(Ipotesi!$C$31:$G$31,1,F370)*H370</f>
        <v>7500</v>
      </c>
      <c r="AR370" s="15" t="n">
        <f aca="false">INDEX(Ipotesi!$C$75:$G$75,1,F370)*J370/12</f>
        <v>2083.33333333333</v>
      </c>
      <c r="AS370" s="15" t="n">
        <f aca="false">INDEX(Ipotesi!$C$81:$G$81,1,F370)*J370/12</f>
        <v>416.666666666667</v>
      </c>
      <c r="AT370" s="15" t="n">
        <f aca="false">AR370*Parametri_v3!$C$15+Z370*Parametri_v3!$C$16</f>
        <v>3395.83333333333</v>
      </c>
      <c r="AU370" s="15" t="n">
        <f aca="false">Q370*Parametri_v3!$C$16*Parametri_v3!$C$17</f>
        <v>35</v>
      </c>
      <c r="AV370" s="17" t="n">
        <f aca="false">BD369</f>
        <v>1.11111111111111</v>
      </c>
      <c r="AW370" s="17" t="n">
        <f aca="false">AV370*(1-(1-INDEX(Ipotesi!$C$34:$G$34,1,F370))^(1/12))</f>
        <v>0</v>
      </c>
      <c r="AX370" s="15" t="n">
        <f aca="false">ROUND(INDEX(Ipotesi!$C$32:$G$32,1,F370)*Ipotesi!I8,0)</f>
        <v>5</v>
      </c>
      <c r="AY370" s="15" t="n">
        <f aca="false">MAX(0,(AX370-(AV370-AW370))/(13-E370))</f>
        <v>0.555555555555556</v>
      </c>
      <c r="AZ370" s="15" t="n">
        <f aca="false">MIN(P370*Parametri_v3!$C$22,Q370*(1-Parametri_v3!$C$16)*Parametri_v3!$C$23)</f>
        <v>22.5</v>
      </c>
      <c r="BA370" s="15" t="n">
        <f aca="false">IF(OR(INDEX(Ipotesi!$C$35:$G$35,1,F370)&lt;=0,6-Parametri_v3!$C$21&lt;1),0,INDEX($AT$365:$AT$424,MAX(1,6-Parametri_v3!$C$21))/(INDEX(Ipotesi!$C$35:$G$35,1,F370)*Ipotesi!I27))</f>
        <v>0.679166666666667</v>
      </c>
      <c r="BB370" s="15" t="n">
        <f aca="false">IF(6-Parametri_v3!$C$21&lt;1,0,INDEX($AU$365:$AU$424,MAX(1,6-Parametri_v3!$C$21)))*Parametri_v3!$C$18*Parametri_v3!$C$19*Parametri_v3!$C$20</f>
        <v>1.3125</v>
      </c>
      <c r="BC370" s="17" t="n">
        <f aca="false">MAX(0,MIN(AY370,BA370,BB370,MAX(0,AZ370-(AV370-AW370))))</f>
        <v>0.555555555555556</v>
      </c>
      <c r="BD370" s="17" t="n">
        <f aca="false">AV370-AW370+BC370</f>
        <v>1.66666666666667</v>
      </c>
      <c r="BE370" s="17" t="n">
        <f aca="false">(AV370+BD370)/2</f>
        <v>1.38888888888889</v>
      </c>
      <c r="BF370" s="15" t="n">
        <f aca="false">BE370*INDEX(Ipotesi!$C$33:$G$33,1,F370)*H370/12</f>
        <v>231.481481481482</v>
      </c>
      <c r="BG370" s="15" t="n">
        <f aca="false">BD370*INDEX(Ipotesi!$C$33:$G$33,1,F370)*H370</f>
        <v>3333.33333333333</v>
      </c>
      <c r="BH370" s="15" t="n">
        <f aca="false">AM370*INDEX(Ipotesi!$C$37:$G$37,1,F370)</f>
        <v>1621.05263157895</v>
      </c>
      <c r="BI370" s="15" t="n">
        <f aca="false">AQ370+BF370+BH370</f>
        <v>9352.53411306043</v>
      </c>
      <c r="BJ370" s="15" t="n">
        <f aca="false">INDEX(Ipotesi!$C$68:$G$68,1,F370)*Ipotesi!$C$69/12</f>
        <v>1000</v>
      </c>
      <c r="BK370" s="15" t="n">
        <f aca="false">INDEX(Ipotesi!$C$68:$G$68,1,F370)*(1-Ipotesi!$C$69)/12</f>
        <v>1500</v>
      </c>
      <c r="BL370" s="15" t="n">
        <f aca="false">(AQ370+BF370)*Ipotesi!$C$67</f>
        <v>231.944444444444</v>
      </c>
      <c r="BM370" s="15" t="n">
        <f aca="false">AM370*Ipotesi!$C$67</f>
        <v>486.315789473684</v>
      </c>
      <c r="BN370" s="15" t="n">
        <f aca="false">INDEX(Ipotesi!$C$72:$G$72,1,F370)/12*Ipotesi!I126+BF370*Ipotesi!$C$73</f>
        <v>1268.51851851852</v>
      </c>
      <c r="BO370" s="15" t="n">
        <f aca="false">INDEX(Ipotesi!$C$74:$G$74,1,F370)/12*Ipotesi!I126</f>
        <v>1000</v>
      </c>
      <c r="BP370" s="15" t="n">
        <f aca="false">INDEX(Ipotesi!$C$76:$G$76,1,F370)/12</f>
        <v>500</v>
      </c>
      <c r="BQ370" s="15" t="n">
        <f aca="false">INDEX(Ipotesi!$C$77:$G$77,1,F370)/12*Ipotesi!I126</f>
        <v>1250</v>
      </c>
      <c r="BR370" s="15" t="n">
        <f aca="false">INDEX(Ipotesi!$C$78:$G$78,1,F370)/12</f>
        <v>1000</v>
      </c>
      <c r="BS370" s="15" t="n">
        <f aca="false">SUM(M370:R370)*(Ipotesi!$C$85+Ipotesi!$C$86)/12</f>
        <v>1239.58333333333</v>
      </c>
      <c r="BT370" s="15" t="n">
        <f aca="false">BI370*Ipotesi!$C$87</f>
        <v>280.576023391813</v>
      </c>
      <c r="BU370" s="15" t="n">
        <f aca="false">INDEX(Ipotesi!$C$55:$G$55,1,F370)*K370/12</f>
        <v>500</v>
      </c>
      <c r="BV370" s="15" t="n">
        <f aca="false">INDEX(Ipotesi!$C$80:$G$80,1,F370)/12*Ipotesi!I126</f>
        <v>500</v>
      </c>
      <c r="BW370" s="15" t="n">
        <f aca="false">INDEX(Ipotesi!$C$82:$G$82,1,F370)/12</f>
        <v>416.666666666667</v>
      </c>
      <c r="BX370" s="15" t="n">
        <f aca="false">INDEX(Ipotesi!$C$83:$G$83,1,F370)/12</f>
        <v>500</v>
      </c>
      <c r="BY370" s="15" t="n">
        <f aca="false">SUM(S370:U370)*(Ipotesi!$C$85+Ipotesi!$C$86)/12</f>
        <v>437.5</v>
      </c>
      <c r="BZ370" s="15" t="n">
        <f aca="false">AM370*Ipotesi!$C$87</f>
        <v>486.315789473684</v>
      </c>
      <c r="CA370" s="15" t="n">
        <f aca="false">AB370+BJ370+BL370+BN370+BO370+AR370+BP370+BQ370+BR370+BS370+BT370</f>
        <v>27770.6223196881</v>
      </c>
      <c r="CB370" s="15" t="n">
        <f aca="false">AC370+BK370+BM370+BH370+BU370+BV370+AS370+BW370+BX370+BY370+BZ370</f>
        <v>12114.5175438596</v>
      </c>
      <c r="CC370" s="15" t="n">
        <f aca="false">BI370-CA370</f>
        <v>-18418.0882066277</v>
      </c>
      <c r="CD370" s="15" t="n">
        <f aca="false">AM370-CB370</f>
        <v>4096.00877192982</v>
      </c>
      <c r="CE370" s="15" t="n">
        <f aca="false">INDEX(Ipotesi!$C$79:$G$79,1,F370)/12</f>
        <v>1666.66666666667</v>
      </c>
      <c r="CF370" s="15" t="n">
        <f aca="false">INDEX(Ipotesi!$C$84:$G$84,1,F370)/12</f>
        <v>250</v>
      </c>
      <c r="CG370" s="15" t="n">
        <f aca="false">Y370*MAX(0,Parametri_v3!$C$12-IF(P370=0,0,MIN(1,BE370/(P370*Parametri_v3!$C$22))))+W370*Parametri_v3!$C$13+X370*Parametri_v3!$C$14</f>
        <v>7129.62962962963</v>
      </c>
      <c r="CH370" s="15" t="n">
        <f aca="false">AB370*Parametri_v3!$C$32</f>
        <v>895.833333333334</v>
      </c>
      <c r="CI370" s="15" t="n">
        <f aca="false">AC370*Parametri_v3!$C$32</f>
        <v>262.5</v>
      </c>
      <c r="CJ370" s="15" t="n">
        <f aca="false">CA370-AB370</f>
        <v>9853.95565302144</v>
      </c>
      <c r="CK370" s="15" t="n">
        <f aca="false">CB370-AC370-BH370</f>
        <v>5243.4649122807</v>
      </c>
      <c r="CL370" s="15" t="n">
        <f aca="false">BF370*Ipotesi!$C$73+INDEX(Ipotesi!$C$72:$G$72,1,F370)/12*Ipotesi!I126*Parametri_v3!$C$58+Z370*(1-Parametri_v3!$C$16)</f>
        <v>1831.01851851852</v>
      </c>
      <c r="CM370" s="16" t="n">
        <f aca="false">IF(BF370=0,0,1-CL370/BF370)</f>
        <v>-6.91</v>
      </c>
    </row>
    <row r="371" customFormat="false" ht="18" hidden="false" customHeight="true" outlineLevel="0" collapsed="false">
      <c r="A371" s="68" t="n">
        <f aca="false">7</f>
        <v>7</v>
      </c>
      <c r="B371" s="68" t="n">
        <f aca="false">7</f>
        <v>7</v>
      </c>
      <c r="C371" s="18" t="n">
        <f aca="false">EDATE(Parametri_v3!$C$5,7-1)</f>
        <v>46569</v>
      </c>
      <c r="D371" s="68" t="n">
        <f aca="false">YEAR(C371)</f>
        <v>2027</v>
      </c>
      <c r="E371" s="68" t="n">
        <f aca="false">MONTH(C371)</f>
        <v>7</v>
      </c>
      <c r="F371" s="68" t="n">
        <f aca="false">INT((7-1)/12)+1</f>
        <v>1</v>
      </c>
      <c r="G371" s="15" t="n">
        <f aca="false">Ipotesi!I7</f>
        <v>1</v>
      </c>
      <c r="H371" s="15" t="n">
        <f aca="false">Ipotesi!I9</f>
        <v>1</v>
      </c>
      <c r="I371" s="15" t="n">
        <f aca="false">Ipotesi!I10</f>
        <v>1</v>
      </c>
      <c r="J371" s="15" t="n">
        <f aca="false">Ipotesi!I11</f>
        <v>1</v>
      </c>
      <c r="K371" s="15" t="n">
        <f aca="false">Ipotesi!I12</f>
        <v>1</v>
      </c>
      <c r="L371" s="15" t="n">
        <f aca="false">Ipotesi!I13</f>
        <v>90</v>
      </c>
      <c r="M371" s="17" t="n">
        <f aca="false">INDEX(Ipotesi!$C$40:$G$40,1,F371)</f>
        <v>1</v>
      </c>
      <c r="N371" s="17" t="n">
        <f aca="false">INDEX(Ipotesi!$C$41:$G$41,1,F371)</f>
        <v>0.75</v>
      </c>
      <c r="O371" s="17" t="n">
        <f aca="false">INDEX(Ipotesi!$C$42:$G$42,1,F371)*Ipotesi!I125</f>
        <v>1</v>
      </c>
      <c r="P371" s="17" t="n">
        <f aca="false">INDEX(Ipotesi!$C$43:$G$43,1,F371)*I371</f>
        <v>1</v>
      </c>
      <c r="Q371" s="17" t="n">
        <f aca="false">INDEX(Ipotesi!$C$44:$G$44,1,F371)*I371</f>
        <v>0.5</v>
      </c>
      <c r="R371" s="17" t="n">
        <f aca="false">INDEX(Ipotesi!$C$45:$G$45,1,F371)*I371</f>
        <v>0</v>
      </c>
      <c r="S371" s="17" t="n">
        <f aca="false">INDEX(Ipotesi!$C$52:$G$52,1,F371)*Ipotesi!I125</f>
        <v>1.5</v>
      </c>
      <c r="T371" s="17" t="n">
        <f aca="false">INDEX(Ipotesi!$C$53:$G$53,1,F371)*I371</f>
        <v>0</v>
      </c>
      <c r="U371" s="17" t="n">
        <f aca="false">INDEX(Ipotesi!$C$54:$G$54,1,F371)*I371</f>
        <v>0</v>
      </c>
      <c r="V371" s="15" t="n">
        <f aca="false">M371*INDEX(Ipotesi!$C$58:$G$58,1,F371)*K371/12</f>
        <v>3333.33333333333</v>
      </c>
      <c r="W371" s="15" t="n">
        <f aca="false">N371*Ipotesi!$C$59*(1+Ipotesi!$C$66)^(F371-1)/12</f>
        <v>4375</v>
      </c>
      <c r="X371" s="15" t="n">
        <f aca="false">O371*Ipotesi!$C$60*(1+Ipotesi!$C$66)^(F371-1)/12</f>
        <v>4166.66666666667</v>
      </c>
      <c r="Y371" s="15" t="n">
        <f aca="false">P371*Ipotesi!$C$61*(1+Ipotesi!$C$66)^(F371-1)/12</f>
        <v>4166.66666666667</v>
      </c>
      <c r="Z371" s="15" t="n">
        <f aca="false">Q371*Ipotesi!$C$62*(1+Ipotesi!$C$66)^(F371-1)/12</f>
        <v>1875</v>
      </c>
      <c r="AA371" s="15" t="n">
        <f aca="false">R371*Ipotesi!$C$63*(1+Ipotesi!$C$66)^(F371-1)/12</f>
        <v>0</v>
      </c>
      <c r="AB371" s="15" t="n">
        <f aca="false">SUM(V371:AA371)</f>
        <v>17916.6666666667</v>
      </c>
      <c r="AC371" s="15" t="n">
        <f aca="false">(S371*Ipotesi!$C$64+T371*Ipotesi!$C$65+U371*Ipotesi!$C$63)*(1+Ipotesi!$C$66)^(F371-1)/12</f>
        <v>5250</v>
      </c>
      <c r="AD371" s="15" t="n">
        <f aca="false">INDEX(Ipotesi!$C$48:$G$48,1,F371)*G371/12</f>
        <v>16.6666666666667</v>
      </c>
      <c r="AE371" s="15" t="n">
        <f aca="false">INDEX(Ipotesi!$C$50:$G$50,1,F371)*G371/12</f>
        <v>2.08333333333333</v>
      </c>
      <c r="AF371" s="15" t="n">
        <f aca="false">(S371*Parametri_v3!$C$7*Parametri_v3!$C$8+Parametri_v3!$C$10)/12</f>
        <v>19.25</v>
      </c>
      <c r="AG371" s="15" t="n">
        <f aca="false">AD371+AE371*(1+Parametri_v3!$C$9)</f>
        <v>19.7916666666667</v>
      </c>
      <c r="AH371" s="16" t="n">
        <f aca="false">IF(AG371=0,1,MIN(1,AF371/AG371))</f>
        <v>0.972631578947368</v>
      </c>
      <c r="AI371" s="15" t="n">
        <f aca="false">AD371*AH371</f>
        <v>16.2105263157895</v>
      </c>
      <c r="AJ371" s="15" t="n">
        <f aca="false">AE371*AH371</f>
        <v>2.02631578947368</v>
      </c>
      <c r="AK371" s="15" t="n">
        <f aca="false">AI371*INDEX(Ipotesi!$C$49:$G$49,1,F371)*H371</f>
        <v>12157.8947368421</v>
      </c>
      <c r="AL371" s="15" t="n">
        <f aca="false">AJ371*INDEX(Ipotesi!$C$51:$G$51,1,F371)*H371</f>
        <v>4052.63157894737</v>
      </c>
      <c r="AM371" s="15" t="n">
        <f aca="false">AK371+AL371</f>
        <v>16210.5263157895</v>
      </c>
      <c r="AN371" s="15" t="n">
        <f aca="false">INDEX(Ipotesi!$C$30:$G$30,1,F371)*G371/12</f>
        <v>8.33333333333333</v>
      </c>
      <c r="AO371" s="15" t="n">
        <f aca="false">O371*Parametri_v3!$C$7*Parametri_v3!$C$11*(1-Parametri_v3!$C$14)/12</f>
        <v>10.2666666666667</v>
      </c>
      <c r="AP371" s="15" t="n">
        <f aca="false">MIN(AN371,AO371)</f>
        <v>8.33333333333333</v>
      </c>
      <c r="AQ371" s="15" t="n">
        <f aca="false">AP371*INDEX(Ipotesi!$C$31:$G$31,1,F371)*H371</f>
        <v>7500</v>
      </c>
      <c r="AR371" s="15" t="n">
        <f aca="false">INDEX(Ipotesi!$C$75:$G$75,1,F371)*J371/12</f>
        <v>2083.33333333333</v>
      </c>
      <c r="AS371" s="15" t="n">
        <f aca="false">INDEX(Ipotesi!$C$81:$G$81,1,F371)*J371/12</f>
        <v>416.666666666667</v>
      </c>
      <c r="AT371" s="15" t="n">
        <f aca="false">AR371*Parametri_v3!$C$15+Z371*Parametri_v3!$C$16</f>
        <v>3395.83333333333</v>
      </c>
      <c r="AU371" s="15" t="n">
        <f aca="false">Q371*Parametri_v3!$C$16*Parametri_v3!$C$17</f>
        <v>35</v>
      </c>
      <c r="AV371" s="17" t="n">
        <f aca="false">BD370</f>
        <v>1.66666666666667</v>
      </c>
      <c r="AW371" s="17" t="n">
        <f aca="false">AV371*(1-(1-INDEX(Ipotesi!$C$34:$G$34,1,F371))^(1/12))</f>
        <v>0</v>
      </c>
      <c r="AX371" s="15" t="n">
        <f aca="false">ROUND(INDEX(Ipotesi!$C$32:$G$32,1,F371)*Ipotesi!I8,0)</f>
        <v>5</v>
      </c>
      <c r="AY371" s="15" t="n">
        <f aca="false">MAX(0,(AX371-(AV371-AW371))/(13-E371))</f>
        <v>0.555555555555556</v>
      </c>
      <c r="AZ371" s="15" t="n">
        <f aca="false">MIN(P371*Parametri_v3!$C$22,Q371*(1-Parametri_v3!$C$16)*Parametri_v3!$C$23)</f>
        <v>22.5</v>
      </c>
      <c r="BA371" s="15" t="n">
        <f aca="false">IF(OR(INDEX(Ipotesi!$C$35:$G$35,1,F371)&lt;=0,7-Parametri_v3!$C$21&lt;1),0,INDEX($AT$365:$AT$424,MAX(1,7-Parametri_v3!$C$21))/(INDEX(Ipotesi!$C$35:$G$35,1,F371)*Ipotesi!I27))</f>
        <v>0.679166666666667</v>
      </c>
      <c r="BB371" s="15" t="n">
        <f aca="false">IF(7-Parametri_v3!$C$21&lt;1,0,INDEX($AU$365:$AU$424,MAX(1,7-Parametri_v3!$C$21)))*Parametri_v3!$C$18*Parametri_v3!$C$19*Parametri_v3!$C$20</f>
        <v>1.3125</v>
      </c>
      <c r="BC371" s="17" t="n">
        <f aca="false">MAX(0,MIN(AY371,BA371,BB371,MAX(0,AZ371-(AV371-AW371))))</f>
        <v>0.555555555555556</v>
      </c>
      <c r="BD371" s="17" t="n">
        <f aca="false">AV371-AW371+BC371</f>
        <v>2.22222222222222</v>
      </c>
      <c r="BE371" s="17" t="n">
        <f aca="false">(AV371+BD371)/2</f>
        <v>1.94444444444444</v>
      </c>
      <c r="BF371" s="15" t="n">
        <f aca="false">BE371*INDEX(Ipotesi!$C$33:$G$33,1,F371)*H371/12</f>
        <v>324.074074074074</v>
      </c>
      <c r="BG371" s="15" t="n">
        <f aca="false">BD371*INDEX(Ipotesi!$C$33:$G$33,1,F371)*H371</f>
        <v>4444.44444444444</v>
      </c>
      <c r="BH371" s="15" t="n">
        <f aca="false">AM371*INDEX(Ipotesi!$C$37:$G$37,1,F371)</f>
        <v>1621.05263157895</v>
      </c>
      <c r="BI371" s="15" t="n">
        <f aca="false">AQ371+BF371+BH371</f>
        <v>9445.12670565302</v>
      </c>
      <c r="BJ371" s="15" t="n">
        <f aca="false">INDEX(Ipotesi!$C$68:$G$68,1,F371)*Ipotesi!$C$69/12</f>
        <v>1000</v>
      </c>
      <c r="BK371" s="15" t="n">
        <f aca="false">INDEX(Ipotesi!$C$68:$G$68,1,F371)*(1-Ipotesi!$C$69)/12</f>
        <v>1500</v>
      </c>
      <c r="BL371" s="15" t="n">
        <f aca="false">(AQ371+BF371)*Ipotesi!$C$67</f>
        <v>234.722222222222</v>
      </c>
      <c r="BM371" s="15" t="n">
        <f aca="false">AM371*Ipotesi!$C$67</f>
        <v>486.315789473684</v>
      </c>
      <c r="BN371" s="15" t="n">
        <f aca="false">INDEX(Ipotesi!$C$72:$G$72,1,F371)/12*Ipotesi!I126+BF371*Ipotesi!$C$73</f>
        <v>1275.92592592593</v>
      </c>
      <c r="BO371" s="15" t="n">
        <f aca="false">INDEX(Ipotesi!$C$74:$G$74,1,F371)/12*Ipotesi!I126</f>
        <v>1000</v>
      </c>
      <c r="BP371" s="15" t="n">
        <f aca="false">INDEX(Ipotesi!$C$76:$G$76,1,F371)/12</f>
        <v>500</v>
      </c>
      <c r="BQ371" s="15" t="n">
        <f aca="false">INDEX(Ipotesi!$C$77:$G$77,1,F371)/12*Ipotesi!I126</f>
        <v>1250</v>
      </c>
      <c r="BR371" s="15" t="n">
        <f aca="false">INDEX(Ipotesi!$C$78:$G$78,1,F371)/12</f>
        <v>1000</v>
      </c>
      <c r="BS371" s="15" t="n">
        <f aca="false">SUM(M371:R371)*(Ipotesi!$C$85+Ipotesi!$C$86)/12</f>
        <v>1239.58333333333</v>
      </c>
      <c r="BT371" s="15" t="n">
        <f aca="false">BI371*Ipotesi!$C$87</f>
        <v>283.353801169591</v>
      </c>
      <c r="BU371" s="15" t="n">
        <f aca="false">INDEX(Ipotesi!$C$55:$G$55,1,F371)*K371/12</f>
        <v>500</v>
      </c>
      <c r="BV371" s="15" t="n">
        <f aca="false">INDEX(Ipotesi!$C$80:$G$80,1,F371)/12*Ipotesi!I126</f>
        <v>500</v>
      </c>
      <c r="BW371" s="15" t="n">
        <f aca="false">INDEX(Ipotesi!$C$82:$G$82,1,F371)/12</f>
        <v>416.666666666667</v>
      </c>
      <c r="BX371" s="15" t="n">
        <f aca="false">INDEX(Ipotesi!$C$83:$G$83,1,F371)/12</f>
        <v>500</v>
      </c>
      <c r="BY371" s="15" t="n">
        <f aca="false">SUM(S371:U371)*(Ipotesi!$C$85+Ipotesi!$C$86)/12</f>
        <v>437.5</v>
      </c>
      <c r="BZ371" s="15" t="n">
        <f aca="false">AM371*Ipotesi!$C$87</f>
        <v>486.315789473684</v>
      </c>
      <c r="CA371" s="15" t="n">
        <f aca="false">AB371+BJ371+BL371+BN371+BO371+AR371+BP371+BQ371+BR371+BS371+BT371</f>
        <v>27783.5852826511</v>
      </c>
      <c r="CB371" s="15" t="n">
        <f aca="false">AC371+BK371+BM371+BH371+BU371+BV371+AS371+BW371+BX371+BY371+BZ371</f>
        <v>12114.5175438596</v>
      </c>
      <c r="CC371" s="15" t="n">
        <f aca="false">BI371-CA371</f>
        <v>-18338.458576998</v>
      </c>
      <c r="CD371" s="15" t="n">
        <f aca="false">AM371-CB371</f>
        <v>4096.00877192982</v>
      </c>
      <c r="CE371" s="15" t="n">
        <f aca="false">INDEX(Ipotesi!$C$79:$G$79,1,F371)/12</f>
        <v>1666.66666666667</v>
      </c>
      <c r="CF371" s="15" t="n">
        <f aca="false">INDEX(Ipotesi!$C$84:$G$84,1,F371)/12</f>
        <v>250</v>
      </c>
      <c r="CG371" s="15" t="n">
        <f aca="false">Y371*MAX(0,Parametri_v3!$C$12-IF(P371=0,0,MIN(1,BE371/(P371*Parametri_v3!$C$22))))+W371*Parametri_v3!$C$13+X371*Parametri_v3!$C$14</f>
        <v>7106.48148148148</v>
      </c>
      <c r="CH371" s="15" t="n">
        <f aca="false">AB371*Parametri_v3!$C$32</f>
        <v>895.833333333334</v>
      </c>
      <c r="CI371" s="15" t="n">
        <f aca="false">AC371*Parametri_v3!$C$32</f>
        <v>262.5</v>
      </c>
      <c r="CJ371" s="15" t="n">
        <f aca="false">CA371-AB371</f>
        <v>9866.9186159844</v>
      </c>
      <c r="CK371" s="15" t="n">
        <f aca="false">CB371-AC371-BH371</f>
        <v>5243.4649122807</v>
      </c>
      <c r="CL371" s="15" t="n">
        <f aca="false">BF371*Ipotesi!$C$73+INDEX(Ipotesi!$C$72:$G$72,1,F371)/12*Ipotesi!I126*Parametri_v3!$C$58+Z371*(1-Parametri_v3!$C$16)</f>
        <v>1838.42592592593</v>
      </c>
      <c r="CM371" s="16" t="n">
        <f aca="false">IF(BF371=0,0,1-CL371/BF371)</f>
        <v>-4.67285714285714</v>
      </c>
    </row>
    <row r="372" customFormat="false" ht="18" hidden="false" customHeight="true" outlineLevel="0" collapsed="false">
      <c r="A372" s="68" t="n">
        <f aca="false">7</f>
        <v>7</v>
      </c>
      <c r="B372" s="68" t="n">
        <f aca="false">8</f>
        <v>8</v>
      </c>
      <c r="C372" s="18" t="n">
        <f aca="false">EDATE(Parametri_v3!$C$5,8-1)</f>
        <v>46600</v>
      </c>
      <c r="D372" s="68" t="n">
        <f aca="false">YEAR(C372)</f>
        <v>2027</v>
      </c>
      <c r="E372" s="68" t="n">
        <f aca="false">MONTH(C372)</f>
        <v>8</v>
      </c>
      <c r="F372" s="68" t="n">
        <f aca="false">INT((8-1)/12)+1</f>
        <v>1</v>
      </c>
      <c r="G372" s="15" t="n">
        <f aca="false">Ipotesi!I7</f>
        <v>1</v>
      </c>
      <c r="H372" s="15" t="n">
        <f aca="false">Ipotesi!I9</f>
        <v>1</v>
      </c>
      <c r="I372" s="15" t="n">
        <f aca="false">Ipotesi!I10</f>
        <v>1</v>
      </c>
      <c r="J372" s="15" t="n">
        <f aca="false">Ipotesi!I11</f>
        <v>1</v>
      </c>
      <c r="K372" s="15" t="n">
        <f aca="false">Ipotesi!I12</f>
        <v>1</v>
      </c>
      <c r="L372" s="15" t="n">
        <f aca="false">Ipotesi!I13</f>
        <v>90</v>
      </c>
      <c r="M372" s="17" t="n">
        <f aca="false">INDEX(Ipotesi!$C$40:$G$40,1,F372)</f>
        <v>1</v>
      </c>
      <c r="N372" s="17" t="n">
        <f aca="false">INDEX(Ipotesi!$C$41:$G$41,1,F372)</f>
        <v>0.75</v>
      </c>
      <c r="O372" s="17" t="n">
        <f aca="false">INDEX(Ipotesi!$C$42:$G$42,1,F372)*Ipotesi!I125</f>
        <v>1</v>
      </c>
      <c r="P372" s="17" t="n">
        <f aca="false">INDEX(Ipotesi!$C$43:$G$43,1,F372)*I372</f>
        <v>1</v>
      </c>
      <c r="Q372" s="17" t="n">
        <f aca="false">INDEX(Ipotesi!$C$44:$G$44,1,F372)*I372</f>
        <v>0.5</v>
      </c>
      <c r="R372" s="17" t="n">
        <f aca="false">INDEX(Ipotesi!$C$45:$G$45,1,F372)*I372</f>
        <v>0</v>
      </c>
      <c r="S372" s="17" t="n">
        <f aca="false">INDEX(Ipotesi!$C$52:$G$52,1,F372)*Ipotesi!I125</f>
        <v>1.5</v>
      </c>
      <c r="T372" s="17" t="n">
        <f aca="false">INDEX(Ipotesi!$C$53:$G$53,1,F372)*I372</f>
        <v>0</v>
      </c>
      <c r="U372" s="17" t="n">
        <f aca="false">INDEX(Ipotesi!$C$54:$G$54,1,F372)*I372</f>
        <v>0</v>
      </c>
      <c r="V372" s="15" t="n">
        <f aca="false">M372*INDEX(Ipotesi!$C$58:$G$58,1,F372)*K372/12</f>
        <v>3333.33333333333</v>
      </c>
      <c r="W372" s="15" t="n">
        <f aca="false">N372*Ipotesi!$C$59*(1+Ipotesi!$C$66)^(F372-1)/12</f>
        <v>4375</v>
      </c>
      <c r="X372" s="15" t="n">
        <f aca="false">O372*Ipotesi!$C$60*(1+Ipotesi!$C$66)^(F372-1)/12</f>
        <v>4166.66666666667</v>
      </c>
      <c r="Y372" s="15" t="n">
        <f aca="false">P372*Ipotesi!$C$61*(1+Ipotesi!$C$66)^(F372-1)/12</f>
        <v>4166.66666666667</v>
      </c>
      <c r="Z372" s="15" t="n">
        <f aca="false">Q372*Ipotesi!$C$62*(1+Ipotesi!$C$66)^(F372-1)/12</f>
        <v>1875</v>
      </c>
      <c r="AA372" s="15" t="n">
        <f aca="false">R372*Ipotesi!$C$63*(1+Ipotesi!$C$66)^(F372-1)/12</f>
        <v>0</v>
      </c>
      <c r="AB372" s="15" t="n">
        <f aca="false">SUM(V372:AA372)</f>
        <v>17916.6666666667</v>
      </c>
      <c r="AC372" s="15" t="n">
        <f aca="false">(S372*Ipotesi!$C$64+T372*Ipotesi!$C$65+U372*Ipotesi!$C$63)*(1+Ipotesi!$C$66)^(F372-1)/12</f>
        <v>5250</v>
      </c>
      <c r="AD372" s="15" t="n">
        <f aca="false">INDEX(Ipotesi!$C$48:$G$48,1,F372)*G372/12</f>
        <v>16.6666666666667</v>
      </c>
      <c r="AE372" s="15" t="n">
        <f aca="false">INDEX(Ipotesi!$C$50:$G$50,1,F372)*G372/12</f>
        <v>2.08333333333333</v>
      </c>
      <c r="AF372" s="15" t="n">
        <f aca="false">(S372*Parametri_v3!$C$7*Parametri_v3!$C$8+Parametri_v3!$C$10)/12</f>
        <v>19.25</v>
      </c>
      <c r="AG372" s="15" t="n">
        <f aca="false">AD372+AE372*(1+Parametri_v3!$C$9)</f>
        <v>19.7916666666667</v>
      </c>
      <c r="AH372" s="16" t="n">
        <f aca="false">IF(AG372=0,1,MIN(1,AF372/AG372))</f>
        <v>0.972631578947368</v>
      </c>
      <c r="AI372" s="15" t="n">
        <f aca="false">AD372*AH372</f>
        <v>16.2105263157895</v>
      </c>
      <c r="AJ372" s="15" t="n">
        <f aca="false">AE372*AH372</f>
        <v>2.02631578947368</v>
      </c>
      <c r="AK372" s="15" t="n">
        <f aca="false">AI372*INDEX(Ipotesi!$C$49:$G$49,1,F372)*H372</f>
        <v>12157.8947368421</v>
      </c>
      <c r="AL372" s="15" t="n">
        <f aca="false">AJ372*INDEX(Ipotesi!$C$51:$G$51,1,F372)*H372</f>
        <v>4052.63157894737</v>
      </c>
      <c r="AM372" s="15" t="n">
        <f aca="false">AK372+AL372</f>
        <v>16210.5263157895</v>
      </c>
      <c r="AN372" s="15" t="n">
        <f aca="false">INDEX(Ipotesi!$C$30:$G$30,1,F372)*G372/12</f>
        <v>8.33333333333333</v>
      </c>
      <c r="AO372" s="15" t="n">
        <f aca="false">O372*Parametri_v3!$C$7*Parametri_v3!$C$11*(1-Parametri_v3!$C$14)/12</f>
        <v>10.2666666666667</v>
      </c>
      <c r="AP372" s="15" t="n">
        <f aca="false">MIN(AN372,AO372)</f>
        <v>8.33333333333333</v>
      </c>
      <c r="AQ372" s="15" t="n">
        <f aca="false">AP372*INDEX(Ipotesi!$C$31:$G$31,1,F372)*H372</f>
        <v>7500</v>
      </c>
      <c r="AR372" s="15" t="n">
        <f aca="false">INDEX(Ipotesi!$C$75:$G$75,1,F372)*J372/12</f>
        <v>2083.33333333333</v>
      </c>
      <c r="AS372" s="15" t="n">
        <f aca="false">INDEX(Ipotesi!$C$81:$G$81,1,F372)*J372/12</f>
        <v>416.666666666667</v>
      </c>
      <c r="AT372" s="15" t="n">
        <f aca="false">AR372*Parametri_v3!$C$15+Z372*Parametri_v3!$C$16</f>
        <v>3395.83333333333</v>
      </c>
      <c r="AU372" s="15" t="n">
        <f aca="false">Q372*Parametri_v3!$C$16*Parametri_v3!$C$17</f>
        <v>35</v>
      </c>
      <c r="AV372" s="17" t="n">
        <f aca="false">BD371</f>
        <v>2.22222222222222</v>
      </c>
      <c r="AW372" s="17" t="n">
        <f aca="false">AV372*(1-(1-INDEX(Ipotesi!$C$34:$G$34,1,F372))^(1/12))</f>
        <v>0</v>
      </c>
      <c r="AX372" s="15" t="n">
        <f aca="false">ROUND(INDEX(Ipotesi!$C$32:$G$32,1,F372)*Ipotesi!I8,0)</f>
        <v>5</v>
      </c>
      <c r="AY372" s="15" t="n">
        <f aca="false">MAX(0,(AX372-(AV372-AW372))/(13-E372))</f>
        <v>0.555555555555556</v>
      </c>
      <c r="AZ372" s="15" t="n">
        <f aca="false">MIN(P372*Parametri_v3!$C$22,Q372*(1-Parametri_v3!$C$16)*Parametri_v3!$C$23)</f>
        <v>22.5</v>
      </c>
      <c r="BA372" s="15" t="n">
        <f aca="false">IF(OR(INDEX(Ipotesi!$C$35:$G$35,1,F372)&lt;=0,8-Parametri_v3!$C$21&lt;1),0,INDEX($AT$365:$AT$424,MAX(1,8-Parametri_v3!$C$21))/(INDEX(Ipotesi!$C$35:$G$35,1,F372)*Ipotesi!I27))</f>
        <v>0.679166666666667</v>
      </c>
      <c r="BB372" s="15" t="n">
        <f aca="false">IF(8-Parametri_v3!$C$21&lt;1,0,INDEX($AU$365:$AU$424,MAX(1,8-Parametri_v3!$C$21)))*Parametri_v3!$C$18*Parametri_v3!$C$19*Parametri_v3!$C$20</f>
        <v>1.3125</v>
      </c>
      <c r="BC372" s="17" t="n">
        <f aca="false">MAX(0,MIN(AY372,BA372,BB372,MAX(0,AZ372-(AV372-AW372))))</f>
        <v>0.555555555555556</v>
      </c>
      <c r="BD372" s="17" t="n">
        <f aca="false">AV372-AW372+BC372</f>
        <v>2.77777777777778</v>
      </c>
      <c r="BE372" s="17" t="n">
        <f aca="false">(AV372+BD372)/2</f>
        <v>2.5</v>
      </c>
      <c r="BF372" s="15" t="n">
        <f aca="false">BE372*INDEX(Ipotesi!$C$33:$G$33,1,F372)*H372/12</f>
        <v>416.666666666667</v>
      </c>
      <c r="BG372" s="15" t="n">
        <f aca="false">BD372*INDEX(Ipotesi!$C$33:$G$33,1,F372)*H372</f>
        <v>5555.55555555556</v>
      </c>
      <c r="BH372" s="15" t="n">
        <f aca="false">AM372*INDEX(Ipotesi!$C$37:$G$37,1,F372)</f>
        <v>1621.05263157895</v>
      </c>
      <c r="BI372" s="15" t="n">
        <f aca="false">AQ372+BF372+BH372</f>
        <v>9537.71929824561</v>
      </c>
      <c r="BJ372" s="15" t="n">
        <f aca="false">INDEX(Ipotesi!$C$68:$G$68,1,F372)*Ipotesi!$C$69/12</f>
        <v>1000</v>
      </c>
      <c r="BK372" s="15" t="n">
        <f aca="false">INDEX(Ipotesi!$C$68:$G$68,1,F372)*(1-Ipotesi!$C$69)/12</f>
        <v>1500</v>
      </c>
      <c r="BL372" s="15" t="n">
        <f aca="false">(AQ372+BF372)*Ipotesi!$C$67</f>
        <v>237.5</v>
      </c>
      <c r="BM372" s="15" t="n">
        <f aca="false">AM372*Ipotesi!$C$67</f>
        <v>486.315789473684</v>
      </c>
      <c r="BN372" s="15" t="n">
        <f aca="false">INDEX(Ipotesi!$C$72:$G$72,1,F372)/12*Ipotesi!I126+BF372*Ipotesi!$C$73</f>
        <v>1283.33333333333</v>
      </c>
      <c r="BO372" s="15" t="n">
        <f aca="false">INDEX(Ipotesi!$C$74:$G$74,1,F372)/12*Ipotesi!I126</f>
        <v>1000</v>
      </c>
      <c r="BP372" s="15" t="n">
        <f aca="false">INDEX(Ipotesi!$C$76:$G$76,1,F372)/12</f>
        <v>500</v>
      </c>
      <c r="BQ372" s="15" t="n">
        <f aca="false">INDEX(Ipotesi!$C$77:$G$77,1,F372)/12*Ipotesi!I126</f>
        <v>1250</v>
      </c>
      <c r="BR372" s="15" t="n">
        <f aca="false">INDEX(Ipotesi!$C$78:$G$78,1,F372)/12</f>
        <v>1000</v>
      </c>
      <c r="BS372" s="15" t="n">
        <f aca="false">SUM(M372:R372)*(Ipotesi!$C$85+Ipotesi!$C$86)/12</f>
        <v>1239.58333333333</v>
      </c>
      <c r="BT372" s="15" t="n">
        <f aca="false">BI372*Ipotesi!$C$87</f>
        <v>286.131578947368</v>
      </c>
      <c r="BU372" s="15" t="n">
        <f aca="false">INDEX(Ipotesi!$C$55:$G$55,1,F372)*K372/12</f>
        <v>500</v>
      </c>
      <c r="BV372" s="15" t="n">
        <f aca="false">INDEX(Ipotesi!$C$80:$G$80,1,F372)/12*Ipotesi!I126</f>
        <v>500</v>
      </c>
      <c r="BW372" s="15" t="n">
        <f aca="false">INDEX(Ipotesi!$C$82:$G$82,1,F372)/12</f>
        <v>416.666666666667</v>
      </c>
      <c r="BX372" s="15" t="n">
        <f aca="false">INDEX(Ipotesi!$C$83:$G$83,1,F372)/12</f>
        <v>500</v>
      </c>
      <c r="BY372" s="15" t="n">
        <f aca="false">SUM(S372:U372)*(Ipotesi!$C$85+Ipotesi!$C$86)/12</f>
        <v>437.5</v>
      </c>
      <c r="BZ372" s="15" t="n">
        <f aca="false">AM372*Ipotesi!$C$87</f>
        <v>486.315789473684</v>
      </c>
      <c r="CA372" s="15" t="n">
        <f aca="false">AB372+BJ372+BL372+BN372+BO372+AR372+BP372+BQ372+BR372+BS372+BT372</f>
        <v>27796.548245614</v>
      </c>
      <c r="CB372" s="15" t="n">
        <f aca="false">AC372+BK372+BM372+BH372+BU372+BV372+AS372+BW372+BX372+BY372+BZ372</f>
        <v>12114.5175438596</v>
      </c>
      <c r="CC372" s="15" t="n">
        <f aca="false">BI372-CA372</f>
        <v>-18258.8289473684</v>
      </c>
      <c r="CD372" s="15" t="n">
        <f aca="false">AM372-CB372</f>
        <v>4096.00877192982</v>
      </c>
      <c r="CE372" s="15" t="n">
        <f aca="false">INDEX(Ipotesi!$C$79:$G$79,1,F372)/12</f>
        <v>1666.66666666667</v>
      </c>
      <c r="CF372" s="15" t="n">
        <f aca="false">INDEX(Ipotesi!$C$84:$G$84,1,F372)/12</f>
        <v>250</v>
      </c>
      <c r="CG372" s="15" t="n">
        <f aca="false">Y372*MAX(0,Parametri_v3!$C$12-IF(P372=0,0,MIN(1,BE372/(P372*Parametri_v3!$C$22))))+W372*Parametri_v3!$C$13+X372*Parametri_v3!$C$14</f>
        <v>7083.33333333333</v>
      </c>
      <c r="CH372" s="15" t="n">
        <f aca="false">AB372*Parametri_v3!$C$32</f>
        <v>895.833333333334</v>
      </c>
      <c r="CI372" s="15" t="n">
        <f aca="false">AC372*Parametri_v3!$C$32</f>
        <v>262.5</v>
      </c>
      <c r="CJ372" s="15" t="n">
        <f aca="false">CA372-AB372</f>
        <v>9879.88157894737</v>
      </c>
      <c r="CK372" s="15" t="n">
        <f aca="false">CB372-AC372-BH372</f>
        <v>5243.4649122807</v>
      </c>
      <c r="CL372" s="15" t="n">
        <f aca="false">BF372*Ipotesi!$C$73+INDEX(Ipotesi!$C$72:$G$72,1,F372)/12*Ipotesi!I126*Parametri_v3!$C$58+Z372*(1-Parametri_v3!$C$16)</f>
        <v>1845.83333333333</v>
      </c>
      <c r="CM372" s="16" t="n">
        <f aca="false">IF(BF372=0,0,1-CL372/BF372)</f>
        <v>-3.43</v>
      </c>
    </row>
    <row r="373" customFormat="false" ht="18" hidden="false" customHeight="true" outlineLevel="0" collapsed="false">
      <c r="A373" s="68" t="n">
        <f aca="false">7</f>
        <v>7</v>
      </c>
      <c r="B373" s="68" t="n">
        <f aca="false">9</f>
        <v>9</v>
      </c>
      <c r="C373" s="18" t="n">
        <f aca="false">EDATE(Parametri_v3!$C$5,9-1)</f>
        <v>46631</v>
      </c>
      <c r="D373" s="68" t="n">
        <f aca="false">YEAR(C373)</f>
        <v>2027</v>
      </c>
      <c r="E373" s="68" t="n">
        <f aca="false">MONTH(C373)</f>
        <v>9</v>
      </c>
      <c r="F373" s="68" t="n">
        <f aca="false">INT((9-1)/12)+1</f>
        <v>1</v>
      </c>
      <c r="G373" s="15" t="n">
        <f aca="false">Ipotesi!I7</f>
        <v>1</v>
      </c>
      <c r="H373" s="15" t="n">
        <f aca="false">Ipotesi!I9</f>
        <v>1</v>
      </c>
      <c r="I373" s="15" t="n">
        <f aca="false">Ipotesi!I10</f>
        <v>1</v>
      </c>
      <c r="J373" s="15" t="n">
        <f aca="false">Ipotesi!I11</f>
        <v>1</v>
      </c>
      <c r="K373" s="15" t="n">
        <f aca="false">Ipotesi!I12</f>
        <v>1</v>
      </c>
      <c r="L373" s="15" t="n">
        <f aca="false">Ipotesi!I13</f>
        <v>90</v>
      </c>
      <c r="M373" s="17" t="n">
        <f aca="false">INDEX(Ipotesi!$C$40:$G$40,1,F373)</f>
        <v>1</v>
      </c>
      <c r="N373" s="17" t="n">
        <f aca="false">INDEX(Ipotesi!$C$41:$G$41,1,F373)</f>
        <v>0.75</v>
      </c>
      <c r="O373" s="17" t="n">
        <f aca="false">INDEX(Ipotesi!$C$42:$G$42,1,F373)*Ipotesi!I125</f>
        <v>1</v>
      </c>
      <c r="P373" s="17" t="n">
        <f aca="false">INDEX(Ipotesi!$C$43:$G$43,1,F373)*I373</f>
        <v>1</v>
      </c>
      <c r="Q373" s="17" t="n">
        <f aca="false">INDEX(Ipotesi!$C$44:$G$44,1,F373)*I373</f>
        <v>0.5</v>
      </c>
      <c r="R373" s="17" t="n">
        <f aca="false">INDEX(Ipotesi!$C$45:$G$45,1,F373)*I373</f>
        <v>0</v>
      </c>
      <c r="S373" s="17" t="n">
        <f aca="false">INDEX(Ipotesi!$C$52:$G$52,1,F373)*Ipotesi!I125</f>
        <v>1.5</v>
      </c>
      <c r="T373" s="17" t="n">
        <f aca="false">INDEX(Ipotesi!$C$53:$G$53,1,F373)*I373</f>
        <v>0</v>
      </c>
      <c r="U373" s="17" t="n">
        <f aca="false">INDEX(Ipotesi!$C$54:$G$54,1,F373)*I373</f>
        <v>0</v>
      </c>
      <c r="V373" s="15" t="n">
        <f aca="false">M373*INDEX(Ipotesi!$C$58:$G$58,1,F373)*K373/12</f>
        <v>3333.33333333333</v>
      </c>
      <c r="W373" s="15" t="n">
        <f aca="false">N373*Ipotesi!$C$59*(1+Ipotesi!$C$66)^(F373-1)/12</f>
        <v>4375</v>
      </c>
      <c r="X373" s="15" t="n">
        <f aca="false">O373*Ipotesi!$C$60*(1+Ipotesi!$C$66)^(F373-1)/12</f>
        <v>4166.66666666667</v>
      </c>
      <c r="Y373" s="15" t="n">
        <f aca="false">P373*Ipotesi!$C$61*(1+Ipotesi!$C$66)^(F373-1)/12</f>
        <v>4166.66666666667</v>
      </c>
      <c r="Z373" s="15" t="n">
        <f aca="false">Q373*Ipotesi!$C$62*(1+Ipotesi!$C$66)^(F373-1)/12</f>
        <v>1875</v>
      </c>
      <c r="AA373" s="15" t="n">
        <f aca="false">R373*Ipotesi!$C$63*(1+Ipotesi!$C$66)^(F373-1)/12</f>
        <v>0</v>
      </c>
      <c r="AB373" s="15" t="n">
        <f aca="false">SUM(V373:AA373)</f>
        <v>17916.6666666667</v>
      </c>
      <c r="AC373" s="15" t="n">
        <f aca="false">(S373*Ipotesi!$C$64+T373*Ipotesi!$C$65+U373*Ipotesi!$C$63)*(1+Ipotesi!$C$66)^(F373-1)/12</f>
        <v>5250</v>
      </c>
      <c r="AD373" s="15" t="n">
        <f aca="false">INDEX(Ipotesi!$C$48:$G$48,1,F373)*G373/12</f>
        <v>16.6666666666667</v>
      </c>
      <c r="AE373" s="15" t="n">
        <f aca="false">INDEX(Ipotesi!$C$50:$G$50,1,F373)*G373/12</f>
        <v>2.08333333333333</v>
      </c>
      <c r="AF373" s="15" t="n">
        <f aca="false">(S373*Parametri_v3!$C$7*Parametri_v3!$C$8+Parametri_v3!$C$10)/12</f>
        <v>19.25</v>
      </c>
      <c r="AG373" s="15" t="n">
        <f aca="false">AD373+AE373*(1+Parametri_v3!$C$9)</f>
        <v>19.7916666666667</v>
      </c>
      <c r="AH373" s="16" t="n">
        <f aca="false">IF(AG373=0,1,MIN(1,AF373/AG373))</f>
        <v>0.972631578947368</v>
      </c>
      <c r="AI373" s="15" t="n">
        <f aca="false">AD373*AH373</f>
        <v>16.2105263157895</v>
      </c>
      <c r="AJ373" s="15" t="n">
        <f aca="false">AE373*AH373</f>
        <v>2.02631578947368</v>
      </c>
      <c r="AK373" s="15" t="n">
        <f aca="false">AI373*INDEX(Ipotesi!$C$49:$G$49,1,F373)*H373</f>
        <v>12157.8947368421</v>
      </c>
      <c r="AL373" s="15" t="n">
        <f aca="false">AJ373*INDEX(Ipotesi!$C$51:$G$51,1,F373)*H373</f>
        <v>4052.63157894737</v>
      </c>
      <c r="AM373" s="15" t="n">
        <f aca="false">AK373+AL373</f>
        <v>16210.5263157895</v>
      </c>
      <c r="AN373" s="15" t="n">
        <f aca="false">INDEX(Ipotesi!$C$30:$G$30,1,F373)*G373/12</f>
        <v>8.33333333333333</v>
      </c>
      <c r="AO373" s="15" t="n">
        <f aca="false">O373*Parametri_v3!$C$7*Parametri_v3!$C$11*(1-Parametri_v3!$C$14)/12</f>
        <v>10.2666666666667</v>
      </c>
      <c r="AP373" s="15" t="n">
        <f aca="false">MIN(AN373,AO373)</f>
        <v>8.33333333333333</v>
      </c>
      <c r="AQ373" s="15" t="n">
        <f aca="false">AP373*INDEX(Ipotesi!$C$31:$G$31,1,F373)*H373</f>
        <v>7500</v>
      </c>
      <c r="AR373" s="15" t="n">
        <f aca="false">INDEX(Ipotesi!$C$75:$G$75,1,F373)*J373/12</f>
        <v>2083.33333333333</v>
      </c>
      <c r="AS373" s="15" t="n">
        <f aca="false">INDEX(Ipotesi!$C$81:$G$81,1,F373)*J373/12</f>
        <v>416.666666666667</v>
      </c>
      <c r="AT373" s="15" t="n">
        <f aca="false">AR373*Parametri_v3!$C$15+Z373*Parametri_v3!$C$16</f>
        <v>3395.83333333333</v>
      </c>
      <c r="AU373" s="15" t="n">
        <f aca="false">Q373*Parametri_v3!$C$16*Parametri_v3!$C$17</f>
        <v>35</v>
      </c>
      <c r="AV373" s="17" t="n">
        <f aca="false">BD372</f>
        <v>2.77777777777778</v>
      </c>
      <c r="AW373" s="17" t="n">
        <f aca="false">AV373*(1-(1-INDEX(Ipotesi!$C$34:$G$34,1,F373))^(1/12))</f>
        <v>0</v>
      </c>
      <c r="AX373" s="15" t="n">
        <f aca="false">ROUND(INDEX(Ipotesi!$C$32:$G$32,1,F373)*Ipotesi!I8,0)</f>
        <v>5</v>
      </c>
      <c r="AY373" s="15" t="n">
        <f aca="false">MAX(0,(AX373-(AV373-AW373))/(13-E373))</f>
        <v>0.555555555555556</v>
      </c>
      <c r="AZ373" s="15" t="n">
        <f aca="false">MIN(P373*Parametri_v3!$C$22,Q373*(1-Parametri_v3!$C$16)*Parametri_v3!$C$23)</f>
        <v>22.5</v>
      </c>
      <c r="BA373" s="15" t="n">
        <f aca="false">IF(OR(INDEX(Ipotesi!$C$35:$G$35,1,F373)&lt;=0,9-Parametri_v3!$C$21&lt;1),0,INDEX($AT$365:$AT$424,MAX(1,9-Parametri_v3!$C$21))/(INDEX(Ipotesi!$C$35:$G$35,1,F373)*Ipotesi!I27))</f>
        <v>0.679166666666667</v>
      </c>
      <c r="BB373" s="15" t="n">
        <f aca="false">IF(9-Parametri_v3!$C$21&lt;1,0,INDEX($AU$365:$AU$424,MAX(1,9-Parametri_v3!$C$21)))*Parametri_v3!$C$18*Parametri_v3!$C$19*Parametri_v3!$C$20</f>
        <v>1.3125</v>
      </c>
      <c r="BC373" s="17" t="n">
        <f aca="false">MAX(0,MIN(AY373,BA373,BB373,MAX(0,AZ373-(AV373-AW373))))</f>
        <v>0.555555555555556</v>
      </c>
      <c r="BD373" s="17" t="n">
        <f aca="false">AV373-AW373+BC373</f>
        <v>3.33333333333333</v>
      </c>
      <c r="BE373" s="17" t="n">
        <f aca="false">(AV373+BD373)/2</f>
        <v>3.05555555555556</v>
      </c>
      <c r="BF373" s="15" t="n">
        <f aca="false">BE373*INDEX(Ipotesi!$C$33:$G$33,1,F373)*H373/12</f>
        <v>509.259259259259</v>
      </c>
      <c r="BG373" s="15" t="n">
        <f aca="false">BD373*INDEX(Ipotesi!$C$33:$G$33,1,F373)*H373</f>
        <v>6666.66666666667</v>
      </c>
      <c r="BH373" s="15" t="n">
        <f aca="false">AM373*INDEX(Ipotesi!$C$37:$G$37,1,F373)</f>
        <v>1621.05263157895</v>
      </c>
      <c r="BI373" s="15" t="n">
        <f aca="false">AQ373+BF373+BH373</f>
        <v>9630.31189083821</v>
      </c>
      <c r="BJ373" s="15" t="n">
        <f aca="false">INDEX(Ipotesi!$C$68:$G$68,1,F373)*Ipotesi!$C$69/12</f>
        <v>1000</v>
      </c>
      <c r="BK373" s="15" t="n">
        <f aca="false">INDEX(Ipotesi!$C$68:$G$68,1,F373)*(1-Ipotesi!$C$69)/12</f>
        <v>1500</v>
      </c>
      <c r="BL373" s="15" t="n">
        <f aca="false">(AQ373+BF373)*Ipotesi!$C$67</f>
        <v>240.277777777778</v>
      </c>
      <c r="BM373" s="15" t="n">
        <f aca="false">AM373*Ipotesi!$C$67</f>
        <v>486.315789473684</v>
      </c>
      <c r="BN373" s="15" t="n">
        <f aca="false">INDEX(Ipotesi!$C$72:$G$72,1,F373)/12*Ipotesi!I126+BF373*Ipotesi!$C$73</f>
        <v>1290.74074074074</v>
      </c>
      <c r="BO373" s="15" t="n">
        <f aca="false">INDEX(Ipotesi!$C$74:$G$74,1,F373)/12*Ipotesi!I126</f>
        <v>1000</v>
      </c>
      <c r="BP373" s="15" t="n">
        <f aca="false">INDEX(Ipotesi!$C$76:$G$76,1,F373)/12</f>
        <v>500</v>
      </c>
      <c r="BQ373" s="15" t="n">
        <f aca="false">INDEX(Ipotesi!$C$77:$G$77,1,F373)/12*Ipotesi!I126</f>
        <v>1250</v>
      </c>
      <c r="BR373" s="15" t="n">
        <f aca="false">INDEX(Ipotesi!$C$78:$G$78,1,F373)/12</f>
        <v>1000</v>
      </c>
      <c r="BS373" s="15" t="n">
        <f aca="false">SUM(M373:R373)*(Ipotesi!$C$85+Ipotesi!$C$86)/12</f>
        <v>1239.58333333333</v>
      </c>
      <c r="BT373" s="15" t="n">
        <f aca="false">BI373*Ipotesi!$C$87</f>
        <v>288.909356725146</v>
      </c>
      <c r="BU373" s="15" t="n">
        <f aca="false">INDEX(Ipotesi!$C$55:$G$55,1,F373)*K373/12</f>
        <v>500</v>
      </c>
      <c r="BV373" s="15" t="n">
        <f aca="false">INDEX(Ipotesi!$C$80:$G$80,1,F373)/12*Ipotesi!I126</f>
        <v>500</v>
      </c>
      <c r="BW373" s="15" t="n">
        <f aca="false">INDEX(Ipotesi!$C$82:$G$82,1,F373)/12</f>
        <v>416.666666666667</v>
      </c>
      <c r="BX373" s="15" t="n">
        <f aca="false">INDEX(Ipotesi!$C$83:$G$83,1,F373)/12</f>
        <v>500</v>
      </c>
      <c r="BY373" s="15" t="n">
        <f aca="false">SUM(S373:U373)*(Ipotesi!$C$85+Ipotesi!$C$86)/12</f>
        <v>437.5</v>
      </c>
      <c r="BZ373" s="15" t="n">
        <f aca="false">AM373*Ipotesi!$C$87</f>
        <v>486.315789473684</v>
      </c>
      <c r="CA373" s="15" t="n">
        <f aca="false">AB373+BJ373+BL373+BN373+BO373+AR373+BP373+BQ373+BR373+BS373+BT373</f>
        <v>27809.511208577</v>
      </c>
      <c r="CB373" s="15" t="n">
        <f aca="false">AC373+BK373+BM373+BH373+BU373+BV373+AS373+BW373+BX373+BY373+BZ373</f>
        <v>12114.5175438596</v>
      </c>
      <c r="CC373" s="15" t="n">
        <f aca="false">BI373-CA373</f>
        <v>-18179.1993177388</v>
      </c>
      <c r="CD373" s="15" t="n">
        <f aca="false">AM373-CB373</f>
        <v>4096.00877192982</v>
      </c>
      <c r="CE373" s="15" t="n">
        <f aca="false">INDEX(Ipotesi!$C$79:$G$79,1,F373)/12</f>
        <v>1666.66666666667</v>
      </c>
      <c r="CF373" s="15" t="n">
        <f aca="false">INDEX(Ipotesi!$C$84:$G$84,1,F373)/12</f>
        <v>250</v>
      </c>
      <c r="CG373" s="15" t="n">
        <f aca="false">Y373*MAX(0,Parametri_v3!$C$12-IF(P373=0,0,MIN(1,BE373/(P373*Parametri_v3!$C$22))))+W373*Parametri_v3!$C$13+X373*Parametri_v3!$C$14</f>
        <v>7060.18518518519</v>
      </c>
      <c r="CH373" s="15" t="n">
        <f aca="false">AB373*Parametri_v3!$C$32</f>
        <v>895.833333333334</v>
      </c>
      <c r="CI373" s="15" t="n">
        <f aca="false">AC373*Parametri_v3!$C$32</f>
        <v>262.5</v>
      </c>
      <c r="CJ373" s="15" t="n">
        <f aca="false">CA373-AB373</f>
        <v>9892.84454191033</v>
      </c>
      <c r="CK373" s="15" t="n">
        <f aca="false">CB373-AC373-BH373</f>
        <v>5243.4649122807</v>
      </c>
      <c r="CL373" s="15" t="n">
        <f aca="false">BF373*Ipotesi!$C$73+INDEX(Ipotesi!$C$72:$G$72,1,F373)/12*Ipotesi!I126*Parametri_v3!$C$58+Z373*(1-Parametri_v3!$C$16)</f>
        <v>1853.24074074074</v>
      </c>
      <c r="CM373" s="16" t="n">
        <f aca="false">IF(BF373=0,0,1-CL373/BF373)</f>
        <v>-2.63909090909091</v>
      </c>
    </row>
    <row r="374" customFormat="false" ht="18" hidden="false" customHeight="true" outlineLevel="0" collapsed="false">
      <c r="A374" s="68" t="n">
        <f aca="false">7</f>
        <v>7</v>
      </c>
      <c r="B374" s="68" t="n">
        <f aca="false">10</f>
        <v>10</v>
      </c>
      <c r="C374" s="18" t="n">
        <f aca="false">EDATE(Parametri_v3!$C$5,10-1)</f>
        <v>46661</v>
      </c>
      <c r="D374" s="68" t="n">
        <f aca="false">YEAR(C374)</f>
        <v>2027</v>
      </c>
      <c r="E374" s="68" t="n">
        <f aca="false">MONTH(C374)</f>
        <v>10</v>
      </c>
      <c r="F374" s="68" t="n">
        <f aca="false">INT((10-1)/12)+1</f>
        <v>1</v>
      </c>
      <c r="G374" s="15" t="n">
        <f aca="false">Ipotesi!I7</f>
        <v>1</v>
      </c>
      <c r="H374" s="15" t="n">
        <f aca="false">Ipotesi!I9</f>
        <v>1</v>
      </c>
      <c r="I374" s="15" t="n">
        <f aca="false">Ipotesi!I10</f>
        <v>1</v>
      </c>
      <c r="J374" s="15" t="n">
        <f aca="false">Ipotesi!I11</f>
        <v>1</v>
      </c>
      <c r="K374" s="15" t="n">
        <f aca="false">Ipotesi!I12</f>
        <v>1</v>
      </c>
      <c r="L374" s="15" t="n">
        <f aca="false">Ipotesi!I13</f>
        <v>90</v>
      </c>
      <c r="M374" s="17" t="n">
        <f aca="false">INDEX(Ipotesi!$C$40:$G$40,1,F374)</f>
        <v>1</v>
      </c>
      <c r="N374" s="17" t="n">
        <f aca="false">INDEX(Ipotesi!$C$41:$G$41,1,F374)</f>
        <v>0.75</v>
      </c>
      <c r="O374" s="17" t="n">
        <f aca="false">INDEX(Ipotesi!$C$42:$G$42,1,F374)*Ipotesi!I125</f>
        <v>1</v>
      </c>
      <c r="P374" s="17" t="n">
        <f aca="false">INDEX(Ipotesi!$C$43:$G$43,1,F374)*I374</f>
        <v>1</v>
      </c>
      <c r="Q374" s="17" t="n">
        <f aca="false">INDEX(Ipotesi!$C$44:$G$44,1,F374)*I374</f>
        <v>0.5</v>
      </c>
      <c r="R374" s="17" t="n">
        <f aca="false">INDEX(Ipotesi!$C$45:$G$45,1,F374)*I374</f>
        <v>0</v>
      </c>
      <c r="S374" s="17" t="n">
        <f aca="false">INDEX(Ipotesi!$C$52:$G$52,1,F374)*Ipotesi!I125</f>
        <v>1.5</v>
      </c>
      <c r="T374" s="17" t="n">
        <f aca="false">INDEX(Ipotesi!$C$53:$G$53,1,F374)*I374</f>
        <v>0</v>
      </c>
      <c r="U374" s="17" t="n">
        <f aca="false">INDEX(Ipotesi!$C$54:$G$54,1,F374)*I374</f>
        <v>0</v>
      </c>
      <c r="V374" s="15" t="n">
        <f aca="false">M374*INDEX(Ipotesi!$C$58:$G$58,1,F374)*K374/12</f>
        <v>3333.33333333333</v>
      </c>
      <c r="W374" s="15" t="n">
        <f aca="false">N374*Ipotesi!$C$59*(1+Ipotesi!$C$66)^(F374-1)/12</f>
        <v>4375</v>
      </c>
      <c r="X374" s="15" t="n">
        <f aca="false">O374*Ipotesi!$C$60*(1+Ipotesi!$C$66)^(F374-1)/12</f>
        <v>4166.66666666667</v>
      </c>
      <c r="Y374" s="15" t="n">
        <f aca="false">P374*Ipotesi!$C$61*(1+Ipotesi!$C$66)^(F374-1)/12</f>
        <v>4166.66666666667</v>
      </c>
      <c r="Z374" s="15" t="n">
        <f aca="false">Q374*Ipotesi!$C$62*(1+Ipotesi!$C$66)^(F374-1)/12</f>
        <v>1875</v>
      </c>
      <c r="AA374" s="15" t="n">
        <f aca="false">R374*Ipotesi!$C$63*(1+Ipotesi!$C$66)^(F374-1)/12</f>
        <v>0</v>
      </c>
      <c r="AB374" s="15" t="n">
        <f aca="false">SUM(V374:AA374)</f>
        <v>17916.6666666667</v>
      </c>
      <c r="AC374" s="15" t="n">
        <f aca="false">(S374*Ipotesi!$C$64+T374*Ipotesi!$C$65+U374*Ipotesi!$C$63)*(1+Ipotesi!$C$66)^(F374-1)/12</f>
        <v>5250</v>
      </c>
      <c r="AD374" s="15" t="n">
        <f aca="false">INDEX(Ipotesi!$C$48:$G$48,1,F374)*G374/12</f>
        <v>16.6666666666667</v>
      </c>
      <c r="AE374" s="15" t="n">
        <f aca="false">INDEX(Ipotesi!$C$50:$G$50,1,F374)*G374/12</f>
        <v>2.08333333333333</v>
      </c>
      <c r="AF374" s="15" t="n">
        <f aca="false">(S374*Parametri_v3!$C$7*Parametri_v3!$C$8+Parametri_v3!$C$10)/12</f>
        <v>19.25</v>
      </c>
      <c r="AG374" s="15" t="n">
        <f aca="false">AD374+AE374*(1+Parametri_v3!$C$9)</f>
        <v>19.7916666666667</v>
      </c>
      <c r="AH374" s="16" t="n">
        <f aca="false">IF(AG374=0,1,MIN(1,AF374/AG374))</f>
        <v>0.972631578947368</v>
      </c>
      <c r="AI374" s="15" t="n">
        <f aca="false">AD374*AH374</f>
        <v>16.2105263157895</v>
      </c>
      <c r="AJ374" s="15" t="n">
        <f aca="false">AE374*AH374</f>
        <v>2.02631578947368</v>
      </c>
      <c r="AK374" s="15" t="n">
        <f aca="false">AI374*INDEX(Ipotesi!$C$49:$G$49,1,F374)*H374</f>
        <v>12157.8947368421</v>
      </c>
      <c r="AL374" s="15" t="n">
        <f aca="false">AJ374*INDEX(Ipotesi!$C$51:$G$51,1,F374)*H374</f>
        <v>4052.63157894737</v>
      </c>
      <c r="AM374" s="15" t="n">
        <f aca="false">AK374+AL374</f>
        <v>16210.5263157895</v>
      </c>
      <c r="AN374" s="15" t="n">
        <f aca="false">INDEX(Ipotesi!$C$30:$G$30,1,F374)*G374/12</f>
        <v>8.33333333333333</v>
      </c>
      <c r="AO374" s="15" t="n">
        <f aca="false">O374*Parametri_v3!$C$7*Parametri_v3!$C$11*(1-Parametri_v3!$C$14)/12</f>
        <v>10.2666666666667</v>
      </c>
      <c r="AP374" s="15" t="n">
        <f aca="false">MIN(AN374,AO374)</f>
        <v>8.33333333333333</v>
      </c>
      <c r="AQ374" s="15" t="n">
        <f aca="false">AP374*INDEX(Ipotesi!$C$31:$G$31,1,F374)*H374</f>
        <v>7500</v>
      </c>
      <c r="AR374" s="15" t="n">
        <f aca="false">INDEX(Ipotesi!$C$75:$G$75,1,F374)*J374/12</f>
        <v>2083.33333333333</v>
      </c>
      <c r="AS374" s="15" t="n">
        <f aca="false">INDEX(Ipotesi!$C$81:$G$81,1,F374)*J374/12</f>
        <v>416.666666666667</v>
      </c>
      <c r="AT374" s="15" t="n">
        <f aca="false">AR374*Parametri_v3!$C$15+Z374*Parametri_v3!$C$16</f>
        <v>3395.83333333333</v>
      </c>
      <c r="AU374" s="15" t="n">
        <f aca="false">Q374*Parametri_v3!$C$16*Parametri_v3!$C$17</f>
        <v>35</v>
      </c>
      <c r="AV374" s="17" t="n">
        <f aca="false">BD373</f>
        <v>3.33333333333333</v>
      </c>
      <c r="AW374" s="17" t="n">
        <f aca="false">AV374*(1-(1-INDEX(Ipotesi!$C$34:$G$34,1,F374))^(1/12))</f>
        <v>0</v>
      </c>
      <c r="AX374" s="15" t="n">
        <f aca="false">ROUND(INDEX(Ipotesi!$C$32:$G$32,1,F374)*Ipotesi!I8,0)</f>
        <v>5</v>
      </c>
      <c r="AY374" s="15" t="n">
        <f aca="false">MAX(0,(AX374-(AV374-AW374))/(13-E374))</f>
        <v>0.555555555555556</v>
      </c>
      <c r="AZ374" s="15" t="n">
        <f aca="false">MIN(P374*Parametri_v3!$C$22,Q374*(1-Parametri_v3!$C$16)*Parametri_v3!$C$23)</f>
        <v>22.5</v>
      </c>
      <c r="BA374" s="15" t="n">
        <f aca="false">IF(OR(INDEX(Ipotesi!$C$35:$G$35,1,F374)&lt;=0,10-Parametri_v3!$C$21&lt;1),0,INDEX($AT$365:$AT$424,MAX(1,10-Parametri_v3!$C$21))/(INDEX(Ipotesi!$C$35:$G$35,1,F374)*Ipotesi!I27))</f>
        <v>0.679166666666667</v>
      </c>
      <c r="BB374" s="15" t="n">
        <f aca="false">IF(10-Parametri_v3!$C$21&lt;1,0,INDEX($AU$365:$AU$424,MAX(1,10-Parametri_v3!$C$21)))*Parametri_v3!$C$18*Parametri_v3!$C$19*Parametri_v3!$C$20</f>
        <v>1.3125</v>
      </c>
      <c r="BC374" s="17" t="n">
        <f aca="false">MAX(0,MIN(AY374,BA374,BB374,MAX(0,AZ374-(AV374-AW374))))</f>
        <v>0.555555555555556</v>
      </c>
      <c r="BD374" s="17" t="n">
        <f aca="false">AV374-AW374+BC374</f>
        <v>3.88888888888889</v>
      </c>
      <c r="BE374" s="17" t="n">
        <f aca="false">(AV374+BD374)/2</f>
        <v>3.61111111111111</v>
      </c>
      <c r="BF374" s="15" t="n">
        <f aca="false">BE374*INDEX(Ipotesi!$C$33:$G$33,1,F374)*H374/12</f>
        <v>601.851851851852</v>
      </c>
      <c r="BG374" s="15" t="n">
        <f aca="false">BD374*INDEX(Ipotesi!$C$33:$G$33,1,F374)*H374</f>
        <v>7777.77777777778</v>
      </c>
      <c r="BH374" s="15" t="n">
        <f aca="false">AM374*INDEX(Ipotesi!$C$37:$G$37,1,F374)</f>
        <v>1621.05263157895</v>
      </c>
      <c r="BI374" s="15" t="n">
        <f aca="false">AQ374+BF374+BH374</f>
        <v>9722.9044834308</v>
      </c>
      <c r="BJ374" s="15" t="n">
        <f aca="false">INDEX(Ipotesi!$C$68:$G$68,1,F374)*Ipotesi!$C$69/12</f>
        <v>1000</v>
      </c>
      <c r="BK374" s="15" t="n">
        <f aca="false">INDEX(Ipotesi!$C$68:$G$68,1,F374)*(1-Ipotesi!$C$69)/12</f>
        <v>1500</v>
      </c>
      <c r="BL374" s="15" t="n">
        <f aca="false">(AQ374+BF374)*Ipotesi!$C$67</f>
        <v>243.055555555556</v>
      </c>
      <c r="BM374" s="15" t="n">
        <f aca="false">AM374*Ipotesi!$C$67</f>
        <v>486.315789473684</v>
      </c>
      <c r="BN374" s="15" t="n">
        <f aca="false">INDEX(Ipotesi!$C$72:$G$72,1,F374)/12*Ipotesi!I126+BF374*Ipotesi!$C$73</f>
        <v>1298.14814814815</v>
      </c>
      <c r="BO374" s="15" t="n">
        <f aca="false">INDEX(Ipotesi!$C$74:$G$74,1,F374)/12*Ipotesi!I126</f>
        <v>1000</v>
      </c>
      <c r="BP374" s="15" t="n">
        <f aca="false">INDEX(Ipotesi!$C$76:$G$76,1,F374)/12</f>
        <v>500</v>
      </c>
      <c r="BQ374" s="15" t="n">
        <f aca="false">INDEX(Ipotesi!$C$77:$G$77,1,F374)/12*Ipotesi!I126</f>
        <v>1250</v>
      </c>
      <c r="BR374" s="15" t="n">
        <f aca="false">INDEX(Ipotesi!$C$78:$G$78,1,F374)/12</f>
        <v>1000</v>
      </c>
      <c r="BS374" s="15" t="n">
        <f aca="false">SUM(M374:R374)*(Ipotesi!$C$85+Ipotesi!$C$86)/12</f>
        <v>1239.58333333333</v>
      </c>
      <c r="BT374" s="15" t="n">
        <f aca="false">BI374*Ipotesi!$C$87</f>
        <v>291.687134502924</v>
      </c>
      <c r="BU374" s="15" t="n">
        <f aca="false">INDEX(Ipotesi!$C$55:$G$55,1,F374)*K374/12</f>
        <v>500</v>
      </c>
      <c r="BV374" s="15" t="n">
        <f aca="false">INDEX(Ipotesi!$C$80:$G$80,1,F374)/12*Ipotesi!I126</f>
        <v>500</v>
      </c>
      <c r="BW374" s="15" t="n">
        <f aca="false">INDEX(Ipotesi!$C$82:$G$82,1,F374)/12</f>
        <v>416.666666666667</v>
      </c>
      <c r="BX374" s="15" t="n">
        <f aca="false">INDEX(Ipotesi!$C$83:$G$83,1,F374)/12</f>
        <v>500</v>
      </c>
      <c r="BY374" s="15" t="n">
        <f aca="false">SUM(S374:U374)*(Ipotesi!$C$85+Ipotesi!$C$86)/12</f>
        <v>437.5</v>
      </c>
      <c r="BZ374" s="15" t="n">
        <f aca="false">AM374*Ipotesi!$C$87</f>
        <v>486.315789473684</v>
      </c>
      <c r="CA374" s="15" t="n">
        <f aca="false">AB374+BJ374+BL374+BN374+BO374+AR374+BP374+BQ374+BR374+BS374+BT374</f>
        <v>27822.47417154</v>
      </c>
      <c r="CB374" s="15" t="n">
        <f aca="false">AC374+BK374+BM374+BH374+BU374+BV374+AS374+BW374+BX374+BY374+BZ374</f>
        <v>12114.5175438596</v>
      </c>
      <c r="CC374" s="15" t="n">
        <f aca="false">BI374-CA374</f>
        <v>-18099.5696881092</v>
      </c>
      <c r="CD374" s="15" t="n">
        <f aca="false">AM374-CB374</f>
        <v>4096.00877192982</v>
      </c>
      <c r="CE374" s="15" t="n">
        <f aca="false">INDEX(Ipotesi!$C$79:$G$79,1,F374)/12</f>
        <v>1666.66666666667</v>
      </c>
      <c r="CF374" s="15" t="n">
        <f aca="false">INDEX(Ipotesi!$C$84:$G$84,1,F374)/12</f>
        <v>250</v>
      </c>
      <c r="CG374" s="15" t="n">
        <f aca="false">Y374*MAX(0,Parametri_v3!$C$12-IF(P374=0,0,MIN(1,BE374/(P374*Parametri_v3!$C$22))))+W374*Parametri_v3!$C$13+X374*Parametri_v3!$C$14</f>
        <v>7037.03703703704</v>
      </c>
      <c r="CH374" s="15" t="n">
        <f aca="false">AB374*Parametri_v3!$C$32</f>
        <v>895.833333333334</v>
      </c>
      <c r="CI374" s="15" t="n">
        <f aca="false">AC374*Parametri_v3!$C$32</f>
        <v>262.5</v>
      </c>
      <c r="CJ374" s="15" t="n">
        <f aca="false">CA374-AB374</f>
        <v>9905.80750487329</v>
      </c>
      <c r="CK374" s="15" t="n">
        <f aca="false">CB374-AC374-BH374</f>
        <v>5243.4649122807</v>
      </c>
      <c r="CL374" s="15" t="n">
        <f aca="false">BF374*Ipotesi!$C$73+INDEX(Ipotesi!$C$72:$G$72,1,F374)/12*Ipotesi!I126*Parametri_v3!$C$58+Z374*(1-Parametri_v3!$C$16)</f>
        <v>1860.64814814815</v>
      </c>
      <c r="CM374" s="16" t="n">
        <f aca="false">IF(BF374=0,0,1-CL374/BF374)</f>
        <v>-2.09153846153846</v>
      </c>
    </row>
    <row r="375" customFormat="false" ht="18" hidden="false" customHeight="true" outlineLevel="0" collapsed="false">
      <c r="A375" s="68" t="n">
        <f aca="false">7</f>
        <v>7</v>
      </c>
      <c r="B375" s="68" t="n">
        <f aca="false">11</f>
        <v>11</v>
      </c>
      <c r="C375" s="18" t="n">
        <f aca="false">EDATE(Parametri_v3!$C$5,11-1)</f>
        <v>46692</v>
      </c>
      <c r="D375" s="68" t="n">
        <f aca="false">YEAR(C375)</f>
        <v>2027</v>
      </c>
      <c r="E375" s="68" t="n">
        <f aca="false">MONTH(C375)</f>
        <v>11</v>
      </c>
      <c r="F375" s="68" t="n">
        <f aca="false">INT((11-1)/12)+1</f>
        <v>1</v>
      </c>
      <c r="G375" s="15" t="n">
        <f aca="false">Ipotesi!I7</f>
        <v>1</v>
      </c>
      <c r="H375" s="15" t="n">
        <f aca="false">Ipotesi!I9</f>
        <v>1</v>
      </c>
      <c r="I375" s="15" t="n">
        <f aca="false">Ipotesi!I10</f>
        <v>1</v>
      </c>
      <c r="J375" s="15" t="n">
        <f aca="false">Ipotesi!I11</f>
        <v>1</v>
      </c>
      <c r="K375" s="15" t="n">
        <f aca="false">Ipotesi!I12</f>
        <v>1</v>
      </c>
      <c r="L375" s="15" t="n">
        <f aca="false">Ipotesi!I13</f>
        <v>90</v>
      </c>
      <c r="M375" s="17" t="n">
        <f aca="false">INDEX(Ipotesi!$C$40:$G$40,1,F375)</f>
        <v>1</v>
      </c>
      <c r="N375" s="17" t="n">
        <f aca="false">INDEX(Ipotesi!$C$41:$G$41,1,F375)</f>
        <v>0.75</v>
      </c>
      <c r="O375" s="17" t="n">
        <f aca="false">INDEX(Ipotesi!$C$42:$G$42,1,F375)*Ipotesi!I125</f>
        <v>1</v>
      </c>
      <c r="P375" s="17" t="n">
        <f aca="false">INDEX(Ipotesi!$C$43:$G$43,1,F375)*I375</f>
        <v>1</v>
      </c>
      <c r="Q375" s="17" t="n">
        <f aca="false">INDEX(Ipotesi!$C$44:$G$44,1,F375)*I375</f>
        <v>0.5</v>
      </c>
      <c r="R375" s="17" t="n">
        <f aca="false">INDEX(Ipotesi!$C$45:$G$45,1,F375)*I375</f>
        <v>0</v>
      </c>
      <c r="S375" s="17" t="n">
        <f aca="false">INDEX(Ipotesi!$C$52:$G$52,1,F375)*Ipotesi!I125</f>
        <v>1.5</v>
      </c>
      <c r="T375" s="17" t="n">
        <f aca="false">INDEX(Ipotesi!$C$53:$G$53,1,F375)*I375</f>
        <v>0</v>
      </c>
      <c r="U375" s="17" t="n">
        <f aca="false">INDEX(Ipotesi!$C$54:$G$54,1,F375)*I375</f>
        <v>0</v>
      </c>
      <c r="V375" s="15" t="n">
        <f aca="false">M375*INDEX(Ipotesi!$C$58:$G$58,1,F375)*K375/12</f>
        <v>3333.33333333333</v>
      </c>
      <c r="W375" s="15" t="n">
        <f aca="false">N375*Ipotesi!$C$59*(1+Ipotesi!$C$66)^(F375-1)/12</f>
        <v>4375</v>
      </c>
      <c r="X375" s="15" t="n">
        <f aca="false">O375*Ipotesi!$C$60*(1+Ipotesi!$C$66)^(F375-1)/12</f>
        <v>4166.66666666667</v>
      </c>
      <c r="Y375" s="15" t="n">
        <f aca="false">P375*Ipotesi!$C$61*(1+Ipotesi!$C$66)^(F375-1)/12</f>
        <v>4166.66666666667</v>
      </c>
      <c r="Z375" s="15" t="n">
        <f aca="false">Q375*Ipotesi!$C$62*(1+Ipotesi!$C$66)^(F375-1)/12</f>
        <v>1875</v>
      </c>
      <c r="AA375" s="15" t="n">
        <f aca="false">R375*Ipotesi!$C$63*(1+Ipotesi!$C$66)^(F375-1)/12</f>
        <v>0</v>
      </c>
      <c r="AB375" s="15" t="n">
        <f aca="false">SUM(V375:AA375)</f>
        <v>17916.6666666667</v>
      </c>
      <c r="AC375" s="15" t="n">
        <f aca="false">(S375*Ipotesi!$C$64+T375*Ipotesi!$C$65+U375*Ipotesi!$C$63)*(1+Ipotesi!$C$66)^(F375-1)/12</f>
        <v>5250</v>
      </c>
      <c r="AD375" s="15" t="n">
        <f aca="false">INDEX(Ipotesi!$C$48:$G$48,1,F375)*G375/12</f>
        <v>16.6666666666667</v>
      </c>
      <c r="AE375" s="15" t="n">
        <f aca="false">INDEX(Ipotesi!$C$50:$G$50,1,F375)*G375/12</f>
        <v>2.08333333333333</v>
      </c>
      <c r="AF375" s="15" t="n">
        <f aca="false">(S375*Parametri_v3!$C$7*Parametri_v3!$C$8+Parametri_v3!$C$10)/12</f>
        <v>19.25</v>
      </c>
      <c r="AG375" s="15" t="n">
        <f aca="false">AD375+AE375*(1+Parametri_v3!$C$9)</f>
        <v>19.7916666666667</v>
      </c>
      <c r="AH375" s="16" t="n">
        <f aca="false">IF(AG375=0,1,MIN(1,AF375/AG375))</f>
        <v>0.972631578947368</v>
      </c>
      <c r="AI375" s="15" t="n">
        <f aca="false">AD375*AH375</f>
        <v>16.2105263157895</v>
      </c>
      <c r="AJ375" s="15" t="n">
        <f aca="false">AE375*AH375</f>
        <v>2.02631578947368</v>
      </c>
      <c r="AK375" s="15" t="n">
        <f aca="false">AI375*INDEX(Ipotesi!$C$49:$G$49,1,F375)*H375</f>
        <v>12157.8947368421</v>
      </c>
      <c r="AL375" s="15" t="n">
        <f aca="false">AJ375*INDEX(Ipotesi!$C$51:$G$51,1,F375)*H375</f>
        <v>4052.63157894737</v>
      </c>
      <c r="AM375" s="15" t="n">
        <f aca="false">AK375+AL375</f>
        <v>16210.5263157895</v>
      </c>
      <c r="AN375" s="15" t="n">
        <f aca="false">INDEX(Ipotesi!$C$30:$G$30,1,F375)*G375/12</f>
        <v>8.33333333333333</v>
      </c>
      <c r="AO375" s="15" t="n">
        <f aca="false">O375*Parametri_v3!$C$7*Parametri_v3!$C$11*(1-Parametri_v3!$C$14)/12</f>
        <v>10.2666666666667</v>
      </c>
      <c r="AP375" s="15" t="n">
        <f aca="false">MIN(AN375,AO375)</f>
        <v>8.33333333333333</v>
      </c>
      <c r="AQ375" s="15" t="n">
        <f aca="false">AP375*INDEX(Ipotesi!$C$31:$G$31,1,F375)*H375</f>
        <v>7500</v>
      </c>
      <c r="AR375" s="15" t="n">
        <f aca="false">INDEX(Ipotesi!$C$75:$G$75,1,F375)*J375/12</f>
        <v>2083.33333333333</v>
      </c>
      <c r="AS375" s="15" t="n">
        <f aca="false">INDEX(Ipotesi!$C$81:$G$81,1,F375)*J375/12</f>
        <v>416.666666666667</v>
      </c>
      <c r="AT375" s="15" t="n">
        <f aca="false">AR375*Parametri_v3!$C$15+Z375*Parametri_v3!$C$16</f>
        <v>3395.83333333333</v>
      </c>
      <c r="AU375" s="15" t="n">
        <f aca="false">Q375*Parametri_v3!$C$16*Parametri_v3!$C$17</f>
        <v>35</v>
      </c>
      <c r="AV375" s="17" t="n">
        <f aca="false">BD374</f>
        <v>3.88888888888889</v>
      </c>
      <c r="AW375" s="17" t="n">
        <f aca="false">AV375*(1-(1-INDEX(Ipotesi!$C$34:$G$34,1,F375))^(1/12))</f>
        <v>0</v>
      </c>
      <c r="AX375" s="15" t="n">
        <f aca="false">ROUND(INDEX(Ipotesi!$C$32:$G$32,1,F375)*Ipotesi!I8,0)</f>
        <v>5</v>
      </c>
      <c r="AY375" s="15" t="n">
        <f aca="false">MAX(0,(AX375-(AV375-AW375))/(13-E375))</f>
        <v>0.555555555555556</v>
      </c>
      <c r="AZ375" s="15" t="n">
        <f aca="false">MIN(P375*Parametri_v3!$C$22,Q375*(1-Parametri_v3!$C$16)*Parametri_v3!$C$23)</f>
        <v>22.5</v>
      </c>
      <c r="BA375" s="15" t="n">
        <f aca="false">IF(OR(INDEX(Ipotesi!$C$35:$G$35,1,F375)&lt;=0,11-Parametri_v3!$C$21&lt;1),0,INDEX($AT$365:$AT$424,MAX(1,11-Parametri_v3!$C$21))/(INDEX(Ipotesi!$C$35:$G$35,1,F375)*Ipotesi!I27))</f>
        <v>0.679166666666667</v>
      </c>
      <c r="BB375" s="15" t="n">
        <f aca="false">IF(11-Parametri_v3!$C$21&lt;1,0,INDEX($AU$365:$AU$424,MAX(1,11-Parametri_v3!$C$21)))*Parametri_v3!$C$18*Parametri_v3!$C$19*Parametri_v3!$C$20</f>
        <v>1.3125</v>
      </c>
      <c r="BC375" s="17" t="n">
        <f aca="false">MAX(0,MIN(AY375,BA375,BB375,MAX(0,AZ375-(AV375-AW375))))</f>
        <v>0.555555555555556</v>
      </c>
      <c r="BD375" s="17" t="n">
        <f aca="false">AV375-AW375+BC375</f>
        <v>4.44444444444445</v>
      </c>
      <c r="BE375" s="17" t="n">
        <f aca="false">(AV375+BD375)/2</f>
        <v>4.16666666666667</v>
      </c>
      <c r="BF375" s="15" t="n">
        <f aca="false">BE375*INDEX(Ipotesi!$C$33:$G$33,1,F375)*H375/12</f>
        <v>694.444444444445</v>
      </c>
      <c r="BG375" s="15" t="n">
        <f aca="false">BD375*INDEX(Ipotesi!$C$33:$G$33,1,F375)*H375</f>
        <v>8888.88888888889</v>
      </c>
      <c r="BH375" s="15" t="n">
        <f aca="false">AM375*INDEX(Ipotesi!$C$37:$G$37,1,F375)</f>
        <v>1621.05263157895</v>
      </c>
      <c r="BI375" s="15" t="n">
        <f aca="false">AQ375+BF375+BH375</f>
        <v>9815.49707602339</v>
      </c>
      <c r="BJ375" s="15" t="n">
        <f aca="false">INDEX(Ipotesi!$C$68:$G$68,1,F375)*Ipotesi!$C$69/12</f>
        <v>1000</v>
      </c>
      <c r="BK375" s="15" t="n">
        <f aca="false">INDEX(Ipotesi!$C$68:$G$68,1,F375)*(1-Ipotesi!$C$69)/12</f>
        <v>1500</v>
      </c>
      <c r="BL375" s="15" t="n">
        <f aca="false">(AQ375+BF375)*Ipotesi!$C$67</f>
        <v>245.833333333333</v>
      </c>
      <c r="BM375" s="15" t="n">
        <f aca="false">AM375*Ipotesi!$C$67</f>
        <v>486.315789473684</v>
      </c>
      <c r="BN375" s="15" t="n">
        <f aca="false">INDEX(Ipotesi!$C$72:$G$72,1,F375)/12*Ipotesi!I126+BF375*Ipotesi!$C$73</f>
        <v>1305.55555555556</v>
      </c>
      <c r="BO375" s="15" t="n">
        <f aca="false">INDEX(Ipotesi!$C$74:$G$74,1,F375)/12*Ipotesi!I126</f>
        <v>1000</v>
      </c>
      <c r="BP375" s="15" t="n">
        <f aca="false">INDEX(Ipotesi!$C$76:$G$76,1,F375)/12</f>
        <v>500</v>
      </c>
      <c r="BQ375" s="15" t="n">
        <f aca="false">INDEX(Ipotesi!$C$77:$G$77,1,F375)/12*Ipotesi!I126</f>
        <v>1250</v>
      </c>
      <c r="BR375" s="15" t="n">
        <f aca="false">INDEX(Ipotesi!$C$78:$G$78,1,F375)/12</f>
        <v>1000</v>
      </c>
      <c r="BS375" s="15" t="n">
        <f aca="false">SUM(M375:R375)*(Ipotesi!$C$85+Ipotesi!$C$86)/12</f>
        <v>1239.58333333333</v>
      </c>
      <c r="BT375" s="15" t="n">
        <f aca="false">BI375*Ipotesi!$C$87</f>
        <v>294.464912280702</v>
      </c>
      <c r="BU375" s="15" t="n">
        <f aca="false">INDEX(Ipotesi!$C$55:$G$55,1,F375)*K375/12</f>
        <v>500</v>
      </c>
      <c r="BV375" s="15" t="n">
        <f aca="false">INDEX(Ipotesi!$C$80:$G$80,1,F375)/12*Ipotesi!I126</f>
        <v>500</v>
      </c>
      <c r="BW375" s="15" t="n">
        <f aca="false">INDEX(Ipotesi!$C$82:$G$82,1,F375)/12</f>
        <v>416.666666666667</v>
      </c>
      <c r="BX375" s="15" t="n">
        <f aca="false">INDEX(Ipotesi!$C$83:$G$83,1,F375)/12</f>
        <v>500</v>
      </c>
      <c r="BY375" s="15" t="n">
        <f aca="false">SUM(S375:U375)*(Ipotesi!$C$85+Ipotesi!$C$86)/12</f>
        <v>437.5</v>
      </c>
      <c r="BZ375" s="15" t="n">
        <f aca="false">AM375*Ipotesi!$C$87</f>
        <v>486.315789473684</v>
      </c>
      <c r="CA375" s="15" t="n">
        <f aca="false">AB375+BJ375+BL375+BN375+BO375+AR375+BP375+BQ375+BR375+BS375+BT375</f>
        <v>27835.4371345029</v>
      </c>
      <c r="CB375" s="15" t="n">
        <f aca="false">AC375+BK375+BM375+BH375+BU375+BV375+AS375+BW375+BX375+BY375+BZ375</f>
        <v>12114.5175438596</v>
      </c>
      <c r="CC375" s="15" t="n">
        <f aca="false">BI375-CA375</f>
        <v>-18019.9400584795</v>
      </c>
      <c r="CD375" s="15" t="n">
        <f aca="false">AM375-CB375</f>
        <v>4096.00877192982</v>
      </c>
      <c r="CE375" s="15" t="n">
        <f aca="false">INDEX(Ipotesi!$C$79:$G$79,1,F375)/12</f>
        <v>1666.66666666667</v>
      </c>
      <c r="CF375" s="15" t="n">
        <f aca="false">INDEX(Ipotesi!$C$84:$G$84,1,F375)/12</f>
        <v>250</v>
      </c>
      <c r="CG375" s="15" t="n">
        <f aca="false">Y375*MAX(0,Parametri_v3!$C$12-IF(P375=0,0,MIN(1,BE375/(P375*Parametri_v3!$C$22))))+W375*Parametri_v3!$C$13+X375*Parametri_v3!$C$14</f>
        <v>7013.88888888889</v>
      </c>
      <c r="CH375" s="15" t="n">
        <f aca="false">AB375*Parametri_v3!$C$32</f>
        <v>895.833333333334</v>
      </c>
      <c r="CI375" s="15" t="n">
        <f aca="false">AC375*Parametri_v3!$C$32</f>
        <v>262.5</v>
      </c>
      <c r="CJ375" s="15" t="n">
        <f aca="false">CA375-AB375</f>
        <v>9918.77046783625</v>
      </c>
      <c r="CK375" s="15" t="n">
        <f aca="false">CB375-AC375-BH375</f>
        <v>5243.4649122807</v>
      </c>
      <c r="CL375" s="15" t="n">
        <f aca="false">BF375*Ipotesi!$C$73+INDEX(Ipotesi!$C$72:$G$72,1,F375)/12*Ipotesi!I126*Parametri_v3!$C$58+Z375*(1-Parametri_v3!$C$16)</f>
        <v>1868.05555555556</v>
      </c>
      <c r="CM375" s="16" t="n">
        <f aca="false">IF(BF375=0,0,1-CL375/BF375)</f>
        <v>-1.69</v>
      </c>
    </row>
    <row r="376" customFormat="false" ht="18" hidden="false" customHeight="true" outlineLevel="0" collapsed="false">
      <c r="A376" s="68" t="n">
        <f aca="false">7</f>
        <v>7</v>
      </c>
      <c r="B376" s="68" t="n">
        <f aca="false">12</f>
        <v>12</v>
      </c>
      <c r="C376" s="18" t="n">
        <f aca="false">EDATE(Parametri_v3!$C$5,12-1)</f>
        <v>46722</v>
      </c>
      <c r="D376" s="68" t="n">
        <f aca="false">YEAR(C376)</f>
        <v>2027</v>
      </c>
      <c r="E376" s="68" t="n">
        <f aca="false">MONTH(C376)</f>
        <v>12</v>
      </c>
      <c r="F376" s="68" t="n">
        <f aca="false">INT((12-1)/12)+1</f>
        <v>1</v>
      </c>
      <c r="G376" s="15" t="n">
        <f aca="false">Ipotesi!I7</f>
        <v>1</v>
      </c>
      <c r="H376" s="15" t="n">
        <f aca="false">Ipotesi!I9</f>
        <v>1</v>
      </c>
      <c r="I376" s="15" t="n">
        <f aca="false">Ipotesi!I10</f>
        <v>1</v>
      </c>
      <c r="J376" s="15" t="n">
        <f aca="false">Ipotesi!I11</f>
        <v>1</v>
      </c>
      <c r="K376" s="15" t="n">
        <f aca="false">Ipotesi!I12</f>
        <v>1</v>
      </c>
      <c r="L376" s="15" t="n">
        <f aca="false">Ipotesi!I13</f>
        <v>90</v>
      </c>
      <c r="M376" s="17" t="n">
        <f aca="false">INDEX(Ipotesi!$C$40:$G$40,1,F376)</f>
        <v>1</v>
      </c>
      <c r="N376" s="17" t="n">
        <f aca="false">INDEX(Ipotesi!$C$41:$G$41,1,F376)</f>
        <v>0.75</v>
      </c>
      <c r="O376" s="17" t="n">
        <f aca="false">INDEX(Ipotesi!$C$42:$G$42,1,F376)*Ipotesi!I125</f>
        <v>1</v>
      </c>
      <c r="P376" s="17" t="n">
        <f aca="false">INDEX(Ipotesi!$C$43:$G$43,1,F376)*I376</f>
        <v>1</v>
      </c>
      <c r="Q376" s="17" t="n">
        <f aca="false">INDEX(Ipotesi!$C$44:$G$44,1,F376)*I376</f>
        <v>0.5</v>
      </c>
      <c r="R376" s="17" t="n">
        <f aca="false">INDEX(Ipotesi!$C$45:$G$45,1,F376)*I376</f>
        <v>0</v>
      </c>
      <c r="S376" s="17" t="n">
        <f aca="false">INDEX(Ipotesi!$C$52:$G$52,1,F376)*Ipotesi!I125</f>
        <v>1.5</v>
      </c>
      <c r="T376" s="17" t="n">
        <f aca="false">INDEX(Ipotesi!$C$53:$G$53,1,F376)*I376</f>
        <v>0</v>
      </c>
      <c r="U376" s="17" t="n">
        <f aca="false">INDEX(Ipotesi!$C$54:$G$54,1,F376)*I376</f>
        <v>0</v>
      </c>
      <c r="V376" s="15" t="n">
        <f aca="false">M376*INDEX(Ipotesi!$C$58:$G$58,1,F376)*K376/12</f>
        <v>3333.33333333333</v>
      </c>
      <c r="W376" s="15" t="n">
        <f aca="false">N376*Ipotesi!$C$59*(1+Ipotesi!$C$66)^(F376-1)/12</f>
        <v>4375</v>
      </c>
      <c r="X376" s="15" t="n">
        <f aca="false">O376*Ipotesi!$C$60*(1+Ipotesi!$C$66)^(F376-1)/12</f>
        <v>4166.66666666667</v>
      </c>
      <c r="Y376" s="15" t="n">
        <f aca="false">P376*Ipotesi!$C$61*(1+Ipotesi!$C$66)^(F376-1)/12</f>
        <v>4166.66666666667</v>
      </c>
      <c r="Z376" s="15" t="n">
        <f aca="false">Q376*Ipotesi!$C$62*(1+Ipotesi!$C$66)^(F376-1)/12</f>
        <v>1875</v>
      </c>
      <c r="AA376" s="15" t="n">
        <f aca="false">R376*Ipotesi!$C$63*(1+Ipotesi!$C$66)^(F376-1)/12</f>
        <v>0</v>
      </c>
      <c r="AB376" s="15" t="n">
        <f aca="false">SUM(V376:AA376)</f>
        <v>17916.6666666667</v>
      </c>
      <c r="AC376" s="15" t="n">
        <f aca="false">(S376*Ipotesi!$C$64+T376*Ipotesi!$C$65+U376*Ipotesi!$C$63)*(1+Ipotesi!$C$66)^(F376-1)/12</f>
        <v>5250</v>
      </c>
      <c r="AD376" s="15" t="n">
        <f aca="false">INDEX(Ipotesi!$C$48:$G$48,1,F376)*G376/12</f>
        <v>16.6666666666667</v>
      </c>
      <c r="AE376" s="15" t="n">
        <f aca="false">INDEX(Ipotesi!$C$50:$G$50,1,F376)*G376/12</f>
        <v>2.08333333333333</v>
      </c>
      <c r="AF376" s="15" t="n">
        <f aca="false">(S376*Parametri_v3!$C$7*Parametri_v3!$C$8+Parametri_v3!$C$10)/12</f>
        <v>19.25</v>
      </c>
      <c r="AG376" s="15" t="n">
        <f aca="false">AD376+AE376*(1+Parametri_v3!$C$9)</f>
        <v>19.7916666666667</v>
      </c>
      <c r="AH376" s="16" t="n">
        <f aca="false">IF(AG376=0,1,MIN(1,AF376/AG376))</f>
        <v>0.972631578947368</v>
      </c>
      <c r="AI376" s="15" t="n">
        <f aca="false">AD376*AH376</f>
        <v>16.2105263157895</v>
      </c>
      <c r="AJ376" s="15" t="n">
        <f aca="false">AE376*AH376</f>
        <v>2.02631578947368</v>
      </c>
      <c r="AK376" s="15" t="n">
        <f aca="false">AI376*INDEX(Ipotesi!$C$49:$G$49,1,F376)*H376</f>
        <v>12157.8947368421</v>
      </c>
      <c r="AL376" s="15" t="n">
        <f aca="false">AJ376*INDEX(Ipotesi!$C$51:$G$51,1,F376)*H376</f>
        <v>4052.63157894737</v>
      </c>
      <c r="AM376" s="15" t="n">
        <f aca="false">AK376+AL376</f>
        <v>16210.5263157895</v>
      </c>
      <c r="AN376" s="15" t="n">
        <f aca="false">INDEX(Ipotesi!$C$30:$G$30,1,F376)*G376/12</f>
        <v>8.33333333333333</v>
      </c>
      <c r="AO376" s="15" t="n">
        <f aca="false">O376*Parametri_v3!$C$7*Parametri_v3!$C$11*(1-Parametri_v3!$C$14)/12</f>
        <v>10.2666666666667</v>
      </c>
      <c r="AP376" s="15" t="n">
        <f aca="false">MIN(AN376,AO376)</f>
        <v>8.33333333333333</v>
      </c>
      <c r="AQ376" s="15" t="n">
        <f aca="false">AP376*INDEX(Ipotesi!$C$31:$G$31,1,F376)*H376</f>
        <v>7500</v>
      </c>
      <c r="AR376" s="15" t="n">
        <f aca="false">INDEX(Ipotesi!$C$75:$G$75,1,F376)*J376/12</f>
        <v>2083.33333333333</v>
      </c>
      <c r="AS376" s="15" t="n">
        <f aca="false">INDEX(Ipotesi!$C$81:$G$81,1,F376)*J376/12</f>
        <v>416.666666666667</v>
      </c>
      <c r="AT376" s="15" t="n">
        <f aca="false">AR376*Parametri_v3!$C$15+Z376*Parametri_v3!$C$16</f>
        <v>3395.83333333333</v>
      </c>
      <c r="AU376" s="15" t="n">
        <f aca="false">Q376*Parametri_v3!$C$16*Parametri_v3!$C$17</f>
        <v>35</v>
      </c>
      <c r="AV376" s="17" t="n">
        <f aca="false">BD375</f>
        <v>4.44444444444445</v>
      </c>
      <c r="AW376" s="17" t="n">
        <f aca="false">AV376*(1-(1-INDEX(Ipotesi!$C$34:$G$34,1,F376))^(1/12))</f>
        <v>0</v>
      </c>
      <c r="AX376" s="15" t="n">
        <f aca="false">ROUND(INDEX(Ipotesi!$C$32:$G$32,1,F376)*Ipotesi!I8,0)</f>
        <v>5</v>
      </c>
      <c r="AY376" s="15" t="n">
        <f aca="false">MAX(0,(AX376-(AV376-AW376))/(13-E376))</f>
        <v>0.555555555555555</v>
      </c>
      <c r="AZ376" s="15" t="n">
        <f aca="false">MIN(P376*Parametri_v3!$C$22,Q376*(1-Parametri_v3!$C$16)*Parametri_v3!$C$23)</f>
        <v>22.5</v>
      </c>
      <c r="BA376" s="15" t="n">
        <f aca="false">IF(OR(INDEX(Ipotesi!$C$35:$G$35,1,F376)&lt;=0,12-Parametri_v3!$C$21&lt;1),0,INDEX($AT$365:$AT$424,MAX(1,12-Parametri_v3!$C$21))/(INDEX(Ipotesi!$C$35:$G$35,1,F376)*Ipotesi!I27))</f>
        <v>0.679166666666667</v>
      </c>
      <c r="BB376" s="15" t="n">
        <f aca="false">IF(12-Parametri_v3!$C$21&lt;1,0,INDEX($AU$365:$AU$424,MAX(1,12-Parametri_v3!$C$21)))*Parametri_v3!$C$18*Parametri_v3!$C$19*Parametri_v3!$C$20</f>
        <v>1.3125</v>
      </c>
      <c r="BC376" s="17" t="n">
        <f aca="false">MAX(0,MIN(AY376,BA376,BB376,MAX(0,AZ376-(AV376-AW376))))</f>
        <v>0.555555555555555</v>
      </c>
      <c r="BD376" s="17" t="n">
        <f aca="false">AV376-AW376+BC376</f>
        <v>5</v>
      </c>
      <c r="BE376" s="17" t="n">
        <f aca="false">(AV376+BD376)/2</f>
        <v>4.72222222222222</v>
      </c>
      <c r="BF376" s="15" t="n">
        <f aca="false">BE376*INDEX(Ipotesi!$C$33:$G$33,1,F376)*H376/12</f>
        <v>787.037037037037</v>
      </c>
      <c r="BG376" s="15" t="n">
        <f aca="false">BD376*INDEX(Ipotesi!$C$33:$G$33,1,F376)*H376</f>
        <v>10000</v>
      </c>
      <c r="BH376" s="15" t="n">
        <f aca="false">AM376*INDEX(Ipotesi!$C$37:$G$37,1,F376)</f>
        <v>1621.05263157895</v>
      </c>
      <c r="BI376" s="15" t="n">
        <f aca="false">AQ376+BF376+BH376</f>
        <v>9908.08966861599</v>
      </c>
      <c r="BJ376" s="15" t="n">
        <f aca="false">INDEX(Ipotesi!$C$68:$G$68,1,F376)*Ipotesi!$C$69/12</f>
        <v>1000</v>
      </c>
      <c r="BK376" s="15" t="n">
        <f aca="false">INDEX(Ipotesi!$C$68:$G$68,1,F376)*(1-Ipotesi!$C$69)/12</f>
        <v>1500</v>
      </c>
      <c r="BL376" s="15" t="n">
        <f aca="false">(AQ376+BF376)*Ipotesi!$C$67</f>
        <v>248.611111111111</v>
      </c>
      <c r="BM376" s="15" t="n">
        <f aca="false">AM376*Ipotesi!$C$67</f>
        <v>486.315789473684</v>
      </c>
      <c r="BN376" s="15" t="n">
        <f aca="false">INDEX(Ipotesi!$C$72:$G$72,1,F376)/12*Ipotesi!I126+BF376*Ipotesi!$C$73</f>
        <v>1312.96296296296</v>
      </c>
      <c r="BO376" s="15" t="n">
        <f aca="false">INDEX(Ipotesi!$C$74:$G$74,1,F376)/12*Ipotesi!I126</f>
        <v>1000</v>
      </c>
      <c r="BP376" s="15" t="n">
        <f aca="false">INDEX(Ipotesi!$C$76:$G$76,1,F376)/12</f>
        <v>500</v>
      </c>
      <c r="BQ376" s="15" t="n">
        <f aca="false">INDEX(Ipotesi!$C$77:$G$77,1,F376)/12*Ipotesi!I126</f>
        <v>1250</v>
      </c>
      <c r="BR376" s="15" t="n">
        <f aca="false">INDEX(Ipotesi!$C$78:$G$78,1,F376)/12</f>
        <v>1000</v>
      </c>
      <c r="BS376" s="15" t="n">
        <f aca="false">SUM(M376:R376)*(Ipotesi!$C$85+Ipotesi!$C$86)/12</f>
        <v>1239.58333333333</v>
      </c>
      <c r="BT376" s="15" t="n">
        <f aca="false">BI376*Ipotesi!$C$87</f>
        <v>297.24269005848</v>
      </c>
      <c r="BU376" s="15" t="n">
        <f aca="false">INDEX(Ipotesi!$C$55:$G$55,1,F376)*K376/12</f>
        <v>500</v>
      </c>
      <c r="BV376" s="15" t="n">
        <f aca="false">INDEX(Ipotesi!$C$80:$G$80,1,F376)/12*Ipotesi!I126</f>
        <v>500</v>
      </c>
      <c r="BW376" s="15" t="n">
        <f aca="false">INDEX(Ipotesi!$C$82:$G$82,1,F376)/12</f>
        <v>416.666666666667</v>
      </c>
      <c r="BX376" s="15" t="n">
        <f aca="false">INDEX(Ipotesi!$C$83:$G$83,1,F376)/12</f>
        <v>500</v>
      </c>
      <c r="BY376" s="15" t="n">
        <f aca="false">SUM(S376:U376)*(Ipotesi!$C$85+Ipotesi!$C$86)/12</f>
        <v>437.5</v>
      </c>
      <c r="BZ376" s="15" t="n">
        <f aca="false">AM376*Ipotesi!$C$87</f>
        <v>486.315789473684</v>
      </c>
      <c r="CA376" s="15" t="n">
        <f aca="false">AB376+BJ376+BL376+BN376+BO376+AR376+BP376+BQ376+BR376+BS376+BT376</f>
        <v>27848.4000974659</v>
      </c>
      <c r="CB376" s="15" t="n">
        <f aca="false">AC376+BK376+BM376+BH376+BU376+BV376+AS376+BW376+BX376+BY376+BZ376</f>
        <v>12114.5175438596</v>
      </c>
      <c r="CC376" s="15" t="n">
        <f aca="false">BI376-CA376</f>
        <v>-17940.3104288499</v>
      </c>
      <c r="CD376" s="15" t="n">
        <f aca="false">AM376-CB376</f>
        <v>4096.00877192982</v>
      </c>
      <c r="CE376" s="15" t="n">
        <f aca="false">INDEX(Ipotesi!$C$79:$G$79,1,F376)/12</f>
        <v>1666.66666666667</v>
      </c>
      <c r="CF376" s="15" t="n">
        <f aca="false">INDEX(Ipotesi!$C$84:$G$84,1,F376)/12</f>
        <v>250</v>
      </c>
      <c r="CG376" s="15" t="n">
        <f aca="false">Y376*MAX(0,Parametri_v3!$C$12-IF(P376=0,0,MIN(1,BE376/(P376*Parametri_v3!$C$22))))+W376*Parametri_v3!$C$13+X376*Parametri_v3!$C$14</f>
        <v>6990.74074074074</v>
      </c>
      <c r="CH376" s="15" t="n">
        <f aca="false">AB376*Parametri_v3!$C$32</f>
        <v>895.833333333334</v>
      </c>
      <c r="CI376" s="15" t="n">
        <f aca="false">AC376*Parametri_v3!$C$32</f>
        <v>262.5</v>
      </c>
      <c r="CJ376" s="15" t="n">
        <f aca="false">CA376-AB376</f>
        <v>9931.73343079922</v>
      </c>
      <c r="CK376" s="15" t="n">
        <f aca="false">CB376-AC376-BH376</f>
        <v>5243.4649122807</v>
      </c>
      <c r="CL376" s="15" t="n">
        <f aca="false">BF376*Ipotesi!$C$73+INDEX(Ipotesi!$C$72:$G$72,1,F376)/12*Ipotesi!I126*Parametri_v3!$C$58+Z376*(1-Parametri_v3!$C$16)</f>
        <v>1875.46296296296</v>
      </c>
      <c r="CM376" s="16" t="n">
        <f aca="false">IF(BF376=0,0,1-CL376/BF376)</f>
        <v>-1.38294117647059</v>
      </c>
    </row>
    <row r="377" customFormat="false" ht="18" hidden="false" customHeight="true" outlineLevel="0" collapsed="false">
      <c r="A377" s="68" t="n">
        <f aca="false">7</f>
        <v>7</v>
      </c>
      <c r="B377" s="68" t="n">
        <f aca="false">13</f>
        <v>13</v>
      </c>
      <c r="C377" s="18" t="n">
        <f aca="false">EDATE(Parametri_v3!$C$5,13-1)</f>
        <v>46753</v>
      </c>
      <c r="D377" s="68" t="n">
        <f aca="false">YEAR(C377)</f>
        <v>2028</v>
      </c>
      <c r="E377" s="68" t="n">
        <f aca="false">MONTH(C377)</f>
        <v>1</v>
      </c>
      <c r="F377" s="68" t="n">
        <f aca="false">INT((13-1)/12)+1</f>
        <v>2</v>
      </c>
      <c r="G377" s="15" t="n">
        <f aca="false">Ipotesi!I7</f>
        <v>1</v>
      </c>
      <c r="H377" s="15" t="n">
        <f aca="false">Ipotesi!I9</f>
        <v>1</v>
      </c>
      <c r="I377" s="15" t="n">
        <f aca="false">Ipotesi!I10</f>
        <v>1</v>
      </c>
      <c r="J377" s="15" t="n">
        <f aca="false">Ipotesi!I11</f>
        <v>1</v>
      </c>
      <c r="K377" s="15" t="n">
        <f aca="false">Ipotesi!I12</f>
        <v>1</v>
      </c>
      <c r="L377" s="15" t="n">
        <f aca="false">Ipotesi!I13</f>
        <v>90</v>
      </c>
      <c r="M377" s="17" t="n">
        <f aca="false">INDEX(Ipotesi!$C$40:$G$40,1,F377)</f>
        <v>1</v>
      </c>
      <c r="N377" s="17" t="n">
        <f aca="false">INDEX(Ipotesi!$C$41:$G$41,1,F377)</f>
        <v>1</v>
      </c>
      <c r="O377" s="17" t="n">
        <f aca="false">INDEX(Ipotesi!$C$42:$G$42,1,F377)*Ipotesi!I125</f>
        <v>2.5</v>
      </c>
      <c r="P377" s="17" t="n">
        <f aca="false">INDEX(Ipotesi!$C$43:$G$43,1,F377)*I377</f>
        <v>2.5</v>
      </c>
      <c r="Q377" s="17" t="n">
        <f aca="false">INDEX(Ipotesi!$C$44:$G$44,1,F377)*I377</f>
        <v>1.5</v>
      </c>
      <c r="R377" s="17" t="n">
        <f aca="false">INDEX(Ipotesi!$C$45:$G$45,1,F377)*I377</f>
        <v>0.5</v>
      </c>
      <c r="S377" s="17" t="n">
        <f aca="false">INDEX(Ipotesi!$C$52:$G$52,1,F377)*Ipotesi!I125</f>
        <v>3</v>
      </c>
      <c r="T377" s="17" t="n">
        <f aca="false">INDEX(Ipotesi!$C$53:$G$53,1,F377)*I377</f>
        <v>1</v>
      </c>
      <c r="U377" s="17" t="n">
        <f aca="false">INDEX(Ipotesi!$C$54:$G$54,1,F377)*I377</f>
        <v>0</v>
      </c>
      <c r="V377" s="15" t="n">
        <f aca="false">M377*INDEX(Ipotesi!$C$58:$G$58,1,F377)*K377/12</f>
        <v>5000</v>
      </c>
      <c r="W377" s="15" t="n">
        <f aca="false">N377*Ipotesi!$C$59*(1+Ipotesi!$C$66)^(F377-1)/12</f>
        <v>6008.33333333333</v>
      </c>
      <c r="X377" s="15" t="n">
        <f aca="false">O377*Ipotesi!$C$60*(1+Ipotesi!$C$66)^(F377-1)/12</f>
        <v>10729.1666666667</v>
      </c>
      <c r="Y377" s="15" t="n">
        <f aca="false">P377*Ipotesi!$C$61*(1+Ipotesi!$C$66)^(F377-1)/12</f>
        <v>10729.1666666667</v>
      </c>
      <c r="Z377" s="15" t="n">
        <f aca="false">Q377*Ipotesi!$C$62*(1+Ipotesi!$C$66)^(F377-1)/12</f>
        <v>5793.75</v>
      </c>
      <c r="AA377" s="15" t="n">
        <f aca="false">R377*Ipotesi!$C$63*(1+Ipotesi!$C$66)^(F377-1)/12</f>
        <v>1502.08333333333</v>
      </c>
      <c r="AB377" s="15" t="n">
        <f aca="false">SUM(V377:AA377)</f>
        <v>39762.5</v>
      </c>
      <c r="AC377" s="15" t="n">
        <f aca="false">(S377*Ipotesi!$C$64+T377*Ipotesi!$C$65+U377*Ipotesi!$C$63)*(1+Ipotesi!$C$66)^(F377-1)/12</f>
        <v>15965</v>
      </c>
      <c r="AD377" s="15" t="n">
        <f aca="false">INDEX(Ipotesi!$C$48:$G$48,1,F377)*G377/12</f>
        <v>37.5</v>
      </c>
      <c r="AE377" s="15" t="n">
        <f aca="false">INDEX(Ipotesi!$C$50:$G$50,1,F377)*G377/12</f>
        <v>4.58333333333333</v>
      </c>
      <c r="AF377" s="15" t="n">
        <f aca="false">(S377*Parametri_v3!$C$7*Parametri_v3!$C$8+Parametri_v3!$C$10)/12</f>
        <v>38.5</v>
      </c>
      <c r="AG377" s="15" t="n">
        <f aca="false">AD377+AE377*(1+Parametri_v3!$C$9)</f>
        <v>44.375</v>
      </c>
      <c r="AH377" s="16" t="n">
        <f aca="false">IF(AG377=0,1,MIN(1,AF377/AG377))</f>
        <v>0.867605633802817</v>
      </c>
      <c r="AI377" s="15" t="n">
        <f aca="false">AD377*AH377</f>
        <v>32.5352112676056</v>
      </c>
      <c r="AJ377" s="15" t="n">
        <f aca="false">AE377*AH377</f>
        <v>3.97652582159624</v>
      </c>
      <c r="AK377" s="15" t="n">
        <f aca="false">AI377*INDEX(Ipotesi!$C$49:$G$49,1,F377)*H377</f>
        <v>26028.1690140845</v>
      </c>
      <c r="AL377" s="15" t="n">
        <f aca="false">AJ377*INDEX(Ipotesi!$C$51:$G$51,1,F377)*H377</f>
        <v>7953.05164319249</v>
      </c>
      <c r="AM377" s="15" t="n">
        <f aca="false">AK377+AL377</f>
        <v>33981.220657277</v>
      </c>
      <c r="AN377" s="15" t="n">
        <f aca="false">INDEX(Ipotesi!$C$30:$G$30,1,F377)*G377/12</f>
        <v>22.5</v>
      </c>
      <c r="AO377" s="15" t="n">
        <f aca="false">O377*Parametri_v3!$C$7*Parametri_v3!$C$11*(1-Parametri_v3!$C$14)/12</f>
        <v>25.6666666666667</v>
      </c>
      <c r="AP377" s="15" t="n">
        <f aca="false">MIN(AN377,AO377)</f>
        <v>22.5</v>
      </c>
      <c r="AQ377" s="15" t="n">
        <f aca="false">AP377*INDEX(Ipotesi!$C$31:$G$31,1,F377)*H377</f>
        <v>21375</v>
      </c>
      <c r="AR377" s="15" t="n">
        <f aca="false">INDEX(Ipotesi!$C$75:$G$75,1,F377)*J377/12</f>
        <v>4583.33333333333</v>
      </c>
      <c r="AS377" s="15" t="n">
        <f aca="false">INDEX(Ipotesi!$C$81:$G$81,1,F377)*J377/12</f>
        <v>833.333333333333</v>
      </c>
      <c r="AT377" s="15" t="n">
        <f aca="false">AR377*Parametri_v3!$C$15+Z377*Parametri_v3!$C$16</f>
        <v>8638.95833333333</v>
      </c>
      <c r="AU377" s="15" t="n">
        <f aca="false">Q377*Parametri_v3!$C$16*Parametri_v3!$C$17</f>
        <v>105</v>
      </c>
      <c r="AV377" s="17" t="n">
        <f aca="false">BD376</f>
        <v>5</v>
      </c>
      <c r="AW377" s="17" t="n">
        <f aca="false">AV377*(1-(1-INDEX(Ipotesi!$C$34:$G$34,1,F377))^(1/12))</f>
        <v>0.0437080547734836</v>
      </c>
      <c r="AX377" s="15" t="n">
        <f aca="false">ROUND(INDEX(Ipotesi!$C$32:$G$32,1,F377)*Ipotesi!I8,0)</f>
        <v>35</v>
      </c>
      <c r="AY377" s="15" t="n">
        <f aca="false">MAX(0,(AX377-(AV377-AW377))/(13-E377))</f>
        <v>2.50364233789779</v>
      </c>
      <c r="AZ377" s="15" t="n">
        <f aca="false">MIN(P377*Parametri_v3!$C$22,Q377*(1-Parametri_v3!$C$16)*Parametri_v3!$C$23)</f>
        <v>67.5</v>
      </c>
      <c r="BA377" s="15" t="n">
        <f aca="false">IF(OR(INDEX(Ipotesi!$C$35:$G$35,1,F377)&lt;=0,13-Parametri_v3!$C$21&lt;1),0,INDEX($AT$365:$AT$424,MAX(1,13-Parametri_v3!$C$21))/(INDEX(Ipotesi!$C$35:$G$35,1,F377)*Ipotesi!I27))</f>
        <v>1.13194444444444</v>
      </c>
      <c r="BB377" s="15" t="n">
        <f aca="false">IF(13-Parametri_v3!$C$21&lt;1,0,INDEX($AU$365:$AU$424,MAX(1,13-Parametri_v3!$C$21)))*Parametri_v3!$C$18*Parametri_v3!$C$19*Parametri_v3!$C$20</f>
        <v>1.3125</v>
      </c>
      <c r="BC377" s="17" t="n">
        <f aca="false">MAX(0,MIN(AY377,BA377,BB377,MAX(0,AZ377-(AV377-AW377))))</f>
        <v>1.13194444444444</v>
      </c>
      <c r="BD377" s="17" t="n">
        <f aca="false">AV377-AW377+BC377</f>
        <v>6.08823638967096</v>
      </c>
      <c r="BE377" s="17" t="n">
        <f aca="false">(AV377+BD377)/2</f>
        <v>5.54411819483548</v>
      </c>
      <c r="BF377" s="15" t="n">
        <f aca="false">BE377*INDEX(Ipotesi!$C$33:$G$33,1,F377)*H377/12</f>
        <v>1848.03939827849</v>
      </c>
      <c r="BG377" s="15" t="n">
        <f aca="false">BD377*INDEX(Ipotesi!$C$33:$G$33,1,F377)*H377</f>
        <v>24352.9455586838</v>
      </c>
      <c r="BH377" s="15" t="n">
        <f aca="false">AM377*INDEX(Ipotesi!$C$37:$G$37,1,F377)</f>
        <v>3398.1220657277</v>
      </c>
      <c r="BI377" s="15" t="n">
        <f aca="false">AQ377+BF377+BH377</f>
        <v>26621.1614640062</v>
      </c>
      <c r="BJ377" s="15" t="n">
        <f aca="false">INDEX(Ipotesi!$C$68:$G$68,1,F377)*Ipotesi!$C$69/12</f>
        <v>1600</v>
      </c>
      <c r="BK377" s="15" t="n">
        <f aca="false">INDEX(Ipotesi!$C$68:$G$68,1,F377)*(1-Ipotesi!$C$69)/12</f>
        <v>2400</v>
      </c>
      <c r="BL377" s="15" t="n">
        <f aca="false">(AQ377+BF377)*Ipotesi!$C$67</f>
        <v>696.691181948355</v>
      </c>
      <c r="BM377" s="15" t="n">
        <f aca="false">AM377*Ipotesi!$C$67</f>
        <v>1019.43661971831</v>
      </c>
      <c r="BN377" s="15" t="n">
        <f aca="false">INDEX(Ipotesi!$C$72:$G$72,1,F377)/12*Ipotesi!I126+BF377*Ipotesi!$C$73</f>
        <v>1397.84315186228</v>
      </c>
      <c r="BO377" s="15" t="n">
        <f aca="false">INDEX(Ipotesi!$C$74:$G$74,1,F377)/12*Ipotesi!I126</f>
        <v>1833.33333333333</v>
      </c>
      <c r="BP377" s="15" t="n">
        <f aca="false">INDEX(Ipotesi!$C$76:$G$76,1,F377)/12</f>
        <v>750</v>
      </c>
      <c r="BQ377" s="15" t="n">
        <f aca="false">INDEX(Ipotesi!$C$77:$G$77,1,F377)/12*Ipotesi!I126</f>
        <v>1666.66666666667</v>
      </c>
      <c r="BR377" s="15" t="n">
        <f aca="false">INDEX(Ipotesi!$C$78:$G$78,1,F377)/12</f>
        <v>1250</v>
      </c>
      <c r="BS377" s="15" t="n">
        <f aca="false">SUM(M377:R377)*(Ipotesi!$C$85+Ipotesi!$C$86)/12</f>
        <v>2625</v>
      </c>
      <c r="BT377" s="15" t="n">
        <f aca="false">BI377*Ipotesi!$C$87</f>
        <v>798.634843920186</v>
      </c>
      <c r="BU377" s="15" t="n">
        <f aca="false">INDEX(Ipotesi!$C$55:$G$55,1,F377)*K377/12</f>
        <v>1000</v>
      </c>
      <c r="BV377" s="15" t="n">
        <f aca="false">INDEX(Ipotesi!$C$80:$G$80,1,F377)/12*Ipotesi!I126</f>
        <v>833.333333333333</v>
      </c>
      <c r="BW377" s="15" t="n">
        <f aca="false">INDEX(Ipotesi!$C$82:$G$82,1,F377)/12</f>
        <v>666.666666666667</v>
      </c>
      <c r="BX377" s="15" t="n">
        <f aca="false">INDEX(Ipotesi!$C$83:$G$83,1,F377)/12</f>
        <v>583.333333333333</v>
      </c>
      <c r="BY377" s="15" t="n">
        <f aca="false">SUM(S377:U377)*(Ipotesi!$C$85+Ipotesi!$C$86)/12</f>
        <v>1166.66666666667</v>
      </c>
      <c r="BZ377" s="15" t="n">
        <f aca="false">AM377*Ipotesi!$C$87</f>
        <v>1019.43661971831</v>
      </c>
      <c r="CA377" s="15" t="n">
        <f aca="false">AB377+BJ377+BL377+BN377+BO377+AR377+BP377+BQ377+BR377+BS377+BT377</f>
        <v>56964.0025110642</v>
      </c>
      <c r="CB377" s="15" t="n">
        <f aca="false">AC377+BK377+BM377+BH377+BU377+BV377+AS377+BW377+BX377+BY377+BZ377</f>
        <v>28885.3286384976</v>
      </c>
      <c r="CC377" s="15" t="n">
        <f aca="false">BI377-CA377</f>
        <v>-30342.841047058</v>
      </c>
      <c r="CD377" s="15" t="n">
        <f aca="false">AM377-CB377</f>
        <v>5095.89201877934</v>
      </c>
      <c r="CE377" s="15" t="n">
        <f aca="false">INDEX(Ipotesi!$C$79:$G$79,1,F377)/12</f>
        <v>2083.33333333333</v>
      </c>
      <c r="CF377" s="15" t="n">
        <f aca="false">INDEX(Ipotesi!$C$84:$G$84,1,F377)/12</f>
        <v>416.666666666667</v>
      </c>
      <c r="CG377" s="15" t="n">
        <f aca="false">Y377*MAX(0,Parametri_v3!$C$12-IF(P377=0,0,MIN(1,BE377/(P377*Parametri_v3!$C$22))))+W377*Parametri_v3!$C$13+X377*Parametri_v3!$C$14</f>
        <v>15641.2315941383</v>
      </c>
      <c r="CH377" s="15" t="n">
        <f aca="false">AB377*Parametri_v3!$C$32</f>
        <v>1988.125</v>
      </c>
      <c r="CI377" s="15" t="n">
        <f aca="false">AC377*Parametri_v3!$C$32</f>
        <v>798.25</v>
      </c>
      <c r="CJ377" s="15" t="n">
        <f aca="false">CA377-AB377</f>
        <v>17201.5025110642</v>
      </c>
      <c r="CK377" s="15" t="n">
        <f aca="false">CB377-AC377-BH377</f>
        <v>9522.20657276995</v>
      </c>
      <c r="CL377" s="15" t="n">
        <f aca="false">BF377*Ipotesi!$C$73+INDEX(Ipotesi!$C$72:$G$72,1,F377)/12*Ipotesi!I126*Parametri_v3!$C$58+Z377*(1-Parametri_v3!$C$16)</f>
        <v>3135.96815186228</v>
      </c>
      <c r="CM377" s="16" t="n">
        <f aca="false">IF(BF377=0,0,1-CL377/BF377)</f>
        <v>-0.696916285866812</v>
      </c>
    </row>
    <row r="378" customFormat="false" ht="18" hidden="false" customHeight="true" outlineLevel="0" collapsed="false">
      <c r="A378" s="68" t="n">
        <f aca="false">7</f>
        <v>7</v>
      </c>
      <c r="B378" s="68" t="n">
        <f aca="false">14</f>
        <v>14</v>
      </c>
      <c r="C378" s="18" t="n">
        <f aca="false">EDATE(Parametri_v3!$C$5,14-1)</f>
        <v>46784</v>
      </c>
      <c r="D378" s="68" t="n">
        <f aca="false">YEAR(C378)</f>
        <v>2028</v>
      </c>
      <c r="E378" s="68" t="n">
        <f aca="false">MONTH(C378)</f>
        <v>2</v>
      </c>
      <c r="F378" s="68" t="n">
        <f aca="false">INT((14-1)/12)+1</f>
        <v>2</v>
      </c>
      <c r="G378" s="15" t="n">
        <f aca="false">Ipotesi!I7</f>
        <v>1</v>
      </c>
      <c r="H378" s="15" t="n">
        <f aca="false">Ipotesi!I9</f>
        <v>1</v>
      </c>
      <c r="I378" s="15" t="n">
        <f aca="false">Ipotesi!I10</f>
        <v>1</v>
      </c>
      <c r="J378" s="15" t="n">
        <f aca="false">Ipotesi!I11</f>
        <v>1</v>
      </c>
      <c r="K378" s="15" t="n">
        <f aca="false">Ipotesi!I12</f>
        <v>1</v>
      </c>
      <c r="L378" s="15" t="n">
        <f aca="false">Ipotesi!I13</f>
        <v>90</v>
      </c>
      <c r="M378" s="17" t="n">
        <f aca="false">INDEX(Ipotesi!$C$40:$G$40,1,F378)</f>
        <v>1</v>
      </c>
      <c r="N378" s="17" t="n">
        <f aca="false">INDEX(Ipotesi!$C$41:$G$41,1,F378)</f>
        <v>1</v>
      </c>
      <c r="O378" s="17" t="n">
        <f aca="false">INDEX(Ipotesi!$C$42:$G$42,1,F378)*Ipotesi!I125</f>
        <v>2.5</v>
      </c>
      <c r="P378" s="17" t="n">
        <f aca="false">INDEX(Ipotesi!$C$43:$G$43,1,F378)*I378</f>
        <v>2.5</v>
      </c>
      <c r="Q378" s="17" t="n">
        <f aca="false">INDEX(Ipotesi!$C$44:$G$44,1,F378)*I378</f>
        <v>1.5</v>
      </c>
      <c r="R378" s="17" t="n">
        <f aca="false">INDEX(Ipotesi!$C$45:$G$45,1,F378)*I378</f>
        <v>0.5</v>
      </c>
      <c r="S378" s="17" t="n">
        <f aca="false">INDEX(Ipotesi!$C$52:$G$52,1,F378)*Ipotesi!I125</f>
        <v>3</v>
      </c>
      <c r="T378" s="17" t="n">
        <f aca="false">INDEX(Ipotesi!$C$53:$G$53,1,F378)*I378</f>
        <v>1</v>
      </c>
      <c r="U378" s="17" t="n">
        <f aca="false">INDEX(Ipotesi!$C$54:$G$54,1,F378)*I378</f>
        <v>0</v>
      </c>
      <c r="V378" s="15" t="n">
        <f aca="false">M378*INDEX(Ipotesi!$C$58:$G$58,1,F378)*K378/12</f>
        <v>5000</v>
      </c>
      <c r="W378" s="15" t="n">
        <f aca="false">N378*Ipotesi!$C$59*(1+Ipotesi!$C$66)^(F378-1)/12</f>
        <v>6008.33333333333</v>
      </c>
      <c r="X378" s="15" t="n">
        <f aca="false">O378*Ipotesi!$C$60*(1+Ipotesi!$C$66)^(F378-1)/12</f>
        <v>10729.1666666667</v>
      </c>
      <c r="Y378" s="15" t="n">
        <f aca="false">P378*Ipotesi!$C$61*(1+Ipotesi!$C$66)^(F378-1)/12</f>
        <v>10729.1666666667</v>
      </c>
      <c r="Z378" s="15" t="n">
        <f aca="false">Q378*Ipotesi!$C$62*(1+Ipotesi!$C$66)^(F378-1)/12</f>
        <v>5793.75</v>
      </c>
      <c r="AA378" s="15" t="n">
        <f aca="false">R378*Ipotesi!$C$63*(1+Ipotesi!$C$66)^(F378-1)/12</f>
        <v>1502.08333333333</v>
      </c>
      <c r="AB378" s="15" t="n">
        <f aca="false">SUM(V378:AA378)</f>
        <v>39762.5</v>
      </c>
      <c r="AC378" s="15" t="n">
        <f aca="false">(S378*Ipotesi!$C$64+T378*Ipotesi!$C$65+U378*Ipotesi!$C$63)*(1+Ipotesi!$C$66)^(F378-1)/12</f>
        <v>15965</v>
      </c>
      <c r="AD378" s="15" t="n">
        <f aca="false">INDEX(Ipotesi!$C$48:$G$48,1,F378)*G378/12</f>
        <v>37.5</v>
      </c>
      <c r="AE378" s="15" t="n">
        <f aca="false">INDEX(Ipotesi!$C$50:$G$50,1,F378)*G378/12</f>
        <v>4.58333333333333</v>
      </c>
      <c r="AF378" s="15" t="n">
        <f aca="false">(S378*Parametri_v3!$C$7*Parametri_v3!$C$8+Parametri_v3!$C$10)/12</f>
        <v>38.5</v>
      </c>
      <c r="AG378" s="15" t="n">
        <f aca="false">AD378+AE378*(1+Parametri_v3!$C$9)</f>
        <v>44.375</v>
      </c>
      <c r="AH378" s="16" t="n">
        <f aca="false">IF(AG378=0,1,MIN(1,AF378/AG378))</f>
        <v>0.867605633802817</v>
      </c>
      <c r="AI378" s="15" t="n">
        <f aca="false">AD378*AH378</f>
        <v>32.5352112676056</v>
      </c>
      <c r="AJ378" s="15" t="n">
        <f aca="false">AE378*AH378</f>
        <v>3.97652582159624</v>
      </c>
      <c r="AK378" s="15" t="n">
        <f aca="false">AI378*INDEX(Ipotesi!$C$49:$G$49,1,F378)*H378</f>
        <v>26028.1690140845</v>
      </c>
      <c r="AL378" s="15" t="n">
        <f aca="false">AJ378*INDEX(Ipotesi!$C$51:$G$51,1,F378)*H378</f>
        <v>7953.05164319249</v>
      </c>
      <c r="AM378" s="15" t="n">
        <f aca="false">AK378+AL378</f>
        <v>33981.220657277</v>
      </c>
      <c r="AN378" s="15" t="n">
        <f aca="false">INDEX(Ipotesi!$C$30:$G$30,1,F378)*G378/12</f>
        <v>22.5</v>
      </c>
      <c r="AO378" s="15" t="n">
        <f aca="false">O378*Parametri_v3!$C$7*Parametri_v3!$C$11*(1-Parametri_v3!$C$14)/12</f>
        <v>25.6666666666667</v>
      </c>
      <c r="AP378" s="15" t="n">
        <f aca="false">MIN(AN378,AO378)</f>
        <v>22.5</v>
      </c>
      <c r="AQ378" s="15" t="n">
        <f aca="false">AP378*INDEX(Ipotesi!$C$31:$G$31,1,F378)*H378</f>
        <v>21375</v>
      </c>
      <c r="AR378" s="15" t="n">
        <f aca="false">INDEX(Ipotesi!$C$75:$G$75,1,F378)*J378/12</f>
        <v>4583.33333333333</v>
      </c>
      <c r="AS378" s="15" t="n">
        <f aca="false">INDEX(Ipotesi!$C$81:$G$81,1,F378)*J378/12</f>
        <v>833.333333333333</v>
      </c>
      <c r="AT378" s="15" t="n">
        <f aca="false">AR378*Parametri_v3!$C$15+Z378*Parametri_v3!$C$16</f>
        <v>8638.95833333333</v>
      </c>
      <c r="AU378" s="15" t="n">
        <f aca="false">Q378*Parametri_v3!$C$16*Parametri_v3!$C$17</f>
        <v>105</v>
      </c>
      <c r="AV378" s="17" t="n">
        <f aca="false">BD377</f>
        <v>6.08823638967096</v>
      </c>
      <c r="AW378" s="17" t="n">
        <f aca="false">AV378*(1-(1-INDEX(Ipotesi!$C$34:$G$34,1,F378))^(1/12))</f>
        <v>0.0532209939187309</v>
      </c>
      <c r="AX378" s="15" t="n">
        <f aca="false">ROUND(INDEX(Ipotesi!$C$32:$G$32,1,F378)*Ipotesi!I8,0)</f>
        <v>35</v>
      </c>
      <c r="AY378" s="15" t="n">
        <f aca="false">MAX(0,(AX378-(AV378-AW378))/(13-E378))</f>
        <v>2.63318041856798</v>
      </c>
      <c r="AZ378" s="15" t="n">
        <f aca="false">MIN(P378*Parametri_v3!$C$22,Q378*(1-Parametri_v3!$C$16)*Parametri_v3!$C$23)</f>
        <v>67.5</v>
      </c>
      <c r="BA378" s="15" t="n">
        <f aca="false">IF(OR(INDEX(Ipotesi!$C$35:$G$35,1,F378)&lt;=0,14-Parametri_v3!$C$21&lt;1),0,INDEX($AT$365:$AT$424,MAX(1,14-Parametri_v3!$C$21))/(INDEX(Ipotesi!$C$35:$G$35,1,F378)*Ipotesi!I27))</f>
        <v>1.13194444444444</v>
      </c>
      <c r="BB378" s="15" t="n">
        <f aca="false">IF(14-Parametri_v3!$C$21&lt;1,0,INDEX($AU$365:$AU$424,MAX(1,14-Parametri_v3!$C$21)))*Parametri_v3!$C$18*Parametri_v3!$C$19*Parametri_v3!$C$20</f>
        <v>1.3125</v>
      </c>
      <c r="BC378" s="17" t="n">
        <f aca="false">MAX(0,MIN(AY378,BA378,BB378,MAX(0,AZ378-(AV378-AW378))))</f>
        <v>1.13194444444444</v>
      </c>
      <c r="BD378" s="17" t="n">
        <f aca="false">AV378-AW378+BC378</f>
        <v>7.16695984019667</v>
      </c>
      <c r="BE378" s="17" t="n">
        <f aca="false">(AV378+BD378)/2</f>
        <v>6.62759811493382</v>
      </c>
      <c r="BF378" s="15" t="n">
        <f aca="false">BE378*INDEX(Ipotesi!$C$33:$G$33,1,F378)*H378/12</f>
        <v>2209.19937164461</v>
      </c>
      <c r="BG378" s="15" t="n">
        <f aca="false">BD378*INDEX(Ipotesi!$C$33:$G$33,1,F378)*H378</f>
        <v>28667.8393607867</v>
      </c>
      <c r="BH378" s="15" t="n">
        <f aca="false">AM378*INDEX(Ipotesi!$C$37:$G$37,1,F378)</f>
        <v>3398.1220657277</v>
      </c>
      <c r="BI378" s="15" t="n">
        <f aca="false">AQ378+BF378+BH378</f>
        <v>26982.3214373723</v>
      </c>
      <c r="BJ378" s="15" t="n">
        <f aca="false">INDEX(Ipotesi!$C$68:$G$68,1,F378)*Ipotesi!$C$69/12</f>
        <v>1600</v>
      </c>
      <c r="BK378" s="15" t="n">
        <f aca="false">INDEX(Ipotesi!$C$68:$G$68,1,F378)*(1-Ipotesi!$C$69)/12</f>
        <v>2400</v>
      </c>
      <c r="BL378" s="15" t="n">
        <f aca="false">(AQ378+BF378)*Ipotesi!$C$67</f>
        <v>707.525981149338</v>
      </c>
      <c r="BM378" s="15" t="n">
        <f aca="false">AM378*Ipotesi!$C$67</f>
        <v>1019.43661971831</v>
      </c>
      <c r="BN378" s="15" t="n">
        <f aca="false">INDEX(Ipotesi!$C$72:$G$72,1,F378)/12*Ipotesi!I126+BF378*Ipotesi!$C$73</f>
        <v>1426.73594973157</v>
      </c>
      <c r="BO378" s="15" t="n">
        <f aca="false">INDEX(Ipotesi!$C$74:$G$74,1,F378)/12*Ipotesi!I126</f>
        <v>1833.33333333333</v>
      </c>
      <c r="BP378" s="15" t="n">
        <f aca="false">INDEX(Ipotesi!$C$76:$G$76,1,F378)/12</f>
        <v>750</v>
      </c>
      <c r="BQ378" s="15" t="n">
        <f aca="false">INDEX(Ipotesi!$C$77:$G$77,1,F378)/12*Ipotesi!I126</f>
        <v>1666.66666666667</v>
      </c>
      <c r="BR378" s="15" t="n">
        <f aca="false">INDEX(Ipotesi!$C$78:$G$78,1,F378)/12</f>
        <v>1250</v>
      </c>
      <c r="BS378" s="15" t="n">
        <f aca="false">SUM(M378:R378)*(Ipotesi!$C$85+Ipotesi!$C$86)/12</f>
        <v>2625</v>
      </c>
      <c r="BT378" s="15" t="n">
        <f aca="false">BI378*Ipotesi!$C$87</f>
        <v>809.469643121169</v>
      </c>
      <c r="BU378" s="15" t="n">
        <f aca="false">INDEX(Ipotesi!$C$55:$G$55,1,F378)*K378/12</f>
        <v>1000</v>
      </c>
      <c r="BV378" s="15" t="n">
        <f aca="false">INDEX(Ipotesi!$C$80:$G$80,1,F378)/12*Ipotesi!I126</f>
        <v>833.333333333333</v>
      </c>
      <c r="BW378" s="15" t="n">
        <f aca="false">INDEX(Ipotesi!$C$82:$G$82,1,F378)/12</f>
        <v>666.666666666667</v>
      </c>
      <c r="BX378" s="15" t="n">
        <f aca="false">INDEX(Ipotesi!$C$83:$G$83,1,F378)/12</f>
        <v>583.333333333333</v>
      </c>
      <c r="BY378" s="15" t="n">
        <f aca="false">SUM(S378:U378)*(Ipotesi!$C$85+Ipotesi!$C$86)/12</f>
        <v>1166.66666666667</v>
      </c>
      <c r="BZ378" s="15" t="n">
        <f aca="false">AM378*Ipotesi!$C$87</f>
        <v>1019.43661971831</v>
      </c>
      <c r="CA378" s="15" t="n">
        <f aca="false">AB378+BJ378+BL378+BN378+BO378+AR378+BP378+BQ378+BR378+BS378+BT378</f>
        <v>57014.5649073354</v>
      </c>
      <c r="CB378" s="15" t="n">
        <f aca="false">AC378+BK378+BM378+BH378+BU378+BV378+AS378+BW378+BX378+BY378+BZ378</f>
        <v>28885.3286384976</v>
      </c>
      <c r="CC378" s="15" t="n">
        <f aca="false">BI378-CA378</f>
        <v>-30032.2434699631</v>
      </c>
      <c r="CD378" s="15" t="n">
        <f aca="false">AM378-CB378</f>
        <v>5095.89201877934</v>
      </c>
      <c r="CE378" s="15" t="n">
        <f aca="false">INDEX(Ipotesi!$C$79:$G$79,1,F378)/12</f>
        <v>2083.33333333333</v>
      </c>
      <c r="CF378" s="15" t="n">
        <f aca="false">INDEX(Ipotesi!$C$84:$G$84,1,F378)/12</f>
        <v>416.666666666667</v>
      </c>
      <c r="CG378" s="15" t="n">
        <f aca="false">Y378*MAX(0,Parametri_v3!$C$12-IF(P378=0,0,MIN(1,BE378/(P378*Parametri_v3!$C$22))))+W378*Parametri_v3!$C$13+X378*Parametri_v3!$C$14</f>
        <v>15594.7322475674</v>
      </c>
      <c r="CH378" s="15" t="n">
        <f aca="false">AB378*Parametri_v3!$C$32</f>
        <v>1988.125</v>
      </c>
      <c r="CI378" s="15" t="n">
        <f aca="false">AC378*Parametri_v3!$C$32</f>
        <v>798.25</v>
      </c>
      <c r="CJ378" s="15" t="n">
        <f aca="false">CA378-AB378</f>
        <v>17252.0649073354</v>
      </c>
      <c r="CK378" s="15" t="n">
        <f aca="false">CB378-AC378-BH378</f>
        <v>9522.20657276995</v>
      </c>
      <c r="CL378" s="15" t="n">
        <f aca="false">BF378*Ipotesi!$C$73+INDEX(Ipotesi!$C$72:$G$72,1,F378)/12*Ipotesi!I126*Parametri_v3!$C$58+Z378*(1-Parametri_v3!$C$16)</f>
        <v>3164.86094973157</v>
      </c>
      <c r="CM378" s="16" t="n">
        <f aca="false">IF(BF378=0,0,1-CL378/BF378)</f>
        <v>-0.4325827674736</v>
      </c>
    </row>
    <row r="379" customFormat="false" ht="18" hidden="false" customHeight="true" outlineLevel="0" collapsed="false">
      <c r="A379" s="68" t="n">
        <f aca="false">7</f>
        <v>7</v>
      </c>
      <c r="B379" s="68" t="n">
        <f aca="false">15</f>
        <v>15</v>
      </c>
      <c r="C379" s="18" t="n">
        <f aca="false">EDATE(Parametri_v3!$C$5,15-1)</f>
        <v>46813</v>
      </c>
      <c r="D379" s="68" t="n">
        <f aca="false">YEAR(C379)</f>
        <v>2028</v>
      </c>
      <c r="E379" s="68" t="n">
        <f aca="false">MONTH(C379)</f>
        <v>3</v>
      </c>
      <c r="F379" s="68" t="n">
        <f aca="false">INT((15-1)/12)+1</f>
        <v>2</v>
      </c>
      <c r="G379" s="15" t="n">
        <f aca="false">Ipotesi!I7</f>
        <v>1</v>
      </c>
      <c r="H379" s="15" t="n">
        <f aca="false">Ipotesi!I9</f>
        <v>1</v>
      </c>
      <c r="I379" s="15" t="n">
        <f aca="false">Ipotesi!I10</f>
        <v>1</v>
      </c>
      <c r="J379" s="15" t="n">
        <f aca="false">Ipotesi!I11</f>
        <v>1</v>
      </c>
      <c r="K379" s="15" t="n">
        <f aca="false">Ipotesi!I12</f>
        <v>1</v>
      </c>
      <c r="L379" s="15" t="n">
        <f aca="false">Ipotesi!I13</f>
        <v>90</v>
      </c>
      <c r="M379" s="17" t="n">
        <f aca="false">INDEX(Ipotesi!$C$40:$G$40,1,F379)</f>
        <v>1</v>
      </c>
      <c r="N379" s="17" t="n">
        <f aca="false">INDEX(Ipotesi!$C$41:$G$41,1,F379)</f>
        <v>1</v>
      </c>
      <c r="O379" s="17" t="n">
        <f aca="false">INDEX(Ipotesi!$C$42:$G$42,1,F379)*Ipotesi!I125</f>
        <v>2.5</v>
      </c>
      <c r="P379" s="17" t="n">
        <f aca="false">INDEX(Ipotesi!$C$43:$G$43,1,F379)*I379</f>
        <v>2.5</v>
      </c>
      <c r="Q379" s="17" t="n">
        <f aca="false">INDEX(Ipotesi!$C$44:$G$44,1,F379)*I379</f>
        <v>1.5</v>
      </c>
      <c r="R379" s="17" t="n">
        <f aca="false">INDEX(Ipotesi!$C$45:$G$45,1,F379)*I379</f>
        <v>0.5</v>
      </c>
      <c r="S379" s="17" t="n">
        <f aca="false">INDEX(Ipotesi!$C$52:$G$52,1,F379)*Ipotesi!I125</f>
        <v>3</v>
      </c>
      <c r="T379" s="17" t="n">
        <f aca="false">INDEX(Ipotesi!$C$53:$G$53,1,F379)*I379</f>
        <v>1</v>
      </c>
      <c r="U379" s="17" t="n">
        <f aca="false">INDEX(Ipotesi!$C$54:$G$54,1,F379)*I379</f>
        <v>0</v>
      </c>
      <c r="V379" s="15" t="n">
        <f aca="false">M379*INDEX(Ipotesi!$C$58:$G$58,1,F379)*K379/12</f>
        <v>5000</v>
      </c>
      <c r="W379" s="15" t="n">
        <f aca="false">N379*Ipotesi!$C$59*(1+Ipotesi!$C$66)^(F379-1)/12</f>
        <v>6008.33333333333</v>
      </c>
      <c r="X379" s="15" t="n">
        <f aca="false">O379*Ipotesi!$C$60*(1+Ipotesi!$C$66)^(F379-1)/12</f>
        <v>10729.1666666667</v>
      </c>
      <c r="Y379" s="15" t="n">
        <f aca="false">P379*Ipotesi!$C$61*(1+Ipotesi!$C$66)^(F379-1)/12</f>
        <v>10729.1666666667</v>
      </c>
      <c r="Z379" s="15" t="n">
        <f aca="false">Q379*Ipotesi!$C$62*(1+Ipotesi!$C$66)^(F379-1)/12</f>
        <v>5793.75</v>
      </c>
      <c r="AA379" s="15" t="n">
        <f aca="false">R379*Ipotesi!$C$63*(1+Ipotesi!$C$66)^(F379-1)/12</f>
        <v>1502.08333333333</v>
      </c>
      <c r="AB379" s="15" t="n">
        <f aca="false">SUM(V379:AA379)</f>
        <v>39762.5</v>
      </c>
      <c r="AC379" s="15" t="n">
        <f aca="false">(S379*Ipotesi!$C$64+T379*Ipotesi!$C$65+U379*Ipotesi!$C$63)*(1+Ipotesi!$C$66)^(F379-1)/12</f>
        <v>15965</v>
      </c>
      <c r="AD379" s="15" t="n">
        <f aca="false">INDEX(Ipotesi!$C$48:$G$48,1,F379)*G379/12</f>
        <v>37.5</v>
      </c>
      <c r="AE379" s="15" t="n">
        <f aca="false">INDEX(Ipotesi!$C$50:$G$50,1,F379)*G379/12</f>
        <v>4.58333333333333</v>
      </c>
      <c r="AF379" s="15" t="n">
        <f aca="false">(S379*Parametri_v3!$C$7*Parametri_v3!$C$8+Parametri_v3!$C$10)/12</f>
        <v>38.5</v>
      </c>
      <c r="AG379" s="15" t="n">
        <f aca="false">AD379+AE379*(1+Parametri_v3!$C$9)</f>
        <v>44.375</v>
      </c>
      <c r="AH379" s="16" t="n">
        <f aca="false">IF(AG379=0,1,MIN(1,AF379/AG379))</f>
        <v>0.867605633802817</v>
      </c>
      <c r="AI379" s="15" t="n">
        <f aca="false">AD379*AH379</f>
        <v>32.5352112676056</v>
      </c>
      <c r="AJ379" s="15" t="n">
        <f aca="false">AE379*AH379</f>
        <v>3.97652582159624</v>
      </c>
      <c r="AK379" s="15" t="n">
        <f aca="false">AI379*INDEX(Ipotesi!$C$49:$G$49,1,F379)*H379</f>
        <v>26028.1690140845</v>
      </c>
      <c r="AL379" s="15" t="n">
        <f aca="false">AJ379*INDEX(Ipotesi!$C$51:$G$51,1,F379)*H379</f>
        <v>7953.05164319249</v>
      </c>
      <c r="AM379" s="15" t="n">
        <f aca="false">AK379+AL379</f>
        <v>33981.220657277</v>
      </c>
      <c r="AN379" s="15" t="n">
        <f aca="false">INDEX(Ipotesi!$C$30:$G$30,1,F379)*G379/12</f>
        <v>22.5</v>
      </c>
      <c r="AO379" s="15" t="n">
        <f aca="false">O379*Parametri_v3!$C$7*Parametri_v3!$C$11*(1-Parametri_v3!$C$14)/12</f>
        <v>25.6666666666667</v>
      </c>
      <c r="AP379" s="15" t="n">
        <f aca="false">MIN(AN379,AO379)</f>
        <v>22.5</v>
      </c>
      <c r="AQ379" s="15" t="n">
        <f aca="false">AP379*INDEX(Ipotesi!$C$31:$G$31,1,F379)*H379</f>
        <v>21375</v>
      </c>
      <c r="AR379" s="15" t="n">
        <f aca="false">INDEX(Ipotesi!$C$75:$G$75,1,F379)*J379/12</f>
        <v>4583.33333333333</v>
      </c>
      <c r="AS379" s="15" t="n">
        <f aca="false">INDEX(Ipotesi!$C$81:$G$81,1,F379)*J379/12</f>
        <v>833.333333333333</v>
      </c>
      <c r="AT379" s="15" t="n">
        <f aca="false">AR379*Parametri_v3!$C$15+Z379*Parametri_v3!$C$16</f>
        <v>8638.95833333333</v>
      </c>
      <c r="AU379" s="15" t="n">
        <f aca="false">Q379*Parametri_v3!$C$16*Parametri_v3!$C$17</f>
        <v>105</v>
      </c>
      <c r="AV379" s="17" t="n">
        <f aca="false">BD378</f>
        <v>7.16695984019667</v>
      </c>
      <c r="AW379" s="17" t="n">
        <f aca="false">AV379*(1-(1-INDEX(Ipotesi!$C$34:$G$34,1,F379))^(1/12))</f>
        <v>0.0626507746509347</v>
      </c>
      <c r="AX379" s="15" t="n">
        <f aca="false">ROUND(INDEX(Ipotesi!$C$32:$G$32,1,F379)*Ipotesi!I8,0)</f>
        <v>35</v>
      </c>
      <c r="AY379" s="15" t="n">
        <f aca="false">MAX(0,(AX379-(AV379-AW379))/(13-E379))</f>
        <v>2.78956909344543</v>
      </c>
      <c r="AZ379" s="15" t="n">
        <f aca="false">MIN(P379*Parametri_v3!$C$22,Q379*(1-Parametri_v3!$C$16)*Parametri_v3!$C$23)</f>
        <v>67.5</v>
      </c>
      <c r="BA379" s="15" t="n">
        <f aca="false">IF(OR(INDEX(Ipotesi!$C$35:$G$35,1,F379)&lt;=0,15-Parametri_v3!$C$21&lt;1),0,INDEX($AT$365:$AT$424,MAX(1,15-Parametri_v3!$C$21))/(INDEX(Ipotesi!$C$35:$G$35,1,F379)*Ipotesi!I27))</f>
        <v>1.13194444444444</v>
      </c>
      <c r="BB379" s="15" t="n">
        <f aca="false">IF(15-Parametri_v3!$C$21&lt;1,0,INDEX($AU$365:$AU$424,MAX(1,15-Parametri_v3!$C$21)))*Parametri_v3!$C$18*Parametri_v3!$C$19*Parametri_v3!$C$20</f>
        <v>1.3125</v>
      </c>
      <c r="BC379" s="17" t="n">
        <f aca="false">MAX(0,MIN(AY379,BA379,BB379,MAX(0,AZ379-(AV379-AW379))))</f>
        <v>1.13194444444444</v>
      </c>
      <c r="BD379" s="17" t="n">
        <f aca="false">AV379-AW379+BC379</f>
        <v>8.23625350999018</v>
      </c>
      <c r="BE379" s="17" t="n">
        <f aca="false">(AV379+BD379)/2</f>
        <v>7.70160667509343</v>
      </c>
      <c r="BF379" s="15" t="n">
        <f aca="false">BE379*INDEX(Ipotesi!$C$33:$G$33,1,F379)*H379/12</f>
        <v>2567.20222503114</v>
      </c>
      <c r="BG379" s="15" t="n">
        <f aca="false">BD379*INDEX(Ipotesi!$C$33:$G$33,1,F379)*H379</f>
        <v>32945.0140399607</v>
      </c>
      <c r="BH379" s="15" t="n">
        <f aca="false">AM379*INDEX(Ipotesi!$C$37:$G$37,1,F379)</f>
        <v>3398.1220657277</v>
      </c>
      <c r="BI379" s="15" t="n">
        <f aca="false">AQ379+BF379+BH379</f>
        <v>27340.3242907588</v>
      </c>
      <c r="BJ379" s="15" t="n">
        <f aca="false">INDEX(Ipotesi!$C$68:$G$68,1,F379)*Ipotesi!$C$69/12</f>
        <v>1600</v>
      </c>
      <c r="BK379" s="15" t="n">
        <f aca="false">INDEX(Ipotesi!$C$68:$G$68,1,F379)*(1-Ipotesi!$C$69)/12</f>
        <v>2400</v>
      </c>
      <c r="BL379" s="15" t="n">
        <f aca="false">(AQ379+BF379)*Ipotesi!$C$67</f>
        <v>718.266066750934</v>
      </c>
      <c r="BM379" s="15" t="n">
        <f aca="false">AM379*Ipotesi!$C$67</f>
        <v>1019.43661971831</v>
      </c>
      <c r="BN379" s="15" t="n">
        <f aca="false">INDEX(Ipotesi!$C$72:$G$72,1,F379)/12*Ipotesi!I126+BF379*Ipotesi!$C$73</f>
        <v>1455.37617800249</v>
      </c>
      <c r="BO379" s="15" t="n">
        <f aca="false">INDEX(Ipotesi!$C$74:$G$74,1,F379)/12*Ipotesi!I126</f>
        <v>1833.33333333333</v>
      </c>
      <c r="BP379" s="15" t="n">
        <f aca="false">INDEX(Ipotesi!$C$76:$G$76,1,F379)/12</f>
        <v>750</v>
      </c>
      <c r="BQ379" s="15" t="n">
        <f aca="false">INDEX(Ipotesi!$C$77:$G$77,1,F379)/12*Ipotesi!I126</f>
        <v>1666.66666666667</v>
      </c>
      <c r="BR379" s="15" t="n">
        <f aca="false">INDEX(Ipotesi!$C$78:$G$78,1,F379)/12</f>
        <v>1250</v>
      </c>
      <c r="BS379" s="15" t="n">
        <f aca="false">SUM(M379:R379)*(Ipotesi!$C$85+Ipotesi!$C$86)/12</f>
        <v>2625</v>
      </c>
      <c r="BT379" s="15" t="n">
        <f aca="false">BI379*Ipotesi!$C$87</f>
        <v>820.209728722765</v>
      </c>
      <c r="BU379" s="15" t="n">
        <f aca="false">INDEX(Ipotesi!$C$55:$G$55,1,F379)*K379/12</f>
        <v>1000</v>
      </c>
      <c r="BV379" s="15" t="n">
        <f aca="false">INDEX(Ipotesi!$C$80:$G$80,1,F379)/12*Ipotesi!I126</f>
        <v>833.333333333333</v>
      </c>
      <c r="BW379" s="15" t="n">
        <f aca="false">INDEX(Ipotesi!$C$82:$G$82,1,F379)/12</f>
        <v>666.666666666667</v>
      </c>
      <c r="BX379" s="15" t="n">
        <f aca="false">INDEX(Ipotesi!$C$83:$G$83,1,F379)/12</f>
        <v>583.333333333333</v>
      </c>
      <c r="BY379" s="15" t="n">
        <f aca="false">SUM(S379:U379)*(Ipotesi!$C$85+Ipotesi!$C$86)/12</f>
        <v>1166.66666666667</v>
      </c>
      <c r="BZ379" s="15" t="n">
        <f aca="false">AM379*Ipotesi!$C$87</f>
        <v>1019.43661971831</v>
      </c>
      <c r="CA379" s="15" t="n">
        <f aca="false">AB379+BJ379+BL379+BN379+BO379+AR379+BP379+BQ379+BR379+BS379+BT379</f>
        <v>57064.6853068095</v>
      </c>
      <c r="CB379" s="15" t="n">
        <f aca="false">AC379+BK379+BM379+BH379+BU379+BV379+AS379+BW379+BX379+BY379+BZ379</f>
        <v>28885.3286384976</v>
      </c>
      <c r="CC379" s="15" t="n">
        <f aca="false">BI379-CA379</f>
        <v>-29724.3610160507</v>
      </c>
      <c r="CD379" s="15" t="n">
        <f aca="false">AM379-CB379</f>
        <v>5095.89201877934</v>
      </c>
      <c r="CE379" s="15" t="n">
        <f aca="false">INDEX(Ipotesi!$C$79:$G$79,1,F379)/12</f>
        <v>2083.33333333333</v>
      </c>
      <c r="CF379" s="15" t="n">
        <f aca="false">INDEX(Ipotesi!$C$84:$G$84,1,F379)/12</f>
        <v>416.666666666667</v>
      </c>
      <c r="CG379" s="15" t="n">
        <f aca="false">Y379*MAX(0,Parametri_v3!$C$12-IF(P379=0,0,MIN(1,BE379/(P379*Parametri_v3!$C$22))))+W379*Parametri_v3!$C$13+X379*Parametri_v3!$C$14</f>
        <v>15548.6393801939</v>
      </c>
      <c r="CH379" s="15" t="n">
        <f aca="false">AB379*Parametri_v3!$C$32</f>
        <v>1988.125</v>
      </c>
      <c r="CI379" s="15" t="n">
        <f aca="false">AC379*Parametri_v3!$C$32</f>
        <v>798.25</v>
      </c>
      <c r="CJ379" s="15" t="n">
        <f aca="false">CA379-AB379</f>
        <v>17302.1853068095</v>
      </c>
      <c r="CK379" s="15" t="n">
        <f aca="false">CB379-AC379-BH379</f>
        <v>9522.20657276995</v>
      </c>
      <c r="CL379" s="15" t="n">
        <f aca="false">BF379*Ipotesi!$C$73+INDEX(Ipotesi!$C$72:$G$72,1,F379)/12*Ipotesi!I126*Parametri_v3!$C$58+Z379*(1-Parametri_v3!$C$16)</f>
        <v>3193.50117800249</v>
      </c>
      <c r="CM379" s="16" t="n">
        <f aca="false">IF(BF379=0,0,1-CL379/BF379)</f>
        <v>-0.243961674255619</v>
      </c>
    </row>
    <row r="380" customFormat="false" ht="18" hidden="false" customHeight="true" outlineLevel="0" collapsed="false">
      <c r="A380" s="68" t="n">
        <f aca="false">7</f>
        <v>7</v>
      </c>
      <c r="B380" s="68" t="n">
        <f aca="false">16</f>
        <v>16</v>
      </c>
      <c r="C380" s="18" t="n">
        <f aca="false">EDATE(Parametri_v3!$C$5,16-1)</f>
        <v>46844</v>
      </c>
      <c r="D380" s="68" t="n">
        <f aca="false">YEAR(C380)</f>
        <v>2028</v>
      </c>
      <c r="E380" s="68" t="n">
        <f aca="false">MONTH(C380)</f>
        <v>4</v>
      </c>
      <c r="F380" s="68" t="n">
        <f aca="false">INT((16-1)/12)+1</f>
        <v>2</v>
      </c>
      <c r="G380" s="15" t="n">
        <f aca="false">Ipotesi!I7</f>
        <v>1</v>
      </c>
      <c r="H380" s="15" t="n">
        <f aca="false">Ipotesi!I9</f>
        <v>1</v>
      </c>
      <c r="I380" s="15" t="n">
        <f aca="false">Ipotesi!I10</f>
        <v>1</v>
      </c>
      <c r="J380" s="15" t="n">
        <f aca="false">Ipotesi!I11</f>
        <v>1</v>
      </c>
      <c r="K380" s="15" t="n">
        <f aca="false">Ipotesi!I12</f>
        <v>1</v>
      </c>
      <c r="L380" s="15" t="n">
        <f aca="false">Ipotesi!I13</f>
        <v>90</v>
      </c>
      <c r="M380" s="17" t="n">
        <f aca="false">INDEX(Ipotesi!$C$40:$G$40,1,F380)</f>
        <v>1</v>
      </c>
      <c r="N380" s="17" t="n">
        <f aca="false">INDEX(Ipotesi!$C$41:$G$41,1,F380)</f>
        <v>1</v>
      </c>
      <c r="O380" s="17" t="n">
        <f aca="false">INDEX(Ipotesi!$C$42:$G$42,1,F380)*Ipotesi!I125</f>
        <v>2.5</v>
      </c>
      <c r="P380" s="17" t="n">
        <f aca="false">INDEX(Ipotesi!$C$43:$G$43,1,F380)*I380</f>
        <v>2.5</v>
      </c>
      <c r="Q380" s="17" t="n">
        <f aca="false">INDEX(Ipotesi!$C$44:$G$44,1,F380)*I380</f>
        <v>1.5</v>
      </c>
      <c r="R380" s="17" t="n">
        <f aca="false">INDEX(Ipotesi!$C$45:$G$45,1,F380)*I380</f>
        <v>0.5</v>
      </c>
      <c r="S380" s="17" t="n">
        <f aca="false">INDEX(Ipotesi!$C$52:$G$52,1,F380)*Ipotesi!I125</f>
        <v>3</v>
      </c>
      <c r="T380" s="17" t="n">
        <f aca="false">INDEX(Ipotesi!$C$53:$G$53,1,F380)*I380</f>
        <v>1</v>
      </c>
      <c r="U380" s="17" t="n">
        <f aca="false">INDEX(Ipotesi!$C$54:$G$54,1,F380)*I380</f>
        <v>0</v>
      </c>
      <c r="V380" s="15" t="n">
        <f aca="false">M380*INDEX(Ipotesi!$C$58:$G$58,1,F380)*K380/12</f>
        <v>5000</v>
      </c>
      <c r="W380" s="15" t="n">
        <f aca="false">N380*Ipotesi!$C$59*(1+Ipotesi!$C$66)^(F380-1)/12</f>
        <v>6008.33333333333</v>
      </c>
      <c r="X380" s="15" t="n">
        <f aca="false">O380*Ipotesi!$C$60*(1+Ipotesi!$C$66)^(F380-1)/12</f>
        <v>10729.1666666667</v>
      </c>
      <c r="Y380" s="15" t="n">
        <f aca="false">P380*Ipotesi!$C$61*(1+Ipotesi!$C$66)^(F380-1)/12</f>
        <v>10729.1666666667</v>
      </c>
      <c r="Z380" s="15" t="n">
        <f aca="false">Q380*Ipotesi!$C$62*(1+Ipotesi!$C$66)^(F380-1)/12</f>
        <v>5793.75</v>
      </c>
      <c r="AA380" s="15" t="n">
        <f aca="false">R380*Ipotesi!$C$63*(1+Ipotesi!$C$66)^(F380-1)/12</f>
        <v>1502.08333333333</v>
      </c>
      <c r="AB380" s="15" t="n">
        <f aca="false">SUM(V380:AA380)</f>
        <v>39762.5</v>
      </c>
      <c r="AC380" s="15" t="n">
        <f aca="false">(S380*Ipotesi!$C$64+T380*Ipotesi!$C$65+U380*Ipotesi!$C$63)*(1+Ipotesi!$C$66)^(F380-1)/12</f>
        <v>15965</v>
      </c>
      <c r="AD380" s="15" t="n">
        <f aca="false">INDEX(Ipotesi!$C$48:$G$48,1,F380)*G380/12</f>
        <v>37.5</v>
      </c>
      <c r="AE380" s="15" t="n">
        <f aca="false">INDEX(Ipotesi!$C$50:$G$50,1,F380)*G380/12</f>
        <v>4.58333333333333</v>
      </c>
      <c r="AF380" s="15" t="n">
        <f aca="false">(S380*Parametri_v3!$C$7*Parametri_v3!$C$8+Parametri_v3!$C$10)/12</f>
        <v>38.5</v>
      </c>
      <c r="AG380" s="15" t="n">
        <f aca="false">AD380+AE380*(1+Parametri_v3!$C$9)</f>
        <v>44.375</v>
      </c>
      <c r="AH380" s="16" t="n">
        <f aca="false">IF(AG380=0,1,MIN(1,AF380/AG380))</f>
        <v>0.867605633802817</v>
      </c>
      <c r="AI380" s="15" t="n">
        <f aca="false">AD380*AH380</f>
        <v>32.5352112676056</v>
      </c>
      <c r="AJ380" s="15" t="n">
        <f aca="false">AE380*AH380</f>
        <v>3.97652582159624</v>
      </c>
      <c r="AK380" s="15" t="n">
        <f aca="false">AI380*INDEX(Ipotesi!$C$49:$G$49,1,F380)*H380</f>
        <v>26028.1690140845</v>
      </c>
      <c r="AL380" s="15" t="n">
        <f aca="false">AJ380*INDEX(Ipotesi!$C$51:$G$51,1,F380)*H380</f>
        <v>7953.05164319249</v>
      </c>
      <c r="AM380" s="15" t="n">
        <f aca="false">AK380+AL380</f>
        <v>33981.220657277</v>
      </c>
      <c r="AN380" s="15" t="n">
        <f aca="false">INDEX(Ipotesi!$C$30:$G$30,1,F380)*G380/12</f>
        <v>22.5</v>
      </c>
      <c r="AO380" s="15" t="n">
        <f aca="false">O380*Parametri_v3!$C$7*Parametri_v3!$C$11*(1-Parametri_v3!$C$14)/12</f>
        <v>25.6666666666667</v>
      </c>
      <c r="AP380" s="15" t="n">
        <f aca="false">MIN(AN380,AO380)</f>
        <v>22.5</v>
      </c>
      <c r="AQ380" s="15" t="n">
        <f aca="false">AP380*INDEX(Ipotesi!$C$31:$G$31,1,F380)*H380</f>
        <v>21375</v>
      </c>
      <c r="AR380" s="15" t="n">
        <f aca="false">INDEX(Ipotesi!$C$75:$G$75,1,F380)*J380/12</f>
        <v>4583.33333333333</v>
      </c>
      <c r="AS380" s="15" t="n">
        <f aca="false">INDEX(Ipotesi!$C$81:$G$81,1,F380)*J380/12</f>
        <v>833.333333333333</v>
      </c>
      <c r="AT380" s="15" t="n">
        <f aca="false">AR380*Parametri_v3!$C$15+Z380*Parametri_v3!$C$16</f>
        <v>8638.95833333333</v>
      </c>
      <c r="AU380" s="15" t="n">
        <f aca="false">Q380*Parametri_v3!$C$16*Parametri_v3!$C$17</f>
        <v>105</v>
      </c>
      <c r="AV380" s="17" t="n">
        <f aca="false">BD379</f>
        <v>8.23625350999018</v>
      </c>
      <c r="AW380" s="17" t="n">
        <f aca="false">AV380*(1-(1-INDEX(Ipotesi!$C$34:$G$34,1,F380))^(1/12))</f>
        <v>0.0719981239085895</v>
      </c>
      <c r="AX380" s="15" t="n">
        <f aca="false">ROUND(INDEX(Ipotesi!$C$32:$G$32,1,F380)*Ipotesi!I8,0)</f>
        <v>35</v>
      </c>
      <c r="AY380" s="15" t="n">
        <f aca="false">MAX(0,(AX380-(AV380-AW380))/(13-E380))</f>
        <v>2.98174940154649</v>
      </c>
      <c r="AZ380" s="15" t="n">
        <f aca="false">MIN(P380*Parametri_v3!$C$22,Q380*(1-Parametri_v3!$C$16)*Parametri_v3!$C$23)</f>
        <v>67.5</v>
      </c>
      <c r="BA380" s="15" t="n">
        <f aca="false">IF(OR(INDEX(Ipotesi!$C$35:$G$35,1,F380)&lt;=0,16-Parametri_v3!$C$21&lt;1),0,INDEX($AT$365:$AT$424,MAX(1,16-Parametri_v3!$C$21))/(INDEX(Ipotesi!$C$35:$G$35,1,F380)*Ipotesi!I27))</f>
        <v>2.87965277777778</v>
      </c>
      <c r="BB380" s="15" t="n">
        <f aca="false">IF(16-Parametri_v3!$C$21&lt;1,0,INDEX($AU$365:$AU$424,MAX(1,16-Parametri_v3!$C$21)))*Parametri_v3!$C$18*Parametri_v3!$C$19*Parametri_v3!$C$20</f>
        <v>3.9375</v>
      </c>
      <c r="BC380" s="17" t="n">
        <f aca="false">MAX(0,MIN(AY380,BA380,BB380,MAX(0,AZ380-(AV380-AW380))))</f>
        <v>2.87965277777778</v>
      </c>
      <c r="BD380" s="17" t="n">
        <f aca="false">AV380-AW380+BC380</f>
        <v>11.0439081638594</v>
      </c>
      <c r="BE380" s="17" t="n">
        <f aca="false">(AV380+BD380)/2</f>
        <v>9.64008083692478</v>
      </c>
      <c r="BF380" s="15" t="n">
        <f aca="false">BE380*INDEX(Ipotesi!$C$33:$G$33,1,F380)*H380/12</f>
        <v>3213.36027897493</v>
      </c>
      <c r="BG380" s="15" t="n">
        <f aca="false">BD380*INDEX(Ipotesi!$C$33:$G$33,1,F380)*H380</f>
        <v>44175.6326554375</v>
      </c>
      <c r="BH380" s="15" t="n">
        <f aca="false">AM380*INDEX(Ipotesi!$C$37:$G$37,1,F380)</f>
        <v>3398.1220657277</v>
      </c>
      <c r="BI380" s="15" t="n">
        <f aca="false">AQ380+BF380+BH380</f>
        <v>27986.4823447026</v>
      </c>
      <c r="BJ380" s="15" t="n">
        <f aca="false">INDEX(Ipotesi!$C$68:$G$68,1,F380)*Ipotesi!$C$69/12</f>
        <v>1600</v>
      </c>
      <c r="BK380" s="15" t="n">
        <f aca="false">INDEX(Ipotesi!$C$68:$G$68,1,F380)*(1-Ipotesi!$C$69)/12</f>
        <v>2400</v>
      </c>
      <c r="BL380" s="15" t="n">
        <f aca="false">(AQ380+BF380)*Ipotesi!$C$67</f>
        <v>737.650808369248</v>
      </c>
      <c r="BM380" s="15" t="n">
        <f aca="false">AM380*Ipotesi!$C$67</f>
        <v>1019.43661971831</v>
      </c>
      <c r="BN380" s="15" t="n">
        <f aca="false">INDEX(Ipotesi!$C$72:$G$72,1,F380)/12*Ipotesi!I126+BF380*Ipotesi!$C$73</f>
        <v>1507.06882231799</v>
      </c>
      <c r="BO380" s="15" t="n">
        <f aca="false">INDEX(Ipotesi!$C$74:$G$74,1,F380)/12*Ipotesi!I126</f>
        <v>1833.33333333333</v>
      </c>
      <c r="BP380" s="15" t="n">
        <f aca="false">INDEX(Ipotesi!$C$76:$G$76,1,F380)/12</f>
        <v>750</v>
      </c>
      <c r="BQ380" s="15" t="n">
        <f aca="false">INDEX(Ipotesi!$C$77:$G$77,1,F380)/12*Ipotesi!I126</f>
        <v>1666.66666666667</v>
      </c>
      <c r="BR380" s="15" t="n">
        <f aca="false">INDEX(Ipotesi!$C$78:$G$78,1,F380)/12</f>
        <v>1250</v>
      </c>
      <c r="BS380" s="15" t="n">
        <f aca="false">SUM(M380:R380)*(Ipotesi!$C$85+Ipotesi!$C$86)/12</f>
        <v>2625</v>
      </c>
      <c r="BT380" s="15" t="n">
        <f aca="false">BI380*Ipotesi!$C$87</f>
        <v>839.594470341079</v>
      </c>
      <c r="BU380" s="15" t="n">
        <f aca="false">INDEX(Ipotesi!$C$55:$G$55,1,F380)*K380/12</f>
        <v>1000</v>
      </c>
      <c r="BV380" s="15" t="n">
        <f aca="false">INDEX(Ipotesi!$C$80:$G$80,1,F380)/12*Ipotesi!I126</f>
        <v>833.333333333333</v>
      </c>
      <c r="BW380" s="15" t="n">
        <f aca="false">INDEX(Ipotesi!$C$82:$G$82,1,F380)/12</f>
        <v>666.666666666667</v>
      </c>
      <c r="BX380" s="15" t="n">
        <f aca="false">INDEX(Ipotesi!$C$83:$G$83,1,F380)/12</f>
        <v>583.333333333333</v>
      </c>
      <c r="BY380" s="15" t="n">
        <f aca="false">SUM(S380:U380)*(Ipotesi!$C$85+Ipotesi!$C$86)/12</f>
        <v>1166.66666666667</v>
      </c>
      <c r="BZ380" s="15" t="n">
        <f aca="false">AM380*Ipotesi!$C$87</f>
        <v>1019.43661971831</v>
      </c>
      <c r="CA380" s="15" t="n">
        <f aca="false">AB380+BJ380+BL380+BN380+BO380+AR380+BP380+BQ380+BR380+BS380+BT380</f>
        <v>57155.1474343617</v>
      </c>
      <c r="CB380" s="15" t="n">
        <f aca="false">AC380+BK380+BM380+BH380+BU380+BV380+AS380+BW380+BX380+BY380+BZ380</f>
        <v>28885.3286384976</v>
      </c>
      <c r="CC380" s="15" t="n">
        <f aca="false">BI380-CA380</f>
        <v>-29168.665089659</v>
      </c>
      <c r="CD380" s="15" t="n">
        <f aca="false">AM380-CB380</f>
        <v>5095.89201877934</v>
      </c>
      <c r="CE380" s="15" t="n">
        <f aca="false">INDEX(Ipotesi!$C$79:$G$79,1,F380)/12</f>
        <v>2083.33333333333</v>
      </c>
      <c r="CF380" s="15" t="n">
        <f aca="false">INDEX(Ipotesi!$C$84:$G$84,1,F380)/12</f>
        <v>416.666666666667</v>
      </c>
      <c r="CG380" s="15" t="n">
        <f aca="false">Y380*MAX(0,Parametri_v3!$C$12-IF(P380=0,0,MIN(1,BE380/(P380*Parametri_v3!$C$22))))+W380*Parametri_v3!$C$13+X380*Parametri_v3!$C$14</f>
        <v>15465.4465307486</v>
      </c>
      <c r="CH380" s="15" t="n">
        <f aca="false">AB380*Parametri_v3!$C$32</f>
        <v>1988.125</v>
      </c>
      <c r="CI380" s="15" t="n">
        <f aca="false">AC380*Parametri_v3!$C$32</f>
        <v>798.25</v>
      </c>
      <c r="CJ380" s="15" t="n">
        <f aca="false">CA380-AB380</f>
        <v>17392.6474343617</v>
      </c>
      <c r="CK380" s="15" t="n">
        <f aca="false">CB380-AC380-BH380</f>
        <v>9522.20657276995</v>
      </c>
      <c r="CL380" s="15" t="n">
        <f aca="false">BF380*Ipotesi!$C$73+INDEX(Ipotesi!$C$72:$G$72,1,F380)/12*Ipotesi!I126*Parametri_v3!$C$58+Z380*(1-Parametri_v3!$C$16)</f>
        <v>3245.19382231799</v>
      </c>
      <c r="CM380" s="16" t="n">
        <f aca="false">IF(BF380=0,0,1-CL380/BF380)</f>
        <v>-0.00990662128717901</v>
      </c>
    </row>
    <row r="381" customFormat="false" ht="18" hidden="false" customHeight="true" outlineLevel="0" collapsed="false">
      <c r="A381" s="68" t="n">
        <f aca="false">7</f>
        <v>7</v>
      </c>
      <c r="B381" s="68" t="n">
        <f aca="false">17</f>
        <v>17</v>
      </c>
      <c r="C381" s="18" t="n">
        <f aca="false">EDATE(Parametri_v3!$C$5,17-1)</f>
        <v>46874</v>
      </c>
      <c r="D381" s="68" t="n">
        <f aca="false">YEAR(C381)</f>
        <v>2028</v>
      </c>
      <c r="E381" s="68" t="n">
        <f aca="false">MONTH(C381)</f>
        <v>5</v>
      </c>
      <c r="F381" s="68" t="n">
        <f aca="false">INT((17-1)/12)+1</f>
        <v>2</v>
      </c>
      <c r="G381" s="15" t="n">
        <f aca="false">Ipotesi!I7</f>
        <v>1</v>
      </c>
      <c r="H381" s="15" t="n">
        <f aca="false">Ipotesi!I9</f>
        <v>1</v>
      </c>
      <c r="I381" s="15" t="n">
        <f aca="false">Ipotesi!I10</f>
        <v>1</v>
      </c>
      <c r="J381" s="15" t="n">
        <f aca="false">Ipotesi!I11</f>
        <v>1</v>
      </c>
      <c r="K381" s="15" t="n">
        <f aca="false">Ipotesi!I12</f>
        <v>1</v>
      </c>
      <c r="L381" s="15" t="n">
        <f aca="false">Ipotesi!I13</f>
        <v>90</v>
      </c>
      <c r="M381" s="17" t="n">
        <f aca="false">INDEX(Ipotesi!$C$40:$G$40,1,F381)</f>
        <v>1</v>
      </c>
      <c r="N381" s="17" t="n">
        <f aca="false">INDEX(Ipotesi!$C$41:$G$41,1,F381)</f>
        <v>1</v>
      </c>
      <c r="O381" s="17" t="n">
        <f aca="false">INDEX(Ipotesi!$C$42:$G$42,1,F381)*Ipotesi!I125</f>
        <v>2.5</v>
      </c>
      <c r="P381" s="17" t="n">
        <f aca="false">INDEX(Ipotesi!$C$43:$G$43,1,F381)*I381</f>
        <v>2.5</v>
      </c>
      <c r="Q381" s="17" t="n">
        <f aca="false">INDEX(Ipotesi!$C$44:$G$44,1,F381)*I381</f>
        <v>1.5</v>
      </c>
      <c r="R381" s="17" t="n">
        <f aca="false">INDEX(Ipotesi!$C$45:$G$45,1,F381)*I381</f>
        <v>0.5</v>
      </c>
      <c r="S381" s="17" t="n">
        <f aca="false">INDEX(Ipotesi!$C$52:$G$52,1,F381)*Ipotesi!I125</f>
        <v>3</v>
      </c>
      <c r="T381" s="17" t="n">
        <f aca="false">INDEX(Ipotesi!$C$53:$G$53,1,F381)*I381</f>
        <v>1</v>
      </c>
      <c r="U381" s="17" t="n">
        <f aca="false">INDEX(Ipotesi!$C$54:$G$54,1,F381)*I381</f>
        <v>0</v>
      </c>
      <c r="V381" s="15" t="n">
        <f aca="false">M381*INDEX(Ipotesi!$C$58:$G$58,1,F381)*K381/12</f>
        <v>5000</v>
      </c>
      <c r="W381" s="15" t="n">
        <f aca="false">N381*Ipotesi!$C$59*(1+Ipotesi!$C$66)^(F381-1)/12</f>
        <v>6008.33333333333</v>
      </c>
      <c r="X381" s="15" t="n">
        <f aca="false">O381*Ipotesi!$C$60*(1+Ipotesi!$C$66)^(F381-1)/12</f>
        <v>10729.1666666667</v>
      </c>
      <c r="Y381" s="15" t="n">
        <f aca="false">P381*Ipotesi!$C$61*(1+Ipotesi!$C$66)^(F381-1)/12</f>
        <v>10729.1666666667</v>
      </c>
      <c r="Z381" s="15" t="n">
        <f aca="false">Q381*Ipotesi!$C$62*(1+Ipotesi!$C$66)^(F381-1)/12</f>
        <v>5793.75</v>
      </c>
      <c r="AA381" s="15" t="n">
        <f aca="false">R381*Ipotesi!$C$63*(1+Ipotesi!$C$66)^(F381-1)/12</f>
        <v>1502.08333333333</v>
      </c>
      <c r="AB381" s="15" t="n">
        <f aca="false">SUM(V381:AA381)</f>
        <v>39762.5</v>
      </c>
      <c r="AC381" s="15" t="n">
        <f aca="false">(S381*Ipotesi!$C$64+T381*Ipotesi!$C$65+U381*Ipotesi!$C$63)*(1+Ipotesi!$C$66)^(F381-1)/12</f>
        <v>15965</v>
      </c>
      <c r="AD381" s="15" t="n">
        <f aca="false">INDEX(Ipotesi!$C$48:$G$48,1,F381)*G381/12</f>
        <v>37.5</v>
      </c>
      <c r="AE381" s="15" t="n">
        <f aca="false">INDEX(Ipotesi!$C$50:$G$50,1,F381)*G381/12</f>
        <v>4.58333333333333</v>
      </c>
      <c r="AF381" s="15" t="n">
        <f aca="false">(S381*Parametri_v3!$C$7*Parametri_v3!$C$8+Parametri_v3!$C$10)/12</f>
        <v>38.5</v>
      </c>
      <c r="AG381" s="15" t="n">
        <f aca="false">AD381+AE381*(1+Parametri_v3!$C$9)</f>
        <v>44.375</v>
      </c>
      <c r="AH381" s="16" t="n">
        <f aca="false">IF(AG381=0,1,MIN(1,AF381/AG381))</f>
        <v>0.867605633802817</v>
      </c>
      <c r="AI381" s="15" t="n">
        <f aca="false">AD381*AH381</f>
        <v>32.5352112676056</v>
      </c>
      <c r="AJ381" s="15" t="n">
        <f aca="false">AE381*AH381</f>
        <v>3.97652582159624</v>
      </c>
      <c r="AK381" s="15" t="n">
        <f aca="false">AI381*INDEX(Ipotesi!$C$49:$G$49,1,F381)*H381</f>
        <v>26028.1690140845</v>
      </c>
      <c r="AL381" s="15" t="n">
        <f aca="false">AJ381*INDEX(Ipotesi!$C$51:$G$51,1,F381)*H381</f>
        <v>7953.05164319249</v>
      </c>
      <c r="AM381" s="15" t="n">
        <f aca="false">AK381+AL381</f>
        <v>33981.220657277</v>
      </c>
      <c r="AN381" s="15" t="n">
        <f aca="false">INDEX(Ipotesi!$C$30:$G$30,1,F381)*G381/12</f>
        <v>22.5</v>
      </c>
      <c r="AO381" s="15" t="n">
        <f aca="false">O381*Parametri_v3!$C$7*Parametri_v3!$C$11*(1-Parametri_v3!$C$14)/12</f>
        <v>25.6666666666667</v>
      </c>
      <c r="AP381" s="15" t="n">
        <f aca="false">MIN(AN381,AO381)</f>
        <v>22.5</v>
      </c>
      <c r="AQ381" s="15" t="n">
        <f aca="false">AP381*INDEX(Ipotesi!$C$31:$G$31,1,F381)*H381</f>
        <v>21375</v>
      </c>
      <c r="AR381" s="15" t="n">
        <f aca="false">INDEX(Ipotesi!$C$75:$G$75,1,F381)*J381/12</f>
        <v>4583.33333333333</v>
      </c>
      <c r="AS381" s="15" t="n">
        <f aca="false">INDEX(Ipotesi!$C$81:$G$81,1,F381)*J381/12</f>
        <v>833.333333333333</v>
      </c>
      <c r="AT381" s="15" t="n">
        <f aca="false">AR381*Parametri_v3!$C$15+Z381*Parametri_v3!$C$16</f>
        <v>8638.95833333333</v>
      </c>
      <c r="AU381" s="15" t="n">
        <f aca="false">Q381*Parametri_v3!$C$16*Parametri_v3!$C$17</f>
        <v>105</v>
      </c>
      <c r="AV381" s="17" t="n">
        <f aca="false">BD380</f>
        <v>11.0439081638594</v>
      </c>
      <c r="AW381" s="17" t="n">
        <f aca="false">AV381*(1-(1-INDEX(Ipotesi!$C$34:$G$34,1,F381))^(1/12))</f>
        <v>0.0965415485878576</v>
      </c>
      <c r="AX381" s="15" t="n">
        <f aca="false">ROUND(INDEX(Ipotesi!$C$32:$G$32,1,F381)*Ipotesi!I8,0)</f>
        <v>35</v>
      </c>
      <c r="AY381" s="15" t="n">
        <f aca="false">MAX(0,(AX381-(AV381-AW381))/(13-E381))</f>
        <v>3.00657917309106</v>
      </c>
      <c r="AZ381" s="15" t="n">
        <f aca="false">MIN(P381*Parametri_v3!$C$22,Q381*(1-Parametri_v3!$C$16)*Parametri_v3!$C$23)</f>
        <v>67.5</v>
      </c>
      <c r="BA381" s="15" t="n">
        <f aca="false">IF(OR(INDEX(Ipotesi!$C$35:$G$35,1,F381)&lt;=0,17-Parametri_v3!$C$21&lt;1),0,INDEX($AT$365:$AT$424,MAX(1,17-Parametri_v3!$C$21))/(INDEX(Ipotesi!$C$35:$G$35,1,F381)*Ipotesi!I27))</f>
        <v>2.87965277777778</v>
      </c>
      <c r="BB381" s="15" t="n">
        <f aca="false">IF(17-Parametri_v3!$C$21&lt;1,0,INDEX($AU$365:$AU$424,MAX(1,17-Parametri_v3!$C$21)))*Parametri_v3!$C$18*Parametri_v3!$C$19*Parametri_v3!$C$20</f>
        <v>3.9375</v>
      </c>
      <c r="BC381" s="17" t="n">
        <f aca="false">MAX(0,MIN(AY381,BA381,BB381,MAX(0,AZ381-(AV381-AW381))))</f>
        <v>2.87965277777778</v>
      </c>
      <c r="BD381" s="17" t="n">
        <f aca="false">AV381-AW381+BC381</f>
        <v>13.8270193930493</v>
      </c>
      <c r="BE381" s="17" t="n">
        <f aca="false">(AV381+BD381)/2</f>
        <v>12.4354637784543</v>
      </c>
      <c r="BF381" s="15" t="n">
        <f aca="false">BE381*INDEX(Ipotesi!$C$33:$G$33,1,F381)*H381/12</f>
        <v>4145.15459281811</v>
      </c>
      <c r="BG381" s="15" t="n">
        <f aca="false">BD381*INDEX(Ipotesi!$C$33:$G$33,1,F381)*H381</f>
        <v>55308.0775721972</v>
      </c>
      <c r="BH381" s="15" t="n">
        <f aca="false">AM381*INDEX(Ipotesi!$C$37:$G$37,1,F381)</f>
        <v>3398.1220657277</v>
      </c>
      <c r="BI381" s="15" t="n">
        <f aca="false">AQ381+BF381+BH381</f>
        <v>28918.2766585458</v>
      </c>
      <c r="BJ381" s="15" t="n">
        <f aca="false">INDEX(Ipotesi!$C$68:$G$68,1,F381)*Ipotesi!$C$69/12</f>
        <v>1600</v>
      </c>
      <c r="BK381" s="15" t="n">
        <f aca="false">INDEX(Ipotesi!$C$68:$G$68,1,F381)*(1-Ipotesi!$C$69)/12</f>
        <v>2400</v>
      </c>
      <c r="BL381" s="15" t="n">
        <f aca="false">(AQ381+BF381)*Ipotesi!$C$67</f>
        <v>765.604637784543</v>
      </c>
      <c r="BM381" s="15" t="n">
        <f aca="false">AM381*Ipotesi!$C$67</f>
        <v>1019.43661971831</v>
      </c>
      <c r="BN381" s="15" t="n">
        <f aca="false">INDEX(Ipotesi!$C$72:$G$72,1,F381)/12*Ipotesi!I126+BF381*Ipotesi!$C$73</f>
        <v>1581.61236742545</v>
      </c>
      <c r="BO381" s="15" t="n">
        <f aca="false">INDEX(Ipotesi!$C$74:$G$74,1,F381)/12*Ipotesi!I126</f>
        <v>1833.33333333333</v>
      </c>
      <c r="BP381" s="15" t="n">
        <f aca="false">INDEX(Ipotesi!$C$76:$G$76,1,F381)/12</f>
        <v>750</v>
      </c>
      <c r="BQ381" s="15" t="n">
        <f aca="false">INDEX(Ipotesi!$C$77:$G$77,1,F381)/12*Ipotesi!I126</f>
        <v>1666.66666666667</v>
      </c>
      <c r="BR381" s="15" t="n">
        <f aca="false">INDEX(Ipotesi!$C$78:$G$78,1,F381)/12</f>
        <v>1250</v>
      </c>
      <c r="BS381" s="15" t="n">
        <f aca="false">SUM(M381:R381)*(Ipotesi!$C$85+Ipotesi!$C$86)/12</f>
        <v>2625</v>
      </c>
      <c r="BT381" s="15" t="n">
        <f aca="false">BI381*Ipotesi!$C$87</f>
        <v>867.548299756374</v>
      </c>
      <c r="BU381" s="15" t="n">
        <f aca="false">INDEX(Ipotesi!$C$55:$G$55,1,F381)*K381/12</f>
        <v>1000</v>
      </c>
      <c r="BV381" s="15" t="n">
        <f aca="false">INDEX(Ipotesi!$C$80:$G$80,1,F381)/12*Ipotesi!I126</f>
        <v>833.333333333333</v>
      </c>
      <c r="BW381" s="15" t="n">
        <f aca="false">INDEX(Ipotesi!$C$82:$G$82,1,F381)/12</f>
        <v>666.666666666667</v>
      </c>
      <c r="BX381" s="15" t="n">
        <f aca="false">INDEX(Ipotesi!$C$83:$G$83,1,F381)/12</f>
        <v>583.333333333333</v>
      </c>
      <c r="BY381" s="15" t="n">
        <f aca="false">SUM(S381:U381)*(Ipotesi!$C$85+Ipotesi!$C$86)/12</f>
        <v>1166.66666666667</v>
      </c>
      <c r="BZ381" s="15" t="n">
        <f aca="false">AM381*Ipotesi!$C$87</f>
        <v>1019.43661971831</v>
      </c>
      <c r="CA381" s="15" t="n">
        <f aca="false">AB381+BJ381+BL381+BN381+BO381+AR381+BP381+BQ381+BR381+BS381+BT381</f>
        <v>57285.5986382997</v>
      </c>
      <c r="CB381" s="15" t="n">
        <f aca="false">AC381+BK381+BM381+BH381+BU381+BV381+AS381+BW381+BX381+BY381+BZ381</f>
        <v>28885.3286384976</v>
      </c>
      <c r="CC381" s="15" t="n">
        <f aca="false">BI381-CA381</f>
        <v>-28367.3219797539</v>
      </c>
      <c r="CD381" s="15" t="n">
        <f aca="false">AM381-CB381</f>
        <v>5095.89201877934</v>
      </c>
      <c r="CE381" s="15" t="n">
        <f aca="false">INDEX(Ipotesi!$C$79:$G$79,1,F381)/12</f>
        <v>2083.33333333333</v>
      </c>
      <c r="CF381" s="15" t="n">
        <f aca="false">INDEX(Ipotesi!$C$84:$G$84,1,F381)/12</f>
        <v>416.666666666667</v>
      </c>
      <c r="CG381" s="15" t="n">
        <f aca="false">Y381*MAX(0,Parametri_v3!$C$12-IF(P381=0,0,MIN(1,BE381/(P381*Parametri_v3!$C$22))))+W381*Parametri_v3!$C$13+X381*Parametri_v3!$C$14</f>
        <v>15345.4780128413</v>
      </c>
      <c r="CH381" s="15" t="n">
        <f aca="false">AB381*Parametri_v3!$C$32</f>
        <v>1988.125</v>
      </c>
      <c r="CI381" s="15" t="n">
        <f aca="false">AC381*Parametri_v3!$C$32</f>
        <v>798.25</v>
      </c>
      <c r="CJ381" s="15" t="n">
        <f aca="false">CA381-AB381</f>
        <v>17523.0986382997</v>
      </c>
      <c r="CK381" s="15" t="n">
        <f aca="false">CB381-AC381-BH381</f>
        <v>9522.20657276995</v>
      </c>
      <c r="CL381" s="15" t="n">
        <f aca="false">BF381*Ipotesi!$C$73+INDEX(Ipotesi!$C$72:$G$72,1,F381)/12*Ipotesi!I126*Parametri_v3!$C$58+Z381*(1-Parametri_v3!$C$16)</f>
        <v>3319.73736742545</v>
      </c>
      <c r="CM381" s="16" t="n">
        <f aca="false">IF(BF381=0,0,1-CL381/BF381)</f>
        <v>0.199128212690252</v>
      </c>
    </row>
    <row r="382" customFormat="false" ht="18" hidden="false" customHeight="true" outlineLevel="0" collapsed="false">
      <c r="A382" s="68" t="n">
        <f aca="false">7</f>
        <v>7</v>
      </c>
      <c r="B382" s="68" t="n">
        <f aca="false">18</f>
        <v>18</v>
      </c>
      <c r="C382" s="18" t="n">
        <f aca="false">EDATE(Parametri_v3!$C$5,18-1)</f>
        <v>46905</v>
      </c>
      <c r="D382" s="68" t="n">
        <f aca="false">YEAR(C382)</f>
        <v>2028</v>
      </c>
      <c r="E382" s="68" t="n">
        <f aca="false">MONTH(C382)</f>
        <v>6</v>
      </c>
      <c r="F382" s="68" t="n">
        <f aca="false">INT((18-1)/12)+1</f>
        <v>2</v>
      </c>
      <c r="G382" s="15" t="n">
        <f aca="false">Ipotesi!I7</f>
        <v>1</v>
      </c>
      <c r="H382" s="15" t="n">
        <f aca="false">Ipotesi!I9</f>
        <v>1</v>
      </c>
      <c r="I382" s="15" t="n">
        <f aca="false">Ipotesi!I10</f>
        <v>1</v>
      </c>
      <c r="J382" s="15" t="n">
        <f aca="false">Ipotesi!I11</f>
        <v>1</v>
      </c>
      <c r="K382" s="15" t="n">
        <f aca="false">Ipotesi!I12</f>
        <v>1</v>
      </c>
      <c r="L382" s="15" t="n">
        <f aca="false">Ipotesi!I13</f>
        <v>90</v>
      </c>
      <c r="M382" s="17" t="n">
        <f aca="false">INDEX(Ipotesi!$C$40:$G$40,1,F382)</f>
        <v>1</v>
      </c>
      <c r="N382" s="17" t="n">
        <f aca="false">INDEX(Ipotesi!$C$41:$G$41,1,F382)</f>
        <v>1</v>
      </c>
      <c r="O382" s="17" t="n">
        <f aca="false">INDEX(Ipotesi!$C$42:$G$42,1,F382)*Ipotesi!I125</f>
        <v>2.5</v>
      </c>
      <c r="P382" s="17" t="n">
        <f aca="false">INDEX(Ipotesi!$C$43:$G$43,1,F382)*I382</f>
        <v>2.5</v>
      </c>
      <c r="Q382" s="17" t="n">
        <f aca="false">INDEX(Ipotesi!$C$44:$G$44,1,F382)*I382</f>
        <v>1.5</v>
      </c>
      <c r="R382" s="17" t="n">
        <f aca="false">INDEX(Ipotesi!$C$45:$G$45,1,F382)*I382</f>
        <v>0.5</v>
      </c>
      <c r="S382" s="17" t="n">
        <f aca="false">INDEX(Ipotesi!$C$52:$G$52,1,F382)*Ipotesi!I125</f>
        <v>3</v>
      </c>
      <c r="T382" s="17" t="n">
        <f aca="false">INDEX(Ipotesi!$C$53:$G$53,1,F382)*I382</f>
        <v>1</v>
      </c>
      <c r="U382" s="17" t="n">
        <f aca="false">INDEX(Ipotesi!$C$54:$G$54,1,F382)*I382</f>
        <v>0</v>
      </c>
      <c r="V382" s="15" t="n">
        <f aca="false">M382*INDEX(Ipotesi!$C$58:$G$58,1,F382)*K382/12</f>
        <v>5000</v>
      </c>
      <c r="W382" s="15" t="n">
        <f aca="false">N382*Ipotesi!$C$59*(1+Ipotesi!$C$66)^(F382-1)/12</f>
        <v>6008.33333333333</v>
      </c>
      <c r="X382" s="15" t="n">
        <f aca="false">O382*Ipotesi!$C$60*(1+Ipotesi!$C$66)^(F382-1)/12</f>
        <v>10729.1666666667</v>
      </c>
      <c r="Y382" s="15" t="n">
        <f aca="false">P382*Ipotesi!$C$61*(1+Ipotesi!$C$66)^(F382-1)/12</f>
        <v>10729.1666666667</v>
      </c>
      <c r="Z382" s="15" t="n">
        <f aca="false">Q382*Ipotesi!$C$62*(1+Ipotesi!$C$66)^(F382-1)/12</f>
        <v>5793.75</v>
      </c>
      <c r="AA382" s="15" t="n">
        <f aca="false">R382*Ipotesi!$C$63*(1+Ipotesi!$C$66)^(F382-1)/12</f>
        <v>1502.08333333333</v>
      </c>
      <c r="AB382" s="15" t="n">
        <f aca="false">SUM(V382:AA382)</f>
        <v>39762.5</v>
      </c>
      <c r="AC382" s="15" t="n">
        <f aca="false">(S382*Ipotesi!$C$64+T382*Ipotesi!$C$65+U382*Ipotesi!$C$63)*(1+Ipotesi!$C$66)^(F382-1)/12</f>
        <v>15965</v>
      </c>
      <c r="AD382" s="15" t="n">
        <f aca="false">INDEX(Ipotesi!$C$48:$G$48,1,F382)*G382/12</f>
        <v>37.5</v>
      </c>
      <c r="AE382" s="15" t="n">
        <f aca="false">INDEX(Ipotesi!$C$50:$G$50,1,F382)*G382/12</f>
        <v>4.58333333333333</v>
      </c>
      <c r="AF382" s="15" t="n">
        <f aca="false">(S382*Parametri_v3!$C$7*Parametri_v3!$C$8+Parametri_v3!$C$10)/12</f>
        <v>38.5</v>
      </c>
      <c r="AG382" s="15" t="n">
        <f aca="false">AD382+AE382*(1+Parametri_v3!$C$9)</f>
        <v>44.375</v>
      </c>
      <c r="AH382" s="16" t="n">
        <f aca="false">IF(AG382=0,1,MIN(1,AF382/AG382))</f>
        <v>0.867605633802817</v>
      </c>
      <c r="AI382" s="15" t="n">
        <f aca="false">AD382*AH382</f>
        <v>32.5352112676056</v>
      </c>
      <c r="AJ382" s="15" t="n">
        <f aca="false">AE382*AH382</f>
        <v>3.97652582159624</v>
      </c>
      <c r="AK382" s="15" t="n">
        <f aca="false">AI382*INDEX(Ipotesi!$C$49:$G$49,1,F382)*H382</f>
        <v>26028.1690140845</v>
      </c>
      <c r="AL382" s="15" t="n">
        <f aca="false">AJ382*INDEX(Ipotesi!$C$51:$G$51,1,F382)*H382</f>
        <v>7953.05164319249</v>
      </c>
      <c r="AM382" s="15" t="n">
        <f aca="false">AK382+AL382</f>
        <v>33981.220657277</v>
      </c>
      <c r="AN382" s="15" t="n">
        <f aca="false">INDEX(Ipotesi!$C$30:$G$30,1,F382)*G382/12</f>
        <v>22.5</v>
      </c>
      <c r="AO382" s="15" t="n">
        <f aca="false">O382*Parametri_v3!$C$7*Parametri_v3!$C$11*(1-Parametri_v3!$C$14)/12</f>
        <v>25.6666666666667</v>
      </c>
      <c r="AP382" s="15" t="n">
        <f aca="false">MIN(AN382,AO382)</f>
        <v>22.5</v>
      </c>
      <c r="AQ382" s="15" t="n">
        <f aca="false">AP382*INDEX(Ipotesi!$C$31:$G$31,1,F382)*H382</f>
        <v>21375</v>
      </c>
      <c r="AR382" s="15" t="n">
        <f aca="false">INDEX(Ipotesi!$C$75:$G$75,1,F382)*J382/12</f>
        <v>4583.33333333333</v>
      </c>
      <c r="AS382" s="15" t="n">
        <f aca="false">INDEX(Ipotesi!$C$81:$G$81,1,F382)*J382/12</f>
        <v>833.333333333333</v>
      </c>
      <c r="AT382" s="15" t="n">
        <f aca="false">AR382*Parametri_v3!$C$15+Z382*Parametri_v3!$C$16</f>
        <v>8638.95833333333</v>
      </c>
      <c r="AU382" s="15" t="n">
        <f aca="false">Q382*Parametri_v3!$C$16*Parametri_v3!$C$17</f>
        <v>105</v>
      </c>
      <c r="AV382" s="17" t="n">
        <f aca="false">BD381</f>
        <v>13.8270193930493</v>
      </c>
      <c r="AW382" s="17" t="n">
        <f aca="false">AV382*(1-(1-INDEX(Ipotesi!$C$34:$G$34,1,F382))^(1/12))</f>
        <v>0.120870424197084</v>
      </c>
      <c r="AX382" s="15" t="n">
        <f aca="false">ROUND(INDEX(Ipotesi!$C$32:$G$32,1,F382)*Ipotesi!I8,0)</f>
        <v>35</v>
      </c>
      <c r="AY382" s="15" t="n">
        <f aca="false">MAX(0,(AX382-(AV382-AW382))/(13-E382))</f>
        <v>3.0419787187354</v>
      </c>
      <c r="AZ382" s="15" t="n">
        <f aca="false">MIN(P382*Parametri_v3!$C$22,Q382*(1-Parametri_v3!$C$16)*Parametri_v3!$C$23)</f>
        <v>67.5</v>
      </c>
      <c r="BA382" s="15" t="n">
        <f aca="false">IF(OR(INDEX(Ipotesi!$C$35:$G$35,1,F382)&lt;=0,18-Parametri_v3!$C$21&lt;1),0,INDEX($AT$365:$AT$424,MAX(1,18-Parametri_v3!$C$21))/(INDEX(Ipotesi!$C$35:$G$35,1,F382)*Ipotesi!I27))</f>
        <v>2.87965277777778</v>
      </c>
      <c r="BB382" s="15" t="n">
        <f aca="false">IF(18-Parametri_v3!$C$21&lt;1,0,INDEX($AU$365:$AU$424,MAX(1,18-Parametri_v3!$C$21)))*Parametri_v3!$C$18*Parametri_v3!$C$19*Parametri_v3!$C$20</f>
        <v>3.9375</v>
      </c>
      <c r="BC382" s="17" t="n">
        <f aca="false">MAX(0,MIN(AY382,BA382,BB382,MAX(0,AZ382-(AV382-AW382))))</f>
        <v>2.87965277777778</v>
      </c>
      <c r="BD382" s="17" t="n">
        <f aca="false">AV382-AW382+BC382</f>
        <v>16.58580174663</v>
      </c>
      <c r="BE382" s="17" t="n">
        <f aca="false">(AV382+BD382)/2</f>
        <v>15.2064105698396</v>
      </c>
      <c r="BF382" s="15" t="n">
        <f aca="false">BE382*INDEX(Ipotesi!$C$33:$G$33,1,F382)*H382/12</f>
        <v>5068.80352327988</v>
      </c>
      <c r="BG382" s="15" t="n">
        <f aca="false">BD382*INDEX(Ipotesi!$C$33:$G$33,1,F382)*H382</f>
        <v>66343.2069865199</v>
      </c>
      <c r="BH382" s="15" t="n">
        <f aca="false">AM382*INDEX(Ipotesi!$C$37:$G$37,1,F382)</f>
        <v>3398.1220657277</v>
      </c>
      <c r="BI382" s="15" t="n">
        <f aca="false">AQ382+BF382+BH382</f>
        <v>29841.9255890076</v>
      </c>
      <c r="BJ382" s="15" t="n">
        <f aca="false">INDEX(Ipotesi!$C$68:$G$68,1,F382)*Ipotesi!$C$69/12</f>
        <v>1600</v>
      </c>
      <c r="BK382" s="15" t="n">
        <f aca="false">INDEX(Ipotesi!$C$68:$G$68,1,F382)*(1-Ipotesi!$C$69)/12</f>
        <v>2400</v>
      </c>
      <c r="BL382" s="15" t="n">
        <f aca="false">(AQ382+BF382)*Ipotesi!$C$67</f>
        <v>793.314105698396</v>
      </c>
      <c r="BM382" s="15" t="n">
        <f aca="false">AM382*Ipotesi!$C$67</f>
        <v>1019.43661971831</v>
      </c>
      <c r="BN382" s="15" t="n">
        <f aca="false">INDEX(Ipotesi!$C$72:$G$72,1,F382)/12*Ipotesi!I126+BF382*Ipotesi!$C$73</f>
        <v>1655.50428186239</v>
      </c>
      <c r="BO382" s="15" t="n">
        <f aca="false">INDEX(Ipotesi!$C$74:$G$74,1,F382)/12*Ipotesi!I126</f>
        <v>1833.33333333333</v>
      </c>
      <c r="BP382" s="15" t="n">
        <f aca="false">INDEX(Ipotesi!$C$76:$G$76,1,F382)/12</f>
        <v>750</v>
      </c>
      <c r="BQ382" s="15" t="n">
        <f aca="false">INDEX(Ipotesi!$C$77:$G$77,1,F382)/12*Ipotesi!I126</f>
        <v>1666.66666666667</v>
      </c>
      <c r="BR382" s="15" t="n">
        <f aca="false">INDEX(Ipotesi!$C$78:$G$78,1,F382)/12</f>
        <v>1250</v>
      </c>
      <c r="BS382" s="15" t="n">
        <f aca="false">SUM(M382:R382)*(Ipotesi!$C$85+Ipotesi!$C$86)/12</f>
        <v>2625</v>
      </c>
      <c r="BT382" s="15" t="n">
        <f aca="false">BI382*Ipotesi!$C$87</f>
        <v>895.257767670227</v>
      </c>
      <c r="BU382" s="15" t="n">
        <f aca="false">INDEX(Ipotesi!$C$55:$G$55,1,F382)*K382/12</f>
        <v>1000</v>
      </c>
      <c r="BV382" s="15" t="n">
        <f aca="false">INDEX(Ipotesi!$C$80:$G$80,1,F382)/12*Ipotesi!I126</f>
        <v>833.333333333333</v>
      </c>
      <c r="BW382" s="15" t="n">
        <f aca="false">INDEX(Ipotesi!$C$82:$G$82,1,F382)/12</f>
        <v>666.666666666667</v>
      </c>
      <c r="BX382" s="15" t="n">
        <f aca="false">INDEX(Ipotesi!$C$83:$G$83,1,F382)/12</f>
        <v>583.333333333333</v>
      </c>
      <c r="BY382" s="15" t="n">
        <f aca="false">SUM(S382:U382)*(Ipotesi!$C$85+Ipotesi!$C$86)/12</f>
        <v>1166.66666666667</v>
      </c>
      <c r="BZ382" s="15" t="n">
        <f aca="false">AM382*Ipotesi!$C$87</f>
        <v>1019.43661971831</v>
      </c>
      <c r="CA382" s="15" t="n">
        <f aca="false">AB382+BJ382+BL382+BN382+BO382+AR382+BP382+BQ382+BR382+BS382+BT382</f>
        <v>57414.9094885644</v>
      </c>
      <c r="CB382" s="15" t="n">
        <f aca="false">AC382+BK382+BM382+BH382+BU382+BV382+AS382+BW382+BX382+BY382+BZ382</f>
        <v>28885.3286384976</v>
      </c>
      <c r="CC382" s="15" t="n">
        <f aca="false">BI382-CA382</f>
        <v>-27572.9838995568</v>
      </c>
      <c r="CD382" s="15" t="n">
        <f aca="false">AM382-CB382</f>
        <v>5095.89201877934</v>
      </c>
      <c r="CE382" s="15" t="n">
        <f aca="false">INDEX(Ipotesi!$C$79:$G$79,1,F382)/12</f>
        <v>2083.33333333333</v>
      </c>
      <c r="CF382" s="15" t="n">
        <f aca="false">INDEX(Ipotesi!$C$84:$G$84,1,F382)/12</f>
        <v>416.666666666667</v>
      </c>
      <c r="CG382" s="15" t="n">
        <f aca="false">Y382*MAX(0,Parametri_v3!$C$12-IF(P382=0,0,MIN(1,BE382/(P382*Parametri_v3!$C$22))))+W382*Parametri_v3!$C$13+X382*Parametri_v3!$C$14</f>
        <v>15226.5582130444</v>
      </c>
      <c r="CH382" s="15" t="n">
        <f aca="false">AB382*Parametri_v3!$C$32</f>
        <v>1988.125</v>
      </c>
      <c r="CI382" s="15" t="n">
        <f aca="false">AC382*Parametri_v3!$C$32</f>
        <v>798.25</v>
      </c>
      <c r="CJ382" s="15" t="n">
        <f aca="false">CA382-AB382</f>
        <v>17652.4094885644</v>
      </c>
      <c r="CK382" s="15" t="n">
        <f aca="false">CB382-AC382-BH382</f>
        <v>9522.20657276995</v>
      </c>
      <c r="CL382" s="15" t="n">
        <f aca="false">BF382*Ipotesi!$C$73+INDEX(Ipotesi!$C$72:$G$72,1,F382)/12*Ipotesi!I126*Parametri_v3!$C$58+Z382*(1-Parametri_v3!$C$16)</f>
        <v>3393.62928186239</v>
      </c>
      <c r="CM382" s="16" t="n">
        <f aca="false">IF(BF382=0,0,1-CL382/BF382)</f>
        <v>0.330487112732579</v>
      </c>
    </row>
    <row r="383" customFormat="false" ht="18" hidden="false" customHeight="true" outlineLevel="0" collapsed="false">
      <c r="A383" s="68" t="n">
        <f aca="false">7</f>
        <v>7</v>
      </c>
      <c r="B383" s="68" t="n">
        <f aca="false">19</f>
        <v>19</v>
      </c>
      <c r="C383" s="18" t="n">
        <f aca="false">EDATE(Parametri_v3!$C$5,19-1)</f>
        <v>46935</v>
      </c>
      <c r="D383" s="68" t="n">
        <f aca="false">YEAR(C383)</f>
        <v>2028</v>
      </c>
      <c r="E383" s="68" t="n">
        <f aca="false">MONTH(C383)</f>
        <v>7</v>
      </c>
      <c r="F383" s="68" t="n">
        <f aca="false">INT((19-1)/12)+1</f>
        <v>2</v>
      </c>
      <c r="G383" s="15" t="n">
        <f aca="false">Ipotesi!I7</f>
        <v>1</v>
      </c>
      <c r="H383" s="15" t="n">
        <f aca="false">Ipotesi!I9</f>
        <v>1</v>
      </c>
      <c r="I383" s="15" t="n">
        <f aca="false">Ipotesi!I10</f>
        <v>1</v>
      </c>
      <c r="J383" s="15" t="n">
        <f aca="false">Ipotesi!I11</f>
        <v>1</v>
      </c>
      <c r="K383" s="15" t="n">
        <f aca="false">Ipotesi!I12</f>
        <v>1</v>
      </c>
      <c r="L383" s="15" t="n">
        <f aca="false">Ipotesi!I13</f>
        <v>90</v>
      </c>
      <c r="M383" s="17" t="n">
        <f aca="false">INDEX(Ipotesi!$C$40:$G$40,1,F383)</f>
        <v>1</v>
      </c>
      <c r="N383" s="17" t="n">
        <f aca="false">INDEX(Ipotesi!$C$41:$G$41,1,F383)</f>
        <v>1</v>
      </c>
      <c r="O383" s="17" t="n">
        <f aca="false">INDEX(Ipotesi!$C$42:$G$42,1,F383)*Ipotesi!I125</f>
        <v>2.5</v>
      </c>
      <c r="P383" s="17" t="n">
        <f aca="false">INDEX(Ipotesi!$C$43:$G$43,1,F383)*I383</f>
        <v>2.5</v>
      </c>
      <c r="Q383" s="17" t="n">
        <f aca="false">INDEX(Ipotesi!$C$44:$G$44,1,F383)*I383</f>
        <v>1.5</v>
      </c>
      <c r="R383" s="17" t="n">
        <f aca="false">INDEX(Ipotesi!$C$45:$G$45,1,F383)*I383</f>
        <v>0.5</v>
      </c>
      <c r="S383" s="17" t="n">
        <f aca="false">INDEX(Ipotesi!$C$52:$G$52,1,F383)*Ipotesi!I125</f>
        <v>3</v>
      </c>
      <c r="T383" s="17" t="n">
        <f aca="false">INDEX(Ipotesi!$C$53:$G$53,1,F383)*I383</f>
        <v>1</v>
      </c>
      <c r="U383" s="17" t="n">
        <f aca="false">INDEX(Ipotesi!$C$54:$G$54,1,F383)*I383</f>
        <v>0</v>
      </c>
      <c r="V383" s="15" t="n">
        <f aca="false">M383*INDEX(Ipotesi!$C$58:$G$58,1,F383)*K383/12</f>
        <v>5000</v>
      </c>
      <c r="W383" s="15" t="n">
        <f aca="false">N383*Ipotesi!$C$59*(1+Ipotesi!$C$66)^(F383-1)/12</f>
        <v>6008.33333333333</v>
      </c>
      <c r="X383" s="15" t="n">
        <f aca="false">O383*Ipotesi!$C$60*(1+Ipotesi!$C$66)^(F383-1)/12</f>
        <v>10729.1666666667</v>
      </c>
      <c r="Y383" s="15" t="n">
        <f aca="false">P383*Ipotesi!$C$61*(1+Ipotesi!$C$66)^(F383-1)/12</f>
        <v>10729.1666666667</v>
      </c>
      <c r="Z383" s="15" t="n">
        <f aca="false">Q383*Ipotesi!$C$62*(1+Ipotesi!$C$66)^(F383-1)/12</f>
        <v>5793.75</v>
      </c>
      <c r="AA383" s="15" t="n">
        <f aca="false">R383*Ipotesi!$C$63*(1+Ipotesi!$C$66)^(F383-1)/12</f>
        <v>1502.08333333333</v>
      </c>
      <c r="AB383" s="15" t="n">
        <f aca="false">SUM(V383:AA383)</f>
        <v>39762.5</v>
      </c>
      <c r="AC383" s="15" t="n">
        <f aca="false">(S383*Ipotesi!$C$64+T383*Ipotesi!$C$65+U383*Ipotesi!$C$63)*(1+Ipotesi!$C$66)^(F383-1)/12</f>
        <v>15965</v>
      </c>
      <c r="AD383" s="15" t="n">
        <f aca="false">INDEX(Ipotesi!$C$48:$G$48,1,F383)*G383/12</f>
        <v>37.5</v>
      </c>
      <c r="AE383" s="15" t="n">
        <f aca="false">INDEX(Ipotesi!$C$50:$G$50,1,F383)*G383/12</f>
        <v>4.58333333333333</v>
      </c>
      <c r="AF383" s="15" t="n">
        <f aca="false">(S383*Parametri_v3!$C$7*Parametri_v3!$C$8+Parametri_v3!$C$10)/12</f>
        <v>38.5</v>
      </c>
      <c r="AG383" s="15" t="n">
        <f aca="false">AD383+AE383*(1+Parametri_v3!$C$9)</f>
        <v>44.375</v>
      </c>
      <c r="AH383" s="16" t="n">
        <f aca="false">IF(AG383=0,1,MIN(1,AF383/AG383))</f>
        <v>0.867605633802817</v>
      </c>
      <c r="AI383" s="15" t="n">
        <f aca="false">AD383*AH383</f>
        <v>32.5352112676056</v>
      </c>
      <c r="AJ383" s="15" t="n">
        <f aca="false">AE383*AH383</f>
        <v>3.97652582159624</v>
      </c>
      <c r="AK383" s="15" t="n">
        <f aca="false">AI383*INDEX(Ipotesi!$C$49:$G$49,1,F383)*H383</f>
        <v>26028.1690140845</v>
      </c>
      <c r="AL383" s="15" t="n">
        <f aca="false">AJ383*INDEX(Ipotesi!$C$51:$G$51,1,F383)*H383</f>
        <v>7953.05164319249</v>
      </c>
      <c r="AM383" s="15" t="n">
        <f aca="false">AK383+AL383</f>
        <v>33981.220657277</v>
      </c>
      <c r="AN383" s="15" t="n">
        <f aca="false">INDEX(Ipotesi!$C$30:$G$30,1,F383)*G383/12</f>
        <v>22.5</v>
      </c>
      <c r="AO383" s="15" t="n">
        <f aca="false">O383*Parametri_v3!$C$7*Parametri_v3!$C$11*(1-Parametri_v3!$C$14)/12</f>
        <v>25.6666666666667</v>
      </c>
      <c r="AP383" s="15" t="n">
        <f aca="false">MIN(AN383,AO383)</f>
        <v>22.5</v>
      </c>
      <c r="AQ383" s="15" t="n">
        <f aca="false">AP383*INDEX(Ipotesi!$C$31:$G$31,1,F383)*H383</f>
        <v>21375</v>
      </c>
      <c r="AR383" s="15" t="n">
        <f aca="false">INDEX(Ipotesi!$C$75:$G$75,1,F383)*J383/12</f>
        <v>4583.33333333333</v>
      </c>
      <c r="AS383" s="15" t="n">
        <f aca="false">INDEX(Ipotesi!$C$81:$G$81,1,F383)*J383/12</f>
        <v>833.333333333333</v>
      </c>
      <c r="AT383" s="15" t="n">
        <f aca="false">AR383*Parametri_v3!$C$15+Z383*Parametri_v3!$C$16</f>
        <v>8638.95833333333</v>
      </c>
      <c r="AU383" s="15" t="n">
        <f aca="false">Q383*Parametri_v3!$C$16*Parametri_v3!$C$17</f>
        <v>105</v>
      </c>
      <c r="AV383" s="17" t="n">
        <f aca="false">BD382</f>
        <v>16.58580174663</v>
      </c>
      <c r="AW383" s="17" t="n">
        <f aca="false">AV383*(1-(1-INDEX(Ipotesi!$C$34:$G$34,1,F383))^(1/12))</f>
        <v>0.144986626240769</v>
      </c>
      <c r="AX383" s="15" t="n">
        <f aca="false">ROUND(INDEX(Ipotesi!$C$32:$G$32,1,F383)*Ipotesi!I8,0)</f>
        <v>35</v>
      </c>
      <c r="AY383" s="15" t="n">
        <f aca="false">MAX(0,(AX383-(AV383-AW383))/(13-E383))</f>
        <v>3.09319747993513</v>
      </c>
      <c r="AZ383" s="15" t="n">
        <f aca="false">MIN(P383*Parametri_v3!$C$22,Q383*(1-Parametri_v3!$C$16)*Parametri_v3!$C$23)</f>
        <v>67.5</v>
      </c>
      <c r="BA383" s="15" t="n">
        <f aca="false">IF(OR(INDEX(Ipotesi!$C$35:$G$35,1,F383)&lt;=0,19-Parametri_v3!$C$21&lt;1),0,INDEX($AT$365:$AT$424,MAX(1,19-Parametri_v3!$C$21))/(INDEX(Ipotesi!$C$35:$G$35,1,F383)*Ipotesi!I27))</f>
        <v>2.87965277777778</v>
      </c>
      <c r="BB383" s="15" t="n">
        <f aca="false">IF(19-Parametri_v3!$C$21&lt;1,0,INDEX($AU$365:$AU$424,MAX(1,19-Parametri_v3!$C$21)))*Parametri_v3!$C$18*Parametri_v3!$C$19*Parametri_v3!$C$20</f>
        <v>3.9375</v>
      </c>
      <c r="BC383" s="17" t="n">
        <f aca="false">MAX(0,MIN(AY383,BA383,BB383,MAX(0,AZ383-(AV383-AW383))))</f>
        <v>2.87965277777778</v>
      </c>
      <c r="BD383" s="17" t="n">
        <f aca="false">AV383-AW383+BC383</f>
        <v>19.320467898167</v>
      </c>
      <c r="BE383" s="17" t="n">
        <f aca="false">(AV383+BD383)/2</f>
        <v>17.9531348223985</v>
      </c>
      <c r="BF383" s="15" t="n">
        <f aca="false">BE383*INDEX(Ipotesi!$C$33:$G$33,1,F383)*H383/12</f>
        <v>5984.37827413283</v>
      </c>
      <c r="BG383" s="15" t="n">
        <f aca="false">BD383*INDEX(Ipotesi!$C$33:$G$33,1,F383)*H383</f>
        <v>77281.871592668</v>
      </c>
      <c r="BH383" s="15" t="n">
        <f aca="false">AM383*INDEX(Ipotesi!$C$37:$G$37,1,F383)</f>
        <v>3398.1220657277</v>
      </c>
      <c r="BI383" s="15" t="n">
        <f aca="false">AQ383+BF383+BH383</f>
        <v>30757.5003398605</v>
      </c>
      <c r="BJ383" s="15" t="n">
        <f aca="false">INDEX(Ipotesi!$C$68:$G$68,1,F383)*Ipotesi!$C$69/12</f>
        <v>1600</v>
      </c>
      <c r="BK383" s="15" t="n">
        <f aca="false">INDEX(Ipotesi!$C$68:$G$68,1,F383)*(1-Ipotesi!$C$69)/12</f>
        <v>2400</v>
      </c>
      <c r="BL383" s="15" t="n">
        <f aca="false">(AQ383+BF383)*Ipotesi!$C$67</f>
        <v>820.781348223985</v>
      </c>
      <c r="BM383" s="15" t="n">
        <f aca="false">AM383*Ipotesi!$C$67</f>
        <v>1019.43661971831</v>
      </c>
      <c r="BN383" s="15" t="n">
        <f aca="false">INDEX(Ipotesi!$C$72:$G$72,1,F383)/12*Ipotesi!I126+BF383*Ipotesi!$C$73</f>
        <v>1728.75026193063</v>
      </c>
      <c r="BO383" s="15" t="n">
        <f aca="false">INDEX(Ipotesi!$C$74:$G$74,1,F383)/12*Ipotesi!I126</f>
        <v>1833.33333333333</v>
      </c>
      <c r="BP383" s="15" t="n">
        <f aca="false">INDEX(Ipotesi!$C$76:$G$76,1,F383)/12</f>
        <v>750</v>
      </c>
      <c r="BQ383" s="15" t="n">
        <f aca="false">INDEX(Ipotesi!$C$77:$G$77,1,F383)/12*Ipotesi!I126</f>
        <v>1666.66666666667</v>
      </c>
      <c r="BR383" s="15" t="n">
        <f aca="false">INDEX(Ipotesi!$C$78:$G$78,1,F383)/12</f>
        <v>1250</v>
      </c>
      <c r="BS383" s="15" t="n">
        <f aca="false">SUM(M383:R383)*(Ipotesi!$C$85+Ipotesi!$C$86)/12</f>
        <v>2625</v>
      </c>
      <c r="BT383" s="15" t="n">
        <f aca="false">BI383*Ipotesi!$C$87</f>
        <v>922.725010195816</v>
      </c>
      <c r="BU383" s="15" t="n">
        <f aca="false">INDEX(Ipotesi!$C$55:$G$55,1,F383)*K383/12</f>
        <v>1000</v>
      </c>
      <c r="BV383" s="15" t="n">
        <f aca="false">INDEX(Ipotesi!$C$80:$G$80,1,F383)/12*Ipotesi!I126</f>
        <v>833.333333333333</v>
      </c>
      <c r="BW383" s="15" t="n">
        <f aca="false">INDEX(Ipotesi!$C$82:$G$82,1,F383)/12</f>
        <v>666.666666666667</v>
      </c>
      <c r="BX383" s="15" t="n">
        <f aca="false">INDEX(Ipotesi!$C$83:$G$83,1,F383)/12</f>
        <v>583.333333333333</v>
      </c>
      <c r="BY383" s="15" t="n">
        <f aca="false">SUM(S383:U383)*(Ipotesi!$C$85+Ipotesi!$C$86)/12</f>
        <v>1166.66666666667</v>
      </c>
      <c r="BZ383" s="15" t="n">
        <f aca="false">AM383*Ipotesi!$C$87</f>
        <v>1019.43661971831</v>
      </c>
      <c r="CA383" s="15" t="n">
        <f aca="false">AB383+BJ383+BL383+BN383+BO383+AR383+BP383+BQ383+BR383+BS383+BT383</f>
        <v>57543.0899536838</v>
      </c>
      <c r="CB383" s="15" t="n">
        <f aca="false">AC383+BK383+BM383+BH383+BU383+BV383+AS383+BW383+BX383+BY383+BZ383</f>
        <v>28885.3286384976</v>
      </c>
      <c r="CC383" s="15" t="n">
        <f aca="false">BI383-CA383</f>
        <v>-26785.5896138232</v>
      </c>
      <c r="CD383" s="15" t="n">
        <f aca="false">AM383-CB383</f>
        <v>5095.89201877934</v>
      </c>
      <c r="CE383" s="15" t="n">
        <f aca="false">INDEX(Ipotesi!$C$79:$G$79,1,F383)/12</f>
        <v>2083.33333333333</v>
      </c>
      <c r="CF383" s="15" t="n">
        <f aca="false">INDEX(Ipotesi!$C$84:$G$84,1,F383)/12</f>
        <v>416.666666666667</v>
      </c>
      <c r="CG383" s="15" t="n">
        <f aca="false">Y383*MAX(0,Parametri_v3!$C$12-IF(P383=0,0,MIN(1,BE383/(P383*Parametri_v3!$C$22))))+W383*Parametri_v3!$C$13+X383*Parametri_v3!$C$14</f>
        <v>15108.6779638721</v>
      </c>
      <c r="CH383" s="15" t="n">
        <f aca="false">AB383*Parametri_v3!$C$32</f>
        <v>1988.125</v>
      </c>
      <c r="CI383" s="15" t="n">
        <f aca="false">AC383*Parametri_v3!$C$32</f>
        <v>798.25</v>
      </c>
      <c r="CJ383" s="15" t="n">
        <f aca="false">CA383-AB383</f>
        <v>17780.5899536838</v>
      </c>
      <c r="CK383" s="15" t="n">
        <f aca="false">CB383-AC383-BH383</f>
        <v>9522.20657276995</v>
      </c>
      <c r="CL383" s="15" t="n">
        <f aca="false">BF383*Ipotesi!$C$73+INDEX(Ipotesi!$C$72:$G$72,1,F383)/12*Ipotesi!I126*Parametri_v3!$C$58+Z383*(1-Parametri_v3!$C$16)</f>
        <v>3466.87526193063</v>
      </c>
      <c r="CM383" s="16" t="n">
        <f aca="false">IF(BF383=0,0,1-CL383/BF383)</f>
        <v>0.420679124360166</v>
      </c>
    </row>
    <row r="384" customFormat="false" ht="18" hidden="false" customHeight="true" outlineLevel="0" collapsed="false">
      <c r="A384" s="68" t="n">
        <f aca="false">7</f>
        <v>7</v>
      </c>
      <c r="B384" s="68" t="n">
        <f aca="false">20</f>
        <v>20</v>
      </c>
      <c r="C384" s="18" t="n">
        <f aca="false">EDATE(Parametri_v3!$C$5,20-1)</f>
        <v>46966</v>
      </c>
      <c r="D384" s="68" t="n">
        <f aca="false">YEAR(C384)</f>
        <v>2028</v>
      </c>
      <c r="E384" s="68" t="n">
        <f aca="false">MONTH(C384)</f>
        <v>8</v>
      </c>
      <c r="F384" s="68" t="n">
        <f aca="false">INT((20-1)/12)+1</f>
        <v>2</v>
      </c>
      <c r="G384" s="15" t="n">
        <f aca="false">Ipotesi!I7</f>
        <v>1</v>
      </c>
      <c r="H384" s="15" t="n">
        <f aca="false">Ipotesi!I9</f>
        <v>1</v>
      </c>
      <c r="I384" s="15" t="n">
        <f aca="false">Ipotesi!I10</f>
        <v>1</v>
      </c>
      <c r="J384" s="15" t="n">
        <f aca="false">Ipotesi!I11</f>
        <v>1</v>
      </c>
      <c r="K384" s="15" t="n">
        <f aca="false">Ipotesi!I12</f>
        <v>1</v>
      </c>
      <c r="L384" s="15" t="n">
        <f aca="false">Ipotesi!I13</f>
        <v>90</v>
      </c>
      <c r="M384" s="17" t="n">
        <f aca="false">INDEX(Ipotesi!$C$40:$G$40,1,F384)</f>
        <v>1</v>
      </c>
      <c r="N384" s="17" t="n">
        <f aca="false">INDEX(Ipotesi!$C$41:$G$41,1,F384)</f>
        <v>1</v>
      </c>
      <c r="O384" s="17" t="n">
        <f aca="false">INDEX(Ipotesi!$C$42:$G$42,1,F384)*Ipotesi!I125</f>
        <v>2.5</v>
      </c>
      <c r="P384" s="17" t="n">
        <f aca="false">INDEX(Ipotesi!$C$43:$G$43,1,F384)*I384</f>
        <v>2.5</v>
      </c>
      <c r="Q384" s="17" t="n">
        <f aca="false">INDEX(Ipotesi!$C$44:$G$44,1,F384)*I384</f>
        <v>1.5</v>
      </c>
      <c r="R384" s="17" t="n">
        <f aca="false">INDEX(Ipotesi!$C$45:$G$45,1,F384)*I384</f>
        <v>0.5</v>
      </c>
      <c r="S384" s="17" t="n">
        <f aca="false">INDEX(Ipotesi!$C$52:$G$52,1,F384)*Ipotesi!I125</f>
        <v>3</v>
      </c>
      <c r="T384" s="17" t="n">
        <f aca="false">INDEX(Ipotesi!$C$53:$G$53,1,F384)*I384</f>
        <v>1</v>
      </c>
      <c r="U384" s="17" t="n">
        <f aca="false">INDEX(Ipotesi!$C$54:$G$54,1,F384)*I384</f>
        <v>0</v>
      </c>
      <c r="V384" s="15" t="n">
        <f aca="false">M384*INDEX(Ipotesi!$C$58:$G$58,1,F384)*K384/12</f>
        <v>5000</v>
      </c>
      <c r="W384" s="15" t="n">
        <f aca="false">N384*Ipotesi!$C$59*(1+Ipotesi!$C$66)^(F384-1)/12</f>
        <v>6008.33333333333</v>
      </c>
      <c r="X384" s="15" t="n">
        <f aca="false">O384*Ipotesi!$C$60*(1+Ipotesi!$C$66)^(F384-1)/12</f>
        <v>10729.1666666667</v>
      </c>
      <c r="Y384" s="15" t="n">
        <f aca="false">P384*Ipotesi!$C$61*(1+Ipotesi!$C$66)^(F384-1)/12</f>
        <v>10729.1666666667</v>
      </c>
      <c r="Z384" s="15" t="n">
        <f aca="false">Q384*Ipotesi!$C$62*(1+Ipotesi!$C$66)^(F384-1)/12</f>
        <v>5793.75</v>
      </c>
      <c r="AA384" s="15" t="n">
        <f aca="false">R384*Ipotesi!$C$63*(1+Ipotesi!$C$66)^(F384-1)/12</f>
        <v>1502.08333333333</v>
      </c>
      <c r="AB384" s="15" t="n">
        <f aca="false">SUM(V384:AA384)</f>
        <v>39762.5</v>
      </c>
      <c r="AC384" s="15" t="n">
        <f aca="false">(S384*Ipotesi!$C$64+T384*Ipotesi!$C$65+U384*Ipotesi!$C$63)*(1+Ipotesi!$C$66)^(F384-1)/12</f>
        <v>15965</v>
      </c>
      <c r="AD384" s="15" t="n">
        <f aca="false">INDEX(Ipotesi!$C$48:$G$48,1,F384)*G384/12</f>
        <v>37.5</v>
      </c>
      <c r="AE384" s="15" t="n">
        <f aca="false">INDEX(Ipotesi!$C$50:$G$50,1,F384)*G384/12</f>
        <v>4.58333333333333</v>
      </c>
      <c r="AF384" s="15" t="n">
        <f aca="false">(S384*Parametri_v3!$C$7*Parametri_v3!$C$8+Parametri_v3!$C$10)/12</f>
        <v>38.5</v>
      </c>
      <c r="AG384" s="15" t="n">
        <f aca="false">AD384+AE384*(1+Parametri_v3!$C$9)</f>
        <v>44.375</v>
      </c>
      <c r="AH384" s="16" t="n">
        <f aca="false">IF(AG384=0,1,MIN(1,AF384/AG384))</f>
        <v>0.867605633802817</v>
      </c>
      <c r="AI384" s="15" t="n">
        <f aca="false">AD384*AH384</f>
        <v>32.5352112676056</v>
      </c>
      <c r="AJ384" s="15" t="n">
        <f aca="false">AE384*AH384</f>
        <v>3.97652582159624</v>
      </c>
      <c r="AK384" s="15" t="n">
        <f aca="false">AI384*INDEX(Ipotesi!$C$49:$G$49,1,F384)*H384</f>
        <v>26028.1690140845</v>
      </c>
      <c r="AL384" s="15" t="n">
        <f aca="false">AJ384*INDEX(Ipotesi!$C$51:$G$51,1,F384)*H384</f>
        <v>7953.05164319249</v>
      </c>
      <c r="AM384" s="15" t="n">
        <f aca="false">AK384+AL384</f>
        <v>33981.220657277</v>
      </c>
      <c r="AN384" s="15" t="n">
        <f aca="false">INDEX(Ipotesi!$C$30:$G$30,1,F384)*G384/12</f>
        <v>22.5</v>
      </c>
      <c r="AO384" s="15" t="n">
        <f aca="false">O384*Parametri_v3!$C$7*Parametri_v3!$C$11*(1-Parametri_v3!$C$14)/12</f>
        <v>25.6666666666667</v>
      </c>
      <c r="AP384" s="15" t="n">
        <f aca="false">MIN(AN384,AO384)</f>
        <v>22.5</v>
      </c>
      <c r="AQ384" s="15" t="n">
        <f aca="false">AP384*INDEX(Ipotesi!$C$31:$G$31,1,F384)*H384</f>
        <v>21375</v>
      </c>
      <c r="AR384" s="15" t="n">
        <f aca="false">INDEX(Ipotesi!$C$75:$G$75,1,F384)*J384/12</f>
        <v>4583.33333333333</v>
      </c>
      <c r="AS384" s="15" t="n">
        <f aca="false">INDEX(Ipotesi!$C$81:$G$81,1,F384)*J384/12</f>
        <v>833.333333333333</v>
      </c>
      <c r="AT384" s="15" t="n">
        <f aca="false">AR384*Parametri_v3!$C$15+Z384*Parametri_v3!$C$16</f>
        <v>8638.95833333333</v>
      </c>
      <c r="AU384" s="15" t="n">
        <f aca="false">Q384*Parametri_v3!$C$16*Parametri_v3!$C$17</f>
        <v>105</v>
      </c>
      <c r="AV384" s="17" t="n">
        <f aca="false">BD383</f>
        <v>19.320467898167</v>
      </c>
      <c r="AW384" s="17" t="n">
        <f aca="false">AV384*(1-(1-INDEX(Ipotesi!$C$34:$G$34,1,F384))^(1/12))</f>
        <v>0.168892013828483</v>
      </c>
      <c r="AX384" s="15" t="n">
        <f aca="false">ROUND(INDEX(Ipotesi!$C$32:$G$32,1,F384)*Ipotesi!I8,0)</f>
        <v>35</v>
      </c>
      <c r="AY384" s="15" t="n">
        <f aca="false">MAX(0,(AX384-(AV384-AW384))/(13-E384))</f>
        <v>3.1696848231323</v>
      </c>
      <c r="AZ384" s="15" t="n">
        <f aca="false">MIN(P384*Parametri_v3!$C$22,Q384*(1-Parametri_v3!$C$16)*Parametri_v3!$C$23)</f>
        <v>67.5</v>
      </c>
      <c r="BA384" s="15" t="n">
        <f aca="false">IF(OR(INDEX(Ipotesi!$C$35:$G$35,1,F384)&lt;=0,20-Parametri_v3!$C$21&lt;1),0,INDEX($AT$365:$AT$424,MAX(1,20-Parametri_v3!$C$21))/(INDEX(Ipotesi!$C$35:$G$35,1,F384)*Ipotesi!I27))</f>
        <v>2.87965277777778</v>
      </c>
      <c r="BB384" s="15" t="n">
        <f aca="false">IF(20-Parametri_v3!$C$21&lt;1,0,INDEX($AU$365:$AU$424,MAX(1,20-Parametri_v3!$C$21)))*Parametri_v3!$C$18*Parametri_v3!$C$19*Parametri_v3!$C$20</f>
        <v>3.9375</v>
      </c>
      <c r="BC384" s="17" t="n">
        <f aca="false">MAX(0,MIN(AY384,BA384,BB384,MAX(0,AZ384-(AV384-AW384))))</f>
        <v>2.87965277777778</v>
      </c>
      <c r="BD384" s="17" t="n">
        <f aca="false">AV384-AW384+BC384</f>
        <v>22.0312286621163</v>
      </c>
      <c r="BE384" s="17" t="n">
        <f aca="false">(AV384+BD384)/2</f>
        <v>20.6758482801416</v>
      </c>
      <c r="BF384" s="15" t="n">
        <f aca="false">BE384*INDEX(Ipotesi!$C$33:$G$33,1,F384)*H384/12</f>
        <v>6891.94942671388</v>
      </c>
      <c r="BG384" s="15" t="n">
        <f aca="false">BD384*INDEX(Ipotesi!$C$33:$G$33,1,F384)*H384</f>
        <v>88124.9146484652</v>
      </c>
      <c r="BH384" s="15" t="n">
        <f aca="false">AM384*INDEX(Ipotesi!$C$37:$G$37,1,F384)</f>
        <v>3398.1220657277</v>
      </c>
      <c r="BI384" s="15" t="n">
        <f aca="false">AQ384+BF384+BH384</f>
        <v>31665.0714924416</v>
      </c>
      <c r="BJ384" s="15" t="n">
        <f aca="false">INDEX(Ipotesi!$C$68:$G$68,1,F384)*Ipotesi!$C$69/12</f>
        <v>1600</v>
      </c>
      <c r="BK384" s="15" t="n">
        <f aca="false">INDEX(Ipotesi!$C$68:$G$68,1,F384)*(1-Ipotesi!$C$69)/12</f>
        <v>2400</v>
      </c>
      <c r="BL384" s="15" t="n">
        <f aca="false">(AQ384+BF384)*Ipotesi!$C$67</f>
        <v>848.008482801416</v>
      </c>
      <c r="BM384" s="15" t="n">
        <f aca="false">AM384*Ipotesi!$C$67</f>
        <v>1019.43661971831</v>
      </c>
      <c r="BN384" s="15" t="n">
        <f aca="false">INDEX(Ipotesi!$C$72:$G$72,1,F384)/12*Ipotesi!I126+BF384*Ipotesi!$C$73</f>
        <v>1801.35595413711</v>
      </c>
      <c r="BO384" s="15" t="n">
        <f aca="false">INDEX(Ipotesi!$C$74:$G$74,1,F384)/12*Ipotesi!I126</f>
        <v>1833.33333333333</v>
      </c>
      <c r="BP384" s="15" t="n">
        <f aca="false">INDEX(Ipotesi!$C$76:$G$76,1,F384)/12</f>
        <v>750</v>
      </c>
      <c r="BQ384" s="15" t="n">
        <f aca="false">INDEX(Ipotesi!$C$77:$G$77,1,F384)/12*Ipotesi!I126</f>
        <v>1666.66666666667</v>
      </c>
      <c r="BR384" s="15" t="n">
        <f aca="false">INDEX(Ipotesi!$C$78:$G$78,1,F384)/12</f>
        <v>1250</v>
      </c>
      <c r="BS384" s="15" t="n">
        <f aca="false">SUM(M384:R384)*(Ipotesi!$C$85+Ipotesi!$C$86)/12</f>
        <v>2625</v>
      </c>
      <c r="BT384" s="15" t="n">
        <f aca="false">BI384*Ipotesi!$C$87</f>
        <v>949.952144773247</v>
      </c>
      <c r="BU384" s="15" t="n">
        <f aca="false">INDEX(Ipotesi!$C$55:$G$55,1,F384)*K384/12</f>
        <v>1000</v>
      </c>
      <c r="BV384" s="15" t="n">
        <f aca="false">INDEX(Ipotesi!$C$80:$G$80,1,F384)/12*Ipotesi!I126</f>
        <v>833.333333333333</v>
      </c>
      <c r="BW384" s="15" t="n">
        <f aca="false">INDEX(Ipotesi!$C$82:$G$82,1,F384)/12</f>
        <v>666.666666666667</v>
      </c>
      <c r="BX384" s="15" t="n">
        <f aca="false">INDEX(Ipotesi!$C$83:$G$83,1,F384)/12</f>
        <v>583.333333333333</v>
      </c>
      <c r="BY384" s="15" t="n">
        <f aca="false">SUM(S384:U384)*(Ipotesi!$C$85+Ipotesi!$C$86)/12</f>
        <v>1166.66666666667</v>
      </c>
      <c r="BZ384" s="15" t="n">
        <f aca="false">AM384*Ipotesi!$C$87</f>
        <v>1019.43661971831</v>
      </c>
      <c r="CA384" s="15" t="n">
        <f aca="false">AB384+BJ384+BL384+BN384+BO384+AR384+BP384+BQ384+BR384+BS384+BT384</f>
        <v>57670.1499150451</v>
      </c>
      <c r="CB384" s="15" t="n">
        <f aca="false">AC384+BK384+BM384+BH384+BU384+BV384+AS384+BW384+BX384+BY384+BZ384</f>
        <v>28885.3286384976</v>
      </c>
      <c r="CC384" s="15" t="n">
        <f aca="false">BI384-CA384</f>
        <v>-26005.0784226035</v>
      </c>
      <c r="CD384" s="15" t="n">
        <f aca="false">AM384-CB384</f>
        <v>5095.89201877934</v>
      </c>
      <c r="CE384" s="15" t="n">
        <f aca="false">INDEX(Ipotesi!$C$79:$G$79,1,F384)/12</f>
        <v>2083.33333333333</v>
      </c>
      <c r="CF384" s="15" t="n">
        <f aca="false">INDEX(Ipotesi!$C$84:$G$84,1,F384)/12</f>
        <v>416.666666666667</v>
      </c>
      <c r="CG384" s="15" t="n">
        <f aca="false">Y384*MAX(0,Parametri_v3!$C$12-IF(P384=0,0,MIN(1,BE384/(P384*Parametri_v3!$C$22))))+W384*Parametri_v3!$C$13+X384*Parametri_v3!$C$14</f>
        <v>14991.8281779773</v>
      </c>
      <c r="CH384" s="15" t="n">
        <f aca="false">AB384*Parametri_v3!$C$32</f>
        <v>1988.125</v>
      </c>
      <c r="CI384" s="15" t="n">
        <f aca="false">AC384*Parametri_v3!$C$32</f>
        <v>798.25</v>
      </c>
      <c r="CJ384" s="15" t="n">
        <f aca="false">CA384-AB384</f>
        <v>17907.6499150451</v>
      </c>
      <c r="CK384" s="15" t="n">
        <f aca="false">CB384-AC384-BH384</f>
        <v>9522.20657276995</v>
      </c>
      <c r="CL384" s="15" t="n">
        <f aca="false">BF384*Ipotesi!$C$73+INDEX(Ipotesi!$C$72:$G$72,1,F384)/12*Ipotesi!I126*Parametri_v3!$C$58+Z384*(1-Parametri_v3!$C$16)</f>
        <v>3539.48095413711</v>
      </c>
      <c r="CM384" s="16" t="n">
        <f aca="false">IF(BF384=0,0,1-CL384/BF384)</f>
        <v>0.48643254107209</v>
      </c>
    </row>
    <row r="385" customFormat="false" ht="18" hidden="false" customHeight="true" outlineLevel="0" collapsed="false">
      <c r="A385" s="68" t="n">
        <f aca="false">7</f>
        <v>7</v>
      </c>
      <c r="B385" s="68" t="n">
        <f aca="false">21</f>
        <v>21</v>
      </c>
      <c r="C385" s="18" t="n">
        <f aca="false">EDATE(Parametri_v3!$C$5,21-1)</f>
        <v>46997</v>
      </c>
      <c r="D385" s="68" t="n">
        <f aca="false">YEAR(C385)</f>
        <v>2028</v>
      </c>
      <c r="E385" s="68" t="n">
        <f aca="false">MONTH(C385)</f>
        <v>9</v>
      </c>
      <c r="F385" s="68" t="n">
        <f aca="false">INT((21-1)/12)+1</f>
        <v>2</v>
      </c>
      <c r="G385" s="15" t="n">
        <f aca="false">Ipotesi!I7</f>
        <v>1</v>
      </c>
      <c r="H385" s="15" t="n">
        <f aca="false">Ipotesi!I9</f>
        <v>1</v>
      </c>
      <c r="I385" s="15" t="n">
        <f aca="false">Ipotesi!I10</f>
        <v>1</v>
      </c>
      <c r="J385" s="15" t="n">
        <f aca="false">Ipotesi!I11</f>
        <v>1</v>
      </c>
      <c r="K385" s="15" t="n">
        <f aca="false">Ipotesi!I12</f>
        <v>1</v>
      </c>
      <c r="L385" s="15" t="n">
        <f aca="false">Ipotesi!I13</f>
        <v>90</v>
      </c>
      <c r="M385" s="17" t="n">
        <f aca="false">INDEX(Ipotesi!$C$40:$G$40,1,F385)</f>
        <v>1</v>
      </c>
      <c r="N385" s="17" t="n">
        <f aca="false">INDEX(Ipotesi!$C$41:$G$41,1,F385)</f>
        <v>1</v>
      </c>
      <c r="O385" s="17" t="n">
        <f aca="false">INDEX(Ipotesi!$C$42:$G$42,1,F385)*Ipotesi!I125</f>
        <v>2.5</v>
      </c>
      <c r="P385" s="17" t="n">
        <f aca="false">INDEX(Ipotesi!$C$43:$G$43,1,F385)*I385</f>
        <v>2.5</v>
      </c>
      <c r="Q385" s="17" t="n">
        <f aca="false">INDEX(Ipotesi!$C$44:$G$44,1,F385)*I385</f>
        <v>1.5</v>
      </c>
      <c r="R385" s="17" t="n">
        <f aca="false">INDEX(Ipotesi!$C$45:$G$45,1,F385)*I385</f>
        <v>0.5</v>
      </c>
      <c r="S385" s="17" t="n">
        <f aca="false">INDEX(Ipotesi!$C$52:$G$52,1,F385)*Ipotesi!I125</f>
        <v>3</v>
      </c>
      <c r="T385" s="17" t="n">
        <f aca="false">INDEX(Ipotesi!$C$53:$G$53,1,F385)*I385</f>
        <v>1</v>
      </c>
      <c r="U385" s="17" t="n">
        <f aca="false">INDEX(Ipotesi!$C$54:$G$54,1,F385)*I385</f>
        <v>0</v>
      </c>
      <c r="V385" s="15" t="n">
        <f aca="false">M385*INDEX(Ipotesi!$C$58:$G$58,1,F385)*K385/12</f>
        <v>5000</v>
      </c>
      <c r="W385" s="15" t="n">
        <f aca="false">N385*Ipotesi!$C$59*(1+Ipotesi!$C$66)^(F385-1)/12</f>
        <v>6008.33333333333</v>
      </c>
      <c r="X385" s="15" t="n">
        <f aca="false">O385*Ipotesi!$C$60*(1+Ipotesi!$C$66)^(F385-1)/12</f>
        <v>10729.1666666667</v>
      </c>
      <c r="Y385" s="15" t="n">
        <f aca="false">P385*Ipotesi!$C$61*(1+Ipotesi!$C$66)^(F385-1)/12</f>
        <v>10729.1666666667</v>
      </c>
      <c r="Z385" s="15" t="n">
        <f aca="false">Q385*Ipotesi!$C$62*(1+Ipotesi!$C$66)^(F385-1)/12</f>
        <v>5793.75</v>
      </c>
      <c r="AA385" s="15" t="n">
        <f aca="false">R385*Ipotesi!$C$63*(1+Ipotesi!$C$66)^(F385-1)/12</f>
        <v>1502.08333333333</v>
      </c>
      <c r="AB385" s="15" t="n">
        <f aca="false">SUM(V385:AA385)</f>
        <v>39762.5</v>
      </c>
      <c r="AC385" s="15" t="n">
        <f aca="false">(S385*Ipotesi!$C$64+T385*Ipotesi!$C$65+U385*Ipotesi!$C$63)*(1+Ipotesi!$C$66)^(F385-1)/12</f>
        <v>15965</v>
      </c>
      <c r="AD385" s="15" t="n">
        <f aca="false">INDEX(Ipotesi!$C$48:$G$48,1,F385)*G385/12</f>
        <v>37.5</v>
      </c>
      <c r="AE385" s="15" t="n">
        <f aca="false">INDEX(Ipotesi!$C$50:$G$50,1,F385)*G385/12</f>
        <v>4.58333333333333</v>
      </c>
      <c r="AF385" s="15" t="n">
        <f aca="false">(S385*Parametri_v3!$C$7*Parametri_v3!$C$8+Parametri_v3!$C$10)/12</f>
        <v>38.5</v>
      </c>
      <c r="AG385" s="15" t="n">
        <f aca="false">AD385+AE385*(1+Parametri_v3!$C$9)</f>
        <v>44.375</v>
      </c>
      <c r="AH385" s="16" t="n">
        <f aca="false">IF(AG385=0,1,MIN(1,AF385/AG385))</f>
        <v>0.867605633802817</v>
      </c>
      <c r="AI385" s="15" t="n">
        <f aca="false">AD385*AH385</f>
        <v>32.5352112676056</v>
      </c>
      <c r="AJ385" s="15" t="n">
        <f aca="false">AE385*AH385</f>
        <v>3.97652582159624</v>
      </c>
      <c r="AK385" s="15" t="n">
        <f aca="false">AI385*INDEX(Ipotesi!$C$49:$G$49,1,F385)*H385</f>
        <v>26028.1690140845</v>
      </c>
      <c r="AL385" s="15" t="n">
        <f aca="false">AJ385*INDEX(Ipotesi!$C$51:$G$51,1,F385)*H385</f>
        <v>7953.05164319249</v>
      </c>
      <c r="AM385" s="15" t="n">
        <f aca="false">AK385+AL385</f>
        <v>33981.220657277</v>
      </c>
      <c r="AN385" s="15" t="n">
        <f aca="false">INDEX(Ipotesi!$C$30:$G$30,1,F385)*G385/12</f>
        <v>22.5</v>
      </c>
      <c r="AO385" s="15" t="n">
        <f aca="false">O385*Parametri_v3!$C$7*Parametri_v3!$C$11*(1-Parametri_v3!$C$14)/12</f>
        <v>25.6666666666667</v>
      </c>
      <c r="AP385" s="15" t="n">
        <f aca="false">MIN(AN385,AO385)</f>
        <v>22.5</v>
      </c>
      <c r="AQ385" s="15" t="n">
        <f aca="false">AP385*INDEX(Ipotesi!$C$31:$G$31,1,F385)*H385</f>
        <v>21375</v>
      </c>
      <c r="AR385" s="15" t="n">
        <f aca="false">INDEX(Ipotesi!$C$75:$G$75,1,F385)*J385/12</f>
        <v>4583.33333333333</v>
      </c>
      <c r="AS385" s="15" t="n">
        <f aca="false">INDEX(Ipotesi!$C$81:$G$81,1,F385)*J385/12</f>
        <v>833.333333333333</v>
      </c>
      <c r="AT385" s="15" t="n">
        <f aca="false">AR385*Parametri_v3!$C$15+Z385*Parametri_v3!$C$16</f>
        <v>8638.95833333333</v>
      </c>
      <c r="AU385" s="15" t="n">
        <f aca="false">Q385*Parametri_v3!$C$16*Parametri_v3!$C$17</f>
        <v>105</v>
      </c>
      <c r="AV385" s="17" t="n">
        <f aca="false">BD384</f>
        <v>22.0312286621163</v>
      </c>
      <c r="AW385" s="17" t="n">
        <f aca="false">AV385*(1-(1-INDEX(Ipotesi!$C$34:$G$34,1,F385))^(1/12))</f>
        <v>0.192588429818184</v>
      </c>
      <c r="AX385" s="15" t="n">
        <f aca="false">ROUND(INDEX(Ipotesi!$C$32:$G$32,1,F385)*Ipotesi!I8,0)</f>
        <v>35</v>
      </c>
      <c r="AY385" s="15" t="n">
        <f aca="false">MAX(0,(AX385-(AV385-AW385))/(13-E385))</f>
        <v>3.29033994192547</v>
      </c>
      <c r="AZ385" s="15" t="n">
        <f aca="false">MIN(P385*Parametri_v3!$C$22,Q385*(1-Parametri_v3!$C$16)*Parametri_v3!$C$23)</f>
        <v>67.5</v>
      </c>
      <c r="BA385" s="15" t="n">
        <f aca="false">IF(OR(INDEX(Ipotesi!$C$35:$G$35,1,F385)&lt;=0,21-Parametri_v3!$C$21&lt;1),0,INDEX($AT$365:$AT$424,MAX(1,21-Parametri_v3!$C$21))/(INDEX(Ipotesi!$C$35:$G$35,1,F385)*Ipotesi!I27))</f>
        <v>2.87965277777778</v>
      </c>
      <c r="BB385" s="15" t="n">
        <f aca="false">IF(21-Parametri_v3!$C$21&lt;1,0,INDEX($AU$365:$AU$424,MAX(1,21-Parametri_v3!$C$21)))*Parametri_v3!$C$18*Parametri_v3!$C$19*Parametri_v3!$C$20</f>
        <v>3.9375</v>
      </c>
      <c r="BC385" s="17" t="n">
        <f aca="false">MAX(0,MIN(AY385,BA385,BB385,MAX(0,AZ385-(AV385-AW385))))</f>
        <v>2.87965277777778</v>
      </c>
      <c r="BD385" s="17" t="n">
        <f aca="false">AV385-AW385+BC385</f>
        <v>24.7182930100759</v>
      </c>
      <c r="BE385" s="17" t="n">
        <f aca="false">(AV385+BD385)/2</f>
        <v>23.3747608360961</v>
      </c>
      <c r="BF385" s="15" t="n">
        <f aca="false">BE385*INDEX(Ipotesi!$C$33:$G$33,1,F385)*H385/12</f>
        <v>7791.58694536536</v>
      </c>
      <c r="BG385" s="15" t="n">
        <f aca="false">BD385*INDEX(Ipotesi!$C$33:$G$33,1,F385)*H385</f>
        <v>98873.1720403035</v>
      </c>
      <c r="BH385" s="15" t="n">
        <f aca="false">AM385*INDEX(Ipotesi!$C$37:$G$37,1,F385)</f>
        <v>3398.1220657277</v>
      </c>
      <c r="BI385" s="15" t="n">
        <f aca="false">AQ385+BF385+BH385</f>
        <v>32564.7090110931</v>
      </c>
      <c r="BJ385" s="15" t="n">
        <f aca="false">INDEX(Ipotesi!$C$68:$G$68,1,F385)*Ipotesi!$C$69/12</f>
        <v>1600</v>
      </c>
      <c r="BK385" s="15" t="n">
        <f aca="false">INDEX(Ipotesi!$C$68:$G$68,1,F385)*(1-Ipotesi!$C$69)/12</f>
        <v>2400</v>
      </c>
      <c r="BL385" s="15" t="n">
        <f aca="false">(AQ385+BF385)*Ipotesi!$C$67</f>
        <v>874.997608360961</v>
      </c>
      <c r="BM385" s="15" t="n">
        <f aca="false">AM385*Ipotesi!$C$67</f>
        <v>1019.43661971831</v>
      </c>
      <c r="BN385" s="15" t="n">
        <f aca="false">INDEX(Ipotesi!$C$72:$G$72,1,F385)/12*Ipotesi!I126+BF385*Ipotesi!$C$73</f>
        <v>1873.32695562923</v>
      </c>
      <c r="BO385" s="15" t="n">
        <f aca="false">INDEX(Ipotesi!$C$74:$G$74,1,F385)/12*Ipotesi!I126</f>
        <v>1833.33333333333</v>
      </c>
      <c r="BP385" s="15" t="n">
        <f aca="false">INDEX(Ipotesi!$C$76:$G$76,1,F385)/12</f>
        <v>750</v>
      </c>
      <c r="BQ385" s="15" t="n">
        <f aca="false">INDEX(Ipotesi!$C$77:$G$77,1,F385)/12*Ipotesi!I126</f>
        <v>1666.66666666667</v>
      </c>
      <c r="BR385" s="15" t="n">
        <f aca="false">INDEX(Ipotesi!$C$78:$G$78,1,F385)/12</f>
        <v>1250</v>
      </c>
      <c r="BS385" s="15" t="n">
        <f aca="false">SUM(M385:R385)*(Ipotesi!$C$85+Ipotesi!$C$86)/12</f>
        <v>2625</v>
      </c>
      <c r="BT385" s="15" t="n">
        <f aca="false">BI385*Ipotesi!$C$87</f>
        <v>976.941270332792</v>
      </c>
      <c r="BU385" s="15" t="n">
        <f aca="false">INDEX(Ipotesi!$C$55:$G$55,1,F385)*K385/12</f>
        <v>1000</v>
      </c>
      <c r="BV385" s="15" t="n">
        <f aca="false">INDEX(Ipotesi!$C$80:$G$80,1,F385)/12*Ipotesi!I126</f>
        <v>833.333333333333</v>
      </c>
      <c r="BW385" s="15" t="n">
        <f aca="false">INDEX(Ipotesi!$C$82:$G$82,1,F385)/12</f>
        <v>666.666666666667</v>
      </c>
      <c r="BX385" s="15" t="n">
        <f aca="false">INDEX(Ipotesi!$C$83:$G$83,1,F385)/12</f>
        <v>583.333333333333</v>
      </c>
      <c r="BY385" s="15" t="n">
        <f aca="false">SUM(S385:U385)*(Ipotesi!$C$85+Ipotesi!$C$86)/12</f>
        <v>1166.66666666667</v>
      </c>
      <c r="BZ385" s="15" t="n">
        <f aca="false">AM385*Ipotesi!$C$87</f>
        <v>1019.43661971831</v>
      </c>
      <c r="CA385" s="15" t="n">
        <f aca="false">AB385+BJ385+BL385+BN385+BO385+AR385+BP385+BQ385+BR385+BS385+BT385</f>
        <v>57796.0991676563</v>
      </c>
      <c r="CB385" s="15" t="n">
        <f aca="false">AC385+BK385+BM385+BH385+BU385+BV385+AS385+BW385+BX385+BY385+BZ385</f>
        <v>28885.3286384976</v>
      </c>
      <c r="CC385" s="15" t="n">
        <f aca="false">BI385-CA385</f>
        <v>-25231.3901565633</v>
      </c>
      <c r="CD385" s="15" t="n">
        <f aca="false">AM385-CB385</f>
        <v>5095.89201877934</v>
      </c>
      <c r="CE385" s="15" t="n">
        <f aca="false">INDEX(Ipotesi!$C$79:$G$79,1,F385)/12</f>
        <v>2083.33333333333</v>
      </c>
      <c r="CF385" s="15" t="n">
        <f aca="false">INDEX(Ipotesi!$C$84:$G$84,1,F385)/12</f>
        <v>416.666666666667</v>
      </c>
      <c r="CG385" s="15" t="n">
        <f aca="false">Y385*MAX(0,Parametri_v3!$C$12-IF(P385=0,0,MIN(1,BE385/(P385*Parametri_v3!$C$22))))+W385*Parametri_v3!$C$13+X385*Parametri_v3!$C$14</f>
        <v>14875.9998474509</v>
      </c>
      <c r="CH385" s="15" t="n">
        <f aca="false">AB385*Parametri_v3!$C$32</f>
        <v>1988.125</v>
      </c>
      <c r="CI385" s="15" t="n">
        <f aca="false">AC385*Parametri_v3!$C$32</f>
        <v>798.25</v>
      </c>
      <c r="CJ385" s="15" t="n">
        <f aca="false">CA385-AB385</f>
        <v>18033.5991676563</v>
      </c>
      <c r="CK385" s="15" t="n">
        <f aca="false">CB385-AC385-BH385</f>
        <v>9522.20657276995</v>
      </c>
      <c r="CL385" s="15" t="n">
        <f aca="false">BF385*Ipotesi!$C$73+INDEX(Ipotesi!$C$72:$G$72,1,F385)/12*Ipotesi!I126*Parametri_v3!$C$58+Z385*(1-Parametri_v3!$C$16)</f>
        <v>3611.45195562923</v>
      </c>
      <c r="CM385" s="16" t="n">
        <f aca="false">IF(BF385=0,0,1-CL385/BF385)</f>
        <v>0.536493402312938</v>
      </c>
    </row>
    <row r="386" customFormat="false" ht="18" hidden="false" customHeight="true" outlineLevel="0" collapsed="false">
      <c r="A386" s="68" t="n">
        <f aca="false">7</f>
        <v>7</v>
      </c>
      <c r="B386" s="68" t="n">
        <f aca="false">22</f>
        <v>22</v>
      </c>
      <c r="C386" s="18" t="n">
        <f aca="false">EDATE(Parametri_v3!$C$5,22-1)</f>
        <v>47027</v>
      </c>
      <c r="D386" s="68" t="n">
        <f aca="false">YEAR(C386)</f>
        <v>2028</v>
      </c>
      <c r="E386" s="68" t="n">
        <f aca="false">MONTH(C386)</f>
        <v>10</v>
      </c>
      <c r="F386" s="68" t="n">
        <f aca="false">INT((22-1)/12)+1</f>
        <v>2</v>
      </c>
      <c r="G386" s="15" t="n">
        <f aca="false">Ipotesi!I7</f>
        <v>1</v>
      </c>
      <c r="H386" s="15" t="n">
        <f aca="false">Ipotesi!I9</f>
        <v>1</v>
      </c>
      <c r="I386" s="15" t="n">
        <f aca="false">Ipotesi!I10</f>
        <v>1</v>
      </c>
      <c r="J386" s="15" t="n">
        <f aca="false">Ipotesi!I11</f>
        <v>1</v>
      </c>
      <c r="K386" s="15" t="n">
        <f aca="false">Ipotesi!I12</f>
        <v>1</v>
      </c>
      <c r="L386" s="15" t="n">
        <f aca="false">Ipotesi!I13</f>
        <v>90</v>
      </c>
      <c r="M386" s="17" t="n">
        <f aca="false">INDEX(Ipotesi!$C$40:$G$40,1,F386)</f>
        <v>1</v>
      </c>
      <c r="N386" s="17" t="n">
        <f aca="false">INDEX(Ipotesi!$C$41:$G$41,1,F386)</f>
        <v>1</v>
      </c>
      <c r="O386" s="17" t="n">
        <f aca="false">INDEX(Ipotesi!$C$42:$G$42,1,F386)*Ipotesi!I125</f>
        <v>2.5</v>
      </c>
      <c r="P386" s="17" t="n">
        <f aca="false">INDEX(Ipotesi!$C$43:$G$43,1,F386)*I386</f>
        <v>2.5</v>
      </c>
      <c r="Q386" s="17" t="n">
        <f aca="false">INDEX(Ipotesi!$C$44:$G$44,1,F386)*I386</f>
        <v>1.5</v>
      </c>
      <c r="R386" s="17" t="n">
        <f aca="false">INDEX(Ipotesi!$C$45:$G$45,1,F386)*I386</f>
        <v>0.5</v>
      </c>
      <c r="S386" s="17" t="n">
        <f aca="false">INDEX(Ipotesi!$C$52:$G$52,1,F386)*Ipotesi!I125</f>
        <v>3</v>
      </c>
      <c r="T386" s="17" t="n">
        <f aca="false">INDEX(Ipotesi!$C$53:$G$53,1,F386)*I386</f>
        <v>1</v>
      </c>
      <c r="U386" s="17" t="n">
        <f aca="false">INDEX(Ipotesi!$C$54:$G$54,1,F386)*I386</f>
        <v>0</v>
      </c>
      <c r="V386" s="15" t="n">
        <f aca="false">M386*INDEX(Ipotesi!$C$58:$G$58,1,F386)*K386/12</f>
        <v>5000</v>
      </c>
      <c r="W386" s="15" t="n">
        <f aca="false">N386*Ipotesi!$C$59*(1+Ipotesi!$C$66)^(F386-1)/12</f>
        <v>6008.33333333333</v>
      </c>
      <c r="X386" s="15" t="n">
        <f aca="false">O386*Ipotesi!$C$60*(1+Ipotesi!$C$66)^(F386-1)/12</f>
        <v>10729.1666666667</v>
      </c>
      <c r="Y386" s="15" t="n">
        <f aca="false">P386*Ipotesi!$C$61*(1+Ipotesi!$C$66)^(F386-1)/12</f>
        <v>10729.1666666667</v>
      </c>
      <c r="Z386" s="15" t="n">
        <f aca="false">Q386*Ipotesi!$C$62*(1+Ipotesi!$C$66)^(F386-1)/12</f>
        <v>5793.75</v>
      </c>
      <c r="AA386" s="15" t="n">
        <f aca="false">R386*Ipotesi!$C$63*(1+Ipotesi!$C$66)^(F386-1)/12</f>
        <v>1502.08333333333</v>
      </c>
      <c r="AB386" s="15" t="n">
        <f aca="false">SUM(V386:AA386)</f>
        <v>39762.5</v>
      </c>
      <c r="AC386" s="15" t="n">
        <f aca="false">(S386*Ipotesi!$C$64+T386*Ipotesi!$C$65+U386*Ipotesi!$C$63)*(1+Ipotesi!$C$66)^(F386-1)/12</f>
        <v>15965</v>
      </c>
      <c r="AD386" s="15" t="n">
        <f aca="false">INDEX(Ipotesi!$C$48:$G$48,1,F386)*G386/12</f>
        <v>37.5</v>
      </c>
      <c r="AE386" s="15" t="n">
        <f aca="false">INDEX(Ipotesi!$C$50:$G$50,1,F386)*G386/12</f>
        <v>4.58333333333333</v>
      </c>
      <c r="AF386" s="15" t="n">
        <f aca="false">(S386*Parametri_v3!$C$7*Parametri_v3!$C$8+Parametri_v3!$C$10)/12</f>
        <v>38.5</v>
      </c>
      <c r="AG386" s="15" t="n">
        <f aca="false">AD386+AE386*(1+Parametri_v3!$C$9)</f>
        <v>44.375</v>
      </c>
      <c r="AH386" s="16" t="n">
        <f aca="false">IF(AG386=0,1,MIN(1,AF386/AG386))</f>
        <v>0.867605633802817</v>
      </c>
      <c r="AI386" s="15" t="n">
        <f aca="false">AD386*AH386</f>
        <v>32.5352112676056</v>
      </c>
      <c r="AJ386" s="15" t="n">
        <f aca="false">AE386*AH386</f>
        <v>3.97652582159624</v>
      </c>
      <c r="AK386" s="15" t="n">
        <f aca="false">AI386*INDEX(Ipotesi!$C$49:$G$49,1,F386)*H386</f>
        <v>26028.1690140845</v>
      </c>
      <c r="AL386" s="15" t="n">
        <f aca="false">AJ386*INDEX(Ipotesi!$C$51:$G$51,1,F386)*H386</f>
        <v>7953.05164319249</v>
      </c>
      <c r="AM386" s="15" t="n">
        <f aca="false">AK386+AL386</f>
        <v>33981.220657277</v>
      </c>
      <c r="AN386" s="15" t="n">
        <f aca="false">INDEX(Ipotesi!$C$30:$G$30,1,F386)*G386/12</f>
        <v>22.5</v>
      </c>
      <c r="AO386" s="15" t="n">
        <f aca="false">O386*Parametri_v3!$C$7*Parametri_v3!$C$11*(1-Parametri_v3!$C$14)/12</f>
        <v>25.6666666666667</v>
      </c>
      <c r="AP386" s="15" t="n">
        <f aca="false">MIN(AN386,AO386)</f>
        <v>22.5</v>
      </c>
      <c r="AQ386" s="15" t="n">
        <f aca="false">AP386*INDEX(Ipotesi!$C$31:$G$31,1,F386)*H386</f>
        <v>21375</v>
      </c>
      <c r="AR386" s="15" t="n">
        <f aca="false">INDEX(Ipotesi!$C$75:$G$75,1,F386)*J386/12</f>
        <v>4583.33333333333</v>
      </c>
      <c r="AS386" s="15" t="n">
        <f aca="false">INDEX(Ipotesi!$C$81:$G$81,1,F386)*J386/12</f>
        <v>833.333333333333</v>
      </c>
      <c r="AT386" s="15" t="n">
        <f aca="false">AR386*Parametri_v3!$C$15+Z386*Parametri_v3!$C$16</f>
        <v>8638.95833333333</v>
      </c>
      <c r="AU386" s="15" t="n">
        <f aca="false">Q386*Parametri_v3!$C$16*Parametri_v3!$C$17</f>
        <v>105</v>
      </c>
      <c r="AV386" s="17" t="n">
        <f aca="false">BD385</f>
        <v>24.7182930100759</v>
      </c>
      <c r="AW386" s="17" t="n">
        <f aca="false">AV386*(1-(1-INDEX(Ipotesi!$C$34:$G$34,1,F386))^(1/12))</f>
        <v>0.216077700958283</v>
      </c>
      <c r="AX386" s="15" t="n">
        <f aca="false">ROUND(INDEX(Ipotesi!$C$32:$G$32,1,F386)*Ipotesi!I8,0)</f>
        <v>35</v>
      </c>
      <c r="AY386" s="15" t="n">
        <f aca="false">MAX(0,(AX386-(AV386-AW386))/(13-E386))</f>
        <v>3.49926156362747</v>
      </c>
      <c r="AZ386" s="15" t="n">
        <f aca="false">MIN(P386*Parametri_v3!$C$22,Q386*(1-Parametri_v3!$C$16)*Parametri_v3!$C$23)</f>
        <v>67.5</v>
      </c>
      <c r="BA386" s="15" t="n">
        <f aca="false">IF(OR(INDEX(Ipotesi!$C$35:$G$35,1,F386)&lt;=0,22-Parametri_v3!$C$21&lt;1),0,INDEX($AT$365:$AT$424,MAX(1,22-Parametri_v3!$C$21))/(INDEX(Ipotesi!$C$35:$G$35,1,F386)*Ipotesi!I27))</f>
        <v>2.87965277777778</v>
      </c>
      <c r="BB386" s="15" t="n">
        <f aca="false">IF(22-Parametri_v3!$C$21&lt;1,0,INDEX($AU$365:$AU$424,MAX(1,22-Parametri_v3!$C$21)))*Parametri_v3!$C$18*Parametri_v3!$C$19*Parametri_v3!$C$20</f>
        <v>3.9375</v>
      </c>
      <c r="BC386" s="17" t="n">
        <f aca="false">MAX(0,MIN(AY386,BA386,BB386,MAX(0,AZ386-(AV386-AW386))))</f>
        <v>2.87965277777778</v>
      </c>
      <c r="BD386" s="17" t="n">
        <f aca="false">AV386-AW386+BC386</f>
        <v>27.3818680868954</v>
      </c>
      <c r="BE386" s="17" t="n">
        <f aca="false">(AV386+BD386)/2</f>
        <v>26.0500805484856</v>
      </c>
      <c r="BF386" s="15" t="n">
        <f aca="false">BE386*INDEX(Ipotesi!$C$33:$G$33,1,F386)*H386/12</f>
        <v>8683.36018282855</v>
      </c>
      <c r="BG386" s="15" t="n">
        <f aca="false">BD386*INDEX(Ipotesi!$C$33:$G$33,1,F386)*H386</f>
        <v>109527.472347582</v>
      </c>
      <c r="BH386" s="15" t="n">
        <f aca="false">AM386*INDEX(Ipotesi!$C$37:$G$37,1,F386)</f>
        <v>3398.1220657277</v>
      </c>
      <c r="BI386" s="15" t="n">
        <f aca="false">AQ386+BF386+BH386</f>
        <v>33456.4822485563</v>
      </c>
      <c r="BJ386" s="15" t="n">
        <f aca="false">INDEX(Ipotesi!$C$68:$G$68,1,F386)*Ipotesi!$C$69/12</f>
        <v>1600</v>
      </c>
      <c r="BK386" s="15" t="n">
        <f aca="false">INDEX(Ipotesi!$C$68:$G$68,1,F386)*(1-Ipotesi!$C$69)/12</f>
        <v>2400</v>
      </c>
      <c r="BL386" s="15" t="n">
        <f aca="false">(AQ386+BF386)*Ipotesi!$C$67</f>
        <v>901.750805484856</v>
      </c>
      <c r="BM386" s="15" t="n">
        <f aca="false">AM386*Ipotesi!$C$67</f>
        <v>1019.43661971831</v>
      </c>
      <c r="BN386" s="15" t="n">
        <f aca="false">INDEX(Ipotesi!$C$72:$G$72,1,F386)/12*Ipotesi!I126+BF386*Ipotesi!$C$73</f>
        <v>1944.66881462628</v>
      </c>
      <c r="BO386" s="15" t="n">
        <f aca="false">INDEX(Ipotesi!$C$74:$G$74,1,F386)/12*Ipotesi!I126</f>
        <v>1833.33333333333</v>
      </c>
      <c r="BP386" s="15" t="n">
        <f aca="false">INDEX(Ipotesi!$C$76:$G$76,1,F386)/12</f>
        <v>750</v>
      </c>
      <c r="BQ386" s="15" t="n">
        <f aca="false">INDEX(Ipotesi!$C$77:$G$77,1,F386)/12*Ipotesi!I126</f>
        <v>1666.66666666667</v>
      </c>
      <c r="BR386" s="15" t="n">
        <f aca="false">INDEX(Ipotesi!$C$78:$G$78,1,F386)/12</f>
        <v>1250</v>
      </c>
      <c r="BS386" s="15" t="n">
        <f aca="false">SUM(M386:R386)*(Ipotesi!$C$85+Ipotesi!$C$86)/12</f>
        <v>2625</v>
      </c>
      <c r="BT386" s="15" t="n">
        <f aca="false">BI386*Ipotesi!$C$87</f>
        <v>1003.69446745669</v>
      </c>
      <c r="BU386" s="15" t="n">
        <f aca="false">INDEX(Ipotesi!$C$55:$G$55,1,F386)*K386/12</f>
        <v>1000</v>
      </c>
      <c r="BV386" s="15" t="n">
        <f aca="false">INDEX(Ipotesi!$C$80:$G$80,1,F386)/12*Ipotesi!I126</f>
        <v>833.333333333333</v>
      </c>
      <c r="BW386" s="15" t="n">
        <f aca="false">INDEX(Ipotesi!$C$82:$G$82,1,F386)/12</f>
        <v>666.666666666667</v>
      </c>
      <c r="BX386" s="15" t="n">
        <f aca="false">INDEX(Ipotesi!$C$83:$G$83,1,F386)/12</f>
        <v>583.333333333333</v>
      </c>
      <c r="BY386" s="15" t="n">
        <f aca="false">SUM(S386:U386)*(Ipotesi!$C$85+Ipotesi!$C$86)/12</f>
        <v>1166.66666666667</v>
      </c>
      <c r="BZ386" s="15" t="n">
        <f aca="false">AM386*Ipotesi!$C$87</f>
        <v>1019.43661971831</v>
      </c>
      <c r="CA386" s="15" t="n">
        <f aca="false">AB386+BJ386+BL386+BN386+BO386+AR386+BP386+BQ386+BR386+BS386+BT386</f>
        <v>57920.9474209012</v>
      </c>
      <c r="CB386" s="15" t="n">
        <f aca="false">AC386+BK386+BM386+BH386+BU386+BV386+AS386+BW386+BX386+BY386+BZ386</f>
        <v>28885.3286384976</v>
      </c>
      <c r="CC386" s="15" t="n">
        <f aca="false">BI386-CA386</f>
        <v>-24464.4651723449</v>
      </c>
      <c r="CD386" s="15" t="n">
        <f aca="false">AM386-CB386</f>
        <v>5095.89201877934</v>
      </c>
      <c r="CE386" s="15" t="n">
        <f aca="false">INDEX(Ipotesi!$C$79:$G$79,1,F386)/12</f>
        <v>2083.33333333333</v>
      </c>
      <c r="CF386" s="15" t="n">
        <f aca="false">INDEX(Ipotesi!$C$84:$G$84,1,F386)/12</f>
        <v>416.666666666667</v>
      </c>
      <c r="CG386" s="15" t="n">
        <f aca="false">Y386*MAX(0,Parametri_v3!$C$12-IF(P386=0,0,MIN(1,BE386/(P386*Parametri_v3!$C$22))))+W386*Parametri_v3!$C$13+X386*Parametri_v3!$C$14</f>
        <v>14761.1840431275</v>
      </c>
      <c r="CH386" s="15" t="n">
        <f aca="false">AB386*Parametri_v3!$C$32</f>
        <v>1988.125</v>
      </c>
      <c r="CI386" s="15" t="n">
        <f aca="false">AC386*Parametri_v3!$C$32</f>
        <v>798.25</v>
      </c>
      <c r="CJ386" s="15" t="n">
        <f aca="false">CA386-AB386</f>
        <v>18158.4474209012</v>
      </c>
      <c r="CK386" s="15" t="n">
        <f aca="false">CB386-AC386-BH386</f>
        <v>9522.20657276995</v>
      </c>
      <c r="CL386" s="15" t="n">
        <f aca="false">BF386*Ipotesi!$C$73+INDEX(Ipotesi!$C$72:$G$72,1,F386)/12*Ipotesi!I126*Parametri_v3!$C$58+Z386*(1-Parametri_v3!$C$16)</f>
        <v>3682.79381462628</v>
      </c>
      <c r="CM386" s="16" t="n">
        <f aca="false">IF(BF386=0,0,1-CL386/BF386)</f>
        <v>0.575879183048395</v>
      </c>
    </row>
    <row r="387" customFormat="false" ht="18" hidden="false" customHeight="true" outlineLevel="0" collapsed="false">
      <c r="A387" s="68" t="n">
        <f aca="false">7</f>
        <v>7</v>
      </c>
      <c r="B387" s="68" t="n">
        <f aca="false">23</f>
        <v>23</v>
      </c>
      <c r="C387" s="18" t="n">
        <f aca="false">EDATE(Parametri_v3!$C$5,23-1)</f>
        <v>47058</v>
      </c>
      <c r="D387" s="68" t="n">
        <f aca="false">YEAR(C387)</f>
        <v>2028</v>
      </c>
      <c r="E387" s="68" t="n">
        <f aca="false">MONTH(C387)</f>
        <v>11</v>
      </c>
      <c r="F387" s="68" t="n">
        <f aca="false">INT((23-1)/12)+1</f>
        <v>2</v>
      </c>
      <c r="G387" s="15" t="n">
        <f aca="false">Ipotesi!I7</f>
        <v>1</v>
      </c>
      <c r="H387" s="15" t="n">
        <f aca="false">Ipotesi!I9</f>
        <v>1</v>
      </c>
      <c r="I387" s="15" t="n">
        <f aca="false">Ipotesi!I10</f>
        <v>1</v>
      </c>
      <c r="J387" s="15" t="n">
        <f aca="false">Ipotesi!I11</f>
        <v>1</v>
      </c>
      <c r="K387" s="15" t="n">
        <f aca="false">Ipotesi!I12</f>
        <v>1</v>
      </c>
      <c r="L387" s="15" t="n">
        <f aca="false">Ipotesi!I13</f>
        <v>90</v>
      </c>
      <c r="M387" s="17" t="n">
        <f aca="false">INDEX(Ipotesi!$C$40:$G$40,1,F387)</f>
        <v>1</v>
      </c>
      <c r="N387" s="17" t="n">
        <f aca="false">INDEX(Ipotesi!$C$41:$G$41,1,F387)</f>
        <v>1</v>
      </c>
      <c r="O387" s="17" t="n">
        <f aca="false">INDEX(Ipotesi!$C$42:$G$42,1,F387)*Ipotesi!I125</f>
        <v>2.5</v>
      </c>
      <c r="P387" s="17" t="n">
        <f aca="false">INDEX(Ipotesi!$C$43:$G$43,1,F387)*I387</f>
        <v>2.5</v>
      </c>
      <c r="Q387" s="17" t="n">
        <f aca="false">INDEX(Ipotesi!$C$44:$G$44,1,F387)*I387</f>
        <v>1.5</v>
      </c>
      <c r="R387" s="17" t="n">
        <f aca="false">INDEX(Ipotesi!$C$45:$G$45,1,F387)*I387</f>
        <v>0.5</v>
      </c>
      <c r="S387" s="17" t="n">
        <f aca="false">INDEX(Ipotesi!$C$52:$G$52,1,F387)*Ipotesi!I125</f>
        <v>3</v>
      </c>
      <c r="T387" s="17" t="n">
        <f aca="false">INDEX(Ipotesi!$C$53:$G$53,1,F387)*I387</f>
        <v>1</v>
      </c>
      <c r="U387" s="17" t="n">
        <f aca="false">INDEX(Ipotesi!$C$54:$G$54,1,F387)*I387</f>
        <v>0</v>
      </c>
      <c r="V387" s="15" t="n">
        <f aca="false">M387*INDEX(Ipotesi!$C$58:$G$58,1,F387)*K387/12</f>
        <v>5000</v>
      </c>
      <c r="W387" s="15" t="n">
        <f aca="false">N387*Ipotesi!$C$59*(1+Ipotesi!$C$66)^(F387-1)/12</f>
        <v>6008.33333333333</v>
      </c>
      <c r="X387" s="15" t="n">
        <f aca="false">O387*Ipotesi!$C$60*(1+Ipotesi!$C$66)^(F387-1)/12</f>
        <v>10729.1666666667</v>
      </c>
      <c r="Y387" s="15" t="n">
        <f aca="false">P387*Ipotesi!$C$61*(1+Ipotesi!$C$66)^(F387-1)/12</f>
        <v>10729.1666666667</v>
      </c>
      <c r="Z387" s="15" t="n">
        <f aca="false">Q387*Ipotesi!$C$62*(1+Ipotesi!$C$66)^(F387-1)/12</f>
        <v>5793.75</v>
      </c>
      <c r="AA387" s="15" t="n">
        <f aca="false">R387*Ipotesi!$C$63*(1+Ipotesi!$C$66)^(F387-1)/12</f>
        <v>1502.08333333333</v>
      </c>
      <c r="AB387" s="15" t="n">
        <f aca="false">SUM(V387:AA387)</f>
        <v>39762.5</v>
      </c>
      <c r="AC387" s="15" t="n">
        <f aca="false">(S387*Ipotesi!$C$64+T387*Ipotesi!$C$65+U387*Ipotesi!$C$63)*(1+Ipotesi!$C$66)^(F387-1)/12</f>
        <v>15965</v>
      </c>
      <c r="AD387" s="15" t="n">
        <f aca="false">INDEX(Ipotesi!$C$48:$G$48,1,F387)*G387/12</f>
        <v>37.5</v>
      </c>
      <c r="AE387" s="15" t="n">
        <f aca="false">INDEX(Ipotesi!$C$50:$G$50,1,F387)*G387/12</f>
        <v>4.58333333333333</v>
      </c>
      <c r="AF387" s="15" t="n">
        <f aca="false">(S387*Parametri_v3!$C$7*Parametri_v3!$C$8+Parametri_v3!$C$10)/12</f>
        <v>38.5</v>
      </c>
      <c r="AG387" s="15" t="n">
        <f aca="false">AD387+AE387*(1+Parametri_v3!$C$9)</f>
        <v>44.375</v>
      </c>
      <c r="AH387" s="16" t="n">
        <f aca="false">IF(AG387=0,1,MIN(1,AF387/AG387))</f>
        <v>0.867605633802817</v>
      </c>
      <c r="AI387" s="15" t="n">
        <f aca="false">AD387*AH387</f>
        <v>32.5352112676056</v>
      </c>
      <c r="AJ387" s="15" t="n">
        <f aca="false">AE387*AH387</f>
        <v>3.97652582159624</v>
      </c>
      <c r="AK387" s="15" t="n">
        <f aca="false">AI387*INDEX(Ipotesi!$C$49:$G$49,1,F387)*H387</f>
        <v>26028.1690140845</v>
      </c>
      <c r="AL387" s="15" t="n">
        <f aca="false">AJ387*INDEX(Ipotesi!$C$51:$G$51,1,F387)*H387</f>
        <v>7953.05164319249</v>
      </c>
      <c r="AM387" s="15" t="n">
        <f aca="false">AK387+AL387</f>
        <v>33981.220657277</v>
      </c>
      <c r="AN387" s="15" t="n">
        <f aca="false">INDEX(Ipotesi!$C$30:$G$30,1,F387)*G387/12</f>
        <v>22.5</v>
      </c>
      <c r="AO387" s="15" t="n">
        <f aca="false">O387*Parametri_v3!$C$7*Parametri_v3!$C$11*(1-Parametri_v3!$C$14)/12</f>
        <v>25.6666666666667</v>
      </c>
      <c r="AP387" s="15" t="n">
        <f aca="false">MIN(AN387,AO387)</f>
        <v>22.5</v>
      </c>
      <c r="AQ387" s="15" t="n">
        <f aca="false">AP387*INDEX(Ipotesi!$C$31:$G$31,1,F387)*H387</f>
        <v>21375</v>
      </c>
      <c r="AR387" s="15" t="n">
        <f aca="false">INDEX(Ipotesi!$C$75:$G$75,1,F387)*J387/12</f>
        <v>4583.33333333333</v>
      </c>
      <c r="AS387" s="15" t="n">
        <f aca="false">INDEX(Ipotesi!$C$81:$G$81,1,F387)*J387/12</f>
        <v>833.333333333333</v>
      </c>
      <c r="AT387" s="15" t="n">
        <f aca="false">AR387*Parametri_v3!$C$15+Z387*Parametri_v3!$C$16</f>
        <v>8638.95833333333</v>
      </c>
      <c r="AU387" s="15" t="n">
        <f aca="false">Q387*Parametri_v3!$C$16*Parametri_v3!$C$17</f>
        <v>105</v>
      </c>
      <c r="AV387" s="17" t="n">
        <f aca="false">BD386</f>
        <v>27.3818680868954</v>
      </c>
      <c r="AW387" s="17" t="n">
        <f aca="false">AV387*(1-(1-INDEX(Ipotesi!$C$34:$G$34,1,F387))^(1/12))</f>
        <v>0.239361638028465</v>
      </c>
      <c r="AX387" s="15" t="n">
        <f aca="false">ROUND(INDEX(Ipotesi!$C$32:$G$32,1,F387)*Ipotesi!I8,0)</f>
        <v>35</v>
      </c>
      <c r="AY387" s="15" t="n">
        <f aca="false">MAX(0,(AX387-(AV387-AW387))/(13-E387))</f>
        <v>3.92874677556654</v>
      </c>
      <c r="AZ387" s="15" t="n">
        <f aca="false">MIN(P387*Parametri_v3!$C$22,Q387*(1-Parametri_v3!$C$16)*Parametri_v3!$C$23)</f>
        <v>67.5</v>
      </c>
      <c r="BA387" s="15" t="n">
        <f aca="false">IF(OR(INDEX(Ipotesi!$C$35:$G$35,1,F387)&lt;=0,23-Parametri_v3!$C$21&lt;1),0,INDEX($AT$365:$AT$424,MAX(1,23-Parametri_v3!$C$21))/(INDEX(Ipotesi!$C$35:$G$35,1,F387)*Ipotesi!I27))</f>
        <v>2.87965277777778</v>
      </c>
      <c r="BB387" s="15" t="n">
        <f aca="false">IF(23-Parametri_v3!$C$21&lt;1,0,INDEX($AU$365:$AU$424,MAX(1,23-Parametri_v3!$C$21)))*Parametri_v3!$C$18*Parametri_v3!$C$19*Parametri_v3!$C$20</f>
        <v>3.9375</v>
      </c>
      <c r="BC387" s="17" t="n">
        <f aca="false">MAX(0,MIN(AY387,BA387,BB387,MAX(0,AZ387-(AV387-AW387))))</f>
        <v>2.87965277777778</v>
      </c>
      <c r="BD387" s="17" t="n">
        <f aca="false">AV387-AW387+BC387</f>
        <v>30.0221592266447</v>
      </c>
      <c r="BE387" s="17" t="n">
        <f aca="false">(AV387+BD387)/2</f>
        <v>28.70201365677</v>
      </c>
      <c r="BF387" s="15" t="n">
        <f aca="false">BE387*INDEX(Ipotesi!$C$33:$G$33,1,F387)*H387/12</f>
        <v>9567.33788559001</v>
      </c>
      <c r="BG387" s="15" t="n">
        <f aca="false">BD387*INDEX(Ipotesi!$C$33:$G$33,1,F387)*H387</f>
        <v>120088.636906579</v>
      </c>
      <c r="BH387" s="15" t="n">
        <f aca="false">AM387*INDEX(Ipotesi!$C$37:$G$37,1,F387)</f>
        <v>3398.1220657277</v>
      </c>
      <c r="BI387" s="15" t="n">
        <f aca="false">AQ387+BF387+BH387</f>
        <v>34340.4599513177</v>
      </c>
      <c r="BJ387" s="15" t="n">
        <f aca="false">INDEX(Ipotesi!$C$68:$G$68,1,F387)*Ipotesi!$C$69/12</f>
        <v>1600</v>
      </c>
      <c r="BK387" s="15" t="n">
        <f aca="false">INDEX(Ipotesi!$C$68:$G$68,1,F387)*(1-Ipotesi!$C$69)/12</f>
        <v>2400</v>
      </c>
      <c r="BL387" s="15" t="n">
        <f aca="false">(AQ387+BF387)*Ipotesi!$C$67</f>
        <v>928.2701365677</v>
      </c>
      <c r="BM387" s="15" t="n">
        <f aca="false">AM387*Ipotesi!$C$67</f>
        <v>1019.43661971831</v>
      </c>
      <c r="BN387" s="15" t="n">
        <f aca="false">INDEX(Ipotesi!$C$72:$G$72,1,F387)/12*Ipotesi!I126+BF387*Ipotesi!$C$73</f>
        <v>2015.3870308472</v>
      </c>
      <c r="BO387" s="15" t="n">
        <f aca="false">INDEX(Ipotesi!$C$74:$G$74,1,F387)/12*Ipotesi!I126</f>
        <v>1833.33333333333</v>
      </c>
      <c r="BP387" s="15" t="n">
        <f aca="false">INDEX(Ipotesi!$C$76:$G$76,1,F387)/12</f>
        <v>750</v>
      </c>
      <c r="BQ387" s="15" t="n">
        <f aca="false">INDEX(Ipotesi!$C$77:$G$77,1,F387)/12*Ipotesi!I126</f>
        <v>1666.66666666667</v>
      </c>
      <c r="BR387" s="15" t="n">
        <f aca="false">INDEX(Ipotesi!$C$78:$G$78,1,F387)/12</f>
        <v>1250</v>
      </c>
      <c r="BS387" s="15" t="n">
        <f aca="false">SUM(M387:R387)*(Ipotesi!$C$85+Ipotesi!$C$86)/12</f>
        <v>2625</v>
      </c>
      <c r="BT387" s="15" t="n">
        <f aca="false">BI387*Ipotesi!$C$87</f>
        <v>1030.21379853953</v>
      </c>
      <c r="BU387" s="15" t="n">
        <f aca="false">INDEX(Ipotesi!$C$55:$G$55,1,F387)*K387/12</f>
        <v>1000</v>
      </c>
      <c r="BV387" s="15" t="n">
        <f aca="false">INDEX(Ipotesi!$C$80:$G$80,1,F387)/12*Ipotesi!I126</f>
        <v>833.333333333333</v>
      </c>
      <c r="BW387" s="15" t="n">
        <f aca="false">INDEX(Ipotesi!$C$82:$G$82,1,F387)/12</f>
        <v>666.666666666667</v>
      </c>
      <c r="BX387" s="15" t="n">
        <f aca="false">INDEX(Ipotesi!$C$83:$G$83,1,F387)/12</f>
        <v>583.333333333333</v>
      </c>
      <c r="BY387" s="15" t="n">
        <f aca="false">SUM(S387:U387)*(Ipotesi!$C$85+Ipotesi!$C$86)/12</f>
        <v>1166.66666666667</v>
      </c>
      <c r="BZ387" s="15" t="n">
        <f aca="false">AM387*Ipotesi!$C$87</f>
        <v>1019.43661971831</v>
      </c>
      <c r="CA387" s="15" t="n">
        <f aca="false">AB387+BJ387+BL387+BN387+BO387+AR387+BP387+BQ387+BR387+BS387+BT387</f>
        <v>58044.7042992878</v>
      </c>
      <c r="CB387" s="15" t="n">
        <f aca="false">AC387+BK387+BM387+BH387+BU387+BV387+AS387+BW387+BX387+BY387+BZ387</f>
        <v>28885.3286384976</v>
      </c>
      <c r="CC387" s="15" t="n">
        <f aca="false">BI387-CA387</f>
        <v>-23704.2443479701</v>
      </c>
      <c r="CD387" s="15" t="n">
        <f aca="false">AM387-CB387</f>
        <v>5095.89201877934</v>
      </c>
      <c r="CE387" s="15" t="n">
        <f aca="false">INDEX(Ipotesi!$C$79:$G$79,1,F387)/12</f>
        <v>2083.33333333333</v>
      </c>
      <c r="CF387" s="15" t="n">
        <f aca="false">INDEX(Ipotesi!$C$84:$G$84,1,F387)/12</f>
        <v>416.666666666667</v>
      </c>
      <c r="CG387" s="15" t="n">
        <f aca="false">Y387*MAX(0,Parametri_v3!$C$12-IF(P387=0,0,MIN(1,BE387/(P387*Parametri_v3!$C$22))))+W387*Parametri_v3!$C$13+X387*Parametri_v3!$C$14</f>
        <v>14647.371913897</v>
      </c>
      <c r="CH387" s="15" t="n">
        <f aca="false">AB387*Parametri_v3!$C$32</f>
        <v>1988.125</v>
      </c>
      <c r="CI387" s="15" t="n">
        <f aca="false">AC387*Parametri_v3!$C$32</f>
        <v>798.25</v>
      </c>
      <c r="CJ387" s="15" t="n">
        <f aca="false">CA387-AB387</f>
        <v>18282.2042992878</v>
      </c>
      <c r="CK387" s="15" t="n">
        <f aca="false">CB387-AC387-BH387</f>
        <v>9522.20657276995</v>
      </c>
      <c r="CL387" s="15" t="n">
        <f aca="false">BF387*Ipotesi!$C$73+INDEX(Ipotesi!$C$72:$G$72,1,F387)/12*Ipotesi!I126*Parametri_v3!$C$58+Z387*(1-Parametri_v3!$C$16)</f>
        <v>3753.5120308472</v>
      </c>
      <c r="CM387" s="16" t="n">
        <f aca="false">IF(BF387=0,0,1-CL387/BF387)</f>
        <v>0.607674352496674</v>
      </c>
    </row>
    <row r="388" customFormat="false" ht="18" hidden="false" customHeight="true" outlineLevel="0" collapsed="false">
      <c r="A388" s="68" t="n">
        <f aca="false">7</f>
        <v>7</v>
      </c>
      <c r="B388" s="68" t="n">
        <f aca="false">24</f>
        <v>24</v>
      </c>
      <c r="C388" s="18" t="n">
        <f aca="false">EDATE(Parametri_v3!$C$5,24-1)</f>
        <v>47088</v>
      </c>
      <c r="D388" s="68" t="n">
        <f aca="false">YEAR(C388)</f>
        <v>2028</v>
      </c>
      <c r="E388" s="68" t="n">
        <f aca="false">MONTH(C388)</f>
        <v>12</v>
      </c>
      <c r="F388" s="68" t="n">
        <f aca="false">INT((24-1)/12)+1</f>
        <v>2</v>
      </c>
      <c r="G388" s="15" t="n">
        <f aca="false">Ipotesi!I7</f>
        <v>1</v>
      </c>
      <c r="H388" s="15" t="n">
        <f aca="false">Ipotesi!I9</f>
        <v>1</v>
      </c>
      <c r="I388" s="15" t="n">
        <f aca="false">Ipotesi!I10</f>
        <v>1</v>
      </c>
      <c r="J388" s="15" t="n">
        <f aca="false">Ipotesi!I11</f>
        <v>1</v>
      </c>
      <c r="K388" s="15" t="n">
        <f aca="false">Ipotesi!I12</f>
        <v>1</v>
      </c>
      <c r="L388" s="15" t="n">
        <f aca="false">Ipotesi!I13</f>
        <v>90</v>
      </c>
      <c r="M388" s="17" t="n">
        <f aca="false">INDEX(Ipotesi!$C$40:$G$40,1,F388)</f>
        <v>1</v>
      </c>
      <c r="N388" s="17" t="n">
        <f aca="false">INDEX(Ipotesi!$C$41:$G$41,1,F388)</f>
        <v>1</v>
      </c>
      <c r="O388" s="17" t="n">
        <f aca="false">INDEX(Ipotesi!$C$42:$G$42,1,F388)*Ipotesi!I125</f>
        <v>2.5</v>
      </c>
      <c r="P388" s="17" t="n">
        <f aca="false">INDEX(Ipotesi!$C$43:$G$43,1,F388)*I388</f>
        <v>2.5</v>
      </c>
      <c r="Q388" s="17" t="n">
        <f aca="false">INDEX(Ipotesi!$C$44:$G$44,1,F388)*I388</f>
        <v>1.5</v>
      </c>
      <c r="R388" s="17" t="n">
        <f aca="false">INDEX(Ipotesi!$C$45:$G$45,1,F388)*I388</f>
        <v>0.5</v>
      </c>
      <c r="S388" s="17" t="n">
        <f aca="false">INDEX(Ipotesi!$C$52:$G$52,1,F388)*Ipotesi!I125</f>
        <v>3</v>
      </c>
      <c r="T388" s="17" t="n">
        <f aca="false">INDEX(Ipotesi!$C$53:$G$53,1,F388)*I388</f>
        <v>1</v>
      </c>
      <c r="U388" s="17" t="n">
        <f aca="false">INDEX(Ipotesi!$C$54:$G$54,1,F388)*I388</f>
        <v>0</v>
      </c>
      <c r="V388" s="15" t="n">
        <f aca="false">M388*INDEX(Ipotesi!$C$58:$G$58,1,F388)*K388/12</f>
        <v>5000</v>
      </c>
      <c r="W388" s="15" t="n">
        <f aca="false">N388*Ipotesi!$C$59*(1+Ipotesi!$C$66)^(F388-1)/12</f>
        <v>6008.33333333333</v>
      </c>
      <c r="X388" s="15" t="n">
        <f aca="false">O388*Ipotesi!$C$60*(1+Ipotesi!$C$66)^(F388-1)/12</f>
        <v>10729.1666666667</v>
      </c>
      <c r="Y388" s="15" t="n">
        <f aca="false">P388*Ipotesi!$C$61*(1+Ipotesi!$C$66)^(F388-1)/12</f>
        <v>10729.1666666667</v>
      </c>
      <c r="Z388" s="15" t="n">
        <f aca="false">Q388*Ipotesi!$C$62*(1+Ipotesi!$C$66)^(F388-1)/12</f>
        <v>5793.75</v>
      </c>
      <c r="AA388" s="15" t="n">
        <f aca="false">R388*Ipotesi!$C$63*(1+Ipotesi!$C$66)^(F388-1)/12</f>
        <v>1502.08333333333</v>
      </c>
      <c r="AB388" s="15" t="n">
        <f aca="false">SUM(V388:AA388)</f>
        <v>39762.5</v>
      </c>
      <c r="AC388" s="15" t="n">
        <f aca="false">(S388*Ipotesi!$C$64+T388*Ipotesi!$C$65+U388*Ipotesi!$C$63)*(1+Ipotesi!$C$66)^(F388-1)/12</f>
        <v>15965</v>
      </c>
      <c r="AD388" s="15" t="n">
        <f aca="false">INDEX(Ipotesi!$C$48:$G$48,1,F388)*G388/12</f>
        <v>37.5</v>
      </c>
      <c r="AE388" s="15" t="n">
        <f aca="false">INDEX(Ipotesi!$C$50:$G$50,1,F388)*G388/12</f>
        <v>4.58333333333333</v>
      </c>
      <c r="AF388" s="15" t="n">
        <f aca="false">(S388*Parametri_v3!$C$7*Parametri_v3!$C$8+Parametri_v3!$C$10)/12</f>
        <v>38.5</v>
      </c>
      <c r="AG388" s="15" t="n">
        <f aca="false">AD388+AE388*(1+Parametri_v3!$C$9)</f>
        <v>44.375</v>
      </c>
      <c r="AH388" s="16" t="n">
        <f aca="false">IF(AG388=0,1,MIN(1,AF388/AG388))</f>
        <v>0.867605633802817</v>
      </c>
      <c r="AI388" s="15" t="n">
        <f aca="false">AD388*AH388</f>
        <v>32.5352112676056</v>
      </c>
      <c r="AJ388" s="15" t="n">
        <f aca="false">AE388*AH388</f>
        <v>3.97652582159624</v>
      </c>
      <c r="AK388" s="15" t="n">
        <f aca="false">AI388*INDEX(Ipotesi!$C$49:$G$49,1,F388)*H388</f>
        <v>26028.1690140845</v>
      </c>
      <c r="AL388" s="15" t="n">
        <f aca="false">AJ388*INDEX(Ipotesi!$C$51:$G$51,1,F388)*H388</f>
        <v>7953.05164319249</v>
      </c>
      <c r="AM388" s="15" t="n">
        <f aca="false">AK388+AL388</f>
        <v>33981.220657277</v>
      </c>
      <c r="AN388" s="15" t="n">
        <f aca="false">INDEX(Ipotesi!$C$30:$G$30,1,F388)*G388/12</f>
        <v>22.5</v>
      </c>
      <c r="AO388" s="15" t="n">
        <f aca="false">O388*Parametri_v3!$C$7*Parametri_v3!$C$11*(1-Parametri_v3!$C$14)/12</f>
        <v>25.6666666666667</v>
      </c>
      <c r="AP388" s="15" t="n">
        <f aca="false">MIN(AN388,AO388)</f>
        <v>22.5</v>
      </c>
      <c r="AQ388" s="15" t="n">
        <f aca="false">AP388*INDEX(Ipotesi!$C$31:$G$31,1,F388)*H388</f>
        <v>21375</v>
      </c>
      <c r="AR388" s="15" t="n">
        <f aca="false">INDEX(Ipotesi!$C$75:$G$75,1,F388)*J388/12</f>
        <v>4583.33333333333</v>
      </c>
      <c r="AS388" s="15" t="n">
        <f aca="false">INDEX(Ipotesi!$C$81:$G$81,1,F388)*J388/12</f>
        <v>833.333333333333</v>
      </c>
      <c r="AT388" s="15" t="n">
        <f aca="false">AR388*Parametri_v3!$C$15+Z388*Parametri_v3!$C$16</f>
        <v>8638.95833333333</v>
      </c>
      <c r="AU388" s="15" t="n">
        <f aca="false">Q388*Parametri_v3!$C$16*Parametri_v3!$C$17</f>
        <v>105</v>
      </c>
      <c r="AV388" s="17" t="n">
        <f aca="false">BD387</f>
        <v>30.0221592266447</v>
      </c>
      <c r="AW388" s="17" t="n">
        <f aca="false">AV388*(1-(1-INDEX(Ipotesi!$C$34:$G$34,1,F388))^(1/12))</f>
        <v>0.262442035979287</v>
      </c>
      <c r="AX388" s="15" t="n">
        <f aca="false">ROUND(INDEX(Ipotesi!$C$32:$G$32,1,F388)*Ipotesi!I8,0)</f>
        <v>35</v>
      </c>
      <c r="AY388" s="15" t="n">
        <f aca="false">MAX(0,(AX388-(AV388-AW388))/(13-E388))</f>
        <v>5.2402828093346</v>
      </c>
      <c r="AZ388" s="15" t="n">
        <f aca="false">MIN(P388*Parametri_v3!$C$22,Q388*(1-Parametri_v3!$C$16)*Parametri_v3!$C$23)</f>
        <v>67.5</v>
      </c>
      <c r="BA388" s="15" t="n">
        <f aca="false">IF(OR(INDEX(Ipotesi!$C$35:$G$35,1,F388)&lt;=0,24-Parametri_v3!$C$21&lt;1),0,INDEX($AT$365:$AT$424,MAX(1,24-Parametri_v3!$C$21))/(INDEX(Ipotesi!$C$35:$G$35,1,F388)*Ipotesi!I27))</f>
        <v>2.87965277777778</v>
      </c>
      <c r="BB388" s="15" t="n">
        <f aca="false">IF(24-Parametri_v3!$C$21&lt;1,0,INDEX($AU$365:$AU$424,MAX(1,24-Parametri_v3!$C$21)))*Parametri_v3!$C$18*Parametri_v3!$C$19*Parametri_v3!$C$20</f>
        <v>3.9375</v>
      </c>
      <c r="BC388" s="17" t="n">
        <f aca="false">MAX(0,MIN(AY388,BA388,BB388,MAX(0,AZ388-(AV388-AW388))))</f>
        <v>2.87965277777778</v>
      </c>
      <c r="BD388" s="17" t="n">
        <f aca="false">AV388-AW388+BC388</f>
        <v>32.6393699684432</v>
      </c>
      <c r="BE388" s="17" t="n">
        <f aca="false">(AV388+BD388)/2</f>
        <v>31.3307645975439</v>
      </c>
      <c r="BF388" s="15" t="n">
        <f aca="false">BE388*INDEX(Ipotesi!$C$33:$G$33,1,F388)*H388/12</f>
        <v>10443.5881991813</v>
      </c>
      <c r="BG388" s="15" t="n">
        <f aca="false">BD388*INDEX(Ipotesi!$C$33:$G$33,1,F388)*H388</f>
        <v>130557.479873773</v>
      </c>
      <c r="BH388" s="15" t="n">
        <f aca="false">AM388*INDEX(Ipotesi!$C$37:$G$37,1,F388)</f>
        <v>3398.1220657277</v>
      </c>
      <c r="BI388" s="15" t="n">
        <f aca="false">AQ388+BF388+BH388</f>
        <v>35216.710264909</v>
      </c>
      <c r="BJ388" s="15" t="n">
        <f aca="false">INDEX(Ipotesi!$C$68:$G$68,1,F388)*Ipotesi!$C$69/12</f>
        <v>1600</v>
      </c>
      <c r="BK388" s="15" t="n">
        <f aca="false">INDEX(Ipotesi!$C$68:$G$68,1,F388)*(1-Ipotesi!$C$69)/12</f>
        <v>2400</v>
      </c>
      <c r="BL388" s="15" t="n">
        <f aca="false">(AQ388+BF388)*Ipotesi!$C$67</f>
        <v>954.557645975439</v>
      </c>
      <c r="BM388" s="15" t="n">
        <f aca="false">AM388*Ipotesi!$C$67</f>
        <v>1019.43661971831</v>
      </c>
      <c r="BN388" s="15" t="n">
        <f aca="false">INDEX(Ipotesi!$C$72:$G$72,1,F388)/12*Ipotesi!I126+BF388*Ipotesi!$C$73</f>
        <v>2085.48705593451</v>
      </c>
      <c r="BO388" s="15" t="n">
        <f aca="false">INDEX(Ipotesi!$C$74:$G$74,1,F388)/12*Ipotesi!I126</f>
        <v>1833.33333333333</v>
      </c>
      <c r="BP388" s="15" t="n">
        <f aca="false">INDEX(Ipotesi!$C$76:$G$76,1,F388)/12</f>
        <v>750</v>
      </c>
      <c r="BQ388" s="15" t="n">
        <f aca="false">INDEX(Ipotesi!$C$77:$G$77,1,F388)/12*Ipotesi!I126</f>
        <v>1666.66666666667</v>
      </c>
      <c r="BR388" s="15" t="n">
        <f aca="false">INDEX(Ipotesi!$C$78:$G$78,1,F388)/12</f>
        <v>1250</v>
      </c>
      <c r="BS388" s="15" t="n">
        <f aca="false">SUM(M388:R388)*(Ipotesi!$C$85+Ipotesi!$C$86)/12</f>
        <v>2625</v>
      </c>
      <c r="BT388" s="15" t="n">
        <f aca="false">BI388*Ipotesi!$C$87</f>
        <v>1056.50130794727</v>
      </c>
      <c r="BU388" s="15" t="n">
        <f aca="false">INDEX(Ipotesi!$C$55:$G$55,1,F388)*K388/12</f>
        <v>1000</v>
      </c>
      <c r="BV388" s="15" t="n">
        <f aca="false">INDEX(Ipotesi!$C$80:$G$80,1,F388)/12*Ipotesi!I126</f>
        <v>833.333333333333</v>
      </c>
      <c r="BW388" s="15" t="n">
        <f aca="false">INDEX(Ipotesi!$C$82:$G$82,1,F388)/12</f>
        <v>666.666666666667</v>
      </c>
      <c r="BX388" s="15" t="n">
        <f aca="false">INDEX(Ipotesi!$C$83:$G$83,1,F388)/12</f>
        <v>583.333333333333</v>
      </c>
      <c r="BY388" s="15" t="n">
        <f aca="false">SUM(S388:U388)*(Ipotesi!$C$85+Ipotesi!$C$86)/12</f>
        <v>1166.66666666667</v>
      </c>
      <c r="BZ388" s="15" t="n">
        <f aca="false">AM388*Ipotesi!$C$87</f>
        <v>1019.43661971831</v>
      </c>
      <c r="CA388" s="15" t="n">
        <f aca="false">AB388+BJ388+BL388+BN388+BO388+AR388+BP388+BQ388+BR388+BS388+BT388</f>
        <v>58167.3793431906</v>
      </c>
      <c r="CB388" s="15" t="n">
        <f aca="false">AC388+BK388+BM388+BH388+BU388+BV388+AS388+BW388+BX388+BY388+BZ388</f>
        <v>28885.3286384976</v>
      </c>
      <c r="CC388" s="15" t="n">
        <f aca="false">BI388-CA388</f>
        <v>-22950.6690782815</v>
      </c>
      <c r="CD388" s="15" t="n">
        <f aca="false">AM388-CB388</f>
        <v>5095.89201877934</v>
      </c>
      <c r="CE388" s="15" t="n">
        <f aca="false">INDEX(Ipotesi!$C$79:$G$79,1,F388)/12</f>
        <v>2083.33333333333</v>
      </c>
      <c r="CF388" s="15" t="n">
        <f aca="false">INDEX(Ipotesi!$C$84:$G$84,1,F388)/12</f>
        <v>416.666666666667</v>
      </c>
      <c r="CG388" s="15" t="n">
        <f aca="false">Y388*MAX(0,Parametri_v3!$C$12-IF(P388=0,0,MIN(1,BE388/(P388*Parametri_v3!$C$22))))+W388*Parametri_v3!$C$13+X388*Parametri_v3!$C$14</f>
        <v>14534.5546860221</v>
      </c>
      <c r="CH388" s="15" t="n">
        <f aca="false">AB388*Parametri_v3!$C$32</f>
        <v>1988.125</v>
      </c>
      <c r="CI388" s="15" t="n">
        <f aca="false">AC388*Parametri_v3!$C$32</f>
        <v>798.25</v>
      </c>
      <c r="CJ388" s="15" t="n">
        <f aca="false">CA388-AB388</f>
        <v>18404.8793431906</v>
      </c>
      <c r="CK388" s="15" t="n">
        <f aca="false">CB388-AC388-BH388</f>
        <v>9522.20657276995</v>
      </c>
      <c r="CL388" s="15" t="n">
        <f aca="false">BF388*Ipotesi!$C$73+INDEX(Ipotesi!$C$72:$G$72,1,F388)/12*Ipotesi!I126*Parametri_v3!$C$58+Z388*(1-Parametri_v3!$C$16)</f>
        <v>3823.61205593451</v>
      </c>
      <c r="CM388" s="16" t="n">
        <f aca="false">IF(BF388=0,0,1-CL388/BF388)</f>
        <v>0.633879469104858</v>
      </c>
    </row>
    <row r="389" customFormat="false" ht="18" hidden="false" customHeight="true" outlineLevel="0" collapsed="false">
      <c r="A389" s="68" t="n">
        <f aca="false">7</f>
        <v>7</v>
      </c>
      <c r="B389" s="68" t="n">
        <f aca="false">25</f>
        <v>25</v>
      </c>
      <c r="C389" s="18" t="n">
        <f aca="false">EDATE(Parametri_v3!$C$5,25-1)</f>
        <v>47119</v>
      </c>
      <c r="D389" s="68" t="n">
        <f aca="false">YEAR(C389)</f>
        <v>2029</v>
      </c>
      <c r="E389" s="68" t="n">
        <f aca="false">MONTH(C389)</f>
        <v>1</v>
      </c>
      <c r="F389" s="68" t="n">
        <f aca="false">INT((25-1)/12)+1</f>
        <v>3</v>
      </c>
      <c r="G389" s="15" t="n">
        <f aca="false">Ipotesi!I7</f>
        <v>1</v>
      </c>
      <c r="H389" s="15" t="n">
        <f aca="false">Ipotesi!I9</f>
        <v>1</v>
      </c>
      <c r="I389" s="15" t="n">
        <f aca="false">Ipotesi!I10</f>
        <v>1</v>
      </c>
      <c r="J389" s="15" t="n">
        <f aca="false">Ipotesi!I11</f>
        <v>1</v>
      </c>
      <c r="K389" s="15" t="n">
        <f aca="false">Ipotesi!I12</f>
        <v>1</v>
      </c>
      <c r="L389" s="15" t="n">
        <f aca="false">Ipotesi!I13</f>
        <v>90</v>
      </c>
      <c r="M389" s="17" t="n">
        <f aca="false">INDEX(Ipotesi!$C$40:$G$40,1,F389)</f>
        <v>1</v>
      </c>
      <c r="N389" s="17" t="n">
        <f aca="false">INDEX(Ipotesi!$C$41:$G$41,1,F389)</f>
        <v>1</v>
      </c>
      <c r="O389" s="17" t="n">
        <f aca="false">INDEX(Ipotesi!$C$42:$G$42,1,F389)*Ipotesi!I125</f>
        <v>4.5</v>
      </c>
      <c r="P389" s="17" t="n">
        <f aca="false">INDEX(Ipotesi!$C$43:$G$43,1,F389)*I389</f>
        <v>5</v>
      </c>
      <c r="Q389" s="17" t="n">
        <f aca="false">INDEX(Ipotesi!$C$44:$G$44,1,F389)*I389</f>
        <v>4</v>
      </c>
      <c r="R389" s="17" t="n">
        <f aca="false">INDEX(Ipotesi!$C$45:$G$45,1,F389)*I389</f>
        <v>1</v>
      </c>
      <c r="S389" s="17" t="n">
        <f aca="false">INDEX(Ipotesi!$C$52:$G$52,1,F389)*Ipotesi!I125</f>
        <v>5</v>
      </c>
      <c r="T389" s="17" t="n">
        <f aca="false">INDEX(Ipotesi!$C$53:$G$53,1,F389)*I389</f>
        <v>1</v>
      </c>
      <c r="U389" s="17" t="n">
        <f aca="false">INDEX(Ipotesi!$C$54:$G$54,1,F389)*I389</f>
        <v>0.5</v>
      </c>
      <c r="V389" s="15" t="n">
        <f aca="false">M389*INDEX(Ipotesi!$C$58:$G$58,1,F389)*K389/12</f>
        <v>7083.33333333333</v>
      </c>
      <c r="W389" s="15" t="n">
        <f aca="false">N389*Ipotesi!$C$59*(1+Ipotesi!$C$66)^(F389-1)/12</f>
        <v>6188.58333333333</v>
      </c>
      <c r="X389" s="15" t="n">
        <f aca="false">O389*Ipotesi!$C$60*(1+Ipotesi!$C$66)^(F389-1)/12</f>
        <v>19891.875</v>
      </c>
      <c r="Y389" s="15" t="n">
        <f aca="false">P389*Ipotesi!$C$61*(1+Ipotesi!$C$66)^(F389-1)/12</f>
        <v>22102.0833333333</v>
      </c>
      <c r="Z389" s="15" t="n">
        <f aca="false">Q389*Ipotesi!$C$62*(1+Ipotesi!$C$66)^(F389-1)/12</f>
        <v>15913.5</v>
      </c>
      <c r="AA389" s="15" t="n">
        <f aca="false">R389*Ipotesi!$C$63*(1+Ipotesi!$C$66)^(F389-1)/12</f>
        <v>3094.29166666667</v>
      </c>
      <c r="AB389" s="15" t="n">
        <f aca="false">SUM(V389:AA389)</f>
        <v>74273.6666666667</v>
      </c>
      <c r="AC389" s="15" t="n">
        <f aca="false">(S389*Ipotesi!$C$64+T389*Ipotesi!$C$65+U389*Ipotesi!$C$63)*(1+Ipotesi!$C$66)^(F389-1)/12</f>
        <v>25417.3958333333</v>
      </c>
      <c r="AD389" s="15" t="n">
        <f aca="false">INDEX(Ipotesi!$C$48:$G$48,1,F389)*G389/12</f>
        <v>60</v>
      </c>
      <c r="AE389" s="15" t="n">
        <f aca="false">INDEX(Ipotesi!$C$50:$G$50,1,F389)*G389/12</f>
        <v>6.66666666666667</v>
      </c>
      <c r="AF389" s="15" t="n">
        <f aca="false">(S389*Parametri_v3!$C$7*Parametri_v3!$C$8+Parametri_v3!$C$10)/12</f>
        <v>64.1666666666667</v>
      </c>
      <c r="AG389" s="15" t="n">
        <f aca="false">AD389+AE389*(1+Parametri_v3!$C$9)</f>
        <v>70</v>
      </c>
      <c r="AH389" s="16" t="n">
        <f aca="false">IF(AG389=0,1,MIN(1,AF389/AG389))</f>
        <v>0.916666666666667</v>
      </c>
      <c r="AI389" s="15" t="n">
        <f aca="false">AD389*AH389</f>
        <v>55</v>
      </c>
      <c r="AJ389" s="15" t="n">
        <f aca="false">AE389*AH389</f>
        <v>6.11111111111111</v>
      </c>
      <c r="AK389" s="15" t="n">
        <f aca="false">AI389*INDEX(Ipotesi!$C$49:$G$49,1,F389)*H389</f>
        <v>46750</v>
      </c>
      <c r="AL389" s="15" t="n">
        <f aca="false">AJ389*INDEX(Ipotesi!$C$51:$G$51,1,F389)*H389</f>
        <v>13750</v>
      </c>
      <c r="AM389" s="15" t="n">
        <f aca="false">AK389+AL389</f>
        <v>60500</v>
      </c>
      <c r="AN389" s="15" t="n">
        <f aca="false">INDEX(Ipotesi!$C$30:$G$30,1,F389)*G389/12</f>
        <v>41.6666666666667</v>
      </c>
      <c r="AO389" s="15" t="n">
        <f aca="false">O389*Parametri_v3!$C$7*Parametri_v3!$C$11*(1-Parametri_v3!$C$14)/12</f>
        <v>46.2</v>
      </c>
      <c r="AP389" s="15" t="n">
        <f aca="false">MIN(AN389,AO389)</f>
        <v>41.6666666666667</v>
      </c>
      <c r="AQ389" s="15" t="n">
        <f aca="false">AP389*INDEX(Ipotesi!$C$31:$G$31,1,F389)*H389</f>
        <v>41666.6666666667</v>
      </c>
      <c r="AR389" s="15" t="n">
        <f aca="false">INDEX(Ipotesi!$C$75:$G$75,1,F389)*J389/12</f>
        <v>20000</v>
      </c>
      <c r="AS389" s="15" t="n">
        <f aca="false">INDEX(Ipotesi!$C$81:$G$81,1,F389)*J389/12</f>
        <v>1250</v>
      </c>
      <c r="AT389" s="15" t="n">
        <f aca="false">AR389*Parametri_v3!$C$15+Z389*Parametri_v3!$C$16</f>
        <v>31139.45</v>
      </c>
      <c r="AU389" s="15" t="n">
        <f aca="false">Q389*Parametri_v3!$C$16*Parametri_v3!$C$17</f>
        <v>280</v>
      </c>
      <c r="AV389" s="17" t="n">
        <f aca="false">BD388</f>
        <v>32.6393699684432</v>
      </c>
      <c r="AW389" s="17" t="n">
        <f aca="false">AV389*(1-(1-INDEX(Ipotesi!$C$34:$G$34,1,F389))^(1/12))</f>
        <v>0.285320674070542</v>
      </c>
      <c r="AX389" s="15" t="n">
        <f aca="false">ROUND(INDEX(Ipotesi!$C$32:$G$32,1,F389)*Ipotesi!I8,0)</f>
        <v>130</v>
      </c>
      <c r="AY389" s="15" t="n">
        <f aca="false">MAX(0,(AX389-(AV389-AW389))/(13-E389))</f>
        <v>8.13716255880228</v>
      </c>
      <c r="AZ389" s="15" t="n">
        <f aca="false">MIN(P389*Parametri_v3!$C$22,Q389*(1-Parametri_v3!$C$16)*Parametri_v3!$C$23)</f>
        <v>180</v>
      </c>
      <c r="BA389" s="15" t="n">
        <f aca="false">IF(OR(INDEX(Ipotesi!$C$35:$G$35,1,F389)&lt;=0,25-Parametri_v3!$C$21&lt;1),0,INDEX($AT$365:$AT$424,MAX(1,25-Parametri_v3!$C$21))/(INDEX(Ipotesi!$C$35:$G$35,1,F389)*Ipotesi!I27))</f>
        <v>1.72779166666667</v>
      </c>
      <c r="BB389" s="15" t="n">
        <f aca="false">IF(25-Parametri_v3!$C$21&lt;1,0,INDEX($AU$365:$AU$424,MAX(1,25-Parametri_v3!$C$21)))*Parametri_v3!$C$18*Parametri_v3!$C$19*Parametri_v3!$C$20</f>
        <v>3.9375</v>
      </c>
      <c r="BC389" s="17" t="n">
        <f aca="false">MAX(0,MIN(AY389,BA389,BB389,MAX(0,AZ389-(AV389-AW389))))</f>
        <v>1.72779166666667</v>
      </c>
      <c r="BD389" s="17" t="n">
        <f aca="false">AV389-AW389+BC389</f>
        <v>34.0818409610393</v>
      </c>
      <c r="BE389" s="17" t="n">
        <f aca="false">(AV389+BD389)/2</f>
        <v>33.3606054647413</v>
      </c>
      <c r="BF389" s="15" t="n">
        <f aca="false">BE389*INDEX(Ipotesi!$C$33:$G$33,1,F389)*H389/12</f>
        <v>15290.2775046731</v>
      </c>
      <c r="BG389" s="15" t="n">
        <f aca="false">BD389*INDEX(Ipotesi!$C$33:$G$33,1,F389)*H389</f>
        <v>187450.125285716</v>
      </c>
      <c r="BH389" s="15" t="n">
        <f aca="false">AM389*INDEX(Ipotesi!$C$37:$G$37,1,F389)</f>
        <v>6050</v>
      </c>
      <c r="BI389" s="15" t="n">
        <f aca="false">AQ389+BF389+BH389</f>
        <v>63006.9441713397</v>
      </c>
      <c r="BJ389" s="15" t="n">
        <f aca="false">INDEX(Ipotesi!$C$68:$G$68,1,F389)*Ipotesi!$C$69/12</f>
        <v>2400</v>
      </c>
      <c r="BK389" s="15" t="n">
        <f aca="false">INDEX(Ipotesi!$C$68:$G$68,1,F389)*(1-Ipotesi!$C$69)/12</f>
        <v>3600</v>
      </c>
      <c r="BL389" s="15" t="n">
        <f aca="false">(AQ389+BF389)*Ipotesi!$C$67</f>
        <v>1708.70832514019</v>
      </c>
      <c r="BM389" s="15" t="n">
        <f aca="false">AM389*Ipotesi!$C$67</f>
        <v>1815</v>
      </c>
      <c r="BN389" s="15" t="n">
        <f aca="false">INDEX(Ipotesi!$C$72:$G$72,1,F389)/12*Ipotesi!I126+BF389*Ipotesi!$C$73</f>
        <v>2473.22220037385</v>
      </c>
      <c r="BO389" s="15" t="n">
        <f aca="false">INDEX(Ipotesi!$C$74:$G$74,1,F389)/12*Ipotesi!I126</f>
        <v>2916.66666666667</v>
      </c>
      <c r="BP389" s="15" t="n">
        <f aca="false">INDEX(Ipotesi!$C$76:$G$76,1,F389)/12</f>
        <v>1083.33333333333</v>
      </c>
      <c r="BQ389" s="15" t="n">
        <f aca="false">INDEX(Ipotesi!$C$77:$G$77,1,F389)/12*Ipotesi!I126</f>
        <v>2083.33333333333</v>
      </c>
      <c r="BR389" s="15" t="n">
        <f aca="false">INDEX(Ipotesi!$C$78:$G$78,1,F389)/12</f>
        <v>1666.66666666667</v>
      </c>
      <c r="BS389" s="15" t="n">
        <f aca="false">SUM(M389:R389)*(Ipotesi!$C$85+Ipotesi!$C$86)/12</f>
        <v>4812.5</v>
      </c>
      <c r="BT389" s="15" t="n">
        <f aca="false">BI389*Ipotesi!$C$87</f>
        <v>1890.20832514019</v>
      </c>
      <c r="BU389" s="15" t="n">
        <f aca="false">INDEX(Ipotesi!$C$55:$G$55,1,F389)*K389/12</f>
        <v>1500</v>
      </c>
      <c r="BV389" s="15" t="n">
        <f aca="false">INDEX(Ipotesi!$C$80:$G$80,1,F389)/12*Ipotesi!I126</f>
        <v>1250</v>
      </c>
      <c r="BW389" s="15" t="n">
        <f aca="false">INDEX(Ipotesi!$C$82:$G$82,1,F389)/12</f>
        <v>1000</v>
      </c>
      <c r="BX389" s="15" t="n">
        <f aca="false">INDEX(Ipotesi!$C$83:$G$83,1,F389)/12</f>
        <v>666.666666666667</v>
      </c>
      <c r="BY389" s="15" t="n">
        <f aca="false">SUM(S389:U389)*(Ipotesi!$C$85+Ipotesi!$C$86)/12</f>
        <v>1895.83333333333</v>
      </c>
      <c r="BZ389" s="15" t="n">
        <f aca="false">AM389*Ipotesi!$C$87</f>
        <v>1815</v>
      </c>
      <c r="CA389" s="15" t="n">
        <f aca="false">AB389+BJ389+BL389+BN389+BO389+AR389+BP389+BQ389+BR389+BS389+BT389</f>
        <v>115308.305517321</v>
      </c>
      <c r="CB389" s="15" t="n">
        <f aca="false">AC389+BK389+BM389+BH389+BU389+BV389+AS389+BW389+BX389+BY389+BZ389</f>
        <v>46259.8958333333</v>
      </c>
      <c r="CC389" s="15" t="n">
        <f aca="false">BI389-CA389</f>
        <v>-52301.3613459812</v>
      </c>
      <c r="CD389" s="15" t="n">
        <f aca="false">AM389-CB389</f>
        <v>14240.1041666667</v>
      </c>
      <c r="CE389" s="15" t="n">
        <f aca="false">INDEX(Ipotesi!$C$79:$G$79,1,F389)/12</f>
        <v>2500</v>
      </c>
      <c r="CF389" s="15" t="n">
        <f aca="false">INDEX(Ipotesi!$C$84:$G$84,1,F389)/12</f>
        <v>416.666666666667</v>
      </c>
      <c r="CG389" s="15" t="n">
        <f aca="false">Y389*MAX(0,Parametri_v3!$C$12-IF(P389=0,0,MIN(1,BE389/(P389*Parametri_v3!$C$22))))+W389*Parametri_v3!$C$13+X389*Parametri_v3!$C$14</f>
        <v>27700.0722359357</v>
      </c>
      <c r="CH389" s="15" t="n">
        <f aca="false">AB389*Parametri_v3!$C$32</f>
        <v>3713.68333333333</v>
      </c>
      <c r="CI389" s="15" t="n">
        <f aca="false">AC389*Parametri_v3!$C$32</f>
        <v>1270.86979166667</v>
      </c>
      <c r="CJ389" s="15" t="n">
        <f aca="false">CA389-AB389</f>
        <v>41034.6388506542</v>
      </c>
      <c r="CK389" s="15" t="n">
        <f aca="false">CB389-AC389-BH389</f>
        <v>14792.5</v>
      </c>
      <c r="CL389" s="15" t="n">
        <f aca="false">BF389*Ipotesi!$C$73+INDEX(Ipotesi!$C$72:$G$72,1,F389)/12*Ipotesi!I126*Parametri_v3!$C$58+Z389*(1-Parametri_v3!$C$16)</f>
        <v>7247.27220037385</v>
      </c>
      <c r="CM389" s="16" t="n">
        <f aca="false">IF(BF389=0,0,1-CL389/BF389)</f>
        <v>0.526020884960465</v>
      </c>
    </row>
    <row r="390" customFormat="false" ht="18" hidden="false" customHeight="true" outlineLevel="0" collapsed="false">
      <c r="A390" s="68" t="n">
        <f aca="false">7</f>
        <v>7</v>
      </c>
      <c r="B390" s="68" t="n">
        <f aca="false">26</f>
        <v>26</v>
      </c>
      <c r="C390" s="18" t="n">
        <f aca="false">EDATE(Parametri_v3!$C$5,26-1)</f>
        <v>47150</v>
      </c>
      <c r="D390" s="68" t="n">
        <f aca="false">YEAR(C390)</f>
        <v>2029</v>
      </c>
      <c r="E390" s="68" t="n">
        <f aca="false">MONTH(C390)</f>
        <v>2</v>
      </c>
      <c r="F390" s="68" t="n">
        <f aca="false">INT((26-1)/12)+1</f>
        <v>3</v>
      </c>
      <c r="G390" s="15" t="n">
        <f aca="false">Ipotesi!I7</f>
        <v>1</v>
      </c>
      <c r="H390" s="15" t="n">
        <f aca="false">Ipotesi!I9</f>
        <v>1</v>
      </c>
      <c r="I390" s="15" t="n">
        <f aca="false">Ipotesi!I10</f>
        <v>1</v>
      </c>
      <c r="J390" s="15" t="n">
        <f aca="false">Ipotesi!I11</f>
        <v>1</v>
      </c>
      <c r="K390" s="15" t="n">
        <f aca="false">Ipotesi!I12</f>
        <v>1</v>
      </c>
      <c r="L390" s="15" t="n">
        <f aca="false">Ipotesi!I13</f>
        <v>90</v>
      </c>
      <c r="M390" s="17" t="n">
        <f aca="false">INDEX(Ipotesi!$C$40:$G$40,1,F390)</f>
        <v>1</v>
      </c>
      <c r="N390" s="17" t="n">
        <f aca="false">INDEX(Ipotesi!$C$41:$G$41,1,F390)</f>
        <v>1</v>
      </c>
      <c r="O390" s="17" t="n">
        <f aca="false">INDEX(Ipotesi!$C$42:$G$42,1,F390)*Ipotesi!I125</f>
        <v>4.5</v>
      </c>
      <c r="P390" s="17" t="n">
        <f aca="false">INDEX(Ipotesi!$C$43:$G$43,1,F390)*I390</f>
        <v>5</v>
      </c>
      <c r="Q390" s="17" t="n">
        <f aca="false">INDEX(Ipotesi!$C$44:$G$44,1,F390)*I390</f>
        <v>4</v>
      </c>
      <c r="R390" s="17" t="n">
        <f aca="false">INDEX(Ipotesi!$C$45:$G$45,1,F390)*I390</f>
        <v>1</v>
      </c>
      <c r="S390" s="17" t="n">
        <f aca="false">INDEX(Ipotesi!$C$52:$G$52,1,F390)*Ipotesi!I125</f>
        <v>5</v>
      </c>
      <c r="T390" s="17" t="n">
        <f aca="false">INDEX(Ipotesi!$C$53:$G$53,1,F390)*I390</f>
        <v>1</v>
      </c>
      <c r="U390" s="17" t="n">
        <f aca="false">INDEX(Ipotesi!$C$54:$G$54,1,F390)*I390</f>
        <v>0.5</v>
      </c>
      <c r="V390" s="15" t="n">
        <f aca="false">M390*INDEX(Ipotesi!$C$58:$G$58,1,F390)*K390/12</f>
        <v>7083.33333333333</v>
      </c>
      <c r="W390" s="15" t="n">
        <f aca="false">N390*Ipotesi!$C$59*(1+Ipotesi!$C$66)^(F390-1)/12</f>
        <v>6188.58333333333</v>
      </c>
      <c r="X390" s="15" t="n">
        <f aca="false">O390*Ipotesi!$C$60*(1+Ipotesi!$C$66)^(F390-1)/12</f>
        <v>19891.875</v>
      </c>
      <c r="Y390" s="15" t="n">
        <f aca="false">P390*Ipotesi!$C$61*(1+Ipotesi!$C$66)^(F390-1)/12</f>
        <v>22102.0833333333</v>
      </c>
      <c r="Z390" s="15" t="n">
        <f aca="false">Q390*Ipotesi!$C$62*(1+Ipotesi!$C$66)^(F390-1)/12</f>
        <v>15913.5</v>
      </c>
      <c r="AA390" s="15" t="n">
        <f aca="false">R390*Ipotesi!$C$63*(1+Ipotesi!$C$66)^(F390-1)/12</f>
        <v>3094.29166666667</v>
      </c>
      <c r="AB390" s="15" t="n">
        <f aca="false">SUM(V390:AA390)</f>
        <v>74273.6666666667</v>
      </c>
      <c r="AC390" s="15" t="n">
        <f aca="false">(S390*Ipotesi!$C$64+T390*Ipotesi!$C$65+U390*Ipotesi!$C$63)*(1+Ipotesi!$C$66)^(F390-1)/12</f>
        <v>25417.3958333333</v>
      </c>
      <c r="AD390" s="15" t="n">
        <f aca="false">INDEX(Ipotesi!$C$48:$G$48,1,F390)*G390/12</f>
        <v>60</v>
      </c>
      <c r="AE390" s="15" t="n">
        <f aca="false">INDEX(Ipotesi!$C$50:$G$50,1,F390)*G390/12</f>
        <v>6.66666666666667</v>
      </c>
      <c r="AF390" s="15" t="n">
        <f aca="false">(S390*Parametri_v3!$C$7*Parametri_v3!$C$8+Parametri_v3!$C$10)/12</f>
        <v>64.1666666666667</v>
      </c>
      <c r="AG390" s="15" t="n">
        <f aca="false">AD390+AE390*(1+Parametri_v3!$C$9)</f>
        <v>70</v>
      </c>
      <c r="AH390" s="16" t="n">
        <f aca="false">IF(AG390=0,1,MIN(1,AF390/AG390))</f>
        <v>0.916666666666667</v>
      </c>
      <c r="AI390" s="15" t="n">
        <f aca="false">AD390*AH390</f>
        <v>55</v>
      </c>
      <c r="AJ390" s="15" t="n">
        <f aca="false">AE390*AH390</f>
        <v>6.11111111111111</v>
      </c>
      <c r="AK390" s="15" t="n">
        <f aca="false">AI390*INDEX(Ipotesi!$C$49:$G$49,1,F390)*H390</f>
        <v>46750</v>
      </c>
      <c r="AL390" s="15" t="n">
        <f aca="false">AJ390*INDEX(Ipotesi!$C$51:$G$51,1,F390)*H390</f>
        <v>13750</v>
      </c>
      <c r="AM390" s="15" t="n">
        <f aca="false">AK390+AL390</f>
        <v>60500</v>
      </c>
      <c r="AN390" s="15" t="n">
        <f aca="false">INDEX(Ipotesi!$C$30:$G$30,1,F390)*G390/12</f>
        <v>41.6666666666667</v>
      </c>
      <c r="AO390" s="15" t="n">
        <f aca="false">O390*Parametri_v3!$C$7*Parametri_v3!$C$11*(1-Parametri_v3!$C$14)/12</f>
        <v>46.2</v>
      </c>
      <c r="AP390" s="15" t="n">
        <f aca="false">MIN(AN390,AO390)</f>
        <v>41.6666666666667</v>
      </c>
      <c r="AQ390" s="15" t="n">
        <f aca="false">AP390*INDEX(Ipotesi!$C$31:$G$31,1,F390)*H390</f>
        <v>41666.6666666667</v>
      </c>
      <c r="AR390" s="15" t="n">
        <f aca="false">INDEX(Ipotesi!$C$75:$G$75,1,F390)*J390/12</f>
        <v>20000</v>
      </c>
      <c r="AS390" s="15" t="n">
        <f aca="false">INDEX(Ipotesi!$C$81:$G$81,1,F390)*J390/12</f>
        <v>1250</v>
      </c>
      <c r="AT390" s="15" t="n">
        <f aca="false">AR390*Parametri_v3!$C$15+Z390*Parametri_v3!$C$16</f>
        <v>31139.45</v>
      </c>
      <c r="AU390" s="15" t="n">
        <f aca="false">Q390*Parametri_v3!$C$16*Parametri_v3!$C$17</f>
        <v>280</v>
      </c>
      <c r="AV390" s="17" t="n">
        <f aca="false">BD389</f>
        <v>34.0818409610393</v>
      </c>
      <c r="AW390" s="17" t="n">
        <f aca="false">AV390*(1-(1-INDEX(Ipotesi!$C$34:$G$34,1,F390))^(1/12))</f>
        <v>0.297930194301253</v>
      </c>
      <c r="AX390" s="15" t="n">
        <f aca="false">ROUND(INDEX(Ipotesi!$C$32:$G$32,1,F390)*Ipotesi!I8,0)</f>
        <v>130</v>
      </c>
      <c r="AY390" s="15" t="n">
        <f aca="false">MAX(0,(AX390-(AV390-AW390))/(13-E390))</f>
        <v>8.74691720302381</v>
      </c>
      <c r="AZ390" s="15" t="n">
        <f aca="false">MIN(P390*Parametri_v3!$C$22,Q390*(1-Parametri_v3!$C$16)*Parametri_v3!$C$23)</f>
        <v>180</v>
      </c>
      <c r="BA390" s="15" t="n">
        <f aca="false">IF(OR(INDEX(Ipotesi!$C$35:$G$35,1,F390)&lt;=0,26-Parametri_v3!$C$21&lt;1),0,INDEX($AT$365:$AT$424,MAX(1,26-Parametri_v3!$C$21))/(INDEX(Ipotesi!$C$35:$G$35,1,F390)*Ipotesi!I27))</f>
        <v>1.72779166666667</v>
      </c>
      <c r="BB390" s="15" t="n">
        <f aca="false">IF(26-Parametri_v3!$C$21&lt;1,0,INDEX($AU$365:$AU$424,MAX(1,26-Parametri_v3!$C$21)))*Parametri_v3!$C$18*Parametri_v3!$C$19*Parametri_v3!$C$20</f>
        <v>3.9375</v>
      </c>
      <c r="BC390" s="17" t="n">
        <f aca="false">MAX(0,MIN(AY390,BA390,BB390,MAX(0,AZ390-(AV390-AW390))))</f>
        <v>1.72779166666667</v>
      </c>
      <c r="BD390" s="17" t="n">
        <f aca="false">AV390-AW390+BC390</f>
        <v>35.5117024334047</v>
      </c>
      <c r="BE390" s="17" t="n">
        <f aca="false">(AV390+BD390)/2</f>
        <v>34.796771697222</v>
      </c>
      <c r="BF390" s="15" t="n">
        <f aca="false">BE390*INDEX(Ipotesi!$C$33:$G$33,1,F390)*H390/12</f>
        <v>15948.5203612268</v>
      </c>
      <c r="BG390" s="15" t="n">
        <f aca="false">BD390*INDEX(Ipotesi!$C$33:$G$33,1,F390)*H390</f>
        <v>195314.363383726</v>
      </c>
      <c r="BH390" s="15" t="n">
        <f aca="false">AM390*INDEX(Ipotesi!$C$37:$G$37,1,F390)</f>
        <v>6050</v>
      </c>
      <c r="BI390" s="15" t="n">
        <f aca="false">AQ390+BF390+BH390</f>
        <v>63665.1870278934</v>
      </c>
      <c r="BJ390" s="15" t="n">
        <f aca="false">INDEX(Ipotesi!$C$68:$G$68,1,F390)*Ipotesi!$C$69/12</f>
        <v>2400</v>
      </c>
      <c r="BK390" s="15" t="n">
        <f aca="false">INDEX(Ipotesi!$C$68:$G$68,1,F390)*(1-Ipotesi!$C$69)/12</f>
        <v>3600</v>
      </c>
      <c r="BL390" s="15" t="n">
        <f aca="false">(AQ390+BF390)*Ipotesi!$C$67</f>
        <v>1728.4556108368</v>
      </c>
      <c r="BM390" s="15" t="n">
        <f aca="false">AM390*Ipotesi!$C$67</f>
        <v>1815</v>
      </c>
      <c r="BN390" s="15" t="n">
        <f aca="false">INDEX(Ipotesi!$C$72:$G$72,1,F390)/12*Ipotesi!I126+BF390*Ipotesi!$C$73</f>
        <v>2525.88162889814</v>
      </c>
      <c r="BO390" s="15" t="n">
        <f aca="false">INDEX(Ipotesi!$C$74:$G$74,1,F390)/12*Ipotesi!I126</f>
        <v>2916.66666666667</v>
      </c>
      <c r="BP390" s="15" t="n">
        <f aca="false">INDEX(Ipotesi!$C$76:$G$76,1,F390)/12</f>
        <v>1083.33333333333</v>
      </c>
      <c r="BQ390" s="15" t="n">
        <f aca="false">INDEX(Ipotesi!$C$77:$G$77,1,F390)/12*Ipotesi!I126</f>
        <v>2083.33333333333</v>
      </c>
      <c r="BR390" s="15" t="n">
        <f aca="false">INDEX(Ipotesi!$C$78:$G$78,1,F390)/12</f>
        <v>1666.66666666667</v>
      </c>
      <c r="BS390" s="15" t="n">
        <f aca="false">SUM(M390:R390)*(Ipotesi!$C$85+Ipotesi!$C$86)/12</f>
        <v>4812.5</v>
      </c>
      <c r="BT390" s="15" t="n">
        <f aca="false">BI390*Ipotesi!$C$87</f>
        <v>1909.9556108368</v>
      </c>
      <c r="BU390" s="15" t="n">
        <f aca="false">INDEX(Ipotesi!$C$55:$G$55,1,F390)*K390/12</f>
        <v>1500</v>
      </c>
      <c r="BV390" s="15" t="n">
        <f aca="false">INDEX(Ipotesi!$C$80:$G$80,1,F390)/12*Ipotesi!I126</f>
        <v>1250</v>
      </c>
      <c r="BW390" s="15" t="n">
        <f aca="false">INDEX(Ipotesi!$C$82:$G$82,1,F390)/12</f>
        <v>1000</v>
      </c>
      <c r="BX390" s="15" t="n">
        <f aca="false">INDEX(Ipotesi!$C$83:$G$83,1,F390)/12</f>
        <v>666.666666666667</v>
      </c>
      <c r="BY390" s="15" t="n">
        <f aca="false">SUM(S390:U390)*(Ipotesi!$C$85+Ipotesi!$C$86)/12</f>
        <v>1895.83333333333</v>
      </c>
      <c r="BZ390" s="15" t="n">
        <f aca="false">AM390*Ipotesi!$C$87</f>
        <v>1815</v>
      </c>
      <c r="CA390" s="15" t="n">
        <f aca="false">AB390+BJ390+BL390+BN390+BO390+AR390+BP390+BQ390+BR390+BS390+BT390</f>
        <v>115400.459517238</v>
      </c>
      <c r="CB390" s="15" t="n">
        <f aca="false">AC390+BK390+BM390+BH390+BU390+BV390+AS390+BW390+BX390+BY390+BZ390</f>
        <v>46259.8958333333</v>
      </c>
      <c r="CC390" s="15" t="n">
        <f aca="false">BI390-CA390</f>
        <v>-51735.272489345</v>
      </c>
      <c r="CD390" s="15" t="n">
        <f aca="false">AM390-CB390</f>
        <v>14240.1041666667</v>
      </c>
      <c r="CE390" s="15" t="n">
        <f aca="false">INDEX(Ipotesi!$C$79:$G$79,1,F390)/12</f>
        <v>2500</v>
      </c>
      <c r="CF390" s="15" t="n">
        <f aca="false">INDEX(Ipotesi!$C$84:$G$84,1,F390)/12</f>
        <v>416.666666666667</v>
      </c>
      <c r="CG390" s="15" t="n">
        <f aca="false">Y390*MAX(0,Parametri_v3!$C$12-IF(P390=0,0,MIN(1,BE390/(P390*Parametri_v3!$C$22))))+W390*Parametri_v3!$C$13+X390*Parametri_v3!$C$14</f>
        <v>27636.5877044341</v>
      </c>
      <c r="CH390" s="15" t="n">
        <f aca="false">AB390*Parametri_v3!$C$32</f>
        <v>3713.68333333333</v>
      </c>
      <c r="CI390" s="15" t="n">
        <f aca="false">AC390*Parametri_v3!$C$32</f>
        <v>1270.86979166667</v>
      </c>
      <c r="CJ390" s="15" t="n">
        <f aca="false">CA390-AB390</f>
        <v>41126.7928505717</v>
      </c>
      <c r="CK390" s="15" t="n">
        <f aca="false">CB390-AC390-BH390</f>
        <v>14792.5</v>
      </c>
      <c r="CL390" s="15" t="n">
        <f aca="false">BF390*Ipotesi!$C$73+INDEX(Ipotesi!$C$72:$G$72,1,F390)/12*Ipotesi!I126*Parametri_v3!$C$58+Z390*(1-Parametri_v3!$C$16)</f>
        <v>7299.93162889814</v>
      </c>
      <c r="CM390" s="16" t="n">
        <f aca="false">IF(BF390=0,0,1-CL390/BF390)</f>
        <v>0.542281574493558</v>
      </c>
    </row>
    <row r="391" customFormat="false" ht="18" hidden="false" customHeight="true" outlineLevel="0" collapsed="false">
      <c r="A391" s="68" t="n">
        <f aca="false">7</f>
        <v>7</v>
      </c>
      <c r="B391" s="68" t="n">
        <f aca="false">27</f>
        <v>27</v>
      </c>
      <c r="C391" s="18" t="n">
        <f aca="false">EDATE(Parametri_v3!$C$5,27-1)</f>
        <v>47178</v>
      </c>
      <c r="D391" s="68" t="n">
        <f aca="false">YEAR(C391)</f>
        <v>2029</v>
      </c>
      <c r="E391" s="68" t="n">
        <f aca="false">MONTH(C391)</f>
        <v>3</v>
      </c>
      <c r="F391" s="68" t="n">
        <f aca="false">INT((27-1)/12)+1</f>
        <v>3</v>
      </c>
      <c r="G391" s="15" t="n">
        <f aca="false">Ipotesi!I7</f>
        <v>1</v>
      </c>
      <c r="H391" s="15" t="n">
        <f aca="false">Ipotesi!I9</f>
        <v>1</v>
      </c>
      <c r="I391" s="15" t="n">
        <f aca="false">Ipotesi!I10</f>
        <v>1</v>
      </c>
      <c r="J391" s="15" t="n">
        <f aca="false">Ipotesi!I11</f>
        <v>1</v>
      </c>
      <c r="K391" s="15" t="n">
        <f aca="false">Ipotesi!I12</f>
        <v>1</v>
      </c>
      <c r="L391" s="15" t="n">
        <f aca="false">Ipotesi!I13</f>
        <v>90</v>
      </c>
      <c r="M391" s="17" t="n">
        <f aca="false">INDEX(Ipotesi!$C$40:$G$40,1,F391)</f>
        <v>1</v>
      </c>
      <c r="N391" s="17" t="n">
        <f aca="false">INDEX(Ipotesi!$C$41:$G$41,1,F391)</f>
        <v>1</v>
      </c>
      <c r="O391" s="17" t="n">
        <f aca="false">INDEX(Ipotesi!$C$42:$G$42,1,F391)*Ipotesi!I125</f>
        <v>4.5</v>
      </c>
      <c r="P391" s="17" t="n">
        <f aca="false">INDEX(Ipotesi!$C$43:$G$43,1,F391)*I391</f>
        <v>5</v>
      </c>
      <c r="Q391" s="17" t="n">
        <f aca="false">INDEX(Ipotesi!$C$44:$G$44,1,F391)*I391</f>
        <v>4</v>
      </c>
      <c r="R391" s="17" t="n">
        <f aca="false">INDEX(Ipotesi!$C$45:$G$45,1,F391)*I391</f>
        <v>1</v>
      </c>
      <c r="S391" s="17" t="n">
        <f aca="false">INDEX(Ipotesi!$C$52:$G$52,1,F391)*Ipotesi!I125</f>
        <v>5</v>
      </c>
      <c r="T391" s="17" t="n">
        <f aca="false">INDEX(Ipotesi!$C$53:$G$53,1,F391)*I391</f>
        <v>1</v>
      </c>
      <c r="U391" s="17" t="n">
        <f aca="false">INDEX(Ipotesi!$C$54:$G$54,1,F391)*I391</f>
        <v>0.5</v>
      </c>
      <c r="V391" s="15" t="n">
        <f aca="false">M391*INDEX(Ipotesi!$C$58:$G$58,1,F391)*K391/12</f>
        <v>7083.33333333333</v>
      </c>
      <c r="W391" s="15" t="n">
        <f aca="false">N391*Ipotesi!$C$59*(1+Ipotesi!$C$66)^(F391-1)/12</f>
        <v>6188.58333333333</v>
      </c>
      <c r="X391" s="15" t="n">
        <f aca="false">O391*Ipotesi!$C$60*(1+Ipotesi!$C$66)^(F391-1)/12</f>
        <v>19891.875</v>
      </c>
      <c r="Y391" s="15" t="n">
        <f aca="false">P391*Ipotesi!$C$61*(1+Ipotesi!$C$66)^(F391-1)/12</f>
        <v>22102.0833333333</v>
      </c>
      <c r="Z391" s="15" t="n">
        <f aca="false">Q391*Ipotesi!$C$62*(1+Ipotesi!$C$66)^(F391-1)/12</f>
        <v>15913.5</v>
      </c>
      <c r="AA391" s="15" t="n">
        <f aca="false">R391*Ipotesi!$C$63*(1+Ipotesi!$C$66)^(F391-1)/12</f>
        <v>3094.29166666667</v>
      </c>
      <c r="AB391" s="15" t="n">
        <f aca="false">SUM(V391:AA391)</f>
        <v>74273.6666666667</v>
      </c>
      <c r="AC391" s="15" t="n">
        <f aca="false">(S391*Ipotesi!$C$64+T391*Ipotesi!$C$65+U391*Ipotesi!$C$63)*(1+Ipotesi!$C$66)^(F391-1)/12</f>
        <v>25417.3958333333</v>
      </c>
      <c r="AD391" s="15" t="n">
        <f aca="false">INDEX(Ipotesi!$C$48:$G$48,1,F391)*G391/12</f>
        <v>60</v>
      </c>
      <c r="AE391" s="15" t="n">
        <f aca="false">INDEX(Ipotesi!$C$50:$G$50,1,F391)*G391/12</f>
        <v>6.66666666666667</v>
      </c>
      <c r="AF391" s="15" t="n">
        <f aca="false">(S391*Parametri_v3!$C$7*Parametri_v3!$C$8+Parametri_v3!$C$10)/12</f>
        <v>64.1666666666667</v>
      </c>
      <c r="AG391" s="15" t="n">
        <f aca="false">AD391+AE391*(1+Parametri_v3!$C$9)</f>
        <v>70</v>
      </c>
      <c r="AH391" s="16" t="n">
        <f aca="false">IF(AG391=0,1,MIN(1,AF391/AG391))</f>
        <v>0.916666666666667</v>
      </c>
      <c r="AI391" s="15" t="n">
        <f aca="false">AD391*AH391</f>
        <v>55</v>
      </c>
      <c r="AJ391" s="15" t="n">
        <f aca="false">AE391*AH391</f>
        <v>6.11111111111111</v>
      </c>
      <c r="AK391" s="15" t="n">
        <f aca="false">AI391*INDEX(Ipotesi!$C$49:$G$49,1,F391)*H391</f>
        <v>46750</v>
      </c>
      <c r="AL391" s="15" t="n">
        <f aca="false">AJ391*INDEX(Ipotesi!$C$51:$G$51,1,F391)*H391</f>
        <v>13750</v>
      </c>
      <c r="AM391" s="15" t="n">
        <f aca="false">AK391+AL391</f>
        <v>60500</v>
      </c>
      <c r="AN391" s="15" t="n">
        <f aca="false">INDEX(Ipotesi!$C$30:$G$30,1,F391)*G391/12</f>
        <v>41.6666666666667</v>
      </c>
      <c r="AO391" s="15" t="n">
        <f aca="false">O391*Parametri_v3!$C$7*Parametri_v3!$C$11*(1-Parametri_v3!$C$14)/12</f>
        <v>46.2</v>
      </c>
      <c r="AP391" s="15" t="n">
        <f aca="false">MIN(AN391,AO391)</f>
        <v>41.6666666666667</v>
      </c>
      <c r="AQ391" s="15" t="n">
        <f aca="false">AP391*INDEX(Ipotesi!$C$31:$G$31,1,F391)*H391</f>
        <v>41666.6666666667</v>
      </c>
      <c r="AR391" s="15" t="n">
        <f aca="false">INDEX(Ipotesi!$C$75:$G$75,1,F391)*J391/12</f>
        <v>20000</v>
      </c>
      <c r="AS391" s="15" t="n">
        <f aca="false">INDEX(Ipotesi!$C$81:$G$81,1,F391)*J391/12</f>
        <v>1250</v>
      </c>
      <c r="AT391" s="15" t="n">
        <f aca="false">AR391*Parametri_v3!$C$15+Z391*Parametri_v3!$C$16</f>
        <v>31139.45</v>
      </c>
      <c r="AU391" s="15" t="n">
        <f aca="false">Q391*Parametri_v3!$C$16*Parametri_v3!$C$17</f>
        <v>280</v>
      </c>
      <c r="AV391" s="17" t="n">
        <f aca="false">BD390</f>
        <v>35.5117024334047</v>
      </c>
      <c r="AW391" s="17" t="n">
        <f aca="false">AV391*(1-(1-INDEX(Ipotesi!$C$34:$G$34,1,F391))^(1/12))</f>
        <v>0.310429487011781</v>
      </c>
      <c r="AX391" s="15" t="n">
        <f aca="false">ROUND(INDEX(Ipotesi!$C$32:$G$32,1,F391)*Ipotesi!I8,0)</f>
        <v>130</v>
      </c>
      <c r="AY391" s="15" t="n">
        <f aca="false">MAX(0,(AX391-(AV391-AW391))/(13-E391))</f>
        <v>9.47987270536071</v>
      </c>
      <c r="AZ391" s="15" t="n">
        <f aca="false">MIN(P391*Parametri_v3!$C$22,Q391*(1-Parametri_v3!$C$16)*Parametri_v3!$C$23)</f>
        <v>180</v>
      </c>
      <c r="BA391" s="15" t="n">
        <f aca="false">IF(OR(INDEX(Ipotesi!$C$35:$G$35,1,F391)&lt;=0,27-Parametri_v3!$C$21&lt;1),0,INDEX($AT$365:$AT$424,MAX(1,27-Parametri_v3!$C$21))/(INDEX(Ipotesi!$C$35:$G$35,1,F391)*Ipotesi!I27))</f>
        <v>1.72779166666667</v>
      </c>
      <c r="BB391" s="15" t="n">
        <f aca="false">IF(27-Parametri_v3!$C$21&lt;1,0,INDEX($AU$365:$AU$424,MAX(1,27-Parametri_v3!$C$21)))*Parametri_v3!$C$18*Parametri_v3!$C$19*Parametri_v3!$C$20</f>
        <v>3.9375</v>
      </c>
      <c r="BC391" s="17" t="n">
        <f aca="false">MAX(0,MIN(AY391,BA391,BB391,MAX(0,AZ391-(AV391-AW391))))</f>
        <v>1.72779166666667</v>
      </c>
      <c r="BD391" s="17" t="n">
        <f aca="false">AV391-AW391+BC391</f>
        <v>36.9290646130596</v>
      </c>
      <c r="BE391" s="17" t="n">
        <f aca="false">(AV391+BD391)/2</f>
        <v>36.2203835232322</v>
      </c>
      <c r="BF391" s="15" t="n">
        <f aca="false">BE391*INDEX(Ipotesi!$C$33:$G$33,1,F391)*H391/12</f>
        <v>16601.0091148147</v>
      </c>
      <c r="BG391" s="15" t="n">
        <f aca="false">BD391*INDEX(Ipotesi!$C$33:$G$33,1,F391)*H391</f>
        <v>203109.855371828</v>
      </c>
      <c r="BH391" s="15" t="n">
        <f aca="false">AM391*INDEX(Ipotesi!$C$37:$G$37,1,F391)</f>
        <v>6050</v>
      </c>
      <c r="BI391" s="15" t="n">
        <f aca="false">AQ391+BF391+BH391</f>
        <v>64317.6757814814</v>
      </c>
      <c r="BJ391" s="15" t="n">
        <f aca="false">INDEX(Ipotesi!$C$68:$G$68,1,F391)*Ipotesi!$C$69/12</f>
        <v>2400</v>
      </c>
      <c r="BK391" s="15" t="n">
        <f aca="false">INDEX(Ipotesi!$C$68:$G$68,1,F391)*(1-Ipotesi!$C$69)/12</f>
        <v>3600</v>
      </c>
      <c r="BL391" s="15" t="n">
        <f aca="false">(AQ391+BF391)*Ipotesi!$C$67</f>
        <v>1748.03027344444</v>
      </c>
      <c r="BM391" s="15" t="n">
        <f aca="false">AM391*Ipotesi!$C$67</f>
        <v>1815</v>
      </c>
      <c r="BN391" s="15" t="n">
        <f aca="false">INDEX(Ipotesi!$C$72:$G$72,1,F391)/12*Ipotesi!I126+BF391*Ipotesi!$C$73</f>
        <v>2578.08072918518</v>
      </c>
      <c r="BO391" s="15" t="n">
        <f aca="false">INDEX(Ipotesi!$C$74:$G$74,1,F391)/12*Ipotesi!I126</f>
        <v>2916.66666666667</v>
      </c>
      <c r="BP391" s="15" t="n">
        <f aca="false">INDEX(Ipotesi!$C$76:$G$76,1,F391)/12</f>
        <v>1083.33333333333</v>
      </c>
      <c r="BQ391" s="15" t="n">
        <f aca="false">INDEX(Ipotesi!$C$77:$G$77,1,F391)/12*Ipotesi!I126</f>
        <v>2083.33333333333</v>
      </c>
      <c r="BR391" s="15" t="n">
        <f aca="false">INDEX(Ipotesi!$C$78:$G$78,1,F391)/12</f>
        <v>1666.66666666667</v>
      </c>
      <c r="BS391" s="15" t="n">
        <f aca="false">SUM(M391:R391)*(Ipotesi!$C$85+Ipotesi!$C$86)/12</f>
        <v>4812.5</v>
      </c>
      <c r="BT391" s="15" t="n">
        <f aca="false">BI391*Ipotesi!$C$87</f>
        <v>1929.53027344444</v>
      </c>
      <c r="BU391" s="15" t="n">
        <f aca="false">INDEX(Ipotesi!$C$55:$G$55,1,F391)*K391/12</f>
        <v>1500</v>
      </c>
      <c r="BV391" s="15" t="n">
        <f aca="false">INDEX(Ipotesi!$C$80:$G$80,1,F391)/12*Ipotesi!I126</f>
        <v>1250</v>
      </c>
      <c r="BW391" s="15" t="n">
        <f aca="false">INDEX(Ipotesi!$C$82:$G$82,1,F391)/12</f>
        <v>1000</v>
      </c>
      <c r="BX391" s="15" t="n">
        <f aca="false">INDEX(Ipotesi!$C$83:$G$83,1,F391)/12</f>
        <v>666.666666666667</v>
      </c>
      <c r="BY391" s="15" t="n">
        <f aca="false">SUM(S391:U391)*(Ipotesi!$C$85+Ipotesi!$C$86)/12</f>
        <v>1895.83333333333</v>
      </c>
      <c r="BZ391" s="15" t="n">
        <f aca="false">AM391*Ipotesi!$C$87</f>
        <v>1815</v>
      </c>
      <c r="CA391" s="15" t="n">
        <f aca="false">AB391+BJ391+BL391+BN391+BO391+AR391+BP391+BQ391+BR391+BS391+BT391</f>
        <v>115491.807942741</v>
      </c>
      <c r="CB391" s="15" t="n">
        <f aca="false">AC391+BK391+BM391+BH391+BU391+BV391+AS391+BW391+BX391+BY391+BZ391</f>
        <v>46259.8958333333</v>
      </c>
      <c r="CC391" s="15" t="n">
        <f aca="false">BI391-CA391</f>
        <v>-51174.1321612593</v>
      </c>
      <c r="CD391" s="15" t="n">
        <f aca="false">AM391-CB391</f>
        <v>14240.1041666667</v>
      </c>
      <c r="CE391" s="15" t="n">
        <f aca="false">INDEX(Ipotesi!$C$79:$G$79,1,F391)/12</f>
        <v>2500</v>
      </c>
      <c r="CF391" s="15" t="n">
        <f aca="false">INDEX(Ipotesi!$C$84:$G$84,1,F391)/12</f>
        <v>416.666666666667</v>
      </c>
      <c r="CG391" s="15" t="n">
        <f aca="false">Y391*MAX(0,Parametri_v3!$C$12-IF(P391=0,0,MIN(1,BE391/(P391*Parametri_v3!$C$22))))+W391*Parametri_v3!$C$13+X391*Parametri_v3!$C$14</f>
        <v>27573.6581300085</v>
      </c>
      <c r="CH391" s="15" t="n">
        <f aca="false">AB391*Parametri_v3!$C$32</f>
        <v>3713.68333333333</v>
      </c>
      <c r="CI391" s="15" t="n">
        <f aca="false">AC391*Parametri_v3!$C$32</f>
        <v>1270.86979166667</v>
      </c>
      <c r="CJ391" s="15" t="n">
        <f aca="false">CA391-AB391</f>
        <v>41218.1412760741</v>
      </c>
      <c r="CK391" s="15" t="n">
        <f aca="false">CB391-AC391-BH391</f>
        <v>14792.5</v>
      </c>
      <c r="CL391" s="15" t="n">
        <f aca="false">BF391*Ipotesi!$C$73+INDEX(Ipotesi!$C$72:$G$72,1,F391)/12*Ipotesi!I126*Parametri_v3!$C$58+Z391*(1-Parametri_v3!$C$16)</f>
        <v>7352.13072918518</v>
      </c>
      <c r="CM391" s="16" t="n">
        <f aca="false">IF(BF391=0,0,1-CL391/BF391)</f>
        <v>0.557127480725004</v>
      </c>
    </row>
    <row r="392" customFormat="false" ht="18" hidden="false" customHeight="true" outlineLevel="0" collapsed="false">
      <c r="A392" s="68" t="n">
        <f aca="false">7</f>
        <v>7</v>
      </c>
      <c r="B392" s="68" t="n">
        <f aca="false">28</f>
        <v>28</v>
      </c>
      <c r="C392" s="18" t="n">
        <f aca="false">EDATE(Parametri_v3!$C$5,28-1)</f>
        <v>47209</v>
      </c>
      <c r="D392" s="68" t="n">
        <f aca="false">YEAR(C392)</f>
        <v>2029</v>
      </c>
      <c r="E392" s="68" t="n">
        <f aca="false">MONTH(C392)</f>
        <v>4</v>
      </c>
      <c r="F392" s="68" t="n">
        <f aca="false">INT((28-1)/12)+1</f>
        <v>3</v>
      </c>
      <c r="G392" s="15" t="n">
        <f aca="false">Ipotesi!I7</f>
        <v>1</v>
      </c>
      <c r="H392" s="15" t="n">
        <f aca="false">Ipotesi!I9</f>
        <v>1</v>
      </c>
      <c r="I392" s="15" t="n">
        <f aca="false">Ipotesi!I10</f>
        <v>1</v>
      </c>
      <c r="J392" s="15" t="n">
        <f aca="false">Ipotesi!I11</f>
        <v>1</v>
      </c>
      <c r="K392" s="15" t="n">
        <f aca="false">Ipotesi!I12</f>
        <v>1</v>
      </c>
      <c r="L392" s="15" t="n">
        <f aca="false">Ipotesi!I13</f>
        <v>90</v>
      </c>
      <c r="M392" s="17" t="n">
        <f aca="false">INDEX(Ipotesi!$C$40:$G$40,1,F392)</f>
        <v>1</v>
      </c>
      <c r="N392" s="17" t="n">
        <f aca="false">INDEX(Ipotesi!$C$41:$G$41,1,F392)</f>
        <v>1</v>
      </c>
      <c r="O392" s="17" t="n">
        <f aca="false">INDEX(Ipotesi!$C$42:$G$42,1,F392)*Ipotesi!I125</f>
        <v>4.5</v>
      </c>
      <c r="P392" s="17" t="n">
        <f aca="false">INDEX(Ipotesi!$C$43:$G$43,1,F392)*I392</f>
        <v>5</v>
      </c>
      <c r="Q392" s="17" t="n">
        <f aca="false">INDEX(Ipotesi!$C$44:$G$44,1,F392)*I392</f>
        <v>4</v>
      </c>
      <c r="R392" s="17" t="n">
        <f aca="false">INDEX(Ipotesi!$C$45:$G$45,1,F392)*I392</f>
        <v>1</v>
      </c>
      <c r="S392" s="17" t="n">
        <f aca="false">INDEX(Ipotesi!$C$52:$G$52,1,F392)*Ipotesi!I125</f>
        <v>5</v>
      </c>
      <c r="T392" s="17" t="n">
        <f aca="false">INDEX(Ipotesi!$C$53:$G$53,1,F392)*I392</f>
        <v>1</v>
      </c>
      <c r="U392" s="17" t="n">
        <f aca="false">INDEX(Ipotesi!$C$54:$G$54,1,F392)*I392</f>
        <v>0.5</v>
      </c>
      <c r="V392" s="15" t="n">
        <f aca="false">M392*INDEX(Ipotesi!$C$58:$G$58,1,F392)*K392/12</f>
        <v>7083.33333333333</v>
      </c>
      <c r="W392" s="15" t="n">
        <f aca="false">N392*Ipotesi!$C$59*(1+Ipotesi!$C$66)^(F392-1)/12</f>
        <v>6188.58333333333</v>
      </c>
      <c r="X392" s="15" t="n">
        <f aca="false">O392*Ipotesi!$C$60*(1+Ipotesi!$C$66)^(F392-1)/12</f>
        <v>19891.875</v>
      </c>
      <c r="Y392" s="15" t="n">
        <f aca="false">P392*Ipotesi!$C$61*(1+Ipotesi!$C$66)^(F392-1)/12</f>
        <v>22102.0833333333</v>
      </c>
      <c r="Z392" s="15" t="n">
        <f aca="false">Q392*Ipotesi!$C$62*(1+Ipotesi!$C$66)^(F392-1)/12</f>
        <v>15913.5</v>
      </c>
      <c r="AA392" s="15" t="n">
        <f aca="false">R392*Ipotesi!$C$63*(1+Ipotesi!$C$66)^(F392-1)/12</f>
        <v>3094.29166666667</v>
      </c>
      <c r="AB392" s="15" t="n">
        <f aca="false">SUM(V392:AA392)</f>
        <v>74273.6666666667</v>
      </c>
      <c r="AC392" s="15" t="n">
        <f aca="false">(S392*Ipotesi!$C$64+T392*Ipotesi!$C$65+U392*Ipotesi!$C$63)*(1+Ipotesi!$C$66)^(F392-1)/12</f>
        <v>25417.3958333333</v>
      </c>
      <c r="AD392" s="15" t="n">
        <f aca="false">INDEX(Ipotesi!$C$48:$G$48,1,F392)*G392/12</f>
        <v>60</v>
      </c>
      <c r="AE392" s="15" t="n">
        <f aca="false">INDEX(Ipotesi!$C$50:$G$50,1,F392)*G392/12</f>
        <v>6.66666666666667</v>
      </c>
      <c r="AF392" s="15" t="n">
        <f aca="false">(S392*Parametri_v3!$C$7*Parametri_v3!$C$8+Parametri_v3!$C$10)/12</f>
        <v>64.1666666666667</v>
      </c>
      <c r="AG392" s="15" t="n">
        <f aca="false">AD392+AE392*(1+Parametri_v3!$C$9)</f>
        <v>70</v>
      </c>
      <c r="AH392" s="16" t="n">
        <f aca="false">IF(AG392=0,1,MIN(1,AF392/AG392))</f>
        <v>0.916666666666667</v>
      </c>
      <c r="AI392" s="15" t="n">
        <f aca="false">AD392*AH392</f>
        <v>55</v>
      </c>
      <c r="AJ392" s="15" t="n">
        <f aca="false">AE392*AH392</f>
        <v>6.11111111111111</v>
      </c>
      <c r="AK392" s="15" t="n">
        <f aca="false">AI392*INDEX(Ipotesi!$C$49:$G$49,1,F392)*H392</f>
        <v>46750</v>
      </c>
      <c r="AL392" s="15" t="n">
        <f aca="false">AJ392*INDEX(Ipotesi!$C$51:$G$51,1,F392)*H392</f>
        <v>13750</v>
      </c>
      <c r="AM392" s="15" t="n">
        <f aca="false">AK392+AL392</f>
        <v>60500</v>
      </c>
      <c r="AN392" s="15" t="n">
        <f aca="false">INDEX(Ipotesi!$C$30:$G$30,1,F392)*G392/12</f>
        <v>41.6666666666667</v>
      </c>
      <c r="AO392" s="15" t="n">
        <f aca="false">O392*Parametri_v3!$C$7*Parametri_v3!$C$11*(1-Parametri_v3!$C$14)/12</f>
        <v>46.2</v>
      </c>
      <c r="AP392" s="15" t="n">
        <f aca="false">MIN(AN392,AO392)</f>
        <v>41.6666666666667</v>
      </c>
      <c r="AQ392" s="15" t="n">
        <f aca="false">AP392*INDEX(Ipotesi!$C$31:$G$31,1,F392)*H392</f>
        <v>41666.6666666667</v>
      </c>
      <c r="AR392" s="15" t="n">
        <f aca="false">INDEX(Ipotesi!$C$75:$G$75,1,F392)*J392/12</f>
        <v>20000</v>
      </c>
      <c r="AS392" s="15" t="n">
        <f aca="false">INDEX(Ipotesi!$C$81:$G$81,1,F392)*J392/12</f>
        <v>1250</v>
      </c>
      <c r="AT392" s="15" t="n">
        <f aca="false">AR392*Parametri_v3!$C$15+Z392*Parametri_v3!$C$16</f>
        <v>31139.45</v>
      </c>
      <c r="AU392" s="15" t="n">
        <f aca="false">Q392*Parametri_v3!$C$16*Parametri_v3!$C$17</f>
        <v>280</v>
      </c>
      <c r="AV392" s="17" t="n">
        <f aca="false">BD391</f>
        <v>36.9290646130596</v>
      </c>
      <c r="AW392" s="17" t="n">
        <f aca="false">AV392*(1-(1-INDEX(Ipotesi!$C$34:$G$34,1,F392))^(1/12))</f>
        <v>0.322819515768225</v>
      </c>
      <c r="AX392" s="15" t="n">
        <f aca="false">ROUND(INDEX(Ipotesi!$C$32:$G$32,1,F392)*Ipotesi!I8,0)</f>
        <v>130</v>
      </c>
      <c r="AY392" s="15" t="n">
        <f aca="false">MAX(0,(AX392-(AV392-AW392))/(13-E392))</f>
        <v>10.3770838780787</v>
      </c>
      <c r="AZ392" s="15" t="n">
        <f aca="false">MIN(P392*Parametri_v3!$C$22,Q392*(1-Parametri_v3!$C$16)*Parametri_v3!$C$23)</f>
        <v>180</v>
      </c>
      <c r="BA392" s="15" t="n">
        <f aca="false">IF(OR(INDEX(Ipotesi!$C$35:$G$35,1,F392)&lt;=0,28-Parametri_v3!$C$21&lt;1),0,INDEX($AT$365:$AT$424,MAX(1,28-Parametri_v3!$C$21))/(INDEX(Ipotesi!$C$35:$G$35,1,F392)*Ipotesi!I27))</f>
        <v>6.22789</v>
      </c>
      <c r="BB392" s="15" t="n">
        <f aca="false">IF(28-Parametri_v3!$C$21&lt;1,0,INDEX($AU$365:$AU$424,MAX(1,28-Parametri_v3!$C$21)))*Parametri_v3!$C$18*Parametri_v3!$C$19*Parametri_v3!$C$20</f>
        <v>10.5</v>
      </c>
      <c r="BC392" s="17" t="n">
        <f aca="false">MAX(0,MIN(AY392,BA392,BB392,MAX(0,AZ392-(AV392-AW392))))</f>
        <v>6.22789</v>
      </c>
      <c r="BD392" s="17" t="n">
        <f aca="false">AV392-AW392+BC392</f>
        <v>42.8341350972914</v>
      </c>
      <c r="BE392" s="17" t="n">
        <f aca="false">(AV392+BD392)/2</f>
        <v>39.8815998551755</v>
      </c>
      <c r="BF392" s="15" t="n">
        <f aca="false">BE392*INDEX(Ipotesi!$C$33:$G$33,1,F392)*H392/12</f>
        <v>18279.0666002888</v>
      </c>
      <c r="BG392" s="15" t="n">
        <f aca="false">BD392*INDEX(Ipotesi!$C$33:$G$33,1,F392)*H392</f>
        <v>235587.743035103</v>
      </c>
      <c r="BH392" s="15" t="n">
        <f aca="false">AM392*INDEX(Ipotesi!$C$37:$G$37,1,F392)</f>
        <v>6050</v>
      </c>
      <c r="BI392" s="15" t="n">
        <f aca="false">AQ392+BF392+BH392</f>
        <v>65995.7332669555</v>
      </c>
      <c r="BJ392" s="15" t="n">
        <f aca="false">INDEX(Ipotesi!$C$68:$G$68,1,F392)*Ipotesi!$C$69/12</f>
        <v>2400</v>
      </c>
      <c r="BK392" s="15" t="n">
        <f aca="false">INDEX(Ipotesi!$C$68:$G$68,1,F392)*(1-Ipotesi!$C$69)/12</f>
        <v>3600</v>
      </c>
      <c r="BL392" s="15" t="n">
        <f aca="false">(AQ392+BF392)*Ipotesi!$C$67</f>
        <v>1798.37199800866</v>
      </c>
      <c r="BM392" s="15" t="n">
        <f aca="false">AM392*Ipotesi!$C$67</f>
        <v>1815</v>
      </c>
      <c r="BN392" s="15" t="n">
        <f aca="false">INDEX(Ipotesi!$C$72:$G$72,1,F392)/12*Ipotesi!I126+BF392*Ipotesi!$C$73</f>
        <v>2712.3253280231</v>
      </c>
      <c r="BO392" s="15" t="n">
        <f aca="false">INDEX(Ipotesi!$C$74:$G$74,1,F392)/12*Ipotesi!I126</f>
        <v>2916.66666666667</v>
      </c>
      <c r="BP392" s="15" t="n">
        <f aca="false">INDEX(Ipotesi!$C$76:$G$76,1,F392)/12</f>
        <v>1083.33333333333</v>
      </c>
      <c r="BQ392" s="15" t="n">
        <f aca="false">INDEX(Ipotesi!$C$77:$G$77,1,F392)/12*Ipotesi!I126</f>
        <v>2083.33333333333</v>
      </c>
      <c r="BR392" s="15" t="n">
        <f aca="false">INDEX(Ipotesi!$C$78:$G$78,1,F392)/12</f>
        <v>1666.66666666667</v>
      </c>
      <c r="BS392" s="15" t="n">
        <f aca="false">SUM(M392:R392)*(Ipotesi!$C$85+Ipotesi!$C$86)/12</f>
        <v>4812.5</v>
      </c>
      <c r="BT392" s="15" t="n">
        <f aca="false">BI392*Ipotesi!$C$87</f>
        <v>1979.87199800866</v>
      </c>
      <c r="BU392" s="15" t="n">
        <f aca="false">INDEX(Ipotesi!$C$55:$G$55,1,F392)*K392/12</f>
        <v>1500</v>
      </c>
      <c r="BV392" s="15" t="n">
        <f aca="false">INDEX(Ipotesi!$C$80:$G$80,1,F392)/12*Ipotesi!I126</f>
        <v>1250</v>
      </c>
      <c r="BW392" s="15" t="n">
        <f aca="false">INDEX(Ipotesi!$C$82:$G$82,1,F392)/12</f>
        <v>1000</v>
      </c>
      <c r="BX392" s="15" t="n">
        <f aca="false">INDEX(Ipotesi!$C$83:$G$83,1,F392)/12</f>
        <v>666.666666666667</v>
      </c>
      <c r="BY392" s="15" t="n">
        <f aca="false">SUM(S392:U392)*(Ipotesi!$C$85+Ipotesi!$C$86)/12</f>
        <v>1895.83333333333</v>
      </c>
      <c r="BZ392" s="15" t="n">
        <f aca="false">AM392*Ipotesi!$C$87</f>
        <v>1815</v>
      </c>
      <c r="CA392" s="15" t="n">
        <f aca="false">AB392+BJ392+BL392+BN392+BO392+AR392+BP392+BQ392+BR392+BS392+BT392</f>
        <v>115726.735990707</v>
      </c>
      <c r="CB392" s="15" t="n">
        <f aca="false">AC392+BK392+BM392+BH392+BU392+BV392+AS392+BW392+BX392+BY392+BZ392</f>
        <v>46259.8958333333</v>
      </c>
      <c r="CC392" s="15" t="n">
        <f aca="false">BI392-CA392</f>
        <v>-49731.0027237517</v>
      </c>
      <c r="CD392" s="15" t="n">
        <f aca="false">AM392-CB392</f>
        <v>14240.1041666667</v>
      </c>
      <c r="CE392" s="15" t="n">
        <f aca="false">INDEX(Ipotesi!$C$79:$G$79,1,F392)/12</f>
        <v>2500</v>
      </c>
      <c r="CF392" s="15" t="n">
        <f aca="false">INDEX(Ipotesi!$C$84:$G$84,1,F392)/12</f>
        <v>416.666666666667</v>
      </c>
      <c r="CG392" s="15" t="n">
        <f aca="false">Y392*MAX(0,Parametri_v3!$C$12-IF(P392=0,0,MIN(1,BE392/(P392*Parametri_v3!$C$22))))+W392*Parametri_v3!$C$13+X392*Parametri_v3!$C$14</f>
        <v>27411.8171130685</v>
      </c>
      <c r="CH392" s="15" t="n">
        <f aca="false">AB392*Parametri_v3!$C$32</f>
        <v>3713.68333333333</v>
      </c>
      <c r="CI392" s="15" t="n">
        <f aca="false">AC392*Parametri_v3!$C$32</f>
        <v>1270.86979166667</v>
      </c>
      <c r="CJ392" s="15" t="n">
        <f aca="false">CA392-AB392</f>
        <v>41453.0693240404</v>
      </c>
      <c r="CK392" s="15" t="n">
        <f aca="false">CB392-AC392-BH392</f>
        <v>14792.5</v>
      </c>
      <c r="CL392" s="15" t="n">
        <f aca="false">BF392*Ipotesi!$C$73+INDEX(Ipotesi!$C$72:$G$72,1,F392)/12*Ipotesi!I126*Parametri_v3!$C$58+Z392*(1-Parametri_v3!$C$16)</f>
        <v>7486.3753280231</v>
      </c>
      <c r="CM392" s="16" t="n">
        <f aca="false">IF(BF392=0,0,1-CL392/BF392)</f>
        <v>0.590439955620883</v>
      </c>
    </row>
    <row r="393" customFormat="false" ht="18" hidden="false" customHeight="true" outlineLevel="0" collapsed="false">
      <c r="A393" s="68" t="n">
        <f aca="false">7</f>
        <v>7</v>
      </c>
      <c r="B393" s="68" t="n">
        <f aca="false">29</f>
        <v>29</v>
      </c>
      <c r="C393" s="18" t="n">
        <f aca="false">EDATE(Parametri_v3!$C$5,29-1)</f>
        <v>47239</v>
      </c>
      <c r="D393" s="68" t="n">
        <f aca="false">YEAR(C393)</f>
        <v>2029</v>
      </c>
      <c r="E393" s="68" t="n">
        <f aca="false">MONTH(C393)</f>
        <v>5</v>
      </c>
      <c r="F393" s="68" t="n">
        <f aca="false">INT((29-1)/12)+1</f>
        <v>3</v>
      </c>
      <c r="G393" s="15" t="n">
        <f aca="false">Ipotesi!I7</f>
        <v>1</v>
      </c>
      <c r="H393" s="15" t="n">
        <f aca="false">Ipotesi!I9</f>
        <v>1</v>
      </c>
      <c r="I393" s="15" t="n">
        <f aca="false">Ipotesi!I10</f>
        <v>1</v>
      </c>
      <c r="J393" s="15" t="n">
        <f aca="false">Ipotesi!I11</f>
        <v>1</v>
      </c>
      <c r="K393" s="15" t="n">
        <f aca="false">Ipotesi!I12</f>
        <v>1</v>
      </c>
      <c r="L393" s="15" t="n">
        <f aca="false">Ipotesi!I13</f>
        <v>90</v>
      </c>
      <c r="M393" s="17" t="n">
        <f aca="false">INDEX(Ipotesi!$C$40:$G$40,1,F393)</f>
        <v>1</v>
      </c>
      <c r="N393" s="17" t="n">
        <f aca="false">INDEX(Ipotesi!$C$41:$G$41,1,F393)</f>
        <v>1</v>
      </c>
      <c r="O393" s="17" t="n">
        <f aca="false">INDEX(Ipotesi!$C$42:$G$42,1,F393)*Ipotesi!I125</f>
        <v>4.5</v>
      </c>
      <c r="P393" s="17" t="n">
        <f aca="false">INDEX(Ipotesi!$C$43:$G$43,1,F393)*I393</f>
        <v>5</v>
      </c>
      <c r="Q393" s="17" t="n">
        <f aca="false">INDEX(Ipotesi!$C$44:$G$44,1,F393)*I393</f>
        <v>4</v>
      </c>
      <c r="R393" s="17" t="n">
        <f aca="false">INDEX(Ipotesi!$C$45:$G$45,1,F393)*I393</f>
        <v>1</v>
      </c>
      <c r="S393" s="17" t="n">
        <f aca="false">INDEX(Ipotesi!$C$52:$G$52,1,F393)*Ipotesi!I125</f>
        <v>5</v>
      </c>
      <c r="T393" s="17" t="n">
        <f aca="false">INDEX(Ipotesi!$C$53:$G$53,1,F393)*I393</f>
        <v>1</v>
      </c>
      <c r="U393" s="17" t="n">
        <f aca="false">INDEX(Ipotesi!$C$54:$G$54,1,F393)*I393</f>
        <v>0.5</v>
      </c>
      <c r="V393" s="15" t="n">
        <f aca="false">M393*INDEX(Ipotesi!$C$58:$G$58,1,F393)*K393/12</f>
        <v>7083.33333333333</v>
      </c>
      <c r="W393" s="15" t="n">
        <f aca="false">N393*Ipotesi!$C$59*(1+Ipotesi!$C$66)^(F393-1)/12</f>
        <v>6188.58333333333</v>
      </c>
      <c r="X393" s="15" t="n">
        <f aca="false">O393*Ipotesi!$C$60*(1+Ipotesi!$C$66)^(F393-1)/12</f>
        <v>19891.875</v>
      </c>
      <c r="Y393" s="15" t="n">
        <f aca="false">P393*Ipotesi!$C$61*(1+Ipotesi!$C$66)^(F393-1)/12</f>
        <v>22102.0833333333</v>
      </c>
      <c r="Z393" s="15" t="n">
        <f aca="false">Q393*Ipotesi!$C$62*(1+Ipotesi!$C$66)^(F393-1)/12</f>
        <v>15913.5</v>
      </c>
      <c r="AA393" s="15" t="n">
        <f aca="false">R393*Ipotesi!$C$63*(1+Ipotesi!$C$66)^(F393-1)/12</f>
        <v>3094.29166666667</v>
      </c>
      <c r="AB393" s="15" t="n">
        <f aca="false">SUM(V393:AA393)</f>
        <v>74273.6666666667</v>
      </c>
      <c r="AC393" s="15" t="n">
        <f aca="false">(S393*Ipotesi!$C$64+T393*Ipotesi!$C$65+U393*Ipotesi!$C$63)*(1+Ipotesi!$C$66)^(F393-1)/12</f>
        <v>25417.3958333333</v>
      </c>
      <c r="AD393" s="15" t="n">
        <f aca="false">INDEX(Ipotesi!$C$48:$G$48,1,F393)*G393/12</f>
        <v>60</v>
      </c>
      <c r="AE393" s="15" t="n">
        <f aca="false">INDEX(Ipotesi!$C$50:$G$50,1,F393)*G393/12</f>
        <v>6.66666666666667</v>
      </c>
      <c r="AF393" s="15" t="n">
        <f aca="false">(S393*Parametri_v3!$C$7*Parametri_v3!$C$8+Parametri_v3!$C$10)/12</f>
        <v>64.1666666666667</v>
      </c>
      <c r="AG393" s="15" t="n">
        <f aca="false">AD393+AE393*(1+Parametri_v3!$C$9)</f>
        <v>70</v>
      </c>
      <c r="AH393" s="16" t="n">
        <f aca="false">IF(AG393=0,1,MIN(1,AF393/AG393))</f>
        <v>0.916666666666667</v>
      </c>
      <c r="AI393" s="15" t="n">
        <f aca="false">AD393*AH393</f>
        <v>55</v>
      </c>
      <c r="AJ393" s="15" t="n">
        <f aca="false">AE393*AH393</f>
        <v>6.11111111111111</v>
      </c>
      <c r="AK393" s="15" t="n">
        <f aca="false">AI393*INDEX(Ipotesi!$C$49:$G$49,1,F393)*H393</f>
        <v>46750</v>
      </c>
      <c r="AL393" s="15" t="n">
        <f aca="false">AJ393*INDEX(Ipotesi!$C$51:$G$51,1,F393)*H393</f>
        <v>13750</v>
      </c>
      <c r="AM393" s="15" t="n">
        <f aca="false">AK393+AL393</f>
        <v>60500</v>
      </c>
      <c r="AN393" s="15" t="n">
        <f aca="false">INDEX(Ipotesi!$C$30:$G$30,1,F393)*G393/12</f>
        <v>41.6666666666667</v>
      </c>
      <c r="AO393" s="15" t="n">
        <f aca="false">O393*Parametri_v3!$C$7*Parametri_v3!$C$11*(1-Parametri_v3!$C$14)/12</f>
        <v>46.2</v>
      </c>
      <c r="AP393" s="15" t="n">
        <f aca="false">MIN(AN393,AO393)</f>
        <v>41.6666666666667</v>
      </c>
      <c r="AQ393" s="15" t="n">
        <f aca="false">AP393*INDEX(Ipotesi!$C$31:$G$31,1,F393)*H393</f>
        <v>41666.6666666667</v>
      </c>
      <c r="AR393" s="15" t="n">
        <f aca="false">INDEX(Ipotesi!$C$75:$G$75,1,F393)*J393/12</f>
        <v>20000</v>
      </c>
      <c r="AS393" s="15" t="n">
        <f aca="false">INDEX(Ipotesi!$C$81:$G$81,1,F393)*J393/12</f>
        <v>1250</v>
      </c>
      <c r="AT393" s="15" t="n">
        <f aca="false">AR393*Parametri_v3!$C$15+Z393*Parametri_v3!$C$16</f>
        <v>31139.45</v>
      </c>
      <c r="AU393" s="15" t="n">
        <f aca="false">Q393*Parametri_v3!$C$16*Parametri_v3!$C$17</f>
        <v>280</v>
      </c>
      <c r="AV393" s="17" t="n">
        <f aca="false">BD392</f>
        <v>42.8341350972914</v>
      </c>
      <c r="AW393" s="17" t="n">
        <f aca="false">AV393*(1-(1-INDEX(Ipotesi!$C$34:$G$34,1,F393))^(1/12))</f>
        <v>0.374439344601442</v>
      </c>
      <c r="AX393" s="15" t="n">
        <f aca="false">ROUND(INDEX(Ipotesi!$C$32:$G$32,1,F393)*Ipotesi!I8,0)</f>
        <v>130</v>
      </c>
      <c r="AY393" s="15" t="n">
        <f aca="false">MAX(0,(AX393-(AV393-AW393))/(13-E393))</f>
        <v>10.9425380309138</v>
      </c>
      <c r="AZ393" s="15" t="n">
        <f aca="false">MIN(P393*Parametri_v3!$C$22,Q393*(1-Parametri_v3!$C$16)*Parametri_v3!$C$23)</f>
        <v>180</v>
      </c>
      <c r="BA393" s="15" t="n">
        <f aca="false">IF(OR(INDEX(Ipotesi!$C$35:$G$35,1,F393)&lt;=0,29-Parametri_v3!$C$21&lt;1),0,INDEX($AT$365:$AT$424,MAX(1,29-Parametri_v3!$C$21))/(INDEX(Ipotesi!$C$35:$G$35,1,F393)*Ipotesi!I27))</f>
        <v>6.22789</v>
      </c>
      <c r="BB393" s="15" t="n">
        <f aca="false">IF(29-Parametri_v3!$C$21&lt;1,0,INDEX($AU$365:$AU$424,MAX(1,29-Parametri_v3!$C$21)))*Parametri_v3!$C$18*Parametri_v3!$C$19*Parametri_v3!$C$20</f>
        <v>10.5</v>
      </c>
      <c r="BC393" s="17" t="n">
        <f aca="false">MAX(0,MIN(AY393,BA393,BB393,MAX(0,AZ393-(AV393-AW393))))</f>
        <v>6.22789</v>
      </c>
      <c r="BD393" s="17" t="n">
        <f aca="false">AV393-AW393+BC393</f>
        <v>48.68758575269</v>
      </c>
      <c r="BE393" s="17" t="n">
        <f aca="false">(AV393+BD393)/2</f>
        <v>45.7608604249907</v>
      </c>
      <c r="BF393" s="15" t="n">
        <f aca="false">BE393*INDEX(Ipotesi!$C$33:$G$33,1,F393)*H393/12</f>
        <v>20973.7276947874</v>
      </c>
      <c r="BG393" s="15" t="n">
        <f aca="false">BD393*INDEX(Ipotesi!$C$33:$G$33,1,F393)*H393</f>
        <v>267781.721639795</v>
      </c>
      <c r="BH393" s="15" t="n">
        <f aca="false">AM393*INDEX(Ipotesi!$C$37:$G$37,1,F393)</f>
        <v>6050</v>
      </c>
      <c r="BI393" s="15" t="n">
        <f aca="false">AQ393+BF393+BH393</f>
        <v>68690.3943614541</v>
      </c>
      <c r="BJ393" s="15" t="n">
        <f aca="false">INDEX(Ipotesi!$C$68:$G$68,1,F393)*Ipotesi!$C$69/12</f>
        <v>2400</v>
      </c>
      <c r="BK393" s="15" t="n">
        <f aca="false">INDEX(Ipotesi!$C$68:$G$68,1,F393)*(1-Ipotesi!$C$69)/12</f>
        <v>3600</v>
      </c>
      <c r="BL393" s="15" t="n">
        <f aca="false">(AQ393+BF393)*Ipotesi!$C$67</f>
        <v>1879.21183084362</v>
      </c>
      <c r="BM393" s="15" t="n">
        <f aca="false">AM393*Ipotesi!$C$67</f>
        <v>1815</v>
      </c>
      <c r="BN393" s="15" t="n">
        <f aca="false">INDEX(Ipotesi!$C$72:$G$72,1,F393)/12*Ipotesi!I126+BF393*Ipotesi!$C$73</f>
        <v>2927.89821558299</v>
      </c>
      <c r="BO393" s="15" t="n">
        <f aca="false">INDEX(Ipotesi!$C$74:$G$74,1,F393)/12*Ipotesi!I126</f>
        <v>2916.66666666667</v>
      </c>
      <c r="BP393" s="15" t="n">
        <f aca="false">INDEX(Ipotesi!$C$76:$G$76,1,F393)/12</f>
        <v>1083.33333333333</v>
      </c>
      <c r="BQ393" s="15" t="n">
        <f aca="false">INDEX(Ipotesi!$C$77:$G$77,1,F393)/12*Ipotesi!I126</f>
        <v>2083.33333333333</v>
      </c>
      <c r="BR393" s="15" t="n">
        <f aca="false">INDEX(Ipotesi!$C$78:$G$78,1,F393)/12</f>
        <v>1666.66666666667</v>
      </c>
      <c r="BS393" s="15" t="n">
        <f aca="false">SUM(M393:R393)*(Ipotesi!$C$85+Ipotesi!$C$86)/12</f>
        <v>4812.5</v>
      </c>
      <c r="BT393" s="15" t="n">
        <f aca="false">BI393*Ipotesi!$C$87</f>
        <v>2060.71183084362</v>
      </c>
      <c r="BU393" s="15" t="n">
        <f aca="false">INDEX(Ipotesi!$C$55:$G$55,1,F393)*K393/12</f>
        <v>1500</v>
      </c>
      <c r="BV393" s="15" t="n">
        <f aca="false">INDEX(Ipotesi!$C$80:$G$80,1,F393)/12*Ipotesi!I126</f>
        <v>1250</v>
      </c>
      <c r="BW393" s="15" t="n">
        <f aca="false">INDEX(Ipotesi!$C$82:$G$82,1,F393)/12</f>
        <v>1000</v>
      </c>
      <c r="BX393" s="15" t="n">
        <f aca="false">INDEX(Ipotesi!$C$83:$G$83,1,F393)/12</f>
        <v>666.666666666667</v>
      </c>
      <c r="BY393" s="15" t="n">
        <f aca="false">SUM(S393:U393)*(Ipotesi!$C$85+Ipotesi!$C$86)/12</f>
        <v>1895.83333333333</v>
      </c>
      <c r="BZ393" s="15" t="n">
        <f aca="false">AM393*Ipotesi!$C$87</f>
        <v>1815</v>
      </c>
      <c r="CA393" s="15" t="n">
        <f aca="false">AB393+BJ393+BL393+BN393+BO393+AR393+BP393+BQ393+BR393+BS393+BT393</f>
        <v>116103.988543937</v>
      </c>
      <c r="CB393" s="15" t="n">
        <f aca="false">AC393+BK393+BM393+BH393+BU393+BV393+AS393+BW393+BX393+BY393+BZ393</f>
        <v>46259.8958333333</v>
      </c>
      <c r="CC393" s="15" t="n">
        <f aca="false">BI393-CA393</f>
        <v>-47413.5941824828</v>
      </c>
      <c r="CD393" s="15" t="n">
        <f aca="false">AM393-CB393</f>
        <v>14240.1041666667</v>
      </c>
      <c r="CE393" s="15" t="n">
        <f aca="false">INDEX(Ipotesi!$C$79:$G$79,1,F393)/12</f>
        <v>2500</v>
      </c>
      <c r="CF393" s="15" t="n">
        <f aca="false">INDEX(Ipotesi!$C$84:$G$84,1,F393)/12</f>
        <v>416.666666666667</v>
      </c>
      <c r="CG393" s="15" t="n">
        <f aca="false">Y393*MAX(0,Parametri_v3!$C$12-IF(P393=0,0,MIN(1,BE393/(P393*Parametri_v3!$C$22))))+W393*Parametri_v3!$C$13+X393*Parametri_v3!$C$14</f>
        <v>27151.9292989636</v>
      </c>
      <c r="CH393" s="15" t="n">
        <f aca="false">AB393*Parametri_v3!$C$32</f>
        <v>3713.68333333333</v>
      </c>
      <c r="CI393" s="15" t="n">
        <f aca="false">AC393*Parametri_v3!$C$32</f>
        <v>1270.86979166667</v>
      </c>
      <c r="CJ393" s="15" t="n">
        <f aca="false">CA393-AB393</f>
        <v>41830.3218772702</v>
      </c>
      <c r="CK393" s="15" t="n">
        <f aca="false">CB393-AC393-BH393</f>
        <v>14792.5</v>
      </c>
      <c r="CL393" s="15" t="n">
        <f aca="false">BF393*Ipotesi!$C$73+INDEX(Ipotesi!$C$72:$G$72,1,F393)/12*Ipotesi!I126*Parametri_v3!$C$58+Z393*(1-Parametri_v3!$C$16)</f>
        <v>7701.94821558299</v>
      </c>
      <c r="CM393" s="16" t="n">
        <f aca="false">IF(BF393=0,0,1-CL393/BF393)</f>
        <v>0.632781147554559</v>
      </c>
    </row>
    <row r="394" customFormat="false" ht="18" hidden="false" customHeight="true" outlineLevel="0" collapsed="false">
      <c r="A394" s="68" t="n">
        <f aca="false">7</f>
        <v>7</v>
      </c>
      <c r="B394" s="68" t="n">
        <f aca="false">30</f>
        <v>30</v>
      </c>
      <c r="C394" s="18" t="n">
        <f aca="false">EDATE(Parametri_v3!$C$5,30-1)</f>
        <v>47270</v>
      </c>
      <c r="D394" s="68" t="n">
        <f aca="false">YEAR(C394)</f>
        <v>2029</v>
      </c>
      <c r="E394" s="68" t="n">
        <f aca="false">MONTH(C394)</f>
        <v>6</v>
      </c>
      <c r="F394" s="68" t="n">
        <f aca="false">INT((30-1)/12)+1</f>
        <v>3</v>
      </c>
      <c r="G394" s="15" t="n">
        <f aca="false">Ipotesi!I7</f>
        <v>1</v>
      </c>
      <c r="H394" s="15" t="n">
        <f aca="false">Ipotesi!I9</f>
        <v>1</v>
      </c>
      <c r="I394" s="15" t="n">
        <f aca="false">Ipotesi!I10</f>
        <v>1</v>
      </c>
      <c r="J394" s="15" t="n">
        <f aca="false">Ipotesi!I11</f>
        <v>1</v>
      </c>
      <c r="K394" s="15" t="n">
        <f aca="false">Ipotesi!I12</f>
        <v>1</v>
      </c>
      <c r="L394" s="15" t="n">
        <f aca="false">Ipotesi!I13</f>
        <v>90</v>
      </c>
      <c r="M394" s="17" t="n">
        <f aca="false">INDEX(Ipotesi!$C$40:$G$40,1,F394)</f>
        <v>1</v>
      </c>
      <c r="N394" s="17" t="n">
        <f aca="false">INDEX(Ipotesi!$C$41:$G$41,1,F394)</f>
        <v>1</v>
      </c>
      <c r="O394" s="17" t="n">
        <f aca="false">INDEX(Ipotesi!$C$42:$G$42,1,F394)*Ipotesi!I125</f>
        <v>4.5</v>
      </c>
      <c r="P394" s="17" t="n">
        <f aca="false">INDEX(Ipotesi!$C$43:$G$43,1,F394)*I394</f>
        <v>5</v>
      </c>
      <c r="Q394" s="17" t="n">
        <f aca="false">INDEX(Ipotesi!$C$44:$G$44,1,F394)*I394</f>
        <v>4</v>
      </c>
      <c r="R394" s="17" t="n">
        <f aca="false">INDEX(Ipotesi!$C$45:$G$45,1,F394)*I394</f>
        <v>1</v>
      </c>
      <c r="S394" s="17" t="n">
        <f aca="false">INDEX(Ipotesi!$C$52:$G$52,1,F394)*Ipotesi!I125</f>
        <v>5</v>
      </c>
      <c r="T394" s="17" t="n">
        <f aca="false">INDEX(Ipotesi!$C$53:$G$53,1,F394)*I394</f>
        <v>1</v>
      </c>
      <c r="U394" s="17" t="n">
        <f aca="false">INDEX(Ipotesi!$C$54:$G$54,1,F394)*I394</f>
        <v>0.5</v>
      </c>
      <c r="V394" s="15" t="n">
        <f aca="false">M394*INDEX(Ipotesi!$C$58:$G$58,1,F394)*K394/12</f>
        <v>7083.33333333333</v>
      </c>
      <c r="W394" s="15" t="n">
        <f aca="false">N394*Ipotesi!$C$59*(1+Ipotesi!$C$66)^(F394-1)/12</f>
        <v>6188.58333333333</v>
      </c>
      <c r="X394" s="15" t="n">
        <f aca="false">O394*Ipotesi!$C$60*(1+Ipotesi!$C$66)^(F394-1)/12</f>
        <v>19891.875</v>
      </c>
      <c r="Y394" s="15" t="n">
        <f aca="false">P394*Ipotesi!$C$61*(1+Ipotesi!$C$66)^(F394-1)/12</f>
        <v>22102.0833333333</v>
      </c>
      <c r="Z394" s="15" t="n">
        <f aca="false">Q394*Ipotesi!$C$62*(1+Ipotesi!$C$66)^(F394-1)/12</f>
        <v>15913.5</v>
      </c>
      <c r="AA394" s="15" t="n">
        <f aca="false">R394*Ipotesi!$C$63*(1+Ipotesi!$C$66)^(F394-1)/12</f>
        <v>3094.29166666667</v>
      </c>
      <c r="AB394" s="15" t="n">
        <f aca="false">SUM(V394:AA394)</f>
        <v>74273.6666666667</v>
      </c>
      <c r="AC394" s="15" t="n">
        <f aca="false">(S394*Ipotesi!$C$64+T394*Ipotesi!$C$65+U394*Ipotesi!$C$63)*(1+Ipotesi!$C$66)^(F394-1)/12</f>
        <v>25417.3958333333</v>
      </c>
      <c r="AD394" s="15" t="n">
        <f aca="false">INDEX(Ipotesi!$C$48:$G$48,1,F394)*G394/12</f>
        <v>60</v>
      </c>
      <c r="AE394" s="15" t="n">
        <f aca="false">INDEX(Ipotesi!$C$50:$G$50,1,F394)*G394/12</f>
        <v>6.66666666666667</v>
      </c>
      <c r="AF394" s="15" t="n">
        <f aca="false">(S394*Parametri_v3!$C$7*Parametri_v3!$C$8+Parametri_v3!$C$10)/12</f>
        <v>64.1666666666667</v>
      </c>
      <c r="AG394" s="15" t="n">
        <f aca="false">AD394+AE394*(1+Parametri_v3!$C$9)</f>
        <v>70</v>
      </c>
      <c r="AH394" s="16" t="n">
        <f aca="false">IF(AG394=0,1,MIN(1,AF394/AG394))</f>
        <v>0.916666666666667</v>
      </c>
      <c r="AI394" s="15" t="n">
        <f aca="false">AD394*AH394</f>
        <v>55</v>
      </c>
      <c r="AJ394" s="15" t="n">
        <f aca="false">AE394*AH394</f>
        <v>6.11111111111111</v>
      </c>
      <c r="AK394" s="15" t="n">
        <f aca="false">AI394*INDEX(Ipotesi!$C$49:$G$49,1,F394)*H394</f>
        <v>46750</v>
      </c>
      <c r="AL394" s="15" t="n">
        <f aca="false">AJ394*INDEX(Ipotesi!$C$51:$G$51,1,F394)*H394</f>
        <v>13750</v>
      </c>
      <c r="AM394" s="15" t="n">
        <f aca="false">AK394+AL394</f>
        <v>60500</v>
      </c>
      <c r="AN394" s="15" t="n">
        <f aca="false">INDEX(Ipotesi!$C$30:$G$30,1,F394)*G394/12</f>
        <v>41.6666666666667</v>
      </c>
      <c r="AO394" s="15" t="n">
        <f aca="false">O394*Parametri_v3!$C$7*Parametri_v3!$C$11*(1-Parametri_v3!$C$14)/12</f>
        <v>46.2</v>
      </c>
      <c r="AP394" s="15" t="n">
        <f aca="false">MIN(AN394,AO394)</f>
        <v>41.6666666666667</v>
      </c>
      <c r="AQ394" s="15" t="n">
        <f aca="false">AP394*INDEX(Ipotesi!$C$31:$G$31,1,F394)*H394</f>
        <v>41666.6666666667</v>
      </c>
      <c r="AR394" s="15" t="n">
        <f aca="false">INDEX(Ipotesi!$C$75:$G$75,1,F394)*J394/12</f>
        <v>20000</v>
      </c>
      <c r="AS394" s="15" t="n">
        <f aca="false">INDEX(Ipotesi!$C$81:$G$81,1,F394)*J394/12</f>
        <v>1250</v>
      </c>
      <c r="AT394" s="15" t="n">
        <f aca="false">AR394*Parametri_v3!$C$15+Z394*Parametri_v3!$C$16</f>
        <v>31139.45</v>
      </c>
      <c r="AU394" s="15" t="n">
        <f aca="false">Q394*Parametri_v3!$C$16*Parametri_v3!$C$17</f>
        <v>280</v>
      </c>
      <c r="AV394" s="17" t="n">
        <f aca="false">BD393</f>
        <v>48.68758575269</v>
      </c>
      <c r="AW394" s="17" t="n">
        <f aca="false">AV394*(1-(1-INDEX(Ipotesi!$C$34:$G$34,1,F394))^(1/12))</f>
        <v>0.425607932973451</v>
      </c>
      <c r="AX394" s="15" t="n">
        <f aca="false">ROUND(INDEX(Ipotesi!$C$32:$G$32,1,F394)*Ipotesi!I8,0)</f>
        <v>130</v>
      </c>
      <c r="AY394" s="15" t="n">
        <f aca="false">MAX(0,(AX394-(AV394-AW394))/(13-E394))</f>
        <v>11.6768603114691</v>
      </c>
      <c r="AZ394" s="15" t="n">
        <f aca="false">MIN(P394*Parametri_v3!$C$22,Q394*(1-Parametri_v3!$C$16)*Parametri_v3!$C$23)</f>
        <v>180</v>
      </c>
      <c r="BA394" s="15" t="n">
        <f aca="false">IF(OR(INDEX(Ipotesi!$C$35:$G$35,1,F394)&lt;=0,30-Parametri_v3!$C$21&lt;1),0,INDEX($AT$365:$AT$424,MAX(1,30-Parametri_v3!$C$21))/(INDEX(Ipotesi!$C$35:$G$35,1,F394)*Ipotesi!I27))</f>
        <v>6.22789</v>
      </c>
      <c r="BB394" s="15" t="n">
        <f aca="false">IF(30-Parametri_v3!$C$21&lt;1,0,INDEX($AU$365:$AU$424,MAX(1,30-Parametri_v3!$C$21)))*Parametri_v3!$C$18*Parametri_v3!$C$19*Parametri_v3!$C$20</f>
        <v>10.5</v>
      </c>
      <c r="BC394" s="17" t="n">
        <f aca="false">MAX(0,MIN(AY394,BA394,BB394,MAX(0,AZ394-(AV394-AW394))))</f>
        <v>6.22789</v>
      </c>
      <c r="BD394" s="17" t="n">
        <f aca="false">AV394-AW394+BC394</f>
        <v>54.4898678197165</v>
      </c>
      <c r="BE394" s="17" t="n">
        <f aca="false">(AV394+BD394)/2</f>
        <v>51.5887267862032</v>
      </c>
      <c r="BF394" s="15" t="n">
        <f aca="false">BE394*INDEX(Ipotesi!$C$33:$G$33,1,F394)*H394/12</f>
        <v>23644.8331103431</v>
      </c>
      <c r="BG394" s="15" t="n">
        <f aca="false">BD394*INDEX(Ipotesi!$C$33:$G$33,1,F394)*H394</f>
        <v>299694.273008441</v>
      </c>
      <c r="BH394" s="15" t="n">
        <f aca="false">AM394*INDEX(Ipotesi!$C$37:$G$37,1,F394)</f>
        <v>6050</v>
      </c>
      <c r="BI394" s="15" t="n">
        <f aca="false">AQ394+BF394+BH394</f>
        <v>71361.4997770098</v>
      </c>
      <c r="BJ394" s="15" t="n">
        <f aca="false">INDEX(Ipotesi!$C$68:$G$68,1,F394)*Ipotesi!$C$69/12</f>
        <v>2400</v>
      </c>
      <c r="BK394" s="15" t="n">
        <f aca="false">INDEX(Ipotesi!$C$68:$G$68,1,F394)*(1-Ipotesi!$C$69)/12</f>
        <v>3600</v>
      </c>
      <c r="BL394" s="15" t="n">
        <f aca="false">(AQ394+BF394)*Ipotesi!$C$67</f>
        <v>1959.34499331029</v>
      </c>
      <c r="BM394" s="15" t="n">
        <f aca="false">AM394*Ipotesi!$C$67</f>
        <v>1815</v>
      </c>
      <c r="BN394" s="15" t="n">
        <f aca="false">INDEX(Ipotesi!$C$72:$G$72,1,F394)/12*Ipotesi!I126+BF394*Ipotesi!$C$73</f>
        <v>3141.58664882745</v>
      </c>
      <c r="BO394" s="15" t="n">
        <f aca="false">INDEX(Ipotesi!$C$74:$G$74,1,F394)/12*Ipotesi!I126</f>
        <v>2916.66666666667</v>
      </c>
      <c r="BP394" s="15" t="n">
        <f aca="false">INDEX(Ipotesi!$C$76:$G$76,1,F394)/12</f>
        <v>1083.33333333333</v>
      </c>
      <c r="BQ394" s="15" t="n">
        <f aca="false">INDEX(Ipotesi!$C$77:$G$77,1,F394)/12*Ipotesi!I126</f>
        <v>2083.33333333333</v>
      </c>
      <c r="BR394" s="15" t="n">
        <f aca="false">INDEX(Ipotesi!$C$78:$G$78,1,F394)/12</f>
        <v>1666.66666666667</v>
      </c>
      <c r="BS394" s="15" t="n">
        <f aca="false">SUM(M394:R394)*(Ipotesi!$C$85+Ipotesi!$C$86)/12</f>
        <v>4812.5</v>
      </c>
      <c r="BT394" s="15" t="n">
        <f aca="false">BI394*Ipotesi!$C$87</f>
        <v>2140.84499331029</v>
      </c>
      <c r="BU394" s="15" t="n">
        <f aca="false">INDEX(Ipotesi!$C$55:$G$55,1,F394)*K394/12</f>
        <v>1500</v>
      </c>
      <c r="BV394" s="15" t="n">
        <f aca="false">INDEX(Ipotesi!$C$80:$G$80,1,F394)/12*Ipotesi!I126</f>
        <v>1250</v>
      </c>
      <c r="BW394" s="15" t="n">
        <f aca="false">INDEX(Ipotesi!$C$82:$G$82,1,F394)/12</f>
        <v>1000</v>
      </c>
      <c r="BX394" s="15" t="n">
        <f aca="false">INDEX(Ipotesi!$C$83:$G$83,1,F394)/12</f>
        <v>666.666666666667</v>
      </c>
      <c r="BY394" s="15" t="n">
        <f aca="false">SUM(S394:U394)*(Ipotesi!$C$85+Ipotesi!$C$86)/12</f>
        <v>1895.83333333333</v>
      </c>
      <c r="BZ394" s="15" t="n">
        <f aca="false">AM394*Ipotesi!$C$87</f>
        <v>1815</v>
      </c>
      <c r="CA394" s="15" t="n">
        <f aca="false">AB394+BJ394+BL394+BN394+BO394+AR394+BP394+BQ394+BR394+BS394+BT394</f>
        <v>116477.943302115</v>
      </c>
      <c r="CB394" s="15" t="n">
        <f aca="false">AC394+BK394+BM394+BH394+BU394+BV394+AS394+BW394+BX394+BY394+BZ394</f>
        <v>46259.8958333333</v>
      </c>
      <c r="CC394" s="15" t="n">
        <f aca="false">BI394-CA394</f>
        <v>-45116.4435251049</v>
      </c>
      <c r="CD394" s="15" t="n">
        <f aca="false">AM394-CB394</f>
        <v>14240.1041666667</v>
      </c>
      <c r="CE394" s="15" t="n">
        <f aca="false">INDEX(Ipotesi!$C$79:$G$79,1,F394)/12</f>
        <v>2500</v>
      </c>
      <c r="CF394" s="15" t="n">
        <f aca="false">INDEX(Ipotesi!$C$84:$G$84,1,F394)/12</f>
        <v>416.666666666667</v>
      </c>
      <c r="CG394" s="15" t="n">
        <f aca="false">Y394*MAX(0,Parametri_v3!$C$12-IF(P394=0,0,MIN(1,BE394/(P394*Parametri_v3!$C$22))))+W394*Parametri_v3!$C$13+X394*Parametri_v3!$C$14</f>
        <v>26894.3133230215</v>
      </c>
      <c r="CH394" s="15" t="n">
        <f aca="false">AB394*Parametri_v3!$C$32</f>
        <v>3713.68333333333</v>
      </c>
      <c r="CI394" s="15" t="n">
        <f aca="false">AC394*Parametri_v3!$C$32</f>
        <v>1270.86979166667</v>
      </c>
      <c r="CJ394" s="15" t="n">
        <f aca="false">CA394-AB394</f>
        <v>42204.276635448</v>
      </c>
      <c r="CK394" s="15" t="n">
        <f aca="false">CB394-AC394-BH394</f>
        <v>14792.5</v>
      </c>
      <c r="CL394" s="15" t="n">
        <f aca="false">BF394*Ipotesi!$C$73+INDEX(Ipotesi!$C$72:$G$72,1,F394)/12*Ipotesi!I126*Parametri_v3!$C$58+Z394*(1-Parametri_v3!$C$16)</f>
        <v>7915.63664882745</v>
      </c>
      <c r="CM394" s="16" t="n">
        <f aca="false">IF(BF394=0,0,1-CL394/BF394)</f>
        <v>0.665227637180283</v>
      </c>
    </row>
    <row r="395" customFormat="false" ht="18" hidden="false" customHeight="true" outlineLevel="0" collapsed="false">
      <c r="A395" s="68" t="n">
        <f aca="false">7</f>
        <v>7</v>
      </c>
      <c r="B395" s="68" t="n">
        <f aca="false">31</f>
        <v>31</v>
      </c>
      <c r="C395" s="18" t="n">
        <f aca="false">EDATE(Parametri_v3!$C$5,31-1)</f>
        <v>47300</v>
      </c>
      <c r="D395" s="68" t="n">
        <f aca="false">YEAR(C395)</f>
        <v>2029</v>
      </c>
      <c r="E395" s="68" t="n">
        <f aca="false">MONTH(C395)</f>
        <v>7</v>
      </c>
      <c r="F395" s="68" t="n">
        <f aca="false">INT((31-1)/12)+1</f>
        <v>3</v>
      </c>
      <c r="G395" s="15" t="n">
        <f aca="false">Ipotesi!I7</f>
        <v>1</v>
      </c>
      <c r="H395" s="15" t="n">
        <f aca="false">Ipotesi!I9</f>
        <v>1</v>
      </c>
      <c r="I395" s="15" t="n">
        <f aca="false">Ipotesi!I10</f>
        <v>1</v>
      </c>
      <c r="J395" s="15" t="n">
        <f aca="false">Ipotesi!I11</f>
        <v>1</v>
      </c>
      <c r="K395" s="15" t="n">
        <f aca="false">Ipotesi!I12</f>
        <v>1</v>
      </c>
      <c r="L395" s="15" t="n">
        <f aca="false">Ipotesi!I13</f>
        <v>90</v>
      </c>
      <c r="M395" s="17" t="n">
        <f aca="false">INDEX(Ipotesi!$C$40:$G$40,1,F395)</f>
        <v>1</v>
      </c>
      <c r="N395" s="17" t="n">
        <f aca="false">INDEX(Ipotesi!$C$41:$G$41,1,F395)</f>
        <v>1</v>
      </c>
      <c r="O395" s="17" t="n">
        <f aca="false">INDEX(Ipotesi!$C$42:$G$42,1,F395)*Ipotesi!I125</f>
        <v>4.5</v>
      </c>
      <c r="P395" s="17" t="n">
        <f aca="false">INDEX(Ipotesi!$C$43:$G$43,1,F395)*I395</f>
        <v>5</v>
      </c>
      <c r="Q395" s="17" t="n">
        <f aca="false">INDEX(Ipotesi!$C$44:$G$44,1,F395)*I395</f>
        <v>4</v>
      </c>
      <c r="R395" s="17" t="n">
        <f aca="false">INDEX(Ipotesi!$C$45:$G$45,1,F395)*I395</f>
        <v>1</v>
      </c>
      <c r="S395" s="17" t="n">
        <f aca="false">INDEX(Ipotesi!$C$52:$G$52,1,F395)*Ipotesi!I125</f>
        <v>5</v>
      </c>
      <c r="T395" s="17" t="n">
        <f aca="false">INDEX(Ipotesi!$C$53:$G$53,1,F395)*I395</f>
        <v>1</v>
      </c>
      <c r="U395" s="17" t="n">
        <f aca="false">INDEX(Ipotesi!$C$54:$G$54,1,F395)*I395</f>
        <v>0.5</v>
      </c>
      <c r="V395" s="15" t="n">
        <f aca="false">M395*INDEX(Ipotesi!$C$58:$G$58,1,F395)*K395/12</f>
        <v>7083.33333333333</v>
      </c>
      <c r="W395" s="15" t="n">
        <f aca="false">N395*Ipotesi!$C$59*(1+Ipotesi!$C$66)^(F395-1)/12</f>
        <v>6188.58333333333</v>
      </c>
      <c r="X395" s="15" t="n">
        <f aca="false">O395*Ipotesi!$C$60*(1+Ipotesi!$C$66)^(F395-1)/12</f>
        <v>19891.875</v>
      </c>
      <c r="Y395" s="15" t="n">
        <f aca="false">P395*Ipotesi!$C$61*(1+Ipotesi!$C$66)^(F395-1)/12</f>
        <v>22102.0833333333</v>
      </c>
      <c r="Z395" s="15" t="n">
        <f aca="false">Q395*Ipotesi!$C$62*(1+Ipotesi!$C$66)^(F395-1)/12</f>
        <v>15913.5</v>
      </c>
      <c r="AA395" s="15" t="n">
        <f aca="false">R395*Ipotesi!$C$63*(1+Ipotesi!$C$66)^(F395-1)/12</f>
        <v>3094.29166666667</v>
      </c>
      <c r="AB395" s="15" t="n">
        <f aca="false">SUM(V395:AA395)</f>
        <v>74273.6666666667</v>
      </c>
      <c r="AC395" s="15" t="n">
        <f aca="false">(S395*Ipotesi!$C$64+T395*Ipotesi!$C$65+U395*Ipotesi!$C$63)*(1+Ipotesi!$C$66)^(F395-1)/12</f>
        <v>25417.3958333333</v>
      </c>
      <c r="AD395" s="15" t="n">
        <f aca="false">INDEX(Ipotesi!$C$48:$G$48,1,F395)*G395/12</f>
        <v>60</v>
      </c>
      <c r="AE395" s="15" t="n">
        <f aca="false">INDEX(Ipotesi!$C$50:$G$50,1,F395)*G395/12</f>
        <v>6.66666666666667</v>
      </c>
      <c r="AF395" s="15" t="n">
        <f aca="false">(S395*Parametri_v3!$C$7*Parametri_v3!$C$8+Parametri_v3!$C$10)/12</f>
        <v>64.1666666666667</v>
      </c>
      <c r="AG395" s="15" t="n">
        <f aca="false">AD395+AE395*(1+Parametri_v3!$C$9)</f>
        <v>70</v>
      </c>
      <c r="AH395" s="16" t="n">
        <f aca="false">IF(AG395=0,1,MIN(1,AF395/AG395))</f>
        <v>0.916666666666667</v>
      </c>
      <c r="AI395" s="15" t="n">
        <f aca="false">AD395*AH395</f>
        <v>55</v>
      </c>
      <c r="AJ395" s="15" t="n">
        <f aca="false">AE395*AH395</f>
        <v>6.11111111111111</v>
      </c>
      <c r="AK395" s="15" t="n">
        <f aca="false">AI395*INDEX(Ipotesi!$C$49:$G$49,1,F395)*H395</f>
        <v>46750</v>
      </c>
      <c r="AL395" s="15" t="n">
        <f aca="false">AJ395*INDEX(Ipotesi!$C$51:$G$51,1,F395)*H395</f>
        <v>13750</v>
      </c>
      <c r="AM395" s="15" t="n">
        <f aca="false">AK395+AL395</f>
        <v>60500</v>
      </c>
      <c r="AN395" s="15" t="n">
        <f aca="false">INDEX(Ipotesi!$C$30:$G$30,1,F395)*G395/12</f>
        <v>41.6666666666667</v>
      </c>
      <c r="AO395" s="15" t="n">
        <f aca="false">O395*Parametri_v3!$C$7*Parametri_v3!$C$11*(1-Parametri_v3!$C$14)/12</f>
        <v>46.2</v>
      </c>
      <c r="AP395" s="15" t="n">
        <f aca="false">MIN(AN395,AO395)</f>
        <v>41.6666666666667</v>
      </c>
      <c r="AQ395" s="15" t="n">
        <f aca="false">AP395*INDEX(Ipotesi!$C$31:$G$31,1,F395)*H395</f>
        <v>41666.6666666667</v>
      </c>
      <c r="AR395" s="15" t="n">
        <f aca="false">INDEX(Ipotesi!$C$75:$G$75,1,F395)*J395/12</f>
        <v>20000</v>
      </c>
      <c r="AS395" s="15" t="n">
        <f aca="false">INDEX(Ipotesi!$C$81:$G$81,1,F395)*J395/12</f>
        <v>1250</v>
      </c>
      <c r="AT395" s="15" t="n">
        <f aca="false">AR395*Parametri_v3!$C$15+Z395*Parametri_v3!$C$16</f>
        <v>31139.45</v>
      </c>
      <c r="AU395" s="15" t="n">
        <f aca="false">Q395*Parametri_v3!$C$16*Parametri_v3!$C$17</f>
        <v>280</v>
      </c>
      <c r="AV395" s="17" t="n">
        <f aca="false">BD394</f>
        <v>54.4898678197165</v>
      </c>
      <c r="AW395" s="17" t="n">
        <f aca="false">AV395*(1-(1-INDEX(Ipotesi!$C$34:$G$34,1,F395))^(1/12))</f>
        <v>0.47632922545281</v>
      </c>
      <c r="AX395" s="15" t="n">
        <f aca="false">ROUND(INDEX(Ipotesi!$C$32:$G$32,1,F395)*Ipotesi!I8,0)</f>
        <v>130</v>
      </c>
      <c r="AY395" s="15" t="n">
        <f aca="false">MAX(0,(AX395-(AV395-AW395))/(13-E395))</f>
        <v>12.6644102342894</v>
      </c>
      <c r="AZ395" s="15" t="n">
        <f aca="false">MIN(P395*Parametri_v3!$C$22,Q395*(1-Parametri_v3!$C$16)*Parametri_v3!$C$23)</f>
        <v>180</v>
      </c>
      <c r="BA395" s="15" t="n">
        <f aca="false">IF(OR(INDEX(Ipotesi!$C$35:$G$35,1,F395)&lt;=0,31-Parametri_v3!$C$21&lt;1),0,INDEX($AT$365:$AT$424,MAX(1,31-Parametri_v3!$C$21))/(INDEX(Ipotesi!$C$35:$G$35,1,F395)*Ipotesi!I27))</f>
        <v>6.22789</v>
      </c>
      <c r="BB395" s="15" t="n">
        <f aca="false">IF(31-Parametri_v3!$C$21&lt;1,0,INDEX($AU$365:$AU$424,MAX(1,31-Parametri_v3!$C$21)))*Parametri_v3!$C$18*Parametri_v3!$C$19*Parametri_v3!$C$20</f>
        <v>10.5</v>
      </c>
      <c r="BC395" s="17" t="n">
        <f aca="false">MAX(0,MIN(AY395,BA395,BB395,MAX(0,AZ395-(AV395-AW395))))</f>
        <v>6.22789</v>
      </c>
      <c r="BD395" s="17" t="n">
        <f aca="false">AV395-AW395+BC395</f>
        <v>60.2414285942637</v>
      </c>
      <c r="BE395" s="17" t="n">
        <f aca="false">(AV395+BD395)/2</f>
        <v>57.3656482069901</v>
      </c>
      <c r="BF395" s="15" t="n">
        <f aca="false">BE395*INDEX(Ipotesi!$C$33:$G$33,1,F395)*H395/12</f>
        <v>26292.5887615371</v>
      </c>
      <c r="BG395" s="15" t="n">
        <f aca="false">BD395*INDEX(Ipotesi!$C$33:$G$33,1,F395)*H395</f>
        <v>331327.85726845</v>
      </c>
      <c r="BH395" s="15" t="n">
        <f aca="false">AM395*INDEX(Ipotesi!$C$37:$G$37,1,F395)</f>
        <v>6050</v>
      </c>
      <c r="BI395" s="15" t="n">
        <f aca="false">AQ395+BF395+BH395</f>
        <v>74009.2554282038</v>
      </c>
      <c r="BJ395" s="15" t="n">
        <f aca="false">INDEX(Ipotesi!$C$68:$G$68,1,F395)*Ipotesi!$C$69/12</f>
        <v>2400</v>
      </c>
      <c r="BK395" s="15" t="n">
        <f aca="false">INDEX(Ipotesi!$C$68:$G$68,1,F395)*(1-Ipotesi!$C$69)/12</f>
        <v>3600</v>
      </c>
      <c r="BL395" s="15" t="n">
        <f aca="false">(AQ395+BF395)*Ipotesi!$C$67</f>
        <v>2038.77766284611</v>
      </c>
      <c r="BM395" s="15" t="n">
        <f aca="false">AM395*Ipotesi!$C$67</f>
        <v>1815</v>
      </c>
      <c r="BN395" s="15" t="n">
        <f aca="false">INDEX(Ipotesi!$C$72:$G$72,1,F395)/12*Ipotesi!I126+BF395*Ipotesi!$C$73</f>
        <v>3353.40710092297</v>
      </c>
      <c r="BO395" s="15" t="n">
        <f aca="false">INDEX(Ipotesi!$C$74:$G$74,1,F395)/12*Ipotesi!I126</f>
        <v>2916.66666666667</v>
      </c>
      <c r="BP395" s="15" t="n">
        <f aca="false">INDEX(Ipotesi!$C$76:$G$76,1,F395)/12</f>
        <v>1083.33333333333</v>
      </c>
      <c r="BQ395" s="15" t="n">
        <f aca="false">INDEX(Ipotesi!$C$77:$G$77,1,F395)/12*Ipotesi!I126</f>
        <v>2083.33333333333</v>
      </c>
      <c r="BR395" s="15" t="n">
        <f aca="false">INDEX(Ipotesi!$C$78:$G$78,1,F395)/12</f>
        <v>1666.66666666667</v>
      </c>
      <c r="BS395" s="15" t="n">
        <f aca="false">SUM(M395:R395)*(Ipotesi!$C$85+Ipotesi!$C$86)/12</f>
        <v>4812.5</v>
      </c>
      <c r="BT395" s="15" t="n">
        <f aca="false">BI395*Ipotesi!$C$87</f>
        <v>2220.27766284611</v>
      </c>
      <c r="BU395" s="15" t="n">
        <f aca="false">INDEX(Ipotesi!$C$55:$G$55,1,F395)*K395/12</f>
        <v>1500</v>
      </c>
      <c r="BV395" s="15" t="n">
        <f aca="false">INDEX(Ipotesi!$C$80:$G$80,1,F395)/12*Ipotesi!I126</f>
        <v>1250</v>
      </c>
      <c r="BW395" s="15" t="n">
        <f aca="false">INDEX(Ipotesi!$C$82:$G$82,1,F395)/12</f>
        <v>1000</v>
      </c>
      <c r="BX395" s="15" t="n">
        <f aca="false">INDEX(Ipotesi!$C$83:$G$83,1,F395)/12</f>
        <v>666.666666666667</v>
      </c>
      <c r="BY395" s="15" t="n">
        <f aca="false">SUM(S395:U395)*(Ipotesi!$C$85+Ipotesi!$C$86)/12</f>
        <v>1895.83333333333</v>
      </c>
      <c r="BZ395" s="15" t="n">
        <f aca="false">AM395*Ipotesi!$C$87</f>
        <v>1815</v>
      </c>
      <c r="CA395" s="15" t="n">
        <f aca="false">AB395+BJ395+BL395+BN395+BO395+AR395+BP395+BQ395+BR395+BS395+BT395</f>
        <v>116848.629093282</v>
      </c>
      <c r="CB395" s="15" t="n">
        <f aca="false">AC395+BK395+BM395+BH395+BU395+BV395+AS395+BW395+BX395+BY395+BZ395</f>
        <v>46259.8958333333</v>
      </c>
      <c r="CC395" s="15" t="n">
        <f aca="false">BI395-CA395</f>
        <v>-42839.3736650781</v>
      </c>
      <c r="CD395" s="15" t="n">
        <f aca="false">AM395-CB395</f>
        <v>14240.1041666667</v>
      </c>
      <c r="CE395" s="15" t="n">
        <f aca="false">INDEX(Ipotesi!$C$79:$G$79,1,F395)/12</f>
        <v>2500</v>
      </c>
      <c r="CF395" s="15" t="n">
        <f aca="false">INDEX(Ipotesi!$C$84:$G$84,1,F395)/12</f>
        <v>416.666666666667</v>
      </c>
      <c r="CG395" s="15" t="n">
        <f aca="false">Y395*MAX(0,Parametri_v3!$C$12-IF(P395=0,0,MIN(1,BE395/(P395*Parametri_v3!$C$22))))+W395*Parametri_v3!$C$13+X395*Parametri_v3!$C$14</f>
        <v>26638.9493257168</v>
      </c>
      <c r="CH395" s="15" t="n">
        <f aca="false">AB395*Parametri_v3!$C$32</f>
        <v>3713.68333333333</v>
      </c>
      <c r="CI395" s="15" t="n">
        <f aca="false">AC395*Parametri_v3!$C$32</f>
        <v>1270.86979166667</v>
      </c>
      <c r="CJ395" s="15" t="n">
        <f aca="false">CA395-AB395</f>
        <v>42574.9624266152</v>
      </c>
      <c r="CK395" s="15" t="n">
        <f aca="false">CB395-AC395-BH395</f>
        <v>14792.5</v>
      </c>
      <c r="CL395" s="15" t="n">
        <f aca="false">BF395*Ipotesi!$C$73+INDEX(Ipotesi!$C$72:$G$72,1,F395)/12*Ipotesi!I126*Parametri_v3!$C$58+Z395*(1-Parametri_v3!$C$16)</f>
        <v>8127.45710092297</v>
      </c>
      <c r="CM395" s="16" t="n">
        <f aca="false">IF(BF395=0,0,1-CL395/BF395)</f>
        <v>0.690884105226928</v>
      </c>
    </row>
    <row r="396" customFormat="false" ht="18" hidden="false" customHeight="true" outlineLevel="0" collapsed="false">
      <c r="A396" s="68" t="n">
        <f aca="false">7</f>
        <v>7</v>
      </c>
      <c r="B396" s="68" t="n">
        <f aca="false">32</f>
        <v>32</v>
      </c>
      <c r="C396" s="18" t="n">
        <f aca="false">EDATE(Parametri_v3!$C$5,32-1)</f>
        <v>47331</v>
      </c>
      <c r="D396" s="68" t="n">
        <f aca="false">YEAR(C396)</f>
        <v>2029</v>
      </c>
      <c r="E396" s="68" t="n">
        <f aca="false">MONTH(C396)</f>
        <v>8</v>
      </c>
      <c r="F396" s="68" t="n">
        <f aca="false">INT((32-1)/12)+1</f>
        <v>3</v>
      </c>
      <c r="G396" s="15" t="n">
        <f aca="false">Ipotesi!I7</f>
        <v>1</v>
      </c>
      <c r="H396" s="15" t="n">
        <f aca="false">Ipotesi!I9</f>
        <v>1</v>
      </c>
      <c r="I396" s="15" t="n">
        <f aca="false">Ipotesi!I10</f>
        <v>1</v>
      </c>
      <c r="J396" s="15" t="n">
        <f aca="false">Ipotesi!I11</f>
        <v>1</v>
      </c>
      <c r="K396" s="15" t="n">
        <f aca="false">Ipotesi!I12</f>
        <v>1</v>
      </c>
      <c r="L396" s="15" t="n">
        <f aca="false">Ipotesi!I13</f>
        <v>90</v>
      </c>
      <c r="M396" s="17" t="n">
        <f aca="false">INDEX(Ipotesi!$C$40:$G$40,1,F396)</f>
        <v>1</v>
      </c>
      <c r="N396" s="17" t="n">
        <f aca="false">INDEX(Ipotesi!$C$41:$G$41,1,F396)</f>
        <v>1</v>
      </c>
      <c r="O396" s="17" t="n">
        <f aca="false">INDEX(Ipotesi!$C$42:$G$42,1,F396)*Ipotesi!I125</f>
        <v>4.5</v>
      </c>
      <c r="P396" s="17" t="n">
        <f aca="false">INDEX(Ipotesi!$C$43:$G$43,1,F396)*I396</f>
        <v>5</v>
      </c>
      <c r="Q396" s="17" t="n">
        <f aca="false">INDEX(Ipotesi!$C$44:$G$44,1,F396)*I396</f>
        <v>4</v>
      </c>
      <c r="R396" s="17" t="n">
        <f aca="false">INDEX(Ipotesi!$C$45:$G$45,1,F396)*I396</f>
        <v>1</v>
      </c>
      <c r="S396" s="17" t="n">
        <f aca="false">INDEX(Ipotesi!$C$52:$G$52,1,F396)*Ipotesi!I125</f>
        <v>5</v>
      </c>
      <c r="T396" s="17" t="n">
        <f aca="false">INDEX(Ipotesi!$C$53:$G$53,1,F396)*I396</f>
        <v>1</v>
      </c>
      <c r="U396" s="17" t="n">
        <f aca="false">INDEX(Ipotesi!$C$54:$G$54,1,F396)*I396</f>
        <v>0.5</v>
      </c>
      <c r="V396" s="15" t="n">
        <f aca="false">M396*INDEX(Ipotesi!$C$58:$G$58,1,F396)*K396/12</f>
        <v>7083.33333333333</v>
      </c>
      <c r="W396" s="15" t="n">
        <f aca="false">N396*Ipotesi!$C$59*(1+Ipotesi!$C$66)^(F396-1)/12</f>
        <v>6188.58333333333</v>
      </c>
      <c r="X396" s="15" t="n">
        <f aca="false">O396*Ipotesi!$C$60*(1+Ipotesi!$C$66)^(F396-1)/12</f>
        <v>19891.875</v>
      </c>
      <c r="Y396" s="15" t="n">
        <f aca="false">P396*Ipotesi!$C$61*(1+Ipotesi!$C$66)^(F396-1)/12</f>
        <v>22102.0833333333</v>
      </c>
      <c r="Z396" s="15" t="n">
        <f aca="false">Q396*Ipotesi!$C$62*(1+Ipotesi!$C$66)^(F396-1)/12</f>
        <v>15913.5</v>
      </c>
      <c r="AA396" s="15" t="n">
        <f aca="false">R396*Ipotesi!$C$63*(1+Ipotesi!$C$66)^(F396-1)/12</f>
        <v>3094.29166666667</v>
      </c>
      <c r="AB396" s="15" t="n">
        <f aca="false">SUM(V396:AA396)</f>
        <v>74273.6666666667</v>
      </c>
      <c r="AC396" s="15" t="n">
        <f aca="false">(S396*Ipotesi!$C$64+T396*Ipotesi!$C$65+U396*Ipotesi!$C$63)*(1+Ipotesi!$C$66)^(F396-1)/12</f>
        <v>25417.3958333333</v>
      </c>
      <c r="AD396" s="15" t="n">
        <f aca="false">INDEX(Ipotesi!$C$48:$G$48,1,F396)*G396/12</f>
        <v>60</v>
      </c>
      <c r="AE396" s="15" t="n">
        <f aca="false">INDEX(Ipotesi!$C$50:$G$50,1,F396)*G396/12</f>
        <v>6.66666666666667</v>
      </c>
      <c r="AF396" s="15" t="n">
        <f aca="false">(S396*Parametri_v3!$C$7*Parametri_v3!$C$8+Parametri_v3!$C$10)/12</f>
        <v>64.1666666666667</v>
      </c>
      <c r="AG396" s="15" t="n">
        <f aca="false">AD396+AE396*(1+Parametri_v3!$C$9)</f>
        <v>70</v>
      </c>
      <c r="AH396" s="16" t="n">
        <f aca="false">IF(AG396=0,1,MIN(1,AF396/AG396))</f>
        <v>0.916666666666667</v>
      </c>
      <c r="AI396" s="15" t="n">
        <f aca="false">AD396*AH396</f>
        <v>55</v>
      </c>
      <c r="AJ396" s="15" t="n">
        <f aca="false">AE396*AH396</f>
        <v>6.11111111111111</v>
      </c>
      <c r="AK396" s="15" t="n">
        <f aca="false">AI396*INDEX(Ipotesi!$C$49:$G$49,1,F396)*H396</f>
        <v>46750</v>
      </c>
      <c r="AL396" s="15" t="n">
        <f aca="false">AJ396*INDEX(Ipotesi!$C$51:$G$51,1,F396)*H396</f>
        <v>13750</v>
      </c>
      <c r="AM396" s="15" t="n">
        <f aca="false">AK396+AL396</f>
        <v>60500</v>
      </c>
      <c r="AN396" s="15" t="n">
        <f aca="false">INDEX(Ipotesi!$C$30:$G$30,1,F396)*G396/12</f>
        <v>41.6666666666667</v>
      </c>
      <c r="AO396" s="15" t="n">
        <f aca="false">O396*Parametri_v3!$C$7*Parametri_v3!$C$11*(1-Parametri_v3!$C$14)/12</f>
        <v>46.2</v>
      </c>
      <c r="AP396" s="15" t="n">
        <f aca="false">MIN(AN396,AO396)</f>
        <v>41.6666666666667</v>
      </c>
      <c r="AQ396" s="15" t="n">
        <f aca="false">AP396*INDEX(Ipotesi!$C$31:$G$31,1,F396)*H396</f>
        <v>41666.6666666667</v>
      </c>
      <c r="AR396" s="15" t="n">
        <f aca="false">INDEX(Ipotesi!$C$75:$G$75,1,F396)*J396/12</f>
        <v>20000</v>
      </c>
      <c r="AS396" s="15" t="n">
        <f aca="false">INDEX(Ipotesi!$C$81:$G$81,1,F396)*J396/12</f>
        <v>1250</v>
      </c>
      <c r="AT396" s="15" t="n">
        <f aca="false">AR396*Parametri_v3!$C$15+Z396*Parametri_v3!$C$16</f>
        <v>31139.45</v>
      </c>
      <c r="AU396" s="15" t="n">
        <f aca="false">Q396*Parametri_v3!$C$16*Parametri_v3!$C$17</f>
        <v>280</v>
      </c>
      <c r="AV396" s="17" t="n">
        <f aca="false">BD395</f>
        <v>60.2414285942637</v>
      </c>
      <c r="AW396" s="17" t="n">
        <f aca="false">AV396*(1-(1-INDEX(Ipotesi!$C$34:$G$34,1,F396))^(1/12))</f>
        <v>0.526607132126196</v>
      </c>
      <c r="AX396" s="15" t="n">
        <f aca="false">ROUND(INDEX(Ipotesi!$C$32:$G$32,1,F396)*Ipotesi!I8,0)</f>
        <v>130</v>
      </c>
      <c r="AY396" s="15" t="n">
        <f aca="false">MAX(0,(AX396-(AV396-AW396))/(13-E396))</f>
        <v>14.0570357075725</v>
      </c>
      <c r="AZ396" s="15" t="n">
        <f aca="false">MIN(P396*Parametri_v3!$C$22,Q396*(1-Parametri_v3!$C$16)*Parametri_v3!$C$23)</f>
        <v>180</v>
      </c>
      <c r="BA396" s="15" t="n">
        <f aca="false">IF(OR(INDEX(Ipotesi!$C$35:$G$35,1,F396)&lt;=0,32-Parametri_v3!$C$21&lt;1),0,INDEX($AT$365:$AT$424,MAX(1,32-Parametri_v3!$C$21))/(INDEX(Ipotesi!$C$35:$G$35,1,F396)*Ipotesi!I27))</f>
        <v>6.22789</v>
      </c>
      <c r="BB396" s="15" t="n">
        <f aca="false">IF(32-Parametri_v3!$C$21&lt;1,0,INDEX($AU$365:$AU$424,MAX(1,32-Parametri_v3!$C$21)))*Parametri_v3!$C$18*Parametri_v3!$C$19*Parametri_v3!$C$20</f>
        <v>10.5</v>
      </c>
      <c r="BC396" s="17" t="n">
        <f aca="false">MAX(0,MIN(AY396,BA396,BB396,MAX(0,AZ396-(AV396-AW396))))</f>
        <v>6.22789</v>
      </c>
      <c r="BD396" s="17" t="n">
        <f aca="false">AV396-AW396+BC396</f>
        <v>65.9427114621375</v>
      </c>
      <c r="BE396" s="17" t="n">
        <f aca="false">(AV396+BD396)/2</f>
        <v>63.0920700282006</v>
      </c>
      <c r="BF396" s="15" t="n">
        <f aca="false">BE396*INDEX(Ipotesi!$C$33:$G$33,1,F396)*H396/12</f>
        <v>28917.1987629253</v>
      </c>
      <c r="BG396" s="15" t="n">
        <f aca="false">BD396*INDEX(Ipotesi!$C$33:$G$33,1,F396)*H396</f>
        <v>362684.913041756</v>
      </c>
      <c r="BH396" s="15" t="n">
        <f aca="false">AM396*INDEX(Ipotesi!$C$37:$G$37,1,F396)</f>
        <v>6050</v>
      </c>
      <c r="BI396" s="15" t="n">
        <f aca="false">AQ396+BF396+BH396</f>
        <v>76633.8654295919</v>
      </c>
      <c r="BJ396" s="15" t="n">
        <f aca="false">INDEX(Ipotesi!$C$68:$G$68,1,F396)*Ipotesi!$C$69/12</f>
        <v>2400</v>
      </c>
      <c r="BK396" s="15" t="n">
        <f aca="false">INDEX(Ipotesi!$C$68:$G$68,1,F396)*(1-Ipotesi!$C$69)/12</f>
        <v>3600</v>
      </c>
      <c r="BL396" s="15" t="n">
        <f aca="false">(AQ396+BF396)*Ipotesi!$C$67</f>
        <v>2117.51596288776</v>
      </c>
      <c r="BM396" s="15" t="n">
        <f aca="false">AM396*Ipotesi!$C$67</f>
        <v>1815</v>
      </c>
      <c r="BN396" s="15" t="n">
        <f aca="false">INDEX(Ipotesi!$C$72:$G$72,1,F396)/12*Ipotesi!I126+BF396*Ipotesi!$C$73</f>
        <v>3563.37590103402</v>
      </c>
      <c r="BO396" s="15" t="n">
        <f aca="false">INDEX(Ipotesi!$C$74:$G$74,1,F396)/12*Ipotesi!I126</f>
        <v>2916.66666666667</v>
      </c>
      <c r="BP396" s="15" t="n">
        <f aca="false">INDEX(Ipotesi!$C$76:$G$76,1,F396)/12</f>
        <v>1083.33333333333</v>
      </c>
      <c r="BQ396" s="15" t="n">
        <f aca="false">INDEX(Ipotesi!$C$77:$G$77,1,F396)/12*Ipotesi!I126</f>
        <v>2083.33333333333</v>
      </c>
      <c r="BR396" s="15" t="n">
        <f aca="false">INDEX(Ipotesi!$C$78:$G$78,1,F396)/12</f>
        <v>1666.66666666667</v>
      </c>
      <c r="BS396" s="15" t="n">
        <f aca="false">SUM(M396:R396)*(Ipotesi!$C$85+Ipotesi!$C$86)/12</f>
        <v>4812.5</v>
      </c>
      <c r="BT396" s="15" t="n">
        <f aca="false">BI396*Ipotesi!$C$87</f>
        <v>2299.01596288776</v>
      </c>
      <c r="BU396" s="15" t="n">
        <f aca="false">INDEX(Ipotesi!$C$55:$G$55,1,F396)*K396/12</f>
        <v>1500</v>
      </c>
      <c r="BV396" s="15" t="n">
        <f aca="false">INDEX(Ipotesi!$C$80:$G$80,1,F396)/12*Ipotesi!I126</f>
        <v>1250</v>
      </c>
      <c r="BW396" s="15" t="n">
        <f aca="false">INDEX(Ipotesi!$C$82:$G$82,1,F396)/12</f>
        <v>1000</v>
      </c>
      <c r="BX396" s="15" t="n">
        <f aca="false">INDEX(Ipotesi!$C$83:$G$83,1,F396)/12</f>
        <v>666.666666666667</v>
      </c>
      <c r="BY396" s="15" t="n">
        <f aca="false">SUM(S396:U396)*(Ipotesi!$C$85+Ipotesi!$C$86)/12</f>
        <v>1895.83333333333</v>
      </c>
      <c r="BZ396" s="15" t="n">
        <f aca="false">AM396*Ipotesi!$C$87</f>
        <v>1815</v>
      </c>
      <c r="CA396" s="15" t="n">
        <f aca="false">AB396+BJ396+BL396+BN396+BO396+AR396+BP396+BQ396+BR396+BS396+BT396</f>
        <v>117216.074493476</v>
      </c>
      <c r="CB396" s="15" t="n">
        <f aca="false">AC396+BK396+BM396+BH396+BU396+BV396+AS396+BW396+BX396+BY396+BZ396</f>
        <v>46259.8958333333</v>
      </c>
      <c r="CC396" s="15" t="n">
        <f aca="false">BI396-CA396</f>
        <v>-40582.2090638843</v>
      </c>
      <c r="CD396" s="15" t="n">
        <f aca="false">AM396-CB396</f>
        <v>14240.1041666667</v>
      </c>
      <c r="CE396" s="15" t="n">
        <f aca="false">INDEX(Ipotesi!$C$79:$G$79,1,F396)/12</f>
        <v>2500</v>
      </c>
      <c r="CF396" s="15" t="n">
        <f aca="false">INDEX(Ipotesi!$C$84:$G$84,1,F396)/12</f>
        <v>416.666666666667</v>
      </c>
      <c r="CG396" s="15" t="n">
        <f aca="false">Y396*MAX(0,Parametri_v3!$C$12-IF(P396=0,0,MIN(1,BE396/(P396*Parametri_v3!$C$22))))+W396*Parametri_v3!$C$13+X396*Parametri_v3!$C$14</f>
        <v>26385.8176211284</v>
      </c>
      <c r="CH396" s="15" t="n">
        <f aca="false">AB396*Parametri_v3!$C$32</f>
        <v>3713.68333333333</v>
      </c>
      <c r="CI396" s="15" t="n">
        <f aca="false">AC396*Parametri_v3!$C$32</f>
        <v>1270.86979166667</v>
      </c>
      <c r="CJ396" s="15" t="n">
        <f aca="false">CA396-AB396</f>
        <v>42942.4078268096</v>
      </c>
      <c r="CK396" s="15" t="n">
        <f aca="false">CB396-AC396-BH396</f>
        <v>14792.5</v>
      </c>
      <c r="CL396" s="15" t="n">
        <f aca="false">BF396*Ipotesi!$C$73+INDEX(Ipotesi!$C$72:$G$72,1,F396)/12*Ipotesi!I126*Parametri_v3!$C$58+Z396*(1-Parametri_v3!$C$16)</f>
        <v>8337.42590103402</v>
      </c>
      <c r="CM396" s="16" t="n">
        <f aca="false">IF(BF396=0,0,1-CL396/BF396)</f>
        <v>0.71167933763614</v>
      </c>
    </row>
    <row r="397" customFormat="false" ht="18" hidden="false" customHeight="true" outlineLevel="0" collapsed="false">
      <c r="A397" s="68" t="n">
        <f aca="false">7</f>
        <v>7</v>
      </c>
      <c r="B397" s="68" t="n">
        <f aca="false">33</f>
        <v>33</v>
      </c>
      <c r="C397" s="18" t="n">
        <f aca="false">EDATE(Parametri_v3!$C$5,33-1)</f>
        <v>47362</v>
      </c>
      <c r="D397" s="68" t="n">
        <f aca="false">YEAR(C397)</f>
        <v>2029</v>
      </c>
      <c r="E397" s="68" t="n">
        <f aca="false">MONTH(C397)</f>
        <v>9</v>
      </c>
      <c r="F397" s="68" t="n">
        <f aca="false">INT((33-1)/12)+1</f>
        <v>3</v>
      </c>
      <c r="G397" s="15" t="n">
        <f aca="false">Ipotesi!I7</f>
        <v>1</v>
      </c>
      <c r="H397" s="15" t="n">
        <f aca="false">Ipotesi!I9</f>
        <v>1</v>
      </c>
      <c r="I397" s="15" t="n">
        <f aca="false">Ipotesi!I10</f>
        <v>1</v>
      </c>
      <c r="J397" s="15" t="n">
        <f aca="false">Ipotesi!I11</f>
        <v>1</v>
      </c>
      <c r="K397" s="15" t="n">
        <f aca="false">Ipotesi!I12</f>
        <v>1</v>
      </c>
      <c r="L397" s="15" t="n">
        <f aca="false">Ipotesi!I13</f>
        <v>90</v>
      </c>
      <c r="M397" s="17" t="n">
        <f aca="false">INDEX(Ipotesi!$C$40:$G$40,1,F397)</f>
        <v>1</v>
      </c>
      <c r="N397" s="17" t="n">
        <f aca="false">INDEX(Ipotesi!$C$41:$G$41,1,F397)</f>
        <v>1</v>
      </c>
      <c r="O397" s="17" t="n">
        <f aca="false">INDEX(Ipotesi!$C$42:$G$42,1,F397)*Ipotesi!I125</f>
        <v>4.5</v>
      </c>
      <c r="P397" s="17" t="n">
        <f aca="false">INDEX(Ipotesi!$C$43:$G$43,1,F397)*I397</f>
        <v>5</v>
      </c>
      <c r="Q397" s="17" t="n">
        <f aca="false">INDEX(Ipotesi!$C$44:$G$44,1,F397)*I397</f>
        <v>4</v>
      </c>
      <c r="R397" s="17" t="n">
        <f aca="false">INDEX(Ipotesi!$C$45:$G$45,1,F397)*I397</f>
        <v>1</v>
      </c>
      <c r="S397" s="17" t="n">
        <f aca="false">INDEX(Ipotesi!$C$52:$G$52,1,F397)*Ipotesi!I125</f>
        <v>5</v>
      </c>
      <c r="T397" s="17" t="n">
        <f aca="false">INDEX(Ipotesi!$C$53:$G$53,1,F397)*I397</f>
        <v>1</v>
      </c>
      <c r="U397" s="17" t="n">
        <f aca="false">INDEX(Ipotesi!$C$54:$G$54,1,F397)*I397</f>
        <v>0.5</v>
      </c>
      <c r="V397" s="15" t="n">
        <f aca="false">M397*INDEX(Ipotesi!$C$58:$G$58,1,F397)*K397/12</f>
        <v>7083.33333333333</v>
      </c>
      <c r="W397" s="15" t="n">
        <f aca="false">N397*Ipotesi!$C$59*(1+Ipotesi!$C$66)^(F397-1)/12</f>
        <v>6188.58333333333</v>
      </c>
      <c r="X397" s="15" t="n">
        <f aca="false">O397*Ipotesi!$C$60*(1+Ipotesi!$C$66)^(F397-1)/12</f>
        <v>19891.875</v>
      </c>
      <c r="Y397" s="15" t="n">
        <f aca="false">P397*Ipotesi!$C$61*(1+Ipotesi!$C$66)^(F397-1)/12</f>
        <v>22102.0833333333</v>
      </c>
      <c r="Z397" s="15" t="n">
        <f aca="false">Q397*Ipotesi!$C$62*(1+Ipotesi!$C$66)^(F397-1)/12</f>
        <v>15913.5</v>
      </c>
      <c r="AA397" s="15" t="n">
        <f aca="false">R397*Ipotesi!$C$63*(1+Ipotesi!$C$66)^(F397-1)/12</f>
        <v>3094.29166666667</v>
      </c>
      <c r="AB397" s="15" t="n">
        <f aca="false">SUM(V397:AA397)</f>
        <v>74273.6666666667</v>
      </c>
      <c r="AC397" s="15" t="n">
        <f aca="false">(S397*Ipotesi!$C$64+T397*Ipotesi!$C$65+U397*Ipotesi!$C$63)*(1+Ipotesi!$C$66)^(F397-1)/12</f>
        <v>25417.3958333333</v>
      </c>
      <c r="AD397" s="15" t="n">
        <f aca="false">INDEX(Ipotesi!$C$48:$G$48,1,F397)*G397/12</f>
        <v>60</v>
      </c>
      <c r="AE397" s="15" t="n">
        <f aca="false">INDEX(Ipotesi!$C$50:$G$50,1,F397)*G397/12</f>
        <v>6.66666666666667</v>
      </c>
      <c r="AF397" s="15" t="n">
        <f aca="false">(S397*Parametri_v3!$C$7*Parametri_v3!$C$8+Parametri_v3!$C$10)/12</f>
        <v>64.1666666666667</v>
      </c>
      <c r="AG397" s="15" t="n">
        <f aca="false">AD397+AE397*(1+Parametri_v3!$C$9)</f>
        <v>70</v>
      </c>
      <c r="AH397" s="16" t="n">
        <f aca="false">IF(AG397=0,1,MIN(1,AF397/AG397))</f>
        <v>0.916666666666667</v>
      </c>
      <c r="AI397" s="15" t="n">
        <f aca="false">AD397*AH397</f>
        <v>55</v>
      </c>
      <c r="AJ397" s="15" t="n">
        <f aca="false">AE397*AH397</f>
        <v>6.11111111111111</v>
      </c>
      <c r="AK397" s="15" t="n">
        <f aca="false">AI397*INDEX(Ipotesi!$C$49:$G$49,1,F397)*H397</f>
        <v>46750</v>
      </c>
      <c r="AL397" s="15" t="n">
        <f aca="false">AJ397*INDEX(Ipotesi!$C$51:$G$51,1,F397)*H397</f>
        <v>13750</v>
      </c>
      <c r="AM397" s="15" t="n">
        <f aca="false">AK397+AL397</f>
        <v>60500</v>
      </c>
      <c r="AN397" s="15" t="n">
        <f aca="false">INDEX(Ipotesi!$C$30:$G$30,1,F397)*G397/12</f>
        <v>41.6666666666667</v>
      </c>
      <c r="AO397" s="15" t="n">
        <f aca="false">O397*Parametri_v3!$C$7*Parametri_v3!$C$11*(1-Parametri_v3!$C$14)/12</f>
        <v>46.2</v>
      </c>
      <c r="AP397" s="15" t="n">
        <f aca="false">MIN(AN397,AO397)</f>
        <v>41.6666666666667</v>
      </c>
      <c r="AQ397" s="15" t="n">
        <f aca="false">AP397*INDEX(Ipotesi!$C$31:$G$31,1,F397)*H397</f>
        <v>41666.6666666667</v>
      </c>
      <c r="AR397" s="15" t="n">
        <f aca="false">INDEX(Ipotesi!$C$75:$G$75,1,F397)*J397/12</f>
        <v>20000</v>
      </c>
      <c r="AS397" s="15" t="n">
        <f aca="false">INDEX(Ipotesi!$C$81:$G$81,1,F397)*J397/12</f>
        <v>1250</v>
      </c>
      <c r="AT397" s="15" t="n">
        <f aca="false">AR397*Parametri_v3!$C$15+Z397*Parametri_v3!$C$16</f>
        <v>31139.45</v>
      </c>
      <c r="AU397" s="15" t="n">
        <f aca="false">Q397*Parametri_v3!$C$16*Parametri_v3!$C$17</f>
        <v>280</v>
      </c>
      <c r="AV397" s="17" t="n">
        <f aca="false">BD396</f>
        <v>65.9427114621375</v>
      </c>
      <c r="AW397" s="17" t="n">
        <f aca="false">AV397*(1-(1-INDEX(Ipotesi!$C$34:$G$34,1,F397))^(1/12))</f>
        <v>0.576445528899826</v>
      </c>
      <c r="AX397" s="15" t="n">
        <f aca="false">ROUND(INDEX(Ipotesi!$C$32:$G$32,1,F397)*Ipotesi!I8,0)</f>
        <v>130</v>
      </c>
      <c r="AY397" s="15" t="n">
        <f aca="false">MAX(0,(AX397-(AV397-AW397))/(13-E397))</f>
        <v>16.1584335166906</v>
      </c>
      <c r="AZ397" s="15" t="n">
        <f aca="false">MIN(P397*Parametri_v3!$C$22,Q397*(1-Parametri_v3!$C$16)*Parametri_v3!$C$23)</f>
        <v>180</v>
      </c>
      <c r="BA397" s="15" t="n">
        <f aca="false">IF(OR(INDEX(Ipotesi!$C$35:$G$35,1,F397)&lt;=0,33-Parametri_v3!$C$21&lt;1),0,INDEX($AT$365:$AT$424,MAX(1,33-Parametri_v3!$C$21))/(INDEX(Ipotesi!$C$35:$G$35,1,F397)*Ipotesi!I27))</f>
        <v>6.22789</v>
      </c>
      <c r="BB397" s="15" t="n">
        <f aca="false">IF(33-Parametri_v3!$C$21&lt;1,0,INDEX($AU$365:$AU$424,MAX(1,33-Parametri_v3!$C$21)))*Parametri_v3!$C$18*Parametri_v3!$C$19*Parametri_v3!$C$20</f>
        <v>10.5</v>
      </c>
      <c r="BC397" s="17" t="n">
        <f aca="false">MAX(0,MIN(AY397,BA397,BB397,MAX(0,AZ397-(AV397-AW397))))</f>
        <v>6.22789</v>
      </c>
      <c r="BD397" s="17" t="n">
        <f aca="false">AV397-AW397+BC397</f>
        <v>71.5941559332377</v>
      </c>
      <c r="BE397" s="17" t="n">
        <f aca="false">(AV397+BD397)/2</f>
        <v>68.7684336976876</v>
      </c>
      <c r="BF397" s="15" t="n">
        <f aca="false">BE397*INDEX(Ipotesi!$C$33:$G$33,1,F397)*H397/12</f>
        <v>31518.8654447735</v>
      </c>
      <c r="BG397" s="15" t="n">
        <f aca="false">BD397*INDEX(Ipotesi!$C$33:$G$33,1,F397)*H397</f>
        <v>393767.857632807</v>
      </c>
      <c r="BH397" s="15" t="n">
        <f aca="false">AM397*INDEX(Ipotesi!$C$37:$G$37,1,F397)</f>
        <v>6050</v>
      </c>
      <c r="BI397" s="15" t="n">
        <f aca="false">AQ397+BF397+BH397</f>
        <v>79235.5321114401</v>
      </c>
      <c r="BJ397" s="15" t="n">
        <f aca="false">INDEX(Ipotesi!$C$68:$G$68,1,F397)*Ipotesi!$C$69/12</f>
        <v>2400</v>
      </c>
      <c r="BK397" s="15" t="n">
        <f aca="false">INDEX(Ipotesi!$C$68:$G$68,1,F397)*(1-Ipotesi!$C$69)/12</f>
        <v>3600</v>
      </c>
      <c r="BL397" s="15" t="n">
        <f aca="false">(AQ397+BF397)*Ipotesi!$C$67</f>
        <v>2195.5659633432</v>
      </c>
      <c r="BM397" s="15" t="n">
        <f aca="false">AM397*Ipotesi!$C$67</f>
        <v>1815</v>
      </c>
      <c r="BN397" s="15" t="n">
        <f aca="false">INDEX(Ipotesi!$C$72:$G$72,1,F397)/12*Ipotesi!I126+BF397*Ipotesi!$C$73</f>
        <v>3771.50923558188</v>
      </c>
      <c r="BO397" s="15" t="n">
        <f aca="false">INDEX(Ipotesi!$C$74:$G$74,1,F397)/12*Ipotesi!I126</f>
        <v>2916.66666666667</v>
      </c>
      <c r="BP397" s="15" t="n">
        <f aca="false">INDEX(Ipotesi!$C$76:$G$76,1,F397)/12</f>
        <v>1083.33333333333</v>
      </c>
      <c r="BQ397" s="15" t="n">
        <f aca="false">INDEX(Ipotesi!$C$77:$G$77,1,F397)/12*Ipotesi!I126</f>
        <v>2083.33333333333</v>
      </c>
      <c r="BR397" s="15" t="n">
        <f aca="false">INDEX(Ipotesi!$C$78:$G$78,1,F397)/12</f>
        <v>1666.66666666667</v>
      </c>
      <c r="BS397" s="15" t="n">
        <f aca="false">SUM(M397:R397)*(Ipotesi!$C$85+Ipotesi!$C$86)/12</f>
        <v>4812.5</v>
      </c>
      <c r="BT397" s="15" t="n">
        <f aca="false">BI397*Ipotesi!$C$87</f>
        <v>2377.0659633432</v>
      </c>
      <c r="BU397" s="15" t="n">
        <f aca="false">INDEX(Ipotesi!$C$55:$G$55,1,F397)*K397/12</f>
        <v>1500</v>
      </c>
      <c r="BV397" s="15" t="n">
        <f aca="false">INDEX(Ipotesi!$C$80:$G$80,1,F397)/12*Ipotesi!I126</f>
        <v>1250</v>
      </c>
      <c r="BW397" s="15" t="n">
        <f aca="false">INDEX(Ipotesi!$C$82:$G$82,1,F397)/12</f>
        <v>1000</v>
      </c>
      <c r="BX397" s="15" t="n">
        <f aca="false">INDEX(Ipotesi!$C$83:$G$83,1,F397)/12</f>
        <v>666.666666666667</v>
      </c>
      <c r="BY397" s="15" t="n">
        <f aca="false">SUM(S397:U397)*(Ipotesi!$C$85+Ipotesi!$C$86)/12</f>
        <v>1895.83333333333</v>
      </c>
      <c r="BZ397" s="15" t="n">
        <f aca="false">AM397*Ipotesi!$C$87</f>
        <v>1815</v>
      </c>
      <c r="CA397" s="15" t="n">
        <f aca="false">AB397+BJ397+BL397+BN397+BO397+AR397+BP397+BQ397+BR397+BS397+BT397</f>
        <v>117580.307828935</v>
      </c>
      <c r="CB397" s="15" t="n">
        <f aca="false">AC397+BK397+BM397+BH397+BU397+BV397+AS397+BW397+BX397+BY397+BZ397</f>
        <v>46259.8958333333</v>
      </c>
      <c r="CC397" s="15" t="n">
        <f aca="false">BI397-CA397</f>
        <v>-38344.7757174948</v>
      </c>
      <c r="CD397" s="15" t="n">
        <f aca="false">AM397-CB397</f>
        <v>14240.1041666667</v>
      </c>
      <c r="CE397" s="15" t="n">
        <f aca="false">INDEX(Ipotesi!$C$79:$G$79,1,F397)/12</f>
        <v>2500</v>
      </c>
      <c r="CF397" s="15" t="n">
        <f aca="false">INDEX(Ipotesi!$C$84:$G$84,1,F397)/12</f>
        <v>416.666666666667</v>
      </c>
      <c r="CG397" s="15" t="n">
        <f aca="false">Y397*MAX(0,Parametri_v3!$C$12-IF(P397=0,0,MIN(1,BE397/(P397*Parametri_v3!$C$22))))+W397*Parametri_v3!$C$13+X397*Parametri_v3!$C$14</f>
        <v>26134.8986954218</v>
      </c>
      <c r="CH397" s="15" t="n">
        <f aca="false">AB397*Parametri_v3!$C$32</f>
        <v>3713.68333333333</v>
      </c>
      <c r="CI397" s="15" t="n">
        <f aca="false">AC397*Parametri_v3!$C$32</f>
        <v>1270.86979166667</v>
      </c>
      <c r="CJ397" s="15" t="n">
        <f aca="false">CA397-AB397</f>
        <v>43306.6411622683</v>
      </c>
      <c r="CK397" s="15" t="n">
        <f aca="false">CB397-AC397-BH397</f>
        <v>14792.5</v>
      </c>
      <c r="CL397" s="15" t="n">
        <f aca="false">BF397*Ipotesi!$C$73+INDEX(Ipotesi!$C$72:$G$72,1,F397)/12*Ipotesi!I126*Parametri_v3!$C$58+Z397*(1-Parametri_v3!$C$16)</f>
        <v>8545.55923558188</v>
      </c>
      <c r="CM397" s="16" t="n">
        <f aca="false">IF(BF397=0,0,1-CL397/BF397)</f>
        <v>0.728874782927857</v>
      </c>
    </row>
    <row r="398" customFormat="false" ht="18" hidden="false" customHeight="true" outlineLevel="0" collapsed="false">
      <c r="A398" s="68" t="n">
        <f aca="false">7</f>
        <v>7</v>
      </c>
      <c r="B398" s="68" t="n">
        <f aca="false">34</f>
        <v>34</v>
      </c>
      <c r="C398" s="18" t="n">
        <f aca="false">EDATE(Parametri_v3!$C$5,34-1)</f>
        <v>47392</v>
      </c>
      <c r="D398" s="68" t="n">
        <f aca="false">YEAR(C398)</f>
        <v>2029</v>
      </c>
      <c r="E398" s="68" t="n">
        <f aca="false">MONTH(C398)</f>
        <v>10</v>
      </c>
      <c r="F398" s="68" t="n">
        <f aca="false">INT((34-1)/12)+1</f>
        <v>3</v>
      </c>
      <c r="G398" s="15" t="n">
        <f aca="false">Ipotesi!I7</f>
        <v>1</v>
      </c>
      <c r="H398" s="15" t="n">
        <f aca="false">Ipotesi!I9</f>
        <v>1</v>
      </c>
      <c r="I398" s="15" t="n">
        <f aca="false">Ipotesi!I10</f>
        <v>1</v>
      </c>
      <c r="J398" s="15" t="n">
        <f aca="false">Ipotesi!I11</f>
        <v>1</v>
      </c>
      <c r="K398" s="15" t="n">
        <f aca="false">Ipotesi!I12</f>
        <v>1</v>
      </c>
      <c r="L398" s="15" t="n">
        <f aca="false">Ipotesi!I13</f>
        <v>90</v>
      </c>
      <c r="M398" s="17" t="n">
        <f aca="false">INDEX(Ipotesi!$C$40:$G$40,1,F398)</f>
        <v>1</v>
      </c>
      <c r="N398" s="17" t="n">
        <f aca="false">INDEX(Ipotesi!$C$41:$G$41,1,F398)</f>
        <v>1</v>
      </c>
      <c r="O398" s="17" t="n">
        <f aca="false">INDEX(Ipotesi!$C$42:$G$42,1,F398)*Ipotesi!I125</f>
        <v>4.5</v>
      </c>
      <c r="P398" s="17" t="n">
        <f aca="false">INDEX(Ipotesi!$C$43:$G$43,1,F398)*I398</f>
        <v>5</v>
      </c>
      <c r="Q398" s="17" t="n">
        <f aca="false">INDEX(Ipotesi!$C$44:$G$44,1,F398)*I398</f>
        <v>4</v>
      </c>
      <c r="R398" s="17" t="n">
        <f aca="false">INDEX(Ipotesi!$C$45:$G$45,1,F398)*I398</f>
        <v>1</v>
      </c>
      <c r="S398" s="17" t="n">
        <f aca="false">INDEX(Ipotesi!$C$52:$G$52,1,F398)*Ipotesi!I125</f>
        <v>5</v>
      </c>
      <c r="T398" s="17" t="n">
        <f aca="false">INDEX(Ipotesi!$C$53:$G$53,1,F398)*I398</f>
        <v>1</v>
      </c>
      <c r="U398" s="17" t="n">
        <f aca="false">INDEX(Ipotesi!$C$54:$G$54,1,F398)*I398</f>
        <v>0.5</v>
      </c>
      <c r="V398" s="15" t="n">
        <f aca="false">M398*INDEX(Ipotesi!$C$58:$G$58,1,F398)*K398/12</f>
        <v>7083.33333333333</v>
      </c>
      <c r="W398" s="15" t="n">
        <f aca="false">N398*Ipotesi!$C$59*(1+Ipotesi!$C$66)^(F398-1)/12</f>
        <v>6188.58333333333</v>
      </c>
      <c r="X398" s="15" t="n">
        <f aca="false">O398*Ipotesi!$C$60*(1+Ipotesi!$C$66)^(F398-1)/12</f>
        <v>19891.875</v>
      </c>
      <c r="Y398" s="15" t="n">
        <f aca="false">P398*Ipotesi!$C$61*(1+Ipotesi!$C$66)^(F398-1)/12</f>
        <v>22102.0833333333</v>
      </c>
      <c r="Z398" s="15" t="n">
        <f aca="false">Q398*Ipotesi!$C$62*(1+Ipotesi!$C$66)^(F398-1)/12</f>
        <v>15913.5</v>
      </c>
      <c r="AA398" s="15" t="n">
        <f aca="false">R398*Ipotesi!$C$63*(1+Ipotesi!$C$66)^(F398-1)/12</f>
        <v>3094.29166666667</v>
      </c>
      <c r="AB398" s="15" t="n">
        <f aca="false">SUM(V398:AA398)</f>
        <v>74273.6666666667</v>
      </c>
      <c r="AC398" s="15" t="n">
        <f aca="false">(S398*Ipotesi!$C$64+T398*Ipotesi!$C$65+U398*Ipotesi!$C$63)*(1+Ipotesi!$C$66)^(F398-1)/12</f>
        <v>25417.3958333333</v>
      </c>
      <c r="AD398" s="15" t="n">
        <f aca="false">INDEX(Ipotesi!$C$48:$G$48,1,F398)*G398/12</f>
        <v>60</v>
      </c>
      <c r="AE398" s="15" t="n">
        <f aca="false">INDEX(Ipotesi!$C$50:$G$50,1,F398)*G398/12</f>
        <v>6.66666666666667</v>
      </c>
      <c r="AF398" s="15" t="n">
        <f aca="false">(S398*Parametri_v3!$C$7*Parametri_v3!$C$8+Parametri_v3!$C$10)/12</f>
        <v>64.1666666666667</v>
      </c>
      <c r="AG398" s="15" t="n">
        <f aca="false">AD398+AE398*(1+Parametri_v3!$C$9)</f>
        <v>70</v>
      </c>
      <c r="AH398" s="16" t="n">
        <f aca="false">IF(AG398=0,1,MIN(1,AF398/AG398))</f>
        <v>0.916666666666667</v>
      </c>
      <c r="AI398" s="15" t="n">
        <f aca="false">AD398*AH398</f>
        <v>55</v>
      </c>
      <c r="AJ398" s="15" t="n">
        <f aca="false">AE398*AH398</f>
        <v>6.11111111111111</v>
      </c>
      <c r="AK398" s="15" t="n">
        <f aca="false">AI398*INDEX(Ipotesi!$C$49:$G$49,1,F398)*H398</f>
        <v>46750</v>
      </c>
      <c r="AL398" s="15" t="n">
        <f aca="false">AJ398*INDEX(Ipotesi!$C$51:$G$51,1,F398)*H398</f>
        <v>13750</v>
      </c>
      <c r="AM398" s="15" t="n">
        <f aca="false">AK398+AL398</f>
        <v>60500</v>
      </c>
      <c r="AN398" s="15" t="n">
        <f aca="false">INDEX(Ipotesi!$C$30:$G$30,1,F398)*G398/12</f>
        <v>41.6666666666667</v>
      </c>
      <c r="AO398" s="15" t="n">
        <f aca="false">O398*Parametri_v3!$C$7*Parametri_v3!$C$11*(1-Parametri_v3!$C$14)/12</f>
        <v>46.2</v>
      </c>
      <c r="AP398" s="15" t="n">
        <f aca="false">MIN(AN398,AO398)</f>
        <v>41.6666666666667</v>
      </c>
      <c r="AQ398" s="15" t="n">
        <f aca="false">AP398*INDEX(Ipotesi!$C$31:$G$31,1,F398)*H398</f>
        <v>41666.6666666667</v>
      </c>
      <c r="AR398" s="15" t="n">
        <f aca="false">INDEX(Ipotesi!$C$75:$G$75,1,F398)*J398/12</f>
        <v>20000</v>
      </c>
      <c r="AS398" s="15" t="n">
        <f aca="false">INDEX(Ipotesi!$C$81:$G$81,1,F398)*J398/12</f>
        <v>1250</v>
      </c>
      <c r="AT398" s="15" t="n">
        <f aca="false">AR398*Parametri_v3!$C$15+Z398*Parametri_v3!$C$16</f>
        <v>31139.45</v>
      </c>
      <c r="AU398" s="15" t="n">
        <f aca="false">Q398*Parametri_v3!$C$16*Parametri_v3!$C$17</f>
        <v>280</v>
      </c>
      <c r="AV398" s="17" t="n">
        <f aca="false">BD397</f>
        <v>71.5941559332377</v>
      </c>
      <c r="AW398" s="17" t="n">
        <f aca="false">AV398*(1-(1-INDEX(Ipotesi!$C$34:$G$34,1,F398))^(1/12))</f>
        <v>0.625848257798256</v>
      </c>
      <c r="AX398" s="15" t="n">
        <f aca="false">ROUND(INDEX(Ipotesi!$C$32:$G$32,1,F398)*Ipotesi!I8,0)</f>
        <v>130</v>
      </c>
      <c r="AY398" s="15" t="n">
        <f aca="false">MAX(0,(AX398-(AV398-AW398))/(13-E398))</f>
        <v>19.6772307748535</v>
      </c>
      <c r="AZ398" s="15" t="n">
        <f aca="false">MIN(P398*Parametri_v3!$C$22,Q398*(1-Parametri_v3!$C$16)*Parametri_v3!$C$23)</f>
        <v>180</v>
      </c>
      <c r="BA398" s="15" t="n">
        <f aca="false">IF(OR(INDEX(Ipotesi!$C$35:$G$35,1,F398)&lt;=0,34-Parametri_v3!$C$21&lt;1),0,INDEX($AT$365:$AT$424,MAX(1,34-Parametri_v3!$C$21))/(INDEX(Ipotesi!$C$35:$G$35,1,F398)*Ipotesi!I27))</f>
        <v>6.22789</v>
      </c>
      <c r="BB398" s="15" t="n">
        <f aca="false">IF(34-Parametri_v3!$C$21&lt;1,0,INDEX($AU$365:$AU$424,MAX(1,34-Parametri_v3!$C$21)))*Parametri_v3!$C$18*Parametri_v3!$C$19*Parametri_v3!$C$20</f>
        <v>10.5</v>
      </c>
      <c r="BC398" s="17" t="n">
        <f aca="false">MAX(0,MIN(AY398,BA398,BB398,MAX(0,AZ398-(AV398-AW398))))</f>
        <v>6.22789</v>
      </c>
      <c r="BD398" s="17" t="n">
        <f aca="false">AV398-AW398+BC398</f>
        <v>77.1961976754394</v>
      </c>
      <c r="BE398" s="17" t="n">
        <f aca="false">(AV398+BD398)/2</f>
        <v>74.3951768043386</v>
      </c>
      <c r="BF398" s="15" t="n">
        <f aca="false">BE398*INDEX(Ipotesi!$C$33:$G$33,1,F398)*H398/12</f>
        <v>34097.7893686552</v>
      </c>
      <c r="BG398" s="15" t="n">
        <f aca="false">BD398*INDEX(Ipotesi!$C$33:$G$33,1,F398)*H398</f>
        <v>424579.087214917</v>
      </c>
      <c r="BH398" s="15" t="n">
        <f aca="false">AM398*INDEX(Ipotesi!$C$37:$G$37,1,F398)</f>
        <v>6050</v>
      </c>
      <c r="BI398" s="15" t="n">
        <f aca="false">AQ398+BF398+BH398</f>
        <v>81814.4560353218</v>
      </c>
      <c r="BJ398" s="15" t="n">
        <f aca="false">INDEX(Ipotesi!$C$68:$G$68,1,F398)*Ipotesi!$C$69/12</f>
        <v>2400</v>
      </c>
      <c r="BK398" s="15" t="n">
        <f aca="false">INDEX(Ipotesi!$C$68:$G$68,1,F398)*(1-Ipotesi!$C$69)/12</f>
        <v>3600</v>
      </c>
      <c r="BL398" s="15" t="n">
        <f aca="false">(AQ398+BF398)*Ipotesi!$C$67</f>
        <v>2272.93368105966</v>
      </c>
      <c r="BM398" s="15" t="n">
        <f aca="false">AM398*Ipotesi!$C$67</f>
        <v>1815</v>
      </c>
      <c r="BN398" s="15" t="n">
        <f aca="false">INDEX(Ipotesi!$C$72:$G$72,1,F398)/12*Ipotesi!I126+BF398*Ipotesi!$C$73</f>
        <v>3977.82314949241</v>
      </c>
      <c r="BO398" s="15" t="n">
        <f aca="false">INDEX(Ipotesi!$C$74:$G$74,1,F398)/12*Ipotesi!I126</f>
        <v>2916.66666666667</v>
      </c>
      <c r="BP398" s="15" t="n">
        <f aca="false">INDEX(Ipotesi!$C$76:$G$76,1,F398)/12</f>
        <v>1083.33333333333</v>
      </c>
      <c r="BQ398" s="15" t="n">
        <f aca="false">INDEX(Ipotesi!$C$77:$G$77,1,F398)/12*Ipotesi!I126</f>
        <v>2083.33333333333</v>
      </c>
      <c r="BR398" s="15" t="n">
        <f aca="false">INDEX(Ipotesi!$C$78:$G$78,1,F398)/12</f>
        <v>1666.66666666667</v>
      </c>
      <c r="BS398" s="15" t="n">
        <f aca="false">SUM(M398:R398)*(Ipotesi!$C$85+Ipotesi!$C$86)/12</f>
        <v>4812.5</v>
      </c>
      <c r="BT398" s="15" t="n">
        <f aca="false">BI398*Ipotesi!$C$87</f>
        <v>2454.43368105966</v>
      </c>
      <c r="BU398" s="15" t="n">
        <f aca="false">INDEX(Ipotesi!$C$55:$G$55,1,F398)*K398/12</f>
        <v>1500</v>
      </c>
      <c r="BV398" s="15" t="n">
        <f aca="false">INDEX(Ipotesi!$C$80:$G$80,1,F398)/12*Ipotesi!I126</f>
        <v>1250</v>
      </c>
      <c r="BW398" s="15" t="n">
        <f aca="false">INDEX(Ipotesi!$C$82:$G$82,1,F398)/12</f>
        <v>1000</v>
      </c>
      <c r="BX398" s="15" t="n">
        <f aca="false">INDEX(Ipotesi!$C$83:$G$83,1,F398)/12</f>
        <v>666.666666666667</v>
      </c>
      <c r="BY398" s="15" t="n">
        <f aca="false">SUM(S398:U398)*(Ipotesi!$C$85+Ipotesi!$C$86)/12</f>
        <v>1895.83333333333</v>
      </c>
      <c r="BZ398" s="15" t="n">
        <f aca="false">AM398*Ipotesi!$C$87</f>
        <v>1815</v>
      </c>
      <c r="CA398" s="15" t="n">
        <f aca="false">AB398+BJ398+BL398+BN398+BO398+AR398+BP398+BQ398+BR398+BS398+BT398</f>
        <v>117941.357178278</v>
      </c>
      <c r="CB398" s="15" t="n">
        <f aca="false">AC398+BK398+BM398+BH398+BU398+BV398+AS398+BW398+BX398+BY398+BZ398</f>
        <v>46259.8958333333</v>
      </c>
      <c r="CC398" s="15" t="n">
        <f aca="false">BI398-CA398</f>
        <v>-36126.9011429566</v>
      </c>
      <c r="CD398" s="15" t="n">
        <f aca="false">AM398-CB398</f>
        <v>14240.1041666667</v>
      </c>
      <c r="CE398" s="15" t="n">
        <f aca="false">INDEX(Ipotesi!$C$79:$G$79,1,F398)/12</f>
        <v>2500</v>
      </c>
      <c r="CF398" s="15" t="n">
        <f aca="false">INDEX(Ipotesi!$C$84:$G$84,1,F398)/12</f>
        <v>416.666666666667</v>
      </c>
      <c r="CG398" s="15" t="n">
        <f aca="false">Y398*MAX(0,Parametri_v3!$C$12-IF(P398=0,0,MIN(1,BE398/(P398*Parametri_v3!$C$22))))+W398*Parametri_v3!$C$13+X398*Parametri_v3!$C$14</f>
        <v>25886.1732053449</v>
      </c>
      <c r="CH398" s="15" t="n">
        <f aca="false">AB398*Parametri_v3!$C$32</f>
        <v>3713.68333333333</v>
      </c>
      <c r="CI398" s="15" t="n">
        <f aca="false">AC398*Parametri_v3!$C$32</f>
        <v>1270.86979166667</v>
      </c>
      <c r="CJ398" s="15" t="n">
        <f aca="false">CA398-AB398</f>
        <v>43667.6905116117</v>
      </c>
      <c r="CK398" s="15" t="n">
        <f aca="false">CB398-AC398-BH398</f>
        <v>14792.5</v>
      </c>
      <c r="CL398" s="15" t="n">
        <f aca="false">BF398*Ipotesi!$C$73+INDEX(Ipotesi!$C$72:$G$72,1,F398)/12*Ipotesi!I126*Parametri_v3!$C$58+Z398*(1-Parametri_v3!$C$16)</f>
        <v>8751.87314949242</v>
      </c>
      <c r="CM398" s="16" t="n">
        <f aca="false">IF(BF398=0,0,1-CL398/BF398)</f>
        <v>0.743330189096139</v>
      </c>
    </row>
    <row r="399" customFormat="false" ht="18" hidden="false" customHeight="true" outlineLevel="0" collapsed="false">
      <c r="A399" s="68" t="n">
        <f aca="false">7</f>
        <v>7</v>
      </c>
      <c r="B399" s="68" t="n">
        <f aca="false">35</f>
        <v>35</v>
      </c>
      <c r="C399" s="18" t="n">
        <f aca="false">EDATE(Parametri_v3!$C$5,35-1)</f>
        <v>47423</v>
      </c>
      <c r="D399" s="68" t="n">
        <f aca="false">YEAR(C399)</f>
        <v>2029</v>
      </c>
      <c r="E399" s="68" t="n">
        <f aca="false">MONTH(C399)</f>
        <v>11</v>
      </c>
      <c r="F399" s="68" t="n">
        <f aca="false">INT((35-1)/12)+1</f>
        <v>3</v>
      </c>
      <c r="G399" s="15" t="n">
        <f aca="false">Ipotesi!I7</f>
        <v>1</v>
      </c>
      <c r="H399" s="15" t="n">
        <f aca="false">Ipotesi!I9</f>
        <v>1</v>
      </c>
      <c r="I399" s="15" t="n">
        <f aca="false">Ipotesi!I10</f>
        <v>1</v>
      </c>
      <c r="J399" s="15" t="n">
        <f aca="false">Ipotesi!I11</f>
        <v>1</v>
      </c>
      <c r="K399" s="15" t="n">
        <f aca="false">Ipotesi!I12</f>
        <v>1</v>
      </c>
      <c r="L399" s="15" t="n">
        <f aca="false">Ipotesi!I13</f>
        <v>90</v>
      </c>
      <c r="M399" s="17" t="n">
        <f aca="false">INDEX(Ipotesi!$C$40:$G$40,1,F399)</f>
        <v>1</v>
      </c>
      <c r="N399" s="17" t="n">
        <f aca="false">INDEX(Ipotesi!$C$41:$G$41,1,F399)</f>
        <v>1</v>
      </c>
      <c r="O399" s="17" t="n">
        <f aca="false">INDEX(Ipotesi!$C$42:$G$42,1,F399)*Ipotesi!I125</f>
        <v>4.5</v>
      </c>
      <c r="P399" s="17" t="n">
        <f aca="false">INDEX(Ipotesi!$C$43:$G$43,1,F399)*I399</f>
        <v>5</v>
      </c>
      <c r="Q399" s="17" t="n">
        <f aca="false">INDEX(Ipotesi!$C$44:$G$44,1,F399)*I399</f>
        <v>4</v>
      </c>
      <c r="R399" s="17" t="n">
        <f aca="false">INDEX(Ipotesi!$C$45:$G$45,1,F399)*I399</f>
        <v>1</v>
      </c>
      <c r="S399" s="17" t="n">
        <f aca="false">INDEX(Ipotesi!$C$52:$G$52,1,F399)*Ipotesi!I125</f>
        <v>5</v>
      </c>
      <c r="T399" s="17" t="n">
        <f aca="false">INDEX(Ipotesi!$C$53:$G$53,1,F399)*I399</f>
        <v>1</v>
      </c>
      <c r="U399" s="17" t="n">
        <f aca="false">INDEX(Ipotesi!$C$54:$G$54,1,F399)*I399</f>
        <v>0.5</v>
      </c>
      <c r="V399" s="15" t="n">
        <f aca="false">M399*INDEX(Ipotesi!$C$58:$G$58,1,F399)*K399/12</f>
        <v>7083.33333333333</v>
      </c>
      <c r="W399" s="15" t="n">
        <f aca="false">N399*Ipotesi!$C$59*(1+Ipotesi!$C$66)^(F399-1)/12</f>
        <v>6188.58333333333</v>
      </c>
      <c r="X399" s="15" t="n">
        <f aca="false">O399*Ipotesi!$C$60*(1+Ipotesi!$C$66)^(F399-1)/12</f>
        <v>19891.875</v>
      </c>
      <c r="Y399" s="15" t="n">
        <f aca="false">P399*Ipotesi!$C$61*(1+Ipotesi!$C$66)^(F399-1)/12</f>
        <v>22102.0833333333</v>
      </c>
      <c r="Z399" s="15" t="n">
        <f aca="false">Q399*Ipotesi!$C$62*(1+Ipotesi!$C$66)^(F399-1)/12</f>
        <v>15913.5</v>
      </c>
      <c r="AA399" s="15" t="n">
        <f aca="false">R399*Ipotesi!$C$63*(1+Ipotesi!$C$66)^(F399-1)/12</f>
        <v>3094.29166666667</v>
      </c>
      <c r="AB399" s="15" t="n">
        <f aca="false">SUM(V399:AA399)</f>
        <v>74273.6666666667</v>
      </c>
      <c r="AC399" s="15" t="n">
        <f aca="false">(S399*Ipotesi!$C$64+T399*Ipotesi!$C$65+U399*Ipotesi!$C$63)*(1+Ipotesi!$C$66)^(F399-1)/12</f>
        <v>25417.3958333333</v>
      </c>
      <c r="AD399" s="15" t="n">
        <f aca="false">INDEX(Ipotesi!$C$48:$G$48,1,F399)*G399/12</f>
        <v>60</v>
      </c>
      <c r="AE399" s="15" t="n">
        <f aca="false">INDEX(Ipotesi!$C$50:$G$50,1,F399)*G399/12</f>
        <v>6.66666666666667</v>
      </c>
      <c r="AF399" s="15" t="n">
        <f aca="false">(S399*Parametri_v3!$C$7*Parametri_v3!$C$8+Parametri_v3!$C$10)/12</f>
        <v>64.1666666666667</v>
      </c>
      <c r="AG399" s="15" t="n">
        <f aca="false">AD399+AE399*(1+Parametri_v3!$C$9)</f>
        <v>70</v>
      </c>
      <c r="AH399" s="16" t="n">
        <f aca="false">IF(AG399=0,1,MIN(1,AF399/AG399))</f>
        <v>0.916666666666667</v>
      </c>
      <c r="AI399" s="15" t="n">
        <f aca="false">AD399*AH399</f>
        <v>55</v>
      </c>
      <c r="AJ399" s="15" t="n">
        <f aca="false">AE399*AH399</f>
        <v>6.11111111111111</v>
      </c>
      <c r="AK399" s="15" t="n">
        <f aca="false">AI399*INDEX(Ipotesi!$C$49:$G$49,1,F399)*H399</f>
        <v>46750</v>
      </c>
      <c r="AL399" s="15" t="n">
        <f aca="false">AJ399*INDEX(Ipotesi!$C$51:$G$51,1,F399)*H399</f>
        <v>13750</v>
      </c>
      <c r="AM399" s="15" t="n">
        <f aca="false">AK399+AL399</f>
        <v>60500</v>
      </c>
      <c r="AN399" s="15" t="n">
        <f aca="false">INDEX(Ipotesi!$C$30:$G$30,1,F399)*G399/12</f>
        <v>41.6666666666667</v>
      </c>
      <c r="AO399" s="15" t="n">
        <f aca="false">O399*Parametri_v3!$C$7*Parametri_v3!$C$11*(1-Parametri_v3!$C$14)/12</f>
        <v>46.2</v>
      </c>
      <c r="AP399" s="15" t="n">
        <f aca="false">MIN(AN399,AO399)</f>
        <v>41.6666666666667</v>
      </c>
      <c r="AQ399" s="15" t="n">
        <f aca="false">AP399*INDEX(Ipotesi!$C$31:$G$31,1,F399)*H399</f>
        <v>41666.6666666667</v>
      </c>
      <c r="AR399" s="15" t="n">
        <f aca="false">INDEX(Ipotesi!$C$75:$G$75,1,F399)*J399/12</f>
        <v>20000</v>
      </c>
      <c r="AS399" s="15" t="n">
        <f aca="false">INDEX(Ipotesi!$C$81:$G$81,1,F399)*J399/12</f>
        <v>1250</v>
      </c>
      <c r="AT399" s="15" t="n">
        <f aca="false">AR399*Parametri_v3!$C$15+Z399*Parametri_v3!$C$16</f>
        <v>31139.45</v>
      </c>
      <c r="AU399" s="15" t="n">
        <f aca="false">Q399*Parametri_v3!$C$16*Parametri_v3!$C$17</f>
        <v>280</v>
      </c>
      <c r="AV399" s="17" t="n">
        <f aca="false">BD398</f>
        <v>77.1961976754394</v>
      </c>
      <c r="AW399" s="17" t="n">
        <f aca="false">AV399*(1-(1-INDEX(Ipotesi!$C$34:$G$34,1,F399))^(1/12))</f>
        <v>0.674819127260555</v>
      </c>
      <c r="AX399" s="15" t="n">
        <f aca="false">ROUND(INDEX(Ipotesi!$C$32:$G$32,1,F399)*Ipotesi!I8,0)</f>
        <v>130</v>
      </c>
      <c r="AY399" s="15" t="n">
        <f aca="false">MAX(0,(AX399-(AV399-AW399))/(13-E399))</f>
        <v>26.7393107259106</v>
      </c>
      <c r="AZ399" s="15" t="n">
        <f aca="false">MIN(P399*Parametri_v3!$C$22,Q399*(1-Parametri_v3!$C$16)*Parametri_v3!$C$23)</f>
        <v>180</v>
      </c>
      <c r="BA399" s="15" t="n">
        <f aca="false">IF(OR(INDEX(Ipotesi!$C$35:$G$35,1,F399)&lt;=0,35-Parametri_v3!$C$21&lt;1),0,INDEX($AT$365:$AT$424,MAX(1,35-Parametri_v3!$C$21))/(INDEX(Ipotesi!$C$35:$G$35,1,F399)*Ipotesi!I27))</f>
        <v>6.22789</v>
      </c>
      <c r="BB399" s="15" t="n">
        <f aca="false">IF(35-Parametri_v3!$C$21&lt;1,0,INDEX($AU$365:$AU$424,MAX(1,35-Parametri_v3!$C$21)))*Parametri_v3!$C$18*Parametri_v3!$C$19*Parametri_v3!$C$20</f>
        <v>10.5</v>
      </c>
      <c r="BC399" s="17" t="n">
        <f aca="false">MAX(0,MIN(AY399,BA399,BB399,MAX(0,AZ399-(AV399-AW399))))</f>
        <v>6.22789</v>
      </c>
      <c r="BD399" s="17" t="n">
        <f aca="false">AV399-AW399+BC399</f>
        <v>82.7492685481789</v>
      </c>
      <c r="BE399" s="17" t="n">
        <f aca="false">(AV399+BD399)/2</f>
        <v>79.9727331118092</v>
      </c>
      <c r="BF399" s="15" t="n">
        <f aca="false">BE399*INDEX(Ipotesi!$C$33:$G$33,1,F399)*H399/12</f>
        <v>36654.1693429125</v>
      </c>
      <c r="BG399" s="15" t="n">
        <f aca="false">BD399*INDEX(Ipotesi!$C$33:$G$33,1,F399)*H399</f>
        <v>455120.977014984</v>
      </c>
      <c r="BH399" s="15" t="n">
        <f aca="false">AM399*INDEX(Ipotesi!$C$37:$G$37,1,F399)</f>
        <v>6050</v>
      </c>
      <c r="BI399" s="15" t="n">
        <f aca="false">AQ399+BF399+BH399</f>
        <v>84370.8360095792</v>
      </c>
      <c r="BJ399" s="15" t="n">
        <f aca="false">INDEX(Ipotesi!$C$68:$G$68,1,F399)*Ipotesi!$C$69/12</f>
        <v>2400</v>
      </c>
      <c r="BK399" s="15" t="n">
        <f aca="false">INDEX(Ipotesi!$C$68:$G$68,1,F399)*(1-Ipotesi!$C$69)/12</f>
        <v>3600</v>
      </c>
      <c r="BL399" s="15" t="n">
        <f aca="false">(AQ399+BF399)*Ipotesi!$C$67</f>
        <v>2349.62508028738</v>
      </c>
      <c r="BM399" s="15" t="n">
        <f aca="false">AM399*Ipotesi!$C$67</f>
        <v>1815</v>
      </c>
      <c r="BN399" s="15" t="n">
        <f aca="false">INDEX(Ipotesi!$C$72:$G$72,1,F399)/12*Ipotesi!I126+BF399*Ipotesi!$C$73</f>
        <v>4182.333547433</v>
      </c>
      <c r="BO399" s="15" t="n">
        <f aca="false">INDEX(Ipotesi!$C$74:$G$74,1,F399)/12*Ipotesi!I126</f>
        <v>2916.66666666667</v>
      </c>
      <c r="BP399" s="15" t="n">
        <f aca="false">INDEX(Ipotesi!$C$76:$G$76,1,F399)/12</f>
        <v>1083.33333333333</v>
      </c>
      <c r="BQ399" s="15" t="n">
        <f aca="false">INDEX(Ipotesi!$C$77:$G$77,1,F399)/12*Ipotesi!I126</f>
        <v>2083.33333333333</v>
      </c>
      <c r="BR399" s="15" t="n">
        <f aca="false">INDEX(Ipotesi!$C$78:$G$78,1,F399)/12</f>
        <v>1666.66666666667</v>
      </c>
      <c r="BS399" s="15" t="n">
        <f aca="false">SUM(M399:R399)*(Ipotesi!$C$85+Ipotesi!$C$86)/12</f>
        <v>4812.5</v>
      </c>
      <c r="BT399" s="15" t="n">
        <f aca="false">BI399*Ipotesi!$C$87</f>
        <v>2531.12508028738</v>
      </c>
      <c r="BU399" s="15" t="n">
        <f aca="false">INDEX(Ipotesi!$C$55:$G$55,1,F399)*K399/12</f>
        <v>1500</v>
      </c>
      <c r="BV399" s="15" t="n">
        <f aca="false">INDEX(Ipotesi!$C$80:$G$80,1,F399)/12*Ipotesi!I126</f>
        <v>1250</v>
      </c>
      <c r="BW399" s="15" t="n">
        <f aca="false">INDEX(Ipotesi!$C$82:$G$82,1,F399)/12</f>
        <v>1000</v>
      </c>
      <c r="BX399" s="15" t="n">
        <f aca="false">INDEX(Ipotesi!$C$83:$G$83,1,F399)/12</f>
        <v>666.666666666667</v>
      </c>
      <c r="BY399" s="15" t="n">
        <f aca="false">SUM(S399:U399)*(Ipotesi!$C$85+Ipotesi!$C$86)/12</f>
        <v>1895.83333333333</v>
      </c>
      <c r="BZ399" s="15" t="n">
        <f aca="false">AM399*Ipotesi!$C$87</f>
        <v>1815</v>
      </c>
      <c r="CA399" s="15" t="n">
        <f aca="false">AB399+BJ399+BL399+BN399+BO399+AR399+BP399+BQ399+BR399+BS399+BT399</f>
        <v>118299.250374674</v>
      </c>
      <c r="CB399" s="15" t="n">
        <f aca="false">AC399+BK399+BM399+BH399+BU399+BV399+AS399+BW399+BX399+BY399+BZ399</f>
        <v>46259.8958333333</v>
      </c>
      <c r="CC399" s="15" t="n">
        <f aca="false">BI399-CA399</f>
        <v>-33928.4143650952</v>
      </c>
      <c r="CD399" s="15" t="n">
        <f aca="false">AM399-CB399</f>
        <v>14240.1041666667</v>
      </c>
      <c r="CE399" s="15" t="n">
        <f aca="false">INDEX(Ipotesi!$C$79:$G$79,1,F399)/12</f>
        <v>2500</v>
      </c>
      <c r="CF399" s="15" t="n">
        <f aca="false">INDEX(Ipotesi!$C$84:$G$84,1,F399)/12</f>
        <v>416.666666666667</v>
      </c>
      <c r="CG399" s="15" t="n">
        <f aca="false">Y399*MAX(0,Parametri_v3!$C$12-IF(P399=0,0,MIN(1,BE399/(P399*Parametri_v3!$C$22))))+W399*Parametri_v3!$C$13+X399*Parametri_v3!$C$14</f>
        <v>25639.6219767367</v>
      </c>
      <c r="CH399" s="15" t="n">
        <f aca="false">AB399*Parametri_v3!$C$32</f>
        <v>3713.68333333333</v>
      </c>
      <c r="CI399" s="15" t="n">
        <f aca="false">AC399*Parametri_v3!$C$32</f>
        <v>1270.86979166667</v>
      </c>
      <c r="CJ399" s="15" t="n">
        <f aca="false">CA399-AB399</f>
        <v>44025.5837080078</v>
      </c>
      <c r="CK399" s="15" t="n">
        <f aca="false">CB399-AC399-BH399</f>
        <v>14792.5</v>
      </c>
      <c r="CL399" s="15" t="n">
        <f aca="false">BF399*Ipotesi!$C$73+INDEX(Ipotesi!$C$72:$G$72,1,F399)/12*Ipotesi!I126*Parametri_v3!$C$58+Z399*(1-Parametri_v3!$C$16)</f>
        <v>8956.383547433</v>
      </c>
      <c r="CM399" s="16" t="n">
        <f aca="false">IF(BF399=0,0,1-CL399/BF399)</f>
        <v>0.755651711442622</v>
      </c>
    </row>
    <row r="400" customFormat="false" ht="18" hidden="false" customHeight="true" outlineLevel="0" collapsed="false">
      <c r="A400" s="68" t="n">
        <f aca="false">7</f>
        <v>7</v>
      </c>
      <c r="B400" s="68" t="n">
        <f aca="false">36</f>
        <v>36</v>
      </c>
      <c r="C400" s="18" t="n">
        <f aca="false">EDATE(Parametri_v3!$C$5,36-1)</f>
        <v>47453</v>
      </c>
      <c r="D400" s="68" t="n">
        <f aca="false">YEAR(C400)</f>
        <v>2029</v>
      </c>
      <c r="E400" s="68" t="n">
        <f aca="false">MONTH(C400)</f>
        <v>12</v>
      </c>
      <c r="F400" s="68" t="n">
        <f aca="false">INT((36-1)/12)+1</f>
        <v>3</v>
      </c>
      <c r="G400" s="15" t="n">
        <f aca="false">Ipotesi!I7</f>
        <v>1</v>
      </c>
      <c r="H400" s="15" t="n">
        <f aca="false">Ipotesi!I9</f>
        <v>1</v>
      </c>
      <c r="I400" s="15" t="n">
        <f aca="false">Ipotesi!I10</f>
        <v>1</v>
      </c>
      <c r="J400" s="15" t="n">
        <f aca="false">Ipotesi!I11</f>
        <v>1</v>
      </c>
      <c r="K400" s="15" t="n">
        <f aca="false">Ipotesi!I12</f>
        <v>1</v>
      </c>
      <c r="L400" s="15" t="n">
        <f aca="false">Ipotesi!I13</f>
        <v>90</v>
      </c>
      <c r="M400" s="17" t="n">
        <f aca="false">INDEX(Ipotesi!$C$40:$G$40,1,F400)</f>
        <v>1</v>
      </c>
      <c r="N400" s="17" t="n">
        <f aca="false">INDEX(Ipotesi!$C$41:$G$41,1,F400)</f>
        <v>1</v>
      </c>
      <c r="O400" s="17" t="n">
        <f aca="false">INDEX(Ipotesi!$C$42:$G$42,1,F400)*Ipotesi!I125</f>
        <v>4.5</v>
      </c>
      <c r="P400" s="17" t="n">
        <f aca="false">INDEX(Ipotesi!$C$43:$G$43,1,F400)*I400</f>
        <v>5</v>
      </c>
      <c r="Q400" s="17" t="n">
        <f aca="false">INDEX(Ipotesi!$C$44:$G$44,1,F400)*I400</f>
        <v>4</v>
      </c>
      <c r="R400" s="17" t="n">
        <f aca="false">INDEX(Ipotesi!$C$45:$G$45,1,F400)*I400</f>
        <v>1</v>
      </c>
      <c r="S400" s="17" t="n">
        <f aca="false">INDEX(Ipotesi!$C$52:$G$52,1,F400)*Ipotesi!I125</f>
        <v>5</v>
      </c>
      <c r="T400" s="17" t="n">
        <f aca="false">INDEX(Ipotesi!$C$53:$G$53,1,F400)*I400</f>
        <v>1</v>
      </c>
      <c r="U400" s="17" t="n">
        <f aca="false">INDEX(Ipotesi!$C$54:$G$54,1,F400)*I400</f>
        <v>0.5</v>
      </c>
      <c r="V400" s="15" t="n">
        <f aca="false">M400*INDEX(Ipotesi!$C$58:$G$58,1,F400)*K400/12</f>
        <v>7083.33333333333</v>
      </c>
      <c r="W400" s="15" t="n">
        <f aca="false">N400*Ipotesi!$C$59*(1+Ipotesi!$C$66)^(F400-1)/12</f>
        <v>6188.58333333333</v>
      </c>
      <c r="X400" s="15" t="n">
        <f aca="false">O400*Ipotesi!$C$60*(1+Ipotesi!$C$66)^(F400-1)/12</f>
        <v>19891.875</v>
      </c>
      <c r="Y400" s="15" t="n">
        <f aca="false">P400*Ipotesi!$C$61*(1+Ipotesi!$C$66)^(F400-1)/12</f>
        <v>22102.0833333333</v>
      </c>
      <c r="Z400" s="15" t="n">
        <f aca="false">Q400*Ipotesi!$C$62*(1+Ipotesi!$C$66)^(F400-1)/12</f>
        <v>15913.5</v>
      </c>
      <c r="AA400" s="15" t="n">
        <f aca="false">R400*Ipotesi!$C$63*(1+Ipotesi!$C$66)^(F400-1)/12</f>
        <v>3094.29166666667</v>
      </c>
      <c r="AB400" s="15" t="n">
        <f aca="false">SUM(V400:AA400)</f>
        <v>74273.6666666667</v>
      </c>
      <c r="AC400" s="15" t="n">
        <f aca="false">(S400*Ipotesi!$C$64+T400*Ipotesi!$C$65+U400*Ipotesi!$C$63)*(1+Ipotesi!$C$66)^(F400-1)/12</f>
        <v>25417.3958333333</v>
      </c>
      <c r="AD400" s="15" t="n">
        <f aca="false">INDEX(Ipotesi!$C$48:$G$48,1,F400)*G400/12</f>
        <v>60</v>
      </c>
      <c r="AE400" s="15" t="n">
        <f aca="false">INDEX(Ipotesi!$C$50:$G$50,1,F400)*G400/12</f>
        <v>6.66666666666667</v>
      </c>
      <c r="AF400" s="15" t="n">
        <f aca="false">(S400*Parametri_v3!$C$7*Parametri_v3!$C$8+Parametri_v3!$C$10)/12</f>
        <v>64.1666666666667</v>
      </c>
      <c r="AG400" s="15" t="n">
        <f aca="false">AD400+AE400*(1+Parametri_v3!$C$9)</f>
        <v>70</v>
      </c>
      <c r="AH400" s="16" t="n">
        <f aca="false">IF(AG400=0,1,MIN(1,AF400/AG400))</f>
        <v>0.916666666666667</v>
      </c>
      <c r="AI400" s="15" t="n">
        <f aca="false">AD400*AH400</f>
        <v>55</v>
      </c>
      <c r="AJ400" s="15" t="n">
        <f aca="false">AE400*AH400</f>
        <v>6.11111111111111</v>
      </c>
      <c r="AK400" s="15" t="n">
        <f aca="false">AI400*INDEX(Ipotesi!$C$49:$G$49,1,F400)*H400</f>
        <v>46750</v>
      </c>
      <c r="AL400" s="15" t="n">
        <f aca="false">AJ400*INDEX(Ipotesi!$C$51:$G$51,1,F400)*H400</f>
        <v>13750</v>
      </c>
      <c r="AM400" s="15" t="n">
        <f aca="false">AK400+AL400</f>
        <v>60500</v>
      </c>
      <c r="AN400" s="15" t="n">
        <f aca="false">INDEX(Ipotesi!$C$30:$G$30,1,F400)*G400/12</f>
        <v>41.6666666666667</v>
      </c>
      <c r="AO400" s="15" t="n">
        <f aca="false">O400*Parametri_v3!$C$7*Parametri_v3!$C$11*(1-Parametri_v3!$C$14)/12</f>
        <v>46.2</v>
      </c>
      <c r="AP400" s="15" t="n">
        <f aca="false">MIN(AN400,AO400)</f>
        <v>41.6666666666667</v>
      </c>
      <c r="AQ400" s="15" t="n">
        <f aca="false">AP400*INDEX(Ipotesi!$C$31:$G$31,1,F400)*H400</f>
        <v>41666.6666666667</v>
      </c>
      <c r="AR400" s="15" t="n">
        <f aca="false">INDEX(Ipotesi!$C$75:$G$75,1,F400)*J400/12</f>
        <v>20000</v>
      </c>
      <c r="AS400" s="15" t="n">
        <f aca="false">INDEX(Ipotesi!$C$81:$G$81,1,F400)*J400/12</f>
        <v>1250</v>
      </c>
      <c r="AT400" s="15" t="n">
        <f aca="false">AR400*Parametri_v3!$C$15+Z400*Parametri_v3!$C$16</f>
        <v>31139.45</v>
      </c>
      <c r="AU400" s="15" t="n">
        <f aca="false">Q400*Parametri_v3!$C$16*Parametri_v3!$C$17</f>
        <v>280</v>
      </c>
      <c r="AV400" s="17" t="n">
        <f aca="false">BD399</f>
        <v>82.7492685481789</v>
      </c>
      <c r="AW400" s="17" t="n">
        <f aca="false">AV400*(1-(1-INDEX(Ipotesi!$C$34:$G$34,1,F400))^(1/12))</f>
        <v>0.723361912433902</v>
      </c>
      <c r="AX400" s="15" t="n">
        <f aca="false">ROUND(INDEX(Ipotesi!$C$32:$G$32,1,F400)*Ipotesi!I8,0)</f>
        <v>130</v>
      </c>
      <c r="AY400" s="15" t="n">
        <f aca="false">MAX(0,(AX400-(AV400-AW400))/(13-E400))</f>
        <v>47.974093364255</v>
      </c>
      <c r="AZ400" s="15" t="n">
        <f aca="false">MIN(P400*Parametri_v3!$C$22,Q400*(1-Parametri_v3!$C$16)*Parametri_v3!$C$23)</f>
        <v>180</v>
      </c>
      <c r="BA400" s="15" t="n">
        <f aca="false">IF(OR(INDEX(Ipotesi!$C$35:$G$35,1,F400)&lt;=0,36-Parametri_v3!$C$21&lt;1),0,INDEX($AT$365:$AT$424,MAX(1,36-Parametri_v3!$C$21))/(INDEX(Ipotesi!$C$35:$G$35,1,F400)*Ipotesi!I27))</f>
        <v>6.22789</v>
      </c>
      <c r="BB400" s="15" t="n">
        <f aca="false">IF(36-Parametri_v3!$C$21&lt;1,0,INDEX($AU$365:$AU$424,MAX(1,36-Parametri_v3!$C$21)))*Parametri_v3!$C$18*Parametri_v3!$C$19*Parametri_v3!$C$20</f>
        <v>10.5</v>
      </c>
      <c r="BC400" s="17" t="n">
        <f aca="false">MAX(0,MIN(AY400,BA400,BB400,MAX(0,AZ400-(AV400-AW400))))</f>
        <v>6.22789</v>
      </c>
      <c r="BD400" s="17" t="n">
        <f aca="false">AV400-AW400+BC400</f>
        <v>88.253796635745</v>
      </c>
      <c r="BE400" s="17" t="n">
        <f aca="false">(AV400+BD400)/2</f>
        <v>85.5015325919619</v>
      </c>
      <c r="BF400" s="15" t="n">
        <f aca="false">BE400*INDEX(Ipotesi!$C$33:$G$33,1,F400)*H400/12</f>
        <v>39188.2024379826</v>
      </c>
      <c r="BG400" s="15" t="n">
        <f aca="false">BD400*INDEX(Ipotesi!$C$33:$G$33,1,F400)*H400</f>
        <v>485395.881496597</v>
      </c>
      <c r="BH400" s="15" t="n">
        <f aca="false">AM400*INDEX(Ipotesi!$C$37:$G$37,1,F400)</f>
        <v>6050</v>
      </c>
      <c r="BI400" s="15" t="n">
        <f aca="false">AQ400+BF400+BH400</f>
        <v>86904.8691046492</v>
      </c>
      <c r="BJ400" s="15" t="n">
        <f aca="false">INDEX(Ipotesi!$C$68:$G$68,1,F400)*Ipotesi!$C$69/12</f>
        <v>2400</v>
      </c>
      <c r="BK400" s="15" t="n">
        <f aca="false">INDEX(Ipotesi!$C$68:$G$68,1,F400)*(1-Ipotesi!$C$69)/12</f>
        <v>3600</v>
      </c>
      <c r="BL400" s="15" t="n">
        <f aca="false">(AQ400+BF400)*Ipotesi!$C$67</f>
        <v>2425.64607313948</v>
      </c>
      <c r="BM400" s="15" t="n">
        <f aca="false">AM400*Ipotesi!$C$67</f>
        <v>1815</v>
      </c>
      <c r="BN400" s="15" t="n">
        <f aca="false">INDEX(Ipotesi!$C$72:$G$72,1,F400)/12*Ipotesi!I126+BF400*Ipotesi!$C$73</f>
        <v>4385.0561950386</v>
      </c>
      <c r="BO400" s="15" t="n">
        <f aca="false">INDEX(Ipotesi!$C$74:$G$74,1,F400)/12*Ipotesi!I126</f>
        <v>2916.66666666667</v>
      </c>
      <c r="BP400" s="15" t="n">
        <f aca="false">INDEX(Ipotesi!$C$76:$G$76,1,F400)/12</f>
        <v>1083.33333333333</v>
      </c>
      <c r="BQ400" s="15" t="n">
        <f aca="false">INDEX(Ipotesi!$C$77:$G$77,1,F400)/12*Ipotesi!I126</f>
        <v>2083.33333333333</v>
      </c>
      <c r="BR400" s="15" t="n">
        <f aca="false">INDEX(Ipotesi!$C$78:$G$78,1,F400)/12</f>
        <v>1666.66666666667</v>
      </c>
      <c r="BS400" s="15" t="n">
        <f aca="false">SUM(M400:R400)*(Ipotesi!$C$85+Ipotesi!$C$86)/12</f>
        <v>4812.5</v>
      </c>
      <c r="BT400" s="15" t="n">
        <f aca="false">BI400*Ipotesi!$C$87</f>
        <v>2607.14607313948</v>
      </c>
      <c r="BU400" s="15" t="n">
        <f aca="false">INDEX(Ipotesi!$C$55:$G$55,1,F400)*K400/12</f>
        <v>1500</v>
      </c>
      <c r="BV400" s="15" t="n">
        <f aca="false">INDEX(Ipotesi!$C$80:$G$80,1,F400)/12*Ipotesi!I126</f>
        <v>1250</v>
      </c>
      <c r="BW400" s="15" t="n">
        <f aca="false">INDEX(Ipotesi!$C$82:$G$82,1,F400)/12</f>
        <v>1000</v>
      </c>
      <c r="BX400" s="15" t="n">
        <f aca="false">INDEX(Ipotesi!$C$83:$G$83,1,F400)/12</f>
        <v>666.666666666667</v>
      </c>
      <c r="BY400" s="15" t="n">
        <f aca="false">SUM(S400:U400)*(Ipotesi!$C$85+Ipotesi!$C$86)/12</f>
        <v>1895.83333333333</v>
      </c>
      <c r="BZ400" s="15" t="n">
        <f aca="false">AM400*Ipotesi!$C$87</f>
        <v>1815</v>
      </c>
      <c r="CA400" s="15" t="n">
        <f aca="false">AB400+BJ400+BL400+BN400+BO400+AR400+BP400+BQ400+BR400+BS400+BT400</f>
        <v>118654.015007984</v>
      </c>
      <c r="CB400" s="15" t="n">
        <f aca="false">AC400+BK400+BM400+BH400+BU400+BV400+AS400+BW400+BX400+BY400+BZ400</f>
        <v>46259.8958333333</v>
      </c>
      <c r="CC400" s="15" t="n">
        <f aca="false">BI400-CA400</f>
        <v>-31749.145903335</v>
      </c>
      <c r="CD400" s="15" t="n">
        <f aca="false">AM400-CB400</f>
        <v>14240.1041666667</v>
      </c>
      <c r="CE400" s="15" t="n">
        <f aca="false">INDEX(Ipotesi!$C$79:$G$79,1,F400)/12</f>
        <v>2500</v>
      </c>
      <c r="CF400" s="15" t="n">
        <f aca="false">INDEX(Ipotesi!$C$84:$G$84,1,F400)/12</f>
        <v>416.666666666667</v>
      </c>
      <c r="CG400" s="15" t="n">
        <f aca="false">Y400*MAX(0,Parametri_v3!$C$12-IF(P400=0,0,MIN(1,BE400/(P400*Parametri_v3!$C$22))))+W400*Parametri_v3!$C$13+X400*Parametri_v3!$C$14</f>
        <v>25395.2260030495</v>
      </c>
      <c r="CH400" s="15" t="n">
        <f aca="false">AB400*Parametri_v3!$C$32</f>
        <v>3713.68333333333</v>
      </c>
      <c r="CI400" s="15" t="n">
        <f aca="false">AC400*Parametri_v3!$C$32</f>
        <v>1270.86979166667</v>
      </c>
      <c r="CJ400" s="15" t="n">
        <f aca="false">CA400-AB400</f>
        <v>44380.3483413176</v>
      </c>
      <c r="CK400" s="15" t="n">
        <f aca="false">CB400-AC400-BH400</f>
        <v>14792.5</v>
      </c>
      <c r="CL400" s="15" t="n">
        <f aca="false">BF400*Ipotesi!$C$73+INDEX(Ipotesi!$C$72:$G$72,1,F400)/12*Ipotesi!I126*Parametri_v3!$C$58+Z400*(1-Parametri_v3!$C$16)</f>
        <v>9159.10619503861</v>
      </c>
      <c r="CM400" s="16" t="n">
        <f aca="false">IF(BF400=0,0,1-CL400/BF400)</f>
        <v>0.766278991501757</v>
      </c>
    </row>
    <row r="401" customFormat="false" ht="18" hidden="false" customHeight="true" outlineLevel="0" collapsed="false">
      <c r="A401" s="68" t="n">
        <f aca="false">7</f>
        <v>7</v>
      </c>
      <c r="B401" s="68" t="n">
        <f aca="false">37</f>
        <v>37</v>
      </c>
      <c r="C401" s="18" t="n">
        <f aca="false">EDATE(Parametri_v3!$C$5,37-1)</f>
        <v>47484</v>
      </c>
      <c r="D401" s="68" t="n">
        <f aca="false">YEAR(C401)</f>
        <v>2030</v>
      </c>
      <c r="E401" s="68" t="n">
        <f aca="false">MONTH(C401)</f>
        <v>1</v>
      </c>
      <c r="F401" s="68" t="n">
        <f aca="false">INT((37-1)/12)+1</f>
        <v>4</v>
      </c>
      <c r="G401" s="15" t="n">
        <f aca="false">Ipotesi!I7</f>
        <v>1</v>
      </c>
      <c r="H401" s="15" t="n">
        <f aca="false">Ipotesi!I9</f>
        <v>1</v>
      </c>
      <c r="I401" s="15" t="n">
        <f aca="false">Ipotesi!I10</f>
        <v>1</v>
      </c>
      <c r="J401" s="15" t="n">
        <f aca="false">Ipotesi!I11</f>
        <v>1</v>
      </c>
      <c r="K401" s="15" t="n">
        <f aca="false">Ipotesi!I12</f>
        <v>1</v>
      </c>
      <c r="L401" s="15" t="n">
        <f aca="false">Ipotesi!I13</f>
        <v>90</v>
      </c>
      <c r="M401" s="17" t="n">
        <f aca="false">INDEX(Ipotesi!$C$40:$G$40,1,F401)</f>
        <v>1</v>
      </c>
      <c r="N401" s="17" t="n">
        <f aca="false">INDEX(Ipotesi!$C$41:$G$41,1,F401)</f>
        <v>1</v>
      </c>
      <c r="O401" s="17" t="n">
        <f aca="false">INDEX(Ipotesi!$C$42:$G$42,1,F401)*Ipotesi!I125</f>
        <v>6.5</v>
      </c>
      <c r="P401" s="17" t="n">
        <f aca="false">INDEX(Ipotesi!$C$43:$G$43,1,F401)*I401</f>
        <v>6</v>
      </c>
      <c r="Q401" s="17" t="n">
        <f aca="false">INDEX(Ipotesi!$C$44:$G$44,1,F401)*I401</f>
        <v>5</v>
      </c>
      <c r="R401" s="17" t="n">
        <f aca="false">INDEX(Ipotesi!$C$45:$G$45,1,F401)*I401</f>
        <v>1.5</v>
      </c>
      <c r="S401" s="17" t="n">
        <f aca="false">INDEX(Ipotesi!$C$52:$G$52,1,F401)*Ipotesi!I125</f>
        <v>7</v>
      </c>
      <c r="T401" s="17" t="n">
        <f aca="false">INDEX(Ipotesi!$C$53:$G$53,1,F401)*I401</f>
        <v>1</v>
      </c>
      <c r="U401" s="17" t="n">
        <f aca="false">INDEX(Ipotesi!$C$54:$G$54,1,F401)*I401</f>
        <v>0.5</v>
      </c>
      <c r="V401" s="15" t="n">
        <f aca="false">M401*INDEX(Ipotesi!$C$58:$G$58,1,F401)*K401/12</f>
        <v>7916.66666666667</v>
      </c>
      <c r="W401" s="15" t="n">
        <f aca="false">N401*Ipotesi!$C$59*(1+Ipotesi!$C$66)^(F401-1)/12</f>
        <v>6374.24083333333</v>
      </c>
      <c r="X401" s="15" t="n">
        <f aca="false">O401*Ipotesi!$C$60*(1+Ipotesi!$C$66)^(F401-1)/12</f>
        <v>29594.6895833333</v>
      </c>
      <c r="Y401" s="15" t="n">
        <f aca="false">P401*Ipotesi!$C$61*(1+Ipotesi!$C$66)^(F401-1)/12</f>
        <v>27318.175</v>
      </c>
      <c r="Z401" s="15" t="n">
        <f aca="false">Q401*Ipotesi!$C$62*(1+Ipotesi!$C$66)^(F401-1)/12</f>
        <v>20488.63125</v>
      </c>
      <c r="AA401" s="15" t="n">
        <f aca="false">R401*Ipotesi!$C$63*(1+Ipotesi!$C$66)^(F401-1)/12</f>
        <v>4780.680625</v>
      </c>
      <c r="AB401" s="15" t="n">
        <f aca="false">SUM(V401:AA401)</f>
        <v>96473.0839583333</v>
      </c>
      <c r="AC401" s="15" t="n">
        <f aca="false">(S401*Ipotesi!$C$64+T401*Ipotesi!$C$65+U401*Ipotesi!$C$63)*(1+Ipotesi!$C$66)^(F401-1)/12</f>
        <v>33829.0067083333</v>
      </c>
      <c r="AD401" s="15" t="n">
        <f aca="false">INDEX(Ipotesi!$C$48:$G$48,1,F401)*G401/12</f>
        <v>79.1666666666667</v>
      </c>
      <c r="AE401" s="15" t="n">
        <f aca="false">INDEX(Ipotesi!$C$50:$G$50,1,F401)*G401/12</f>
        <v>8.33333333333333</v>
      </c>
      <c r="AF401" s="15" t="n">
        <f aca="false">(S401*Parametri_v3!$C$7*Parametri_v3!$C$8+Parametri_v3!$C$10)/12</f>
        <v>89.8333333333333</v>
      </c>
      <c r="AG401" s="15" t="n">
        <f aca="false">AD401+AE401*(1+Parametri_v3!$C$9)</f>
        <v>91.6666666666667</v>
      </c>
      <c r="AH401" s="16" t="n">
        <f aca="false">IF(AG401=0,1,MIN(1,AF401/AG401))</f>
        <v>0.98</v>
      </c>
      <c r="AI401" s="15" t="n">
        <f aca="false">AD401*AH401</f>
        <v>77.5833333333333</v>
      </c>
      <c r="AJ401" s="15" t="n">
        <f aca="false">AE401*AH401</f>
        <v>8.16666666666667</v>
      </c>
      <c r="AK401" s="15" t="n">
        <f aca="false">AI401*INDEX(Ipotesi!$C$49:$G$49,1,F401)*H401</f>
        <v>69825</v>
      </c>
      <c r="AL401" s="15" t="n">
        <f aca="false">AJ401*INDEX(Ipotesi!$C$51:$G$51,1,F401)*H401</f>
        <v>20416.6666666667</v>
      </c>
      <c r="AM401" s="15" t="n">
        <f aca="false">AK401+AL401</f>
        <v>90241.6666666667</v>
      </c>
      <c r="AN401" s="15" t="n">
        <f aca="false">INDEX(Ipotesi!$C$30:$G$30,1,F401)*G401/12</f>
        <v>61.6666666666667</v>
      </c>
      <c r="AO401" s="15" t="n">
        <f aca="false">O401*Parametri_v3!$C$7*Parametri_v3!$C$11*(1-Parametri_v3!$C$14)/12</f>
        <v>66.7333333333333</v>
      </c>
      <c r="AP401" s="15" t="n">
        <f aca="false">MIN(AN401,AO401)</f>
        <v>61.6666666666667</v>
      </c>
      <c r="AQ401" s="15" t="n">
        <f aca="false">AP401*INDEX(Ipotesi!$C$31:$G$31,1,F401)*H401</f>
        <v>64750</v>
      </c>
      <c r="AR401" s="15" t="n">
        <f aca="false">INDEX(Ipotesi!$C$75:$G$75,1,F401)*J401/12</f>
        <v>27916.6666666667</v>
      </c>
      <c r="AS401" s="15" t="n">
        <f aca="false">INDEX(Ipotesi!$C$81:$G$81,1,F401)*J401/12</f>
        <v>1666.66666666667</v>
      </c>
      <c r="AT401" s="15" t="n">
        <f aca="false">AR401*Parametri_v3!$C$15+Z401*Parametri_v3!$C$16</f>
        <v>42258.7085416667</v>
      </c>
      <c r="AU401" s="15" t="n">
        <f aca="false">Q401*Parametri_v3!$C$16*Parametri_v3!$C$17</f>
        <v>350</v>
      </c>
      <c r="AV401" s="17" t="n">
        <f aca="false">BD400</f>
        <v>88.253796635745</v>
      </c>
      <c r="AW401" s="17" t="n">
        <f aca="false">AV401*(1-(1-INDEX(Ipotesi!$C$34:$G$34,1,F401))^(1/12))</f>
        <v>0.771480355464605</v>
      </c>
      <c r="AX401" s="15" t="n">
        <f aca="false">ROUND(INDEX(Ipotesi!$C$32:$G$32,1,F401)*Ipotesi!I8,0)</f>
        <v>310</v>
      </c>
      <c r="AY401" s="15" t="n">
        <f aca="false">MAX(0,(AX401-(AV401-AW401))/(13-E401))</f>
        <v>18.5431403099766</v>
      </c>
      <c r="AZ401" s="15" t="n">
        <f aca="false">MIN(P401*Parametri_v3!$C$22,Q401*(1-Parametri_v3!$C$16)*Parametri_v3!$C$23)</f>
        <v>225</v>
      </c>
      <c r="BA401" s="15" t="n">
        <f aca="false">IF(OR(INDEX(Ipotesi!$C$35:$G$35,1,F401)&lt;=0,37-Parametri_v3!$C$21&lt;1),0,INDEX($AT$365:$AT$424,MAX(1,37-Parametri_v3!$C$21))/(INDEX(Ipotesi!$C$35:$G$35,1,F401)*Ipotesi!I27))</f>
        <v>5.18990833333333</v>
      </c>
      <c r="BB401" s="15" t="n">
        <f aca="false">IF(37-Parametri_v3!$C$21&lt;1,0,INDEX($AU$365:$AU$424,MAX(1,37-Parametri_v3!$C$21)))*Parametri_v3!$C$18*Parametri_v3!$C$19*Parametri_v3!$C$20</f>
        <v>10.5</v>
      </c>
      <c r="BC401" s="17" t="n">
        <f aca="false">MAX(0,MIN(AY401,BA401,BB401,MAX(0,AZ401-(AV401-AW401))))</f>
        <v>5.18990833333333</v>
      </c>
      <c r="BD401" s="17" t="n">
        <f aca="false">AV401-AW401+BC401</f>
        <v>92.6722246136137</v>
      </c>
      <c r="BE401" s="17" t="n">
        <f aca="false">(AV401+BD401)/2</f>
        <v>90.4630106246794</v>
      </c>
      <c r="BF401" s="15" t="n">
        <f aca="false">BE401*INDEX(Ipotesi!$C$33:$G$33,1,F401)*H401/12</f>
        <v>45231.5053123397</v>
      </c>
      <c r="BG401" s="15" t="n">
        <f aca="false">BD401*INDEX(Ipotesi!$C$33:$G$33,1,F401)*H401</f>
        <v>556033.347681682</v>
      </c>
      <c r="BH401" s="15" t="n">
        <f aca="false">AM401*INDEX(Ipotesi!$C$37:$G$37,1,F401)</f>
        <v>9024.16666666667</v>
      </c>
      <c r="BI401" s="15" t="n">
        <f aca="false">AQ401+BF401+BH401</f>
        <v>119005.671979006</v>
      </c>
      <c r="BJ401" s="15" t="n">
        <f aca="false">INDEX(Ipotesi!$C$68:$G$68,1,F401)*Ipotesi!$C$69/12</f>
        <v>3000</v>
      </c>
      <c r="BK401" s="15" t="n">
        <f aca="false">INDEX(Ipotesi!$C$68:$G$68,1,F401)*(1-Ipotesi!$C$69)/12</f>
        <v>4500</v>
      </c>
      <c r="BL401" s="15" t="n">
        <f aca="false">(AQ401+BF401)*Ipotesi!$C$67</f>
        <v>3299.44515937019</v>
      </c>
      <c r="BM401" s="15" t="n">
        <f aca="false">AM401*Ipotesi!$C$67</f>
        <v>2707.25</v>
      </c>
      <c r="BN401" s="15" t="n">
        <f aca="false">INDEX(Ipotesi!$C$72:$G$72,1,F401)/12*Ipotesi!I126+BF401*Ipotesi!$C$73</f>
        <v>4868.52042498717</v>
      </c>
      <c r="BO401" s="15" t="n">
        <f aca="false">INDEX(Ipotesi!$C$74:$G$74,1,F401)/12*Ipotesi!I126</f>
        <v>4166.66666666667</v>
      </c>
      <c r="BP401" s="15" t="n">
        <f aca="false">INDEX(Ipotesi!$C$76:$G$76,1,F401)/12</f>
        <v>1500</v>
      </c>
      <c r="BQ401" s="15" t="n">
        <f aca="false">INDEX(Ipotesi!$C$77:$G$77,1,F401)/12*Ipotesi!I126</f>
        <v>2083.33333333333</v>
      </c>
      <c r="BR401" s="15" t="n">
        <f aca="false">INDEX(Ipotesi!$C$78:$G$78,1,F401)/12</f>
        <v>2000</v>
      </c>
      <c r="BS401" s="15" t="n">
        <f aca="false">SUM(M401:R401)*(Ipotesi!$C$85+Ipotesi!$C$86)/12</f>
        <v>6125</v>
      </c>
      <c r="BT401" s="15" t="n">
        <f aca="false">BI401*Ipotesi!$C$87</f>
        <v>3570.17015937019</v>
      </c>
      <c r="BU401" s="15" t="n">
        <f aca="false">INDEX(Ipotesi!$C$55:$G$55,1,F401)*K401/12</f>
        <v>2000</v>
      </c>
      <c r="BV401" s="15" t="n">
        <f aca="false">INDEX(Ipotesi!$C$80:$G$80,1,F401)/12*Ipotesi!I126</f>
        <v>1666.66666666667</v>
      </c>
      <c r="BW401" s="15" t="n">
        <f aca="false">INDEX(Ipotesi!$C$82:$G$82,1,F401)/12</f>
        <v>1250</v>
      </c>
      <c r="BX401" s="15" t="n">
        <f aca="false">INDEX(Ipotesi!$C$83:$G$83,1,F401)/12</f>
        <v>750</v>
      </c>
      <c r="BY401" s="15" t="n">
        <f aca="false">SUM(S401:U401)*(Ipotesi!$C$85+Ipotesi!$C$86)/12</f>
        <v>2479.16666666667</v>
      </c>
      <c r="BZ401" s="15" t="n">
        <f aca="false">AM401*Ipotesi!$C$87</f>
        <v>2707.25</v>
      </c>
      <c r="CA401" s="15" t="n">
        <f aca="false">AB401+BJ401+BL401+BN401+BO401+AR401+BP401+BQ401+BR401+BS401+BT401</f>
        <v>155002.886368728</v>
      </c>
      <c r="CB401" s="15" t="n">
        <f aca="false">AC401+BK401+BM401+BH401+BU401+BV401+AS401+BW401+BX401+BY401+BZ401</f>
        <v>62580.173375</v>
      </c>
      <c r="CC401" s="15" t="n">
        <f aca="false">BI401-CA401</f>
        <v>-35997.2143897212</v>
      </c>
      <c r="CD401" s="15" t="n">
        <f aca="false">AM401-CB401</f>
        <v>27661.4932916667</v>
      </c>
      <c r="CE401" s="15" t="n">
        <f aca="false">INDEX(Ipotesi!$C$79:$G$79,1,F401)/12</f>
        <v>3333.33333333333</v>
      </c>
      <c r="CF401" s="15" t="n">
        <f aca="false">INDEX(Ipotesi!$C$84:$G$84,1,F401)/12</f>
        <v>666.666666666667</v>
      </c>
      <c r="CG401" s="15" t="n">
        <f aca="false">Y401*MAX(0,Parametri_v3!$C$12-IF(P401=0,0,MIN(1,BE401/(P401*Parametri_v3!$C$22))))+W401*Parametri_v3!$C$13+X401*Parametri_v3!$C$14</f>
        <v>32305.4260745469</v>
      </c>
      <c r="CH401" s="15" t="n">
        <f aca="false">AB401*Parametri_v3!$C$32</f>
        <v>4823.65419791667</v>
      </c>
      <c r="CI401" s="15" t="n">
        <f aca="false">AC401*Parametri_v3!$C$32</f>
        <v>1691.45033541667</v>
      </c>
      <c r="CJ401" s="15" t="n">
        <f aca="false">CA401-AB401</f>
        <v>58529.8024103942</v>
      </c>
      <c r="CK401" s="15" t="n">
        <f aca="false">CB401-AC401-BH401</f>
        <v>19727</v>
      </c>
      <c r="CL401" s="15" t="n">
        <f aca="false">BF401*Ipotesi!$C$73+INDEX(Ipotesi!$C$72:$G$72,1,F401)/12*Ipotesi!I126*Parametri_v3!$C$58+Z401*(1-Parametri_v3!$C$16)</f>
        <v>11015.1097999872</v>
      </c>
      <c r="CM401" s="16" t="n">
        <f aca="false">IF(BF401=0,0,1-CL401/BF401)</f>
        <v>0.75647262402779</v>
      </c>
    </row>
    <row r="402" customFormat="false" ht="18" hidden="false" customHeight="true" outlineLevel="0" collapsed="false">
      <c r="A402" s="68" t="n">
        <f aca="false">7</f>
        <v>7</v>
      </c>
      <c r="B402" s="68" t="n">
        <f aca="false">38</f>
        <v>38</v>
      </c>
      <c r="C402" s="18" t="n">
        <f aca="false">EDATE(Parametri_v3!$C$5,38-1)</f>
        <v>47515</v>
      </c>
      <c r="D402" s="68" t="n">
        <f aca="false">YEAR(C402)</f>
        <v>2030</v>
      </c>
      <c r="E402" s="68" t="n">
        <f aca="false">MONTH(C402)</f>
        <v>2</v>
      </c>
      <c r="F402" s="68" t="n">
        <f aca="false">INT((38-1)/12)+1</f>
        <v>4</v>
      </c>
      <c r="G402" s="15" t="n">
        <f aca="false">Ipotesi!I7</f>
        <v>1</v>
      </c>
      <c r="H402" s="15" t="n">
        <f aca="false">Ipotesi!I9</f>
        <v>1</v>
      </c>
      <c r="I402" s="15" t="n">
        <f aca="false">Ipotesi!I10</f>
        <v>1</v>
      </c>
      <c r="J402" s="15" t="n">
        <f aca="false">Ipotesi!I11</f>
        <v>1</v>
      </c>
      <c r="K402" s="15" t="n">
        <f aca="false">Ipotesi!I12</f>
        <v>1</v>
      </c>
      <c r="L402" s="15" t="n">
        <f aca="false">Ipotesi!I13</f>
        <v>90</v>
      </c>
      <c r="M402" s="17" t="n">
        <f aca="false">INDEX(Ipotesi!$C$40:$G$40,1,F402)</f>
        <v>1</v>
      </c>
      <c r="N402" s="17" t="n">
        <f aca="false">INDEX(Ipotesi!$C$41:$G$41,1,F402)</f>
        <v>1</v>
      </c>
      <c r="O402" s="17" t="n">
        <f aca="false">INDEX(Ipotesi!$C$42:$G$42,1,F402)*Ipotesi!I125</f>
        <v>6.5</v>
      </c>
      <c r="P402" s="17" t="n">
        <f aca="false">INDEX(Ipotesi!$C$43:$G$43,1,F402)*I402</f>
        <v>6</v>
      </c>
      <c r="Q402" s="17" t="n">
        <f aca="false">INDEX(Ipotesi!$C$44:$G$44,1,F402)*I402</f>
        <v>5</v>
      </c>
      <c r="R402" s="17" t="n">
        <f aca="false">INDEX(Ipotesi!$C$45:$G$45,1,F402)*I402</f>
        <v>1.5</v>
      </c>
      <c r="S402" s="17" t="n">
        <f aca="false">INDEX(Ipotesi!$C$52:$G$52,1,F402)*Ipotesi!I125</f>
        <v>7</v>
      </c>
      <c r="T402" s="17" t="n">
        <f aca="false">INDEX(Ipotesi!$C$53:$G$53,1,F402)*I402</f>
        <v>1</v>
      </c>
      <c r="U402" s="17" t="n">
        <f aca="false">INDEX(Ipotesi!$C$54:$G$54,1,F402)*I402</f>
        <v>0.5</v>
      </c>
      <c r="V402" s="15" t="n">
        <f aca="false">M402*INDEX(Ipotesi!$C$58:$G$58,1,F402)*K402/12</f>
        <v>7916.66666666667</v>
      </c>
      <c r="W402" s="15" t="n">
        <f aca="false">N402*Ipotesi!$C$59*(1+Ipotesi!$C$66)^(F402-1)/12</f>
        <v>6374.24083333333</v>
      </c>
      <c r="X402" s="15" t="n">
        <f aca="false">O402*Ipotesi!$C$60*(1+Ipotesi!$C$66)^(F402-1)/12</f>
        <v>29594.6895833333</v>
      </c>
      <c r="Y402" s="15" t="n">
        <f aca="false">P402*Ipotesi!$C$61*(1+Ipotesi!$C$66)^(F402-1)/12</f>
        <v>27318.175</v>
      </c>
      <c r="Z402" s="15" t="n">
        <f aca="false">Q402*Ipotesi!$C$62*(1+Ipotesi!$C$66)^(F402-1)/12</f>
        <v>20488.63125</v>
      </c>
      <c r="AA402" s="15" t="n">
        <f aca="false">R402*Ipotesi!$C$63*(1+Ipotesi!$C$66)^(F402-1)/12</f>
        <v>4780.680625</v>
      </c>
      <c r="AB402" s="15" t="n">
        <f aca="false">SUM(V402:AA402)</f>
        <v>96473.0839583333</v>
      </c>
      <c r="AC402" s="15" t="n">
        <f aca="false">(S402*Ipotesi!$C$64+T402*Ipotesi!$C$65+U402*Ipotesi!$C$63)*(1+Ipotesi!$C$66)^(F402-1)/12</f>
        <v>33829.0067083333</v>
      </c>
      <c r="AD402" s="15" t="n">
        <f aca="false">INDEX(Ipotesi!$C$48:$G$48,1,F402)*G402/12</f>
        <v>79.1666666666667</v>
      </c>
      <c r="AE402" s="15" t="n">
        <f aca="false">INDEX(Ipotesi!$C$50:$G$50,1,F402)*G402/12</f>
        <v>8.33333333333333</v>
      </c>
      <c r="AF402" s="15" t="n">
        <f aca="false">(S402*Parametri_v3!$C$7*Parametri_v3!$C$8+Parametri_v3!$C$10)/12</f>
        <v>89.8333333333333</v>
      </c>
      <c r="AG402" s="15" t="n">
        <f aca="false">AD402+AE402*(1+Parametri_v3!$C$9)</f>
        <v>91.6666666666667</v>
      </c>
      <c r="AH402" s="16" t="n">
        <f aca="false">IF(AG402=0,1,MIN(1,AF402/AG402))</f>
        <v>0.98</v>
      </c>
      <c r="AI402" s="15" t="n">
        <f aca="false">AD402*AH402</f>
        <v>77.5833333333333</v>
      </c>
      <c r="AJ402" s="15" t="n">
        <f aca="false">AE402*AH402</f>
        <v>8.16666666666667</v>
      </c>
      <c r="AK402" s="15" t="n">
        <f aca="false">AI402*INDEX(Ipotesi!$C$49:$G$49,1,F402)*H402</f>
        <v>69825</v>
      </c>
      <c r="AL402" s="15" t="n">
        <f aca="false">AJ402*INDEX(Ipotesi!$C$51:$G$51,1,F402)*H402</f>
        <v>20416.6666666667</v>
      </c>
      <c r="AM402" s="15" t="n">
        <f aca="false">AK402+AL402</f>
        <v>90241.6666666667</v>
      </c>
      <c r="AN402" s="15" t="n">
        <f aca="false">INDEX(Ipotesi!$C$30:$G$30,1,F402)*G402/12</f>
        <v>61.6666666666667</v>
      </c>
      <c r="AO402" s="15" t="n">
        <f aca="false">O402*Parametri_v3!$C$7*Parametri_v3!$C$11*(1-Parametri_v3!$C$14)/12</f>
        <v>66.7333333333333</v>
      </c>
      <c r="AP402" s="15" t="n">
        <f aca="false">MIN(AN402,AO402)</f>
        <v>61.6666666666667</v>
      </c>
      <c r="AQ402" s="15" t="n">
        <f aca="false">AP402*INDEX(Ipotesi!$C$31:$G$31,1,F402)*H402</f>
        <v>64750</v>
      </c>
      <c r="AR402" s="15" t="n">
        <f aca="false">INDEX(Ipotesi!$C$75:$G$75,1,F402)*J402/12</f>
        <v>27916.6666666667</v>
      </c>
      <c r="AS402" s="15" t="n">
        <f aca="false">INDEX(Ipotesi!$C$81:$G$81,1,F402)*J402/12</f>
        <v>1666.66666666667</v>
      </c>
      <c r="AT402" s="15" t="n">
        <f aca="false">AR402*Parametri_v3!$C$15+Z402*Parametri_v3!$C$16</f>
        <v>42258.7085416667</v>
      </c>
      <c r="AU402" s="15" t="n">
        <f aca="false">Q402*Parametri_v3!$C$16*Parametri_v3!$C$17</f>
        <v>350</v>
      </c>
      <c r="AV402" s="17" t="n">
        <f aca="false">BD401</f>
        <v>92.6722246136137</v>
      </c>
      <c r="AW402" s="17" t="n">
        <f aca="false">AV402*(1-(1-INDEX(Ipotesi!$C$34:$G$34,1,F402))^(1/12))</f>
        <v>0.810104533878481</v>
      </c>
      <c r="AX402" s="15" t="n">
        <f aca="false">ROUND(INDEX(Ipotesi!$C$32:$G$32,1,F402)*Ipotesi!I8,0)</f>
        <v>310</v>
      </c>
      <c r="AY402" s="15" t="n">
        <f aca="false">MAX(0,(AX402-(AV402-AW402))/(13-E402))</f>
        <v>19.8307163563877</v>
      </c>
      <c r="AZ402" s="15" t="n">
        <f aca="false">MIN(P402*Parametri_v3!$C$22,Q402*(1-Parametri_v3!$C$16)*Parametri_v3!$C$23)</f>
        <v>225</v>
      </c>
      <c r="BA402" s="15" t="n">
        <f aca="false">IF(OR(INDEX(Ipotesi!$C$35:$G$35,1,F402)&lt;=0,38-Parametri_v3!$C$21&lt;1),0,INDEX($AT$365:$AT$424,MAX(1,38-Parametri_v3!$C$21))/(INDEX(Ipotesi!$C$35:$G$35,1,F402)*Ipotesi!I27))</f>
        <v>5.18990833333333</v>
      </c>
      <c r="BB402" s="15" t="n">
        <f aca="false">IF(38-Parametri_v3!$C$21&lt;1,0,INDEX($AU$365:$AU$424,MAX(1,38-Parametri_v3!$C$21)))*Parametri_v3!$C$18*Parametri_v3!$C$19*Parametri_v3!$C$20</f>
        <v>10.5</v>
      </c>
      <c r="BC402" s="17" t="n">
        <f aca="false">MAX(0,MIN(AY402,BA402,BB402,MAX(0,AZ402-(AV402-AW402))))</f>
        <v>5.18990833333333</v>
      </c>
      <c r="BD402" s="17" t="n">
        <f aca="false">AV402-AW402+BC402</f>
        <v>97.0520284130686</v>
      </c>
      <c r="BE402" s="17" t="n">
        <f aca="false">(AV402+BD402)/2</f>
        <v>94.8621265133411</v>
      </c>
      <c r="BF402" s="15" t="n">
        <f aca="false">BE402*INDEX(Ipotesi!$C$33:$G$33,1,F402)*H402/12</f>
        <v>47431.0632566706</v>
      </c>
      <c r="BG402" s="15" t="n">
        <f aca="false">BD402*INDEX(Ipotesi!$C$33:$G$33,1,F402)*H402</f>
        <v>582312.170478411</v>
      </c>
      <c r="BH402" s="15" t="n">
        <f aca="false">AM402*INDEX(Ipotesi!$C$37:$G$37,1,F402)</f>
        <v>9024.16666666667</v>
      </c>
      <c r="BI402" s="15" t="n">
        <f aca="false">AQ402+BF402+BH402</f>
        <v>121205.229923337</v>
      </c>
      <c r="BJ402" s="15" t="n">
        <f aca="false">INDEX(Ipotesi!$C$68:$G$68,1,F402)*Ipotesi!$C$69/12</f>
        <v>3000</v>
      </c>
      <c r="BK402" s="15" t="n">
        <f aca="false">INDEX(Ipotesi!$C$68:$G$68,1,F402)*(1-Ipotesi!$C$69)/12</f>
        <v>4500</v>
      </c>
      <c r="BL402" s="15" t="n">
        <f aca="false">(AQ402+BF402)*Ipotesi!$C$67</f>
        <v>3365.43189770012</v>
      </c>
      <c r="BM402" s="15" t="n">
        <f aca="false">AM402*Ipotesi!$C$67</f>
        <v>2707.25</v>
      </c>
      <c r="BN402" s="15" t="n">
        <f aca="false">INDEX(Ipotesi!$C$72:$G$72,1,F402)/12*Ipotesi!I126+BF402*Ipotesi!$C$73</f>
        <v>5044.48506053365</v>
      </c>
      <c r="BO402" s="15" t="n">
        <f aca="false">INDEX(Ipotesi!$C$74:$G$74,1,F402)/12*Ipotesi!I126</f>
        <v>4166.66666666667</v>
      </c>
      <c r="BP402" s="15" t="n">
        <f aca="false">INDEX(Ipotesi!$C$76:$G$76,1,F402)/12</f>
        <v>1500</v>
      </c>
      <c r="BQ402" s="15" t="n">
        <f aca="false">INDEX(Ipotesi!$C$77:$G$77,1,F402)/12*Ipotesi!I126</f>
        <v>2083.33333333333</v>
      </c>
      <c r="BR402" s="15" t="n">
        <f aca="false">INDEX(Ipotesi!$C$78:$G$78,1,F402)/12</f>
        <v>2000</v>
      </c>
      <c r="BS402" s="15" t="n">
        <f aca="false">SUM(M402:R402)*(Ipotesi!$C$85+Ipotesi!$C$86)/12</f>
        <v>6125</v>
      </c>
      <c r="BT402" s="15" t="n">
        <f aca="false">BI402*Ipotesi!$C$87</f>
        <v>3636.15689770012</v>
      </c>
      <c r="BU402" s="15" t="n">
        <f aca="false">INDEX(Ipotesi!$C$55:$G$55,1,F402)*K402/12</f>
        <v>2000</v>
      </c>
      <c r="BV402" s="15" t="n">
        <f aca="false">INDEX(Ipotesi!$C$80:$G$80,1,F402)/12*Ipotesi!I126</f>
        <v>1666.66666666667</v>
      </c>
      <c r="BW402" s="15" t="n">
        <f aca="false">INDEX(Ipotesi!$C$82:$G$82,1,F402)/12</f>
        <v>1250</v>
      </c>
      <c r="BX402" s="15" t="n">
        <f aca="false">INDEX(Ipotesi!$C$83:$G$83,1,F402)/12</f>
        <v>750</v>
      </c>
      <c r="BY402" s="15" t="n">
        <f aca="false">SUM(S402:U402)*(Ipotesi!$C$85+Ipotesi!$C$86)/12</f>
        <v>2479.16666666667</v>
      </c>
      <c r="BZ402" s="15" t="n">
        <f aca="false">AM402*Ipotesi!$C$87</f>
        <v>2707.25</v>
      </c>
      <c r="CA402" s="15" t="n">
        <f aca="false">AB402+BJ402+BL402+BN402+BO402+AR402+BP402+BQ402+BR402+BS402+BT402</f>
        <v>155310.824480934</v>
      </c>
      <c r="CB402" s="15" t="n">
        <f aca="false">AC402+BK402+BM402+BH402+BU402+BV402+AS402+BW402+BX402+BY402+BZ402</f>
        <v>62580.173375</v>
      </c>
      <c r="CC402" s="15" t="n">
        <f aca="false">BI402-CA402</f>
        <v>-34105.5945575967</v>
      </c>
      <c r="CD402" s="15" t="n">
        <f aca="false">AM402-CB402</f>
        <v>27661.4932916667</v>
      </c>
      <c r="CE402" s="15" t="n">
        <f aca="false">INDEX(Ipotesi!$C$79:$G$79,1,F402)/12</f>
        <v>3333.33333333333</v>
      </c>
      <c r="CF402" s="15" t="n">
        <f aca="false">INDEX(Ipotesi!$C$84:$G$84,1,F402)/12</f>
        <v>666.666666666667</v>
      </c>
      <c r="CG402" s="15" t="n">
        <f aca="false">Y402*MAX(0,Parametri_v3!$C$12-IF(P402=0,0,MIN(1,BE402/(P402*Parametri_v3!$C$22))))+W402*Parametri_v3!$C$13+X402*Parametri_v3!$C$14</f>
        <v>32105.1330450607</v>
      </c>
      <c r="CH402" s="15" t="n">
        <f aca="false">AB402*Parametri_v3!$C$32</f>
        <v>4823.65419791667</v>
      </c>
      <c r="CI402" s="15" t="n">
        <f aca="false">AC402*Parametri_v3!$C$32</f>
        <v>1691.45033541667</v>
      </c>
      <c r="CJ402" s="15" t="n">
        <f aca="false">CA402-AB402</f>
        <v>58837.7405226006</v>
      </c>
      <c r="CK402" s="15" t="n">
        <f aca="false">CB402-AC402-BH402</f>
        <v>19727</v>
      </c>
      <c r="CL402" s="15" t="n">
        <f aca="false">BF402*Ipotesi!$C$73+INDEX(Ipotesi!$C$72:$G$72,1,F402)/12*Ipotesi!I126*Parametri_v3!$C$58+Z402*(1-Parametri_v3!$C$16)</f>
        <v>11191.0744355336</v>
      </c>
      <c r="CM402" s="16" t="n">
        <f aca="false">IF(BF402=0,0,1-CL402/BF402)</f>
        <v>0.764056007452885</v>
      </c>
    </row>
    <row r="403" customFormat="false" ht="18" hidden="false" customHeight="true" outlineLevel="0" collapsed="false">
      <c r="A403" s="68" t="n">
        <f aca="false">7</f>
        <v>7</v>
      </c>
      <c r="B403" s="68" t="n">
        <f aca="false">39</f>
        <v>39</v>
      </c>
      <c r="C403" s="18" t="n">
        <f aca="false">EDATE(Parametri_v3!$C$5,39-1)</f>
        <v>47543</v>
      </c>
      <c r="D403" s="68" t="n">
        <f aca="false">YEAR(C403)</f>
        <v>2030</v>
      </c>
      <c r="E403" s="68" t="n">
        <f aca="false">MONTH(C403)</f>
        <v>3</v>
      </c>
      <c r="F403" s="68" t="n">
        <f aca="false">INT((39-1)/12)+1</f>
        <v>4</v>
      </c>
      <c r="G403" s="15" t="n">
        <f aca="false">Ipotesi!I7</f>
        <v>1</v>
      </c>
      <c r="H403" s="15" t="n">
        <f aca="false">Ipotesi!I9</f>
        <v>1</v>
      </c>
      <c r="I403" s="15" t="n">
        <f aca="false">Ipotesi!I10</f>
        <v>1</v>
      </c>
      <c r="J403" s="15" t="n">
        <f aca="false">Ipotesi!I11</f>
        <v>1</v>
      </c>
      <c r="K403" s="15" t="n">
        <f aca="false">Ipotesi!I12</f>
        <v>1</v>
      </c>
      <c r="L403" s="15" t="n">
        <f aca="false">Ipotesi!I13</f>
        <v>90</v>
      </c>
      <c r="M403" s="17" t="n">
        <f aca="false">INDEX(Ipotesi!$C$40:$G$40,1,F403)</f>
        <v>1</v>
      </c>
      <c r="N403" s="17" t="n">
        <f aca="false">INDEX(Ipotesi!$C$41:$G$41,1,F403)</f>
        <v>1</v>
      </c>
      <c r="O403" s="17" t="n">
        <f aca="false">INDEX(Ipotesi!$C$42:$G$42,1,F403)*Ipotesi!I125</f>
        <v>6.5</v>
      </c>
      <c r="P403" s="17" t="n">
        <f aca="false">INDEX(Ipotesi!$C$43:$G$43,1,F403)*I403</f>
        <v>6</v>
      </c>
      <c r="Q403" s="17" t="n">
        <f aca="false">INDEX(Ipotesi!$C$44:$G$44,1,F403)*I403</f>
        <v>5</v>
      </c>
      <c r="R403" s="17" t="n">
        <f aca="false">INDEX(Ipotesi!$C$45:$G$45,1,F403)*I403</f>
        <v>1.5</v>
      </c>
      <c r="S403" s="17" t="n">
        <f aca="false">INDEX(Ipotesi!$C$52:$G$52,1,F403)*Ipotesi!I125</f>
        <v>7</v>
      </c>
      <c r="T403" s="17" t="n">
        <f aca="false">INDEX(Ipotesi!$C$53:$G$53,1,F403)*I403</f>
        <v>1</v>
      </c>
      <c r="U403" s="17" t="n">
        <f aca="false">INDEX(Ipotesi!$C$54:$G$54,1,F403)*I403</f>
        <v>0.5</v>
      </c>
      <c r="V403" s="15" t="n">
        <f aca="false">M403*INDEX(Ipotesi!$C$58:$G$58,1,F403)*K403/12</f>
        <v>7916.66666666667</v>
      </c>
      <c r="W403" s="15" t="n">
        <f aca="false">N403*Ipotesi!$C$59*(1+Ipotesi!$C$66)^(F403-1)/12</f>
        <v>6374.24083333333</v>
      </c>
      <c r="X403" s="15" t="n">
        <f aca="false">O403*Ipotesi!$C$60*(1+Ipotesi!$C$66)^(F403-1)/12</f>
        <v>29594.6895833333</v>
      </c>
      <c r="Y403" s="15" t="n">
        <f aca="false">P403*Ipotesi!$C$61*(1+Ipotesi!$C$66)^(F403-1)/12</f>
        <v>27318.175</v>
      </c>
      <c r="Z403" s="15" t="n">
        <f aca="false">Q403*Ipotesi!$C$62*(1+Ipotesi!$C$66)^(F403-1)/12</f>
        <v>20488.63125</v>
      </c>
      <c r="AA403" s="15" t="n">
        <f aca="false">R403*Ipotesi!$C$63*(1+Ipotesi!$C$66)^(F403-1)/12</f>
        <v>4780.680625</v>
      </c>
      <c r="AB403" s="15" t="n">
        <f aca="false">SUM(V403:AA403)</f>
        <v>96473.0839583333</v>
      </c>
      <c r="AC403" s="15" t="n">
        <f aca="false">(S403*Ipotesi!$C$64+T403*Ipotesi!$C$65+U403*Ipotesi!$C$63)*(1+Ipotesi!$C$66)^(F403-1)/12</f>
        <v>33829.0067083333</v>
      </c>
      <c r="AD403" s="15" t="n">
        <f aca="false">INDEX(Ipotesi!$C$48:$G$48,1,F403)*G403/12</f>
        <v>79.1666666666667</v>
      </c>
      <c r="AE403" s="15" t="n">
        <f aca="false">INDEX(Ipotesi!$C$50:$G$50,1,F403)*G403/12</f>
        <v>8.33333333333333</v>
      </c>
      <c r="AF403" s="15" t="n">
        <f aca="false">(S403*Parametri_v3!$C$7*Parametri_v3!$C$8+Parametri_v3!$C$10)/12</f>
        <v>89.8333333333333</v>
      </c>
      <c r="AG403" s="15" t="n">
        <f aca="false">AD403+AE403*(1+Parametri_v3!$C$9)</f>
        <v>91.6666666666667</v>
      </c>
      <c r="AH403" s="16" t="n">
        <f aca="false">IF(AG403=0,1,MIN(1,AF403/AG403))</f>
        <v>0.98</v>
      </c>
      <c r="AI403" s="15" t="n">
        <f aca="false">AD403*AH403</f>
        <v>77.5833333333333</v>
      </c>
      <c r="AJ403" s="15" t="n">
        <f aca="false">AE403*AH403</f>
        <v>8.16666666666667</v>
      </c>
      <c r="AK403" s="15" t="n">
        <f aca="false">AI403*INDEX(Ipotesi!$C$49:$G$49,1,F403)*H403</f>
        <v>69825</v>
      </c>
      <c r="AL403" s="15" t="n">
        <f aca="false">AJ403*INDEX(Ipotesi!$C$51:$G$51,1,F403)*H403</f>
        <v>20416.6666666667</v>
      </c>
      <c r="AM403" s="15" t="n">
        <f aca="false">AK403+AL403</f>
        <v>90241.6666666667</v>
      </c>
      <c r="AN403" s="15" t="n">
        <f aca="false">INDEX(Ipotesi!$C$30:$G$30,1,F403)*G403/12</f>
        <v>61.6666666666667</v>
      </c>
      <c r="AO403" s="15" t="n">
        <f aca="false">O403*Parametri_v3!$C$7*Parametri_v3!$C$11*(1-Parametri_v3!$C$14)/12</f>
        <v>66.7333333333333</v>
      </c>
      <c r="AP403" s="15" t="n">
        <f aca="false">MIN(AN403,AO403)</f>
        <v>61.6666666666667</v>
      </c>
      <c r="AQ403" s="15" t="n">
        <f aca="false">AP403*INDEX(Ipotesi!$C$31:$G$31,1,F403)*H403</f>
        <v>64750</v>
      </c>
      <c r="AR403" s="15" t="n">
        <f aca="false">INDEX(Ipotesi!$C$75:$G$75,1,F403)*J403/12</f>
        <v>27916.6666666667</v>
      </c>
      <c r="AS403" s="15" t="n">
        <f aca="false">INDEX(Ipotesi!$C$81:$G$81,1,F403)*J403/12</f>
        <v>1666.66666666667</v>
      </c>
      <c r="AT403" s="15" t="n">
        <f aca="false">AR403*Parametri_v3!$C$15+Z403*Parametri_v3!$C$16</f>
        <v>42258.7085416667</v>
      </c>
      <c r="AU403" s="15" t="n">
        <f aca="false">Q403*Parametri_v3!$C$16*Parametri_v3!$C$17</f>
        <v>350</v>
      </c>
      <c r="AV403" s="17" t="n">
        <f aca="false">BD402</f>
        <v>97.0520284130686</v>
      </c>
      <c r="AW403" s="17" t="n">
        <f aca="false">AV403*(1-(1-INDEX(Ipotesi!$C$34:$G$34,1,F403))^(1/12))</f>
        <v>0.848391074751218</v>
      </c>
      <c r="AX403" s="15" t="n">
        <f aca="false">ROUND(INDEX(Ipotesi!$C$32:$G$32,1,F403)*Ipotesi!I8,0)</f>
        <v>310</v>
      </c>
      <c r="AY403" s="15" t="n">
        <f aca="false">MAX(0,(AX403-(AV403-AW403))/(13-E403))</f>
        <v>21.3796362661683</v>
      </c>
      <c r="AZ403" s="15" t="n">
        <f aca="false">MIN(P403*Parametri_v3!$C$22,Q403*(1-Parametri_v3!$C$16)*Parametri_v3!$C$23)</f>
        <v>225</v>
      </c>
      <c r="BA403" s="15" t="n">
        <f aca="false">IF(OR(INDEX(Ipotesi!$C$35:$G$35,1,F403)&lt;=0,39-Parametri_v3!$C$21&lt;1),0,INDEX($AT$365:$AT$424,MAX(1,39-Parametri_v3!$C$21))/(INDEX(Ipotesi!$C$35:$G$35,1,F403)*Ipotesi!I27))</f>
        <v>5.18990833333333</v>
      </c>
      <c r="BB403" s="15" t="n">
        <f aca="false">IF(39-Parametri_v3!$C$21&lt;1,0,INDEX($AU$365:$AU$424,MAX(1,39-Parametri_v3!$C$21)))*Parametri_v3!$C$18*Parametri_v3!$C$19*Parametri_v3!$C$20</f>
        <v>10.5</v>
      </c>
      <c r="BC403" s="17" t="n">
        <f aca="false">MAX(0,MIN(AY403,BA403,BB403,MAX(0,AZ403-(AV403-AW403))))</f>
        <v>5.18990833333333</v>
      </c>
      <c r="BD403" s="17" t="n">
        <f aca="false">AV403-AW403+BC403</f>
        <v>101.393545671651</v>
      </c>
      <c r="BE403" s="17" t="n">
        <f aca="false">(AV403+BD403)/2</f>
        <v>99.2227870423596</v>
      </c>
      <c r="BF403" s="15" t="n">
        <f aca="false">BE403*INDEX(Ipotesi!$C$33:$G$33,1,F403)*H403/12</f>
        <v>49611.3935211798</v>
      </c>
      <c r="BG403" s="15" t="n">
        <f aca="false">BD403*INDEX(Ipotesi!$C$33:$G$33,1,F403)*H403</f>
        <v>608361.274029904</v>
      </c>
      <c r="BH403" s="15" t="n">
        <f aca="false">AM403*INDEX(Ipotesi!$C$37:$G$37,1,F403)</f>
        <v>9024.16666666667</v>
      </c>
      <c r="BI403" s="15" t="n">
        <f aca="false">AQ403+BF403+BH403</f>
        <v>123385.560187847</v>
      </c>
      <c r="BJ403" s="15" t="n">
        <f aca="false">INDEX(Ipotesi!$C$68:$G$68,1,F403)*Ipotesi!$C$69/12</f>
        <v>3000</v>
      </c>
      <c r="BK403" s="15" t="n">
        <f aca="false">INDEX(Ipotesi!$C$68:$G$68,1,F403)*(1-Ipotesi!$C$69)/12</f>
        <v>4500</v>
      </c>
      <c r="BL403" s="15" t="n">
        <f aca="false">(AQ403+BF403)*Ipotesi!$C$67</f>
        <v>3430.84180563539</v>
      </c>
      <c r="BM403" s="15" t="n">
        <f aca="false">AM403*Ipotesi!$C$67</f>
        <v>2707.25</v>
      </c>
      <c r="BN403" s="15" t="n">
        <f aca="false">INDEX(Ipotesi!$C$72:$G$72,1,F403)/12*Ipotesi!I126+BF403*Ipotesi!$C$73</f>
        <v>5218.91148169439</v>
      </c>
      <c r="BO403" s="15" t="n">
        <f aca="false">INDEX(Ipotesi!$C$74:$G$74,1,F403)/12*Ipotesi!I126</f>
        <v>4166.66666666667</v>
      </c>
      <c r="BP403" s="15" t="n">
        <f aca="false">INDEX(Ipotesi!$C$76:$G$76,1,F403)/12</f>
        <v>1500</v>
      </c>
      <c r="BQ403" s="15" t="n">
        <f aca="false">INDEX(Ipotesi!$C$77:$G$77,1,F403)/12*Ipotesi!I126</f>
        <v>2083.33333333333</v>
      </c>
      <c r="BR403" s="15" t="n">
        <f aca="false">INDEX(Ipotesi!$C$78:$G$78,1,F403)/12</f>
        <v>2000</v>
      </c>
      <c r="BS403" s="15" t="n">
        <f aca="false">SUM(M403:R403)*(Ipotesi!$C$85+Ipotesi!$C$86)/12</f>
        <v>6125</v>
      </c>
      <c r="BT403" s="15" t="n">
        <f aca="false">BI403*Ipotesi!$C$87</f>
        <v>3701.56680563539</v>
      </c>
      <c r="BU403" s="15" t="n">
        <f aca="false">INDEX(Ipotesi!$C$55:$G$55,1,F403)*K403/12</f>
        <v>2000</v>
      </c>
      <c r="BV403" s="15" t="n">
        <f aca="false">INDEX(Ipotesi!$C$80:$G$80,1,F403)/12*Ipotesi!I126</f>
        <v>1666.66666666667</v>
      </c>
      <c r="BW403" s="15" t="n">
        <f aca="false">INDEX(Ipotesi!$C$82:$G$82,1,F403)/12</f>
        <v>1250</v>
      </c>
      <c r="BX403" s="15" t="n">
        <f aca="false">INDEX(Ipotesi!$C$83:$G$83,1,F403)/12</f>
        <v>750</v>
      </c>
      <c r="BY403" s="15" t="n">
        <f aca="false">SUM(S403:U403)*(Ipotesi!$C$85+Ipotesi!$C$86)/12</f>
        <v>2479.16666666667</v>
      </c>
      <c r="BZ403" s="15" t="n">
        <f aca="false">AM403*Ipotesi!$C$87</f>
        <v>2707.25</v>
      </c>
      <c r="CA403" s="15" t="n">
        <f aca="false">AB403+BJ403+BL403+BN403+BO403+AR403+BP403+BQ403+BR403+BS403+BT403</f>
        <v>155616.070717965</v>
      </c>
      <c r="CB403" s="15" t="n">
        <f aca="false">AC403+BK403+BM403+BH403+BU403+BV403+AS403+BW403+BX403+BY403+BZ403</f>
        <v>62580.173375</v>
      </c>
      <c r="CC403" s="15" t="n">
        <f aca="false">BI403-CA403</f>
        <v>-32230.5105301187</v>
      </c>
      <c r="CD403" s="15" t="n">
        <f aca="false">AM403-CB403</f>
        <v>27661.4932916667</v>
      </c>
      <c r="CE403" s="15" t="n">
        <f aca="false">INDEX(Ipotesi!$C$79:$G$79,1,F403)/12</f>
        <v>3333.33333333333</v>
      </c>
      <c r="CF403" s="15" t="n">
        <f aca="false">INDEX(Ipotesi!$C$84:$G$84,1,F403)/12</f>
        <v>666.666666666667</v>
      </c>
      <c r="CG403" s="15" t="n">
        <f aca="false">Y403*MAX(0,Parametri_v3!$C$12-IF(P403=0,0,MIN(1,BE403/(P403*Parametri_v3!$C$22))))+W403*Parametri_v3!$C$13+X403*Parametri_v3!$C$14</f>
        <v>31906.5908993151</v>
      </c>
      <c r="CH403" s="15" t="n">
        <f aca="false">AB403*Parametri_v3!$C$32</f>
        <v>4823.65419791667</v>
      </c>
      <c r="CI403" s="15" t="n">
        <f aca="false">AC403*Parametri_v3!$C$32</f>
        <v>1691.45033541667</v>
      </c>
      <c r="CJ403" s="15" t="n">
        <f aca="false">CA403-AB403</f>
        <v>59142.9867596319</v>
      </c>
      <c r="CK403" s="15" t="n">
        <f aca="false">CB403-AC403-BH403</f>
        <v>19727</v>
      </c>
      <c r="CL403" s="15" t="n">
        <f aca="false">BF403*Ipotesi!$C$73+INDEX(Ipotesi!$C$72:$G$72,1,F403)/12*Ipotesi!I126*Parametri_v3!$C$58+Z403*(1-Parametri_v3!$C$16)</f>
        <v>11365.5008566944</v>
      </c>
      <c r="CM403" s="16" t="n">
        <f aca="false">IF(BF403=0,0,1-CL403/BF403)</f>
        <v>0.770909461516289</v>
      </c>
    </row>
    <row r="404" customFormat="false" ht="18" hidden="false" customHeight="true" outlineLevel="0" collapsed="false">
      <c r="A404" s="68" t="n">
        <f aca="false">7</f>
        <v>7</v>
      </c>
      <c r="B404" s="68" t="n">
        <f aca="false">40</f>
        <v>40</v>
      </c>
      <c r="C404" s="18" t="n">
        <f aca="false">EDATE(Parametri_v3!$C$5,40-1)</f>
        <v>47574</v>
      </c>
      <c r="D404" s="68" t="n">
        <f aca="false">YEAR(C404)</f>
        <v>2030</v>
      </c>
      <c r="E404" s="68" t="n">
        <f aca="false">MONTH(C404)</f>
        <v>4</v>
      </c>
      <c r="F404" s="68" t="n">
        <f aca="false">INT((40-1)/12)+1</f>
        <v>4</v>
      </c>
      <c r="G404" s="15" t="n">
        <f aca="false">Ipotesi!I7</f>
        <v>1</v>
      </c>
      <c r="H404" s="15" t="n">
        <f aca="false">Ipotesi!I9</f>
        <v>1</v>
      </c>
      <c r="I404" s="15" t="n">
        <f aca="false">Ipotesi!I10</f>
        <v>1</v>
      </c>
      <c r="J404" s="15" t="n">
        <f aca="false">Ipotesi!I11</f>
        <v>1</v>
      </c>
      <c r="K404" s="15" t="n">
        <f aca="false">Ipotesi!I12</f>
        <v>1</v>
      </c>
      <c r="L404" s="15" t="n">
        <f aca="false">Ipotesi!I13</f>
        <v>90</v>
      </c>
      <c r="M404" s="17" t="n">
        <f aca="false">INDEX(Ipotesi!$C$40:$G$40,1,F404)</f>
        <v>1</v>
      </c>
      <c r="N404" s="17" t="n">
        <f aca="false">INDEX(Ipotesi!$C$41:$G$41,1,F404)</f>
        <v>1</v>
      </c>
      <c r="O404" s="17" t="n">
        <f aca="false">INDEX(Ipotesi!$C$42:$G$42,1,F404)*Ipotesi!I125</f>
        <v>6.5</v>
      </c>
      <c r="P404" s="17" t="n">
        <f aca="false">INDEX(Ipotesi!$C$43:$G$43,1,F404)*I404</f>
        <v>6</v>
      </c>
      <c r="Q404" s="17" t="n">
        <f aca="false">INDEX(Ipotesi!$C$44:$G$44,1,F404)*I404</f>
        <v>5</v>
      </c>
      <c r="R404" s="17" t="n">
        <f aca="false">INDEX(Ipotesi!$C$45:$G$45,1,F404)*I404</f>
        <v>1.5</v>
      </c>
      <c r="S404" s="17" t="n">
        <f aca="false">INDEX(Ipotesi!$C$52:$G$52,1,F404)*Ipotesi!I125</f>
        <v>7</v>
      </c>
      <c r="T404" s="17" t="n">
        <f aca="false">INDEX(Ipotesi!$C$53:$G$53,1,F404)*I404</f>
        <v>1</v>
      </c>
      <c r="U404" s="17" t="n">
        <f aca="false">INDEX(Ipotesi!$C$54:$G$54,1,F404)*I404</f>
        <v>0.5</v>
      </c>
      <c r="V404" s="15" t="n">
        <f aca="false">M404*INDEX(Ipotesi!$C$58:$G$58,1,F404)*K404/12</f>
        <v>7916.66666666667</v>
      </c>
      <c r="W404" s="15" t="n">
        <f aca="false">N404*Ipotesi!$C$59*(1+Ipotesi!$C$66)^(F404-1)/12</f>
        <v>6374.24083333333</v>
      </c>
      <c r="X404" s="15" t="n">
        <f aca="false">O404*Ipotesi!$C$60*(1+Ipotesi!$C$66)^(F404-1)/12</f>
        <v>29594.6895833333</v>
      </c>
      <c r="Y404" s="15" t="n">
        <f aca="false">P404*Ipotesi!$C$61*(1+Ipotesi!$C$66)^(F404-1)/12</f>
        <v>27318.175</v>
      </c>
      <c r="Z404" s="15" t="n">
        <f aca="false">Q404*Ipotesi!$C$62*(1+Ipotesi!$C$66)^(F404-1)/12</f>
        <v>20488.63125</v>
      </c>
      <c r="AA404" s="15" t="n">
        <f aca="false">R404*Ipotesi!$C$63*(1+Ipotesi!$C$66)^(F404-1)/12</f>
        <v>4780.680625</v>
      </c>
      <c r="AB404" s="15" t="n">
        <f aca="false">SUM(V404:AA404)</f>
        <v>96473.0839583333</v>
      </c>
      <c r="AC404" s="15" t="n">
        <f aca="false">(S404*Ipotesi!$C$64+T404*Ipotesi!$C$65+U404*Ipotesi!$C$63)*(1+Ipotesi!$C$66)^(F404-1)/12</f>
        <v>33829.0067083333</v>
      </c>
      <c r="AD404" s="15" t="n">
        <f aca="false">INDEX(Ipotesi!$C$48:$G$48,1,F404)*G404/12</f>
        <v>79.1666666666667</v>
      </c>
      <c r="AE404" s="15" t="n">
        <f aca="false">INDEX(Ipotesi!$C$50:$G$50,1,F404)*G404/12</f>
        <v>8.33333333333333</v>
      </c>
      <c r="AF404" s="15" t="n">
        <f aca="false">(S404*Parametri_v3!$C$7*Parametri_v3!$C$8+Parametri_v3!$C$10)/12</f>
        <v>89.8333333333333</v>
      </c>
      <c r="AG404" s="15" t="n">
        <f aca="false">AD404+AE404*(1+Parametri_v3!$C$9)</f>
        <v>91.6666666666667</v>
      </c>
      <c r="AH404" s="16" t="n">
        <f aca="false">IF(AG404=0,1,MIN(1,AF404/AG404))</f>
        <v>0.98</v>
      </c>
      <c r="AI404" s="15" t="n">
        <f aca="false">AD404*AH404</f>
        <v>77.5833333333333</v>
      </c>
      <c r="AJ404" s="15" t="n">
        <f aca="false">AE404*AH404</f>
        <v>8.16666666666667</v>
      </c>
      <c r="AK404" s="15" t="n">
        <f aca="false">AI404*INDEX(Ipotesi!$C$49:$G$49,1,F404)*H404</f>
        <v>69825</v>
      </c>
      <c r="AL404" s="15" t="n">
        <f aca="false">AJ404*INDEX(Ipotesi!$C$51:$G$51,1,F404)*H404</f>
        <v>20416.6666666667</v>
      </c>
      <c r="AM404" s="15" t="n">
        <f aca="false">AK404+AL404</f>
        <v>90241.6666666667</v>
      </c>
      <c r="AN404" s="15" t="n">
        <f aca="false">INDEX(Ipotesi!$C$30:$G$30,1,F404)*G404/12</f>
        <v>61.6666666666667</v>
      </c>
      <c r="AO404" s="15" t="n">
        <f aca="false">O404*Parametri_v3!$C$7*Parametri_v3!$C$11*(1-Parametri_v3!$C$14)/12</f>
        <v>66.7333333333333</v>
      </c>
      <c r="AP404" s="15" t="n">
        <f aca="false">MIN(AN404,AO404)</f>
        <v>61.6666666666667</v>
      </c>
      <c r="AQ404" s="15" t="n">
        <f aca="false">AP404*INDEX(Ipotesi!$C$31:$G$31,1,F404)*H404</f>
        <v>64750</v>
      </c>
      <c r="AR404" s="15" t="n">
        <f aca="false">INDEX(Ipotesi!$C$75:$G$75,1,F404)*J404/12</f>
        <v>27916.6666666667</v>
      </c>
      <c r="AS404" s="15" t="n">
        <f aca="false">INDEX(Ipotesi!$C$81:$G$81,1,F404)*J404/12</f>
        <v>1666.66666666667</v>
      </c>
      <c r="AT404" s="15" t="n">
        <f aca="false">AR404*Parametri_v3!$C$15+Z404*Parametri_v3!$C$16</f>
        <v>42258.7085416667</v>
      </c>
      <c r="AU404" s="15" t="n">
        <f aca="false">Q404*Parametri_v3!$C$16*Parametri_v3!$C$17</f>
        <v>350</v>
      </c>
      <c r="AV404" s="17" t="n">
        <f aca="false">BD403</f>
        <v>101.393545671651</v>
      </c>
      <c r="AW404" s="17" t="n">
        <f aca="false">AV404*(1-(1-INDEX(Ipotesi!$C$34:$G$34,1,F404))^(1/12))</f>
        <v>0.886342929578844</v>
      </c>
      <c r="AX404" s="15" t="n">
        <f aca="false">ROUND(INDEX(Ipotesi!$C$32:$G$32,1,F404)*Ipotesi!I8,0)</f>
        <v>310</v>
      </c>
      <c r="AY404" s="15" t="n">
        <f aca="false">MAX(0,(AX404-(AV404-AW404))/(13-E404))</f>
        <v>23.2769774731031</v>
      </c>
      <c r="AZ404" s="15" t="n">
        <f aca="false">MIN(P404*Parametri_v3!$C$22,Q404*(1-Parametri_v3!$C$16)*Parametri_v3!$C$23)</f>
        <v>225</v>
      </c>
      <c r="BA404" s="15" t="n">
        <f aca="false">IF(OR(INDEX(Ipotesi!$C$35:$G$35,1,F404)&lt;=0,40-Parametri_v3!$C$21&lt;1),0,INDEX($AT$365:$AT$424,MAX(1,40-Parametri_v3!$C$21))/(INDEX(Ipotesi!$C$35:$G$35,1,F404)*Ipotesi!I27))</f>
        <v>7.04311809027778</v>
      </c>
      <c r="BB404" s="15" t="n">
        <f aca="false">IF(40-Parametri_v3!$C$21&lt;1,0,INDEX($AU$365:$AU$424,MAX(1,40-Parametri_v3!$C$21)))*Parametri_v3!$C$18*Parametri_v3!$C$19*Parametri_v3!$C$20</f>
        <v>13.125</v>
      </c>
      <c r="BC404" s="17" t="n">
        <f aca="false">MAX(0,MIN(AY404,BA404,BB404,MAX(0,AZ404-(AV404-AW404))))</f>
        <v>7.04311809027778</v>
      </c>
      <c r="BD404" s="17" t="n">
        <f aca="false">AV404-AW404+BC404</f>
        <v>107.55032083235</v>
      </c>
      <c r="BE404" s="17" t="n">
        <f aca="false">(AV404+BD404)/2</f>
        <v>104.471933252</v>
      </c>
      <c r="BF404" s="15" t="n">
        <f aca="false">BE404*INDEX(Ipotesi!$C$33:$G$33,1,F404)*H404/12</f>
        <v>52235.9666260001</v>
      </c>
      <c r="BG404" s="15" t="n">
        <f aca="false">BD404*INDEX(Ipotesi!$C$33:$G$33,1,F404)*H404</f>
        <v>645301.924994098</v>
      </c>
      <c r="BH404" s="15" t="n">
        <f aca="false">AM404*INDEX(Ipotesi!$C$37:$G$37,1,F404)</f>
        <v>9024.16666666667</v>
      </c>
      <c r="BI404" s="15" t="n">
        <f aca="false">AQ404+BF404+BH404</f>
        <v>126010.133292667</v>
      </c>
      <c r="BJ404" s="15" t="n">
        <f aca="false">INDEX(Ipotesi!$C$68:$G$68,1,F404)*Ipotesi!$C$69/12</f>
        <v>3000</v>
      </c>
      <c r="BK404" s="15" t="n">
        <f aca="false">INDEX(Ipotesi!$C$68:$G$68,1,F404)*(1-Ipotesi!$C$69)/12</f>
        <v>4500</v>
      </c>
      <c r="BL404" s="15" t="n">
        <f aca="false">(AQ404+BF404)*Ipotesi!$C$67</f>
        <v>3509.57899878</v>
      </c>
      <c r="BM404" s="15" t="n">
        <f aca="false">AM404*Ipotesi!$C$67</f>
        <v>2707.25</v>
      </c>
      <c r="BN404" s="15" t="n">
        <f aca="false">INDEX(Ipotesi!$C$72:$G$72,1,F404)/12*Ipotesi!I126+BF404*Ipotesi!$C$73</f>
        <v>5428.87733008001</v>
      </c>
      <c r="BO404" s="15" t="n">
        <f aca="false">INDEX(Ipotesi!$C$74:$G$74,1,F404)/12*Ipotesi!I126</f>
        <v>4166.66666666667</v>
      </c>
      <c r="BP404" s="15" t="n">
        <f aca="false">INDEX(Ipotesi!$C$76:$G$76,1,F404)/12</f>
        <v>1500</v>
      </c>
      <c r="BQ404" s="15" t="n">
        <f aca="false">INDEX(Ipotesi!$C$77:$G$77,1,F404)/12*Ipotesi!I126</f>
        <v>2083.33333333333</v>
      </c>
      <c r="BR404" s="15" t="n">
        <f aca="false">INDEX(Ipotesi!$C$78:$G$78,1,F404)/12</f>
        <v>2000</v>
      </c>
      <c r="BS404" s="15" t="n">
        <f aca="false">SUM(M404:R404)*(Ipotesi!$C$85+Ipotesi!$C$86)/12</f>
        <v>6125</v>
      </c>
      <c r="BT404" s="15" t="n">
        <f aca="false">BI404*Ipotesi!$C$87</f>
        <v>3780.30399878</v>
      </c>
      <c r="BU404" s="15" t="n">
        <f aca="false">INDEX(Ipotesi!$C$55:$G$55,1,F404)*K404/12</f>
        <v>2000</v>
      </c>
      <c r="BV404" s="15" t="n">
        <f aca="false">INDEX(Ipotesi!$C$80:$G$80,1,F404)/12*Ipotesi!I126</f>
        <v>1666.66666666667</v>
      </c>
      <c r="BW404" s="15" t="n">
        <f aca="false">INDEX(Ipotesi!$C$82:$G$82,1,F404)/12</f>
        <v>1250</v>
      </c>
      <c r="BX404" s="15" t="n">
        <f aca="false">INDEX(Ipotesi!$C$83:$G$83,1,F404)/12</f>
        <v>750</v>
      </c>
      <c r="BY404" s="15" t="n">
        <f aca="false">SUM(S404:U404)*(Ipotesi!$C$85+Ipotesi!$C$86)/12</f>
        <v>2479.16666666667</v>
      </c>
      <c r="BZ404" s="15" t="n">
        <f aca="false">AM404*Ipotesi!$C$87</f>
        <v>2707.25</v>
      </c>
      <c r="CA404" s="15" t="n">
        <f aca="false">AB404+BJ404+BL404+BN404+BO404+AR404+BP404+BQ404+BR404+BS404+BT404</f>
        <v>155983.51095264</v>
      </c>
      <c r="CB404" s="15" t="n">
        <f aca="false">AC404+BK404+BM404+BH404+BU404+BV404+AS404+BW404+BX404+BY404+BZ404</f>
        <v>62580.173375</v>
      </c>
      <c r="CC404" s="15" t="n">
        <f aca="false">BI404-CA404</f>
        <v>-29973.3776599733</v>
      </c>
      <c r="CD404" s="15" t="n">
        <f aca="false">AM404-CB404</f>
        <v>27661.4932916667</v>
      </c>
      <c r="CE404" s="15" t="n">
        <f aca="false">INDEX(Ipotesi!$C$79:$G$79,1,F404)/12</f>
        <v>3333.33333333333</v>
      </c>
      <c r="CF404" s="15" t="n">
        <f aca="false">INDEX(Ipotesi!$C$84:$G$84,1,F404)/12</f>
        <v>666.666666666667</v>
      </c>
      <c r="CG404" s="15" t="n">
        <f aca="false">Y404*MAX(0,Parametri_v3!$C$12-IF(P404=0,0,MIN(1,BE404/(P404*Parametri_v3!$C$22))))+W404*Parametri_v3!$C$13+X404*Parametri_v3!$C$14</f>
        <v>31667.5957413892</v>
      </c>
      <c r="CH404" s="15" t="n">
        <f aca="false">AB404*Parametri_v3!$C$32</f>
        <v>4823.65419791667</v>
      </c>
      <c r="CI404" s="15" t="n">
        <f aca="false">AC404*Parametri_v3!$C$32</f>
        <v>1691.45033541667</v>
      </c>
      <c r="CJ404" s="15" t="n">
        <f aca="false">CA404-AB404</f>
        <v>59510.4269943067</v>
      </c>
      <c r="CK404" s="15" t="n">
        <f aca="false">CB404-AC404-BH404</f>
        <v>19727</v>
      </c>
      <c r="CL404" s="15" t="n">
        <f aca="false">BF404*Ipotesi!$C$73+INDEX(Ipotesi!$C$72:$G$72,1,F404)/12*Ipotesi!I126*Parametri_v3!$C$58+Z404*(1-Parametri_v3!$C$16)</f>
        <v>11575.46670508</v>
      </c>
      <c r="CM404" s="16" t="n">
        <f aca="false">IF(BF404=0,0,1-CL404/BF404)</f>
        <v>0.778400449867077</v>
      </c>
    </row>
    <row r="405" customFormat="false" ht="18" hidden="false" customHeight="true" outlineLevel="0" collapsed="false">
      <c r="A405" s="68" t="n">
        <f aca="false">7</f>
        <v>7</v>
      </c>
      <c r="B405" s="68" t="n">
        <f aca="false">41</f>
        <v>41</v>
      </c>
      <c r="C405" s="18" t="n">
        <f aca="false">EDATE(Parametri_v3!$C$5,41-1)</f>
        <v>47604</v>
      </c>
      <c r="D405" s="68" t="n">
        <f aca="false">YEAR(C405)</f>
        <v>2030</v>
      </c>
      <c r="E405" s="68" t="n">
        <f aca="false">MONTH(C405)</f>
        <v>5</v>
      </c>
      <c r="F405" s="68" t="n">
        <f aca="false">INT((41-1)/12)+1</f>
        <v>4</v>
      </c>
      <c r="G405" s="15" t="n">
        <f aca="false">Ipotesi!I7</f>
        <v>1</v>
      </c>
      <c r="H405" s="15" t="n">
        <f aca="false">Ipotesi!I9</f>
        <v>1</v>
      </c>
      <c r="I405" s="15" t="n">
        <f aca="false">Ipotesi!I10</f>
        <v>1</v>
      </c>
      <c r="J405" s="15" t="n">
        <f aca="false">Ipotesi!I11</f>
        <v>1</v>
      </c>
      <c r="K405" s="15" t="n">
        <f aca="false">Ipotesi!I12</f>
        <v>1</v>
      </c>
      <c r="L405" s="15" t="n">
        <f aca="false">Ipotesi!I13</f>
        <v>90</v>
      </c>
      <c r="M405" s="17" t="n">
        <f aca="false">INDEX(Ipotesi!$C$40:$G$40,1,F405)</f>
        <v>1</v>
      </c>
      <c r="N405" s="17" t="n">
        <f aca="false">INDEX(Ipotesi!$C$41:$G$41,1,F405)</f>
        <v>1</v>
      </c>
      <c r="O405" s="17" t="n">
        <f aca="false">INDEX(Ipotesi!$C$42:$G$42,1,F405)*Ipotesi!I125</f>
        <v>6.5</v>
      </c>
      <c r="P405" s="17" t="n">
        <f aca="false">INDEX(Ipotesi!$C$43:$G$43,1,F405)*I405</f>
        <v>6</v>
      </c>
      <c r="Q405" s="17" t="n">
        <f aca="false">INDEX(Ipotesi!$C$44:$G$44,1,F405)*I405</f>
        <v>5</v>
      </c>
      <c r="R405" s="17" t="n">
        <f aca="false">INDEX(Ipotesi!$C$45:$G$45,1,F405)*I405</f>
        <v>1.5</v>
      </c>
      <c r="S405" s="17" t="n">
        <f aca="false">INDEX(Ipotesi!$C$52:$G$52,1,F405)*Ipotesi!I125</f>
        <v>7</v>
      </c>
      <c r="T405" s="17" t="n">
        <f aca="false">INDEX(Ipotesi!$C$53:$G$53,1,F405)*I405</f>
        <v>1</v>
      </c>
      <c r="U405" s="17" t="n">
        <f aca="false">INDEX(Ipotesi!$C$54:$G$54,1,F405)*I405</f>
        <v>0.5</v>
      </c>
      <c r="V405" s="15" t="n">
        <f aca="false">M405*INDEX(Ipotesi!$C$58:$G$58,1,F405)*K405/12</f>
        <v>7916.66666666667</v>
      </c>
      <c r="W405" s="15" t="n">
        <f aca="false">N405*Ipotesi!$C$59*(1+Ipotesi!$C$66)^(F405-1)/12</f>
        <v>6374.24083333333</v>
      </c>
      <c r="X405" s="15" t="n">
        <f aca="false">O405*Ipotesi!$C$60*(1+Ipotesi!$C$66)^(F405-1)/12</f>
        <v>29594.6895833333</v>
      </c>
      <c r="Y405" s="15" t="n">
        <f aca="false">P405*Ipotesi!$C$61*(1+Ipotesi!$C$66)^(F405-1)/12</f>
        <v>27318.175</v>
      </c>
      <c r="Z405" s="15" t="n">
        <f aca="false">Q405*Ipotesi!$C$62*(1+Ipotesi!$C$66)^(F405-1)/12</f>
        <v>20488.63125</v>
      </c>
      <c r="AA405" s="15" t="n">
        <f aca="false">R405*Ipotesi!$C$63*(1+Ipotesi!$C$66)^(F405-1)/12</f>
        <v>4780.680625</v>
      </c>
      <c r="AB405" s="15" t="n">
        <f aca="false">SUM(V405:AA405)</f>
        <v>96473.0839583333</v>
      </c>
      <c r="AC405" s="15" t="n">
        <f aca="false">(S405*Ipotesi!$C$64+T405*Ipotesi!$C$65+U405*Ipotesi!$C$63)*(1+Ipotesi!$C$66)^(F405-1)/12</f>
        <v>33829.0067083333</v>
      </c>
      <c r="AD405" s="15" t="n">
        <f aca="false">INDEX(Ipotesi!$C$48:$G$48,1,F405)*G405/12</f>
        <v>79.1666666666667</v>
      </c>
      <c r="AE405" s="15" t="n">
        <f aca="false">INDEX(Ipotesi!$C$50:$G$50,1,F405)*G405/12</f>
        <v>8.33333333333333</v>
      </c>
      <c r="AF405" s="15" t="n">
        <f aca="false">(S405*Parametri_v3!$C$7*Parametri_v3!$C$8+Parametri_v3!$C$10)/12</f>
        <v>89.8333333333333</v>
      </c>
      <c r="AG405" s="15" t="n">
        <f aca="false">AD405+AE405*(1+Parametri_v3!$C$9)</f>
        <v>91.6666666666667</v>
      </c>
      <c r="AH405" s="16" t="n">
        <f aca="false">IF(AG405=0,1,MIN(1,AF405/AG405))</f>
        <v>0.98</v>
      </c>
      <c r="AI405" s="15" t="n">
        <f aca="false">AD405*AH405</f>
        <v>77.5833333333333</v>
      </c>
      <c r="AJ405" s="15" t="n">
        <f aca="false">AE405*AH405</f>
        <v>8.16666666666667</v>
      </c>
      <c r="AK405" s="15" t="n">
        <f aca="false">AI405*INDEX(Ipotesi!$C$49:$G$49,1,F405)*H405</f>
        <v>69825</v>
      </c>
      <c r="AL405" s="15" t="n">
        <f aca="false">AJ405*INDEX(Ipotesi!$C$51:$G$51,1,F405)*H405</f>
        <v>20416.6666666667</v>
      </c>
      <c r="AM405" s="15" t="n">
        <f aca="false">AK405+AL405</f>
        <v>90241.6666666667</v>
      </c>
      <c r="AN405" s="15" t="n">
        <f aca="false">INDEX(Ipotesi!$C$30:$G$30,1,F405)*G405/12</f>
        <v>61.6666666666667</v>
      </c>
      <c r="AO405" s="15" t="n">
        <f aca="false">O405*Parametri_v3!$C$7*Parametri_v3!$C$11*(1-Parametri_v3!$C$14)/12</f>
        <v>66.7333333333333</v>
      </c>
      <c r="AP405" s="15" t="n">
        <f aca="false">MIN(AN405,AO405)</f>
        <v>61.6666666666667</v>
      </c>
      <c r="AQ405" s="15" t="n">
        <f aca="false">AP405*INDEX(Ipotesi!$C$31:$G$31,1,F405)*H405</f>
        <v>64750</v>
      </c>
      <c r="AR405" s="15" t="n">
        <f aca="false">INDEX(Ipotesi!$C$75:$G$75,1,F405)*J405/12</f>
        <v>27916.6666666667</v>
      </c>
      <c r="AS405" s="15" t="n">
        <f aca="false">INDEX(Ipotesi!$C$81:$G$81,1,F405)*J405/12</f>
        <v>1666.66666666667</v>
      </c>
      <c r="AT405" s="15" t="n">
        <f aca="false">AR405*Parametri_v3!$C$15+Z405*Parametri_v3!$C$16</f>
        <v>42258.7085416667</v>
      </c>
      <c r="AU405" s="15" t="n">
        <f aca="false">Q405*Parametri_v3!$C$16*Parametri_v3!$C$17</f>
        <v>350</v>
      </c>
      <c r="AV405" s="17" t="n">
        <f aca="false">BD404</f>
        <v>107.55032083235</v>
      </c>
      <c r="AW405" s="17" t="n">
        <f aca="false">AV405*(1-(1-INDEX(Ipotesi!$C$34:$G$34,1,F405))^(1/12))</f>
        <v>0.940163062769214</v>
      </c>
      <c r="AX405" s="15" t="n">
        <f aca="false">ROUND(INDEX(Ipotesi!$C$32:$G$32,1,F405)*Ipotesi!I8,0)</f>
        <v>310</v>
      </c>
      <c r="AY405" s="15" t="n">
        <f aca="false">MAX(0,(AX405-(AV405-AW405))/(13-E405))</f>
        <v>25.4237302788025</v>
      </c>
      <c r="AZ405" s="15" t="n">
        <f aca="false">MIN(P405*Parametri_v3!$C$22,Q405*(1-Parametri_v3!$C$16)*Parametri_v3!$C$23)</f>
        <v>225</v>
      </c>
      <c r="BA405" s="15" t="n">
        <f aca="false">IF(OR(INDEX(Ipotesi!$C$35:$G$35,1,F405)&lt;=0,41-Parametri_v3!$C$21&lt;1),0,INDEX($AT$365:$AT$424,MAX(1,41-Parametri_v3!$C$21))/(INDEX(Ipotesi!$C$35:$G$35,1,F405)*Ipotesi!I27))</f>
        <v>7.04311809027778</v>
      </c>
      <c r="BB405" s="15" t="n">
        <f aca="false">IF(41-Parametri_v3!$C$21&lt;1,0,INDEX($AU$365:$AU$424,MAX(1,41-Parametri_v3!$C$21)))*Parametri_v3!$C$18*Parametri_v3!$C$19*Parametri_v3!$C$20</f>
        <v>13.125</v>
      </c>
      <c r="BC405" s="17" t="n">
        <f aca="false">MAX(0,MIN(AY405,BA405,BB405,MAX(0,AZ405-(AV405-AW405))))</f>
        <v>7.04311809027778</v>
      </c>
      <c r="BD405" s="17" t="n">
        <f aca="false">AV405-AW405+BC405</f>
        <v>113.653275859858</v>
      </c>
      <c r="BE405" s="17" t="n">
        <f aca="false">(AV405+BD405)/2</f>
        <v>110.601798346104</v>
      </c>
      <c r="BF405" s="15" t="n">
        <f aca="false">BE405*INDEX(Ipotesi!$C$33:$G$33,1,F405)*H405/12</f>
        <v>55300.8991730519</v>
      </c>
      <c r="BG405" s="15" t="n">
        <f aca="false">BD405*INDEX(Ipotesi!$C$33:$G$33,1,F405)*H405</f>
        <v>681919.655159149</v>
      </c>
      <c r="BH405" s="15" t="n">
        <f aca="false">AM405*INDEX(Ipotesi!$C$37:$G$37,1,F405)</f>
        <v>9024.16666666667</v>
      </c>
      <c r="BI405" s="15" t="n">
        <f aca="false">AQ405+BF405+BH405</f>
        <v>129075.065839719</v>
      </c>
      <c r="BJ405" s="15" t="n">
        <f aca="false">INDEX(Ipotesi!$C$68:$G$68,1,F405)*Ipotesi!$C$69/12</f>
        <v>3000</v>
      </c>
      <c r="BK405" s="15" t="n">
        <f aca="false">INDEX(Ipotesi!$C$68:$G$68,1,F405)*(1-Ipotesi!$C$69)/12</f>
        <v>4500</v>
      </c>
      <c r="BL405" s="15" t="n">
        <f aca="false">(AQ405+BF405)*Ipotesi!$C$67</f>
        <v>3601.52697519156</v>
      </c>
      <c r="BM405" s="15" t="n">
        <f aca="false">AM405*Ipotesi!$C$67</f>
        <v>2707.25</v>
      </c>
      <c r="BN405" s="15" t="n">
        <f aca="false">INDEX(Ipotesi!$C$72:$G$72,1,F405)/12*Ipotesi!I126+BF405*Ipotesi!$C$73</f>
        <v>5674.07193384416</v>
      </c>
      <c r="BO405" s="15" t="n">
        <f aca="false">INDEX(Ipotesi!$C$74:$G$74,1,F405)/12*Ipotesi!I126</f>
        <v>4166.66666666667</v>
      </c>
      <c r="BP405" s="15" t="n">
        <f aca="false">INDEX(Ipotesi!$C$76:$G$76,1,F405)/12</f>
        <v>1500</v>
      </c>
      <c r="BQ405" s="15" t="n">
        <f aca="false">INDEX(Ipotesi!$C$77:$G$77,1,F405)/12*Ipotesi!I126</f>
        <v>2083.33333333333</v>
      </c>
      <c r="BR405" s="15" t="n">
        <f aca="false">INDEX(Ipotesi!$C$78:$G$78,1,F405)/12</f>
        <v>2000</v>
      </c>
      <c r="BS405" s="15" t="n">
        <f aca="false">SUM(M405:R405)*(Ipotesi!$C$85+Ipotesi!$C$86)/12</f>
        <v>6125</v>
      </c>
      <c r="BT405" s="15" t="n">
        <f aca="false">BI405*Ipotesi!$C$87</f>
        <v>3872.25197519156</v>
      </c>
      <c r="BU405" s="15" t="n">
        <f aca="false">INDEX(Ipotesi!$C$55:$G$55,1,F405)*K405/12</f>
        <v>2000</v>
      </c>
      <c r="BV405" s="15" t="n">
        <f aca="false">INDEX(Ipotesi!$C$80:$G$80,1,F405)/12*Ipotesi!I126</f>
        <v>1666.66666666667</v>
      </c>
      <c r="BW405" s="15" t="n">
        <f aca="false">INDEX(Ipotesi!$C$82:$G$82,1,F405)/12</f>
        <v>1250</v>
      </c>
      <c r="BX405" s="15" t="n">
        <f aca="false">INDEX(Ipotesi!$C$83:$G$83,1,F405)/12</f>
        <v>750</v>
      </c>
      <c r="BY405" s="15" t="n">
        <f aca="false">SUM(S405:U405)*(Ipotesi!$C$85+Ipotesi!$C$86)/12</f>
        <v>2479.16666666667</v>
      </c>
      <c r="BZ405" s="15" t="n">
        <f aca="false">AM405*Ipotesi!$C$87</f>
        <v>2707.25</v>
      </c>
      <c r="CA405" s="15" t="n">
        <f aca="false">AB405+BJ405+BL405+BN405+BO405+AR405+BP405+BQ405+BR405+BS405+BT405</f>
        <v>156412.601509227</v>
      </c>
      <c r="CB405" s="15" t="n">
        <f aca="false">AC405+BK405+BM405+BH405+BU405+BV405+AS405+BW405+BX405+BY405+BZ405</f>
        <v>62580.173375</v>
      </c>
      <c r="CC405" s="15" t="n">
        <f aca="false">BI405-CA405</f>
        <v>-27337.5356695087</v>
      </c>
      <c r="CD405" s="15" t="n">
        <f aca="false">AM405-CB405</f>
        <v>27661.4932916667</v>
      </c>
      <c r="CE405" s="15" t="n">
        <f aca="false">INDEX(Ipotesi!$C$79:$G$79,1,F405)/12</f>
        <v>3333.33333333333</v>
      </c>
      <c r="CF405" s="15" t="n">
        <f aca="false">INDEX(Ipotesi!$C$84:$G$84,1,F405)/12</f>
        <v>666.666666666667</v>
      </c>
      <c r="CG405" s="15" t="n">
        <f aca="false">Y405*MAX(0,Parametri_v3!$C$12-IF(P405=0,0,MIN(1,BE405/(P405*Parametri_v3!$C$22))))+W405*Parametri_v3!$C$13+X405*Parametri_v3!$C$14</f>
        <v>31388.5011957774</v>
      </c>
      <c r="CH405" s="15" t="n">
        <f aca="false">AB405*Parametri_v3!$C$32</f>
        <v>4823.65419791667</v>
      </c>
      <c r="CI405" s="15" t="n">
        <f aca="false">AC405*Parametri_v3!$C$32</f>
        <v>1691.45033541667</v>
      </c>
      <c r="CJ405" s="15" t="n">
        <f aca="false">CA405-AB405</f>
        <v>59939.5175508939</v>
      </c>
      <c r="CK405" s="15" t="n">
        <f aca="false">CB405-AC405-BH405</f>
        <v>19727</v>
      </c>
      <c r="CL405" s="15" t="n">
        <f aca="false">BF405*Ipotesi!$C$73+INDEX(Ipotesi!$C$72:$G$72,1,F405)/12*Ipotesi!I126*Parametri_v3!$C$58+Z405*(1-Parametri_v3!$C$16)</f>
        <v>11820.6613088442</v>
      </c>
      <c r="CM405" s="16" t="n">
        <f aca="false">IF(BF405=0,0,1-CL405/BF405)</f>
        <v>0.786248298208425</v>
      </c>
    </row>
    <row r="406" customFormat="false" ht="18" hidden="false" customHeight="true" outlineLevel="0" collapsed="false">
      <c r="A406" s="68" t="n">
        <f aca="false">7</f>
        <v>7</v>
      </c>
      <c r="B406" s="68" t="n">
        <f aca="false">42</f>
        <v>42</v>
      </c>
      <c r="C406" s="18" t="n">
        <f aca="false">EDATE(Parametri_v3!$C$5,42-1)</f>
        <v>47635</v>
      </c>
      <c r="D406" s="68" t="n">
        <f aca="false">YEAR(C406)</f>
        <v>2030</v>
      </c>
      <c r="E406" s="68" t="n">
        <f aca="false">MONTH(C406)</f>
        <v>6</v>
      </c>
      <c r="F406" s="68" t="n">
        <f aca="false">INT((42-1)/12)+1</f>
        <v>4</v>
      </c>
      <c r="G406" s="15" t="n">
        <f aca="false">Ipotesi!I7</f>
        <v>1</v>
      </c>
      <c r="H406" s="15" t="n">
        <f aca="false">Ipotesi!I9</f>
        <v>1</v>
      </c>
      <c r="I406" s="15" t="n">
        <f aca="false">Ipotesi!I10</f>
        <v>1</v>
      </c>
      <c r="J406" s="15" t="n">
        <f aca="false">Ipotesi!I11</f>
        <v>1</v>
      </c>
      <c r="K406" s="15" t="n">
        <f aca="false">Ipotesi!I12</f>
        <v>1</v>
      </c>
      <c r="L406" s="15" t="n">
        <f aca="false">Ipotesi!I13</f>
        <v>90</v>
      </c>
      <c r="M406" s="17" t="n">
        <f aca="false">INDEX(Ipotesi!$C$40:$G$40,1,F406)</f>
        <v>1</v>
      </c>
      <c r="N406" s="17" t="n">
        <f aca="false">INDEX(Ipotesi!$C$41:$G$41,1,F406)</f>
        <v>1</v>
      </c>
      <c r="O406" s="17" t="n">
        <f aca="false">INDEX(Ipotesi!$C$42:$G$42,1,F406)*Ipotesi!I125</f>
        <v>6.5</v>
      </c>
      <c r="P406" s="17" t="n">
        <f aca="false">INDEX(Ipotesi!$C$43:$G$43,1,F406)*I406</f>
        <v>6</v>
      </c>
      <c r="Q406" s="17" t="n">
        <f aca="false">INDEX(Ipotesi!$C$44:$G$44,1,F406)*I406</f>
        <v>5</v>
      </c>
      <c r="R406" s="17" t="n">
        <f aca="false">INDEX(Ipotesi!$C$45:$G$45,1,F406)*I406</f>
        <v>1.5</v>
      </c>
      <c r="S406" s="17" t="n">
        <f aca="false">INDEX(Ipotesi!$C$52:$G$52,1,F406)*Ipotesi!I125</f>
        <v>7</v>
      </c>
      <c r="T406" s="17" t="n">
        <f aca="false">INDEX(Ipotesi!$C$53:$G$53,1,F406)*I406</f>
        <v>1</v>
      </c>
      <c r="U406" s="17" t="n">
        <f aca="false">INDEX(Ipotesi!$C$54:$G$54,1,F406)*I406</f>
        <v>0.5</v>
      </c>
      <c r="V406" s="15" t="n">
        <f aca="false">M406*INDEX(Ipotesi!$C$58:$G$58,1,F406)*K406/12</f>
        <v>7916.66666666667</v>
      </c>
      <c r="W406" s="15" t="n">
        <f aca="false">N406*Ipotesi!$C$59*(1+Ipotesi!$C$66)^(F406-1)/12</f>
        <v>6374.24083333333</v>
      </c>
      <c r="X406" s="15" t="n">
        <f aca="false">O406*Ipotesi!$C$60*(1+Ipotesi!$C$66)^(F406-1)/12</f>
        <v>29594.6895833333</v>
      </c>
      <c r="Y406" s="15" t="n">
        <f aca="false">P406*Ipotesi!$C$61*(1+Ipotesi!$C$66)^(F406-1)/12</f>
        <v>27318.175</v>
      </c>
      <c r="Z406" s="15" t="n">
        <f aca="false">Q406*Ipotesi!$C$62*(1+Ipotesi!$C$66)^(F406-1)/12</f>
        <v>20488.63125</v>
      </c>
      <c r="AA406" s="15" t="n">
        <f aca="false">R406*Ipotesi!$C$63*(1+Ipotesi!$C$66)^(F406-1)/12</f>
        <v>4780.680625</v>
      </c>
      <c r="AB406" s="15" t="n">
        <f aca="false">SUM(V406:AA406)</f>
        <v>96473.0839583333</v>
      </c>
      <c r="AC406" s="15" t="n">
        <f aca="false">(S406*Ipotesi!$C$64+T406*Ipotesi!$C$65+U406*Ipotesi!$C$63)*(1+Ipotesi!$C$66)^(F406-1)/12</f>
        <v>33829.0067083333</v>
      </c>
      <c r="AD406" s="15" t="n">
        <f aca="false">INDEX(Ipotesi!$C$48:$G$48,1,F406)*G406/12</f>
        <v>79.1666666666667</v>
      </c>
      <c r="AE406" s="15" t="n">
        <f aca="false">INDEX(Ipotesi!$C$50:$G$50,1,F406)*G406/12</f>
        <v>8.33333333333333</v>
      </c>
      <c r="AF406" s="15" t="n">
        <f aca="false">(S406*Parametri_v3!$C$7*Parametri_v3!$C$8+Parametri_v3!$C$10)/12</f>
        <v>89.8333333333333</v>
      </c>
      <c r="AG406" s="15" t="n">
        <f aca="false">AD406+AE406*(1+Parametri_v3!$C$9)</f>
        <v>91.6666666666667</v>
      </c>
      <c r="AH406" s="16" t="n">
        <f aca="false">IF(AG406=0,1,MIN(1,AF406/AG406))</f>
        <v>0.98</v>
      </c>
      <c r="AI406" s="15" t="n">
        <f aca="false">AD406*AH406</f>
        <v>77.5833333333333</v>
      </c>
      <c r="AJ406" s="15" t="n">
        <f aca="false">AE406*AH406</f>
        <v>8.16666666666667</v>
      </c>
      <c r="AK406" s="15" t="n">
        <f aca="false">AI406*INDEX(Ipotesi!$C$49:$G$49,1,F406)*H406</f>
        <v>69825</v>
      </c>
      <c r="AL406" s="15" t="n">
        <f aca="false">AJ406*INDEX(Ipotesi!$C$51:$G$51,1,F406)*H406</f>
        <v>20416.6666666667</v>
      </c>
      <c r="AM406" s="15" t="n">
        <f aca="false">AK406+AL406</f>
        <v>90241.6666666667</v>
      </c>
      <c r="AN406" s="15" t="n">
        <f aca="false">INDEX(Ipotesi!$C$30:$G$30,1,F406)*G406/12</f>
        <v>61.6666666666667</v>
      </c>
      <c r="AO406" s="15" t="n">
        <f aca="false">O406*Parametri_v3!$C$7*Parametri_v3!$C$11*(1-Parametri_v3!$C$14)/12</f>
        <v>66.7333333333333</v>
      </c>
      <c r="AP406" s="15" t="n">
        <f aca="false">MIN(AN406,AO406)</f>
        <v>61.6666666666667</v>
      </c>
      <c r="AQ406" s="15" t="n">
        <f aca="false">AP406*INDEX(Ipotesi!$C$31:$G$31,1,F406)*H406</f>
        <v>64750</v>
      </c>
      <c r="AR406" s="15" t="n">
        <f aca="false">INDEX(Ipotesi!$C$75:$G$75,1,F406)*J406/12</f>
        <v>27916.6666666667</v>
      </c>
      <c r="AS406" s="15" t="n">
        <f aca="false">INDEX(Ipotesi!$C$81:$G$81,1,F406)*J406/12</f>
        <v>1666.66666666667</v>
      </c>
      <c r="AT406" s="15" t="n">
        <f aca="false">AR406*Parametri_v3!$C$15+Z406*Parametri_v3!$C$16</f>
        <v>42258.7085416667</v>
      </c>
      <c r="AU406" s="15" t="n">
        <f aca="false">Q406*Parametri_v3!$C$16*Parametri_v3!$C$17</f>
        <v>350</v>
      </c>
      <c r="AV406" s="17" t="n">
        <f aca="false">BD405</f>
        <v>113.653275859858</v>
      </c>
      <c r="AW406" s="17" t="n">
        <f aca="false">AV406*(1-(1-INDEX(Ipotesi!$C$34:$G$34,1,F406))^(1/12))</f>
        <v>0.993512721293705</v>
      </c>
      <c r="AX406" s="15" t="n">
        <f aca="false">ROUND(INDEX(Ipotesi!$C$32:$G$32,1,F406)*Ipotesi!I8,0)</f>
        <v>310</v>
      </c>
      <c r="AY406" s="15" t="n">
        <f aca="false">MAX(0,(AX406-(AV406-AW406))/(13-E406))</f>
        <v>28.1914624087765</v>
      </c>
      <c r="AZ406" s="15" t="n">
        <f aca="false">MIN(P406*Parametri_v3!$C$22,Q406*(1-Parametri_v3!$C$16)*Parametri_v3!$C$23)</f>
        <v>225</v>
      </c>
      <c r="BA406" s="15" t="n">
        <f aca="false">IF(OR(INDEX(Ipotesi!$C$35:$G$35,1,F406)&lt;=0,42-Parametri_v3!$C$21&lt;1),0,INDEX($AT$365:$AT$424,MAX(1,42-Parametri_v3!$C$21))/(INDEX(Ipotesi!$C$35:$G$35,1,F406)*Ipotesi!I27))</f>
        <v>7.04311809027778</v>
      </c>
      <c r="BB406" s="15" t="n">
        <f aca="false">IF(42-Parametri_v3!$C$21&lt;1,0,INDEX($AU$365:$AU$424,MAX(1,42-Parametri_v3!$C$21)))*Parametri_v3!$C$18*Parametri_v3!$C$19*Parametri_v3!$C$20</f>
        <v>13.125</v>
      </c>
      <c r="BC406" s="17" t="n">
        <f aca="false">MAX(0,MIN(AY406,BA406,BB406,MAX(0,AZ406-(AV406-AW406))))</f>
        <v>7.04311809027778</v>
      </c>
      <c r="BD406" s="17" t="n">
        <f aca="false">AV406-AW406+BC406</f>
        <v>119.702881228842</v>
      </c>
      <c r="BE406" s="17" t="n">
        <f aca="false">(AV406+BD406)/2</f>
        <v>116.67807854435</v>
      </c>
      <c r="BF406" s="15" t="n">
        <f aca="false">BE406*INDEX(Ipotesi!$C$33:$G$33,1,F406)*H406/12</f>
        <v>58339.0392721751</v>
      </c>
      <c r="BG406" s="15" t="n">
        <f aca="false">BD406*INDEX(Ipotesi!$C$33:$G$33,1,F406)*H406</f>
        <v>718217.287373054</v>
      </c>
      <c r="BH406" s="15" t="n">
        <f aca="false">AM406*INDEX(Ipotesi!$C$37:$G$37,1,F406)</f>
        <v>9024.16666666667</v>
      </c>
      <c r="BI406" s="15" t="n">
        <f aca="false">AQ406+BF406+BH406</f>
        <v>132113.205938842</v>
      </c>
      <c r="BJ406" s="15" t="n">
        <f aca="false">INDEX(Ipotesi!$C$68:$G$68,1,F406)*Ipotesi!$C$69/12</f>
        <v>3000</v>
      </c>
      <c r="BK406" s="15" t="n">
        <f aca="false">INDEX(Ipotesi!$C$68:$G$68,1,F406)*(1-Ipotesi!$C$69)/12</f>
        <v>4500</v>
      </c>
      <c r="BL406" s="15" t="n">
        <f aca="false">(AQ406+BF406)*Ipotesi!$C$67</f>
        <v>3692.67117816525</v>
      </c>
      <c r="BM406" s="15" t="n">
        <f aca="false">AM406*Ipotesi!$C$67</f>
        <v>2707.25</v>
      </c>
      <c r="BN406" s="15" t="n">
        <f aca="false">INDEX(Ipotesi!$C$72:$G$72,1,F406)/12*Ipotesi!I126+BF406*Ipotesi!$C$73</f>
        <v>5917.12314177401</v>
      </c>
      <c r="BO406" s="15" t="n">
        <f aca="false">INDEX(Ipotesi!$C$74:$G$74,1,F406)/12*Ipotesi!I126</f>
        <v>4166.66666666667</v>
      </c>
      <c r="BP406" s="15" t="n">
        <f aca="false">INDEX(Ipotesi!$C$76:$G$76,1,F406)/12</f>
        <v>1500</v>
      </c>
      <c r="BQ406" s="15" t="n">
        <f aca="false">INDEX(Ipotesi!$C$77:$G$77,1,F406)/12*Ipotesi!I126</f>
        <v>2083.33333333333</v>
      </c>
      <c r="BR406" s="15" t="n">
        <f aca="false">INDEX(Ipotesi!$C$78:$G$78,1,F406)/12</f>
        <v>2000</v>
      </c>
      <c r="BS406" s="15" t="n">
        <f aca="false">SUM(M406:R406)*(Ipotesi!$C$85+Ipotesi!$C$86)/12</f>
        <v>6125</v>
      </c>
      <c r="BT406" s="15" t="n">
        <f aca="false">BI406*Ipotesi!$C$87</f>
        <v>3963.39617816525</v>
      </c>
      <c r="BU406" s="15" t="n">
        <f aca="false">INDEX(Ipotesi!$C$55:$G$55,1,F406)*K406/12</f>
        <v>2000</v>
      </c>
      <c r="BV406" s="15" t="n">
        <f aca="false">INDEX(Ipotesi!$C$80:$G$80,1,F406)/12*Ipotesi!I126</f>
        <v>1666.66666666667</v>
      </c>
      <c r="BW406" s="15" t="n">
        <f aca="false">INDEX(Ipotesi!$C$82:$G$82,1,F406)/12</f>
        <v>1250</v>
      </c>
      <c r="BX406" s="15" t="n">
        <f aca="false">INDEX(Ipotesi!$C$83:$G$83,1,F406)/12</f>
        <v>750</v>
      </c>
      <c r="BY406" s="15" t="n">
        <f aca="false">SUM(S406:U406)*(Ipotesi!$C$85+Ipotesi!$C$86)/12</f>
        <v>2479.16666666667</v>
      </c>
      <c r="BZ406" s="15" t="n">
        <f aca="false">AM406*Ipotesi!$C$87</f>
        <v>2707.25</v>
      </c>
      <c r="CA406" s="15" t="n">
        <f aca="false">AB406+BJ406+BL406+BN406+BO406+AR406+BP406+BQ406+BR406+BS406+BT406</f>
        <v>156837.941123105</v>
      </c>
      <c r="CB406" s="15" t="n">
        <f aca="false">AC406+BK406+BM406+BH406+BU406+BV406+AS406+BW406+BX406+BY406+BZ406</f>
        <v>62580.173375</v>
      </c>
      <c r="CC406" s="15" t="n">
        <f aca="false">BI406-CA406</f>
        <v>-24724.7351842627</v>
      </c>
      <c r="CD406" s="15" t="n">
        <f aca="false">AM406-CB406</f>
        <v>27661.4932916667</v>
      </c>
      <c r="CE406" s="15" t="n">
        <f aca="false">INDEX(Ipotesi!$C$79:$G$79,1,F406)/12</f>
        <v>3333.33333333333</v>
      </c>
      <c r="CF406" s="15" t="n">
        <f aca="false">INDEX(Ipotesi!$C$84:$G$84,1,F406)/12</f>
        <v>666.666666666667</v>
      </c>
      <c r="CG406" s="15" t="n">
        <f aca="false">Y406*MAX(0,Parametri_v3!$C$12-IF(P406=0,0,MIN(1,BE406/(P406*Parametri_v3!$C$22))))+W406*Parametri_v3!$C$13+X406*Parametri_v3!$C$14</f>
        <v>31111.8463861028</v>
      </c>
      <c r="CH406" s="15" t="n">
        <f aca="false">AB406*Parametri_v3!$C$32</f>
        <v>4823.65419791667</v>
      </c>
      <c r="CI406" s="15" t="n">
        <f aca="false">AC406*Parametri_v3!$C$32</f>
        <v>1691.45033541667</v>
      </c>
      <c r="CJ406" s="15" t="n">
        <f aca="false">CA406-AB406</f>
        <v>60364.8571647712</v>
      </c>
      <c r="CK406" s="15" t="n">
        <f aca="false">CB406-AC406-BH406</f>
        <v>19727</v>
      </c>
      <c r="CL406" s="15" t="n">
        <f aca="false">BF406*Ipotesi!$C$73+INDEX(Ipotesi!$C$72:$G$72,1,F406)/12*Ipotesi!I126*Parametri_v3!$C$58+Z406*(1-Parametri_v3!$C$16)</f>
        <v>12063.712516774</v>
      </c>
      <c r="CM406" s="16" t="n">
        <f aca="false">IF(BF406=0,0,1-CL406/BF406)</f>
        <v>0.793213726738078</v>
      </c>
    </row>
    <row r="407" customFormat="false" ht="18" hidden="false" customHeight="true" outlineLevel="0" collapsed="false">
      <c r="A407" s="68" t="n">
        <f aca="false">7</f>
        <v>7</v>
      </c>
      <c r="B407" s="68" t="n">
        <f aca="false">43</f>
        <v>43</v>
      </c>
      <c r="C407" s="18" t="n">
        <f aca="false">EDATE(Parametri_v3!$C$5,43-1)</f>
        <v>47665</v>
      </c>
      <c r="D407" s="68" t="n">
        <f aca="false">YEAR(C407)</f>
        <v>2030</v>
      </c>
      <c r="E407" s="68" t="n">
        <f aca="false">MONTH(C407)</f>
        <v>7</v>
      </c>
      <c r="F407" s="68" t="n">
        <f aca="false">INT((43-1)/12)+1</f>
        <v>4</v>
      </c>
      <c r="G407" s="15" t="n">
        <f aca="false">Ipotesi!I7</f>
        <v>1</v>
      </c>
      <c r="H407" s="15" t="n">
        <f aca="false">Ipotesi!I9</f>
        <v>1</v>
      </c>
      <c r="I407" s="15" t="n">
        <f aca="false">Ipotesi!I10</f>
        <v>1</v>
      </c>
      <c r="J407" s="15" t="n">
        <f aca="false">Ipotesi!I11</f>
        <v>1</v>
      </c>
      <c r="K407" s="15" t="n">
        <f aca="false">Ipotesi!I12</f>
        <v>1</v>
      </c>
      <c r="L407" s="15" t="n">
        <f aca="false">Ipotesi!I13</f>
        <v>90</v>
      </c>
      <c r="M407" s="17" t="n">
        <f aca="false">INDEX(Ipotesi!$C$40:$G$40,1,F407)</f>
        <v>1</v>
      </c>
      <c r="N407" s="17" t="n">
        <f aca="false">INDEX(Ipotesi!$C$41:$G$41,1,F407)</f>
        <v>1</v>
      </c>
      <c r="O407" s="17" t="n">
        <f aca="false">INDEX(Ipotesi!$C$42:$G$42,1,F407)*Ipotesi!I125</f>
        <v>6.5</v>
      </c>
      <c r="P407" s="17" t="n">
        <f aca="false">INDEX(Ipotesi!$C$43:$G$43,1,F407)*I407</f>
        <v>6</v>
      </c>
      <c r="Q407" s="17" t="n">
        <f aca="false">INDEX(Ipotesi!$C$44:$G$44,1,F407)*I407</f>
        <v>5</v>
      </c>
      <c r="R407" s="17" t="n">
        <f aca="false">INDEX(Ipotesi!$C$45:$G$45,1,F407)*I407</f>
        <v>1.5</v>
      </c>
      <c r="S407" s="17" t="n">
        <f aca="false">INDEX(Ipotesi!$C$52:$G$52,1,F407)*Ipotesi!I125</f>
        <v>7</v>
      </c>
      <c r="T407" s="17" t="n">
        <f aca="false">INDEX(Ipotesi!$C$53:$G$53,1,F407)*I407</f>
        <v>1</v>
      </c>
      <c r="U407" s="17" t="n">
        <f aca="false">INDEX(Ipotesi!$C$54:$G$54,1,F407)*I407</f>
        <v>0.5</v>
      </c>
      <c r="V407" s="15" t="n">
        <f aca="false">M407*INDEX(Ipotesi!$C$58:$G$58,1,F407)*K407/12</f>
        <v>7916.66666666667</v>
      </c>
      <c r="W407" s="15" t="n">
        <f aca="false">N407*Ipotesi!$C$59*(1+Ipotesi!$C$66)^(F407-1)/12</f>
        <v>6374.24083333333</v>
      </c>
      <c r="X407" s="15" t="n">
        <f aca="false">O407*Ipotesi!$C$60*(1+Ipotesi!$C$66)^(F407-1)/12</f>
        <v>29594.6895833333</v>
      </c>
      <c r="Y407" s="15" t="n">
        <f aca="false">P407*Ipotesi!$C$61*(1+Ipotesi!$C$66)^(F407-1)/12</f>
        <v>27318.175</v>
      </c>
      <c r="Z407" s="15" t="n">
        <f aca="false">Q407*Ipotesi!$C$62*(1+Ipotesi!$C$66)^(F407-1)/12</f>
        <v>20488.63125</v>
      </c>
      <c r="AA407" s="15" t="n">
        <f aca="false">R407*Ipotesi!$C$63*(1+Ipotesi!$C$66)^(F407-1)/12</f>
        <v>4780.680625</v>
      </c>
      <c r="AB407" s="15" t="n">
        <f aca="false">SUM(V407:AA407)</f>
        <v>96473.0839583333</v>
      </c>
      <c r="AC407" s="15" t="n">
        <f aca="false">(S407*Ipotesi!$C$64+T407*Ipotesi!$C$65+U407*Ipotesi!$C$63)*(1+Ipotesi!$C$66)^(F407-1)/12</f>
        <v>33829.0067083333</v>
      </c>
      <c r="AD407" s="15" t="n">
        <f aca="false">INDEX(Ipotesi!$C$48:$G$48,1,F407)*G407/12</f>
        <v>79.1666666666667</v>
      </c>
      <c r="AE407" s="15" t="n">
        <f aca="false">INDEX(Ipotesi!$C$50:$G$50,1,F407)*G407/12</f>
        <v>8.33333333333333</v>
      </c>
      <c r="AF407" s="15" t="n">
        <f aca="false">(S407*Parametri_v3!$C$7*Parametri_v3!$C$8+Parametri_v3!$C$10)/12</f>
        <v>89.8333333333333</v>
      </c>
      <c r="AG407" s="15" t="n">
        <f aca="false">AD407+AE407*(1+Parametri_v3!$C$9)</f>
        <v>91.6666666666667</v>
      </c>
      <c r="AH407" s="16" t="n">
        <f aca="false">IF(AG407=0,1,MIN(1,AF407/AG407))</f>
        <v>0.98</v>
      </c>
      <c r="AI407" s="15" t="n">
        <f aca="false">AD407*AH407</f>
        <v>77.5833333333333</v>
      </c>
      <c r="AJ407" s="15" t="n">
        <f aca="false">AE407*AH407</f>
        <v>8.16666666666667</v>
      </c>
      <c r="AK407" s="15" t="n">
        <f aca="false">AI407*INDEX(Ipotesi!$C$49:$G$49,1,F407)*H407</f>
        <v>69825</v>
      </c>
      <c r="AL407" s="15" t="n">
        <f aca="false">AJ407*INDEX(Ipotesi!$C$51:$G$51,1,F407)*H407</f>
        <v>20416.6666666667</v>
      </c>
      <c r="AM407" s="15" t="n">
        <f aca="false">AK407+AL407</f>
        <v>90241.6666666667</v>
      </c>
      <c r="AN407" s="15" t="n">
        <f aca="false">INDEX(Ipotesi!$C$30:$G$30,1,F407)*G407/12</f>
        <v>61.6666666666667</v>
      </c>
      <c r="AO407" s="15" t="n">
        <f aca="false">O407*Parametri_v3!$C$7*Parametri_v3!$C$11*(1-Parametri_v3!$C$14)/12</f>
        <v>66.7333333333333</v>
      </c>
      <c r="AP407" s="15" t="n">
        <f aca="false">MIN(AN407,AO407)</f>
        <v>61.6666666666667</v>
      </c>
      <c r="AQ407" s="15" t="n">
        <f aca="false">AP407*INDEX(Ipotesi!$C$31:$G$31,1,F407)*H407</f>
        <v>64750</v>
      </c>
      <c r="AR407" s="15" t="n">
        <f aca="false">INDEX(Ipotesi!$C$75:$G$75,1,F407)*J407/12</f>
        <v>27916.6666666667</v>
      </c>
      <c r="AS407" s="15" t="n">
        <f aca="false">INDEX(Ipotesi!$C$81:$G$81,1,F407)*J407/12</f>
        <v>1666.66666666667</v>
      </c>
      <c r="AT407" s="15" t="n">
        <f aca="false">AR407*Parametri_v3!$C$15+Z407*Parametri_v3!$C$16</f>
        <v>42258.7085416667</v>
      </c>
      <c r="AU407" s="15" t="n">
        <f aca="false">Q407*Parametri_v3!$C$16*Parametri_v3!$C$17</f>
        <v>350</v>
      </c>
      <c r="AV407" s="17" t="n">
        <f aca="false">BD406</f>
        <v>119.702881228842</v>
      </c>
      <c r="AW407" s="17" t="n">
        <f aca="false">AV407*(1-(1-INDEX(Ipotesi!$C$34:$G$34,1,F407))^(1/12))</f>
        <v>1.04639601785881</v>
      </c>
      <c r="AX407" s="15" t="n">
        <f aca="false">ROUND(INDEX(Ipotesi!$C$32:$G$32,1,F407)*Ipotesi!I8,0)</f>
        <v>310</v>
      </c>
      <c r="AY407" s="15" t="n">
        <f aca="false">MAX(0,(AX407-(AV407-AW407))/(13-E407))</f>
        <v>31.8905857981694</v>
      </c>
      <c r="AZ407" s="15" t="n">
        <f aca="false">MIN(P407*Parametri_v3!$C$22,Q407*(1-Parametri_v3!$C$16)*Parametri_v3!$C$23)</f>
        <v>225</v>
      </c>
      <c r="BA407" s="15" t="n">
        <f aca="false">IF(OR(INDEX(Ipotesi!$C$35:$G$35,1,F407)&lt;=0,43-Parametri_v3!$C$21&lt;1),0,INDEX($AT$365:$AT$424,MAX(1,43-Parametri_v3!$C$21))/(INDEX(Ipotesi!$C$35:$G$35,1,F407)*Ipotesi!I27))</f>
        <v>7.04311809027778</v>
      </c>
      <c r="BB407" s="15" t="n">
        <f aca="false">IF(43-Parametri_v3!$C$21&lt;1,0,INDEX($AU$365:$AU$424,MAX(1,43-Parametri_v3!$C$21)))*Parametri_v3!$C$18*Parametri_v3!$C$19*Parametri_v3!$C$20</f>
        <v>13.125</v>
      </c>
      <c r="BC407" s="17" t="n">
        <f aca="false">MAX(0,MIN(AY407,BA407,BB407,MAX(0,AZ407-(AV407-AW407))))</f>
        <v>7.04311809027778</v>
      </c>
      <c r="BD407" s="17" t="n">
        <f aca="false">AV407-AW407+BC407</f>
        <v>125.699603301261</v>
      </c>
      <c r="BE407" s="17" t="n">
        <f aca="false">(AV407+BD407)/2</f>
        <v>122.701242265052</v>
      </c>
      <c r="BF407" s="15" t="n">
        <f aca="false">BE407*INDEX(Ipotesi!$C$33:$G$33,1,F407)*H407/12</f>
        <v>61350.6211325259</v>
      </c>
      <c r="BG407" s="15" t="n">
        <f aca="false">BD407*INDEX(Ipotesi!$C$33:$G$33,1,F407)*H407</f>
        <v>754197.619807567</v>
      </c>
      <c r="BH407" s="15" t="n">
        <f aca="false">AM407*INDEX(Ipotesi!$C$37:$G$37,1,F407)</f>
        <v>9024.16666666667</v>
      </c>
      <c r="BI407" s="15" t="n">
        <f aca="false">AQ407+BF407+BH407</f>
        <v>135124.787799193</v>
      </c>
      <c r="BJ407" s="15" t="n">
        <f aca="false">INDEX(Ipotesi!$C$68:$G$68,1,F407)*Ipotesi!$C$69/12</f>
        <v>3000</v>
      </c>
      <c r="BK407" s="15" t="n">
        <f aca="false">INDEX(Ipotesi!$C$68:$G$68,1,F407)*(1-Ipotesi!$C$69)/12</f>
        <v>4500</v>
      </c>
      <c r="BL407" s="15" t="n">
        <f aca="false">(AQ407+BF407)*Ipotesi!$C$67</f>
        <v>3783.01863397578</v>
      </c>
      <c r="BM407" s="15" t="n">
        <f aca="false">AM407*Ipotesi!$C$67</f>
        <v>2707.25</v>
      </c>
      <c r="BN407" s="15" t="n">
        <f aca="false">INDEX(Ipotesi!$C$72:$G$72,1,F407)/12*Ipotesi!I126+BF407*Ipotesi!$C$73</f>
        <v>6158.04969060207</v>
      </c>
      <c r="BO407" s="15" t="n">
        <f aca="false">INDEX(Ipotesi!$C$74:$G$74,1,F407)/12*Ipotesi!I126</f>
        <v>4166.66666666667</v>
      </c>
      <c r="BP407" s="15" t="n">
        <f aca="false">INDEX(Ipotesi!$C$76:$G$76,1,F407)/12</f>
        <v>1500</v>
      </c>
      <c r="BQ407" s="15" t="n">
        <f aca="false">INDEX(Ipotesi!$C$77:$G$77,1,F407)/12*Ipotesi!I126</f>
        <v>2083.33333333333</v>
      </c>
      <c r="BR407" s="15" t="n">
        <f aca="false">INDEX(Ipotesi!$C$78:$G$78,1,F407)/12</f>
        <v>2000</v>
      </c>
      <c r="BS407" s="15" t="n">
        <f aca="false">SUM(M407:R407)*(Ipotesi!$C$85+Ipotesi!$C$86)/12</f>
        <v>6125</v>
      </c>
      <c r="BT407" s="15" t="n">
        <f aca="false">BI407*Ipotesi!$C$87</f>
        <v>4053.74363397578</v>
      </c>
      <c r="BU407" s="15" t="n">
        <f aca="false">INDEX(Ipotesi!$C$55:$G$55,1,F407)*K407/12</f>
        <v>2000</v>
      </c>
      <c r="BV407" s="15" t="n">
        <f aca="false">INDEX(Ipotesi!$C$80:$G$80,1,F407)/12*Ipotesi!I126</f>
        <v>1666.66666666667</v>
      </c>
      <c r="BW407" s="15" t="n">
        <f aca="false">INDEX(Ipotesi!$C$82:$G$82,1,F407)/12</f>
        <v>1250</v>
      </c>
      <c r="BX407" s="15" t="n">
        <f aca="false">INDEX(Ipotesi!$C$83:$G$83,1,F407)/12</f>
        <v>750</v>
      </c>
      <c r="BY407" s="15" t="n">
        <f aca="false">SUM(S407:U407)*(Ipotesi!$C$85+Ipotesi!$C$86)/12</f>
        <v>2479.16666666667</v>
      </c>
      <c r="BZ407" s="15" t="n">
        <f aca="false">AM407*Ipotesi!$C$87</f>
        <v>2707.25</v>
      </c>
      <c r="CA407" s="15" t="n">
        <f aca="false">AB407+BJ407+BL407+BN407+BO407+AR407+BP407+BQ407+BR407+BS407+BT407</f>
        <v>157259.562583554</v>
      </c>
      <c r="CB407" s="15" t="n">
        <f aca="false">AC407+BK407+BM407+BH407+BU407+BV407+AS407+BW407+BX407+BY407+BZ407</f>
        <v>62580.173375</v>
      </c>
      <c r="CC407" s="15" t="n">
        <f aca="false">BI407-CA407</f>
        <v>-22134.7747843611</v>
      </c>
      <c r="CD407" s="15" t="n">
        <f aca="false">AM407-CB407</f>
        <v>27661.4932916667</v>
      </c>
      <c r="CE407" s="15" t="n">
        <f aca="false">INDEX(Ipotesi!$C$79:$G$79,1,F407)/12</f>
        <v>3333.33333333333</v>
      </c>
      <c r="CF407" s="15" t="n">
        <f aca="false">INDEX(Ipotesi!$C$84:$G$84,1,F407)/12</f>
        <v>666.666666666667</v>
      </c>
      <c r="CG407" s="15" t="n">
        <f aca="false">Y407*MAX(0,Parametri_v3!$C$12-IF(P407=0,0,MIN(1,BE407/(P407*Parametri_v3!$C$22))))+W407*Parametri_v3!$C$13+X407*Parametri_v3!$C$14</f>
        <v>30837.6099851432</v>
      </c>
      <c r="CH407" s="15" t="n">
        <f aca="false">AB407*Parametri_v3!$C$32</f>
        <v>4823.65419791667</v>
      </c>
      <c r="CI407" s="15" t="n">
        <f aca="false">AC407*Parametri_v3!$C$32</f>
        <v>1691.45033541667</v>
      </c>
      <c r="CJ407" s="15" t="n">
        <f aca="false">CA407-AB407</f>
        <v>60786.4786252203</v>
      </c>
      <c r="CK407" s="15" t="n">
        <f aca="false">CB407-AC407-BH407</f>
        <v>19727</v>
      </c>
      <c r="CL407" s="15" t="n">
        <f aca="false">BF407*Ipotesi!$C$73+INDEX(Ipotesi!$C$72:$G$72,1,F407)/12*Ipotesi!I126*Parametri_v3!$C$58+Z407*(1-Parametri_v3!$C$16)</f>
        <v>12304.6390656021</v>
      </c>
      <c r="CM407" s="16" t="n">
        <f aca="false">IF(BF407=0,0,1-CL407/BF407)</f>
        <v>0.79943741663149</v>
      </c>
    </row>
    <row r="408" customFormat="false" ht="18" hidden="false" customHeight="true" outlineLevel="0" collapsed="false">
      <c r="A408" s="68" t="n">
        <f aca="false">7</f>
        <v>7</v>
      </c>
      <c r="B408" s="68" t="n">
        <f aca="false">44</f>
        <v>44</v>
      </c>
      <c r="C408" s="18" t="n">
        <f aca="false">EDATE(Parametri_v3!$C$5,44-1)</f>
        <v>47696</v>
      </c>
      <c r="D408" s="68" t="n">
        <f aca="false">YEAR(C408)</f>
        <v>2030</v>
      </c>
      <c r="E408" s="68" t="n">
        <f aca="false">MONTH(C408)</f>
        <v>8</v>
      </c>
      <c r="F408" s="68" t="n">
        <f aca="false">INT((44-1)/12)+1</f>
        <v>4</v>
      </c>
      <c r="G408" s="15" t="n">
        <f aca="false">Ipotesi!I7</f>
        <v>1</v>
      </c>
      <c r="H408" s="15" t="n">
        <f aca="false">Ipotesi!I9</f>
        <v>1</v>
      </c>
      <c r="I408" s="15" t="n">
        <f aca="false">Ipotesi!I10</f>
        <v>1</v>
      </c>
      <c r="J408" s="15" t="n">
        <f aca="false">Ipotesi!I11</f>
        <v>1</v>
      </c>
      <c r="K408" s="15" t="n">
        <f aca="false">Ipotesi!I12</f>
        <v>1</v>
      </c>
      <c r="L408" s="15" t="n">
        <f aca="false">Ipotesi!I13</f>
        <v>90</v>
      </c>
      <c r="M408" s="17" t="n">
        <f aca="false">INDEX(Ipotesi!$C$40:$G$40,1,F408)</f>
        <v>1</v>
      </c>
      <c r="N408" s="17" t="n">
        <f aca="false">INDEX(Ipotesi!$C$41:$G$41,1,F408)</f>
        <v>1</v>
      </c>
      <c r="O408" s="17" t="n">
        <f aca="false">INDEX(Ipotesi!$C$42:$G$42,1,F408)*Ipotesi!I125</f>
        <v>6.5</v>
      </c>
      <c r="P408" s="17" t="n">
        <f aca="false">INDEX(Ipotesi!$C$43:$G$43,1,F408)*I408</f>
        <v>6</v>
      </c>
      <c r="Q408" s="17" t="n">
        <f aca="false">INDEX(Ipotesi!$C$44:$G$44,1,F408)*I408</f>
        <v>5</v>
      </c>
      <c r="R408" s="17" t="n">
        <f aca="false">INDEX(Ipotesi!$C$45:$G$45,1,F408)*I408</f>
        <v>1.5</v>
      </c>
      <c r="S408" s="17" t="n">
        <f aca="false">INDEX(Ipotesi!$C$52:$G$52,1,F408)*Ipotesi!I125</f>
        <v>7</v>
      </c>
      <c r="T408" s="17" t="n">
        <f aca="false">INDEX(Ipotesi!$C$53:$G$53,1,F408)*I408</f>
        <v>1</v>
      </c>
      <c r="U408" s="17" t="n">
        <f aca="false">INDEX(Ipotesi!$C$54:$G$54,1,F408)*I408</f>
        <v>0.5</v>
      </c>
      <c r="V408" s="15" t="n">
        <f aca="false">M408*INDEX(Ipotesi!$C$58:$G$58,1,F408)*K408/12</f>
        <v>7916.66666666667</v>
      </c>
      <c r="W408" s="15" t="n">
        <f aca="false">N408*Ipotesi!$C$59*(1+Ipotesi!$C$66)^(F408-1)/12</f>
        <v>6374.24083333333</v>
      </c>
      <c r="X408" s="15" t="n">
        <f aca="false">O408*Ipotesi!$C$60*(1+Ipotesi!$C$66)^(F408-1)/12</f>
        <v>29594.6895833333</v>
      </c>
      <c r="Y408" s="15" t="n">
        <f aca="false">P408*Ipotesi!$C$61*(1+Ipotesi!$C$66)^(F408-1)/12</f>
        <v>27318.175</v>
      </c>
      <c r="Z408" s="15" t="n">
        <f aca="false">Q408*Ipotesi!$C$62*(1+Ipotesi!$C$66)^(F408-1)/12</f>
        <v>20488.63125</v>
      </c>
      <c r="AA408" s="15" t="n">
        <f aca="false">R408*Ipotesi!$C$63*(1+Ipotesi!$C$66)^(F408-1)/12</f>
        <v>4780.680625</v>
      </c>
      <c r="AB408" s="15" t="n">
        <f aca="false">SUM(V408:AA408)</f>
        <v>96473.0839583333</v>
      </c>
      <c r="AC408" s="15" t="n">
        <f aca="false">(S408*Ipotesi!$C$64+T408*Ipotesi!$C$65+U408*Ipotesi!$C$63)*(1+Ipotesi!$C$66)^(F408-1)/12</f>
        <v>33829.0067083333</v>
      </c>
      <c r="AD408" s="15" t="n">
        <f aca="false">INDEX(Ipotesi!$C$48:$G$48,1,F408)*G408/12</f>
        <v>79.1666666666667</v>
      </c>
      <c r="AE408" s="15" t="n">
        <f aca="false">INDEX(Ipotesi!$C$50:$G$50,1,F408)*G408/12</f>
        <v>8.33333333333333</v>
      </c>
      <c r="AF408" s="15" t="n">
        <f aca="false">(S408*Parametri_v3!$C$7*Parametri_v3!$C$8+Parametri_v3!$C$10)/12</f>
        <v>89.8333333333333</v>
      </c>
      <c r="AG408" s="15" t="n">
        <f aca="false">AD408+AE408*(1+Parametri_v3!$C$9)</f>
        <v>91.6666666666667</v>
      </c>
      <c r="AH408" s="16" t="n">
        <f aca="false">IF(AG408=0,1,MIN(1,AF408/AG408))</f>
        <v>0.98</v>
      </c>
      <c r="AI408" s="15" t="n">
        <f aca="false">AD408*AH408</f>
        <v>77.5833333333333</v>
      </c>
      <c r="AJ408" s="15" t="n">
        <f aca="false">AE408*AH408</f>
        <v>8.16666666666667</v>
      </c>
      <c r="AK408" s="15" t="n">
        <f aca="false">AI408*INDEX(Ipotesi!$C$49:$G$49,1,F408)*H408</f>
        <v>69825</v>
      </c>
      <c r="AL408" s="15" t="n">
        <f aca="false">AJ408*INDEX(Ipotesi!$C$51:$G$51,1,F408)*H408</f>
        <v>20416.6666666667</v>
      </c>
      <c r="AM408" s="15" t="n">
        <f aca="false">AK408+AL408</f>
        <v>90241.6666666667</v>
      </c>
      <c r="AN408" s="15" t="n">
        <f aca="false">INDEX(Ipotesi!$C$30:$G$30,1,F408)*G408/12</f>
        <v>61.6666666666667</v>
      </c>
      <c r="AO408" s="15" t="n">
        <f aca="false">O408*Parametri_v3!$C$7*Parametri_v3!$C$11*(1-Parametri_v3!$C$14)/12</f>
        <v>66.7333333333333</v>
      </c>
      <c r="AP408" s="15" t="n">
        <f aca="false">MIN(AN408,AO408)</f>
        <v>61.6666666666667</v>
      </c>
      <c r="AQ408" s="15" t="n">
        <f aca="false">AP408*INDEX(Ipotesi!$C$31:$G$31,1,F408)*H408</f>
        <v>64750</v>
      </c>
      <c r="AR408" s="15" t="n">
        <f aca="false">INDEX(Ipotesi!$C$75:$G$75,1,F408)*J408/12</f>
        <v>27916.6666666667</v>
      </c>
      <c r="AS408" s="15" t="n">
        <f aca="false">INDEX(Ipotesi!$C$81:$G$81,1,F408)*J408/12</f>
        <v>1666.66666666667</v>
      </c>
      <c r="AT408" s="15" t="n">
        <f aca="false">AR408*Parametri_v3!$C$15+Z408*Parametri_v3!$C$16</f>
        <v>42258.7085416667</v>
      </c>
      <c r="AU408" s="15" t="n">
        <f aca="false">Q408*Parametri_v3!$C$16*Parametri_v3!$C$17</f>
        <v>350</v>
      </c>
      <c r="AV408" s="17" t="n">
        <f aca="false">BD407</f>
        <v>125.699603301261</v>
      </c>
      <c r="AW408" s="17" t="n">
        <f aca="false">AV408*(1-(1-INDEX(Ipotesi!$C$34:$G$34,1,F408))^(1/12))</f>
        <v>1.09881702921934</v>
      </c>
      <c r="AX408" s="15" t="n">
        <f aca="false">ROUND(INDEX(Ipotesi!$C$32:$G$32,1,F408)*Ipotesi!I8,0)</f>
        <v>310</v>
      </c>
      <c r="AY408" s="15" t="n">
        <f aca="false">MAX(0,(AX408-(AV408-AW408))/(13-E408))</f>
        <v>37.0798427455916</v>
      </c>
      <c r="AZ408" s="15" t="n">
        <f aca="false">MIN(P408*Parametri_v3!$C$22,Q408*(1-Parametri_v3!$C$16)*Parametri_v3!$C$23)</f>
        <v>225</v>
      </c>
      <c r="BA408" s="15" t="n">
        <f aca="false">IF(OR(INDEX(Ipotesi!$C$35:$G$35,1,F408)&lt;=0,44-Parametri_v3!$C$21&lt;1),0,INDEX($AT$365:$AT$424,MAX(1,44-Parametri_v3!$C$21))/(INDEX(Ipotesi!$C$35:$G$35,1,F408)*Ipotesi!I27))</f>
        <v>7.04311809027778</v>
      </c>
      <c r="BB408" s="15" t="n">
        <f aca="false">IF(44-Parametri_v3!$C$21&lt;1,0,INDEX($AU$365:$AU$424,MAX(1,44-Parametri_v3!$C$21)))*Parametri_v3!$C$18*Parametri_v3!$C$19*Parametri_v3!$C$20</f>
        <v>13.125</v>
      </c>
      <c r="BC408" s="17" t="n">
        <f aca="false">MAX(0,MIN(AY408,BA408,BB408,MAX(0,AZ408-(AV408-AW408))))</f>
        <v>7.04311809027778</v>
      </c>
      <c r="BD408" s="17" t="n">
        <f aca="false">AV408-AW408+BC408</f>
        <v>131.64390436232</v>
      </c>
      <c r="BE408" s="17" t="n">
        <f aca="false">(AV408+BD408)/2</f>
        <v>128.67175383179</v>
      </c>
      <c r="BF408" s="15" t="n">
        <f aca="false">BE408*INDEX(Ipotesi!$C$33:$G$33,1,F408)*H408/12</f>
        <v>64335.8769158952</v>
      </c>
      <c r="BG408" s="15" t="n">
        <f aca="false">BD408*INDEX(Ipotesi!$C$33:$G$33,1,F408)*H408</f>
        <v>789863.426173918</v>
      </c>
      <c r="BH408" s="15" t="n">
        <f aca="false">AM408*INDEX(Ipotesi!$C$37:$G$37,1,F408)</f>
        <v>9024.16666666667</v>
      </c>
      <c r="BI408" s="15" t="n">
        <f aca="false">AQ408+BF408+BH408</f>
        <v>138110.043582562</v>
      </c>
      <c r="BJ408" s="15" t="n">
        <f aca="false">INDEX(Ipotesi!$C$68:$G$68,1,F408)*Ipotesi!$C$69/12</f>
        <v>3000</v>
      </c>
      <c r="BK408" s="15" t="n">
        <f aca="false">INDEX(Ipotesi!$C$68:$G$68,1,F408)*(1-Ipotesi!$C$69)/12</f>
        <v>4500</v>
      </c>
      <c r="BL408" s="15" t="n">
        <f aca="false">(AQ408+BF408)*Ipotesi!$C$67</f>
        <v>3872.57630747686</v>
      </c>
      <c r="BM408" s="15" t="n">
        <f aca="false">AM408*Ipotesi!$C$67</f>
        <v>2707.25</v>
      </c>
      <c r="BN408" s="15" t="n">
        <f aca="false">INDEX(Ipotesi!$C$72:$G$72,1,F408)/12*Ipotesi!I126+BF408*Ipotesi!$C$73</f>
        <v>6396.87015327162</v>
      </c>
      <c r="BO408" s="15" t="n">
        <f aca="false">INDEX(Ipotesi!$C$74:$G$74,1,F408)/12*Ipotesi!I126</f>
        <v>4166.66666666667</v>
      </c>
      <c r="BP408" s="15" t="n">
        <f aca="false">INDEX(Ipotesi!$C$76:$G$76,1,F408)/12</f>
        <v>1500</v>
      </c>
      <c r="BQ408" s="15" t="n">
        <f aca="false">INDEX(Ipotesi!$C$77:$G$77,1,F408)/12*Ipotesi!I126</f>
        <v>2083.33333333333</v>
      </c>
      <c r="BR408" s="15" t="n">
        <f aca="false">INDEX(Ipotesi!$C$78:$G$78,1,F408)/12</f>
        <v>2000</v>
      </c>
      <c r="BS408" s="15" t="n">
        <f aca="false">SUM(M408:R408)*(Ipotesi!$C$85+Ipotesi!$C$86)/12</f>
        <v>6125</v>
      </c>
      <c r="BT408" s="15" t="n">
        <f aca="false">BI408*Ipotesi!$C$87</f>
        <v>4143.30130747686</v>
      </c>
      <c r="BU408" s="15" t="n">
        <f aca="false">INDEX(Ipotesi!$C$55:$G$55,1,F408)*K408/12</f>
        <v>2000</v>
      </c>
      <c r="BV408" s="15" t="n">
        <f aca="false">INDEX(Ipotesi!$C$80:$G$80,1,F408)/12*Ipotesi!I126</f>
        <v>1666.66666666667</v>
      </c>
      <c r="BW408" s="15" t="n">
        <f aca="false">INDEX(Ipotesi!$C$82:$G$82,1,F408)/12</f>
        <v>1250</v>
      </c>
      <c r="BX408" s="15" t="n">
        <f aca="false">INDEX(Ipotesi!$C$83:$G$83,1,F408)/12</f>
        <v>750</v>
      </c>
      <c r="BY408" s="15" t="n">
        <f aca="false">SUM(S408:U408)*(Ipotesi!$C$85+Ipotesi!$C$86)/12</f>
        <v>2479.16666666667</v>
      </c>
      <c r="BZ408" s="15" t="n">
        <f aca="false">AM408*Ipotesi!$C$87</f>
        <v>2707.25</v>
      </c>
      <c r="CA408" s="15" t="n">
        <f aca="false">AB408+BJ408+BL408+BN408+BO408+AR408+BP408+BQ408+BR408+BS408+BT408</f>
        <v>157677.498393225</v>
      </c>
      <c r="CB408" s="15" t="n">
        <f aca="false">AC408+BK408+BM408+BH408+BU408+BV408+AS408+BW408+BX408+BY408+BZ408</f>
        <v>62580.173375</v>
      </c>
      <c r="CC408" s="15" t="n">
        <f aca="false">BI408-CA408</f>
        <v>-19567.4548106635</v>
      </c>
      <c r="CD408" s="15" t="n">
        <f aca="false">AM408-CB408</f>
        <v>27661.4932916667</v>
      </c>
      <c r="CE408" s="15" t="n">
        <f aca="false">INDEX(Ipotesi!$C$79:$G$79,1,F408)/12</f>
        <v>3333.33333333333</v>
      </c>
      <c r="CF408" s="15" t="n">
        <f aca="false">INDEX(Ipotesi!$C$84:$G$84,1,F408)/12</f>
        <v>666.666666666667</v>
      </c>
      <c r="CG408" s="15" t="n">
        <f aca="false">Y408*MAX(0,Parametri_v3!$C$12-IF(P408=0,0,MIN(1,BE408/(P408*Parametri_v3!$C$22))))+W408*Parametri_v3!$C$13+X408*Parametri_v3!$C$14</f>
        <v>30565.7708521104</v>
      </c>
      <c r="CH408" s="15" t="n">
        <f aca="false">AB408*Parametri_v3!$C$32</f>
        <v>4823.65419791667</v>
      </c>
      <c r="CI408" s="15" t="n">
        <f aca="false">AC408*Parametri_v3!$C$32</f>
        <v>1691.45033541667</v>
      </c>
      <c r="CJ408" s="15" t="n">
        <f aca="false">CA408-AB408</f>
        <v>61204.414434892</v>
      </c>
      <c r="CK408" s="15" t="n">
        <f aca="false">CB408-AC408-BH408</f>
        <v>19727</v>
      </c>
      <c r="CL408" s="15" t="n">
        <f aca="false">BF408*Ipotesi!$C$73+INDEX(Ipotesi!$C$72:$G$72,1,F408)/12*Ipotesi!I126*Parametri_v3!$C$58+Z408*(1-Parametri_v3!$C$16)</f>
        <v>12543.4595282716</v>
      </c>
      <c r="CM408" s="16" t="n">
        <f aca="false">IF(BF408=0,0,1-CL408/BF408)</f>
        <v>0.80503165372768</v>
      </c>
    </row>
    <row r="409" customFormat="false" ht="18" hidden="false" customHeight="true" outlineLevel="0" collapsed="false">
      <c r="A409" s="68" t="n">
        <f aca="false">7</f>
        <v>7</v>
      </c>
      <c r="B409" s="68" t="n">
        <f aca="false">45</f>
        <v>45</v>
      </c>
      <c r="C409" s="18" t="n">
        <f aca="false">EDATE(Parametri_v3!$C$5,45-1)</f>
        <v>47727</v>
      </c>
      <c r="D409" s="68" t="n">
        <f aca="false">YEAR(C409)</f>
        <v>2030</v>
      </c>
      <c r="E409" s="68" t="n">
        <f aca="false">MONTH(C409)</f>
        <v>9</v>
      </c>
      <c r="F409" s="68" t="n">
        <f aca="false">INT((45-1)/12)+1</f>
        <v>4</v>
      </c>
      <c r="G409" s="15" t="n">
        <f aca="false">Ipotesi!I7</f>
        <v>1</v>
      </c>
      <c r="H409" s="15" t="n">
        <f aca="false">Ipotesi!I9</f>
        <v>1</v>
      </c>
      <c r="I409" s="15" t="n">
        <f aca="false">Ipotesi!I10</f>
        <v>1</v>
      </c>
      <c r="J409" s="15" t="n">
        <f aca="false">Ipotesi!I11</f>
        <v>1</v>
      </c>
      <c r="K409" s="15" t="n">
        <f aca="false">Ipotesi!I12</f>
        <v>1</v>
      </c>
      <c r="L409" s="15" t="n">
        <f aca="false">Ipotesi!I13</f>
        <v>90</v>
      </c>
      <c r="M409" s="17" t="n">
        <f aca="false">INDEX(Ipotesi!$C$40:$G$40,1,F409)</f>
        <v>1</v>
      </c>
      <c r="N409" s="17" t="n">
        <f aca="false">INDEX(Ipotesi!$C$41:$G$41,1,F409)</f>
        <v>1</v>
      </c>
      <c r="O409" s="17" t="n">
        <f aca="false">INDEX(Ipotesi!$C$42:$G$42,1,F409)*Ipotesi!I125</f>
        <v>6.5</v>
      </c>
      <c r="P409" s="17" t="n">
        <f aca="false">INDEX(Ipotesi!$C$43:$G$43,1,F409)*I409</f>
        <v>6</v>
      </c>
      <c r="Q409" s="17" t="n">
        <f aca="false">INDEX(Ipotesi!$C$44:$G$44,1,F409)*I409</f>
        <v>5</v>
      </c>
      <c r="R409" s="17" t="n">
        <f aca="false">INDEX(Ipotesi!$C$45:$G$45,1,F409)*I409</f>
        <v>1.5</v>
      </c>
      <c r="S409" s="17" t="n">
        <f aca="false">INDEX(Ipotesi!$C$52:$G$52,1,F409)*Ipotesi!I125</f>
        <v>7</v>
      </c>
      <c r="T409" s="17" t="n">
        <f aca="false">INDEX(Ipotesi!$C$53:$G$53,1,F409)*I409</f>
        <v>1</v>
      </c>
      <c r="U409" s="17" t="n">
        <f aca="false">INDEX(Ipotesi!$C$54:$G$54,1,F409)*I409</f>
        <v>0.5</v>
      </c>
      <c r="V409" s="15" t="n">
        <f aca="false">M409*INDEX(Ipotesi!$C$58:$G$58,1,F409)*K409/12</f>
        <v>7916.66666666667</v>
      </c>
      <c r="W409" s="15" t="n">
        <f aca="false">N409*Ipotesi!$C$59*(1+Ipotesi!$C$66)^(F409-1)/12</f>
        <v>6374.24083333333</v>
      </c>
      <c r="X409" s="15" t="n">
        <f aca="false">O409*Ipotesi!$C$60*(1+Ipotesi!$C$66)^(F409-1)/12</f>
        <v>29594.6895833333</v>
      </c>
      <c r="Y409" s="15" t="n">
        <f aca="false">P409*Ipotesi!$C$61*(1+Ipotesi!$C$66)^(F409-1)/12</f>
        <v>27318.175</v>
      </c>
      <c r="Z409" s="15" t="n">
        <f aca="false">Q409*Ipotesi!$C$62*(1+Ipotesi!$C$66)^(F409-1)/12</f>
        <v>20488.63125</v>
      </c>
      <c r="AA409" s="15" t="n">
        <f aca="false">R409*Ipotesi!$C$63*(1+Ipotesi!$C$66)^(F409-1)/12</f>
        <v>4780.680625</v>
      </c>
      <c r="AB409" s="15" t="n">
        <f aca="false">SUM(V409:AA409)</f>
        <v>96473.0839583333</v>
      </c>
      <c r="AC409" s="15" t="n">
        <f aca="false">(S409*Ipotesi!$C$64+T409*Ipotesi!$C$65+U409*Ipotesi!$C$63)*(1+Ipotesi!$C$66)^(F409-1)/12</f>
        <v>33829.0067083333</v>
      </c>
      <c r="AD409" s="15" t="n">
        <f aca="false">INDEX(Ipotesi!$C$48:$G$48,1,F409)*G409/12</f>
        <v>79.1666666666667</v>
      </c>
      <c r="AE409" s="15" t="n">
        <f aca="false">INDEX(Ipotesi!$C$50:$G$50,1,F409)*G409/12</f>
        <v>8.33333333333333</v>
      </c>
      <c r="AF409" s="15" t="n">
        <f aca="false">(S409*Parametri_v3!$C$7*Parametri_v3!$C$8+Parametri_v3!$C$10)/12</f>
        <v>89.8333333333333</v>
      </c>
      <c r="AG409" s="15" t="n">
        <f aca="false">AD409+AE409*(1+Parametri_v3!$C$9)</f>
        <v>91.6666666666667</v>
      </c>
      <c r="AH409" s="16" t="n">
        <f aca="false">IF(AG409=0,1,MIN(1,AF409/AG409))</f>
        <v>0.98</v>
      </c>
      <c r="AI409" s="15" t="n">
        <f aca="false">AD409*AH409</f>
        <v>77.5833333333333</v>
      </c>
      <c r="AJ409" s="15" t="n">
        <f aca="false">AE409*AH409</f>
        <v>8.16666666666667</v>
      </c>
      <c r="AK409" s="15" t="n">
        <f aca="false">AI409*INDEX(Ipotesi!$C$49:$G$49,1,F409)*H409</f>
        <v>69825</v>
      </c>
      <c r="AL409" s="15" t="n">
        <f aca="false">AJ409*INDEX(Ipotesi!$C$51:$G$51,1,F409)*H409</f>
        <v>20416.6666666667</v>
      </c>
      <c r="AM409" s="15" t="n">
        <f aca="false">AK409+AL409</f>
        <v>90241.6666666667</v>
      </c>
      <c r="AN409" s="15" t="n">
        <f aca="false">INDEX(Ipotesi!$C$30:$G$30,1,F409)*G409/12</f>
        <v>61.6666666666667</v>
      </c>
      <c r="AO409" s="15" t="n">
        <f aca="false">O409*Parametri_v3!$C$7*Parametri_v3!$C$11*(1-Parametri_v3!$C$14)/12</f>
        <v>66.7333333333333</v>
      </c>
      <c r="AP409" s="15" t="n">
        <f aca="false">MIN(AN409,AO409)</f>
        <v>61.6666666666667</v>
      </c>
      <c r="AQ409" s="15" t="n">
        <f aca="false">AP409*INDEX(Ipotesi!$C$31:$G$31,1,F409)*H409</f>
        <v>64750</v>
      </c>
      <c r="AR409" s="15" t="n">
        <f aca="false">INDEX(Ipotesi!$C$75:$G$75,1,F409)*J409/12</f>
        <v>27916.6666666667</v>
      </c>
      <c r="AS409" s="15" t="n">
        <f aca="false">INDEX(Ipotesi!$C$81:$G$81,1,F409)*J409/12</f>
        <v>1666.66666666667</v>
      </c>
      <c r="AT409" s="15" t="n">
        <f aca="false">AR409*Parametri_v3!$C$15+Z409*Parametri_v3!$C$16</f>
        <v>42258.7085416667</v>
      </c>
      <c r="AU409" s="15" t="n">
        <f aca="false">Q409*Parametri_v3!$C$16*Parametri_v3!$C$17</f>
        <v>350</v>
      </c>
      <c r="AV409" s="17" t="n">
        <f aca="false">BD408</f>
        <v>131.64390436232</v>
      </c>
      <c r="AW409" s="17" t="n">
        <f aca="false">AV409*(1-(1-INDEX(Ipotesi!$C$34:$G$34,1,F409))^(1/12))</f>
        <v>1.1507797964927</v>
      </c>
      <c r="AX409" s="15" t="n">
        <f aca="false">ROUND(INDEX(Ipotesi!$C$32:$G$32,1,F409)*Ipotesi!I8,0)</f>
        <v>310</v>
      </c>
      <c r="AY409" s="15" t="n">
        <f aca="false">MAX(0,(AX409-(AV409-AW409))/(13-E409))</f>
        <v>44.8767188585433</v>
      </c>
      <c r="AZ409" s="15" t="n">
        <f aca="false">MIN(P409*Parametri_v3!$C$22,Q409*(1-Parametri_v3!$C$16)*Parametri_v3!$C$23)</f>
        <v>225</v>
      </c>
      <c r="BA409" s="15" t="n">
        <f aca="false">IF(OR(INDEX(Ipotesi!$C$35:$G$35,1,F409)&lt;=0,45-Parametri_v3!$C$21&lt;1),0,INDEX($AT$365:$AT$424,MAX(1,45-Parametri_v3!$C$21))/(INDEX(Ipotesi!$C$35:$G$35,1,F409)*Ipotesi!I27))</f>
        <v>7.04311809027778</v>
      </c>
      <c r="BB409" s="15" t="n">
        <f aca="false">IF(45-Parametri_v3!$C$21&lt;1,0,INDEX($AU$365:$AU$424,MAX(1,45-Parametri_v3!$C$21)))*Parametri_v3!$C$18*Parametri_v3!$C$19*Parametri_v3!$C$20</f>
        <v>13.125</v>
      </c>
      <c r="BC409" s="17" t="n">
        <f aca="false">MAX(0,MIN(AY409,BA409,BB409,MAX(0,AZ409-(AV409-AW409))))</f>
        <v>7.04311809027778</v>
      </c>
      <c r="BD409" s="17" t="n">
        <f aca="false">AV409-AW409+BC409</f>
        <v>137.536242656105</v>
      </c>
      <c r="BE409" s="17" t="n">
        <f aca="false">(AV409+BD409)/2</f>
        <v>134.590073509212</v>
      </c>
      <c r="BF409" s="15" t="n">
        <f aca="false">BE409*INDEX(Ipotesi!$C$33:$G$33,1,F409)*H409/12</f>
        <v>67295.0367546061</v>
      </c>
      <c r="BG409" s="15" t="n">
        <f aca="false">BD409*INDEX(Ipotesi!$C$33:$G$33,1,F409)*H409</f>
        <v>825217.455936628</v>
      </c>
      <c r="BH409" s="15" t="n">
        <f aca="false">AM409*INDEX(Ipotesi!$C$37:$G$37,1,F409)</f>
        <v>9024.16666666667</v>
      </c>
      <c r="BI409" s="15" t="n">
        <f aca="false">AQ409+BF409+BH409</f>
        <v>141069.203421273</v>
      </c>
      <c r="BJ409" s="15" t="n">
        <f aca="false">INDEX(Ipotesi!$C$68:$G$68,1,F409)*Ipotesi!$C$69/12</f>
        <v>3000</v>
      </c>
      <c r="BK409" s="15" t="n">
        <f aca="false">INDEX(Ipotesi!$C$68:$G$68,1,F409)*(1-Ipotesi!$C$69)/12</f>
        <v>4500</v>
      </c>
      <c r="BL409" s="15" t="n">
        <f aca="false">(AQ409+BF409)*Ipotesi!$C$67</f>
        <v>3961.35110263818</v>
      </c>
      <c r="BM409" s="15" t="n">
        <f aca="false">AM409*Ipotesi!$C$67</f>
        <v>2707.25</v>
      </c>
      <c r="BN409" s="15" t="n">
        <f aca="false">INDEX(Ipotesi!$C$72:$G$72,1,F409)/12*Ipotesi!I126+BF409*Ipotesi!$C$73</f>
        <v>6633.60294036849</v>
      </c>
      <c r="BO409" s="15" t="n">
        <f aca="false">INDEX(Ipotesi!$C$74:$G$74,1,F409)/12*Ipotesi!I126</f>
        <v>4166.66666666667</v>
      </c>
      <c r="BP409" s="15" t="n">
        <f aca="false">INDEX(Ipotesi!$C$76:$G$76,1,F409)/12</f>
        <v>1500</v>
      </c>
      <c r="BQ409" s="15" t="n">
        <f aca="false">INDEX(Ipotesi!$C$77:$G$77,1,F409)/12*Ipotesi!I126</f>
        <v>2083.33333333333</v>
      </c>
      <c r="BR409" s="15" t="n">
        <f aca="false">INDEX(Ipotesi!$C$78:$G$78,1,F409)/12</f>
        <v>2000</v>
      </c>
      <c r="BS409" s="15" t="n">
        <f aca="false">SUM(M409:R409)*(Ipotesi!$C$85+Ipotesi!$C$86)/12</f>
        <v>6125</v>
      </c>
      <c r="BT409" s="15" t="n">
        <f aca="false">BI409*Ipotesi!$C$87</f>
        <v>4232.07610263818</v>
      </c>
      <c r="BU409" s="15" t="n">
        <f aca="false">INDEX(Ipotesi!$C$55:$G$55,1,F409)*K409/12</f>
        <v>2000</v>
      </c>
      <c r="BV409" s="15" t="n">
        <f aca="false">INDEX(Ipotesi!$C$80:$G$80,1,F409)/12*Ipotesi!I126</f>
        <v>1666.66666666667</v>
      </c>
      <c r="BW409" s="15" t="n">
        <f aca="false">INDEX(Ipotesi!$C$82:$G$82,1,F409)/12</f>
        <v>1250</v>
      </c>
      <c r="BX409" s="15" t="n">
        <f aca="false">INDEX(Ipotesi!$C$83:$G$83,1,F409)/12</f>
        <v>750</v>
      </c>
      <c r="BY409" s="15" t="n">
        <f aca="false">SUM(S409:U409)*(Ipotesi!$C$85+Ipotesi!$C$86)/12</f>
        <v>2479.16666666667</v>
      </c>
      <c r="BZ409" s="15" t="n">
        <f aca="false">AM409*Ipotesi!$C$87</f>
        <v>2707.25</v>
      </c>
      <c r="CA409" s="15" t="n">
        <f aca="false">AB409+BJ409+BL409+BN409+BO409+AR409+BP409+BQ409+BR409+BS409+BT409</f>
        <v>158091.780770645</v>
      </c>
      <c r="CB409" s="15" t="n">
        <f aca="false">AC409+BK409+BM409+BH409+BU409+BV409+AS409+BW409+BX409+BY409+BZ409</f>
        <v>62580.173375</v>
      </c>
      <c r="CC409" s="15" t="n">
        <f aca="false">BI409-CA409</f>
        <v>-17022.5773493721</v>
      </c>
      <c r="CD409" s="15" t="n">
        <f aca="false">AM409-CB409</f>
        <v>27661.4932916667</v>
      </c>
      <c r="CE409" s="15" t="n">
        <f aca="false">INDEX(Ipotesi!$C$79:$G$79,1,F409)/12</f>
        <v>3333.33333333333</v>
      </c>
      <c r="CF409" s="15" t="n">
        <f aca="false">INDEX(Ipotesi!$C$84:$G$84,1,F409)/12</f>
        <v>666.666666666667</v>
      </c>
      <c r="CG409" s="15" t="n">
        <f aca="false">Y409*MAX(0,Parametri_v3!$C$12-IF(P409=0,0,MIN(1,BE409/(P409*Parametri_v3!$C$22))))+W409*Parametri_v3!$C$13+X409*Parametri_v3!$C$14</f>
        <v>30296.3080310208</v>
      </c>
      <c r="CH409" s="15" t="n">
        <f aca="false">AB409*Parametri_v3!$C$32</f>
        <v>4823.65419791667</v>
      </c>
      <c r="CI409" s="15" t="n">
        <f aca="false">AC409*Parametri_v3!$C$32</f>
        <v>1691.45033541667</v>
      </c>
      <c r="CJ409" s="15" t="n">
        <f aca="false">CA409-AB409</f>
        <v>61618.6968123115</v>
      </c>
      <c r="CK409" s="15" t="n">
        <f aca="false">CB409-AC409-BH409</f>
        <v>19727</v>
      </c>
      <c r="CL409" s="15" t="n">
        <f aca="false">BF409*Ipotesi!$C$73+INDEX(Ipotesi!$C$72:$G$72,1,F409)/12*Ipotesi!I126*Parametri_v3!$C$58+Z409*(1-Parametri_v3!$C$16)</f>
        <v>12780.1923153685</v>
      </c>
      <c r="CM409" s="16" t="n">
        <f aca="false">IF(BF409=0,0,1-CL409/BF409)</f>
        <v>0.810087148596531</v>
      </c>
    </row>
    <row r="410" customFormat="false" ht="18" hidden="false" customHeight="true" outlineLevel="0" collapsed="false">
      <c r="A410" s="68" t="n">
        <f aca="false">7</f>
        <v>7</v>
      </c>
      <c r="B410" s="68" t="n">
        <f aca="false">46</f>
        <v>46</v>
      </c>
      <c r="C410" s="18" t="n">
        <f aca="false">EDATE(Parametri_v3!$C$5,46-1)</f>
        <v>47757</v>
      </c>
      <c r="D410" s="68" t="n">
        <f aca="false">YEAR(C410)</f>
        <v>2030</v>
      </c>
      <c r="E410" s="68" t="n">
        <f aca="false">MONTH(C410)</f>
        <v>10</v>
      </c>
      <c r="F410" s="68" t="n">
        <f aca="false">INT((46-1)/12)+1</f>
        <v>4</v>
      </c>
      <c r="G410" s="15" t="n">
        <f aca="false">Ipotesi!I7</f>
        <v>1</v>
      </c>
      <c r="H410" s="15" t="n">
        <f aca="false">Ipotesi!I9</f>
        <v>1</v>
      </c>
      <c r="I410" s="15" t="n">
        <f aca="false">Ipotesi!I10</f>
        <v>1</v>
      </c>
      <c r="J410" s="15" t="n">
        <f aca="false">Ipotesi!I11</f>
        <v>1</v>
      </c>
      <c r="K410" s="15" t="n">
        <f aca="false">Ipotesi!I12</f>
        <v>1</v>
      </c>
      <c r="L410" s="15" t="n">
        <f aca="false">Ipotesi!I13</f>
        <v>90</v>
      </c>
      <c r="M410" s="17" t="n">
        <f aca="false">INDEX(Ipotesi!$C$40:$G$40,1,F410)</f>
        <v>1</v>
      </c>
      <c r="N410" s="17" t="n">
        <f aca="false">INDEX(Ipotesi!$C$41:$G$41,1,F410)</f>
        <v>1</v>
      </c>
      <c r="O410" s="17" t="n">
        <f aca="false">INDEX(Ipotesi!$C$42:$G$42,1,F410)*Ipotesi!I125</f>
        <v>6.5</v>
      </c>
      <c r="P410" s="17" t="n">
        <f aca="false">INDEX(Ipotesi!$C$43:$G$43,1,F410)*I410</f>
        <v>6</v>
      </c>
      <c r="Q410" s="17" t="n">
        <f aca="false">INDEX(Ipotesi!$C$44:$G$44,1,F410)*I410</f>
        <v>5</v>
      </c>
      <c r="R410" s="17" t="n">
        <f aca="false">INDEX(Ipotesi!$C$45:$G$45,1,F410)*I410</f>
        <v>1.5</v>
      </c>
      <c r="S410" s="17" t="n">
        <f aca="false">INDEX(Ipotesi!$C$52:$G$52,1,F410)*Ipotesi!I125</f>
        <v>7</v>
      </c>
      <c r="T410" s="17" t="n">
        <f aca="false">INDEX(Ipotesi!$C$53:$G$53,1,F410)*I410</f>
        <v>1</v>
      </c>
      <c r="U410" s="17" t="n">
        <f aca="false">INDEX(Ipotesi!$C$54:$G$54,1,F410)*I410</f>
        <v>0.5</v>
      </c>
      <c r="V410" s="15" t="n">
        <f aca="false">M410*INDEX(Ipotesi!$C$58:$G$58,1,F410)*K410/12</f>
        <v>7916.66666666667</v>
      </c>
      <c r="W410" s="15" t="n">
        <f aca="false">N410*Ipotesi!$C$59*(1+Ipotesi!$C$66)^(F410-1)/12</f>
        <v>6374.24083333333</v>
      </c>
      <c r="X410" s="15" t="n">
        <f aca="false">O410*Ipotesi!$C$60*(1+Ipotesi!$C$66)^(F410-1)/12</f>
        <v>29594.6895833333</v>
      </c>
      <c r="Y410" s="15" t="n">
        <f aca="false">P410*Ipotesi!$C$61*(1+Ipotesi!$C$66)^(F410-1)/12</f>
        <v>27318.175</v>
      </c>
      <c r="Z410" s="15" t="n">
        <f aca="false">Q410*Ipotesi!$C$62*(1+Ipotesi!$C$66)^(F410-1)/12</f>
        <v>20488.63125</v>
      </c>
      <c r="AA410" s="15" t="n">
        <f aca="false">R410*Ipotesi!$C$63*(1+Ipotesi!$C$66)^(F410-1)/12</f>
        <v>4780.680625</v>
      </c>
      <c r="AB410" s="15" t="n">
        <f aca="false">SUM(V410:AA410)</f>
        <v>96473.0839583333</v>
      </c>
      <c r="AC410" s="15" t="n">
        <f aca="false">(S410*Ipotesi!$C$64+T410*Ipotesi!$C$65+U410*Ipotesi!$C$63)*(1+Ipotesi!$C$66)^(F410-1)/12</f>
        <v>33829.0067083333</v>
      </c>
      <c r="AD410" s="15" t="n">
        <f aca="false">INDEX(Ipotesi!$C$48:$G$48,1,F410)*G410/12</f>
        <v>79.1666666666667</v>
      </c>
      <c r="AE410" s="15" t="n">
        <f aca="false">INDEX(Ipotesi!$C$50:$G$50,1,F410)*G410/12</f>
        <v>8.33333333333333</v>
      </c>
      <c r="AF410" s="15" t="n">
        <f aca="false">(S410*Parametri_v3!$C$7*Parametri_v3!$C$8+Parametri_v3!$C$10)/12</f>
        <v>89.8333333333333</v>
      </c>
      <c r="AG410" s="15" t="n">
        <f aca="false">AD410+AE410*(1+Parametri_v3!$C$9)</f>
        <v>91.6666666666667</v>
      </c>
      <c r="AH410" s="16" t="n">
        <f aca="false">IF(AG410=0,1,MIN(1,AF410/AG410))</f>
        <v>0.98</v>
      </c>
      <c r="AI410" s="15" t="n">
        <f aca="false">AD410*AH410</f>
        <v>77.5833333333333</v>
      </c>
      <c r="AJ410" s="15" t="n">
        <f aca="false">AE410*AH410</f>
        <v>8.16666666666667</v>
      </c>
      <c r="AK410" s="15" t="n">
        <f aca="false">AI410*INDEX(Ipotesi!$C$49:$G$49,1,F410)*H410</f>
        <v>69825</v>
      </c>
      <c r="AL410" s="15" t="n">
        <f aca="false">AJ410*INDEX(Ipotesi!$C$51:$G$51,1,F410)*H410</f>
        <v>20416.6666666667</v>
      </c>
      <c r="AM410" s="15" t="n">
        <f aca="false">AK410+AL410</f>
        <v>90241.6666666667</v>
      </c>
      <c r="AN410" s="15" t="n">
        <f aca="false">INDEX(Ipotesi!$C$30:$G$30,1,F410)*G410/12</f>
        <v>61.6666666666667</v>
      </c>
      <c r="AO410" s="15" t="n">
        <f aca="false">O410*Parametri_v3!$C$7*Parametri_v3!$C$11*(1-Parametri_v3!$C$14)/12</f>
        <v>66.7333333333333</v>
      </c>
      <c r="AP410" s="15" t="n">
        <f aca="false">MIN(AN410,AO410)</f>
        <v>61.6666666666667</v>
      </c>
      <c r="AQ410" s="15" t="n">
        <f aca="false">AP410*INDEX(Ipotesi!$C$31:$G$31,1,F410)*H410</f>
        <v>64750</v>
      </c>
      <c r="AR410" s="15" t="n">
        <f aca="false">INDEX(Ipotesi!$C$75:$G$75,1,F410)*J410/12</f>
        <v>27916.6666666667</v>
      </c>
      <c r="AS410" s="15" t="n">
        <f aca="false">INDEX(Ipotesi!$C$81:$G$81,1,F410)*J410/12</f>
        <v>1666.66666666667</v>
      </c>
      <c r="AT410" s="15" t="n">
        <f aca="false">AR410*Parametri_v3!$C$15+Z410*Parametri_v3!$C$16</f>
        <v>42258.7085416667</v>
      </c>
      <c r="AU410" s="15" t="n">
        <f aca="false">Q410*Parametri_v3!$C$16*Parametri_v3!$C$17</f>
        <v>350</v>
      </c>
      <c r="AV410" s="17" t="n">
        <f aca="false">BD409</f>
        <v>137.536242656105</v>
      </c>
      <c r="AW410" s="17" t="n">
        <f aca="false">AV410*(1-(1-INDEX(Ipotesi!$C$34:$G$34,1,F410))^(1/12))</f>
        <v>1.20228832547043</v>
      </c>
      <c r="AX410" s="15" t="n">
        <f aca="false">ROUND(INDEX(Ipotesi!$C$32:$G$32,1,F410)*Ipotesi!I8,0)</f>
        <v>310</v>
      </c>
      <c r="AY410" s="15" t="n">
        <f aca="false">MAX(0,(AX410-(AV410-AW410))/(13-E410))</f>
        <v>57.8886818897886</v>
      </c>
      <c r="AZ410" s="15" t="n">
        <f aca="false">MIN(P410*Parametri_v3!$C$22,Q410*(1-Parametri_v3!$C$16)*Parametri_v3!$C$23)</f>
        <v>225</v>
      </c>
      <c r="BA410" s="15" t="n">
        <f aca="false">IF(OR(INDEX(Ipotesi!$C$35:$G$35,1,F410)&lt;=0,46-Parametri_v3!$C$21&lt;1),0,INDEX($AT$365:$AT$424,MAX(1,46-Parametri_v3!$C$21))/(INDEX(Ipotesi!$C$35:$G$35,1,F410)*Ipotesi!I27))</f>
        <v>7.04311809027778</v>
      </c>
      <c r="BB410" s="15" t="n">
        <f aca="false">IF(46-Parametri_v3!$C$21&lt;1,0,INDEX($AU$365:$AU$424,MAX(1,46-Parametri_v3!$C$21)))*Parametri_v3!$C$18*Parametri_v3!$C$19*Parametri_v3!$C$20</f>
        <v>13.125</v>
      </c>
      <c r="BC410" s="17" t="n">
        <f aca="false">MAX(0,MIN(AY410,BA410,BB410,MAX(0,AZ410-(AV410-AW410))))</f>
        <v>7.04311809027778</v>
      </c>
      <c r="BD410" s="17" t="n">
        <f aca="false">AV410-AW410+BC410</f>
        <v>143.377072420912</v>
      </c>
      <c r="BE410" s="17" t="n">
        <f aca="false">(AV410+BD410)/2</f>
        <v>140.456657538508</v>
      </c>
      <c r="BF410" s="15" t="n">
        <f aca="false">BE410*INDEX(Ipotesi!$C$33:$G$33,1,F410)*H410/12</f>
        <v>70228.3287692542</v>
      </c>
      <c r="BG410" s="15" t="n">
        <f aca="false">BD410*INDEX(Ipotesi!$C$33:$G$33,1,F410)*H410</f>
        <v>860262.434525473</v>
      </c>
      <c r="BH410" s="15" t="n">
        <f aca="false">AM410*INDEX(Ipotesi!$C$37:$G$37,1,F410)</f>
        <v>9024.16666666667</v>
      </c>
      <c r="BI410" s="15" t="n">
        <f aca="false">AQ410+BF410+BH410</f>
        <v>144002.495435921</v>
      </c>
      <c r="BJ410" s="15" t="n">
        <f aca="false">INDEX(Ipotesi!$C$68:$G$68,1,F410)*Ipotesi!$C$69/12</f>
        <v>3000</v>
      </c>
      <c r="BK410" s="15" t="n">
        <f aca="false">INDEX(Ipotesi!$C$68:$G$68,1,F410)*(1-Ipotesi!$C$69)/12</f>
        <v>4500</v>
      </c>
      <c r="BL410" s="15" t="n">
        <f aca="false">(AQ410+BF410)*Ipotesi!$C$67</f>
        <v>4049.34986307763</v>
      </c>
      <c r="BM410" s="15" t="n">
        <f aca="false">AM410*Ipotesi!$C$67</f>
        <v>2707.25</v>
      </c>
      <c r="BN410" s="15" t="n">
        <f aca="false">INDEX(Ipotesi!$C$72:$G$72,1,F410)/12*Ipotesi!I126+BF410*Ipotesi!$C$73</f>
        <v>6868.26630154034</v>
      </c>
      <c r="BO410" s="15" t="n">
        <f aca="false">INDEX(Ipotesi!$C$74:$G$74,1,F410)/12*Ipotesi!I126</f>
        <v>4166.66666666667</v>
      </c>
      <c r="BP410" s="15" t="n">
        <f aca="false">INDEX(Ipotesi!$C$76:$G$76,1,F410)/12</f>
        <v>1500</v>
      </c>
      <c r="BQ410" s="15" t="n">
        <f aca="false">INDEX(Ipotesi!$C$77:$G$77,1,F410)/12*Ipotesi!I126</f>
        <v>2083.33333333333</v>
      </c>
      <c r="BR410" s="15" t="n">
        <f aca="false">INDEX(Ipotesi!$C$78:$G$78,1,F410)/12</f>
        <v>2000</v>
      </c>
      <c r="BS410" s="15" t="n">
        <f aca="false">SUM(M410:R410)*(Ipotesi!$C$85+Ipotesi!$C$86)/12</f>
        <v>6125</v>
      </c>
      <c r="BT410" s="15" t="n">
        <f aca="false">BI410*Ipotesi!$C$87</f>
        <v>4320.07486307763</v>
      </c>
      <c r="BU410" s="15" t="n">
        <f aca="false">INDEX(Ipotesi!$C$55:$G$55,1,F410)*K410/12</f>
        <v>2000</v>
      </c>
      <c r="BV410" s="15" t="n">
        <f aca="false">INDEX(Ipotesi!$C$80:$G$80,1,F410)/12*Ipotesi!I126</f>
        <v>1666.66666666667</v>
      </c>
      <c r="BW410" s="15" t="n">
        <f aca="false">INDEX(Ipotesi!$C$82:$G$82,1,F410)/12</f>
        <v>1250</v>
      </c>
      <c r="BX410" s="15" t="n">
        <f aca="false">INDEX(Ipotesi!$C$83:$G$83,1,F410)/12</f>
        <v>750</v>
      </c>
      <c r="BY410" s="15" t="n">
        <f aca="false">SUM(S410:U410)*(Ipotesi!$C$85+Ipotesi!$C$86)/12</f>
        <v>2479.16666666667</v>
      </c>
      <c r="BZ410" s="15" t="n">
        <f aca="false">AM410*Ipotesi!$C$87</f>
        <v>2707.25</v>
      </c>
      <c r="CA410" s="15" t="n">
        <f aca="false">AB410+BJ410+BL410+BN410+BO410+AR410+BP410+BQ410+BR410+BS410+BT410</f>
        <v>158502.441652696</v>
      </c>
      <c r="CB410" s="15" t="n">
        <f aca="false">AC410+BK410+BM410+BH410+BU410+BV410+AS410+BW410+BX410+BY410+BZ410</f>
        <v>62580.173375</v>
      </c>
      <c r="CC410" s="15" t="n">
        <f aca="false">BI410-CA410</f>
        <v>-14499.9462167748</v>
      </c>
      <c r="CD410" s="15" t="n">
        <f aca="false">AM410-CB410</f>
        <v>27661.4932916667</v>
      </c>
      <c r="CE410" s="15" t="n">
        <f aca="false">INDEX(Ipotesi!$C$79:$G$79,1,F410)/12</f>
        <v>3333.33333333333</v>
      </c>
      <c r="CF410" s="15" t="n">
        <f aca="false">INDEX(Ipotesi!$C$84:$G$84,1,F410)/12</f>
        <v>666.666666666667</v>
      </c>
      <c r="CG410" s="15" t="n">
        <f aca="false">Y410*MAX(0,Parametri_v3!$C$12-IF(P410=0,0,MIN(1,BE410/(P410*Parametri_v3!$C$22))))+W410*Parametri_v3!$C$13+X410*Parametri_v3!$C$14</f>
        <v>30029.2007490799</v>
      </c>
      <c r="CH410" s="15" t="n">
        <f aca="false">AB410*Parametri_v3!$C$32</f>
        <v>4823.65419791667</v>
      </c>
      <c r="CI410" s="15" t="n">
        <f aca="false">AC410*Parametri_v3!$C$32</f>
        <v>1691.45033541667</v>
      </c>
      <c r="CJ410" s="15" t="n">
        <f aca="false">CA410-AB410</f>
        <v>62029.3576943623</v>
      </c>
      <c r="CK410" s="15" t="n">
        <f aca="false">CB410-AC410-BH410</f>
        <v>19727</v>
      </c>
      <c r="CL410" s="15" t="n">
        <f aca="false">BF410*Ipotesi!$C$73+INDEX(Ipotesi!$C$72:$G$72,1,F410)/12*Ipotesi!I126*Parametri_v3!$C$58+Z410*(1-Parametri_v3!$C$16)</f>
        <v>13014.8556765403</v>
      </c>
      <c r="CM410" s="16" t="n">
        <f aca="false">IF(BF410=0,0,1-CL410/BF410)</f>
        <v>0.814677981028103</v>
      </c>
    </row>
    <row r="411" customFormat="false" ht="18" hidden="false" customHeight="true" outlineLevel="0" collapsed="false">
      <c r="A411" s="68" t="n">
        <f aca="false">7</f>
        <v>7</v>
      </c>
      <c r="B411" s="68" t="n">
        <f aca="false">47</f>
        <v>47</v>
      </c>
      <c r="C411" s="18" t="n">
        <f aca="false">EDATE(Parametri_v3!$C$5,47-1)</f>
        <v>47788</v>
      </c>
      <c r="D411" s="68" t="n">
        <f aca="false">YEAR(C411)</f>
        <v>2030</v>
      </c>
      <c r="E411" s="68" t="n">
        <f aca="false">MONTH(C411)</f>
        <v>11</v>
      </c>
      <c r="F411" s="68" t="n">
        <f aca="false">INT((47-1)/12)+1</f>
        <v>4</v>
      </c>
      <c r="G411" s="15" t="n">
        <f aca="false">Ipotesi!I7</f>
        <v>1</v>
      </c>
      <c r="H411" s="15" t="n">
        <f aca="false">Ipotesi!I9</f>
        <v>1</v>
      </c>
      <c r="I411" s="15" t="n">
        <f aca="false">Ipotesi!I10</f>
        <v>1</v>
      </c>
      <c r="J411" s="15" t="n">
        <f aca="false">Ipotesi!I11</f>
        <v>1</v>
      </c>
      <c r="K411" s="15" t="n">
        <f aca="false">Ipotesi!I12</f>
        <v>1</v>
      </c>
      <c r="L411" s="15" t="n">
        <f aca="false">Ipotesi!I13</f>
        <v>90</v>
      </c>
      <c r="M411" s="17" t="n">
        <f aca="false">INDEX(Ipotesi!$C$40:$G$40,1,F411)</f>
        <v>1</v>
      </c>
      <c r="N411" s="17" t="n">
        <f aca="false">INDEX(Ipotesi!$C$41:$G$41,1,F411)</f>
        <v>1</v>
      </c>
      <c r="O411" s="17" t="n">
        <f aca="false">INDEX(Ipotesi!$C$42:$G$42,1,F411)*Ipotesi!I125</f>
        <v>6.5</v>
      </c>
      <c r="P411" s="17" t="n">
        <f aca="false">INDEX(Ipotesi!$C$43:$G$43,1,F411)*I411</f>
        <v>6</v>
      </c>
      <c r="Q411" s="17" t="n">
        <f aca="false">INDEX(Ipotesi!$C$44:$G$44,1,F411)*I411</f>
        <v>5</v>
      </c>
      <c r="R411" s="17" t="n">
        <f aca="false">INDEX(Ipotesi!$C$45:$G$45,1,F411)*I411</f>
        <v>1.5</v>
      </c>
      <c r="S411" s="17" t="n">
        <f aca="false">INDEX(Ipotesi!$C$52:$G$52,1,F411)*Ipotesi!I125</f>
        <v>7</v>
      </c>
      <c r="T411" s="17" t="n">
        <f aca="false">INDEX(Ipotesi!$C$53:$G$53,1,F411)*I411</f>
        <v>1</v>
      </c>
      <c r="U411" s="17" t="n">
        <f aca="false">INDEX(Ipotesi!$C$54:$G$54,1,F411)*I411</f>
        <v>0.5</v>
      </c>
      <c r="V411" s="15" t="n">
        <f aca="false">M411*INDEX(Ipotesi!$C$58:$G$58,1,F411)*K411/12</f>
        <v>7916.66666666667</v>
      </c>
      <c r="W411" s="15" t="n">
        <f aca="false">N411*Ipotesi!$C$59*(1+Ipotesi!$C$66)^(F411-1)/12</f>
        <v>6374.24083333333</v>
      </c>
      <c r="X411" s="15" t="n">
        <f aca="false">O411*Ipotesi!$C$60*(1+Ipotesi!$C$66)^(F411-1)/12</f>
        <v>29594.6895833333</v>
      </c>
      <c r="Y411" s="15" t="n">
        <f aca="false">P411*Ipotesi!$C$61*(1+Ipotesi!$C$66)^(F411-1)/12</f>
        <v>27318.175</v>
      </c>
      <c r="Z411" s="15" t="n">
        <f aca="false">Q411*Ipotesi!$C$62*(1+Ipotesi!$C$66)^(F411-1)/12</f>
        <v>20488.63125</v>
      </c>
      <c r="AA411" s="15" t="n">
        <f aca="false">R411*Ipotesi!$C$63*(1+Ipotesi!$C$66)^(F411-1)/12</f>
        <v>4780.680625</v>
      </c>
      <c r="AB411" s="15" t="n">
        <f aca="false">SUM(V411:AA411)</f>
        <v>96473.0839583333</v>
      </c>
      <c r="AC411" s="15" t="n">
        <f aca="false">(S411*Ipotesi!$C$64+T411*Ipotesi!$C$65+U411*Ipotesi!$C$63)*(1+Ipotesi!$C$66)^(F411-1)/12</f>
        <v>33829.0067083333</v>
      </c>
      <c r="AD411" s="15" t="n">
        <f aca="false">INDEX(Ipotesi!$C$48:$G$48,1,F411)*G411/12</f>
        <v>79.1666666666667</v>
      </c>
      <c r="AE411" s="15" t="n">
        <f aca="false">INDEX(Ipotesi!$C$50:$G$50,1,F411)*G411/12</f>
        <v>8.33333333333333</v>
      </c>
      <c r="AF411" s="15" t="n">
        <f aca="false">(S411*Parametri_v3!$C$7*Parametri_v3!$C$8+Parametri_v3!$C$10)/12</f>
        <v>89.8333333333333</v>
      </c>
      <c r="AG411" s="15" t="n">
        <f aca="false">AD411+AE411*(1+Parametri_v3!$C$9)</f>
        <v>91.6666666666667</v>
      </c>
      <c r="AH411" s="16" t="n">
        <f aca="false">IF(AG411=0,1,MIN(1,AF411/AG411))</f>
        <v>0.98</v>
      </c>
      <c r="AI411" s="15" t="n">
        <f aca="false">AD411*AH411</f>
        <v>77.5833333333333</v>
      </c>
      <c r="AJ411" s="15" t="n">
        <f aca="false">AE411*AH411</f>
        <v>8.16666666666667</v>
      </c>
      <c r="AK411" s="15" t="n">
        <f aca="false">AI411*INDEX(Ipotesi!$C$49:$G$49,1,F411)*H411</f>
        <v>69825</v>
      </c>
      <c r="AL411" s="15" t="n">
        <f aca="false">AJ411*INDEX(Ipotesi!$C$51:$G$51,1,F411)*H411</f>
        <v>20416.6666666667</v>
      </c>
      <c r="AM411" s="15" t="n">
        <f aca="false">AK411+AL411</f>
        <v>90241.6666666667</v>
      </c>
      <c r="AN411" s="15" t="n">
        <f aca="false">INDEX(Ipotesi!$C$30:$G$30,1,F411)*G411/12</f>
        <v>61.6666666666667</v>
      </c>
      <c r="AO411" s="15" t="n">
        <f aca="false">O411*Parametri_v3!$C$7*Parametri_v3!$C$11*(1-Parametri_v3!$C$14)/12</f>
        <v>66.7333333333333</v>
      </c>
      <c r="AP411" s="15" t="n">
        <f aca="false">MIN(AN411,AO411)</f>
        <v>61.6666666666667</v>
      </c>
      <c r="AQ411" s="15" t="n">
        <f aca="false">AP411*INDEX(Ipotesi!$C$31:$G$31,1,F411)*H411</f>
        <v>64750</v>
      </c>
      <c r="AR411" s="15" t="n">
        <f aca="false">INDEX(Ipotesi!$C$75:$G$75,1,F411)*J411/12</f>
        <v>27916.6666666667</v>
      </c>
      <c r="AS411" s="15" t="n">
        <f aca="false">INDEX(Ipotesi!$C$81:$G$81,1,F411)*J411/12</f>
        <v>1666.66666666667</v>
      </c>
      <c r="AT411" s="15" t="n">
        <f aca="false">AR411*Parametri_v3!$C$15+Z411*Parametri_v3!$C$16</f>
        <v>42258.7085416667</v>
      </c>
      <c r="AU411" s="15" t="n">
        <f aca="false">Q411*Parametri_v3!$C$16*Parametri_v3!$C$17</f>
        <v>350</v>
      </c>
      <c r="AV411" s="17" t="n">
        <f aca="false">BD410</f>
        <v>143.377072420912</v>
      </c>
      <c r="AW411" s="17" t="n">
        <f aca="false">AV411*(1-(1-INDEX(Ipotesi!$C$34:$G$34,1,F411))^(1/12))</f>
        <v>1.25334658692699</v>
      </c>
      <c r="AX411" s="15" t="n">
        <f aca="false">ROUND(INDEX(Ipotesi!$C$32:$G$32,1,F411)*Ipotesi!I8,0)</f>
        <v>310</v>
      </c>
      <c r="AY411" s="15" t="n">
        <f aca="false">MAX(0,(AX411-(AV411-AW411))/(13-E411))</f>
        <v>83.9381370830075</v>
      </c>
      <c r="AZ411" s="15" t="n">
        <f aca="false">MIN(P411*Parametri_v3!$C$22,Q411*(1-Parametri_v3!$C$16)*Parametri_v3!$C$23)</f>
        <v>225</v>
      </c>
      <c r="BA411" s="15" t="n">
        <f aca="false">IF(OR(INDEX(Ipotesi!$C$35:$G$35,1,F411)&lt;=0,47-Parametri_v3!$C$21&lt;1),0,INDEX($AT$365:$AT$424,MAX(1,47-Parametri_v3!$C$21))/(INDEX(Ipotesi!$C$35:$G$35,1,F411)*Ipotesi!I27))</f>
        <v>7.04311809027778</v>
      </c>
      <c r="BB411" s="15" t="n">
        <f aca="false">IF(47-Parametri_v3!$C$21&lt;1,0,INDEX($AU$365:$AU$424,MAX(1,47-Parametri_v3!$C$21)))*Parametri_v3!$C$18*Parametri_v3!$C$19*Parametri_v3!$C$20</f>
        <v>13.125</v>
      </c>
      <c r="BC411" s="17" t="n">
        <f aca="false">MAX(0,MIN(AY411,BA411,BB411,MAX(0,AZ411-(AV411-AW411))))</f>
        <v>7.04311809027778</v>
      </c>
      <c r="BD411" s="17" t="n">
        <f aca="false">AV411-AW411+BC411</f>
        <v>149.166843924263</v>
      </c>
      <c r="BE411" s="17" t="n">
        <f aca="false">(AV411+BD411)/2</f>
        <v>146.271958172587</v>
      </c>
      <c r="BF411" s="15" t="n">
        <f aca="false">BE411*INDEX(Ipotesi!$C$33:$G$33,1,F411)*H411/12</f>
        <v>73135.9790862937</v>
      </c>
      <c r="BG411" s="15" t="n">
        <f aca="false">BD411*INDEX(Ipotesi!$C$33:$G$33,1,F411)*H411</f>
        <v>895001.063545577</v>
      </c>
      <c r="BH411" s="15" t="n">
        <f aca="false">AM411*INDEX(Ipotesi!$C$37:$G$37,1,F411)</f>
        <v>9024.16666666667</v>
      </c>
      <c r="BI411" s="15" t="n">
        <f aca="false">AQ411+BF411+BH411</f>
        <v>146910.14575296</v>
      </c>
      <c r="BJ411" s="15" t="n">
        <f aca="false">INDEX(Ipotesi!$C$68:$G$68,1,F411)*Ipotesi!$C$69/12</f>
        <v>3000</v>
      </c>
      <c r="BK411" s="15" t="n">
        <f aca="false">INDEX(Ipotesi!$C$68:$G$68,1,F411)*(1-Ipotesi!$C$69)/12</f>
        <v>4500</v>
      </c>
      <c r="BL411" s="15" t="n">
        <f aca="false">(AQ411+BF411)*Ipotesi!$C$67</f>
        <v>4136.57937258881</v>
      </c>
      <c r="BM411" s="15" t="n">
        <f aca="false">AM411*Ipotesi!$C$67</f>
        <v>2707.25</v>
      </c>
      <c r="BN411" s="15" t="n">
        <f aca="false">INDEX(Ipotesi!$C$72:$G$72,1,F411)/12*Ipotesi!I126+BF411*Ipotesi!$C$73</f>
        <v>7100.8783269035</v>
      </c>
      <c r="BO411" s="15" t="n">
        <f aca="false">INDEX(Ipotesi!$C$74:$G$74,1,F411)/12*Ipotesi!I126</f>
        <v>4166.66666666667</v>
      </c>
      <c r="BP411" s="15" t="n">
        <f aca="false">INDEX(Ipotesi!$C$76:$G$76,1,F411)/12</f>
        <v>1500</v>
      </c>
      <c r="BQ411" s="15" t="n">
        <f aca="false">INDEX(Ipotesi!$C$77:$G$77,1,F411)/12*Ipotesi!I126</f>
        <v>2083.33333333333</v>
      </c>
      <c r="BR411" s="15" t="n">
        <f aca="false">INDEX(Ipotesi!$C$78:$G$78,1,F411)/12</f>
        <v>2000</v>
      </c>
      <c r="BS411" s="15" t="n">
        <f aca="false">SUM(M411:R411)*(Ipotesi!$C$85+Ipotesi!$C$86)/12</f>
        <v>6125</v>
      </c>
      <c r="BT411" s="15" t="n">
        <f aca="false">BI411*Ipotesi!$C$87</f>
        <v>4407.30437258881</v>
      </c>
      <c r="BU411" s="15" t="n">
        <f aca="false">INDEX(Ipotesi!$C$55:$G$55,1,F411)*K411/12</f>
        <v>2000</v>
      </c>
      <c r="BV411" s="15" t="n">
        <f aca="false">INDEX(Ipotesi!$C$80:$G$80,1,F411)/12*Ipotesi!I126</f>
        <v>1666.66666666667</v>
      </c>
      <c r="BW411" s="15" t="n">
        <f aca="false">INDEX(Ipotesi!$C$82:$G$82,1,F411)/12</f>
        <v>1250</v>
      </c>
      <c r="BX411" s="15" t="n">
        <f aca="false">INDEX(Ipotesi!$C$83:$G$83,1,F411)/12</f>
        <v>750</v>
      </c>
      <c r="BY411" s="15" t="n">
        <f aca="false">SUM(S411:U411)*(Ipotesi!$C$85+Ipotesi!$C$86)/12</f>
        <v>2479.16666666667</v>
      </c>
      <c r="BZ411" s="15" t="n">
        <f aca="false">AM411*Ipotesi!$C$87</f>
        <v>2707.25</v>
      </c>
      <c r="CA411" s="15" t="n">
        <f aca="false">AB411+BJ411+BL411+BN411+BO411+AR411+BP411+BQ411+BR411+BS411+BT411</f>
        <v>158909.512697081</v>
      </c>
      <c r="CB411" s="15" t="n">
        <f aca="false">AC411+BK411+BM411+BH411+BU411+BV411+AS411+BW411+BX411+BY411+BZ411</f>
        <v>62580.173375</v>
      </c>
      <c r="CC411" s="15" t="n">
        <f aca="false">BI411-CA411</f>
        <v>-11999.3669441208</v>
      </c>
      <c r="CD411" s="15" t="n">
        <f aca="false">AM411-CB411</f>
        <v>27661.4932916667</v>
      </c>
      <c r="CE411" s="15" t="n">
        <f aca="false">INDEX(Ipotesi!$C$79:$G$79,1,F411)/12</f>
        <v>3333.33333333333</v>
      </c>
      <c r="CF411" s="15" t="n">
        <f aca="false">INDEX(Ipotesi!$C$84:$G$84,1,F411)/12</f>
        <v>666.666666666667</v>
      </c>
      <c r="CG411" s="15" t="n">
        <f aca="false">Y411*MAX(0,Parametri_v3!$C$12-IF(P411=0,0,MIN(1,BE411/(P411*Parametri_v3!$C$22))))+W411*Parametri_v3!$C$13+X411*Parametri_v3!$C$14</f>
        <v>29764.428415081</v>
      </c>
      <c r="CH411" s="15" t="n">
        <f aca="false">AB411*Parametri_v3!$C$32</f>
        <v>4823.65419791667</v>
      </c>
      <c r="CI411" s="15" t="n">
        <f aca="false">AC411*Parametri_v3!$C$32</f>
        <v>1691.45033541667</v>
      </c>
      <c r="CJ411" s="15" t="n">
        <f aca="false">CA411-AB411</f>
        <v>62436.4287387478</v>
      </c>
      <c r="CK411" s="15" t="n">
        <f aca="false">CB411-AC411-BH411</f>
        <v>19727</v>
      </c>
      <c r="CL411" s="15" t="n">
        <f aca="false">BF411*Ipotesi!$C$73+INDEX(Ipotesi!$C$72:$G$72,1,F411)/12*Ipotesi!I126*Parametri_v3!$C$58+Z411*(1-Parametri_v3!$C$16)</f>
        <v>13247.4677019035</v>
      </c>
      <c r="CM411" s="16" t="n">
        <f aca="false">IF(BF411=0,0,1-CL411/BF411)</f>
        <v>0.818865244337911</v>
      </c>
    </row>
    <row r="412" customFormat="false" ht="18" hidden="false" customHeight="true" outlineLevel="0" collapsed="false">
      <c r="A412" s="68" t="n">
        <f aca="false">7</f>
        <v>7</v>
      </c>
      <c r="B412" s="68" t="n">
        <f aca="false">48</f>
        <v>48</v>
      </c>
      <c r="C412" s="18" t="n">
        <f aca="false">EDATE(Parametri_v3!$C$5,48-1)</f>
        <v>47818</v>
      </c>
      <c r="D412" s="68" t="n">
        <f aca="false">YEAR(C412)</f>
        <v>2030</v>
      </c>
      <c r="E412" s="68" t="n">
        <f aca="false">MONTH(C412)</f>
        <v>12</v>
      </c>
      <c r="F412" s="68" t="n">
        <f aca="false">INT((48-1)/12)+1</f>
        <v>4</v>
      </c>
      <c r="G412" s="15" t="n">
        <f aca="false">Ipotesi!I7</f>
        <v>1</v>
      </c>
      <c r="H412" s="15" t="n">
        <f aca="false">Ipotesi!I9</f>
        <v>1</v>
      </c>
      <c r="I412" s="15" t="n">
        <f aca="false">Ipotesi!I10</f>
        <v>1</v>
      </c>
      <c r="J412" s="15" t="n">
        <f aca="false">Ipotesi!I11</f>
        <v>1</v>
      </c>
      <c r="K412" s="15" t="n">
        <f aca="false">Ipotesi!I12</f>
        <v>1</v>
      </c>
      <c r="L412" s="15" t="n">
        <f aca="false">Ipotesi!I13</f>
        <v>90</v>
      </c>
      <c r="M412" s="17" t="n">
        <f aca="false">INDEX(Ipotesi!$C$40:$G$40,1,F412)</f>
        <v>1</v>
      </c>
      <c r="N412" s="17" t="n">
        <f aca="false">INDEX(Ipotesi!$C$41:$G$41,1,F412)</f>
        <v>1</v>
      </c>
      <c r="O412" s="17" t="n">
        <f aca="false">INDEX(Ipotesi!$C$42:$G$42,1,F412)*Ipotesi!I125</f>
        <v>6.5</v>
      </c>
      <c r="P412" s="17" t="n">
        <f aca="false">INDEX(Ipotesi!$C$43:$G$43,1,F412)*I412</f>
        <v>6</v>
      </c>
      <c r="Q412" s="17" t="n">
        <f aca="false">INDEX(Ipotesi!$C$44:$G$44,1,F412)*I412</f>
        <v>5</v>
      </c>
      <c r="R412" s="17" t="n">
        <f aca="false">INDEX(Ipotesi!$C$45:$G$45,1,F412)*I412</f>
        <v>1.5</v>
      </c>
      <c r="S412" s="17" t="n">
        <f aca="false">INDEX(Ipotesi!$C$52:$G$52,1,F412)*Ipotesi!I125</f>
        <v>7</v>
      </c>
      <c r="T412" s="17" t="n">
        <f aca="false">INDEX(Ipotesi!$C$53:$G$53,1,F412)*I412</f>
        <v>1</v>
      </c>
      <c r="U412" s="17" t="n">
        <f aca="false">INDEX(Ipotesi!$C$54:$G$54,1,F412)*I412</f>
        <v>0.5</v>
      </c>
      <c r="V412" s="15" t="n">
        <f aca="false">M412*INDEX(Ipotesi!$C$58:$G$58,1,F412)*K412/12</f>
        <v>7916.66666666667</v>
      </c>
      <c r="W412" s="15" t="n">
        <f aca="false">N412*Ipotesi!$C$59*(1+Ipotesi!$C$66)^(F412-1)/12</f>
        <v>6374.24083333333</v>
      </c>
      <c r="X412" s="15" t="n">
        <f aca="false">O412*Ipotesi!$C$60*(1+Ipotesi!$C$66)^(F412-1)/12</f>
        <v>29594.6895833333</v>
      </c>
      <c r="Y412" s="15" t="n">
        <f aca="false">P412*Ipotesi!$C$61*(1+Ipotesi!$C$66)^(F412-1)/12</f>
        <v>27318.175</v>
      </c>
      <c r="Z412" s="15" t="n">
        <f aca="false">Q412*Ipotesi!$C$62*(1+Ipotesi!$C$66)^(F412-1)/12</f>
        <v>20488.63125</v>
      </c>
      <c r="AA412" s="15" t="n">
        <f aca="false">R412*Ipotesi!$C$63*(1+Ipotesi!$C$66)^(F412-1)/12</f>
        <v>4780.680625</v>
      </c>
      <c r="AB412" s="15" t="n">
        <f aca="false">SUM(V412:AA412)</f>
        <v>96473.0839583333</v>
      </c>
      <c r="AC412" s="15" t="n">
        <f aca="false">(S412*Ipotesi!$C$64+T412*Ipotesi!$C$65+U412*Ipotesi!$C$63)*(1+Ipotesi!$C$66)^(F412-1)/12</f>
        <v>33829.0067083333</v>
      </c>
      <c r="AD412" s="15" t="n">
        <f aca="false">INDEX(Ipotesi!$C$48:$G$48,1,F412)*G412/12</f>
        <v>79.1666666666667</v>
      </c>
      <c r="AE412" s="15" t="n">
        <f aca="false">INDEX(Ipotesi!$C$50:$G$50,1,F412)*G412/12</f>
        <v>8.33333333333333</v>
      </c>
      <c r="AF412" s="15" t="n">
        <f aca="false">(S412*Parametri_v3!$C$7*Parametri_v3!$C$8+Parametri_v3!$C$10)/12</f>
        <v>89.8333333333333</v>
      </c>
      <c r="AG412" s="15" t="n">
        <f aca="false">AD412+AE412*(1+Parametri_v3!$C$9)</f>
        <v>91.6666666666667</v>
      </c>
      <c r="AH412" s="16" t="n">
        <f aca="false">IF(AG412=0,1,MIN(1,AF412/AG412))</f>
        <v>0.98</v>
      </c>
      <c r="AI412" s="15" t="n">
        <f aca="false">AD412*AH412</f>
        <v>77.5833333333333</v>
      </c>
      <c r="AJ412" s="15" t="n">
        <f aca="false">AE412*AH412</f>
        <v>8.16666666666667</v>
      </c>
      <c r="AK412" s="15" t="n">
        <f aca="false">AI412*INDEX(Ipotesi!$C$49:$G$49,1,F412)*H412</f>
        <v>69825</v>
      </c>
      <c r="AL412" s="15" t="n">
        <f aca="false">AJ412*INDEX(Ipotesi!$C$51:$G$51,1,F412)*H412</f>
        <v>20416.6666666667</v>
      </c>
      <c r="AM412" s="15" t="n">
        <f aca="false">AK412+AL412</f>
        <v>90241.6666666667</v>
      </c>
      <c r="AN412" s="15" t="n">
        <f aca="false">INDEX(Ipotesi!$C$30:$G$30,1,F412)*G412/12</f>
        <v>61.6666666666667</v>
      </c>
      <c r="AO412" s="15" t="n">
        <f aca="false">O412*Parametri_v3!$C$7*Parametri_v3!$C$11*(1-Parametri_v3!$C$14)/12</f>
        <v>66.7333333333333</v>
      </c>
      <c r="AP412" s="15" t="n">
        <f aca="false">MIN(AN412,AO412)</f>
        <v>61.6666666666667</v>
      </c>
      <c r="AQ412" s="15" t="n">
        <f aca="false">AP412*INDEX(Ipotesi!$C$31:$G$31,1,F412)*H412</f>
        <v>64750</v>
      </c>
      <c r="AR412" s="15" t="n">
        <f aca="false">INDEX(Ipotesi!$C$75:$G$75,1,F412)*J412/12</f>
        <v>27916.6666666667</v>
      </c>
      <c r="AS412" s="15" t="n">
        <f aca="false">INDEX(Ipotesi!$C$81:$G$81,1,F412)*J412/12</f>
        <v>1666.66666666667</v>
      </c>
      <c r="AT412" s="15" t="n">
        <f aca="false">AR412*Parametri_v3!$C$15+Z412*Parametri_v3!$C$16</f>
        <v>42258.7085416667</v>
      </c>
      <c r="AU412" s="15" t="n">
        <f aca="false">Q412*Parametri_v3!$C$16*Parametri_v3!$C$17</f>
        <v>350</v>
      </c>
      <c r="AV412" s="17" t="n">
        <f aca="false">BD411</f>
        <v>149.166843924263</v>
      </c>
      <c r="AW412" s="17" t="n">
        <f aca="false">AV412*(1-(1-INDEX(Ipotesi!$C$34:$G$34,1,F412))^(1/12))</f>
        <v>1.30395851692587</v>
      </c>
      <c r="AX412" s="15" t="n">
        <f aca="false">ROUND(INDEX(Ipotesi!$C$32:$G$32,1,F412)*Ipotesi!I8,0)</f>
        <v>310</v>
      </c>
      <c r="AY412" s="15" t="n">
        <f aca="false">MAX(0,(AX412-(AV412-AW412))/(13-E412))</f>
        <v>162.137114592663</v>
      </c>
      <c r="AZ412" s="15" t="n">
        <f aca="false">MIN(P412*Parametri_v3!$C$22,Q412*(1-Parametri_v3!$C$16)*Parametri_v3!$C$23)</f>
        <v>225</v>
      </c>
      <c r="BA412" s="15" t="n">
        <f aca="false">IF(OR(INDEX(Ipotesi!$C$35:$G$35,1,F412)&lt;=0,48-Parametri_v3!$C$21&lt;1),0,INDEX($AT$365:$AT$424,MAX(1,48-Parametri_v3!$C$21))/(INDEX(Ipotesi!$C$35:$G$35,1,F412)*Ipotesi!I27))</f>
        <v>7.04311809027778</v>
      </c>
      <c r="BB412" s="15" t="n">
        <f aca="false">IF(48-Parametri_v3!$C$21&lt;1,0,INDEX($AU$365:$AU$424,MAX(1,48-Parametri_v3!$C$21)))*Parametri_v3!$C$18*Parametri_v3!$C$19*Parametri_v3!$C$20</f>
        <v>13.125</v>
      </c>
      <c r="BC412" s="17" t="n">
        <f aca="false">MAX(0,MIN(AY412,BA412,BB412,MAX(0,AZ412-(AV412-AW412))))</f>
        <v>7.04311809027778</v>
      </c>
      <c r="BD412" s="17" t="n">
        <f aca="false">AV412-AW412+BC412</f>
        <v>154.906003497615</v>
      </c>
      <c r="BE412" s="17" t="n">
        <f aca="false">(AV412+BD412)/2</f>
        <v>152.036423710939</v>
      </c>
      <c r="BF412" s="15" t="n">
        <f aca="false">BE412*INDEX(Ipotesi!$C$33:$G$33,1,F412)*H412/12</f>
        <v>76018.2118554694</v>
      </c>
      <c r="BG412" s="15" t="n">
        <f aca="false">BD412*INDEX(Ipotesi!$C$33:$G$33,1,F412)*H412</f>
        <v>929436.020985689</v>
      </c>
      <c r="BH412" s="15" t="n">
        <f aca="false">AM412*INDEX(Ipotesi!$C$37:$G$37,1,F412)</f>
        <v>9024.16666666667</v>
      </c>
      <c r="BI412" s="15" t="n">
        <f aca="false">AQ412+BF412+BH412</f>
        <v>149792.378522136</v>
      </c>
      <c r="BJ412" s="15" t="n">
        <f aca="false">INDEX(Ipotesi!$C$68:$G$68,1,F412)*Ipotesi!$C$69/12</f>
        <v>3000</v>
      </c>
      <c r="BK412" s="15" t="n">
        <f aca="false">INDEX(Ipotesi!$C$68:$G$68,1,F412)*(1-Ipotesi!$C$69)/12</f>
        <v>4500</v>
      </c>
      <c r="BL412" s="15" t="n">
        <f aca="false">(AQ412+BF412)*Ipotesi!$C$67</f>
        <v>4223.04635566408</v>
      </c>
      <c r="BM412" s="15" t="n">
        <f aca="false">AM412*Ipotesi!$C$67</f>
        <v>2707.25</v>
      </c>
      <c r="BN412" s="15" t="n">
        <f aca="false">INDEX(Ipotesi!$C$72:$G$72,1,F412)/12*Ipotesi!I126+BF412*Ipotesi!$C$73</f>
        <v>7331.45694843755</v>
      </c>
      <c r="BO412" s="15" t="n">
        <f aca="false">INDEX(Ipotesi!$C$74:$G$74,1,F412)/12*Ipotesi!I126</f>
        <v>4166.66666666667</v>
      </c>
      <c r="BP412" s="15" t="n">
        <f aca="false">INDEX(Ipotesi!$C$76:$G$76,1,F412)/12</f>
        <v>1500</v>
      </c>
      <c r="BQ412" s="15" t="n">
        <f aca="false">INDEX(Ipotesi!$C$77:$G$77,1,F412)/12*Ipotesi!I126</f>
        <v>2083.33333333333</v>
      </c>
      <c r="BR412" s="15" t="n">
        <f aca="false">INDEX(Ipotesi!$C$78:$G$78,1,F412)/12</f>
        <v>2000</v>
      </c>
      <c r="BS412" s="15" t="n">
        <f aca="false">SUM(M412:R412)*(Ipotesi!$C$85+Ipotesi!$C$86)/12</f>
        <v>6125</v>
      </c>
      <c r="BT412" s="15" t="n">
        <f aca="false">BI412*Ipotesi!$C$87</f>
        <v>4493.77135566408</v>
      </c>
      <c r="BU412" s="15" t="n">
        <f aca="false">INDEX(Ipotesi!$C$55:$G$55,1,F412)*K412/12</f>
        <v>2000</v>
      </c>
      <c r="BV412" s="15" t="n">
        <f aca="false">INDEX(Ipotesi!$C$80:$G$80,1,F412)/12*Ipotesi!I126</f>
        <v>1666.66666666667</v>
      </c>
      <c r="BW412" s="15" t="n">
        <f aca="false">INDEX(Ipotesi!$C$82:$G$82,1,F412)/12</f>
        <v>1250</v>
      </c>
      <c r="BX412" s="15" t="n">
        <f aca="false">INDEX(Ipotesi!$C$83:$G$83,1,F412)/12</f>
        <v>750</v>
      </c>
      <c r="BY412" s="15" t="n">
        <f aca="false">SUM(S412:U412)*(Ipotesi!$C$85+Ipotesi!$C$86)/12</f>
        <v>2479.16666666667</v>
      </c>
      <c r="BZ412" s="15" t="n">
        <f aca="false">AM412*Ipotesi!$C$87</f>
        <v>2707.25</v>
      </c>
      <c r="CA412" s="15" t="n">
        <f aca="false">AB412+BJ412+BL412+BN412+BO412+AR412+BP412+BQ412+BR412+BS412+BT412</f>
        <v>159313.025284766</v>
      </c>
      <c r="CB412" s="15" t="n">
        <f aca="false">AC412+BK412+BM412+BH412+BU412+BV412+AS412+BW412+BX412+BY412+BZ412</f>
        <v>62580.173375</v>
      </c>
      <c r="CC412" s="15" t="n">
        <f aca="false">BI412-CA412</f>
        <v>-9520.64676262965</v>
      </c>
      <c r="CD412" s="15" t="n">
        <f aca="false">AM412-CB412</f>
        <v>27661.4932916667</v>
      </c>
      <c r="CE412" s="15" t="n">
        <f aca="false">INDEX(Ipotesi!$C$79:$G$79,1,F412)/12</f>
        <v>3333.33333333333</v>
      </c>
      <c r="CF412" s="15" t="n">
        <f aca="false">INDEX(Ipotesi!$C$84:$G$84,1,F412)/12</f>
        <v>666.666666666667</v>
      </c>
      <c r="CG412" s="15" t="n">
        <f aca="false">Y412*MAX(0,Parametri_v3!$C$12-IF(P412=0,0,MIN(1,BE412/(P412*Parametri_v3!$C$22))))+W412*Parametri_v3!$C$13+X412*Parametri_v3!$C$14</f>
        <v>29501.9706178174</v>
      </c>
      <c r="CH412" s="15" t="n">
        <f aca="false">AB412*Parametri_v3!$C$32</f>
        <v>4823.65419791667</v>
      </c>
      <c r="CI412" s="15" t="n">
        <f aca="false">AC412*Parametri_v3!$C$32</f>
        <v>1691.45033541667</v>
      </c>
      <c r="CJ412" s="15" t="n">
        <f aca="false">CA412-AB412</f>
        <v>62839.9413264324</v>
      </c>
      <c r="CK412" s="15" t="n">
        <f aca="false">CB412-AC412-BH412</f>
        <v>19727</v>
      </c>
      <c r="CL412" s="15" t="n">
        <f aca="false">BF412*Ipotesi!$C$73+INDEX(Ipotesi!$C$72:$G$72,1,F412)/12*Ipotesi!I126*Parametri_v3!$C$58+Z412*(1-Parametri_v3!$C$16)</f>
        <v>13478.0463234376</v>
      </c>
      <c r="CM412" s="16" t="n">
        <f aca="false">IF(BF412=0,0,1-CL412/BF412)</f>
        <v>0.822699771614428</v>
      </c>
    </row>
    <row r="413" customFormat="false" ht="18" hidden="false" customHeight="true" outlineLevel="0" collapsed="false">
      <c r="A413" s="68" t="n">
        <f aca="false">7</f>
        <v>7</v>
      </c>
      <c r="B413" s="68" t="n">
        <f aca="false">49</f>
        <v>49</v>
      </c>
      <c r="C413" s="18" t="n">
        <f aca="false">EDATE(Parametri_v3!$C$5,49-1)</f>
        <v>47849</v>
      </c>
      <c r="D413" s="68" t="n">
        <f aca="false">YEAR(C413)</f>
        <v>2031</v>
      </c>
      <c r="E413" s="68" t="n">
        <f aca="false">MONTH(C413)</f>
        <v>1</v>
      </c>
      <c r="F413" s="68" t="n">
        <f aca="false">INT((49-1)/12)+1</f>
        <v>5</v>
      </c>
      <c r="G413" s="15" t="n">
        <f aca="false">Ipotesi!I7</f>
        <v>1</v>
      </c>
      <c r="H413" s="15" t="n">
        <f aca="false">Ipotesi!I9</f>
        <v>1</v>
      </c>
      <c r="I413" s="15" t="n">
        <f aca="false">Ipotesi!I10</f>
        <v>1</v>
      </c>
      <c r="J413" s="15" t="n">
        <f aca="false">Ipotesi!I11</f>
        <v>1</v>
      </c>
      <c r="K413" s="15" t="n">
        <f aca="false">Ipotesi!I12</f>
        <v>1</v>
      </c>
      <c r="L413" s="15" t="n">
        <f aca="false">Ipotesi!I13</f>
        <v>90</v>
      </c>
      <c r="M413" s="17" t="n">
        <f aca="false">INDEX(Ipotesi!$C$40:$G$40,1,F413)</f>
        <v>1</v>
      </c>
      <c r="N413" s="17" t="n">
        <f aca="false">INDEX(Ipotesi!$C$41:$G$41,1,F413)</f>
        <v>1</v>
      </c>
      <c r="O413" s="17" t="n">
        <f aca="false">INDEX(Ipotesi!$C$42:$G$42,1,F413)*Ipotesi!I125</f>
        <v>8.5</v>
      </c>
      <c r="P413" s="17" t="n">
        <f aca="false">INDEX(Ipotesi!$C$43:$G$43,1,F413)*I413</f>
        <v>7</v>
      </c>
      <c r="Q413" s="17" t="n">
        <f aca="false">INDEX(Ipotesi!$C$44:$G$44,1,F413)*I413</f>
        <v>6</v>
      </c>
      <c r="R413" s="17" t="n">
        <f aca="false">INDEX(Ipotesi!$C$45:$G$45,1,F413)*I413</f>
        <v>2</v>
      </c>
      <c r="S413" s="17" t="n">
        <f aca="false">INDEX(Ipotesi!$C$52:$G$52,1,F413)*Ipotesi!I125</f>
        <v>9</v>
      </c>
      <c r="T413" s="17" t="n">
        <f aca="false">INDEX(Ipotesi!$C$53:$G$53,1,F413)*I413</f>
        <v>1</v>
      </c>
      <c r="U413" s="17" t="n">
        <f aca="false">INDEX(Ipotesi!$C$54:$G$54,1,F413)*I413</f>
        <v>1</v>
      </c>
      <c r="V413" s="15" t="n">
        <f aca="false">M413*INDEX(Ipotesi!$C$58:$G$58,1,F413)*K413/12</f>
        <v>8333.33333333333</v>
      </c>
      <c r="W413" s="15" t="n">
        <f aca="false">N413*Ipotesi!$C$59*(1+Ipotesi!$C$66)^(F413-1)/12</f>
        <v>6565.46805833334</v>
      </c>
      <c r="X413" s="15" t="n">
        <f aca="false">O413*Ipotesi!$C$60*(1+Ipotesi!$C$66)^(F413-1)/12</f>
        <v>39861.7703541667</v>
      </c>
      <c r="Y413" s="15" t="n">
        <f aca="false">P413*Ipotesi!$C$61*(1+Ipotesi!$C$66)^(F413-1)/12</f>
        <v>32827.3402916667</v>
      </c>
      <c r="Z413" s="15" t="n">
        <f aca="false">Q413*Ipotesi!$C$62*(1+Ipotesi!$C$66)^(F413-1)/12</f>
        <v>25323.948225</v>
      </c>
      <c r="AA413" s="15" t="n">
        <f aca="false">R413*Ipotesi!$C$63*(1+Ipotesi!$C$66)^(F413-1)/12</f>
        <v>6565.46805833334</v>
      </c>
      <c r="AB413" s="15" t="n">
        <f aca="false">SUM(V413:AA413)</f>
        <v>119477.328320833</v>
      </c>
      <c r="AC413" s="15" t="n">
        <f aca="false">(S413*Ipotesi!$C$64+T413*Ipotesi!$C$65+U413*Ipotesi!$C$63)*(1+Ipotesi!$C$66)^(F413-1)/12</f>
        <v>44363.8055941667</v>
      </c>
      <c r="AD413" s="15" t="n">
        <f aca="false">INDEX(Ipotesi!$C$48:$G$48,1,F413)*G413/12</f>
        <v>95.8333333333333</v>
      </c>
      <c r="AE413" s="15" t="n">
        <f aca="false">INDEX(Ipotesi!$C$50:$G$50,1,F413)*G413/12</f>
        <v>9.58333333333333</v>
      </c>
      <c r="AF413" s="15" t="n">
        <f aca="false">(S413*Parametri_v3!$C$7*Parametri_v3!$C$8+Parametri_v3!$C$10)/12</f>
        <v>115.5</v>
      </c>
      <c r="AG413" s="15" t="n">
        <f aca="false">AD413+AE413*(1+Parametri_v3!$C$9)</f>
        <v>110.208333333333</v>
      </c>
      <c r="AH413" s="16" t="n">
        <f aca="false">IF(AG413=0,1,MIN(1,AF413/AG413))</f>
        <v>1</v>
      </c>
      <c r="AI413" s="15" t="n">
        <f aca="false">AD413*AH413</f>
        <v>95.8333333333333</v>
      </c>
      <c r="AJ413" s="15" t="n">
        <f aca="false">AE413*AH413</f>
        <v>9.58333333333333</v>
      </c>
      <c r="AK413" s="15" t="n">
        <f aca="false">AI413*INDEX(Ipotesi!$C$49:$G$49,1,F413)*H413</f>
        <v>91041.6666666667</v>
      </c>
      <c r="AL413" s="15" t="n">
        <f aca="false">AJ413*INDEX(Ipotesi!$C$51:$G$51,1,F413)*H413</f>
        <v>24916.6666666667</v>
      </c>
      <c r="AM413" s="15" t="n">
        <f aca="false">AK413+AL413</f>
        <v>115958.333333333</v>
      </c>
      <c r="AN413" s="15" t="n">
        <f aca="false">INDEX(Ipotesi!$C$30:$G$30,1,F413)*G413/12</f>
        <v>81.6666666666667</v>
      </c>
      <c r="AO413" s="15" t="n">
        <f aca="false">O413*Parametri_v3!$C$7*Parametri_v3!$C$11*(1-Parametri_v3!$C$14)/12</f>
        <v>87.2666666666667</v>
      </c>
      <c r="AP413" s="15" t="n">
        <f aca="false">MIN(AN413,AO413)</f>
        <v>81.6666666666667</v>
      </c>
      <c r="AQ413" s="15" t="n">
        <f aca="false">AP413*INDEX(Ipotesi!$C$31:$G$31,1,F413)*H413</f>
        <v>89833.3333333333</v>
      </c>
      <c r="AR413" s="15" t="n">
        <f aca="false">INDEX(Ipotesi!$C$75:$G$75,1,F413)*J413/12</f>
        <v>35833.3333333333</v>
      </c>
      <c r="AS413" s="15" t="n">
        <f aca="false">INDEX(Ipotesi!$C$81:$G$81,1,F413)*J413/12</f>
        <v>2083.33333333333</v>
      </c>
      <c r="AT413" s="15" t="n">
        <f aca="false">AR413*Parametri_v3!$C$15+Z413*Parametri_v3!$C$16</f>
        <v>53560.0970908333</v>
      </c>
      <c r="AU413" s="15" t="n">
        <f aca="false">Q413*Parametri_v3!$C$16*Parametri_v3!$C$17</f>
        <v>420</v>
      </c>
      <c r="AV413" s="17" t="n">
        <f aca="false">BD412</f>
        <v>154.906003497615</v>
      </c>
      <c r="AW413" s="17" t="n">
        <f aca="false">AV413*(1-(1-INDEX(Ipotesi!$C$34:$G$34,1,F413))^(1/12))</f>
        <v>1.35412801712304</v>
      </c>
      <c r="AX413" s="15" t="n">
        <f aca="false">ROUND(INDEX(Ipotesi!$C$32:$G$32,1,F413)*Ipotesi!I8,0)</f>
        <v>560</v>
      </c>
      <c r="AY413" s="15" t="n">
        <f aca="false">MAX(0,(AX413-(AV413-AW413))/(13-E413))</f>
        <v>33.8706770432924</v>
      </c>
      <c r="AZ413" s="15" t="n">
        <f aca="false">MIN(P413*Parametri_v3!$C$22,Q413*(1-Parametri_v3!$C$16)*Parametri_v3!$C$23)</f>
        <v>270</v>
      </c>
      <c r="BA413" s="15" t="n">
        <f aca="false">IF(OR(INDEX(Ipotesi!$C$35:$G$35,1,F413)&lt;=0,49-Parametri_v3!$C$21&lt;1),0,INDEX($AT$365:$AT$424,MAX(1,49-Parametri_v3!$C$21))/(INDEX(Ipotesi!$C$35:$G$35,1,F413)*Ipotesi!I27))</f>
        <v>6.50133977564103</v>
      </c>
      <c r="BB413" s="15" t="n">
        <f aca="false">IF(49-Parametri_v3!$C$21&lt;1,0,INDEX($AU$365:$AU$424,MAX(1,49-Parametri_v3!$C$21)))*Parametri_v3!$C$18*Parametri_v3!$C$19*Parametri_v3!$C$20</f>
        <v>13.125</v>
      </c>
      <c r="BC413" s="17" t="n">
        <f aca="false">MAX(0,MIN(AY413,BA413,BB413,MAX(0,AZ413-(AV413-AW413))))</f>
        <v>6.50133977564103</v>
      </c>
      <c r="BD413" s="17" t="n">
        <f aca="false">AV413-AW413+BC413</f>
        <v>160.053215256133</v>
      </c>
      <c r="BE413" s="17" t="n">
        <f aca="false">(AV413+BD413)/2</f>
        <v>157.479609376874</v>
      </c>
      <c r="BF413" s="15" t="n">
        <f aca="false">BE413*INDEX(Ipotesi!$C$33:$G$33,1,F413)*H413/12</f>
        <v>81364.4648447181</v>
      </c>
      <c r="BG413" s="15" t="n">
        <f aca="false">BD413*INDEX(Ipotesi!$C$33:$G$33,1,F413)*H413</f>
        <v>992329.934588023</v>
      </c>
      <c r="BH413" s="15" t="n">
        <f aca="false">AM413*INDEX(Ipotesi!$C$37:$G$37,1,F413)</f>
        <v>11595.8333333333</v>
      </c>
      <c r="BI413" s="15" t="n">
        <f aca="false">AQ413+BF413+BH413</f>
        <v>182793.631511385</v>
      </c>
      <c r="BJ413" s="15" t="n">
        <f aca="false">INDEX(Ipotesi!$C$68:$G$68,1,F413)*Ipotesi!$C$69/12</f>
        <v>3333.33333333333</v>
      </c>
      <c r="BK413" s="15" t="n">
        <f aca="false">INDEX(Ipotesi!$C$68:$G$68,1,F413)*(1-Ipotesi!$C$69)/12</f>
        <v>5000</v>
      </c>
      <c r="BL413" s="15" t="n">
        <f aca="false">(AQ413+BF413)*Ipotesi!$C$67</f>
        <v>5135.93394534154</v>
      </c>
      <c r="BM413" s="15" t="n">
        <f aca="false">AM413*Ipotesi!$C$67</f>
        <v>3478.75</v>
      </c>
      <c r="BN413" s="15" t="n">
        <f aca="false">INDEX(Ipotesi!$C$72:$G$72,1,F413)/12*Ipotesi!I126+BF413*Ipotesi!$C$73</f>
        <v>7759.15718757745</v>
      </c>
      <c r="BO413" s="15" t="n">
        <f aca="false">INDEX(Ipotesi!$C$74:$G$74,1,F413)/12*Ipotesi!I126</f>
        <v>5416.66666666667</v>
      </c>
      <c r="BP413" s="15" t="n">
        <f aca="false">INDEX(Ipotesi!$C$76:$G$76,1,F413)/12</f>
        <v>1916.66666666667</v>
      </c>
      <c r="BQ413" s="15" t="n">
        <f aca="false">INDEX(Ipotesi!$C$77:$G$77,1,F413)/12*Ipotesi!I126</f>
        <v>2500</v>
      </c>
      <c r="BR413" s="15" t="n">
        <f aca="false">INDEX(Ipotesi!$C$78:$G$78,1,F413)/12</f>
        <v>2333.33333333333</v>
      </c>
      <c r="BS413" s="15" t="n">
        <f aca="false">SUM(M413:R413)*(Ipotesi!$C$85+Ipotesi!$C$86)/12</f>
        <v>7437.5</v>
      </c>
      <c r="BT413" s="15" t="n">
        <f aca="false">BI413*Ipotesi!$C$87</f>
        <v>5483.80894534154</v>
      </c>
      <c r="BU413" s="15" t="n">
        <f aca="false">INDEX(Ipotesi!$C$55:$G$55,1,F413)*K413/12</f>
        <v>2000</v>
      </c>
      <c r="BV413" s="15" t="n">
        <f aca="false">INDEX(Ipotesi!$C$80:$G$80,1,F413)/12*Ipotesi!I126</f>
        <v>2083.33333333333</v>
      </c>
      <c r="BW413" s="15" t="n">
        <f aca="false">INDEX(Ipotesi!$C$82:$G$82,1,F413)/12</f>
        <v>1500</v>
      </c>
      <c r="BX413" s="15" t="n">
        <f aca="false">INDEX(Ipotesi!$C$83:$G$83,1,F413)/12</f>
        <v>833.333333333333</v>
      </c>
      <c r="BY413" s="15" t="n">
        <f aca="false">SUM(S413:U413)*(Ipotesi!$C$85+Ipotesi!$C$86)/12</f>
        <v>3208.33333333333</v>
      </c>
      <c r="BZ413" s="15" t="n">
        <f aca="false">AM413*Ipotesi!$C$87</f>
        <v>3478.75</v>
      </c>
      <c r="CA413" s="15" t="n">
        <f aca="false">AB413+BJ413+BL413+BN413+BO413+AR413+BP413+BQ413+BR413+BS413+BT413</f>
        <v>196627.061732427</v>
      </c>
      <c r="CB413" s="15" t="n">
        <f aca="false">AC413+BK413+BM413+BH413+BU413+BV413+AS413+BW413+BX413+BY413+BZ413</f>
        <v>79625.4722608333</v>
      </c>
      <c r="CC413" s="15" t="n">
        <f aca="false">BI413-CA413</f>
        <v>-13833.4302210424</v>
      </c>
      <c r="CD413" s="15" t="n">
        <f aca="false">AM413-CB413</f>
        <v>36332.8610725</v>
      </c>
      <c r="CE413" s="15" t="n">
        <f aca="false">INDEX(Ipotesi!$C$79:$G$79,1,F413)/12</f>
        <v>4166.66666666667</v>
      </c>
      <c r="CF413" s="15" t="n">
        <f aca="false">INDEX(Ipotesi!$C$84:$G$84,1,F413)/12</f>
        <v>666.666666666667</v>
      </c>
      <c r="CG413" s="15" t="n">
        <f aca="false">Y413*MAX(0,Parametri_v3!$C$12-IF(P413=0,0,MIN(1,BE413/(P413*Parametri_v3!$C$22))))+W413*Parametri_v3!$C$13+X413*Parametri_v3!$C$14</f>
        <v>36697.2330687904</v>
      </c>
      <c r="CH413" s="15" t="n">
        <f aca="false">AB413*Parametri_v3!$C$32</f>
        <v>5973.86641604167</v>
      </c>
      <c r="CI413" s="15" t="n">
        <f aca="false">AC413*Parametri_v3!$C$32</f>
        <v>2218.19027970833</v>
      </c>
      <c r="CJ413" s="15" t="n">
        <f aca="false">CA413-AB413</f>
        <v>77149.7334115939</v>
      </c>
      <c r="CK413" s="15" t="n">
        <f aca="false">CB413-AC413-BH413</f>
        <v>23665.8333333333</v>
      </c>
      <c r="CL413" s="15" t="n">
        <f aca="false">BF413*Ipotesi!$C$73+INDEX(Ipotesi!$C$72:$G$72,1,F413)/12*Ipotesi!I126*Parametri_v3!$C$58+Z413*(1-Parametri_v3!$C$16)</f>
        <v>15356.3416550775</v>
      </c>
      <c r="CM413" s="16" t="n">
        <f aca="false">IF(BF413=0,0,1-CL413/BF413)</f>
        <v>0.811264761780409</v>
      </c>
    </row>
    <row r="414" customFormat="false" ht="18" hidden="false" customHeight="true" outlineLevel="0" collapsed="false">
      <c r="A414" s="68" t="n">
        <f aca="false">7</f>
        <v>7</v>
      </c>
      <c r="B414" s="68" t="n">
        <f aca="false">50</f>
        <v>50</v>
      </c>
      <c r="C414" s="18" t="n">
        <f aca="false">EDATE(Parametri_v3!$C$5,50-1)</f>
        <v>47880</v>
      </c>
      <c r="D414" s="68" t="n">
        <f aca="false">YEAR(C414)</f>
        <v>2031</v>
      </c>
      <c r="E414" s="68" t="n">
        <f aca="false">MONTH(C414)</f>
        <v>2</v>
      </c>
      <c r="F414" s="68" t="n">
        <f aca="false">INT((50-1)/12)+1</f>
        <v>5</v>
      </c>
      <c r="G414" s="15" t="n">
        <f aca="false">Ipotesi!I7</f>
        <v>1</v>
      </c>
      <c r="H414" s="15" t="n">
        <f aca="false">Ipotesi!I9</f>
        <v>1</v>
      </c>
      <c r="I414" s="15" t="n">
        <f aca="false">Ipotesi!I10</f>
        <v>1</v>
      </c>
      <c r="J414" s="15" t="n">
        <f aca="false">Ipotesi!I11</f>
        <v>1</v>
      </c>
      <c r="K414" s="15" t="n">
        <f aca="false">Ipotesi!I12</f>
        <v>1</v>
      </c>
      <c r="L414" s="15" t="n">
        <f aca="false">Ipotesi!I13</f>
        <v>90</v>
      </c>
      <c r="M414" s="17" t="n">
        <f aca="false">INDEX(Ipotesi!$C$40:$G$40,1,F414)</f>
        <v>1</v>
      </c>
      <c r="N414" s="17" t="n">
        <f aca="false">INDEX(Ipotesi!$C$41:$G$41,1,F414)</f>
        <v>1</v>
      </c>
      <c r="O414" s="17" t="n">
        <f aca="false">INDEX(Ipotesi!$C$42:$G$42,1,F414)*Ipotesi!I125</f>
        <v>8.5</v>
      </c>
      <c r="P414" s="17" t="n">
        <f aca="false">INDEX(Ipotesi!$C$43:$G$43,1,F414)*I414</f>
        <v>7</v>
      </c>
      <c r="Q414" s="17" t="n">
        <f aca="false">INDEX(Ipotesi!$C$44:$G$44,1,F414)*I414</f>
        <v>6</v>
      </c>
      <c r="R414" s="17" t="n">
        <f aca="false">INDEX(Ipotesi!$C$45:$G$45,1,F414)*I414</f>
        <v>2</v>
      </c>
      <c r="S414" s="17" t="n">
        <f aca="false">INDEX(Ipotesi!$C$52:$G$52,1,F414)*Ipotesi!I125</f>
        <v>9</v>
      </c>
      <c r="T414" s="17" t="n">
        <f aca="false">INDEX(Ipotesi!$C$53:$G$53,1,F414)*I414</f>
        <v>1</v>
      </c>
      <c r="U414" s="17" t="n">
        <f aca="false">INDEX(Ipotesi!$C$54:$G$54,1,F414)*I414</f>
        <v>1</v>
      </c>
      <c r="V414" s="15" t="n">
        <f aca="false">M414*INDEX(Ipotesi!$C$58:$G$58,1,F414)*K414/12</f>
        <v>8333.33333333333</v>
      </c>
      <c r="W414" s="15" t="n">
        <f aca="false">N414*Ipotesi!$C$59*(1+Ipotesi!$C$66)^(F414-1)/12</f>
        <v>6565.46805833334</v>
      </c>
      <c r="X414" s="15" t="n">
        <f aca="false">O414*Ipotesi!$C$60*(1+Ipotesi!$C$66)^(F414-1)/12</f>
        <v>39861.7703541667</v>
      </c>
      <c r="Y414" s="15" t="n">
        <f aca="false">P414*Ipotesi!$C$61*(1+Ipotesi!$C$66)^(F414-1)/12</f>
        <v>32827.3402916667</v>
      </c>
      <c r="Z414" s="15" t="n">
        <f aca="false">Q414*Ipotesi!$C$62*(1+Ipotesi!$C$66)^(F414-1)/12</f>
        <v>25323.948225</v>
      </c>
      <c r="AA414" s="15" t="n">
        <f aca="false">R414*Ipotesi!$C$63*(1+Ipotesi!$C$66)^(F414-1)/12</f>
        <v>6565.46805833334</v>
      </c>
      <c r="AB414" s="15" t="n">
        <f aca="false">SUM(V414:AA414)</f>
        <v>119477.328320833</v>
      </c>
      <c r="AC414" s="15" t="n">
        <f aca="false">(S414*Ipotesi!$C$64+T414*Ipotesi!$C$65+U414*Ipotesi!$C$63)*(1+Ipotesi!$C$66)^(F414-1)/12</f>
        <v>44363.8055941667</v>
      </c>
      <c r="AD414" s="15" t="n">
        <f aca="false">INDEX(Ipotesi!$C$48:$G$48,1,F414)*G414/12</f>
        <v>95.8333333333333</v>
      </c>
      <c r="AE414" s="15" t="n">
        <f aca="false">INDEX(Ipotesi!$C$50:$G$50,1,F414)*G414/12</f>
        <v>9.58333333333333</v>
      </c>
      <c r="AF414" s="15" t="n">
        <f aca="false">(S414*Parametri_v3!$C$7*Parametri_v3!$C$8+Parametri_v3!$C$10)/12</f>
        <v>115.5</v>
      </c>
      <c r="AG414" s="15" t="n">
        <f aca="false">AD414+AE414*(1+Parametri_v3!$C$9)</f>
        <v>110.208333333333</v>
      </c>
      <c r="AH414" s="16" t="n">
        <f aca="false">IF(AG414=0,1,MIN(1,AF414/AG414))</f>
        <v>1</v>
      </c>
      <c r="AI414" s="15" t="n">
        <f aca="false">AD414*AH414</f>
        <v>95.8333333333333</v>
      </c>
      <c r="AJ414" s="15" t="n">
        <f aca="false">AE414*AH414</f>
        <v>9.58333333333333</v>
      </c>
      <c r="AK414" s="15" t="n">
        <f aca="false">AI414*INDEX(Ipotesi!$C$49:$G$49,1,F414)*H414</f>
        <v>91041.6666666667</v>
      </c>
      <c r="AL414" s="15" t="n">
        <f aca="false">AJ414*INDEX(Ipotesi!$C$51:$G$51,1,F414)*H414</f>
        <v>24916.6666666667</v>
      </c>
      <c r="AM414" s="15" t="n">
        <f aca="false">AK414+AL414</f>
        <v>115958.333333333</v>
      </c>
      <c r="AN414" s="15" t="n">
        <f aca="false">INDEX(Ipotesi!$C$30:$G$30,1,F414)*G414/12</f>
        <v>81.6666666666667</v>
      </c>
      <c r="AO414" s="15" t="n">
        <f aca="false">O414*Parametri_v3!$C$7*Parametri_v3!$C$11*(1-Parametri_v3!$C$14)/12</f>
        <v>87.2666666666667</v>
      </c>
      <c r="AP414" s="15" t="n">
        <f aca="false">MIN(AN414,AO414)</f>
        <v>81.6666666666667</v>
      </c>
      <c r="AQ414" s="15" t="n">
        <f aca="false">AP414*INDEX(Ipotesi!$C$31:$G$31,1,F414)*H414</f>
        <v>89833.3333333333</v>
      </c>
      <c r="AR414" s="15" t="n">
        <f aca="false">INDEX(Ipotesi!$C$75:$G$75,1,F414)*J414/12</f>
        <v>35833.3333333333</v>
      </c>
      <c r="AS414" s="15" t="n">
        <f aca="false">INDEX(Ipotesi!$C$81:$G$81,1,F414)*J414/12</f>
        <v>2083.33333333333</v>
      </c>
      <c r="AT414" s="15" t="n">
        <f aca="false">AR414*Parametri_v3!$C$15+Z414*Parametri_v3!$C$16</f>
        <v>53560.0970908333</v>
      </c>
      <c r="AU414" s="15" t="n">
        <f aca="false">Q414*Parametri_v3!$C$16*Parametri_v3!$C$17</f>
        <v>420</v>
      </c>
      <c r="AV414" s="17" t="n">
        <f aca="false">BD413</f>
        <v>160.053215256133</v>
      </c>
      <c r="AW414" s="17" t="n">
        <f aca="false">AV414*(1-(1-INDEX(Ipotesi!$C$34:$G$34,1,F414))^(1/12))</f>
        <v>1.39912293981744</v>
      </c>
      <c r="AX414" s="15" t="n">
        <f aca="false">ROUND(INDEX(Ipotesi!$C$32:$G$32,1,F414)*Ipotesi!I8,0)</f>
        <v>560</v>
      </c>
      <c r="AY414" s="15" t="n">
        <f aca="false">MAX(0,(AX414-(AV414-AW414))/(13-E414))</f>
        <v>36.4859916076077</v>
      </c>
      <c r="AZ414" s="15" t="n">
        <f aca="false">MIN(P414*Parametri_v3!$C$22,Q414*(1-Parametri_v3!$C$16)*Parametri_v3!$C$23)</f>
        <v>270</v>
      </c>
      <c r="BA414" s="15" t="n">
        <f aca="false">IF(OR(INDEX(Ipotesi!$C$35:$G$35,1,F414)&lt;=0,50-Parametri_v3!$C$21&lt;1),0,INDEX($AT$365:$AT$424,MAX(1,50-Parametri_v3!$C$21))/(INDEX(Ipotesi!$C$35:$G$35,1,F414)*Ipotesi!I27))</f>
        <v>6.50133977564103</v>
      </c>
      <c r="BB414" s="15" t="n">
        <f aca="false">IF(50-Parametri_v3!$C$21&lt;1,0,INDEX($AU$365:$AU$424,MAX(1,50-Parametri_v3!$C$21)))*Parametri_v3!$C$18*Parametri_v3!$C$19*Parametri_v3!$C$20</f>
        <v>13.125</v>
      </c>
      <c r="BC414" s="17" t="n">
        <f aca="false">MAX(0,MIN(AY414,BA414,BB414,MAX(0,AZ414-(AV414-AW414))))</f>
        <v>6.50133977564103</v>
      </c>
      <c r="BD414" s="17" t="n">
        <f aca="false">AV414-AW414+BC414</f>
        <v>165.155432091956</v>
      </c>
      <c r="BE414" s="17" t="n">
        <f aca="false">(AV414+BD414)/2</f>
        <v>162.604323674045</v>
      </c>
      <c r="BF414" s="15" t="n">
        <f aca="false">BE414*INDEX(Ipotesi!$C$33:$G$33,1,F414)*H414/12</f>
        <v>84012.2338982563</v>
      </c>
      <c r="BG414" s="15" t="n">
        <f aca="false">BD414*INDEX(Ipotesi!$C$33:$G$33,1,F414)*H414</f>
        <v>1023963.67897013</v>
      </c>
      <c r="BH414" s="15" t="n">
        <f aca="false">AM414*INDEX(Ipotesi!$C$37:$G$37,1,F414)</f>
        <v>11595.8333333333</v>
      </c>
      <c r="BI414" s="15" t="n">
        <f aca="false">AQ414+BF414+BH414</f>
        <v>185441.400564923</v>
      </c>
      <c r="BJ414" s="15" t="n">
        <f aca="false">INDEX(Ipotesi!$C$68:$G$68,1,F414)*Ipotesi!$C$69/12</f>
        <v>3333.33333333333</v>
      </c>
      <c r="BK414" s="15" t="n">
        <f aca="false">INDEX(Ipotesi!$C$68:$G$68,1,F414)*(1-Ipotesi!$C$69)/12</f>
        <v>5000</v>
      </c>
      <c r="BL414" s="15" t="n">
        <f aca="false">(AQ414+BF414)*Ipotesi!$C$67</f>
        <v>5215.36701694769</v>
      </c>
      <c r="BM414" s="15" t="n">
        <f aca="false">AM414*Ipotesi!$C$67</f>
        <v>3478.75</v>
      </c>
      <c r="BN414" s="15" t="n">
        <f aca="false">INDEX(Ipotesi!$C$72:$G$72,1,F414)/12*Ipotesi!I126+BF414*Ipotesi!$C$73</f>
        <v>7970.97871186051</v>
      </c>
      <c r="BO414" s="15" t="n">
        <f aca="false">INDEX(Ipotesi!$C$74:$G$74,1,F414)/12*Ipotesi!I126</f>
        <v>5416.66666666667</v>
      </c>
      <c r="BP414" s="15" t="n">
        <f aca="false">INDEX(Ipotesi!$C$76:$G$76,1,F414)/12</f>
        <v>1916.66666666667</v>
      </c>
      <c r="BQ414" s="15" t="n">
        <f aca="false">INDEX(Ipotesi!$C$77:$G$77,1,F414)/12*Ipotesi!I126</f>
        <v>2500</v>
      </c>
      <c r="BR414" s="15" t="n">
        <f aca="false">INDEX(Ipotesi!$C$78:$G$78,1,F414)/12</f>
        <v>2333.33333333333</v>
      </c>
      <c r="BS414" s="15" t="n">
        <f aca="false">SUM(M414:R414)*(Ipotesi!$C$85+Ipotesi!$C$86)/12</f>
        <v>7437.5</v>
      </c>
      <c r="BT414" s="15" t="n">
        <f aca="false">BI414*Ipotesi!$C$87</f>
        <v>5563.24201694769</v>
      </c>
      <c r="BU414" s="15" t="n">
        <f aca="false">INDEX(Ipotesi!$C$55:$G$55,1,F414)*K414/12</f>
        <v>2000</v>
      </c>
      <c r="BV414" s="15" t="n">
        <f aca="false">INDEX(Ipotesi!$C$80:$G$80,1,F414)/12*Ipotesi!I126</f>
        <v>2083.33333333333</v>
      </c>
      <c r="BW414" s="15" t="n">
        <f aca="false">INDEX(Ipotesi!$C$82:$G$82,1,F414)/12</f>
        <v>1500</v>
      </c>
      <c r="BX414" s="15" t="n">
        <f aca="false">INDEX(Ipotesi!$C$83:$G$83,1,F414)/12</f>
        <v>833.333333333333</v>
      </c>
      <c r="BY414" s="15" t="n">
        <f aca="false">SUM(S414:U414)*(Ipotesi!$C$85+Ipotesi!$C$86)/12</f>
        <v>3208.33333333333</v>
      </c>
      <c r="BZ414" s="15" t="n">
        <f aca="false">AM414*Ipotesi!$C$87</f>
        <v>3478.75</v>
      </c>
      <c r="CA414" s="15" t="n">
        <f aca="false">AB414+BJ414+BL414+BN414+BO414+AR414+BP414+BQ414+BR414+BS414+BT414</f>
        <v>196997.749399923</v>
      </c>
      <c r="CB414" s="15" t="n">
        <f aca="false">AC414+BK414+BM414+BH414+BU414+BV414+AS414+BW414+BX414+BY414+BZ414</f>
        <v>79625.4722608333</v>
      </c>
      <c r="CC414" s="15" t="n">
        <f aca="false">BI414-CA414</f>
        <v>-11556.3488349995</v>
      </c>
      <c r="CD414" s="15" t="n">
        <f aca="false">AM414-CB414</f>
        <v>36332.8610725</v>
      </c>
      <c r="CE414" s="15" t="n">
        <f aca="false">INDEX(Ipotesi!$C$79:$G$79,1,F414)/12</f>
        <v>4166.66666666667</v>
      </c>
      <c r="CF414" s="15" t="n">
        <f aca="false">INDEX(Ipotesi!$C$84:$G$84,1,F414)/12</f>
        <v>666.666666666667</v>
      </c>
      <c r="CG414" s="15" t="n">
        <f aca="false">Y414*MAX(0,Parametri_v3!$C$12-IF(P414=0,0,MIN(1,BE414/(P414*Parametri_v3!$C$22))))+W414*Parametri_v3!$C$13+X414*Parametri_v3!$C$14</f>
        <v>36456.9034400321</v>
      </c>
      <c r="CH414" s="15" t="n">
        <f aca="false">AB414*Parametri_v3!$C$32</f>
        <v>5973.86641604167</v>
      </c>
      <c r="CI414" s="15" t="n">
        <f aca="false">AC414*Parametri_v3!$C$32</f>
        <v>2218.19027970833</v>
      </c>
      <c r="CJ414" s="15" t="n">
        <f aca="false">CA414-AB414</f>
        <v>77520.4210790892</v>
      </c>
      <c r="CK414" s="15" t="n">
        <f aca="false">CB414-AC414-BH414</f>
        <v>23665.8333333333</v>
      </c>
      <c r="CL414" s="15" t="n">
        <f aca="false">BF414*Ipotesi!$C$73+INDEX(Ipotesi!$C$72:$G$72,1,F414)/12*Ipotesi!I126*Parametri_v3!$C$58+Z414*(1-Parametri_v3!$C$16)</f>
        <v>15568.1631793605</v>
      </c>
      <c r="CM414" s="16" t="n">
        <f aca="false">IF(BF414=0,0,1-CL414/BF414)</f>
        <v>0.814691712659201</v>
      </c>
    </row>
    <row r="415" customFormat="false" ht="18" hidden="false" customHeight="true" outlineLevel="0" collapsed="false">
      <c r="A415" s="68" t="n">
        <f aca="false">7</f>
        <v>7</v>
      </c>
      <c r="B415" s="68" t="n">
        <f aca="false">51</f>
        <v>51</v>
      </c>
      <c r="C415" s="18" t="n">
        <f aca="false">EDATE(Parametri_v3!$C$5,51-1)</f>
        <v>47908</v>
      </c>
      <c r="D415" s="68" t="n">
        <f aca="false">YEAR(C415)</f>
        <v>2031</v>
      </c>
      <c r="E415" s="68" t="n">
        <f aca="false">MONTH(C415)</f>
        <v>3</v>
      </c>
      <c r="F415" s="68" t="n">
        <f aca="false">INT((51-1)/12)+1</f>
        <v>5</v>
      </c>
      <c r="G415" s="15" t="n">
        <f aca="false">Ipotesi!I7</f>
        <v>1</v>
      </c>
      <c r="H415" s="15" t="n">
        <f aca="false">Ipotesi!I9</f>
        <v>1</v>
      </c>
      <c r="I415" s="15" t="n">
        <f aca="false">Ipotesi!I10</f>
        <v>1</v>
      </c>
      <c r="J415" s="15" t="n">
        <f aca="false">Ipotesi!I11</f>
        <v>1</v>
      </c>
      <c r="K415" s="15" t="n">
        <f aca="false">Ipotesi!I12</f>
        <v>1</v>
      </c>
      <c r="L415" s="15" t="n">
        <f aca="false">Ipotesi!I13</f>
        <v>90</v>
      </c>
      <c r="M415" s="17" t="n">
        <f aca="false">INDEX(Ipotesi!$C$40:$G$40,1,F415)</f>
        <v>1</v>
      </c>
      <c r="N415" s="17" t="n">
        <f aca="false">INDEX(Ipotesi!$C$41:$G$41,1,F415)</f>
        <v>1</v>
      </c>
      <c r="O415" s="17" t="n">
        <f aca="false">INDEX(Ipotesi!$C$42:$G$42,1,F415)*Ipotesi!I125</f>
        <v>8.5</v>
      </c>
      <c r="P415" s="17" t="n">
        <f aca="false">INDEX(Ipotesi!$C$43:$G$43,1,F415)*I415</f>
        <v>7</v>
      </c>
      <c r="Q415" s="17" t="n">
        <f aca="false">INDEX(Ipotesi!$C$44:$G$44,1,F415)*I415</f>
        <v>6</v>
      </c>
      <c r="R415" s="17" t="n">
        <f aca="false">INDEX(Ipotesi!$C$45:$G$45,1,F415)*I415</f>
        <v>2</v>
      </c>
      <c r="S415" s="17" t="n">
        <f aca="false">INDEX(Ipotesi!$C$52:$G$52,1,F415)*Ipotesi!I125</f>
        <v>9</v>
      </c>
      <c r="T415" s="17" t="n">
        <f aca="false">INDEX(Ipotesi!$C$53:$G$53,1,F415)*I415</f>
        <v>1</v>
      </c>
      <c r="U415" s="17" t="n">
        <f aca="false">INDEX(Ipotesi!$C$54:$G$54,1,F415)*I415</f>
        <v>1</v>
      </c>
      <c r="V415" s="15" t="n">
        <f aca="false">M415*INDEX(Ipotesi!$C$58:$G$58,1,F415)*K415/12</f>
        <v>8333.33333333333</v>
      </c>
      <c r="W415" s="15" t="n">
        <f aca="false">N415*Ipotesi!$C$59*(1+Ipotesi!$C$66)^(F415-1)/12</f>
        <v>6565.46805833334</v>
      </c>
      <c r="X415" s="15" t="n">
        <f aca="false">O415*Ipotesi!$C$60*(1+Ipotesi!$C$66)^(F415-1)/12</f>
        <v>39861.7703541667</v>
      </c>
      <c r="Y415" s="15" t="n">
        <f aca="false">P415*Ipotesi!$C$61*(1+Ipotesi!$C$66)^(F415-1)/12</f>
        <v>32827.3402916667</v>
      </c>
      <c r="Z415" s="15" t="n">
        <f aca="false">Q415*Ipotesi!$C$62*(1+Ipotesi!$C$66)^(F415-1)/12</f>
        <v>25323.948225</v>
      </c>
      <c r="AA415" s="15" t="n">
        <f aca="false">R415*Ipotesi!$C$63*(1+Ipotesi!$C$66)^(F415-1)/12</f>
        <v>6565.46805833334</v>
      </c>
      <c r="AB415" s="15" t="n">
        <f aca="false">SUM(V415:AA415)</f>
        <v>119477.328320833</v>
      </c>
      <c r="AC415" s="15" t="n">
        <f aca="false">(S415*Ipotesi!$C$64+T415*Ipotesi!$C$65+U415*Ipotesi!$C$63)*(1+Ipotesi!$C$66)^(F415-1)/12</f>
        <v>44363.8055941667</v>
      </c>
      <c r="AD415" s="15" t="n">
        <f aca="false">INDEX(Ipotesi!$C$48:$G$48,1,F415)*G415/12</f>
        <v>95.8333333333333</v>
      </c>
      <c r="AE415" s="15" t="n">
        <f aca="false">INDEX(Ipotesi!$C$50:$G$50,1,F415)*G415/12</f>
        <v>9.58333333333333</v>
      </c>
      <c r="AF415" s="15" t="n">
        <f aca="false">(S415*Parametri_v3!$C$7*Parametri_v3!$C$8+Parametri_v3!$C$10)/12</f>
        <v>115.5</v>
      </c>
      <c r="AG415" s="15" t="n">
        <f aca="false">AD415+AE415*(1+Parametri_v3!$C$9)</f>
        <v>110.208333333333</v>
      </c>
      <c r="AH415" s="16" t="n">
        <f aca="false">IF(AG415=0,1,MIN(1,AF415/AG415))</f>
        <v>1</v>
      </c>
      <c r="AI415" s="15" t="n">
        <f aca="false">AD415*AH415</f>
        <v>95.8333333333333</v>
      </c>
      <c r="AJ415" s="15" t="n">
        <f aca="false">AE415*AH415</f>
        <v>9.58333333333333</v>
      </c>
      <c r="AK415" s="15" t="n">
        <f aca="false">AI415*INDEX(Ipotesi!$C$49:$G$49,1,F415)*H415</f>
        <v>91041.6666666667</v>
      </c>
      <c r="AL415" s="15" t="n">
        <f aca="false">AJ415*INDEX(Ipotesi!$C$51:$G$51,1,F415)*H415</f>
        <v>24916.6666666667</v>
      </c>
      <c r="AM415" s="15" t="n">
        <f aca="false">AK415+AL415</f>
        <v>115958.333333333</v>
      </c>
      <c r="AN415" s="15" t="n">
        <f aca="false">INDEX(Ipotesi!$C$30:$G$30,1,F415)*G415/12</f>
        <v>81.6666666666667</v>
      </c>
      <c r="AO415" s="15" t="n">
        <f aca="false">O415*Parametri_v3!$C$7*Parametri_v3!$C$11*(1-Parametri_v3!$C$14)/12</f>
        <v>87.2666666666667</v>
      </c>
      <c r="AP415" s="15" t="n">
        <f aca="false">MIN(AN415,AO415)</f>
        <v>81.6666666666667</v>
      </c>
      <c r="AQ415" s="15" t="n">
        <f aca="false">AP415*INDEX(Ipotesi!$C$31:$G$31,1,F415)*H415</f>
        <v>89833.3333333333</v>
      </c>
      <c r="AR415" s="15" t="n">
        <f aca="false">INDEX(Ipotesi!$C$75:$G$75,1,F415)*J415/12</f>
        <v>35833.3333333333</v>
      </c>
      <c r="AS415" s="15" t="n">
        <f aca="false">INDEX(Ipotesi!$C$81:$G$81,1,F415)*J415/12</f>
        <v>2083.33333333333</v>
      </c>
      <c r="AT415" s="15" t="n">
        <f aca="false">AR415*Parametri_v3!$C$15+Z415*Parametri_v3!$C$16</f>
        <v>53560.0970908333</v>
      </c>
      <c r="AU415" s="15" t="n">
        <f aca="false">Q415*Parametri_v3!$C$16*Parametri_v3!$C$17</f>
        <v>420</v>
      </c>
      <c r="AV415" s="17" t="n">
        <f aca="false">BD414</f>
        <v>165.155432091956</v>
      </c>
      <c r="AW415" s="17" t="n">
        <f aca="false">AV415*(1-(1-INDEX(Ipotesi!$C$34:$G$34,1,F415))^(1/12))</f>
        <v>1.44372453440272</v>
      </c>
      <c r="AX415" s="15" t="n">
        <f aca="false">ROUND(INDEX(Ipotesi!$C$32:$G$32,1,F415)*Ipotesi!I8,0)</f>
        <v>560</v>
      </c>
      <c r="AY415" s="15" t="n">
        <f aca="false">MAX(0,(AX415-(AV415-AW415))/(13-E415))</f>
        <v>39.6288292442446</v>
      </c>
      <c r="AZ415" s="15" t="n">
        <f aca="false">MIN(P415*Parametri_v3!$C$22,Q415*(1-Parametri_v3!$C$16)*Parametri_v3!$C$23)</f>
        <v>270</v>
      </c>
      <c r="BA415" s="15" t="n">
        <f aca="false">IF(OR(INDEX(Ipotesi!$C$35:$G$35,1,F415)&lt;=0,51-Parametri_v3!$C$21&lt;1),0,INDEX($AT$365:$AT$424,MAX(1,51-Parametri_v3!$C$21))/(INDEX(Ipotesi!$C$35:$G$35,1,F415)*Ipotesi!I27))</f>
        <v>6.50133977564103</v>
      </c>
      <c r="BB415" s="15" t="n">
        <f aca="false">IF(51-Parametri_v3!$C$21&lt;1,0,INDEX($AU$365:$AU$424,MAX(1,51-Parametri_v3!$C$21)))*Parametri_v3!$C$18*Parametri_v3!$C$19*Parametri_v3!$C$20</f>
        <v>13.125</v>
      </c>
      <c r="BC415" s="17" t="n">
        <f aca="false">MAX(0,MIN(AY415,BA415,BB415,MAX(0,AZ415-(AV415-AW415))))</f>
        <v>6.50133977564103</v>
      </c>
      <c r="BD415" s="17" t="n">
        <f aca="false">AV415-AW415+BC415</f>
        <v>170.213047333195</v>
      </c>
      <c r="BE415" s="17" t="n">
        <f aca="false">(AV415+BD415)/2</f>
        <v>167.684239712575</v>
      </c>
      <c r="BF415" s="15" t="n">
        <f aca="false">BE415*INDEX(Ipotesi!$C$33:$G$33,1,F415)*H415/12</f>
        <v>86636.8571848307</v>
      </c>
      <c r="BG415" s="15" t="n">
        <f aca="false">BD415*INDEX(Ipotesi!$C$33:$G$33,1,F415)*H415</f>
        <v>1055320.89346581</v>
      </c>
      <c r="BH415" s="15" t="n">
        <f aca="false">AM415*INDEX(Ipotesi!$C$37:$G$37,1,F415)</f>
        <v>11595.8333333333</v>
      </c>
      <c r="BI415" s="15" t="n">
        <f aca="false">AQ415+BF415+BH415</f>
        <v>188066.023851497</v>
      </c>
      <c r="BJ415" s="15" t="n">
        <f aca="false">INDEX(Ipotesi!$C$68:$G$68,1,F415)*Ipotesi!$C$69/12</f>
        <v>3333.33333333333</v>
      </c>
      <c r="BK415" s="15" t="n">
        <f aca="false">INDEX(Ipotesi!$C$68:$G$68,1,F415)*(1-Ipotesi!$C$69)/12</f>
        <v>5000</v>
      </c>
      <c r="BL415" s="15" t="n">
        <f aca="false">(AQ415+BF415)*Ipotesi!$C$67</f>
        <v>5294.10571554492</v>
      </c>
      <c r="BM415" s="15" t="n">
        <f aca="false">AM415*Ipotesi!$C$67</f>
        <v>3478.75</v>
      </c>
      <c r="BN415" s="15" t="n">
        <f aca="false">INDEX(Ipotesi!$C$72:$G$72,1,F415)/12*Ipotesi!I126+BF415*Ipotesi!$C$73</f>
        <v>8180.94857478645</v>
      </c>
      <c r="BO415" s="15" t="n">
        <f aca="false">INDEX(Ipotesi!$C$74:$G$74,1,F415)/12*Ipotesi!I126</f>
        <v>5416.66666666667</v>
      </c>
      <c r="BP415" s="15" t="n">
        <f aca="false">INDEX(Ipotesi!$C$76:$G$76,1,F415)/12</f>
        <v>1916.66666666667</v>
      </c>
      <c r="BQ415" s="15" t="n">
        <f aca="false">INDEX(Ipotesi!$C$77:$G$77,1,F415)/12*Ipotesi!I126</f>
        <v>2500</v>
      </c>
      <c r="BR415" s="15" t="n">
        <f aca="false">INDEX(Ipotesi!$C$78:$G$78,1,F415)/12</f>
        <v>2333.33333333333</v>
      </c>
      <c r="BS415" s="15" t="n">
        <f aca="false">SUM(M415:R415)*(Ipotesi!$C$85+Ipotesi!$C$86)/12</f>
        <v>7437.5</v>
      </c>
      <c r="BT415" s="15" t="n">
        <f aca="false">BI415*Ipotesi!$C$87</f>
        <v>5641.98071554492</v>
      </c>
      <c r="BU415" s="15" t="n">
        <f aca="false">INDEX(Ipotesi!$C$55:$G$55,1,F415)*K415/12</f>
        <v>2000</v>
      </c>
      <c r="BV415" s="15" t="n">
        <f aca="false">INDEX(Ipotesi!$C$80:$G$80,1,F415)/12*Ipotesi!I126</f>
        <v>2083.33333333333</v>
      </c>
      <c r="BW415" s="15" t="n">
        <f aca="false">INDEX(Ipotesi!$C$82:$G$82,1,F415)/12</f>
        <v>1500</v>
      </c>
      <c r="BX415" s="15" t="n">
        <f aca="false">INDEX(Ipotesi!$C$83:$G$83,1,F415)/12</f>
        <v>833.333333333333</v>
      </c>
      <c r="BY415" s="15" t="n">
        <f aca="false">SUM(S415:U415)*(Ipotesi!$C$85+Ipotesi!$C$86)/12</f>
        <v>3208.33333333333</v>
      </c>
      <c r="BZ415" s="15" t="n">
        <f aca="false">AM415*Ipotesi!$C$87</f>
        <v>3478.75</v>
      </c>
      <c r="CA415" s="15" t="n">
        <f aca="false">AB415+BJ415+BL415+BN415+BO415+AR415+BP415+BQ415+BR415+BS415+BT415</f>
        <v>197365.196660043</v>
      </c>
      <c r="CB415" s="15" t="n">
        <f aca="false">AC415+BK415+BM415+BH415+BU415+BV415+AS415+BW415+BX415+BY415+BZ415</f>
        <v>79625.4722608333</v>
      </c>
      <c r="CC415" s="15" t="n">
        <f aca="false">BI415-CA415</f>
        <v>-9299.17280854564</v>
      </c>
      <c r="CD415" s="15" t="n">
        <f aca="false">AM415-CB415</f>
        <v>36332.8610725</v>
      </c>
      <c r="CE415" s="15" t="n">
        <f aca="false">INDEX(Ipotesi!$C$79:$G$79,1,F415)/12</f>
        <v>4166.66666666667</v>
      </c>
      <c r="CF415" s="15" t="n">
        <f aca="false">INDEX(Ipotesi!$C$84:$G$84,1,F415)/12</f>
        <v>666.666666666667</v>
      </c>
      <c r="CG415" s="15" t="n">
        <f aca="false">Y415*MAX(0,Parametri_v3!$C$12-IF(P415=0,0,MIN(1,BE415/(P415*Parametri_v3!$C$22))))+W415*Parametri_v3!$C$13+X415*Parametri_v3!$C$14</f>
        <v>36218.6746793894</v>
      </c>
      <c r="CH415" s="15" t="n">
        <f aca="false">AB415*Parametri_v3!$C$32</f>
        <v>5973.86641604167</v>
      </c>
      <c r="CI415" s="15" t="n">
        <f aca="false">AC415*Parametri_v3!$C$32</f>
        <v>2218.19027970833</v>
      </c>
      <c r="CJ415" s="15" t="n">
        <f aca="false">CA415-AB415</f>
        <v>77887.8683392096</v>
      </c>
      <c r="CK415" s="15" t="n">
        <f aca="false">CB415-AC415-BH415</f>
        <v>23665.8333333333</v>
      </c>
      <c r="CL415" s="15" t="n">
        <f aca="false">BF415*Ipotesi!$C$73+INDEX(Ipotesi!$C$72:$G$72,1,F415)/12*Ipotesi!I126*Parametri_v3!$C$58+Z415*(1-Parametri_v3!$C$16)</f>
        <v>15778.1330422865</v>
      </c>
      <c r="CM415" s="16" t="n">
        <f aca="false">IF(BF415=0,0,1-CL415/BF415)</f>
        <v>0.817881978236751</v>
      </c>
    </row>
    <row r="416" customFormat="false" ht="18" hidden="false" customHeight="true" outlineLevel="0" collapsed="false">
      <c r="A416" s="68" t="n">
        <f aca="false">7</f>
        <v>7</v>
      </c>
      <c r="B416" s="68" t="n">
        <f aca="false">52</f>
        <v>52</v>
      </c>
      <c r="C416" s="18" t="n">
        <f aca="false">EDATE(Parametri_v3!$C$5,52-1)</f>
        <v>47939</v>
      </c>
      <c r="D416" s="68" t="n">
        <f aca="false">YEAR(C416)</f>
        <v>2031</v>
      </c>
      <c r="E416" s="68" t="n">
        <f aca="false">MONTH(C416)</f>
        <v>4</v>
      </c>
      <c r="F416" s="68" t="n">
        <f aca="false">INT((52-1)/12)+1</f>
        <v>5</v>
      </c>
      <c r="G416" s="15" t="n">
        <f aca="false">Ipotesi!I7</f>
        <v>1</v>
      </c>
      <c r="H416" s="15" t="n">
        <f aca="false">Ipotesi!I9</f>
        <v>1</v>
      </c>
      <c r="I416" s="15" t="n">
        <f aca="false">Ipotesi!I10</f>
        <v>1</v>
      </c>
      <c r="J416" s="15" t="n">
        <f aca="false">Ipotesi!I11</f>
        <v>1</v>
      </c>
      <c r="K416" s="15" t="n">
        <f aca="false">Ipotesi!I12</f>
        <v>1</v>
      </c>
      <c r="L416" s="15" t="n">
        <f aca="false">Ipotesi!I13</f>
        <v>90</v>
      </c>
      <c r="M416" s="17" t="n">
        <f aca="false">INDEX(Ipotesi!$C$40:$G$40,1,F416)</f>
        <v>1</v>
      </c>
      <c r="N416" s="17" t="n">
        <f aca="false">INDEX(Ipotesi!$C$41:$G$41,1,F416)</f>
        <v>1</v>
      </c>
      <c r="O416" s="17" t="n">
        <f aca="false">INDEX(Ipotesi!$C$42:$G$42,1,F416)*Ipotesi!I125</f>
        <v>8.5</v>
      </c>
      <c r="P416" s="17" t="n">
        <f aca="false">INDEX(Ipotesi!$C$43:$G$43,1,F416)*I416</f>
        <v>7</v>
      </c>
      <c r="Q416" s="17" t="n">
        <f aca="false">INDEX(Ipotesi!$C$44:$G$44,1,F416)*I416</f>
        <v>6</v>
      </c>
      <c r="R416" s="17" t="n">
        <f aca="false">INDEX(Ipotesi!$C$45:$G$45,1,F416)*I416</f>
        <v>2</v>
      </c>
      <c r="S416" s="17" t="n">
        <f aca="false">INDEX(Ipotesi!$C$52:$G$52,1,F416)*Ipotesi!I125</f>
        <v>9</v>
      </c>
      <c r="T416" s="17" t="n">
        <f aca="false">INDEX(Ipotesi!$C$53:$G$53,1,F416)*I416</f>
        <v>1</v>
      </c>
      <c r="U416" s="17" t="n">
        <f aca="false">INDEX(Ipotesi!$C$54:$G$54,1,F416)*I416</f>
        <v>1</v>
      </c>
      <c r="V416" s="15" t="n">
        <f aca="false">M416*INDEX(Ipotesi!$C$58:$G$58,1,F416)*K416/12</f>
        <v>8333.33333333333</v>
      </c>
      <c r="W416" s="15" t="n">
        <f aca="false">N416*Ipotesi!$C$59*(1+Ipotesi!$C$66)^(F416-1)/12</f>
        <v>6565.46805833334</v>
      </c>
      <c r="X416" s="15" t="n">
        <f aca="false">O416*Ipotesi!$C$60*(1+Ipotesi!$C$66)^(F416-1)/12</f>
        <v>39861.7703541667</v>
      </c>
      <c r="Y416" s="15" t="n">
        <f aca="false">P416*Ipotesi!$C$61*(1+Ipotesi!$C$66)^(F416-1)/12</f>
        <v>32827.3402916667</v>
      </c>
      <c r="Z416" s="15" t="n">
        <f aca="false">Q416*Ipotesi!$C$62*(1+Ipotesi!$C$66)^(F416-1)/12</f>
        <v>25323.948225</v>
      </c>
      <c r="AA416" s="15" t="n">
        <f aca="false">R416*Ipotesi!$C$63*(1+Ipotesi!$C$66)^(F416-1)/12</f>
        <v>6565.46805833334</v>
      </c>
      <c r="AB416" s="15" t="n">
        <f aca="false">SUM(V416:AA416)</f>
        <v>119477.328320833</v>
      </c>
      <c r="AC416" s="15" t="n">
        <f aca="false">(S416*Ipotesi!$C$64+T416*Ipotesi!$C$65+U416*Ipotesi!$C$63)*(1+Ipotesi!$C$66)^(F416-1)/12</f>
        <v>44363.8055941667</v>
      </c>
      <c r="AD416" s="15" t="n">
        <f aca="false">INDEX(Ipotesi!$C$48:$G$48,1,F416)*G416/12</f>
        <v>95.8333333333333</v>
      </c>
      <c r="AE416" s="15" t="n">
        <f aca="false">INDEX(Ipotesi!$C$50:$G$50,1,F416)*G416/12</f>
        <v>9.58333333333333</v>
      </c>
      <c r="AF416" s="15" t="n">
        <f aca="false">(S416*Parametri_v3!$C$7*Parametri_v3!$C$8+Parametri_v3!$C$10)/12</f>
        <v>115.5</v>
      </c>
      <c r="AG416" s="15" t="n">
        <f aca="false">AD416+AE416*(1+Parametri_v3!$C$9)</f>
        <v>110.208333333333</v>
      </c>
      <c r="AH416" s="16" t="n">
        <f aca="false">IF(AG416=0,1,MIN(1,AF416/AG416))</f>
        <v>1</v>
      </c>
      <c r="AI416" s="15" t="n">
        <f aca="false">AD416*AH416</f>
        <v>95.8333333333333</v>
      </c>
      <c r="AJ416" s="15" t="n">
        <f aca="false">AE416*AH416</f>
        <v>9.58333333333333</v>
      </c>
      <c r="AK416" s="15" t="n">
        <f aca="false">AI416*INDEX(Ipotesi!$C$49:$G$49,1,F416)*H416</f>
        <v>91041.6666666667</v>
      </c>
      <c r="AL416" s="15" t="n">
        <f aca="false">AJ416*INDEX(Ipotesi!$C$51:$G$51,1,F416)*H416</f>
        <v>24916.6666666667</v>
      </c>
      <c r="AM416" s="15" t="n">
        <f aca="false">AK416+AL416</f>
        <v>115958.333333333</v>
      </c>
      <c r="AN416" s="15" t="n">
        <f aca="false">INDEX(Ipotesi!$C$30:$G$30,1,F416)*G416/12</f>
        <v>81.6666666666667</v>
      </c>
      <c r="AO416" s="15" t="n">
        <f aca="false">O416*Parametri_v3!$C$7*Parametri_v3!$C$11*(1-Parametri_v3!$C$14)/12</f>
        <v>87.2666666666667</v>
      </c>
      <c r="AP416" s="15" t="n">
        <f aca="false">MIN(AN416,AO416)</f>
        <v>81.6666666666667</v>
      </c>
      <c r="AQ416" s="15" t="n">
        <f aca="false">AP416*INDEX(Ipotesi!$C$31:$G$31,1,F416)*H416</f>
        <v>89833.3333333333</v>
      </c>
      <c r="AR416" s="15" t="n">
        <f aca="false">INDEX(Ipotesi!$C$75:$G$75,1,F416)*J416/12</f>
        <v>35833.3333333333</v>
      </c>
      <c r="AS416" s="15" t="n">
        <f aca="false">INDEX(Ipotesi!$C$81:$G$81,1,F416)*J416/12</f>
        <v>2083.33333333333</v>
      </c>
      <c r="AT416" s="15" t="n">
        <f aca="false">AR416*Parametri_v3!$C$15+Z416*Parametri_v3!$C$16</f>
        <v>53560.0970908333</v>
      </c>
      <c r="AU416" s="15" t="n">
        <f aca="false">Q416*Parametri_v3!$C$16*Parametri_v3!$C$17</f>
        <v>420</v>
      </c>
      <c r="AV416" s="17" t="n">
        <f aca="false">BD415</f>
        <v>170.213047333195</v>
      </c>
      <c r="AW416" s="17" t="n">
        <f aca="false">AV416*(1-(1-INDEX(Ipotesi!$C$34:$G$34,1,F416))^(1/12))</f>
        <v>1.48793623920017</v>
      </c>
      <c r="AX416" s="15" t="n">
        <f aca="false">ROUND(INDEX(Ipotesi!$C$32:$G$32,1,F416)*Ipotesi!I8,0)</f>
        <v>560</v>
      </c>
      <c r="AY416" s="15" t="n">
        <f aca="false">MAX(0,(AX416-(AV416-AW416))/(13-E416))</f>
        <v>43.4749876562228</v>
      </c>
      <c r="AZ416" s="15" t="n">
        <f aca="false">MIN(P416*Parametri_v3!$C$22,Q416*(1-Parametri_v3!$C$16)*Parametri_v3!$C$23)</f>
        <v>270</v>
      </c>
      <c r="BA416" s="15" t="n">
        <f aca="false">IF(OR(INDEX(Ipotesi!$C$35:$G$35,1,F416)&lt;=0,52-Parametri_v3!$C$21&lt;1),0,INDEX($AT$365:$AT$424,MAX(1,52-Parametri_v3!$C$21))/(INDEX(Ipotesi!$C$35:$G$35,1,F416)*Ipotesi!I27))</f>
        <v>8.24001493705128</v>
      </c>
      <c r="BB416" s="15" t="n">
        <f aca="false">IF(52-Parametri_v3!$C$21&lt;1,0,INDEX($AU$365:$AU$424,MAX(1,52-Parametri_v3!$C$21)))*Parametri_v3!$C$18*Parametri_v3!$C$19*Parametri_v3!$C$20</f>
        <v>15.75</v>
      </c>
      <c r="BC416" s="17" t="n">
        <f aca="false">MAX(0,MIN(AY416,BA416,BB416,MAX(0,AZ416-(AV416-AW416))))</f>
        <v>8.24001493705128</v>
      </c>
      <c r="BD416" s="17" t="n">
        <f aca="false">AV416-AW416+BC416</f>
        <v>176.965126031046</v>
      </c>
      <c r="BE416" s="17" t="n">
        <f aca="false">(AV416+BD416)/2</f>
        <v>173.58908668212</v>
      </c>
      <c r="BF416" s="15" t="n">
        <f aca="false">BE416*INDEX(Ipotesi!$C$33:$G$33,1,F416)*H416/12</f>
        <v>89687.6947857621</v>
      </c>
      <c r="BG416" s="15" t="n">
        <f aca="false">BD416*INDEX(Ipotesi!$C$33:$G$33,1,F416)*H416</f>
        <v>1097183.78139248</v>
      </c>
      <c r="BH416" s="15" t="n">
        <f aca="false">AM416*INDEX(Ipotesi!$C$37:$G$37,1,F416)</f>
        <v>11595.8333333333</v>
      </c>
      <c r="BI416" s="15" t="n">
        <f aca="false">AQ416+BF416+BH416</f>
        <v>191116.861452429</v>
      </c>
      <c r="BJ416" s="15" t="n">
        <f aca="false">INDEX(Ipotesi!$C$68:$G$68,1,F416)*Ipotesi!$C$69/12</f>
        <v>3333.33333333333</v>
      </c>
      <c r="BK416" s="15" t="n">
        <f aca="false">INDEX(Ipotesi!$C$68:$G$68,1,F416)*(1-Ipotesi!$C$69)/12</f>
        <v>5000</v>
      </c>
      <c r="BL416" s="15" t="n">
        <f aca="false">(AQ416+BF416)*Ipotesi!$C$67</f>
        <v>5385.63084357286</v>
      </c>
      <c r="BM416" s="15" t="n">
        <f aca="false">AM416*Ipotesi!$C$67</f>
        <v>3478.75</v>
      </c>
      <c r="BN416" s="15" t="n">
        <f aca="false">INDEX(Ipotesi!$C$72:$G$72,1,F416)/12*Ipotesi!I126+BF416*Ipotesi!$C$73</f>
        <v>8425.01558286097</v>
      </c>
      <c r="BO416" s="15" t="n">
        <f aca="false">INDEX(Ipotesi!$C$74:$G$74,1,F416)/12*Ipotesi!I126</f>
        <v>5416.66666666667</v>
      </c>
      <c r="BP416" s="15" t="n">
        <f aca="false">INDEX(Ipotesi!$C$76:$G$76,1,F416)/12</f>
        <v>1916.66666666667</v>
      </c>
      <c r="BQ416" s="15" t="n">
        <f aca="false">INDEX(Ipotesi!$C$77:$G$77,1,F416)/12*Ipotesi!I126</f>
        <v>2500</v>
      </c>
      <c r="BR416" s="15" t="n">
        <f aca="false">INDEX(Ipotesi!$C$78:$G$78,1,F416)/12</f>
        <v>2333.33333333333</v>
      </c>
      <c r="BS416" s="15" t="n">
        <f aca="false">SUM(M416:R416)*(Ipotesi!$C$85+Ipotesi!$C$86)/12</f>
        <v>7437.5</v>
      </c>
      <c r="BT416" s="15" t="n">
        <f aca="false">BI416*Ipotesi!$C$87</f>
        <v>5733.50584357286</v>
      </c>
      <c r="BU416" s="15" t="n">
        <f aca="false">INDEX(Ipotesi!$C$55:$G$55,1,F416)*K416/12</f>
        <v>2000</v>
      </c>
      <c r="BV416" s="15" t="n">
        <f aca="false">INDEX(Ipotesi!$C$80:$G$80,1,F416)/12*Ipotesi!I126</f>
        <v>2083.33333333333</v>
      </c>
      <c r="BW416" s="15" t="n">
        <f aca="false">INDEX(Ipotesi!$C$82:$G$82,1,F416)/12</f>
        <v>1500</v>
      </c>
      <c r="BX416" s="15" t="n">
        <f aca="false">INDEX(Ipotesi!$C$83:$G$83,1,F416)/12</f>
        <v>833.333333333333</v>
      </c>
      <c r="BY416" s="15" t="n">
        <f aca="false">SUM(S416:U416)*(Ipotesi!$C$85+Ipotesi!$C$86)/12</f>
        <v>3208.33333333333</v>
      </c>
      <c r="BZ416" s="15" t="n">
        <f aca="false">AM416*Ipotesi!$C$87</f>
        <v>3478.75</v>
      </c>
      <c r="CA416" s="15" t="n">
        <f aca="false">AB416+BJ416+BL416+BN416+BO416+AR416+BP416+BQ416+BR416+BS416+BT416</f>
        <v>197792.313924173</v>
      </c>
      <c r="CB416" s="15" t="n">
        <f aca="false">AC416+BK416+BM416+BH416+BU416+BV416+AS416+BW416+BX416+BY416+BZ416</f>
        <v>79625.4722608333</v>
      </c>
      <c r="CC416" s="15" t="n">
        <f aca="false">BI416-CA416</f>
        <v>-6675.45247174462</v>
      </c>
      <c r="CD416" s="15" t="n">
        <f aca="false">AM416-CB416</f>
        <v>36332.8610725</v>
      </c>
      <c r="CE416" s="15" t="n">
        <f aca="false">INDEX(Ipotesi!$C$79:$G$79,1,F416)/12</f>
        <v>4166.66666666667</v>
      </c>
      <c r="CF416" s="15" t="n">
        <f aca="false">INDEX(Ipotesi!$C$84:$G$84,1,F416)/12</f>
        <v>666.666666666667</v>
      </c>
      <c r="CG416" s="15" t="n">
        <f aca="false">Y416*MAX(0,Parametri_v3!$C$12-IF(P416=0,0,MIN(1,BE416/(P416*Parametri_v3!$C$22))))+W416*Parametri_v3!$C$13+X416*Parametri_v3!$C$14</f>
        <v>35941.7597924758</v>
      </c>
      <c r="CH416" s="15" t="n">
        <f aca="false">AB416*Parametri_v3!$C$32</f>
        <v>5973.86641604167</v>
      </c>
      <c r="CI416" s="15" t="n">
        <f aca="false">AC416*Parametri_v3!$C$32</f>
        <v>2218.19027970833</v>
      </c>
      <c r="CJ416" s="15" t="n">
        <f aca="false">CA416-AB416</f>
        <v>78314.98560334</v>
      </c>
      <c r="CK416" s="15" t="n">
        <f aca="false">CB416-AC416-BH416</f>
        <v>23665.8333333333</v>
      </c>
      <c r="CL416" s="15" t="n">
        <f aca="false">BF416*Ipotesi!$C$73+INDEX(Ipotesi!$C$72:$G$72,1,F416)/12*Ipotesi!I126*Parametri_v3!$C$58+Z416*(1-Parametri_v3!$C$16)</f>
        <v>16022.200050361</v>
      </c>
      <c r="CM416" s="16" t="n">
        <f aca="false">IF(BF416=0,0,1-CL416/BF416)</f>
        <v>0.821355648747207</v>
      </c>
    </row>
    <row r="417" customFormat="false" ht="18" hidden="false" customHeight="true" outlineLevel="0" collapsed="false">
      <c r="A417" s="68" t="n">
        <f aca="false">7</f>
        <v>7</v>
      </c>
      <c r="B417" s="68" t="n">
        <f aca="false">53</f>
        <v>53</v>
      </c>
      <c r="C417" s="18" t="n">
        <f aca="false">EDATE(Parametri_v3!$C$5,53-1)</f>
        <v>47969</v>
      </c>
      <c r="D417" s="68" t="n">
        <f aca="false">YEAR(C417)</f>
        <v>2031</v>
      </c>
      <c r="E417" s="68" t="n">
        <f aca="false">MONTH(C417)</f>
        <v>5</v>
      </c>
      <c r="F417" s="68" t="n">
        <f aca="false">INT((53-1)/12)+1</f>
        <v>5</v>
      </c>
      <c r="G417" s="15" t="n">
        <f aca="false">Ipotesi!I7</f>
        <v>1</v>
      </c>
      <c r="H417" s="15" t="n">
        <f aca="false">Ipotesi!I9</f>
        <v>1</v>
      </c>
      <c r="I417" s="15" t="n">
        <f aca="false">Ipotesi!I10</f>
        <v>1</v>
      </c>
      <c r="J417" s="15" t="n">
        <f aca="false">Ipotesi!I11</f>
        <v>1</v>
      </c>
      <c r="K417" s="15" t="n">
        <f aca="false">Ipotesi!I12</f>
        <v>1</v>
      </c>
      <c r="L417" s="15" t="n">
        <f aca="false">Ipotesi!I13</f>
        <v>90</v>
      </c>
      <c r="M417" s="17" t="n">
        <f aca="false">INDEX(Ipotesi!$C$40:$G$40,1,F417)</f>
        <v>1</v>
      </c>
      <c r="N417" s="17" t="n">
        <f aca="false">INDEX(Ipotesi!$C$41:$G$41,1,F417)</f>
        <v>1</v>
      </c>
      <c r="O417" s="17" t="n">
        <f aca="false">INDEX(Ipotesi!$C$42:$G$42,1,F417)*Ipotesi!I125</f>
        <v>8.5</v>
      </c>
      <c r="P417" s="17" t="n">
        <f aca="false">INDEX(Ipotesi!$C$43:$G$43,1,F417)*I417</f>
        <v>7</v>
      </c>
      <c r="Q417" s="17" t="n">
        <f aca="false">INDEX(Ipotesi!$C$44:$G$44,1,F417)*I417</f>
        <v>6</v>
      </c>
      <c r="R417" s="17" t="n">
        <f aca="false">INDEX(Ipotesi!$C$45:$G$45,1,F417)*I417</f>
        <v>2</v>
      </c>
      <c r="S417" s="17" t="n">
        <f aca="false">INDEX(Ipotesi!$C$52:$G$52,1,F417)*Ipotesi!I125</f>
        <v>9</v>
      </c>
      <c r="T417" s="17" t="n">
        <f aca="false">INDEX(Ipotesi!$C$53:$G$53,1,F417)*I417</f>
        <v>1</v>
      </c>
      <c r="U417" s="17" t="n">
        <f aca="false">INDEX(Ipotesi!$C$54:$G$54,1,F417)*I417</f>
        <v>1</v>
      </c>
      <c r="V417" s="15" t="n">
        <f aca="false">M417*INDEX(Ipotesi!$C$58:$G$58,1,F417)*K417/12</f>
        <v>8333.33333333333</v>
      </c>
      <c r="W417" s="15" t="n">
        <f aca="false">N417*Ipotesi!$C$59*(1+Ipotesi!$C$66)^(F417-1)/12</f>
        <v>6565.46805833334</v>
      </c>
      <c r="X417" s="15" t="n">
        <f aca="false">O417*Ipotesi!$C$60*(1+Ipotesi!$C$66)^(F417-1)/12</f>
        <v>39861.7703541667</v>
      </c>
      <c r="Y417" s="15" t="n">
        <f aca="false">P417*Ipotesi!$C$61*(1+Ipotesi!$C$66)^(F417-1)/12</f>
        <v>32827.3402916667</v>
      </c>
      <c r="Z417" s="15" t="n">
        <f aca="false">Q417*Ipotesi!$C$62*(1+Ipotesi!$C$66)^(F417-1)/12</f>
        <v>25323.948225</v>
      </c>
      <c r="AA417" s="15" t="n">
        <f aca="false">R417*Ipotesi!$C$63*(1+Ipotesi!$C$66)^(F417-1)/12</f>
        <v>6565.46805833334</v>
      </c>
      <c r="AB417" s="15" t="n">
        <f aca="false">SUM(V417:AA417)</f>
        <v>119477.328320833</v>
      </c>
      <c r="AC417" s="15" t="n">
        <f aca="false">(S417*Ipotesi!$C$64+T417*Ipotesi!$C$65+U417*Ipotesi!$C$63)*(1+Ipotesi!$C$66)^(F417-1)/12</f>
        <v>44363.8055941667</v>
      </c>
      <c r="AD417" s="15" t="n">
        <f aca="false">INDEX(Ipotesi!$C$48:$G$48,1,F417)*G417/12</f>
        <v>95.8333333333333</v>
      </c>
      <c r="AE417" s="15" t="n">
        <f aca="false">INDEX(Ipotesi!$C$50:$G$50,1,F417)*G417/12</f>
        <v>9.58333333333333</v>
      </c>
      <c r="AF417" s="15" t="n">
        <f aca="false">(S417*Parametri_v3!$C$7*Parametri_v3!$C$8+Parametri_v3!$C$10)/12</f>
        <v>115.5</v>
      </c>
      <c r="AG417" s="15" t="n">
        <f aca="false">AD417+AE417*(1+Parametri_v3!$C$9)</f>
        <v>110.208333333333</v>
      </c>
      <c r="AH417" s="16" t="n">
        <f aca="false">IF(AG417=0,1,MIN(1,AF417/AG417))</f>
        <v>1</v>
      </c>
      <c r="AI417" s="15" t="n">
        <f aca="false">AD417*AH417</f>
        <v>95.8333333333333</v>
      </c>
      <c r="AJ417" s="15" t="n">
        <f aca="false">AE417*AH417</f>
        <v>9.58333333333333</v>
      </c>
      <c r="AK417" s="15" t="n">
        <f aca="false">AI417*INDEX(Ipotesi!$C$49:$G$49,1,F417)*H417</f>
        <v>91041.6666666667</v>
      </c>
      <c r="AL417" s="15" t="n">
        <f aca="false">AJ417*INDEX(Ipotesi!$C$51:$G$51,1,F417)*H417</f>
        <v>24916.6666666667</v>
      </c>
      <c r="AM417" s="15" t="n">
        <f aca="false">AK417+AL417</f>
        <v>115958.333333333</v>
      </c>
      <c r="AN417" s="15" t="n">
        <f aca="false">INDEX(Ipotesi!$C$30:$G$30,1,F417)*G417/12</f>
        <v>81.6666666666667</v>
      </c>
      <c r="AO417" s="15" t="n">
        <f aca="false">O417*Parametri_v3!$C$7*Parametri_v3!$C$11*(1-Parametri_v3!$C$14)/12</f>
        <v>87.2666666666667</v>
      </c>
      <c r="AP417" s="15" t="n">
        <f aca="false">MIN(AN417,AO417)</f>
        <v>81.6666666666667</v>
      </c>
      <c r="AQ417" s="15" t="n">
        <f aca="false">AP417*INDEX(Ipotesi!$C$31:$G$31,1,F417)*H417</f>
        <v>89833.3333333333</v>
      </c>
      <c r="AR417" s="15" t="n">
        <f aca="false">INDEX(Ipotesi!$C$75:$G$75,1,F417)*J417/12</f>
        <v>35833.3333333333</v>
      </c>
      <c r="AS417" s="15" t="n">
        <f aca="false">INDEX(Ipotesi!$C$81:$G$81,1,F417)*J417/12</f>
        <v>2083.33333333333</v>
      </c>
      <c r="AT417" s="15" t="n">
        <f aca="false">AR417*Parametri_v3!$C$15+Z417*Parametri_v3!$C$16</f>
        <v>53560.0970908333</v>
      </c>
      <c r="AU417" s="15" t="n">
        <f aca="false">Q417*Parametri_v3!$C$16*Parametri_v3!$C$17</f>
        <v>420</v>
      </c>
      <c r="AV417" s="17" t="n">
        <f aca="false">BD416</f>
        <v>176.965126031046</v>
      </c>
      <c r="AW417" s="17" t="n">
        <f aca="false">AV417*(1-(1-INDEX(Ipotesi!$C$34:$G$34,1,F417))^(1/12))</f>
        <v>1.54696028431228</v>
      </c>
      <c r="AX417" s="15" t="n">
        <f aca="false">ROUND(INDEX(Ipotesi!$C$32:$G$32,1,F417)*Ipotesi!I8,0)</f>
        <v>560</v>
      </c>
      <c r="AY417" s="15" t="n">
        <f aca="false">MAX(0,(AX417-(AV417-AW417))/(13-E417))</f>
        <v>48.0727292816583</v>
      </c>
      <c r="AZ417" s="15" t="n">
        <f aca="false">MIN(P417*Parametri_v3!$C$22,Q417*(1-Parametri_v3!$C$16)*Parametri_v3!$C$23)</f>
        <v>270</v>
      </c>
      <c r="BA417" s="15" t="n">
        <f aca="false">IF(OR(INDEX(Ipotesi!$C$35:$G$35,1,F417)&lt;=0,53-Parametri_v3!$C$21&lt;1),0,INDEX($AT$365:$AT$424,MAX(1,53-Parametri_v3!$C$21))/(INDEX(Ipotesi!$C$35:$G$35,1,F417)*Ipotesi!I27))</f>
        <v>8.24001493705128</v>
      </c>
      <c r="BB417" s="15" t="n">
        <f aca="false">IF(53-Parametri_v3!$C$21&lt;1,0,INDEX($AU$365:$AU$424,MAX(1,53-Parametri_v3!$C$21)))*Parametri_v3!$C$18*Parametri_v3!$C$19*Parametri_v3!$C$20</f>
        <v>15.75</v>
      </c>
      <c r="BC417" s="17" t="n">
        <f aca="false">MAX(0,MIN(AY417,BA417,BB417,MAX(0,AZ417-(AV417-AW417))))</f>
        <v>8.24001493705128</v>
      </c>
      <c r="BD417" s="17" t="n">
        <f aca="false">AV417-AW417+BC417</f>
        <v>183.658180683785</v>
      </c>
      <c r="BE417" s="17" t="n">
        <f aca="false">(AV417+BD417)/2</f>
        <v>180.311653357415</v>
      </c>
      <c r="BF417" s="15" t="n">
        <f aca="false">BE417*INDEX(Ipotesi!$C$33:$G$33,1,F417)*H417/12</f>
        <v>93161.0209013312</v>
      </c>
      <c r="BG417" s="15" t="n">
        <f aca="false">BD417*INDEX(Ipotesi!$C$33:$G$33,1,F417)*H417</f>
        <v>1138680.72023947</v>
      </c>
      <c r="BH417" s="15" t="n">
        <f aca="false">AM417*INDEX(Ipotesi!$C$37:$G$37,1,F417)</f>
        <v>11595.8333333333</v>
      </c>
      <c r="BI417" s="15" t="n">
        <f aca="false">AQ417+BF417+BH417</f>
        <v>194590.187567998</v>
      </c>
      <c r="BJ417" s="15" t="n">
        <f aca="false">INDEX(Ipotesi!$C$68:$G$68,1,F417)*Ipotesi!$C$69/12</f>
        <v>3333.33333333333</v>
      </c>
      <c r="BK417" s="15" t="n">
        <f aca="false">INDEX(Ipotesi!$C$68:$G$68,1,F417)*(1-Ipotesi!$C$69)/12</f>
        <v>5000</v>
      </c>
      <c r="BL417" s="15" t="n">
        <f aca="false">(AQ417+BF417)*Ipotesi!$C$67</f>
        <v>5489.83062703994</v>
      </c>
      <c r="BM417" s="15" t="n">
        <f aca="false">AM417*Ipotesi!$C$67</f>
        <v>3478.75</v>
      </c>
      <c r="BN417" s="15" t="n">
        <f aca="false">INDEX(Ipotesi!$C$72:$G$72,1,F417)/12*Ipotesi!I126+BF417*Ipotesi!$C$73</f>
        <v>8702.8816721065</v>
      </c>
      <c r="BO417" s="15" t="n">
        <f aca="false">INDEX(Ipotesi!$C$74:$G$74,1,F417)/12*Ipotesi!I126</f>
        <v>5416.66666666667</v>
      </c>
      <c r="BP417" s="15" t="n">
        <f aca="false">INDEX(Ipotesi!$C$76:$G$76,1,F417)/12</f>
        <v>1916.66666666667</v>
      </c>
      <c r="BQ417" s="15" t="n">
        <f aca="false">INDEX(Ipotesi!$C$77:$G$77,1,F417)/12*Ipotesi!I126</f>
        <v>2500</v>
      </c>
      <c r="BR417" s="15" t="n">
        <f aca="false">INDEX(Ipotesi!$C$78:$G$78,1,F417)/12</f>
        <v>2333.33333333333</v>
      </c>
      <c r="BS417" s="15" t="n">
        <f aca="false">SUM(M417:R417)*(Ipotesi!$C$85+Ipotesi!$C$86)/12</f>
        <v>7437.5</v>
      </c>
      <c r="BT417" s="15" t="n">
        <f aca="false">BI417*Ipotesi!$C$87</f>
        <v>5837.70562703994</v>
      </c>
      <c r="BU417" s="15" t="n">
        <f aca="false">INDEX(Ipotesi!$C$55:$G$55,1,F417)*K417/12</f>
        <v>2000</v>
      </c>
      <c r="BV417" s="15" t="n">
        <f aca="false">INDEX(Ipotesi!$C$80:$G$80,1,F417)/12*Ipotesi!I126</f>
        <v>2083.33333333333</v>
      </c>
      <c r="BW417" s="15" t="n">
        <f aca="false">INDEX(Ipotesi!$C$82:$G$82,1,F417)/12</f>
        <v>1500</v>
      </c>
      <c r="BX417" s="15" t="n">
        <f aca="false">INDEX(Ipotesi!$C$83:$G$83,1,F417)/12</f>
        <v>833.333333333333</v>
      </c>
      <c r="BY417" s="15" t="n">
        <f aca="false">SUM(S417:U417)*(Ipotesi!$C$85+Ipotesi!$C$86)/12</f>
        <v>3208.33333333333</v>
      </c>
      <c r="BZ417" s="15" t="n">
        <f aca="false">AM417*Ipotesi!$C$87</f>
        <v>3478.75</v>
      </c>
      <c r="CA417" s="15" t="n">
        <f aca="false">AB417+BJ417+BL417+BN417+BO417+AR417+BP417+BQ417+BR417+BS417+BT417</f>
        <v>198278.579580353</v>
      </c>
      <c r="CB417" s="15" t="n">
        <f aca="false">AC417+BK417+BM417+BH417+BU417+BV417+AS417+BW417+BX417+BY417+BZ417</f>
        <v>79625.4722608333</v>
      </c>
      <c r="CC417" s="15" t="n">
        <f aca="false">BI417-CA417</f>
        <v>-3688.39201235518</v>
      </c>
      <c r="CD417" s="15" t="n">
        <f aca="false">AM417-CB417</f>
        <v>36332.8610725</v>
      </c>
      <c r="CE417" s="15" t="n">
        <f aca="false">INDEX(Ipotesi!$C$79:$G$79,1,F417)/12</f>
        <v>4166.66666666667</v>
      </c>
      <c r="CF417" s="15" t="n">
        <f aca="false">INDEX(Ipotesi!$C$84:$G$84,1,F417)/12</f>
        <v>666.666666666667</v>
      </c>
      <c r="CG417" s="15" t="n">
        <f aca="false">Y417*MAX(0,Parametri_v3!$C$12-IF(P417=0,0,MIN(1,BE417/(P417*Parametri_v3!$C$22))))+W417*Parametri_v3!$C$13+X417*Parametri_v3!$C$14</f>
        <v>35626.4969583568</v>
      </c>
      <c r="CH417" s="15" t="n">
        <f aca="false">AB417*Parametri_v3!$C$32</f>
        <v>5973.86641604167</v>
      </c>
      <c r="CI417" s="15" t="n">
        <f aca="false">AC417*Parametri_v3!$C$32</f>
        <v>2218.19027970833</v>
      </c>
      <c r="CJ417" s="15" t="n">
        <f aca="false">CA417-AB417</f>
        <v>78801.2512595197</v>
      </c>
      <c r="CK417" s="15" t="n">
        <f aca="false">CB417-AC417-BH417</f>
        <v>23665.8333333333</v>
      </c>
      <c r="CL417" s="15" t="n">
        <f aca="false">BF417*Ipotesi!$C$73+INDEX(Ipotesi!$C$72:$G$72,1,F417)/12*Ipotesi!I126*Parametri_v3!$C$58+Z417*(1-Parametri_v3!$C$16)</f>
        <v>16300.0661396065</v>
      </c>
      <c r="CM417" s="16" t="n">
        <f aca="false">IF(BF417=0,0,1-CL417/BF417)</f>
        <v>0.825033410090361</v>
      </c>
    </row>
    <row r="418" customFormat="false" ht="18" hidden="false" customHeight="true" outlineLevel="0" collapsed="false">
      <c r="A418" s="68" t="n">
        <f aca="false">7</f>
        <v>7</v>
      </c>
      <c r="B418" s="68" t="n">
        <f aca="false">54</f>
        <v>54</v>
      </c>
      <c r="C418" s="18" t="n">
        <f aca="false">EDATE(Parametri_v3!$C$5,54-1)</f>
        <v>48000</v>
      </c>
      <c r="D418" s="68" t="n">
        <f aca="false">YEAR(C418)</f>
        <v>2031</v>
      </c>
      <c r="E418" s="68" t="n">
        <f aca="false">MONTH(C418)</f>
        <v>6</v>
      </c>
      <c r="F418" s="68" t="n">
        <f aca="false">INT((54-1)/12)+1</f>
        <v>5</v>
      </c>
      <c r="G418" s="15" t="n">
        <f aca="false">Ipotesi!I7</f>
        <v>1</v>
      </c>
      <c r="H418" s="15" t="n">
        <f aca="false">Ipotesi!I9</f>
        <v>1</v>
      </c>
      <c r="I418" s="15" t="n">
        <f aca="false">Ipotesi!I10</f>
        <v>1</v>
      </c>
      <c r="J418" s="15" t="n">
        <f aca="false">Ipotesi!I11</f>
        <v>1</v>
      </c>
      <c r="K418" s="15" t="n">
        <f aca="false">Ipotesi!I12</f>
        <v>1</v>
      </c>
      <c r="L418" s="15" t="n">
        <f aca="false">Ipotesi!I13</f>
        <v>90</v>
      </c>
      <c r="M418" s="17" t="n">
        <f aca="false">INDEX(Ipotesi!$C$40:$G$40,1,F418)</f>
        <v>1</v>
      </c>
      <c r="N418" s="17" t="n">
        <f aca="false">INDEX(Ipotesi!$C$41:$G$41,1,F418)</f>
        <v>1</v>
      </c>
      <c r="O418" s="17" t="n">
        <f aca="false">INDEX(Ipotesi!$C$42:$G$42,1,F418)*Ipotesi!I125</f>
        <v>8.5</v>
      </c>
      <c r="P418" s="17" t="n">
        <f aca="false">INDEX(Ipotesi!$C$43:$G$43,1,F418)*I418</f>
        <v>7</v>
      </c>
      <c r="Q418" s="17" t="n">
        <f aca="false">INDEX(Ipotesi!$C$44:$G$44,1,F418)*I418</f>
        <v>6</v>
      </c>
      <c r="R418" s="17" t="n">
        <f aca="false">INDEX(Ipotesi!$C$45:$G$45,1,F418)*I418</f>
        <v>2</v>
      </c>
      <c r="S418" s="17" t="n">
        <f aca="false">INDEX(Ipotesi!$C$52:$G$52,1,F418)*Ipotesi!I125</f>
        <v>9</v>
      </c>
      <c r="T418" s="17" t="n">
        <f aca="false">INDEX(Ipotesi!$C$53:$G$53,1,F418)*I418</f>
        <v>1</v>
      </c>
      <c r="U418" s="17" t="n">
        <f aca="false">INDEX(Ipotesi!$C$54:$G$54,1,F418)*I418</f>
        <v>1</v>
      </c>
      <c r="V418" s="15" t="n">
        <f aca="false">M418*INDEX(Ipotesi!$C$58:$G$58,1,F418)*K418/12</f>
        <v>8333.33333333333</v>
      </c>
      <c r="W418" s="15" t="n">
        <f aca="false">N418*Ipotesi!$C$59*(1+Ipotesi!$C$66)^(F418-1)/12</f>
        <v>6565.46805833334</v>
      </c>
      <c r="X418" s="15" t="n">
        <f aca="false">O418*Ipotesi!$C$60*(1+Ipotesi!$C$66)^(F418-1)/12</f>
        <v>39861.7703541667</v>
      </c>
      <c r="Y418" s="15" t="n">
        <f aca="false">P418*Ipotesi!$C$61*(1+Ipotesi!$C$66)^(F418-1)/12</f>
        <v>32827.3402916667</v>
      </c>
      <c r="Z418" s="15" t="n">
        <f aca="false">Q418*Ipotesi!$C$62*(1+Ipotesi!$C$66)^(F418-1)/12</f>
        <v>25323.948225</v>
      </c>
      <c r="AA418" s="15" t="n">
        <f aca="false">R418*Ipotesi!$C$63*(1+Ipotesi!$C$66)^(F418-1)/12</f>
        <v>6565.46805833334</v>
      </c>
      <c r="AB418" s="15" t="n">
        <f aca="false">SUM(V418:AA418)</f>
        <v>119477.328320833</v>
      </c>
      <c r="AC418" s="15" t="n">
        <f aca="false">(S418*Ipotesi!$C$64+T418*Ipotesi!$C$65+U418*Ipotesi!$C$63)*(1+Ipotesi!$C$66)^(F418-1)/12</f>
        <v>44363.8055941667</v>
      </c>
      <c r="AD418" s="15" t="n">
        <f aca="false">INDEX(Ipotesi!$C$48:$G$48,1,F418)*G418/12</f>
        <v>95.8333333333333</v>
      </c>
      <c r="AE418" s="15" t="n">
        <f aca="false">INDEX(Ipotesi!$C$50:$G$50,1,F418)*G418/12</f>
        <v>9.58333333333333</v>
      </c>
      <c r="AF418" s="15" t="n">
        <f aca="false">(S418*Parametri_v3!$C$7*Parametri_v3!$C$8+Parametri_v3!$C$10)/12</f>
        <v>115.5</v>
      </c>
      <c r="AG418" s="15" t="n">
        <f aca="false">AD418+AE418*(1+Parametri_v3!$C$9)</f>
        <v>110.208333333333</v>
      </c>
      <c r="AH418" s="16" t="n">
        <f aca="false">IF(AG418=0,1,MIN(1,AF418/AG418))</f>
        <v>1</v>
      </c>
      <c r="AI418" s="15" t="n">
        <f aca="false">AD418*AH418</f>
        <v>95.8333333333333</v>
      </c>
      <c r="AJ418" s="15" t="n">
        <f aca="false">AE418*AH418</f>
        <v>9.58333333333333</v>
      </c>
      <c r="AK418" s="15" t="n">
        <f aca="false">AI418*INDEX(Ipotesi!$C$49:$G$49,1,F418)*H418</f>
        <v>91041.6666666667</v>
      </c>
      <c r="AL418" s="15" t="n">
        <f aca="false">AJ418*INDEX(Ipotesi!$C$51:$G$51,1,F418)*H418</f>
        <v>24916.6666666667</v>
      </c>
      <c r="AM418" s="15" t="n">
        <f aca="false">AK418+AL418</f>
        <v>115958.333333333</v>
      </c>
      <c r="AN418" s="15" t="n">
        <f aca="false">INDEX(Ipotesi!$C$30:$G$30,1,F418)*G418/12</f>
        <v>81.6666666666667</v>
      </c>
      <c r="AO418" s="15" t="n">
        <f aca="false">O418*Parametri_v3!$C$7*Parametri_v3!$C$11*(1-Parametri_v3!$C$14)/12</f>
        <v>87.2666666666667</v>
      </c>
      <c r="AP418" s="15" t="n">
        <f aca="false">MIN(AN418,AO418)</f>
        <v>81.6666666666667</v>
      </c>
      <c r="AQ418" s="15" t="n">
        <f aca="false">AP418*INDEX(Ipotesi!$C$31:$G$31,1,F418)*H418</f>
        <v>89833.3333333333</v>
      </c>
      <c r="AR418" s="15" t="n">
        <f aca="false">INDEX(Ipotesi!$C$75:$G$75,1,F418)*J418/12</f>
        <v>35833.3333333333</v>
      </c>
      <c r="AS418" s="15" t="n">
        <f aca="false">INDEX(Ipotesi!$C$81:$G$81,1,F418)*J418/12</f>
        <v>2083.33333333333</v>
      </c>
      <c r="AT418" s="15" t="n">
        <f aca="false">AR418*Parametri_v3!$C$15+Z418*Parametri_v3!$C$16</f>
        <v>53560.0970908333</v>
      </c>
      <c r="AU418" s="15" t="n">
        <f aca="false">Q418*Parametri_v3!$C$16*Parametri_v3!$C$17</f>
        <v>420</v>
      </c>
      <c r="AV418" s="17" t="n">
        <f aca="false">BD417</f>
        <v>183.658180683785</v>
      </c>
      <c r="AW418" s="17" t="n">
        <f aca="false">AV418*(1-(1-INDEX(Ipotesi!$C$34:$G$34,1,F418))^(1/12))</f>
        <v>1.60546836418504</v>
      </c>
      <c r="AX418" s="15" t="n">
        <f aca="false">ROUND(INDEX(Ipotesi!$C$32:$G$32,1,F418)*Ipotesi!I8,0)</f>
        <v>560</v>
      </c>
      <c r="AY418" s="15" t="n">
        <f aca="false">MAX(0,(AX418-(AV418-AW418))/(13-E418))</f>
        <v>53.9924696686286</v>
      </c>
      <c r="AZ418" s="15" t="n">
        <f aca="false">MIN(P418*Parametri_v3!$C$22,Q418*(1-Parametri_v3!$C$16)*Parametri_v3!$C$23)</f>
        <v>270</v>
      </c>
      <c r="BA418" s="15" t="n">
        <f aca="false">IF(OR(INDEX(Ipotesi!$C$35:$G$35,1,F418)&lt;=0,54-Parametri_v3!$C$21&lt;1),0,INDEX($AT$365:$AT$424,MAX(1,54-Parametri_v3!$C$21))/(INDEX(Ipotesi!$C$35:$G$35,1,F418)*Ipotesi!I27))</f>
        <v>8.24001493705128</v>
      </c>
      <c r="BB418" s="15" t="n">
        <f aca="false">IF(54-Parametri_v3!$C$21&lt;1,0,INDEX($AU$365:$AU$424,MAX(1,54-Parametri_v3!$C$21)))*Parametri_v3!$C$18*Parametri_v3!$C$19*Parametri_v3!$C$20</f>
        <v>15.75</v>
      </c>
      <c r="BC418" s="17" t="n">
        <f aca="false">MAX(0,MIN(AY418,BA418,BB418,MAX(0,AZ418-(AV418-AW418))))</f>
        <v>8.24001493705128</v>
      </c>
      <c r="BD418" s="17" t="n">
        <f aca="false">AV418-AW418+BC418</f>
        <v>190.292727256651</v>
      </c>
      <c r="BE418" s="17" t="n">
        <f aca="false">(AV418+BD418)/2</f>
        <v>186.975453970218</v>
      </c>
      <c r="BF418" s="15" t="n">
        <f aca="false">BE418*INDEX(Ipotesi!$C$33:$G$33,1,F418)*H418/12</f>
        <v>96603.9845512792</v>
      </c>
      <c r="BG418" s="15" t="n">
        <f aca="false">BD418*INDEX(Ipotesi!$C$33:$G$33,1,F418)*H418</f>
        <v>1179814.90899124</v>
      </c>
      <c r="BH418" s="15" t="n">
        <f aca="false">AM418*INDEX(Ipotesi!$C$37:$G$37,1,F418)</f>
        <v>11595.8333333333</v>
      </c>
      <c r="BI418" s="15" t="n">
        <f aca="false">AQ418+BF418+BH418</f>
        <v>198033.151217946</v>
      </c>
      <c r="BJ418" s="15" t="n">
        <f aca="false">INDEX(Ipotesi!$C$68:$G$68,1,F418)*Ipotesi!$C$69/12</f>
        <v>3333.33333333333</v>
      </c>
      <c r="BK418" s="15" t="n">
        <f aca="false">INDEX(Ipotesi!$C$68:$G$68,1,F418)*(1-Ipotesi!$C$69)/12</f>
        <v>5000</v>
      </c>
      <c r="BL418" s="15" t="n">
        <f aca="false">(AQ418+BF418)*Ipotesi!$C$67</f>
        <v>5593.11953653838</v>
      </c>
      <c r="BM418" s="15" t="n">
        <f aca="false">AM418*Ipotesi!$C$67</f>
        <v>3478.75</v>
      </c>
      <c r="BN418" s="15" t="n">
        <f aca="false">INDEX(Ipotesi!$C$72:$G$72,1,F418)/12*Ipotesi!I126+BF418*Ipotesi!$C$73</f>
        <v>8978.31876410234</v>
      </c>
      <c r="BO418" s="15" t="n">
        <f aca="false">INDEX(Ipotesi!$C$74:$G$74,1,F418)/12*Ipotesi!I126</f>
        <v>5416.66666666667</v>
      </c>
      <c r="BP418" s="15" t="n">
        <f aca="false">INDEX(Ipotesi!$C$76:$G$76,1,F418)/12</f>
        <v>1916.66666666667</v>
      </c>
      <c r="BQ418" s="15" t="n">
        <f aca="false">INDEX(Ipotesi!$C$77:$G$77,1,F418)/12*Ipotesi!I126</f>
        <v>2500</v>
      </c>
      <c r="BR418" s="15" t="n">
        <f aca="false">INDEX(Ipotesi!$C$78:$G$78,1,F418)/12</f>
        <v>2333.33333333333</v>
      </c>
      <c r="BS418" s="15" t="n">
        <f aca="false">SUM(M418:R418)*(Ipotesi!$C$85+Ipotesi!$C$86)/12</f>
        <v>7437.5</v>
      </c>
      <c r="BT418" s="15" t="n">
        <f aca="false">BI418*Ipotesi!$C$87</f>
        <v>5940.99453653838</v>
      </c>
      <c r="BU418" s="15" t="n">
        <f aca="false">INDEX(Ipotesi!$C$55:$G$55,1,F418)*K418/12</f>
        <v>2000</v>
      </c>
      <c r="BV418" s="15" t="n">
        <f aca="false">INDEX(Ipotesi!$C$80:$G$80,1,F418)/12*Ipotesi!I126</f>
        <v>2083.33333333333</v>
      </c>
      <c r="BW418" s="15" t="n">
        <f aca="false">INDEX(Ipotesi!$C$82:$G$82,1,F418)/12</f>
        <v>1500</v>
      </c>
      <c r="BX418" s="15" t="n">
        <f aca="false">INDEX(Ipotesi!$C$83:$G$83,1,F418)/12</f>
        <v>833.333333333333</v>
      </c>
      <c r="BY418" s="15" t="n">
        <f aca="false">SUM(S418:U418)*(Ipotesi!$C$85+Ipotesi!$C$86)/12</f>
        <v>3208.33333333333</v>
      </c>
      <c r="BZ418" s="15" t="n">
        <f aca="false">AM418*Ipotesi!$C$87</f>
        <v>3478.75</v>
      </c>
      <c r="CA418" s="15" t="n">
        <f aca="false">AB418+BJ418+BL418+BN418+BO418+AR418+BP418+BQ418+BR418+BS418+BT418</f>
        <v>198760.594491346</v>
      </c>
      <c r="CB418" s="15" t="n">
        <f aca="false">AC418+BK418+BM418+BH418+BU418+BV418+AS418+BW418+BX418+BY418+BZ418</f>
        <v>79625.4722608333</v>
      </c>
      <c r="CC418" s="15" t="n">
        <f aca="false">BI418-CA418</f>
        <v>-727.443273399869</v>
      </c>
      <c r="CD418" s="15" t="n">
        <f aca="false">AM418-CB418</f>
        <v>36332.8610725</v>
      </c>
      <c r="CE418" s="15" t="n">
        <f aca="false">INDEX(Ipotesi!$C$79:$G$79,1,F418)/12</f>
        <v>4166.66666666667</v>
      </c>
      <c r="CF418" s="15" t="n">
        <f aca="false">INDEX(Ipotesi!$C$84:$G$84,1,F418)/12</f>
        <v>666.666666666667</v>
      </c>
      <c r="CG418" s="15" t="n">
        <f aca="false">Y418*MAX(0,Parametri_v3!$C$12-IF(P418=0,0,MIN(1,BE418/(P418*Parametri_v3!$C$22))))+W418*Parametri_v3!$C$13+X418*Parametri_v3!$C$14</f>
        <v>35313.9900292821</v>
      </c>
      <c r="CH418" s="15" t="n">
        <f aca="false">AB418*Parametri_v3!$C$32</f>
        <v>5973.86641604167</v>
      </c>
      <c r="CI418" s="15" t="n">
        <f aca="false">AC418*Parametri_v3!$C$32</f>
        <v>2218.19027970833</v>
      </c>
      <c r="CJ418" s="15" t="n">
        <f aca="false">CA418-AB418</f>
        <v>79283.2661705124</v>
      </c>
      <c r="CK418" s="15" t="n">
        <f aca="false">CB418-AC418-BH418</f>
        <v>23665.8333333333</v>
      </c>
      <c r="CL418" s="15" t="n">
        <f aca="false">BF418*Ipotesi!$C$73+INDEX(Ipotesi!$C$72:$G$72,1,F418)/12*Ipotesi!I126*Parametri_v3!$C$58+Z418*(1-Parametri_v3!$C$16)</f>
        <v>16575.5032316023</v>
      </c>
      <c r="CM418" s="16" t="n">
        <f aca="false">IF(BF418=0,0,1-CL418/BF418)</f>
        <v>0.828418017035273</v>
      </c>
    </row>
    <row r="419" customFormat="false" ht="18" hidden="false" customHeight="true" outlineLevel="0" collapsed="false">
      <c r="A419" s="68" t="n">
        <f aca="false">7</f>
        <v>7</v>
      </c>
      <c r="B419" s="68" t="n">
        <f aca="false">55</f>
        <v>55</v>
      </c>
      <c r="C419" s="18" t="n">
        <f aca="false">EDATE(Parametri_v3!$C$5,55-1)</f>
        <v>48030</v>
      </c>
      <c r="D419" s="68" t="n">
        <f aca="false">YEAR(C419)</f>
        <v>2031</v>
      </c>
      <c r="E419" s="68" t="n">
        <f aca="false">MONTH(C419)</f>
        <v>7</v>
      </c>
      <c r="F419" s="68" t="n">
        <f aca="false">INT((55-1)/12)+1</f>
        <v>5</v>
      </c>
      <c r="G419" s="15" t="n">
        <f aca="false">Ipotesi!I7</f>
        <v>1</v>
      </c>
      <c r="H419" s="15" t="n">
        <f aca="false">Ipotesi!I9</f>
        <v>1</v>
      </c>
      <c r="I419" s="15" t="n">
        <f aca="false">Ipotesi!I10</f>
        <v>1</v>
      </c>
      <c r="J419" s="15" t="n">
        <f aca="false">Ipotesi!I11</f>
        <v>1</v>
      </c>
      <c r="K419" s="15" t="n">
        <f aca="false">Ipotesi!I12</f>
        <v>1</v>
      </c>
      <c r="L419" s="15" t="n">
        <f aca="false">Ipotesi!I13</f>
        <v>90</v>
      </c>
      <c r="M419" s="17" t="n">
        <f aca="false">INDEX(Ipotesi!$C$40:$G$40,1,F419)</f>
        <v>1</v>
      </c>
      <c r="N419" s="17" t="n">
        <f aca="false">INDEX(Ipotesi!$C$41:$G$41,1,F419)</f>
        <v>1</v>
      </c>
      <c r="O419" s="17" t="n">
        <f aca="false">INDEX(Ipotesi!$C$42:$G$42,1,F419)*Ipotesi!I125</f>
        <v>8.5</v>
      </c>
      <c r="P419" s="17" t="n">
        <f aca="false">INDEX(Ipotesi!$C$43:$G$43,1,F419)*I419</f>
        <v>7</v>
      </c>
      <c r="Q419" s="17" t="n">
        <f aca="false">INDEX(Ipotesi!$C$44:$G$44,1,F419)*I419</f>
        <v>6</v>
      </c>
      <c r="R419" s="17" t="n">
        <f aca="false">INDEX(Ipotesi!$C$45:$G$45,1,F419)*I419</f>
        <v>2</v>
      </c>
      <c r="S419" s="17" t="n">
        <f aca="false">INDEX(Ipotesi!$C$52:$G$52,1,F419)*Ipotesi!I125</f>
        <v>9</v>
      </c>
      <c r="T419" s="17" t="n">
        <f aca="false">INDEX(Ipotesi!$C$53:$G$53,1,F419)*I419</f>
        <v>1</v>
      </c>
      <c r="U419" s="17" t="n">
        <f aca="false">INDEX(Ipotesi!$C$54:$G$54,1,F419)*I419</f>
        <v>1</v>
      </c>
      <c r="V419" s="15" t="n">
        <f aca="false">M419*INDEX(Ipotesi!$C$58:$G$58,1,F419)*K419/12</f>
        <v>8333.33333333333</v>
      </c>
      <c r="W419" s="15" t="n">
        <f aca="false">N419*Ipotesi!$C$59*(1+Ipotesi!$C$66)^(F419-1)/12</f>
        <v>6565.46805833334</v>
      </c>
      <c r="X419" s="15" t="n">
        <f aca="false">O419*Ipotesi!$C$60*(1+Ipotesi!$C$66)^(F419-1)/12</f>
        <v>39861.7703541667</v>
      </c>
      <c r="Y419" s="15" t="n">
        <f aca="false">P419*Ipotesi!$C$61*(1+Ipotesi!$C$66)^(F419-1)/12</f>
        <v>32827.3402916667</v>
      </c>
      <c r="Z419" s="15" t="n">
        <f aca="false">Q419*Ipotesi!$C$62*(1+Ipotesi!$C$66)^(F419-1)/12</f>
        <v>25323.948225</v>
      </c>
      <c r="AA419" s="15" t="n">
        <f aca="false">R419*Ipotesi!$C$63*(1+Ipotesi!$C$66)^(F419-1)/12</f>
        <v>6565.46805833334</v>
      </c>
      <c r="AB419" s="15" t="n">
        <f aca="false">SUM(V419:AA419)</f>
        <v>119477.328320833</v>
      </c>
      <c r="AC419" s="15" t="n">
        <f aca="false">(S419*Ipotesi!$C$64+T419*Ipotesi!$C$65+U419*Ipotesi!$C$63)*(1+Ipotesi!$C$66)^(F419-1)/12</f>
        <v>44363.8055941667</v>
      </c>
      <c r="AD419" s="15" t="n">
        <f aca="false">INDEX(Ipotesi!$C$48:$G$48,1,F419)*G419/12</f>
        <v>95.8333333333333</v>
      </c>
      <c r="AE419" s="15" t="n">
        <f aca="false">INDEX(Ipotesi!$C$50:$G$50,1,F419)*G419/12</f>
        <v>9.58333333333333</v>
      </c>
      <c r="AF419" s="15" t="n">
        <f aca="false">(S419*Parametri_v3!$C$7*Parametri_v3!$C$8+Parametri_v3!$C$10)/12</f>
        <v>115.5</v>
      </c>
      <c r="AG419" s="15" t="n">
        <f aca="false">AD419+AE419*(1+Parametri_v3!$C$9)</f>
        <v>110.208333333333</v>
      </c>
      <c r="AH419" s="16" t="n">
        <f aca="false">IF(AG419=0,1,MIN(1,AF419/AG419))</f>
        <v>1</v>
      </c>
      <c r="AI419" s="15" t="n">
        <f aca="false">AD419*AH419</f>
        <v>95.8333333333333</v>
      </c>
      <c r="AJ419" s="15" t="n">
        <f aca="false">AE419*AH419</f>
        <v>9.58333333333333</v>
      </c>
      <c r="AK419" s="15" t="n">
        <f aca="false">AI419*INDEX(Ipotesi!$C$49:$G$49,1,F419)*H419</f>
        <v>91041.6666666667</v>
      </c>
      <c r="AL419" s="15" t="n">
        <f aca="false">AJ419*INDEX(Ipotesi!$C$51:$G$51,1,F419)*H419</f>
        <v>24916.6666666667</v>
      </c>
      <c r="AM419" s="15" t="n">
        <f aca="false">AK419+AL419</f>
        <v>115958.333333333</v>
      </c>
      <c r="AN419" s="15" t="n">
        <f aca="false">INDEX(Ipotesi!$C$30:$G$30,1,F419)*G419/12</f>
        <v>81.6666666666667</v>
      </c>
      <c r="AO419" s="15" t="n">
        <f aca="false">O419*Parametri_v3!$C$7*Parametri_v3!$C$11*(1-Parametri_v3!$C$14)/12</f>
        <v>87.2666666666667</v>
      </c>
      <c r="AP419" s="15" t="n">
        <f aca="false">MIN(AN419,AO419)</f>
        <v>81.6666666666667</v>
      </c>
      <c r="AQ419" s="15" t="n">
        <f aca="false">AP419*INDEX(Ipotesi!$C$31:$G$31,1,F419)*H419</f>
        <v>89833.3333333333</v>
      </c>
      <c r="AR419" s="15" t="n">
        <f aca="false">INDEX(Ipotesi!$C$75:$G$75,1,F419)*J419/12</f>
        <v>35833.3333333333</v>
      </c>
      <c r="AS419" s="15" t="n">
        <f aca="false">INDEX(Ipotesi!$C$81:$G$81,1,F419)*J419/12</f>
        <v>2083.33333333333</v>
      </c>
      <c r="AT419" s="15" t="n">
        <f aca="false">AR419*Parametri_v3!$C$15+Z419*Parametri_v3!$C$16</f>
        <v>53560.0970908333</v>
      </c>
      <c r="AU419" s="15" t="n">
        <f aca="false">Q419*Parametri_v3!$C$16*Parametri_v3!$C$17</f>
        <v>420</v>
      </c>
      <c r="AV419" s="17" t="n">
        <f aca="false">BD418</f>
        <v>190.292727256651</v>
      </c>
      <c r="AW419" s="17" t="n">
        <f aca="false">AV419*(1-(1-INDEX(Ipotesi!$C$34:$G$34,1,F419))^(1/12))</f>
        <v>1.66346498918586</v>
      </c>
      <c r="AX419" s="15" t="n">
        <f aca="false">ROUND(INDEX(Ipotesi!$C$32:$G$32,1,F419)*Ipotesi!I8,0)</f>
        <v>560</v>
      </c>
      <c r="AY419" s="15" t="n">
        <f aca="false">MAX(0,(AX419-(AV419-AW419))/(13-E419))</f>
        <v>61.8951229554225</v>
      </c>
      <c r="AZ419" s="15" t="n">
        <f aca="false">MIN(P419*Parametri_v3!$C$22,Q419*(1-Parametri_v3!$C$16)*Parametri_v3!$C$23)</f>
        <v>270</v>
      </c>
      <c r="BA419" s="15" t="n">
        <f aca="false">IF(OR(INDEX(Ipotesi!$C$35:$G$35,1,F419)&lt;=0,55-Parametri_v3!$C$21&lt;1),0,INDEX($AT$365:$AT$424,MAX(1,55-Parametri_v3!$C$21))/(INDEX(Ipotesi!$C$35:$G$35,1,F419)*Ipotesi!I27))</f>
        <v>8.24001493705128</v>
      </c>
      <c r="BB419" s="15" t="n">
        <f aca="false">IF(55-Parametri_v3!$C$21&lt;1,0,INDEX($AU$365:$AU$424,MAX(1,55-Parametri_v3!$C$21)))*Parametri_v3!$C$18*Parametri_v3!$C$19*Parametri_v3!$C$20</f>
        <v>15.75</v>
      </c>
      <c r="BC419" s="17" t="n">
        <f aca="false">MAX(0,MIN(AY419,BA419,BB419,MAX(0,AZ419-(AV419-AW419))))</f>
        <v>8.24001493705128</v>
      </c>
      <c r="BD419" s="17" t="n">
        <f aca="false">AV419-AW419+BC419</f>
        <v>196.869277204516</v>
      </c>
      <c r="BE419" s="17" t="n">
        <f aca="false">(AV419+BD419)/2</f>
        <v>193.581002230584</v>
      </c>
      <c r="BF419" s="15" t="n">
        <f aca="false">BE419*INDEX(Ipotesi!$C$33:$G$33,1,F419)*H419/12</f>
        <v>100016.851152468</v>
      </c>
      <c r="BG419" s="15" t="n">
        <f aca="false">BD419*INDEX(Ipotesi!$C$33:$G$33,1,F419)*H419</f>
        <v>1220589.518668</v>
      </c>
      <c r="BH419" s="15" t="n">
        <f aca="false">AM419*INDEX(Ipotesi!$C$37:$G$37,1,F419)</f>
        <v>11595.8333333333</v>
      </c>
      <c r="BI419" s="15" t="n">
        <f aca="false">AQ419+BF419+BH419</f>
        <v>201446.017819135</v>
      </c>
      <c r="BJ419" s="15" t="n">
        <f aca="false">INDEX(Ipotesi!$C$68:$G$68,1,F419)*Ipotesi!$C$69/12</f>
        <v>3333.33333333333</v>
      </c>
      <c r="BK419" s="15" t="n">
        <f aca="false">INDEX(Ipotesi!$C$68:$G$68,1,F419)*(1-Ipotesi!$C$69)/12</f>
        <v>5000</v>
      </c>
      <c r="BL419" s="15" t="n">
        <f aca="false">(AQ419+BF419)*Ipotesi!$C$67</f>
        <v>5695.50553457405</v>
      </c>
      <c r="BM419" s="15" t="n">
        <f aca="false">AM419*Ipotesi!$C$67</f>
        <v>3478.75</v>
      </c>
      <c r="BN419" s="15" t="n">
        <f aca="false">INDEX(Ipotesi!$C$72:$G$72,1,F419)/12*Ipotesi!I126+BF419*Ipotesi!$C$73</f>
        <v>9251.34809219746</v>
      </c>
      <c r="BO419" s="15" t="n">
        <f aca="false">INDEX(Ipotesi!$C$74:$G$74,1,F419)/12*Ipotesi!I126</f>
        <v>5416.66666666667</v>
      </c>
      <c r="BP419" s="15" t="n">
        <f aca="false">INDEX(Ipotesi!$C$76:$G$76,1,F419)/12</f>
        <v>1916.66666666667</v>
      </c>
      <c r="BQ419" s="15" t="n">
        <f aca="false">INDEX(Ipotesi!$C$77:$G$77,1,F419)/12*Ipotesi!I126</f>
        <v>2500</v>
      </c>
      <c r="BR419" s="15" t="n">
        <f aca="false">INDEX(Ipotesi!$C$78:$G$78,1,F419)/12</f>
        <v>2333.33333333333</v>
      </c>
      <c r="BS419" s="15" t="n">
        <f aca="false">SUM(M419:R419)*(Ipotesi!$C$85+Ipotesi!$C$86)/12</f>
        <v>7437.5</v>
      </c>
      <c r="BT419" s="15" t="n">
        <f aca="false">BI419*Ipotesi!$C$87</f>
        <v>6043.38053457405</v>
      </c>
      <c r="BU419" s="15" t="n">
        <f aca="false">INDEX(Ipotesi!$C$55:$G$55,1,F419)*K419/12</f>
        <v>2000</v>
      </c>
      <c r="BV419" s="15" t="n">
        <f aca="false">INDEX(Ipotesi!$C$80:$G$80,1,F419)/12*Ipotesi!I126</f>
        <v>2083.33333333333</v>
      </c>
      <c r="BW419" s="15" t="n">
        <f aca="false">INDEX(Ipotesi!$C$82:$G$82,1,F419)/12</f>
        <v>1500</v>
      </c>
      <c r="BX419" s="15" t="n">
        <f aca="false">INDEX(Ipotesi!$C$83:$G$83,1,F419)/12</f>
        <v>833.333333333333</v>
      </c>
      <c r="BY419" s="15" t="n">
        <f aca="false">SUM(S419:U419)*(Ipotesi!$C$85+Ipotesi!$C$86)/12</f>
        <v>3208.33333333333</v>
      </c>
      <c r="BZ419" s="15" t="n">
        <f aca="false">AM419*Ipotesi!$C$87</f>
        <v>3478.75</v>
      </c>
      <c r="CA419" s="15" t="n">
        <f aca="false">AB419+BJ419+BL419+BN419+BO419+AR419+BP419+BQ419+BR419+BS419+BT419</f>
        <v>199238.395815512</v>
      </c>
      <c r="CB419" s="15" t="n">
        <f aca="false">AC419+BK419+BM419+BH419+BU419+BV419+AS419+BW419+BX419+BY419+BZ419</f>
        <v>79625.4722608333</v>
      </c>
      <c r="CC419" s="15" t="n">
        <f aca="false">BI419-CA419</f>
        <v>2207.6220036227</v>
      </c>
      <c r="CD419" s="15" t="n">
        <f aca="false">AM419-CB419</f>
        <v>36332.8610725</v>
      </c>
      <c r="CE419" s="15" t="n">
        <f aca="false">INDEX(Ipotesi!$C$79:$G$79,1,F419)/12</f>
        <v>4166.66666666667</v>
      </c>
      <c r="CF419" s="15" t="n">
        <f aca="false">INDEX(Ipotesi!$C$84:$G$84,1,F419)/12</f>
        <v>666.666666666667</v>
      </c>
      <c r="CG419" s="15" t="n">
        <f aca="false">Y419*MAX(0,Parametri_v3!$C$12-IF(P419=0,0,MIN(1,BE419/(P419*Parametri_v3!$C$22))))+W419*Parametri_v3!$C$13+X419*Parametri_v3!$C$14</f>
        <v>35004.214914202</v>
      </c>
      <c r="CH419" s="15" t="n">
        <f aca="false">AB419*Parametri_v3!$C$32</f>
        <v>5973.86641604167</v>
      </c>
      <c r="CI419" s="15" t="n">
        <f aca="false">AC419*Parametri_v3!$C$32</f>
        <v>2218.19027970833</v>
      </c>
      <c r="CJ419" s="15" t="n">
        <f aca="false">CA419-AB419</f>
        <v>79761.0674946789</v>
      </c>
      <c r="CK419" s="15" t="n">
        <f aca="false">CB419-AC419-BH419</f>
        <v>23665.8333333333</v>
      </c>
      <c r="CL419" s="15" t="n">
        <f aca="false">BF419*Ipotesi!$C$73+INDEX(Ipotesi!$C$72:$G$72,1,F419)/12*Ipotesi!I126*Parametri_v3!$C$58+Z419*(1-Parametri_v3!$C$16)</f>
        <v>16848.5325596975</v>
      </c>
      <c r="CM419" s="16" t="n">
        <f aca="false">IF(BF419=0,0,1-CL419/BF419)</f>
        <v>0.831543061338603</v>
      </c>
    </row>
    <row r="420" customFormat="false" ht="18" hidden="false" customHeight="true" outlineLevel="0" collapsed="false">
      <c r="A420" s="68" t="n">
        <f aca="false">7</f>
        <v>7</v>
      </c>
      <c r="B420" s="68" t="n">
        <f aca="false">56</f>
        <v>56</v>
      </c>
      <c r="C420" s="18" t="n">
        <f aca="false">EDATE(Parametri_v3!$C$5,56-1)</f>
        <v>48061</v>
      </c>
      <c r="D420" s="68" t="n">
        <f aca="false">YEAR(C420)</f>
        <v>2031</v>
      </c>
      <c r="E420" s="68" t="n">
        <f aca="false">MONTH(C420)</f>
        <v>8</v>
      </c>
      <c r="F420" s="68" t="n">
        <f aca="false">INT((56-1)/12)+1</f>
        <v>5</v>
      </c>
      <c r="G420" s="15" t="n">
        <f aca="false">Ipotesi!I7</f>
        <v>1</v>
      </c>
      <c r="H420" s="15" t="n">
        <f aca="false">Ipotesi!I9</f>
        <v>1</v>
      </c>
      <c r="I420" s="15" t="n">
        <f aca="false">Ipotesi!I10</f>
        <v>1</v>
      </c>
      <c r="J420" s="15" t="n">
        <f aca="false">Ipotesi!I11</f>
        <v>1</v>
      </c>
      <c r="K420" s="15" t="n">
        <f aca="false">Ipotesi!I12</f>
        <v>1</v>
      </c>
      <c r="L420" s="15" t="n">
        <f aca="false">Ipotesi!I13</f>
        <v>90</v>
      </c>
      <c r="M420" s="17" t="n">
        <f aca="false">INDEX(Ipotesi!$C$40:$G$40,1,F420)</f>
        <v>1</v>
      </c>
      <c r="N420" s="17" t="n">
        <f aca="false">INDEX(Ipotesi!$C$41:$G$41,1,F420)</f>
        <v>1</v>
      </c>
      <c r="O420" s="17" t="n">
        <f aca="false">INDEX(Ipotesi!$C$42:$G$42,1,F420)*Ipotesi!I125</f>
        <v>8.5</v>
      </c>
      <c r="P420" s="17" t="n">
        <f aca="false">INDEX(Ipotesi!$C$43:$G$43,1,F420)*I420</f>
        <v>7</v>
      </c>
      <c r="Q420" s="17" t="n">
        <f aca="false">INDEX(Ipotesi!$C$44:$G$44,1,F420)*I420</f>
        <v>6</v>
      </c>
      <c r="R420" s="17" t="n">
        <f aca="false">INDEX(Ipotesi!$C$45:$G$45,1,F420)*I420</f>
        <v>2</v>
      </c>
      <c r="S420" s="17" t="n">
        <f aca="false">INDEX(Ipotesi!$C$52:$G$52,1,F420)*Ipotesi!I125</f>
        <v>9</v>
      </c>
      <c r="T420" s="17" t="n">
        <f aca="false">INDEX(Ipotesi!$C$53:$G$53,1,F420)*I420</f>
        <v>1</v>
      </c>
      <c r="U420" s="17" t="n">
        <f aca="false">INDEX(Ipotesi!$C$54:$G$54,1,F420)*I420</f>
        <v>1</v>
      </c>
      <c r="V420" s="15" t="n">
        <f aca="false">M420*INDEX(Ipotesi!$C$58:$G$58,1,F420)*K420/12</f>
        <v>8333.33333333333</v>
      </c>
      <c r="W420" s="15" t="n">
        <f aca="false">N420*Ipotesi!$C$59*(1+Ipotesi!$C$66)^(F420-1)/12</f>
        <v>6565.46805833334</v>
      </c>
      <c r="X420" s="15" t="n">
        <f aca="false">O420*Ipotesi!$C$60*(1+Ipotesi!$C$66)^(F420-1)/12</f>
        <v>39861.7703541667</v>
      </c>
      <c r="Y420" s="15" t="n">
        <f aca="false">P420*Ipotesi!$C$61*(1+Ipotesi!$C$66)^(F420-1)/12</f>
        <v>32827.3402916667</v>
      </c>
      <c r="Z420" s="15" t="n">
        <f aca="false">Q420*Ipotesi!$C$62*(1+Ipotesi!$C$66)^(F420-1)/12</f>
        <v>25323.948225</v>
      </c>
      <c r="AA420" s="15" t="n">
        <f aca="false">R420*Ipotesi!$C$63*(1+Ipotesi!$C$66)^(F420-1)/12</f>
        <v>6565.46805833334</v>
      </c>
      <c r="AB420" s="15" t="n">
        <f aca="false">SUM(V420:AA420)</f>
        <v>119477.328320833</v>
      </c>
      <c r="AC420" s="15" t="n">
        <f aca="false">(S420*Ipotesi!$C$64+T420*Ipotesi!$C$65+U420*Ipotesi!$C$63)*(1+Ipotesi!$C$66)^(F420-1)/12</f>
        <v>44363.8055941667</v>
      </c>
      <c r="AD420" s="15" t="n">
        <f aca="false">INDEX(Ipotesi!$C$48:$G$48,1,F420)*G420/12</f>
        <v>95.8333333333333</v>
      </c>
      <c r="AE420" s="15" t="n">
        <f aca="false">INDEX(Ipotesi!$C$50:$G$50,1,F420)*G420/12</f>
        <v>9.58333333333333</v>
      </c>
      <c r="AF420" s="15" t="n">
        <f aca="false">(S420*Parametri_v3!$C$7*Parametri_v3!$C$8+Parametri_v3!$C$10)/12</f>
        <v>115.5</v>
      </c>
      <c r="AG420" s="15" t="n">
        <f aca="false">AD420+AE420*(1+Parametri_v3!$C$9)</f>
        <v>110.208333333333</v>
      </c>
      <c r="AH420" s="16" t="n">
        <f aca="false">IF(AG420=0,1,MIN(1,AF420/AG420))</f>
        <v>1</v>
      </c>
      <c r="AI420" s="15" t="n">
        <f aca="false">AD420*AH420</f>
        <v>95.8333333333333</v>
      </c>
      <c r="AJ420" s="15" t="n">
        <f aca="false">AE420*AH420</f>
        <v>9.58333333333333</v>
      </c>
      <c r="AK420" s="15" t="n">
        <f aca="false">AI420*INDEX(Ipotesi!$C$49:$G$49,1,F420)*H420</f>
        <v>91041.6666666667</v>
      </c>
      <c r="AL420" s="15" t="n">
        <f aca="false">AJ420*INDEX(Ipotesi!$C$51:$G$51,1,F420)*H420</f>
        <v>24916.6666666667</v>
      </c>
      <c r="AM420" s="15" t="n">
        <f aca="false">AK420+AL420</f>
        <v>115958.333333333</v>
      </c>
      <c r="AN420" s="15" t="n">
        <f aca="false">INDEX(Ipotesi!$C$30:$G$30,1,F420)*G420/12</f>
        <v>81.6666666666667</v>
      </c>
      <c r="AO420" s="15" t="n">
        <f aca="false">O420*Parametri_v3!$C$7*Parametri_v3!$C$11*(1-Parametri_v3!$C$14)/12</f>
        <v>87.2666666666667</v>
      </c>
      <c r="AP420" s="15" t="n">
        <f aca="false">MIN(AN420,AO420)</f>
        <v>81.6666666666667</v>
      </c>
      <c r="AQ420" s="15" t="n">
        <f aca="false">AP420*INDEX(Ipotesi!$C$31:$G$31,1,F420)*H420</f>
        <v>89833.3333333333</v>
      </c>
      <c r="AR420" s="15" t="n">
        <f aca="false">INDEX(Ipotesi!$C$75:$G$75,1,F420)*J420/12</f>
        <v>35833.3333333333</v>
      </c>
      <c r="AS420" s="15" t="n">
        <f aca="false">INDEX(Ipotesi!$C$81:$G$81,1,F420)*J420/12</f>
        <v>2083.33333333333</v>
      </c>
      <c r="AT420" s="15" t="n">
        <f aca="false">AR420*Parametri_v3!$C$15+Z420*Parametri_v3!$C$16</f>
        <v>53560.0970908333</v>
      </c>
      <c r="AU420" s="15" t="n">
        <f aca="false">Q420*Parametri_v3!$C$16*Parametri_v3!$C$17</f>
        <v>420</v>
      </c>
      <c r="AV420" s="17" t="n">
        <f aca="false">BD419</f>
        <v>196.869277204516</v>
      </c>
      <c r="AW420" s="17" t="n">
        <f aca="false">AV420*(1-(1-INDEX(Ipotesi!$C$34:$G$34,1,F420))^(1/12))</f>
        <v>1.72095463025423</v>
      </c>
      <c r="AX420" s="15" t="n">
        <f aca="false">ROUND(INDEX(Ipotesi!$C$32:$G$32,1,F420)*Ipotesi!I8,0)</f>
        <v>560</v>
      </c>
      <c r="AY420" s="15" t="n">
        <f aca="false">MAX(0,(AX420-(AV420-AW420))/(13-E420))</f>
        <v>72.9703354851476</v>
      </c>
      <c r="AZ420" s="15" t="n">
        <f aca="false">MIN(P420*Parametri_v3!$C$22,Q420*(1-Parametri_v3!$C$16)*Parametri_v3!$C$23)</f>
        <v>270</v>
      </c>
      <c r="BA420" s="15" t="n">
        <f aca="false">IF(OR(INDEX(Ipotesi!$C$35:$G$35,1,F420)&lt;=0,56-Parametri_v3!$C$21&lt;1),0,INDEX($AT$365:$AT$424,MAX(1,56-Parametri_v3!$C$21))/(INDEX(Ipotesi!$C$35:$G$35,1,F420)*Ipotesi!I27))</f>
        <v>8.24001493705128</v>
      </c>
      <c r="BB420" s="15" t="n">
        <f aca="false">IF(56-Parametri_v3!$C$21&lt;1,0,INDEX($AU$365:$AU$424,MAX(1,56-Parametri_v3!$C$21)))*Parametri_v3!$C$18*Parametri_v3!$C$19*Parametri_v3!$C$20</f>
        <v>15.75</v>
      </c>
      <c r="BC420" s="17" t="n">
        <f aca="false">MAX(0,MIN(AY420,BA420,BB420,MAX(0,AZ420-(AV420-AW420))))</f>
        <v>8.24001493705128</v>
      </c>
      <c r="BD420" s="17" t="n">
        <f aca="false">AV420-AW420+BC420</f>
        <v>203.388337511314</v>
      </c>
      <c r="BE420" s="17" t="n">
        <f aca="false">(AV420+BD420)/2</f>
        <v>200.128807357915</v>
      </c>
      <c r="BF420" s="15" t="n">
        <f aca="false">BE420*INDEX(Ipotesi!$C$33:$G$33,1,F420)*H420/12</f>
        <v>103399.883801589</v>
      </c>
      <c r="BG420" s="15" t="n">
        <f aca="false">BD420*INDEX(Ipotesi!$C$33:$G$33,1,F420)*H420</f>
        <v>1261007.69257014</v>
      </c>
      <c r="BH420" s="15" t="n">
        <f aca="false">AM420*INDEX(Ipotesi!$C$37:$G$37,1,F420)</f>
        <v>11595.8333333333</v>
      </c>
      <c r="BI420" s="15" t="n">
        <f aca="false">AQ420+BF420+BH420</f>
        <v>204829.050468256</v>
      </c>
      <c r="BJ420" s="15" t="n">
        <f aca="false">INDEX(Ipotesi!$C$68:$G$68,1,F420)*Ipotesi!$C$69/12</f>
        <v>3333.33333333333</v>
      </c>
      <c r="BK420" s="15" t="n">
        <f aca="false">INDEX(Ipotesi!$C$68:$G$68,1,F420)*(1-Ipotesi!$C$69)/12</f>
        <v>5000</v>
      </c>
      <c r="BL420" s="15" t="n">
        <f aca="false">(AQ420+BF420)*Ipotesi!$C$67</f>
        <v>5796.99651404768</v>
      </c>
      <c r="BM420" s="15" t="n">
        <f aca="false">AM420*Ipotesi!$C$67</f>
        <v>3478.75</v>
      </c>
      <c r="BN420" s="15" t="n">
        <f aca="false">INDEX(Ipotesi!$C$72:$G$72,1,F420)/12*Ipotesi!I126+BF420*Ipotesi!$C$73</f>
        <v>9521.99070412715</v>
      </c>
      <c r="BO420" s="15" t="n">
        <f aca="false">INDEX(Ipotesi!$C$74:$G$74,1,F420)/12*Ipotesi!I126</f>
        <v>5416.66666666667</v>
      </c>
      <c r="BP420" s="15" t="n">
        <f aca="false">INDEX(Ipotesi!$C$76:$G$76,1,F420)/12</f>
        <v>1916.66666666667</v>
      </c>
      <c r="BQ420" s="15" t="n">
        <f aca="false">INDEX(Ipotesi!$C$77:$G$77,1,F420)/12*Ipotesi!I126</f>
        <v>2500</v>
      </c>
      <c r="BR420" s="15" t="n">
        <f aca="false">INDEX(Ipotesi!$C$78:$G$78,1,F420)/12</f>
        <v>2333.33333333333</v>
      </c>
      <c r="BS420" s="15" t="n">
        <f aca="false">SUM(M420:R420)*(Ipotesi!$C$85+Ipotesi!$C$86)/12</f>
        <v>7437.5</v>
      </c>
      <c r="BT420" s="15" t="n">
        <f aca="false">BI420*Ipotesi!$C$87</f>
        <v>6144.87151404768</v>
      </c>
      <c r="BU420" s="15" t="n">
        <f aca="false">INDEX(Ipotesi!$C$55:$G$55,1,F420)*K420/12</f>
        <v>2000</v>
      </c>
      <c r="BV420" s="15" t="n">
        <f aca="false">INDEX(Ipotesi!$C$80:$G$80,1,F420)/12*Ipotesi!I126</f>
        <v>2083.33333333333</v>
      </c>
      <c r="BW420" s="15" t="n">
        <f aca="false">INDEX(Ipotesi!$C$82:$G$82,1,F420)/12</f>
        <v>1500</v>
      </c>
      <c r="BX420" s="15" t="n">
        <f aca="false">INDEX(Ipotesi!$C$83:$G$83,1,F420)/12</f>
        <v>833.333333333333</v>
      </c>
      <c r="BY420" s="15" t="n">
        <f aca="false">SUM(S420:U420)*(Ipotesi!$C$85+Ipotesi!$C$86)/12</f>
        <v>3208.33333333333</v>
      </c>
      <c r="BZ420" s="15" t="n">
        <f aca="false">AM420*Ipotesi!$C$87</f>
        <v>3478.75</v>
      </c>
      <c r="CA420" s="15" t="n">
        <f aca="false">AB420+BJ420+BL420+BN420+BO420+AR420+BP420+BQ420+BR420+BS420+BT420</f>
        <v>199712.020386389</v>
      </c>
      <c r="CB420" s="15" t="n">
        <f aca="false">AC420+BK420+BM420+BH420+BU420+BV420+AS420+BW420+BX420+BY420+BZ420</f>
        <v>79625.4722608333</v>
      </c>
      <c r="CC420" s="15" t="n">
        <f aca="false">BI420-CA420</f>
        <v>5117.03008186689</v>
      </c>
      <c r="CD420" s="15" t="n">
        <f aca="false">AM420-CB420</f>
        <v>36332.8610725</v>
      </c>
      <c r="CE420" s="15" t="n">
        <f aca="false">INDEX(Ipotesi!$C$79:$G$79,1,F420)/12</f>
        <v>4166.66666666667</v>
      </c>
      <c r="CF420" s="15" t="n">
        <f aca="false">INDEX(Ipotesi!$C$84:$G$84,1,F420)/12</f>
        <v>666.666666666667</v>
      </c>
      <c r="CG420" s="15" t="n">
        <f aca="false">Y420*MAX(0,Parametri_v3!$C$12-IF(P420=0,0,MIN(1,BE420/(P420*Parametri_v3!$C$22))))+W420*Parametri_v3!$C$13+X420*Parametri_v3!$C$14</f>
        <v>34697.1477326614</v>
      </c>
      <c r="CH420" s="15" t="n">
        <f aca="false">AB420*Parametri_v3!$C$32</f>
        <v>5973.86641604167</v>
      </c>
      <c r="CI420" s="15" t="n">
        <f aca="false">AC420*Parametri_v3!$C$32</f>
        <v>2218.19027970833</v>
      </c>
      <c r="CJ420" s="15" t="n">
        <f aca="false">CA420-AB420</f>
        <v>80234.6920655558</v>
      </c>
      <c r="CK420" s="15" t="n">
        <f aca="false">CB420-AC420-BH420</f>
        <v>23665.8333333333</v>
      </c>
      <c r="CL420" s="15" t="n">
        <f aca="false">BF420*Ipotesi!$C$73+INDEX(Ipotesi!$C$72:$G$72,1,F420)/12*Ipotesi!I126*Parametri_v3!$C$58+Z420*(1-Parametri_v3!$C$16)</f>
        <v>17119.1751716272</v>
      </c>
      <c r="CM420" s="16" t="n">
        <f aca="false">IF(BF420=0,0,1-CL420/BF420)</f>
        <v>0.834437191394948</v>
      </c>
    </row>
    <row r="421" customFormat="false" ht="18" hidden="false" customHeight="true" outlineLevel="0" collapsed="false">
      <c r="A421" s="68" t="n">
        <f aca="false">7</f>
        <v>7</v>
      </c>
      <c r="B421" s="68" t="n">
        <f aca="false">57</f>
        <v>57</v>
      </c>
      <c r="C421" s="18" t="n">
        <f aca="false">EDATE(Parametri_v3!$C$5,57-1)</f>
        <v>48092</v>
      </c>
      <c r="D421" s="68" t="n">
        <f aca="false">YEAR(C421)</f>
        <v>2031</v>
      </c>
      <c r="E421" s="68" t="n">
        <f aca="false">MONTH(C421)</f>
        <v>9</v>
      </c>
      <c r="F421" s="68" t="n">
        <f aca="false">INT((57-1)/12)+1</f>
        <v>5</v>
      </c>
      <c r="G421" s="15" t="n">
        <f aca="false">Ipotesi!I7</f>
        <v>1</v>
      </c>
      <c r="H421" s="15" t="n">
        <f aca="false">Ipotesi!I9</f>
        <v>1</v>
      </c>
      <c r="I421" s="15" t="n">
        <f aca="false">Ipotesi!I10</f>
        <v>1</v>
      </c>
      <c r="J421" s="15" t="n">
        <f aca="false">Ipotesi!I11</f>
        <v>1</v>
      </c>
      <c r="K421" s="15" t="n">
        <f aca="false">Ipotesi!I12</f>
        <v>1</v>
      </c>
      <c r="L421" s="15" t="n">
        <f aca="false">Ipotesi!I13</f>
        <v>90</v>
      </c>
      <c r="M421" s="17" t="n">
        <f aca="false">INDEX(Ipotesi!$C$40:$G$40,1,F421)</f>
        <v>1</v>
      </c>
      <c r="N421" s="17" t="n">
        <f aca="false">INDEX(Ipotesi!$C$41:$G$41,1,F421)</f>
        <v>1</v>
      </c>
      <c r="O421" s="17" t="n">
        <f aca="false">INDEX(Ipotesi!$C$42:$G$42,1,F421)*Ipotesi!I125</f>
        <v>8.5</v>
      </c>
      <c r="P421" s="17" t="n">
        <f aca="false">INDEX(Ipotesi!$C$43:$G$43,1,F421)*I421</f>
        <v>7</v>
      </c>
      <c r="Q421" s="17" t="n">
        <f aca="false">INDEX(Ipotesi!$C$44:$G$44,1,F421)*I421</f>
        <v>6</v>
      </c>
      <c r="R421" s="17" t="n">
        <f aca="false">INDEX(Ipotesi!$C$45:$G$45,1,F421)*I421</f>
        <v>2</v>
      </c>
      <c r="S421" s="17" t="n">
        <f aca="false">INDEX(Ipotesi!$C$52:$G$52,1,F421)*Ipotesi!I125</f>
        <v>9</v>
      </c>
      <c r="T421" s="17" t="n">
        <f aca="false">INDEX(Ipotesi!$C$53:$G$53,1,F421)*I421</f>
        <v>1</v>
      </c>
      <c r="U421" s="17" t="n">
        <f aca="false">INDEX(Ipotesi!$C$54:$G$54,1,F421)*I421</f>
        <v>1</v>
      </c>
      <c r="V421" s="15" t="n">
        <f aca="false">M421*INDEX(Ipotesi!$C$58:$G$58,1,F421)*K421/12</f>
        <v>8333.33333333333</v>
      </c>
      <c r="W421" s="15" t="n">
        <f aca="false">N421*Ipotesi!$C$59*(1+Ipotesi!$C$66)^(F421-1)/12</f>
        <v>6565.46805833334</v>
      </c>
      <c r="X421" s="15" t="n">
        <f aca="false">O421*Ipotesi!$C$60*(1+Ipotesi!$C$66)^(F421-1)/12</f>
        <v>39861.7703541667</v>
      </c>
      <c r="Y421" s="15" t="n">
        <f aca="false">P421*Ipotesi!$C$61*(1+Ipotesi!$C$66)^(F421-1)/12</f>
        <v>32827.3402916667</v>
      </c>
      <c r="Z421" s="15" t="n">
        <f aca="false">Q421*Ipotesi!$C$62*(1+Ipotesi!$C$66)^(F421-1)/12</f>
        <v>25323.948225</v>
      </c>
      <c r="AA421" s="15" t="n">
        <f aca="false">R421*Ipotesi!$C$63*(1+Ipotesi!$C$66)^(F421-1)/12</f>
        <v>6565.46805833334</v>
      </c>
      <c r="AB421" s="15" t="n">
        <f aca="false">SUM(V421:AA421)</f>
        <v>119477.328320833</v>
      </c>
      <c r="AC421" s="15" t="n">
        <f aca="false">(S421*Ipotesi!$C$64+T421*Ipotesi!$C$65+U421*Ipotesi!$C$63)*(1+Ipotesi!$C$66)^(F421-1)/12</f>
        <v>44363.8055941667</v>
      </c>
      <c r="AD421" s="15" t="n">
        <f aca="false">INDEX(Ipotesi!$C$48:$G$48,1,F421)*G421/12</f>
        <v>95.8333333333333</v>
      </c>
      <c r="AE421" s="15" t="n">
        <f aca="false">INDEX(Ipotesi!$C$50:$G$50,1,F421)*G421/12</f>
        <v>9.58333333333333</v>
      </c>
      <c r="AF421" s="15" t="n">
        <f aca="false">(S421*Parametri_v3!$C$7*Parametri_v3!$C$8+Parametri_v3!$C$10)/12</f>
        <v>115.5</v>
      </c>
      <c r="AG421" s="15" t="n">
        <f aca="false">AD421+AE421*(1+Parametri_v3!$C$9)</f>
        <v>110.208333333333</v>
      </c>
      <c r="AH421" s="16" t="n">
        <f aca="false">IF(AG421=0,1,MIN(1,AF421/AG421))</f>
        <v>1</v>
      </c>
      <c r="AI421" s="15" t="n">
        <f aca="false">AD421*AH421</f>
        <v>95.8333333333333</v>
      </c>
      <c r="AJ421" s="15" t="n">
        <f aca="false">AE421*AH421</f>
        <v>9.58333333333333</v>
      </c>
      <c r="AK421" s="15" t="n">
        <f aca="false">AI421*INDEX(Ipotesi!$C$49:$G$49,1,F421)*H421</f>
        <v>91041.6666666667</v>
      </c>
      <c r="AL421" s="15" t="n">
        <f aca="false">AJ421*INDEX(Ipotesi!$C$51:$G$51,1,F421)*H421</f>
        <v>24916.6666666667</v>
      </c>
      <c r="AM421" s="15" t="n">
        <f aca="false">AK421+AL421</f>
        <v>115958.333333333</v>
      </c>
      <c r="AN421" s="15" t="n">
        <f aca="false">INDEX(Ipotesi!$C$30:$G$30,1,F421)*G421/12</f>
        <v>81.6666666666667</v>
      </c>
      <c r="AO421" s="15" t="n">
        <f aca="false">O421*Parametri_v3!$C$7*Parametri_v3!$C$11*(1-Parametri_v3!$C$14)/12</f>
        <v>87.2666666666667</v>
      </c>
      <c r="AP421" s="15" t="n">
        <f aca="false">MIN(AN421,AO421)</f>
        <v>81.6666666666667</v>
      </c>
      <c r="AQ421" s="15" t="n">
        <f aca="false">AP421*INDEX(Ipotesi!$C$31:$G$31,1,F421)*H421</f>
        <v>89833.3333333333</v>
      </c>
      <c r="AR421" s="15" t="n">
        <f aca="false">INDEX(Ipotesi!$C$75:$G$75,1,F421)*J421/12</f>
        <v>35833.3333333333</v>
      </c>
      <c r="AS421" s="15" t="n">
        <f aca="false">INDEX(Ipotesi!$C$81:$G$81,1,F421)*J421/12</f>
        <v>2083.33333333333</v>
      </c>
      <c r="AT421" s="15" t="n">
        <f aca="false">AR421*Parametri_v3!$C$15+Z421*Parametri_v3!$C$16</f>
        <v>53560.0970908333</v>
      </c>
      <c r="AU421" s="15" t="n">
        <f aca="false">Q421*Parametri_v3!$C$16*Parametri_v3!$C$17</f>
        <v>420</v>
      </c>
      <c r="AV421" s="17" t="n">
        <f aca="false">BD420</f>
        <v>203.388337511314</v>
      </c>
      <c r="AW421" s="17" t="n">
        <f aca="false">AV421*(1-(1-INDEX(Ipotesi!$C$34:$G$34,1,F421))^(1/12))</f>
        <v>1.77794171924645</v>
      </c>
      <c r="AX421" s="15" t="n">
        <f aca="false">ROUND(INDEX(Ipotesi!$C$32:$G$32,1,F421)*Ipotesi!I8,0)</f>
        <v>560</v>
      </c>
      <c r="AY421" s="15" t="n">
        <f aca="false">MAX(0,(AX421-(AV421-AW421))/(13-E421))</f>
        <v>89.5974010519832</v>
      </c>
      <c r="AZ421" s="15" t="n">
        <f aca="false">MIN(P421*Parametri_v3!$C$22,Q421*(1-Parametri_v3!$C$16)*Parametri_v3!$C$23)</f>
        <v>270</v>
      </c>
      <c r="BA421" s="15" t="n">
        <f aca="false">IF(OR(INDEX(Ipotesi!$C$35:$G$35,1,F421)&lt;=0,57-Parametri_v3!$C$21&lt;1),0,INDEX($AT$365:$AT$424,MAX(1,57-Parametri_v3!$C$21))/(INDEX(Ipotesi!$C$35:$G$35,1,F421)*Ipotesi!I27))</f>
        <v>8.24001493705128</v>
      </c>
      <c r="BB421" s="15" t="n">
        <f aca="false">IF(57-Parametri_v3!$C$21&lt;1,0,INDEX($AU$365:$AU$424,MAX(1,57-Parametri_v3!$C$21)))*Parametri_v3!$C$18*Parametri_v3!$C$19*Parametri_v3!$C$20</f>
        <v>15.75</v>
      </c>
      <c r="BC421" s="17" t="n">
        <f aca="false">MAX(0,MIN(AY421,BA421,BB421,MAX(0,AZ421-(AV421-AW421))))</f>
        <v>8.24001493705128</v>
      </c>
      <c r="BD421" s="17" t="n">
        <f aca="false">AV421-AW421+BC421</f>
        <v>209.850410729118</v>
      </c>
      <c r="BE421" s="17" t="n">
        <f aca="false">(AV421+BD421)/2</f>
        <v>206.619374120216</v>
      </c>
      <c r="BF421" s="15" t="n">
        <f aca="false">BE421*INDEX(Ipotesi!$C$33:$G$33,1,F421)*H421/12</f>
        <v>106753.343295445</v>
      </c>
      <c r="BG421" s="15" t="n">
        <f aca="false">BD421*INDEX(Ipotesi!$C$33:$G$33,1,F421)*H421</f>
        <v>1301072.54652053</v>
      </c>
      <c r="BH421" s="15" t="n">
        <f aca="false">AM421*INDEX(Ipotesi!$C$37:$G$37,1,F421)</f>
        <v>11595.8333333333</v>
      </c>
      <c r="BI421" s="15" t="n">
        <f aca="false">AQ421+BF421+BH421</f>
        <v>208182.509962112</v>
      </c>
      <c r="BJ421" s="15" t="n">
        <f aca="false">INDEX(Ipotesi!$C$68:$G$68,1,F421)*Ipotesi!$C$69/12</f>
        <v>3333.33333333333</v>
      </c>
      <c r="BK421" s="15" t="n">
        <f aca="false">INDEX(Ipotesi!$C$68:$G$68,1,F421)*(1-Ipotesi!$C$69)/12</f>
        <v>5000</v>
      </c>
      <c r="BL421" s="15" t="n">
        <f aca="false">(AQ421+BF421)*Ipotesi!$C$67</f>
        <v>5897.60029886335</v>
      </c>
      <c r="BM421" s="15" t="n">
        <f aca="false">AM421*Ipotesi!$C$67</f>
        <v>3478.75</v>
      </c>
      <c r="BN421" s="15" t="n">
        <f aca="false">INDEX(Ipotesi!$C$72:$G$72,1,F421)/12*Ipotesi!I126+BF421*Ipotesi!$C$73</f>
        <v>9790.26746363559</v>
      </c>
      <c r="BO421" s="15" t="n">
        <f aca="false">INDEX(Ipotesi!$C$74:$G$74,1,F421)/12*Ipotesi!I126</f>
        <v>5416.66666666667</v>
      </c>
      <c r="BP421" s="15" t="n">
        <f aca="false">INDEX(Ipotesi!$C$76:$G$76,1,F421)/12</f>
        <v>1916.66666666667</v>
      </c>
      <c r="BQ421" s="15" t="n">
        <f aca="false">INDEX(Ipotesi!$C$77:$G$77,1,F421)/12*Ipotesi!I126</f>
        <v>2500</v>
      </c>
      <c r="BR421" s="15" t="n">
        <f aca="false">INDEX(Ipotesi!$C$78:$G$78,1,F421)/12</f>
        <v>2333.33333333333</v>
      </c>
      <c r="BS421" s="15" t="n">
        <f aca="false">SUM(M421:R421)*(Ipotesi!$C$85+Ipotesi!$C$86)/12</f>
        <v>7437.5</v>
      </c>
      <c r="BT421" s="15" t="n">
        <f aca="false">BI421*Ipotesi!$C$87</f>
        <v>6245.47529886335</v>
      </c>
      <c r="BU421" s="15" t="n">
        <f aca="false">INDEX(Ipotesi!$C$55:$G$55,1,F421)*K421/12</f>
        <v>2000</v>
      </c>
      <c r="BV421" s="15" t="n">
        <f aca="false">INDEX(Ipotesi!$C$80:$G$80,1,F421)/12*Ipotesi!I126</f>
        <v>2083.33333333333</v>
      </c>
      <c r="BW421" s="15" t="n">
        <f aca="false">INDEX(Ipotesi!$C$82:$G$82,1,F421)/12</f>
        <v>1500</v>
      </c>
      <c r="BX421" s="15" t="n">
        <f aca="false">INDEX(Ipotesi!$C$83:$G$83,1,F421)/12</f>
        <v>833.333333333333</v>
      </c>
      <c r="BY421" s="15" t="n">
        <f aca="false">SUM(S421:U421)*(Ipotesi!$C$85+Ipotesi!$C$86)/12</f>
        <v>3208.33333333333</v>
      </c>
      <c r="BZ421" s="15" t="n">
        <f aca="false">AM421*Ipotesi!$C$87</f>
        <v>3478.75</v>
      </c>
      <c r="CA421" s="15" t="n">
        <f aca="false">AB421+BJ421+BL421+BN421+BO421+AR421+BP421+BQ421+BR421+BS421+BT421</f>
        <v>200181.504715529</v>
      </c>
      <c r="CB421" s="15" t="n">
        <f aca="false">AC421+BK421+BM421+BH421+BU421+BV421+AS421+BW421+BX421+BY421+BZ421</f>
        <v>79625.4722608333</v>
      </c>
      <c r="CC421" s="15" t="n">
        <f aca="false">BI421-CA421</f>
        <v>8001.00524658262</v>
      </c>
      <c r="CD421" s="15" t="n">
        <f aca="false">AM421-CB421</f>
        <v>36332.8610725</v>
      </c>
      <c r="CE421" s="15" t="n">
        <f aca="false">INDEX(Ipotesi!$C$79:$G$79,1,F421)/12</f>
        <v>4166.66666666667</v>
      </c>
      <c r="CF421" s="15" t="n">
        <f aca="false">INDEX(Ipotesi!$C$84:$G$84,1,F421)/12</f>
        <v>666.666666666667</v>
      </c>
      <c r="CG421" s="15" t="n">
        <f aca="false">Y421*MAX(0,Parametri_v3!$C$12-IF(P421=0,0,MIN(1,BE421/(P421*Parametri_v3!$C$22))))+W421*Parametri_v3!$C$13+X421*Parametri_v3!$C$14</f>
        <v>34392.7648129588</v>
      </c>
      <c r="CH421" s="15" t="n">
        <f aca="false">AB421*Parametri_v3!$C$32</f>
        <v>5973.86641604167</v>
      </c>
      <c r="CI421" s="15" t="n">
        <f aca="false">AC421*Parametri_v3!$C$32</f>
        <v>2218.19027970833</v>
      </c>
      <c r="CJ421" s="15" t="n">
        <f aca="false">CA421-AB421</f>
        <v>80704.1763946956</v>
      </c>
      <c r="CK421" s="15" t="n">
        <f aca="false">CB421-AC421-BH421</f>
        <v>23665.8333333333</v>
      </c>
      <c r="CL421" s="15" t="n">
        <f aca="false">BF421*Ipotesi!$C$73+INDEX(Ipotesi!$C$72:$G$72,1,F421)/12*Ipotesi!I126*Parametri_v3!$C$58+Z421*(1-Parametri_v3!$C$16)</f>
        <v>17387.4519311356</v>
      </c>
      <c r="CM421" s="16" t="n">
        <f aca="false">IF(BF421=0,0,1-CL421/BF421)</f>
        <v>0.837124989303473</v>
      </c>
    </row>
    <row r="422" customFormat="false" ht="18" hidden="false" customHeight="true" outlineLevel="0" collapsed="false">
      <c r="A422" s="68" t="n">
        <f aca="false">7</f>
        <v>7</v>
      </c>
      <c r="B422" s="68" t="n">
        <f aca="false">58</f>
        <v>58</v>
      </c>
      <c r="C422" s="18" t="n">
        <f aca="false">EDATE(Parametri_v3!$C$5,58-1)</f>
        <v>48122</v>
      </c>
      <c r="D422" s="68" t="n">
        <f aca="false">YEAR(C422)</f>
        <v>2031</v>
      </c>
      <c r="E422" s="68" t="n">
        <f aca="false">MONTH(C422)</f>
        <v>10</v>
      </c>
      <c r="F422" s="68" t="n">
        <f aca="false">INT((58-1)/12)+1</f>
        <v>5</v>
      </c>
      <c r="G422" s="15" t="n">
        <f aca="false">Ipotesi!I7</f>
        <v>1</v>
      </c>
      <c r="H422" s="15" t="n">
        <f aca="false">Ipotesi!I9</f>
        <v>1</v>
      </c>
      <c r="I422" s="15" t="n">
        <f aca="false">Ipotesi!I10</f>
        <v>1</v>
      </c>
      <c r="J422" s="15" t="n">
        <f aca="false">Ipotesi!I11</f>
        <v>1</v>
      </c>
      <c r="K422" s="15" t="n">
        <f aca="false">Ipotesi!I12</f>
        <v>1</v>
      </c>
      <c r="L422" s="15" t="n">
        <f aca="false">Ipotesi!I13</f>
        <v>90</v>
      </c>
      <c r="M422" s="17" t="n">
        <f aca="false">INDEX(Ipotesi!$C$40:$G$40,1,F422)</f>
        <v>1</v>
      </c>
      <c r="N422" s="17" t="n">
        <f aca="false">INDEX(Ipotesi!$C$41:$G$41,1,F422)</f>
        <v>1</v>
      </c>
      <c r="O422" s="17" t="n">
        <f aca="false">INDEX(Ipotesi!$C$42:$G$42,1,F422)*Ipotesi!I125</f>
        <v>8.5</v>
      </c>
      <c r="P422" s="17" t="n">
        <f aca="false">INDEX(Ipotesi!$C$43:$G$43,1,F422)*I422</f>
        <v>7</v>
      </c>
      <c r="Q422" s="17" t="n">
        <f aca="false">INDEX(Ipotesi!$C$44:$G$44,1,F422)*I422</f>
        <v>6</v>
      </c>
      <c r="R422" s="17" t="n">
        <f aca="false">INDEX(Ipotesi!$C$45:$G$45,1,F422)*I422</f>
        <v>2</v>
      </c>
      <c r="S422" s="17" t="n">
        <f aca="false">INDEX(Ipotesi!$C$52:$G$52,1,F422)*Ipotesi!I125</f>
        <v>9</v>
      </c>
      <c r="T422" s="17" t="n">
        <f aca="false">INDEX(Ipotesi!$C$53:$G$53,1,F422)*I422</f>
        <v>1</v>
      </c>
      <c r="U422" s="17" t="n">
        <f aca="false">INDEX(Ipotesi!$C$54:$G$54,1,F422)*I422</f>
        <v>1</v>
      </c>
      <c r="V422" s="15" t="n">
        <f aca="false">M422*INDEX(Ipotesi!$C$58:$G$58,1,F422)*K422/12</f>
        <v>8333.33333333333</v>
      </c>
      <c r="W422" s="15" t="n">
        <f aca="false">N422*Ipotesi!$C$59*(1+Ipotesi!$C$66)^(F422-1)/12</f>
        <v>6565.46805833334</v>
      </c>
      <c r="X422" s="15" t="n">
        <f aca="false">O422*Ipotesi!$C$60*(1+Ipotesi!$C$66)^(F422-1)/12</f>
        <v>39861.7703541667</v>
      </c>
      <c r="Y422" s="15" t="n">
        <f aca="false">P422*Ipotesi!$C$61*(1+Ipotesi!$C$66)^(F422-1)/12</f>
        <v>32827.3402916667</v>
      </c>
      <c r="Z422" s="15" t="n">
        <f aca="false">Q422*Ipotesi!$C$62*(1+Ipotesi!$C$66)^(F422-1)/12</f>
        <v>25323.948225</v>
      </c>
      <c r="AA422" s="15" t="n">
        <f aca="false">R422*Ipotesi!$C$63*(1+Ipotesi!$C$66)^(F422-1)/12</f>
        <v>6565.46805833334</v>
      </c>
      <c r="AB422" s="15" t="n">
        <f aca="false">SUM(V422:AA422)</f>
        <v>119477.328320833</v>
      </c>
      <c r="AC422" s="15" t="n">
        <f aca="false">(S422*Ipotesi!$C$64+T422*Ipotesi!$C$65+U422*Ipotesi!$C$63)*(1+Ipotesi!$C$66)^(F422-1)/12</f>
        <v>44363.8055941667</v>
      </c>
      <c r="AD422" s="15" t="n">
        <f aca="false">INDEX(Ipotesi!$C$48:$G$48,1,F422)*G422/12</f>
        <v>95.8333333333333</v>
      </c>
      <c r="AE422" s="15" t="n">
        <f aca="false">INDEX(Ipotesi!$C$50:$G$50,1,F422)*G422/12</f>
        <v>9.58333333333333</v>
      </c>
      <c r="AF422" s="15" t="n">
        <f aca="false">(S422*Parametri_v3!$C$7*Parametri_v3!$C$8+Parametri_v3!$C$10)/12</f>
        <v>115.5</v>
      </c>
      <c r="AG422" s="15" t="n">
        <f aca="false">AD422+AE422*(1+Parametri_v3!$C$9)</f>
        <v>110.208333333333</v>
      </c>
      <c r="AH422" s="16" t="n">
        <f aca="false">IF(AG422=0,1,MIN(1,AF422/AG422))</f>
        <v>1</v>
      </c>
      <c r="AI422" s="15" t="n">
        <f aca="false">AD422*AH422</f>
        <v>95.8333333333333</v>
      </c>
      <c r="AJ422" s="15" t="n">
        <f aca="false">AE422*AH422</f>
        <v>9.58333333333333</v>
      </c>
      <c r="AK422" s="15" t="n">
        <f aca="false">AI422*INDEX(Ipotesi!$C$49:$G$49,1,F422)*H422</f>
        <v>91041.6666666667</v>
      </c>
      <c r="AL422" s="15" t="n">
        <f aca="false">AJ422*INDEX(Ipotesi!$C$51:$G$51,1,F422)*H422</f>
        <v>24916.6666666667</v>
      </c>
      <c r="AM422" s="15" t="n">
        <f aca="false">AK422+AL422</f>
        <v>115958.333333333</v>
      </c>
      <c r="AN422" s="15" t="n">
        <f aca="false">INDEX(Ipotesi!$C$30:$G$30,1,F422)*G422/12</f>
        <v>81.6666666666667</v>
      </c>
      <c r="AO422" s="15" t="n">
        <f aca="false">O422*Parametri_v3!$C$7*Parametri_v3!$C$11*(1-Parametri_v3!$C$14)/12</f>
        <v>87.2666666666667</v>
      </c>
      <c r="AP422" s="15" t="n">
        <f aca="false">MIN(AN422,AO422)</f>
        <v>81.6666666666667</v>
      </c>
      <c r="AQ422" s="15" t="n">
        <f aca="false">AP422*INDEX(Ipotesi!$C$31:$G$31,1,F422)*H422</f>
        <v>89833.3333333333</v>
      </c>
      <c r="AR422" s="15" t="n">
        <f aca="false">INDEX(Ipotesi!$C$75:$G$75,1,F422)*J422/12</f>
        <v>35833.3333333333</v>
      </c>
      <c r="AS422" s="15" t="n">
        <f aca="false">INDEX(Ipotesi!$C$81:$G$81,1,F422)*J422/12</f>
        <v>2083.33333333333</v>
      </c>
      <c r="AT422" s="15" t="n">
        <f aca="false">AR422*Parametri_v3!$C$15+Z422*Parametri_v3!$C$16</f>
        <v>53560.0970908333</v>
      </c>
      <c r="AU422" s="15" t="n">
        <f aca="false">Q422*Parametri_v3!$C$16*Parametri_v3!$C$17</f>
        <v>420</v>
      </c>
      <c r="AV422" s="17" t="n">
        <f aca="false">BD421</f>
        <v>209.850410729118</v>
      </c>
      <c r="AW422" s="17" t="n">
        <f aca="false">AV422*(1-(1-INDEX(Ipotesi!$C$34:$G$34,1,F422))^(1/12))</f>
        <v>1.83443064927727</v>
      </c>
      <c r="AX422" s="15" t="n">
        <f aca="false">ROUND(INDEX(Ipotesi!$C$32:$G$32,1,F422)*Ipotesi!I8,0)</f>
        <v>560</v>
      </c>
      <c r="AY422" s="15" t="n">
        <f aca="false">MAX(0,(AX422-(AV422-AW422))/(13-E422))</f>
        <v>117.328006640053</v>
      </c>
      <c r="AZ422" s="15" t="n">
        <f aca="false">MIN(P422*Parametri_v3!$C$22,Q422*(1-Parametri_v3!$C$16)*Parametri_v3!$C$23)</f>
        <v>270</v>
      </c>
      <c r="BA422" s="15" t="n">
        <f aca="false">IF(OR(INDEX(Ipotesi!$C$35:$G$35,1,F422)&lt;=0,58-Parametri_v3!$C$21&lt;1),0,INDEX($AT$365:$AT$424,MAX(1,58-Parametri_v3!$C$21))/(INDEX(Ipotesi!$C$35:$G$35,1,F422)*Ipotesi!I27))</f>
        <v>8.24001493705128</v>
      </c>
      <c r="BB422" s="15" t="n">
        <f aca="false">IF(58-Parametri_v3!$C$21&lt;1,0,INDEX($AU$365:$AU$424,MAX(1,58-Parametri_v3!$C$21)))*Parametri_v3!$C$18*Parametri_v3!$C$19*Parametri_v3!$C$20</f>
        <v>15.75</v>
      </c>
      <c r="BC422" s="17" t="n">
        <f aca="false">MAX(0,MIN(AY422,BA422,BB422,MAX(0,AZ422-(AV422-AW422))))</f>
        <v>8.24001493705128</v>
      </c>
      <c r="BD422" s="17" t="n">
        <f aca="false">AV422-AW422+BC422</f>
        <v>216.255995016892</v>
      </c>
      <c r="BE422" s="17" t="n">
        <f aca="false">(AV422+BD422)/2</f>
        <v>213.053202873005</v>
      </c>
      <c r="BF422" s="15" t="n">
        <f aca="false">BE422*INDEX(Ipotesi!$C$33:$G$33,1,F422)*H422/12</f>
        <v>110077.488151053</v>
      </c>
      <c r="BG422" s="15" t="n">
        <f aca="false">BD422*INDEX(Ipotesi!$C$33:$G$33,1,F422)*H422</f>
        <v>1340787.16910473</v>
      </c>
      <c r="BH422" s="15" t="n">
        <f aca="false">AM422*INDEX(Ipotesi!$C$37:$G$37,1,F422)</f>
        <v>11595.8333333333</v>
      </c>
      <c r="BI422" s="15" t="n">
        <f aca="false">AQ422+BF422+BH422</f>
        <v>211506.654817719</v>
      </c>
      <c r="BJ422" s="15" t="n">
        <f aca="false">INDEX(Ipotesi!$C$68:$G$68,1,F422)*Ipotesi!$C$69/12</f>
        <v>3333.33333333333</v>
      </c>
      <c r="BK422" s="15" t="n">
        <f aca="false">INDEX(Ipotesi!$C$68:$G$68,1,F422)*(1-Ipotesi!$C$69)/12</f>
        <v>5000</v>
      </c>
      <c r="BL422" s="15" t="n">
        <f aca="false">(AQ422+BF422)*Ipotesi!$C$67</f>
        <v>5997.32464453158</v>
      </c>
      <c r="BM422" s="15" t="n">
        <f aca="false">AM422*Ipotesi!$C$67</f>
        <v>3478.75</v>
      </c>
      <c r="BN422" s="15" t="n">
        <f aca="false">INDEX(Ipotesi!$C$72:$G$72,1,F422)/12*Ipotesi!I126+BF422*Ipotesi!$C$73</f>
        <v>10056.1990520842</v>
      </c>
      <c r="BO422" s="15" t="n">
        <f aca="false">INDEX(Ipotesi!$C$74:$G$74,1,F422)/12*Ipotesi!I126</f>
        <v>5416.66666666667</v>
      </c>
      <c r="BP422" s="15" t="n">
        <f aca="false">INDEX(Ipotesi!$C$76:$G$76,1,F422)/12</f>
        <v>1916.66666666667</v>
      </c>
      <c r="BQ422" s="15" t="n">
        <f aca="false">INDEX(Ipotesi!$C$77:$G$77,1,F422)/12*Ipotesi!I126</f>
        <v>2500</v>
      </c>
      <c r="BR422" s="15" t="n">
        <f aca="false">INDEX(Ipotesi!$C$78:$G$78,1,F422)/12</f>
        <v>2333.33333333333</v>
      </c>
      <c r="BS422" s="15" t="n">
        <f aca="false">SUM(M422:R422)*(Ipotesi!$C$85+Ipotesi!$C$86)/12</f>
        <v>7437.5</v>
      </c>
      <c r="BT422" s="15" t="n">
        <f aca="false">BI422*Ipotesi!$C$87</f>
        <v>6345.19964453158</v>
      </c>
      <c r="BU422" s="15" t="n">
        <f aca="false">INDEX(Ipotesi!$C$55:$G$55,1,F422)*K422/12</f>
        <v>2000</v>
      </c>
      <c r="BV422" s="15" t="n">
        <f aca="false">INDEX(Ipotesi!$C$80:$G$80,1,F422)/12*Ipotesi!I126</f>
        <v>2083.33333333333</v>
      </c>
      <c r="BW422" s="15" t="n">
        <f aca="false">INDEX(Ipotesi!$C$82:$G$82,1,F422)/12</f>
        <v>1500</v>
      </c>
      <c r="BX422" s="15" t="n">
        <f aca="false">INDEX(Ipotesi!$C$83:$G$83,1,F422)/12</f>
        <v>833.333333333333</v>
      </c>
      <c r="BY422" s="15" t="n">
        <f aca="false">SUM(S422:U422)*(Ipotesi!$C$85+Ipotesi!$C$86)/12</f>
        <v>3208.33333333333</v>
      </c>
      <c r="BZ422" s="15" t="n">
        <f aca="false">AM422*Ipotesi!$C$87</f>
        <v>3478.75</v>
      </c>
      <c r="CA422" s="15" t="n">
        <f aca="false">AB422+BJ422+BL422+BN422+BO422+AR422+BP422+BQ422+BR422+BS422+BT422</f>
        <v>200646.884995314</v>
      </c>
      <c r="CB422" s="15" t="n">
        <f aca="false">AC422+BK422+BM422+BH422+BU422+BV422+AS422+BW422+BX422+BY422+BZ422</f>
        <v>79625.4722608333</v>
      </c>
      <c r="CC422" s="15" t="n">
        <f aca="false">BI422-CA422</f>
        <v>10859.7698224054</v>
      </c>
      <c r="CD422" s="15" t="n">
        <f aca="false">AM422-CB422</f>
        <v>36332.8610725</v>
      </c>
      <c r="CE422" s="15" t="n">
        <f aca="false">INDEX(Ipotesi!$C$79:$G$79,1,F422)/12</f>
        <v>4166.66666666667</v>
      </c>
      <c r="CF422" s="15" t="n">
        <f aca="false">INDEX(Ipotesi!$C$84:$G$84,1,F422)/12</f>
        <v>666.666666666667</v>
      </c>
      <c r="CG422" s="15" t="n">
        <f aca="false">Y422*MAX(0,Parametri_v3!$C$12-IF(P422=0,0,MIN(1,BE422/(P422*Parametri_v3!$C$22))))+W422*Parametri_v3!$C$13+X422*Parametri_v3!$C$14</f>
        <v>34091.0426903215</v>
      </c>
      <c r="CH422" s="15" t="n">
        <f aca="false">AB422*Parametri_v3!$C$32</f>
        <v>5973.86641604167</v>
      </c>
      <c r="CI422" s="15" t="n">
        <f aca="false">AC422*Parametri_v3!$C$32</f>
        <v>2218.19027970833</v>
      </c>
      <c r="CJ422" s="15" t="n">
        <f aca="false">CA422-AB422</f>
        <v>81169.5566744807</v>
      </c>
      <c r="CK422" s="15" t="n">
        <f aca="false">CB422-AC422-BH422</f>
        <v>23665.8333333333</v>
      </c>
      <c r="CL422" s="15" t="n">
        <f aca="false">BF422*Ipotesi!$C$73+INDEX(Ipotesi!$C$72:$G$72,1,F422)/12*Ipotesi!I126*Parametri_v3!$C$58+Z422*(1-Parametri_v3!$C$16)</f>
        <v>17653.3835195842</v>
      </c>
      <c r="CM422" s="16" t="n">
        <f aca="false">IF(BF422=0,0,1-CL422/BF422)</f>
        <v>0.839627667599396</v>
      </c>
    </row>
    <row r="423" customFormat="false" ht="18" hidden="false" customHeight="true" outlineLevel="0" collapsed="false">
      <c r="A423" s="68" t="n">
        <f aca="false">7</f>
        <v>7</v>
      </c>
      <c r="B423" s="68" t="n">
        <f aca="false">59</f>
        <v>59</v>
      </c>
      <c r="C423" s="18" t="n">
        <f aca="false">EDATE(Parametri_v3!$C$5,59-1)</f>
        <v>48153</v>
      </c>
      <c r="D423" s="68" t="n">
        <f aca="false">YEAR(C423)</f>
        <v>2031</v>
      </c>
      <c r="E423" s="68" t="n">
        <f aca="false">MONTH(C423)</f>
        <v>11</v>
      </c>
      <c r="F423" s="68" t="n">
        <f aca="false">INT((59-1)/12)+1</f>
        <v>5</v>
      </c>
      <c r="G423" s="15" t="n">
        <f aca="false">Ipotesi!I7</f>
        <v>1</v>
      </c>
      <c r="H423" s="15" t="n">
        <f aca="false">Ipotesi!I9</f>
        <v>1</v>
      </c>
      <c r="I423" s="15" t="n">
        <f aca="false">Ipotesi!I10</f>
        <v>1</v>
      </c>
      <c r="J423" s="15" t="n">
        <f aca="false">Ipotesi!I11</f>
        <v>1</v>
      </c>
      <c r="K423" s="15" t="n">
        <f aca="false">Ipotesi!I12</f>
        <v>1</v>
      </c>
      <c r="L423" s="15" t="n">
        <f aca="false">Ipotesi!I13</f>
        <v>90</v>
      </c>
      <c r="M423" s="17" t="n">
        <f aca="false">INDEX(Ipotesi!$C$40:$G$40,1,F423)</f>
        <v>1</v>
      </c>
      <c r="N423" s="17" t="n">
        <f aca="false">INDEX(Ipotesi!$C$41:$G$41,1,F423)</f>
        <v>1</v>
      </c>
      <c r="O423" s="17" t="n">
        <f aca="false">INDEX(Ipotesi!$C$42:$G$42,1,F423)*Ipotesi!I125</f>
        <v>8.5</v>
      </c>
      <c r="P423" s="17" t="n">
        <f aca="false">INDEX(Ipotesi!$C$43:$G$43,1,F423)*I423</f>
        <v>7</v>
      </c>
      <c r="Q423" s="17" t="n">
        <f aca="false">INDEX(Ipotesi!$C$44:$G$44,1,F423)*I423</f>
        <v>6</v>
      </c>
      <c r="R423" s="17" t="n">
        <f aca="false">INDEX(Ipotesi!$C$45:$G$45,1,F423)*I423</f>
        <v>2</v>
      </c>
      <c r="S423" s="17" t="n">
        <f aca="false">INDEX(Ipotesi!$C$52:$G$52,1,F423)*Ipotesi!I125</f>
        <v>9</v>
      </c>
      <c r="T423" s="17" t="n">
        <f aca="false">INDEX(Ipotesi!$C$53:$G$53,1,F423)*I423</f>
        <v>1</v>
      </c>
      <c r="U423" s="17" t="n">
        <f aca="false">INDEX(Ipotesi!$C$54:$G$54,1,F423)*I423</f>
        <v>1</v>
      </c>
      <c r="V423" s="15" t="n">
        <f aca="false">M423*INDEX(Ipotesi!$C$58:$G$58,1,F423)*K423/12</f>
        <v>8333.33333333333</v>
      </c>
      <c r="W423" s="15" t="n">
        <f aca="false">N423*Ipotesi!$C$59*(1+Ipotesi!$C$66)^(F423-1)/12</f>
        <v>6565.46805833334</v>
      </c>
      <c r="X423" s="15" t="n">
        <f aca="false">O423*Ipotesi!$C$60*(1+Ipotesi!$C$66)^(F423-1)/12</f>
        <v>39861.7703541667</v>
      </c>
      <c r="Y423" s="15" t="n">
        <f aca="false">P423*Ipotesi!$C$61*(1+Ipotesi!$C$66)^(F423-1)/12</f>
        <v>32827.3402916667</v>
      </c>
      <c r="Z423" s="15" t="n">
        <f aca="false">Q423*Ipotesi!$C$62*(1+Ipotesi!$C$66)^(F423-1)/12</f>
        <v>25323.948225</v>
      </c>
      <c r="AA423" s="15" t="n">
        <f aca="false">R423*Ipotesi!$C$63*(1+Ipotesi!$C$66)^(F423-1)/12</f>
        <v>6565.46805833334</v>
      </c>
      <c r="AB423" s="15" t="n">
        <f aca="false">SUM(V423:AA423)</f>
        <v>119477.328320833</v>
      </c>
      <c r="AC423" s="15" t="n">
        <f aca="false">(S423*Ipotesi!$C$64+T423*Ipotesi!$C$65+U423*Ipotesi!$C$63)*(1+Ipotesi!$C$66)^(F423-1)/12</f>
        <v>44363.8055941667</v>
      </c>
      <c r="AD423" s="15" t="n">
        <f aca="false">INDEX(Ipotesi!$C$48:$G$48,1,F423)*G423/12</f>
        <v>95.8333333333333</v>
      </c>
      <c r="AE423" s="15" t="n">
        <f aca="false">INDEX(Ipotesi!$C$50:$G$50,1,F423)*G423/12</f>
        <v>9.58333333333333</v>
      </c>
      <c r="AF423" s="15" t="n">
        <f aca="false">(S423*Parametri_v3!$C$7*Parametri_v3!$C$8+Parametri_v3!$C$10)/12</f>
        <v>115.5</v>
      </c>
      <c r="AG423" s="15" t="n">
        <f aca="false">AD423+AE423*(1+Parametri_v3!$C$9)</f>
        <v>110.208333333333</v>
      </c>
      <c r="AH423" s="16" t="n">
        <f aca="false">IF(AG423=0,1,MIN(1,AF423/AG423))</f>
        <v>1</v>
      </c>
      <c r="AI423" s="15" t="n">
        <f aca="false">AD423*AH423</f>
        <v>95.8333333333333</v>
      </c>
      <c r="AJ423" s="15" t="n">
        <f aca="false">AE423*AH423</f>
        <v>9.58333333333333</v>
      </c>
      <c r="AK423" s="15" t="n">
        <f aca="false">AI423*INDEX(Ipotesi!$C$49:$G$49,1,F423)*H423</f>
        <v>91041.6666666667</v>
      </c>
      <c r="AL423" s="15" t="n">
        <f aca="false">AJ423*INDEX(Ipotesi!$C$51:$G$51,1,F423)*H423</f>
        <v>24916.6666666667</v>
      </c>
      <c r="AM423" s="15" t="n">
        <f aca="false">AK423+AL423</f>
        <v>115958.333333333</v>
      </c>
      <c r="AN423" s="15" t="n">
        <f aca="false">INDEX(Ipotesi!$C$30:$G$30,1,F423)*G423/12</f>
        <v>81.6666666666667</v>
      </c>
      <c r="AO423" s="15" t="n">
        <f aca="false">O423*Parametri_v3!$C$7*Parametri_v3!$C$11*(1-Parametri_v3!$C$14)/12</f>
        <v>87.2666666666667</v>
      </c>
      <c r="AP423" s="15" t="n">
        <f aca="false">MIN(AN423,AO423)</f>
        <v>81.6666666666667</v>
      </c>
      <c r="AQ423" s="15" t="n">
        <f aca="false">AP423*INDEX(Ipotesi!$C$31:$G$31,1,F423)*H423</f>
        <v>89833.3333333333</v>
      </c>
      <c r="AR423" s="15" t="n">
        <f aca="false">INDEX(Ipotesi!$C$75:$G$75,1,F423)*J423/12</f>
        <v>35833.3333333333</v>
      </c>
      <c r="AS423" s="15" t="n">
        <f aca="false">INDEX(Ipotesi!$C$81:$G$81,1,F423)*J423/12</f>
        <v>2083.33333333333</v>
      </c>
      <c r="AT423" s="15" t="n">
        <f aca="false">AR423*Parametri_v3!$C$15+Z423*Parametri_v3!$C$16</f>
        <v>53560.0970908333</v>
      </c>
      <c r="AU423" s="15" t="n">
        <f aca="false">Q423*Parametri_v3!$C$16*Parametri_v3!$C$17</f>
        <v>420</v>
      </c>
      <c r="AV423" s="17" t="n">
        <f aca="false">BD422</f>
        <v>216.255995016892</v>
      </c>
      <c r="AW423" s="17" t="n">
        <f aca="false">AV423*(1-(1-INDEX(Ipotesi!$C$34:$G$34,1,F423))^(1/12))</f>
        <v>1.89042577505851</v>
      </c>
      <c r="AX423" s="15" t="n">
        <f aca="false">ROUND(INDEX(Ipotesi!$C$32:$G$32,1,F423)*Ipotesi!I8,0)</f>
        <v>560</v>
      </c>
      <c r="AY423" s="15" t="n">
        <f aca="false">MAX(0,(AX423-(AV423-AW423))/(13-E423))</f>
        <v>172.817215379083</v>
      </c>
      <c r="AZ423" s="15" t="n">
        <f aca="false">MIN(P423*Parametri_v3!$C$22,Q423*(1-Parametri_v3!$C$16)*Parametri_v3!$C$23)</f>
        <v>270</v>
      </c>
      <c r="BA423" s="15" t="n">
        <f aca="false">IF(OR(INDEX(Ipotesi!$C$35:$G$35,1,F423)&lt;=0,59-Parametri_v3!$C$21&lt;1),0,INDEX($AT$365:$AT$424,MAX(1,59-Parametri_v3!$C$21))/(INDEX(Ipotesi!$C$35:$G$35,1,F423)*Ipotesi!I27))</f>
        <v>8.24001493705128</v>
      </c>
      <c r="BB423" s="15" t="n">
        <f aca="false">IF(59-Parametri_v3!$C$21&lt;1,0,INDEX($AU$365:$AU$424,MAX(1,59-Parametri_v3!$C$21)))*Parametri_v3!$C$18*Parametri_v3!$C$19*Parametri_v3!$C$20</f>
        <v>15.75</v>
      </c>
      <c r="BC423" s="17" t="n">
        <f aca="false">MAX(0,MIN(AY423,BA423,BB423,MAX(0,AZ423-(AV423-AW423))))</f>
        <v>8.24001493705128</v>
      </c>
      <c r="BD423" s="17" t="n">
        <f aca="false">AV423-AW423+BC423</f>
        <v>222.605584178885</v>
      </c>
      <c r="BE423" s="17" t="n">
        <f aca="false">(AV423+BD423)/2</f>
        <v>219.430789597889</v>
      </c>
      <c r="BF423" s="15" t="n">
        <f aca="false">BE423*INDEX(Ipotesi!$C$33:$G$33,1,F423)*H423/12</f>
        <v>113372.574625576</v>
      </c>
      <c r="BG423" s="15" t="n">
        <f aca="false">BD423*INDEX(Ipotesi!$C$33:$G$33,1,F423)*H423</f>
        <v>1380154.62190909</v>
      </c>
      <c r="BH423" s="15" t="n">
        <f aca="false">AM423*INDEX(Ipotesi!$C$37:$G$37,1,F423)</f>
        <v>11595.8333333333</v>
      </c>
      <c r="BI423" s="15" t="n">
        <f aca="false">AQ423+BF423+BH423</f>
        <v>214801.741292243</v>
      </c>
      <c r="BJ423" s="15" t="n">
        <f aca="false">INDEX(Ipotesi!$C$68:$G$68,1,F423)*Ipotesi!$C$69/12</f>
        <v>3333.33333333333</v>
      </c>
      <c r="BK423" s="15" t="n">
        <f aca="false">INDEX(Ipotesi!$C$68:$G$68,1,F423)*(1-Ipotesi!$C$69)/12</f>
        <v>5000</v>
      </c>
      <c r="BL423" s="15" t="n">
        <f aca="false">(AQ423+BF423)*Ipotesi!$C$67</f>
        <v>6096.17723876728</v>
      </c>
      <c r="BM423" s="15" t="n">
        <f aca="false">AM423*Ipotesi!$C$67</f>
        <v>3478.75</v>
      </c>
      <c r="BN423" s="15" t="n">
        <f aca="false">INDEX(Ipotesi!$C$72:$G$72,1,F423)/12*Ipotesi!I126+BF423*Ipotesi!$C$73</f>
        <v>10319.8059700461</v>
      </c>
      <c r="BO423" s="15" t="n">
        <f aca="false">INDEX(Ipotesi!$C$74:$G$74,1,F423)/12*Ipotesi!I126</f>
        <v>5416.66666666667</v>
      </c>
      <c r="BP423" s="15" t="n">
        <f aca="false">INDEX(Ipotesi!$C$76:$G$76,1,F423)/12</f>
        <v>1916.66666666667</v>
      </c>
      <c r="BQ423" s="15" t="n">
        <f aca="false">INDEX(Ipotesi!$C$77:$G$77,1,F423)/12*Ipotesi!I126</f>
        <v>2500</v>
      </c>
      <c r="BR423" s="15" t="n">
        <f aca="false">INDEX(Ipotesi!$C$78:$G$78,1,F423)/12</f>
        <v>2333.33333333333</v>
      </c>
      <c r="BS423" s="15" t="n">
        <f aca="false">SUM(M423:R423)*(Ipotesi!$C$85+Ipotesi!$C$86)/12</f>
        <v>7437.5</v>
      </c>
      <c r="BT423" s="15" t="n">
        <f aca="false">BI423*Ipotesi!$C$87</f>
        <v>6444.05223876728</v>
      </c>
      <c r="BU423" s="15" t="n">
        <f aca="false">INDEX(Ipotesi!$C$55:$G$55,1,F423)*K423/12</f>
        <v>2000</v>
      </c>
      <c r="BV423" s="15" t="n">
        <f aca="false">INDEX(Ipotesi!$C$80:$G$80,1,F423)/12*Ipotesi!I126</f>
        <v>2083.33333333333</v>
      </c>
      <c r="BW423" s="15" t="n">
        <f aca="false">INDEX(Ipotesi!$C$82:$G$82,1,F423)/12</f>
        <v>1500</v>
      </c>
      <c r="BX423" s="15" t="n">
        <f aca="false">INDEX(Ipotesi!$C$83:$G$83,1,F423)/12</f>
        <v>833.333333333333</v>
      </c>
      <c r="BY423" s="15" t="n">
        <f aca="false">SUM(S423:U423)*(Ipotesi!$C$85+Ipotesi!$C$86)/12</f>
        <v>3208.33333333333</v>
      </c>
      <c r="BZ423" s="15" t="n">
        <f aca="false">AM423*Ipotesi!$C$87</f>
        <v>3478.75</v>
      </c>
      <c r="CA423" s="15" t="n">
        <f aca="false">AB423+BJ423+BL423+BN423+BO423+AR423+BP423+BQ423+BR423+BS423+BT423</f>
        <v>201108.197101747</v>
      </c>
      <c r="CB423" s="15" t="n">
        <f aca="false">AC423+BK423+BM423+BH423+BU423+BV423+AS423+BW423+BX423+BY423+BZ423</f>
        <v>79625.4722608333</v>
      </c>
      <c r="CC423" s="15" t="n">
        <f aca="false">BI423-CA423</f>
        <v>13693.5441904952</v>
      </c>
      <c r="CD423" s="15" t="n">
        <f aca="false">AM423-CB423</f>
        <v>36332.8610725</v>
      </c>
      <c r="CE423" s="15" t="n">
        <f aca="false">INDEX(Ipotesi!$C$79:$G$79,1,F423)/12</f>
        <v>4166.66666666667</v>
      </c>
      <c r="CF423" s="15" t="n">
        <f aca="false">INDEX(Ipotesi!$C$84:$G$84,1,F423)/12</f>
        <v>666.666666666667</v>
      </c>
      <c r="CG423" s="15" t="n">
        <f aca="false">Y423*MAX(0,Parametri_v3!$C$12-IF(P423=0,0,MIN(1,BE423/(P423*Parametri_v3!$C$22))))+W423*Parametri_v3!$C$13+X423*Parametri_v3!$C$14</f>
        <v>33791.9581050967</v>
      </c>
      <c r="CH423" s="15" t="n">
        <f aca="false">AB423*Parametri_v3!$C$32</f>
        <v>5973.86641604167</v>
      </c>
      <c r="CI423" s="15" t="n">
        <f aca="false">AC423*Parametri_v3!$C$32</f>
        <v>2218.19027970833</v>
      </c>
      <c r="CJ423" s="15" t="n">
        <f aca="false">CA423-AB423</f>
        <v>81630.8687809139</v>
      </c>
      <c r="CK423" s="15" t="n">
        <f aca="false">CB423-AC423-BH423</f>
        <v>23665.8333333333</v>
      </c>
      <c r="CL423" s="15" t="n">
        <f aca="false">BF423*Ipotesi!$C$73+INDEX(Ipotesi!$C$72:$G$72,1,F423)/12*Ipotesi!I126*Parametri_v3!$C$58+Z423*(1-Parametri_v3!$C$16)</f>
        <v>17916.9904375461</v>
      </c>
      <c r="CM423" s="16" t="n">
        <f aca="false">IF(BF423=0,0,1-CL423/BF423)</f>
        <v>0.84196362747588</v>
      </c>
    </row>
    <row r="424" customFormat="false" ht="18" hidden="false" customHeight="true" outlineLevel="0" collapsed="false">
      <c r="A424" s="68" t="n">
        <f aca="false">7</f>
        <v>7</v>
      </c>
      <c r="B424" s="68" t="n">
        <f aca="false">60</f>
        <v>60</v>
      </c>
      <c r="C424" s="18" t="n">
        <f aca="false">EDATE(Parametri_v3!$C$5,60-1)</f>
        <v>48183</v>
      </c>
      <c r="D424" s="68" t="n">
        <f aca="false">YEAR(C424)</f>
        <v>2031</v>
      </c>
      <c r="E424" s="68" t="n">
        <f aca="false">MONTH(C424)</f>
        <v>12</v>
      </c>
      <c r="F424" s="68" t="n">
        <f aca="false">INT((60-1)/12)+1</f>
        <v>5</v>
      </c>
      <c r="G424" s="15" t="n">
        <f aca="false">Ipotesi!I7</f>
        <v>1</v>
      </c>
      <c r="H424" s="15" t="n">
        <f aca="false">Ipotesi!I9</f>
        <v>1</v>
      </c>
      <c r="I424" s="15" t="n">
        <f aca="false">Ipotesi!I10</f>
        <v>1</v>
      </c>
      <c r="J424" s="15" t="n">
        <f aca="false">Ipotesi!I11</f>
        <v>1</v>
      </c>
      <c r="K424" s="15" t="n">
        <f aca="false">Ipotesi!I12</f>
        <v>1</v>
      </c>
      <c r="L424" s="15" t="n">
        <f aca="false">Ipotesi!I13</f>
        <v>90</v>
      </c>
      <c r="M424" s="17" t="n">
        <f aca="false">INDEX(Ipotesi!$C$40:$G$40,1,F424)</f>
        <v>1</v>
      </c>
      <c r="N424" s="17" t="n">
        <f aca="false">INDEX(Ipotesi!$C$41:$G$41,1,F424)</f>
        <v>1</v>
      </c>
      <c r="O424" s="17" t="n">
        <f aca="false">INDEX(Ipotesi!$C$42:$G$42,1,F424)*Ipotesi!I125</f>
        <v>8.5</v>
      </c>
      <c r="P424" s="17" t="n">
        <f aca="false">INDEX(Ipotesi!$C$43:$G$43,1,F424)*I424</f>
        <v>7</v>
      </c>
      <c r="Q424" s="17" t="n">
        <f aca="false">INDEX(Ipotesi!$C$44:$G$44,1,F424)*I424</f>
        <v>6</v>
      </c>
      <c r="R424" s="17" t="n">
        <f aca="false">INDEX(Ipotesi!$C$45:$G$45,1,F424)*I424</f>
        <v>2</v>
      </c>
      <c r="S424" s="17" t="n">
        <f aca="false">INDEX(Ipotesi!$C$52:$G$52,1,F424)*Ipotesi!I125</f>
        <v>9</v>
      </c>
      <c r="T424" s="17" t="n">
        <f aca="false">INDEX(Ipotesi!$C$53:$G$53,1,F424)*I424</f>
        <v>1</v>
      </c>
      <c r="U424" s="17" t="n">
        <f aca="false">INDEX(Ipotesi!$C$54:$G$54,1,F424)*I424</f>
        <v>1</v>
      </c>
      <c r="V424" s="15" t="n">
        <f aca="false">M424*INDEX(Ipotesi!$C$58:$G$58,1,F424)*K424/12</f>
        <v>8333.33333333333</v>
      </c>
      <c r="W424" s="15" t="n">
        <f aca="false">N424*Ipotesi!$C$59*(1+Ipotesi!$C$66)^(F424-1)/12</f>
        <v>6565.46805833334</v>
      </c>
      <c r="X424" s="15" t="n">
        <f aca="false">O424*Ipotesi!$C$60*(1+Ipotesi!$C$66)^(F424-1)/12</f>
        <v>39861.7703541667</v>
      </c>
      <c r="Y424" s="15" t="n">
        <f aca="false">P424*Ipotesi!$C$61*(1+Ipotesi!$C$66)^(F424-1)/12</f>
        <v>32827.3402916667</v>
      </c>
      <c r="Z424" s="15" t="n">
        <f aca="false">Q424*Ipotesi!$C$62*(1+Ipotesi!$C$66)^(F424-1)/12</f>
        <v>25323.948225</v>
      </c>
      <c r="AA424" s="15" t="n">
        <f aca="false">R424*Ipotesi!$C$63*(1+Ipotesi!$C$66)^(F424-1)/12</f>
        <v>6565.46805833334</v>
      </c>
      <c r="AB424" s="15" t="n">
        <f aca="false">SUM(V424:AA424)</f>
        <v>119477.328320833</v>
      </c>
      <c r="AC424" s="15" t="n">
        <f aca="false">(S424*Ipotesi!$C$64+T424*Ipotesi!$C$65+U424*Ipotesi!$C$63)*(1+Ipotesi!$C$66)^(F424-1)/12</f>
        <v>44363.8055941667</v>
      </c>
      <c r="AD424" s="15" t="n">
        <f aca="false">INDEX(Ipotesi!$C$48:$G$48,1,F424)*G424/12</f>
        <v>95.8333333333333</v>
      </c>
      <c r="AE424" s="15" t="n">
        <f aca="false">INDEX(Ipotesi!$C$50:$G$50,1,F424)*G424/12</f>
        <v>9.58333333333333</v>
      </c>
      <c r="AF424" s="15" t="n">
        <f aca="false">(S424*Parametri_v3!$C$7*Parametri_v3!$C$8+Parametri_v3!$C$10)/12</f>
        <v>115.5</v>
      </c>
      <c r="AG424" s="15" t="n">
        <f aca="false">AD424+AE424*(1+Parametri_v3!$C$9)</f>
        <v>110.208333333333</v>
      </c>
      <c r="AH424" s="16" t="n">
        <f aca="false">IF(AG424=0,1,MIN(1,AF424/AG424))</f>
        <v>1</v>
      </c>
      <c r="AI424" s="15" t="n">
        <f aca="false">AD424*AH424</f>
        <v>95.8333333333333</v>
      </c>
      <c r="AJ424" s="15" t="n">
        <f aca="false">AE424*AH424</f>
        <v>9.58333333333333</v>
      </c>
      <c r="AK424" s="15" t="n">
        <f aca="false">AI424*INDEX(Ipotesi!$C$49:$G$49,1,F424)*H424</f>
        <v>91041.6666666667</v>
      </c>
      <c r="AL424" s="15" t="n">
        <f aca="false">AJ424*INDEX(Ipotesi!$C$51:$G$51,1,F424)*H424</f>
        <v>24916.6666666667</v>
      </c>
      <c r="AM424" s="15" t="n">
        <f aca="false">AK424+AL424</f>
        <v>115958.333333333</v>
      </c>
      <c r="AN424" s="15" t="n">
        <f aca="false">INDEX(Ipotesi!$C$30:$G$30,1,F424)*G424/12</f>
        <v>81.6666666666667</v>
      </c>
      <c r="AO424" s="15" t="n">
        <f aca="false">O424*Parametri_v3!$C$7*Parametri_v3!$C$11*(1-Parametri_v3!$C$14)/12</f>
        <v>87.2666666666667</v>
      </c>
      <c r="AP424" s="15" t="n">
        <f aca="false">MIN(AN424,AO424)</f>
        <v>81.6666666666667</v>
      </c>
      <c r="AQ424" s="15" t="n">
        <f aca="false">AP424*INDEX(Ipotesi!$C$31:$G$31,1,F424)*H424</f>
        <v>89833.3333333333</v>
      </c>
      <c r="AR424" s="15" t="n">
        <f aca="false">INDEX(Ipotesi!$C$75:$G$75,1,F424)*J424/12</f>
        <v>35833.3333333333</v>
      </c>
      <c r="AS424" s="15" t="n">
        <f aca="false">INDEX(Ipotesi!$C$81:$G$81,1,F424)*J424/12</f>
        <v>2083.33333333333</v>
      </c>
      <c r="AT424" s="15" t="n">
        <f aca="false">AR424*Parametri_v3!$C$15+Z424*Parametri_v3!$C$16</f>
        <v>53560.0970908333</v>
      </c>
      <c r="AU424" s="15" t="n">
        <f aca="false">Q424*Parametri_v3!$C$16*Parametri_v3!$C$17</f>
        <v>420</v>
      </c>
      <c r="AV424" s="17" t="n">
        <f aca="false">BD423</f>
        <v>222.605584178885</v>
      </c>
      <c r="AW424" s="17" t="n">
        <f aca="false">AV424*(1-(1-INDEX(Ipotesi!$C$34:$G$34,1,F424))^(1/12))</f>
        <v>1.94593141323481</v>
      </c>
      <c r="AX424" s="15" t="n">
        <f aca="false">ROUND(INDEX(Ipotesi!$C$32:$G$32,1,F424)*Ipotesi!I8,0)</f>
        <v>560</v>
      </c>
      <c r="AY424" s="15" t="n">
        <f aca="false">MAX(0,(AX424-(AV424-AW424))/(13-E424))</f>
        <v>339.34034723435</v>
      </c>
      <c r="AZ424" s="15" t="n">
        <f aca="false">MIN(P424*Parametri_v3!$C$22,Q424*(1-Parametri_v3!$C$16)*Parametri_v3!$C$23)</f>
        <v>270</v>
      </c>
      <c r="BA424" s="15" t="n">
        <f aca="false">IF(OR(INDEX(Ipotesi!$C$35:$G$35,1,F424)&lt;=0,60-Parametri_v3!$C$21&lt;1),0,INDEX($AT$365:$AT$424,MAX(1,60-Parametri_v3!$C$21))/(INDEX(Ipotesi!$C$35:$G$35,1,F424)*Ipotesi!I27))</f>
        <v>8.24001493705128</v>
      </c>
      <c r="BB424" s="15" t="n">
        <f aca="false">IF(60-Parametri_v3!$C$21&lt;1,0,INDEX($AU$365:$AU$424,MAX(1,60-Parametri_v3!$C$21)))*Parametri_v3!$C$18*Parametri_v3!$C$19*Parametri_v3!$C$20</f>
        <v>15.75</v>
      </c>
      <c r="BC424" s="17" t="n">
        <f aca="false">MAX(0,MIN(AY424,BA424,BB424,MAX(0,AZ424-(AV424-AW424))))</f>
        <v>8.24001493705128</v>
      </c>
      <c r="BD424" s="17" t="n">
        <f aca="false">AV424-AW424+BC424</f>
        <v>228.899667702702</v>
      </c>
      <c r="BE424" s="17" t="n">
        <f aca="false">(AV424+BD424)/2</f>
        <v>225.752625940793</v>
      </c>
      <c r="BF424" s="15" t="n">
        <f aca="false">BE424*INDEX(Ipotesi!$C$33:$G$33,1,F424)*H424/12</f>
        <v>116638.856736077</v>
      </c>
      <c r="BG424" s="15" t="n">
        <f aca="false">BD424*INDEX(Ipotesi!$C$33:$G$33,1,F424)*H424</f>
        <v>1419177.93975675</v>
      </c>
      <c r="BH424" s="15" t="n">
        <f aca="false">AM424*INDEX(Ipotesi!$C$37:$G$37,1,F424)</f>
        <v>11595.8333333333</v>
      </c>
      <c r="BI424" s="15" t="n">
        <f aca="false">AQ424+BF424+BH424</f>
        <v>218068.023402743</v>
      </c>
      <c r="BJ424" s="15" t="n">
        <f aca="false">INDEX(Ipotesi!$C$68:$G$68,1,F424)*Ipotesi!$C$69/12</f>
        <v>3333.33333333333</v>
      </c>
      <c r="BK424" s="15" t="n">
        <f aca="false">INDEX(Ipotesi!$C$68:$G$68,1,F424)*(1-Ipotesi!$C$69)/12</f>
        <v>5000</v>
      </c>
      <c r="BL424" s="15" t="n">
        <f aca="false">(AQ424+BF424)*Ipotesi!$C$67</f>
        <v>6194.1657020823</v>
      </c>
      <c r="BM424" s="15" t="n">
        <f aca="false">AM424*Ipotesi!$C$67</f>
        <v>3478.75</v>
      </c>
      <c r="BN424" s="15" t="n">
        <f aca="false">INDEX(Ipotesi!$C$72:$G$72,1,F424)/12*Ipotesi!I126+BF424*Ipotesi!$C$73</f>
        <v>10581.1085388861</v>
      </c>
      <c r="BO424" s="15" t="n">
        <f aca="false">INDEX(Ipotesi!$C$74:$G$74,1,F424)/12*Ipotesi!I126</f>
        <v>5416.66666666667</v>
      </c>
      <c r="BP424" s="15" t="n">
        <f aca="false">INDEX(Ipotesi!$C$76:$G$76,1,F424)/12</f>
        <v>1916.66666666667</v>
      </c>
      <c r="BQ424" s="15" t="n">
        <f aca="false">INDEX(Ipotesi!$C$77:$G$77,1,F424)/12*Ipotesi!I126</f>
        <v>2500</v>
      </c>
      <c r="BR424" s="15" t="n">
        <f aca="false">INDEX(Ipotesi!$C$78:$G$78,1,F424)/12</f>
        <v>2333.33333333333</v>
      </c>
      <c r="BS424" s="15" t="n">
        <f aca="false">SUM(M424:R424)*(Ipotesi!$C$85+Ipotesi!$C$86)/12</f>
        <v>7437.5</v>
      </c>
      <c r="BT424" s="15" t="n">
        <f aca="false">BI424*Ipotesi!$C$87</f>
        <v>6542.0407020823</v>
      </c>
      <c r="BU424" s="15" t="n">
        <f aca="false">INDEX(Ipotesi!$C$55:$G$55,1,F424)*K424/12</f>
        <v>2000</v>
      </c>
      <c r="BV424" s="15" t="n">
        <f aca="false">INDEX(Ipotesi!$C$80:$G$80,1,F424)/12*Ipotesi!I126</f>
        <v>2083.33333333333</v>
      </c>
      <c r="BW424" s="15" t="n">
        <f aca="false">INDEX(Ipotesi!$C$82:$G$82,1,F424)/12</f>
        <v>1500</v>
      </c>
      <c r="BX424" s="15" t="n">
        <f aca="false">INDEX(Ipotesi!$C$83:$G$83,1,F424)/12</f>
        <v>833.333333333333</v>
      </c>
      <c r="BY424" s="15" t="n">
        <f aca="false">SUM(S424:U424)*(Ipotesi!$C$85+Ipotesi!$C$86)/12</f>
        <v>3208.33333333333</v>
      </c>
      <c r="BZ424" s="15" t="n">
        <f aca="false">AM424*Ipotesi!$C$87</f>
        <v>3478.75</v>
      </c>
      <c r="CA424" s="15" t="n">
        <f aca="false">AB424+BJ424+BL424+BN424+BO424+AR424+BP424+BQ424+BR424+BS424+BT424</f>
        <v>201565.476597217</v>
      </c>
      <c r="CB424" s="15" t="n">
        <f aca="false">AC424+BK424+BM424+BH424+BU424+BV424+AS424+BW424+BX424+BY424+BZ424</f>
        <v>79625.4722608333</v>
      </c>
      <c r="CC424" s="15" t="n">
        <f aca="false">BI424-CA424</f>
        <v>16502.5468055258</v>
      </c>
      <c r="CD424" s="15" t="n">
        <f aca="false">AM424-CB424</f>
        <v>36332.8610725</v>
      </c>
      <c r="CE424" s="15" t="n">
        <f aca="false">INDEX(Ipotesi!$C$79:$G$79,1,F424)/12</f>
        <v>4166.66666666667</v>
      </c>
      <c r="CF424" s="15" t="n">
        <f aca="false">INDEX(Ipotesi!$C$84:$G$84,1,F424)/12</f>
        <v>666.666666666667</v>
      </c>
      <c r="CG424" s="15" t="n">
        <f aca="false">Y424*MAX(0,Parametri_v3!$C$12-IF(P424=0,0,MIN(1,BE424/(P424*Parametri_v3!$C$22))))+W424*Parametri_v3!$C$13+X424*Parametri_v3!$C$14</f>
        <v>33495.4880009584</v>
      </c>
      <c r="CH424" s="15" t="n">
        <f aca="false">AB424*Parametri_v3!$C$32</f>
        <v>5973.86641604167</v>
      </c>
      <c r="CI424" s="15" t="n">
        <f aca="false">AC424*Parametri_v3!$C$32</f>
        <v>2218.19027970833</v>
      </c>
      <c r="CJ424" s="15" t="n">
        <f aca="false">CA424-AB424</f>
        <v>82088.1482763841</v>
      </c>
      <c r="CK424" s="15" t="n">
        <f aca="false">CB424-AC424-BH424</f>
        <v>23665.8333333333</v>
      </c>
      <c r="CL424" s="15" t="n">
        <f aca="false">BF424*Ipotesi!$C$73+INDEX(Ipotesi!$C$72:$G$72,1,F424)/12*Ipotesi!I126*Parametri_v3!$C$58+Z424*(1-Parametri_v3!$C$16)</f>
        <v>18178.2930063861</v>
      </c>
      <c r="CM424" s="16" t="n">
        <f aca="false">IF(BF424=0,0,1-CL424/BF424)</f>
        <v>0.844148909590919</v>
      </c>
    </row>
    <row r="425" customFormat="false" ht="18" hidden="false" customHeight="true" outlineLevel="0" collapsed="false">
      <c r="A425" s="68" t="n">
        <f aca="false">8</f>
        <v>8</v>
      </c>
      <c r="B425" s="68" t="n">
        <f aca="false">1</f>
        <v>1</v>
      </c>
      <c r="C425" s="18" t="n">
        <f aca="false">EDATE(Parametri_v3!$C$5,1-1)</f>
        <v>46388</v>
      </c>
      <c r="D425" s="68" t="n">
        <f aca="false">YEAR(C425)</f>
        <v>2027</v>
      </c>
      <c r="E425" s="68" t="n">
        <f aca="false">MONTH(C425)</f>
        <v>1</v>
      </c>
      <c r="F425" s="68" t="n">
        <f aca="false">INT((1-1)/12)+1</f>
        <v>1</v>
      </c>
      <c r="G425" s="15" t="n">
        <f aca="false">Ipotesi!J7</f>
        <v>1</v>
      </c>
      <c r="H425" s="15" t="n">
        <f aca="false">Ipotesi!J9</f>
        <v>1</v>
      </c>
      <c r="I425" s="15" t="n">
        <f aca="false">Ipotesi!J10</f>
        <v>1</v>
      </c>
      <c r="J425" s="15" t="n">
        <f aca="false">Ipotesi!J11</f>
        <v>1</v>
      </c>
      <c r="K425" s="15" t="n">
        <f aca="false">Ipotesi!J12</f>
        <v>1</v>
      </c>
      <c r="L425" s="15" t="n">
        <f aca="false">Ipotesi!J13</f>
        <v>90</v>
      </c>
      <c r="M425" s="17" t="n">
        <f aca="false">INDEX(Ipotesi!$C$40:$G$40,1,F425)</f>
        <v>1</v>
      </c>
      <c r="N425" s="17" t="n">
        <f aca="false">INDEX(Ipotesi!$C$41:$G$41,1,F425)</f>
        <v>0.75</v>
      </c>
      <c r="O425" s="17" t="n">
        <f aca="false">INDEX(Ipotesi!$C$42:$G$42,1,F425)*Ipotesi!J125</f>
        <v>1</v>
      </c>
      <c r="P425" s="17" t="n">
        <f aca="false">INDEX(Ipotesi!$C$43:$G$43,1,F425)*I425</f>
        <v>1</v>
      </c>
      <c r="Q425" s="17" t="n">
        <f aca="false">INDEX(Ipotesi!$C$44:$G$44,1,F425)*I425</f>
        <v>0.5</v>
      </c>
      <c r="R425" s="17" t="n">
        <f aca="false">INDEX(Ipotesi!$C$45:$G$45,1,F425)*I425</f>
        <v>0</v>
      </c>
      <c r="S425" s="17" t="n">
        <f aca="false">INDEX(Ipotesi!$C$52:$G$52,1,F425)*Ipotesi!J125</f>
        <v>1.5</v>
      </c>
      <c r="T425" s="17" t="n">
        <f aca="false">INDEX(Ipotesi!$C$53:$G$53,1,F425)*I425</f>
        <v>0</v>
      </c>
      <c r="U425" s="17" t="n">
        <f aca="false">INDEX(Ipotesi!$C$54:$G$54,1,F425)*I425</f>
        <v>0</v>
      </c>
      <c r="V425" s="15" t="n">
        <f aca="false">M425*INDEX(Ipotesi!$C$58:$G$58,1,F425)*K425/12</f>
        <v>3333.33333333333</v>
      </c>
      <c r="W425" s="15" t="n">
        <f aca="false">N425*Ipotesi!$C$59*(1+Ipotesi!$C$66)^(F425-1)/12</f>
        <v>4375</v>
      </c>
      <c r="X425" s="15" t="n">
        <f aca="false">O425*Ipotesi!$C$60*(1+Ipotesi!$C$66)^(F425-1)/12</f>
        <v>4166.66666666667</v>
      </c>
      <c r="Y425" s="15" t="n">
        <f aca="false">P425*Ipotesi!$C$61*(1+Ipotesi!$C$66)^(F425-1)/12</f>
        <v>4166.66666666667</v>
      </c>
      <c r="Z425" s="15" t="n">
        <f aca="false">Q425*Ipotesi!$C$62*(1+Ipotesi!$C$66)^(F425-1)/12</f>
        <v>1875</v>
      </c>
      <c r="AA425" s="15" t="n">
        <f aca="false">R425*Ipotesi!$C$63*(1+Ipotesi!$C$66)^(F425-1)/12</f>
        <v>0</v>
      </c>
      <c r="AB425" s="15" t="n">
        <f aca="false">SUM(V425:AA425)</f>
        <v>17916.6666666667</v>
      </c>
      <c r="AC425" s="15" t="n">
        <f aca="false">(S425*Ipotesi!$C$64+T425*Ipotesi!$C$65+U425*Ipotesi!$C$63)*(1+Ipotesi!$C$66)^(F425-1)/12</f>
        <v>5250</v>
      </c>
      <c r="AD425" s="15" t="n">
        <f aca="false">INDEX(Ipotesi!$C$48:$G$48,1,F425)*G425/12</f>
        <v>16.6666666666667</v>
      </c>
      <c r="AE425" s="15" t="n">
        <f aca="false">INDEX(Ipotesi!$C$50:$G$50,1,F425)*G425/12</f>
        <v>2.08333333333333</v>
      </c>
      <c r="AF425" s="15" t="n">
        <f aca="false">(S425*Parametri_v3!$C$7*Parametri_v3!$C$8+Parametri_v3!$C$10)/12</f>
        <v>19.25</v>
      </c>
      <c r="AG425" s="15" t="n">
        <f aca="false">AD425+AE425*(1+Parametri_v3!$C$9)</f>
        <v>19.7916666666667</v>
      </c>
      <c r="AH425" s="16" t="n">
        <f aca="false">IF(AG425=0,1,MIN(1,AF425/AG425))</f>
        <v>0.972631578947368</v>
      </c>
      <c r="AI425" s="15" t="n">
        <f aca="false">AD425*AH425</f>
        <v>16.2105263157895</v>
      </c>
      <c r="AJ425" s="15" t="n">
        <f aca="false">AE425*AH425</f>
        <v>2.02631578947368</v>
      </c>
      <c r="AK425" s="15" t="n">
        <f aca="false">AI425*INDEX(Ipotesi!$C$49:$G$49,1,F425)*H425</f>
        <v>12157.8947368421</v>
      </c>
      <c r="AL425" s="15" t="n">
        <f aca="false">AJ425*INDEX(Ipotesi!$C$51:$G$51,1,F425)*H425</f>
        <v>4052.63157894737</v>
      </c>
      <c r="AM425" s="15" t="n">
        <f aca="false">AK425+AL425</f>
        <v>16210.5263157895</v>
      </c>
      <c r="AN425" s="15" t="n">
        <f aca="false">INDEX(Ipotesi!$C$30:$G$30,1,F425)*G425/12</f>
        <v>8.33333333333333</v>
      </c>
      <c r="AO425" s="15" t="n">
        <f aca="false">O425*Parametri_v3!$C$7*Parametri_v3!$C$11*(1-Parametri_v3!$C$14)/12</f>
        <v>10.2666666666667</v>
      </c>
      <c r="AP425" s="15" t="n">
        <f aca="false">MIN(AN425,AO425)</f>
        <v>8.33333333333333</v>
      </c>
      <c r="AQ425" s="15" t="n">
        <f aca="false">AP425*INDEX(Ipotesi!$C$31:$G$31,1,F425)*H425</f>
        <v>7500</v>
      </c>
      <c r="AR425" s="15" t="n">
        <f aca="false">INDEX(Ipotesi!$C$75:$G$75,1,F425)*J425/12</f>
        <v>2083.33333333333</v>
      </c>
      <c r="AS425" s="15" t="n">
        <f aca="false">INDEX(Ipotesi!$C$81:$G$81,1,F425)*J425/12</f>
        <v>416.666666666667</v>
      </c>
      <c r="AT425" s="15" t="n">
        <f aca="false">AR425*Parametri_v3!$C$15+Z425*Parametri_v3!$C$16</f>
        <v>3395.83333333333</v>
      </c>
      <c r="AU425" s="15" t="n">
        <f aca="false">Q425*Parametri_v3!$C$16*Parametri_v3!$C$17</f>
        <v>35</v>
      </c>
      <c r="AV425" s="17" t="n">
        <f aca="false">0</f>
        <v>0</v>
      </c>
      <c r="AW425" s="17" t="n">
        <f aca="false">AV425*(1-(1-INDEX(Ipotesi!$C$34:$G$34,1,F425))^(1/12))</f>
        <v>0</v>
      </c>
      <c r="AX425" s="15" t="n">
        <f aca="false">ROUND(INDEX(Ipotesi!$C$32:$G$32,1,F425)*Ipotesi!J8,0)</f>
        <v>5</v>
      </c>
      <c r="AY425" s="15" t="n">
        <f aca="false">MAX(0,(AX425-(AV425-AW425))/(13-E425))</f>
        <v>0.416666666666667</v>
      </c>
      <c r="AZ425" s="15" t="n">
        <f aca="false">MIN(P425*Parametri_v3!$C$22,Q425*(1-Parametri_v3!$C$16)*Parametri_v3!$C$23)</f>
        <v>22.5</v>
      </c>
      <c r="BA425" s="15" t="n">
        <f aca="false">IF(OR(INDEX(Ipotesi!$C$35:$G$35,1,F425)&lt;=0,1-Parametri_v3!$C$21&lt;1),0,INDEX($AT$425:$AT$484,MAX(1,1-Parametri_v3!$C$21))/(INDEX(Ipotesi!$C$35:$G$35,1,F425)*Ipotesi!J27))</f>
        <v>0</v>
      </c>
      <c r="BB425" s="15" t="n">
        <f aca="false">IF(1-Parametri_v3!$C$21&lt;1,0,INDEX($AU$425:$AU$484,MAX(1,1-Parametri_v3!$C$21)))*Parametri_v3!$C$18*Parametri_v3!$C$19*Parametri_v3!$C$20</f>
        <v>0</v>
      </c>
      <c r="BC425" s="17" t="n">
        <f aca="false">MAX(0,MIN(AY425,BA425,BB425,MAX(0,AZ425-(AV425-AW425))))</f>
        <v>0</v>
      </c>
      <c r="BD425" s="17" t="n">
        <f aca="false">AV425-AW425+BC425</f>
        <v>0</v>
      </c>
      <c r="BE425" s="17" t="n">
        <f aca="false">(AV425+BD425)/2</f>
        <v>0</v>
      </c>
      <c r="BF425" s="15" t="n">
        <f aca="false">BE425*INDEX(Ipotesi!$C$33:$G$33,1,F425)*H425/12</f>
        <v>0</v>
      </c>
      <c r="BG425" s="15" t="n">
        <f aca="false">BD425*INDEX(Ipotesi!$C$33:$G$33,1,F425)*H425</f>
        <v>0</v>
      </c>
      <c r="BH425" s="15" t="n">
        <f aca="false">AM425*INDEX(Ipotesi!$C$37:$G$37,1,F425)</f>
        <v>1621.05263157895</v>
      </c>
      <c r="BI425" s="15" t="n">
        <f aca="false">AQ425+BF425+BH425</f>
        <v>9121.05263157895</v>
      </c>
      <c r="BJ425" s="15" t="n">
        <f aca="false">INDEX(Ipotesi!$C$68:$G$68,1,F425)*Ipotesi!$C$69/12</f>
        <v>1000</v>
      </c>
      <c r="BK425" s="15" t="n">
        <f aca="false">INDEX(Ipotesi!$C$68:$G$68,1,F425)*(1-Ipotesi!$C$69)/12</f>
        <v>1500</v>
      </c>
      <c r="BL425" s="15" t="n">
        <f aca="false">(AQ425+BF425)*Ipotesi!$C$67</f>
        <v>225</v>
      </c>
      <c r="BM425" s="15" t="n">
        <f aca="false">AM425*Ipotesi!$C$67</f>
        <v>486.315789473684</v>
      </c>
      <c r="BN425" s="15" t="n">
        <f aca="false">INDEX(Ipotesi!$C$72:$G$72,1,F425)/12*Ipotesi!J126+BF425*Ipotesi!$C$73</f>
        <v>1250</v>
      </c>
      <c r="BO425" s="15" t="n">
        <f aca="false">INDEX(Ipotesi!$C$74:$G$74,1,F425)/12*Ipotesi!J126</f>
        <v>1000</v>
      </c>
      <c r="BP425" s="15" t="n">
        <f aca="false">INDEX(Ipotesi!$C$76:$G$76,1,F425)/12</f>
        <v>500</v>
      </c>
      <c r="BQ425" s="15" t="n">
        <f aca="false">INDEX(Ipotesi!$C$77:$G$77,1,F425)/12*Ipotesi!J126</f>
        <v>1250</v>
      </c>
      <c r="BR425" s="15" t="n">
        <f aca="false">INDEX(Ipotesi!$C$78:$G$78,1,F425)/12</f>
        <v>1000</v>
      </c>
      <c r="BS425" s="15" t="n">
        <f aca="false">SUM(M425:R425)*(Ipotesi!$C$85+Ipotesi!$C$86)/12</f>
        <v>1239.58333333333</v>
      </c>
      <c r="BT425" s="15" t="n">
        <f aca="false">BI425*Ipotesi!$C$87</f>
        <v>273.631578947368</v>
      </c>
      <c r="BU425" s="15" t="n">
        <f aca="false">INDEX(Ipotesi!$C$55:$G$55,1,F425)*K425/12</f>
        <v>500</v>
      </c>
      <c r="BV425" s="15" t="n">
        <f aca="false">INDEX(Ipotesi!$C$80:$G$80,1,F425)/12*Ipotesi!J126</f>
        <v>500</v>
      </c>
      <c r="BW425" s="15" t="n">
        <f aca="false">INDEX(Ipotesi!$C$82:$G$82,1,F425)/12</f>
        <v>416.666666666667</v>
      </c>
      <c r="BX425" s="15" t="n">
        <f aca="false">INDEX(Ipotesi!$C$83:$G$83,1,F425)/12</f>
        <v>500</v>
      </c>
      <c r="BY425" s="15" t="n">
        <f aca="false">SUM(S425:U425)*(Ipotesi!$C$85+Ipotesi!$C$86)/12</f>
        <v>437.5</v>
      </c>
      <c r="BZ425" s="15" t="n">
        <f aca="false">AM425*Ipotesi!$C$87</f>
        <v>486.315789473684</v>
      </c>
      <c r="CA425" s="15" t="n">
        <f aca="false">AB425+BJ425+BL425+BN425+BO425+AR425+BP425+BQ425+BR425+BS425+BT425</f>
        <v>27738.2149122807</v>
      </c>
      <c r="CB425" s="15" t="n">
        <f aca="false">AC425+BK425+BM425+BH425+BU425+BV425+AS425+BW425+BX425+BY425+BZ425</f>
        <v>12114.5175438596</v>
      </c>
      <c r="CC425" s="15" t="n">
        <f aca="false">BI425-CA425</f>
        <v>-18617.1622807018</v>
      </c>
      <c r="CD425" s="15" t="n">
        <f aca="false">AM425-CB425</f>
        <v>4096.00877192982</v>
      </c>
      <c r="CE425" s="15" t="n">
        <f aca="false">INDEX(Ipotesi!$C$79:$G$79,1,F425)/12</f>
        <v>1666.66666666667</v>
      </c>
      <c r="CF425" s="15" t="n">
        <f aca="false">INDEX(Ipotesi!$C$84:$G$84,1,F425)/12</f>
        <v>250</v>
      </c>
      <c r="CG425" s="15" t="n">
        <f aca="false">Y425*MAX(0,Parametri_v3!$C$12-IF(P425=0,0,MIN(1,BE425/(P425*Parametri_v3!$C$22))))+W425*Parametri_v3!$C$13+X425*Parametri_v3!$C$14</f>
        <v>7187.5</v>
      </c>
      <c r="CH425" s="15" t="n">
        <f aca="false">AB425*Parametri_v3!$C$32</f>
        <v>895.833333333334</v>
      </c>
      <c r="CI425" s="15" t="n">
        <f aca="false">AC425*Parametri_v3!$C$32</f>
        <v>262.5</v>
      </c>
      <c r="CJ425" s="15" t="n">
        <f aca="false">CA425-AB425</f>
        <v>9821.54824561403</v>
      </c>
      <c r="CK425" s="15" t="n">
        <f aca="false">CB425-AC425-BH425</f>
        <v>5243.4649122807</v>
      </c>
      <c r="CL425" s="15" t="n">
        <f aca="false">BF425*Ipotesi!$C$73+INDEX(Ipotesi!$C$72:$G$72,1,F425)/12*Ipotesi!J126*Parametri_v3!$C$58+Z425*(1-Parametri_v3!$C$16)</f>
        <v>1812.5</v>
      </c>
      <c r="CM425" s="16" t="n">
        <f aca="false">IF(BF425=0,0,1-CL425/BF425)</f>
        <v>0</v>
      </c>
    </row>
    <row r="426" customFormat="false" ht="18" hidden="false" customHeight="true" outlineLevel="0" collapsed="false">
      <c r="A426" s="68" t="n">
        <f aca="false">8</f>
        <v>8</v>
      </c>
      <c r="B426" s="68" t="n">
        <f aca="false">2</f>
        <v>2</v>
      </c>
      <c r="C426" s="18" t="n">
        <f aca="false">EDATE(Parametri_v3!$C$5,2-1)</f>
        <v>46419</v>
      </c>
      <c r="D426" s="68" t="n">
        <f aca="false">YEAR(C426)</f>
        <v>2027</v>
      </c>
      <c r="E426" s="68" t="n">
        <f aca="false">MONTH(C426)</f>
        <v>2</v>
      </c>
      <c r="F426" s="68" t="n">
        <f aca="false">INT((2-1)/12)+1</f>
        <v>1</v>
      </c>
      <c r="G426" s="15" t="n">
        <f aca="false">Ipotesi!J7</f>
        <v>1</v>
      </c>
      <c r="H426" s="15" t="n">
        <f aca="false">Ipotesi!J9</f>
        <v>1</v>
      </c>
      <c r="I426" s="15" t="n">
        <f aca="false">Ipotesi!J10</f>
        <v>1</v>
      </c>
      <c r="J426" s="15" t="n">
        <f aca="false">Ipotesi!J11</f>
        <v>1</v>
      </c>
      <c r="K426" s="15" t="n">
        <f aca="false">Ipotesi!J12</f>
        <v>1</v>
      </c>
      <c r="L426" s="15" t="n">
        <f aca="false">Ipotesi!J13</f>
        <v>90</v>
      </c>
      <c r="M426" s="17" t="n">
        <f aca="false">INDEX(Ipotesi!$C$40:$G$40,1,F426)</f>
        <v>1</v>
      </c>
      <c r="N426" s="17" t="n">
        <f aca="false">INDEX(Ipotesi!$C$41:$G$41,1,F426)</f>
        <v>0.75</v>
      </c>
      <c r="O426" s="17" t="n">
        <f aca="false">INDEX(Ipotesi!$C$42:$G$42,1,F426)*Ipotesi!J125</f>
        <v>1</v>
      </c>
      <c r="P426" s="17" t="n">
        <f aca="false">INDEX(Ipotesi!$C$43:$G$43,1,F426)*I426</f>
        <v>1</v>
      </c>
      <c r="Q426" s="17" t="n">
        <f aca="false">INDEX(Ipotesi!$C$44:$G$44,1,F426)*I426</f>
        <v>0.5</v>
      </c>
      <c r="R426" s="17" t="n">
        <f aca="false">INDEX(Ipotesi!$C$45:$G$45,1,F426)*I426</f>
        <v>0</v>
      </c>
      <c r="S426" s="17" t="n">
        <f aca="false">INDEX(Ipotesi!$C$52:$G$52,1,F426)*Ipotesi!J125</f>
        <v>1.5</v>
      </c>
      <c r="T426" s="17" t="n">
        <f aca="false">INDEX(Ipotesi!$C$53:$G$53,1,F426)*I426</f>
        <v>0</v>
      </c>
      <c r="U426" s="17" t="n">
        <f aca="false">INDEX(Ipotesi!$C$54:$G$54,1,F426)*I426</f>
        <v>0</v>
      </c>
      <c r="V426" s="15" t="n">
        <f aca="false">M426*INDEX(Ipotesi!$C$58:$G$58,1,F426)*K426/12</f>
        <v>3333.33333333333</v>
      </c>
      <c r="W426" s="15" t="n">
        <f aca="false">N426*Ipotesi!$C$59*(1+Ipotesi!$C$66)^(F426-1)/12</f>
        <v>4375</v>
      </c>
      <c r="X426" s="15" t="n">
        <f aca="false">O426*Ipotesi!$C$60*(1+Ipotesi!$C$66)^(F426-1)/12</f>
        <v>4166.66666666667</v>
      </c>
      <c r="Y426" s="15" t="n">
        <f aca="false">P426*Ipotesi!$C$61*(1+Ipotesi!$C$66)^(F426-1)/12</f>
        <v>4166.66666666667</v>
      </c>
      <c r="Z426" s="15" t="n">
        <f aca="false">Q426*Ipotesi!$C$62*(1+Ipotesi!$C$66)^(F426-1)/12</f>
        <v>1875</v>
      </c>
      <c r="AA426" s="15" t="n">
        <f aca="false">R426*Ipotesi!$C$63*(1+Ipotesi!$C$66)^(F426-1)/12</f>
        <v>0</v>
      </c>
      <c r="AB426" s="15" t="n">
        <f aca="false">SUM(V426:AA426)</f>
        <v>17916.6666666667</v>
      </c>
      <c r="AC426" s="15" t="n">
        <f aca="false">(S426*Ipotesi!$C$64+T426*Ipotesi!$C$65+U426*Ipotesi!$C$63)*(1+Ipotesi!$C$66)^(F426-1)/12</f>
        <v>5250</v>
      </c>
      <c r="AD426" s="15" t="n">
        <f aca="false">INDEX(Ipotesi!$C$48:$G$48,1,F426)*G426/12</f>
        <v>16.6666666666667</v>
      </c>
      <c r="AE426" s="15" t="n">
        <f aca="false">INDEX(Ipotesi!$C$50:$G$50,1,F426)*G426/12</f>
        <v>2.08333333333333</v>
      </c>
      <c r="AF426" s="15" t="n">
        <f aca="false">(S426*Parametri_v3!$C$7*Parametri_v3!$C$8+Parametri_v3!$C$10)/12</f>
        <v>19.25</v>
      </c>
      <c r="AG426" s="15" t="n">
        <f aca="false">AD426+AE426*(1+Parametri_v3!$C$9)</f>
        <v>19.7916666666667</v>
      </c>
      <c r="AH426" s="16" t="n">
        <f aca="false">IF(AG426=0,1,MIN(1,AF426/AG426))</f>
        <v>0.972631578947368</v>
      </c>
      <c r="AI426" s="15" t="n">
        <f aca="false">AD426*AH426</f>
        <v>16.2105263157895</v>
      </c>
      <c r="AJ426" s="15" t="n">
        <f aca="false">AE426*AH426</f>
        <v>2.02631578947368</v>
      </c>
      <c r="AK426" s="15" t="n">
        <f aca="false">AI426*INDEX(Ipotesi!$C$49:$G$49,1,F426)*H426</f>
        <v>12157.8947368421</v>
      </c>
      <c r="AL426" s="15" t="n">
        <f aca="false">AJ426*INDEX(Ipotesi!$C$51:$G$51,1,F426)*H426</f>
        <v>4052.63157894737</v>
      </c>
      <c r="AM426" s="15" t="n">
        <f aca="false">AK426+AL426</f>
        <v>16210.5263157895</v>
      </c>
      <c r="AN426" s="15" t="n">
        <f aca="false">INDEX(Ipotesi!$C$30:$G$30,1,F426)*G426/12</f>
        <v>8.33333333333333</v>
      </c>
      <c r="AO426" s="15" t="n">
        <f aca="false">O426*Parametri_v3!$C$7*Parametri_v3!$C$11*(1-Parametri_v3!$C$14)/12</f>
        <v>10.2666666666667</v>
      </c>
      <c r="AP426" s="15" t="n">
        <f aca="false">MIN(AN426,AO426)</f>
        <v>8.33333333333333</v>
      </c>
      <c r="AQ426" s="15" t="n">
        <f aca="false">AP426*INDEX(Ipotesi!$C$31:$G$31,1,F426)*H426</f>
        <v>7500</v>
      </c>
      <c r="AR426" s="15" t="n">
        <f aca="false">INDEX(Ipotesi!$C$75:$G$75,1,F426)*J426/12</f>
        <v>2083.33333333333</v>
      </c>
      <c r="AS426" s="15" t="n">
        <f aca="false">INDEX(Ipotesi!$C$81:$G$81,1,F426)*J426/12</f>
        <v>416.666666666667</v>
      </c>
      <c r="AT426" s="15" t="n">
        <f aca="false">AR426*Parametri_v3!$C$15+Z426*Parametri_v3!$C$16</f>
        <v>3395.83333333333</v>
      </c>
      <c r="AU426" s="15" t="n">
        <f aca="false">Q426*Parametri_v3!$C$16*Parametri_v3!$C$17</f>
        <v>35</v>
      </c>
      <c r="AV426" s="17" t="n">
        <f aca="false">BD425</f>
        <v>0</v>
      </c>
      <c r="AW426" s="17" t="n">
        <f aca="false">AV426*(1-(1-INDEX(Ipotesi!$C$34:$G$34,1,F426))^(1/12))</f>
        <v>0</v>
      </c>
      <c r="AX426" s="15" t="n">
        <f aca="false">ROUND(INDEX(Ipotesi!$C$32:$G$32,1,F426)*Ipotesi!J8,0)</f>
        <v>5</v>
      </c>
      <c r="AY426" s="15" t="n">
        <f aca="false">MAX(0,(AX426-(AV426-AW426))/(13-E426))</f>
        <v>0.454545454545455</v>
      </c>
      <c r="AZ426" s="15" t="n">
        <f aca="false">MIN(P426*Parametri_v3!$C$22,Q426*(1-Parametri_v3!$C$16)*Parametri_v3!$C$23)</f>
        <v>22.5</v>
      </c>
      <c r="BA426" s="15" t="n">
        <f aca="false">IF(OR(INDEX(Ipotesi!$C$35:$G$35,1,F426)&lt;=0,2-Parametri_v3!$C$21&lt;1),0,INDEX($AT$425:$AT$484,MAX(1,2-Parametri_v3!$C$21))/(INDEX(Ipotesi!$C$35:$G$35,1,F426)*Ipotesi!J27))</f>
        <v>0</v>
      </c>
      <c r="BB426" s="15" t="n">
        <f aca="false">IF(2-Parametri_v3!$C$21&lt;1,0,INDEX($AU$425:$AU$484,MAX(1,2-Parametri_v3!$C$21)))*Parametri_v3!$C$18*Parametri_v3!$C$19*Parametri_v3!$C$20</f>
        <v>0</v>
      </c>
      <c r="BC426" s="17" t="n">
        <f aca="false">MAX(0,MIN(AY426,BA426,BB426,MAX(0,AZ426-(AV426-AW426))))</f>
        <v>0</v>
      </c>
      <c r="BD426" s="17" t="n">
        <f aca="false">AV426-AW426+BC426</f>
        <v>0</v>
      </c>
      <c r="BE426" s="17" t="n">
        <f aca="false">(AV426+BD426)/2</f>
        <v>0</v>
      </c>
      <c r="BF426" s="15" t="n">
        <f aca="false">BE426*INDEX(Ipotesi!$C$33:$G$33,1,F426)*H426/12</f>
        <v>0</v>
      </c>
      <c r="BG426" s="15" t="n">
        <f aca="false">BD426*INDEX(Ipotesi!$C$33:$G$33,1,F426)*H426</f>
        <v>0</v>
      </c>
      <c r="BH426" s="15" t="n">
        <f aca="false">AM426*INDEX(Ipotesi!$C$37:$G$37,1,F426)</f>
        <v>1621.05263157895</v>
      </c>
      <c r="BI426" s="15" t="n">
        <f aca="false">AQ426+BF426+BH426</f>
        <v>9121.05263157895</v>
      </c>
      <c r="BJ426" s="15" t="n">
        <f aca="false">INDEX(Ipotesi!$C$68:$G$68,1,F426)*Ipotesi!$C$69/12</f>
        <v>1000</v>
      </c>
      <c r="BK426" s="15" t="n">
        <f aca="false">INDEX(Ipotesi!$C$68:$G$68,1,F426)*(1-Ipotesi!$C$69)/12</f>
        <v>1500</v>
      </c>
      <c r="BL426" s="15" t="n">
        <f aca="false">(AQ426+BF426)*Ipotesi!$C$67</f>
        <v>225</v>
      </c>
      <c r="BM426" s="15" t="n">
        <f aca="false">AM426*Ipotesi!$C$67</f>
        <v>486.315789473684</v>
      </c>
      <c r="BN426" s="15" t="n">
        <f aca="false">INDEX(Ipotesi!$C$72:$G$72,1,F426)/12*Ipotesi!J126+BF426*Ipotesi!$C$73</f>
        <v>1250</v>
      </c>
      <c r="BO426" s="15" t="n">
        <f aca="false">INDEX(Ipotesi!$C$74:$G$74,1,F426)/12*Ipotesi!J126</f>
        <v>1000</v>
      </c>
      <c r="BP426" s="15" t="n">
        <f aca="false">INDEX(Ipotesi!$C$76:$G$76,1,F426)/12</f>
        <v>500</v>
      </c>
      <c r="BQ426" s="15" t="n">
        <f aca="false">INDEX(Ipotesi!$C$77:$G$77,1,F426)/12*Ipotesi!J126</f>
        <v>1250</v>
      </c>
      <c r="BR426" s="15" t="n">
        <f aca="false">INDEX(Ipotesi!$C$78:$G$78,1,F426)/12</f>
        <v>1000</v>
      </c>
      <c r="BS426" s="15" t="n">
        <f aca="false">SUM(M426:R426)*(Ipotesi!$C$85+Ipotesi!$C$86)/12</f>
        <v>1239.58333333333</v>
      </c>
      <c r="BT426" s="15" t="n">
        <f aca="false">BI426*Ipotesi!$C$87</f>
        <v>273.631578947368</v>
      </c>
      <c r="BU426" s="15" t="n">
        <f aca="false">INDEX(Ipotesi!$C$55:$G$55,1,F426)*K426/12</f>
        <v>500</v>
      </c>
      <c r="BV426" s="15" t="n">
        <f aca="false">INDEX(Ipotesi!$C$80:$G$80,1,F426)/12*Ipotesi!J126</f>
        <v>500</v>
      </c>
      <c r="BW426" s="15" t="n">
        <f aca="false">INDEX(Ipotesi!$C$82:$G$82,1,F426)/12</f>
        <v>416.666666666667</v>
      </c>
      <c r="BX426" s="15" t="n">
        <f aca="false">INDEX(Ipotesi!$C$83:$G$83,1,F426)/12</f>
        <v>500</v>
      </c>
      <c r="BY426" s="15" t="n">
        <f aca="false">SUM(S426:U426)*(Ipotesi!$C$85+Ipotesi!$C$86)/12</f>
        <v>437.5</v>
      </c>
      <c r="BZ426" s="15" t="n">
        <f aca="false">AM426*Ipotesi!$C$87</f>
        <v>486.315789473684</v>
      </c>
      <c r="CA426" s="15" t="n">
        <f aca="false">AB426+BJ426+BL426+BN426+BO426+AR426+BP426+BQ426+BR426+BS426+BT426</f>
        <v>27738.2149122807</v>
      </c>
      <c r="CB426" s="15" t="n">
        <f aca="false">AC426+BK426+BM426+BH426+BU426+BV426+AS426+BW426+BX426+BY426+BZ426</f>
        <v>12114.5175438596</v>
      </c>
      <c r="CC426" s="15" t="n">
        <f aca="false">BI426-CA426</f>
        <v>-18617.1622807018</v>
      </c>
      <c r="CD426" s="15" t="n">
        <f aca="false">AM426-CB426</f>
        <v>4096.00877192982</v>
      </c>
      <c r="CE426" s="15" t="n">
        <f aca="false">INDEX(Ipotesi!$C$79:$G$79,1,F426)/12</f>
        <v>1666.66666666667</v>
      </c>
      <c r="CF426" s="15" t="n">
        <f aca="false">INDEX(Ipotesi!$C$84:$G$84,1,F426)/12</f>
        <v>250</v>
      </c>
      <c r="CG426" s="15" t="n">
        <f aca="false">Y426*MAX(0,Parametri_v3!$C$12-IF(P426=0,0,MIN(1,BE426/(P426*Parametri_v3!$C$22))))+W426*Parametri_v3!$C$13+X426*Parametri_v3!$C$14</f>
        <v>7187.5</v>
      </c>
      <c r="CH426" s="15" t="n">
        <f aca="false">AB426*Parametri_v3!$C$32</f>
        <v>895.833333333334</v>
      </c>
      <c r="CI426" s="15" t="n">
        <f aca="false">AC426*Parametri_v3!$C$32</f>
        <v>262.5</v>
      </c>
      <c r="CJ426" s="15" t="n">
        <f aca="false">CA426-AB426</f>
        <v>9821.54824561403</v>
      </c>
      <c r="CK426" s="15" t="n">
        <f aca="false">CB426-AC426-BH426</f>
        <v>5243.4649122807</v>
      </c>
      <c r="CL426" s="15" t="n">
        <f aca="false">BF426*Ipotesi!$C$73+INDEX(Ipotesi!$C$72:$G$72,1,F426)/12*Ipotesi!J126*Parametri_v3!$C$58+Z426*(1-Parametri_v3!$C$16)</f>
        <v>1812.5</v>
      </c>
      <c r="CM426" s="16" t="n">
        <f aca="false">IF(BF426=0,0,1-CL426/BF426)</f>
        <v>0</v>
      </c>
    </row>
    <row r="427" customFormat="false" ht="18" hidden="false" customHeight="true" outlineLevel="0" collapsed="false">
      <c r="A427" s="68" t="n">
        <f aca="false">8</f>
        <v>8</v>
      </c>
      <c r="B427" s="68" t="n">
        <f aca="false">3</f>
        <v>3</v>
      </c>
      <c r="C427" s="18" t="n">
        <f aca="false">EDATE(Parametri_v3!$C$5,3-1)</f>
        <v>46447</v>
      </c>
      <c r="D427" s="68" t="n">
        <f aca="false">YEAR(C427)</f>
        <v>2027</v>
      </c>
      <c r="E427" s="68" t="n">
        <f aca="false">MONTH(C427)</f>
        <v>3</v>
      </c>
      <c r="F427" s="68" t="n">
        <f aca="false">INT((3-1)/12)+1</f>
        <v>1</v>
      </c>
      <c r="G427" s="15" t="n">
        <f aca="false">Ipotesi!J7</f>
        <v>1</v>
      </c>
      <c r="H427" s="15" t="n">
        <f aca="false">Ipotesi!J9</f>
        <v>1</v>
      </c>
      <c r="I427" s="15" t="n">
        <f aca="false">Ipotesi!J10</f>
        <v>1</v>
      </c>
      <c r="J427" s="15" t="n">
        <f aca="false">Ipotesi!J11</f>
        <v>1</v>
      </c>
      <c r="K427" s="15" t="n">
        <f aca="false">Ipotesi!J12</f>
        <v>1</v>
      </c>
      <c r="L427" s="15" t="n">
        <f aca="false">Ipotesi!J13</f>
        <v>90</v>
      </c>
      <c r="M427" s="17" t="n">
        <f aca="false">INDEX(Ipotesi!$C$40:$G$40,1,F427)</f>
        <v>1</v>
      </c>
      <c r="N427" s="17" t="n">
        <f aca="false">INDEX(Ipotesi!$C$41:$G$41,1,F427)</f>
        <v>0.75</v>
      </c>
      <c r="O427" s="17" t="n">
        <f aca="false">INDEX(Ipotesi!$C$42:$G$42,1,F427)*Ipotesi!J125</f>
        <v>1</v>
      </c>
      <c r="P427" s="17" t="n">
        <f aca="false">INDEX(Ipotesi!$C$43:$G$43,1,F427)*I427</f>
        <v>1</v>
      </c>
      <c r="Q427" s="17" t="n">
        <f aca="false">INDEX(Ipotesi!$C$44:$G$44,1,F427)*I427</f>
        <v>0.5</v>
      </c>
      <c r="R427" s="17" t="n">
        <f aca="false">INDEX(Ipotesi!$C$45:$G$45,1,F427)*I427</f>
        <v>0</v>
      </c>
      <c r="S427" s="17" t="n">
        <f aca="false">INDEX(Ipotesi!$C$52:$G$52,1,F427)*Ipotesi!J125</f>
        <v>1.5</v>
      </c>
      <c r="T427" s="17" t="n">
        <f aca="false">INDEX(Ipotesi!$C$53:$G$53,1,F427)*I427</f>
        <v>0</v>
      </c>
      <c r="U427" s="17" t="n">
        <f aca="false">INDEX(Ipotesi!$C$54:$G$54,1,F427)*I427</f>
        <v>0</v>
      </c>
      <c r="V427" s="15" t="n">
        <f aca="false">M427*INDEX(Ipotesi!$C$58:$G$58,1,F427)*K427/12</f>
        <v>3333.33333333333</v>
      </c>
      <c r="W427" s="15" t="n">
        <f aca="false">N427*Ipotesi!$C$59*(1+Ipotesi!$C$66)^(F427-1)/12</f>
        <v>4375</v>
      </c>
      <c r="X427" s="15" t="n">
        <f aca="false">O427*Ipotesi!$C$60*(1+Ipotesi!$C$66)^(F427-1)/12</f>
        <v>4166.66666666667</v>
      </c>
      <c r="Y427" s="15" t="n">
        <f aca="false">P427*Ipotesi!$C$61*(1+Ipotesi!$C$66)^(F427-1)/12</f>
        <v>4166.66666666667</v>
      </c>
      <c r="Z427" s="15" t="n">
        <f aca="false">Q427*Ipotesi!$C$62*(1+Ipotesi!$C$66)^(F427-1)/12</f>
        <v>1875</v>
      </c>
      <c r="AA427" s="15" t="n">
        <f aca="false">R427*Ipotesi!$C$63*(1+Ipotesi!$C$66)^(F427-1)/12</f>
        <v>0</v>
      </c>
      <c r="AB427" s="15" t="n">
        <f aca="false">SUM(V427:AA427)</f>
        <v>17916.6666666667</v>
      </c>
      <c r="AC427" s="15" t="n">
        <f aca="false">(S427*Ipotesi!$C$64+T427*Ipotesi!$C$65+U427*Ipotesi!$C$63)*(1+Ipotesi!$C$66)^(F427-1)/12</f>
        <v>5250</v>
      </c>
      <c r="AD427" s="15" t="n">
        <f aca="false">INDEX(Ipotesi!$C$48:$G$48,1,F427)*G427/12</f>
        <v>16.6666666666667</v>
      </c>
      <c r="AE427" s="15" t="n">
        <f aca="false">INDEX(Ipotesi!$C$50:$G$50,1,F427)*G427/12</f>
        <v>2.08333333333333</v>
      </c>
      <c r="AF427" s="15" t="n">
        <f aca="false">(S427*Parametri_v3!$C$7*Parametri_v3!$C$8+Parametri_v3!$C$10)/12</f>
        <v>19.25</v>
      </c>
      <c r="AG427" s="15" t="n">
        <f aca="false">AD427+AE427*(1+Parametri_v3!$C$9)</f>
        <v>19.7916666666667</v>
      </c>
      <c r="AH427" s="16" t="n">
        <f aca="false">IF(AG427=0,1,MIN(1,AF427/AG427))</f>
        <v>0.972631578947368</v>
      </c>
      <c r="AI427" s="15" t="n">
        <f aca="false">AD427*AH427</f>
        <v>16.2105263157895</v>
      </c>
      <c r="AJ427" s="15" t="n">
        <f aca="false">AE427*AH427</f>
        <v>2.02631578947368</v>
      </c>
      <c r="AK427" s="15" t="n">
        <f aca="false">AI427*INDEX(Ipotesi!$C$49:$G$49,1,F427)*H427</f>
        <v>12157.8947368421</v>
      </c>
      <c r="AL427" s="15" t="n">
        <f aca="false">AJ427*INDEX(Ipotesi!$C$51:$G$51,1,F427)*H427</f>
        <v>4052.63157894737</v>
      </c>
      <c r="AM427" s="15" t="n">
        <f aca="false">AK427+AL427</f>
        <v>16210.5263157895</v>
      </c>
      <c r="AN427" s="15" t="n">
        <f aca="false">INDEX(Ipotesi!$C$30:$G$30,1,F427)*G427/12</f>
        <v>8.33333333333333</v>
      </c>
      <c r="AO427" s="15" t="n">
        <f aca="false">O427*Parametri_v3!$C$7*Parametri_v3!$C$11*(1-Parametri_v3!$C$14)/12</f>
        <v>10.2666666666667</v>
      </c>
      <c r="AP427" s="15" t="n">
        <f aca="false">MIN(AN427,AO427)</f>
        <v>8.33333333333333</v>
      </c>
      <c r="AQ427" s="15" t="n">
        <f aca="false">AP427*INDEX(Ipotesi!$C$31:$G$31,1,F427)*H427</f>
        <v>7500</v>
      </c>
      <c r="AR427" s="15" t="n">
        <f aca="false">INDEX(Ipotesi!$C$75:$G$75,1,F427)*J427/12</f>
        <v>2083.33333333333</v>
      </c>
      <c r="AS427" s="15" t="n">
        <f aca="false">INDEX(Ipotesi!$C$81:$G$81,1,F427)*J427/12</f>
        <v>416.666666666667</v>
      </c>
      <c r="AT427" s="15" t="n">
        <f aca="false">AR427*Parametri_v3!$C$15+Z427*Parametri_v3!$C$16</f>
        <v>3395.83333333333</v>
      </c>
      <c r="AU427" s="15" t="n">
        <f aca="false">Q427*Parametri_v3!$C$16*Parametri_v3!$C$17</f>
        <v>35</v>
      </c>
      <c r="AV427" s="17" t="n">
        <f aca="false">BD426</f>
        <v>0</v>
      </c>
      <c r="AW427" s="17" t="n">
        <f aca="false">AV427*(1-(1-INDEX(Ipotesi!$C$34:$G$34,1,F427))^(1/12))</f>
        <v>0</v>
      </c>
      <c r="AX427" s="15" t="n">
        <f aca="false">ROUND(INDEX(Ipotesi!$C$32:$G$32,1,F427)*Ipotesi!J8,0)</f>
        <v>5</v>
      </c>
      <c r="AY427" s="15" t="n">
        <f aca="false">MAX(0,(AX427-(AV427-AW427))/(13-E427))</f>
        <v>0.5</v>
      </c>
      <c r="AZ427" s="15" t="n">
        <f aca="false">MIN(P427*Parametri_v3!$C$22,Q427*(1-Parametri_v3!$C$16)*Parametri_v3!$C$23)</f>
        <v>22.5</v>
      </c>
      <c r="BA427" s="15" t="n">
        <f aca="false">IF(OR(INDEX(Ipotesi!$C$35:$G$35,1,F427)&lt;=0,3-Parametri_v3!$C$21&lt;1),0,INDEX($AT$425:$AT$484,MAX(1,3-Parametri_v3!$C$21))/(INDEX(Ipotesi!$C$35:$G$35,1,F427)*Ipotesi!J27))</f>
        <v>0</v>
      </c>
      <c r="BB427" s="15" t="n">
        <f aca="false">IF(3-Parametri_v3!$C$21&lt;1,0,INDEX($AU$425:$AU$484,MAX(1,3-Parametri_v3!$C$21)))*Parametri_v3!$C$18*Parametri_v3!$C$19*Parametri_v3!$C$20</f>
        <v>0</v>
      </c>
      <c r="BC427" s="17" t="n">
        <f aca="false">MAX(0,MIN(AY427,BA427,BB427,MAX(0,AZ427-(AV427-AW427))))</f>
        <v>0</v>
      </c>
      <c r="BD427" s="17" t="n">
        <f aca="false">AV427-AW427+BC427</f>
        <v>0</v>
      </c>
      <c r="BE427" s="17" t="n">
        <f aca="false">(AV427+BD427)/2</f>
        <v>0</v>
      </c>
      <c r="BF427" s="15" t="n">
        <f aca="false">BE427*INDEX(Ipotesi!$C$33:$G$33,1,F427)*H427/12</f>
        <v>0</v>
      </c>
      <c r="BG427" s="15" t="n">
        <f aca="false">BD427*INDEX(Ipotesi!$C$33:$G$33,1,F427)*H427</f>
        <v>0</v>
      </c>
      <c r="BH427" s="15" t="n">
        <f aca="false">AM427*INDEX(Ipotesi!$C$37:$G$37,1,F427)</f>
        <v>1621.05263157895</v>
      </c>
      <c r="BI427" s="15" t="n">
        <f aca="false">AQ427+BF427+BH427</f>
        <v>9121.05263157895</v>
      </c>
      <c r="BJ427" s="15" t="n">
        <f aca="false">INDEX(Ipotesi!$C$68:$G$68,1,F427)*Ipotesi!$C$69/12</f>
        <v>1000</v>
      </c>
      <c r="BK427" s="15" t="n">
        <f aca="false">INDEX(Ipotesi!$C$68:$G$68,1,F427)*(1-Ipotesi!$C$69)/12</f>
        <v>1500</v>
      </c>
      <c r="BL427" s="15" t="n">
        <f aca="false">(AQ427+BF427)*Ipotesi!$C$67</f>
        <v>225</v>
      </c>
      <c r="BM427" s="15" t="n">
        <f aca="false">AM427*Ipotesi!$C$67</f>
        <v>486.315789473684</v>
      </c>
      <c r="BN427" s="15" t="n">
        <f aca="false">INDEX(Ipotesi!$C$72:$G$72,1,F427)/12*Ipotesi!J126+BF427*Ipotesi!$C$73</f>
        <v>1250</v>
      </c>
      <c r="BO427" s="15" t="n">
        <f aca="false">INDEX(Ipotesi!$C$74:$G$74,1,F427)/12*Ipotesi!J126</f>
        <v>1000</v>
      </c>
      <c r="BP427" s="15" t="n">
        <f aca="false">INDEX(Ipotesi!$C$76:$G$76,1,F427)/12</f>
        <v>500</v>
      </c>
      <c r="BQ427" s="15" t="n">
        <f aca="false">INDEX(Ipotesi!$C$77:$G$77,1,F427)/12*Ipotesi!J126</f>
        <v>1250</v>
      </c>
      <c r="BR427" s="15" t="n">
        <f aca="false">INDEX(Ipotesi!$C$78:$G$78,1,F427)/12</f>
        <v>1000</v>
      </c>
      <c r="BS427" s="15" t="n">
        <f aca="false">SUM(M427:R427)*(Ipotesi!$C$85+Ipotesi!$C$86)/12</f>
        <v>1239.58333333333</v>
      </c>
      <c r="BT427" s="15" t="n">
        <f aca="false">BI427*Ipotesi!$C$87</f>
        <v>273.631578947368</v>
      </c>
      <c r="BU427" s="15" t="n">
        <f aca="false">INDEX(Ipotesi!$C$55:$G$55,1,F427)*K427/12</f>
        <v>500</v>
      </c>
      <c r="BV427" s="15" t="n">
        <f aca="false">INDEX(Ipotesi!$C$80:$G$80,1,F427)/12*Ipotesi!J126</f>
        <v>500</v>
      </c>
      <c r="BW427" s="15" t="n">
        <f aca="false">INDEX(Ipotesi!$C$82:$G$82,1,F427)/12</f>
        <v>416.666666666667</v>
      </c>
      <c r="BX427" s="15" t="n">
        <f aca="false">INDEX(Ipotesi!$C$83:$G$83,1,F427)/12</f>
        <v>500</v>
      </c>
      <c r="BY427" s="15" t="n">
        <f aca="false">SUM(S427:U427)*(Ipotesi!$C$85+Ipotesi!$C$86)/12</f>
        <v>437.5</v>
      </c>
      <c r="BZ427" s="15" t="n">
        <f aca="false">AM427*Ipotesi!$C$87</f>
        <v>486.315789473684</v>
      </c>
      <c r="CA427" s="15" t="n">
        <f aca="false">AB427+BJ427+BL427+BN427+BO427+AR427+BP427+BQ427+BR427+BS427+BT427</f>
        <v>27738.2149122807</v>
      </c>
      <c r="CB427" s="15" t="n">
        <f aca="false">AC427+BK427+BM427+BH427+BU427+BV427+AS427+BW427+BX427+BY427+BZ427</f>
        <v>12114.5175438596</v>
      </c>
      <c r="CC427" s="15" t="n">
        <f aca="false">BI427-CA427</f>
        <v>-18617.1622807018</v>
      </c>
      <c r="CD427" s="15" t="n">
        <f aca="false">AM427-CB427</f>
        <v>4096.00877192982</v>
      </c>
      <c r="CE427" s="15" t="n">
        <f aca="false">INDEX(Ipotesi!$C$79:$G$79,1,F427)/12</f>
        <v>1666.66666666667</v>
      </c>
      <c r="CF427" s="15" t="n">
        <f aca="false">INDEX(Ipotesi!$C$84:$G$84,1,F427)/12</f>
        <v>250</v>
      </c>
      <c r="CG427" s="15" t="n">
        <f aca="false">Y427*MAX(0,Parametri_v3!$C$12-IF(P427=0,0,MIN(1,BE427/(P427*Parametri_v3!$C$22))))+W427*Parametri_v3!$C$13+X427*Parametri_v3!$C$14</f>
        <v>7187.5</v>
      </c>
      <c r="CH427" s="15" t="n">
        <f aca="false">AB427*Parametri_v3!$C$32</f>
        <v>895.833333333334</v>
      </c>
      <c r="CI427" s="15" t="n">
        <f aca="false">AC427*Parametri_v3!$C$32</f>
        <v>262.5</v>
      </c>
      <c r="CJ427" s="15" t="n">
        <f aca="false">CA427-AB427</f>
        <v>9821.54824561403</v>
      </c>
      <c r="CK427" s="15" t="n">
        <f aca="false">CB427-AC427-BH427</f>
        <v>5243.4649122807</v>
      </c>
      <c r="CL427" s="15" t="n">
        <f aca="false">BF427*Ipotesi!$C$73+INDEX(Ipotesi!$C$72:$G$72,1,F427)/12*Ipotesi!J126*Parametri_v3!$C$58+Z427*(1-Parametri_v3!$C$16)</f>
        <v>1812.5</v>
      </c>
      <c r="CM427" s="16" t="n">
        <f aca="false">IF(BF427=0,0,1-CL427/BF427)</f>
        <v>0</v>
      </c>
    </row>
    <row r="428" customFormat="false" ht="18" hidden="false" customHeight="true" outlineLevel="0" collapsed="false">
      <c r="A428" s="68" t="n">
        <f aca="false">8</f>
        <v>8</v>
      </c>
      <c r="B428" s="68" t="n">
        <f aca="false">4</f>
        <v>4</v>
      </c>
      <c r="C428" s="18" t="n">
        <f aca="false">EDATE(Parametri_v3!$C$5,4-1)</f>
        <v>46478</v>
      </c>
      <c r="D428" s="68" t="n">
        <f aca="false">YEAR(C428)</f>
        <v>2027</v>
      </c>
      <c r="E428" s="68" t="n">
        <f aca="false">MONTH(C428)</f>
        <v>4</v>
      </c>
      <c r="F428" s="68" t="n">
        <f aca="false">INT((4-1)/12)+1</f>
        <v>1</v>
      </c>
      <c r="G428" s="15" t="n">
        <f aca="false">Ipotesi!J7</f>
        <v>1</v>
      </c>
      <c r="H428" s="15" t="n">
        <f aca="false">Ipotesi!J9</f>
        <v>1</v>
      </c>
      <c r="I428" s="15" t="n">
        <f aca="false">Ipotesi!J10</f>
        <v>1</v>
      </c>
      <c r="J428" s="15" t="n">
        <f aca="false">Ipotesi!J11</f>
        <v>1</v>
      </c>
      <c r="K428" s="15" t="n">
        <f aca="false">Ipotesi!J12</f>
        <v>1</v>
      </c>
      <c r="L428" s="15" t="n">
        <f aca="false">Ipotesi!J13</f>
        <v>90</v>
      </c>
      <c r="M428" s="17" t="n">
        <f aca="false">INDEX(Ipotesi!$C$40:$G$40,1,F428)</f>
        <v>1</v>
      </c>
      <c r="N428" s="17" t="n">
        <f aca="false">INDEX(Ipotesi!$C$41:$G$41,1,F428)</f>
        <v>0.75</v>
      </c>
      <c r="O428" s="17" t="n">
        <f aca="false">INDEX(Ipotesi!$C$42:$G$42,1,F428)*Ipotesi!J125</f>
        <v>1</v>
      </c>
      <c r="P428" s="17" t="n">
        <f aca="false">INDEX(Ipotesi!$C$43:$G$43,1,F428)*I428</f>
        <v>1</v>
      </c>
      <c r="Q428" s="17" t="n">
        <f aca="false">INDEX(Ipotesi!$C$44:$G$44,1,F428)*I428</f>
        <v>0.5</v>
      </c>
      <c r="R428" s="17" t="n">
        <f aca="false">INDEX(Ipotesi!$C$45:$G$45,1,F428)*I428</f>
        <v>0</v>
      </c>
      <c r="S428" s="17" t="n">
        <f aca="false">INDEX(Ipotesi!$C$52:$G$52,1,F428)*Ipotesi!J125</f>
        <v>1.5</v>
      </c>
      <c r="T428" s="17" t="n">
        <f aca="false">INDEX(Ipotesi!$C$53:$G$53,1,F428)*I428</f>
        <v>0</v>
      </c>
      <c r="U428" s="17" t="n">
        <f aca="false">INDEX(Ipotesi!$C$54:$G$54,1,F428)*I428</f>
        <v>0</v>
      </c>
      <c r="V428" s="15" t="n">
        <f aca="false">M428*INDEX(Ipotesi!$C$58:$G$58,1,F428)*K428/12</f>
        <v>3333.33333333333</v>
      </c>
      <c r="W428" s="15" t="n">
        <f aca="false">N428*Ipotesi!$C$59*(1+Ipotesi!$C$66)^(F428-1)/12</f>
        <v>4375</v>
      </c>
      <c r="X428" s="15" t="n">
        <f aca="false">O428*Ipotesi!$C$60*(1+Ipotesi!$C$66)^(F428-1)/12</f>
        <v>4166.66666666667</v>
      </c>
      <c r="Y428" s="15" t="n">
        <f aca="false">P428*Ipotesi!$C$61*(1+Ipotesi!$C$66)^(F428-1)/12</f>
        <v>4166.66666666667</v>
      </c>
      <c r="Z428" s="15" t="n">
        <f aca="false">Q428*Ipotesi!$C$62*(1+Ipotesi!$C$66)^(F428-1)/12</f>
        <v>1875</v>
      </c>
      <c r="AA428" s="15" t="n">
        <f aca="false">R428*Ipotesi!$C$63*(1+Ipotesi!$C$66)^(F428-1)/12</f>
        <v>0</v>
      </c>
      <c r="AB428" s="15" t="n">
        <f aca="false">SUM(V428:AA428)</f>
        <v>17916.6666666667</v>
      </c>
      <c r="AC428" s="15" t="n">
        <f aca="false">(S428*Ipotesi!$C$64+T428*Ipotesi!$C$65+U428*Ipotesi!$C$63)*(1+Ipotesi!$C$66)^(F428-1)/12</f>
        <v>5250</v>
      </c>
      <c r="AD428" s="15" t="n">
        <f aca="false">INDEX(Ipotesi!$C$48:$G$48,1,F428)*G428/12</f>
        <v>16.6666666666667</v>
      </c>
      <c r="AE428" s="15" t="n">
        <f aca="false">INDEX(Ipotesi!$C$50:$G$50,1,F428)*G428/12</f>
        <v>2.08333333333333</v>
      </c>
      <c r="AF428" s="15" t="n">
        <f aca="false">(S428*Parametri_v3!$C$7*Parametri_v3!$C$8+Parametri_v3!$C$10)/12</f>
        <v>19.25</v>
      </c>
      <c r="AG428" s="15" t="n">
        <f aca="false">AD428+AE428*(1+Parametri_v3!$C$9)</f>
        <v>19.7916666666667</v>
      </c>
      <c r="AH428" s="16" t="n">
        <f aca="false">IF(AG428=0,1,MIN(1,AF428/AG428))</f>
        <v>0.972631578947368</v>
      </c>
      <c r="AI428" s="15" t="n">
        <f aca="false">AD428*AH428</f>
        <v>16.2105263157895</v>
      </c>
      <c r="AJ428" s="15" t="n">
        <f aca="false">AE428*AH428</f>
        <v>2.02631578947368</v>
      </c>
      <c r="AK428" s="15" t="n">
        <f aca="false">AI428*INDEX(Ipotesi!$C$49:$G$49,1,F428)*H428</f>
        <v>12157.8947368421</v>
      </c>
      <c r="AL428" s="15" t="n">
        <f aca="false">AJ428*INDEX(Ipotesi!$C$51:$G$51,1,F428)*H428</f>
        <v>4052.63157894737</v>
      </c>
      <c r="AM428" s="15" t="n">
        <f aca="false">AK428+AL428</f>
        <v>16210.5263157895</v>
      </c>
      <c r="AN428" s="15" t="n">
        <f aca="false">INDEX(Ipotesi!$C$30:$G$30,1,F428)*G428/12</f>
        <v>8.33333333333333</v>
      </c>
      <c r="AO428" s="15" t="n">
        <f aca="false">O428*Parametri_v3!$C$7*Parametri_v3!$C$11*(1-Parametri_v3!$C$14)/12</f>
        <v>10.2666666666667</v>
      </c>
      <c r="AP428" s="15" t="n">
        <f aca="false">MIN(AN428,AO428)</f>
        <v>8.33333333333333</v>
      </c>
      <c r="AQ428" s="15" t="n">
        <f aca="false">AP428*INDEX(Ipotesi!$C$31:$G$31,1,F428)*H428</f>
        <v>7500</v>
      </c>
      <c r="AR428" s="15" t="n">
        <f aca="false">INDEX(Ipotesi!$C$75:$G$75,1,F428)*J428/12</f>
        <v>2083.33333333333</v>
      </c>
      <c r="AS428" s="15" t="n">
        <f aca="false">INDEX(Ipotesi!$C$81:$G$81,1,F428)*J428/12</f>
        <v>416.666666666667</v>
      </c>
      <c r="AT428" s="15" t="n">
        <f aca="false">AR428*Parametri_v3!$C$15+Z428*Parametri_v3!$C$16</f>
        <v>3395.83333333333</v>
      </c>
      <c r="AU428" s="15" t="n">
        <f aca="false">Q428*Parametri_v3!$C$16*Parametri_v3!$C$17</f>
        <v>35</v>
      </c>
      <c r="AV428" s="17" t="n">
        <f aca="false">BD427</f>
        <v>0</v>
      </c>
      <c r="AW428" s="17" t="n">
        <f aca="false">AV428*(1-(1-INDEX(Ipotesi!$C$34:$G$34,1,F428))^(1/12))</f>
        <v>0</v>
      </c>
      <c r="AX428" s="15" t="n">
        <f aca="false">ROUND(INDEX(Ipotesi!$C$32:$G$32,1,F428)*Ipotesi!J8,0)</f>
        <v>5</v>
      </c>
      <c r="AY428" s="15" t="n">
        <f aca="false">MAX(0,(AX428-(AV428-AW428))/(13-E428))</f>
        <v>0.555555555555556</v>
      </c>
      <c r="AZ428" s="15" t="n">
        <f aca="false">MIN(P428*Parametri_v3!$C$22,Q428*(1-Parametri_v3!$C$16)*Parametri_v3!$C$23)</f>
        <v>22.5</v>
      </c>
      <c r="BA428" s="15" t="n">
        <f aca="false">IF(OR(INDEX(Ipotesi!$C$35:$G$35,1,F428)&lt;=0,4-Parametri_v3!$C$21&lt;1),0,INDEX($AT$425:$AT$484,MAX(1,4-Parametri_v3!$C$21))/(INDEX(Ipotesi!$C$35:$G$35,1,F428)*Ipotesi!J27))</f>
        <v>0.679166666666667</v>
      </c>
      <c r="BB428" s="15" t="n">
        <f aca="false">IF(4-Parametri_v3!$C$21&lt;1,0,INDEX($AU$425:$AU$484,MAX(1,4-Parametri_v3!$C$21)))*Parametri_v3!$C$18*Parametri_v3!$C$19*Parametri_v3!$C$20</f>
        <v>1.3125</v>
      </c>
      <c r="BC428" s="17" t="n">
        <f aca="false">MAX(0,MIN(AY428,BA428,BB428,MAX(0,AZ428-(AV428-AW428))))</f>
        <v>0.555555555555556</v>
      </c>
      <c r="BD428" s="17" t="n">
        <f aca="false">AV428-AW428+BC428</f>
        <v>0.555555555555556</v>
      </c>
      <c r="BE428" s="17" t="n">
        <f aca="false">(AV428+BD428)/2</f>
        <v>0.277777777777778</v>
      </c>
      <c r="BF428" s="15" t="n">
        <f aca="false">BE428*INDEX(Ipotesi!$C$33:$G$33,1,F428)*H428/12</f>
        <v>46.2962962962963</v>
      </c>
      <c r="BG428" s="15" t="n">
        <f aca="false">BD428*INDEX(Ipotesi!$C$33:$G$33,1,F428)*H428</f>
        <v>1111.11111111111</v>
      </c>
      <c r="BH428" s="15" t="n">
        <f aca="false">AM428*INDEX(Ipotesi!$C$37:$G$37,1,F428)</f>
        <v>1621.05263157895</v>
      </c>
      <c r="BI428" s="15" t="n">
        <f aca="false">AQ428+BF428+BH428</f>
        <v>9167.34892787525</v>
      </c>
      <c r="BJ428" s="15" t="n">
        <f aca="false">INDEX(Ipotesi!$C$68:$G$68,1,F428)*Ipotesi!$C$69/12</f>
        <v>1000</v>
      </c>
      <c r="BK428" s="15" t="n">
        <f aca="false">INDEX(Ipotesi!$C$68:$G$68,1,F428)*(1-Ipotesi!$C$69)/12</f>
        <v>1500</v>
      </c>
      <c r="BL428" s="15" t="n">
        <f aca="false">(AQ428+BF428)*Ipotesi!$C$67</f>
        <v>226.388888888889</v>
      </c>
      <c r="BM428" s="15" t="n">
        <f aca="false">AM428*Ipotesi!$C$67</f>
        <v>486.315789473684</v>
      </c>
      <c r="BN428" s="15" t="n">
        <f aca="false">INDEX(Ipotesi!$C$72:$G$72,1,F428)/12*Ipotesi!J126+BF428*Ipotesi!$C$73</f>
        <v>1253.7037037037</v>
      </c>
      <c r="BO428" s="15" t="n">
        <f aca="false">INDEX(Ipotesi!$C$74:$G$74,1,F428)/12*Ipotesi!J126</f>
        <v>1000</v>
      </c>
      <c r="BP428" s="15" t="n">
        <f aca="false">INDEX(Ipotesi!$C$76:$G$76,1,F428)/12</f>
        <v>500</v>
      </c>
      <c r="BQ428" s="15" t="n">
        <f aca="false">INDEX(Ipotesi!$C$77:$G$77,1,F428)/12*Ipotesi!J126</f>
        <v>1250</v>
      </c>
      <c r="BR428" s="15" t="n">
        <f aca="false">INDEX(Ipotesi!$C$78:$G$78,1,F428)/12</f>
        <v>1000</v>
      </c>
      <c r="BS428" s="15" t="n">
        <f aca="false">SUM(M428:R428)*(Ipotesi!$C$85+Ipotesi!$C$86)/12</f>
        <v>1239.58333333333</v>
      </c>
      <c r="BT428" s="15" t="n">
        <f aca="false">BI428*Ipotesi!$C$87</f>
        <v>275.020467836257</v>
      </c>
      <c r="BU428" s="15" t="n">
        <f aca="false">INDEX(Ipotesi!$C$55:$G$55,1,F428)*K428/12</f>
        <v>500</v>
      </c>
      <c r="BV428" s="15" t="n">
        <f aca="false">INDEX(Ipotesi!$C$80:$G$80,1,F428)/12*Ipotesi!J126</f>
        <v>500</v>
      </c>
      <c r="BW428" s="15" t="n">
        <f aca="false">INDEX(Ipotesi!$C$82:$G$82,1,F428)/12</f>
        <v>416.666666666667</v>
      </c>
      <c r="BX428" s="15" t="n">
        <f aca="false">INDEX(Ipotesi!$C$83:$G$83,1,F428)/12</f>
        <v>500</v>
      </c>
      <c r="BY428" s="15" t="n">
        <f aca="false">SUM(S428:U428)*(Ipotesi!$C$85+Ipotesi!$C$86)/12</f>
        <v>437.5</v>
      </c>
      <c r="BZ428" s="15" t="n">
        <f aca="false">AM428*Ipotesi!$C$87</f>
        <v>486.315789473684</v>
      </c>
      <c r="CA428" s="15" t="n">
        <f aca="false">AB428+BJ428+BL428+BN428+BO428+AR428+BP428+BQ428+BR428+BS428+BT428</f>
        <v>27744.6963937622</v>
      </c>
      <c r="CB428" s="15" t="n">
        <f aca="false">AC428+BK428+BM428+BH428+BU428+BV428+AS428+BW428+BX428+BY428+BZ428</f>
        <v>12114.5175438596</v>
      </c>
      <c r="CC428" s="15" t="n">
        <f aca="false">BI428-CA428</f>
        <v>-18577.3474658869</v>
      </c>
      <c r="CD428" s="15" t="n">
        <f aca="false">AM428-CB428</f>
        <v>4096.00877192982</v>
      </c>
      <c r="CE428" s="15" t="n">
        <f aca="false">INDEX(Ipotesi!$C$79:$G$79,1,F428)/12</f>
        <v>1666.66666666667</v>
      </c>
      <c r="CF428" s="15" t="n">
        <f aca="false">INDEX(Ipotesi!$C$84:$G$84,1,F428)/12</f>
        <v>250</v>
      </c>
      <c r="CG428" s="15" t="n">
        <f aca="false">Y428*MAX(0,Parametri_v3!$C$12-IF(P428=0,0,MIN(1,BE428/(P428*Parametri_v3!$C$22))))+W428*Parametri_v3!$C$13+X428*Parametri_v3!$C$14</f>
        <v>7175.92592592593</v>
      </c>
      <c r="CH428" s="15" t="n">
        <f aca="false">AB428*Parametri_v3!$C$32</f>
        <v>895.833333333334</v>
      </c>
      <c r="CI428" s="15" t="n">
        <f aca="false">AC428*Parametri_v3!$C$32</f>
        <v>262.5</v>
      </c>
      <c r="CJ428" s="15" t="n">
        <f aca="false">CA428-AB428</f>
        <v>9828.02972709552</v>
      </c>
      <c r="CK428" s="15" t="n">
        <f aca="false">CB428-AC428-BH428</f>
        <v>5243.4649122807</v>
      </c>
      <c r="CL428" s="15" t="n">
        <f aca="false">BF428*Ipotesi!$C$73+INDEX(Ipotesi!$C$72:$G$72,1,F428)/12*Ipotesi!J126*Parametri_v3!$C$58+Z428*(1-Parametri_v3!$C$16)</f>
        <v>1816.2037037037</v>
      </c>
      <c r="CM428" s="16" t="n">
        <f aca="false">IF(BF428=0,0,1-CL428/BF428)</f>
        <v>-38.23</v>
      </c>
    </row>
    <row r="429" customFormat="false" ht="18" hidden="false" customHeight="true" outlineLevel="0" collapsed="false">
      <c r="A429" s="68" t="n">
        <f aca="false">8</f>
        <v>8</v>
      </c>
      <c r="B429" s="68" t="n">
        <f aca="false">5</f>
        <v>5</v>
      </c>
      <c r="C429" s="18" t="n">
        <f aca="false">EDATE(Parametri_v3!$C$5,5-1)</f>
        <v>46508</v>
      </c>
      <c r="D429" s="68" t="n">
        <f aca="false">YEAR(C429)</f>
        <v>2027</v>
      </c>
      <c r="E429" s="68" t="n">
        <f aca="false">MONTH(C429)</f>
        <v>5</v>
      </c>
      <c r="F429" s="68" t="n">
        <f aca="false">INT((5-1)/12)+1</f>
        <v>1</v>
      </c>
      <c r="G429" s="15" t="n">
        <f aca="false">Ipotesi!J7</f>
        <v>1</v>
      </c>
      <c r="H429" s="15" t="n">
        <f aca="false">Ipotesi!J9</f>
        <v>1</v>
      </c>
      <c r="I429" s="15" t="n">
        <f aca="false">Ipotesi!J10</f>
        <v>1</v>
      </c>
      <c r="J429" s="15" t="n">
        <f aca="false">Ipotesi!J11</f>
        <v>1</v>
      </c>
      <c r="K429" s="15" t="n">
        <f aca="false">Ipotesi!J12</f>
        <v>1</v>
      </c>
      <c r="L429" s="15" t="n">
        <f aca="false">Ipotesi!J13</f>
        <v>90</v>
      </c>
      <c r="M429" s="17" t="n">
        <f aca="false">INDEX(Ipotesi!$C$40:$G$40,1,F429)</f>
        <v>1</v>
      </c>
      <c r="N429" s="17" t="n">
        <f aca="false">INDEX(Ipotesi!$C$41:$G$41,1,F429)</f>
        <v>0.75</v>
      </c>
      <c r="O429" s="17" t="n">
        <f aca="false">INDEX(Ipotesi!$C$42:$G$42,1,F429)*Ipotesi!J125</f>
        <v>1</v>
      </c>
      <c r="P429" s="17" t="n">
        <f aca="false">INDEX(Ipotesi!$C$43:$G$43,1,F429)*I429</f>
        <v>1</v>
      </c>
      <c r="Q429" s="17" t="n">
        <f aca="false">INDEX(Ipotesi!$C$44:$G$44,1,F429)*I429</f>
        <v>0.5</v>
      </c>
      <c r="R429" s="17" t="n">
        <f aca="false">INDEX(Ipotesi!$C$45:$G$45,1,F429)*I429</f>
        <v>0</v>
      </c>
      <c r="S429" s="17" t="n">
        <f aca="false">INDEX(Ipotesi!$C$52:$G$52,1,F429)*Ipotesi!J125</f>
        <v>1.5</v>
      </c>
      <c r="T429" s="17" t="n">
        <f aca="false">INDEX(Ipotesi!$C$53:$G$53,1,F429)*I429</f>
        <v>0</v>
      </c>
      <c r="U429" s="17" t="n">
        <f aca="false">INDEX(Ipotesi!$C$54:$G$54,1,F429)*I429</f>
        <v>0</v>
      </c>
      <c r="V429" s="15" t="n">
        <f aca="false">M429*INDEX(Ipotesi!$C$58:$G$58,1,F429)*K429/12</f>
        <v>3333.33333333333</v>
      </c>
      <c r="W429" s="15" t="n">
        <f aca="false">N429*Ipotesi!$C$59*(1+Ipotesi!$C$66)^(F429-1)/12</f>
        <v>4375</v>
      </c>
      <c r="X429" s="15" t="n">
        <f aca="false">O429*Ipotesi!$C$60*(1+Ipotesi!$C$66)^(F429-1)/12</f>
        <v>4166.66666666667</v>
      </c>
      <c r="Y429" s="15" t="n">
        <f aca="false">P429*Ipotesi!$C$61*(1+Ipotesi!$C$66)^(F429-1)/12</f>
        <v>4166.66666666667</v>
      </c>
      <c r="Z429" s="15" t="n">
        <f aca="false">Q429*Ipotesi!$C$62*(1+Ipotesi!$C$66)^(F429-1)/12</f>
        <v>1875</v>
      </c>
      <c r="AA429" s="15" t="n">
        <f aca="false">R429*Ipotesi!$C$63*(1+Ipotesi!$C$66)^(F429-1)/12</f>
        <v>0</v>
      </c>
      <c r="AB429" s="15" t="n">
        <f aca="false">SUM(V429:AA429)</f>
        <v>17916.6666666667</v>
      </c>
      <c r="AC429" s="15" t="n">
        <f aca="false">(S429*Ipotesi!$C$64+T429*Ipotesi!$C$65+U429*Ipotesi!$C$63)*(1+Ipotesi!$C$66)^(F429-1)/12</f>
        <v>5250</v>
      </c>
      <c r="AD429" s="15" t="n">
        <f aca="false">INDEX(Ipotesi!$C$48:$G$48,1,F429)*G429/12</f>
        <v>16.6666666666667</v>
      </c>
      <c r="AE429" s="15" t="n">
        <f aca="false">INDEX(Ipotesi!$C$50:$G$50,1,F429)*G429/12</f>
        <v>2.08333333333333</v>
      </c>
      <c r="AF429" s="15" t="n">
        <f aca="false">(S429*Parametri_v3!$C$7*Parametri_v3!$C$8+Parametri_v3!$C$10)/12</f>
        <v>19.25</v>
      </c>
      <c r="AG429" s="15" t="n">
        <f aca="false">AD429+AE429*(1+Parametri_v3!$C$9)</f>
        <v>19.7916666666667</v>
      </c>
      <c r="AH429" s="16" t="n">
        <f aca="false">IF(AG429=0,1,MIN(1,AF429/AG429))</f>
        <v>0.972631578947368</v>
      </c>
      <c r="AI429" s="15" t="n">
        <f aca="false">AD429*AH429</f>
        <v>16.2105263157895</v>
      </c>
      <c r="AJ429" s="15" t="n">
        <f aca="false">AE429*AH429</f>
        <v>2.02631578947368</v>
      </c>
      <c r="AK429" s="15" t="n">
        <f aca="false">AI429*INDEX(Ipotesi!$C$49:$G$49,1,F429)*H429</f>
        <v>12157.8947368421</v>
      </c>
      <c r="AL429" s="15" t="n">
        <f aca="false">AJ429*INDEX(Ipotesi!$C$51:$G$51,1,F429)*H429</f>
        <v>4052.63157894737</v>
      </c>
      <c r="AM429" s="15" t="n">
        <f aca="false">AK429+AL429</f>
        <v>16210.5263157895</v>
      </c>
      <c r="AN429" s="15" t="n">
        <f aca="false">INDEX(Ipotesi!$C$30:$G$30,1,F429)*G429/12</f>
        <v>8.33333333333333</v>
      </c>
      <c r="AO429" s="15" t="n">
        <f aca="false">O429*Parametri_v3!$C$7*Parametri_v3!$C$11*(1-Parametri_v3!$C$14)/12</f>
        <v>10.2666666666667</v>
      </c>
      <c r="AP429" s="15" t="n">
        <f aca="false">MIN(AN429,AO429)</f>
        <v>8.33333333333333</v>
      </c>
      <c r="AQ429" s="15" t="n">
        <f aca="false">AP429*INDEX(Ipotesi!$C$31:$G$31,1,F429)*H429</f>
        <v>7500</v>
      </c>
      <c r="AR429" s="15" t="n">
        <f aca="false">INDEX(Ipotesi!$C$75:$G$75,1,F429)*J429/12</f>
        <v>2083.33333333333</v>
      </c>
      <c r="AS429" s="15" t="n">
        <f aca="false">INDEX(Ipotesi!$C$81:$G$81,1,F429)*J429/12</f>
        <v>416.666666666667</v>
      </c>
      <c r="AT429" s="15" t="n">
        <f aca="false">AR429*Parametri_v3!$C$15+Z429*Parametri_v3!$C$16</f>
        <v>3395.83333333333</v>
      </c>
      <c r="AU429" s="15" t="n">
        <f aca="false">Q429*Parametri_v3!$C$16*Parametri_v3!$C$17</f>
        <v>35</v>
      </c>
      <c r="AV429" s="17" t="n">
        <f aca="false">BD428</f>
        <v>0.555555555555556</v>
      </c>
      <c r="AW429" s="17" t="n">
        <f aca="false">AV429*(1-(1-INDEX(Ipotesi!$C$34:$G$34,1,F429))^(1/12))</f>
        <v>0</v>
      </c>
      <c r="AX429" s="15" t="n">
        <f aca="false">ROUND(INDEX(Ipotesi!$C$32:$G$32,1,F429)*Ipotesi!J8,0)</f>
        <v>5</v>
      </c>
      <c r="AY429" s="15" t="n">
        <f aca="false">MAX(0,(AX429-(AV429-AW429))/(13-E429))</f>
        <v>0.555555555555556</v>
      </c>
      <c r="AZ429" s="15" t="n">
        <f aca="false">MIN(P429*Parametri_v3!$C$22,Q429*(1-Parametri_v3!$C$16)*Parametri_v3!$C$23)</f>
        <v>22.5</v>
      </c>
      <c r="BA429" s="15" t="n">
        <f aca="false">IF(OR(INDEX(Ipotesi!$C$35:$G$35,1,F429)&lt;=0,5-Parametri_v3!$C$21&lt;1),0,INDEX($AT$425:$AT$484,MAX(1,5-Parametri_v3!$C$21))/(INDEX(Ipotesi!$C$35:$G$35,1,F429)*Ipotesi!J27))</f>
        <v>0.679166666666667</v>
      </c>
      <c r="BB429" s="15" t="n">
        <f aca="false">IF(5-Parametri_v3!$C$21&lt;1,0,INDEX($AU$425:$AU$484,MAX(1,5-Parametri_v3!$C$21)))*Parametri_v3!$C$18*Parametri_v3!$C$19*Parametri_v3!$C$20</f>
        <v>1.3125</v>
      </c>
      <c r="BC429" s="17" t="n">
        <f aca="false">MAX(0,MIN(AY429,BA429,BB429,MAX(0,AZ429-(AV429-AW429))))</f>
        <v>0.555555555555556</v>
      </c>
      <c r="BD429" s="17" t="n">
        <f aca="false">AV429-AW429+BC429</f>
        <v>1.11111111111111</v>
      </c>
      <c r="BE429" s="17" t="n">
        <f aca="false">(AV429+BD429)/2</f>
        <v>0.833333333333333</v>
      </c>
      <c r="BF429" s="15" t="n">
        <f aca="false">BE429*INDEX(Ipotesi!$C$33:$G$33,1,F429)*H429/12</f>
        <v>138.888888888889</v>
      </c>
      <c r="BG429" s="15" t="n">
        <f aca="false">BD429*INDEX(Ipotesi!$C$33:$G$33,1,F429)*H429</f>
        <v>2222.22222222222</v>
      </c>
      <c r="BH429" s="15" t="n">
        <f aca="false">AM429*INDEX(Ipotesi!$C$37:$G$37,1,F429)</f>
        <v>1621.05263157895</v>
      </c>
      <c r="BI429" s="15" t="n">
        <f aca="false">AQ429+BF429+BH429</f>
        <v>9259.94152046784</v>
      </c>
      <c r="BJ429" s="15" t="n">
        <f aca="false">INDEX(Ipotesi!$C$68:$G$68,1,F429)*Ipotesi!$C$69/12</f>
        <v>1000</v>
      </c>
      <c r="BK429" s="15" t="n">
        <f aca="false">INDEX(Ipotesi!$C$68:$G$68,1,F429)*(1-Ipotesi!$C$69)/12</f>
        <v>1500</v>
      </c>
      <c r="BL429" s="15" t="n">
        <f aca="false">(AQ429+BF429)*Ipotesi!$C$67</f>
        <v>229.166666666667</v>
      </c>
      <c r="BM429" s="15" t="n">
        <f aca="false">AM429*Ipotesi!$C$67</f>
        <v>486.315789473684</v>
      </c>
      <c r="BN429" s="15" t="n">
        <f aca="false">INDEX(Ipotesi!$C$72:$G$72,1,F429)/12*Ipotesi!J126+BF429*Ipotesi!$C$73</f>
        <v>1261.11111111111</v>
      </c>
      <c r="BO429" s="15" t="n">
        <f aca="false">INDEX(Ipotesi!$C$74:$G$74,1,F429)/12*Ipotesi!J126</f>
        <v>1000</v>
      </c>
      <c r="BP429" s="15" t="n">
        <f aca="false">INDEX(Ipotesi!$C$76:$G$76,1,F429)/12</f>
        <v>500</v>
      </c>
      <c r="BQ429" s="15" t="n">
        <f aca="false">INDEX(Ipotesi!$C$77:$G$77,1,F429)/12*Ipotesi!J126</f>
        <v>1250</v>
      </c>
      <c r="BR429" s="15" t="n">
        <f aca="false">INDEX(Ipotesi!$C$78:$G$78,1,F429)/12</f>
        <v>1000</v>
      </c>
      <c r="BS429" s="15" t="n">
        <f aca="false">SUM(M429:R429)*(Ipotesi!$C$85+Ipotesi!$C$86)/12</f>
        <v>1239.58333333333</v>
      </c>
      <c r="BT429" s="15" t="n">
        <f aca="false">BI429*Ipotesi!$C$87</f>
        <v>277.798245614035</v>
      </c>
      <c r="BU429" s="15" t="n">
        <f aca="false">INDEX(Ipotesi!$C$55:$G$55,1,F429)*K429/12</f>
        <v>500</v>
      </c>
      <c r="BV429" s="15" t="n">
        <f aca="false">INDEX(Ipotesi!$C$80:$G$80,1,F429)/12*Ipotesi!J126</f>
        <v>500</v>
      </c>
      <c r="BW429" s="15" t="n">
        <f aca="false">INDEX(Ipotesi!$C$82:$G$82,1,F429)/12</f>
        <v>416.666666666667</v>
      </c>
      <c r="BX429" s="15" t="n">
        <f aca="false">INDEX(Ipotesi!$C$83:$G$83,1,F429)/12</f>
        <v>500</v>
      </c>
      <c r="BY429" s="15" t="n">
        <f aca="false">SUM(S429:U429)*(Ipotesi!$C$85+Ipotesi!$C$86)/12</f>
        <v>437.5</v>
      </c>
      <c r="BZ429" s="15" t="n">
        <f aca="false">AM429*Ipotesi!$C$87</f>
        <v>486.315789473684</v>
      </c>
      <c r="CA429" s="15" t="n">
        <f aca="false">AB429+BJ429+BL429+BN429+BO429+AR429+BP429+BQ429+BR429+BS429+BT429</f>
        <v>27757.6593567251</v>
      </c>
      <c r="CB429" s="15" t="n">
        <f aca="false">AC429+BK429+BM429+BH429+BU429+BV429+AS429+BW429+BX429+BY429+BZ429</f>
        <v>12114.5175438596</v>
      </c>
      <c r="CC429" s="15" t="n">
        <f aca="false">BI429-CA429</f>
        <v>-18497.7178362573</v>
      </c>
      <c r="CD429" s="15" t="n">
        <f aca="false">AM429-CB429</f>
        <v>4096.00877192982</v>
      </c>
      <c r="CE429" s="15" t="n">
        <f aca="false">INDEX(Ipotesi!$C$79:$G$79,1,F429)/12</f>
        <v>1666.66666666667</v>
      </c>
      <c r="CF429" s="15" t="n">
        <f aca="false">INDEX(Ipotesi!$C$84:$G$84,1,F429)/12</f>
        <v>250</v>
      </c>
      <c r="CG429" s="15" t="n">
        <f aca="false">Y429*MAX(0,Parametri_v3!$C$12-IF(P429=0,0,MIN(1,BE429/(P429*Parametri_v3!$C$22))))+W429*Parametri_v3!$C$13+X429*Parametri_v3!$C$14</f>
        <v>7152.77777777778</v>
      </c>
      <c r="CH429" s="15" t="n">
        <f aca="false">AB429*Parametri_v3!$C$32</f>
        <v>895.833333333334</v>
      </c>
      <c r="CI429" s="15" t="n">
        <f aca="false">AC429*Parametri_v3!$C$32</f>
        <v>262.5</v>
      </c>
      <c r="CJ429" s="15" t="n">
        <f aca="false">CA429-AB429</f>
        <v>9840.99269005848</v>
      </c>
      <c r="CK429" s="15" t="n">
        <f aca="false">CB429-AC429-BH429</f>
        <v>5243.4649122807</v>
      </c>
      <c r="CL429" s="15" t="n">
        <f aca="false">BF429*Ipotesi!$C$73+INDEX(Ipotesi!$C$72:$G$72,1,F429)/12*Ipotesi!J126*Parametri_v3!$C$58+Z429*(1-Parametri_v3!$C$16)</f>
        <v>1823.61111111111</v>
      </c>
      <c r="CM429" s="16" t="n">
        <f aca="false">IF(BF429=0,0,1-CL429/BF429)</f>
        <v>-12.13</v>
      </c>
    </row>
    <row r="430" customFormat="false" ht="18" hidden="false" customHeight="true" outlineLevel="0" collapsed="false">
      <c r="A430" s="68" t="n">
        <f aca="false">8</f>
        <v>8</v>
      </c>
      <c r="B430" s="68" t="n">
        <f aca="false">6</f>
        <v>6</v>
      </c>
      <c r="C430" s="18" t="n">
        <f aca="false">EDATE(Parametri_v3!$C$5,6-1)</f>
        <v>46539</v>
      </c>
      <c r="D430" s="68" t="n">
        <f aca="false">YEAR(C430)</f>
        <v>2027</v>
      </c>
      <c r="E430" s="68" t="n">
        <f aca="false">MONTH(C430)</f>
        <v>6</v>
      </c>
      <c r="F430" s="68" t="n">
        <f aca="false">INT((6-1)/12)+1</f>
        <v>1</v>
      </c>
      <c r="G430" s="15" t="n">
        <f aca="false">Ipotesi!J7</f>
        <v>1</v>
      </c>
      <c r="H430" s="15" t="n">
        <f aca="false">Ipotesi!J9</f>
        <v>1</v>
      </c>
      <c r="I430" s="15" t="n">
        <f aca="false">Ipotesi!J10</f>
        <v>1</v>
      </c>
      <c r="J430" s="15" t="n">
        <f aca="false">Ipotesi!J11</f>
        <v>1</v>
      </c>
      <c r="K430" s="15" t="n">
        <f aca="false">Ipotesi!J12</f>
        <v>1</v>
      </c>
      <c r="L430" s="15" t="n">
        <f aca="false">Ipotesi!J13</f>
        <v>90</v>
      </c>
      <c r="M430" s="17" t="n">
        <f aca="false">INDEX(Ipotesi!$C$40:$G$40,1,F430)</f>
        <v>1</v>
      </c>
      <c r="N430" s="17" t="n">
        <f aca="false">INDEX(Ipotesi!$C$41:$G$41,1,F430)</f>
        <v>0.75</v>
      </c>
      <c r="O430" s="17" t="n">
        <f aca="false">INDEX(Ipotesi!$C$42:$G$42,1,F430)*Ipotesi!J125</f>
        <v>1</v>
      </c>
      <c r="P430" s="17" t="n">
        <f aca="false">INDEX(Ipotesi!$C$43:$G$43,1,F430)*I430</f>
        <v>1</v>
      </c>
      <c r="Q430" s="17" t="n">
        <f aca="false">INDEX(Ipotesi!$C$44:$G$44,1,F430)*I430</f>
        <v>0.5</v>
      </c>
      <c r="R430" s="17" t="n">
        <f aca="false">INDEX(Ipotesi!$C$45:$G$45,1,F430)*I430</f>
        <v>0</v>
      </c>
      <c r="S430" s="17" t="n">
        <f aca="false">INDEX(Ipotesi!$C$52:$G$52,1,F430)*Ipotesi!J125</f>
        <v>1.5</v>
      </c>
      <c r="T430" s="17" t="n">
        <f aca="false">INDEX(Ipotesi!$C$53:$G$53,1,F430)*I430</f>
        <v>0</v>
      </c>
      <c r="U430" s="17" t="n">
        <f aca="false">INDEX(Ipotesi!$C$54:$G$54,1,F430)*I430</f>
        <v>0</v>
      </c>
      <c r="V430" s="15" t="n">
        <f aca="false">M430*INDEX(Ipotesi!$C$58:$G$58,1,F430)*K430/12</f>
        <v>3333.33333333333</v>
      </c>
      <c r="W430" s="15" t="n">
        <f aca="false">N430*Ipotesi!$C$59*(1+Ipotesi!$C$66)^(F430-1)/12</f>
        <v>4375</v>
      </c>
      <c r="X430" s="15" t="n">
        <f aca="false">O430*Ipotesi!$C$60*(1+Ipotesi!$C$66)^(F430-1)/12</f>
        <v>4166.66666666667</v>
      </c>
      <c r="Y430" s="15" t="n">
        <f aca="false">P430*Ipotesi!$C$61*(1+Ipotesi!$C$66)^(F430-1)/12</f>
        <v>4166.66666666667</v>
      </c>
      <c r="Z430" s="15" t="n">
        <f aca="false">Q430*Ipotesi!$C$62*(1+Ipotesi!$C$66)^(F430-1)/12</f>
        <v>1875</v>
      </c>
      <c r="AA430" s="15" t="n">
        <f aca="false">R430*Ipotesi!$C$63*(1+Ipotesi!$C$66)^(F430-1)/12</f>
        <v>0</v>
      </c>
      <c r="AB430" s="15" t="n">
        <f aca="false">SUM(V430:AA430)</f>
        <v>17916.6666666667</v>
      </c>
      <c r="AC430" s="15" t="n">
        <f aca="false">(S430*Ipotesi!$C$64+T430*Ipotesi!$C$65+U430*Ipotesi!$C$63)*(1+Ipotesi!$C$66)^(F430-1)/12</f>
        <v>5250</v>
      </c>
      <c r="AD430" s="15" t="n">
        <f aca="false">INDEX(Ipotesi!$C$48:$G$48,1,F430)*G430/12</f>
        <v>16.6666666666667</v>
      </c>
      <c r="AE430" s="15" t="n">
        <f aca="false">INDEX(Ipotesi!$C$50:$G$50,1,F430)*G430/12</f>
        <v>2.08333333333333</v>
      </c>
      <c r="AF430" s="15" t="n">
        <f aca="false">(S430*Parametri_v3!$C$7*Parametri_v3!$C$8+Parametri_v3!$C$10)/12</f>
        <v>19.25</v>
      </c>
      <c r="AG430" s="15" t="n">
        <f aca="false">AD430+AE430*(1+Parametri_v3!$C$9)</f>
        <v>19.7916666666667</v>
      </c>
      <c r="AH430" s="16" t="n">
        <f aca="false">IF(AG430=0,1,MIN(1,AF430/AG430))</f>
        <v>0.972631578947368</v>
      </c>
      <c r="AI430" s="15" t="n">
        <f aca="false">AD430*AH430</f>
        <v>16.2105263157895</v>
      </c>
      <c r="AJ430" s="15" t="n">
        <f aca="false">AE430*AH430</f>
        <v>2.02631578947368</v>
      </c>
      <c r="AK430" s="15" t="n">
        <f aca="false">AI430*INDEX(Ipotesi!$C$49:$G$49,1,F430)*H430</f>
        <v>12157.8947368421</v>
      </c>
      <c r="AL430" s="15" t="n">
        <f aca="false">AJ430*INDEX(Ipotesi!$C$51:$G$51,1,F430)*H430</f>
        <v>4052.63157894737</v>
      </c>
      <c r="AM430" s="15" t="n">
        <f aca="false">AK430+AL430</f>
        <v>16210.5263157895</v>
      </c>
      <c r="AN430" s="15" t="n">
        <f aca="false">INDEX(Ipotesi!$C$30:$G$30,1,F430)*G430/12</f>
        <v>8.33333333333333</v>
      </c>
      <c r="AO430" s="15" t="n">
        <f aca="false">O430*Parametri_v3!$C$7*Parametri_v3!$C$11*(1-Parametri_v3!$C$14)/12</f>
        <v>10.2666666666667</v>
      </c>
      <c r="AP430" s="15" t="n">
        <f aca="false">MIN(AN430,AO430)</f>
        <v>8.33333333333333</v>
      </c>
      <c r="AQ430" s="15" t="n">
        <f aca="false">AP430*INDEX(Ipotesi!$C$31:$G$31,1,F430)*H430</f>
        <v>7500</v>
      </c>
      <c r="AR430" s="15" t="n">
        <f aca="false">INDEX(Ipotesi!$C$75:$G$75,1,F430)*J430/12</f>
        <v>2083.33333333333</v>
      </c>
      <c r="AS430" s="15" t="n">
        <f aca="false">INDEX(Ipotesi!$C$81:$G$81,1,F430)*J430/12</f>
        <v>416.666666666667</v>
      </c>
      <c r="AT430" s="15" t="n">
        <f aca="false">AR430*Parametri_v3!$C$15+Z430*Parametri_v3!$C$16</f>
        <v>3395.83333333333</v>
      </c>
      <c r="AU430" s="15" t="n">
        <f aca="false">Q430*Parametri_v3!$C$16*Parametri_v3!$C$17</f>
        <v>35</v>
      </c>
      <c r="AV430" s="17" t="n">
        <f aca="false">BD429</f>
        <v>1.11111111111111</v>
      </c>
      <c r="AW430" s="17" t="n">
        <f aca="false">AV430*(1-(1-INDEX(Ipotesi!$C$34:$G$34,1,F430))^(1/12))</f>
        <v>0</v>
      </c>
      <c r="AX430" s="15" t="n">
        <f aca="false">ROUND(INDEX(Ipotesi!$C$32:$G$32,1,F430)*Ipotesi!J8,0)</f>
        <v>5</v>
      </c>
      <c r="AY430" s="15" t="n">
        <f aca="false">MAX(0,(AX430-(AV430-AW430))/(13-E430))</f>
        <v>0.555555555555556</v>
      </c>
      <c r="AZ430" s="15" t="n">
        <f aca="false">MIN(P430*Parametri_v3!$C$22,Q430*(1-Parametri_v3!$C$16)*Parametri_v3!$C$23)</f>
        <v>22.5</v>
      </c>
      <c r="BA430" s="15" t="n">
        <f aca="false">IF(OR(INDEX(Ipotesi!$C$35:$G$35,1,F430)&lt;=0,6-Parametri_v3!$C$21&lt;1),0,INDEX($AT$425:$AT$484,MAX(1,6-Parametri_v3!$C$21))/(INDEX(Ipotesi!$C$35:$G$35,1,F430)*Ipotesi!J27))</f>
        <v>0.679166666666667</v>
      </c>
      <c r="BB430" s="15" t="n">
        <f aca="false">IF(6-Parametri_v3!$C$21&lt;1,0,INDEX($AU$425:$AU$484,MAX(1,6-Parametri_v3!$C$21)))*Parametri_v3!$C$18*Parametri_v3!$C$19*Parametri_v3!$C$20</f>
        <v>1.3125</v>
      </c>
      <c r="BC430" s="17" t="n">
        <f aca="false">MAX(0,MIN(AY430,BA430,BB430,MAX(0,AZ430-(AV430-AW430))))</f>
        <v>0.555555555555556</v>
      </c>
      <c r="BD430" s="17" t="n">
        <f aca="false">AV430-AW430+BC430</f>
        <v>1.66666666666667</v>
      </c>
      <c r="BE430" s="17" t="n">
        <f aca="false">(AV430+BD430)/2</f>
        <v>1.38888888888889</v>
      </c>
      <c r="BF430" s="15" t="n">
        <f aca="false">BE430*INDEX(Ipotesi!$C$33:$G$33,1,F430)*H430/12</f>
        <v>231.481481481482</v>
      </c>
      <c r="BG430" s="15" t="n">
        <f aca="false">BD430*INDEX(Ipotesi!$C$33:$G$33,1,F430)*H430</f>
        <v>3333.33333333333</v>
      </c>
      <c r="BH430" s="15" t="n">
        <f aca="false">AM430*INDEX(Ipotesi!$C$37:$G$37,1,F430)</f>
        <v>1621.05263157895</v>
      </c>
      <c r="BI430" s="15" t="n">
        <f aca="false">AQ430+BF430+BH430</f>
        <v>9352.53411306043</v>
      </c>
      <c r="BJ430" s="15" t="n">
        <f aca="false">INDEX(Ipotesi!$C$68:$G$68,1,F430)*Ipotesi!$C$69/12</f>
        <v>1000</v>
      </c>
      <c r="BK430" s="15" t="n">
        <f aca="false">INDEX(Ipotesi!$C$68:$G$68,1,F430)*(1-Ipotesi!$C$69)/12</f>
        <v>1500</v>
      </c>
      <c r="BL430" s="15" t="n">
        <f aca="false">(AQ430+BF430)*Ipotesi!$C$67</f>
        <v>231.944444444444</v>
      </c>
      <c r="BM430" s="15" t="n">
        <f aca="false">AM430*Ipotesi!$C$67</f>
        <v>486.315789473684</v>
      </c>
      <c r="BN430" s="15" t="n">
        <f aca="false">INDEX(Ipotesi!$C$72:$G$72,1,F430)/12*Ipotesi!J126+BF430*Ipotesi!$C$73</f>
        <v>1268.51851851852</v>
      </c>
      <c r="BO430" s="15" t="n">
        <f aca="false">INDEX(Ipotesi!$C$74:$G$74,1,F430)/12*Ipotesi!J126</f>
        <v>1000</v>
      </c>
      <c r="BP430" s="15" t="n">
        <f aca="false">INDEX(Ipotesi!$C$76:$G$76,1,F430)/12</f>
        <v>500</v>
      </c>
      <c r="BQ430" s="15" t="n">
        <f aca="false">INDEX(Ipotesi!$C$77:$G$77,1,F430)/12*Ipotesi!J126</f>
        <v>1250</v>
      </c>
      <c r="BR430" s="15" t="n">
        <f aca="false">INDEX(Ipotesi!$C$78:$G$78,1,F430)/12</f>
        <v>1000</v>
      </c>
      <c r="BS430" s="15" t="n">
        <f aca="false">SUM(M430:R430)*(Ipotesi!$C$85+Ipotesi!$C$86)/12</f>
        <v>1239.58333333333</v>
      </c>
      <c r="BT430" s="15" t="n">
        <f aca="false">BI430*Ipotesi!$C$87</f>
        <v>280.576023391813</v>
      </c>
      <c r="BU430" s="15" t="n">
        <f aca="false">INDEX(Ipotesi!$C$55:$G$55,1,F430)*K430/12</f>
        <v>500</v>
      </c>
      <c r="BV430" s="15" t="n">
        <f aca="false">INDEX(Ipotesi!$C$80:$G$80,1,F430)/12*Ipotesi!J126</f>
        <v>500</v>
      </c>
      <c r="BW430" s="15" t="n">
        <f aca="false">INDEX(Ipotesi!$C$82:$G$82,1,F430)/12</f>
        <v>416.666666666667</v>
      </c>
      <c r="BX430" s="15" t="n">
        <f aca="false">INDEX(Ipotesi!$C$83:$G$83,1,F430)/12</f>
        <v>500</v>
      </c>
      <c r="BY430" s="15" t="n">
        <f aca="false">SUM(S430:U430)*(Ipotesi!$C$85+Ipotesi!$C$86)/12</f>
        <v>437.5</v>
      </c>
      <c r="BZ430" s="15" t="n">
        <f aca="false">AM430*Ipotesi!$C$87</f>
        <v>486.315789473684</v>
      </c>
      <c r="CA430" s="15" t="n">
        <f aca="false">AB430+BJ430+BL430+BN430+BO430+AR430+BP430+BQ430+BR430+BS430+BT430</f>
        <v>27770.6223196881</v>
      </c>
      <c r="CB430" s="15" t="n">
        <f aca="false">AC430+BK430+BM430+BH430+BU430+BV430+AS430+BW430+BX430+BY430+BZ430</f>
        <v>12114.5175438596</v>
      </c>
      <c r="CC430" s="15" t="n">
        <f aca="false">BI430-CA430</f>
        <v>-18418.0882066277</v>
      </c>
      <c r="CD430" s="15" t="n">
        <f aca="false">AM430-CB430</f>
        <v>4096.00877192982</v>
      </c>
      <c r="CE430" s="15" t="n">
        <f aca="false">INDEX(Ipotesi!$C$79:$G$79,1,F430)/12</f>
        <v>1666.66666666667</v>
      </c>
      <c r="CF430" s="15" t="n">
        <f aca="false">INDEX(Ipotesi!$C$84:$G$84,1,F430)/12</f>
        <v>250</v>
      </c>
      <c r="CG430" s="15" t="n">
        <f aca="false">Y430*MAX(0,Parametri_v3!$C$12-IF(P430=0,0,MIN(1,BE430/(P430*Parametri_v3!$C$22))))+W430*Parametri_v3!$C$13+X430*Parametri_v3!$C$14</f>
        <v>7129.62962962963</v>
      </c>
      <c r="CH430" s="15" t="n">
        <f aca="false">AB430*Parametri_v3!$C$32</f>
        <v>895.833333333334</v>
      </c>
      <c r="CI430" s="15" t="n">
        <f aca="false">AC430*Parametri_v3!$C$32</f>
        <v>262.5</v>
      </c>
      <c r="CJ430" s="15" t="n">
        <f aca="false">CA430-AB430</f>
        <v>9853.95565302144</v>
      </c>
      <c r="CK430" s="15" t="n">
        <f aca="false">CB430-AC430-BH430</f>
        <v>5243.4649122807</v>
      </c>
      <c r="CL430" s="15" t="n">
        <f aca="false">BF430*Ipotesi!$C$73+INDEX(Ipotesi!$C$72:$G$72,1,F430)/12*Ipotesi!J126*Parametri_v3!$C$58+Z430*(1-Parametri_v3!$C$16)</f>
        <v>1831.01851851852</v>
      </c>
      <c r="CM430" s="16" t="n">
        <f aca="false">IF(BF430=0,0,1-CL430/BF430)</f>
        <v>-6.91</v>
      </c>
    </row>
    <row r="431" customFormat="false" ht="18" hidden="false" customHeight="true" outlineLevel="0" collapsed="false">
      <c r="A431" s="68" t="n">
        <f aca="false">8</f>
        <v>8</v>
      </c>
      <c r="B431" s="68" t="n">
        <f aca="false">7</f>
        <v>7</v>
      </c>
      <c r="C431" s="18" t="n">
        <f aca="false">EDATE(Parametri_v3!$C$5,7-1)</f>
        <v>46569</v>
      </c>
      <c r="D431" s="68" t="n">
        <f aca="false">YEAR(C431)</f>
        <v>2027</v>
      </c>
      <c r="E431" s="68" t="n">
        <f aca="false">MONTH(C431)</f>
        <v>7</v>
      </c>
      <c r="F431" s="68" t="n">
        <f aca="false">INT((7-1)/12)+1</f>
        <v>1</v>
      </c>
      <c r="G431" s="15" t="n">
        <f aca="false">Ipotesi!J7</f>
        <v>1</v>
      </c>
      <c r="H431" s="15" t="n">
        <f aca="false">Ipotesi!J9</f>
        <v>1</v>
      </c>
      <c r="I431" s="15" t="n">
        <f aca="false">Ipotesi!J10</f>
        <v>1</v>
      </c>
      <c r="J431" s="15" t="n">
        <f aca="false">Ipotesi!J11</f>
        <v>1</v>
      </c>
      <c r="K431" s="15" t="n">
        <f aca="false">Ipotesi!J12</f>
        <v>1</v>
      </c>
      <c r="L431" s="15" t="n">
        <f aca="false">Ipotesi!J13</f>
        <v>90</v>
      </c>
      <c r="M431" s="17" t="n">
        <f aca="false">INDEX(Ipotesi!$C$40:$G$40,1,F431)</f>
        <v>1</v>
      </c>
      <c r="N431" s="17" t="n">
        <f aca="false">INDEX(Ipotesi!$C$41:$G$41,1,F431)</f>
        <v>0.75</v>
      </c>
      <c r="O431" s="17" t="n">
        <f aca="false">INDEX(Ipotesi!$C$42:$G$42,1,F431)*Ipotesi!J125</f>
        <v>1</v>
      </c>
      <c r="P431" s="17" t="n">
        <f aca="false">INDEX(Ipotesi!$C$43:$G$43,1,F431)*I431</f>
        <v>1</v>
      </c>
      <c r="Q431" s="17" t="n">
        <f aca="false">INDEX(Ipotesi!$C$44:$G$44,1,F431)*I431</f>
        <v>0.5</v>
      </c>
      <c r="R431" s="17" t="n">
        <f aca="false">INDEX(Ipotesi!$C$45:$G$45,1,F431)*I431</f>
        <v>0</v>
      </c>
      <c r="S431" s="17" t="n">
        <f aca="false">INDEX(Ipotesi!$C$52:$G$52,1,F431)*Ipotesi!J125</f>
        <v>1.5</v>
      </c>
      <c r="T431" s="17" t="n">
        <f aca="false">INDEX(Ipotesi!$C$53:$G$53,1,F431)*I431</f>
        <v>0</v>
      </c>
      <c r="U431" s="17" t="n">
        <f aca="false">INDEX(Ipotesi!$C$54:$G$54,1,F431)*I431</f>
        <v>0</v>
      </c>
      <c r="V431" s="15" t="n">
        <f aca="false">M431*INDEX(Ipotesi!$C$58:$G$58,1,F431)*K431/12</f>
        <v>3333.33333333333</v>
      </c>
      <c r="W431" s="15" t="n">
        <f aca="false">N431*Ipotesi!$C$59*(1+Ipotesi!$C$66)^(F431-1)/12</f>
        <v>4375</v>
      </c>
      <c r="X431" s="15" t="n">
        <f aca="false">O431*Ipotesi!$C$60*(1+Ipotesi!$C$66)^(F431-1)/12</f>
        <v>4166.66666666667</v>
      </c>
      <c r="Y431" s="15" t="n">
        <f aca="false">P431*Ipotesi!$C$61*(1+Ipotesi!$C$66)^(F431-1)/12</f>
        <v>4166.66666666667</v>
      </c>
      <c r="Z431" s="15" t="n">
        <f aca="false">Q431*Ipotesi!$C$62*(1+Ipotesi!$C$66)^(F431-1)/12</f>
        <v>1875</v>
      </c>
      <c r="AA431" s="15" t="n">
        <f aca="false">R431*Ipotesi!$C$63*(1+Ipotesi!$C$66)^(F431-1)/12</f>
        <v>0</v>
      </c>
      <c r="AB431" s="15" t="n">
        <f aca="false">SUM(V431:AA431)</f>
        <v>17916.6666666667</v>
      </c>
      <c r="AC431" s="15" t="n">
        <f aca="false">(S431*Ipotesi!$C$64+T431*Ipotesi!$C$65+U431*Ipotesi!$C$63)*(1+Ipotesi!$C$66)^(F431-1)/12</f>
        <v>5250</v>
      </c>
      <c r="AD431" s="15" t="n">
        <f aca="false">INDEX(Ipotesi!$C$48:$G$48,1,F431)*G431/12</f>
        <v>16.6666666666667</v>
      </c>
      <c r="AE431" s="15" t="n">
        <f aca="false">INDEX(Ipotesi!$C$50:$G$50,1,F431)*G431/12</f>
        <v>2.08333333333333</v>
      </c>
      <c r="AF431" s="15" t="n">
        <f aca="false">(S431*Parametri_v3!$C$7*Parametri_v3!$C$8+Parametri_v3!$C$10)/12</f>
        <v>19.25</v>
      </c>
      <c r="AG431" s="15" t="n">
        <f aca="false">AD431+AE431*(1+Parametri_v3!$C$9)</f>
        <v>19.7916666666667</v>
      </c>
      <c r="AH431" s="16" t="n">
        <f aca="false">IF(AG431=0,1,MIN(1,AF431/AG431))</f>
        <v>0.972631578947368</v>
      </c>
      <c r="AI431" s="15" t="n">
        <f aca="false">AD431*AH431</f>
        <v>16.2105263157895</v>
      </c>
      <c r="AJ431" s="15" t="n">
        <f aca="false">AE431*AH431</f>
        <v>2.02631578947368</v>
      </c>
      <c r="AK431" s="15" t="n">
        <f aca="false">AI431*INDEX(Ipotesi!$C$49:$G$49,1,F431)*H431</f>
        <v>12157.8947368421</v>
      </c>
      <c r="AL431" s="15" t="n">
        <f aca="false">AJ431*INDEX(Ipotesi!$C$51:$G$51,1,F431)*H431</f>
        <v>4052.63157894737</v>
      </c>
      <c r="AM431" s="15" t="n">
        <f aca="false">AK431+AL431</f>
        <v>16210.5263157895</v>
      </c>
      <c r="AN431" s="15" t="n">
        <f aca="false">INDEX(Ipotesi!$C$30:$G$30,1,F431)*G431/12</f>
        <v>8.33333333333333</v>
      </c>
      <c r="AO431" s="15" t="n">
        <f aca="false">O431*Parametri_v3!$C$7*Parametri_v3!$C$11*(1-Parametri_v3!$C$14)/12</f>
        <v>10.2666666666667</v>
      </c>
      <c r="AP431" s="15" t="n">
        <f aca="false">MIN(AN431,AO431)</f>
        <v>8.33333333333333</v>
      </c>
      <c r="AQ431" s="15" t="n">
        <f aca="false">AP431*INDEX(Ipotesi!$C$31:$G$31,1,F431)*H431</f>
        <v>7500</v>
      </c>
      <c r="AR431" s="15" t="n">
        <f aca="false">INDEX(Ipotesi!$C$75:$G$75,1,F431)*J431/12</f>
        <v>2083.33333333333</v>
      </c>
      <c r="AS431" s="15" t="n">
        <f aca="false">INDEX(Ipotesi!$C$81:$G$81,1,F431)*J431/12</f>
        <v>416.666666666667</v>
      </c>
      <c r="AT431" s="15" t="n">
        <f aca="false">AR431*Parametri_v3!$C$15+Z431*Parametri_v3!$C$16</f>
        <v>3395.83333333333</v>
      </c>
      <c r="AU431" s="15" t="n">
        <f aca="false">Q431*Parametri_v3!$C$16*Parametri_v3!$C$17</f>
        <v>35</v>
      </c>
      <c r="AV431" s="17" t="n">
        <f aca="false">BD430</f>
        <v>1.66666666666667</v>
      </c>
      <c r="AW431" s="17" t="n">
        <f aca="false">AV431*(1-(1-INDEX(Ipotesi!$C$34:$G$34,1,F431))^(1/12))</f>
        <v>0</v>
      </c>
      <c r="AX431" s="15" t="n">
        <f aca="false">ROUND(INDEX(Ipotesi!$C$32:$G$32,1,F431)*Ipotesi!J8,0)</f>
        <v>5</v>
      </c>
      <c r="AY431" s="15" t="n">
        <f aca="false">MAX(0,(AX431-(AV431-AW431))/(13-E431))</f>
        <v>0.555555555555556</v>
      </c>
      <c r="AZ431" s="15" t="n">
        <f aca="false">MIN(P431*Parametri_v3!$C$22,Q431*(1-Parametri_v3!$C$16)*Parametri_v3!$C$23)</f>
        <v>22.5</v>
      </c>
      <c r="BA431" s="15" t="n">
        <f aca="false">IF(OR(INDEX(Ipotesi!$C$35:$G$35,1,F431)&lt;=0,7-Parametri_v3!$C$21&lt;1),0,INDEX($AT$425:$AT$484,MAX(1,7-Parametri_v3!$C$21))/(INDEX(Ipotesi!$C$35:$G$35,1,F431)*Ipotesi!J27))</f>
        <v>0.679166666666667</v>
      </c>
      <c r="BB431" s="15" t="n">
        <f aca="false">IF(7-Parametri_v3!$C$21&lt;1,0,INDEX($AU$425:$AU$484,MAX(1,7-Parametri_v3!$C$21)))*Parametri_v3!$C$18*Parametri_v3!$C$19*Parametri_v3!$C$20</f>
        <v>1.3125</v>
      </c>
      <c r="BC431" s="17" t="n">
        <f aca="false">MAX(0,MIN(AY431,BA431,BB431,MAX(0,AZ431-(AV431-AW431))))</f>
        <v>0.555555555555556</v>
      </c>
      <c r="BD431" s="17" t="n">
        <f aca="false">AV431-AW431+BC431</f>
        <v>2.22222222222222</v>
      </c>
      <c r="BE431" s="17" t="n">
        <f aca="false">(AV431+BD431)/2</f>
        <v>1.94444444444444</v>
      </c>
      <c r="BF431" s="15" t="n">
        <f aca="false">BE431*INDEX(Ipotesi!$C$33:$G$33,1,F431)*H431/12</f>
        <v>324.074074074074</v>
      </c>
      <c r="BG431" s="15" t="n">
        <f aca="false">BD431*INDEX(Ipotesi!$C$33:$G$33,1,F431)*H431</f>
        <v>4444.44444444444</v>
      </c>
      <c r="BH431" s="15" t="n">
        <f aca="false">AM431*INDEX(Ipotesi!$C$37:$G$37,1,F431)</f>
        <v>1621.05263157895</v>
      </c>
      <c r="BI431" s="15" t="n">
        <f aca="false">AQ431+BF431+BH431</f>
        <v>9445.12670565302</v>
      </c>
      <c r="BJ431" s="15" t="n">
        <f aca="false">INDEX(Ipotesi!$C$68:$G$68,1,F431)*Ipotesi!$C$69/12</f>
        <v>1000</v>
      </c>
      <c r="BK431" s="15" t="n">
        <f aca="false">INDEX(Ipotesi!$C$68:$G$68,1,F431)*(1-Ipotesi!$C$69)/12</f>
        <v>1500</v>
      </c>
      <c r="BL431" s="15" t="n">
        <f aca="false">(AQ431+BF431)*Ipotesi!$C$67</f>
        <v>234.722222222222</v>
      </c>
      <c r="BM431" s="15" t="n">
        <f aca="false">AM431*Ipotesi!$C$67</f>
        <v>486.315789473684</v>
      </c>
      <c r="BN431" s="15" t="n">
        <f aca="false">INDEX(Ipotesi!$C$72:$G$72,1,F431)/12*Ipotesi!J126+BF431*Ipotesi!$C$73</f>
        <v>1275.92592592593</v>
      </c>
      <c r="BO431" s="15" t="n">
        <f aca="false">INDEX(Ipotesi!$C$74:$G$74,1,F431)/12*Ipotesi!J126</f>
        <v>1000</v>
      </c>
      <c r="BP431" s="15" t="n">
        <f aca="false">INDEX(Ipotesi!$C$76:$G$76,1,F431)/12</f>
        <v>500</v>
      </c>
      <c r="BQ431" s="15" t="n">
        <f aca="false">INDEX(Ipotesi!$C$77:$G$77,1,F431)/12*Ipotesi!J126</f>
        <v>1250</v>
      </c>
      <c r="BR431" s="15" t="n">
        <f aca="false">INDEX(Ipotesi!$C$78:$G$78,1,F431)/12</f>
        <v>1000</v>
      </c>
      <c r="BS431" s="15" t="n">
        <f aca="false">SUM(M431:R431)*(Ipotesi!$C$85+Ipotesi!$C$86)/12</f>
        <v>1239.58333333333</v>
      </c>
      <c r="BT431" s="15" t="n">
        <f aca="false">BI431*Ipotesi!$C$87</f>
        <v>283.353801169591</v>
      </c>
      <c r="BU431" s="15" t="n">
        <f aca="false">INDEX(Ipotesi!$C$55:$G$55,1,F431)*K431/12</f>
        <v>500</v>
      </c>
      <c r="BV431" s="15" t="n">
        <f aca="false">INDEX(Ipotesi!$C$80:$G$80,1,F431)/12*Ipotesi!J126</f>
        <v>500</v>
      </c>
      <c r="BW431" s="15" t="n">
        <f aca="false">INDEX(Ipotesi!$C$82:$G$82,1,F431)/12</f>
        <v>416.666666666667</v>
      </c>
      <c r="BX431" s="15" t="n">
        <f aca="false">INDEX(Ipotesi!$C$83:$G$83,1,F431)/12</f>
        <v>500</v>
      </c>
      <c r="BY431" s="15" t="n">
        <f aca="false">SUM(S431:U431)*(Ipotesi!$C$85+Ipotesi!$C$86)/12</f>
        <v>437.5</v>
      </c>
      <c r="BZ431" s="15" t="n">
        <f aca="false">AM431*Ipotesi!$C$87</f>
        <v>486.315789473684</v>
      </c>
      <c r="CA431" s="15" t="n">
        <f aca="false">AB431+BJ431+BL431+BN431+BO431+AR431+BP431+BQ431+BR431+BS431+BT431</f>
        <v>27783.5852826511</v>
      </c>
      <c r="CB431" s="15" t="n">
        <f aca="false">AC431+BK431+BM431+BH431+BU431+BV431+AS431+BW431+BX431+BY431+BZ431</f>
        <v>12114.5175438596</v>
      </c>
      <c r="CC431" s="15" t="n">
        <f aca="false">BI431-CA431</f>
        <v>-18338.458576998</v>
      </c>
      <c r="CD431" s="15" t="n">
        <f aca="false">AM431-CB431</f>
        <v>4096.00877192982</v>
      </c>
      <c r="CE431" s="15" t="n">
        <f aca="false">INDEX(Ipotesi!$C$79:$G$79,1,F431)/12</f>
        <v>1666.66666666667</v>
      </c>
      <c r="CF431" s="15" t="n">
        <f aca="false">INDEX(Ipotesi!$C$84:$G$84,1,F431)/12</f>
        <v>250</v>
      </c>
      <c r="CG431" s="15" t="n">
        <f aca="false">Y431*MAX(0,Parametri_v3!$C$12-IF(P431=0,0,MIN(1,BE431/(P431*Parametri_v3!$C$22))))+W431*Parametri_v3!$C$13+X431*Parametri_v3!$C$14</f>
        <v>7106.48148148148</v>
      </c>
      <c r="CH431" s="15" t="n">
        <f aca="false">AB431*Parametri_v3!$C$32</f>
        <v>895.833333333334</v>
      </c>
      <c r="CI431" s="15" t="n">
        <f aca="false">AC431*Parametri_v3!$C$32</f>
        <v>262.5</v>
      </c>
      <c r="CJ431" s="15" t="n">
        <f aca="false">CA431-AB431</f>
        <v>9866.9186159844</v>
      </c>
      <c r="CK431" s="15" t="n">
        <f aca="false">CB431-AC431-BH431</f>
        <v>5243.4649122807</v>
      </c>
      <c r="CL431" s="15" t="n">
        <f aca="false">BF431*Ipotesi!$C$73+INDEX(Ipotesi!$C$72:$G$72,1,F431)/12*Ipotesi!J126*Parametri_v3!$C$58+Z431*(1-Parametri_v3!$C$16)</f>
        <v>1838.42592592593</v>
      </c>
      <c r="CM431" s="16" t="n">
        <f aca="false">IF(BF431=0,0,1-CL431/BF431)</f>
        <v>-4.67285714285714</v>
      </c>
    </row>
    <row r="432" customFormat="false" ht="18" hidden="false" customHeight="true" outlineLevel="0" collapsed="false">
      <c r="A432" s="68" t="n">
        <f aca="false">8</f>
        <v>8</v>
      </c>
      <c r="B432" s="68" t="n">
        <f aca="false">8</f>
        <v>8</v>
      </c>
      <c r="C432" s="18" t="n">
        <f aca="false">EDATE(Parametri_v3!$C$5,8-1)</f>
        <v>46600</v>
      </c>
      <c r="D432" s="68" t="n">
        <f aca="false">YEAR(C432)</f>
        <v>2027</v>
      </c>
      <c r="E432" s="68" t="n">
        <f aca="false">MONTH(C432)</f>
        <v>8</v>
      </c>
      <c r="F432" s="68" t="n">
        <f aca="false">INT((8-1)/12)+1</f>
        <v>1</v>
      </c>
      <c r="G432" s="15" t="n">
        <f aca="false">Ipotesi!J7</f>
        <v>1</v>
      </c>
      <c r="H432" s="15" t="n">
        <f aca="false">Ipotesi!J9</f>
        <v>1</v>
      </c>
      <c r="I432" s="15" t="n">
        <f aca="false">Ipotesi!J10</f>
        <v>1</v>
      </c>
      <c r="J432" s="15" t="n">
        <f aca="false">Ipotesi!J11</f>
        <v>1</v>
      </c>
      <c r="K432" s="15" t="n">
        <f aca="false">Ipotesi!J12</f>
        <v>1</v>
      </c>
      <c r="L432" s="15" t="n">
        <f aca="false">Ipotesi!J13</f>
        <v>90</v>
      </c>
      <c r="M432" s="17" t="n">
        <f aca="false">INDEX(Ipotesi!$C$40:$G$40,1,F432)</f>
        <v>1</v>
      </c>
      <c r="N432" s="17" t="n">
        <f aca="false">INDEX(Ipotesi!$C$41:$G$41,1,F432)</f>
        <v>0.75</v>
      </c>
      <c r="O432" s="17" t="n">
        <f aca="false">INDEX(Ipotesi!$C$42:$G$42,1,F432)*Ipotesi!J125</f>
        <v>1</v>
      </c>
      <c r="P432" s="17" t="n">
        <f aca="false">INDEX(Ipotesi!$C$43:$G$43,1,F432)*I432</f>
        <v>1</v>
      </c>
      <c r="Q432" s="17" t="n">
        <f aca="false">INDEX(Ipotesi!$C$44:$G$44,1,F432)*I432</f>
        <v>0.5</v>
      </c>
      <c r="R432" s="17" t="n">
        <f aca="false">INDEX(Ipotesi!$C$45:$G$45,1,F432)*I432</f>
        <v>0</v>
      </c>
      <c r="S432" s="17" t="n">
        <f aca="false">INDEX(Ipotesi!$C$52:$G$52,1,F432)*Ipotesi!J125</f>
        <v>1.5</v>
      </c>
      <c r="T432" s="17" t="n">
        <f aca="false">INDEX(Ipotesi!$C$53:$G$53,1,F432)*I432</f>
        <v>0</v>
      </c>
      <c r="U432" s="17" t="n">
        <f aca="false">INDEX(Ipotesi!$C$54:$G$54,1,F432)*I432</f>
        <v>0</v>
      </c>
      <c r="V432" s="15" t="n">
        <f aca="false">M432*INDEX(Ipotesi!$C$58:$G$58,1,F432)*K432/12</f>
        <v>3333.33333333333</v>
      </c>
      <c r="W432" s="15" t="n">
        <f aca="false">N432*Ipotesi!$C$59*(1+Ipotesi!$C$66)^(F432-1)/12</f>
        <v>4375</v>
      </c>
      <c r="X432" s="15" t="n">
        <f aca="false">O432*Ipotesi!$C$60*(1+Ipotesi!$C$66)^(F432-1)/12</f>
        <v>4166.66666666667</v>
      </c>
      <c r="Y432" s="15" t="n">
        <f aca="false">P432*Ipotesi!$C$61*(1+Ipotesi!$C$66)^(F432-1)/12</f>
        <v>4166.66666666667</v>
      </c>
      <c r="Z432" s="15" t="n">
        <f aca="false">Q432*Ipotesi!$C$62*(1+Ipotesi!$C$66)^(F432-1)/12</f>
        <v>1875</v>
      </c>
      <c r="AA432" s="15" t="n">
        <f aca="false">R432*Ipotesi!$C$63*(1+Ipotesi!$C$66)^(F432-1)/12</f>
        <v>0</v>
      </c>
      <c r="AB432" s="15" t="n">
        <f aca="false">SUM(V432:AA432)</f>
        <v>17916.6666666667</v>
      </c>
      <c r="AC432" s="15" t="n">
        <f aca="false">(S432*Ipotesi!$C$64+T432*Ipotesi!$C$65+U432*Ipotesi!$C$63)*(1+Ipotesi!$C$66)^(F432-1)/12</f>
        <v>5250</v>
      </c>
      <c r="AD432" s="15" t="n">
        <f aca="false">INDEX(Ipotesi!$C$48:$G$48,1,F432)*G432/12</f>
        <v>16.6666666666667</v>
      </c>
      <c r="AE432" s="15" t="n">
        <f aca="false">INDEX(Ipotesi!$C$50:$G$50,1,F432)*G432/12</f>
        <v>2.08333333333333</v>
      </c>
      <c r="AF432" s="15" t="n">
        <f aca="false">(S432*Parametri_v3!$C$7*Parametri_v3!$C$8+Parametri_v3!$C$10)/12</f>
        <v>19.25</v>
      </c>
      <c r="AG432" s="15" t="n">
        <f aca="false">AD432+AE432*(1+Parametri_v3!$C$9)</f>
        <v>19.7916666666667</v>
      </c>
      <c r="AH432" s="16" t="n">
        <f aca="false">IF(AG432=0,1,MIN(1,AF432/AG432))</f>
        <v>0.972631578947368</v>
      </c>
      <c r="AI432" s="15" t="n">
        <f aca="false">AD432*AH432</f>
        <v>16.2105263157895</v>
      </c>
      <c r="AJ432" s="15" t="n">
        <f aca="false">AE432*AH432</f>
        <v>2.02631578947368</v>
      </c>
      <c r="AK432" s="15" t="n">
        <f aca="false">AI432*INDEX(Ipotesi!$C$49:$G$49,1,F432)*H432</f>
        <v>12157.8947368421</v>
      </c>
      <c r="AL432" s="15" t="n">
        <f aca="false">AJ432*INDEX(Ipotesi!$C$51:$G$51,1,F432)*H432</f>
        <v>4052.63157894737</v>
      </c>
      <c r="AM432" s="15" t="n">
        <f aca="false">AK432+AL432</f>
        <v>16210.5263157895</v>
      </c>
      <c r="AN432" s="15" t="n">
        <f aca="false">INDEX(Ipotesi!$C$30:$G$30,1,F432)*G432/12</f>
        <v>8.33333333333333</v>
      </c>
      <c r="AO432" s="15" t="n">
        <f aca="false">O432*Parametri_v3!$C$7*Parametri_v3!$C$11*(1-Parametri_v3!$C$14)/12</f>
        <v>10.2666666666667</v>
      </c>
      <c r="AP432" s="15" t="n">
        <f aca="false">MIN(AN432,AO432)</f>
        <v>8.33333333333333</v>
      </c>
      <c r="AQ432" s="15" t="n">
        <f aca="false">AP432*INDEX(Ipotesi!$C$31:$G$31,1,F432)*H432</f>
        <v>7500</v>
      </c>
      <c r="AR432" s="15" t="n">
        <f aca="false">INDEX(Ipotesi!$C$75:$G$75,1,F432)*J432/12</f>
        <v>2083.33333333333</v>
      </c>
      <c r="AS432" s="15" t="n">
        <f aca="false">INDEX(Ipotesi!$C$81:$G$81,1,F432)*J432/12</f>
        <v>416.666666666667</v>
      </c>
      <c r="AT432" s="15" t="n">
        <f aca="false">AR432*Parametri_v3!$C$15+Z432*Parametri_v3!$C$16</f>
        <v>3395.83333333333</v>
      </c>
      <c r="AU432" s="15" t="n">
        <f aca="false">Q432*Parametri_v3!$C$16*Parametri_v3!$C$17</f>
        <v>35</v>
      </c>
      <c r="AV432" s="17" t="n">
        <f aca="false">BD431</f>
        <v>2.22222222222222</v>
      </c>
      <c r="AW432" s="17" t="n">
        <f aca="false">AV432*(1-(1-INDEX(Ipotesi!$C$34:$G$34,1,F432))^(1/12))</f>
        <v>0</v>
      </c>
      <c r="AX432" s="15" t="n">
        <f aca="false">ROUND(INDEX(Ipotesi!$C$32:$G$32,1,F432)*Ipotesi!J8,0)</f>
        <v>5</v>
      </c>
      <c r="AY432" s="15" t="n">
        <f aca="false">MAX(0,(AX432-(AV432-AW432))/(13-E432))</f>
        <v>0.555555555555556</v>
      </c>
      <c r="AZ432" s="15" t="n">
        <f aca="false">MIN(P432*Parametri_v3!$C$22,Q432*(1-Parametri_v3!$C$16)*Parametri_v3!$C$23)</f>
        <v>22.5</v>
      </c>
      <c r="BA432" s="15" t="n">
        <f aca="false">IF(OR(INDEX(Ipotesi!$C$35:$G$35,1,F432)&lt;=0,8-Parametri_v3!$C$21&lt;1),0,INDEX($AT$425:$AT$484,MAX(1,8-Parametri_v3!$C$21))/(INDEX(Ipotesi!$C$35:$G$35,1,F432)*Ipotesi!J27))</f>
        <v>0.679166666666667</v>
      </c>
      <c r="BB432" s="15" t="n">
        <f aca="false">IF(8-Parametri_v3!$C$21&lt;1,0,INDEX($AU$425:$AU$484,MAX(1,8-Parametri_v3!$C$21)))*Parametri_v3!$C$18*Parametri_v3!$C$19*Parametri_v3!$C$20</f>
        <v>1.3125</v>
      </c>
      <c r="BC432" s="17" t="n">
        <f aca="false">MAX(0,MIN(AY432,BA432,BB432,MAX(0,AZ432-(AV432-AW432))))</f>
        <v>0.555555555555556</v>
      </c>
      <c r="BD432" s="17" t="n">
        <f aca="false">AV432-AW432+BC432</f>
        <v>2.77777777777778</v>
      </c>
      <c r="BE432" s="17" t="n">
        <f aca="false">(AV432+BD432)/2</f>
        <v>2.5</v>
      </c>
      <c r="BF432" s="15" t="n">
        <f aca="false">BE432*INDEX(Ipotesi!$C$33:$G$33,1,F432)*H432/12</f>
        <v>416.666666666667</v>
      </c>
      <c r="BG432" s="15" t="n">
        <f aca="false">BD432*INDEX(Ipotesi!$C$33:$G$33,1,F432)*H432</f>
        <v>5555.55555555556</v>
      </c>
      <c r="BH432" s="15" t="n">
        <f aca="false">AM432*INDEX(Ipotesi!$C$37:$G$37,1,F432)</f>
        <v>1621.05263157895</v>
      </c>
      <c r="BI432" s="15" t="n">
        <f aca="false">AQ432+BF432+BH432</f>
        <v>9537.71929824561</v>
      </c>
      <c r="BJ432" s="15" t="n">
        <f aca="false">INDEX(Ipotesi!$C$68:$G$68,1,F432)*Ipotesi!$C$69/12</f>
        <v>1000</v>
      </c>
      <c r="BK432" s="15" t="n">
        <f aca="false">INDEX(Ipotesi!$C$68:$G$68,1,F432)*(1-Ipotesi!$C$69)/12</f>
        <v>1500</v>
      </c>
      <c r="BL432" s="15" t="n">
        <f aca="false">(AQ432+BF432)*Ipotesi!$C$67</f>
        <v>237.5</v>
      </c>
      <c r="BM432" s="15" t="n">
        <f aca="false">AM432*Ipotesi!$C$67</f>
        <v>486.315789473684</v>
      </c>
      <c r="BN432" s="15" t="n">
        <f aca="false">INDEX(Ipotesi!$C$72:$G$72,1,F432)/12*Ipotesi!J126+BF432*Ipotesi!$C$73</f>
        <v>1283.33333333333</v>
      </c>
      <c r="BO432" s="15" t="n">
        <f aca="false">INDEX(Ipotesi!$C$74:$G$74,1,F432)/12*Ipotesi!J126</f>
        <v>1000</v>
      </c>
      <c r="BP432" s="15" t="n">
        <f aca="false">INDEX(Ipotesi!$C$76:$G$76,1,F432)/12</f>
        <v>500</v>
      </c>
      <c r="BQ432" s="15" t="n">
        <f aca="false">INDEX(Ipotesi!$C$77:$G$77,1,F432)/12*Ipotesi!J126</f>
        <v>1250</v>
      </c>
      <c r="BR432" s="15" t="n">
        <f aca="false">INDEX(Ipotesi!$C$78:$G$78,1,F432)/12</f>
        <v>1000</v>
      </c>
      <c r="BS432" s="15" t="n">
        <f aca="false">SUM(M432:R432)*(Ipotesi!$C$85+Ipotesi!$C$86)/12</f>
        <v>1239.58333333333</v>
      </c>
      <c r="BT432" s="15" t="n">
        <f aca="false">BI432*Ipotesi!$C$87</f>
        <v>286.131578947368</v>
      </c>
      <c r="BU432" s="15" t="n">
        <f aca="false">INDEX(Ipotesi!$C$55:$G$55,1,F432)*K432/12</f>
        <v>500</v>
      </c>
      <c r="BV432" s="15" t="n">
        <f aca="false">INDEX(Ipotesi!$C$80:$G$80,1,F432)/12*Ipotesi!J126</f>
        <v>500</v>
      </c>
      <c r="BW432" s="15" t="n">
        <f aca="false">INDEX(Ipotesi!$C$82:$G$82,1,F432)/12</f>
        <v>416.666666666667</v>
      </c>
      <c r="BX432" s="15" t="n">
        <f aca="false">INDEX(Ipotesi!$C$83:$G$83,1,F432)/12</f>
        <v>500</v>
      </c>
      <c r="BY432" s="15" t="n">
        <f aca="false">SUM(S432:U432)*(Ipotesi!$C$85+Ipotesi!$C$86)/12</f>
        <v>437.5</v>
      </c>
      <c r="BZ432" s="15" t="n">
        <f aca="false">AM432*Ipotesi!$C$87</f>
        <v>486.315789473684</v>
      </c>
      <c r="CA432" s="15" t="n">
        <f aca="false">AB432+BJ432+BL432+BN432+BO432+AR432+BP432+BQ432+BR432+BS432+BT432</f>
        <v>27796.548245614</v>
      </c>
      <c r="CB432" s="15" t="n">
        <f aca="false">AC432+BK432+BM432+BH432+BU432+BV432+AS432+BW432+BX432+BY432+BZ432</f>
        <v>12114.5175438596</v>
      </c>
      <c r="CC432" s="15" t="n">
        <f aca="false">BI432-CA432</f>
        <v>-18258.8289473684</v>
      </c>
      <c r="CD432" s="15" t="n">
        <f aca="false">AM432-CB432</f>
        <v>4096.00877192982</v>
      </c>
      <c r="CE432" s="15" t="n">
        <f aca="false">INDEX(Ipotesi!$C$79:$G$79,1,F432)/12</f>
        <v>1666.66666666667</v>
      </c>
      <c r="CF432" s="15" t="n">
        <f aca="false">INDEX(Ipotesi!$C$84:$G$84,1,F432)/12</f>
        <v>250</v>
      </c>
      <c r="CG432" s="15" t="n">
        <f aca="false">Y432*MAX(0,Parametri_v3!$C$12-IF(P432=0,0,MIN(1,BE432/(P432*Parametri_v3!$C$22))))+W432*Parametri_v3!$C$13+X432*Parametri_v3!$C$14</f>
        <v>7083.33333333333</v>
      </c>
      <c r="CH432" s="15" t="n">
        <f aca="false">AB432*Parametri_v3!$C$32</f>
        <v>895.833333333334</v>
      </c>
      <c r="CI432" s="15" t="n">
        <f aca="false">AC432*Parametri_v3!$C$32</f>
        <v>262.5</v>
      </c>
      <c r="CJ432" s="15" t="n">
        <f aca="false">CA432-AB432</f>
        <v>9879.88157894737</v>
      </c>
      <c r="CK432" s="15" t="n">
        <f aca="false">CB432-AC432-BH432</f>
        <v>5243.4649122807</v>
      </c>
      <c r="CL432" s="15" t="n">
        <f aca="false">BF432*Ipotesi!$C$73+INDEX(Ipotesi!$C$72:$G$72,1,F432)/12*Ipotesi!J126*Parametri_v3!$C$58+Z432*(1-Parametri_v3!$C$16)</f>
        <v>1845.83333333333</v>
      </c>
      <c r="CM432" s="16" t="n">
        <f aca="false">IF(BF432=0,0,1-CL432/BF432)</f>
        <v>-3.43</v>
      </c>
    </row>
    <row r="433" customFormat="false" ht="18" hidden="false" customHeight="true" outlineLevel="0" collapsed="false">
      <c r="A433" s="68" t="n">
        <f aca="false">8</f>
        <v>8</v>
      </c>
      <c r="B433" s="68" t="n">
        <f aca="false">9</f>
        <v>9</v>
      </c>
      <c r="C433" s="18" t="n">
        <f aca="false">EDATE(Parametri_v3!$C$5,9-1)</f>
        <v>46631</v>
      </c>
      <c r="D433" s="68" t="n">
        <f aca="false">YEAR(C433)</f>
        <v>2027</v>
      </c>
      <c r="E433" s="68" t="n">
        <f aca="false">MONTH(C433)</f>
        <v>9</v>
      </c>
      <c r="F433" s="68" t="n">
        <f aca="false">INT((9-1)/12)+1</f>
        <v>1</v>
      </c>
      <c r="G433" s="15" t="n">
        <f aca="false">Ipotesi!J7</f>
        <v>1</v>
      </c>
      <c r="H433" s="15" t="n">
        <f aca="false">Ipotesi!J9</f>
        <v>1</v>
      </c>
      <c r="I433" s="15" t="n">
        <f aca="false">Ipotesi!J10</f>
        <v>1</v>
      </c>
      <c r="J433" s="15" t="n">
        <f aca="false">Ipotesi!J11</f>
        <v>1</v>
      </c>
      <c r="K433" s="15" t="n">
        <f aca="false">Ipotesi!J12</f>
        <v>1</v>
      </c>
      <c r="L433" s="15" t="n">
        <f aca="false">Ipotesi!J13</f>
        <v>90</v>
      </c>
      <c r="M433" s="17" t="n">
        <f aca="false">INDEX(Ipotesi!$C$40:$G$40,1,F433)</f>
        <v>1</v>
      </c>
      <c r="N433" s="17" t="n">
        <f aca="false">INDEX(Ipotesi!$C$41:$G$41,1,F433)</f>
        <v>0.75</v>
      </c>
      <c r="O433" s="17" t="n">
        <f aca="false">INDEX(Ipotesi!$C$42:$G$42,1,F433)*Ipotesi!J125</f>
        <v>1</v>
      </c>
      <c r="P433" s="17" t="n">
        <f aca="false">INDEX(Ipotesi!$C$43:$G$43,1,F433)*I433</f>
        <v>1</v>
      </c>
      <c r="Q433" s="17" t="n">
        <f aca="false">INDEX(Ipotesi!$C$44:$G$44,1,F433)*I433</f>
        <v>0.5</v>
      </c>
      <c r="R433" s="17" t="n">
        <f aca="false">INDEX(Ipotesi!$C$45:$G$45,1,F433)*I433</f>
        <v>0</v>
      </c>
      <c r="S433" s="17" t="n">
        <f aca="false">INDEX(Ipotesi!$C$52:$G$52,1,F433)*Ipotesi!J125</f>
        <v>1.5</v>
      </c>
      <c r="T433" s="17" t="n">
        <f aca="false">INDEX(Ipotesi!$C$53:$G$53,1,F433)*I433</f>
        <v>0</v>
      </c>
      <c r="U433" s="17" t="n">
        <f aca="false">INDEX(Ipotesi!$C$54:$G$54,1,F433)*I433</f>
        <v>0</v>
      </c>
      <c r="V433" s="15" t="n">
        <f aca="false">M433*INDEX(Ipotesi!$C$58:$G$58,1,F433)*K433/12</f>
        <v>3333.33333333333</v>
      </c>
      <c r="W433" s="15" t="n">
        <f aca="false">N433*Ipotesi!$C$59*(1+Ipotesi!$C$66)^(F433-1)/12</f>
        <v>4375</v>
      </c>
      <c r="X433" s="15" t="n">
        <f aca="false">O433*Ipotesi!$C$60*(1+Ipotesi!$C$66)^(F433-1)/12</f>
        <v>4166.66666666667</v>
      </c>
      <c r="Y433" s="15" t="n">
        <f aca="false">P433*Ipotesi!$C$61*(1+Ipotesi!$C$66)^(F433-1)/12</f>
        <v>4166.66666666667</v>
      </c>
      <c r="Z433" s="15" t="n">
        <f aca="false">Q433*Ipotesi!$C$62*(1+Ipotesi!$C$66)^(F433-1)/12</f>
        <v>1875</v>
      </c>
      <c r="AA433" s="15" t="n">
        <f aca="false">R433*Ipotesi!$C$63*(1+Ipotesi!$C$66)^(F433-1)/12</f>
        <v>0</v>
      </c>
      <c r="AB433" s="15" t="n">
        <f aca="false">SUM(V433:AA433)</f>
        <v>17916.6666666667</v>
      </c>
      <c r="AC433" s="15" t="n">
        <f aca="false">(S433*Ipotesi!$C$64+T433*Ipotesi!$C$65+U433*Ipotesi!$C$63)*(1+Ipotesi!$C$66)^(F433-1)/12</f>
        <v>5250</v>
      </c>
      <c r="AD433" s="15" t="n">
        <f aca="false">INDEX(Ipotesi!$C$48:$G$48,1,F433)*G433/12</f>
        <v>16.6666666666667</v>
      </c>
      <c r="AE433" s="15" t="n">
        <f aca="false">INDEX(Ipotesi!$C$50:$G$50,1,F433)*G433/12</f>
        <v>2.08333333333333</v>
      </c>
      <c r="AF433" s="15" t="n">
        <f aca="false">(S433*Parametri_v3!$C$7*Parametri_v3!$C$8+Parametri_v3!$C$10)/12</f>
        <v>19.25</v>
      </c>
      <c r="AG433" s="15" t="n">
        <f aca="false">AD433+AE433*(1+Parametri_v3!$C$9)</f>
        <v>19.7916666666667</v>
      </c>
      <c r="AH433" s="16" t="n">
        <f aca="false">IF(AG433=0,1,MIN(1,AF433/AG433))</f>
        <v>0.972631578947368</v>
      </c>
      <c r="AI433" s="15" t="n">
        <f aca="false">AD433*AH433</f>
        <v>16.2105263157895</v>
      </c>
      <c r="AJ433" s="15" t="n">
        <f aca="false">AE433*AH433</f>
        <v>2.02631578947368</v>
      </c>
      <c r="AK433" s="15" t="n">
        <f aca="false">AI433*INDEX(Ipotesi!$C$49:$G$49,1,F433)*H433</f>
        <v>12157.8947368421</v>
      </c>
      <c r="AL433" s="15" t="n">
        <f aca="false">AJ433*INDEX(Ipotesi!$C$51:$G$51,1,F433)*H433</f>
        <v>4052.63157894737</v>
      </c>
      <c r="AM433" s="15" t="n">
        <f aca="false">AK433+AL433</f>
        <v>16210.5263157895</v>
      </c>
      <c r="AN433" s="15" t="n">
        <f aca="false">INDEX(Ipotesi!$C$30:$G$30,1,F433)*G433/12</f>
        <v>8.33333333333333</v>
      </c>
      <c r="AO433" s="15" t="n">
        <f aca="false">O433*Parametri_v3!$C$7*Parametri_v3!$C$11*(1-Parametri_v3!$C$14)/12</f>
        <v>10.2666666666667</v>
      </c>
      <c r="AP433" s="15" t="n">
        <f aca="false">MIN(AN433,AO433)</f>
        <v>8.33333333333333</v>
      </c>
      <c r="AQ433" s="15" t="n">
        <f aca="false">AP433*INDEX(Ipotesi!$C$31:$G$31,1,F433)*H433</f>
        <v>7500</v>
      </c>
      <c r="AR433" s="15" t="n">
        <f aca="false">INDEX(Ipotesi!$C$75:$G$75,1,F433)*J433/12</f>
        <v>2083.33333333333</v>
      </c>
      <c r="AS433" s="15" t="n">
        <f aca="false">INDEX(Ipotesi!$C$81:$G$81,1,F433)*J433/12</f>
        <v>416.666666666667</v>
      </c>
      <c r="AT433" s="15" t="n">
        <f aca="false">AR433*Parametri_v3!$C$15+Z433*Parametri_v3!$C$16</f>
        <v>3395.83333333333</v>
      </c>
      <c r="AU433" s="15" t="n">
        <f aca="false">Q433*Parametri_v3!$C$16*Parametri_v3!$C$17</f>
        <v>35</v>
      </c>
      <c r="AV433" s="17" t="n">
        <f aca="false">BD432</f>
        <v>2.77777777777778</v>
      </c>
      <c r="AW433" s="17" t="n">
        <f aca="false">AV433*(1-(1-INDEX(Ipotesi!$C$34:$G$34,1,F433))^(1/12))</f>
        <v>0</v>
      </c>
      <c r="AX433" s="15" t="n">
        <f aca="false">ROUND(INDEX(Ipotesi!$C$32:$G$32,1,F433)*Ipotesi!J8,0)</f>
        <v>5</v>
      </c>
      <c r="AY433" s="15" t="n">
        <f aca="false">MAX(0,(AX433-(AV433-AW433))/(13-E433))</f>
        <v>0.555555555555556</v>
      </c>
      <c r="AZ433" s="15" t="n">
        <f aca="false">MIN(P433*Parametri_v3!$C$22,Q433*(1-Parametri_v3!$C$16)*Parametri_v3!$C$23)</f>
        <v>22.5</v>
      </c>
      <c r="BA433" s="15" t="n">
        <f aca="false">IF(OR(INDEX(Ipotesi!$C$35:$G$35,1,F433)&lt;=0,9-Parametri_v3!$C$21&lt;1),0,INDEX($AT$425:$AT$484,MAX(1,9-Parametri_v3!$C$21))/(INDEX(Ipotesi!$C$35:$G$35,1,F433)*Ipotesi!J27))</f>
        <v>0.679166666666667</v>
      </c>
      <c r="BB433" s="15" t="n">
        <f aca="false">IF(9-Parametri_v3!$C$21&lt;1,0,INDEX($AU$425:$AU$484,MAX(1,9-Parametri_v3!$C$21)))*Parametri_v3!$C$18*Parametri_v3!$C$19*Parametri_v3!$C$20</f>
        <v>1.3125</v>
      </c>
      <c r="BC433" s="17" t="n">
        <f aca="false">MAX(0,MIN(AY433,BA433,BB433,MAX(0,AZ433-(AV433-AW433))))</f>
        <v>0.555555555555556</v>
      </c>
      <c r="BD433" s="17" t="n">
        <f aca="false">AV433-AW433+BC433</f>
        <v>3.33333333333333</v>
      </c>
      <c r="BE433" s="17" t="n">
        <f aca="false">(AV433+BD433)/2</f>
        <v>3.05555555555556</v>
      </c>
      <c r="BF433" s="15" t="n">
        <f aca="false">BE433*INDEX(Ipotesi!$C$33:$G$33,1,F433)*H433/12</f>
        <v>509.259259259259</v>
      </c>
      <c r="BG433" s="15" t="n">
        <f aca="false">BD433*INDEX(Ipotesi!$C$33:$G$33,1,F433)*H433</f>
        <v>6666.66666666667</v>
      </c>
      <c r="BH433" s="15" t="n">
        <f aca="false">AM433*INDEX(Ipotesi!$C$37:$G$37,1,F433)</f>
        <v>1621.05263157895</v>
      </c>
      <c r="BI433" s="15" t="n">
        <f aca="false">AQ433+BF433+BH433</f>
        <v>9630.31189083821</v>
      </c>
      <c r="BJ433" s="15" t="n">
        <f aca="false">INDEX(Ipotesi!$C$68:$G$68,1,F433)*Ipotesi!$C$69/12</f>
        <v>1000</v>
      </c>
      <c r="BK433" s="15" t="n">
        <f aca="false">INDEX(Ipotesi!$C$68:$G$68,1,F433)*(1-Ipotesi!$C$69)/12</f>
        <v>1500</v>
      </c>
      <c r="BL433" s="15" t="n">
        <f aca="false">(AQ433+BF433)*Ipotesi!$C$67</f>
        <v>240.277777777778</v>
      </c>
      <c r="BM433" s="15" t="n">
        <f aca="false">AM433*Ipotesi!$C$67</f>
        <v>486.315789473684</v>
      </c>
      <c r="BN433" s="15" t="n">
        <f aca="false">INDEX(Ipotesi!$C$72:$G$72,1,F433)/12*Ipotesi!J126+BF433*Ipotesi!$C$73</f>
        <v>1290.74074074074</v>
      </c>
      <c r="BO433" s="15" t="n">
        <f aca="false">INDEX(Ipotesi!$C$74:$G$74,1,F433)/12*Ipotesi!J126</f>
        <v>1000</v>
      </c>
      <c r="BP433" s="15" t="n">
        <f aca="false">INDEX(Ipotesi!$C$76:$G$76,1,F433)/12</f>
        <v>500</v>
      </c>
      <c r="BQ433" s="15" t="n">
        <f aca="false">INDEX(Ipotesi!$C$77:$G$77,1,F433)/12*Ipotesi!J126</f>
        <v>1250</v>
      </c>
      <c r="BR433" s="15" t="n">
        <f aca="false">INDEX(Ipotesi!$C$78:$G$78,1,F433)/12</f>
        <v>1000</v>
      </c>
      <c r="BS433" s="15" t="n">
        <f aca="false">SUM(M433:R433)*(Ipotesi!$C$85+Ipotesi!$C$86)/12</f>
        <v>1239.58333333333</v>
      </c>
      <c r="BT433" s="15" t="n">
        <f aca="false">BI433*Ipotesi!$C$87</f>
        <v>288.909356725146</v>
      </c>
      <c r="BU433" s="15" t="n">
        <f aca="false">INDEX(Ipotesi!$C$55:$G$55,1,F433)*K433/12</f>
        <v>500</v>
      </c>
      <c r="BV433" s="15" t="n">
        <f aca="false">INDEX(Ipotesi!$C$80:$G$80,1,F433)/12*Ipotesi!J126</f>
        <v>500</v>
      </c>
      <c r="BW433" s="15" t="n">
        <f aca="false">INDEX(Ipotesi!$C$82:$G$82,1,F433)/12</f>
        <v>416.666666666667</v>
      </c>
      <c r="BX433" s="15" t="n">
        <f aca="false">INDEX(Ipotesi!$C$83:$G$83,1,F433)/12</f>
        <v>500</v>
      </c>
      <c r="BY433" s="15" t="n">
        <f aca="false">SUM(S433:U433)*(Ipotesi!$C$85+Ipotesi!$C$86)/12</f>
        <v>437.5</v>
      </c>
      <c r="BZ433" s="15" t="n">
        <f aca="false">AM433*Ipotesi!$C$87</f>
        <v>486.315789473684</v>
      </c>
      <c r="CA433" s="15" t="n">
        <f aca="false">AB433+BJ433+BL433+BN433+BO433+AR433+BP433+BQ433+BR433+BS433+BT433</f>
        <v>27809.511208577</v>
      </c>
      <c r="CB433" s="15" t="n">
        <f aca="false">AC433+BK433+BM433+BH433+BU433+BV433+AS433+BW433+BX433+BY433+BZ433</f>
        <v>12114.5175438596</v>
      </c>
      <c r="CC433" s="15" t="n">
        <f aca="false">BI433-CA433</f>
        <v>-18179.1993177388</v>
      </c>
      <c r="CD433" s="15" t="n">
        <f aca="false">AM433-CB433</f>
        <v>4096.00877192982</v>
      </c>
      <c r="CE433" s="15" t="n">
        <f aca="false">INDEX(Ipotesi!$C$79:$G$79,1,F433)/12</f>
        <v>1666.66666666667</v>
      </c>
      <c r="CF433" s="15" t="n">
        <f aca="false">INDEX(Ipotesi!$C$84:$G$84,1,F433)/12</f>
        <v>250</v>
      </c>
      <c r="CG433" s="15" t="n">
        <f aca="false">Y433*MAX(0,Parametri_v3!$C$12-IF(P433=0,0,MIN(1,BE433/(P433*Parametri_v3!$C$22))))+W433*Parametri_v3!$C$13+X433*Parametri_v3!$C$14</f>
        <v>7060.18518518519</v>
      </c>
      <c r="CH433" s="15" t="n">
        <f aca="false">AB433*Parametri_v3!$C$32</f>
        <v>895.833333333334</v>
      </c>
      <c r="CI433" s="15" t="n">
        <f aca="false">AC433*Parametri_v3!$C$32</f>
        <v>262.5</v>
      </c>
      <c r="CJ433" s="15" t="n">
        <f aca="false">CA433-AB433</f>
        <v>9892.84454191033</v>
      </c>
      <c r="CK433" s="15" t="n">
        <f aca="false">CB433-AC433-BH433</f>
        <v>5243.4649122807</v>
      </c>
      <c r="CL433" s="15" t="n">
        <f aca="false">BF433*Ipotesi!$C$73+INDEX(Ipotesi!$C$72:$G$72,1,F433)/12*Ipotesi!J126*Parametri_v3!$C$58+Z433*(1-Parametri_v3!$C$16)</f>
        <v>1853.24074074074</v>
      </c>
      <c r="CM433" s="16" t="n">
        <f aca="false">IF(BF433=0,0,1-CL433/BF433)</f>
        <v>-2.63909090909091</v>
      </c>
    </row>
    <row r="434" customFormat="false" ht="18" hidden="false" customHeight="true" outlineLevel="0" collapsed="false">
      <c r="A434" s="68" t="n">
        <f aca="false">8</f>
        <v>8</v>
      </c>
      <c r="B434" s="68" t="n">
        <f aca="false">10</f>
        <v>10</v>
      </c>
      <c r="C434" s="18" t="n">
        <f aca="false">EDATE(Parametri_v3!$C$5,10-1)</f>
        <v>46661</v>
      </c>
      <c r="D434" s="68" t="n">
        <f aca="false">YEAR(C434)</f>
        <v>2027</v>
      </c>
      <c r="E434" s="68" t="n">
        <f aca="false">MONTH(C434)</f>
        <v>10</v>
      </c>
      <c r="F434" s="68" t="n">
        <f aca="false">INT((10-1)/12)+1</f>
        <v>1</v>
      </c>
      <c r="G434" s="15" t="n">
        <f aca="false">Ipotesi!J7</f>
        <v>1</v>
      </c>
      <c r="H434" s="15" t="n">
        <f aca="false">Ipotesi!J9</f>
        <v>1</v>
      </c>
      <c r="I434" s="15" t="n">
        <f aca="false">Ipotesi!J10</f>
        <v>1</v>
      </c>
      <c r="J434" s="15" t="n">
        <f aca="false">Ipotesi!J11</f>
        <v>1</v>
      </c>
      <c r="K434" s="15" t="n">
        <f aca="false">Ipotesi!J12</f>
        <v>1</v>
      </c>
      <c r="L434" s="15" t="n">
        <f aca="false">Ipotesi!J13</f>
        <v>90</v>
      </c>
      <c r="M434" s="17" t="n">
        <f aca="false">INDEX(Ipotesi!$C$40:$G$40,1,F434)</f>
        <v>1</v>
      </c>
      <c r="N434" s="17" t="n">
        <f aca="false">INDEX(Ipotesi!$C$41:$G$41,1,F434)</f>
        <v>0.75</v>
      </c>
      <c r="O434" s="17" t="n">
        <f aca="false">INDEX(Ipotesi!$C$42:$G$42,1,F434)*Ipotesi!J125</f>
        <v>1</v>
      </c>
      <c r="P434" s="17" t="n">
        <f aca="false">INDEX(Ipotesi!$C$43:$G$43,1,F434)*I434</f>
        <v>1</v>
      </c>
      <c r="Q434" s="17" t="n">
        <f aca="false">INDEX(Ipotesi!$C$44:$G$44,1,F434)*I434</f>
        <v>0.5</v>
      </c>
      <c r="R434" s="17" t="n">
        <f aca="false">INDEX(Ipotesi!$C$45:$G$45,1,F434)*I434</f>
        <v>0</v>
      </c>
      <c r="S434" s="17" t="n">
        <f aca="false">INDEX(Ipotesi!$C$52:$G$52,1,F434)*Ipotesi!J125</f>
        <v>1.5</v>
      </c>
      <c r="T434" s="17" t="n">
        <f aca="false">INDEX(Ipotesi!$C$53:$G$53,1,F434)*I434</f>
        <v>0</v>
      </c>
      <c r="U434" s="17" t="n">
        <f aca="false">INDEX(Ipotesi!$C$54:$G$54,1,F434)*I434</f>
        <v>0</v>
      </c>
      <c r="V434" s="15" t="n">
        <f aca="false">M434*INDEX(Ipotesi!$C$58:$G$58,1,F434)*K434/12</f>
        <v>3333.33333333333</v>
      </c>
      <c r="W434" s="15" t="n">
        <f aca="false">N434*Ipotesi!$C$59*(1+Ipotesi!$C$66)^(F434-1)/12</f>
        <v>4375</v>
      </c>
      <c r="X434" s="15" t="n">
        <f aca="false">O434*Ipotesi!$C$60*(1+Ipotesi!$C$66)^(F434-1)/12</f>
        <v>4166.66666666667</v>
      </c>
      <c r="Y434" s="15" t="n">
        <f aca="false">P434*Ipotesi!$C$61*(1+Ipotesi!$C$66)^(F434-1)/12</f>
        <v>4166.66666666667</v>
      </c>
      <c r="Z434" s="15" t="n">
        <f aca="false">Q434*Ipotesi!$C$62*(1+Ipotesi!$C$66)^(F434-1)/12</f>
        <v>1875</v>
      </c>
      <c r="AA434" s="15" t="n">
        <f aca="false">R434*Ipotesi!$C$63*(1+Ipotesi!$C$66)^(F434-1)/12</f>
        <v>0</v>
      </c>
      <c r="AB434" s="15" t="n">
        <f aca="false">SUM(V434:AA434)</f>
        <v>17916.6666666667</v>
      </c>
      <c r="AC434" s="15" t="n">
        <f aca="false">(S434*Ipotesi!$C$64+T434*Ipotesi!$C$65+U434*Ipotesi!$C$63)*(1+Ipotesi!$C$66)^(F434-1)/12</f>
        <v>5250</v>
      </c>
      <c r="AD434" s="15" t="n">
        <f aca="false">INDEX(Ipotesi!$C$48:$G$48,1,F434)*G434/12</f>
        <v>16.6666666666667</v>
      </c>
      <c r="AE434" s="15" t="n">
        <f aca="false">INDEX(Ipotesi!$C$50:$G$50,1,F434)*G434/12</f>
        <v>2.08333333333333</v>
      </c>
      <c r="AF434" s="15" t="n">
        <f aca="false">(S434*Parametri_v3!$C$7*Parametri_v3!$C$8+Parametri_v3!$C$10)/12</f>
        <v>19.25</v>
      </c>
      <c r="AG434" s="15" t="n">
        <f aca="false">AD434+AE434*(1+Parametri_v3!$C$9)</f>
        <v>19.7916666666667</v>
      </c>
      <c r="AH434" s="16" t="n">
        <f aca="false">IF(AG434=0,1,MIN(1,AF434/AG434))</f>
        <v>0.972631578947368</v>
      </c>
      <c r="AI434" s="15" t="n">
        <f aca="false">AD434*AH434</f>
        <v>16.2105263157895</v>
      </c>
      <c r="AJ434" s="15" t="n">
        <f aca="false">AE434*AH434</f>
        <v>2.02631578947368</v>
      </c>
      <c r="AK434" s="15" t="n">
        <f aca="false">AI434*INDEX(Ipotesi!$C$49:$G$49,1,F434)*H434</f>
        <v>12157.8947368421</v>
      </c>
      <c r="AL434" s="15" t="n">
        <f aca="false">AJ434*INDEX(Ipotesi!$C$51:$G$51,1,F434)*H434</f>
        <v>4052.63157894737</v>
      </c>
      <c r="AM434" s="15" t="n">
        <f aca="false">AK434+AL434</f>
        <v>16210.5263157895</v>
      </c>
      <c r="AN434" s="15" t="n">
        <f aca="false">INDEX(Ipotesi!$C$30:$G$30,1,F434)*G434/12</f>
        <v>8.33333333333333</v>
      </c>
      <c r="AO434" s="15" t="n">
        <f aca="false">O434*Parametri_v3!$C$7*Parametri_v3!$C$11*(1-Parametri_v3!$C$14)/12</f>
        <v>10.2666666666667</v>
      </c>
      <c r="AP434" s="15" t="n">
        <f aca="false">MIN(AN434,AO434)</f>
        <v>8.33333333333333</v>
      </c>
      <c r="AQ434" s="15" t="n">
        <f aca="false">AP434*INDEX(Ipotesi!$C$31:$G$31,1,F434)*H434</f>
        <v>7500</v>
      </c>
      <c r="AR434" s="15" t="n">
        <f aca="false">INDEX(Ipotesi!$C$75:$G$75,1,F434)*J434/12</f>
        <v>2083.33333333333</v>
      </c>
      <c r="AS434" s="15" t="n">
        <f aca="false">INDEX(Ipotesi!$C$81:$G$81,1,F434)*J434/12</f>
        <v>416.666666666667</v>
      </c>
      <c r="AT434" s="15" t="n">
        <f aca="false">AR434*Parametri_v3!$C$15+Z434*Parametri_v3!$C$16</f>
        <v>3395.83333333333</v>
      </c>
      <c r="AU434" s="15" t="n">
        <f aca="false">Q434*Parametri_v3!$C$16*Parametri_v3!$C$17</f>
        <v>35</v>
      </c>
      <c r="AV434" s="17" t="n">
        <f aca="false">BD433</f>
        <v>3.33333333333333</v>
      </c>
      <c r="AW434" s="17" t="n">
        <f aca="false">AV434*(1-(1-INDEX(Ipotesi!$C$34:$G$34,1,F434))^(1/12))</f>
        <v>0</v>
      </c>
      <c r="AX434" s="15" t="n">
        <f aca="false">ROUND(INDEX(Ipotesi!$C$32:$G$32,1,F434)*Ipotesi!J8,0)</f>
        <v>5</v>
      </c>
      <c r="AY434" s="15" t="n">
        <f aca="false">MAX(0,(AX434-(AV434-AW434))/(13-E434))</f>
        <v>0.555555555555556</v>
      </c>
      <c r="AZ434" s="15" t="n">
        <f aca="false">MIN(P434*Parametri_v3!$C$22,Q434*(1-Parametri_v3!$C$16)*Parametri_v3!$C$23)</f>
        <v>22.5</v>
      </c>
      <c r="BA434" s="15" t="n">
        <f aca="false">IF(OR(INDEX(Ipotesi!$C$35:$G$35,1,F434)&lt;=0,10-Parametri_v3!$C$21&lt;1),0,INDEX($AT$425:$AT$484,MAX(1,10-Parametri_v3!$C$21))/(INDEX(Ipotesi!$C$35:$G$35,1,F434)*Ipotesi!J27))</f>
        <v>0.679166666666667</v>
      </c>
      <c r="BB434" s="15" t="n">
        <f aca="false">IF(10-Parametri_v3!$C$21&lt;1,0,INDEX($AU$425:$AU$484,MAX(1,10-Parametri_v3!$C$21)))*Parametri_v3!$C$18*Parametri_v3!$C$19*Parametri_v3!$C$20</f>
        <v>1.3125</v>
      </c>
      <c r="BC434" s="17" t="n">
        <f aca="false">MAX(0,MIN(AY434,BA434,BB434,MAX(0,AZ434-(AV434-AW434))))</f>
        <v>0.555555555555556</v>
      </c>
      <c r="BD434" s="17" t="n">
        <f aca="false">AV434-AW434+BC434</f>
        <v>3.88888888888889</v>
      </c>
      <c r="BE434" s="17" t="n">
        <f aca="false">(AV434+BD434)/2</f>
        <v>3.61111111111111</v>
      </c>
      <c r="BF434" s="15" t="n">
        <f aca="false">BE434*INDEX(Ipotesi!$C$33:$G$33,1,F434)*H434/12</f>
        <v>601.851851851852</v>
      </c>
      <c r="BG434" s="15" t="n">
        <f aca="false">BD434*INDEX(Ipotesi!$C$33:$G$33,1,F434)*H434</f>
        <v>7777.77777777778</v>
      </c>
      <c r="BH434" s="15" t="n">
        <f aca="false">AM434*INDEX(Ipotesi!$C$37:$G$37,1,F434)</f>
        <v>1621.05263157895</v>
      </c>
      <c r="BI434" s="15" t="n">
        <f aca="false">AQ434+BF434+BH434</f>
        <v>9722.9044834308</v>
      </c>
      <c r="BJ434" s="15" t="n">
        <f aca="false">INDEX(Ipotesi!$C$68:$G$68,1,F434)*Ipotesi!$C$69/12</f>
        <v>1000</v>
      </c>
      <c r="BK434" s="15" t="n">
        <f aca="false">INDEX(Ipotesi!$C$68:$G$68,1,F434)*(1-Ipotesi!$C$69)/12</f>
        <v>1500</v>
      </c>
      <c r="BL434" s="15" t="n">
        <f aca="false">(AQ434+BF434)*Ipotesi!$C$67</f>
        <v>243.055555555556</v>
      </c>
      <c r="BM434" s="15" t="n">
        <f aca="false">AM434*Ipotesi!$C$67</f>
        <v>486.315789473684</v>
      </c>
      <c r="BN434" s="15" t="n">
        <f aca="false">INDEX(Ipotesi!$C$72:$G$72,1,F434)/12*Ipotesi!J126+BF434*Ipotesi!$C$73</f>
        <v>1298.14814814815</v>
      </c>
      <c r="BO434" s="15" t="n">
        <f aca="false">INDEX(Ipotesi!$C$74:$G$74,1,F434)/12*Ipotesi!J126</f>
        <v>1000</v>
      </c>
      <c r="BP434" s="15" t="n">
        <f aca="false">INDEX(Ipotesi!$C$76:$G$76,1,F434)/12</f>
        <v>500</v>
      </c>
      <c r="BQ434" s="15" t="n">
        <f aca="false">INDEX(Ipotesi!$C$77:$G$77,1,F434)/12*Ipotesi!J126</f>
        <v>1250</v>
      </c>
      <c r="BR434" s="15" t="n">
        <f aca="false">INDEX(Ipotesi!$C$78:$G$78,1,F434)/12</f>
        <v>1000</v>
      </c>
      <c r="BS434" s="15" t="n">
        <f aca="false">SUM(M434:R434)*(Ipotesi!$C$85+Ipotesi!$C$86)/12</f>
        <v>1239.58333333333</v>
      </c>
      <c r="BT434" s="15" t="n">
        <f aca="false">BI434*Ipotesi!$C$87</f>
        <v>291.687134502924</v>
      </c>
      <c r="BU434" s="15" t="n">
        <f aca="false">INDEX(Ipotesi!$C$55:$G$55,1,F434)*K434/12</f>
        <v>500</v>
      </c>
      <c r="BV434" s="15" t="n">
        <f aca="false">INDEX(Ipotesi!$C$80:$G$80,1,F434)/12*Ipotesi!J126</f>
        <v>500</v>
      </c>
      <c r="BW434" s="15" t="n">
        <f aca="false">INDEX(Ipotesi!$C$82:$G$82,1,F434)/12</f>
        <v>416.666666666667</v>
      </c>
      <c r="BX434" s="15" t="n">
        <f aca="false">INDEX(Ipotesi!$C$83:$G$83,1,F434)/12</f>
        <v>500</v>
      </c>
      <c r="BY434" s="15" t="n">
        <f aca="false">SUM(S434:U434)*(Ipotesi!$C$85+Ipotesi!$C$86)/12</f>
        <v>437.5</v>
      </c>
      <c r="BZ434" s="15" t="n">
        <f aca="false">AM434*Ipotesi!$C$87</f>
        <v>486.315789473684</v>
      </c>
      <c r="CA434" s="15" t="n">
        <f aca="false">AB434+BJ434+BL434+BN434+BO434+AR434+BP434+BQ434+BR434+BS434+BT434</f>
        <v>27822.47417154</v>
      </c>
      <c r="CB434" s="15" t="n">
        <f aca="false">AC434+BK434+BM434+BH434+BU434+BV434+AS434+BW434+BX434+BY434+BZ434</f>
        <v>12114.5175438596</v>
      </c>
      <c r="CC434" s="15" t="n">
        <f aca="false">BI434-CA434</f>
        <v>-18099.5696881092</v>
      </c>
      <c r="CD434" s="15" t="n">
        <f aca="false">AM434-CB434</f>
        <v>4096.00877192982</v>
      </c>
      <c r="CE434" s="15" t="n">
        <f aca="false">INDEX(Ipotesi!$C$79:$G$79,1,F434)/12</f>
        <v>1666.66666666667</v>
      </c>
      <c r="CF434" s="15" t="n">
        <f aca="false">INDEX(Ipotesi!$C$84:$G$84,1,F434)/12</f>
        <v>250</v>
      </c>
      <c r="CG434" s="15" t="n">
        <f aca="false">Y434*MAX(0,Parametri_v3!$C$12-IF(P434=0,0,MIN(1,BE434/(P434*Parametri_v3!$C$22))))+W434*Parametri_v3!$C$13+X434*Parametri_v3!$C$14</f>
        <v>7037.03703703704</v>
      </c>
      <c r="CH434" s="15" t="n">
        <f aca="false">AB434*Parametri_v3!$C$32</f>
        <v>895.833333333334</v>
      </c>
      <c r="CI434" s="15" t="n">
        <f aca="false">AC434*Parametri_v3!$C$32</f>
        <v>262.5</v>
      </c>
      <c r="CJ434" s="15" t="n">
        <f aca="false">CA434-AB434</f>
        <v>9905.80750487329</v>
      </c>
      <c r="CK434" s="15" t="n">
        <f aca="false">CB434-AC434-BH434</f>
        <v>5243.4649122807</v>
      </c>
      <c r="CL434" s="15" t="n">
        <f aca="false">BF434*Ipotesi!$C$73+INDEX(Ipotesi!$C$72:$G$72,1,F434)/12*Ipotesi!J126*Parametri_v3!$C$58+Z434*(1-Parametri_v3!$C$16)</f>
        <v>1860.64814814815</v>
      </c>
      <c r="CM434" s="16" t="n">
        <f aca="false">IF(BF434=0,0,1-CL434/BF434)</f>
        <v>-2.09153846153846</v>
      </c>
    </row>
    <row r="435" customFormat="false" ht="18" hidden="false" customHeight="true" outlineLevel="0" collapsed="false">
      <c r="A435" s="68" t="n">
        <f aca="false">8</f>
        <v>8</v>
      </c>
      <c r="B435" s="68" t="n">
        <f aca="false">11</f>
        <v>11</v>
      </c>
      <c r="C435" s="18" t="n">
        <f aca="false">EDATE(Parametri_v3!$C$5,11-1)</f>
        <v>46692</v>
      </c>
      <c r="D435" s="68" t="n">
        <f aca="false">YEAR(C435)</f>
        <v>2027</v>
      </c>
      <c r="E435" s="68" t="n">
        <f aca="false">MONTH(C435)</f>
        <v>11</v>
      </c>
      <c r="F435" s="68" t="n">
        <f aca="false">INT((11-1)/12)+1</f>
        <v>1</v>
      </c>
      <c r="G435" s="15" t="n">
        <f aca="false">Ipotesi!J7</f>
        <v>1</v>
      </c>
      <c r="H435" s="15" t="n">
        <f aca="false">Ipotesi!J9</f>
        <v>1</v>
      </c>
      <c r="I435" s="15" t="n">
        <f aca="false">Ipotesi!J10</f>
        <v>1</v>
      </c>
      <c r="J435" s="15" t="n">
        <f aca="false">Ipotesi!J11</f>
        <v>1</v>
      </c>
      <c r="K435" s="15" t="n">
        <f aca="false">Ipotesi!J12</f>
        <v>1</v>
      </c>
      <c r="L435" s="15" t="n">
        <f aca="false">Ipotesi!J13</f>
        <v>90</v>
      </c>
      <c r="M435" s="17" t="n">
        <f aca="false">INDEX(Ipotesi!$C$40:$G$40,1,F435)</f>
        <v>1</v>
      </c>
      <c r="N435" s="17" t="n">
        <f aca="false">INDEX(Ipotesi!$C$41:$G$41,1,F435)</f>
        <v>0.75</v>
      </c>
      <c r="O435" s="17" t="n">
        <f aca="false">INDEX(Ipotesi!$C$42:$G$42,1,F435)*Ipotesi!J125</f>
        <v>1</v>
      </c>
      <c r="P435" s="17" t="n">
        <f aca="false">INDEX(Ipotesi!$C$43:$G$43,1,F435)*I435</f>
        <v>1</v>
      </c>
      <c r="Q435" s="17" t="n">
        <f aca="false">INDEX(Ipotesi!$C$44:$G$44,1,F435)*I435</f>
        <v>0.5</v>
      </c>
      <c r="R435" s="17" t="n">
        <f aca="false">INDEX(Ipotesi!$C$45:$G$45,1,F435)*I435</f>
        <v>0</v>
      </c>
      <c r="S435" s="17" t="n">
        <f aca="false">INDEX(Ipotesi!$C$52:$G$52,1,F435)*Ipotesi!J125</f>
        <v>1.5</v>
      </c>
      <c r="T435" s="17" t="n">
        <f aca="false">INDEX(Ipotesi!$C$53:$G$53,1,F435)*I435</f>
        <v>0</v>
      </c>
      <c r="U435" s="17" t="n">
        <f aca="false">INDEX(Ipotesi!$C$54:$G$54,1,F435)*I435</f>
        <v>0</v>
      </c>
      <c r="V435" s="15" t="n">
        <f aca="false">M435*INDEX(Ipotesi!$C$58:$G$58,1,F435)*K435/12</f>
        <v>3333.33333333333</v>
      </c>
      <c r="W435" s="15" t="n">
        <f aca="false">N435*Ipotesi!$C$59*(1+Ipotesi!$C$66)^(F435-1)/12</f>
        <v>4375</v>
      </c>
      <c r="X435" s="15" t="n">
        <f aca="false">O435*Ipotesi!$C$60*(1+Ipotesi!$C$66)^(F435-1)/12</f>
        <v>4166.66666666667</v>
      </c>
      <c r="Y435" s="15" t="n">
        <f aca="false">P435*Ipotesi!$C$61*(1+Ipotesi!$C$66)^(F435-1)/12</f>
        <v>4166.66666666667</v>
      </c>
      <c r="Z435" s="15" t="n">
        <f aca="false">Q435*Ipotesi!$C$62*(1+Ipotesi!$C$66)^(F435-1)/12</f>
        <v>1875</v>
      </c>
      <c r="AA435" s="15" t="n">
        <f aca="false">R435*Ipotesi!$C$63*(1+Ipotesi!$C$66)^(F435-1)/12</f>
        <v>0</v>
      </c>
      <c r="AB435" s="15" t="n">
        <f aca="false">SUM(V435:AA435)</f>
        <v>17916.6666666667</v>
      </c>
      <c r="AC435" s="15" t="n">
        <f aca="false">(S435*Ipotesi!$C$64+T435*Ipotesi!$C$65+U435*Ipotesi!$C$63)*(1+Ipotesi!$C$66)^(F435-1)/12</f>
        <v>5250</v>
      </c>
      <c r="AD435" s="15" t="n">
        <f aca="false">INDEX(Ipotesi!$C$48:$G$48,1,F435)*G435/12</f>
        <v>16.6666666666667</v>
      </c>
      <c r="AE435" s="15" t="n">
        <f aca="false">INDEX(Ipotesi!$C$50:$G$50,1,F435)*G435/12</f>
        <v>2.08333333333333</v>
      </c>
      <c r="AF435" s="15" t="n">
        <f aca="false">(S435*Parametri_v3!$C$7*Parametri_v3!$C$8+Parametri_v3!$C$10)/12</f>
        <v>19.25</v>
      </c>
      <c r="AG435" s="15" t="n">
        <f aca="false">AD435+AE435*(1+Parametri_v3!$C$9)</f>
        <v>19.7916666666667</v>
      </c>
      <c r="AH435" s="16" t="n">
        <f aca="false">IF(AG435=0,1,MIN(1,AF435/AG435))</f>
        <v>0.972631578947368</v>
      </c>
      <c r="AI435" s="15" t="n">
        <f aca="false">AD435*AH435</f>
        <v>16.2105263157895</v>
      </c>
      <c r="AJ435" s="15" t="n">
        <f aca="false">AE435*AH435</f>
        <v>2.02631578947368</v>
      </c>
      <c r="AK435" s="15" t="n">
        <f aca="false">AI435*INDEX(Ipotesi!$C$49:$G$49,1,F435)*H435</f>
        <v>12157.8947368421</v>
      </c>
      <c r="AL435" s="15" t="n">
        <f aca="false">AJ435*INDEX(Ipotesi!$C$51:$G$51,1,F435)*H435</f>
        <v>4052.63157894737</v>
      </c>
      <c r="AM435" s="15" t="n">
        <f aca="false">AK435+AL435</f>
        <v>16210.5263157895</v>
      </c>
      <c r="AN435" s="15" t="n">
        <f aca="false">INDEX(Ipotesi!$C$30:$G$30,1,F435)*G435/12</f>
        <v>8.33333333333333</v>
      </c>
      <c r="AO435" s="15" t="n">
        <f aca="false">O435*Parametri_v3!$C$7*Parametri_v3!$C$11*(1-Parametri_v3!$C$14)/12</f>
        <v>10.2666666666667</v>
      </c>
      <c r="AP435" s="15" t="n">
        <f aca="false">MIN(AN435,AO435)</f>
        <v>8.33333333333333</v>
      </c>
      <c r="AQ435" s="15" t="n">
        <f aca="false">AP435*INDEX(Ipotesi!$C$31:$G$31,1,F435)*H435</f>
        <v>7500</v>
      </c>
      <c r="AR435" s="15" t="n">
        <f aca="false">INDEX(Ipotesi!$C$75:$G$75,1,F435)*J435/12</f>
        <v>2083.33333333333</v>
      </c>
      <c r="AS435" s="15" t="n">
        <f aca="false">INDEX(Ipotesi!$C$81:$G$81,1,F435)*J435/12</f>
        <v>416.666666666667</v>
      </c>
      <c r="AT435" s="15" t="n">
        <f aca="false">AR435*Parametri_v3!$C$15+Z435*Parametri_v3!$C$16</f>
        <v>3395.83333333333</v>
      </c>
      <c r="AU435" s="15" t="n">
        <f aca="false">Q435*Parametri_v3!$C$16*Parametri_v3!$C$17</f>
        <v>35</v>
      </c>
      <c r="AV435" s="17" t="n">
        <f aca="false">BD434</f>
        <v>3.88888888888889</v>
      </c>
      <c r="AW435" s="17" t="n">
        <f aca="false">AV435*(1-(1-INDEX(Ipotesi!$C$34:$G$34,1,F435))^(1/12))</f>
        <v>0</v>
      </c>
      <c r="AX435" s="15" t="n">
        <f aca="false">ROUND(INDEX(Ipotesi!$C$32:$G$32,1,F435)*Ipotesi!J8,0)</f>
        <v>5</v>
      </c>
      <c r="AY435" s="15" t="n">
        <f aca="false">MAX(0,(AX435-(AV435-AW435))/(13-E435))</f>
        <v>0.555555555555556</v>
      </c>
      <c r="AZ435" s="15" t="n">
        <f aca="false">MIN(P435*Parametri_v3!$C$22,Q435*(1-Parametri_v3!$C$16)*Parametri_v3!$C$23)</f>
        <v>22.5</v>
      </c>
      <c r="BA435" s="15" t="n">
        <f aca="false">IF(OR(INDEX(Ipotesi!$C$35:$G$35,1,F435)&lt;=0,11-Parametri_v3!$C$21&lt;1),0,INDEX($AT$425:$AT$484,MAX(1,11-Parametri_v3!$C$21))/(INDEX(Ipotesi!$C$35:$G$35,1,F435)*Ipotesi!J27))</f>
        <v>0.679166666666667</v>
      </c>
      <c r="BB435" s="15" t="n">
        <f aca="false">IF(11-Parametri_v3!$C$21&lt;1,0,INDEX($AU$425:$AU$484,MAX(1,11-Parametri_v3!$C$21)))*Parametri_v3!$C$18*Parametri_v3!$C$19*Parametri_v3!$C$20</f>
        <v>1.3125</v>
      </c>
      <c r="BC435" s="17" t="n">
        <f aca="false">MAX(0,MIN(AY435,BA435,BB435,MAX(0,AZ435-(AV435-AW435))))</f>
        <v>0.555555555555556</v>
      </c>
      <c r="BD435" s="17" t="n">
        <f aca="false">AV435-AW435+BC435</f>
        <v>4.44444444444445</v>
      </c>
      <c r="BE435" s="17" t="n">
        <f aca="false">(AV435+BD435)/2</f>
        <v>4.16666666666667</v>
      </c>
      <c r="BF435" s="15" t="n">
        <f aca="false">BE435*INDEX(Ipotesi!$C$33:$G$33,1,F435)*H435/12</f>
        <v>694.444444444445</v>
      </c>
      <c r="BG435" s="15" t="n">
        <f aca="false">BD435*INDEX(Ipotesi!$C$33:$G$33,1,F435)*H435</f>
        <v>8888.88888888889</v>
      </c>
      <c r="BH435" s="15" t="n">
        <f aca="false">AM435*INDEX(Ipotesi!$C$37:$G$37,1,F435)</f>
        <v>1621.05263157895</v>
      </c>
      <c r="BI435" s="15" t="n">
        <f aca="false">AQ435+BF435+BH435</f>
        <v>9815.49707602339</v>
      </c>
      <c r="BJ435" s="15" t="n">
        <f aca="false">INDEX(Ipotesi!$C$68:$G$68,1,F435)*Ipotesi!$C$69/12</f>
        <v>1000</v>
      </c>
      <c r="BK435" s="15" t="n">
        <f aca="false">INDEX(Ipotesi!$C$68:$G$68,1,F435)*(1-Ipotesi!$C$69)/12</f>
        <v>1500</v>
      </c>
      <c r="BL435" s="15" t="n">
        <f aca="false">(AQ435+BF435)*Ipotesi!$C$67</f>
        <v>245.833333333333</v>
      </c>
      <c r="BM435" s="15" t="n">
        <f aca="false">AM435*Ipotesi!$C$67</f>
        <v>486.315789473684</v>
      </c>
      <c r="BN435" s="15" t="n">
        <f aca="false">INDEX(Ipotesi!$C$72:$G$72,1,F435)/12*Ipotesi!J126+BF435*Ipotesi!$C$73</f>
        <v>1305.55555555556</v>
      </c>
      <c r="BO435" s="15" t="n">
        <f aca="false">INDEX(Ipotesi!$C$74:$G$74,1,F435)/12*Ipotesi!J126</f>
        <v>1000</v>
      </c>
      <c r="BP435" s="15" t="n">
        <f aca="false">INDEX(Ipotesi!$C$76:$G$76,1,F435)/12</f>
        <v>500</v>
      </c>
      <c r="BQ435" s="15" t="n">
        <f aca="false">INDEX(Ipotesi!$C$77:$G$77,1,F435)/12*Ipotesi!J126</f>
        <v>1250</v>
      </c>
      <c r="BR435" s="15" t="n">
        <f aca="false">INDEX(Ipotesi!$C$78:$G$78,1,F435)/12</f>
        <v>1000</v>
      </c>
      <c r="BS435" s="15" t="n">
        <f aca="false">SUM(M435:R435)*(Ipotesi!$C$85+Ipotesi!$C$86)/12</f>
        <v>1239.58333333333</v>
      </c>
      <c r="BT435" s="15" t="n">
        <f aca="false">BI435*Ipotesi!$C$87</f>
        <v>294.464912280702</v>
      </c>
      <c r="BU435" s="15" t="n">
        <f aca="false">INDEX(Ipotesi!$C$55:$G$55,1,F435)*K435/12</f>
        <v>500</v>
      </c>
      <c r="BV435" s="15" t="n">
        <f aca="false">INDEX(Ipotesi!$C$80:$G$80,1,F435)/12*Ipotesi!J126</f>
        <v>500</v>
      </c>
      <c r="BW435" s="15" t="n">
        <f aca="false">INDEX(Ipotesi!$C$82:$G$82,1,F435)/12</f>
        <v>416.666666666667</v>
      </c>
      <c r="BX435" s="15" t="n">
        <f aca="false">INDEX(Ipotesi!$C$83:$G$83,1,F435)/12</f>
        <v>500</v>
      </c>
      <c r="BY435" s="15" t="n">
        <f aca="false">SUM(S435:U435)*(Ipotesi!$C$85+Ipotesi!$C$86)/12</f>
        <v>437.5</v>
      </c>
      <c r="BZ435" s="15" t="n">
        <f aca="false">AM435*Ipotesi!$C$87</f>
        <v>486.315789473684</v>
      </c>
      <c r="CA435" s="15" t="n">
        <f aca="false">AB435+BJ435+BL435+BN435+BO435+AR435+BP435+BQ435+BR435+BS435+BT435</f>
        <v>27835.4371345029</v>
      </c>
      <c r="CB435" s="15" t="n">
        <f aca="false">AC435+BK435+BM435+BH435+BU435+BV435+AS435+BW435+BX435+BY435+BZ435</f>
        <v>12114.5175438596</v>
      </c>
      <c r="CC435" s="15" t="n">
        <f aca="false">BI435-CA435</f>
        <v>-18019.9400584795</v>
      </c>
      <c r="CD435" s="15" t="n">
        <f aca="false">AM435-CB435</f>
        <v>4096.00877192982</v>
      </c>
      <c r="CE435" s="15" t="n">
        <f aca="false">INDEX(Ipotesi!$C$79:$G$79,1,F435)/12</f>
        <v>1666.66666666667</v>
      </c>
      <c r="CF435" s="15" t="n">
        <f aca="false">INDEX(Ipotesi!$C$84:$G$84,1,F435)/12</f>
        <v>250</v>
      </c>
      <c r="CG435" s="15" t="n">
        <f aca="false">Y435*MAX(0,Parametri_v3!$C$12-IF(P435=0,0,MIN(1,BE435/(P435*Parametri_v3!$C$22))))+W435*Parametri_v3!$C$13+X435*Parametri_v3!$C$14</f>
        <v>7013.88888888889</v>
      </c>
      <c r="CH435" s="15" t="n">
        <f aca="false">AB435*Parametri_v3!$C$32</f>
        <v>895.833333333334</v>
      </c>
      <c r="CI435" s="15" t="n">
        <f aca="false">AC435*Parametri_v3!$C$32</f>
        <v>262.5</v>
      </c>
      <c r="CJ435" s="15" t="n">
        <f aca="false">CA435-AB435</f>
        <v>9918.77046783625</v>
      </c>
      <c r="CK435" s="15" t="n">
        <f aca="false">CB435-AC435-BH435</f>
        <v>5243.4649122807</v>
      </c>
      <c r="CL435" s="15" t="n">
        <f aca="false">BF435*Ipotesi!$C$73+INDEX(Ipotesi!$C$72:$G$72,1,F435)/12*Ipotesi!J126*Parametri_v3!$C$58+Z435*(1-Parametri_v3!$C$16)</f>
        <v>1868.05555555556</v>
      </c>
      <c r="CM435" s="16" t="n">
        <f aca="false">IF(BF435=0,0,1-CL435/BF435)</f>
        <v>-1.69</v>
      </c>
    </row>
    <row r="436" customFormat="false" ht="18" hidden="false" customHeight="true" outlineLevel="0" collapsed="false">
      <c r="A436" s="68" t="n">
        <f aca="false">8</f>
        <v>8</v>
      </c>
      <c r="B436" s="68" t="n">
        <f aca="false">12</f>
        <v>12</v>
      </c>
      <c r="C436" s="18" t="n">
        <f aca="false">EDATE(Parametri_v3!$C$5,12-1)</f>
        <v>46722</v>
      </c>
      <c r="D436" s="68" t="n">
        <f aca="false">YEAR(C436)</f>
        <v>2027</v>
      </c>
      <c r="E436" s="68" t="n">
        <f aca="false">MONTH(C436)</f>
        <v>12</v>
      </c>
      <c r="F436" s="68" t="n">
        <f aca="false">INT((12-1)/12)+1</f>
        <v>1</v>
      </c>
      <c r="G436" s="15" t="n">
        <f aca="false">Ipotesi!J7</f>
        <v>1</v>
      </c>
      <c r="H436" s="15" t="n">
        <f aca="false">Ipotesi!J9</f>
        <v>1</v>
      </c>
      <c r="I436" s="15" t="n">
        <f aca="false">Ipotesi!J10</f>
        <v>1</v>
      </c>
      <c r="J436" s="15" t="n">
        <f aca="false">Ipotesi!J11</f>
        <v>1</v>
      </c>
      <c r="K436" s="15" t="n">
        <f aca="false">Ipotesi!J12</f>
        <v>1</v>
      </c>
      <c r="L436" s="15" t="n">
        <f aca="false">Ipotesi!J13</f>
        <v>90</v>
      </c>
      <c r="M436" s="17" t="n">
        <f aca="false">INDEX(Ipotesi!$C$40:$G$40,1,F436)</f>
        <v>1</v>
      </c>
      <c r="N436" s="17" t="n">
        <f aca="false">INDEX(Ipotesi!$C$41:$G$41,1,F436)</f>
        <v>0.75</v>
      </c>
      <c r="O436" s="17" t="n">
        <f aca="false">INDEX(Ipotesi!$C$42:$G$42,1,F436)*Ipotesi!J125</f>
        <v>1</v>
      </c>
      <c r="P436" s="17" t="n">
        <f aca="false">INDEX(Ipotesi!$C$43:$G$43,1,F436)*I436</f>
        <v>1</v>
      </c>
      <c r="Q436" s="17" t="n">
        <f aca="false">INDEX(Ipotesi!$C$44:$G$44,1,F436)*I436</f>
        <v>0.5</v>
      </c>
      <c r="R436" s="17" t="n">
        <f aca="false">INDEX(Ipotesi!$C$45:$G$45,1,F436)*I436</f>
        <v>0</v>
      </c>
      <c r="S436" s="17" t="n">
        <f aca="false">INDEX(Ipotesi!$C$52:$G$52,1,F436)*Ipotesi!J125</f>
        <v>1.5</v>
      </c>
      <c r="T436" s="17" t="n">
        <f aca="false">INDEX(Ipotesi!$C$53:$G$53,1,F436)*I436</f>
        <v>0</v>
      </c>
      <c r="U436" s="17" t="n">
        <f aca="false">INDEX(Ipotesi!$C$54:$G$54,1,F436)*I436</f>
        <v>0</v>
      </c>
      <c r="V436" s="15" t="n">
        <f aca="false">M436*INDEX(Ipotesi!$C$58:$G$58,1,F436)*K436/12</f>
        <v>3333.33333333333</v>
      </c>
      <c r="W436" s="15" t="n">
        <f aca="false">N436*Ipotesi!$C$59*(1+Ipotesi!$C$66)^(F436-1)/12</f>
        <v>4375</v>
      </c>
      <c r="X436" s="15" t="n">
        <f aca="false">O436*Ipotesi!$C$60*(1+Ipotesi!$C$66)^(F436-1)/12</f>
        <v>4166.66666666667</v>
      </c>
      <c r="Y436" s="15" t="n">
        <f aca="false">P436*Ipotesi!$C$61*(1+Ipotesi!$C$66)^(F436-1)/12</f>
        <v>4166.66666666667</v>
      </c>
      <c r="Z436" s="15" t="n">
        <f aca="false">Q436*Ipotesi!$C$62*(1+Ipotesi!$C$66)^(F436-1)/12</f>
        <v>1875</v>
      </c>
      <c r="AA436" s="15" t="n">
        <f aca="false">R436*Ipotesi!$C$63*(1+Ipotesi!$C$66)^(F436-1)/12</f>
        <v>0</v>
      </c>
      <c r="AB436" s="15" t="n">
        <f aca="false">SUM(V436:AA436)</f>
        <v>17916.6666666667</v>
      </c>
      <c r="AC436" s="15" t="n">
        <f aca="false">(S436*Ipotesi!$C$64+T436*Ipotesi!$C$65+U436*Ipotesi!$C$63)*(1+Ipotesi!$C$66)^(F436-1)/12</f>
        <v>5250</v>
      </c>
      <c r="AD436" s="15" t="n">
        <f aca="false">INDEX(Ipotesi!$C$48:$G$48,1,F436)*G436/12</f>
        <v>16.6666666666667</v>
      </c>
      <c r="AE436" s="15" t="n">
        <f aca="false">INDEX(Ipotesi!$C$50:$G$50,1,F436)*G436/12</f>
        <v>2.08333333333333</v>
      </c>
      <c r="AF436" s="15" t="n">
        <f aca="false">(S436*Parametri_v3!$C$7*Parametri_v3!$C$8+Parametri_v3!$C$10)/12</f>
        <v>19.25</v>
      </c>
      <c r="AG436" s="15" t="n">
        <f aca="false">AD436+AE436*(1+Parametri_v3!$C$9)</f>
        <v>19.7916666666667</v>
      </c>
      <c r="AH436" s="16" t="n">
        <f aca="false">IF(AG436=0,1,MIN(1,AF436/AG436))</f>
        <v>0.972631578947368</v>
      </c>
      <c r="AI436" s="15" t="n">
        <f aca="false">AD436*AH436</f>
        <v>16.2105263157895</v>
      </c>
      <c r="AJ436" s="15" t="n">
        <f aca="false">AE436*AH436</f>
        <v>2.02631578947368</v>
      </c>
      <c r="AK436" s="15" t="n">
        <f aca="false">AI436*INDEX(Ipotesi!$C$49:$G$49,1,F436)*H436</f>
        <v>12157.8947368421</v>
      </c>
      <c r="AL436" s="15" t="n">
        <f aca="false">AJ436*INDEX(Ipotesi!$C$51:$G$51,1,F436)*H436</f>
        <v>4052.63157894737</v>
      </c>
      <c r="AM436" s="15" t="n">
        <f aca="false">AK436+AL436</f>
        <v>16210.5263157895</v>
      </c>
      <c r="AN436" s="15" t="n">
        <f aca="false">INDEX(Ipotesi!$C$30:$G$30,1,F436)*G436/12</f>
        <v>8.33333333333333</v>
      </c>
      <c r="AO436" s="15" t="n">
        <f aca="false">O436*Parametri_v3!$C$7*Parametri_v3!$C$11*(1-Parametri_v3!$C$14)/12</f>
        <v>10.2666666666667</v>
      </c>
      <c r="AP436" s="15" t="n">
        <f aca="false">MIN(AN436,AO436)</f>
        <v>8.33333333333333</v>
      </c>
      <c r="AQ436" s="15" t="n">
        <f aca="false">AP436*INDEX(Ipotesi!$C$31:$G$31,1,F436)*H436</f>
        <v>7500</v>
      </c>
      <c r="AR436" s="15" t="n">
        <f aca="false">INDEX(Ipotesi!$C$75:$G$75,1,F436)*J436/12</f>
        <v>2083.33333333333</v>
      </c>
      <c r="AS436" s="15" t="n">
        <f aca="false">INDEX(Ipotesi!$C$81:$G$81,1,F436)*J436/12</f>
        <v>416.666666666667</v>
      </c>
      <c r="AT436" s="15" t="n">
        <f aca="false">AR436*Parametri_v3!$C$15+Z436*Parametri_v3!$C$16</f>
        <v>3395.83333333333</v>
      </c>
      <c r="AU436" s="15" t="n">
        <f aca="false">Q436*Parametri_v3!$C$16*Parametri_v3!$C$17</f>
        <v>35</v>
      </c>
      <c r="AV436" s="17" t="n">
        <f aca="false">BD435</f>
        <v>4.44444444444445</v>
      </c>
      <c r="AW436" s="17" t="n">
        <f aca="false">AV436*(1-(1-INDEX(Ipotesi!$C$34:$G$34,1,F436))^(1/12))</f>
        <v>0</v>
      </c>
      <c r="AX436" s="15" t="n">
        <f aca="false">ROUND(INDEX(Ipotesi!$C$32:$G$32,1,F436)*Ipotesi!J8,0)</f>
        <v>5</v>
      </c>
      <c r="AY436" s="15" t="n">
        <f aca="false">MAX(0,(AX436-(AV436-AW436))/(13-E436))</f>
        <v>0.555555555555555</v>
      </c>
      <c r="AZ436" s="15" t="n">
        <f aca="false">MIN(P436*Parametri_v3!$C$22,Q436*(1-Parametri_v3!$C$16)*Parametri_v3!$C$23)</f>
        <v>22.5</v>
      </c>
      <c r="BA436" s="15" t="n">
        <f aca="false">IF(OR(INDEX(Ipotesi!$C$35:$G$35,1,F436)&lt;=0,12-Parametri_v3!$C$21&lt;1),0,INDEX($AT$425:$AT$484,MAX(1,12-Parametri_v3!$C$21))/(INDEX(Ipotesi!$C$35:$G$35,1,F436)*Ipotesi!J27))</f>
        <v>0.679166666666667</v>
      </c>
      <c r="BB436" s="15" t="n">
        <f aca="false">IF(12-Parametri_v3!$C$21&lt;1,0,INDEX($AU$425:$AU$484,MAX(1,12-Parametri_v3!$C$21)))*Parametri_v3!$C$18*Parametri_v3!$C$19*Parametri_v3!$C$20</f>
        <v>1.3125</v>
      </c>
      <c r="BC436" s="17" t="n">
        <f aca="false">MAX(0,MIN(AY436,BA436,BB436,MAX(0,AZ436-(AV436-AW436))))</f>
        <v>0.555555555555555</v>
      </c>
      <c r="BD436" s="17" t="n">
        <f aca="false">AV436-AW436+BC436</f>
        <v>5</v>
      </c>
      <c r="BE436" s="17" t="n">
        <f aca="false">(AV436+BD436)/2</f>
        <v>4.72222222222222</v>
      </c>
      <c r="BF436" s="15" t="n">
        <f aca="false">BE436*INDEX(Ipotesi!$C$33:$G$33,1,F436)*H436/12</f>
        <v>787.037037037037</v>
      </c>
      <c r="BG436" s="15" t="n">
        <f aca="false">BD436*INDEX(Ipotesi!$C$33:$G$33,1,F436)*H436</f>
        <v>10000</v>
      </c>
      <c r="BH436" s="15" t="n">
        <f aca="false">AM436*INDEX(Ipotesi!$C$37:$G$37,1,F436)</f>
        <v>1621.05263157895</v>
      </c>
      <c r="BI436" s="15" t="n">
        <f aca="false">AQ436+BF436+BH436</f>
        <v>9908.08966861599</v>
      </c>
      <c r="BJ436" s="15" t="n">
        <f aca="false">INDEX(Ipotesi!$C$68:$G$68,1,F436)*Ipotesi!$C$69/12</f>
        <v>1000</v>
      </c>
      <c r="BK436" s="15" t="n">
        <f aca="false">INDEX(Ipotesi!$C$68:$G$68,1,F436)*(1-Ipotesi!$C$69)/12</f>
        <v>1500</v>
      </c>
      <c r="BL436" s="15" t="n">
        <f aca="false">(AQ436+BF436)*Ipotesi!$C$67</f>
        <v>248.611111111111</v>
      </c>
      <c r="BM436" s="15" t="n">
        <f aca="false">AM436*Ipotesi!$C$67</f>
        <v>486.315789473684</v>
      </c>
      <c r="BN436" s="15" t="n">
        <f aca="false">INDEX(Ipotesi!$C$72:$G$72,1,F436)/12*Ipotesi!J126+BF436*Ipotesi!$C$73</f>
        <v>1312.96296296296</v>
      </c>
      <c r="BO436" s="15" t="n">
        <f aca="false">INDEX(Ipotesi!$C$74:$G$74,1,F436)/12*Ipotesi!J126</f>
        <v>1000</v>
      </c>
      <c r="BP436" s="15" t="n">
        <f aca="false">INDEX(Ipotesi!$C$76:$G$76,1,F436)/12</f>
        <v>500</v>
      </c>
      <c r="BQ436" s="15" t="n">
        <f aca="false">INDEX(Ipotesi!$C$77:$G$77,1,F436)/12*Ipotesi!J126</f>
        <v>1250</v>
      </c>
      <c r="BR436" s="15" t="n">
        <f aca="false">INDEX(Ipotesi!$C$78:$G$78,1,F436)/12</f>
        <v>1000</v>
      </c>
      <c r="BS436" s="15" t="n">
        <f aca="false">SUM(M436:R436)*(Ipotesi!$C$85+Ipotesi!$C$86)/12</f>
        <v>1239.58333333333</v>
      </c>
      <c r="BT436" s="15" t="n">
        <f aca="false">BI436*Ipotesi!$C$87</f>
        <v>297.24269005848</v>
      </c>
      <c r="BU436" s="15" t="n">
        <f aca="false">INDEX(Ipotesi!$C$55:$G$55,1,F436)*K436/12</f>
        <v>500</v>
      </c>
      <c r="BV436" s="15" t="n">
        <f aca="false">INDEX(Ipotesi!$C$80:$G$80,1,F436)/12*Ipotesi!J126</f>
        <v>500</v>
      </c>
      <c r="BW436" s="15" t="n">
        <f aca="false">INDEX(Ipotesi!$C$82:$G$82,1,F436)/12</f>
        <v>416.666666666667</v>
      </c>
      <c r="BX436" s="15" t="n">
        <f aca="false">INDEX(Ipotesi!$C$83:$G$83,1,F436)/12</f>
        <v>500</v>
      </c>
      <c r="BY436" s="15" t="n">
        <f aca="false">SUM(S436:U436)*(Ipotesi!$C$85+Ipotesi!$C$86)/12</f>
        <v>437.5</v>
      </c>
      <c r="BZ436" s="15" t="n">
        <f aca="false">AM436*Ipotesi!$C$87</f>
        <v>486.315789473684</v>
      </c>
      <c r="CA436" s="15" t="n">
        <f aca="false">AB436+BJ436+BL436+BN436+BO436+AR436+BP436+BQ436+BR436+BS436+BT436</f>
        <v>27848.4000974659</v>
      </c>
      <c r="CB436" s="15" t="n">
        <f aca="false">AC436+BK436+BM436+BH436+BU436+BV436+AS436+BW436+BX436+BY436+BZ436</f>
        <v>12114.5175438596</v>
      </c>
      <c r="CC436" s="15" t="n">
        <f aca="false">BI436-CA436</f>
        <v>-17940.3104288499</v>
      </c>
      <c r="CD436" s="15" t="n">
        <f aca="false">AM436-CB436</f>
        <v>4096.00877192982</v>
      </c>
      <c r="CE436" s="15" t="n">
        <f aca="false">INDEX(Ipotesi!$C$79:$G$79,1,F436)/12</f>
        <v>1666.66666666667</v>
      </c>
      <c r="CF436" s="15" t="n">
        <f aca="false">INDEX(Ipotesi!$C$84:$G$84,1,F436)/12</f>
        <v>250</v>
      </c>
      <c r="CG436" s="15" t="n">
        <f aca="false">Y436*MAX(0,Parametri_v3!$C$12-IF(P436=0,0,MIN(1,BE436/(P436*Parametri_v3!$C$22))))+W436*Parametri_v3!$C$13+X436*Parametri_v3!$C$14</f>
        <v>6990.74074074074</v>
      </c>
      <c r="CH436" s="15" t="n">
        <f aca="false">AB436*Parametri_v3!$C$32</f>
        <v>895.833333333334</v>
      </c>
      <c r="CI436" s="15" t="n">
        <f aca="false">AC436*Parametri_v3!$C$32</f>
        <v>262.5</v>
      </c>
      <c r="CJ436" s="15" t="n">
        <f aca="false">CA436-AB436</f>
        <v>9931.73343079922</v>
      </c>
      <c r="CK436" s="15" t="n">
        <f aca="false">CB436-AC436-BH436</f>
        <v>5243.4649122807</v>
      </c>
      <c r="CL436" s="15" t="n">
        <f aca="false">BF436*Ipotesi!$C$73+INDEX(Ipotesi!$C$72:$G$72,1,F436)/12*Ipotesi!J126*Parametri_v3!$C$58+Z436*(1-Parametri_v3!$C$16)</f>
        <v>1875.46296296296</v>
      </c>
      <c r="CM436" s="16" t="n">
        <f aca="false">IF(BF436=0,0,1-CL436/BF436)</f>
        <v>-1.38294117647059</v>
      </c>
    </row>
    <row r="437" customFormat="false" ht="18" hidden="false" customHeight="true" outlineLevel="0" collapsed="false">
      <c r="A437" s="68" t="n">
        <f aca="false">8</f>
        <v>8</v>
      </c>
      <c r="B437" s="68" t="n">
        <f aca="false">13</f>
        <v>13</v>
      </c>
      <c r="C437" s="18" t="n">
        <f aca="false">EDATE(Parametri_v3!$C$5,13-1)</f>
        <v>46753</v>
      </c>
      <c r="D437" s="68" t="n">
        <f aca="false">YEAR(C437)</f>
        <v>2028</v>
      </c>
      <c r="E437" s="68" t="n">
        <f aca="false">MONTH(C437)</f>
        <v>1</v>
      </c>
      <c r="F437" s="68" t="n">
        <f aca="false">INT((13-1)/12)+1</f>
        <v>2</v>
      </c>
      <c r="G437" s="15" t="n">
        <f aca="false">Ipotesi!J7</f>
        <v>1</v>
      </c>
      <c r="H437" s="15" t="n">
        <f aca="false">Ipotesi!J9</f>
        <v>1</v>
      </c>
      <c r="I437" s="15" t="n">
        <f aca="false">Ipotesi!J10</f>
        <v>1</v>
      </c>
      <c r="J437" s="15" t="n">
        <f aca="false">Ipotesi!J11</f>
        <v>1</v>
      </c>
      <c r="K437" s="15" t="n">
        <f aca="false">Ipotesi!J12</f>
        <v>1</v>
      </c>
      <c r="L437" s="15" t="n">
        <f aca="false">Ipotesi!J13</f>
        <v>90</v>
      </c>
      <c r="M437" s="17" t="n">
        <f aca="false">INDEX(Ipotesi!$C$40:$G$40,1,F437)</f>
        <v>1</v>
      </c>
      <c r="N437" s="17" t="n">
        <f aca="false">INDEX(Ipotesi!$C$41:$G$41,1,F437)</f>
        <v>1</v>
      </c>
      <c r="O437" s="17" t="n">
        <f aca="false">INDEX(Ipotesi!$C$42:$G$42,1,F437)*Ipotesi!J125</f>
        <v>2.5</v>
      </c>
      <c r="P437" s="17" t="n">
        <f aca="false">INDEX(Ipotesi!$C$43:$G$43,1,F437)*I437</f>
        <v>2.5</v>
      </c>
      <c r="Q437" s="17" t="n">
        <f aca="false">INDEX(Ipotesi!$C$44:$G$44,1,F437)*I437</f>
        <v>1.5</v>
      </c>
      <c r="R437" s="17" t="n">
        <f aca="false">INDEX(Ipotesi!$C$45:$G$45,1,F437)*I437</f>
        <v>0.5</v>
      </c>
      <c r="S437" s="17" t="n">
        <f aca="false">INDEX(Ipotesi!$C$52:$G$52,1,F437)*Ipotesi!J125</f>
        <v>3</v>
      </c>
      <c r="T437" s="17" t="n">
        <f aca="false">INDEX(Ipotesi!$C$53:$G$53,1,F437)*I437</f>
        <v>1</v>
      </c>
      <c r="U437" s="17" t="n">
        <f aca="false">INDEX(Ipotesi!$C$54:$G$54,1,F437)*I437</f>
        <v>0</v>
      </c>
      <c r="V437" s="15" t="n">
        <f aca="false">M437*INDEX(Ipotesi!$C$58:$G$58,1,F437)*K437/12</f>
        <v>5000</v>
      </c>
      <c r="W437" s="15" t="n">
        <f aca="false">N437*Ipotesi!$C$59*(1+Ipotesi!$C$66)^(F437-1)/12</f>
        <v>6008.33333333333</v>
      </c>
      <c r="X437" s="15" t="n">
        <f aca="false">O437*Ipotesi!$C$60*(1+Ipotesi!$C$66)^(F437-1)/12</f>
        <v>10729.1666666667</v>
      </c>
      <c r="Y437" s="15" t="n">
        <f aca="false">P437*Ipotesi!$C$61*(1+Ipotesi!$C$66)^(F437-1)/12</f>
        <v>10729.1666666667</v>
      </c>
      <c r="Z437" s="15" t="n">
        <f aca="false">Q437*Ipotesi!$C$62*(1+Ipotesi!$C$66)^(F437-1)/12</f>
        <v>5793.75</v>
      </c>
      <c r="AA437" s="15" t="n">
        <f aca="false">R437*Ipotesi!$C$63*(1+Ipotesi!$C$66)^(F437-1)/12</f>
        <v>1502.08333333333</v>
      </c>
      <c r="AB437" s="15" t="n">
        <f aca="false">SUM(V437:AA437)</f>
        <v>39762.5</v>
      </c>
      <c r="AC437" s="15" t="n">
        <f aca="false">(S437*Ipotesi!$C$64+T437*Ipotesi!$C$65+U437*Ipotesi!$C$63)*(1+Ipotesi!$C$66)^(F437-1)/12</f>
        <v>15965</v>
      </c>
      <c r="AD437" s="15" t="n">
        <f aca="false">INDEX(Ipotesi!$C$48:$G$48,1,F437)*G437/12</f>
        <v>37.5</v>
      </c>
      <c r="AE437" s="15" t="n">
        <f aca="false">INDEX(Ipotesi!$C$50:$G$50,1,F437)*G437/12</f>
        <v>4.58333333333333</v>
      </c>
      <c r="AF437" s="15" t="n">
        <f aca="false">(S437*Parametri_v3!$C$7*Parametri_v3!$C$8+Parametri_v3!$C$10)/12</f>
        <v>38.5</v>
      </c>
      <c r="AG437" s="15" t="n">
        <f aca="false">AD437+AE437*(1+Parametri_v3!$C$9)</f>
        <v>44.375</v>
      </c>
      <c r="AH437" s="16" t="n">
        <f aca="false">IF(AG437=0,1,MIN(1,AF437/AG437))</f>
        <v>0.867605633802817</v>
      </c>
      <c r="AI437" s="15" t="n">
        <f aca="false">AD437*AH437</f>
        <v>32.5352112676056</v>
      </c>
      <c r="AJ437" s="15" t="n">
        <f aca="false">AE437*AH437</f>
        <v>3.97652582159624</v>
      </c>
      <c r="AK437" s="15" t="n">
        <f aca="false">AI437*INDEX(Ipotesi!$C$49:$G$49,1,F437)*H437</f>
        <v>26028.1690140845</v>
      </c>
      <c r="AL437" s="15" t="n">
        <f aca="false">AJ437*INDEX(Ipotesi!$C$51:$G$51,1,F437)*H437</f>
        <v>7953.05164319249</v>
      </c>
      <c r="AM437" s="15" t="n">
        <f aca="false">AK437+AL437</f>
        <v>33981.220657277</v>
      </c>
      <c r="AN437" s="15" t="n">
        <f aca="false">INDEX(Ipotesi!$C$30:$G$30,1,F437)*G437/12</f>
        <v>22.5</v>
      </c>
      <c r="AO437" s="15" t="n">
        <f aca="false">O437*Parametri_v3!$C$7*Parametri_v3!$C$11*(1-Parametri_v3!$C$14)/12</f>
        <v>25.6666666666667</v>
      </c>
      <c r="AP437" s="15" t="n">
        <f aca="false">MIN(AN437,AO437)</f>
        <v>22.5</v>
      </c>
      <c r="AQ437" s="15" t="n">
        <f aca="false">AP437*INDEX(Ipotesi!$C$31:$G$31,1,F437)*H437</f>
        <v>21375</v>
      </c>
      <c r="AR437" s="15" t="n">
        <f aca="false">INDEX(Ipotesi!$C$75:$G$75,1,F437)*J437/12</f>
        <v>4583.33333333333</v>
      </c>
      <c r="AS437" s="15" t="n">
        <f aca="false">INDEX(Ipotesi!$C$81:$G$81,1,F437)*J437/12</f>
        <v>833.333333333333</v>
      </c>
      <c r="AT437" s="15" t="n">
        <f aca="false">AR437*Parametri_v3!$C$15+Z437*Parametri_v3!$C$16</f>
        <v>8638.95833333333</v>
      </c>
      <c r="AU437" s="15" t="n">
        <f aca="false">Q437*Parametri_v3!$C$16*Parametri_v3!$C$17</f>
        <v>105</v>
      </c>
      <c r="AV437" s="17" t="n">
        <f aca="false">BD436</f>
        <v>5</v>
      </c>
      <c r="AW437" s="17" t="n">
        <f aca="false">AV437*(1-(1-INDEX(Ipotesi!$C$34:$G$34,1,F437))^(1/12))</f>
        <v>0.0437080547734836</v>
      </c>
      <c r="AX437" s="15" t="n">
        <f aca="false">ROUND(INDEX(Ipotesi!$C$32:$G$32,1,F437)*Ipotesi!J8,0)</f>
        <v>35</v>
      </c>
      <c r="AY437" s="15" t="n">
        <f aca="false">MAX(0,(AX437-(AV437-AW437))/(13-E437))</f>
        <v>2.50364233789779</v>
      </c>
      <c r="AZ437" s="15" t="n">
        <f aca="false">MIN(P437*Parametri_v3!$C$22,Q437*(1-Parametri_v3!$C$16)*Parametri_v3!$C$23)</f>
        <v>67.5</v>
      </c>
      <c r="BA437" s="15" t="n">
        <f aca="false">IF(OR(INDEX(Ipotesi!$C$35:$G$35,1,F437)&lt;=0,13-Parametri_v3!$C$21&lt;1),0,INDEX($AT$425:$AT$484,MAX(1,13-Parametri_v3!$C$21))/(INDEX(Ipotesi!$C$35:$G$35,1,F437)*Ipotesi!J27))</f>
        <v>1.13194444444444</v>
      </c>
      <c r="BB437" s="15" t="n">
        <f aca="false">IF(13-Parametri_v3!$C$21&lt;1,0,INDEX($AU$425:$AU$484,MAX(1,13-Parametri_v3!$C$21)))*Parametri_v3!$C$18*Parametri_v3!$C$19*Parametri_v3!$C$20</f>
        <v>1.3125</v>
      </c>
      <c r="BC437" s="17" t="n">
        <f aca="false">MAX(0,MIN(AY437,BA437,BB437,MAX(0,AZ437-(AV437-AW437))))</f>
        <v>1.13194444444444</v>
      </c>
      <c r="BD437" s="17" t="n">
        <f aca="false">AV437-AW437+BC437</f>
        <v>6.08823638967096</v>
      </c>
      <c r="BE437" s="17" t="n">
        <f aca="false">(AV437+BD437)/2</f>
        <v>5.54411819483548</v>
      </c>
      <c r="BF437" s="15" t="n">
        <f aca="false">BE437*INDEX(Ipotesi!$C$33:$G$33,1,F437)*H437/12</f>
        <v>1848.03939827849</v>
      </c>
      <c r="BG437" s="15" t="n">
        <f aca="false">BD437*INDEX(Ipotesi!$C$33:$G$33,1,F437)*H437</f>
        <v>24352.9455586838</v>
      </c>
      <c r="BH437" s="15" t="n">
        <f aca="false">AM437*INDEX(Ipotesi!$C$37:$G$37,1,F437)</f>
        <v>3398.1220657277</v>
      </c>
      <c r="BI437" s="15" t="n">
        <f aca="false">AQ437+BF437+BH437</f>
        <v>26621.1614640062</v>
      </c>
      <c r="BJ437" s="15" t="n">
        <f aca="false">INDEX(Ipotesi!$C$68:$G$68,1,F437)*Ipotesi!$C$69/12</f>
        <v>1600</v>
      </c>
      <c r="BK437" s="15" t="n">
        <f aca="false">INDEX(Ipotesi!$C$68:$G$68,1,F437)*(1-Ipotesi!$C$69)/12</f>
        <v>2400</v>
      </c>
      <c r="BL437" s="15" t="n">
        <f aca="false">(AQ437+BF437)*Ipotesi!$C$67</f>
        <v>696.691181948355</v>
      </c>
      <c r="BM437" s="15" t="n">
        <f aca="false">AM437*Ipotesi!$C$67</f>
        <v>1019.43661971831</v>
      </c>
      <c r="BN437" s="15" t="n">
        <f aca="false">INDEX(Ipotesi!$C$72:$G$72,1,F437)/12*Ipotesi!J126+BF437*Ipotesi!$C$73</f>
        <v>1397.84315186228</v>
      </c>
      <c r="BO437" s="15" t="n">
        <f aca="false">INDEX(Ipotesi!$C$74:$G$74,1,F437)/12*Ipotesi!J126</f>
        <v>1833.33333333333</v>
      </c>
      <c r="BP437" s="15" t="n">
        <f aca="false">INDEX(Ipotesi!$C$76:$G$76,1,F437)/12</f>
        <v>750</v>
      </c>
      <c r="BQ437" s="15" t="n">
        <f aca="false">INDEX(Ipotesi!$C$77:$G$77,1,F437)/12*Ipotesi!J126</f>
        <v>1666.66666666667</v>
      </c>
      <c r="BR437" s="15" t="n">
        <f aca="false">INDEX(Ipotesi!$C$78:$G$78,1,F437)/12</f>
        <v>1250</v>
      </c>
      <c r="BS437" s="15" t="n">
        <f aca="false">SUM(M437:R437)*(Ipotesi!$C$85+Ipotesi!$C$86)/12</f>
        <v>2625</v>
      </c>
      <c r="BT437" s="15" t="n">
        <f aca="false">BI437*Ipotesi!$C$87</f>
        <v>798.634843920186</v>
      </c>
      <c r="BU437" s="15" t="n">
        <f aca="false">INDEX(Ipotesi!$C$55:$G$55,1,F437)*K437/12</f>
        <v>1000</v>
      </c>
      <c r="BV437" s="15" t="n">
        <f aca="false">INDEX(Ipotesi!$C$80:$G$80,1,F437)/12*Ipotesi!J126</f>
        <v>833.333333333333</v>
      </c>
      <c r="BW437" s="15" t="n">
        <f aca="false">INDEX(Ipotesi!$C$82:$G$82,1,F437)/12</f>
        <v>666.666666666667</v>
      </c>
      <c r="BX437" s="15" t="n">
        <f aca="false">INDEX(Ipotesi!$C$83:$G$83,1,F437)/12</f>
        <v>583.333333333333</v>
      </c>
      <c r="BY437" s="15" t="n">
        <f aca="false">SUM(S437:U437)*(Ipotesi!$C$85+Ipotesi!$C$86)/12</f>
        <v>1166.66666666667</v>
      </c>
      <c r="BZ437" s="15" t="n">
        <f aca="false">AM437*Ipotesi!$C$87</f>
        <v>1019.43661971831</v>
      </c>
      <c r="CA437" s="15" t="n">
        <f aca="false">AB437+BJ437+BL437+BN437+BO437+AR437+BP437+BQ437+BR437+BS437+BT437</f>
        <v>56964.0025110642</v>
      </c>
      <c r="CB437" s="15" t="n">
        <f aca="false">AC437+BK437+BM437+BH437+BU437+BV437+AS437+BW437+BX437+BY437+BZ437</f>
        <v>28885.3286384976</v>
      </c>
      <c r="CC437" s="15" t="n">
        <f aca="false">BI437-CA437</f>
        <v>-30342.841047058</v>
      </c>
      <c r="CD437" s="15" t="n">
        <f aca="false">AM437-CB437</f>
        <v>5095.89201877934</v>
      </c>
      <c r="CE437" s="15" t="n">
        <f aca="false">INDEX(Ipotesi!$C$79:$G$79,1,F437)/12</f>
        <v>2083.33333333333</v>
      </c>
      <c r="CF437" s="15" t="n">
        <f aca="false">INDEX(Ipotesi!$C$84:$G$84,1,F437)/12</f>
        <v>416.666666666667</v>
      </c>
      <c r="CG437" s="15" t="n">
        <f aca="false">Y437*MAX(0,Parametri_v3!$C$12-IF(P437=0,0,MIN(1,BE437/(P437*Parametri_v3!$C$22))))+W437*Parametri_v3!$C$13+X437*Parametri_v3!$C$14</f>
        <v>15641.2315941383</v>
      </c>
      <c r="CH437" s="15" t="n">
        <f aca="false">AB437*Parametri_v3!$C$32</f>
        <v>1988.125</v>
      </c>
      <c r="CI437" s="15" t="n">
        <f aca="false">AC437*Parametri_v3!$C$32</f>
        <v>798.25</v>
      </c>
      <c r="CJ437" s="15" t="n">
        <f aca="false">CA437-AB437</f>
        <v>17201.5025110642</v>
      </c>
      <c r="CK437" s="15" t="n">
        <f aca="false">CB437-AC437-BH437</f>
        <v>9522.20657276995</v>
      </c>
      <c r="CL437" s="15" t="n">
        <f aca="false">BF437*Ipotesi!$C$73+INDEX(Ipotesi!$C$72:$G$72,1,F437)/12*Ipotesi!J126*Parametri_v3!$C$58+Z437*(1-Parametri_v3!$C$16)</f>
        <v>3135.96815186228</v>
      </c>
      <c r="CM437" s="16" t="n">
        <f aca="false">IF(BF437=0,0,1-CL437/BF437)</f>
        <v>-0.696916285866812</v>
      </c>
    </row>
    <row r="438" customFormat="false" ht="18" hidden="false" customHeight="true" outlineLevel="0" collapsed="false">
      <c r="A438" s="68" t="n">
        <f aca="false">8</f>
        <v>8</v>
      </c>
      <c r="B438" s="68" t="n">
        <f aca="false">14</f>
        <v>14</v>
      </c>
      <c r="C438" s="18" t="n">
        <f aca="false">EDATE(Parametri_v3!$C$5,14-1)</f>
        <v>46784</v>
      </c>
      <c r="D438" s="68" t="n">
        <f aca="false">YEAR(C438)</f>
        <v>2028</v>
      </c>
      <c r="E438" s="68" t="n">
        <f aca="false">MONTH(C438)</f>
        <v>2</v>
      </c>
      <c r="F438" s="68" t="n">
        <f aca="false">INT((14-1)/12)+1</f>
        <v>2</v>
      </c>
      <c r="G438" s="15" t="n">
        <f aca="false">Ipotesi!J7</f>
        <v>1</v>
      </c>
      <c r="H438" s="15" t="n">
        <f aca="false">Ipotesi!J9</f>
        <v>1</v>
      </c>
      <c r="I438" s="15" t="n">
        <f aca="false">Ipotesi!J10</f>
        <v>1</v>
      </c>
      <c r="J438" s="15" t="n">
        <f aca="false">Ipotesi!J11</f>
        <v>1</v>
      </c>
      <c r="K438" s="15" t="n">
        <f aca="false">Ipotesi!J12</f>
        <v>1</v>
      </c>
      <c r="L438" s="15" t="n">
        <f aca="false">Ipotesi!J13</f>
        <v>90</v>
      </c>
      <c r="M438" s="17" t="n">
        <f aca="false">INDEX(Ipotesi!$C$40:$G$40,1,F438)</f>
        <v>1</v>
      </c>
      <c r="N438" s="17" t="n">
        <f aca="false">INDEX(Ipotesi!$C$41:$G$41,1,F438)</f>
        <v>1</v>
      </c>
      <c r="O438" s="17" t="n">
        <f aca="false">INDEX(Ipotesi!$C$42:$G$42,1,F438)*Ipotesi!J125</f>
        <v>2.5</v>
      </c>
      <c r="P438" s="17" t="n">
        <f aca="false">INDEX(Ipotesi!$C$43:$G$43,1,F438)*I438</f>
        <v>2.5</v>
      </c>
      <c r="Q438" s="17" t="n">
        <f aca="false">INDEX(Ipotesi!$C$44:$G$44,1,F438)*I438</f>
        <v>1.5</v>
      </c>
      <c r="R438" s="17" t="n">
        <f aca="false">INDEX(Ipotesi!$C$45:$G$45,1,F438)*I438</f>
        <v>0.5</v>
      </c>
      <c r="S438" s="17" t="n">
        <f aca="false">INDEX(Ipotesi!$C$52:$G$52,1,F438)*Ipotesi!J125</f>
        <v>3</v>
      </c>
      <c r="T438" s="17" t="n">
        <f aca="false">INDEX(Ipotesi!$C$53:$G$53,1,F438)*I438</f>
        <v>1</v>
      </c>
      <c r="U438" s="17" t="n">
        <f aca="false">INDEX(Ipotesi!$C$54:$G$54,1,F438)*I438</f>
        <v>0</v>
      </c>
      <c r="V438" s="15" t="n">
        <f aca="false">M438*INDEX(Ipotesi!$C$58:$G$58,1,F438)*K438/12</f>
        <v>5000</v>
      </c>
      <c r="W438" s="15" t="n">
        <f aca="false">N438*Ipotesi!$C$59*(1+Ipotesi!$C$66)^(F438-1)/12</f>
        <v>6008.33333333333</v>
      </c>
      <c r="X438" s="15" t="n">
        <f aca="false">O438*Ipotesi!$C$60*(1+Ipotesi!$C$66)^(F438-1)/12</f>
        <v>10729.1666666667</v>
      </c>
      <c r="Y438" s="15" t="n">
        <f aca="false">P438*Ipotesi!$C$61*(1+Ipotesi!$C$66)^(F438-1)/12</f>
        <v>10729.1666666667</v>
      </c>
      <c r="Z438" s="15" t="n">
        <f aca="false">Q438*Ipotesi!$C$62*(1+Ipotesi!$C$66)^(F438-1)/12</f>
        <v>5793.75</v>
      </c>
      <c r="AA438" s="15" t="n">
        <f aca="false">R438*Ipotesi!$C$63*(1+Ipotesi!$C$66)^(F438-1)/12</f>
        <v>1502.08333333333</v>
      </c>
      <c r="AB438" s="15" t="n">
        <f aca="false">SUM(V438:AA438)</f>
        <v>39762.5</v>
      </c>
      <c r="AC438" s="15" t="n">
        <f aca="false">(S438*Ipotesi!$C$64+T438*Ipotesi!$C$65+U438*Ipotesi!$C$63)*(1+Ipotesi!$C$66)^(F438-1)/12</f>
        <v>15965</v>
      </c>
      <c r="AD438" s="15" t="n">
        <f aca="false">INDEX(Ipotesi!$C$48:$G$48,1,F438)*G438/12</f>
        <v>37.5</v>
      </c>
      <c r="AE438" s="15" t="n">
        <f aca="false">INDEX(Ipotesi!$C$50:$G$50,1,F438)*G438/12</f>
        <v>4.58333333333333</v>
      </c>
      <c r="AF438" s="15" t="n">
        <f aca="false">(S438*Parametri_v3!$C$7*Parametri_v3!$C$8+Parametri_v3!$C$10)/12</f>
        <v>38.5</v>
      </c>
      <c r="AG438" s="15" t="n">
        <f aca="false">AD438+AE438*(1+Parametri_v3!$C$9)</f>
        <v>44.375</v>
      </c>
      <c r="AH438" s="16" t="n">
        <f aca="false">IF(AG438=0,1,MIN(1,AF438/AG438))</f>
        <v>0.867605633802817</v>
      </c>
      <c r="AI438" s="15" t="n">
        <f aca="false">AD438*AH438</f>
        <v>32.5352112676056</v>
      </c>
      <c r="AJ438" s="15" t="n">
        <f aca="false">AE438*AH438</f>
        <v>3.97652582159624</v>
      </c>
      <c r="AK438" s="15" t="n">
        <f aca="false">AI438*INDEX(Ipotesi!$C$49:$G$49,1,F438)*H438</f>
        <v>26028.1690140845</v>
      </c>
      <c r="AL438" s="15" t="n">
        <f aca="false">AJ438*INDEX(Ipotesi!$C$51:$G$51,1,F438)*H438</f>
        <v>7953.05164319249</v>
      </c>
      <c r="AM438" s="15" t="n">
        <f aca="false">AK438+AL438</f>
        <v>33981.220657277</v>
      </c>
      <c r="AN438" s="15" t="n">
        <f aca="false">INDEX(Ipotesi!$C$30:$G$30,1,F438)*G438/12</f>
        <v>22.5</v>
      </c>
      <c r="AO438" s="15" t="n">
        <f aca="false">O438*Parametri_v3!$C$7*Parametri_v3!$C$11*(1-Parametri_v3!$C$14)/12</f>
        <v>25.6666666666667</v>
      </c>
      <c r="AP438" s="15" t="n">
        <f aca="false">MIN(AN438,AO438)</f>
        <v>22.5</v>
      </c>
      <c r="AQ438" s="15" t="n">
        <f aca="false">AP438*INDEX(Ipotesi!$C$31:$G$31,1,F438)*H438</f>
        <v>21375</v>
      </c>
      <c r="AR438" s="15" t="n">
        <f aca="false">INDEX(Ipotesi!$C$75:$G$75,1,F438)*J438/12</f>
        <v>4583.33333333333</v>
      </c>
      <c r="AS438" s="15" t="n">
        <f aca="false">INDEX(Ipotesi!$C$81:$G$81,1,F438)*J438/12</f>
        <v>833.333333333333</v>
      </c>
      <c r="AT438" s="15" t="n">
        <f aca="false">AR438*Parametri_v3!$C$15+Z438*Parametri_v3!$C$16</f>
        <v>8638.95833333333</v>
      </c>
      <c r="AU438" s="15" t="n">
        <f aca="false">Q438*Parametri_v3!$C$16*Parametri_v3!$C$17</f>
        <v>105</v>
      </c>
      <c r="AV438" s="17" t="n">
        <f aca="false">BD437</f>
        <v>6.08823638967096</v>
      </c>
      <c r="AW438" s="17" t="n">
        <f aca="false">AV438*(1-(1-INDEX(Ipotesi!$C$34:$G$34,1,F438))^(1/12))</f>
        <v>0.0532209939187309</v>
      </c>
      <c r="AX438" s="15" t="n">
        <f aca="false">ROUND(INDEX(Ipotesi!$C$32:$G$32,1,F438)*Ipotesi!J8,0)</f>
        <v>35</v>
      </c>
      <c r="AY438" s="15" t="n">
        <f aca="false">MAX(0,(AX438-(AV438-AW438))/(13-E438))</f>
        <v>2.63318041856798</v>
      </c>
      <c r="AZ438" s="15" t="n">
        <f aca="false">MIN(P438*Parametri_v3!$C$22,Q438*(1-Parametri_v3!$C$16)*Parametri_v3!$C$23)</f>
        <v>67.5</v>
      </c>
      <c r="BA438" s="15" t="n">
        <f aca="false">IF(OR(INDEX(Ipotesi!$C$35:$G$35,1,F438)&lt;=0,14-Parametri_v3!$C$21&lt;1),0,INDEX($AT$425:$AT$484,MAX(1,14-Parametri_v3!$C$21))/(INDEX(Ipotesi!$C$35:$G$35,1,F438)*Ipotesi!J27))</f>
        <v>1.13194444444444</v>
      </c>
      <c r="BB438" s="15" t="n">
        <f aca="false">IF(14-Parametri_v3!$C$21&lt;1,0,INDEX($AU$425:$AU$484,MAX(1,14-Parametri_v3!$C$21)))*Parametri_v3!$C$18*Parametri_v3!$C$19*Parametri_v3!$C$20</f>
        <v>1.3125</v>
      </c>
      <c r="BC438" s="17" t="n">
        <f aca="false">MAX(0,MIN(AY438,BA438,BB438,MAX(0,AZ438-(AV438-AW438))))</f>
        <v>1.13194444444444</v>
      </c>
      <c r="BD438" s="17" t="n">
        <f aca="false">AV438-AW438+BC438</f>
        <v>7.16695984019667</v>
      </c>
      <c r="BE438" s="17" t="n">
        <f aca="false">(AV438+BD438)/2</f>
        <v>6.62759811493382</v>
      </c>
      <c r="BF438" s="15" t="n">
        <f aca="false">BE438*INDEX(Ipotesi!$C$33:$G$33,1,F438)*H438/12</f>
        <v>2209.19937164461</v>
      </c>
      <c r="BG438" s="15" t="n">
        <f aca="false">BD438*INDEX(Ipotesi!$C$33:$G$33,1,F438)*H438</f>
        <v>28667.8393607867</v>
      </c>
      <c r="BH438" s="15" t="n">
        <f aca="false">AM438*INDEX(Ipotesi!$C$37:$G$37,1,F438)</f>
        <v>3398.1220657277</v>
      </c>
      <c r="BI438" s="15" t="n">
        <f aca="false">AQ438+BF438+BH438</f>
        <v>26982.3214373723</v>
      </c>
      <c r="BJ438" s="15" t="n">
        <f aca="false">INDEX(Ipotesi!$C$68:$G$68,1,F438)*Ipotesi!$C$69/12</f>
        <v>1600</v>
      </c>
      <c r="BK438" s="15" t="n">
        <f aca="false">INDEX(Ipotesi!$C$68:$G$68,1,F438)*(1-Ipotesi!$C$69)/12</f>
        <v>2400</v>
      </c>
      <c r="BL438" s="15" t="n">
        <f aca="false">(AQ438+BF438)*Ipotesi!$C$67</f>
        <v>707.525981149338</v>
      </c>
      <c r="BM438" s="15" t="n">
        <f aca="false">AM438*Ipotesi!$C$67</f>
        <v>1019.43661971831</v>
      </c>
      <c r="BN438" s="15" t="n">
        <f aca="false">INDEX(Ipotesi!$C$72:$G$72,1,F438)/12*Ipotesi!J126+BF438*Ipotesi!$C$73</f>
        <v>1426.73594973157</v>
      </c>
      <c r="BO438" s="15" t="n">
        <f aca="false">INDEX(Ipotesi!$C$74:$G$74,1,F438)/12*Ipotesi!J126</f>
        <v>1833.33333333333</v>
      </c>
      <c r="BP438" s="15" t="n">
        <f aca="false">INDEX(Ipotesi!$C$76:$G$76,1,F438)/12</f>
        <v>750</v>
      </c>
      <c r="BQ438" s="15" t="n">
        <f aca="false">INDEX(Ipotesi!$C$77:$G$77,1,F438)/12*Ipotesi!J126</f>
        <v>1666.66666666667</v>
      </c>
      <c r="BR438" s="15" t="n">
        <f aca="false">INDEX(Ipotesi!$C$78:$G$78,1,F438)/12</f>
        <v>1250</v>
      </c>
      <c r="BS438" s="15" t="n">
        <f aca="false">SUM(M438:R438)*(Ipotesi!$C$85+Ipotesi!$C$86)/12</f>
        <v>2625</v>
      </c>
      <c r="BT438" s="15" t="n">
        <f aca="false">BI438*Ipotesi!$C$87</f>
        <v>809.469643121169</v>
      </c>
      <c r="BU438" s="15" t="n">
        <f aca="false">INDEX(Ipotesi!$C$55:$G$55,1,F438)*K438/12</f>
        <v>1000</v>
      </c>
      <c r="BV438" s="15" t="n">
        <f aca="false">INDEX(Ipotesi!$C$80:$G$80,1,F438)/12*Ipotesi!J126</f>
        <v>833.333333333333</v>
      </c>
      <c r="BW438" s="15" t="n">
        <f aca="false">INDEX(Ipotesi!$C$82:$G$82,1,F438)/12</f>
        <v>666.666666666667</v>
      </c>
      <c r="BX438" s="15" t="n">
        <f aca="false">INDEX(Ipotesi!$C$83:$G$83,1,F438)/12</f>
        <v>583.333333333333</v>
      </c>
      <c r="BY438" s="15" t="n">
        <f aca="false">SUM(S438:U438)*(Ipotesi!$C$85+Ipotesi!$C$86)/12</f>
        <v>1166.66666666667</v>
      </c>
      <c r="BZ438" s="15" t="n">
        <f aca="false">AM438*Ipotesi!$C$87</f>
        <v>1019.43661971831</v>
      </c>
      <c r="CA438" s="15" t="n">
        <f aca="false">AB438+BJ438+BL438+BN438+BO438+AR438+BP438+BQ438+BR438+BS438+BT438</f>
        <v>57014.5649073354</v>
      </c>
      <c r="CB438" s="15" t="n">
        <f aca="false">AC438+BK438+BM438+BH438+BU438+BV438+AS438+BW438+BX438+BY438+BZ438</f>
        <v>28885.3286384976</v>
      </c>
      <c r="CC438" s="15" t="n">
        <f aca="false">BI438-CA438</f>
        <v>-30032.2434699631</v>
      </c>
      <c r="CD438" s="15" t="n">
        <f aca="false">AM438-CB438</f>
        <v>5095.89201877934</v>
      </c>
      <c r="CE438" s="15" t="n">
        <f aca="false">INDEX(Ipotesi!$C$79:$G$79,1,F438)/12</f>
        <v>2083.33333333333</v>
      </c>
      <c r="CF438" s="15" t="n">
        <f aca="false">INDEX(Ipotesi!$C$84:$G$84,1,F438)/12</f>
        <v>416.666666666667</v>
      </c>
      <c r="CG438" s="15" t="n">
        <f aca="false">Y438*MAX(0,Parametri_v3!$C$12-IF(P438=0,0,MIN(1,BE438/(P438*Parametri_v3!$C$22))))+W438*Parametri_v3!$C$13+X438*Parametri_v3!$C$14</f>
        <v>15594.7322475674</v>
      </c>
      <c r="CH438" s="15" t="n">
        <f aca="false">AB438*Parametri_v3!$C$32</f>
        <v>1988.125</v>
      </c>
      <c r="CI438" s="15" t="n">
        <f aca="false">AC438*Parametri_v3!$C$32</f>
        <v>798.25</v>
      </c>
      <c r="CJ438" s="15" t="n">
        <f aca="false">CA438-AB438</f>
        <v>17252.0649073354</v>
      </c>
      <c r="CK438" s="15" t="n">
        <f aca="false">CB438-AC438-BH438</f>
        <v>9522.20657276995</v>
      </c>
      <c r="CL438" s="15" t="n">
        <f aca="false">BF438*Ipotesi!$C$73+INDEX(Ipotesi!$C$72:$G$72,1,F438)/12*Ipotesi!J126*Parametri_v3!$C$58+Z438*(1-Parametri_v3!$C$16)</f>
        <v>3164.86094973157</v>
      </c>
      <c r="CM438" s="16" t="n">
        <f aca="false">IF(BF438=0,0,1-CL438/BF438)</f>
        <v>-0.4325827674736</v>
      </c>
    </row>
    <row r="439" customFormat="false" ht="18" hidden="false" customHeight="true" outlineLevel="0" collapsed="false">
      <c r="A439" s="68" t="n">
        <f aca="false">8</f>
        <v>8</v>
      </c>
      <c r="B439" s="68" t="n">
        <f aca="false">15</f>
        <v>15</v>
      </c>
      <c r="C439" s="18" t="n">
        <f aca="false">EDATE(Parametri_v3!$C$5,15-1)</f>
        <v>46813</v>
      </c>
      <c r="D439" s="68" t="n">
        <f aca="false">YEAR(C439)</f>
        <v>2028</v>
      </c>
      <c r="E439" s="68" t="n">
        <f aca="false">MONTH(C439)</f>
        <v>3</v>
      </c>
      <c r="F439" s="68" t="n">
        <f aca="false">INT((15-1)/12)+1</f>
        <v>2</v>
      </c>
      <c r="G439" s="15" t="n">
        <f aca="false">Ipotesi!J7</f>
        <v>1</v>
      </c>
      <c r="H439" s="15" t="n">
        <f aca="false">Ipotesi!J9</f>
        <v>1</v>
      </c>
      <c r="I439" s="15" t="n">
        <f aca="false">Ipotesi!J10</f>
        <v>1</v>
      </c>
      <c r="J439" s="15" t="n">
        <f aca="false">Ipotesi!J11</f>
        <v>1</v>
      </c>
      <c r="K439" s="15" t="n">
        <f aca="false">Ipotesi!J12</f>
        <v>1</v>
      </c>
      <c r="L439" s="15" t="n">
        <f aca="false">Ipotesi!J13</f>
        <v>90</v>
      </c>
      <c r="M439" s="17" t="n">
        <f aca="false">INDEX(Ipotesi!$C$40:$G$40,1,F439)</f>
        <v>1</v>
      </c>
      <c r="N439" s="17" t="n">
        <f aca="false">INDEX(Ipotesi!$C$41:$G$41,1,F439)</f>
        <v>1</v>
      </c>
      <c r="O439" s="17" t="n">
        <f aca="false">INDEX(Ipotesi!$C$42:$G$42,1,F439)*Ipotesi!J125</f>
        <v>2.5</v>
      </c>
      <c r="P439" s="17" t="n">
        <f aca="false">INDEX(Ipotesi!$C$43:$G$43,1,F439)*I439</f>
        <v>2.5</v>
      </c>
      <c r="Q439" s="17" t="n">
        <f aca="false">INDEX(Ipotesi!$C$44:$G$44,1,F439)*I439</f>
        <v>1.5</v>
      </c>
      <c r="R439" s="17" t="n">
        <f aca="false">INDEX(Ipotesi!$C$45:$G$45,1,F439)*I439</f>
        <v>0.5</v>
      </c>
      <c r="S439" s="17" t="n">
        <f aca="false">INDEX(Ipotesi!$C$52:$G$52,1,F439)*Ipotesi!J125</f>
        <v>3</v>
      </c>
      <c r="T439" s="17" t="n">
        <f aca="false">INDEX(Ipotesi!$C$53:$G$53,1,F439)*I439</f>
        <v>1</v>
      </c>
      <c r="U439" s="17" t="n">
        <f aca="false">INDEX(Ipotesi!$C$54:$G$54,1,F439)*I439</f>
        <v>0</v>
      </c>
      <c r="V439" s="15" t="n">
        <f aca="false">M439*INDEX(Ipotesi!$C$58:$G$58,1,F439)*K439/12</f>
        <v>5000</v>
      </c>
      <c r="W439" s="15" t="n">
        <f aca="false">N439*Ipotesi!$C$59*(1+Ipotesi!$C$66)^(F439-1)/12</f>
        <v>6008.33333333333</v>
      </c>
      <c r="X439" s="15" t="n">
        <f aca="false">O439*Ipotesi!$C$60*(1+Ipotesi!$C$66)^(F439-1)/12</f>
        <v>10729.1666666667</v>
      </c>
      <c r="Y439" s="15" t="n">
        <f aca="false">P439*Ipotesi!$C$61*(1+Ipotesi!$C$66)^(F439-1)/12</f>
        <v>10729.1666666667</v>
      </c>
      <c r="Z439" s="15" t="n">
        <f aca="false">Q439*Ipotesi!$C$62*(1+Ipotesi!$C$66)^(F439-1)/12</f>
        <v>5793.75</v>
      </c>
      <c r="AA439" s="15" t="n">
        <f aca="false">R439*Ipotesi!$C$63*(1+Ipotesi!$C$66)^(F439-1)/12</f>
        <v>1502.08333333333</v>
      </c>
      <c r="AB439" s="15" t="n">
        <f aca="false">SUM(V439:AA439)</f>
        <v>39762.5</v>
      </c>
      <c r="AC439" s="15" t="n">
        <f aca="false">(S439*Ipotesi!$C$64+T439*Ipotesi!$C$65+U439*Ipotesi!$C$63)*(1+Ipotesi!$C$66)^(F439-1)/12</f>
        <v>15965</v>
      </c>
      <c r="AD439" s="15" t="n">
        <f aca="false">INDEX(Ipotesi!$C$48:$G$48,1,F439)*G439/12</f>
        <v>37.5</v>
      </c>
      <c r="AE439" s="15" t="n">
        <f aca="false">INDEX(Ipotesi!$C$50:$G$50,1,F439)*G439/12</f>
        <v>4.58333333333333</v>
      </c>
      <c r="AF439" s="15" t="n">
        <f aca="false">(S439*Parametri_v3!$C$7*Parametri_v3!$C$8+Parametri_v3!$C$10)/12</f>
        <v>38.5</v>
      </c>
      <c r="AG439" s="15" t="n">
        <f aca="false">AD439+AE439*(1+Parametri_v3!$C$9)</f>
        <v>44.375</v>
      </c>
      <c r="AH439" s="16" t="n">
        <f aca="false">IF(AG439=0,1,MIN(1,AF439/AG439))</f>
        <v>0.867605633802817</v>
      </c>
      <c r="AI439" s="15" t="n">
        <f aca="false">AD439*AH439</f>
        <v>32.5352112676056</v>
      </c>
      <c r="AJ439" s="15" t="n">
        <f aca="false">AE439*AH439</f>
        <v>3.97652582159624</v>
      </c>
      <c r="AK439" s="15" t="n">
        <f aca="false">AI439*INDEX(Ipotesi!$C$49:$G$49,1,F439)*H439</f>
        <v>26028.1690140845</v>
      </c>
      <c r="AL439" s="15" t="n">
        <f aca="false">AJ439*INDEX(Ipotesi!$C$51:$G$51,1,F439)*H439</f>
        <v>7953.05164319249</v>
      </c>
      <c r="AM439" s="15" t="n">
        <f aca="false">AK439+AL439</f>
        <v>33981.220657277</v>
      </c>
      <c r="AN439" s="15" t="n">
        <f aca="false">INDEX(Ipotesi!$C$30:$G$30,1,F439)*G439/12</f>
        <v>22.5</v>
      </c>
      <c r="AO439" s="15" t="n">
        <f aca="false">O439*Parametri_v3!$C$7*Parametri_v3!$C$11*(1-Parametri_v3!$C$14)/12</f>
        <v>25.6666666666667</v>
      </c>
      <c r="AP439" s="15" t="n">
        <f aca="false">MIN(AN439,AO439)</f>
        <v>22.5</v>
      </c>
      <c r="AQ439" s="15" t="n">
        <f aca="false">AP439*INDEX(Ipotesi!$C$31:$G$31,1,F439)*H439</f>
        <v>21375</v>
      </c>
      <c r="AR439" s="15" t="n">
        <f aca="false">INDEX(Ipotesi!$C$75:$G$75,1,F439)*J439/12</f>
        <v>4583.33333333333</v>
      </c>
      <c r="AS439" s="15" t="n">
        <f aca="false">INDEX(Ipotesi!$C$81:$G$81,1,F439)*J439/12</f>
        <v>833.333333333333</v>
      </c>
      <c r="AT439" s="15" t="n">
        <f aca="false">AR439*Parametri_v3!$C$15+Z439*Parametri_v3!$C$16</f>
        <v>8638.95833333333</v>
      </c>
      <c r="AU439" s="15" t="n">
        <f aca="false">Q439*Parametri_v3!$C$16*Parametri_v3!$C$17</f>
        <v>105</v>
      </c>
      <c r="AV439" s="17" t="n">
        <f aca="false">BD438</f>
        <v>7.16695984019667</v>
      </c>
      <c r="AW439" s="17" t="n">
        <f aca="false">AV439*(1-(1-INDEX(Ipotesi!$C$34:$G$34,1,F439))^(1/12))</f>
        <v>0.0626507746509347</v>
      </c>
      <c r="AX439" s="15" t="n">
        <f aca="false">ROUND(INDEX(Ipotesi!$C$32:$G$32,1,F439)*Ipotesi!J8,0)</f>
        <v>35</v>
      </c>
      <c r="AY439" s="15" t="n">
        <f aca="false">MAX(0,(AX439-(AV439-AW439))/(13-E439))</f>
        <v>2.78956909344543</v>
      </c>
      <c r="AZ439" s="15" t="n">
        <f aca="false">MIN(P439*Parametri_v3!$C$22,Q439*(1-Parametri_v3!$C$16)*Parametri_v3!$C$23)</f>
        <v>67.5</v>
      </c>
      <c r="BA439" s="15" t="n">
        <f aca="false">IF(OR(INDEX(Ipotesi!$C$35:$G$35,1,F439)&lt;=0,15-Parametri_v3!$C$21&lt;1),0,INDEX($AT$425:$AT$484,MAX(1,15-Parametri_v3!$C$21))/(INDEX(Ipotesi!$C$35:$G$35,1,F439)*Ipotesi!J27))</f>
        <v>1.13194444444444</v>
      </c>
      <c r="BB439" s="15" t="n">
        <f aca="false">IF(15-Parametri_v3!$C$21&lt;1,0,INDEX($AU$425:$AU$484,MAX(1,15-Parametri_v3!$C$21)))*Parametri_v3!$C$18*Parametri_v3!$C$19*Parametri_v3!$C$20</f>
        <v>1.3125</v>
      </c>
      <c r="BC439" s="17" t="n">
        <f aca="false">MAX(0,MIN(AY439,BA439,BB439,MAX(0,AZ439-(AV439-AW439))))</f>
        <v>1.13194444444444</v>
      </c>
      <c r="BD439" s="17" t="n">
        <f aca="false">AV439-AW439+BC439</f>
        <v>8.23625350999018</v>
      </c>
      <c r="BE439" s="17" t="n">
        <f aca="false">(AV439+BD439)/2</f>
        <v>7.70160667509343</v>
      </c>
      <c r="BF439" s="15" t="n">
        <f aca="false">BE439*INDEX(Ipotesi!$C$33:$G$33,1,F439)*H439/12</f>
        <v>2567.20222503114</v>
      </c>
      <c r="BG439" s="15" t="n">
        <f aca="false">BD439*INDEX(Ipotesi!$C$33:$G$33,1,F439)*H439</f>
        <v>32945.0140399607</v>
      </c>
      <c r="BH439" s="15" t="n">
        <f aca="false">AM439*INDEX(Ipotesi!$C$37:$G$37,1,F439)</f>
        <v>3398.1220657277</v>
      </c>
      <c r="BI439" s="15" t="n">
        <f aca="false">AQ439+BF439+BH439</f>
        <v>27340.3242907588</v>
      </c>
      <c r="BJ439" s="15" t="n">
        <f aca="false">INDEX(Ipotesi!$C$68:$G$68,1,F439)*Ipotesi!$C$69/12</f>
        <v>1600</v>
      </c>
      <c r="BK439" s="15" t="n">
        <f aca="false">INDEX(Ipotesi!$C$68:$G$68,1,F439)*(1-Ipotesi!$C$69)/12</f>
        <v>2400</v>
      </c>
      <c r="BL439" s="15" t="n">
        <f aca="false">(AQ439+BF439)*Ipotesi!$C$67</f>
        <v>718.266066750934</v>
      </c>
      <c r="BM439" s="15" t="n">
        <f aca="false">AM439*Ipotesi!$C$67</f>
        <v>1019.43661971831</v>
      </c>
      <c r="BN439" s="15" t="n">
        <f aca="false">INDEX(Ipotesi!$C$72:$G$72,1,F439)/12*Ipotesi!J126+BF439*Ipotesi!$C$73</f>
        <v>1455.37617800249</v>
      </c>
      <c r="BO439" s="15" t="n">
        <f aca="false">INDEX(Ipotesi!$C$74:$G$74,1,F439)/12*Ipotesi!J126</f>
        <v>1833.33333333333</v>
      </c>
      <c r="BP439" s="15" t="n">
        <f aca="false">INDEX(Ipotesi!$C$76:$G$76,1,F439)/12</f>
        <v>750</v>
      </c>
      <c r="BQ439" s="15" t="n">
        <f aca="false">INDEX(Ipotesi!$C$77:$G$77,1,F439)/12*Ipotesi!J126</f>
        <v>1666.66666666667</v>
      </c>
      <c r="BR439" s="15" t="n">
        <f aca="false">INDEX(Ipotesi!$C$78:$G$78,1,F439)/12</f>
        <v>1250</v>
      </c>
      <c r="BS439" s="15" t="n">
        <f aca="false">SUM(M439:R439)*(Ipotesi!$C$85+Ipotesi!$C$86)/12</f>
        <v>2625</v>
      </c>
      <c r="BT439" s="15" t="n">
        <f aca="false">BI439*Ipotesi!$C$87</f>
        <v>820.209728722765</v>
      </c>
      <c r="BU439" s="15" t="n">
        <f aca="false">INDEX(Ipotesi!$C$55:$G$55,1,F439)*K439/12</f>
        <v>1000</v>
      </c>
      <c r="BV439" s="15" t="n">
        <f aca="false">INDEX(Ipotesi!$C$80:$G$80,1,F439)/12*Ipotesi!J126</f>
        <v>833.333333333333</v>
      </c>
      <c r="BW439" s="15" t="n">
        <f aca="false">INDEX(Ipotesi!$C$82:$G$82,1,F439)/12</f>
        <v>666.666666666667</v>
      </c>
      <c r="BX439" s="15" t="n">
        <f aca="false">INDEX(Ipotesi!$C$83:$G$83,1,F439)/12</f>
        <v>583.333333333333</v>
      </c>
      <c r="BY439" s="15" t="n">
        <f aca="false">SUM(S439:U439)*(Ipotesi!$C$85+Ipotesi!$C$86)/12</f>
        <v>1166.66666666667</v>
      </c>
      <c r="BZ439" s="15" t="n">
        <f aca="false">AM439*Ipotesi!$C$87</f>
        <v>1019.43661971831</v>
      </c>
      <c r="CA439" s="15" t="n">
        <f aca="false">AB439+BJ439+BL439+BN439+BO439+AR439+BP439+BQ439+BR439+BS439+BT439</f>
        <v>57064.6853068095</v>
      </c>
      <c r="CB439" s="15" t="n">
        <f aca="false">AC439+BK439+BM439+BH439+BU439+BV439+AS439+BW439+BX439+BY439+BZ439</f>
        <v>28885.3286384976</v>
      </c>
      <c r="CC439" s="15" t="n">
        <f aca="false">BI439-CA439</f>
        <v>-29724.3610160507</v>
      </c>
      <c r="CD439" s="15" t="n">
        <f aca="false">AM439-CB439</f>
        <v>5095.89201877934</v>
      </c>
      <c r="CE439" s="15" t="n">
        <f aca="false">INDEX(Ipotesi!$C$79:$G$79,1,F439)/12</f>
        <v>2083.33333333333</v>
      </c>
      <c r="CF439" s="15" t="n">
        <f aca="false">INDEX(Ipotesi!$C$84:$G$84,1,F439)/12</f>
        <v>416.666666666667</v>
      </c>
      <c r="CG439" s="15" t="n">
        <f aca="false">Y439*MAX(0,Parametri_v3!$C$12-IF(P439=0,0,MIN(1,BE439/(P439*Parametri_v3!$C$22))))+W439*Parametri_v3!$C$13+X439*Parametri_v3!$C$14</f>
        <v>15548.6393801939</v>
      </c>
      <c r="CH439" s="15" t="n">
        <f aca="false">AB439*Parametri_v3!$C$32</f>
        <v>1988.125</v>
      </c>
      <c r="CI439" s="15" t="n">
        <f aca="false">AC439*Parametri_v3!$C$32</f>
        <v>798.25</v>
      </c>
      <c r="CJ439" s="15" t="n">
        <f aca="false">CA439-AB439</f>
        <v>17302.1853068095</v>
      </c>
      <c r="CK439" s="15" t="n">
        <f aca="false">CB439-AC439-BH439</f>
        <v>9522.20657276995</v>
      </c>
      <c r="CL439" s="15" t="n">
        <f aca="false">BF439*Ipotesi!$C$73+INDEX(Ipotesi!$C$72:$G$72,1,F439)/12*Ipotesi!J126*Parametri_v3!$C$58+Z439*(1-Parametri_v3!$C$16)</f>
        <v>3193.50117800249</v>
      </c>
      <c r="CM439" s="16" t="n">
        <f aca="false">IF(BF439=0,0,1-CL439/BF439)</f>
        <v>-0.243961674255619</v>
      </c>
    </row>
    <row r="440" customFormat="false" ht="18" hidden="false" customHeight="true" outlineLevel="0" collapsed="false">
      <c r="A440" s="68" t="n">
        <f aca="false">8</f>
        <v>8</v>
      </c>
      <c r="B440" s="68" t="n">
        <f aca="false">16</f>
        <v>16</v>
      </c>
      <c r="C440" s="18" t="n">
        <f aca="false">EDATE(Parametri_v3!$C$5,16-1)</f>
        <v>46844</v>
      </c>
      <c r="D440" s="68" t="n">
        <f aca="false">YEAR(C440)</f>
        <v>2028</v>
      </c>
      <c r="E440" s="68" t="n">
        <f aca="false">MONTH(C440)</f>
        <v>4</v>
      </c>
      <c r="F440" s="68" t="n">
        <f aca="false">INT((16-1)/12)+1</f>
        <v>2</v>
      </c>
      <c r="G440" s="15" t="n">
        <f aca="false">Ipotesi!J7</f>
        <v>1</v>
      </c>
      <c r="H440" s="15" t="n">
        <f aca="false">Ipotesi!J9</f>
        <v>1</v>
      </c>
      <c r="I440" s="15" t="n">
        <f aca="false">Ipotesi!J10</f>
        <v>1</v>
      </c>
      <c r="J440" s="15" t="n">
        <f aca="false">Ipotesi!J11</f>
        <v>1</v>
      </c>
      <c r="K440" s="15" t="n">
        <f aca="false">Ipotesi!J12</f>
        <v>1</v>
      </c>
      <c r="L440" s="15" t="n">
        <f aca="false">Ipotesi!J13</f>
        <v>90</v>
      </c>
      <c r="M440" s="17" t="n">
        <f aca="false">INDEX(Ipotesi!$C$40:$G$40,1,F440)</f>
        <v>1</v>
      </c>
      <c r="N440" s="17" t="n">
        <f aca="false">INDEX(Ipotesi!$C$41:$G$41,1,F440)</f>
        <v>1</v>
      </c>
      <c r="O440" s="17" t="n">
        <f aca="false">INDEX(Ipotesi!$C$42:$G$42,1,F440)*Ipotesi!J125</f>
        <v>2.5</v>
      </c>
      <c r="P440" s="17" t="n">
        <f aca="false">INDEX(Ipotesi!$C$43:$G$43,1,F440)*I440</f>
        <v>2.5</v>
      </c>
      <c r="Q440" s="17" t="n">
        <f aca="false">INDEX(Ipotesi!$C$44:$G$44,1,F440)*I440</f>
        <v>1.5</v>
      </c>
      <c r="R440" s="17" t="n">
        <f aca="false">INDEX(Ipotesi!$C$45:$G$45,1,F440)*I440</f>
        <v>0.5</v>
      </c>
      <c r="S440" s="17" t="n">
        <f aca="false">INDEX(Ipotesi!$C$52:$G$52,1,F440)*Ipotesi!J125</f>
        <v>3</v>
      </c>
      <c r="T440" s="17" t="n">
        <f aca="false">INDEX(Ipotesi!$C$53:$G$53,1,F440)*I440</f>
        <v>1</v>
      </c>
      <c r="U440" s="17" t="n">
        <f aca="false">INDEX(Ipotesi!$C$54:$G$54,1,F440)*I440</f>
        <v>0</v>
      </c>
      <c r="V440" s="15" t="n">
        <f aca="false">M440*INDEX(Ipotesi!$C$58:$G$58,1,F440)*K440/12</f>
        <v>5000</v>
      </c>
      <c r="W440" s="15" t="n">
        <f aca="false">N440*Ipotesi!$C$59*(1+Ipotesi!$C$66)^(F440-1)/12</f>
        <v>6008.33333333333</v>
      </c>
      <c r="X440" s="15" t="n">
        <f aca="false">O440*Ipotesi!$C$60*(1+Ipotesi!$C$66)^(F440-1)/12</f>
        <v>10729.1666666667</v>
      </c>
      <c r="Y440" s="15" t="n">
        <f aca="false">P440*Ipotesi!$C$61*(1+Ipotesi!$C$66)^(F440-1)/12</f>
        <v>10729.1666666667</v>
      </c>
      <c r="Z440" s="15" t="n">
        <f aca="false">Q440*Ipotesi!$C$62*(1+Ipotesi!$C$66)^(F440-1)/12</f>
        <v>5793.75</v>
      </c>
      <c r="AA440" s="15" t="n">
        <f aca="false">R440*Ipotesi!$C$63*(1+Ipotesi!$C$66)^(F440-1)/12</f>
        <v>1502.08333333333</v>
      </c>
      <c r="AB440" s="15" t="n">
        <f aca="false">SUM(V440:AA440)</f>
        <v>39762.5</v>
      </c>
      <c r="AC440" s="15" t="n">
        <f aca="false">(S440*Ipotesi!$C$64+T440*Ipotesi!$C$65+U440*Ipotesi!$C$63)*(1+Ipotesi!$C$66)^(F440-1)/12</f>
        <v>15965</v>
      </c>
      <c r="AD440" s="15" t="n">
        <f aca="false">INDEX(Ipotesi!$C$48:$G$48,1,F440)*G440/12</f>
        <v>37.5</v>
      </c>
      <c r="AE440" s="15" t="n">
        <f aca="false">INDEX(Ipotesi!$C$50:$G$50,1,F440)*G440/12</f>
        <v>4.58333333333333</v>
      </c>
      <c r="AF440" s="15" t="n">
        <f aca="false">(S440*Parametri_v3!$C$7*Parametri_v3!$C$8+Parametri_v3!$C$10)/12</f>
        <v>38.5</v>
      </c>
      <c r="AG440" s="15" t="n">
        <f aca="false">AD440+AE440*(1+Parametri_v3!$C$9)</f>
        <v>44.375</v>
      </c>
      <c r="AH440" s="16" t="n">
        <f aca="false">IF(AG440=0,1,MIN(1,AF440/AG440))</f>
        <v>0.867605633802817</v>
      </c>
      <c r="AI440" s="15" t="n">
        <f aca="false">AD440*AH440</f>
        <v>32.5352112676056</v>
      </c>
      <c r="AJ440" s="15" t="n">
        <f aca="false">AE440*AH440</f>
        <v>3.97652582159624</v>
      </c>
      <c r="AK440" s="15" t="n">
        <f aca="false">AI440*INDEX(Ipotesi!$C$49:$G$49,1,F440)*H440</f>
        <v>26028.1690140845</v>
      </c>
      <c r="AL440" s="15" t="n">
        <f aca="false">AJ440*INDEX(Ipotesi!$C$51:$G$51,1,F440)*H440</f>
        <v>7953.05164319249</v>
      </c>
      <c r="AM440" s="15" t="n">
        <f aca="false">AK440+AL440</f>
        <v>33981.220657277</v>
      </c>
      <c r="AN440" s="15" t="n">
        <f aca="false">INDEX(Ipotesi!$C$30:$G$30,1,F440)*G440/12</f>
        <v>22.5</v>
      </c>
      <c r="AO440" s="15" t="n">
        <f aca="false">O440*Parametri_v3!$C$7*Parametri_v3!$C$11*(1-Parametri_v3!$C$14)/12</f>
        <v>25.6666666666667</v>
      </c>
      <c r="AP440" s="15" t="n">
        <f aca="false">MIN(AN440,AO440)</f>
        <v>22.5</v>
      </c>
      <c r="AQ440" s="15" t="n">
        <f aca="false">AP440*INDEX(Ipotesi!$C$31:$G$31,1,F440)*H440</f>
        <v>21375</v>
      </c>
      <c r="AR440" s="15" t="n">
        <f aca="false">INDEX(Ipotesi!$C$75:$G$75,1,F440)*J440/12</f>
        <v>4583.33333333333</v>
      </c>
      <c r="AS440" s="15" t="n">
        <f aca="false">INDEX(Ipotesi!$C$81:$G$81,1,F440)*J440/12</f>
        <v>833.333333333333</v>
      </c>
      <c r="AT440" s="15" t="n">
        <f aca="false">AR440*Parametri_v3!$C$15+Z440*Parametri_v3!$C$16</f>
        <v>8638.95833333333</v>
      </c>
      <c r="AU440" s="15" t="n">
        <f aca="false">Q440*Parametri_v3!$C$16*Parametri_v3!$C$17</f>
        <v>105</v>
      </c>
      <c r="AV440" s="17" t="n">
        <f aca="false">BD439</f>
        <v>8.23625350999018</v>
      </c>
      <c r="AW440" s="17" t="n">
        <f aca="false">AV440*(1-(1-INDEX(Ipotesi!$C$34:$G$34,1,F440))^(1/12))</f>
        <v>0.0719981239085895</v>
      </c>
      <c r="AX440" s="15" t="n">
        <f aca="false">ROUND(INDEX(Ipotesi!$C$32:$G$32,1,F440)*Ipotesi!J8,0)</f>
        <v>35</v>
      </c>
      <c r="AY440" s="15" t="n">
        <f aca="false">MAX(0,(AX440-(AV440-AW440))/(13-E440))</f>
        <v>2.98174940154649</v>
      </c>
      <c r="AZ440" s="15" t="n">
        <f aca="false">MIN(P440*Parametri_v3!$C$22,Q440*(1-Parametri_v3!$C$16)*Parametri_v3!$C$23)</f>
        <v>67.5</v>
      </c>
      <c r="BA440" s="15" t="n">
        <f aca="false">IF(OR(INDEX(Ipotesi!$C$35:$G$35,1,F440)&lt;=0,16-Parametri_v3!$C$21&lt;1),0,INDEX($AT$425:$AT$484,MAX(1,16-Parametri_v3!$C$21))/(INDEX(Ipotesi!$C$35:$G$35,1,F440)*Ipotesi!J27))</f>
        <v>2.87965277777778</v>
      </c>
      <c r="BB440" s="15" t="n">
        <f aca="false">IF(16-Parametri_v3!$C$21&lt;1,0,INDEX($AU$425:$AU$484,MAX(1,16-Parametri_v3!$C$21)))*Parametri_v3!$C$18*Parametri_v3!$C$19*Parametri_v3!$C$20</f>
        <v>3.9375</v>
      </c>
      <c r="BC440" s="17" t="n">
        <f aca="false">MAX(0,MIN(AY440,BA440,BB440,MAX(0,AZ440-(AV440-AW440))))</f>
        <v>2.87965277777778</v>
      </c>
      <c r="BD440" s="17" t="n">
        <f aca="false">AV440-AW440+BC440</f>
        <v>11.0439081638594</v>
      </c>
      <c r="BE440" s="17" t="n">
        <f aca="false">(AV440+BD440)/2</f>
        <v>9.64008083692478</v>
      </c>
      <c r="BF440" s="15" t="n">
        <f aca="false">BE440*INDEX(Ipotesi!$C$33:$G$33,1,F440)*H440/12</f>
        <v>3213.36027897493</v>
      </c>
      <c r="BG440" s="15" t="n">
        <f aca="false">BD440*INDEX(Ipotesi!$C$33:$G$33,1,F440)*H440</f>
        <v>44175.6326554375</v>
      </c>
      <c r="BH440" s="15" t="n">
        <f aca="false">AM440*INDEX(Ipotesi!$C$37:$G$37,1,F440)</f>
        <v>3398.1220657277</v>
      </c>
      <c r="BI440" s="15" t="n">
        <f aca="false">AQ440+BF440+BH440</f>
        <v>27986.4823447026</v>
      </c>
      <c r="BJ440" s="15" t="n">
        <f aca="false">INDEX(Ipotesi!$C$68:$G$68,1,F440)*Ipotesi!$C$69/12</f>
        <v>1600</v>
      </c>
      <c r="BK440" s="15" t="n">
        <f aca="false">INDEX(Ipotesi!$C$68:$G$68,1,F440)*(1-Ipotesi!$C$69)/12</f>
        <v>2400</v>
      </c>
      <c r="BL440" s="15" t="n">
        <f aca="false">(AQ440+BF440)*Ipotesi!$C$67</f>
        <v>737.650808369248</v>
      </c>
      <c r="BM440" s="15" t="n">
        <f aca="false">AM440*Ipotesi!$C$67</f>
        <v>1019.43661971831</v>
      </c>
      <c r="BN440" s="15" t="n">
        <f aca="false">INDEX(Ipotesi!$C$72:$G$72,1,F440)/12*Ipotesi!J126+BF440*Ipotesi!$C$73</f>
        <v>1507.06882231799</v>
      </c>
      <c r="BO440" s="15" t="n">
        <f aca="false">INDEX(Ipotesi!$C$74:$G$74,1,F440)/12*Ipotesi!J126</f>
        <v>1833.33333333333</v>
      </c>
      <c r="BP440" s="15" t="n">
        <f aca="false">INDEX(Ipotesi!$C$76:$G$76,1,F440)/12</f>
        <v>750</v>
      </c>
      <c r="BQ440" s="15" t="n">
        <f aca="false">INDEX(Ipotesi!$C$77:$G$77,1,F440)/12*Ipotesi!J126</f>
        <v>1666.66666666667</v>
      </c>
      <c r="BR440" s="15" t="n">
        <f aca="false">INDEX(Ipotesi!$C$78:$G$78,1,F440)/12</f>
        <v>1250</v>
      </c>
      <c r="BS440" s="15" t="n">
        <f aca="false">SUM(M440:R440)*(Ipotesi!$C$85+Ipotesi!$C$86)/12</f>
        <v>2625</v>
      </c>
      <c r="BT440" s="15" t="n">
        <f aca="false">BI440*Ipotesi!$C$87</f>
        <v>839.594470341079</v>
      </c>
      <c r="BU440" s="15" t="n">
        <f aca="false">INDEX(Ipotesi!$C$55:$G$55,1,F440)*K440/12</f>
        <v>1000</v>
      </c>
      <c r="BV440" s="15" t="n">
        <f aca="false">INDEX(Ipotesi!$C$80:$G$80,1,F440)/12*Ipotesi!J126</f>
        <v>833.333333333333</v>
      </c>
      <c r="BW440" s="15" t="n">
        <f aca="false">INDEX(Ipotesi!$C$82:$G$82,1,F440)/12</f>
        <v>666.666666666667</v>
      </c>
      <c r="BX440" s="15" t="n">
        <f aca="false">INDEX(Ipotesi!$C$83:$G$83,1,F440)/12</f>
        <v>583.333333333333</v>
      </c>
      <c r="BY440" s="15" t="n">
        <f aca="false">SUM(S440:U440)*(Ipotesi!$C$85+Ipotesi!$C$86)/12</f>
        <v>1166.66666666667</v>
      </c>
      <c r="BZ440" s="15" t="n">
        <f aca="false">AM440*Ipotesi!$C$87</f>
        <v>1019.43661971831</v>
      </c>
      <c r="CA440" s="15" t="n">
        <f aca="false">AB440+BJ440+BL440+BN440+BO440+AR440+BP440+BQ440+BR440+BS440+BT440</f>
        <v>57155.1474343617</v>
      </c>
      <c r="CB440" s="15" t="n">
        <f aca="false">AC440+BK440+BM440+BH440+BU440+BV440+AS440+BW440+BX440+BY440+BZ440</f>
        <v>28885.3286384976</v>
      </c>
      <c r="CC440" s="15" t="n">
        <f aca="false">BI440-CA440</f>
        <v>-29168.665089659</v>
      </c>
      <c r="CD440" s="15" t="n">
        <f aca="false">AM440-CB440</f>
        <v>5095.89201877934</v>
      </c>
      <c r="CE440" s="15" t="n">
        <f aca="false">INDEX(Ipotesi!$C$79:$G$79,1,F440)/12</f>
        <v>2083.33333333333</v>
      </c>
      <c r="CF440" s="15" t="n">
        <f aca="false">INDEX(Ipotesi!$C$84:$G$84,1,F440)/12</f>
        <v>416.666666666667</v>
      </c>
      <c r="CG440" s="15" t="n">
        <f aca="false">Y440*MAX(0,Parametri_v3!$C$12-IF(P440=0,0,MIN(1,BE440/(P440*Parametri_v3!$C$22))))+W440*Parametri_v3!$C$13+X440*Parametri_v3!$C$14</f>
        <v>15465.4465307486</v>
      </c>
      <c r="CH440" s="15" t="n">
        <f aca="false">AB440*Parametri_v3!$C$32</f>
        <v>1988.125</v>
      </c>
      <c r="CI440" s="15" t="n">
        <f aca="false">AC440*Parametri_v3!$C$32</f>
        <v>798.25</v>
      </c>
      <c r="CJ440" s="15" t="n">
        <f aca="false">CA440-AB440</f>
        <v>17392.6474343617</v>
      </c>
      <c r="CK440" s="15" t="n">
        <f aca="false">CB440-AC440-BH440</f>
        <v>9522.20657276995</v>
      </c>
      <c r="CL440" s="15" t="n">
        <f aca="false">BF440*Ipotesi!$C$73+INDEX(Ipotesi!$C$72:$G$72,1,F440)/12*Ipotesi!J126*Parametri_v3!$C$58+Z440*(1-Parametri_v3!$C$16)</f>
        <v>3245.19382231799</v>
      </c>
      <c r="CM440" s="16" t="n">
        <f aca="false">IF(BF440=0,0,1-CL440/BF440)</f>
        <v>-0.00990662128717901</v>
      </c>
    </row>
    <row r="441" customFormat="false" ht="18" hidden="false" customHeight="true" outlineLevel="0" collapsed="false">
      <c r="A441" s="68" t="n">
        <f aca="false">8</f>
        <v>8</v>
      </c>
      <c r="B441" s="68" t="n">
        <f aca="false">17</f>
        <v>17</v>
      </c>
      <c r="C441" s="18" t="n">
        <f aca="false">EDATE(Parametri_v3!$C$5,17-1)</f>
        <v>46874</v>
      </c>
      <c r="D441" s="68" t="n">
        <f aca="false">YEAR(C441)</f>
        <v>2028</v>
      </c>
      <c r="E441" s="68" t="n">
        <f aca="false">MONTH(C441)</f>
        <v>5</v>
      </c>
      <c r="F441" s="68" t="n">
        <f aca="false">INT((17-1)/12)+1</f>
        <v>2</v>
      </c>
      <c r="G441" s="15" t="n">
        <f aca="false">Ipotesi!J7</f>
        <v>1</v>
      </c>
      <c r="H441" s="15" t="n">
        <f aca="false">Ipotesi!J9</f>
        <v>1</v>
      </c>
      <c r="I441" s="15" t="n">
        <f aca="false">Ipotesi!J10</f>
        <v>1</v>
      </c>
      <c r="J441" s="15" t="n">
        <f aca="false">Ipotesi!J11</f>
        <v>1</v>
      </c>
      <c r="K441" s="15" t="n">
        <f aca="false">Ipotesi!J12</f>
        <v>1</v>
      </c>
      <c r="L441" s="15" t="n">
        <f aca="false">Ipotesi!J13</f>
        <v>90</v>
      </c>
      <c r="M441" s="17" t="n">
        <f aca="false">INDEX(Ipotesi!$C$40:$G$40,1,F441)</f>
        <v>1</v>
      </c>
      <c r="N441" s="17" t="n">
        <f aca="false">INDEX(Ipotesi!$C$41:$G$41,1,F441)</f>
        <v>1</v>
      </c>
      <c r="O441" s="17" t="n">
        <f aca="false">INDEX(Ipotesi!$C$42:$G$42,1,F441)*Ipotesi!J125</f>
        <v>2.5</v>
      </c>
      <c r="P441" s="17" t="n">
        <f aca="false">INDEX(Ipotesi!$C$43:$G$43,1,F441)*I441</f>
        <v>2.5</v>
      </c>
      <c r="Q441" s="17" t="n">
        <f aca="false">INDEX(Ipotesi!$C$44:$G$44,1,F441)*I441</f>
        <v>1.5</v>
      </c>
      <c r="R441" s="17" t="n">
        <f aca="false">INDEX(Ipotesi!$C$45:$G$45,1,F441)*I441</f>
        <v>0.5</v>
      </c>
      <c r="S441" s="17" t="n">
        <f aca="false">INDEX(Ipotesi!$C$52:$G$52,1,F441)*Ipotesi!J125</f>
        <v>3</v>
      </c>
      <c r="T441" s="17" t="n">
        <f aca="false">INDEX(Ipotesi!$C$53:$G$53,1,F441)*I441</f>
        <v>1</v>
      </c>
      <c r="U441" s="17" t="n">
        <f aca="false">INDEX(Ipotesi!$C$54:$G$54,1,F441)*I441</f>
        <v>0</v>
      </c>
      <c r="V441" s="15" t="n">
        <f aca="false">M441*INDEX(Ipotesi!$C$58:$G$58,1,F441)*K441/12</f>
        <v>5000</v>
      </c>
      <c r="W441" s="15" t="n">
        <f aca="false">N441*Ipotesi!$C$59*(1+Ipotesi!$C$66)^(F441-1)/12</f>
        <v>6008.33333333333</v>
      </c>
      <c r="X441" s="15" t="n">
        <f aca="false">O441*Ipotesi!$C$60*(1+Ipotesi!$C$66)^(F441-1)/12</f>
        <v>10729.1666666667</v>
      </c>
      <c r="Y441" s="15" t="n">
        <f aca="false">P441*Ipotesi!$C$61*(1+Ipotesi!$C$66)^(F441-1)/12</f>
        <v>10729.1666666667</v>
      </c>
      <c r="Z441" s="15" t="n">
        <f aca="false">Q441*Ipotesi!$C$62*(1+Ipotesi!$C$66)^(F441-1)/12</f>
        <v>5793.75</v>
      </c>
      <c r="AA441" s="15" t="n">
        <f aca="false">R441*Ipotesi!$C$63*(1+Ipotesi!$C$66)^(F441-1)/12</f>
        <v>1502.08333333333</v>
      </c>
      <c r="AB441" s="15" t="n">
        <f aca="false">SUM(V441:AA441)</f>
        <v>39762.5</v>
      </c>
      <c r="AC441" s="15" t="n">
        <f aca="false">(S441*Ipotesi!$C$64+T441*Ipotesi!$C$65+U441*Ipotesi!$C$63)*(1+Ipotesi!$C$66)^(F441-1)/12</f>
        <v>15965</v>
      </c>
      <c r="AD441" s="15" t="n">
        <f aca="false">INDEX(Ipotesi!$C$48:$G$48,1,F441)*G441/12</f>
        <v>37.5</v>
      </c>
      <c r="AE441" s="15" t="n">
        <f aca="false">INDEX(Ipotesi!$C$50:$G$50,1,F441)*G441/12</f>
        <v>4.58333333333333</v>
      </c>
      <c r="AF441" s="15" t="n">
        <f aca="false">(S441*Parametri_v3!$C$7*Parametri_v3!$C$8+Parametri_v3!$C$10)/12</f>
        <v>38.5</v>
      </c>
      <c r="AG441" s="15" t="n">
        <f aca="false">AD441+AE441*(1+Parametri_v3!$C$9)</f>
        <v>44.375</v>
      </c>
      <c r="AH441" s="16" t="n">
        <f aca="false">IF(AG441=0,1,MIN(1,AF441/AG441))</f>
        <v>0.867605633802817</v>
      </c>
      <c r="AI441" s="15" t="n">
        <f aca="false">AD441*AH441</f>
        <v>32.5352112676056</v>
      </c>
      <c r="AJ441" s="15" t="n">
        <f aca="false">AE441*AH441</f>
        <v>3.97652582159624</v>
      </c>
      <c r="AK441" s="15" t="n">
        <f aca="false">AI441*INDEX(Ipotesi!$C$49:$G$49,1,F441)*H441</f>
        <v>26028.1690140845</v>
      </c>
      <c r="AL441" s="15" t="n">
        <f aca="false">AJ441*INDEX(Ipotesi!$C$51:$G$51,1,F441)*H441</f>
        <v>7953.05164319249</v>
      </c>
      <c r="AM441" s="15" t="n">
        <f aca="false">AK441+AL441</f>
        <v>33981.220657277</v>
      </c>
      <c r="AN441" s="15" t="n">
        <f aca="false">INDEX(Ipotesi!$C$30:$G$30,1,F441)*G441/12</f>
        <v>22.5</v>
      </c>
      <c r="AO441" s="15" t="n">
        <f aca="false">O441*Parametri_v3!$C$7*Parametri_v3!$C$11*(1-Parametri_v3!$C$14)/12</f>
        <v>25.6666666666667</v>
      </c>
      <c r="AP441" s="15" t="n">
        <f aca="false">MIN(AN441,AO441)</f>
        <v>22.5</v>
      </c>
      <c r="AQ441" s="15" t="n">
        <f aca="false">AP441*INDEX(Ipotesi!$C$31:$G$31,1,F441)*H441</f>
        <v>21375</v>
      </c>
      <c r="AR441" s="15" t="n">
        <f aca="false">INDEX(Ipotesi!$C$75:$G$75,1,F441)*J441/12</f>
        <v>4583.33333333333</v>
      </c>
      <c r="AS441" s="15" t="n">
        <f aca="false">INDEX(Ipotesi!$C$81:$G$81,1,F441)*J441/12</f>
        <v>833.333333333333</v>
      </c>
      <c r="AT441" s="15" t="n">
        <f aca="false">AR441*Parametri_v3!$C$15+Z441*Parametri_v3!$C$16</f>
        <v>8638.95833333333</v>
      </c>
      <c r="AU441" s="15" t="n">
        <f aca="false">Q441*Parametri_v3!$C$16*Parametri_v3!$C$17</f>
        <v>105</v>
      </c>
      <c r="AV441" s="17" t="n">
        <f aca="false">BD440</f>
        <v>11.0439081638594</v>
      </c>
      <c r="AW441" s="17" t="n">
        <f aca="false">AV441*(1-(1-INDEX(Ipotesi!$C$34:$G$34,1,F441))^(1/12))</f>
        <v>0.0965415485878576</v>
      </c>
      <c r="AX441" s="15" t="n">
        <f aca="false">ROUND(INDEX(Ipotesi!$C$32:$G$32,1,F441)*Ipotesi!J8,0)</f>
        <v>35</v>
      </c>
      <c r="AY441" s="15" t="n">
        <f aca="false">MAX(0,(AX441-(AV441-AW441))/(13-E441))</f>
        <v>3.00657917309106</v>
      </c>
      <c r="AZ441" s="15" t="n">
        <f aca="false">MIN(P441*Parametri_v3!$C$22,Q441*(1-Parametri_v3!$C$16)*Parametri_v3!$C$23)</f>
        <v>67.5</v>
      </c>
      <c r="BA441" s="15" t="n">
        <f aca="false">IF(OR(INDEX(Ipotesi!$C$35:$G$35,1,F441)&lt;=0,17-Parametri_v3!$C$21&lt;1),0,INDEX($AT$425:$AT$484,MAX(1,17-Parametri_v3!$C$21))/(INDEX(Ipotesi!$C$35:$G$35,1,F441)*Ipotesi!J27))</f>
        <v>2.87965277777778</v>
      </c>
      <c r="BB441" s="15" t="n">
        <f aca="false">IF(17-Parametri_v3!$C$21&lt;1,0,INDEX($AU$425:$AU$484,MAX(1,17-Parametri_v3!$C$21)))*Parametri_v3!$C$18*Parametri_v3!$C$19*Parametri_v3!$C$20</f>
        <v>3.9375</v>
      </c>
      <c r="BC441" s="17" t="n">
        <f aca="false">MAX(0,MIN(AY441,BA441,BB441,MAX(0,AZ441-(AV441-AW441))))</f>
        <v>2.87965277777778</v>
      </c>
      <c r="BD441" s="17" t="n">
        <f aca="false">AV441-AW441+BC441</f>
        <v>13.8270193930493</v>
      </c>
      <c r="BE441" s="17" t="n">
        <f aca="false">(AV441+BD441)/2</f>
        <v>12.4354637784543</v>
      </c>
      <c r="BF441" s="15" t="n">
        <f aca="false">BE441*INDEX(Ipotesi!$C$33:$G$33,1,F441)*H441/12</f>
        <v>4145.15459281811</v>
      </c>
      <c r="BG441" s="15" t="n">
        <f aca="false">BD441*INDEX(Ipotesi!$C$33:$G$33,1,F441)*H441</f>
        <v>55308.0775721972</v>
      </c>
      <c r="BH441" s="15" t="n">
        <f aca="false">AM441*INDEX(Ipotesi!$C$37:$G$37,1,F441)</f>
        <v>3398.1220657277</v>
      </c>
      <c r="BI441" s="15" t="n">
        <f aca="false">AQ441+BF441+BH441</f>
        <v>28918.2766585458</v>
      </c>
      <c r="BJ441" s="15" t="n">
        <f aca="false">INDEX(Ipotesi!$C$68:$G$68,1,F441)*Ipotesi!$C$69/12</f>
        <v>1600</v>
      </c>
      <c r="BK441" s="15" t="n">
        <f aca="false">INDEX(Ipotesi!$C$68:$G$68,1,F441)*(1-Ipotesi!$C$69)/12</f>
        <v>2400</v>
      </c>
      <c r="BL441" s="15" t="n">
        <f aca="false">(AQ441+BF441)*Ipotesi!$C$67</f>
        <v>765.604637784543</v>
      </c>
      <c r="BM441" s="15" t="n">
        <f aca="false">AM441*Ipotesi!$C$67</f>
        <v>1019.43661971831</v>
      </c>
      <c r="BN441" s="15" t="n">
        <f aca="false">INDEX(Ipotesi!$C$72:$G$72,1,F441)/12*Ipotesi!J126+BF441*Ipotesi!$C$73</f>
        <v>1581.61236742545</v>
      </c>
      <c r="BO441" s="15" t="n">
        <f aca="false">INDEX(Ipotesi!$C$74:$G$74,1,F441)/12*Ipotesi!J126</f>
        <v>1833.33333333333</v>
      </c>
      <c r="BP441" s="15" t="n">
        <f aca="false">INDEX(Ipotesi!$C$76:$G$76,1,F441)/12</f>
        <v>750</v>
      </c>
      <c r="BQ441" s="15" t="n">
        <f aca="false">INDEX(Ipotesi!$C$77:$G$77,1,F441)/12*Ipotesi!J126</f>
        <v>1666.66666666667</v>
      </c>
      <c r="BR441" s="15" t="n">
        <f aca="false">INDEX(Ipotesi!$C$78:$G$78,1,F441)/12</f>
        <v>1250</v>
      </c>
      <c r="BS441" s="15" t="n">
        <f aca="false">SUM(M441:R441)*(Ipotesi!$C$85+Ipotesi!$C$86)/12</f>
        <v>2625</v>
      </c>
      <c r="BT441" s="15" t="n">
        <f aca="false">BI441*Ipotesi!$C$87</f>
        <v>867.548299756374</v>
      </c>
      <c r="BU441" s="15" t="n">
        <f aca="false">INDEX(Ipotesi!$C$55:$G$55,1,F441)*K441/12</f>
        <v>1000</v>
      </c>
      <c r="BV441" s="15" t="n">
        <f aca="false">INDEX(Ipotesi!$C$80:$G$80,1,F441)/12*Ipotesi!J126</f>
        <v>833.333333333333</v>
      </c>
      <c r="BW441" s="15" t="n">
        <f aca="false">INDEX(Ipotesi!$C$82:$G$82,1,F441)/12</f>
        <v>666.666666666667</v>
      </c>
      <c r="BX441" s="15" t="n">
        <f aca="false">INDEX(Ipotesi!$C$83:$G$83,1,F441)/12</f>
        <v>583.333333333333</v>
      </c>
      <c r="BY441" s="15" t="n">
        <f aca="false">SUM(S441:U441)*(Ipotesi!$C$85+Ipotesi!$C$86)/12</f>
        <v>1166.66666666667</v>
      </c>
      <c r="BZ441" s="15" t="n">
        <f aca="false">AM441*Ipotesi!$C$87</f>
        <v>1019.43661971831</v>
      </c>
      <c r="CA441" s="15" t="n">
        <f aca="false">AB441+BJ441+BL441+BN441+BO441+AR441+BP441+BQ441+BR441+BS441+BT441</f>
        <v>57285.5986382997</v>
      </c>
      <c r="CB441" s="15" t="n">
        <f aca="false">AC441+BK441+BM441+BH441+BU441+BV441+AS441+BW441+BX441+BY441+BZ441</f>
        <v>28885.3286384976</v>
      </c>
      <c r="CC441" s="15" t="n">
        <f aca="false">BI441-CA441</f>
        <v>-28367.3219797539</v>
      </c>
      <c r="CD441" s="15" t="n">
        <f aca="false">AM441-CB441</f>
        <v>5095.89201877934</v>
      </c>
      <c r="CE441" s="15" t="n">
        <f aca="false">INDEX(Ipotesi!$C$79:$G$79,1,F441)/12</f>
        <v>2083.33333333333</v>
      </c>
      <c r="CF441" s="15" t="n">
        <f aca="false">INDEX(Ipotesi!$C$84:$G$84,1,F441)/12</f>
        <v>416.666666666667</v>
      </c>
      <c r="CG441" s="15" t="n">
        <f aca="false">Y441*MAX(0,Parametri_v3!$C$12-IF(P441=0,0,MIN(1,BE441/(P441*Parametri_v3!$C$22))))+W441*Parametri_v3!$C$13+X441*Parametri_v3!$C$14</f>
        <v>15345.4780128413</v>
      </c>
      <c r="CH441" s="15" t="n">
        <f aca="false">AB441*Parametri_v3!$C$32</f>
        <v>1988.125</v>
      </c>
      <c r="CI441" s="15" t="n">
        <f aca="false">AC441*Parametri_v3!$C$32</f>
        <v>798.25</v>
      </c>
      <c r="CJ441" s="15" t="n">
        <f aca="false">CA441-AB441</f>
        <v>17523.0986382997</v>
      </c>
      <c r="CK441" s="15" t="n">
        <f aca="false">CB441-AC441-BH441</f>
        <v>9522.20657276995</v>
      </c>
      <c r="CL441" s="15" t="n">
        <f aca="false">BF441*Ipotesi!$C$73+INDEX(Ipotesi!$C$72:$G$72,1,F441)/12*Ipotesi!J126*Parametri_v3!$C$58+Z441*(1-Parametri_v3!$C$16)</f>
        <v>3319.73736742545</v>
      </c>
      <c r="CM441" s="16" t="n">
        <f aca="false">IF(BF441=0,0,1-CL441/BF441)</f>
        <v>0.199128212690252</v>
      </c>
    </row>
    <row r="442" customFormat="false" ht="18" hidden="false" customHeight="true" outlineLevel="0" collapsed="false">
      <c r="A442" s="68" t="n">
        <f aca="false">8</f>
        <v>8</v>
      </c>
      <c r="B442" s="68" t="n">
        <f aca="false">18</f>
        <v>18</v>
      </c>
      <c r="C442" s="18" t="n">
        <f aca="false">EDATE(Parametri_v3!$C$5,18-1)</f>
        <v>46905</v>
      </c>
      <c r="D442" s="68" t="n">
        <f aca="false">YEAR(C442)</f>
        <v>2028</v>
      </c>
      <c r="E442" s="68" t="n">
        <f aca="false">MONTH(C442)</f>
        <v>6</v>
      </c>
      <c r="F442" s="68" t="n">
        <f aca="false">INT((18-1)/12)+1</f>
        <v>2</v>
      </c>
      <c r="G442" s="15" t="n">
        <f aca="false">Ipotesi!J7</f>
        <v>1</v>
      </c>
      <c r="H442" s="15" t="n">
        <f aca="false">Ipotesi!J9</f>
        <v>1</v>
      </c>
      <c r="I442" s="15" t="n">
        <f aca="false">Ipotesi!J10</f>
        <v>1</v>
      </c>
      <c r="J442" s="15" t="n">
        <f aca="false">Ipotesi!J11</f>
        <v>1</v>
      </c>
      <c r="K442" s="15" t="n">
        <f aca="false">Ipotesi!J12</f>
        <v>1</v>
      </c>
      <c r="L442" s="15" t="n">
        <f aca="false">Ipotesi!J13</f>
        <v>90</v>
      </c>
      <c r="M442" s="17" t="n">
        <f aca="false">INDEX(Ipotesi!$C$40:$G$40,1,F442)</f>
        <v>1</v>
      </c>
      <c r="N442" s="17" t="n">
        <f aca="false">INDEX(Ipotesi!$C$41:$G$41,1,F442)</f>
        <v>1</v>
      </c>
      <c r="O442" s="17" t="n">
        <f aca="false">INDEX(Ipotesi!$C$42:$G$42,1,F442)*Ipotesi!J125</f>
        <v>2.5</v>
      </c>
      <c r="P442" s="17" t="n">
        <f aca="false">INDEX(Ipotesi!$C$43:$G$43,1,F442)*I442</f>
        <v>2.5</v>
      </c>
      <c r="Q442" s="17" t="n">
        <f aca="false">INDEX(Ipotesi!$C$44:$G$44,1,F442)*I442</f>
        <v>1.5</v>
      </c>
      <c r="R442" s="17" t="n">
        <f aca="false">INDEX(Ipotesi!$C$45:$G$45,1,F442)*I442</f>
        <v>0.5</v>
      </c>
      <c r="S442" s="17" t="n">
        <f aca="false">INDEX(Ipotesi!$C$52:$G$52,1,F442)*Ipotesi!J125</f>
        <v>3</v>
      </c>
      <c r="T442" s="17" t="n">
        <f aca="false">INDEX(Ipotesi!$C$53:$G$53,1,F442)*I442</f>
        <v>1</v>
      </c>
      <c r="U442" s="17" t="n">
        <f aca="false">INDEX(Ipotesi!$C$54:$G$54,1,F442)*I442</f>
        <v>0</v>
      </c>
      <c r="V442" s="15" t="n">
        <f aca="false">M442*INDEX(Ipotesi!$C$58:$G$58,1,F442)*K442/12</f>
        <v>5000</v>
      </c>
      <c r="W442" s="15" t="n">
        <f aca="false">N442*Ipotesi!$C$59*(1+Ipotesi!$C$66)^(F442-1)/12</f>
        <v>6008.33333333333</v>
      </c>
      <c r="X442" s="15" t="n">
        <f aca="false">O442*Ipotesi!$C$60*(1+Ipotesi!$C$66)^(F442-1)/12</f>
        <v>10729.1666666667</v>
      </c>
      <c r="Y442" s="15" t="n">
        <f aca="false">P442*Ipotesi!$C$61*(1+Ipotesi!$C$66)^(F442-1)/12</f>
        <v>10729.1666666667</v>
      </c>
      <c r="Z442" s="15" t="n">
        <f aca="false">Q442*Ipotesi!$C$62*(1+Ipotesi!$C$66)^(F442-1)/12</f>
        <v>5793.75</v>
      </c>
      <c r="AA442" s="15" t="n">
        <f aca="false">R442*Ipotesi!$C$63*(1+Ipotesi!$C$66)^(F442-1)/12</f>
        <v>1502.08333333333</v>
      </c>
      <c r="AB442" s="15" t="n">
        <f aca="false">SUM(V442:AA442)</f>
        <v>39762.5</v>
      </c>
      <c r="AC442" s="15" t="n">
        <f aca="false">(S442*Ipotesi!$C$64+T442*Ipotesi!$C$65+U442*Ipotesi!$C$63)*(1+Ipotesi!$C$66)^(F442-1)/12</f>
        <v>15965</v>
      </c>
      <c r="AD442" s="15" t="n">
        <f aca="false">INDEX(Ipotesi!$C$48:$G$48,1,F442)*G442/12</f>
        <v>37.5</v>
      </c>
      <c r="AE442" s="15" t="n">
        <f aca="false">INDEX(Ipotesi!$C$50:$G$50,1,F442)*G442/12</f>
        <v>4.58333333333333</v>
      </c>
      <c r="AF442" s="15" t="n">
        <f aca="false">(S442*Parametri_v3!$C$7*Parametri_v3!$C$8+Parametri_v3!$C$10)/12</f>
        <v>38.5</v>
      </c>
      <c r="AG442" s="15" t="n">
        <f aca="false">AD442+AE442*(1+Parametri_v3!$C$9)</f>
        <v>44.375</v>
      </c>
      <c r="AH442" s="16" t="n">
        <f aca="false">IF(AG442=0,1,MIN(1,AF442/AG442))</f>
        <v>0.867605633802817</v>
      </c>
      <c r="AI442" s="15" t="n">
        <f aca="false">AD442*AH442</f>
        <v>32.5352112676056</v>
      </c>
      <c r="AJ442" s="15" t="n">
        <f aca="false">AE442*AH442</f>
        <v>3.97652582159624</v>
      </c>
      <c r="AK442" s="15" t="n">
        <f aca="false">AI442*INDEX(Ipotesi!$C$49:$G$49,1,F442)*H442</f>
        <v>26028.1690140845</v>
      </c>
      <c r="AL442" s="15" t="n">
        <f aca="false">AJ442*INDEX(Ipotesi!$C$51:$G$51,1,F442)*H442</f>
        <v>7953.05164319249</v>
      </c>
      <c r="AM442" s="15" t="n">
        <f aca="false">AK442+AL442</f>
        <v>33981.220657277</v>
      </c>
      <c r="AN442" s="15" t="n">
        <f aca="false">INDEX(Ipotesi!$C$30:$G$30,1,F442)*G442/12</f>
        <v>22.5</v>
      </c>
      <c r="AO442" s="15" t="n">
        <f aca="false">O442*Parametri_v3!$C$7*Parametri_v3!$C$11*(1-Parametri_v3!$C$14)/12</f>
        <v>25.6666666666667</v>
      </c>
      <c r="AP442" s="15" t="n">
        <f aca="false">MIN(AN442,AO442)</f>
        <v>22.5</v>
      </c>
      <c r="AQ442" s="15" t="n">
        <f aca="false">AP442*INDEX(Ipotesi!$C$31:$G$31,1,F442)*H442</f>
        <v>21375</v>
      </c>
      <c r="AR442" s="15" t="n">
        <f aca="false">INDEX(Ipotesi!$C$75:$G$75,1,F442)*J442/12</f>
        <v>4583.33333333333</v>
      </c>
      <c r="AS442" s="15" t="n">
        <f aca="false">INDEX(Ipotesi!$C$81:$G$81,1,F442)*J442/12</f>
        <v>833.333333333333</v>
      </c>
      <c r="AT442" s="15" t="n">
        <f aca="false">AR442*Parametri_v3!$C$15+Z442*Parametri_v3!$C$16</f>
        <v>8638.95833333333</v>
      </c>
      <c r="AU442" s="15" t="n">
        <f aca="false">Q442*Parametri_v3!$C$16*Parametri_v3!$C$17</f>
        <v>105</v>
      </c>
      <c r="AV442" s="17" t="n">
        <f aca="false">BD441</f>
        <v>13.8270193930493</v>
      </c>
      <c r="AW442" s="17" t="n">
        <f aca="false">AV442*(1-(1-INDEX(Ipotesi!$C$34:$G$34,1,F442))^(1/12))</f>
        <v>0.120870424197084</v>
      </c>
      <c r="AX442" s="15" t="n">
        <f aca="false">ROUND(INDEX(Ipotesi!$C$32:$G$32,1,F442)*Ipotesi!J8,0)</f>
        <v>35</v>
      </c>
      <c r="AY442" s="15" t="n">
        <f aca="false">MAX(0,(AX442-(AV442-AW442))/(13-E442))</f>
        <v>3.0419787187354</v>
      </c>
      <c r="AZ442" s="15" t="n">
        <f aca="false">MIN(P442*Parametri_v3!$C$22,Q442*(1-Parametri_v3!$C$16)*Parametri_v3!$C$23)</f>
        <v>67.5</v>
      </c>
      <c r="BA442" s="15" t="n">
        <f aca="false">IF(OR(INDEX(Ipotesi!$C$35:$G$35,1,F442)&lt;=0,18-Parametri_v3!$C$21&lt;1),0,INDEX($AT$425:$AT$484,MAX(1,18-Parametri_v3!$C$21))/(INDEX(Ipotesi!$C$35:$G$35,1,F442)*Ipotesi!J27))</f>
        <v>2.87965277777778</v>
      </c>
      <c r="BB442" s="15" t="n">
        <f aca="false">IF(18-Parametri_v3!$C$21&lt;1,0,INDEX($AU$425:$AU$484,MAX(1,18-Parametri_v3!$C$21)))*Parametri_v3!$C$18*Parametri_v3!$C$19*Parametri_v3!$C$20</f>
        <v>3.9375</v>
      </c>
      <c r="BC442" s="17" t="n">
        <f aca="false">MAX(0,MIN(AY442,BA442,BB442,MAX(0,AZ442-(AV442-AW442))))</f>
        <v>2.87965277777778</v>
      </c>
      <c r="BD442" s="17" t="n">
        <f aca="false">AV442-AW442+BC442</f>
        <v>16.58580174663</v>
      </c>
      <c r="BE442" s="17" t="n">
        <f aca="false">(AV442+BD442)/2</f>
        <v>15.2064105698396</v>
      </c>
      <c r="BF442" s="15" t="n">
        <f aca="false">BE442*INDEX(Ipotesi!$C$33:$G$33,1,F442)*H442/12</f>
        <v>5068.80352327988</v>
      </c>
      <c r="BG442" s="15" t="n">
        <f aca="false">BD442*INDEX(Ipotesi!$C$33:$G$33,1,F442)*H442</f>
        <v>66343.2069865199</v>
      </c>
      <c r="BH442" s="15" t="n">
        <f aca="false">AM442*INDEX(Ipotesi!$C$37:$G$37,1,F442)</f>
        <v>3398.1220657277</v>
      </c>
      <c r="BI442" s="15" t="n">
        <f aca="false">AQ442+BF442+BH442</f>
        <v>29841.9255890076</v>
      </c>
      <c r="BJ442" s="15" t="n">
        <f aca="false">INDEX(Ipotesi!$C$68:$G$68,1,F442)*Ipotesi!$C$69/12</f>
        <v>1600</v>
      </c>
      <c r="BK442" s="15" t="n">
        <f aca="false">INDEX(Ipotesi!$C$68:$G$68,1,F442)*(1-Ipotesi!$C$69)/12</f>
        <v>2400</v>
      </c>
      <c r="BL442" s="15" t="n">
        <f aca="false">(AQ442+BF442)*Ipotesi!$C$67</f>
        <v>793.314105698396</v>
      </c>
      <c r="BM442" s="15" t="n">
        <f aca="false">AM442*Ipotesi!$C$67</f>
        <v>1019.43661971831</v>
      </c>
      <c r="BN442" s="15" t="n">
        <f aca="false">INDEX(Ipotesi!$C$72:$G$72,1,F442)/12*Ipotesi!J126+BF442*Ipotesi!$C$73</f>
        <v>1655.50428186239</v>
      </c>
      <c r="BO442" s="15" t="n">
        <f aca="false">INDEX(Ipotesi!$C$74:$G$74,1,F442)/12*Ipotesi!J126</f>
        <v>1833.33333333333</v>
      </c>
      <c r="BP442" s="15" t="n">
        <f aca="false">INDEX(Ipotesi!$C$76:$G$76,1,F442)/12</f>
        <v>750</v>
      </c>
      <c r="BQ442" s="15" t="n">
        <f aca="false">INDEX(Ipotesi!$C$77:$G$77,1,F442)/12*Ipotesi!J126</f>
        <v>1666.66666666667</v>
      </c>
      <c r="BR442" s="15" t="n">
        <f aca="false">INDEX(Ipotesi!$C$78:$G$78,1,F442)/12</f>
        <v>1250</v>
      </c>
      <c r="BS442" s="15" t="n">
        <f aca="false">SUM(M442:R442)*(Ipotesi!$C$85+Ipotesi!$C$86)/12</f>
        <v>2625</v>
      </c>
      <c r="BT442" s="15" t="n">
        <f aca="false">BI442*Ipotesi!$C$87</f>
        <v>895.257767670227</v>
      </c>
      <c r="BU442" s="15" t="n">
        <f aca="false">INDEX(Ipotesi!$C$55:$G$55,1,F442)*K442/12</f>
        <v>1000</v>
      </c>
      <c r="BV442" s="15" t="n">
        <f aca="false">INDEX(Ipotesi!$C$80:$G$80,1,F442)/12*Ipotesi!J126</f>
        <v>833.333333333333</v>
      </c>
      <c r="BW442" s="15" t="n">
        <f aca="false">INDEX(Ipotesi!$C$82:$G$82,1,F442)/12</f>
        <v>666.666666666667</v>
      </c>
      <c r="BX442" s="15" t="n">
        <f aca="false">INDEX(Ipotesi!$C$83:$G$83,1,F442)/12</f>
        <v>583.333333333333</v>
      </c>
      <c r="BY442" s="15" t="n">
        <f aca="false">SUM(S442:U442)*(Ipotesi!$C$85+Ipotesi!$C$86)/12</f>
        <v>1166.66666666667</v>
      </c>
      <c r="BZ442" s="15" t="n">
        <f aca="false">AM442*Ipotesi!$C$87</f>
        <v>1019.43661971831</v>
      </c>
      <c r="CA442" s="15" t="n">
        <f aca="false">AB442+BJ442+BL442+BN442+BO442+AR442+BP442+BQ442+BR442+BS442+BT442</f>
        <v>57414.9094885644</v>
      </c>
      <c r="CB442" s="15" t="n">
        <f aca="false">AC442+BK442+BM442+BH442+BU442+BV442+AS442+BW442+BX442+BY442+BZ442</f>
        <v>28885.3286384976</v>
      </c>
      <c r="CC442" s="15" t="n">
        <f aca="false">BI442-CA442</f>
        <v>-27572.9838995568</v>
      </c>
      <c r="CD442" s="15" t="n">
        <f aca="false">AM442-CB442</f>
        <v>5095.89201877934</v>
      </c>
      <c r="CE442" s="15" t="n">
        <f aca="false">INDEX(Ipotesi!$C$79:$G$79,1,F442)/12</f>
        <v>2083.33333333333</v>
      </c>
      <c r="CF442" s="15" t="n">
        <f aca="false">INDEX(Ipotesi!$C$84:$G$84,1,F442)/12</f>
        <v>416.666666666667</v>
      </c>
      <c r="CG442" s="15" t="n">
        <f aca="false">Y442*MAX(0,Parametri_v3!$C$12-IF(P442=0,0,MIN(1,BE442/(P442*Parametri_v3!$C$22))))+W442*Parametri_v3!$C$13+X442*Parametri_v3!$C$14</f>
        <v>15226.5582130444</v>
      </c>
      <c r="CH442" s="15" t="n">
        <f aca="false">AB442*Parametri_v3!$C$32</f>
        <v>1988.125</v>
      </c>
      <c r="CI442" s="15" t="n">
        <f aca="false">AC442*Parametri_v3!$C$32</f>
        <v>798.25</v>
      </c>
      <c r="CJ442" s="15" t="n">
        <f aca="false">CA442-AB442</f>
        <v>17652.4094885644</v>
      </c>
      <c r="CK442" s="15" t="n">
        <f aca="false">CB442-AC442-BH442</f>
        <v>9522.20657276995</v>
      </c>
      <c r="CL442" s="15" t="n">
        <f aca="false">BF442*Ipotesi!$C$73+INDEX(Ipotesi!$C$72:$G$72,1,F442)/12*Ipotesi!J126*Parametri_v3!$C$58+Z442*(1-Parametri_v3!$C$16)</f>
        <v>3393.62928186239</v>
      </c>
      <c r="CM442" s="16" t="n">
        <f aca="false">IF(BF442=0,0,1-CL442/BF442)</f>
        <v>0.330487112732579</v>
      </c>
    </row>
    <row r="443" customFormat="false" ht="18" hidden="false" customHeight="true" outlineLevel="0" collapsed="false">
      <c r="A443" s="68" t="n">
        <f aca="false">8</f>
        <v>8</v>
      </c>
      <c r="B443" s="68" t="n">
        <f aca="false">19</f>
        <v>19</v>
      </c>
      <c r="C443" s="18" t="n">
        <f aca="false">EDATE(Parametri_v3!$C$5,19-1)</f>
        <v>46935</v>
      </c>
      <c r="D443" s="68" t="n">
        <f aca="false">YEAR(C443)</f>
        <v>2028</v>
      </c>
      <c r="E443" s="68" t="n">
        <f aca="false">MONTH(C443)</f>
        <v>7</v>
      </c>
      <c r="F443" s="68" t="n">
        <f aca="false">INT((19-1)/12)+1</f>
        <v>2</v>
      </c>
      <c r="G443" s="15" t="n">
        <f aca="false">Ipotesi!J7</f>
        <v>1</v>
      </c>
      <c r="H443" s="15" t="n">
        <f aca="false">Ipotesi!J9</f>
        <v>1</v>
      </c>
      <c r="I443" s="15" t="n">
        <f aca="false">Ipotesi!J10</f>
        <v>1</v>
      </c>
      <c r="J443" s="15" t="n">
        <f aca="false">Ipotesi!J11</f>
        <v>1</v>
      </c>
      <c r="K443" s="15" t="n">
        <f aca="false">Ipotesi!J12</f>
        <v>1</v>
      </c>
      <c r="L443" s="15" t="n">
        <f aca="false">Ipotesi!J13</f>
        <v>90</v>
      </c>
      <c r="M443" s="17" t="n">
        <f aca="false">INDEX(Ipotesi!$C$40:$G$40,1,F443)</f>
        <v>1</v>
      </c>
      <c r="N443" s="17" t="n">
        <f aca="false">INDEX(Ipotesi!$C$41:$G$41,1,F443)</f>
        <v>1</v>
      </c>
      <c r="O443" s="17" t="n">
        <f aca="false">INDEX(Ipotesi!$C$42:$G$42,1,F443)*Ipotesi!J125</f>
        <v>2.5</v>
      </c>
      <c r="P443" s="17" t="n">
        <f aca="false">INDEX(Ipotesi!$C$43:$G$43,1,F443)*I443</f>
        <v>2.5</v>
      </c>
      <c r="Q443" s="17" t="n">
        <f aca="false">INDEX(Ipotesi!$C$44:$G$44,1,F443)*I443</f>
        <v>1.5</v>
      </c>
      <c r="R443" s="17" t="n">
        <f aca="false">INDEX(Ipotesi!$C$45:$G$45,1,F443)*I443</f>
        <v>0.5</v>
      </c>
      <c r="S443" s="17" t="n">
        <f aca="false">INDEX(Ipotesi!$C$52:$G$52,1,F443)*Ipotesi!J125</f>
        <v>3</v>
      </c>
      <c r="T443" s="17" t="n">
        <f aca="false">INDEX(Ipotesi!$C$53:$G$53,1,F443)*I443</f>
        <v>1</v>
      </c>
      <c r="U443" s="17" t="n">
        <f aca="false">INDEX(Ipotesi!$C$54:$G$54,1,F443)*I443</f>
        <v>0</v>
      </c>
      <c r="V443" s="15" t="n">
        <f aca="false">M443*INDEX(Ipotesi!$C$58:$G$58,1,F443)*K443/12</f>
        <v>5000</v>
      </c>
      <c r="W443" s="15" t="n">
        <f aca="false">N443*Ipotesi!$C$59*(1+Ipotesi!$C$66)^(F443-1)/12</f>
        <v>6008.33333333333</v>
      </c>
      <c r="X443" s="15" t="n">
        <f aca="false">O443*Ipotesi!$C$60*(1+Ipotesi!$C$66)^(F443-1)/12</f>
        <v>10729.1666666667</v>
      </c>
      <c r="Y443" s="15" t="n">
        <f aca="false">P443*Ipotesi!$C$61*(1+Ipotesi!$C$66)^(F443-1)/12</f>
        <v>10729.1666666667</v>
      </c>
      <c r="Z443" s="15" t="n">
        <f aca="false">Q443*Ipotesi!$C$62*(1+Ipotesi!$C$66)^(F443-1)/12</f>
        <v>5793.75</v>
      </c>
      <c r="AA443" s="15" t="n">
        <f aca="false">R443*Ipotesi!$C$63*(1+Ipotesi!$C$66)^(F443-1)/12</f>
        <v>1502.08333333333</v>
      </c>
      <c r="AB443" s="15" t="n">
        <f aca="false">SUM(V443:AA443)</f>
        <v>39762.5</v>
      </c>
      <c r="AC443" s="15" t="n">
        <f aca="false">(S443*Ipotesi!$C$64+T443*Ipotesi!$C$65+U443*Ipotesi!$C$63)*(1+Ipotesi!$C$66)^(F443-1)/12</f>
        <v>15965</v>
      </c>
      <c r="AD443" s="15" t="n">
        <f aca="false">INDEX(Ipotesi!$C$48:$G$48,1,F443)*G443/12</f>
        <v>37.5</v>
      </c>
      <c r="AE443" s="15" t="n">
        <f aca="false">INDEX(Ipotesi!$C$50:$G$50,1,F443)*G443/12</f>
        <v>4.58333333333333</v>
      </c>
      <c r="AF443" s="15" t="n">
        <f aca="false">(S443*Parametri_v3!$C$7*Parametri_v3!$C$8+Parametri_v3!$C$10)/12</f>
        <v>38.5</v>
      </c>
      <c r="AG443" s="15" t="n">
        <f aca="false">AD443+AE443*(1+Parametri_v3!$C$9)</f>
        <v>44.375</v>
      </c>
      <c r="AH443" s="16" t="n">
        <f aca="false">IF(AG443=0,1,MIN(1,AF443/AG443))</f>
        <v>0.867605633802817</v>
      </c>
      <c r="AI443" s="15" t="n">
        <f aca="false">AD443*AH443</f>
        <v>32.5352112676056</v>
      </c>
      <c r="AJ443" s="15" t="n">
        <f aca="false">AE443*AH443</f>
        <v>3.97652582159624</v>
      </c>
      <c r="AK443" s="15" t="n">
        <f aca="false">AI443*INDEX(Ipotesi!$C$49:$G$49,1,F443)*H443</f>
        <v>26028.1690140845</v>
      </c>
      <c r="AL443" s="15" t="n">
        <f aca="false">AJ443*INDEX(Ipotesi!$C$51:$G$51,1,F443)*H443</f>
        <v>7953.05164319249</v>
      </c>
      <c r="AM443" s="15" t="n">
        <f aca="false">AK443+AL443</f>
        <v>33981.220657277</v>
      </c>
      <c r="AN443" s="15" t="n">
        <f aca="false">INDEX(Ipotesi!$C$30:$G$30,1,F443)*G443/12</f>
        <v>22.5</v>
      </c>
      <c r="AO443" s="15" t="n">
        <f aca="false">O443*Parametri_v3!$C$7*Parametri_v3!$C$11*(1-Parametri_v3!$C$14)/12</f>
        <v>25.6666666666667</v>
      </c>
      <c r="AP443" s="15" t="n">
        <f aca="false">MIN(AN443,AO443)</f>
        <v>22.5</v>
      </c>
      <c r="AQ443" s="15" t="n">
        <f aca="false">AP443*INDEX(Ipotesi!$C$31:$G$31,1,F443)*H443</f>
        <v>21375</v>
      </c>
      <c r="AR443" s="15" t="n">
        <f aca="false">INDEX(Ipotesi!$C$75:$G$75,1,F443)*J443/12</f>
        <v>4583.33333333333</v>
      </c>
      <c r="AS443" s="15" t="n">
        <f aca="false">INDEX(Ipotesi!$C$81:$G$81,1,F443)*J443/12</f>
        <v>833.333333333333</v>
      </c>
      <c r="AT443" s="15" t="n">
        <f aca="false">AR443*Parametri_v3!$C$15+Z443*Parametri_v3!$C$16</f>
        <v>8638.95833333333</v>
      </c>
      <c r="AU443" s="15" t="n">
        <f aca="false">Q443*Parametri_v3!$C$16*Parametri_v3!$C$17</f>
        <v>105</v>
      </c>
      <c r="AV443" s="17" t="n">
        <f aca="false">BD442</f>
        <v>16.58580174663</v>
      </c>
      <c r="AW443" s="17" t="n">
        <f aca="false">AV443*(1-(1-INDEX(Ipotesi!$C$34:$G$34,1,F443))^(1/12))</f>
        <v>0.144986626240769</v>
      </c>
      <c r="AX443" s="15" t="n">
        <f aca="false">ROUND(INDEX(Ipotesi!$C$32:$G$32,1,F443)*Ipotesi!J8,0)</f>
        <v>35</v>
      </c>
      <c r="AY443" s="15" t="n">
        <f aca="false">MAX(0,(AX443-(AV443-AW443))/(13-E443))</f>
        <v>3.09319747993513</v>
      </c>
      <c r="AZ443" s="15" t="n">
        <f aca="false">MIN(P443*Parametri_v3!$C$22,Q443*(1-Parametri_v3!$C$16)*Parametri_v3!$C$23)</f>
        <v>67.5</v>
      </c>
      <c r="BA443" s="15" t="n">
        <f aca="false">IF(OR(INDEX(Ipotesi!$C$35:$G$35,1,F443)&lt;=0,19-Parametri_v3!$C$21&lt;1),0,INDEX($AT$425:$AT$484,MAX(1,19-Parametri_v3!$C$21))/(INDEX(Ipotesi!$C$35:$G$35,1,F443)*Ipotesi!J27))</f>
        <v>2.87965277777778</v>
      </c>
      <c r="BB443" s="15" t="n">
        <f aca="false">IF(19-Parametri_v3!$C$21&lt;1,0,INDEX($AU$425:$AU$484,MAX(1,19-Parametri_v3!$C$21)))*Parametri_v3!$C$18*Parametri_v3!$C$19*Parametri_v3!$C$20</f>
        <v>3.9375</v>
      </c>
      <c r="BC443" s="17" t="n">
        <f aca="false">MAX(0,MIN(AY443,BA443,BB443,MAX(0,AZ443-(AV443-AW443))))</f>
        <v>2.87965277777778</v>
      </c>
      <c r="BD443" s="17" t="n">
        <f aca="false">AV443-AW443+BC443</f>
        <v>19.320467898167</v>
      </c>
      <c r="BE443" s="17" t="n">
        <f aca="false">(AV443+BD443)/2</f>
        <v>17.9531348223985</v>
      </c>
      <c r="BF443" s="15" t="n">
        <f aca="false">BE443*INDEX(Ipotesi!$C$33:$G$33,1,F443)*H443/12</f>
        <v>5984.37827413283</v>
      </c>
      <c r="BG443" s="15" t="n">
        <f aca="false">BD443*INDEX(Ipotesi!$C$33:$G$33,1,F443)*H443</f>
        <v>77281.871592668</v>
      </c>
      <c r="BH443" s="15" t="n">
        <f aca="false">AM443*INDEX(Ipotesi!$C$37:$G$37,1,F443)</f>
        <v>3398.1220657277</v>
      </c>
      <c r="BI443" s="15" t="n">
        <f aca="false">AQ443+BF443+BH443</f>
        <v>30757.5003398605</v>
      </c>
      <c r="BJ443" s="15" t="n">
        <f aca="false">INDEX(Ipotesi!$C$68:$G$68,1,F443)*Ipotesi!$C$69/12</f>
        <v>1600</v>
      </c>
      <c r="BK443" s="15" t="n">
        <f aca="false">INDEX(Ipotesi!$C$68:$G$68,1,F443)*(1-Ipotesi!$C$69)/12</f>
        <v>2400</v>
      </c>
      <c r="BL443" s="15" t="n">
        <f aca="false">(AQ443+BF443)*Ipotesi!$C$67</f>
        <v>820.781348223985</v>
      </c>
      <c r="BM443" s="15" t="n">
        <f aca="false">AM443*Ipotesi!$C$67</f>
        <v>1019.43661971831</v>
      </c>
      <c r="BN443" s="15" t="n">
        <f aca="false">INDEX(Ipotesi!$C$72:$G$72,1,F443)/12*Ipotesi!J126+BF443*Ipotesi!$C$73</f>
        <v>1728.75026193063</v>
      </c>
      <c r="BO443" s="15" t="n">
        <f aca="false">INDEX(Ipotesi!$C$74:$G$74,1,F443)/12*Ipotesi!J126</f>
        <v>1833.33333333333</v>
      </c>
      <c r="BP443" s="15" t="n">
        <f aca="false">INDEX(Ipotesi!$C$76:$G$76,1,F443)/12</f>
        <v>750</v>
      </c>
      <c r="BQ443" s="15" t="n">
        <f aca="false">INDEX(Ipotesi!$C$77:$G$77,1,F443)/12*Ipotesi!J126</f>
        <v>1666.66666666667</v>
      </c>
      <c r="BR443" s="15" t="n">
        <f aca="false">INDEX(Ipotesi!$C$78:$G$78,1,F443)/12</f>
        <v>1250</v>
      </c>
      <c r="BS443" s="15" t="n">
        <f aca="false">SUM(M443:R443)*(Ipotesi!$C$85+Ipotesi!$C$86)/12</f>
        <v>2625</v>
      </c>
      <c r="BT443" s="15" t="n">
        <f aca="false">BI443*Ipotesi!$C$87</f>
        <v>922.725010195816</v>
      </c>
      <c r="BU443" s="15" t="n">
        <f aca="false">INDEX(Ipotesi!$C$55:$G$55,1,F443)*K443/12</f>
        <v>1000</v>
      </c>
      <c r="BV443" s="15" t="n">
        <f aca="false">INDEX(Ipotesi!$C$80:$G$80,1,F443)/12*Ipotesi!J126</f>
        <v>833.333333333333</v>
      </c>
      <c r="BW443" s="15" t="n">
        <f aca="false">INDEX(Ipotesi!$C$82:$G$82,1,F443)/12</f>
        <v>666.666666666667</v>
      </c>
      <c r="BX443" s="15" t="n">
        <f aca="false">INDEX(Ipotesi!$C$83:$G$83,1,F443)/12</f>
        <v>583.333333333333</v>
      </c>
      <c r="BY443" s="15" t="n">
        <f aca="false">SUM(S443:U443)*(Ipotesi!$C$85+Ipotesi!$C$86)/12</f>
        <v>1166.66666666667</v>
      </c>
      <c r="BZ443" s="15" t="n">
        <f aca="false">AM443*Ipotesi!$C$87</f>
        <v>1019.43661971831</v>
      </c>
      <c r="CA443" s="15" t="n">
        <f aca="false">AB443+BJ443+BL443+BN443+BO443+AR443+BP443+BQ443+BR443+BS443+BT443</f>
        <v>57543.0899536838</v>
      </c>
      <c r="CB443" s="15" t="n">
        <f aca="false">AC443+BK443+BM443+BH443+BU443+BV443+AS443+BW443+BX443+BY443+BZ443</f>
        <v>28885.3286384976</v>
      </c>
      <c r="CC443" s="15" t="n">
        <f aca="false">BI443-CA443</f>
        <v>-26785.5896138232</v>
      </c>
      <c r="CD443" s="15" t="n">
        <f aca="false">AM443-CB443</f>
        <v>5095.89201877934</v>
      </c>
      <c r="CE443" s="15" t="n">
        <f aca="false">INDEX(Ipotesi!$C$79:$G$79,1,F443)/12</f>
        <v>2083.33333333333</v>
      </c>
      <c r="CF443" s="15" t="n">
        <f aca="false">INDEX(Ipotesi!$C$84:$G$84,1,F443)/12</f>
        <v>416.666666666667</v>
      </c>
      <c r="CG443" s="15" t="n">
        <f aca="false">Y443*MAX(0,Parametri_v3!$C$12-IF(P443=0,0,MIN(1,BE443/(P443*Parametri_v3!$C$22))))+W443*Parametri_v3!$C$13+X443*Parametri_v3!$C$14</f>
        <v>15108.6779638721</v>
      </c>
      <c r="CH443" s="15" t="n">
        <f aca="false">AB443*Parametri_v3!$C$32</f>
        <v>1988.125</v>
      </c>
      <c r="CI443" s="15" t="n">
        <f aca="false">AC443*Parametri_v3!$C$32</f>
        <v>798.25</v>
      </c>
      <c r="CJ443" s="15" t="n">
        <f aca="false">CA443-AB443</f>
        <v>17780.5899536838</v>
      </c>
      <c r="CK443" s="15" t="n">
        <f aca="false">CB443-AC443-BH443</f>
        <v>9522.20657276995</v>
      </c>
      <c r="CL443" s="15" t="n">
        <f aca="false">BF443*Ipotesi!$C$73+INDEX(Ipotesi!$C$72:$G$72,1,F443)/12*Ipotesi!J126*Parametri_v3!$C$58+Z443*(1-Parametri_v3!$C$16)</f>
        <v>3466.87526193063</v>
      </c>
      <c r="CM443" s="16" t="n">
        <f aca="false">IF(BF443=0,0,1-CL443/BF443)</f>
        <v>0.420679124360166</v>
      </c>
    </row>
    <row r="444" customFormat="false" ht="18" hidden="false" customHeight="true" outlineLevel="0" collapsed="false">
      <c r="A444" s="68" t="n">
        <f aca="false">8</f>
        <v>8</v>
      </c>
      <c r="B444" s="68" t="n">
        <f aca="false">20</f>
        <v>20</v>
      </c>
      <c r="C444" s="18" t="n">
        <f aca="false">EDATE(Parametri_v3!$C$5,20-1)</f>
        <v>46966</v>
      </c>
      <c r="D444" s="68" t="n">
        <f aca="false">YEAR(C444)</f>
        <v>2028</v>
      </c>
      <c r="E444" s="68" t="n">
        <f aca="false">MONTH(C444)</f>
        <v>8</v>
      </c>
      <c r="F444" s="68" t="n">
        <f aca="false">INT((20-1)/12)+1</f>
        <v>2</v>
      </c>
      <c r="G444" s="15" t="n">
        <f aca="false">Ipotesi!J7</f>
        <v>1</v>
      </c>
      <c r="H444" s="15" t="n">
        <f aca="false">Ipotesi!J9</f>
        <v>1</v>
      </c>
      <c r="I444" s="15" t="n">
        <f aca="false">Ipotesi!J10</f>
        <v>1</v>
      </c>
      <c r="J444" s="15" t="n">
        <f aca="false">Ipotesi!J11</f>
        <v>1</v>
      </c>
      <c r="K444" s="15" t="n">
        <f aca="false">Ipotesi!J12</f>
        <v>1</v>
      </c>
      <c r="L444" s="15" t="n">
        <f aca="false">Ipotesi!J13</f>
        <v>90</v>
      </c>
      <c r="M444" s="17" t="n">
        <f aca="false">INDEX(Ipotesi!$C$40:$G$40,1,F444)</f>
        <v>1</v>
      </c>
      <c r="N444" s="17" t="n">
        <f aca="false">INDEX(Ipotesi!$C$41:$G$41,1,F444)</f>
        <v>1</v>
      </c>
      <c r="O444" s="17" t="n">
        <f aca="false">INDEX(Ipotesi!$C$42:$G$42,1,F444)*Ipotesi!J125</f>
        <v>2.5</v>
      </c>
      <c r="P444" s="17" t="n">
        <f aca="false">INDEX(Ipotesi!$C$43:$G$43,1,F444)*I444</f>
        <v>2.5</v>
      </c>
      <c r="Q444" s="17" t="n">
        <f aca="false">INDEX(Ipotesi!$C$44:$G$44,1,F444)*I444</f>
        <v>1.5</v>
      </c>
      <c r="R444" s="17" t="n">
        <f aca="false">INDEX(Ipotesi!$C$45:$G$45,1,F444)*I444</f>
        <v>0.5</v>
      </c>
      <c r="S444" s="17" t="n">
        <f aca="false">INDEX(Ipotesi!$C$52:$G$52,1,F444)*Ipotesi!J125</f>
        <v>3</v>
      </c>
      <c r="T444" s="17" t="n">
        <f aca="false">INDEX(Ipotesi!$C$53:$G$53,1,F444)*I444</f>
        <v>1</v>
      </c>
      <c r="U444" s="17" t="n">
        <f aca="false">INDEX(Ipotesi!$C$54:$G$54,1,F444)*I444</f>
        <v>0</v>
      </c>
      <c r="V444" s="15" t="n">
        <f aca="false">M444*INDEX(Ipotesi!$C$58:$G$58,1,F444)*K444/12</f>
        <v>5000</v>
      </c>
      <c r="W444" s="15" t="n">
        <f aca="false">N444*Ipotesi!$C$59*(1+Ipotesi!$C$66)^(F444-1)/12</f>
        <v>6008.33333333333</v>
      </c>
      <c r="X444" s="15" t="n">
        <f aca="false">O444*Ipotesi!$C$60*(1+Ipotesi!$C$66)^(F444-1)/12</f>
        <v>10729.1666666667</v>
      </c>
      <c r="Y444" s="15" t="n">
        <f aca="false">P444*Ipotesi!$C$61*(1+Ipotesi!$C$66)^(F444-1)/12</f>
        <v>10729.1666666667</v>
      </c>
      <c r="Z444" s="15" t="n">
        <f aca="false">Q444*Ipotesi!$C$62*(1+Ipotesi!$C$66)^(F444-1)/12</f>
        <v>5793.75</v>
      </c>
      <c r="AA444" s="15" t="n">
        <f aca="false">R444*Ipotesi!$C$63*(1+Ipotesi!$C$66)^(F444-1)/12</f>
        <v>1502.08333333333</v>
      </c>
      <c r="AB444" s="15" t="n">
        <f aca="false">SUM(V444:AA444)</f>
        <v>39762.5</v>
      </c>
      <c r="AC444" s="15" t="n">
        <f aca="false">(S444*Ipotesi!$C$64+T444*Ipotesi!$C$65+U444*Ipotesi!$C$63)*(1+Ipotesi!$C$66)^(F444-1)/12</f>
        <v>15965</v>
      </c>
      <c r="AD444" s="15" t="n">
        <f aca="false">INDEX(Ipotesi!$C$48:$G$48,1,F444)*G444/12</f>
        <v>37.5</v>
      </c>
      <c r="AE444" s="15" t="n">
        <f aca="false">INDEX(Ipotesi!$C$50:$G$50,1,F444)*G444/12</f>
        <v>4.58333333333333</v>
      </c>
      <c r="AF444" s="15" t="n">
        <f aca="false">(S444*Parametri_v3!$C$7*Parametri_v3!$C$8+Parametri_v3!$C$10)/12</f>
        <v>38.5</v>
      </c>
      <c r="AG444" s="15" t="n">
        <f aca="false">AD444+AE444*(1+Parametri_v3!$C$9)</f>
        <v>44.375</v>
      </c>
      <c r="AH444" s="16" t="n">
        <f aca="false">IF(AG444=0,1,MIN(1,AF444/AG444))</f>
        <v>0.867605633802817</v>
      </c>
      <c r="AI444" s="15" t="n">
        <f aca="false">AD444*AH444</f>
        <v>32.5352112676056</v>
      </c>
      <c r="AJ444" s="15" t="n">
        <f aca="false">AE444*AH444</f>
        <v>3.97652582159624</v>
      </c>
      <c r="AK444" s="15" t="n">
        <f aca="false">AI444*INDEX(Ipotesi!$C$49:$G$49,1,F444)*H444</f>
        <v>26028.1690140845</v>
      </c>
      <c r="AL444" s="15" t="n">
        <f aca="false">AJ444*INDEX(Ipotesi!$C$51:$G$51,1,F444)*H444</f>
        <v>7953.05164319249</v>
      </c>
      <c r="AM444" s="15" t="n">
        <f aca="false">AK444+AL444</f>
        <v>33981.220657277</v>
      </c>
      <c r="AN444" s="15" t="n">
        <f aca="false">INDEX(Ipotesi!$C$30:$G$30,1,F444)*G444/12</f>
        <v>22.5</v>
      </c>
      <c r="AO444" s="15" t="n">
        <f aca="false">O444*Parametri_v3!$C$7*Parametri_v3!$C$11*(1-Parametri_v3!$C$14)/12</f>
        <v>25.6666666666667</v>
      </c>
      <c r="AP444" s="15" t="n">
        <f aca="false">MIN(AN444,AO444)</f>
        <v>22.5</v>
      </c>
      <c r="AQ444" s="15" t="n">
        <f aca="false">AP444*INDEX(Ipotesi!$C$31:$G$31,1,F444)*H444</f>
        <v>21375</v>
      </c>
      <c r="AR444" s="15" t="n">
        <f aca="false">INDEX(Ipotesi!$C$75:$G$75,1,F444)*J444/12</f>
        <v>4583.33333333333</v>
      </c>
      <c r="AS444" s="15" t="n">
        <f aca="false">INDEX(Ipotesi!$C$81:$G$81,1,F444)*J444/12</f>
        <v>833.333333333333</v>
      </c>
      <c r="AT444" s="15" t="n">
        <f aca="false">AR444*Parametri_v3!$C$15+Z444*Parametri_v3!$C$16</f>
        <v>8638.95833333333</v>
      </c>
      <c r="AU444" s="15" t="n">
        <f aca="false">Q444*Parametri_v3!$C$16*Parametri_v3!$C$17</f>
        <v>105</v>
      </c>
      <c r="AV444" s="17" t="n">
        <f aca="false">BD443</f>
        <v>19.320467898167</v>
      </c>
      <c r="AW444" s="17" t="n">
        <f aca="false">AV444*(1-(1-INDEX(Ipotesi!$C$34:$G$34,1,F444))^(1/12))</f>
        <v>0.168892013828483</v>
      </c>
      <c r="AX444" s="15" t="n">
        <f aca="false">ROUND(INDEX(Ipotesi!$C$32:$G$32,1,F444)*Ipotesi!J8,0)</f>
        <v>35</v>
      </c>
      <c r="AY444" s="15" t="n">
        <f aca="false">MAX(0,(AX444-(AV444-AW444))/(13-E444))</f>
        <v>3.1696848231323</v>
      </c>
      <c r="AZ444" s="15" t="n">
        <f aca="false">MIN(P444*Parametri_v3!$C$22,Q444*(1-Parametri_v3!$C$16)*Parametri_v3!$C$23)</f>
        <v>67.5</v>
      </c>
      <c r="BA444" s="15" t="n">
        <f aca="false">IF(OR(INDEX(Ipotesi!$C$35:$G$35,1,F444)&lt;=0,20-Parametri_v3!$C$21&lt;1),0,INDEX($AT$425:$AT$484,MAX(1,20-Parametri_v3!$C$21))/(INDEX(Ipotesi!$C$35:$G$35,1,F444)*Ipotesi!J27))</f>
        <v>2.87965277777778</v>
      </c>
      <c r="BB444" s="15" t="n">
        <f aca="false">IF(20-Parametri_v3!$C$21&lt;1,0,INDEX($AU$425:$AU$484,MAX(1,20-Parametri_v3!$C$21)))*Parametri_v3!$C$18*Parametri_v3!$C$19*Parametri_v3!$C$20</f>
        <v>3.9375</v>
      </c>
      <c r="BC444" s="17" t="n">
        <f aca="false">MAX(0,MIN(AY444,BA444,BB444,MAX(0,AZ444-(AV444-AW444))))</f>
        <v>2.87965277777778</v>
      </c>
      <c r="BD444" s="17" t="n">
        <f aca="false">AV444-AW444+BC444</f>
        <v>22.0312286621163</v>
      </c>
      <c r="BE444" s="17" t="n">
        <f aca="false">(AV444+BD444)/2</f>
        <v>20.6758482801416</v>
      </c>
      <c r="BF444" s="15" t="n">
        <f aca="false">BE444*INDEX(Ipotesi!$C$33:$G$33,1,F444)*H444/12</f>
        <v>6891.94942671388</v>
      </c>
      <c r="BG444" s="15" t="n">
        <f aca="false">BD444*INDEX(Ipotesi!$C$33:$G$33,1,F444)*H444</f>
        <v>88124.9146484652</v>
      </c>
      <c r="BH444" s="15" t="n">
        <f aca="false">AM444*INDEX(Ipotesi!$C$37:$G$37,1,F444)</f>
        <v>3398.1220657277</v>
      </c>
      <c r="BI444" s="15" t="n">
        <f aca="false">AQ444+BF444+BH444</f>
        <v>31665.0714924416</v>
      </c>
      <c r="BJ444" s="15" t="n">
        <f aca="false">INDEX(Ipotesi!$C$68:$G$68,1,F444)*Ipotesi!$C$69/12</f>
        <v>1600</v>
      </c>
      <c r="BK444" s="15" t="n">
        <f aca="false">INDEX(Ipotesi!$C$68:$G$68,1,F444)*(1-Ipotesi!$C$69)/12</f>
        <v>2400</v>
      </c>
      <c r="BL444" s="15" t="n">
        <f aca="false">(AQ444+BF444)*Ipotesi!$C$67</f>
        <v>848.008482801416</v>
      </c>
      <c r="BM444" s="15" t="n">
        <f aca="false">AM444*Ipotesi!$C$67</f>
        <v>1019.43661971831</v>
      </c>
      <c r="BN444" s="15" t="n">
        <f aca="false">INDEX(Ipotesi!$C$72:$G$72,1,F444)/12*Ipotesi!J126+BF444*Ipotesi!$C$73</f>
        <v>1801.35595413711</v>
      </c>
      <c r="BO444" s="15" t="n">
        <f aca="false">INDEX(Ipotesi!$C$74:$G$74,1,F444)/12*Ipotesi!J126</f>
        <v>1833.33333333333</v>
      </c>
      <c r="BP444" s="15" t="n">
        <f aca="false">INDEX(Ipotesi!$C$76:$G$76,1,F444)/12</f>
        <v>750</v>
      </c>
      <c r="BQ444" s="15" t="n">
        <f aca="false">INDEX(Ipotesi!$C$77:$G$77,1,F444)/12*Ipotesi!J126</f>
        <v>1666.66666666667</v>
      </c>
      <c r="BR444" s="15" t="n">
        <f aca="false">INDEX(Ipotesi!$C$78:$G$78,1,F444)/12</f>
        <v>1250</v>
      </c>
      <c r="BS444" s="15" t="n">
        <f aca="false">SUM(M444:R444)*(Ipotesi!$C$85+Ipotesi!$C$86)/12</f>
        <v>2625</v>
      </c>
      <c r="BT444" s="15" t="n">
        <f aca="false">BI444*Ipotesi!$C$87</f>
        <v>949.952144773247</v>
      </c>
      <c r="BU444" s="15" t="n">
        <f aca="false">INDEX(Ipotesi!$C$55:$G$55,1,F444)*K444/12</f>
        <v>1000</v>
      </c>
      <c r="BV444" s="15" t="n">
        <f aca="false">INDEX(Ipotesi!$C$80:$G$80,1,F444)/12*Ipotesi!J126</f>
        <v>833.333333333333</v>
      </c>
      <c r="BW444" s="15" t="n">
        <f aca="false">INDEX(Ipotesi!$C$82:$G$82,1,F444)/12</f>
        <v>666.666666666667</v>
      </c>
      <c r="BX444" s="15" t="n">
        <f aca="false">INDEX(Ipotesi!$C$83:$G$83,1,F444)/12</f>
        <v>583.333333333333</v>
      </c>
      <c r="BY444" s="15" t="n">
        <f aca="false">SUM(S444:U444)*(Ipotesi!$C$85+Ipotesi!$C$86)/12</f>
        <v>1166.66666666667</v>
      </c>
      <c r="BZ444" s="15" t="n">
        <f aca="false">AM444*Ipotesi!$C$87</f>
        <v>1019.43661971831</v>
      </c>
      <c r="CA444" s="15" t="n">
        <f aca="false">AB444+BJ444+BL444+BN444+BO444+AR444+BP444+BQ444+BR444+BS444+BT444</f>
        <v>57670.1499150451</v>
      </c>
      <c r="CB444" s="15" t="n">
        <f aca="false">AC444+BK444+BM444+BH444+BU444+BV444+AS444+BW444+BX444+BY444+BZ444</f>
        <v>28885.3286384976</v>
      </c>
      <c r="CC444" s="15" t="n">
        <f aca="false">BI444-CA444</f>
        <v>-26005.0784226035</v>
      </c>
      <c r="CD444" s="15" t="n">
        <f aca="false">AM444-CB444</f>
        <v>5095.89201877934</v>
      </c>
      <c r="CE444" s="15" t="n">
        <f aca="false">INDEX(Ipotesi!$C$79:$G$79,1,F444)/12</f>
        <v>2083.33333333333</v>
      </c>
      <c r="CF444" s="15" t="n">
        <f aca="false">INDEX(Ipotesi!$C$84:$G$84,1,F444)/12</f>
        <v>416.666666666667</v>
      </c>
      <c r="CG444" s="15" t="n">
        <f aca="false">Y444*MAX(0,Parametri_v3!$C$12-IF(P444=0,0,MIN(1,BE444/(P444*Parametri_v3!$C$22))))+W444*Parametri_v3!$C$13+X444*Parametri_v3!$C$14</f>
        <v>14991.8281779773</v>
      </c>
      <c r="CH444" s="15" t="n">
        <f aca="false">AB444*Parametri_v3!$C$32</f>
        <v>1988.125</v>
      </c>
      <c r="CI444" s="15" t="n">
        <f aca="false">AC444*Parametri_v3!$C$32</f>
        <v>798.25</v>
      </c>
      <c r="CJ444" s="15" t="n">
        <f aca="false">CA444-AB444</f>
        <v>17907.6499150451</v>
      </c>
      <c r="CK444" s="15" t="n">
        <f aca="false">CB444-AC444-BH444</f>
        <v>9522.20657276995</v>
      </c>
      <c r="CL444" s="15" t="n">
        <f aca="false">BF444*Ipotesi!$C$73+INDEX(Ipotesi!$C$72:$G$72,1,F444)/12*Ipotesi!J126*Parametri_v3!$C$58+Z444*(1-Parametri_v3!$C$16)</f>
        <v>3539.48095413711</v>
      </c>
      <c r="CM444" s="16" t="n">
        <f aca="false">IF(BF444=0,0,1-CL444/BF444)</f>
        <v>0.48643254107209</v>
      </c>
    </row>
    <row r="445" customFormat="false" ht="18" hidden="false" customHeight="true" outlineLevel="0" collapsed="false">
      <c r="A445" s="68" t="n">
        <f aca="false">8</f>
        <v>8</v>
      </c>
      <c r="B445" s="68" t="n">
        <f aca="false">21</f>
        <v>21</v>
      </c>
      <c r="C445" s="18" t="n">
        <f aca="false">EDATE(Parametri_v3!$C$5,21-1)</f>
        <v>46997</v>
      </c>
      <c r="D445" s="68" t="n">
        <f aca="false">YEAR(C445)</f>
        <v>2028</v>
      </c>
      <c r="E445" s="68" t="n">
        <f aca="false">MONTH(C445)</f>
        <v>9</v>
      </c>
      <c r="F445" s="68" t="n">
        <f aca="false">INT((21-1)/12)+1</f>
        <v>2</v>
      </c>
      <c r="G445" s="15" t="n">
        <f aca="false">Ipotesi!J7</f>
        <v>1</v>
      </c>
      <c r="H445" s="15" t="n">
        <f aca="false">Ipotesi!J9</f>
        <v>1</v>
      </c>
      <c r="I445" s="15" t="n">
        <f aca="false">Ipotesi!J10</f>
        <v>1</v>
      </c>
      <c r="J445" s="15" t="n">
        <f aca="false">Ipotesi!J11</f>
        <v>1</v>
      </c>
      <c r="K445" s="15" t="n">
        <f aca="false">Ipotesi!J12</f>
        <v>1</v>
      </c>
      <c r="L445" s="15" t="n">
        <f aca="false">Ipotesi!J13</f>
        <v>90</v>
      </c>
      <c r="M445" s="17" t="n">
        <f aca="false">INDEX(Ipotesi!$C$40:$G$40,1,F445)</f>
        <v>1</v>
      </c>
      <c r="N445" s="17" t="n">
        <f aca="false">INDEX(Ipotesi!$C$41:$G$41,1,F445)</f>
        <v>1</v>
      </c>
      <c r="O445" s="17" t="n">
        <f aca="false">INDEX(Ipotesi!$C$42:$G$42,1,F445)*Ipotesi!J125</f>
        <v>2.5</v>
      </c>
      <c r="P445" s="17" t="n">
        <f aca="false">INDEX(Ipotesi!$C$43:$G$43,1,F445)*I445</f>
        <v>2.5</v>
      </c>
      <c r="Q445" s="17" t="n">
        <f aca="false">INDEX(Ipotesi!$C$44:$G$44,1,F445)*I445</f>
        <v>1.5</v>
      </c>
      <c r="R445" s="17" t="n">
        <f aca="false">INDEX(Ipotesi!$C$45:$G$45,1,F445)*I445</f>
        <v>0.5</v>
      </c>
      <c r="S445" s="17" t="n">
        <f aca="false">INDEX(Ipotesi!$C$52:$G$52,1,F445)*Ipotesi!J125</f>
        <v>3</v>
      </c>
      <c r="T445" s="17" t="n">
        <f aca="false">INDEX(Ipotesi!$C$53:$G$53,1,F445)*I445</f>
        <v>1</v>
      </c>
      <c r="U445" s="17" t="n">
        <f aca="false">INDEX(Ipotesi!$C$54:$G$54,1,F445)*I445</f>
        <v>0</v>
      </c>
      <c r="V445" s="15" t="n">
        <f aca="false">M445*INDEX(Ipotesi!$C$58:$G$58,1,F445)*K445/12</f>
        <v>5000</v>
      </c>
      <c r="W445" s="15" t="n">
        <f aca="false">N445*Ipotesi!$C$59*(1+Ipotesi!$C$66)^(F445-1)/12</f>
        <v>6008.33333333333</v>
      </c>
      <c r="X445" s="15" t="n">
        <f aca="false">O445*Ipotesi!$C$60*(1+Ipotesi!$C$66)^(F445-1)/12</f>
        <v>10729.1666666667</v>
      </c>
      <c r="Y445" s="15" t="n">
        <f aca="false">P445*Ipotesi!$C$61*(1+Ipotesi!$C$66)^(F445-1)/12</f>
        <v>10729.1666666667</v>
      </c>
      <c r="Z445" s="15" t="n">
        <f aca="false">Q445*Ipotesi!$C$62*(1+Ipotesi!$C$66)^(F445-1)/12</f>
        <v>5793.75</v>
      </c>
      <c r="AA445" s="15" t="n">
        <f aca="false">R445*Ipotesi!$C$63*(1+Ipotesi!$C$66)^(F445-1)/12</f>
        <v>1502.08333333333</v>
      </c>
      <c r="AB445" s="15" t="n">
        <f aca="false">SUM(V445:AA445)</f>
        <v>39762.5</v>
      </c>
      <c r="AC445" s="15" t="n">
        <f aca="false">(S445*Ipotesi!$C$64+T445*Ipotesi!$C$65+U445*Ipotesi!$C$63)*(1+Ipotesi!$C$66)^(F445-1)/12</f>
        <v>15965</v>
      </c>
      <c r="AD445" s="15" t="n">
        <f aca="false">INDEX(Ipotesi!$C$48:$G$48,1,F445)*G445/12</f>
        <v>37.5</v>
      </c>
      <c r="AE445" s="15" t="n">
        <f aca="false">INDEX(Ipotesi!$C$50:$G$50,1,F445)*G445/12</f>
        <v>4.58333333333333</v>
      </c>
      <c r="AF445" s="15" t="n">
        <f aca="false">(S445*Parametri_v3!$C$7*Parametri_v3!$C$8+Parametri_v3!$C$10)/12</f>
        <v>38.5</v>
      </c>
      <c r="AG445" s="15" t="n">
        <f aca="false">AD445+AE445*(1+Parametri_v3!$C$9)</f>
        <v>44.375</v>
      </c>
      <c r="AH445" s="16" t="n">
        <f aca="false">IF(AG445=0,1,MIN(1,AF445/AG445))</f>
        <v>0.867605633802817</v>
      </c>
      <c r="AI445" s="15" t="n">
        <f aca="false">AD445*AH445</f>
        <v>32.5352112676056</v>
      </c>
      <c r="AJ445" s="15" t="n">
        <f aca="false">AE445*AH445</f>
        <v>3.97652582159624</v>
      </c>
      <c r="AK445" s="15" t="n">
        <f aca="false">AI445*INDEX(Ipotesi!$C$49:$G$49,1,F445)*H445</f>
        <v>26028.1690140845</v>
      </c>
      <c r="AL445" s="15" t="n">
        <f aca="false">AJ445*INDEX(Ipotesi!$C$51:$G$51,1,F445)*H445</f>
        <v>7953.05164319249</v>
      </c>
      <c r="AM445" s="15" t="n">
        <f aca="false">AK445+AL445</f>
        <v>33981.220657277</v>
      </c>
      <c r="AN445" s="15" t="n">
        <f aca="false">INDEX(Ipotesi!$C$30:$G$30,1,F445)*G445/12</f>
        <v>22.5</v>
      </c>
      <c r="AO445" s="15" t="n">
        <f aca="false">O445*Parametri_v3!$C$7*Parametri_v3!$C$11*(1-Parametri_v3!$C$14)/12</f>
        <v>25.6666666666667</v>
      </c>
      <c r="AP445" s="15" t="n">
        <f aca="false">MIN(AN445,AO445)</f>
        <v>22.5</v>
      </c>
      <c r="AQ445" s="15" t="n">
        <f aca="false">AP445*INDEX(Ipotesi!$C$31:$G$31,1,F445)*H445</f>
        <v>21375</v>
      </c>
      <c r="AR445" s="15" t="n">
        <f aca="false">INDEX(Ipotesi!$C$75:$G$75,1,F445)*J445/12</f>
        <v>4583.33333333333</v>
      </c>
      <c r="AS445" s="15" t="n">
        <f aca="false">INDEX(Ipotesi!$C$81:$G$81,1,F445)*J445/12</f>
        <v>833.333333333333</v>
      </c>
      <c r="AT445" s="15" t="n">
        <f aca="false">AR445*Parametri_v3!$C$15+Z445*Parametri_v3!$C$16</f>
        <v>8638.95833333333</v>
      </c>
      <c r="AU445" s="15" t="n">
        <f aca="false">Q445*Parametri_v3!$C$16*Parametri_v3!$C$17</f>
        <v>105</v>
      </c>
      <c r="AV445" s="17" t="n">
        <f aca="false">BD444</f>
        <v>22.0312286621163</v>
      </c>
      <c r="AW445" s="17" t="n">
        <f aca="false">AV445*(1-(1-INDEX(Ipotesi!$C$34:$G$34,1,F445))^(1/12))</f>
        <v>0.192588429818184</v>
      </c>
      <c r="AX445" s="15" t="n">
        <f aca="false">ROUND(INDEX(Ipotesi!$C$32:$G$32,1,F445)*Ipotesi!J8,0)</f>
        <v>35</v>
      </c>
      <c r="AY445" s="15" t="n">
        <f aca="false">MAX(0,(AX445-(AV445-AW445))/(13-E445))</f>
        <v>3.29033994192547</v>
      </c>
      <c r="AZ445" s="15" t="n">
        <f aca="false">MIN(P445*Parametri_v3!$C$22,Q445*(1-Parametri_v3!$C$16)*Parametri_v3!$C$23)</f>
        <v>67.5</v>
      </c>
      <c r="BA445" s="15" t="n">
        <f aca="false">IF(OR(INDEX(Ipotesi!$C$35:$G$35,1,F445)&lt;=0,21-Parametri_v3!$C$21&lt;1),0,INDEX($AT$425:$AT$484,MAX(1,21-Parametri_v3!$C$21))/(INDEX(Ipotesi!$C$35:$G$35,1,F445)*Ipotesi!J27))</f>
        <v>2.87965277777778</v>
      </c>
      <c r="BB445" s="15" t="n">
        <f aca="false">IF(21-Parametri_v3!$C$21&lt;1,0,INDEX($AU$425:$AU$484,MAX(1,21-Parametri_v3!$C$21)))*Parametri_v3!$C$18*Parametri_v3!$C$19*Parametri_v3!$C$20</f>
        <v>3.9375</v>
      </c>
      <c r="BC445" s="17" t="n">
        <f aca="false">MAX(0,MIN(AY445,BA445,BB445,MAX(0,AZ445-(AV445-AW445))))</f>
        <v>2.87965277777778</v>
      </c>
      <c r="BD445" s="17" t="n">
        <f aca="false">AV445-AW445+BC445</f>
        <v>24.7182930100759</v>
      </c>
      <c r="BE445" s="17" t="n">
        <f aca="false">(AV445+BD445)/2</f>
        <v>23.3747608360961</v>
      </c>
      <c r="BF445" s="15" t="n">
        <f aca="false">BE445*INDEX(Ipotesi!$C$33:$G$33,1,F445)*H445/12</f>
        <v>7791.58694536536</v>
      </c>
      <c r="BG445" s="15" t="n">
        <f aca="false">BD445*INDEX(Ipotesi!$C$33:$G$33,1,F445)*H445</f>
        <v>98873.1720403035</v>
      </c>
      <c r="BH445" s="15" t="n">
        <f aca="false">AM445*INDEX(Ipotesi!$C$37:$G$37,1,F445)</f>
        <v>3398.1220657277</v>
      </c>
      <c r="BI445" s="15" t="n">
        <f aca="false">AQ445+BF445+BH445</f>
        <v>32564.7090110931</v>
      </c>
      <c r="BJ445" s="15" t="n">
        <f aca="false">INDEX(Ipotesi!$C$68:$G$68,1,F445)*Ipotesi!$C$69/12</f>
        <v>1600</v>
      </c>
      <c r="BK445" s="15" t="n">
        <f aca="false">INDEX(Ipotesi!$C$68:$G$68,1,F445)*(1-Ipotesi!$C$69)/12</f>
        <v>2400</v>
      </c>
      <c r="BL445" s="15" t="n">
        <f aca="false">(AQ445+BF445)*Ipotesi!$C$67</f>
        <v>874.997608360961</v>
      </c>
      <c r="BM445" s="15" t="n">
        <f aca="false">AM445*Ipotesi!$C$67</f>
        <v>1019.43661971831</v>
      </c>
      <c r="BN445" s="15" t="n">
        <f aca="false">INDEX(Ipotesi!$C$72:$G$72,1,F445)/12*Ipotesi!J126+BF445*Ipotesi!$C$73</f>
        <v>1873.32695562923</v>
      </c>
      <c r="BO445" s="15" t="n">
        <f aca="false">INDEX(Ipotesi!$C$74:$G$74,1,F445)/12*Ipotesi!J126</f>
        <v>1833.33333333333</v>
      </c>
      <c r="BP445" s="15" t="n">
        <f aca="false">INDEX(Ipotesi!$C$76:$G$76,1,F445)/12</f>
        <v>750</v>
      </c>
      <c r="BQ445" s="15" t="n">
        <f aca="false">INDEX(Ipotesi!$C$77:$G$77,1,F445)/12*Ipotesi!J126</f>
        <v>1666.66666666667</v>
      </c>
      <c r="BR445" s="15" t="n">
        <f aca="false">INDEX(Ipotesi!$C$78:$G$78,1,F445)/12</f>
        <v>1250</v>
      </c>
      <c r="BS445" s="15" t="n">
        <f aca="false">SUM(M445:R445)*(Ipotesi!$C$85+Ipotesi!$C$86)/12</f>
        <v>2625</v>
      </c>
      <c r="BT445" s="15" t="n">
        <f aca="false">BI445*Ipotesi!$C$87</f>
        <v>976.941270332792</v>
      </c>
      <c r="BU445" s="15" t="n">
        <f aca="false">INDEX(Ipotesi!$C$55:$G$55,1,F445)*K445/12</f>
        <v>1000</v>
      </c>
      <c r="BV445" s="15" t="n">
        <f aca="false">INDEX(Ipotesi!$C$80:$G$80,1,F445)/12*Ipotesi!J126</f>
        <v>833.333333333333</v>
      </c>
      <c r="BW445" s="15" t="n">
        <f aca="false">INDEX(Ipotesi!$C$82:$G$82,1,F445)/12</f>
        <v>666.666666666667</v>
      </c>
      <c r="BX445" s="15" t="n">
        <f aca="false">INDEX(Ipotesi!$C$83:$G$83,1,F445)/12</f>
        <v>583.333333333333</v>
      </c>
      <c r="BY445" s="15" t="n">
        <f aca="false">SUM(S445:U445)*(Ipotesi!$C$85+Ipotesi!$C$86)/12</f>
        <v>1166.66666666667</v>
      </c>
      <c r="BZ445" s="15" t="n">
        <f aca="false">AM445*Ipotesi!$C$87</f>
        <v>1019.43661971831</v>
      </c>
      <c r="CA445" s="15" t="n">
        <f aca="false">AB445+BJ445+BL445+BN445+BO445+AR445+BP445+BQ445+BR445+BS445+BT445</f>
        <v>57796.0991676563</v>
      </c>
      <c r="CB445" s="15" t="n">
        <f aca="false">AC445+BK445+BM445+BH445+BU445+BV445+AS445+BW445+BX445+BY445+BZ445</f>
        <v>28885.3286384976</v>
      </c>
      <c r="CC445" s="15" t="n">
        <f aca="false">BI445-CA445</f>
        <v>-25231.3901565633</v>
      </c>
      <c r="CD445" s="15" t="n">
        <f aca="false">AM445-CB445</f>
        <v>5095.89201877934</v>
      </c>
      <c r="CE445" s="15" t="n">
        <f aca="false">INDEX(Ipotesi!$C$79:$G$79,1,F445)/12</f>
        <v>2083.33333333333</v>
      </c>
      <c r="CF445" s="15" t="n">
        <f aca="false">INDEX(Ipotesi!$C$84:$G$84,1,F445)/12</f>
        <v>416.666666666667</v>
      </c>
      <c r="CG445" s="15" t="n">
        <f aca="false">Y445*MAX(0,Parametri_v3!$C$12-IF(P445=0,0,MIN(1,BE445/(P445*Parametri_v3!$C$22))))+W445*Parametri_v3!$C$13+X445*Parametri_v3!$C$14</f>
        <v>14875.9998474509</v>
      </c>
      <c r="CH445" s="15" t="n">
        <f aca="false">AB445*Parametri_v3!$C$32</f>
        <v>1988.125</v>
      </c>
      <c r="CI445" s="15" t="n">
        <f aca="false">AC445*Parametri_v3!$C$32</f>
        <v>798.25</v>
      </c>
      <c r="CJ445" s="15" t="n">
        <f aca="false">CA445-AB445</f>
        <v>18033.5991676563</v>
      </c>
      <c r="CK445" s="15" t="n">
        <f aca="false">CB445-AC445-BH445</f>
        <v>9522.20657276995</v>
      </c>
      <c r="CL445" s="15" t="n">
        <f aca="false">BF445*Ipotesi!$C$73+INDEX(Ipotesi!$C$72:$G$72,1,F445)/12*Ipotesi!J126*Parametri_v3!$C$58+Z445*(1-Parametri_v3!$C$16)</f>
        <v>3611.45195562923</v>
      </c>
      <c r="CM445" s="16" t="n">
        <f aca="false">IF(BF445=0,0,1-CL445/BF445)</f>
        <v>0.536493402312938</v>
      </c>
    </row>
    <row r="446" customFormat="false" ht="18" hidden="false" customHeight="true" outlineLevel="0" collapsed="false">
      <c r="A446" s="68" t="n">
        <f aca="false">8</f>
        <v>8</v>
      </c>
      <c r="B446" s="68" t="n">
        <f aca="false">22</f>
        <v>22</v>
      </c>
      <c r="C446" s="18" t="n">
        <f aca="false">EDATE(Parametri_v3!$C$5,22-1)</f>
        <v>47027</v>
      </c>
      <c r="D446" s="68" t="n">
        <f aca="false">YEAR(C446)</f>
        <v>2028</v>
      </c>
      <c r="E446" s="68" t="n">
        <f aca="false">MONTH(C446)</f>
        <v>10</v>
      </c>
      <c r="F446" s="68" t="n">
        <f aca="false">INT((22-1)/12)+1</f>
        <v>2</v>
      </c>
      <c r="G446" s="15" t="n">
        <f aca="false">Ipotesi!J7</f>
        <v>1</v>
      </c>
      <c r="H446" s="15" t="n">
        <f aca="false">Ipotesi!J9</f>
        <v>1</v>
      </c>
      <c r="I446" s="15" t="n">
        <f aca="false">Ipotesi!J10</f>
        <v>1</v>
      </c>
      <c r="J446" s="15" t="n">
        <f aca="false">Ipotesi!J11</f>
        <v>1</v>
      </c>
      <c r="K446" s="15" t="n">
        <f aca="false">Ipotesi!J12</f>
        <v>1</v>
      </c>
      <c r="L446" s="15" t="n">
        <f aca="false">Ipotesi!J13</f>
        <v>90</v>
      </c>
      <c r="M446" s="17" t="n">
        <f aca="false">INDEX(Ipotesi!$C$40:$G$40,1,F446)</f>
        <v>1</v>
      </c>
      <c r="N446" s="17" t="n">
        <f aca="false">INDEX(Ipotesi!$C$41:$G$41,1,F446)</f>
        <v>1</v>
      </c>
      <c r="O446" s="17" t="n">
        <f aca="false">INDEX(Ipotesi!$C$42:$G$42,1,F446)*Ipotesi!J125</f>
        <v>2.5</v>
      </c>
      <c r="P446" s="17" t="n">
        <f aca="false">INDEX(Ipotesi!$C$43:$G$43,1,F446)*I446</f>
        <v>2.5</v>
      </c>
      <c r="Q446" s="17" t="n">
        <f aca="false">INDEX(Ipotesi!$C$44:$G$44,1,F446)*I446</f>
        <v>1.5</v>
      </c>
      <c r="R446" s="17" t="n">
        <f aca="false">INDEX(Ipotesi!$C$45:$G$45,1,F446)*I446</f>
        <v>0.5</v>
      </c>
      <c r="S446" s="17" t="n">
        <f aca="false">INDEX(Ipotesi!$C$52:$G$52,1,F446)*Ipotesi!J125</f>
        <v>3</v>
      </c>
      <c r="T446" s="17" t="n">
        <f aca="false">INDEX(Ipotesi!$C$53:$G$53,1,F446)*I446</f>
        <v>1</v>
      </c>
      <c r="U446" s="17" t="n">
        <f aca="false">INDEX(Ipotesi!$C$54:$G$54,1,F446)*I446</f>
        <v>0</v>
      </c>
      <c r="V446" s="15" t="n">
        <f aca="false">M446*INDEX(Ipotesi!$C$58:$G$58,1,F446)*K446/12</f>
        <v>5000</v>
      </c>
      <c r="W446" s="15" t="n">
        <f aca="false">N446*Ipotesi!$C$59*(1+Ipotesi!$C$66)^(F446-1)/12</f>
        <v>6008.33333333333</v>
      </c>
      <c r="X446" s="15" t="n">
        <f aca="false">O446*Ipotesi!$C$60*(1+Ipotesi!$C$66)^(F446-1)/12</f>
        <v>10729.1666666667</v>
      </c>
      <c r="Y446" s="15" t="n">
        <f aca="false">P446*Ipotesi!$C$61*(1+Ipotesi!$C$66)^(F446-1)/12</f>
        <v>10729.1666666667</v>
      </c>
      <c r="Z446" s="15" t="n">
        <f aca="false">Q446*Ipotesi!$C$62*(1+Ipotesi!$C$66)^(F446-1)/12</f>
        <v>5793.75</v>
      </c>
      <c r="AA446" s="15" t="n">
        <f aca="false">R446*Ipotesi!$C$63*(1+Ipotesi!$C$66)^(F446-1)/12</f>
        <v>1502.08333333333</v>
      </c>
      <c r="AB446" s="15" t="n">
        <f aca="false">SUM(V446:AA446)</f>
        <v>39762.5</v>
      </c>
      <c r="AC446" s="15" t="n">
        <f aca="false">(S446*Ipotesi!$C$64+T446*Ipotesi!$C$65+U446*Ipotesi!$C$63)*(1+Ipotesi!$C$66)^(F446-1)/12</f>
        <v>15965</v>
      </c>
      <c r="AD446" s="15" t="n">
        <f aca="false">INDEX(Ipotesi!$C$48:$G$48,1,F446)*G446/12</f>
        <v>37.5</v>
      </c>
      <c r="AE446" s="15" t="n">
        <f aca="false">INDEX(Ipotesi!$C$50:$G$50,1,F446)*G446/12</f>
        <v>4.58333333333333</v>
      </c>
      <c r="AF446" s="15" t="n">
        <f aca="false">(S446*Parametri_v3!$C$7*Parametri_v3!$C$8+Parametri_v3!$C$10)/12</f>
        <v>38.5</v>
      </c>
      <c r="AG446" s="15" t="n">
        <f aca="false">AD446+AE446*(1+Parametri_v3!$C$9)</f>
        <v>44.375</v>
      </c>
      <c r="AH446" s="16" t="n">
        <f aca="false">IF(AG446=0,1,MIN(1,AF446/AG446))</f>
        <v>0.867605633802817</v>
      </c>
      <c r="AI446" s="15" t="n">
        <f aca="false">AD446*AH446</f>
        <v>32.5352112676056</v>
      </c>
      <c r="AJ446" s="15" t="n">
        <f aca="false">AE446*AH446</f>
        <v>3.97652582159624</v>
      </c>
      <c r="AK446" s="15" t="n">
        <f aca="false">AI446*INDEX(Ipotesi!$C$49:$G$49,1,F446)*H446</f>
        <v>26028.1690140845</v>
      </c>
      <c r="AL446" s="15" t="n">
        <f aca="false">AJ446*INDEX(Ipotesi!$C$51:$G$51,1,F446)*H446</f>
        <v>7953.05164319249</v>
      </c>
      <c r="AM446" s="15" t="n">
        <f aca="false">AK446+AL446</f>
        <v>33981.220657277</v>
      </c>
      <c r="AN446" s="15" t="n">
        <f aca="false">INDEX(Ipotesi!$C$30:$G$30,1,F446)*G446/12</f>
        <v>22.5</v>
      </c>
      <c r="AO446" s="15" t="n">
        <f aca="false">O446*Parametri_v3!$C$7*Parametri_v3!$C$11*(1-Parametri_v3!$C$14)/12</f>
        <v>25.6666666666667</v>
      </c>
      <c r="AP446" s="15" t="n">
        <f aca="false">MIN(AN446,AO446)</f>
        <v>22.5</v>
      </c>
      <c r="AQ446" s="15" t="n">
        <f aca="false">AP446*INDEX(Ipotesi!$C$31:$G$31,1,F446)*H446</f>
        <v>21375</v>
      </c>
      <c r="AR446" s="15" t="n">
        <f aca="false">INDEX(Ipotesi!$C$75:$G$75,1,F446)*J446/12</f>
        <v>4583.33333333333</v>
      </c>
      <c r="AS446" s="15" t="n">
        <f aca="false">INDEX(Ipotesi!$C$81:$G$81,1,F446)*J446/12</f>
        <v>833.333333333333</v>
      </c>
      <c r="AT446" s="15" t="n">
        <f aca="false">AR446*Parametri_v3!$C$15+Z446*Parametri_v3!$C$16</f>
        <v>8638.95833333333</v>
      </c>
      <c r="AU446" s="15" t="n">
        <f aca="false">Q446*Parametri_v3!$C$16*Parametri_v3!$C$17</f>
        <v>105</v>
      </c>
      <c r="AV446" s="17" t="n">
        <f aca="false">BD445</f>
        <v>24.7182930100759</v>
      </c>
      <c r="AW446" s="17" t="n">
        <f aca="false">AV446*(1-(1-INDEX(Ipotesi!$C$34:$G$34,1,F446))^(1/12))</f>
        <v>0.216077700958283</v>
      </c>
      <c r="AX446" s="15" t="n">
        <f aca="false">ROUND(INDEX(Ipotesi!$C$32:$G$32,1,F446)*Ipotesi!J8,0)</f>
        <v>35</v>
      </c>
      <c r="AY446" s="15" t="n">
        <f aca="false">MAX(0,(AX446-(AV446-AW446))/(13-E446))</f>
        <v>3.49926156362747</v>
      </c>
      <c r="AZ446" s="15" t="n">
        <f aca="false">MIN(P446*Parametri_v3!$C$22,Q446*(1-Parametri_v3!$C$16)*Parametri_v3!$C$23)</f>
        <v>67.5</v>
      </c>
      <c r="BA446" s="15" t="n">
        <f aca="false">IF(OR(INDEX(Ipotesi!$C$35:$G$35,1,F446)&lt;=0,22-Parametri_v3!$C$21&lt;1),0,INDEX($AT$425:$AT$484,MAX(1,22-Parametri_v3!$C$21))/(INDEX(Ipotesi!$C$35:$G$35,1,F446)*Ipotesi!J27))</f>
        <v>2.87965277777778</v>
      </c>
      <c r="BB446" s="15" t="n">
        <f aca="false">IF(22-Parametri_v3!$C$21&lt;1,0,INDEX($AU$425:$AU$484,MAX(1,22-Parametri_v3!$C$21)))*Parametri_v3!$C$18*Parametri_v3!$C$19*Parametri_v3!$C$20</f>
        <v>3.9375</v>
      </c>
      <c r="BC446" s="17" t="n">
        <f aca="false">MAX(0,MIN(AY446,BA446,BB446,MAX(0,AZ446-(AV446-AW446))))</f>
        <v>2.87965277777778</v>
      </c>
      <c r="BD446" s="17" t="n">
        <f aca="false">AV446-AW446+BC446</f>
        <v>27.3818680868954</v>
      </c>
      <c r="BE446" s="17" t="n">
        <f aca="false">(AV446+BD446)/2</f>
        <v>26.0500805484856</v>
      </c>
      <c r="BF446" s="15" t="n">
        <f aca="false">BE446*INDEX(Ipotesi!$C$33:$G$33,1,F446)*H446/12</f>
        <v>8683.36018282855</v>
      </c>
      <c r="BG446" s="15" t="n">
        <f aca="false">BD446*INDEX(Ipotesi!$C$33:$G$33,1,F446)*H446</f>
        <v>109527.472347582</v>
      </c>
      <c r="BH446" s="15" t="n">
        <f aca="false">AM446*INDEX(Ipotesi!$C$37:$G$37,1,F446)</f>
        <v>3398.1220657277</v>
      </c>
      <c r="BI446" s="15" t="n">
        <f aca="false">AQ446+BF446+BH446</f>
        <v>33456.4822485563</v>
      </c>
      <c r="BJ446" s="15" t="n">
        <f aca="false">INDEX(Ipotesi!$C$68:$G$68,1,F446)*Ipotesi!$C$69/12</f>
        <v>1600</v>
      </c>
      <c r="BK446" s="15" t="n">
        <f aca="false">INDEX(Ipotesi!$C$68:$G$68,1,F446)*(1-Ipotesi!$C$69)/12</f>
        <v>2400</v>
      </c>
      <c r="BL446" s="15" t="n">
        <f aca="false">(AQ446+BF446)*Ipotesi!$C$67</f>
        <v>901.750805484856</v>
      </c>
      <c r="BM446" s="15" t="n">
        <f aca="false">AM446*Ipotesi!$C$67</f>
        <v>1019.43661971831</v>
      </c>
      <c r="BN446" s="15" t="n">
        <f aca="false">INDEX(Ipotesi!$C$72:$G$72,1,F446)/12*Ipotesi!J126+BF446*Ipotesi!$C$73</f>
        <v>1944.66881462628</v>
      </c>
      <c r="BO446" s="15" t="n">
        <f aca="false">INDEX(Ipotesi!$C$74:$G$74,1,F446)/12*Ipotesi!J126</f>
        <v>1833.33333333333</v>
      </c>
      <c r="BP446" s="15" t="n">
        <f aca="false">INDEX(Ipotesi!$C$76:$G$76,1,F446)/12</f>
        <v>750</v>
      </c>
      <c r="BQ446" s="15" t="n">
        <f aca="false">INDEX(Ipotesi!$C$77:$G$77,1,F446)/12*Ipotesi!J126</f>
        <v>1666.66666666667</v>
      </c>
      <c r="BR446" s="15" t="n">
        <f aca="false">INDEX(Ipotesi!$C$78:$G$78,1,F446)/12</f>
        <v>1250</v>
      </c>
      <c r="BS446" s="15" t="n">
        <f aca="false">SUM(M446:R446)*(Ipotesi!$C$85+Ipotesi!$C$86)/12</f>
        <v>2625</v>
      </c>
      <c r="BT446" s="15" t="n">
        <f aca="false">BI446*Ipotesi!$C$87</f>
        <v>1003.69446745669</v>
      </c>
      <c r="BU446" s="15" t="n">
        <f aca="false">INDEX(Ipotesi!$C$55:$G$55,1,F446)*K446/12</f>
        <v>1000</v>
      </c>
      <c r="BV446" s="15" t="n">
        <f aca="false">INDEX(Ipotesi!$C$80:$G$80,1,F446)/12*Ipotesi!J126</f>
        <v>833.333333333333</v>
      </c>
      <c r="BW446" s="15" t="n">
        <f aca="false">INDEX(Ipotesi!$C$82:$G$82,1,F446)/12</f>
        <v>666.666666666667</v>
      </c>
      <c r="BX446" s="15" t="n">
        <f aca="false">INDEX(Ipotesi!$C$83:$G$83,1,F446)/12</f>
        <v>583.333333333333</v>
      </c>
      <c r="BY446" s="15" t="n">
        <f aca="false">SUM(S446:U446)*(Ipotesi!$C$85+Ipotesi!$C$86)/12</f>
        <v>1166.66666666667</v>
      </c>
      <c r="BZ446" s="15" t="n">
        <f aca="false">AM446*Ipotesi!$C$87</f>
        <v>1019.43661971831</v>
      </c>
      <c r="CA446" s="15" t="n">
        <f aca="false">AB446+BJ446+BL446+BN446+BO446+AR446+BP446+BQ446+BR446+BS446+BT446</f>
        <v>57920.9474209012</v>
      </c>
      <c r="CB446" s="15" t="n">
        <f aca="false">AC446+BK446+BM446+BH446+BU446+BV446+AS446+BW446+BX446+BY446+BZ446</f>
        <v>28885.3286384976</v>
      </c>
      <c r="CC446" s="15" t="n">
        <f aca="false">BI446-CA446</f>
        <v>-24464.4651723449</v>
      </c>
      <c r="CD446" s="15" t="n">
        <f aca="false">AM446-CB446</f>
        <v>5095.89201877934</v>
      </c>
      <c r="CE446" s="15" t="n">
        <f aca="false">INDEX(Ipotesi!$C$79:$G$79,1,F446)/12</f>
        <v>2083.33333333333</v>
      </c>
      <c r="CF446" s="15" t="n">
        <f aca="false">INDEX(Ipotesi!$C$84:$G$84,1,F446)/12</f>
        <v>416.666666666667</v>
      </c>
      <c r="CG446" s="15" t="n">
        <f aca="false">Y446*MAX(0,Parametri_v3!$C$12-IF(P446=0,0,MIN(1,BE446/(P446*Parametri_v3!$C$22))))+W446*Parametri_v3!$C$13+X446*Parametri_v3!$C$14</f>
        <v>14761.1840431275</v>
      </c>
      <c r="CH446" s="15" t="n">
        <f aca="false">AB446*Parametri_v3!$C$32</f>
        <v>1988.125</v>
      </c>
      <c r="CI446" s="15" t="n">
        <f aca="false">AC446*Parametri_v3!$C$32</f>
        <v>798.25</v>
      </c>
      <c r="CJ446" s="15" t="n">
        <f aca="false">CA446-AB446</f>
        <v>18158.4474209012</v>
      </c>
      <c r="CK446" s="15" t="n">
        <f aca="false">CB446-AC446-BH446</f>
        <v>9522.20657276995</v>
      </c>
      <c r="CL446" s="15" t="n">
        <f aca="false">BF446*Ipotesi!$C$73+INDEX(Ipotesi!$C$72:$G$72,1,F446)/12*Ipotesi!J126*Parametri_v3!$C$58+Z446*(1-Parametri_v3!$C$16)</f>
        <v>3682.79381462628</v>
      </c>
      <c r="CM446" s="16" t="n">
        <f aca="false">IF(BF446=0,0,1-CL446/BF446)</f>
        <v>0.575879183048395</v>
      </c>
    </row>
    <row r="447" customFormat="false" ht="18" hidden="false" customHeight="true" outlineLevel="0" collapsed="false">
      <c r="A447" s="68" t="n">
        <f aca="false">8</f>
        <v>8</v>
      </c>
      <c r="B447" s="68" t="n">
        <f aca="false">23</f>
        <v>23</v>
      </c>
      <c r="C447" s="18" t="n">
        <f aca="false">EDATE(Parametri_v3!$C$5,23-1)</f>
        <v>47058</v>
      </c>
      <c r="D447" s="68" t="n">
        <f aca="false">YEAR(C447)</f>
        <v>2028</v>
      </c>
      <c r="E447" s="68" t="n">
        <f aca="false">MONTH(C447)</f>
        <v>11</v>
      </c>
      <c r="F447" s="68" t="n">
        <f aca="false">INT((23-1)/12)+1</f>
        <v>2</v>
      </c>
      <c r="G447" s="15" t="n">
        <f aca="false">Ipotesi!J7</f>
        <v>1</v>
      </c>
      <c r="H447" s="15" t="n">
        <f aca="false">Ipotesi!J9</f>
        <v>1</v>
      </c>
      <c r="I447" s="15" t="n">
        <f aca="false">Ipotesi!J10</f>
        <v>1</v>
      </c>
      <c r="J447" s="15" t="n">
        <f aca="false">Ipotesi!J11</f>
        <v>1</v>
      </c>
      <c r="K447" s="15" t="n">
        <f aca="false">Ipotesi!J12</f>
        <v>1</v>
      </c>
      <c r="L447" s="15" t="n">
        <f aca="false">Ipotesi!J13</f>
        <v>90</v>
      </c>
      <c r="M447" s="17" t="n">
        <f aca="false">INDEX(Ipotesi!$C$40:$G$40,1,F447)</f>
        <v>1</v>
      </c>
      <c r="N447" s="17" t="n">
        <f aca="false">INDEX(Ipotesi!$C$41:$G$41,1,F447)</f>
        <v>1</v>
      </c>
      <c r="O447" s="17" t="n">
        <f aca="false">INDEX(Ipotesi!$C$42:$G$42,1,F447)*Ipotesi!J125</f>
        <v>2.5</v>
      </c>
      <c r="P447" s="17" t="n">
        <f aca="false">INDEX(Ipotesi!$C$43:$G$43,1,F447)*I447</f>
        <v>2.5</v>
      </c>
      <c r="Q447" s="17" t="n">
        <f aca="false">INDEX(Ipotesi!$C$44:$G$44,1,F447)*I447</f>
        <v>1.5</v>
      </c>
      <c r="R447" s="17" t="n">
        <f aca="false">INDEX(Ipotesi!$C$45:$G$45,1,F447)*I447</f>
        <v>0.5</v>
      </c>
      <c r="S447" s="17" t="n">
        <f aca="false">INDEX(Ipotesi!$C$52:$G$52,1,F447)*Ipotesi!J125</f>
        <v>3</v>
      </c>
      <c r="T447" s="17" t="n">
        <f aca="false">INDEX(Ipotesi!$C$53:$G$53,1,F447)*I447</f>
        <v>1</v>
      </c>
      <c r="U447" s="17" t="n">
        <f aca="false">INDEX(Ipotesi!$C$54:$G$54,1,F447)*I447</f>
        <v>0</v>
      </c>
      <c r="V447" s="15" t="n">
        <f aca="false">M447*INDEX(Ipotesi!$C$58:$G$58,1,F447)*K447/12</f>
        <v>5000</v>
      </c>
      <c r="W447" s="15" t="n">
        <f aca="false">N447*Ipotesi!$C$59*(1+Ipotesi!$C$66)^(F447-1)/12</f>
        <v>6008.33333333333</v>
      </c>
      <c r="X447" s="15" t="n">
        <f aca="false">O447*Ipotesi!$C$60*(1+Ipotesi!$C$66)^(F447-1)/12</f>
        <v>10729.1666666667</v>
      </c>
      <c r="Y447" s="15" t="n">
        <f aca="false">P447*Ipotesi!$C$61*(1+Ipotesi!$C$66)^(F447-1)/12</f>
        <v>10729.1666666667</v>
      </c>
      <c r="Z447" s="15" t="n">
        <f aca="false">Q447*Ipotesi!$C$62*(1+Ipotesi!$C$66)^(F447-1)/12</f>
        <v>5793.75</v>
      </c>
      <c r="AA447" s="15" t="n">
        <f aca="false">R447*Ipotesi!$C$63*(1+Ipotesi!$C$66)^(F447-1)/12</f>
        <v>1502.08333333333</v>
      </c>
      <c r="AB447" s="15" t="n">
        <f aca="false">SUM(V447:AA447)</f>
        <v>39762.5</v>
      </c>
      <c r="AC447" s="15" t="n">
        <f aca="false">(S447*Ipotesi!$C$64+T447*Ipotesi!$C$65+U447*Ipotesi!$C$63)*(1+Ipotesi!$C$66)^(F447-1)/12</f>
        <v>15965</v>
      </c>
      <c r="AD447" s="15" t="n">
        <f aca="false">INDEX(Ipotesi!$C$48:$G$48,1,F447)*G447/12</f>
        <v>37.5</v>
      </c>
      <c r="AE447" s="15" t="n">
        <f aca="false">INDEX(Ipotesi!$C$50:$G$50,1,F447)*G447/12</f>
        <v>4.58333333333333</v>
      </c>
      <c r="AF447" s="15" t="n">
        <f aca="false">(S447*Parametri_v3!$C$7*Parametri_v3!$C$8+Parametri_v3!$C$10)/12</f>
        <v>38.5</v>
      </c>
      <c r="AG447" s="15" t="n">
        <f aca="false">AD447+AE447*(1+Parametri_v3!$C$9)</f>
        <v>44.375</v>
      </c>
      <c r="AH447" s="16" t="n">
        <f aca="false">IF(AG447=0,1,MIN(1,AF447/AG447))</f>
        <v>0.867605633802817</v>
      </c>
      <c r="AI447" s="15" t="n">
        <f aca="false">AD447*AH447</f>
        <v>32.5352112676056</v>
      </c>
      <c r="AJ447" s="15" t="n">
        <f aca="false">AE447*AH447</f>
        <v>3.97652582159624</v>
      </c>
      <c r="AK447" s="15" t="n">
        <f aca="false">AI447*INDEX(Ipotesi!$C$49:$G$49,1,F447)*H447</f>
        <v>26028.1690140845</v>
      </c>
      <c r="AL447" s="15" t="n">
        <f aca="false">AJ447*INDEX(Ipotesi!$C$51:$G$51,1,F447)*H447</f>
        <v>7953.05164319249</v>
      </c>
      <c r="AM447" s="15" t="n">
        <f aca="false">AK447+AL447</f>
        <v>33981.220657277</v>
      </c>
      <c r="AN447" s="15" t="n">
        <f aca="false">INDEX(Ipotesi!$C$30:$G$30,1,F447)*G447/12</f>
        <v>22.5</v>
      </c>
      <c r="AO447" s="15" t="n">
        <f aca="false">O447*Parametri_v3!$C$7*Parametri_v3!$C$11*(1-Parametri_v3!$C$14)/12</f>
        <v>25.6666666666667</v>
      </c>
      <c r="AP447" s="15" t="n">
        <f aca="false">MIN(AN447,AO447)</f>
        <v>22.5</v>
      </c>
      <c r="AQ447" s="15" t="n">
        <f aca="false">AP447*INDEX(Ipotesi!$C$31:$G$31,1,F447)*H447</f>
        <v>21375</v>
      </c>
      <c r="AR447" s="15" t="n">
        <f aca="false">INDEX(Ipotesi!$C$75:$G$75,1,F447)*J447/12</f>
        <v>4583.33333333333</v>
      </c>
      <c r="AS447" s="15" t="n">
        <f aca="false">INDEX(Ipotesi!$C$81:$G$81,1,F447)*J447/12</f>
        <v>833.333333333333</v>
      </c>
      <c r="AT447" s="15" t="n">
        <f aca="false">AR447*Parametri_v3!$C$15+Z447*Parametri_v3!$C$16</f>
        <v>8638.95833333333</v>
      </c>
      <c r="AU447" s="15" t="n">
        <f aca="false">Q447*Parametri_v3!$C$16*Parametri_v3!$C$17</f>
        <v>105</v>
      </c>
      <c r="AV447" s="17" t="n">
        <f aca="false">BD446</f>
        <v>27.3818680868954</v>
      </c>
      <c r="AW447" s="17" t="n">
        <f aca="false">AV447*(1-(1-INDEX(Ipotesi!$C$34:$G$34,1,F447))^(1/12))</f>
        <v>0.239361638028465</v>
      </c>
      <c r="AX447" s="15" t="n">
        <f aca="false">ROUND(INDEX(Ipotesi!$C$32:$G$32,1,F447)*Ipotesi!J8,0)</f>
        <v>35</v>
      </c>
      <c r="AY447" s="15" t="n">
        <f aca="false">MAX(0,(AX447-(AV447-AW447))/(13-E447))</f>
        <v>3.92874677556654</v>
      </c>
      <c r="AZ447" s="15" t="n">
        <f aca="false">MIN(P447*Parametri_v3!$C$22,Q447*(1-Parametri_v3!$C$16)*Parametri_v3!$C$23)</f>
        <v>67.5</v>
      </c>
      <c r="BA447" s="15" t="n">
        <f aca="false">IF(OR(INDEX(Ipotesi!$C$35:$G$35,1,F447)&lt;=0,23-Parametri_v3!$C$21&lt;1),0,INDEX($AT$425:$AT$484,MAX(1,23-Parametri_v3!$C$21))/(INDEX(Ipotesi!$C$35:$G$35,1,F447)*Ipotesi!J27))</f>
        <v>2.87965277777778</v>
      </c>
      <c r="BB447" s="15" t="n">
        <f aca="false">IF(23-Parametri_v3!$C$21&lt;1,0,INDEX($AU$425:$AU$484,MAX(1,23-Parametri_v3!$C$21)))*Parametri_v3!$C$18*Parametri_v3!$C$19*Parametri_v3!$C$20</f>
        <v>3.9375</v>
      </c>
      <c r="BC447" s="17" t="n">
        <f aca="false">MAX(0,MIN(AY447,BA447,BB447,MAX(0,AZ447-(AV447-AW447))))</f>
        <v>2.87965277777778</v>
      </c>
      <c r="BD447" s="17" t="n">
        <f aca="false">AV447-AW447+BC447</f>
        <v>30.0221592266447</v>
      </c>
      <c r="BE447" s="17" t="n">
        <f aca="false">(AV447+BD447)/2</f>
        <v>28.70201365677</v>
      </c>
      <c r="BF447" s="15" t="n">
        <f aca="false">BE447*INDEX(Ipotesi!$C$33:$G$33,1,F447)*H447/12</f>
        <v>9567.33788559001</v>
      </c>
      <c r="BG447" s="15" t="n">
        <f aca="false">BD447*INDEX(Ipotesi!$C$33:$G$33,1,F447)*H447</f>
        <v>120088.636906579</v>
      </c>
      <c r="BH447" s="15" t="n">
        <f aca="false">AM447*INDEX(Ipotesi!$C$37:$G$37,1,F447)</f>
        <v>3398.1220657277</v>
      </c>
      <c r="BI447" s="15" t="n">
        <f aca="false">AQ447+BF447+BH447</f>
        <v>34340.4599513177</v>
      </c>
      <c r="BJ447" s="15" t="n">
        <f aca="false">INDEX(Ipotesi!$C$68:$G$68,1,F447)*Ipotesi!$C$69/12</f>
        <v>1600</v>
      </c>
      <c r="BK447" s="15" t="n">
        <f aca="false">INDEX(Ipotesi!$C$68:$G$68,1,F447)*(1-Ipotesi!$C$69)/12</f>
        <v>2400</v>
      </c>
      <c r="BL447" s="15" t="n">
        <f aca="false">(AQ447+BF447)*Ipotesi!$C$67</f>
        <v>928.2701365677</v>
      </c>
      <c r="BM447" s="15" t="n">
        <f aca="false">AM447*Ipotesi!$C$67</f>
        <v>1019.43661971831</v>
      </c>
      <c r="BN447" s="15" t="n">
        <f aca="false">INDEX(Ipotesi!$C$72:$G$72,1,F447)/12*Ipotesi!J126+BF447*Ipotesi!$C$73</f>
        <v>2015.3870308472</v>
      </c>
      <c r="BO447" s="15" t="n">
        <f aca="false">INDEX(Ipotesi!$C$74:$G$74,1,F447)/12*Ipotesi!J126</f>
        <v>1833.33333333333</v>
      </c>
      <c r="BP447" s="15" t="n">
        <f aca="false">INDEX(Ipotesi!$C$76:$G$76,1,F447)/12</f>
        <v>750</v>
      </c>
      <c r="BQ447" s="15" t="n">
        <f aca="false">INDEX(Ipotesi!$C$77:$G$77,1,F447)/12*Ipotesi!J126</f>
        <v>1666.66666666667</v>
      </c>
      <c r="BR447" s="15" t="n">
        <f aca="false">INDEX(Ipotesi!$C$78:$G$78,1,F447)/12</f>
        <v>1250</v>
      </c>
      <c r="BS447" s="15" t="n">
        <f aca="false">SUM(M447:R447)*(Ipotesi!$C$85+Ipotesi!$C$86)/12</f>
        <v>2625</v>
      </c>
      <c r="BT447" s="15" t="n">
        <f aca="false">BI447*Ipotesi!$C$87</f>
        <v>1030.21379853953</v>
      </c>
      <c r="BU447" s="15" t="n">
        <f aca="false">INDEX(Ipotesi!$C$55:$G$55,1,F447)*K447/12</f>
        <v>1000</v>
      </c>
      <c r="BV447" s="15" t="n">
        <f aca="false">INDEX(Ipotesi!$C$80:$G$80,1,F447)/12*Ipotesi!J126</f>
        <v>833.333333333333</v>
      </c>
      <c r="BW447" s="15" t="n">
        <f aca="false">INDEX(Ipotesi!$C$82:$G$82,1,F447)/12</f>
        <v>666.666666666667</v>
      </c>
      <c r="BX447" s="15" t="n">
        <f aca="false">INDEX(Ipotesi!$C$83:$G$83,1,F447)/12</f>
        <v>583.333333333333</v>
      </c>
      <c r="BY447" s="15" t="n">
        <f aca="false">SUM(S447:U447)*(Ipotesi!$C$85+Ipotesi!$C$86)/12</f>
        <v>1166.66666666667</v>
      </c>
      <c r="BZ447" s="15" t="n">
        <f aca="false">AM447*Ipotesi!$C$87</f>
        <v>1019.43661971831</v>
      </c>
      <c r="CA447" s="15" t="n">
        <f aca="false">AB447+BJ447+BL447+BN447+BO447+AR447+BP447+BQ447+BR447+BS447+BT447</f>
        <v>58044.7042992878</v>
      </c>
      <c r="CB447" s="15" t="n">
        <f aca="false">AC447+BK447+BM447+BH447+BU447+BV447+AS447+BW447+BX447+BY447+BZ447</f>
        <v>28885.3286384976</v>
      </c>
      <c r="CC447" s="15" t="n">
        <f aca="false">BI447-CA447</f>
        <v>-23704.2443479701</v>
      </c>
      <c r="CD447" s="15" t="n">
        <f aca="false">AM447-CB447</f>
        <v>5095.89201877934</v>
      </c>
      <c r="CE447" s="15" t="n">
        <f aca="false">INDEX(Ipotesi!$C$79:$G$79,1,F447)/12</f>
        <v>2083.33333333333</v>
      </c>
      <c r="CF447" s="15" t="n">
        <f aca="false">INDEX(Ipotesi!$C$84:$G$84,1,F447)/12</f>
        <v>416.666666666667</v>
      </c>
      <c r="CG447" s="15" t="n">
        <f aca="false">Y447*MAX(0,Parametri_v3!$C$12-IF(P447=0,0,MIN(1,BE447/(P447*Parametri_v3!$C$22))))+W447*Parametri_v3!$C$13+X447*Parametri_v3!$C$14</f>
        <v>14647.371913897</v>
      </c>
      <c r="CH447" s="15" t="n">
        <f aca="false">AB447*Parametri_v3!$C$32</f>
        <v>1988.125</v>
      </c>
      <c r="CI447" s="15" t="n">
        <f aca="false">AC447*Parametri_v3!$C$32</f>
        <v>798.25</v>
      </c>
      <c r="CJ447" s="15" t="n">
        <f aca="false">CA447-AB447</f>
        <v>18282.2042992878</v>
      </c>
      <c r="CK447" s="15" t="n">
        <f aca="false">CB447-AC447-BH447</f>
        <v>9522.20657276995</v>
      </c>
      <c r="CL447" s="15" t="n">
        <f aca="false">BF447*Ipotesi!$C$73+INDEX(Ipotesi!$C$72:$G$72,1,F447)/12*Ipotesi!J126*Parametri_v3!$C$58+Z447*(1-Parametri_v3!$C$16)</f>
        <v>3753.5120308472</v>
      </c>
      <c r="CM447" s="16" t="n">
        <f aca="false">IF(BF447=0,0,1-CL447/BF447)</f>
        <v>0.607674352496674</v>
      </c>
    </row>
    <row r="448" customFormat="false" ht="18" hidden="false" customHeight="true" outlineLevel="0" collapsed="false">
      <c r="A448" s="68" t="n">
        <f aca="false">8</f>
        <v>8</v>
      </c>
      <c r="B448" s="68" t="n">
        <f aca="false">24</f>
        <v>24</v>
      </c>
      <c r="C448" s="18" t="n">
        <f aca="false">EDATE(Parametri_v3!$C$5,24-1)</f>
        <v>47088</v>
      </c>
      <c r="D448" s="68" t="n">
        <f aca="false">YEAR(C448)</f>
        <v>2028</v>
      </c>
      <c r="E448" s="68" t="n">
        <f aca="false">MONTH(C448)</f>
        <v>12</v>
      </c>
      <c r="F448" s="68" t="n">
        <f aca="false">INT((24-1)/12)+1</f>
        <v>2</v>
      </c>
      <c r="G448" s="15" t="n">
        <f aca="false">Ipotesi!J7</f>
        <v>1</v>
      </c>
      <c r="H448" s="15" t="n">
        <f aca="false">Ipotesi!J9</f>
        <v>1</v>
      </c>
      <c r="I448" s="15" t="n">
        <f aca="false">Ipotesi!J10</f>
        <v>1</v>
      </c>
      <c r="J448" s="15" t="n">
        <f aca="false">Ipotesi!J11</f>
        <v>1</v>
      </c>
      <c r="K448" s="15" t="n">
        <f aca="false">Ipotesi!J12</f>
        <v>1</v>
      </c>
      <c r="L448" s="15" t="n">
        <f aca="false">Ipotesi!J13</f>
        <v>90</v>
      </c>
      <c r="M448" s="17" t="n">
        <f aca="false">INDEX(Ipotesi!$C$40:$G$40,1,F448)</f>
        <v>1</v>
      </c>
      <c r="N448" s="17" t="n">
        <f aca="false">INDEX(Ipotesi!$C$41:$G$41,1,F448)</f>
        <v>1</v>
      </c>
      <c r="O448" s="17" t="n">
        <f aca="false">INDEX(Ipotesi!$C$42:$G$42,1,F448)*Ipotesi!J125</f>
        <v>2.5</v>
      </c>
      <c r="P448" s="17" t="n">
        <f aca="false">INDEX(Ipotesi!$C$43:$G$43,1,F448)*I448</f>
        <v>2.5</v>
      </c>
      <c r="Q448" s="17" t="n">
        <f aca="false">INDEX(Ipotesi!$C$44:$G$44,1,F448)*I448</f>
        <v>1.5</v>
      </c>
      <c r="R448" s="17" t="n">
        <f aca="false">INDEX(Ipotesi!$C$45:$G$45,1,F448)*I448</f>
        <v>0.5</v>
      </c>
      <c r="S448" s="17" t="n">
        <f aca="false">INDEX(Ipotesi!$C$52:$G$52,1,F448)*Ipotesi!J125</f>
        <v>3</v>
      </c>
      <c r="T448" s="17" t="n">
        <f aca="false">INDEX(Ipotesi!$C$53:$G$53,1,F448)*I448</f>
        <v>1</v>
      </c>
      <c r="U448" s="17" t="n">
        <f aca="false">INDEX(Ipotesi!$C$54:$G$54,1,F448)*I448</f>
        <v>0</v>
      </c>
      <c r="V448" s="15" t="n">
        <f aca="false">M448*INDEX(Ipotesi!$C$58:$G$58,1,F448)*K448/12</f>
        <v>5000</v>
      </c>
      <c r="W448" s="15" t="n">
        <f aca="false">N448*Ipotesi!$C$59*(1+Ipotesi!$C$66)^(F448-1)/12</f>
        <v>6008.33333333333</v>
      </c>
      <c r="X448" s="15" t="n">
        <f aca="false">O448*Ipotesi!$C$60*(1+Ipotesi!$C$66)^(F448-1)/12</f>
        <v>10729.1666666667</v>
      </c>
      <c r="Y448" s="15" t="n">
        <f aca="false">P448*Ipotesi!$C$61*(1+Ipotesi!$C$66)^(F448-1)/12</f>
        <v>10729.1666666667</v>
      </c>
      <c r="Z448" s="15" t="n">
        <f aca="false">Q448*Ipotesi!$C$62*(1+Ipotesi!$C$66)^(F448-1)/12</f>
        <v>5793.75</v>
      </c>
      <c r="AA448" s="15" t="n">
        <f aca="false">R448*Ipotesi!$C$63*(1+Ipotesi!$C$66)^(F448-1)/12</f>
        <v>1502.08333333333</v>
      </c>
      <c r="AB448" s="15" t="n">
        <f aca="false">SUM(V448:AA448)</f>
        <v>39762.5</v>
      </c>
      <c r="AC448" s="15" t="n">
        <f aca="false">(S448*Ipotesi!$C$64+T448*Ipotesi!$C$65+U448*Ipotesi!$C$63)*(1+Ipotesi!$C$66)^(F448-1)/12</f>
        <v>15965</v>
      </c>
      <c r="AD448" s="15" t="n">
        <f aca="false">INDEX(Ipotesi!$C$48:$G$48,1,F448)*G448/12</f>
        <v>37.5</v>
      </c>
      <c r="AE448" s="15" t="n">
        <f aca="false">INDEX(Ipotesi!$C$50:$G$50,1,F448)*G448/12</f>
        <v>4.58333333333333</v>
      </c>
      <c r="AF448" s="15" t="n">
        <f aca="false">(S448*Parametri_v3!$C$7*Parametri_v3!$C$8+Parametri_v3!$C$10)/12</f>
        <v>38.5</v>
      </c>
      <c r="AG448" s="15" t="n">
        <f aca="false">AD448+AE448*(1+Parametri_v3!$C$9)</f>
        <v>44.375</v>
      </c>
      <c r="AH448" s="16" t="n">
        <f aca="false">IF(AG448=0,1,MIN(1,AF448/AG448))</f>
        <v>0.867605633802817</v>
      </c>
      <c r="AI448" s="15" t="n">
        <f aca="false">AD448*AH448</f>
        <v>32.5352112676056</v>
      </c>
      <c r="AJ448" s="15" t="n">
        <f aca="false">AE448*AH448</f>
        <v>3.97652582159624</v>
      </c>
      <c r="AK448" s="15" t="n">
        <f aca="false">AI448*INDEX(Ipotesi!$C$49:$G$49,1,F448)*H448</f>
        <v>26028.1690140845</v>
      </c>
      <c r="AL448" s="15" t="n">
        <f aca="false">AJ448*INDEX(Ipotesi!$C$51:$G$51,1,F448)*H448</f>
        <v>7953.05164319249</v>
      </c>
      <c r="AM448" s="15" t="n">
        <f aca="false">AK448+AL448</f>
        <v>33981.220657277</v>
      </c>
      <c r="AN448" s="15" t="n">
        <f aca="false">INDEX(Ipotesi!$C$30:$G$30,1,F448)*G448/12</f>
        <v>22.5</v>
      </c>
      <c r="AO448" s="15" t="n">
        <f aca="false">O448*Parametri_v3!$C$7*Parametri_v3!$C$11*(1-Parametri_v3!$C$14)/12</f>
        <v>25.6666666666667</v>
      </c>
      <c r="AP448" s="15" t="n">
        <f aca="false">MIN(AN448,AO448)</f>
        <v>22.5</v>
      </c>
      <c r="AQ448" s="15" t="n">
        <f aca="false">AP448*INDEX(Ipotesi!$C$31:$G$31,1,F448)*H448</f>
        <v>21375</v>
      </c>
      <c r="AR448" s="15" t="n">
        <f aca="false">INDEX(Ipotesi!$C$75:$G$75,1,F448)*J448/12</f>
        <v>4583.33333333333</v>
      </c>
      <c r="AS448" s="15" t="n">
        <f aca="false">INDEX(Ipotesi!$C$81:$G$81,1,F448)*J448/12</f>
        <v>833.333333333333</v>
      </c>
      <c r="AT448" s="15" t="n">
        <f aca="false">AR448*Parametri_v3!$C$15+Z448*Parametri_v3!$C$16</f>
        <v>8638.95833333333</v>
      </c>
      <c r="AU448" s="15" t="n">
        <f aca="false">Q448*Parametri_v3!$C$16*Parametri_v3!$C$17</f>
        <v>105</v>
      </c>
      <c r="AV448" s="17" t="n">
        <f aca="false">BD447</f>
        <v>30.0221592266447</v>
      </c>
      <c r="AW448" s="17" t="n">
        <f aca="false">AV448*(1-(1-INDEX(Ipotesi!$C$34:$G$34,1,F448))^(1/12))</f>
        <v>0.262442035979287</v>
      </c>
      <c r="AX448" s="15" t="n">
        <f aca="false">ROUND(INDEX(Ipotesi!$C$32:$G$32,1,F448)*Ipotesi!J8,0)</f>
        <v>35</v>
      </c>
      <c r="AY448" s="15" t="n">
        <f aca="false">MAX(0,(AX448-(AV448-AW448))/(13-E448))</f>
        <v>5.2402828093346</v>
      </c>
      <c r="AZ448" s="15" t="n">
        <f aca="false">MIN(P448*Parametri_v3!$C$22,Q448*(1-Parametri_v3!$C$16)*Parametri_v3!$C$23)</f>
        <v>67.5</v>
      </c>
      <c r="BA448" s="15" t="n">
        <f aca="false">IF(OR(INDEX(Ipotesi!$C$35:$G$35,1,F448)&lt;=0,24-Parametri_v3!$C$21&lt;1),0,INDEX($AT$425:$AT$484,MAX(1,24-Parametri_v3!$C$21))/(INDEX(Ipotesi!$C$35:$G$35,1,F448)*Ipotesi!J27))</f>
        <v>2.87965277777778</v>
      </c>
      <c r="BB448" s="15" t="n">
        <f aca="false">IF(24-Parametri_v3!$C$21&lt;1,0,INDEX($AU$425:$AU$484,MAX(1,24-Parametri_v3!$C$21)))*Parametri_v3!$C$18*Parametri_v3!$C$19*Parametri_v3!$C$20</f>
        <v>3.9375</v>
      </c>
      <c r="BC448" s="17" t="n">
        <f aca="false">MAX(0,MIN(AY448,BA448,BB448,MAX(0,AZ448-(AV448-AW448))))</f>
        <v>2.87965277777778</v>
      </c>
      <c r="BD448" s="17" t="n">
        <f aca="false">AV448-AW448+BC448</f>
        <v>32.6393699684432</v>
      </c>
      <c r="BE448" s="17" t="n">
        <f aca="false">(AV448+BD448)/2</f>
        <v>31.3307645975439</v>
      </c>
      <c r="BF448" s="15" t="n">
        <f aca="false">BE448*INDEX(Ipotesi!$C$33:$G$33,1,F448)*H448/12</f>
        <v>10443.5881991813</v>
      </c>
      <c r="BG448" s="15" t="n">
        <f aca="false">BD448*INDEX(Ipotesi!$C$33:$G$33,1,F448)*H448</f>
        <v>130557.479873773</v>
      </c>
      <c r="BH448" s="15" t="n">
        <f aca="false">AM448*INDEX(Ipotesi!$C$37:$G$37,1,F448)</f>
        <v>3398.1220657277</v>
      </c>
      <c r="BI448" s="15" t="n">
        <f aca="false">AQ448+BF448+BH448</f>
        <v>35216.710264909</v>
      </c>
      <c r="BJ448" s="15" t="n">
        <f aca="false">INDEX(Ipotesi!$C$68:$G$68,1,F448)*Ipotesi!$C$69/12</f>
        <v>1600</v>
      </c>
      <c r="BK448" s="15" t="n">
        <f aca="false">INDEX(Ipotesi!$C$68:$G$68,1,F448)*(1-Ipotesi!$C$69)/12</f>
        <v>2400</v>
      </c>
      <c r="BL448" s="15" t="n">
        <f aca="false">(AQ448+BF448)*Ipotesi!$C$67</f>
        <v>954.557645975439</v>
      </c>
      <c r="BM448" s="15" t="n">
        <f aca="false">AM448*Ipotesi!$C$67</f>
        <v>1019.43661971831</v>
      </c>
      <c r="BN448" s="15" t="n">
        <f aca="false">INDEX(Ipotesi!$C$72:$G$72,1,F448)/12*Ipotesi!J126+BF448*Ipotesi!$C$73</f>
        <v>2085.48705593451</v>
      </c>
      <c r="BO448" s="15" t="n">
        <f aca="false">INDEX(Ipotesi!$C$74:$G$74,1,F448)/12*Ipotesi!J126</f>
        <v>1833.33333333333</v>
      </c>
      <c r="BP448" s="15" t="n">
        <f aca="false">INDEX(Ipotesi!$C$76:$G$76,1,F448)/12</f>
        <v>750</v>
      </c>
      <c r="BQ448" s="15" t="n">
        <f aca="false">INDEX(Ipotesi!$C$77:$G$77,1,F448)/12*Ipotesi!J126</f>
        <v>1666.66666666667</v>
      </c>
      <c r="BR448" s="15" t="n">
        <f aca="false">INDEX(Ipotesi!$C$78:$G$78,1,F448)/12</f>
        <v>1250</v>
      </c>
      <c r="BS448" s="15" t="n">
        <f aca="false">SUM(M448:R448)*(Ipotesi!$C$85+Ipotesi!$C$86)/12</f>
        <v>2625</v>
      </c>
      <c r="BT448" s="15" t="n">
        <f aca="false">BI448*Ipotesi!$C$87</f>
        <v>1056.50130794727</v>
      </c>
      <c r="BU448" s="15" t="n">
        <f aca="false">INDEX(Ipotesi!$C$55:$G$55,1,F448)*K448/12</f>
        <v>1000</v>
      </c>
      <c r="BV448" s="15" t="n">
        <f aca="false">INDEX(Ipotesi!$C$80:$G$80,1,F448)/12*Ipotesi!J126</f>
        <v>833.333333333333</v>
      </c>
      <c r="BW448" s="15" t="n">
        <f aca="false">INDEX(Ipotesi!$C$82:$G$82,1,F448)/12</f>
        <v>666.666666666667</v>
      </c>
      <c r="BX448" s="15" t="n">
        <f aca="false">INDEX(Ipotesi!$C$83:$G$83,1,F448)/12</f>
        <v>583.333333333333</v>
      </c>
      <c r="BY448" s="15" t="n">
        <f aca="false">SUM(S448:U448)*(Ipotesi!$C$85+Ipotesi!$C$86)/12</f>
        <v>1166.66666666667</v>
      </c>
      <c r="BZ448" s="15" t="n">
        <f aca="false">AM448*Ipotesi!$C$87</f>
        <v>1019.43661971831</v>
      </c>
      <c r="CA448" s="15" t="n">
        <f aca="false">AB448+BJ448+BL448+BN448+BO448+AR448+BP448+BQ448+BR448+BS448+BT448</f>
        <v>58167.3793431906</v>
      </c>
      <c r="CB448" s="15" t="n">
        <f aca="false">AC448+BK448+BM448+BH448+BU448+BV448+AS448+BW448+BX448+BY448+BZ448</f>
        <v>28885.3286384976</v>
      </c>
      <c r="CC448" s="15" t="n">
        <f aca="false">BI448-CA448</f>
        <v>-22950.6690782815</v>
      </c>
      <c r="CD448" s="15" t="n">
        <f aca="false">AM448-CB448</f>
        <v>5095.89201877934</v>
      </c>
      <c r="CE448" s="15" t="n">
        <f aca="false">INDEX(Ipotesi!$C$79:$G$79,1,F448)/12</f>
        <v>2083.33333333333</v>
      </c>
      <c r="CF448" s="15" t="n">
        <f aca="false">INDEX(Ipotesi!$C$84:$G$84,1,F448)/12</f>
        <v>416.666666666667</v>
      </c>
      <c r="CG448" s="15" t="n">
        <f aca="false">Y448*MAX(0,Parametri_v3!$C$12-IF(P448=0,0,MIN(1,BE448/(P448*Parametri_v3!$C$22))))+W448*Parametri_v3!$C$13+X448*Parametri_v3!$C$14</f>
        <v>14534.5546860221</v>
      </c>
      <c r="CH448" s="15" t="n">
        <f aca="false">AB448*Parametri_v3!$C$32</f>
        <v>1988.125</v>
      </c>
      <c r="CI448" s="15" t="n">
        <f aca="false">AC448*Parametri_v3!$C$32</f>
        <v>798.25</v>
      </c>
      <c r="CJ448" s="15" t="n">
        <f aca="false">CA448-AB448</f>
        <v>18404.8793431906</v>
      </c>
      <c r="CK448" s="15" t="n">
        <f aca="false">CB448-AC448-BH448</f>
        <v>9522.20657276995</v>
      </c>
      <c r="CL448" s="15" t="n">
        <f aca="false">BF448*Ipotesi!$C$73+INDEX(Ipotesi!$C$72:$G$72,1,F448)/12*Ipotesi!J126*Parametri_v3!$C$58+Z448*(1-Parametri_v3!$C$16)</f>
        <v>3823.61205593451</v>
      </c>
      <c r="CM448" s="16" t="n">
        <f aca="false">IF(BF448=0,0,1-CL448/BF448)</f>
        <v>0.633879469104858</v>
      </c>
    </row>
    <row r="449" customFormat="false" ht="18" hidden="false" customHeight="true" outlineLevel="0" collapsed="false">
      <c r="A449" s="68" t="n">
        <f aca="false">8</f>
        <v>8</v>
      </c>
      <c r="B449" s="68" t="n">
        <f aca="false">25</f>
        <v>25</v>
      </c>
      <c r="C449" s="18" t="n">
        <f aca="false">EDATE(Parametri_v3!$C$5,25-1)</f>
        <v>47119</v>
      </c>
      <c r="D449" s="68" t="n">
        <f aca="false">YEAR(C449)</f>
        <v>2029</v>
      </c>
      <c r="E449" s="68" t="n">
        <f aca="false">MONTH(C449)</f>
        <v>1</v>
      </c>
      <c r="F449" s="68" t="n">
        <f aca="false">INT((25-1)/12)+1</f>
        <v>3</v>
      </c>
      <c r="G449" s="15" t="n">
        <f aca="false">Ipotesi!J7</f>
        <v>1</v>
      </c>
      <c r="H449" s="15" t="n">
        <f aca="false">Ipotesi!J9</f>
        <v>1</v>
      </c>
      <c r="I449" s="15" t="n">
        <f aca="false">Ipotesi!J10</f>
        <v>1</v>
      </c>
      <c r="J449" s="15" t="n">
        <f aca="false">Ipotesi!J11</f>
        <v>1</v>
      </c>
      <c r="K449" s="15" t="n">
        <f aca="false">Ipotesi!J12</f>
        <v>1</v>
      </c>
      <c r="L449" s="15" t="n">
        <f aca="false">Ipotesi!J13</f>
        <v>90</v>
      </c>
      <c r="M449" s="17" t="n">
        <f aca="false">INDEX(Ipotesi!$C$40:$G$40,1,F449)</f>
        <v>1</v>
      </c>
      <c r="N449" s="17" t="n">
        <f aca="false">INDEX(Ipotesi!$C$41:$G$41,1,F449)</f>
        <v>1</v>
      </c>
      <c r="O449" s="17" t="n">
        <f aca="false">INDEX(Ipotesi!$C$42:$G$42,1,F449)*Ipotesi!J125</f>
        <v>4.5</v>
      </c>
      <c r="P449" s="17" t="n">
        <f aca="false">INDEX(Ipotesi!$C$43:$G$43,1,F449)*I449</f>
        <v>5</v>
      </c>
      <c r="Q449" s="17" t="n">
        <f aca="false">INDEX(Ipotesi!$C$44:$G$44,1,F449)*I449</f>
        <v>4</v>
      </c>
      <c r="R449" s="17" t="n">
        <f aca="false">INDEX(Ipotesi!$C$45:$G$45,1,F449)*I449</f>
        <v>1</v>
      </c>
      <c r="S449" s="17" t="n">
        <f aca="false">INDEX(Ipotesi!$C$52:$G$52,1,F449)*Ipotesi!J125</f>
        <v>5</v>
      </c>
      <c r="T449" s="17" t="n">
        <f aca="false">INDEX(Ipotesi!$C$53:$G$53,1,F449)*I449</f>
        <v>1</v>
      </c>
      <c r="U449" s="17" t="n">
        <f aca="false">INDEX(Ipotesi!$C$54:$G$54,1,F449)*I449</f>
        <v>0.5</v>
      </c>
      <c r="V449" s="15" t="n">
        <f aca="false">M449*INDEX(Ipotesi!$C$58:$G$58,1,F449)*K449/12</f>
        <v>7083.33333333333</v>
      </c>
      <c r="W449" s="15" t="n">
        <f aca="false">N449*Ipotesi!$C$59*(1+Ipotesi!$C$66)^(F449-1)/12</f>
        <v>6188.58333333333</v>
      </c>
      <c r="X449" s="15" t="n">
        <f aca="false">O449*Ipotesi!$C$60*(1+Ipotesi!$C$66)^(F449-1)/12</f>
        <v>19891.875</v>
      </c>
      <c r="Y449" s="15" t="n">
        <f aca="false">P449*Ipotesi!$C$61*(1+Ipotesi!$C$66)^(F449-1)/12</f>
        <v>22102.0833333333</v>
      </c>
      <c r="Z449" s="15" t="n">
        <f aca="false">Q449*Ipotesi!$C$62*(1+Ipotesi!$C$66)^(F449-1)/12</f>
        <v>15913.5</v>
      </c>
      <c r="AA449" s="15" t="n">
        <f aca="false">R449*Ipotesi!$C$63*(1+Ipotesi!$C$66)^(F449-1)/12</f>
        <v>3094.29166666667</v>
      </c>
      <c r="AB449" s="15" t="n">
        <f aca="false">SUM(V449:AA449)</f>
        <v>74273.6666666667</v>
      </c>
      <c r="AC449" s="15" t="n">
        <f aca="false">(S449*Ipotesi!$C$64+T449*Ipotesi!$C$65+U449*Ipotesi!$C$63)*(1+Ipotesi!$C$66)^(F449-1)/12</f>
        <v>25417.3958333333</v>
      </c>
      <c r="AD449" s="15" t="n">
        <f aca="false">INDEX(Ipotesi!$C$48:$G$48,1,F449)*G449/12</f>
        <v>60</v>
      </c>
      <c r="AE449" s="15" t="n">
        <f aca="false">INDEX(Ipotesi!$C$50:$G$50,1,F449)*G449/12</f>
        <v>6.66666666666667</v>
      </c>
      <c r="AF449" s="15" t="n">
        <f aca="false">(S449*Parametri_v3!$C$7*Parametri_v3!$C$8+Parametri_v3!$C$10)/12</f>
        <v>64.1666666666667</v>
      </c>
      <c r="AG449" s="15" t="n">
        <f aca="false">AD449+AE449*(1+Parametri_v3!$C$9)</f>
        <v>70</v>
      </c>
      <c r="AH449" s="16" t="n">
        <f aca="false">IF(AG449=0,1,MIN(1,AF449/AG449))</f>
        <v>0.916666666666667</v>
      </c>
      <c r="AI449" s="15" t="n">
        <f aca="false">AD449*AH449</f>
        <v>55</v>
      </c>
      <c r="AJ449" s="15" t="n">
        <f aca="false">AE449*AH449</f>
        <v>6.11111111111111</v>
      </c>
      <c r="AK449" s="15" t="n">
        <f aca="false">AI449*INDEX(Ipotesi!$C$49:$G$49,1,F449)*H449</f>
        <v>46750</v>
      </c>
      <c r="AL449" s="15" t="n">
        <f aca="false">AJ449*INDEX(Ipotesi!$C$51:$G$51,1,F449)*H449</f>
        <v>13750</v>
      </c>
      <c r="AM449" s="15" t="n">
        <f aca="false">AK449+AL449</f>
        <v>60500</v>
      </c>
      <c r="AN449" s="15" t="n">
        <f aca="false">INDEX(Ipotesi!$C$30:$G$30,1,F449)*G449/12</f>
        <v>41.6666666666667</v>
      </c>
      <c r="AO449" s="15" t="n">
        <f aca="false">O449*Parametri_v3!$C$7*Parametri_v3!$C$11*(1-Parametri_v3!$C$14)/12</f>
        <v>46.2</v>
      </c>
      <c r="AP449" s="15" t="n">
        <f aca="false">MIN(AN449,AO449)</f>
        <v>41.6666666666667</v>
      </c>
      <c r="AQ449" s="15" t="n">
        <f aca="false">AP449*INDEX(Ipotesi!$C$31:$G$31,1,F449)*H449</f>
        <v>41666.6666666667</v>
      </c>
      <c r="AR449" s="15" t="n">
        <f aca="false">INDEX(Ipotesi!$C$75:$G$75,1,F449)*J449/12</f>
        <v>20000</v>
      </c>
      <c r="AS449" s="15" t="n">
        <f aca="false">INDEX(Ipotesi!$C$81:$G$81,1,F449)*J449/12</f>
        <v>1250</v>
      </c>
      <c r="AT449" s="15" t="n">
        <f aca="false">AR449*Parametri_v3!$C$15+Z449*Parametri_v3!$C$16</f>
        <v>31139.45</v>
      </c>
      <c r="AU449" s="15" t="n">
        <f aca="false">Q449*Parametri_v3!$C$16*Parametri_v3!$C$17</f>
        <v>280</v>
      </c>
      <c r="AV449" s="17" t="n">
        <f aca="false">BD448</f>
        <v>32.6393699684432</v>
      </c>
      <c r="AW449" s="17" t="n">
        <f aca="false">AV449*(1-(1-INDEX(Ipotesi!$C$34:$G$34,1,F449))^(1/12))</f>
        <v>0.285320674070542</v>
      </c>
      <c r="AX449" s="15" t="n">
        <f aca="false">ROUND(INDEX(Ipotesi!$C$32:$G$32,1,F449)*Ipotesi!J8,0)</f>
        <v>130</v>
      </c>
      <c r="AY449" s="15" t="n">
        <f aca="false">MAX(0,(AX449-(AV449-AW449))/(13-E449))</f>
        <v>8.13716255880228</v>
      </c>
      <c r="AZ449" s="15" t="n">
        <f aca="false">MIN(P449*Parametri_v3!$C$22,Q449*(1-Parametri_v3!$C$16)*Parametri_v3!$C$23)</f>
        <v>180</v>
      </c>
      <c r="BA449" s="15" t="n">
        <f aca="false">IF(OR(INDEX(Ipotesi!$C$35:$G$35,1,F449)&lt;=0,25-Parametri_v3!$C$21&lt;1),0,INDEX($AT$425:$AT$484,MAX(1,25-Parametri_v3!$C$21))/(INDEX(Ipotesi!$C$35:$G$35,1,F449)*Ipotesi!J27))</f>
        <v>1.72779166666667</v>
      </c>
      <c r="BB449" s="15" t="n">
        <f aca="false">IF(25-Parametri_v3!$C$21&lt;1,0,INDEX($AU$425:$AU$484,MAX(1,25-Parametri_v3!$C$21)))*Parametri_v3!$C$18*Parametri_v3!$C$19*Parametri_v3!$C$20</f>
        <v>3.9375</v>
      </c>
      <c r="BC449" s="17" t="n">
        <f aca="false">MAX(0,MIN(AY449,BA449,BB449,MAX(0,AZ449-(AV449-AW449))))</f>
        <v>1.72779166666667</v>
      </c>
      <c r="BD449" s="17" t="n">
        <f aca="false">AV449-AW449+BC449</f>
        <v>34.0818409610393</v>
      </c>
      <c r="BE449" s="17" t="n">
        <f aca="false">(AV449+BD449)/2</f>
        <v>33.3606054647413</v>
      </c>
      <c r="BF449" s="15" t="n">
        <f aca="false">BE449*INDEX(Ipotesi!$C$33:$G$33,1,F449)*H449/12</f>
        <v>15290.2775046731</v>
      </c>
      <c r="BG449" s="15" t="n">
        <f aca="false">BD449*INDEX(Ipotesi!$C$33:$G$33,1,F449)*H449</f>
        <v>187450.125285716</v>
      </c>
      <c r="BH449" s="15" t="n">
        <f aca="false">AM449*INDEX(Ipotesi!$C$37:$G$37,1,F449)</f>
        <v>6050</v>
      </c>
      <c r="BI449" s="15" t="n">
        <f aca="false">AQ449+BF449+BH449</f>
        <v>63006.9441713397</v>
      </c>
      <c r="BJ449" s="15" t="n">
        <f aca="false">INDEX(Ipotesi!$C$68:$G$68,1,F449)*Ipotesi!$C$69/12</f>
        <v>2400</v>
      </c>
      <c r="BK449" s="15" t="n">
        <f aca="false">INDEX(Ipotesi!$C$68:$G$68,1,F449)*(1-Ipotesi!$C$69)/12</f>
        <v>3600</v>
      </c>
      <c r="BL449" s="15" t="n">
        <f aca="false">(AQ449+BF449)*Ipotesi!$C$67</f>
        <v>1708.70832514019</v>
      </c>
      <c r="BM449" s="15" t="n">
        <f aca="false">AM449*Ipotesi!$C$67</f>
        <v>1815</v>
      </c>
      <c r="BN449" s="15" t="n">
        <f aca="false">INDEX(Ipotesi!$C$72:$G$72,1,F449)/12*Ipotesi!J126+BF449*Ipotesi!$C$73</f>
        <v>2473.22220037385</v>
      </c>
      <c r="BO449" s="15" t="n">
        <f aca="false">INDEX(Ipotesi!$C$74:$G$74,1,F449)/12*Ipotesi!J126</f>
        <v>2916.66666666667</v>
      </c>
      <c r="BP449" s="15" t="n">
        <f aca="false">INDEX(Ipotesi!$C$76:$G$76,1,F449)/12</f>
        <v>1083.33333333333</v>
      </c>
      <c r="BQ449" s="15" t="n">
        <f aca="false">INDEX(Ipotesi!$C$77:$G$77,1,F449)/12*Ipotesi!J126</f>
        <v>2083.33333333333</v>
      </c>
      <c r="BR449" s="15" t="n">
        <f aca="false">INDEX(Ipotesi!$C$78:$G$78,1,F449)/12</f>
        <v>1666.66666666667</v>
      </c>
      <c r="BS449" s="15" t="n">
        <f aca="false">SUM(M449:R449)*(Ipotesi!$C$85+Ipotesi!$C$86)/12</f>
        <v>4812.5</v>
      </c>
      <c r="BT449" s="15" t="n">
        <f aca="false">BI449*Ipotesi!$C$87</f>
        <v>1890.20832514019</v>
      </c>
      <c r="BU449" s="15" t="n">
        <f aca="false">INDEX(Ipotesi!$C$55:$G$55,1,F449)*K449/12</f>
        <v>1500</v>
      </c>
      <c r="BV449" s="15" t="n">
        <f aca="false">INDEX(Ipotesi!$C$80:$G$80,1,F449)/12*Ipotesi!J126</f>
        <v>1250</v>
      </c>
      <c r="BW449" s="15" t="n">
        <f aca="false">INDEX(Ipotesi!$C$82:$G$82,1,F449)/12</f>
        <v>1000</v>
      </c>
      <c r="BX449" s="15" t="n">
        <f aca="false">INDEX(Ipotesi!$C$83:$G$83,1,F449)/12</f>
        <v>666.666666666667</v>
      </c>
      <c r="BY449" s="15" t="n">
        <f aca="false">SUM(S449:U449)*(Ipotesi!$C$85+Ipotesi!$C$86)/12</f>
        <v>1895.83333333333</v>
      </c>
      <c r="BZ449" s="15" t="n">
        <f aca="false">AM449*Ipotesi!$C$87</f>
        <v>1815</v>
      </c>
      <c r="CA449" s="15" t="n">
        <f aca="false">AB449+BJ449+BL449+BN449+BO449+AR449+BP449+BQ449+BR449+BS449+BT449</f>
        <v>115308.305517321</v>
      </c>
      <c r="CB449" s="15" t="n">
        <f aca="false">AC449+BK449+BM449+BH449+BU449+BV449+AS449+BW449+BX449+BY449+BZ449</f>
        <v>46259.8958333333</v>
      </c>
      <c r="CC449" s="15" t="n">
        <f aca="false">BI449-CA449</f>
        <v>-52301.3613459812</v>
      </c>
      <c r="CD449" s="15" t="n">
        <f aca="false">AM449-CB449</f>
        <v>14240.1041666667</v>
      </c>
      <c r="CE449" s="15" t="n">
        <f aca="false">INDEX(Ipotesi!$C$79:$G$79,1,F449)/12</f>
        <v>2500</v>
      </c>
      <c r="CF449" s="15" t="n">
        <f aca="false">INDEX(Ipotesi!$C$84:$G$84,1,F449)/12</f>
        <v>416.666666666667</v>
      </c>
      <c r="CG449" s="15" t="n">
        <f aca="false">Y449*MAX(0,Parametri_v3!$C$12-IF(P449=0,0,MIN(1,BE449/(P449*Parametri_v3!$C$22))))+W449*Parametri_v3!$C$13+X449*Parametri_v3!$C$14</f>
        <v>27700.0722359357</v>
      </c>
      <c r="CH449" s="15" t="n">
        <f aca="false">AB449*Parametri_v3!$C$32</f>
        <v>3713.68333333333</v>
      </c>
      <c r="CI449" s="15" t="n">
        <f aca="false">AC449*Parametri_v3!$C$32</f>
        <v>1270.86979166667</v>
      </c>
      <c r="CJ449" s="15" t="n">
        <f aca="false">CA449-AB449</f>
        <v>41034.6388506542</v>
      </c>
      <c r="CK449" s="15" t="n">
        <f aca="false">CB449-AC449-BH449</f>
        <v>14792.5</v>
      </c>
      <c r="CL449" s="15" t="n">
        <f aca="false">BF449*Ipotesi!$C$73+INDEX(Ipotesi!$C$72:$G$72,1,F449)/12*Ipotesi!J126*Parametri_v3!$C$58+Z449*(1-Parametri_v3!$C$16)</f>
        <v>7247.27220037385</v>
      </c>
      <c r="CM449" s="16" t="n">
        <f aca="false">IF(BF449=0,0,1-CL449/BF449)</f>
        <v>0.526020884960465</v>
      </c>
    </row>
    <row r="450" customFormat="false" ht="18" hidden="false" customHeight="true" outlineLevel="0" collapsed="false">
      <c r="A450" s="68" t="n">
        <f aca="false">8</f>
        <v>8</v>
      </c>
      <c r="B450" s="68" t="n">
        <f aca="false">26</f>
        <v>26</v>
      </c>
      <c r="C450" s="18" t="n">
        <f aca="false">EDATE(Parametri_v3!$C$5,26-1)</f>
        <v>47150</v>
      </c>
      <c r="D450" s="68" t="n">
        <f aca="false">YEAR(C450)</f>
        <v>2029</v>
      </c>
      <c r="E450" s="68" t="n">
        <f aca="false">MONTH(C450)</f>
        <v>2</v>
      </c>
      <c r="F450" s="68" t="n">
        <f aca="false">INT((26-1)/12)+1</f>
        <v>3</v>
      </c>
      <c r="G450" s="15" t="n">
        <f aca="false">Ipotesi!J7</f>
        <v>1</v>
      </c>
      <c r="H450" s="15" t="n">
        <f aca="false">Ipotesi!J9</f>
        <v>1</v>
      </c>
      <c r="I450" s="15" t="n">
        <f aca="false">Ipotesi!J10</f>
        <v>1</v>
      </c>
      <c r="J450" s="15" t="n">
        <f aca="false">Ipotesi!J11</f>
        <v>1</v>
      </c>
      <c r="K450" s="15" t="n">
        <f aca="false">Ipotesi!J12</f>
        <v>1</v>
      </c>
      <c r="L450" s="15" t="n">
        <f aca="false">Ipotesi!J13</f>
        <v>90</v>
      </c>
      <c r="M450" s="17" t="n">
        <f aca="false">INDEX(Ipotesi!$C$40:$G$40,1,F450)</f>
        <v>1</v>
      </c>
      <c r="N450" s="17" t="n">
        <f aca="false">INDEX(Ipotesi!$C$41:$G$41,1,F450)</f>
        <v>1</v>
      </c>
      <c r="O450" s="17" t="n">
        <f aca="false">INDEX(Ipotesi!$C$42:$G$42,1,F450)*Ipotesi!J125</f>
        <v>4.5</v>
      </c>
      <c r="P450" s="17" t="n">
        <f aca="false">INDEX(Ipotesi!$C$43:$G$43,1,F450)*I450</f>
        <v>5</v>
      </c>
      <c r="Q450" s="17" t="n">
        <f aca="false">INDEX(Ipotesi!$C$44:$G$44,1,F450)*I450</f>
        <v>4</v>
      </c>
      <c r="R450" s="17" t="n">
        <f aca="false">INDEX(Ipotesi!$C$45:$G$45,1,F450)*I450</f>
        <v>1</v>
      </c>
      <c r="S450" s="17" t="n">
        <f aca="false">INDEX(Ipotesi!$C$52:$G$52,1,F450)*Ipotesi!J125</f>
        <v>5</v>
      </c>
      <c r="T450" s="17" t="n">
        <f aca="false">INDEX(Ipotesi!$C$53:$G$53,1,F450)*I450</f>
        <v>1</v>
      </c>
      <c r="U450" s="17" t="n">
        <f aca="false">INDEX(Ipotesi!$C$54:$G$54,1,F450)*I450</f>
        <v>0.5</v>
      </c>
      <c r="V450" s="15" t="n">
        <f aca="false">M450*INDEX(Ipotesi!$C$58:$G$58,1,F450)*K450/12</f>
        <v>7083.33333333333</v>
      </c>
      <c r="W450" s="15" t="n">
        <f aca="false">N450*Ipotesi!$C$59*(1+Ipotesi!$C$66)^(F450-1)/12</f>
        <v>6188.58333333333</v>
      </c>
      <c r="X450" s="15" t="n">
        <f aca="false">O450*Ipotesi!$C$60*(1+Ipotesi!$C$66)^(F450-1)/12</f>
        <v>19891.875</v>
      </c>
      <c r="Y450" s="15" t="n">
        <f aca="false">P450*Ipotesi!$C$61*(1+Ipotesi!$C$66)^(F450-1)/12</f>
        <v>22102.0833333333</v>
      </c>
      <c r="Z450" s="15" t="n">
        <f aca="false">Q450*Ipotesi!$C$62*(1+Ipotesi!$C$66)^(F450-1)/12</f>
        <v>15913.5</v>
      </c>
      <c r="AA450" s="15" t="n">
        <f aca="false">R450*Ipotesi!$C$63*(1+Ipotesi!$C$66)^(F450-1)/12</f>
        <v>3094.29166666667</v>
      </c>
      <c r="AB450" s="15" t="n">
        <f aca="false">SUM(V450:AA450)</f>
        <v>74273.6666666667</v>
      </c>
      <c r="AC450" s="15" t="n">
        <f aca="false">(S450*Ipotesi!$C$64+T450*Ipotesi!$C$65+U450*Ipotesi!$C$63)*(1+Ipotesi!$C$66)^(F450-1)/12</f>
        <v>25417.3958333333</v>
      </c>
      <c r="AD450" s="15" t="n">
        <f aca="false">INDEX(Ipotesi!$C$48:$G$48,1,F450)*G450/12</f>
        <v>60</v>
      </c>
      <c r="AE450" s="15" t="n">
        <f aca="false">INDEX(Ipotesi!$C$50:$G$50,1,F450)*G450/12</f>
        <v>6.66666666666667</v>
      </c>
      <c r="AF450" s="15" t="n">
        <f aca="false">(S450*Parametri_v3!$C$7*Parametri_v3!$C$8+Parametri_v3!$C$10)/12</f>
        <v>64.1666666666667</v>
      </c>
      <c r="AG450" s="15" t="n">
        <f aca="false">AD450+AE450*(1+Parametri_v3!$C$9)</f>
        <v>70</v>
      </c>
      <c r="AH450" s="16" t="n">
        <f aca="false">IF(AG450=0,1,MIN(1,AF450/AG450))</f>
        <v>0.916666666666667</v>
      </c>
      <c r="AI450" s="15" t="n">
        <f aca="false">AD450*AH450</f>
        <v>55</v>
      </c>
      <c r="AJ450" s="15" t="n">
        <f aca="false">AE450*AH450</f>
        <v>6.11111111111111</v>
      </c>
      <c r="AK450" s="15" t="n">
        <f aca="false">AI450*INDEX(Ipotesi!$C$49:$G$49,1,F450)*H450</f>
        <v>46750</v>
      </c>
      <c r="AL450" s="15" t="n">
        <f aca="false">AJ450*INDEX(Ipotesi!$C$51:$G$51,1,F450)*H450</f>
        <v>13750</v>
      </c>
      <c r="AM450" s="15" t="n">
        <f aca="false">AK450+AL450</f>
        <v>60500</v>
      </c>
      <c r="AN450" s="15" t="n">
        <f aca="false">INDEX(Ipotesi!$C$30:$G$30,1,F450)*G450/12</f>
        <v>41.6666666666667</v>
      </c>
      <c r="AO450" s="15" t="n">
        <f aca="false">O450*Parametri_v3!$C$7*Parametri_v3!$C$11*(1-Parametri_v3!$C$14)/12</f>
        <v>46.2</v>
      </c>
      <c r="AP450" s="15" t="n">
        <f aca="false">MIN(AN450,AO450)</f>
        <v>41.6666666666667</v>
      </c>
      <c r="AQ450" s="15" t="n">
        <f aca="false">AP450*INDEX(Ipotesi!$C$31:$G$31,1,F450)*H450</f>
        <v>41666.6666666667</v>
      </c>
      <c r="AR450" s="15" t="n">
        <f aca="false">INDEX(Ipotesi!$C$75:$G$75,1,F450)*J450/12</f>
        <v>20000</v>
      </c>
      <c r="AS450" s="15" t="n">
        <f aca="false">INDEX(Ipotesi!$C$81:$G$81,1,F450)*J450/12</f>
        <v>1250</v>
      </c>
      <c r="AT450" s="15" t="n">
        <f aca="false">AR450*Parametri_v3!$C$15+Z450*Parametri_v3!$C$16</f>
        <v>31139.45</v>
      </c>
      <c r="AU450" s="15" t="n">
        <f aca="false">Q450*Parametri_v3!$C$16*Parametri_v3!$C$17</f>
        <v>280</v>
      </c>
      <c r="AV450" s="17" t="n">
        <f aca="false">BD449</f>
        <v>34.0818409610393</v>
      </c>
      <c r="AW450" s="17" t="n">
        <f aca="false">AV450*(1-(1-INDEX(Ipotesi!$C$34:$G$34,1,F450))^(1/12))</f>
        <v>0.297930194301253</v>
      </c>
      <c r="AX450" s="15" t="n">
        <f aca="false">ROUND(INDEX(Ipotesi!$C$32:$G$32,1,F450)*Ipotesi!J8,0)</f>
        <v>130</v>
      </c>
      <c r="AY450" s="15" t="n">
        <f aca="false">MAX(0,(AX450-(AV450-AW450))/(13-E450))</f>
        <v>8.74691720302381</v>
      </c>
      <c r="AZ450" s="15" t="n">
        <f aca="false">MIN(P450*Parametri_v3!$C$22,Q450*(1-Parametri_v3!$C$16)*Parametri_v3!$C$23)</f>
        <v>180</v>
      </c>
      <c r="BA450" s="15" t="n">
        <f aca="false">IF(OR(INDEX(Ipotesi!$C$35:$G$35,1,F450)&lt;=0,26-Parametri_v3!$C$21&lt;1),0,INDEX($AT$425:$AT$484,MAX(1,26-Parametri_v3!$C$21))/(INDEX(Ipotesi!$C$35:$G$35,1,F450)*Ipotesi!J27))</f>
        <v>1.72779166666667</v>
      </c>
      <c r="BB450" s="15" t="n">
        <f aca="false">IF(26-Parametri_v3!$C$21&lt;1,0,INDEX($AU$425:$AU$484,MAX(1,26-Parametri_v3!$C$21)))*Parametri_v3!$C$18*Parametri_v3!$C$19*Parametri_v3!$C$20</f>
        <v>3.9375</v>
      </c>
      <c r="BC450" s="17" t="n">
        <f aca="false">MAX(0,MIN(AY450,BA450,BB450,MAX(0,AZ450-(AV450-AW450))))</f>
        <v>1.72779166666667</v>
      </c>
      <c r="BD450" s="17" t="n">
        <f aca="false">AV450-AW450+BC450</f>
        <v>35.5117024334047</v>
      </c>
      <c r="BE450" s="17" t="n">
        <f aca="false">(AV450+BD450)/2</f>
        <v>34.796771697222</v>
      </c>
      <c r="BF450" s="15" t="n">
        <f aca="false">BE450*INDEX(Ipotesi!$C$33:$G$33,1,F450)*H450/12</f>
        <v>15948.5203612268</v>
      </c>
      <c r="BG450" s="15" t="n">
        <f aca="false">BD450*INDEX(Ipotesi!$C$33:$G$33,1,F450)*H450</f>
        <v>195314.363383726</v>
      </c>
      <c r="BH450" s="15" t="n">
        <f aca="false">AM450*INDEX(Ipotesi!$C$37:$G$37,1,F450)</f>
        <v>6050</v>
      </c>
      <c r="BI450" s="15" t="n">
        <f aca="false">AQ450+BF450+BH450</f>
        <v>63665.1870278934</v>
      </c>
      <c r="BJ450" s="15" t="n">
        <f aca="false">INDEX(Ipotesi!$C$68:$G$68,1,F450)*Ipotesi!$C$69/12</f>
        <v>2400</v>
      </c>
      <c r="BK450" s="15" t="n">
        <f aca="false">INDEX(Ipotesi!$C$68:$G$68,1,F450)*(1-Ipotesi!$C$69)/12</f>
        <v>3600</v>
      </c>
      <c r="BL450" s="15" t="n">
        <f aca="false">(AQ450+BF450)*Ipotesi!$C$67</f>
        <v>1728.4556108368</v>
      </c>
      <c r="BM450" s="15" t="n">
        <f aca="false">AM450*Ipotesi!$C$67</f>
        <v>1815</v>
      </c>
      <c r="BN450" s="15" t="n">
        <f aca="false">INDEX(Ipotesi!$C$72:$G$72,1,F450)/12*Ipotesi!J126+BF450*Ipotesi!$C$73</f>
        <v>2525.88162889814</v>
      </c>
      <c r="BO450" s="15" t="n">
        <f aca="false">INDEX(Ipotesi!$C$74:$G$74,1,F450)/12*Ipotesi!J126</f>
        <v>2916.66666666667</v>
      </c>
      <c r="BP450" s="15" t="n">
        <f aca="false">INDEX(Ipotesi!$C$76:$G$76,1,F450)/12</f>
        <v>1083.33333333333</v>
      </c>
      <c r="BQ450" s="15" t="n">
        <f aca="false">INDEX(Ipotesi!$C$77:$G$77,1,F450)/12*Ipotesi!J126</f>
        <v>2083.33333333333</v>
      </c>
      <c r="BR450" s="15" t="n">
        <f aca="false">INDEX(Ipotesi!$C$78:$G$78,1,F450)/12</f>
        <v>1666.66666666667</v>
      </c>
      <c r="BS450" s="15" t="n">
        <f aca="false">SUM(M450:R450)*(Ipotesi!$C$85+Ipotesi!$C$86)/12</f>
        <v>4812.5</v>
      </c>
      <c r="BT450" s="15" t="n">
        <f aca="false">BI450*Ipotesi!$C$87</f>
        <v>1909.9556108368</v>
      </c>
      <c r="BU450" s="15" t="n">
        <f aca="false">INDEX(Ipotesi!$C$55:$G$55,1,F450)*K450/12</f>
        <v>1500</v>
      </c>
      <c r="BV450" s="15" t="n">
        <f aca="false">INDEX(Ipotesi!$C$80:$G$80,1,F450)/12*Ipotesi!J126</f>
        <v>1250</v>
      </c>
      <c r="BW450" s="15" t="n">
        <f aca="false">INDEX(Ipotesi!$C$82:$G$82,1,F450)/12</f>
        <v>1000</v>
      </c>
      <c r="BX450" s="15" t="n">
        <f aca="false">INDEX(Ipotesi!$C$83:$G$83,1,F450)/12</f>
        <v>666.666666666667</v>
      </c>
      <c r="BY450" s="15" t="n">
        <f aca="false">SUM(S450:U450)*(Ipotesi!$C$85+Ipotesi!$C$86)/12</f>
        <v>1895.83333333333</v>
      </c>
      <c r="BZ450" s="15" t="n">
        <f aca="false">AM450*Ipotesi!$C$87</f>
        <v>1815</v>
      </c>
      <c r="CA450" s="15" t="n">
        <f aca="false">AB450+BJ450+BL450+BN450+BO450+AR450+BP450+BQ450+BR450+BS450+BT450</f>
        <v>115400.459517238</v>
      </c>
      <c r="CB450" s="15" t="n">
        <f aca="false">AC450+BK450+BM450+BH450+BU450+BV450+AS450+BW450+BX450+BY450+BZ450</f>
        <v>46259.8958333333</v>
      </c>
      <c r="CC450" s="15" t="n">
        <f aca="false">BI450-CA450</f>
        <v>-51735.272489345</v>
      </c>
      <c r="CD450" s="15" t="n">
        <f aca="false">AM450-CB450</f>
        <v>14240.1041666667</v>
      </c>
      <c r="CE450" s="15" t="n">
        <f aca="false">INDEX(Ipotesi!$C$79:$G$79,1,F450)/12</f>
        <v>2500</v>
      </c>
      <c r="CF450" s="15" t="n">
        <f aca="false">INDEX(Ipotesi!$C$84:$G$84,1,F450)/12</f>
        <v>416.666666666667</v>
      </c>
      <c r="CG450" s="15" t="n">
        <f aca="false">Y450*MAX(0,Parametri_v3!$C$12-IF(P450=0,0,MIN(1,BE450/(P450*Parametri_v3!$C$22))))+W450*Parametri_v3!$C$13+X450*Parametri_v3!$C$14</f>
        <v>27636.5877044341</v>
      </c>
      <c r="CH450" s="15" t="n">
        <f aca="false">AB450*Parametri_v3!$C$32</f>
        <v>3713.68333333333</v>
      </c>
      <c r="CI450" s="15" t="n">
        <f aca="false">AC450*Parametri_v3!$C$32</f>
        <v>1270.86979166667</v>
      </c>
      <c r="CJ450" s="15" t="n">
        <f aca="false">CA450-AB450</f>
        <v>41126.7928505717</v>
      </c>
      <c r="CK450" s="15" t="n">
        <f aca="false">CB450-AC450-BH450</f>
        <v>14792.5</v>
      </c>
      <c r="CL450" s="15" t="n">
        <f aca="false">BF450*Ipotesi!$C$73+INDEX(Ipotesi!$C$72:$G$72,1,F450)/12*Ipotesi!J126*Parametri_v3!$C$58+Z450*(1-Parametri_v3!$C$16)</f>
        <v>7299.93162889814</v>
      </c>
      <c r="CM450" s="16" t="n">
        <f aca="false">IF(BF450=0,0,1-CL450/BF450)</f>
        <v>0.542281574493558</v>
      </c>
    </row>
    <row r="451" customFormat="false" ht="18" hidden="false" customHeight="true" outlineLevel="0" collapsed="false">
      <c r="A451" s="68" t="n">
        <f aca="false">8</f>
        <v>8</v>
      </c>
      <c r="B451" s="68" t="n">
        <f aca="false">27</f>
        <v>27</v>
      </c>
      <c r="C451" s="18" t="n">
        <f aca="false">EDATE(Parametri_v3!$C$5,27-1)</f>
        <v>47178</v>
      </c>
      <c r="D451" s="68" t="n">
        <f aca="false">YEAR(C451)</f>
        <v>2029</v>
      </c>
      <c r="E451" s="68" t="n">
        <f aca="false">MONTH(C451)</f>
        <v>3</v>
      </c>
      <c r="F451" s="68" t="n">
        <f aca="false">INT((27-1)/12)+1</f>
        <v>3</v>
      </c>
      <c r="G451" s="15" t="n">
        <f aca="false">Ipotesi!J7</f>
        <v>1</v>
      </c>
      <c r="H451" s="15" t="n">
        <f aca="false">Ipotesi!J9</f>
        <v>1</v>
      </c>
      <c r="I451" s="15" t="n">
        <f aca="false">Ipotesi!J10</f>
        <v>1</v>
      </c>
      <c r="J451" s="15" t="n">
        <f aca="false">Ipotesi!J11</f>
        <v>1</v>
      </c>
      <c r="K451" s="15" t="n">
        <f aca="false">Ipotesi!J12</f>
        <v>1</v>
      </c>
      <c r="L451" s="15" t="n">
        <f aca="false">Ipotesi!J13</f>
        <v>90</v>
      </c>
      <c r="M451" s="17" t="n">
        <f aca="false">INDEX(Ipotesi!$C$40:$G$40,1,F451)</f>
        <v>1</v>
      </c>
      <c r="N451" s="17" t="n">
        <f aca="false">INDEX(Ipotesi!$C$41:$G$41,1,F451)</f>
        <v>1</v>
      </c>
      <c r="O451" s="17" t="n">
        <f aca="false">INDEX(Ipotesi!$C$42:$G$42,1,F451)*Ipotesi!J125</f>
        <v>4.5</v>
      </c>
      <c r="P451" s="17" t="n">
        <f aca="false">INDEX(Ipotesi!$C$43:$G$43,1,F451)*I451</f>
        <v>5</v>
      </c>
      <c r="Q451" s="17" t="n">
        <f aca="false">INDEX(Ipotesi!$C$44:$G$44,1,F451)*I451</f>
        <v>4</v>
      </c>
      <c r="R451" s="17" t="n">
        <f aca="false">INDEX(Ipotesi!$C$45:$G$45,1,F451)*I451</f>
        <v>1</v>
      </c>
      <c r="S451" s="17" t="n">
        <f aca="false">INDEX(Ipotesi!$C$52:$G$52,1,F451)*Ipotesi!J125</f>
        <v>5</v>
      </c>
      <c r="T451" s="17" t="n">
        <f aca="false">INDEX(Ipotesi!$C$53:$G$53,1,F451)*I451</f>
        <v>1</v>
      </c>
      <c r="U451" s="17" t="n">
        <f aca="false">INDEX(Ipotesi!$C$54:$G$54,1,F451)*I451</f>
        <v>0.5</v>
      </c>
      <c r="V451" s="15" t="n">
        <f aca="false">M451*INDEX(Ipotesi!$C$58:$G$58,1,F451)*K451/12</f>
        <v>7083.33333333333</v>
      </c>
      <c r="W451" s="15" t="n">
        <f aca="false">N451*Ipotesi!$C$59*(1+Ipotesi!$C$66)^(F451-1)/12</f>
        <v>6188.58333333333</v>
      </c>
      <c r="X451" s="15" t="n">
        <f aca="false">O451*Ipotesi!$C$60*(1+Ipotesi!$C$66)^(F451-1)/12</f>
        <v>19891.875</v>
      </c>
      <c r="Y451" s="15" t="n">
        <f aca="false">P451*Ipotesi!$C$61*(1+Ipotesi!$C$66)^(F451-1)/12</f>
        <v>22102.0833333333</v>
      </c>
      <c r="Z451" s="15" t="n">
        <f aca="false">Q451*Ipotesi!$C$62*(1+Ipotesi!$C$66)^(F451-1)/12</f>
        <v>15913.5</v>
      </c>
      <c r="AA451" s="15" t="n">
        <f aca="false">R451*Ipotesi!$C$63*(1+Ipotesi!$C$66)^(F451-1)/12</f>
        <v>3094.29166666667</v>
      </c>
      <c r="AB451" s="15" t="n">
        <f aca="false">SUM(V451:AA451)</f>
        <v>74273.6666666667</v>
      </c>
      <c r="AC451" s="15" t="n">
        <f aca="false">(S451*Ipotesi!$C$64+T451*Ipotesi!$C$65+U451*Ipotesi!$C$63)*(1+Ipotesi!$C$66)^(F451-1)/12</f>
        <v>25417.3958333333</v>
      </c>
      <c r="AD451" s="15" t="n">
        <f aca="false">INDEX(Ipotesi!$C$48:$G$48,1,F451)*G451/12</f>
        <v>60</v>
      </c>
      <c r="AE451" s="15" t="n">
        <f aca="false">INDEX(Ipotesi!$C$50:$G$50,1,F451)*G451/12</f>
        <v>6.66666666666667</v>
      </c>
      <c r="AF451" s="15" t="n">
        <f aca="false">(S451*Parametri_v3!$C$7*Parametri_v3!$C$8+Parametri_v3!$C$10)/12</f>
        <v>64.1666666666667</v>
      </c>
      <c r="AG451" s="15" t="n">
        <f aca="false">AD451+AE451*(1+Parametri_v3!$C$9)</f>
        <v>70</v>
      </c>
      <c r="AH451" s="16" t="n">
        <f aca="false">IF(AG451=0,1,MIN(1,AF451/AG451))</f>
        <v>0.916666666666667</v>
      </c>
      <c r="AI451" s="15" t="n">
        <f aca="false">AD451*AH451</f>
        <v>55</v>
      </c>
      <c r="AJ451" s="15" t="n">
        <f aca="false">AE451*AH451</f>
        <v>6.11111111111111</v>
      </c>
      <c r="AK451" s="15" t="n">
        <f aca="false">AI451*INDEX(Ipotesi!$C$49:$G$49,1,F451)*H451</f>
        <v>46750</v>
      </c>
      <c r="AL451" s="15" t="n">
        <f aca="false">AJ451*INDEX(Ipotesi!$C$51:$G$51,1,F451)*H451</f>
        <v>13750</v>
      </c>
      <c r="AM451" s="15" t="n">
        <f aca="false">AK451+AL451</f>
        <v>60500</v>
      </c>
      <c r="AN451" s="15" t="n">
        <f aca="false">INDEX(Ipotesi!$C$30:$G$30,1,F451)*G451/12</f>
        <v>41.6666666666667</v>
      </c>
      <c r="AO451" s="15" t="n">
        <f aca="false">O451*Parametri_v3!$C$7*Parametri_v3!$C$11*(1-Parametri_v3!$C$14)/12</f>
        <v>46.2</v>
      </c>
      <c r="AP451" s="15" t="n">
        <f aca="false">MIN(AN451,AO451)</f>
        <v>41.6666666666667</v>
      </c>
      <c r="AQ451" s="15" t="n">
        <f aca="false">AP451*INDEX(Ipotesi!$C$31:$G$31,1,F451)*H451</f>
        <v>41666.6666666667</v>
      </c>
      <c r="AR451" s="15" t="n">
        <f aca="false">INDEX(Ipotesi!$C$75:$G$75,1,F451)*J451/12</f>
        <v>20000</v>
      </c>
      <c r="AS451" s="15" t="n">
        <f aca="false">INDEX(Ipotesi!$C$81:$G$81,1,F451)*J451/12</f>
        <v>1250</v>
      </c>
      <c r="AT451" s="15" t="n">
        <f aca="false">AR451*Parametri_v3!$C$15+Z451*Parametri_v3!$C$16</f>
        <v>31139.45</v>
      </c>
      <c r="AU451" s="15" t="n">
        <f aca="false">Q451*Parametri_v3!$C$16*Parametri_v3!$C$17</f>
        <v>280</v>
      </c>
      <c r="AV451" s="17" t="n">
        <f aca="false">BD450</f>
        <v>35.5117024334047</v>
      </c>
      <c r="AW451" s="17" t="n">
        <f aca="false">AV451*(1-(1-INDEX(Ipotesi!$C$34:$G$34,1,F451))^(1/12))</f>
        <v>0.310429487011781</v>
      </c>
      <c r="AX451" s="15" t="n">
        <f aca="false">ROUND(INDEX(Ipotesi!$C$32:$G$32,1,F451)*Ipotesi!J8,0)</f>
        <v>130</v>
      </c>
      <c r="AY451" s="15" t="n">
        <f aca="false">MAX(0,(AX451-(AV451-AW451))/(13-E451))</f>
        <v>9.47987270536071</v>
      </c>
      <c r="AZ451" s="15" t="n">
        <f aca="false">MIN(P451*Parametri_v3!$C$22,Q451*(1-Parametri_v3!$C$16)*Parametri_v3!$C$23)</f>
        <v>180</v>
      </c>
      <c r="BA451" s="15" t="n">
        <f aca="false">IF(OR(INDEX(Ipotesi!$C$35:$G$35,1,F451)&lt;=0,27-Parametri_v3!$C$21&lt;1),0,INDEX($AT$425:$AT$484,MAX(1,27-Parametri_v3!$C$21))/(INDEX(Ipotesi!$C$35:$G$35,1,F451)*Ipotesi!J27))</f>
        <v>1.72779166666667</v>
      </c>
      <c r="BB451" s="15" t="n">
        <f aca="false">IF(27-Parametri_v3!$C$21&lt;1,0,INDEX($AU$425:$AU$484,MAX(1,27-Parametri_v3!$C$21)))*Parametri_v3!$C$18*Parametri_v3!$C$19*Parametri_v3!$C$20</f>
        <v>3.9375</v>
      </c>
      <c r="BC451" s="17" t="n">
        <f aca="false">MAX(0,MIN(AY451,BA451,BB451,MAX(0,AZ451-(AV451-AW451))))</f>
        <v>1.72779166666667</v>
      </c>
      <c r="BD451" s="17" t="n">
        <f aca="false">AV451-AW451+BC451</f>
        <v>36.9290646130596</v>
      </c>
      <c r="BE451" s="17" t="n">
        <f aca="false">(AV451+BD451)/2</f>
        <v>36.2203835232322</v>
      </c>
      <c r="BF451" s="15" t="n">
        <f aca="false">BE451*INDEX(Ipotesi!$C$33:$G$33,1,F451)*H451/12</f>
        <v>16601.0091148147</v>
      </c>
      <c r="BG451" s="15" t="n">
        <f aca="false">BD451*INDEX(Ipotesi!$C$33:$G$33,1,F451)*H451</f>
        <v>203109.855371828</v>
      </c>
      <c r="BH451" s="15" t="n">
        <f aca="false">AM451*INDEX(Ipotesi!$C$37:$G$37,1,F451)</f>
        <v>6050</v>
      </c>
      <c r="BI451" s="15" t="n">
        <f aca="false">AQ451+BF451+BH451</f>
        <v>64317.6757814814</v>
      </c>
      <c r="BJ451" s="15" t="n">
        <f aca="false">INDEX(Ipotesi!$C$68:$G$68,1,F451)*Ipotesi!$C$69/12</f>
        <v>2400</v>
      </c>
      <c r="BK451" s="15" t="n">
        <f aca="false">INDEX(Ipotesi!$C$68:$G$68,1,F451)*(1-Ipotesi!$C$69)/12</f>
        <v>3600</v>
      </c>
      <c r="BL451" s="15" t="n">
        <f aca="false">(AQ451+BF451)*Ipotesi!$C$67</f>
        <v>1748.03027344444</v>
      </c>
      <c r="BM451" s="15" t="n">
        <f aca="false">AM451*Ipotesi!$C$67</f>
        <v>1815</v>
      </c>
      <c r="BN451" s="15" t="n">
        <f aca="false">INDEX(Ipotesi!$C$72:$G$72,1,F451)/12*Ipotesi!J126+BF451*Ipotesi!$C$73</f>
        <v>2578.08072918518</v>
      </c>
      <c r="BO451" s="15" t="n">
        <f aca="false">INDEX(Ipotesi!$C$74:$G$74,1,F451)/12*Ipotesi!J126</f>
        <v>2916.66666666667</v>
      </c>
      <c r="BP451" s="15" t="n">
        <f aca="false">INDEX(Ipotesi!$C$76:$G$76,1,F451)/12</f>
        <v>1083.33333333333</v>
      </c>
      <c r="BQ451" s="15" t="n">
        <f aca="false">INDEX(Ipotesi!$C$77:$G$77,1,F451)/12*Ipotesi!J126</f>
        <v>2083.33333333333</v>
      </c>
      <c r="BR451" s="15" t="n">
        <f aca="false">INDEX(Ipotesi!$C$78:$G$78,1,F451)/12</f>
        <v>1666.66666666667</v>
      </c>
      <c r="BS451" s="15" t="n">
        <f aca="false">SUM(M451:R451)*(Ipotesi!$C$85+Ipotesi!$C$86)/12</f>
        <v>4812.5</v>
      </c>
      <c r="BT451" s="15" t="n">
        <f aca="false">BI451*Ipotesi!$C$87</f>
        <v>1929.53027344444</v>
      </c>
      <c r="BU451" s="15" t="n">
        <f aca="false">INDEX(Ipotesi!$C$55:$G$55,1,F451)*K451/12</f>
        <v>1500</v>
      </c>
      <c r="BV451" s="15" t="n">
        <f aca="false">INDEX(Ipotesi!$C$80:$G$80,1,F451)/12*Ipotesi!J126</f>
        <v>1250</v>
      </c>
      <c r="BW451" s="15" t="n">
        <f aca="false">INDEX(Ipotesi!$C$82:$G$82,1,F451)/12</f>
        <v>1000</v>
      </c>
      <c r="BX451" s="15" t="n">
        <f aca="false">INDEX(Ipotesi!$C$83:$G$83,1,F451)/12</f>
        <v>666.666666666667</v>
      </c>
      <c r="BY451" s="15" t="n">
        <f aca="false">SUM(S451:U451)*(Ipotesi!$C$85+Ipotesi!$C$86)/12</f>
        <v>1895.83333333333</v>
      </c>
      <c r="BZ451" s="15" t="n">
        <f aca="false">AM451*Ipotesi!$C$87</f>
        <v>1815</v>
      </c>
      <c r="CA451" s="15" t="n">
        <f aca="false">AB451+BJ451+BL451+BN451+BO451+AR451+BP451+BQ451+BR451+BS451+BT451</f>
        <v>115491.807942741</v>
      </c>
      <c r="CB451" s="15" t="n">
        <f aca="false">AC451+BK451+BM451+BH451+BU451+BV451+AS451+BW451+BX451+BY451+BZ451</f>
        <v>46259.8958333333</v>
      </c>
      <c r="CC451" s="15" t="n">
        <f aca="false">BI451-CA451</f>
        <v>-51174.1321612593</v>
      </c>
      <c r="CD451" s="15" t="n">
        <f aca="false">AM451-CB451</f>
        <v>14240.1041666667</v>
      </c>
      <c r="CE451" s="15" t="n">
        <f aca="false">INDEX(Ipotesi!$C$79:$G$79,1,F451)/12</f>
        <v>2500</v>
      </c>
      <c r="CF451" s="15" t="n">
        <f aca="false">INDEX(Ipotesi!$C$84:$G$84,1,F451)/12</f>
        <v>416.666666666667</v>
      </c>
      <c r="CG451" s="15" t="n">
        <f aca="false">Y451*MAX(0,Parametri_v3!$C$12-IF(P451=0,0,MIN(1,BE451/(P451*Parametri_v3!$C$22))))+W451*Parametri_v3!$C$13+X451*Parametri_v3!$C$14</f>
        <v>27573.6581300085</v>
      </c>
      <c r="CH451" s="15" t="n">
        <f aca="false">AB451*Parametri_v3!$C$32</f>
        <v>3713.68333333333</v>
      </c>
      <c r="CI451" s="15" t="n">
        <f aca="false">AC451*Parametri_v3!$C$32</f>
        <v>1270.86979166667</v>
      </c>
      <c r="CJ451" s="15" t="n">
        <f aca="false">CA451-AB451</f>
        <v>41218.1412760741</v>
      </c>
      <c r="CK451" s="15" t="n">
        <f aca="false">CB451-AC451-BH451</f>
        <v>14792.5</v>
      </c>
      <c r="CL451" s="15" t="n">
        <f aca="false">BF451*Ipotesi!$C$73+INDEX(Ipotesi!$C$72:$G$72,1,F451)/12*Ipotesi!J126*Parametri_v3!$C$58+Z451*(1-Parametri_v3!$C$16)</f>
        <v>7352.13072918518</v>
      </c>
      <c r="CM451" s="16" t="n">
        <f aca="false">IF(BF451=0,0,1-CL451/BF451)</f>
        <v>0.557127480725004</v>
      </c>
    </row>
    <row r="452" customFormat="false" ht="18" hidden="false" customHeight="true" outlineLevel="0" collapsed="false">
      <c r="A452" s="68" t="n">
        <f aca="false">8</f>
        <v>8</v>
      </c>
      <c r="B452" s="68" t="n">
        <f aca="false">28</f>
        <v>28</v>
      </c>
      <c r="C452" s="18" t="n">
        <f aca="false">EDATE(Parametri_v3!$C$5,28-1)</f>
        <v>47209</v>
      </c>
      <c r="D452" s="68" t="n">
        <f aca="false">YEAR(C452)</f>
        <v>2029</v>
      </c>
      <c r="E452" s="68" t="n">
        <f aca="false">MONTH(C452)</f>
        <v>4</v>
      </c>
      <c r="F452" s="68" t="n">
        <f aca="false">INT((28-1)/12)+1</f>
        <v>3</v>
      </c>
      <c r="G452" s="15" t="n">
        <f aca="false">Ipotesi!J7</f>
        <v>1</v>
      </c>
      <c r="H452" s="15" t="n">
        <f aca="false">Ipotesi!J9</f>
        <v>1</v>
      </c>
      <c r="I452" s="15" t="n">
        <f aca="false">Ipotesi!J10</f>
        <v>1</v>
      </c>
      <c r="J452" s="15" t="n">
        <f aca="false">Ipotesi!J11</f>
        <v>1</v>
      </c>
      <c r="K452" s="15" t="n">
        <f aca="false">Ipotesi!J12</f>
        <v>1</v>
      </c>
      <c r="L452" s="15" t="n">
        <f aca="false">Ipotesi!J13</f>
        <v>90</v>
      </c>
      <c r="M452" s="17" t="n">
        <f aca="false">INDEX(Ipotesi!$C$40:$G$40,1,F452)</f>
        <v>1</v>
      </c>
      <c r="N452" s="17" t="n">
        <f aca="false">INDEX(Ipotesi!$C$41:$G$41,1,F452)</f>
        <v>1</v>
      </c>
      <c r="O452" s="17" t="n">
        <f aca="false">INDEX(Ipotesi!$C$42:$G$42,1,F452)*Ipotesi!J125</f>
        <v>4.5</v>
      </c>
      <c r="P452" s="17" t="n">
        <f aca="false">INDEX(Ipotesi!$C$43:$G$43,1,F452)*I452</f>
        <v>5</v>
      </c>
      <c r="Q452" s="17" t="n">
        <f aca="false">INDEX(Ipotesi!$C$44:$G$44,1,F452)*I452</f>
        <v>4</v>
      </c>
      <c r="R452" s="17" t="n">
        <f aca="false">INDEX(Ipotesi!$C$45:$G$45,1,F452)*I452</f>
        <v>1</v>
      </c>
      <c r="S452" s="17" t="n">
        <f aca="false">INDEX(Ipotesi!$C$52:$G$52,1,F452)*Ipotesi!J125</f>
        <v>5</v>
      </c>
      <c r="T452" s="17" t="n">
        <f aca="false">INDEX(Ipotesi!$C$53:$G$53,1,F452)*I452</f>
        <v>1</v>
      </c>
      <c r="U452" s="17" t="n">
        <f aca="false">INDEX(Ipotesi!$C$54:$G$54,1,F452)*I452</f>
        <v>0.5</v>
      </c>
      <c r="V452" s="15" t="n">
        <f aca="false">M452*INDEX(Ipotesi!$C$58:$G$58,1,F452)*K452/12</f>
        <v>7083.33333333333</v>
      </c>
      <c r="W452" s="15" t="n">
        <f aca="false">N452*Ipotesi!$C$59*(1+Ipotesi!$C$66)^(F452-1)/12</f>
        <v>6188.58333333333</v>
      </c>
      <c r="X452" s="15" t="n">
        <f aca="false">O452*Ipotesi!$C$60*(1+Ipotesi!$C$66)^(F452-1)/12</f>
        <v>19891.875</v>
      </c>
      <c r="Y452" s="15" t="n">
        <f aca="false">P452*Ipotesi!$C$61*(1+Ipotesi!$C$66)^(F452-1)/12</f>
        <v>22102.0833333333</v>
      </c>
      <c r="Z452" s="15" t="n">
        <f aca="false">Q452*Ipotesi!$C$62*(1+Ipotesi!$C$66)^(F452-1)/12</f>
        <v>15913.5</v>
      </c>
      <c r="AA452" s="15" t="n">
        <f aca="false">R452*Ipotesi!$C$63*(1+Ipotesi!$C$66)^(F452-1)/12</f>
        <v>3094.29166666667</v>
      </c>
      <c r="AB452" s="15" t="n">
        <f aca="false">SUM(V452:AA452)</f>
        <v>74273.6666666667</v>
      </c>
      <c r="AC452" s="15" t="n">
        <f aca="false">(S452*Ipotesi!$C$64+T452*Ipotesi!$C$65+U452*Ipotesi!$C$63)*(1+Ipotesi!$C$66)^(F452-1)/12</f>
        <v>25417.3958333333</v>
      </c>
      <c r="AD452" s="15" t="n">
        <f aca="false">INDEX(Ipotesi!$C$48:$G$48,1,F452)*G452/12</f>
        <v>60</v>
      </c>
      <c r="AE452" s="15" t="n">
        <f aca="false">INDEX(Ipotesi!$C$50:$G$50,1,F452)*G452/12</f>
        <v>6.66666666666667</v>
      </c>
      <c r="AF452" s="15" t="n">
        <f aca="false">(S452*Parametri_v3!$C$7*Parametri_v3!$C$8+Parametri_v3!$C$10)/12</f>
        <v>64.1666666666667</v>
      </c>
      <c r="AG452" s="15" t="n">
        <f aca="false">AD452+AE452*(1+Parametri_v3!$C$9)</f>
        <v>70</v>
      </c>
      <c r="AH452" s="16" t="n">
        <f aca="false">IF(AG452=0,1,MIN(1,AF452/AG452))</f>
        <v>0.916666666666667</v>
      </c>
      <c r="AI452" s="15" t="n">
        <f aca="false">AD452*AH452</f>
        <v>55</v>
      </c>
      <c r="AJ452" s="15" t="n">
        <f aca="false">AE452*AH452</f>
        <v>6.11111111111111</v>
      </c>
      <c r="AK452" s="15" t="n">
        <f aca="false">AI452*INDEX(Ipotesi!$C$49:$G$49,1,F452)*H452</f>
        <v>46750</v>
      </c>
      <c r="AL452" s="15" t="n">
        <f aca="false">AJ452*INDEX(Ipotesi!$C$51:$G$51,1,F452)*H452</f>
        <v>13750</v>
      </c>
      <c r="AM452" s="15" t="n">
        <f aca="false">AK452+AL452</f>
        <v>60500</v>
      </c>
      <c r="AN452" s="15" t="n">
        <f aca="false">INDEX(Ipotesi!$C$30:$G$30,1,F452)*G452/12</f>
        <v>41.6666666666667</v>
      </c>
      <c r="AO452" s="15" t="n">
        <f aca="false">O452*Parametri_v3!$C$7*Parametri_v3!$C$11*(1-Parametri_v3!$C$14)/12</f>
        <v>46.2</v>
      </c>
      <c r="AP452" s="15" t="n">
        <f aca="false">MIN(AN452,AO452)</f>
        <v>41.6666666666667</v>
      </c>
      <c r="AQ452" s="15" t="n">
        <f aca="false">AP452*INDEX(Ipotesi!$C$31:$G$31,1,F452)*H452</f>
        <v>41666.6666666667</v>
      </c>
      <c r="AR452" s="15" t="n">
        <f aca="false">INDEX(Ipotesi!$C$75:$G$75,1,F452)*J452/12</f>
        <v>20000</v>
      </c>
      <c r="AS452" s="15" t="n">
        <f aca="false">INDEX(Ipotesi!$C$81:$G$81,1,F452)*J452/12</f>
        <v>1250</v>
      </c>
      <c r="AT452" s="15" t="n">
        <f aca="false">AR452*Parametri_v3!$C$15+Z452*Parametri_v3!$C$16</f>
        <v>31139.45</v>
      </c>
      <c r="AU452" s="15" t="n">
        <f aca="false">Q452*Parametri_v3!$C$16*Parametri_v3!$C$17</f>
        <v>280</v>
      </c>
      <c r="AV452" s="17" t="n">
        <f aca="false">BD451</f>
        <v>36.9290646130596</v>
      </c>
      <c r="AW452" s="17" t="n">
        <f aca="false">AV452*(1-(1-INDEX(Ipotesi!$C$34:$G$34,1,F452))^(1/12))</f>
        <v>0.322819515768225</v>
      </c>
      <c r="AX452" s="15" t="n">
        <f aca="false">ROUND(INDEX(Ipotesi!$C$32:$G$32,1,F452)*Ipotesi!J8,0)</f>
        <v>130</v>
      </c>
      <c r="AY452" s="15" t="n">
        <f aca="false">MAX(0,(AX452-(AV452-AW452))/(13-E452))</f>
        <v>10.3770838780787</v>
      </c>
      <c r="AZ452" s="15" t="n">
        <f aca="false">MIN(P452*Parametri_v3!$C$22,Q452*(1-Parametri_v3!$C$16)*Parametri_v3!$C$23)</f>
        <v>180</v>
      </c>
      <c r="BA452" s="15" t="n">
        <f aca="false">IF(OR(INDEX(Ipotesi!$C$35:$G$35,1,F452)&lt;=0,28-Parametri_v3!$C$21&lt;1),0,INDEX($AT$425:$AT$484,MAX(1,28-Parametri_v3!$C$21))/(INDEX(Ipotesi!$C$35:$G$35,1,F452)*Ipotesi!J27))</f>
        <v>6.22789</v>
      </c>
      <c r="BB452" s="15" t="n">
        <f aca="false">IF(28-Parametri_v3!$C$21&lt;1,0,INDEX($AU$425:$AU$484,MAX(1,28-Parametri_v3!$C$21)))*Parametri_v3!$C$18*Parametri_v3!$C$19*Parametri_v3!$C$20</f>
        <v>10.5</v>
      </c>
      <c r="BC452" s="17" t="n">
        <f aca="false">MAX(0,MIN(AY452,BA452,BB452,MAX(0,AZ452-(AV452-AW452))))</f>
        <v>6.22789</v>
      </c>
      <c r="BD452" s="17" t="n">
        <f aca="false">AV452-AW452+BC452</f>
        <v>42.8341350972914</v>
      </c>
      <c r="BE452" s="17" t="n">
        <f aca="false">(AV452+BD452)/2</f>
        <v>39.8815998551755</v>
      </c>
      <c r="BF452" s="15" t="n">
        <f aca="false">BE452*INDEX(Ipotesi!$C$33:$G$33,1,F452)*H452/12</f>
        <v>18279.0666002888</v>
      </c>
      <c r="BG452" s="15" t="n">
        <f aca="false">BD452*INDEX(Ipotesi!$C$33:$G$33,1,F452)*H452</f>
        <v>235587.743035103</v>
      </c>
      <c r="BH452" s="15" t="n">
        <f aca="false">AM452*INDEX(Ipotesi!$C$37:$G$37,1,F452)</f>
        <v>6050</v>
      </c>
      <c r="BI452" s="15" t="n">
        <f aca="false">AQ452+BF452+BH452</f>
        <v>65995.7332669555</v>
      </c>
      <c r="BJ452" s="15" t="n">
        <f aca="false">INDEX(Ipotesi!$C$68:$G$68,1,F452)*Ipotesi!$C$69/12</f>
        <v>2400</v>
      </c>
      <c r="BK452" s="15" t="n">
        <f aca="false">INDEX(Ipotesi!$C$68:$G$68,1,F452)*(1-Ipotesi!$C$69)/12</f>
        <v>3600</v>
      </c>
      <c r="BL452" s="15" t="n">
        <f aca="false">(AQ452+BF452)*Ipotesi!$C$67</f>
        <v>1798.37199800866</v>
      </c>
      <c r="BM452" s="15" t="n">
        <f aca="false">AM452*Ipotesi!$C$67</f>
        <v>1815</v>
      </c>
      <c r="BN452" s="15" t="n">
        <f aca="false">INDEX(Ipotesi!$C$72:$G$72,1,F452)/12*Ipotesi!J126+BF452*Ipotesi!$C$73</f>
        <v>2712.3253280231</v>
      </c>
      <c r="BO452" s="15" t="n">
        <f aca="false">INDEX(Ipotesi!$C$74:$G$74,1,F452)/12*Ipotesi!J126</f>
        <v>2916.66666666667</v>
      </c>
      <c r="BP452" s="15" t="n">
        <f aca="false">INDEX(Ipotesi!$C$76:$G$76,1,F452)/12</f>
        <v>1083.33333333333</v>
      </c>
      <c r="BQ452" s="15" t="n">
        <f aca="false">INDEX(Ipotesi!$C$77:$G$77,1,F452)/12*Ipotesi!J126</f>
        <v>2083.33333333333</v>
      </c>
      <c r="BR452" s="15" t="n">
        <f aca="false">INDEX(Ipotesi!$C$78:$G$78,1,F452)/12</f>
        <v>1666.66666666667</v>
      </c>
      <c r="BS452" s="15" t="n">
        <f aca="false">SUM(M452:R452)*(Ipotesi!$C$85+Ipotesi!$C$86)/12</f>
        <v>4812.5</v>
      </c>
      <c r="BT452" s="15" t="n">
        <f aca="false">BI452*Ipotesi!$C$87</f>
        <v>1979.87199800866</v>
      </c>
      <c r="BU452" s="15" t="n">
        <f aca="false">INDEX(Ipotesi!$C$55:$G$55,1,F452)*K452/12</f>
        <v>1500</v>
      </c>
      <c r="BV452" s="15" t="n">
        <f aca="false">INDEX(Ipotesi!$C$80:$G$80,1,F452)/12*Ipotesi!J126</f>
        <v>1250</v>
      </c>
      <c r="BW452" s="15" t="n">
        <f aca="false">INDEX(Ipotesi!$C$82:$G$82,1,F452)/12</f>
        <v>1000</v>
      </c>
      <c r="BX452" s="15" t="n">
        <f aca="false">INDEX(Ipotesi!$C$83:$G$83,1,F452)/12</f>
        <v>666.666666666667</v>
      </c>
      <c r="BY452" s="15" t="n">
        <f aca="false">SUM(S452:U452)*(Ipotesi!$C$85+Ipotesi!$C$86)/12</f>
        <v>1895.83333333333</v>
      </c>
      <c r="BZ452" s="15" t="n">
        <f aca="false">AM452*Ipotesi!$C$87</f>
        <v>1815</v>
      </c>
      <c r="CA452" s="15" t="n">
        <f aca="false">AB452+BJ452+BL452+BN452+BO452+AR452+BP452+BQ452+BR452+BS452+BT452</f>
        <v>115726.735990707</v>
      </c>
      <c r="CB452" s="15" t="n">
        <f aca="false">AC452+BK452+BM452+BH452+BU452+BV452+AS452+BW452+BX452+BY452+BZ452</f>
        <v>46259.8958333333</v>
      </c>
      <c r="CC452" s="15" t="n">
        <f aca="false">BI452-CA452</f>
        <v>-49731.0027237517</v>
      </c>
      <c r="CD452" s="15" t="n">
        <f aca="false">AM452-CB452</f>
        <v>14240.1041666667</v>
      </c>
      <c r="CE452" s="15" t="n">
        <f aca="false">INDEX(Ipotesi!$C$79:$G$79,1,F452)/12</f>
        <v>2500</v>
      </c>
      <c r="CF452" s="15" t="n">
        <f aca="false">INDEX(Ipotesi!$C$84:$G$84,1,F452)/12</f>
        <v>416.666666666667</v>
      </c>
      <c r="CG452" s="15" t="n">
        <f aca="false">Y452*MAX(0,Parametri_v3!$C$12-IF(P452=0,0,MIN(1,BE452/(P452*Parametri_v3!$C$22))))+W452*Parametri_v3!$C$13+X452*Parametri_v3!$C$14</f>
        <v>27411.8171130685</v>
      </c>
      <c r="CH452" s="15" t="n">
        <f aca="false">AB452*Parametri_v3!$C$32</f>
        <v>3713.68333333333</v>
      </c>
      <c r="CI452" s="15" t="n">
        <f aca="false">AC452*Parametri_v3!$C$32</f>
        <v>1270.86979166667</v>
      </c>
      <c r="CJ452" s="15" t="n">
        <f aca="false">CA452-AB452</f>
        <v>41453.0693240404</v>
      </c>
      <c r="CK452" s="15" t="n">
        <f aca="false">CB452-AC452-BH452</f>
        <v>14792.5</v>
      </c>
      <c r="CL452" s="15" t="n">
        <f aca="false">BF452*Ipotesi!$C$73+INDEX(Ipotesi!$C$72:$G$72,1,F452)/12*Ipotesi!J126*Parametri_v3!$C$58+Z452*(1-Parametri_v3!$C$16)</f>
        <v>7486.3753280231</v>
      </c>
      <c r="CM452" s="16" t="n">
        <f aca="false">IF(BF452=0,0,1-CL452/BF452)</f>
        <v>0.590439955620883</v>
      </c>
    </row>
    <row r="453" customFormat="false" ht="18" hidden="false" customHeight="true" outlineLevel="0" collapsed="false">
      <c r="A453" s="68" t="n">
        <f aca="false">8</f>
        <v>8</v>
      </c>
      <c r="B453" s="68" t="n">
        <f aca="false">29</f>
        <v>29</v>
      </c>
      <c r="C453" s="18" t="n">
        <f aca="false">EDATE(Parametri_v3!$C$5,29-1)</f>
        <v>47239</v>
      </c>
      <c r="D453" s="68" t="n">
        <f aca="false">YEAR(C453)</f>
        <v>2029</v>
      </c>
      <c r="E453" s="68" t="n">
        <f aca="false">MONTH(C453)</f>
        <v>5</v>
      </c>
      <c r="F453" s="68" t="n">
        <f aca="false">INT((29-1)/12)+1</f>
        <v>3</v>
      </c>
      <c r="G453" s="15" t="n">
        <f aca="false">Ipotesi!J7</f>
        <v>1</v>
      </c>
      <c r="H453" s="15" t="n">
        <f aca="false">Ipotesi!J9</f>
        <v>1</v>
      </c>
      <c r="I453" s="15" t="n">
        <f aca="false">Ipotesi!J10</f>
        <v>1</v>
      </c>
      <c r="J453" s="15" t="n">
        <f aca="false">Ipotesi!J11</f>
        <v>1</v>
      </c>
      <c r="K453" s="15" t="n">
        <f aca="false">Ipotesi!J12</f>
        <v>1</v>
      </c>
      <c r="L453" s="15" t="n">
        <f aca="false">Ipotesi!J13</f>
        <v>90</v>
      </c>
      <c r="M453" s="17" t="n">
        <f aca="false">INDEX(Ipotesi!$C$40:$G$40,1,F453)</f>
        <v>1</v>
      </c>
      <c r="N453" s="17" t="n">
        <f aca="false">INDEX(Ipotesi!$C$41:$G$41,1,F453)</f>
        <v>1</v>
      </c>
      <c r="O453" s="17" t="n">
        <f aca="false">INDEX(Ipotesi!$C$42:$G$42,1,F453)*Ipotesi!J125</f>
        <v>4.5</v>
      </c>
      <c r="P453" s="17" t="n">
        <f aca="false">INDEX(Ipotesi!$C$43:$G$43,1,F453)*I453</f>
        <v>5</v>
      </c>
      <c r="Q453" s="17" t="n">
        <f aca="false">INDEX(Ipotesi!$C$44:$G$44,1,F453)*I453</f>
        <v>4</v>
      </c>
      <c r="R453" s="17" t="n">
        <f aca="false">INDEX(Ipotesi!$C$45:$G$45,1,F453)*I453</f>
        <v>1</v>
      </c>
      <c r="S453" s="17" t="n">
        <f aca="false">INDEX(Ipotesi!$C$52:$G$52,1,F453)*Ipotesi!J125</f>
        <v>5</v>
      </c>
      <c r="T453" s="17" t="n">
        <f aca="false">INDEX(Ipotesi!$C$53:$G$53,1,F453)*I453</f>
        <v>1</v>
      </c>
      <c r="U453" s="17" t="n">
        <f aca="false">INDEX(Ipotesi!$C$54:$G$54,1,F453)*I453</f>
        <v>0.5</v>
      </c>
      <c r="V453" s="15" t="n">
        <f aca="false">M453*INDEX(Ipotesi!$C$58:$G$58,1,F453)*K453/12</f>
        <v>7083.33333333333</v>
      </c>
      <c r="W453" s="15" t="n">
        <f aca="false">N453*Ipotesi!$C$59*(1+Ipotesi!$C$66)^(F453-1)/12</f>
        <v>6188.58333333333</v>
      </c>
      <c r="X453" s="15" t="n">
        <f aca="false">O453*Ipotesi!$C$60*(1+Ipotesi!$C$66)^(F453-1)/12</f>
        <v>19891.875</v>
      </c>
      <c r="Y453" s="15" t="n">
        <f aca="false">P453*Ipotesi!$C$61*(1+Ipotesi!$C$66)^(F453-1)/12</f>
        <v>22102.0833333333</v>
      </c>
      <c r="Z453" s="15" t="n">
        <f aca="false">Q453*Ipotesi!$C$62*(1+Ipotesi!$C$66)^(F453-1)/12</f>
        <v>15913.5</v>
      </c>
      <c r="AA453" s="15" t="n">
        <f aca="false">R453*Ipotesi!$C$63*(1+Ipotesi!$C$66)^(F453-1)/12</f>
        <v>3094.29166666667</v>
      </c>
      <c r="AB453" s="15" t="n">
        <f aca="false">SUM(V453:AA453)</f>
        <v>74273.6666666667</v>
      </c>
      <c r="AC453" s="15" t="n">
        <f aca="false">(S453*Ipotesi!$C$64+T453*Ipotesi!$C$65+U453*Ipotesi!$C$63)*(1+Ipotesi!$C$66)^(F453-1)/12</f>
        <v>25417.3958333333</v>
      </c>
      <c r="AD453" s="15" t="n">
        <f aca="false">INDEX(Ipotesi!$C$48:$G$48,1,F453)*G453/12</f>
        <v>60</v>
      </c>
      <c r="AE453" s="15" t="n">
        <f aca="false">INDEX(Ipotesi!$C$50:$G$50,1,F453)*G453/12</f>
        <v>6.66666666666667</v>
      </c>
      <c r="AF453" s="15" t="n">
        <f aca="false">(S453*Parametri_v3!$C$7*Parametri_v3!$C$8+Parametri_v3!$C$10)/12</f>
        <v>64.1666666666667</v>
      </c>
      <c r="AG453" s="15" t="n">
        <f aca="false">AD453+AE453*(1+Parametri_v3!$C$9)</f>
        <v>70</v>
      </c>
      <c r="AH453" s="16" t="n">
        <f aca="false">IF(AG453=0,1,MIN(1,AF453/AG453))</f>
        <v>0.916666666666667</v>
      </c>
      <c r="AI453" s="15" t="n">
        <f aca="false">AD453*AH453</f>
        <v>55</v>
      </c>
      <c r="AJ453" s="15" t="n">
        <f aca="false">AE453*AH453</f>
        <v>6.11111111111111</v>
      </c>
      <c r="AK453" s="15" t="n">
        <f aca="false">AI453*INDEX(Ipotesi!$C$49:$G$49,1,F453)*H453</f>
        <v>46750</v>
      </c>
      <c r="AL453" s="15" t="n">
        <f aca="false">AJ453*INDEX(Ipotesi!$C$51:$G$51,1,F453)*H453</f>
        <v>13750</v>
      </c>
      <c r="AM453" s="15" t="n">
        <f aca="false">AK453+AL453</f>
        <v>60500</v>
      </c>
      <c r="AN453" s="15" t="n">
        <f aca="false">INDEX(Ipotesi!$C$30:$G$30,1,F453)*G453/12</f>
        <v>41.6666666666667</v>
      </c>
      <c r="AO453" s="15" t="n">
        <f aca="false">O453*Parametri_v3!$C$7*Parametri_v3!$C$11*(1-Parametri_v3!$C$14)/12</f>
        <v>46.2</v>
      </c>
      <c r="AP453" s="15" t="n">
        <f aca="false">MIN(AN453,AO453)</f>
        <v>41.6666666666667</v>
      </c>
      <c r="AQ453" s="15" t="n">
        <f aca="false">AP453*INDEX(Ipotesi!$C$31:$G$31,1,F453)*H453</f>
        <v>41666.6666666667</v>
      </c>
      <c r="AR453" s="15" t="n">
        <f aca="false">INDEX(Ipotesi!$C$75:$G$75,1,F453)*J453/12</f>
        <v>20000</v>
      </c>
      <c r="AS453" s="15" t="n">
        <f aca="false">INDEX(Ipotesi!$C$81:$G$81,1,F453)*J453/12</f>
        <v>1250</v>
      </c>
      <c r="AT453" s="15" t="n">
        <f aca="false">AR453*Parametri_v3!$C$15+Z453*Parametri_v3!$C$16</f>
        <v>31139.45</v>
      </c>
      <c r="AU453" s="15" t="n">
        <f aca="false">Q453*Parametri_v3!$C$16*Parametri_v3!$C$17</f>
        <v>280</v>
      </c>
      <c r="AV453" s="17" t="n">
        <f aca="false">BD452</f>
        <v>42.8341350972914</v>
      </c>
      <c r="AW453" s="17" t="n">
        <f aca="false">AV453*(1-(1-INDEX(Ipotesi!$C$34:$G$34,1,F453))^(1/12))</f>
        <v>0.374439344601442</v>
      </c>
      <c r="AX453" s="15" t="n">
        <f aca="false">ROUND(INDEX(Ipotesi!$C$32:$G$32,1,F453)*Ipotesi!J8,0)</f>
        <v>130</v>
      </c>
      <c r="AY453" s="15" t="n">
        <f aca="false">MAX(0,(AX453-(AV453-AW453))/(13-E453))</f>
        <v>10.9425380309138</v>
      </c>
      <c r="AZ453" s="15" t="n">
        <f aca="false">MIN(P453*Parametri_v3!$C$22,Q453*(1-Parametri_v3!$C$16)*Parametri_v3!$C$23)</f>
        <v>180</v>
      </c>
      <c r="BA453" s="15" t="n">
        <f aca="false">IF(OR(INDEX(Ipotesi!$C$35:$G$35,1,F453)&lt;=0,29-Parametri_v3!$C$21&lt;1),0,INDEX($AT$425:$AT$484,MAX(1,29-Parametri_v3!$C$21))/(INDEX(Ipotesi!$C$35:$G$35,1,F453)*Ipotesi!J27))</f>
        <v>6.22789</v>
      </c>
      <c r="BB453" s="15" t="n">
        <f aca="false">IF(29-Parametri_v3!$C$21&lt;1,0,INDEX($AU$425:$AU$484,MAX(1,29-Parametri_v3!$C$21)))*Parametri_v3!$C$18*Parametri_v3!$C$19*Parametri_v3!$C$20</f>
        <v>10.5</v>
      </c>
      <c r="BC453" s="17" t="n">
        <f aca="false">MAX(0,MIN(AY453,BA453,BB453,MAX(0,AZ453-(AV453-AW453))))</f>
        <v>6.22789</v>
      </c>
      <c r="BD453" s="17" t="n">
        <f aca="false">AV453-AW453+BC453</f>
        <v>48.68758575269</v>
      </c>
      <c r="BE453" s="17" t="n">
        <f aca="false">(AV453+BD453)/2</f>
        <v>45.7608604249907</v>
      </c>
      <c r="BF453" s="15" t="n">
        <f aca="false">BE453*INDEX(Ipotesi!$C$33:$G$33,1,F453)*H453/12</f>
        <v>20973.7276947874</v>
      </c>
      <c r="BG453" s="15" t="n">
        <f aca="false">BD453*INDEX(Ipotesi!$C$33:$G$33,1,F453)*H453</f>
        <v>267781.721639795</v>
      </c>
      <c r="BH453" s="15" t="n">
        <f aca="false">AM453*INDEX(Ipotesi!$C$37:$G$37,1,F453)</f>
        <v>6050</v>
      </c>
      <c r="BI453" s="15" t="n">
        <f aca="false">AQ453+BF453+BH453</f>
        <v>68690.3943614541</v>
      </c>
      <c r="BJ453" s="15" t="n">
        <f aca="false">INDEX(Ipotesi!$C$68:$G$68,1,F453)*Ipotesi!$C$69/12</f>
        <v>2400</v>
      </c>
      <c r="BK453" s="15" t="n">
        <f aca="false">INDEX(Ipotesi!$C$68:$G$68,1,F453)*(1-Ipotesi!$C$69)/12</f>
        <v>3600</v>
      </c>
      <c r="BL453" s="15" t="n">
        <f aca="false">(AQ453+BF453)*Ipotesi!$C$67</f>
        <v>1879.21183084362</v>
      </c>
      <c r="BM453" s="15" t="n">
        <f aca="false">AM453*Ipotesi!$C$67</f>
        <v>1815</v>
      </c>
      <c r="BN453" s="15" t="n">
        <f aca="false">INDEX(Ipotesi!$C$72:$G$72,1,F453)/12*Ipotesi!J126+BF453*Ipotesi!$C$73</f>
        <v>2927.89821558299</v>
      </c>
      <c r="BO453" s="15" t="n">
        <f aca="false">INDEX(Ipotesi!$C$74:$G$74,1,F453)/12*Ipotesi!J126</f>
        <v>2916.66666666667</v>
      </c>
      <c r="BP453" s="15" t="n">
        <f aca="false">INDEX(Ipotesi!$C$76:$G$76,1,F453)/12</f>
        <v>1083.33333333333</v>
      </c>
      <c r="BQ453" s="15" t="n">
        <f aca="false">INDEX(Ipotesi!$C$77:$G$77,1,F453)/12*Ipotesi!J126</f>
        <v>2083.33333333333</v>
      </c>
      <c r="BR453" s="15" t="n">
        <f aca="false">INDEX(Ipotesi!$C$78:$G$78,1,F453)/12</f>
        <v>1666.66666666667</v>
      </c>
      <c r="BS453" s="15" t="n">
        <f aca="false">SUM(M453:R453)*(Ipotesi!$C$85+Ipotesi!$C$86)/12</f>
        <v>4812.5</v>
      </c>
      <c r="BT453" s="15" t="n">
        <f aca="false">BI453*Ipotesi!$C$87</f>
        <v>2060.71183084362</v>
      </c>
      <c r="BU453" s="15" t="n">
        <f aca="false">INDEX(Ipotesi!$C$55:$G$55,1,F453)*K453/12</f>
        <v>1500</v>
      </c>
      <c r="BV453" s="15" t="n">
        <f aca="false">INDEX(Ipotesi!$C$80:$G$80,1,F453)/12*Ipotesi!J126</f>
        <v>1250</v>
      </c>
      <c r="BW453" s="15" t="n">
        <f aca="false">INDEX(Ipotesi!$C$82:$G$82,1,F453)/12</f>
        <v>1000</v>
      </c>
      <c r="BX453" s="15" t="n">
        <f aca="false">INDEX(Ipotesi!$C$83:$G$83,1,F453)/12</f>
        <v>666.666666666667</v>
      </c>
      <c r="BY453" s="15" t="n">
        <f aca="false">SUM(S453:U453)*(Ipotesi!$C$85+Ipotesi!$C$86)/12</f>
        <v>1895.83333333333</v>
      </c>
      <c r="BZ453" s="15" t="n">
        <f aca="false">AM453*Ipotesi!$C$87</f>
        <v>1815</v>
      </c>
      <c r="CA453" s="15" t="n">
        <f aca="false">AB453+BJ453+BL453+BN453+BO453+AR453+BP453+BQ453+BR453+BS453+BT453</f>
        <v>116103.988543937</v>
      </c>
      <c r="CB453" s="15" t="n">
        <f aca="false">AC453+BK453+BM453+BH453+BU453+BV453+AS453+BW453+BX453+BY453+BZ453</f>
        <v>46259.8958333333</v>
      </c>
      <c r="CC453" s="15" t="n">
        <f aca="false">BI453-CA453</f>
        <v>-47413.5941824828</v>
      </c>
      <c r="CD453" s="15" t="n">
        <f aca="false">AM453-CB453</f>
        <v>14240.1041666667</v>
      </c>
      <c r="CE453" s="15" t="n">
        <f aca="false">INDEX(Ipotesi!$C$79:$G$79,1,F453)/12</f>
        <v>2500</v>
      </c>
      <c r="CF453" s="15" t="n">
        <f aca="false">INDEX(Ipotesi!$C$84:$G$84,1,F453)/12</f>
        <v>416.666666666667</v>
      </c>
      <c r="CG453" s="15" t="n">
        <f aca="false">Y453*MAX(0,Parametri_v3!$C$12-IF(P453=0,0,MIN(1,BE453/(P453*Parametri_v3!$C$22))))+W453*Parametri_v3!$C$13+X453*Parametri_v3!$C$14</f>
        <v>27151.9292989636</v>
      </c>
      <c r="CH453" s="15" t="n">
        <f aca="false">AB453*Parametri_v3!$C$32</f>
        <v>3713.68333333333</v>
      </c>
      <c r="CI453" s="15" t="n">
        <f aca="false">AC453*Parametri_v3!$C$32</f>
        <v>1270.86979166667</v>
      </c>
      <c r="CJ453" s="15" t="n">
        <f aca="false">CA453-AB453</f>
        <v>41830.3218772702</v>
      </c>
      <c r="CK453" s="15" t="n">
        <f aca="false">CB453-AC453-BH453</f>
        <v>14792.5</v>
      </c>
      <c r="CL453" s="15" t="n">
        <f aca="false">BF453*Ipotesi!$C$73+INDEX(Ipotesi!$C$72:$G$72,1,F453)/12*Ipotesi!J126*Parametri_v3!$C$58+Z453*(1-Parametri_v3!$C$16)</f>
        <v>7701.94821558299</v>
      </c>
      <c r="CM453" s="16" t="n">
        <f aca="false">IF(BF453=0,0,1-CL453/BF453)</f>
        <v>0.632781147554559</v>
      </c>
    </row>
    <row r="454" customFormat="false" ht="18" hidden="false" customHeight="true" outlineLevel="0" collapsed="false">
      <c r="A454" s="68" t="n">
        <f aca="false">8</f>
        <v>8</v>
      </c>
      <c r="B454" s="68" t="n">
        <f aca="false">30</f>
        <v>30</v>
      </c>
      <c r="C454" s="18" t="n">
        <f aca="false">EDATE(Parametri_v3!$C$5,30-1)</f>
        <v>47270</v>
      </c>
      <c r="D454" s="68" t="n">
        <f aca="false">YEAR(C454)</f>
        <v>2029</v>
      </c>
      <c r="E454" s="68" t="n">
        <f aca="false">MONTH(C454)</f>
        <v>6</v>
      </c>
      <c r="F454" s="68" t="n">
        <f aca="false">INT((30-1)/12)+1</f>
        <v>3</v>
      </c>
      <c r="G454" s="15" t="n">
        <f aca="false">Ipotesi!J7</f>
        <v>1</v>
      </c>
      <c r="H454" s="15" t="n">
        <f aca="false">Ipotesi!J9</f>
        <v>1</v>
      </c>
      <c r="I454" s="15" t="n">
        <f aca="false">Ipotesi!J10</f>
        <v>1</v>
      </c>
      <c r="J454" s="15" t="n">
        <f aca="false">Ipotesi!J11</f>
        <v>1</v>
      </c>
      <c r="K454" s="15" t="n">
        <f aca="false">Ipotesi!J12</f>
        <v>1</v>
      </c>
      <c r="L454" s="15" t="n">
        <f aca="false">Ipotesi!J13</f>
        <v>90</v>
      </c>
      <c r="M454" s="17" t="n">
        <f aca="false">INDEX(Ipotesi!$C$40:$G$40,1,F454)</f>
        <v>1</v>
      </c>
      <c r="N454" s="17" t="n">
        <f aca="false">INDEX(Ipotesi!$C$41:$G$41,1,F454)</f>
        <v>1</v>
      </c>
      <c r="O454" s="17" t="n">
        <f aca="false">INDEX(Ipotesi!$C$42:$G$42,1,F454)*Ipotesi!J125</f>
        <v>4.5</v>
      </c>
      <c r="P454" s="17" t="n">
        <f aca="false">INDEX(Ipotesi!$C$43:$G$43,1,F454)*I454</f>
        <v>5</v>
      </c>
      <c r="Q454" s="17" t="n">
        <f aca="false">INDEX(Ipotesi!$C$44:$G$44,1,F454)*I454</f>
        <v>4</v>
      </c>
      <c r="R454" s="17" t="n">
        <f aca="false">INDEX(Ipotesi!$C$45:$G$45,1,F454)*I454</f>
        <v>1</v>
      </c>
      <c r="S454" s="17" t="n">
        <f aca="false">INDEX(Ipotesi!$C$52:$G$52,1,F454)*Ipotesi!J125</f>
        <v>5</v>
      </c>
      <c r="T454" s="17" t="n">
        <f aca="false">INDEX(Ipotesi!$C$53:$G$53,1,F454)*I454</f>
        <v>1</v>
      </c>
      <c r="U454" s="17" t="n">
        <f aca="false">INDEX(Ipotesi!$C$54:$G$54,1,F454)*I454</f>
        <v>0.5</v>
      </c>
      <c r="V454" s="15" t="n">
        <f aca="false">M454*INDEX(Ipotesi!$C$58:$G$58,1,F454)*K454/12</f>
        <v>7083.33333333333</v>
      </c>
      <c r="W454" s="15" t="n">
        <f aca="false">N454*Ipotesi!$C$59*(1+Ipotesi!$C$66)^(F454-1)/12</f>
        <v>6188.58333333333</v>
      </c>
      <c r="X454" s="15" t="n">
        <f aca="false">O454*Ipotesi!$C$60*(1+Ipotesi!$C$66)^(F454-1)/12</f>
        <v>19891.875</v>
      </c>
      <c r="Y454" s="15" t="n">
        <f aca="false">P454*Ipotesi!$C$61*(1+Ipotesi!$C$66)^(F454-1)/12</f>
        <v>22102.0833333333</v>
      </c>
      <c r="Z454" s="15" t="n">
        <f aca="false">Q454*Ipotesi!$C$62*(1+Ipotesi!$C$66)^(F454-1)/12</f>
        <v>15913.5</v>
      </c>
      <c r="AA454" s="15" t="n">
        <f aca="false">R454*Ipotesi!$C$63*(1+Ipotesi!$C$66)^(F454-1)/12</f>
        <v>3094.29166666667</v>
      </c>
      <c r="AB454" s="15" t="n">
        <f aca="false">SUM(V454:AA454)</f>
        <v>74273.6666666667</v>
      </c>
      <c r="AC454" s="15" t="n">
        <f aca="false">(S454*Ipotesi!$C$64+T454*Ipotesi!$C$65+U454*Ipotesi!$C$63)*(1+Ipotesi!$C$66)^(F454-1)/12</f>
        <v>25417.3958333333</v>
      </c>
      <c r="AD454" s="15" t="n">
        <f aca="false">INDEX(Ipotesi!$C$48:$G$48,1,F454)*G454/12</f>
        <v>60</v>
      </c>
      <c r="AE454" s="15" t="n">
        <f aca="false">INDEX(Ipotesi!$C$50:$G$50,1,F454)*G454/12</f>
        <v>6.66666666666667</v>
      </c>
      <c r="AF454" s="15" t="n">
        <f aca="false">(S454*Parametri_v3!$C$7*Parametri_v3!$C$8+Parametri_v3!$C$10)/12</f>
        <v>64.1666666666667</v>
      </c>
      <c r="AG454" s="15" t="n">
        <f aca="false">AD454+AE454*(1+Parametri_v3!$C$9)</f>
        <v>70</v>
      </c>
      <c r="AH454" s="16" t="n">
        <f aca="false">IF(AG454=0,1,MIN(1,AF454/AG454))</f>
        <v>0.916666666666667</v>
      </c>
      <c r="AI454" s="15" t="n">
        <f aca="false">AD454*AH454</f>
        <v>55</v>
      </c>
      <c r="AJ454" s="15" t="n">
        <f aca="false">AE454*AH454</f>
        <v>6.11111111111111</v>
      </c>
      <c r="AK454" s="15" t="n">
        <f aca="false">AI454*INDEX(Ipotesi!$C$49:$G$49,1,F454)*H454</f>
        <v>46750</v>
      </c>
      <c r="AL454" s="15" t="n">
        <f aca="false">AJ454*INDEX(Ipotesi!$C$51:$G$51,1,F454)*H454</f>
        <v>13750</v>
      </c>
      <c r="AM454" s="15" t="n">
        <f aca="false">AK454+AL454</f>
        <v>60500</v>
      </c>
      <c r="AN454" s="15" t="n">
        <f aca="false">INDEX(Ipotesi!$C$30:$G$30,1,F454)*G454/12</f>
        <v>41.6666666666667</v>
      </c>
      <c r="AO454" s="15" t="n">
        <f aca="false">O454*Parametri_v3!$C$7*Parametri_v3!$C$11*(1-Parametri_v3!$C$14)/12</f>
        <v>46.2</v>
      </c>
      <c r="AP454" s="15" t="n">
        <f aca="false">MIN(AN454,AO454)</f>
        <v>41.6666666666667</v>
      </c>
      <c r="AQ454" s="15" t="n">
        <f aca="false">AP454*INDEX(Ipotesi!$C$31:$G$31,1,F454)*H454</f>
        <v>41666.6666666667</v>
      </c>
      <c r="AR454" s="15" t="n">
        <f aca="false">INDEX(Ipotesi!$C$75:$G$75,1,F454)*J454/12</f>
        <v>20000</v>
      </c>
      <c r="AS454" s="15" t="n">
        <f aca="false">INDEX(Ipotesi!$C$81:$G$81,1,F454)*J454/12</f>
        <v>1250</v>
      </c>
      <c r="AT454" s="15" t="n">
        <f aca="false">AR454*Parametri_v3!$C$15+Z454*Parametri_v3!$C$16</f>
        <v>31139.45</v>
      </c>
      <c r="AU454" s="15" t="n">
        <f aca="false">Q454*Parametri_v3!$C$16*Parametri_v3!$C$17</f>
        <v>280</v>
      </c>
      <c r="AV454" s="17" t="n">
        <f aca="false">BD453</f>
        <v>48.68758575269</v>
      </c>
      <c r="AW454" s="17" t="n">
        <f aca="false">AV454*(1-(1-INDEX(Ipotesi!$C$34:$G$34,1,F454))^(1/12))</f>
        <v>0.425607932973451</v>
      </c>
      <c r="AX454" s="15" t="n">
        <f aca="false">ROUND(INDEX(Ipotesi!$C$32:$G$32,1,F454)*Ipotesi!J8,0)</f>
        <v>130</v>
      </c>
      <c r="AY454" s="15" t="n">
        <f aca="false">MAX(0,(AX454-(AV454-AW454))/(13-E454))</f>
        <v>11.6768603114691</v>
      </c>
      <c r="AZ454" s="15" t="n">
        <f aca="false">MIN(P454*Parametri_v3!$C$22,Q454*(1-Parametri_v3!$C$16)*Parametri_v3!$C$23)</f>
        <v>180</v>
      </c>
      <c r="BA454" s="15" t="n">
        <f aca="false">IF(OR(INDEX(Ipotesi!$C$35:$G$35,1,F454)&lt;=0,30-Parametri_v3!$C$21&lt;1),0,INDEX($AT$425:$AT$484,MAX(1,30-Parametri_v3!$C$21))/(INDEX(Ipotesi!$C$35:$G$35,1,F454)*Ipotesi!J27))</f>
        <v>6.22789</v>
      </c>
      <c r="BB454" s="15" t="n">
        <f aca="false">IF(30-Parametri_v3!$C$21&lt;1,0,INDEX($AU$425:$AU$484,MAX(1,30-Parametri_v3!$C$21)))*Parametri_v3!$C$18*Parametri_v3!$C$19*Parametri_v3!$C$20</f>
        <v>10.5</v>
      </c>
      <c r="BC454" s="17" t="n">
        <f aca="false">MAX(0,MIN(AY454,BA454,BB454,MAX(0,AZ454-(AV454-AW454))))</f>
        <v>6.22789</v>
      </c>
      <c r="BD454" s="17" t="n">
        <f aca="false">AV454-AW454+BC454</f>
        <v>54.4898678197165</v>
      </c>
      <c r="BE454" s="17" t="n">
        <f aca="false">(AV454+BD454)/2</f>
        <v>51.5887267862032</v>
      </c>
      <c r="BF454" s="15" t="n">
        <f aca="false">BE454*INDEX(Ipotesi!$C$33:$G$33,1,F454)*H454/12</f>
        <v>23644.8331103431</v>
      </c>
      <c r="BG454" s="15" t="n">
        <f aca="false">BD454*INDEX(Ipotesi!$C$33:$G$33,1,F454)*H454</f>
        <v>299694.273008441</v>
      </c>
      <c r="BH454" s="15" t="n">
        <f aca="false">AM454*INDEX(Ipotesi!$C$37:$G$37,1,F454)</f>
        <v>6050</v>
      </c>
      <c r="BI454" s="15" t="n">
        <f aca="false">AQ454+BF454+BH454</f>
        <v>71361.4997770098</v>
      </c>
      <c r="BJ454" s="15" t="n">
        <f aca="false">INDEX(Ipotesi!$C$68:$G$68,1,F454)*Ipotesi!$C$69/12</f>
        <v>2400</v>
      </c>
      <c r="BK454" s="15" t="n">
        <f aca="false">INDEX(Ipotesi!$C$68:$G$68,1,F454)*(1-Ipotesi!$C$69)/12</f>
        <v>3600</v>
      </c>
      <c r="BL454" s="15" t="n">
        <f aca="false">(AQ454+BF454)*Ipotesi!$C$67</f>
        <v>1959.34499331029</v>
      </c>
      <c r="BM454" s="15" t="n">
        <f aca="false">AM454*Ipotesi!$C$67</f>
        <v>1815</v>
      </c>
      <c r="BN454" s="15" t="n">
        <f aca="false">INDEX(Ipotesi!$C$72:$G$72,1,F454)/12*Ipotesi!J126+BF454*Ipotesi!$C$73</f>
        <v>3141.58664882745</v>
      </c>
      <c r="BO454" s="15" t="n">
        <f aca="false">INDEX(Ipotesi!$C$74:$G$74,1,F454)/12*Ipotesi!J126</f>
        <v>2916.66666666667</v>
      </c>
      <c r="BP454" s="15" t="n">
        <f aca="false">INDEX(Ipotesi!$C$76:$G$76,1,F454)/12</f>
        <v>1083.33333333333</v>
      </c>
      <c r="BQ454" s="15" t="n">
        <f aca="false">INDEX(Ipotesi!$C$77:$G$77,1,F454)/12*Ipotesi!J126</f>
        <v>2083.33333333333</v>
      </c>
      <c r="BR454" s="15" t="n">
        <f aca="false">INDEX(Ipotesi!$C$78:$G$78,1,F454)/12</f>
        <v>1666.66666666667</v>
      </c>
      <c r="BS454" s="15" t="n">
        <f aca="false">SUM(M454:R454)*(Ipotesi!$C$85+Ipotesi!$C$86)/12</f>
        <v>4812.5</v>
      </c>
      <c r="BT454" s="15" t="n">
        <f aca="false">BI454*Ipotesi!$C$87</f>
        <v>2140.84499331029</v>
      </c>
      <c r="BU454" s="15" t="n">
        <f aca="false">INDEX(Ipotesi!$C$55:$G$55,1,F454)*K454/12</f>
        <v>1500</v>
      </c>
      <c r="BV454" s="15" t="n">
        <f aca="false">INDEX(Ipotesi!$C$80:$G$80,1,F454)/12*Ipotesi!J126</f>
        <v>1250</v>
      </c>
      <c r="BW454" s="15" t="n">
        <f aca="false">INDEX(Ipotesi!$C$82:$G$82,1,F454)/12</f>
        <v>1000</v>
      </c>
      <c r="BX454" s="15" t="n">
        <f aca="false">INDEX(Ipotesi!$C$83:$G$83,1,F454)/12</f>
        <v>666.666666666667</v>
      </c>
      <c r="BY454" s="15" t="n">
        <f aca="false">SUM(S454:U454)*(Ipotesi!$C$85+Ipotesi!$C$86)/12</f>
        <v>1895.83333333333</v>
      </c>
      <c r="BZ454" s="15" t="n">
        <f aca="false">AM454*Ipotesi!$C$87</f>
        <v>1815</v>
      </c>
      <c r="CA454" s="15" t="n">
        <f aca="false">AB454+BJ454+BL454+BN454+BO454+AR454+BP454+BQ454+BR454+BS454+BT454</f>
        <v>116477.943302115</v>
      </c>
      <c r="CB454" s="15" t="n">
        <f aca="false">AC454+BK454+BM454+BH454+BU454+BV454+AS454+BW454+BX454+BY454+BZ454</f>
        <v>46259.8958333333</v>
      </c>
      <c r="CC454" s="15" t="n">
        <f aca="false">BI454-CA454</f>
        <v>-45116.4435251049</v>
      </c>
      <c r="CD454" s="15" t="n">
        <f aca="false">AM454-CB454</f>
        <v>14240.1041666667</v>
      </c>
      <c r="CE454" s="15" t="n">
        <f aca="false">INDEX(Ipotesi!$C$79:$G$79,1,F454)/12</f>
        <v>2500</v>
      </c>
      <c r="CF454" s="15" t="n">
        <f aca="false">INDEX(Ipotesi!$C$84:$G$84,1,F454)/12</f>
        <v>416.666666666667</v>
      </c>
      <c r="CG454" s="15" t="n">
        <f aca="false">Y454*MAX(0,Parametri_v3!$C$12-IF(P454=0,0,MIN(1,BE454/(P454*Parametri_v3!$C$22))))+W454*Parametri_v3!$C$13+X454*Parametri_v3!$C$14</f>
        <v>26894.3133230215</v>
      </c>
      <c r="CH454" s="15" t="n">
        <f aca="false">AB454*Parametri_v3!$C$32</f>
        <v>3713.68333333333</v>
      </c>
      <c r="CI454" s="15" t="n">
        <f aca="false">AC454*Parametri_v3!$C$32</f>
        <v>1270.86979166667</v>
      </c>
      <c r="CJ454" s="15" t="n">
        <f aca="false">CA454-AB454</f>
        <v>42204.276635448</v>
      </c>
      <c r="CK454" s="15" t="n">
        <f aca="false">CB454-AC454-BH454</f>
        <v>14792.5</v>
      </c>
      <c r="CL454" s="15" t="n">
        <f aca="false">BF454*Ipotesi!$C$73+INDEX(Ipotesi!$C$72:$G$72,1,F454)/12*Ipotesi!J126*Parametri_v3!$C$58+Z454*(1-Parametri_v3!$C$16)</f>
        <v>7915.63664882745</v>
      </c>
      <c r="CM454" s="16" t="n">
        <f aca="false">IF(BF454=0,0,1-CL454/BF454)</f>
        <v>0.665227637180283</v>
      </c>
    </row>
    <row r="455" customFormat="false" ht="18" hidden="false" customHeight="true" outlineLevel="0" collapsed="false">
      <c r="A455" s="68" t="n">
        <f aca="false">8</f>
        <v>8</v>
      </c>
      <c r="B455" s="68" t="n">
        <f aca="false">31</f>
        <v>31</v>
      </c>
      <c r="C455" s="18" t="n">
        <f aca="false">EDATE(Parametri_v3!$C$5,31-1)</f>
        <v>47300</v>
      </c>
      <c r="D455" s="68" t="n">
        <f aca="false">YEAR(C455)</f>
        <v>2029</v>
      </c>
      <c r="E455" s="68" t="n">
        <f aca="false">MONTH(C455)</f>
        <v>7</v>
      </c>
      <c r="F455" s="68" t="n">
        <f aca="false">INT((31-1)/12)+1</f>
        <v>3</v>
      </c>
      <c r="G455" s="15" t="n">
        <f aca="false">Ipotesi!J7</f>
        <v>1</v>
      </c>
      <c r="H455" s="15" t="n">
        <f aca="false">Ipotesi!J9</f>
        <v>1</v>
      </c>
      <c r="I455" s="15" t="n">
        <f aca="false">Ipotesi!J10</f>
        <v>1</v>
      </c>
      <c r="J455" s="15" t="n">
        <f aca="false">Ipotesi!J11</f>
        <v>1</v>
      </c>
      <c r="K455" s="15" t="n">
        <f aca="false">Ipotesi!J12</f>
        <v>1</v>
      </c>
      <c r="L455" s="15" t="n">
        <f aca="false">Ipotesi!J13</f>
        <v>90</v>
      </c>
      <c r="M455" s="17" t="n">
        <f aca="false">INDEX(Ipotesi!$C$40:$G$40,1,F455)</f>
        <v>1</v>
      </c>
      <c r="N455" s="17" t="n">
        <f aca="false">INDEX(Ipotesi!$C$41:$G$41,1,F455)</f>
        <v>1</v>
      </c>
      <c r="O455" s="17" t="n">
        <f aca="false">INDEX(Ipotesi!$C$42:$G$42,1,F455)*Ipotesi!J125</f>
        <v>4.5</v>
      </c>
      <c r="P455" s="17" t="n">
        <f aca="false">INDEX(Ipotesi!$C$43:$G$43,1,F455)*I455</f>
        <v>5</v>
      </c>
      <c r="Q455" s="17" t="n">
        <f aca="false">INDEX(Ipotesi!$C$44:$G$44,1,F455)*I455</f>
        <v>4</v>
      </c>
      <c r="R455" s="17" t="n">
        <f aca="false">INDEX(Ipotesi!$C$45:$G$45,1,F455)*I455</f>
        <v>1</v>
      </c>
      <c r="S455" s="17" t="n">
        <f aca="false">INDEX(Ipotesi!$C$52:$G$52,1,F455)*Ipotesi!J125</f>
        <v>5</v>
      </c>
      <c r="T455" s="17" t="n">
        <f aca="false">INDEX(Ipotesi!$C$53:$G$53,1,F455)*I455</f>
        <v>1</v>
      </c>
      <c r="U455" s="17" t="n">
        <f aca="false">INDEX(Ipotesi!$C$54:$G$54,1,F455)*I455</f>
        <v>0.5</v>
      </c>
      <c r="V455" s="15" t="n">
        <f aca="false">M455*INDEX(Ipotesi!$C$58:$G$58,1,F455)*K455/12</f>
        <v>7083.33333333333</v>
      </c>
      <c r="W455" s="15" t="n">
        <f aca="false">N455*Ipotesi!$C$59*(1+Ipotesi!$C$66)^(F455-1)/12</f>
        <v>6188.58333333333</v>
      </c>
      <c r="X455" s="15" t="n">
        <f aca="false">O455*Ipotesi!$C$60*(1+Ipotesi!$C$66)^(F455-1)/12</f>
        <v>19891.875</v>
      </c>
      <c r="Y455" s="15" t="n">
        <f aca="false">P455*Ipotesi!$C$61*(1+Ipotesi!$C$66)^(F455-1)/12</f>
        <v>22102.0833333333</v>
      </c>
      <c r="Z455" s="15" t="n">
        <f aca="false">Q455*Ipotesi!$C$62*(1+Ipotesi!$C$66)^(F455-1)/12</f>
        <v>15913.5</v>
      </c>
      <c r="AA455" s="15" t="n">
        <f aca="false">R455*Ipotesi!$C$63*(1+Ipotesi!$C$66)^(F455-1)/12</f>
        <v>3094.29166666667</v>
      </c>
      <c r="AB455" s="15" t="n">
        <f aca="false">SUM(V455:AA455)</f>
        <v>74273.6666666667</v>
      </c>
      <c r="AC455" s="15" t="n">
        <f aca="false">(S455*Ipotesi!$C$64+T455*Ipotesi!$C$65+U455*Ipotesi!$C$63)*(1+Ipotesi!$C$66)^(F455-1)/12</f>
        <v>25417.3958333333</v>
      </c>
      <c r="AD455" s="15" t="n">
        <f aca="false">INDEX(Ipotesi!$C$48:$G$48,1,F455)*G455/12</f>
        <v>60</v>
      </c>
      <c r="AE455" s="15" t="n">
        <f aca="false">INDEX(Ipotesi!$C$50:$G$50,1,F455)*G455/12</f>
        <v>6.66666666666667</v>
      </c>
      <c r="AF455" s="15" t="n">
        <f aca="false">(S455*Parametri_v3!$C$7*Parametri_v3!$C$8+Parametri_v3!$C$10)/12</f>
        <v>64.1666666666667</v>
      </c>
      <c r="AG455" s="15" t="n">
        <f aca="false">AD455+AE455*(1+Parametri_v3!$C$9)</f>
        <v>70</v>
      </c>
      <c r="AH455" s="16" t="n">
        <f aca="false">IF(AG455=0,1,MIN(1,AF455/AG455))</f>
        <v>0.916666666666667</v>
      </c>
      <c r="AI455" s="15" t="n">
        <f aca="false">AD455*AH455</f>
        <v>55</v>
      </c>
      <c r="AJ455" s="15" t="n">
        <f aca="false">AE455*AH455</f>
        <v>6.11111111111111</v>
      </c>
      <c r="AK455" s="15" t="n">
        <f aca="false">AI455*INDEX(Ipotesi!$C$49:$G$49,1,F455)*H455</f>
        <v>46750</v>
      </c>
      <c r="AL455" s="15" t="n">
        <f aca="false">AJ455*INDEX(Ipotesi!$C$51:$G$51,1,F455)*H455</f>
        <v>13750</v>
      </c>
      <c r="AM455" s="15" t="n">
        <f aca="false">AK455+AL455</f>
        <v>60500</v>
      </c>
      <c r="AN455" s="15" t="n">
        <f aca="false">INDEX(Ipotesi!$C$30:$G$30,1,F455)*G455/12</f>
        <v>41.6666666666667</v>
      </c>
      <c r="AO455" s="15" t="n">
        <f aca="false">O455*Parametri_v3!$C$7*Parametri_v3!$C$11*(1-Parametri_v3!$C$14)/12</f>
        <v>46.2</v>
      </c>
      <c r="AP455" s="15" t="n">
        <f aca="false">MIN(AN455,AO455)</f>
        <v>41.6666666666667</v>
      </c>
      <c r="AQ455" s="15" t="n">
        <f aca="false">AP455*INDEX(Ipotesi!$C$31:$G$31,1,F455)*H455</f>
        <v>41666.6666666667</v>
      </c>
      <c r="AR455" s="15" t="n">
        <f aca="false">INDEX(Ipotesi!$C$75:$G$75,1,F455)*J455/12</f>
        <v>20000</v>
      </c>
      <c r="AS455" s="15" t="n">
        <f aca="false">INDEX(Ipotesi!$C$81:$G$81,1,F455)*J455/12</f>
        <v>1250</v>
      </c>
      <c r="AT455" s="15" t="n">
        <f aca="false">AR455*Parametri_v3!$C$15+Z455*Parametri_v3!$C$16</f>
        <v>31139.45</v>
      </c>
      <c r="AU455" s="15" t="n">
        <f aca="false">Q455*Parametri_v3!$C$16*Parametri_v3!$C$17</f>
        <v>280</v>
      </c>
      <c r="AV455" s="17" t="n">
        <f aca="false">BD454</f>
        <v>54.4898678197165</v>
      </c>
      <c r="AW455" s="17" t="n">
        <f aca="false">AV455*(1-(1-INDEX(Ipotesi!$C$34:$G$34,1,F455))^(1/12))</f>
        <v>0.47632922545281</v>
      </c>
      <c r="AX455" s="15" t="n">
        <f aca="false">ROUND(INDEX(Ipotesi!$C$32:$G$32,1,F455)*Ipotesi!J8,0)</f>
        <v>130</v>
      </c>
      <c r="AY455" s="15" t="n">
        <f aca="false">MAX(0,(AX455-(AV455-AW455))/(13-E455))</f>
        <v>12.6644102342894</v>
      </c>
      <c r="AZ455" s="15" t="n">
        <f aca="false">MIN(P455*Parametri_v3!$C$22,Q455*(1-Parametri_v3!$C$16)*Parametri_v3!$C$23)</f>
        <v>180</v>
      </c>
      <c r="BA455" s="15" t="n">
        <f aca="false">IF(OR(INDEX(Ipotesi!$C$35:$G$35,1,F455)&lt;=0,31-Parametri_v3!$C$21&lt;1),0,INDEX($AT$425:$AT$484,MAX(1,31-Parametri_v3!$C$21))/(INDEX(Ipotesi!$C$35:$G$35,1,F455)*Ipotesi!J27))</f>
        <v>6.22789</v>
      </c>
      <c r="BB455" s="15" t="n">
        <f aca="false">IF(31-Parametri_v3!$C$21&lt;1,0,INDEX($AU$425:$AU$484,MAX(1,31-Parametri_v3!$C$21)))*Parametri_v3!$C$18*Parametri_v3!$C$19*Parametri_v3!$C$20</f>
        <v>10.5</v>
      </c>
      <c r="BC455" s="17" t="n">
        <f aca="false">MAX(0,MIN(AY455,BA455,BB455,MAX(0,AZ455-(AV455-AW455))))</f>
        <v>6.22789</v>
      </c>
      <c r="BD455" s="17" t="n">
        <f aca="false">AV455-AW455+BC455</f>
        <v>60.2414285942637</v>
      </c>
      <c r="BE455" s="17" t="n">
        <f aca="false">(AV455+BD455)/2</f>
        <v>57.3656482069901</v>
      </c>
      <c r="BF455" s="15" t="n">
        <f aca="false">BE455*INDEX(Ipotesi!$C$33:$G$33,1,F455)*H455/12</f>
        <v>26292.5887615371</v>
      </c>
      <c r="BG455" s="15" t="n">
        <f aca="false">BD455*INDEX(Ipotesi!$C$33:$G$33,1,F455)*H455</f>
        <v>331327.85726845</v>
      </c>
      <c r="BH455" s="15" t="n">
        <f aca="false">AM455*INDEX(Ipotesi!$C$37:$G$37,1,F455)</f>
        <v>6050</v>
      </c>
      <c r="BI455" s="15" t="n">
        <f aca="false">AQ455+BF455+BH455</f>
        <v>74009.2554282038</v>
      </c>
      <c r="BJ455" s="15" t="n">
        <f aca="false">INDEX(Ipotesi!$C$68:$G$68,1,F455)*Ipotesi!$C$69/12</f>
        <v>2400</v>
      </c>
      <c r="BK455" s="15" t="n">
        <f aca="false">INDEX(Ipotesi!$C$68:$G$68,1,F455)*(1-Ipotesi!$C$69)/12</f>
        <v>3600</v>
      </c>
      <c r="BL455" s="15" t="n">
        <f aca="false">(AQ455+BF455)*Ipotesi!$C$67</f>
        <v>2038.77766284611</v>
      </c>
      <c r="BM455" s="15" t="n">
        <f aca="false">AM455*Ipotesi!$C$67</f>
        <v>1815</v>
      </c>
      <c r="BN455" s="15" t="n">
        <f aca="false">INDEX(Ipotesi!$C$72:$G$72,1,F455)/12*Ipotesi!J126+BF455*Ipotesi!$C$73</f>
        <v>3353.40710092297</v>
      </c>
      <c r="BO455" s="15" t="n">
        <f aca="false">INDEX(Ipotesi!$C$74:$G$74,1,F455)/12*Ipotesi!J126</f>
        <v>2916.66666666667</v>
      </c>
      <c r="BP455" s="15" t="n">
        <f aca="false">INDEX(Ipotesi!$C$76:$G$76,1,F455)/12</f>
        <v>1083.33333333333</v>
      </c>
      <c r="BQ455" s="15" t="n">
        <f aca="false">INDEX(Ipotesi!$C$77:$G$77,1,F455)/12*Ipotesi!J126</f>
        <v>2083.33333333333</v>
      </c>
      <c r="BR455" s="15" t="n">
        <f aca="false">INDEX(Ipotesi!$C$78:$G$78,1,F455)/12</f>
        <v>1666.66666666667</v>
      </c>
      <c r="BS455" s="15" t="n">
        <f aca="false">SUM(M455:R455)*(Ipotesi!$C$85+Ipotesi!$C$86)/12</f>
        <v>4812.5</v>
      </c>
      <c r="BT455" s="15" t="n">
        <f aca="false">BI455*Ipotesi!$C$87</f>
        <v>2220.27766284611</v>
      </c>
      <c r="BU455" s="15" t="n">
        <f aca="false">INDEX(Ipotesi!$C$55:$G$55,1,F455)*K455/12</f>
        <v>1500</v>
      </c>
      <c r="BV455" s="15" t="n">
        <f aca="false">INDEX(Ipotesi!$C$80:$G$80,1,F455)/12*Ipotesi!J126</f>
        <v>1250</v>
      </c>
      <c r="BW455" s="15" t="n">
        <f aca="false">INDEX(Ipotesi!$C$82:$G$82,1,F455)/12</f>
        <v>1000</v>
      </c>
      <c r="BX455" s="15" t="n">
        <f aca="false">INDEX(Ipotesi!$C$83:$G$83,1,F455)/12</f>
        <v>666.666666666667</v>
      </c>
      <c r="BY455" s="15" t="n">
        <f aca="false">SUM(S455:U455)*(Ipotesi!$C$85+Ipotesi!$C$86)/12</f>
        <v>1895.83333333333</v>
      </c>
      <c r="BZ455" s="15" t="n">
        <f aca="false">AM455*Ipotesi!$C$87</f>
        <v>1815</v>
      </c>
      <c r="CA455" s="15" t="n">
        <f aca="false">AB455+BJ455+BL455+BN455+BO455+AR455+BP455+BQ455+BR455+BS455+BT455</f>
        <v>116848.629093282</v>
      </c>
      <c r="CB455" s="15" t="n">
        <f aca="false">AC455+BK455+BM455+BH455+BU455+BV455+AS455+BW455+BX455+BY455+BZ455</f>
        <v>46259.8958333333</v>
      </c>
      <c r="CC455" s="15" t="n">
        <f aca="false">BI455-CA455</f>
        <v>-42839.3736650781</v>
      </c>
      <c r="CD455" s="15" t="n">
        <f aca="false">AM455-CB455</f>
        <v>14240.1041666667</v>
      </c>
      <c r="CE455" s="15" t="n">
        <f aca="false">INDEX(Ipotesi!$C$79:$G$79,1,F455)/12</f>
        <v>2500</v>
      </c>
      <c r="CF455" s="15" t="n">
        <f aca="false">INDEX(Ipotesi!$C$84:$G$84,1,F455)/12</f>
        <v>416.666666666667</v>
      </c>
      <c r="CG455" s="15" t="n">
        <f aca="false">Y455*MAX(0,Parametri_v3!$C$12-IF(P455=0,0,MIN(1,BE455/(P455*Parametri_v3!$C$22))))+W455*Parametri_v3!$C$13+X455*Parametri_v3!$C$14</f>
        <v>26638.9493257168</v>
      </c>
      <c r="CH455" s="15" t="n">
        <f aca="false">AB455*Parametri_v3!$C$32</f>
        <v>3713.68333333333</v>
      </c>
      <c r="CI455" s="15" t="n">
        <f aca="false">AC455*Parametri_v3!$C$32</f>
        <v>1270.86979166667</v>
      </c>
      <c r="CJ455" s="15" t="n">
        <f aca="false">CA455-AB455</f>
        <v>42574.9624266152</v>
      </c>
      <c r="CK455" s="15" t="n">
        <f aca="false">CB455-AC455-BH455</f>
        <v>14792.5</v>
      </c>
      <c r="CL455" s="15" t="n">
        <f aca="false">BF455*Ipotesi!$C$73+INDEX(Ipotesi!$C$72:$G$72,1,F455)/12*Ipotesi!J126*Parametri_v3!$C$58+Z455*(1-Parametri_v3!$C$16)</f>
        <v>8127.45710092297</v>
      </c>
      <c r="CM455" s="16" t="n">
        <f aca="false">IF(BF455=0,0,1-CL455/BF455)</f>
        <v>0.690884105226928</v>
      </c>
    </row>
    <row r="456" customFormat="false" ht="18" hidden="false" customHeight="true" outlineLevel="0" collapsed="false">
      <c r="A456" s="68" t="n">
        <f aca="false">8</f>
        <v>8</v>
      </c>
      <c r="B456" s="68" t="n">
        <f aca="false">32</f>
        <v>32</v>
      </c>
      <c r="C456" s="18" t="n">
        <f aca="false">EDATE(Parametri_v3!$C$5,32-1)</f>
        <v>47331</v>
      </c>
      <c r="D456" s="68" t="n">
        <f aca="false">YEAR(C456)</f>
        <v>2029</v>
      </c>
      <c r="E456" s="68" t="n">
        <f aca="false">MONTH(C456)</f>
        <v>8</v>
      </c>
      <c r="F456" s="68" t="n">
        <f aca="false">INT((32-1)/12)+1</f>
        <v>3</v>
      </c>
      <c r="G456" s="15" t="n">
        <f aca="false">Ipotesi!J7</f>
        <v>1</v>
      </c>
      <c r="H456" s="15" t="n">
        <f aca="false">Ipotesi!J9</f>
        <v>1</v>
      </c>
      <c r="I456" s="15" t="n">
        <f aca="false">Ipotesi!J10</f>
        <v>1</v>
      </c>
      <c r="J456" s="15" t="n">
        <f aca="false">Ipotesi!J11</f>
        <v>1</v>
      </c>
      <c r="K456" s="15" t="n">
        <f aca="false">Ipotesi!J12</f>
        <v>1</v>
      </c>
      <c r="L456" s="15" t="n">
        <f aca="false">Ipotesi!J13</f>
        <v>90</v>
      </c>
      <c r="M456" s="17" t="n">
        <f aca="false">INDEX(Ipotesi!$C$40:$G$40,1,F456)</f>
        <v>1</v>
      </c>
      <c r="N456" s="17" t="n">
        <f aca="false">INDEX(Ipotesi!$C$41:$G$41,1,F456)</f>
        <v>1</v>
      </c>
      <c r="O456" s="17" t="n">
        <f aca="false">INDEX(Ipotesi!$C$42:$G$42,1,F456)*Ipotesi!J125</f>
        <v>4.5</v>
      </c>
      <c r="P456" s="17" t="n">
        <f aca="false">INDEX(Ipotesi!$C$43:$G$43,1,F456)*I456</f>
        <v>5</v>
      </c>
      <c r="Q456" s="17" t="n">
        <f aca="false">INDEX(Ipotesi!$C$44:$G$44,1,F456)*I456</f>
        <v>4</v>
      </c>
      <c r="R456" s="17" t="n">
        <f aca="false">INDEX(Ipotesi!$C$45:$G$45,1,F456)*I456</f>
        <v>1</v>
      </c>
      <c r="S456" s="17" t="n">
        <f aca="false">INDEX(Ipotesi!$C$52:$G$52,1,F456)*Ipotesi!J125</f>
        <v>5</v>
      </c>
      <c r="T456" s="17" t="n">
        <f aca="false">INDEX(Ipotesi!$C$53:$G$53,1,F456)*I456</f>
        <v>1</v>
      </c>
      <c r="U456" s="17" t="n">
        <f aca="false">INDEX(Ipotesi!$C$54:$G$54,1,F456)*I456</f>
        <v>0.5</v>
      </c>
      <c r="V456" s="15" t="n">
        <f aca="false">M456*INDEX(Ipotesi!$C$58:$G$58,1,F456)*K456/12</f>
        <v>7083.33333333333</v>
      </c>
      <c r="W456" s="15" t="n">
        <f aca="false">N456*Ipotesi!$C$59*(1+Ipotesi!$C$66)^(F456-1)/12</f>
        <v>6188.58333333333</v>
      </c>
      <c r="X456" s="15" t="n">
        <f aca="false">O456*Ipotesi!$C$60*(1+Ipotesi!$C$66)^(F456-1)/12</f>
        <v>19891.875</v>
      </c>
      <c r="Y456" s="15" t="n">
        <f aca="false">P456*Ipotesi!$C$61*(1+Ipotesi!$C$66)^(F456-1)/12</f>
        <v>22102.0833333333</v>
      </c>
      <c r="Z456" s="15" t="n">
        <f aca="false">Q456*Ipotesi!$C$62*(1+Ipotesi!$C$66)^(F456-1)/12</f>
        <v>15913.5</v>
      </c>
      <c r="AA456" s="15" t="n">
        <f aca="false">R456*Ipotesi!$C$63*(1+Ipotesi!$C$66)^(F456-1)/12</f>
        <v>3094.29166666667</v>
      </c>
      <c r="AB456" s="15" t="n">
        <f aca="false">SUM(V456:AA456)</f>
        <v>74273.6666666667</v>
      </c>
      <c r="AC456" s="15" t="n">
        <f aca="false">(S456*Ipotesi!$C$64+T456*Ipotesi!$C$65+U456*Ipotesi!$C$63)*(1+Ipotesi!$C$66)^(F456-1)/12</f>
        <v>25417.3958333333</v>
      </c>
      <c r="AD456" s="15" t="n">
        <f aca="false">INDEX(Ipotesi!$C$48:$G$48,1,F456)*G456/12</f>
        <v>60</v>
      </c>
      <c r="AE456" s="15" t="n">
        <f aca="false">INDEX(Ipotesi!$C$50:$G$50,1,F456)*G456/12</f>
        <v>6.66666666666667</v>
      </c>
      <c r="AF456" s="15" t="n">
        <f aca="false">(S456*Parametri_v3!$C$7*Parametri_v3!$C$8+Parametri_v3!$C$10)/12</f>
        <v>64.1666666666667</v>
      </c>
      <c r="AG456" s="15" t="n">
        <f aca="false">AD456+AE456*(1+Parametri_v3!$C$9)</f>
        <v>70</v>
      </c>
      <c r="AH456" s="16" t="n">
        <f aca="false">IF(AG456=0,1,MIN(1,AF456/AG456))</f>
        <v>0.916666666666667</v>
      </c>
      <c r="AI456" s="15" t="n">
        <f aca="false">AD456*AH456</f>
        <v>55</v>
      </c>
      <c r="AJ456" s="15" t="n">
        <f aca="false">AE456*AH456</f>
        <v>6.11111111111111</v>
      </c>
      <c r="AK456" s="15" t="n">
        <f aca="false">AI456*INDEX(Ipotesi!$C$49:$G$49,1,F456)*H456</f>
        <v>46750</v>
      </c>
      <c r="AL456" s="15" t="n">
        <f aca="false">AJ456*INDEX(Ipotesi!$C$51:$G$51,1,F456)*H456</f>
        <v>13750</v>
      </c>
      <c r="AM456" s="15" t="n">
        <f aca="false">AK456+AL456</f>
        <v>60500</v>
      </c>
      <c r="AN456" s="15" t="n">
        <f aca="false">INDEX(Ipotesi!$C$30:$G$30,1,F456)*G456/12</f>
        <v>41.6666666666667</v>
      </c>
      <c r="AO456" s="15" t="n">
        <f aca="false">O456*Parametri_v3!$C$7*Parametri_v3!$C$11*(1-Parametri_v3!$C$14)/12</f>
        <v>46.2</v>
      </c>
      <c r="AP456" s="15" t="n">
        <f aca="false">MIN(AN456,AO456)</f>
        <v>41.6666666666667</v>
      </c>
      <c r="AQ456" s="15" t="n">
        <f aca="false">AP456*INDEX(Ipotesi!$C$31:$G$31,1,F456)*H456</f>
        <v>41666.6666666667</v>
      </c>
      <c r="AR456" s="15" t="n">
        <f aca="false">INDEX(Ipotesi!$C$75:$G$75,1,F456)*J456/12</f>
        <v>20000</v>
      </c>
      <c r="AS456" s="15" t="n">
        <f aca="false">INDEX(Ipotesi!$C$81:$G$81,1,F456)*J456/12</f>
        <v>1250</v>
      </c>
      <c r="AT456" s="15" t="n">
        <f aca="false">AR456*Parametri_v3!$C$15+Z456*Parametri_v3!$C$16</f>
        <v>31139.45</v>
      </c>
      <c r="AU456" s="15" t="n">
        <f aca="false">Q456*Parametri_v3!$C$16*Parametri_v3!$C$17</f>
        <v>280</v>
      </c>
      <c r="AV456" s="17" t="n">
        <f aca="false">BD455</f>
        <v>60.2414285942637</v>
      </c>
      <c r="AW456" s="17" t="n">
        <f aca="false">AV456*(1-(1-INDEX(Ipotesi!$C$34:$G$34,1,F456))^(1/12))</f>
        <v>0.526607132126196</v>
      </c>
      <c r="AX456" s="15" t="n">
        <f aca="false">ROUND(INDEX(Ipotesi!$C$32:$G$32,1,F456)*Ipotesi!J8,0)</f>
        <v>130</v>
      </c>
      <c r="AY456" s="15" t="n">
        <f aca="false">MAX(0,(AX456-(AV456-AW456))/(13-E456))</f>
        <v>14.0570357075725</v>
      </c>
      <c r="AZ456" s="15" t="n">
        <f aca="false">MIN(P456*Parametri_v3!$C$22,Q456*(1-Parametri_v3!$C$16)*Parametri_v3!$C$23)</f>
        <v>180</v>
      </c>
      <c r="BA456" s="15" t="n">
        <f aca="false">IF(OR(INDEX(Ipotesi!$C$35:$G$35,1,F456)&lt;=0,32-Parametri_v3!$C$21&lt;1),0,INDEX($AT$425:$AT$484,MAX(1,32-Parametri_v3!$C$21))/(INDEX(Ipotesi!$C$35:$G$35,1,F456)*Ipotesi!J27))</f>
        <v>6.22789</v>
      </c>
      <c r="BB456" s="15" t="n">
        <f aca="false">IF(32-Parametri_v3!$C$21&lt;1,0,INDEX($AU$425:$AU$484,MAX(1,32-Parametri_v3!$C$21)))*Parametri_v3!$C$18*Parametri_v3!$C$19*Parametri_v3!$C$20</f>
        <v>10.5</v>
      </c>
      <c r="BC456" s="17" t="n">
        <f aca="false">MAX(0,MIN(AY456,BA456,BB456,MAX(0,AZ456-(AV456-AW456))))</f>
        <v>6.22789</v>
      </c>
      <c r="BD456" s="17" t="n">
        <f aca="false">AV456-AW456+BC456</f>
        <v>65.9427114621375</v>
      </c>
      <c r="BE456" s="17" t="n">
        <f aca="false">(AV456+BD456)/2</f>
        <v>63.0920700282006</v>
      </c>
      <c r="BF456" s="15" t="n">
        <f aca="false">BE456*INDEX(Ipotesi!$C$33:$G$33,1,F456)*H456/12</f>
        <v>28917.1987629253</v>
      </c>
      <c r="BG456" s="15" t="n">
        <f aca="false">BD456*INDEX(Ipotesi!$C$33:$G$33,1,F456)*H456</f>
        <v>362684.913041756</v>
      </c>
      <c r="BH456" s="15" t="n">
        <f aca="false">AM456*INDEX(Ipotesi!$C$37:$G$37,1,F456)</f>
        <v>6050</v>
      </c>
      <c r="BI456" s="15" t="n">
        <f aca="false">AQ456+BF456+BH456</f>
        <v>76633.8654295919</v>
      </c>
      <c r="BJ456" s="15" t="n">
        <f aca="false">INDEX(Ipotesi!$C$68:$G$68,1,F456)*Ipotesi!$C$69/12</f>
        <v>2400</v>
      </c>
      <c r="BK456" s="15" t="n">
        <f aca="false">INDEX(Ipotesi!$C$68:$G$68,1,F456)*(1-Ipotesi!$C$69)/12</f>
        <v>3600</v>
      </c>
      <c r="BL456" s="15" t="n">
        <f aca="false">(AQ456+BF456)*Ipotesi!$C$67</f>
        <v>2117.51596288776</v>
      </c>
      <c r="BM456" s="15" t="n">
        <f aca="false">AM456*Ipotesi!$C$67</f>
        <v>1815</v>
      </c>
      <c r="BN456" s="15" t="n">
        <f aca="false">INDEX(Ipotesi!$C$72:$G$72,1,F456)/12*Ipotesi!J126+BF456*Ipotesi!$C$73</f>
        <v>3563.37590103402</v>
      </c>
      <c r="BO456" s="15" t="n">
        <f aca="false">INDEX(Ipotesi!$C$74:$G$74,1,F456)/12*Ipotesi!J126</f>
        <v>2916.66666666667</v>
      </c>
      <c r="BP456" s="15" t="n">
        <f aca="false">INDEX(Ipotesi!$C$76:$G$76,1,F456)/12</f>
        <v>1083.33333333333</v>
      </c>
      <c r="BQ456" s="15" t="n">
        <f aca="false">INDEX(Ipotesi!$C$77:$G$77,1,F456)/12*Ipotesi!J126</f>
        <v>2083.33333333333</v>
      </c>
      <c r="BR456" s="15" t="n">
        <f aca="false">INDEX(Ipotesi!$C$78:$G$78,1,F456)/12</f>
        <v>1666.66666666667</v>
      </c>
      <c r="BS456" s="15" t="n">
        <f aca="false">SUM(M456:R456)*(Ipotesi!$C$85+Ipotesi!$C$86)/12</f>
        <v>4812.5</v>
      </c>
      <c r="BT456" s="15" t="n">
        <f aca="false">BI456*Ipotesi!$C$87</f>
        <v>2299.01596288776</v>
      </c>
      <c r="BU456" s="15" t="n">
        <f aca="false">INDEX(Ipotesi!$C$55:$G$55,1,F456)*K456/12</f>
        <v>1500</v>
      </c>
      <c r="BV456" s="15" t="n">
        <f aca="false">INDEX(Ipotesi!$C$80:$G$80,1,F456)/12*Ipotesi!J126</f>
        <v>1250</v>
      </c>
      <c r="BW456" s="15" t="n">
        <f aca="false">INDEX(Ipotesi!$C$82:$G$82,1,F456)/12</f>
        <v>1000</v>
      </c>
      <c r="BX456" s="15" t="n">
        <f aca="false">INDEX(Ipotesi!$C$83:$G$83,1,F456)/12</f>
        <v>666.666666666667</v>
      </c>
      <c r="BY456" s="15" t="n">
        <f aca="false">SUM(S456:U456)*(Ipotesi!$C$85+Ipotesi!$C$86)/12</f>
        <v>1895.83333333333</v>
      </c>
      <c r="BZ456" s="15" t="n">
        <f aca="false">AM456*Ipotesi!$C$87</f>
        <v>1815</v>
      </c>
      <c r="CA456" s="15" t="n">
        <f aca="false">AB456+BJ456+BL456+BN456+BO456+AR456+BP456+BQ456+BR456+BS456+BT456</f>
        <v>117216.074493476</v>
      </c>
      <c r="CB456" s="15" t="n">
        <f aca="false">AC456+BK456+BM456+BH456+BU456+BV456+AS456+BW456+BX456+BY456+BZ456</f>
        <v>46259.8958333333</v>
      </c>
      <c r="CC456" s="15" t="n">
        <f aca="false">BI456-CA456</f>
        <v>-40582.2090638843</v>
      </c>
      <c r="CD456" s="15" t="n">
        <f aca="false">AM456-CB456</f>
        <v>14240.1041666667</v>
      </c>
      <c r="CE456" s="15" t="n">
        <f aca="false">INDEX(Ipotesi!$C$79:$G$79,1,F456)/12</f>
        <v>2500</v>
      </c>
      <c r="CF456" s="15" t="n">
        <f aca="false">INDEX(Ipotesi!$C$84:$G$84,1,F456)/12</f>
        <v>416.666666666667</v>
      </c>
      <c r="CG456" s="15" t="n">
        <f aca="false">Y456*MAX(0,Parametri_v3!$C$12-IF(P456=0,0,MIN(1,BE456/(P456*Parametri_v3!$C$22))))+W456*Parametri_v3!$C$13+X456*Parametri_v3!$C$14</f>
        <v>26385.8176211284</v>
      </c>
      <c r="CH456" s="15" t="n">
        <f aca="false">AB456*Parametri_v3!$C$32</f>
        <v>3713.68333333333</v>
      </c>
      <c r="CI456" s="15" t="n">
        <f aca="false">AC456*Parametri_v3!$C$32</f>
        <v>1270.86979166667</v>
      </c>
      <c r="CJ456" s="15" t="n">
        <f aca="false">CA456-AB456</f>
        <v>42942.4078268096</v>
      </c>
      <c r="CK456" s="15" t="n">
        <f aca="false">CB456-AC456-BH456</f>
        <v>14792.5</v>
      </c>
      <c r="CL456" s="15" t="n">
        <f aca="false">BF456*Ipotesi!$C$73+INDEX(Ipotesi!$C$72:$G$72,1,F456)/12*Ipotesi!J126*Parametri_v3!$C$58+Z456*(1-Parametri_v3!$C$16)</f>
        <v>8337.42590103402</v>
      </c>
      <c r="CM456" s="16" t="n">
        <f aca="false">IF(BF456=0,0,1-CL456/BF456)</f>
        <v>0.71167933763614</v>
      </c>
    </row>
    <row r="457" customFormat="false" ht="18" hidden="false" customHeight="true" outlineLevel="0" collapsed="false">
      <c r="A457" s="68" t="n">
        <f aca="false">8</f>
        <v>8</v>
      </c>
      <c r="B457" s="68" t="n">
        <f aca="false">33</f>
        <v>33</v>
      </c>
      <c r="C457" s="18" t="n">
        <f aca="false">EDATE(Parametri_v3!$C$5,33-1)</f>
        <v>47362</v>
      </c>
      <c r="D457" s="68" t="n">
        <f aca="false">YEAR(C457)</f>
        <v>2029</v>
      </c>
      <c r="E457" s="68" t="n">
        <f aca="false">MONTH(C457)</f>
        <v>9</v>
      </c>
      <c r="F457" s="68" t="n">
        <f aca="false">INT((33-1)/12)+1</f>
        <v>3</v>
      </c>
      <c r="G457" s="15" t="n">
        <f aca="false">Ipotesi!J7</f>
        <v>1</v>
      </c>
      <c r="H457" s="15" t="n">
        <f aca="false">Ipotesi!J9</f>
        <v>1</v>
      </c>
      <c r="I457" s="15" t="n">
        <f aca="false">Ipotesi!J10</f>
        <v>1</v>
      </c>
      <c r="J457" s="15" t="n">
        <f aca="false">Ipotesi!J11</f>
        <v>1</v>
      </c>
      <c r="K457" s="15" t="n">
        <f aca="false">Ipotesi!J12</f>
        <v>1</v>
      </c>
      <c r="L457" s="15" t="n">
        <f aca="false">Ipotesi!J13</f>
        <v>90</v>
      </c>
      <c r="M457" s="17" t="n">
        <f aca="false">INDEX(Ipotesi!$C$40:$G$40,1,F457)</f>
        <v>1</v>
      </c>
      <c r="N457" s="17" t="n">
        <f aca="false">INDEX(Ipotesi!$C$41:$G$41,1,F457)</f>
        <v>1</v>
      </c>
      <c r="O457" s="17" t="n">
        <f aca="false">INDEX(Ipotesi!$C$42:$G$42,1,F457)*Ipotesi!J125</f>
        <v>4.5</v>
      </c>
      <c r="P457" s="17" t="n">
        <f aca="false">INDEX(Ipotesi!$C$43:$G$43,1,F457)*I457</f>
        <v>5</v>
      </c>
      <c r="Q457" s="17" t="n">
        <f aca="false">INDEX(Ipotesi!$C$44:$G$44,1,F457)*I457</f>
        <v>4</v>
      </c>
      <c r="R457" s="17" t="n">
        <f aca="false">INDEX(Ipotesi!$C$45:$G$45,1,F457)*I457</f>
        <v>1</v>
      </c>
      <c r="S457" s="17" t="n">
        <f aca="false">INDEX(Ipotesi!$C$52:$G$52,1,F457)*Ipotesi!J125</f>
        <v>5</v>
      </c>
      <c r="T457" s="17" t="n">
        <f aca="false">INDEX(Ipotesi!$C$53:$G$53,1,F457)*I457</f>
        <v>1</v>
      </c>
      <c r="U457" s="17" t="n">
        <f aca="false">INDEX(Ipotesi!$C$54:$G$54,1,F457)*I457</f>
        <v>0.5</v>
      </c>
      <c r="V457" s="15" t="n">
        <f aca="false">M457*INDEX(Ipotesi!$C$58:$G$58,1,F457)*K457/12</f>
        <v>7083.33333333333</v>
      </c>
      <c r="W457" s="15" t="n">
        <f aca="false">N457*Ipotesi!$C$59*(1+Ipotesi!$C$66)^(F457-1)/12</f>
        <v>6188.58333333333</v>
      </c>
      <c r="X457" s="15" t="n">
        <f aca="false">O457*Ipotesi!$C$60*(1+Ipotesi!$C$66)^(F457-1)/12</f>
        <v>19891.875</v>
      </c>
      <c r="Y457" s="15" t="n">
        <f aca="false">P457*Ipotesi!$C$61*(1+Ipotesi!$C$66)^(F457-1)/12</f>
        <v>22102.0833333333</v>
      </c>
      <c r="Z457" s="15" t="n">
        <f aca="false">Q457*Ipotesi!$C$62*(1+Ipotesi!$C$66)^(F457-1)/12</f>
        <v>15913.5</v>
      </c>
      <c r="AA457" s="15" t="n">
        <f aca="false">R457*Ipotesi!$C$63*(1+Ipotesi!$C$66)^(F457-1)/12</f>
        <v>3094.29166666667</v>
      </c>
      <c r="AB457" s="15" t="n">
        <f aca="false">SUM(V457:AA457)</f>
        <v>74273.6666666667</v>
      </c>
      <c r="AC457" s="15" t="n">
        <f aca="false">(S457*Ipotesi!$C$64+T457*Ipotesi!$C$65+U457*Ipotesi!$C$63)*(1+Ipotesi!$C$66)^(F457-1)/12</f>
        <v>25417.3958333333</v>
      </c>
      <c r="AD457" s="15" t="n">
        <f aca="false">INDEX(Ipotesi!$C$48:$G$48,1,F457)*G457/12</f>
        <v>60</v>
      </c>
      <c r="AE457" s="15" t="n">
        <f aca="false">INDEX(Ipotesi!$C$50:$G$50,1,F457)*G457/12</f>
        <v>6.66666666666667</v>
      </c>
      <c r="AF457" s="15" t="n">
        <f aca="false">(S457*Parametri_v3!$C$7*Parametri_v3!$C$8+Parametri_v3!$C$10)/12</f>
        <v>64.1666666666667</v>
      </c>
      <c r="AG457" s="15" t="n">
        <f aca="false">AD457+AE457*(1+Parametri_v3!$C$9)</f>
        <v>70</v>
      </c>
      <c r="AH457" s="16" t="n">
        <f aca="false">IF(AG457=0,1,MIN(1,AF457/AG457))</f>
        <v>0.916666666666667</v>
      </c>
      <c r="AI457" s="15" t="n">
        <f aca="false">AD457*AH457</f>
        <v>55</v>
      </c>
      <c r="AJ457" s="15" t="n">
        <f aca="false">AE457*AH457</f>
        <v>6.11111111111111</v>
      </c>
      <c r="AK457" s="15" t="n">
        <f aca="false">AI457*INDEX(Ipotesi!$C$49:$G$49,1,F457)*H457</f>
        <v>46750</v>
      </c>
      <c r="AL457" s="15" t="n">
        <f aca="false">AJ457*INDEX(Ipotesi!$C$51:$G$51,1,F457)*H457</f>
        <v>13750</v>
      </c>
      <c r="AM457" s="15" t="n">
        <f aca="false">AK457+AL457</f>
        <v>60500</v>
      </c>
      <c r="AN457" s="15" t="n">
        <f aca="false">INDEX(Ipotesi!$C$30:$G$30,1,F457)*G457/12</f>
        <v>41.6666666666667</v>
      </c>
      <c r="AO457" s="15" t="n">
        <f aca="false">O457*Parametri_v3!$C$7*Parametri_v3!$C$11*(1-Parametri_v3!$C$14)/12</f>
        <v>46.2</v>
      </c>
      <c r="AP457" s="15" t="n">
        <f aca="false">MIN(AN457,AO457)</f>
        <v>41.6666666666667</v>
      </c>
      <c r="AQ457" s="15" t="n">
        <f aca="false">AP457*INDEX(Ipotesi!$C$31:$G$31,1,F457)*H457</f>
        <v>41666.6666666667</v>
      </c>
      <c r="AR457" s="15" t="n">
        <f aca="false">INDEX(Ipotesi!$C$75:$G$75,1,F457)*J457/12</f>
        <v>20000</v>
      </c>
      <c r="AS457" s="15" t="n">
        <f aca="false">INDEX(Ipotesi!$C$81:$G$81,1,F457)*J457/12</f>
        <v>1250</v>
      </c>
      <c r="AT457" s="15" t="n">
        <f aca="false">AR457*Parametri_v3!$C$15+Z457*Parametri_v3!$C$16</f>
        <v>31139.45</v>
      </c>
      <c r="AU457" s="15" t="n">
        <f aca="false">Q457*Parametri_v3!$C$16*Parametri_v3!$C$17</f>
        <v>280</v>
      </c>
      <c r="AV457" s="17" t="n">
        <f aca="false">BD456</f>
        <v>65.9427114621375</v>
      </c>
      <c r="AW457" s="17" t="n">
        <f aca="false">AV457*(1-(1-INDEX(Ipotesi!$C$34:$G$34,1,F457))^(1/12))</f>
        <v>0.576445528899826</v>
      </c>
      <c r="AX457" s="15" t="n">
        <f aca="false">ROUND(INDEX(Ipotesi!$C$32:$G$32,1,F457)*Ipotesi!J8,0)</f>
        <v>130</v>
      </c>
      <c r="AY457" s="15" t="n">
        <f aca="false">MAX(0,(AX457-(AV457-AW457))/(13-E457))</f>
        <v>16.1584335166906</v>
      </c>
      <c r="AZ457" s="15" t="n">
        <f aca="false">MIN(P457*Parametri_v3!$C$22,Q457*(1-Parametri_v3!$C$16)*Parametri_v3!$C$23)</f>
        <v>180</v>
      </c>
      <c r="BA457" s="15" t="n">
        <f aca="false">IF(OR(INDEX(Ipotesi!$C$35:$G$35,1,F457)&lt;=0,33-Parametri_v3!$C$21&lt;1),0,INDEX($AT$425:$AT$484,MAX(1,33-Parametri_v3!$C$21))/(INDEX(Ipotesi!$C$35:$G$35,1,F457)*Ipotesi!J27))</f>
        <v>6.22789</v>
      </c>
      <c r="BB457" s="15" t="n">
        <f aca="false">IF(33-Parametri_v3!$C$21&lt;1,0,INDEX($AU$425:$AU$484,MAX(1,33-Parametri_v3!$C$21)))*Parametri_v3!$C$18*Parametri_v3!$C$19*Parametri_v3!$C$20</f>
        <v>10.5</v>
      </c>
      <c r="BC457" s="17" t="n">
        <f aca="false">MAX(0,MIN(AY457,BA457,BB457,MAX(0,AZ457-(AV457-AW457))))</f>
        <v>6.22789</v>
      </c>
      <c r="BD457" s="17" t="n">
        <f aca="false">AV457-AW457+BC457</f>
        <v>71.5941559332377</v>
      </c>
      <c r="BE457" s="17" t="n">
        <f aca="false">(AV457+BD457)/2</f>
        <v>68.7684336976876</v>
      </c>
      <c r="BF457" s="15" t="n">
        <f aca="false">BE457*INDEX(Ipotesi!$C$33:$G$33,1,F457)*H457/12</f>
        <v>31518.8654447735</v>
      </c>
      <c r="BG457" s="15" t="n">
        <f aca="false">BD457*INDEX(Ipotesi!$C$33:$G$33,1,F457)*H457</f>
        <v>393767.857632807</v>
      </c>
      <c r="BH457" s="15" t="n">
        <f aca="false">AM457*INDEX(Ipotesi!$C$37:$G$37,1,F457)</f>
        <v>6050</v>
      </c>
      <c r="BI457" s="15" t="n">
        <f aca="false">AQ457+BF457+BH457</f>
        <v>79235.5321114401</v>
      </c>
      <c r="BJ457" s="15" t="n">
        <f aca="false">INDEX(Ipotesi!$C$68:$G$68,1,F457)*Ipotesi!$C$69/12</f>
        <v>2400</v>
      </c>
      <c r="BK457" s="15" t="n">
        <f aca="false">INDEX(Ipotesi!$C$68:$G$68,1,F457)*(1-Ipotesi!$C$69)/12</f>
        <v>3600</v>
      </c>
      <c r="BL457" s="15" t="n">
        <f aca="false">(AQ457+BF457)*Ipotesi!$C$67</f>
        <v>2195.5659633432</v>
      </c>
      <c r="BM457" s="15" t="n">
        <f aca="false">AM457*Ipotesi!$C$67</f>
        <v>1815</v>
      </c>
      <c r="BN457" s="15" t="n">
        <f aca="false">INDEX(Ipotesi!$C$72:$G$72,1,F457)/12*Ipotesi!J126+BF457*Ipotesi!$C$73</f>
        <v>3771.50923558188</v>
      </c>
      <c r="BO457" s="15" t="n">
        <f aca="false">INDEX(Ipotesi!$C$74:$G$74,1,F457)/12*Ipotesi!J126</f>
        <v>2916.66666666667</v>
      </c>
      <c r="BP457" s="15" t="n">
        <f aca="false">INDEX(Ipotesi!$C$76:$G$76,1,F457)/12</f>
        <v>1083.33333333333</v>
      </c>
      <c r="BQ457" s="15" t="n">
        <f aca="false">INDEX(Ipotesi!$C$77:$G$77,1,F457)/12*Ipotesi!J126</f>
        <v>2083.33333333333</v>
      </c>
      <c r="BR457" s="15" t="n">
        <f aca="false">INDEX(Ipotesi!$C$78:$G$78,1,F457)/12</f>
        <v>1666.66666666667</v>
      </c>
      <c r="BS457" s="15" t="n">
        <f aca="false">SUM(M457:R457)*(Ipotesi!$C$85+Ipotesi!$C$86)/12</f>
        <v>4812.5</v>
      </c>
      <c r="BT457" s="15" t="n">
        <f aca="false">BI457*Ipotesi!$C$87</f>
        <v>2377.0659633432</v>
      </c>
      <c r="BU457" s="15" t="n">
        <f aca="false">INDEX(Ipotesi!$C$55:$G$55,1,F457)*K457/12</f>
        <v>1500</v>
      </c>
      <c r="BV457" s="15" t="n">
        <f aca="false">INDEX(Ipotesi!$C$80:$G$80,1,F457)/12*Ipotesi!J126</f>
        <v>1250</v>
      </c>
      <c r="BW457" s="15" t="n">
        <f aca="false">INDEX(Ipotesi!$C$82:$G$82,1,F457)/12</f>
        <v>1000</v>
      </c>
      <c r="BX457" s="15" t="n">
        <f aca="false">INDEX(Ipotesi!$C$83:$G$83,1,F457)/12</f>
        <v>666.666666666667</v>
      </c>
      <c r="BY457" s="15" t="n">
        <f aca="false">SUM(S457:U457)*(Ipotesi!$C$85+Ipotesi!$C$86)/12</f>
        <v>1895.83333333333</v>
      </c>
      <c r="BZ457" s="15" t="n">
        <f aca="false">AM457*Ipotesi!$C$87</f>
        <v>1815</v>
      </c>
      <c r="CA457" s="15" t="n">
        <f aca="false">AB457+BJ457+BL457+BN457+BO457+AR457+BP457+BQ457+BR457+BS457+BT457</f>
        <v>117580.307828935</v>
      </c>
      <c r="CB457" s="15" t="n">
        <f aca="false">AC457+BK457+BM457+BH457+BU457+BV457+AS457+BW457+BX457+BY457+BZ457</f>
        <v>46259.8958333333</v>
      </c>
      <c r="CC457" s="15" t="n">
        <f aca="false">BI457-CA457</f>
        <v>-38344.7757174948</v>
      </c>
      <c r="CD457" s="15" t="n">
        <f aca="false">AM457-CB457</f>
        <v>14240.1041666667</v>
      </c>
      <c r="CE457" s="15" t="n">
        <f aca="false">INDEX(Ipotesi!$C$79:$G$79,1,F457)/12</f>
        <v>2500</v>
      </c>
      <c r="CF457" s="15" t="n">
        <f aca="false">INDEX(Ipotesi!$C$84:$G$84,1,F457)/12</f>
        <v>416.666666666667</v>
      </c>
      <c r="CG457" s="15" t="n">
        <f aca="false">Y457*MAX(0,Parametri_v3!$C$12-IF(P457=0,0,MIN(1,BE457/(P457*Parametri_v3!$C$22))))+W457*Parametri_v3!$C$13+X457*Parametri_v3!$C$14</f>
        <v>26134.8986954218</v>
      </c>
      <c r="CH457" s="15" t="n">
        <f aca="false">AB457*Parametri_v3!$C$32</f>
        <v>3713.68333333333</v>
      </c>
      <c r="CI457" s="15" t="n">
        <f aca="false">AC457*Parametri_v3!$C$32</f>
        <v>1270.86979166667</v>
      </c>
      <c r="CJ457" s="15" t="n">
        <f aca="false">CA457-AB457</f>
        <v>43306.6411622683</v>
      </c>
      <c r="CK457" s="15" t="n">
        <f aca="false">CB457-AC457-BH457</f>
        <v>14792.5</v>
      </c>
      <c r="CL457" s="15" t="n">
        <f aca="false">BF457*Ipotesi!$C$73+INDEX(Ipotesi!$C$72:$G$72,1,F457)/12*Ipotesi!J126*Parametri_v3!$C$58+Z457*(1-Parametri_v3!$C$16)</f>
        <v>8545.55923558188</v>
      </c>
      <c r="CM457" s="16" t="n">
        <f aca="false">IF(BF457=0,0,1-CL457/BF457)</f>
        <v>0.728874782927857</v>
      </c>
    </row>
    <row r="458" customFormat="false" ht="18" hidden="false" customHeight="true" outlineLevel="0" collapsed="false">
      <c r="A458" s="68" t="n">
        <f aca="false">8</f>
        <v>8</v>
      </c>
      <c r="B458" s="68" t="n">
        <f aca="false">34</f>
        <v>34</v>
      </c>
      <c r="C458" s="18" t="n">
        <f aca="false">EDATE(Parametri_v3!$C$5,34-1)</f>
        <v>47392</v>
      </c>
      <c r="D458" s="68" t="n">
        <f aca="false">YEAR(C458)</f>
        <v>2029</v>
      </c>
      <c r="E458" s="68" t="n">
        <f aca="false">MONTH(C458)</f>
        <v>10</v>
      </c>
      <c r="F458" s="68" t="n">
        <f aca="false">INT((34-1)/12)+1</f>
        <v>3</v>
      </c>
      <c r="G458" s="15" t="n">
        <f aca="false">Ipotesi!J7</f>
        <v>1</v>
      </c>
      <c r="H458" s="15" t="n">
        <f aca="false">Ipotesi!J9</f>
        <v>1</v>
      </c>
      <c r="I458" s="15" t="n">
        <f aca="false">Ipotesi!J10</f>
        <v>1</v>
      </c>
      <c r="J458" s="15" t="n">
        <f aca="false">Ipotesi!J11</f>
        <v>1</v>
      </c>
      <c r="K458" s="15" t="n">
        <f aca="false">Ipotesi!J12</f>
        <v>1</v>
      </c>
      <c r="L458" s="15" t="n">
        <f aca="false">Ipotesi!J13</f>
        <v>90</v>
      </c>
      <c r="M458" s="17" t="n">
        <f aca="false">INDEX(Ipotesi!$C$40:$G$40,1,F458)</f>
        <v>1</v>
      </c>
      <c r="N458" s="17" t="n">
        <f aca="false">INDEX(Ipotesi!$C$41:$G$41,1,F458)</f>
        <v>1</v>
      </c>
      <c r="O458" s="17" t="n">
        <f aca="false">INDEX(Ipotesi!$C$42:$G$42,1,F458)*Ipotesi!J125</f>
        <v>4.5</v>
      </c>
      <c r="P458" s="17" t="n">
        <f aca="false">INDEX(Ipotesi!$C$43:$G$43,1,F458)*I458</f>
        <v>5</v>
      </c>
      <c r="Q458" s="17" t="n">
        <f aca="false">INDEX(Ipotesi!$C$44:$G$44,1,F458)*I458</f>
        <v>4</v>
      </c>
      <c r="R458" s="17" t="n">
        <f aca="false">INDEX(Ipotesi!$C$45:$G$45,1,F458)*I458</f>
        <v>1</v>
      </c>
      <c r="S458" s="17" t="n">
        <f aca="false">INDEX(Ipotesi!$C$52:$G$52,1,F458)*Ipotesi!J125</f>
        <v>5</v>
      </c>
      <c r="T458" s="17" t="n">
        <f aca="false">INDEX(Ipotesi!$C$53:$G$53,1,F458)*I458</f>
        <v>1</v>
      </c>
      <c r="U458" s="17" t="n">
        <f aca="false">INDEX(Ipotesi!$C$54:$G$54,1,F458)*I458</f>
        <v>0.5</v>
      </c>
      <c r="V458" s="15" t="n">
        <f aca="false">M458*INDEX(Ipotesi!$C$58:$G$58,1,F458)*K458/12</f>
        <v>7083.33333333333</v>
      </c>
      <c r="W458" s="15" t="n">
        <f aca="false">N458*Ipotesi!$C$59*(1+Ipotesi!$C$66)^(F458-1)/12</f>
        <v>6188.58333333333</v>
      </c>
      <c r="X458" s="15" t="n">
        <f aca="false">O458*Ipotesi!$C$60*(1+Ipotesi!$C$66)^(F458-1)/12</f>
        <v>19891.875</v>
      </c>
      <c r="Y458" s="15" t="n">
        <f aca="false">P458*Ipotesi!$C$61*(1+Ipotesi!$C$66)^(F458-1)/12</f>
        <v>22102.0833333333</v>
      </c>
      <c r="Z458" s="15" t="n">
        <f aca="false">Q458*Ipotesi!$C$62*(1+Ipotesi!$C$66)^(F458-1)/12</f>
        <v>15913.5</v>
      </c>
      <c r="AA458" s="15" t="n">
        <f aca="false">R458*Ipotesi!$C$63*(1+Ipotesi!$C$66)^(F458-1)/12</f>
        <v>3094.29166666667</v>
      </c>
      <c r="AB458" s="15" t="n">
        <f aca="false">SUM(V458:AA458)</f>
        <v>74273.6666666667</v>
      </c>
      <c r="AC458" s="15" t="n">
        <f aca="false">(S458*Ipotesi!$C$64+T458*Ipotesi!$C$65+U458*Ipotesi!$C$63)*(1+Ipotesi!$C$66)^(F458-1)/12</f>
        <v>25417.3958333333</v>
      </c>
      <c r="AD458" s="15" t="n">
        <f aca="false">INDEX(Ipotesi!$C$48:$G$48,1,F458)*G458/12</f>
        <v>60</v>
      </c>
      <c r="AE458" s="15" t="n">
        <f aca="false">INDEX(Ipotesi!$C$50:$G$50,1,F458)*G458/12</f>
        <v>6.66666666666667</v>
      </c>
      <c r="AF458" s="15" t="n">
        <f aca="false">(S458*Parametri_v3!$C$7*Parametri_v3!$C$8+Parametri_v3!$C$10)/12</f>
        <v>64.1666666666667</v>
      </c>
      <c r="AG458" s="15" t="n">
        <f aca="false">AD458+AE458*(1+Parametri_v3!$C$9)</f>
        <v>70</v>
      </c>
      <c r="AH458" s="16" t="n">
        <f aca="false">IF(AG458=0,1,MIN(1,AF458/AG458))</f>
        <v>0.916666666666667</v>
      </c>
      <c r="AI458" s="15" t="n">
        <f aca="false">AD458*AH458</f>
        <v>55</v>
      </c>
      <c r="AJ458" s="15" t="n">
        <f aca="false">AE458*AH458</f>
        <v>6.11111111111111</v>
      </c>
      <c r="AK458" s="15" t="n">
        <f aca="false">AI458*INDEX(Ipotesi!$C$49:$G$49,1,F458)*H458</f>
        <v>46750</v>
      </c>
      <c r="AL458" s="15" t="n">
        <f aca="false">AJ458*INDEX(Ipotesi!$C$51:$G$51,1,F458)*H458</f>
        <v>13750</v>
      </c>
      <c r="AM458" s="15" t="n">
        <f aca="false">AK458+AL458</f>
        <v>60500</v>
      </c>
      <c r="AN458" s="15" t="n">
        <f aca="false">INDEX(Ipotesi!$C$30:$G$30,1,F458)*G458/12</f>
        <v>41.6666666666667</v>
      </c>
      <c r="AO458" s="15" t="n">
        <f aca="false">O458*Parametri_v3!$C$7*Parametri_v3!$C$11*(1-Parametri_v3!$C$14)/12</f>
        <v>46.2</v>
      </c>
      <c r="AP458" s="15" t="n">
        <f aca="false">MIN(AN458,AO458)</f>
        <v>41.6666666666667</v>
      </c>
      <c r="AQ458" s="15" t="n">
        <f aca="false">AP458*INDEX(Ipotesi!$C$31:$G$31,1,F458)*H458</f>
        <v>41666.6666666667</v>
      </c>
      <c r="AR458" s="15" t="n">
        <f aca="false">INDEX(Ipotesi!$C$75:$G$75,1,F458)*J458/12</f>
        <v>20000</v>
      </c>
      <c r="AS458" s="15" t="n">
        <f aca="false">INDEX(Ipotesi!$C$81:$G$81,1,F458)*J458/12</f>
        <v>1250</v>
      </c>
      <c r="AT458" s="15" t="n">
        <f aca="false">AR458*Parametri_v3!$C$15+Z458*Parametri_v3!$C$16</f>
        <v>31139.45</v>
      </c>
      <c r="AU458" s="15" t="n">
        <f aca="false">Q458*Parametri_v3!$C$16*Parametri_v3!$C$17</f>
        <v>280</v>
      </c>
      <c r="AV458" s="17" t="n">
        <f aca="false">BD457</f>
        <v>71.5941559332377</v>
      </c>
      <c r="AW458" s="17" t="n">
        <f aca="false">AV458*(1-(1-INDEX(Ipotesi!$C$34:$G$34,1,F458))^(1/12))</f>
        <v>0.625848257798256</v>
      </c>
      <c r="AX458" s="15" t="n">
        <f aca="false">ROUND(INDEX(Ipotesi!$C$32:$G$32,1,F458)*Ipotesi!J8,0)</f>
        <v>130</v>
      </c>
      <c r="AY458" s="15" t="n">
        <f aca="false">MAX(0,(AX458-(AV458-AW458))/(13-E458))</f>
        <v>19.6772307748535</v>
      </c>
      <c r="AZ458" s="15" t="n">
        <f aca="false">MIN(P458*Parametri_v3!$C$22,Q458*(1-Parametri_v3!$C$16)*Parametri_v3!$C$23)</f>
        <v>180</v>
      </c>
      <c r="BA458" s="15" t="n">
        <f aca="false">IF(OR(INDEX(Ipotesi!$C$35:$G$35,1,F458)&lt;=0,34-Parametri_v3!$C$21&lt;1),0,INDEX($AT$425:$AT$484,MAX(1,34-Parametri_v3!$C$21))/(INDEX(Ipotesi!$C$35:$G$35,1,F458)*Ipotesi!J27))</f>
        <v>6.22789</v>
      </c>
      <c r="BB458" s="15" t="n">
        <f aca="false">IF(34-Parametri_v3!$C$21&lt;1,0,INDEX($AU$425:$AU$484,MAX(1,34-Parametri_v3!$C$21)))*Parametri_v3!$C$18*Parametri_v3!$C$19*Parametri_v3!$C$20</f>
        <v>10.5</v>
      </c>
      <c r="BC458" s="17" t="n">
        <f aca="false">MAX(0,MIN(AY458,BA458,BB458,MAX(0,AZ458-(AV458-AW458))))</f>
        <v>6.22789</v>
      </c>
      <c r="BD458" s="17" t="n">
        <f aca="false">AV458-AW458+BC458</f>
        <v>77.1961976754394</v>
      </c>
      <c r="BE458" s="17" t="n">
        <f aca="false">(AV458+BD458)/2</f>
        <v>74.3951768043386</v>
      </c>
      <c r="BF458" s="15" t="n">
        <f aca="false">BE458*INDEX(Ipotesi!$C$33:$G$33,1,F458)*H458/12</f>
        <v>34097.7893686552</v>
      </c>
      <c r="BG458" s="15" t="n">
        <f aca="false">BD458*INDEX(Ipotesi!$C$33:$G$33,1,F458)*H458</f>
        <v>424579.087214917</v>
      </c>
      <c r="BH458" s="15" t="n">
        <f aca="false">AM458*INDEX(Ipotesi!$C$37:$G$37,1,F458)</f>
        <v>6050</v>
      </c>
      <c r="BI458" s="15" t="n">
        <f aca="false">AQ458+BF458+BH458</f>
        <v>81814.4560353218</v>
      </c>
      <c r="BJ458" s="15" t="n">
        <f aca="false">INDEX(Ipotesi!$C$68:$G$68,1,F458)*Ipotesi!$C$69/12</f>
        <v>2400</v>
      </c>
      <c r="BK458" s="15" t="n">
        <f aca="false">INDEX(Ipotesi!$C$68:$G$68,1,F458)*(1-Ipotesi!$C$69)/12</f>
        <v>3600</v>
      </c>
      <c r="BL458" s="15" t="n">
        <f aca="false">(AQ458+BF458)*Ipotesi!$C$67</f>
        <v>2272.93368105966</v>
      </c>
      <c r="BM458" s="15" t="n">
        <f aca="false">AM458*Ipotesi!$C$67</f>
        <v>1815</v>
      </c>
      <c r="BN458" s="15" t="n">
        <f aca="false">INDEX(Ipotesi!$C$72:$G$72,1,F458)/12*Ipotesi!J126+BF458*Ipotesi!$C$73</f>
        <v>3977.82314949241</v>
      </c>
      <c r="BO458" s="15" t="n">
        <f aca="false">INDEX(Ipotesi!$C$74:$G$74,1,F458)/12*Ipotesi!J126</f>
        <v>2916.66666666667</v>
      </c>
      <c r="BP458" s="15" t="n">
        <f aca="false">INDEX(Ipotesi!$C$76:$G$76,1,F458)/12</f>
        <v>1083.33333333333</v>
      </c>
      <c r="BQ458" s="15" t="n">
        <f aca="false">INDEX(Ipotesi!$C$77:$G$77,1,F458)/12*Ipotesi!J126</f>
        <v>2083.33333333333</v>
      </c>
      <c r="BR458" s="15" t="n">
        <f aca="false">INDEX(Ipotesi!$C$78:$G$78,1,F458)/12</f>
        <v>1666.66666666667</v>
      </c>
      <c r="BS458" s="15" t="n">
        <f aca="false">SUM(M458:R458)*(Ipotesi!$C$85+Ipotesi!$C$86)/12</f>
        <v>4812.5</v>
      </c>
      <c r="BT458" s="15" t="n">
        <f aca="false">BI458*Ipotesi!$C$87</f>
        <v>2454.43368105966</v>
      </c>
      <c r="BU458" s="15" t="n">
        <f aca="false">INDEX(Ipotesi!$C$55:$G$55,1,F458)*K458/12</f>
        <v>1500</v>
      </c>
      <c r="BV458" s="15" t="n">
        <f aca="false">INDEX(Ipotesi!$C$80:$G$80,1,F458)/12*Ipotesi!J126</f>
        <v>1250</v>
      </c>
      <c r="BW458" s="15" t="n">
        <f aca="false">INDEX(Ipotesi!$C$82:$G$82,1,F458)/12</f>
        <v>1000</v>
      </c>
      <c r="BX458" s="15" t="n">
        <f aca="false">INDEX(Ipotesi!$C$83:$G$83,1,F458)/12</f>
        <v>666.666666666667</v>
      </c>
      <c r="BY458" s="15" t="n">
        <f aca="false">SUM(S458:U458)*(Ipotesi!$C$85+Ipotesi!$C$86)/12</f>
        <v>1895.83333333333</v>
      </c>
      <c r="BZ458" s="15" t="n">
        <f aca="false">AM458*Ipotesi!$C$87</f>
        <v>1815</v>
      </c>
      <c r="CA458" s="15" t="n">
        <f aca="false">AB458+BJ458+BL458+BN458+BO458+AR458+BP458+BQ458+BR458+BS458+BT458</f>
        <v>117941.357178278</v>
      </c>
      <c r="CB458" s="15" t="n">
        <f aca="false">AC458+BK458+BM458+BH458+BU458+BV458+AS458+BW458+BX458+BY458+BZ458</f>
        <v>46259.8958333333</v>
      </c>
      <c r="CC458" s="15" t="n">
        <f aca="false">BI458-CA458</f>
        <v>-36126.9011429566</v>
      </c>
      <c r="CD458" s="15" t="n">
        <f aca="false">AM458-CB458</f>
        <v>14240.1041666667</v>
      </c>
      <c r="CE458" s="15" t="n">
        <f aca="false">INDEX(Ipotesi!$C$79:$G$79,1,F458)/12</f>
        <v>2500</v>
      </c>
      <c r="CF458" s="15" t="n">
        <f aca="false">INDEX(Ipotesi!$C$84:$G$84,1,F458)/12</f>
        <v>416.666666666667</v>
      </c>
      <c r="CG458" s="15" t="n">
        <f aca="false">Y458*MAX(0,Parametri_v3!$C$12-IF(P458=0,0,MIN(1,BE458/(P458*Parametri_v3!$C$22))))+W458*Parametri_v3!$C$13+X458*Parametri_v3!$C$14</f>
        <v>25886.1732053449</v>
      </c>
      <c r="CH458" s="15" t="n">
        <f aca="false">AB458*Parametri_v3!$C$32</f>
        <v>3713.68333333333</v>
      </c>
      <c r="CI458" s="15" t="n">
        <f aca="false">AC458*Parametri_v3!$C$32</f>
        <v>1270.86979166667</v>
      </c>
      <c r="CJ458" s="15" t="n">
        <f aca="false">CA458-AB458</f>
        <v>43667.6905116117</v>
      </c>
      <c r="CK458" s="15" t="n">
        <f aca="false">CB458-AC458-BH458</f>
        <v>14792.5</v>
      </c>
      <c r="CL458" s="15" t="n">
        <f aca="false">BF458*Ipotesi!$C$73+INDEX(Ipotesi!$C$72:$G$72,1,F458)/12*Ipotesi!J126*Parametri_v3!$C$58+Z458*(1-Parametri_v3!$C$16)</f>
        <v>8751.87314949242</v>
      </c>
      <c r="CM458" s="16" t="n">
        <f aca="false">IF(BF458=0,0,1-CL458/BF458)</f>
        <v>0.743330189096139</v>
      </c>
    </row>
    <row r="459" customFormat="false" ht="18" hidden="false" customHeight="true" outlineLevel="0" collapsed="false">
      <c r="A459" s="68" t="n">
        <f aca="false">8</f>
        <v>8</v>
      </c>
      <c r="B459" s="68" t="n">
        <f aca="false">35</f>
        <v>35</v>
      </c>
      <c r="C459" s="18" t="n">
        <f aca="false">EDATE(Parametri_v3!$C$5,35-1)</f>
        <v>47423</v>
      </c>
      <c r="D459" s="68" t="n">
        <f aca="false">YEAR(C459)</f>
        <v>2029</v>
      </c>
      <c r="E459" s="68" t="n">
        <f aca="false">MONTH(C459)</f>
        <v>11</v>
      </c>
      <c r="F459" s="68" t="n">
        <f aca="false">INT((35-1)/12)+1</f>
        <v>3</v>
      </c>
      <c r="G459" s="15" t="n">
        <f aca="false">Ipotesi!J7</f>
        <v>1</v>
      </c>
      <c r="H459" s="15" t="n">
        <f aca="false">Ipotesi!J9</f>
        <v>1</v>
      </c>
      <c r="I459" s="15" t="n">
        <f aca="false">Ipotesi!J10</f>
        <v>1</v>
      </c>
      <c r="J459" s="15" t="n">
        <f aca="false">Ipotesi!J11</f>
        <v>1</v>
      </c>
      <c r="K459" s="15" t="n">
        <f aca="false">Ipotesi!J12</f>
        <v>1</v>
      </c>
      <c r="L459" s="15" t="n">
        <f aca="false">Ipotesi!J13</f>
        <v>90</v>
      </c>
      <c r="M459" s="17" t="n">
        <f aca="false">INDEX(Ipotesi!$C$40:$G$40,1,F459)</f>
        <v>1</v>
      </c>
      <c r="N459" s="17" t="n">
        <f aca="false">INDEX(Ipotesi!$C$41:$G$41,1,F459)</f>
        <v>1</v>
      </c>
      <c r="O459" s="17" t="n">
        <f aca="false">INDEX(Ipotesi!$C$42:$G$42,1,F459)*Ipotesi!J125</f>
        <v>4.5</v>
      </c>
      <c r="P459" s="17" t="n">
        <f aca="false">INDEX(Ipotesi!$C$43:$G$43,1,F459)*I459</f>
        <v>5</v>
      </c>
      <c r="Q459" s="17" t="n">
        <f aca="false">INDEX(Ipotesi!$C$44:$G$44,1,F459)*I459</f>
        <v>4</v>
      </c>
      <c r="R459" s="17" t="n">
        <f aca="false">INDEX(Ipotesi!$C$45:$G$45,1,F459)*I459</f>
        <v>1</v>
      </c>
      <c r="S459" s="17" t="n">
        <f aca="false">INDEX(Ipotesi!$C$52:$G$52,1,F459)*Ipotesi!J125</f>
        <v>5</v>
      </c>
      <c r="T459" s="17" t="n">
        <f aca="false">INDEX(Ipotesi!$C$53:$G$53,1,F459)*I459</f>
        <v>1</v>
      </c>
      <c r="U459" s="17" t="n">
        <f aca="false">INDEX(Ipotesi!$C$54:$G$54,1,F459)*I459</f>
        <v>0.5</v>
      </c>
      <c r="V459" s="15" t="n">
        <f aca="false">M459*INDEX(Ipotesi!$C$58:$G$58,1,F459)*K459/12</f>
        <v>7083.33333333333</v>
      </c>
      <c r="W459" s="15" t="n">
        <f aca="false">N459*Ipotesi!$C$59*(1+Ipotesi!$C$66)^(F459-1)/12</f>
        <v>6188.58333333333</v>
      </c>
      <c r="X459" s="15" t="n">
        <f aca="false">O459*Ipotesi!$C$60*(1+Ipotesi!$C$66)^(F459-1)/12</f>
        <v>19891.875</v>
      </c>
      <c r="Y459" s="15" t="n">
        <f aca="false">P459*Ipotesi!$C$61*(1+Ipotesi!$C$66)^(F459-1)/12</f>
        <v>22102.0833333333</v>
      </c>
      <c r="Z459" s="15" t="n">
        <f aca="false">Q459*Ipotesi!$C$62*(1+Ipotesi!$C$66)^(F459-1)/12</f>
        <v>15913.5</v>
      </c>
      <c r="AA459" s="15" t="n">
        <f aca="false">R459*Ipotesi!$C$63*(1+Ipotesi!$C$66)^(F459-1)/12</f>
        <v>3094.29166666667</v>
      </c>
      <c r="AB459" s="15" t="n">
        <f aca="false">SUM(V459:AA459)</f>
        <v>74273.6666666667</v>
      </c>
      <c r="AC459" s="15" t="n">
        <f aca="false">(S459*Ipotesi!$C$64+T459*Ipotesi!$C$65+U459*Ipotesi!$C$63)*(1+Ipotesi!$C$66)^(F459-1)/12</f>
        <v>25417.3958333333</v>
      </c>
      <c r="AD459" s="15" t="n">
        <f aca="false">INDEX(Ipotesi!$C$48:$G$48,1,F459)*G459/12</f>
        <v>60</v>
      </c>
      <c r="AE459" s="15" t="n">
        <f aca="false">INDEX(Ipotesi!$C$50:$G$50,1,F459)*G459/12</f>
        <v>6.66666666666667</v>
      </c>
      <c r="AF459" s="15" t="n">
        <f aca="false">(S459*Parametri_v3!$C$7*Parametri_v3!$C$8+Parametri_v3!$C$10)/12</f>
        <v>64.1666666666667</v>
      </c>
      <c r="AG459" s="15" t="n">
        <f aca="false">AD459+AE459*(1+Parametri_v3!$C$9)</f>
        <v>70</v>
      </c>
      <c r="AH459" s="16" t="n">
        <f aca="false">IF(AG459=0,1,MIN(1,AF459/AG459))</f>
        <v>0.916666666666667</v>
      </c>
      <c r="AI459" s="15" t="n">
        <f aca="false">AD459*AH459</f>
        <v>55</v>
      </c>
      <c r="AJ459" s="15" t="n">
        <f aca="false">AE459*AH459</f>
        <v>6.11111111111111</v>
      </c>
      <c r="AK459" s="15" t="n">
        <f aca="false">AI459*INDEX(Ipotesi!$C$49:$G$49,1,F459)*H459</f>
        <v>46750</v>
      </c>
      <c r="AL459" s="15" t="n">
        <f aca="false">AJ459*INDEX(Ipotesi!$C$51:$G$51,1,F459)*H459</f>
        <v>13750</v>
      </c>
      <c r="AM459" s="15" t="n">
        <f aca="false">AK459+AL459</f>
        <v>60500</v>
      </c>
      <c r="AN459" s="15" t="n">
        <f aca="false">INDEX(Ipotesi!$C$30:$G$30,1,F459)*G459/12</f>
        <v>41.6666666666667</v>
      </c>
      <c r="AO459" s="15" t="n">
        <f aca="false">O459*Parametri_v3!$C$7*Parametri_v3!$C$11*(1-Parametri_v3!$C$14)/12</f>
        <v>46.2</v>
      </c>
      <c r="AP459" s="15" t="n">
        <f aca="false">MIN(AN459,AO459)</f>
        <v>41.6666666666667</v>
      </c>
      <c r="AQ459" s="15" t="n">
        <f aca="false">AP459*INDEX(Ipotesi!$C$31:$G$31,1,F459)*H459</f>
        <v>41666.6666666667</v>
      </c>
      <c r="AR459" s="15" t="n">
        <f aca="false">INDEX(Ipotesi!$C$75:$G$75,1,F459)*J459/12</f>
        <v>20000</v>
      </c>
      <c r="AS459" s="15" t="n">
        <f aca="false">INDEX(Ipotesi!$C$81:$G$81,1,F459)*J459/12</f>
        <v>1250</v>
      </c>
      <c r="AT459" s="15" t="n">
        <f aca="false">AR459*Parametri_v3!$C$15+Z459*Parametri_v3!$C$16</f>
        <v>31139.45</v>
      </c>
      <c r="AU459" s="15" t="n">
        <f aca="false">Q459*Parametri_v3!$C$16*Parametri_v3!$C$17</f>
        <v>280</v>
      </c>
      <c r="AV459" s="17" t="n">
        <f aca="false">BD458</f>
        <v>77.1961976754394</v>
      </c>
      <c r="AW459" s="17" t="n">
        <f aca="false">AV459*(1-(1-INDEX(Ipotesi!$C$34:$G$34,1,F459))^(1/12))</f>
        <v>0.674819127260555</v>
      </c>
      <c r="AX459" s="15" t="n">
        <f aca="false">ROUND(INDEX(Ipotesi!$C$32:$G$32,1,F459)*Ipotesi!J8,0)</f>
        <v>130</v>
      </c>
      <c r="AY459" s="15" t="n">
        <f aca="false">MAX(0,(AX459-(AV459-AW459))/(13-E459))</f>
        <v>26.7393107259106</v>
      </c>
      <c r="AZ459" s="15" t="n">
        <f aca="false">MIN(P459*Parametri_v3!$C$22,Q459*(1-Parametri_v3!$C$16)*Parametri_v3!$C$23)</f>
        <v>180</v>
      </c>
      <c r="BA459" s="15" t="n">
        <f aca="false">IF(OR(INDEX(Ipotesi!$C$35:$G$35,1,F459)&lt;=0,35-Parametri_v3!$C$21&lt;1),0,INDEX($AT$425:$AT$484,MAX(1,35-Parametri_v3!$C$21))/(INDEX(Ipotesi!$C$35:$G$35,1,F459)*Ipotesi!J27))</f>
        <v>6.22789</v>
      </c>
      <c r="BB459" s="15" t="n">
        <f aca="false">IF(35-Parametri_v3!$C$21&lt;1,0,INDEX($AU$425:$AU$484,MAX(1,35-Parametri_v3!$C$21)))*Parametri_v3!$C$18*Parametri_v3!$C$19*Parametri_v3!$C$20</f>
        <v>10.5</v>
      </c>
      <c r="BC459" s="17" t="n">
        <f aca="false">MAX(0,MIN(AY459,BA459,BB459,MAX(0,AZ459-(AV459-AW459))))</f>
        <v>6.22789</v>
      </c>
      <c r="BD459" s="17" t="n">
        <f aca="false">AV459-AW459+BC459</f>
        <v>82.7492685481789</v>
      </c>
      <c r="BE459" s="17" t="n">
        <f aca="false">(AV459+BD459)/2</f>
        <v>79.9727331118092</v>
      </c>
      <c r="BF459" s="15" t="n">
        <f aca="false">BE459*INDEX(Ipotesi!$C$33:$G$33,1,F459)*H459/12</f>
        <v>36654.1693429125</v>
      </c>
      <c r="BG459" s="15" t="n">
        <f aca="false">BD459*INDEX(Ipotesi!$C$33:$G$33,1,F459)*H459</f>
        <v>455120.977014984</v>
      </c>
      <c r="BH459" s="15" t="n">
        <f aca="false">AM459*INDEX(Ipotesi!$C$37:$G$37,1,F459)</f>
        <v>6050</v>
      </c>
      <c r="BI459" s="15" t="n">
        <f aca="false">AQ459+BF459+BH459</f>
        <v>84370.8360095792</v>
      </c>
      <c r="BJ459" s="15" t="n">
        <f aca="false">INDEX(Ipotesi!$C$68:$G$68,1,F459)*Ipotesi!$C$69/12</f>
        <v>2400</v>
      </c>
      <c r="BK459" s="15" t="n">
        <f aca="false">INDEX(Ipotesi!$C$68:$G$68,1,F459)*(1-Ipotesi!$C$69)/12</f>
        <v>3600</v>
      </c>
      <c r="BL459" s="15" t="n">
        <f aca="false">(AQ459+BF459)*Ipotesi!$C$67</f>
        <v>2349.62508028738</v>
      </c>
      <c r="BM459" s="15" t="n">
        <f aca="false">AM459*Ipotesi!$C$67</f>
        <v>1815</v>
      </c>
      <c r="BN459" s="15" t="n">
        <f aca="false">INDEX(Ipotesi!$C$72:$G$72,1,F459)/12*Ipotesi!J126+BF459*Ipotesi!$C$73</f>
        <v>4182.333547433</v>
      </c>
      <c r="BO459" s="15" t="n">
        <f aca="false">INDEX(Ipotesi!$C$74:$G$74,1,F459)/12*Ipotesi!J126</f>
        <v>2916.66666666667</v>
      </c>
      <c r="BP459" s="15" t="n">
        <f aca="false">INDEX(Ipotesi!$C$76:$G$76,1,F459)/12</f>
        <v>1083.33333333333</v>
      </c>
      <c r="BQ459" s="15" t="n">
        <f aca="false">INDEX(Ipotesi!$C$77:$G$77,1,F459)/12*Ipotesi!J126</f>
        <v>2083.33333333333</v>
      </c>
      <c r="BR459" s="15" t="n">
        <f aca="false">INDEX(Ipotesi!$C$78:$G$78,1,F459)/12</f>
        <v>1666.66666666667</v>
      </c>
      <c r="BS459" s="15" t="n">
        <f aca="false">SUM(M459:R459)*(Ipotesi!$C$85+Ipotesi!$C$86)/12</f>
        <v>4812.5</v>
      </c>
      <c r="BT459" s="15" t="n">
        <f aca="false">BI459*Ipotesi!$C$87</f>
        <v>2531.12508028738</v>
      </c>
      <c r="BU459" s="15" t="n">
        <f aca="false">INDEX(Ipotesi!$C$55:$G$55,1,F459)*K459/12</f>
        <v>1500</v>
      </c>
      <c r="BV459" s="15" t="n">
        <f aca="false">INDEX(Ipotesi!$C$80:$G$80,1,F459)/12*Ipotesi!J126</f>
        <v>1250</v>
      </c>
      <c r="BW459" s="15" t="n">
        <f aca="false">INDEX(Ipotesi!$C$82:$G$82,1,F459)/12</f>
        <v>1000</v>
      </c>
      <c r="BX459" s="15" t="n">
        <f aca="false">INDEX(Ipotesi!$C$83:$G$83,1,F459)/12</f>
        <v>666.666666666667</v>
      </c>
      <c r="BY459" s="15" t="n">
        <f aca="false">SUM(S459:U459)*(Ipotesi!$C$85+Ipotesi!$C$86)/12</f>
        <v>1895.83333333333</v>
      </c>
      <c r="BZ459" s="15" t="n">
        <f aca="false">AM459*Ipotesi!$C$87</f>
        <v>1815</v>
      </c>
      <c r="CA459" s="15" t="n">
        <f aca="false">AB459+BJ459+BL459+BN459+BO459+AR459+BP459+BQ459+BR459+BS459+BT459</f>
        <v>118299.250374674</v>
      </c>
      <c r="CB459" s="15" t="n">
        <f aca="false">AC459+BK459+BM459+BH459+BU459+BV459+AS459+BW459+BX459+BY459+BZ459</f>
        <v>46259.8958333333</v>
      </c>
      <c r="CC459" s="15" t="n">
        <f aca="false">BI459-CA459</f>
        <v>-33928.4143650952</v>
      </c>
      <c r="CD459" s="15" t="n">
        <f aca="false">AM459-CB459</f>
        <v>14240.1041666667</v>
      </c>
      <c r="CE459" s="15" t="n">
        <f aca="false">INDEX(Ipotesi!$C$79:$G$79,1,F459)/12</f>
        <v>2500</v>
      </c>
      <c r="CF459" s="15" t="n">
        <f aca="false">INDEX(Ipotesi!$C$84:$G$84,1,F459)/12</f>
        <v>416.666666666667</v>
      </c>
      <c r="CG459" s="15" t="n">
        <f aca="false">Y459*MAX(0,Parametri_v3!$C$12-IF(P459=0,0,MIN(1,BE459/(P459*Parametri_v3!$C$22))))+W459*Parametri_v3!$C$13+X459*Parametri_v3!$C$14</f>
        <v>25639.6219767367</v>
      </c>
      <c r="CH459" s="15" t="n">
        <f aca="false">AB459*Parametri_v3!$C$32</f>
        <v>3713.68333333333</v>
      </c>
      <c r="CI459" s="15" t="n">
        <f aca="false">AC459*Parametri_v3!$C$32</f>
        <v>1270.86979166667</v>
      </c>
      <c r="CJ459" s="15" t="n">
        <f aca="false">CA459-AB459</f>
        <v>44025.5837080078</v>
      </c>
      <c r="CK459" s="15" t="n">
        <f aca="false">CB459-AC459-BH459</f>
        <v>14792.5</v>
      </c>
      <c r="CL459" s="15" t="n">
        <f aca="false">BF459*Ipotesi!$C$73+INDEX(Ipotesi!$C$72:$G$72,1,F459)/12*Ipotesi!J126*Parametri_v3!$C$58+Z459*(1-Parametri_v3!$C$16)</f>
        <v>8956.383547433</v>
      </c>
      <c r="CM459" s="16" t="n">
        <f aca="false">IF(BF459=0,0,1-CL459/BF459)</f>
        <v>0.755651711442622</v>
      </c>
    </row>
    <row r="460" customFormat="false" ht="18" hidden="false" customHeight="true" outlineLevel="0" collapsed="false">
      <c r="A460" s="68" t="n">
        <f aca="false">8</f>
        <v>8</v>
      </c>
      <c r="B460" s="68" t="n">
        <f aca="false">36</f>
        <v>36</v>
      </c>
      <c r="C460" s="18" t="n">
        <f aca="false">EDATE(Parametri_v3!$C$5,36-1)</f>
        <v>47453</v>
      </c>
      <c r="D460" s="68" t="n">
        <f aca="false">YEAR(C460)</f>
        <v>2029</v>
      </c>
      <c r="E460" s="68" t="n">
        <f aca="false">MONTH(C460)</f>
        <v>12</v>
      </c>
      <c r="F460" s="68" t="n">
        <f aca="false">INT((36-1)/12)+1</f>
        <v>3</v>
      </c>
      <c r="G460" s="15" t="n">
        <f aca="false">Ipotesi!J7</f>
        <v>1</v>
      </c>
      <c r="H460" s="15" t="n">
        <f aca="false">Ipotesi!J9</f>
        <v>1</v>
      </c>
      <c r="I460" s="15" t="n">
        <f aca="false">Ipotesi!J10</f>
        <v>1</v>
      </c>
      <c r="J460" s="15" t="n">
        <f aca="false">Ipotesi!J11</f>
        <v>1</v>
      </c>
      <c r="K460" s="15" t="n">
        <f aca="false">Ipotesi!J12</f>
        <v>1</v>
      </c>
      <c r="L460" s="15" t="n">
        <f aca="false">Ipotesi!J13</f>
        <v>90</v>
      </c>
      <c r="M460" s="17" t="n">
        <f aca="false">INDEX(Ipotesi!$C$40:$G$40,1,F460)</f>
        <v>1</v>
      </c>
      <c r="N460" s="17" t="n">
        <f aca="false">INDEX(Ipotesi!$C$41:$G$41,1,F460)</f>
        <v>1</v>
      </c>
      <c r="O460" s="17" t="n">
        <f aca="false">INDEX(Ipotesi!$C$42:$G$42,1,F460)*Ipotesi!J125</f>
        <v>4.5</v>
      </c>
      <c r="P460" s="17" t="n">
        <f aca="false">INDEX(Ipotesi!$C$43:$G$43,1,F460)*I460</f>
        <v>5</v>
      </c>
      <c r="Q460" s="17" t="n">
        <f aca="false">INDEX(Ipotesi!$C$44:$G$44,1,F460)*I460</f>
        <v>4</v>
      </c>
      <c r="R460" s="17" t="n">
        <f aca="false">INDEX(Ipotesi!$C$45:$G$45,1,F460)*I460</f>
        <v>1</v>
      </c>
      <c r="S460" s="17" t="n">
        <f aca="false">INDEX(Ipotesi!$C$52:$G$52,1,F460)*Ipotesi!J125</f>
        <v>5</v>
      </c>
      <c r="T460" s="17" t="n">
        <f aca="false">INDEX(Ipotesi!$C$53:$G$53,1,F460)*I460</f>
        <v>1</v>
      </c>
      <c r="U460" s="17" t="n">
        <f aca="false">INDEX(Ipotesi!$C$54:$G$54,1,F460)*I460</f>
        <v>0.5</v>
      </c>
      <c r="V460" s="15" t="n">
        <f aca="false">M460*INDEX(Ipotesi!$C$58:$G$58,1,F460)*K460/12</f>
        <v>7083.33333333333</v>
      </c>
      <c r="W460" s="15" t="n">
        <f aca="false">N460*Ipotesi!$C$59*(1+Ipotesi!$C$66)^(F460-1)/12</f>
        <v>6188.58333333333</v>
      </c>
      <c r="X460" s="15" t="n">
        <f aca="false">O460*Ipotesi!$C$60*(1+Ipotesi!$C$66)^(F460-1)/12</f>
        <v>19891.875</v>
      </c>
      <c r="Y460" s="15" t="n">
        <f aca="false">P460*Ipotesi!$C$61*(1+Ipotesi!$C$66)^(F460-1)/12</f>
        <v>22102.0833333333</v>
      </c>
      <c r="Z460" s="15" t="n">
        <f aca="false">Q460*Ipotesi!$C$62*(1+Ipotesi!$C$66)^(F460-1)/12</f>
        <v>15913.5</v>
      </c>
      <c r="AA460" s="15" t="n">
        <f aca="false">R460*Ipotesi!$C$63*(1+Ipotesi!$C$66)^(F460-1)/12</f>
        <v>3094.29166666667</v>
      </c>
      <c r="AB460" s="15" t="n">
        <f aca="false">SUM(V460:AA460)</f>
        <v>74273.6666666667</v>
      </c>
      <c r="AC460" s="15" t="n">
        <f aca="false">(S460*Ipotesi!$C$64+T460*Ipotesi!$C$65+U460*Ipotesi!$C$63)*(1+Ipotesi!$C$66)^(F460-1)/12</f>
        <v>25417.3958333333</v>
      </c>
      <c r="AD460" s="15" t="n">
        <f aca="false">INDEX(Ipotesi!$C$48:$G$48,1,F460)*G460/12</f>
        <v>60</v>
      </c>
      <c r="AE460" s="15" t="n">
        <f aca="false">INDEX(Ipotesi!$C$50:$G$50,1,F460)*G460/12</f>
        <v>6.66666666666667</v>
      </c>
      <c r="AF460" s="15" t="n">
        <f aca="false">(S460*Parametri_v3!$C$7*Parametri_v3!$C$8+Parametri_v3!$C$10)/12</f>
        <v>64.1666666666667</v>
      </c>
      <c r="AG460" s="15" t="n">
        <f aca="false">AD460+AE460*(1+Parametri_v3!$C$9)</f>
        <v>70</v>
      </c>
      <c r="AH460" s="16" t="n">
        <f aca="false">IF(AG460=0,1,MIN(1,AF460/AG460))</f>
        <v>0.916666666666667</v>
      </c>
      <c r="AI460" s="15" t="n">
        <f aca="false">AD460*AH460</f>
        <v>55</v>
      </c>
      <c r="AJ460" s="15" t="n">
        <f aca="false">AE460*AH460</f>
        <v>6.11111111111111</v>
      </c>
      <c r="AK460" s="15" t="n">
        <f aca="false">AI460*INDEX(Ipotesi!$C$49:$G$49,1,F460)*H460</f>
        <v>46750</v>
      </c>
      <c r="AL460" s="15" t="n">
        <f aca="false">AJ460*INDEX(Ipotesi!$C$51:$G$51,1,F460)*H460</f>
        <v>13750</v>
      </c>
      <c r="AM460" s="15" t="n">
        <f aca="false">AK460+AL460</f>
        <v>60500</v>
      </c>
      <c r="AN460" s="15" t="n">
        <f aca="false">INDEX(Ipotesi!$C$30:$G$30,1,F460)*G460/12</f>
        <v>41.6666666666667</v>
      </c>
      <c r="AO460" s="15" t="n">
        <f aca="false">O460*Parametri_v3!$C$7*Parametri_v3!$C$11*(1-Parametri_v3!$C$14)/12</f>
        <v>46.2</v>
      </c>
      <c r="AP460" s="15" t="n">
        <f aca="false">MIN(AN460,AO460)</f>
        <v>41.6666666666667</v>
      </c>
      <c r="AQ460" s="15" t="n">
        <f aca="false">AP460*INDEX(Ipotesi!$C$31:$G$31,1,F460)*H460</f>
        <v>41666.6666666667</v>
      </c>
      <c r="AR460" s="15" t="n">
        <f aca="false">INDEX(Ipotesi!$C$75:$G$75,1,F460)*J460/12</f>
        <v>20000</v>
      </c>
      <c r="AS460" s="15" t="n">
        <f aca="false">INDEX(Ipotesi!$C$81:$G$81,1,F460)*J460/12</f>
        <v>1250</v>
      </c>
      <c r="AT460" s="15" t="n">
        <f aca="false">AR460*Parametri_v3!$C$15+Z460*Parametri_v3!$C$16</f>
        <v>31139.45</v>
      </c>
      <c r="AU460" s="15" t="n">
        <f aca="false">Q460*Parametri_v3!$C$16*Parametri_v3!$C$17</f>
        <v>280</v>
      </c>
      <c r="AV460" s="17" t="n">
        <f aca="false">BD459</f>
        <v>82.7492685481789</v>
      </c>
      <c r="AW460" s="17" t="n">
        <f aca="false">AV460*(1-(1-INDEX(Ipotesi!$C$34:$G$34,1,F460))^(1/12))</f>
        <v>0.723361912433902</v>
      </c>
      <c r="AX460" s="15" t="n">
        <f aca="false">ROUND(INDEX(Ipotesi!$C$32:$G$32,1,F460)*Ipotesi!J8,0)</f>
        <v>130</v>
      </c>
      <c r="AY460" s="15" t="n">
        <f aca="false">MAX(0,(AX460-(AV460-AW460))/(13-E460))</f>
        <v>47.974093364255</v>
      </c>
      <c r="AZ460" s="15" t="n">
        <f aca="false">MIN(P460*Parametri_v3!$C$22,Q460*(1-Parametri_v3!$C$16)*Parametri_v3!$C$23)</f>
        <v>180</v>
      </c>
      <c r="BA460" s="15" t="n">
        <f aca="false">IF(OR(INDEX(Ipotesi!$C$35:$G$35,1,F460)&lt;=0,36-Parametri_v3!$C$21&lt;1),0,INDEX($AT$425:$AT$484,MAX(1,36-Parametri_v3!$C$21))/(INDEX(Ipotesi!$C$35:$G$35,1,F460)*Ipotesi!J27))</f>
        <v>6.22789</v>
      </c>
      <c r="BB460" s="15" t="n">
        <f aca="false">IF(36-Parametri_v3!$C$21&lt;1,0,INDEX($AU$425:$AU$484,MAX(1,36-Parametri_v3!$C$21)))*Parametri_v3!$C$18*Parametri_v3!$C$19*Parametri_v3!$C$20</f>
        <v>10.5</v>
      </c>
      <c r="BC460" s="17" t="n">
        <f aca="false">MAX(0,MIN(AY460,BA460,BB460,MAX(0,AZ460-(AV460-AW460))))</f>
        <v>6.22789</v>
      </c>
      <c r="BD460" s="17" t="n">
        <f aca="false">AV460-AW460+BC460</f>
        <v>88.253796635745</v>
      </c>
      <c r="BE460" s="17" t="n">
        <f aca="false">(AV460+BD460)/2</f>
        <v>85.5015325919619</v>
      </c>
      <c r="BF460" s="15" t="n">
        <f aca="false">BE460*INDEX(Ipotesi!$C$33:$G$33,1,F460)*H460/12</f>
        <v>39188.2024379826</v>
      </c>
      <c r="BG460" s="15" t="n">
        <f aca="false">BD460*INDEX(Ipotesi!$C$33:$G$33,1,F460)*H460</f>
        <v>485395.881496597</v>
      </c>
      <c r="BH460" s="15" t="n">
        <f aca="false">AM460*INDEX(Ipotesi!$C$37:$G$37,1,F460)</f>
        <v>6050</v>
      </c>
      <c r="BI460" s="15" t="n">
        <f aca="false">AQ460+BF460+BH460</f>
        <v>86904.8691046492</v>
      </c>
      <c r="BJ460" s="15" t="n">
        <f aca="false">INDEX(Ipotesi!$C$68:$G$68,1,F460)*Ipotesi!$C$69/12</f>
        <v>2400</v>
      </c>
      <c r="BK460" s="15" t="n">
        <f aca="false">INDEX(Ipotesi!$C$68:$G$68,1,F460)*(1-Ipotesi!$C$69)/12</f>
        <v>3600</v>
      </c>
      <c r="BL460" s="15" t="n">
        <f aca="false">(AQ460+BF460)*Ipotesi!$C$67</f>
        <v>2425.64607313948</v>
      </c>
      <c r="BM460" s="15" t="n">
        <f aca="false">AM460*Ipotesi!$C$67</f>
        <v>1815</v>
      </c>
      <c r="BN460" s="15" t="n">
        <f aca="false">INDEX(Ipotesi!$C$72:$G$72,1,F460)/12*Ipotesi!J126+BF460*Ipotesi!$C$73</f>
        <v>4385.0561950386</v>
      </c>
      <c r="BO460" s="15" t="n">
        <f aca="false">INDEX(Ipotesi!$C$74:$G$74,1,F460)/12*Ipotesi!J126</f>
        <v>2916.66666666667</v>
      </c>
      <c r="BP460" s="15" t="n">
        <f aca="false">INDEX(Ipotesi!$C$76:$G$76,1,F460)/12</f>
        <v>1083.33333333333</v>
      </c>
      <c r="BQ460" s="15" t="n">
        <f aca="false">INDEX(Ipotesi!$C$77:$G$77,1,F460)/12*Ipotesi!J126</f>
        <v>2083.33333333333</v>
      </c>
      <c r="BR460" s="15" t="n">
        <f aca="false">INDEX(Ipotesi!$C$78:$G$78,1,F460)/12</f>
        <v>1666.66666666667</v>
      </c>
      <c r="BS460" s="15" t="n">
        <f aca="false">SUM(M460:R460)*(Ipotesi!$C$85+Ipotesi!$C$86)/12</f>
        <v>4812.5</v>
      </c>
      <c r="BT460" s="15" t="n">
        <f aca="false">BI460*Ipotesi!$C$87</f>
        <v>2607.14607313948</v>
      </c>
      <c r="BU460" s="15" t="n">
        <f aca="false">INDEX(Ipotesi!$C$55:$G$55,1,F460)*K460/12</f>
        <v>1500</v>
      </c>
      <c r="BV460" s="15" t="n">
        <f aca="false">INDEX(Ipotesi!$C$80:$G$80,1,F460)/12*Ipotesi!J126</f>
        <v>1250</v>
      </c>
      <c r="BW460" s="15" t="n">
        <f aca="false">INDEX(Ipotesi!$C$82:$G$82,1,F460)/12</f>
        <v>1000</v>
      </c>
      <c r="BX460" s="15" t="n">
        <f aca="false">INDEX(Ipotesi!$C$83:$G$83,1,F460)/12</f>
        <v>666.666666666667</v>
      </c>
      <c r="BY460" s="15" t="n">
        <f aca="false">SUM(S460:U460)*(Ipotesi!$C$85+Ipotesi!$C$86)/12</f>
        <v>1895.83333333333</v>
      </c>
      <c r="BZ460" s="15" t="n">
        <f aca="false">AM460*Ipotesi!$C$87</f>
        <v>1815</v>
      </c>
      <c r="CA460" s="15" t="n">
        <f aca="false">AB460+BJ460+BL460+BN460+BO460+AR460+BP460+BQ460+BR460+BS460+BT460</f>
        <v>118654.015007984</v>
      </c>
      <c r="CB460" s="15" t="n">
        <f aca="false">AC460+BK460+BM460+BH460+BU460+BV460+AS460+BW460+BX460+BY460+BZ460</f>
        <v>46259.8958333333</v>
      </c>
      <c r="CC460" s="15" t="n">
        <f aca="false">BI460-CA460</f>
        <v>-31749.145903335</v>
      </c>
      <c r="CD460" s="15" t="n">
        <f aca="false">AM460-CB460</f>
        <v>14240.1041666667</v>
      </c>
      <c r="CE460" s="15" t="n">
        <f aca="false">INDEX(Ipotesi!$C$79:$G$79,1,F460)/12</f>
        <v>2500</v>
      </c>
      <c r="CF460" s="15" t="n">
        <f aca="false">INDEX(Ipotesi!$C$84:$G$84,1,F460)/12</f>
        <v>416.666666666667</v>
      </c>
      <c r="CG460" s="15" t="n">
        <f aca="false">Y460*MAX(0,Parametri_v3!$C$12-IF(P460=0,0,MIN(1,BE460/(P460*Parametri_v3!$C$22))))+W460*Parametri_v3!$C$13+X460*Parametri_v3!$C$14</f>
        <v>25395.2260030495</v>
      </c>
      <c r="CH460" s="15" t="n">
        <f aca="false">AB460*Parametri_v3!$C$32</f>
        <v>3713.68333333333</v>
      </c>
      <c r="CI460" s="15" t="n">
        <f aca="false">AC460*Parametri_v3!$C$32</f>
        <v>1270.86979166667</v>
      </c>
      <c r="CJ460" s="15" t="n">
        <f aca="false">CA460-AB460</f>
        <v>44380.3483413176</v>
      </c>
      <c r="CK460" s="15" t="n">
        <f aca="false">CB460-AC460-BH460</f>
        <v>14792.5</v>
      </c>
      <c r="CL460" s="15" t="n">
        <f aca="false">BF460*Ipotesi!$C$73+INDEX(Ipotesi!$C$72:$G$72,1,F460)/12*Ipotesi!J126*Parametri_v3!$C$58+Z460*(1-Parametri_v3!$C$16)</f>
        <v>9159.10619503861</v>
      </c>
      <c r="CM460" s="16" t="n">
        <f aca="false">IF(BF460=0,0,1-CL460/BF460)</f>
        <v>0.766278991501757</v>
      </c>
    </row>
    <row r="461" customFormat="false" ht="18" hidden="false" customHeight="true" outlineLevel="0" collapsed="false">
      <c r="A461" s="68" t="n">
        <f aca="false">8</f>
        <v>8</v>
      </c>
      <c r="B461" s="68" t="n">
        <f aca="false">37</f>
        <v>37</v>
      </c>
      <c r="C461" s="18" t="n">
        <f aca="false">EDATE(Parametri_v3!$C$5,37-1)</f>
        <v>47484</v>
      </c>
      <c r="D461" s="68" t="n">
        <f aca="false">YEAR(C461)</f>
        <v>2030</v>
      </c>
      <c r="E461" s="68" t="n">
        <f aca="false">MONTH(C461)</f>
        <v>1</v>
      </c>
      <c r="F461" s="68" t="n">
        <f aca="false">INT((37-1)/12)+1</f>
        <v>4</v>
      </c>
      <c r="G461" s="15" t="n">
        <f aca="false">Ipotesi!J7</f>
        <v>1</v>
      </c>
      <c r="H461" s="15" t="n">
        <f aca="false">Ipotesi!J9</f>
        <v>1</v>
      </c>
      <c r="I461" s="15" t="n">
        <f aca="false">Ipotesi!J10</f>
        <v>1</v>
      </c>
      <c r="J461" s="15" t="n">
        <f aca="false">Ipotesi!J11</f>
        <v>1</v>
      </c>
      <c r="K461" s="15" t="n">
        <f aca="false">Ipotesi!J12</f>
        <v>1</v>
      </c>
      <c r="L461" s="15" t="n">
        <f aca="false">Ipotesi!J13</f>
        <v>90</v>
      </c>
      <c r="M461" s="17" t="n">
        <f aca="false">INDEX(Ipotesi!$C$40:$G$40,1,F461)</f>
        <v>1</v>
      </c>
      <c r="N461" s="17" t="n">
        <f aca="false">INDEX(Ipotesi!$C$41:$G$41,1,F461)</f>
        <v>1</v>
      </c>
      <c r="O461" s="17" t="n">
        <f aca="false">INDEX(Ipotesi!$C$42:$G$42,1,F461)*Ipotesi!J125</f>
        <v>6.5</v>
      </c>
      <c r="P461" s="17" t="n">
        <f aca="false">INDEX(Ipotesi!$C$43:$G$43,1,F461)*I461</f>
        <v>6</v>
      </c>
      <c r="Q461" s="17" t="n">
        <f aca="false">INDEX(Ipotesi!$C$44:$G$44,1,F461)*I461</f>
        <v>5</v>
      </c>
      <c r="R461" s="17" t="n">
        <f aca="false">INDEX(Ipotesi!$C$45:$G$45,1,F461)*I461</f>
        <v>1.5</v>
      </c>
      <c r="S461" s="17" t="n">
        <f aca="false">INDEX(Ipotesi!$C$52:$G$52,1,F461)*Ipotesi!J125</f>
        <v>7</v>
      </c>
      <c r="T461" s="17" t="n">
        <f aca="false">INDEX(Ipotesi!$C$53:$G$53,1,F461)*I461</f>
        <v>1</v>
      </c>
      <c r="U461" s="17" t="n">
        <f aca="false">INDEX(Ipotesi!$C$54:$G$54,1,F461)*I461</f>
        <v>0.5</v>
      </c>
      <c r="V461" s="15" t="n">
        <f aca="false">M461*INDEX(Ipotesi!$C$58:$G$58,1,F461)*K461/12</f>
        <v>7916.66666666667</v>
      </c>
      <c r="W461" s="15" t="n">
        <f aca="false">N461*Ipotesi!$C$59*(1+Ipotesi!$C$66)^(F461-1)/12</f>
        <v>6374.24083333333</v>
      </c>
      <c r="X461" s="15" t="n">
        <f aca="false">O461*Ipotesi!$C$60*(1+Ipotesi!$C$66)^(F461-1)/12</f>
        <v>29594.6895833333</v>
      </c>
      <c r="Y461" s="15" t="n">
        <f aca="false">P461*Ipotesi!$C$61*(1+Ipotesi!$C$66)^(F461-1)/12</f>
        <v>27318.175</v>
      </c>
      <c r="Z461" s="15" t="n">
        <f aca="false">Q461*Ipotesi!$C$62*(1+Ipotesi!$C$66)^(F461-1)/12</f>
        <v>20488.63125</v>
      </c>
      <c r="AA461" s="15" t="n">
        <f aca="false">R461*Ipotesi!$C$63*(1+Ipotesi!$C$66)^(F461-1)/12</f>
        <v>4780.680625</v>
      </c>
      <c r="AB461" s="15" t="n">
        <f aca="false">SUM(V461:AA461)</f>
        <v>96473.0839583333</v>
      </c>
      <c r="AC461" s="15" t="n">
        <f aca="false">(S461*Ipotesi!$C$64+T461*Ipotesi!$C$65+U461*Ipotesi!$C$63)*(1+Ipotesi!$C$66)^(F461-1)/12</f>
        <v>33829.0067083333</v>
      </c>
      <c r="AD461" s="15" t="n">
        <f aca="false">INDEX(Ipotesi!$C$48:$G$48,1,F461)*G461/12</f>
        <v>79.1666666666667</v>
      </c>
      <c r="AE461" s="15" t="n">
        <f aca="false">INDEX(Ipotesi!$C$50:$G$50,1,F461)*G461/12</f>
        <v>8.33333333333333</v>
      </c>
      <c r="AF461" s="15" t="n">
        <f aca="false">(S461*Parametri_v3!$C$7*Parametri_v3!$C$8+Parametri_v3!$C$10)/12</f>
        <v>89.8333333333333</v>
      </c>
      <c r="AG461" s="15" t="n">
        <f aca="false">AD461+AE461*(1+Parametri_v3!$C$9)</f>
        <v>91.6666666666667</v>
      </c>
      <c r="AH461" s="16" t="n">
        <f aca="false">IF(AG461=0,1,MIN(1,AF461/AG461))</f>
        <v>0.98</v>
      </c>
      <c r="AI461" s="15" t="n">
        <f aca="false">AD461*AH461</f>
        <v>77.5833333333333</v>
      </c>
      <c r="AJ461" s="15" t="n">
        <f aca="false">AE461*AH461</f>
        <v>8.16666666666667</v>
      </c>
      <c r="AK461" s="15" t="n">
        <f aca="false">AI461*INDEX(Ipotesi!$C$49:$G$49,1,F461)*H461</f>
        <v>69825</v>
      </c>
      <c r="AL461" s="15" t="n">
        <f aca="false">AJ461*INDEX(Ipotesi!$C$51:$G$51,1,F461)*H461</f>
        <v>20416.6666666667</v>
      </c>
      <c r="AM461" s="15" t="n">
        <f aca="false">AK461+AL461</f>
        <v>90241.6666666667</v>
      </c>
      <c r="AN461" s="15" t="n">
        <f aca="false">INDEX(Ipotesi!$C$30:$G$30,1,F461)*G461/12</f>
        <v>61.6666666666667</v>
      </c>
      <c r="AO461" s="15" t="n">
        <f aca="false">O461*Parametri_v3!$C$7*Parametri_v3!$C$11*(1-Parametri_v3!$C$14)/12</f>
        <v>66.7333333333333</v>
      </c>
      <c r="AP461" s="15" t="n">
        <f aca="false">MIN(AN461,AO461)</f>
        <v>61.6666666666667</v>
      </c>
      <c r="AQ461" s="15" t="n">
        <f aca="false">AP461*INDEX(Ipotesi!$C$31:$G$31,1,F461)*H461</f>
        <v>64750</v>
      </c>
      <c r="AR461" s="15" t="n">
        <f aca="false">INDEX(Ipotesi!$C$75:$G$75,1,F461)*J461/12</f>
        <v>27916.6666666667</v>
      </c>
      <c r="AS461" s="15" t="n">
        <f aca="false">INDEX(Ipotesi!$C$81:$G$81,1,F461)*J461/12</f>
        <v>1666.66666666667</v>
      </c>
      <c r="AT461" s="15" t="n">
        <f aca="false">AR461*Parametri_v3!$C$15+Z461*Parametri_v3!$C$16</f>
        <v>42258.7085416667</v>
      </c>
      <c r="AU461" s="15" t="n">
        <f aca="false">Q461*Parametri_v3!$C$16*Parametri_v3!$C$17</f>
        <v>350</v>
      </c>
      <c r="AV461" s="17" t="n">
        <f aca="false">BD460</f>
        <v>88.253796635745</v>
      </c>
      <c r="AW461" s="17" t="n">
        <f aca="false">AV461*(1-(1-INDEX(Ipotesi!$C$34:$G$34,1,F461))^(1/12))</f>
        <v>0.771480355464605</v>
      </c>
      <c r="AX461" s="15" t="n">
        <f aca="false">ROUND(INDEX(Ipotesi!$C$32:$G$32,1,F461)*Ipotesi!J8,0)</f>
        <v>310</v>
      </c>
      <c r="AY461" s="15" t="n">
        <f aca="false">MAX(0,(AX461-(AV461-AW461))/(13-E461))</f>
        <v>18.5431403099766</v>
      </c>
      <c r="AZ461" s="15" t="n">
        <f aca="false">MIN(P461*Parametri_v3!$C$22,Q461*(1-Parametri_v3!$C$16)*Parametri_v3!$C$23)</f>
        <v>225</v>
      </c>
      <c r="BA461" s="15" t="n">
        <f aca="false">IF(OR(INDEX(Ipotesi!$C$35:$G$35,1,F461)&lt;=0,37-Parametri_v3!$C$21&lt;1),0,INDEX($AT$425:$AT$484,MAX(1,37-Parametri_v3!$C$21))/(INDEX(Ipotesi!$C$35:$G$35,1,F461)*Ipotesi!J27))</f>
        <v>5.18990833333333</v>
      </c>
      <c r="BB461" s="15" t="n">
        <f aca="false">IF(37-Parametri_v3!$C$21&lt;1,0,INDEX($AU$425:$AU$484,MAX(1,37-Parametri_v3!$C$21)))*Parametri_v3!$C$18*Parametri_v3!$C$19*Parametri_v3!$C$20</f>
        <v>10.5</v>
      </c>
      <c r="BC461" s="17" t="n">
        <f aca="false">MAX(0,MIN(AY461,BA461,BB461,MAX(0,AZ461-(AV461-AW461))))</f>
        <v>5.18990833333333</v>
      </c>
      <c r="BD461" s="17" t="n">
        <f aca="false">AV461-AW461+BC461</f>
        <v>92.6722246136137</v>
      </c>
      <c r="BE461" s="17" t="n">
        <f aca="false">(AV461+BD461)/2</f>
        <v>90.4630106246794</v>
      </c>
      <c r="BF461" s="15" t="n">
        <f aca="false">BE461*INDEX(Ipotesi!$C$33:$G$33,1,F461)*H461/12</f>
        <v>45231.5053123397</v>
      </c>
      <c r="BG461" s="15" t="n">
        <f aca="false">BD461*INDEX(Ipotesi!$C$33:$G$33,1,F461)*H461</f>
        <v>556033.347681682</v>
      </c>
      <c r="BH461" s="15" t="n">
        <f aca="false">AM461*INDEX(Ipotesi!$C$37:$G$37,1,F461)</f>
        <v>9024.16666666667</v>
      </c>
      <c r="BI461" s="15" t="n">
        <f aca="false">AQ461+BF461+BH461</f>
        <v>119005.671979006</v>
      </c>
      <c r="BJ461" s="15" t="n">
        <f aca="false">INDEX(Ipotesi!$C$68:$G$68,1,F461)*Ipotesi!$C$69/12</f>
        <v>3000</v>
      </c>
      <c r="BK461" s="15" t="n">
        <f aca="false">INDEX(Ipotesi!$C$68:$G$68,1,F461)*(1-Ipotesi!$C$69)/12</f>
        <v>4500</v>
      </c>
      <c r="BL461" s="15" t="n">
        <f aca="false">(AQ461+BF461)*Ipotesi!$C$67</f>
        <v>3299.44515937019</v>
      </c>
      <c r="BM461" s="15" t="n">
        <f aca="false">AM461*Ipotesi!$C$67</f>
        <v>2707.25</v>
      </c>
      <c r="BN461" s="15" t="n">
        <f aca="false">INDEX(Ipotesi!$C$72:$G$72,1,F461)/12*Ipotesi!J126+BF461*Ipotesi!$C$73</f>
        <v>4868.52042498717</v>
      </c>
      <c r="BO461" s="15" t="n">
        <f aca="false">INDEX(Ipotesi!$C$74:$G$74,1,F461)/12*Ipotesi!J126</f>
        <v>4166.66666666667</v>
      </c>
      <c r="BP461" s="15" t="n">
        <f aca="false">INDEX(Ipotesi!$C$76:$G$76,1,F461)/12</f>
        <v>1500</v>
      </c>
      <c r="BQ461" s="15" t="n">
        <f aca="false">INDEX(Ipotesi!$C$77:$G$77,1,F461)/12*Ipotesi!J126</f>
        <v>2083.33333333333</v>
      </c>
      <c r="BR461" s="15" t="n">
        <f aca="false">INDEX(Ipotesi!$C$78:$G$78,1,F461)/12</f>
        <v>2000</v>
      </c>
      <c r="BS461" s="15" t="n">
        <f aca="false">SUM(M461:R461)*(Ipotesi!$C$85+Ipotesi!$C$86)/12</f>
        <v>6125</v>
      </c>
      <c r="BT461" s="15" t="n">
        <f aca="false">BI461*Ipotesi!$C$87</f>
        <v>3570.17015937019</v>
      </c>
      <c r="BU461" s="15" t="n">
        <f aca="false">INDEX(Ipotesi!$C$55:$G$55,1,F461)*K461/12</f>
        <v>2000</v>
      </c>
      <c r="BV461" s="15" t="n">
        <f aca="false">INDEX(Ipotesi!$C$80:$G$80,1,F461)/12*Ipotesi!J126</f>
        <v>1666.66666666667</v>
      </c>
      <c r="BW461" s="15" t="n">
        <f aca="false">INDEX(Ipotesi!$C$82:$G$82,1,F461)/12</f>
        <v>1250</v>
      </c>
      <c r="BX461" s="15" t="n">
        <f aca="false">INDEX(Ipotesi!$C$83:$G$83,1,F461)/12</f>
        <v>750</v>
      </c>
      <c r="BY461" s="15" t="n">
        <f aca="false">SUM(S461:U461)*(Ipotesi!$C$85+Ipotesi!$C$86)/12</f>
        <v>2479.16666666667</v>
      </c>
      <c r="BZ461" s="15" t="n">
        <f aca="false">AM461*Ipotesi!$C$87</f>
        <v>2707.25</v>
      </c>
      <c r="CA461" s="15" t="n">
        <f aca="false">AB461+BJ461+BL461+BN461+BO461+AR461+BP461+BQ461+BR461+BS461+BT461</f>
        <v>155002.886368728</v>
      </c>
      <c r="CB461" s="15" t="n">
        <f aca="false">AC461+BK461+BM461+BH461+BU461+BV461+AS461+BW461+BX461+BY461+BZ461</f>
        <v>62580.173375</v>
      </c>
      <c r="CC461" s="15" t="n">
        <f aca="false">BI461-CA461</f>
        <v>-35997.2143897212</v>
      </c>
      <c r="CD461" s="15" t="n">
        <f aca="false">AM461-CB461</f>
        <v>27661.4932916667</v>
      </c>
      <c r="CE461" s="15" t="n">
        <f aca="false">INDEX(Ipotesi!$C$79:$G$79,1,F461)/12</f>
        <v>3333.33333333333</v>
      </c>
      <c r="CF461" s="15" t="n">
        <f aca="false">INDEX(Ipotesi!$C$84:$G$84,1,F461)/12</f>
        <v>666.666666666667</v>
      </c>
      <c r="CG461" s="15" t="n">
        <f aca="false">Y461*MAX(0,Parametri_v3!$C$12-IF(P461=0,0,MIN(1,BE461/(P461*Parametri_v3!$C$22))))+W461*Parametri_v3!$C$13+X461*Parametri_v3!$C$14</f>
        <v>32305.4260745469</v>
      </c>
      <c r="CH461" s="15" t="n">
        <f aca="false">AB461*Parametri_v3!$C$32</f>
        <v>4823.65419791667</v>
      </c>
      <c r="CI461" s="15" t="n">
        <f aca="false">AC461*Parametri_v3!$C$32</f>
        <v>1691.45033541667</v>
      </c>
      <c r="CJ461" s="15" t="n">
        <f aca="false">CA461-AB461</f>
        <v>58529.8024103942</v>
      </c>
      <c r="CK461" s="15" t="n">
        <f aca="false">CB461-AC461-BH461</f>
        <v>19727</v>
      </c>
      <c r="CL461" s="15" t="n">
        <f aca="false">BF461*Ipotesi!$C$73+INDEX(Ipotesi!$C$72:$G$72,1,F461)/12*Ipotesi!J126*Parametri_v3!$C$58+Z461*(1-Parametri_v3!$C$16)</f>
        <v>11015.1097999872</v>
      </c>
      <c r="CM461" s="16" t="n">
        <f aca="false">IF(BF461=0,0,1-CL461/BF461)</f>
        <v>0.75647262402779</v>
      </c>
    </row>
    <row r="462" customFormat="false" ht="18" hidden="false" customHeight="true" outlineLevel="0" collapsed="false">
      <c r="A462" s="68" t="n">
        <f aca="false">8</f>
        <v>8</v>
      </c>
      <c r="B462" s="68" t="n">
        <f aca="false">38</f>
        <v>38</v>
      </c>
      <c r="C462" s="18" t="n">
        <f aca="false">EDATE(Parametri_v3!$C$5,38-1)</f>
        <v>47515</v>
      </c>
      <c r="D462" s="68" t="n">
        <f aca="false">YEAR(C462)</f>
        <v>2030</v>
      </c>
      <c r="E462" s="68" t="n">
        <f aca="false">MONTH(C462)</f>
        <v>2</v>
      </c>
      <c r="F462" s="68" t="n">
        <f aca="false">INT((38-1)/12)+1</f>
        <v>4</v>
      </c>
      <c r="G462" s="15" t="n">
        <f aca="false">Ipotesi!J7</f>
        <v>1</v>
      </c>
      <c r="H462" s="15" t="n">
        <f aca="false">Ipotesi!J9</f>
        <v>1</v>
      </c>
      <c r="I462" s="15" t="n">
        <f aca="false">Ipotesi!J10</f>
        <v>1</v>
      </c>
      <c r="J462" s="15" t="n">
        <f aca="false">Ipotesi!J11</f>
        <v>1</v>
      </c>
      <c r="K462" s="15" t="n">
        <f aca="false">Ipotesi!J12</f>
        <v>1</v>
      </c>
      <c r="L462" s="15" t="n">
        <f aca="false">Ipotesi!J13</f>
        <v>90</v>
      </c>
      <c r="M462" s="17" t="n">
        <f aca="false">INDEX(Ipotesi!$C$40:$G$40,1,F462)</f>
        <v>1</v>
      </c>
      <c r="N462" s="17" t="n">
        <f aca="false">INDEX(Ipotesi!$C$41:$G$41,1,F462)</f>
        <v>1</v>
      </c>
      <c r="O462" s="17" t="n">
        <f aca="false">INDEX(Ipotesi!$C$42:$G$42,1,F462)*Ipotesi!J125</f>
        <v>6.5</v>
      </c>
      <c r="P462" s="17" t="n">
        <f aca="false">INDEX(Ipotesi!$C$43:$G$43,1,F462)*I462</f>
        <v>6</v>
      </c>
      <c r="Q462" s="17" t="n">
        <f aca="false">INDEX(Ipotesi!$C$44:$G$44,1,F462)*I462</f>
        <v>5</v>
      </c>
      <c r="R462" s="17" t="n">
        <f aca="false">INDEX(Ipotesi!$C$45:$G$45,1,F462)*I462</f>
        <v>1.5</v>
      </c>
      <c r="S462" s="17" t="n">
        <f aca="false">INDEX(Ipotesi!$C$52:$G$52,1,F462)*Ipotesi!J125</f>
        <v>7</v>
      </c>
      <c r="T462" s="17" t="n">
        <f aca="false">INDEX(Ipotesi!$C$53:$G$53,1,F462)*I462</f>
        <v>1</v>
      </c>
      <c r="U462" s="17" t="n">
        <f aca="false">INDEX(Ipotesi!$C$54:$G$54,1,F462)*I462</f>
        <v>0.5</v>
      </c>
      <c r="V462" s="15" t="n">
        <f aca="false">M462*INDEX(Ipotesi!$C$58:$G$58,1,F462)*K462/12</f>
        <v>7916.66666666667</v>
      </c>
      <c r="W462" s="15" t="n">
        <f aca="false">N462*Ipotesi!$C$59*(1+Ipotesi!$C$66)^(F462-1)/12</f>
        <v>6374.24083333333</v>
      </c>
      <c r="X462" s="15" t="n">
        <f aca="false">O462*Ipotesi!$C$60*(1+Ipotesi!$C$66)^(F462-1)/12</f>
        <v>29594.6895833333</v>
      </c>
      <c r="Y462" s="15" t="n">
        <f aca="false">P462*Ipotesi!$C$61*(1+Ipotesi!$C$66)^(F462-1)/12</f>
        <v>27318.175</v>
      </c>
      <c r="Z462" s="15" t="n">
        <f aca="false">Q462*Ipotesi!$C$62*(1+Ipotesi!$C$66)^(F462-1)/12</f>
        <v>20488.63125</v>
      </c>
      <c r="AA462" s="15" t="n">
        <f aca="false">R462*Ipotesi!$C$63*(1+Ipotesi!$C$66)^(F462-1)/12</f>
        <v>4780.680625</v>
      </c>
      <c r="AB462" s="15" t="n">
        <f aca="false">SUM(V462:AA462)</f>
        <v>96473.0839583333</v>
      </c>
      <c r="AC462" s="15" t="n">
        <f aca="false">(S462*Ipotesi!$C$64+T462*Ipotesi!$C$65+U462*Ipotesi!$C$63)*(1+Ipotesi!$C$66)^(F462-1)/12</f>
        <v>33829.0067083333</v>
      </c>
      <c r="AD462" s="15" t="n">
        <f aca="false">INDEX(Ipotesi!$C$48:$G$48,1,F462)*G462/12</f>
        <v>79.1666666666667</v>
      </c>
      <c r="AE462" s="15" t="n">
        <f aca="false">INDEX(Ipotesi!$C$50:$G$50,1,F462)*G462/12</f>
        <v>8.33333333333333</v>
      </c>
      <c r="AF462" s="15" t="n">
        <f aca="false">(S462*Parametri_v3!$C$7*Parametri_v3!$C$8+Parametri_v3!$C$10)/12</f>
        <v>89.8333333333333</v>
      </c>
      <c r="AG462" s="15" t="n">
        <f aca="false">AD462+AE462*(1+Parametri_v3!$C$9)</f>
        <v>91.6666666666667</v>
      </c>
      <c r="AH462" s="16" t="n">
        <f aca="false">IF(AG462=0,1,MIN(1,AF462/AG462))</f>
        <v>0.98</v>
      </c>
      <c r="AI462" s="15" t="n">
        <f aca="false">AD462*AH462</f>
        <v>77.5833333333333</v>
      </c>
      <c r="AJ462" s="15" t="n">
        <f aca="false">AE462*AH462</f>
        <v>8.16666666666667</v>
      </c>
      <c r="AK462" s="15" t="n">
        <f aca="false">AI462*INDEX(Ipotesi!$C$49:$G$49,1,F462)*H462</f>
        <v>69825</v>
      </c>
      <c r="AL462" s="15" t="n">
        <f aca="false">AJ462*INDEX(Ipotesi!$C$51:$G$51,1,F462)*H462</f>
        <v>20416.6666666667</v>
      </c>
      <c r="AM462" s="15" t="n">
        <f aca="false">AK462+AL462</f>
        <v>90241.6666666667</v>
      </c>
      <c r="AN462" s="15" t="n">
        <f aca="false">INDEX(Ipotesi!$C$30:$G$30,1,F462)*G462/12</f>
        <v>61.6666666666667</v>
      </c>
      <c r="AO462" s="15" t="n">
        <f aca="false">O462*Parametri_v3!$C$7*Parametri_v3!$C$11*(1-Parametri_v3!$C$14)/12</f>
        <v>66.7333333333333</v>
      </c>
      <c r="AP462" s="15" t="n">
        <f aca="false">MIN(AN462,AO462)</f>
        <v>61.6666666666667</v>
      </c>
      <c r="AQ462" s="15" t="n">
        <f aca="false">AP462*INDEX(Ipotesi!$C$31:$G$31,1,F462)*H462</f>
        <v>64750</v>
      </c>
      <c r="AR462" s="15" t="n">
        <f aca="false">INDEX(Ipotesi!$C$75:$G$75,1,F462)*J462/12</f>
        <v>27916.6666666667</v>
      </c>
      <c r="AS462" s="15" t="n">
        <f aca="false">INDEX(Ipotesi!$C$81:$G$81,1,F462)*J462/12</f>
        <v>1666.66666666667</v>
      </c>
      <c r="AT462" s="15" t="n">
        <f aca="false">AR462*Parametri_v3!$C$15+Z462*Parametri_v3!$C$16</f>
        <v>42258.7085416667</v>
      </c>
      <c r="AU462" s="15" t="n">
        <f aca="false">Q462*Parametri_v3!$C$16*Parametri_v3!$C$17</f>
        <v>350</v>
      </c>
      <c r="AV462" s="17" t="n">
        <f aca="false">BD461</f>
        <v>92.6722246136137</v>
      </c>
      <c r="AW462" s="17" t="n">
        <f aca="false">AV462*(1-(1-INDEX(Ipotesi!$C$34:$G$34,1,F462))^(1/12))</f>
        <v>0.810104533878481</v>
      </c>
      <c r="AX462" s="15" t="n">
        <f aca="false">ROUND(INDEX(Ipotesi!$C$32:$G$32,1,F462)*Ipotesi!J8,0)</f>
        <v>310</v>
      </c>
      <c r="AY462" s="15" t="n">
        <f aca="false">MAX(0,(AX462-(AV462-AW462))/(13-E462))</f>
        <v>19.8307163563877</v>
      </c>
      <c r="AZ462" s="15" t="n">
        <f aca="false">MIN(P462*Parametri_v3!$C$22,Q462*(1-Parametri_v3!$C$16)*Parametri_v3!$C$23)</f>
        <v>225</v>
      </c>
      <c r="BA462" s="15" t="n">
        <f aca="false">IF(OR(INDEX(Ipotesi!$C$35:$G$35,1,F462)&lt;=0,38-Parametri_v3!$C$21&lt;1),0,INDEX($AT$425:$AT$484,MAX(1,38-Parametri_v3!$C$21))/(INDEX(Ipotesi!$C$35:$G$35,1,F462)*Ipotesi!J27))</f>
        <v>5.18990833333333</v>
      </c>
      <c r="BB462" s="15" t="n">
        <f aca="false">IF(38-Parametri_v3!$C$21&lt;1,0,INDEX($AU$425:$AU$484,MAX(1,38-Parametri_v3!$C$21)))*Parametri_v3!$C$18*Parametri_v3!$C$19*Parametri_v3!$C$20</f>
        <v>10.5</v>
      </c>
      <c r="BC462" s="17" t="n">
        <f aca="false">MAX(0,MIN(AY462,BA462,BB462,MAX(0,AZ462-(AV462-AW462))))</f>
        <v>5.18990833333333</v>
      </c>
      <c r="BD462" s="17" t="n">
        <f aca="false">AV462-AW462+BC462</f>
        <v>97.0520284130686</v>
      </c>
      <c r="BE462" s="17" t="n">
        <f aca="false">(AV462+BD462)/2</f>
        <v>94.8621265133411</v>
      </c>
      <c r="BF462" s="15" t="n">
        <f aca="false">BE462*INDEX(Ipotesi!$C$33:$G$33,1,F462)*H462/12</f>
        <v>47431.0632566706</v>
      </c>
      <c r="BG462" s="15" t="n">
        <f aca="false">BD462*INDEX(Ipotesi!$C$33:$G$33,1,F462)*H462</f>
        <v>582312.170478411</v>
      </c>
      <c r="BH462" s="15" t="n">
        <f aca="false">AM462*INDEX(Ipotesi!$C$37:$G$37,1,F462)</f>
        <v>9024.16666666667</v>
      </c>
      <c r="BI462" s="15" t="n">
        <f aca="false">AQ462+BF462+BH462</f>
        <v>121205.229923337</v>
      </c>
      <c r="BJ462" s="15" t="n">
        <f aca="false">INDEX(Ipotesi!$C$68:$G$68,1,F462)*Ipotesi!$C$69/12</f>
        <v>3000</v>
      </c>
      <c r="BK462" s="15" t="n">
        <f aca="false">INDEX(Ipotesi!$C$68:$G$68,1,F462)*(1-Ipotesi!$C$69)/12</f>
        <v>4500</v>
      </c>
      <c r="BL462" s="15" t="n">
        <f aca="false">(AQ462+BF462)*Ipotesi!$C$67</f>
        <v>3365.43189770012</v>
      </c>
      <c r="BM462" s="15" t="n">
        <f aca="false">AM462*Ipotesi!$C$67</f>
        <v>2707.25</v>
      </c>
      <c r="BN462" s="15" t="n">
        <f aca="false">INDEX(Ipotesi!$C$72:$G$72,1,F462)/12*Ipotesi!J126+BF462*Ipotesi!$C$73</f>
        <v>5044.48506053365</v>
      </c>
      <c r="BO462" s="15" t="n">
        <f aca="false">INDEX(Ipotesi!$C$74:$G$74,1,F462)/12*Ipotesi!J126</f>
        <v>4166.66666666667</v>
      </c>
      <c r="BP462" s="15" t="n">
        <f aca="false">INDEX(Ipotesi!$C$76:$G$76,1,F462)/12</f>
        <v>1500</v>
      </c>
      <c r="BQ462" s="15" t="n">
        <f aca="false">INDEX(Ipotesi!$C$77:$G$77,1,F462)/12*Ipotesi!J126</f>
        <v>2083.33333333333</v>
      </c>
      <c r="BR462" s="15" t="n">
        <f aca="false">INDEX(Ipotesi!$C$78:$G$78,1,F462)/12</f>
        <v>2000</v>
      </c>
      <c r="BS462" s="15" t="n">
        <f aca="false">SUM(M462:R462)*(Ipotesi!$C$85+Ipotesi!$C$86)/12</f>
        <v>6125</v>
      </c>
      <c r="BT462" s="15" t="n">
        <f aca="false">BI462*Ipotesi!$C$87</f>
        <v>3636.15689770012</v>
      </c>
      <c r="BU462" s="15" t="n">
        <f aca="false">INDEX(Ipotesi!$C$55:$G$55,1,F462)*K462/12</f>
        <v>2000</v>
      </c>
      <c r="BV462" s="15" t="n">
        <f aca="false">INDEX(Ipotesi!$C$80:$G$80,1,F462)/12*Ipotesi!J126</f>
        <v>1666.66666666667</v>
      </c>
      <c r="BW462" s="15" t="n">
        <f aca="false">INDEX(Ipotesi!$C$82:$G$82,1,F462)/12</f>
        <v>1250</v>
      </c>
      <c r="BX462" s="15" t="n">
        <f aca="false">INDEX(Ipotesi!$C$83:$G$83,1,F462)/12</f>
        <v>750</v>
      </c>
      <c r="BY462" s="15" t="n">
        <f aca="false">SUM(S462:U462)*(Ipotesi!$C$85+Ipotesi!$C$86)/12</f>
        <v>2479.16666666667</v>
      </c>
      <c r="BZ462" s="15" t="n">
        <f aca="false">AM462*Ipotesi!$C$87</f>
        <v>2707.25</v>
      </c>
      <c r="CA462" s="15" t="n">
        <f aca="false">AB462+BJ462+BL462+BN462+BO462+AR462+BP462+BQ462+BR462+BS462+BT462</f>
        <v>155310.824480934</v>
      </c>
      <c r="CB462" s="15" t="n">
        <f aca="false">AC462+BK462+BM462+BH462+BU462+BV462+AS462+BW462+BX462+BY462+BZ462</f>
        <v>62580.173375</v>
      </c>
      <c r="CC462" s="15" t="n">
        <f aca="false">BI462-CA462</f>
        <v>-34105.5945575967</v>
      </c>
      <c r="CD462" s="15" t="n">
        <f aca="false">AM462-CB462</f>
        <v>27661.4932916667</v>
      </c>
      <c r="CE462" s="15" t="n">
        <f aca="false">INDEX(Ipotesi!$C$79:$G$79,1,F462)/12</f>
        <v>3333.33333333333</v>
      </c>
      <c r="CF462" s="15" t="n">
        <f aca="false">INDEX(Ipotesi!$C$84:$G$84,1,F462)/12</f>
        <v>666.666666666667</v>
      </c>
      <c r="CG462" s="15" t="n">
        <f aca="false">Y462*MAX(0,Parametri_v3!$C$12-IF(P462=0,0,MIN(1,BE462/(P462*Parametri_v3!$C$22))))+W462*Parametri_v3!$C$13+X462*Parametri_v3!$C$14</f>
        <v>32105.1330450607</v>
      </c>
      <c r="CH462" s="15" t="n">
        <f aca="false">AB462*Parametri_v3!$C$32</f>
        <v>4823.65419791667</v>
      </c>
      <c r="CI462" s="15" t="n">
        <f aca="false">AC462*Parametri_v3!$C$32</f>
        <v>1691.45033541667</v>
      </c>
      <c r="CJ462" s="15" t="n">
        <f aca="false">CA462-AB462</f>
        <v>58837.7405226006</v>
      </c>
      <c r="CK462" s="15" t="n">
        <f aca="false">CB462-AC462-BH462</f>
        <v>19727</v>
      </c>
      <c r="CL462" s="15" t="n">
        <f aca="false">BF462*Ipotesi!$C$73+INDEX(Ipotesi!$C$72:$G$72,1,F462)/12*Ipotesi!J126*Parametri_v3!$C$58+Z462*(1-Parametri_v3!$C$16)</f>
        <v>11191.0744355336</v>
      </c>
      <c r="CM462" s="16" t="n">
        <f aca="false">IF(BF462=0,0,1-CL462/BF462)</f>
        <v>0.764056007452885</v>
      </c>
    </row>
    <row r="463" customFormat="false" ht="18" hidden="false" customHeight="true" outlineLevel="0" collapsed="false">
      <c r="A463" s="68" t="n">
        <f aca="false">8</f>
        <v>8</v>
      </c>
      <c r="B463" s="68" t="n">
        <f aca="false">39</f>
        <v>39</v>
      </c>
      <c r="C463" s="18" t="n">
        <f aca="false">EDATE(Parametri_v3!$C$5,39-1)</f>
        <v>47543</v>
      </c>
      <c r="D463" s="68" t="n">
        <f aca="false">YEAR(C463)</f>
        <v>2030</v>
      </c>
      <c r="E463" s="68" t="n">
        <f aca="false">MONTH(C463)</f>
        <v>3</v>
      </c>
      <c r="F463" s="68" t="n">
        <f aca="false">INT((39-1)/12)+1</f>
        <v>4</v>
      </c>
      <c r="G463" s="15" t="n">
        <f aca="false">Ipotesi!J7</f>
        <v>1</v>
      </c>
      <c r="H463" s="15" t="n">
        <f aca="false">Ipotesi!J9</f>
        <v>1</v>
      </c>
      <c r="I463" s="15" t="n">
        <f aca="false">Ipotesi!J10</f>
        <v>1</v>
      </c>
      <c r="J463" s="15" t="n">
        <f aca="false">Ipotesi!J11</f>
        <v>1</v>
      </c>
      <c r="K463" s="15" t="n">
        <f aca="false">Ipotesi!J12</f>
        <v>1</v>
      </c>
      <c r="L463" s="15" t="n">
        <f aca="false">Ipotesi!J13</f>
        <v>90</v>
      </c>
      <c r="M463" s="17" t="n">
        <f aca="false">INDEX(Ipotesi!$C$40:$G$40,1,F463)</f>
        <v>1</v>
      </c>
      <c r="N463" s="17" t="n">
        <f aca="false">INDEX(Ipotesi!$C$41:$G$41,1,F463)</f>
        <v>1</v>
      </c>
      <c r="O463" s="17" t="n">
        <f aca="false">INDEX(Ipotesi!$C$42:$G$42,1,F463)*Ipotesi!J125</f>
        <v>6.5</v>
      </c>
      <c r="P463" s="17" t="n">
        <f aca="false">INDEX(Ipotesi!$C$43:$G$43,1,F463)*I463</f>
        <v>6</v>
      </c>
      <c r="Q463" s="17" t="n">
        <f aca="false">INDEX(Ipotesi!$C$44:$G$44,1,F463)*I463</f>
        <v>5</v>
      </c>
      <c r="R463" s="17" t="n">
        <f aca="false">INDEX(Ipotesi!$C$45:$G$45,1,F463)*I463</f>
        <v>1.5</v>
      </c>
      <c r="S463" s="17" t="n">
        <f aca="false">INDEX(Ipotesi!$C$52:$G$52,1,F463)*Ipotesi!J125</f>
        <v>7</v>
      </c>
      <c r="T463" s="17" t="n">
        <f aca="false">INDEX(Ipotesi!$C$53:$G$53,1,F463)*I463</f>
        <v>1</v>
      </c>
      <c r="U463" s="17" t="n">
        <f aca="false">INDEX(Ipotesi!$C$54:$G$54,1,F463)*I463</f>
        <v>0.5</v>
      </c>
      <c r="V463" s="15" t="n">
        <f aca="false">M463*INDEX(Ipotesi!$C$58:$G$58,1,F463)*K463/12</f>
        <v>7916.66666666667</v>
      </c>
      <c r="W463" s="15" t="n">
        <f aca="false">N463*Ipotesi!$C$59*(1+Ipotesi!$C$66)^(F463-1)/12</f>
        <v>6374.24083333333</v>
      </c>
      <c r="X463" s="15" t="n">
        <f aca="false">O463*Ipotesi!$C$60*(1+Ipotesi!$C$66)^(F463-1)/12</f>
        <v>29594.6895833333</v>
      </c>
      <c r="Y463" s="15" t="n">
        <f aca="false">P463*Ipotesi!$C$61*(1+Ipotesi!$C$66)^(F463-1)/12</f>
        <v>27318.175</v>
      </c>
      <c r="Z463" s="15" t="n">
        <f aca="false">Q463*Ipotesi!$C$62*(1+Ipotesi!$C$66)^(F463-1)/12</f>
        <v>20488.63125</v>
      </c>
      <c r="AA463" s="15" t="n">
        <f aca="false">R463*Ipotesi!$C$63*(1+Ipotesi!$C$66)^(F463-1)/12</f>
        <v>4780.680625</v>
      </c>
      <c r="AB463" s="15" t="n">
        <f aca="false">SUM(V463:AA463)</f>
        <v>96473.0839583333</v>
      </c>
      <c r="AC463" s="15" t="n">
        <f aca="false">(S463*Ipotesi!$C$64+T463*Ipotesi!$C$65+U463*Ipotesi!$C$63)*(1+Ipotesi!$C$66)^(F463-1)/12</f>
        <v>33829.0067083333</v>
      </c>
      <c r="AD463" s="15" t="n">
        <f aca="false">INDEX(Ipotesi!$C$48:$G$48,1,F463)*G463/12</f>
        <v>79.1666666666667</v>
      </c>
      <c r="AE463" s="15" t="n">
        <f aca="false">INDEX(Ipotesi!$C$50:$G$50,1,F463)*G463/12</f>
        <v>8.33333333333333</v>
      </c>
      <c r="AF463" s="15" t="n">
        <f aca="false">(S463*Parametri_v3!$C$7*Parametri_v3!$C$8+Parametri_v3!$C$10)/12</f>
        <v>89.8333333333333</v>
      </c>
      <c r="AG463" s="15" t="n">
        <f aca="false">AD463+AE463*(1+Parametri_v3!$C$9)</f>
        <v>91.6666666666667</v>
      </c>
      <c r="AH463" s="16" t="n">
        <f aca="false">IF(AG463=0,1,MIN(1,AF463/AG463))</f>
        <v>0.98</v>
      </c>
      <c r="AI463" s="15" t="n">
        <f aca="false">AD463*AH463</f>
        <v>77.5833333333333</v>
      </c>
      <c r="AJ463" s="15" t="n">
        <f aca="false">AE463*AH463</f>
        <v>8.16666666666667</v>
      </c>
      <c r="AK463" s="15" t="n">
        <f aca="false">AI463*INDEX(Ipotesi!$C$49:$G$49,1,F463)*H463</f>
        <v>69825</v>
      </c>
      <c r="AL463" s="15" t="n">
        <f aca="false">AJ463*INDEX(Ipotesi!$C$51:$G$51,1,F463)*H463</f>
        <v>20416.6666666667</v>
      </c>
      <c r="AM463" s="15" t="n">
        <f aca="false">AK463+AL463</f>
        <v>90241.6666666667</v>
      </c>
      <c r="AN463" s="15" t="n">
        <f aca="false">INDEX(Ipotesi!$C$30:$G$30,1,F463)*G463/12</f>
        <v>61.6666666666667</v>
      </c>
      <c r="AO463" s="15" t="n">
        <f aca="false">O463*Parametri_v3!$C$7*Parametri_v3!$C$11*(1-Parametri_v3!$C$14)/12</f>
        <v>66.7333333333333</v>
      </c>
      <c r="AP463" s="15" t="n">
        <f aca="false">MIN(AN463,AO463)</f>
        <v>61.6666666666667</v>
      </c>
      <c r="AQ463" s="15" t="n">
        <f aca="false">AP463*INDEX(Ipotesi!$C$31:$G$31,1,F463)*H463</f>
        <v>64750</v>
      </c>
      <c r="AR463" s="15" t="n">
        <f aca="false">INDEX(Ipotesi!$C$75:$G$75,1,F463)*J463/12</f>
        <v>27916.6666666667</v>
      </c>
      <c r="AS463" s="15" t="n">
        <f aca="false">INDEX(Ipotesi!$C$81:$G$81,1,F463)*J463/12</f>
        <v>1666.66666666667</v>
      </c>
      <c r="AT463" s="15" t="n">
        <f aca="false">AR463*Parametri_v3!$C$15+Z463*Parametri_v3!$C$16</f>
        <v>42258.7085416667</v>
      </c>
      <c r="AU463" s="15" t="n">
        <f aca="false">Q463*Parametri_v3!$C$16*Parametri_v3!$C$17</f>
        <v>350</v>
      </c>
      <c r="AV463" s="17" t="n">
        <f aca="false">BD462</f>
        <v>97.0520284130686</v>
      </c>
      <c r="AW463" s="17" t="n">
        <f aca="false">AV463*(1-(1-INDEX(Ipotesi!$C$34:$G$34,1,F463))^(1/12))</f>
        <v>0.848391074751218</v>
      </c>
      <c r="AX463" s="15" t="n">
        <f aca="false">ROUND(INDEX(Ipotesi!$C$32:$G$32,1,F463)*Ipotesi!J8,0)</f>
        <v>310</v>
      </c>
      <c r="AY463" s="15" t="n">
        <f aca="false">MAX(0,(AX463-(AV463-AW463))/(13-E463))</f>
        <v>21.3796362661683</v>
      </c>
      <c r="AZ463" s="15" t="n">
        <f aca="false">MIN(P463*Parametri_v3!$C$22,Q463*(1-Parametri_v3!$C$16)*Parametri_v3!$C$23)</f>
        <v>225</v>
      </c>
      <c r="BA463" s="15" t="n">
        <f aca="false">IF(OR(INDEX(Ipotesi!$C$35:$G$35,1,F463)&lt;=0,39-Parametri_v3!$C$21&lt;1),0,INDEX($AT$425:$AT$484,MAX(1,39-Parametri_v3!$C$21))/(INDEX(Ipotesi!$C$35:$G$35,1,F463)*Ipotesi!J27))</f>
        <v>5.18990833333333</v>
      </c>
      <c r="BB463" s="15" t="n">
        <f aca="false">IF(39-Parametri_v3!$C$21&lt;1,0,INDEX($AU$425:$AU$484,MAX(1,39-Parametri_v3!$C$21)))*Parametri_v3!$C$18*Parametri_v3!$C$19*Parametri_v3!$C$20</f>
        <v>10.5</v>
      </c>
      <c r="BC463" s="17" t="n">
        <f aca="false">MAX(0,MIN(AY463,BA463,BB463,MAX(0,AZ463-(AV463-AW463))))</f>
        <v>5.18990833333333</v>
      </c>
      <c r="BD463" s="17" t="n">
        <f aca="false">AV463-AW463+BC463</f>
        <v>101.393545671651</v>
      </c>
      <c r="BE463" s="17" t="n">
        <f aca="false">(AV463+BD463)/2</f>
        <v>99.2227870423596</v>
      </c>
      <c r="BF463" s="15" t="n">
        <f aca="false">BE463*INDEX(Ipotesi!$C$33:$G$33,1,F463)*H463/12</f>
        <v>49611.3935211798</v>
      </c>
      <c r="BG463" s="15" t="n">
        <f aca="false">BD463*INDEX(Ipotesi!$C$33:$G$33,1,F463)*H463</f>
        <v>608361.274029904</v>
      </c>
      <c r="BH463" s="15" t="n">
        <f aca="false">AM463*INDEX(Ipotesi!$C$37:$G$37,1,F463)</f>
        <v>9024.16666666667</v>
      </c>
      <c r="BI463" s="15" t="n">
        <f aca="false">AQ463+BF463+BH463</f>
        <v>123385.560187847</v>
      </c>
      <c r="BJ463" s="15" t="n">
        <f aca="false">INDEX(Ipotesi!$C$68:$G$68,1,F463)*Ipotesi!$C$69/12</f>
        <v>3000</v>
      </c>
      <c r="BK463" s="15" t="n">
        <f aca="false">INDEX(Ipotesi!$C$68:$G$68,1,F463)*(1-Ipotesi!$C$69)/12</f>
        <v>4500</v>
      </c>
      <c r="BL463" s="15" t="n">
        <f aca="false">(AQ463+BF463)*Ipotesi!$C$67</f>
        <v>3430.84180563539</v>
      </c>
      <c r="BM463" s="15" t="n">
        <f aca="false">AM463*Ipotesi!$C$67</f>
        <v>2707.25</v>
      </c>
      <c r="BN463" s="15" t="n">
        <f aca="false">INDEX(Ipotesi!$C$72:$G$72,1,F463)/12*Ipotesi!J126+BF463*Ipotesi!$C$73</f>
        <v>5218.91148169439</v>
      </c>
      <c r="BO463" s="15" t="n">
        <f aca="false">INDEX(Ipotesi!$C$74:$G$74,1,F463)/12*Ipotesi!J126</f>
        <v>4166.66666666667</v>
      </c>
      <c r="BP463" s="15" t="n">
        <f aca="false">INDEX(Ipotesi!$C$76:$G$76,1,F463)/12</f>
        <v>1500</v>
      </c>
      <c r="BQ463" s="15" t="n">
        <f aca="false">INDEX(Ipotesi!$C$77:$G$77,1,F463)/12*Ipotesi!J126</f>
        <v>2083.33333333333</v>
      </c>
      <c r="BR463" s="15" t="n">
        <f aca="false">INDEX(Ipotesi!$C$78:$G$78,1,F463)/12</f>
        <v>2000</v>
      </c>
      <c r="BS463" s="15" t="n">
        <f aca="false">SUM(M463:R463)*(Ipotesi!$C$85+Ipotesi!$C$86)/12</f>
        <v>6125</v>
      </c>
      <c r="BT463" s="15" t="n">
        <f aca="false">BI463*Ipotesi!$C$87</f>
        <v>3701.56680563539</v>
      </c>
      <c r="BU463" s="15" t="n">
        <f aca="false">INDEX(Ipotesi!$C$55:$G$55,1,F463)*K463/12</f>
        <v>2000</v>
      </c>
      <c r="BV463" s="15" t="n">
        <f aca="false">INDEX(Ipotesi!$C$80:$G$80,1,F463)/12*Ipotesi!J126</f>
        <v>1666.66666666667</v>
      </c>
      <c r="BW463" s="15" t="n">
        <f aca="false">INDEX(Ipotesi!$C$82:$G$82,1,F463)/12</f>
        <v>1250</v>
      </c>
      <c r="BX463" s="15" t="n">
        <f aca="false">INDEX(Ipotesi!$C$83:$G$83,1,F463)/12</f>
        <v>750</v>
      </c>
      <c r="BY463" s="15" t="n">
        <f aca="false">SUM(S463:U463)*(Ipotesi!$C$85+Ipotesi!$C$86)/12</f>
        <v>2479.16666666667</v>
      </c>
      <c r="BZ463" s="15" t="n">
        <f aca="false">AM463*Ipotesi!$C$87</f>
        <v>2707.25</v>
      </c>
      <c r="CA463" s="15" t="n">
        <f aca="false">AB463+BJ463+BL463+BN463+BO463+AR463+BP463+BQ463+BR463+BS463+BT463</f>
        <v>155616.070717965</v>
      </c>
      <c r="CB463" s="15" t="n">
        <f aca="false">AC463+BK463+BM463+BH463+BU463+BV463+AS463+BW463+BX463+BY463+BZ463</f>
        <v>62580.173375</v>
      </c>
      <c r="CC463" s="15" t="n">
        <f aca="false">BI463-CA463</f>
        <v>-32230.5105301187</v>
      </c>
      <c r="CD463" s="15" t="n">
        <f aca="false">AM463-CB463</f>
        <v>27661.4932916667</v>
      </c>
      <c r="CE463" s="15" t="n">
        <f aca="false">INDEX(Ipotesi!$C$79:$G$79,1,F463)/12</f>
        <v>3333.33333333333</v>
      </c>
      <c r="CF463" s="15" t="n">
        <f aca="false">INDEX(Ipotesi!$C$84:$G$84,1,F463)/12</f>
        <v>666.666666666667</v>
      </c>
      <c r="CG463" s="15" t="n">
        <f aca="false">Y463*MAX(0,Parametri_v3!$C$12-IF(P463=0,0,MIN(1,BE463/(P463*Parametri_v3!$C$22))))+W463*Parametri_v3!$C$13+X463*Parametri_v3!$C$14</f>
        <v>31906.5908993151</v>
      </c>
      <c r="CH463" s="15" t="n">
        <f aca="false">AB463*Parametri_v3!$C$32</f>
        <v>4823.65419791667</v>
      </c>
      <c r="CI463" s="15" t="n">
        <f aca="false">AC463*Parametri_v3!$C$32</f>
        <v>1691.45033541667</v>
      </c>
      <c r="CJ463" s="15" t="n">
        <f aca="false">CA463-AB463</f>
        <v>59142.9867596319</v>
      </c>
      <c r="CK463" s="15" t="n">
        <f aca="false">CB463-AC463-BH463</f>
        <v>19727</v>
      </c>
      <c r="CL463" s="15" t="n">
        <f aca="false">BF463*Ipotesi!$C$73+INDEX(Ipotesi!$C$72:$G$72,1,F463)/12*Ipotesi!J126*Parametri_v3!$C$58+Z463*(1-Parametri_v3!$C$16)</f>
        <v>11365.5008566944</v>
      </c>
      <c r="CM463" s="16" t="n">
        <f aca="false">IF(BF463=0,0,1-CL463/BF463)</f>
        <v>0.770909461516289</v>
      </c>
    </row>
    <row r="464" customFormat="false" ht="18" hidden="false" customHeight="true" outlineLevel="0" collapsed="false">
      <c r="A464" s="68" t="n">
        <f aca="false">8</f>
        <v>8</v>
      </c>
      <c r="B464" s="68" t="n">
        <f aca="false">40</f>
        <v>40</v>
      </c>
      <c r="C464" s="18" t="n">
        <f aca="false">EDATE(Parametri_v3!$C$5,40-1)</f>
        <v>47574</v>
      </c>
      <c r="D464" s="68" t="n">
        <f aca="false">YEAR(C464)</f>
        <v>2030</v>
      </c>
      <c r="E464" s="68" t="n">
        <f aca="false">MONTH(C464)</f>
        <v>4</v>
      </c>
      <c r="F464" s="68" t="n">
        <f aca="false">INT((40-1)/12)+1</f>
        <v>4</v>
      </c>
      <c r="G464" s="15" t="n">
        <f aca="false">Ipotesi!J7</f>
        <v>1</v>
      </c>
      <c r="H464" s="15" t="n">
        <f aca="false">Ipotesi!J9</f>
        <v>1</v>
      </c>
      <c r="I464" s="15" t="n">
        <f aca="false">Ipotesi!J10</f>
        <v>1</v>
      </c>
      <c r="J464" s="15" t="n">
        <f aca="false">Ipotesi!J11</f>
        <v>1</v>
      </c>
      <c r="K464" s="15" t="n">
        <f aca="false">Ipotesi!J12</f>
        <v>1</v>
      </c>
      <c r="L464" s="15" t="n">
        <f aca="false">Ipotesi!J13</f>
        <v>90</v>
      </c>
      <c r="M464" s="17" t="n">
        <f aca="false">INDEX(Ipotesi!$C$40:$G$40,1,F464)</f>
        <v>1</v>
      </c>
      <c r="N464" s="17" t="n">
        <f aca="false">INDEX(Ipotesi!$C$41:$G$41,1,F464)</f>
        <v>1</v>
      </c>
      <c r="O464" s="17" t="n">
        <f aca="false">INDEX(Ipotesi!$C$42:$G$42,1,F464)*Ipotesi!J125</f>
        <v>6.5</v>
      </c>
      <c r="P464" s="17" t="n">
        <f aca="false">INDEX(Ipotesi!$C$43:$G$43,1,F464)*I464</f>
        <v>6</v>
      </c>
      <c r="Q464" s="17" t="n">
        <f aca="false">INDEX(Ipotesi!$C$44:$G$44,1,F464)*I464</f>
        <v>5</v>
      </c>
      <c r="R464" s="17" t="n">
        <f aca="false">INDEX(Ipotesi!$C$45:$G$45,1,F464)*I464</f>
        <v>1.5</v>
      </c>
      <c r="S464" s="17" t="n">
        <f aca="false">INDEX(Ipotesi!$C$52:$G$52,1,F464)*Ipotesi!J125</f>
        <v>7</v>
      </c>
      <c r="T464" s="17" t="n">
        <f aca="false">INDEX(Ipotesi!$C$53:$G$53,1,F464)*I464</f>
        <v>1</v>
      </c>
      <c r="U464" s="17" t="n">
        <f aca="false">INDEX(Ipotesi!$C$54:$G$54,1,F464)*I464</f>
        <v>0.5</v>
      </c>
      <c r="V464" s="15" t="n">
        <f aca="false">M464*INDEX(Ipotesi!$C$58:$G$58,1,F464)*K464/12</f>
        <v>7916.66666666667</v>
      </c>
      <c r="W464" s="15" t="n">
        <f aca="false">N464*Ipotesi!$C$59*(1+Ipotesi!$C$66)^(F464-1)/12</f>
        <v>6374.24083333333</v>
      </c>
      <c r="X464" s="15" t="n">
        <f aca="false">O464*Ipotesi!$C$60*(1+Ipotesi!$C$66)^(F464-1)/12</f>
        <v>29594.6895833333</v>
      </c>
      <c r="Y464" s="15" t="n">
        <f aca="false">P464*Ipotesi!$C$61*(1+Ipotesi!$C$66)^(F464-1)/12</f>
        <v>27318.175</v>
      </c>
      <c r="Z464" s="15" t="n">
        <f aca="false">Q464*Ipotesi!$C$62*(1+Ipotesi!$C$66)^(F464-1)/12</f>
        <v>20488.63125</v>
      </c>
      <c r="AA464" s="15" t="n">
        <f aca="false">R464*Ipotesi!$C$63*(1+Ipotesi!$C$66)^(F464-1)/12</f>
        <v>4780.680625</v>
      </c>
      <c r="AB464" s="15" t="n">
        <f aca="false">SUM(V464:AA464)</f>
        <v>96473.0839583333</v>
      </c>
      <c r="AC464" s="15" t="n">
        <f aca="false">(S464*Ipotesi!$C$64+T464*Ipotesi!$C$65+U464*Ipotesi!$C$63)*(1+Ipotesi!$C$66)^(F464-1)/12</f>
        <v>33829.0067083333</v>
      </c>
      <c r="AD464" s="15" t="n">
        <f aca="false">INDEX(Ipotesi!$C$48:$G$48,1,F464)*G464/12</f>
        <v>79.1666666666667</v>
      </c>
      <c r="AE464" s="15" t="n">
        <f aca="false">INDEX(Ipotesi!$C$50:$G$50,1,F464)*G464/12</f>
        <v>8.33333333333333</v>
      </c>
      <c r="AF464" s="15" t="n">
        <f aca="false">(S464*Parametri_v3!$C$7*Parametri_v3!$C$8+Parametri_v3!$C$10)/12</f>
        <v>89.8333333333333</v>
      </c>
      <c r="AG464" s="15" t="n">
        <f aca="false">AD464+AE464*(1+Parametri_v3!$C$9)</f>
        <v>91.6666666666667</v>
      </c>
      <c r="AH464" s="16" t="n">
        <f aca="false">IF(AG464=0,1,MIN(1,AF464/AG464))</f>
        <v>0.98</v>
      </c>
      <c r="AI464" s="15" t="n">
        <f aca="false">AD464*AH464</f>
        <v>77.5833333333333</v>
      </c>
      <c r="AJ464" s="15" t="n">
        <f aca="false">AE464*AH464</f>
        <v>8.16666666666667</v>
      </c>
      <c r="AK464" s="15" t="n">
        <f aca="false">AI464*INDEX(Ipotesi!$C$49:$G$49,1,F464)*H464</f>
        <v>69825</v>
      </c>
      <c r="AL464" s="15" t="n">
        <f aca="false">AJ464*INDEX(Ipotesi!$C$51:$G$51,1,F464)*H464</f>
        <v>20416.6666666667</v>
      </c>
      <c r="AM464" s="15" t="n">
        <f aca="false">AK464+AL464</f>
        <v>90241.6666666667</v>
      </c>
      <c r="AN464" s="15" t="n">
        <f aca="false">INDEX(Ipotesi!$C$30:$G$30,1,F464)*G464/12</f>
        <v>61.6666666666667</v>
      </c>
      <c r="AO464" s="15" t="n">
        <f aca="false">O464*Parametri_v3!$C$7*Parametri_v3!$C$11*(1-Parametri_v3!$C$14)/12</f>
        <v>66.7333333333333</v>
      </c>
      <c r="AP464" s="15" t="n">
        <f aca="false">MIN(AN464,AO464)</f>
        <v>61.6666666666667</v>
      </c>
      <c r="AQ464" s="15" t="n">
        <f aca="false">AP464*INDEX(Ipotesi!$C$31:$G$31,1,F464)*H464</f>
        <v>64750</v>
      </c>
      <c r="AR464" s="15" t="n">
        <f aca="false">INDEX(Ipotesi!$C$75:$G$75,1,F464)*J464/12</f>
        <v>27916.6666666667</v>
      </c>
      <c r="AS464" s="15" t="n">
        <f aca="false">INDEX(Ipotesi!$C$81:$G$81,1,F464)*J464/12</f>
        <v>1666.66666666667</v>
      </c>
      <c r="AT464" s="15" t="n">
        <f aca="false">AR464*Parametri_v3!$C$15+Z464*Parametri_v3!$C$16</f>
        <v>42258.7085416667</v>
      </c>
      <c r="AU464" s="15" t="n">
        <f aca="false">Q464*Parametri_v3!$C$16*Parametri_v3!$C$17</f>
        <v>350</v>
      </c>
      <c r="AV464" s="17" t="n">
        <f aca="false">BD463</f>
        <v>101.393545671651</v>
      </c>
      <c r="AW464" s="17" t="n">
        <f aca="false">AV464*(1-(1-INDEX(Ipotesi!$C$34:$G$34,1,F464))^(1/12))</f>
        <v>0.886342929578844</v>
      </c>
      <c r="AX464" s="15" t="n">
        <f aca="false">ROUND(INDEX(Ipotesi!$C$32:$G$32,1,F464)*Ipotesi!J8,0)</f>
        <v>310</v>
      </c>
      <c r="AY464" s="15" t="n">
        <f aca="false">MAX(0,(AX464-(AV464-AW464))/(13-E464))</f>
        <v>23.2769774731031</v>
      </c>
      <c r="AZ464" s="15" t="n">
        <f aca="false">MIN(P464*Parametri_v3!$C$22,Q464*(1-Parametri_v3!$C$16)*Parametri_v3!$C$23)</f>
        <v>225</v>
      </c>
      <c r="BA464" s="15" t="n">
        <f aca="false">IF(OR(INDEX(Ipotesi!$C$35:$G$35,1,F464)&lt;=0,40-Parametri_v3!$C$21&lt;1),0,INDEX($AT$425:$AT$484,MAX(1,40-Parametri_v3!$C$21))/(INDEX(Ipotesi!$C$35:$G$35,1,F464)*Ipotesi!J27))</f>
        <v>7.04311809027778</v>
      </c>
      <c r="BB464" s="15" t="n">
        <f aca="false">IF(40-Parametri_v3!$C$21&lt;1,0,INDEX($AU$425:$AU$484,MAX(1,40-Parametri_v3!$C$21)))*Parametri_v3!$C$18*Parametri_v3!$C$19*Parametri_v3!$C$20</f>
        <v>13.125</v>
      </c>
      <c r="BC464" s="17" t="n">
        <f aca="false">MAX(0,MIN(AY464,BA464,BB464,MAX(0,AZ464-(AV464-AW464))))</f>
        <v>7.04311809027778</v>
      </c>
      <c r="BD464" s="17" t="n">
        <f aca="false">AV464-AW464+BC464</f>
        <v>107.55032083235</v>
      </c>
      <c r="BE464" s="17" t="n">
        <f aca="false">(AV464+BD464)/2</f>
        <v>104.471933252</v>
      </c>
      <c r="BF464" s="15" t="n">
        <f aca="false">BE464*INDEX(Ipotesi!$C$33:$G$33,1,F464)*H464/12</f>
        <v>52235.9666260001</v>
      </c>
      <c r="BG464" s="15" t="n">
        <f aca="false">BD464*INDEX(Ipotesi!$C$33:$G$33,1,F464)*H464</f>
        <v>645301.924994098</v>
      </c>
      <c r="BH464" s="15" t="n">
        <f aca="false">AM464*INDEX(Ipotesi!$C$37:$G$37,1,F464)</f>
        <v>9024.16666666667</v>
      </c>
      <c r="BI464" s="15" t="n">
        <f aca="false">AQ464+BF464+BH464</f>
        <v>126010.133292667</v>
      </c>
      <c r="BJ464" s="15" t="n">
        <f aca="false">INDEX(Ipotesi!$C$68:$G$68,1,F464)*Ipotesi!$C$69/12</f>
        <v>3000</v>
      </c>
      <c r="BK464" s="15" t="n">
        <f aca="false">INDEX(Ipotesi!$C$68:$G$68,1,F464)*(1-Ipotesi!$C$69)/12</f>
        <v>4500</v>
      </c>
      <c r="BL464" s="15" t="n">
        <f aca="false">(AQ464+BF464)*Ipotesi!$C$67</f>
        <v>3509.57899878</v>
      </c>
      <c r="BM464" s="15" t="n">
        <f aca="false">AM464*Ipotesi!$C$67</f>
        <v>2707.25</v>
      </c>
      <c r="BN464" s="15" t="n">
        <f aca="false">INDEX(Ipotesi!$C$72:$G$72,1,F464)/12*Ipotesi!J126+BF464*Ipotesi!$C$73</f>
        <v>5428.87733008001</v>
      </c>
      <c r="BO464" s="15" t="n">
        <f aca="false">INDEX(Ipotesi!$C$74:$G$74,1,F464)/12*Ipotesi!J126</f>
        <v>4166.66666666667</v>
      </c>
      <c r="BP464" s="15" t="n">
        <f aca="false">INDEX(Ipotesi!$C$76:$G$76,1,F464)/12</f>
        <v>1500</v>
      </c>
      <c r="BQ464" s="15" t="n">
        <f aca="false">INDEX(Ipotesi!$C$77:$G$77,1,F464)/12*Ipotesi!J126</f>
        <v>2083.33333333333</v>
      </c>
      <c r="BR464" s="15" t="n">
        <f aca="false">INDEX(Ipotesi!$C$78:$G$78,1,F464)/12</f>
        <v>2000</v>
      </c>
      <c r="BS464" s="15" t="n">
        <f aca="false">SUM(M464:R464)*(Ipotesi!$C$85+Ipotesi!$C$86)/12</f>
        <v>6125</v>
      </c>
      <c r="BT464" s="15" t="n">
        <f aca="false">BI464*Ipotesi!$C$87</f>
        <v>3780.30399878</v>
      </c>
      <c r="BU464" s="15" t="n">
        <f aca="false">INDEX(Ipotesi!$C$55:$G$55,1,F464)*K464/12</f>
        <v>2000</v>
      </c>
      <c r="BV464" s="15" t="n">
        <f aca="false">INDEX(Ipotesi!$C$80:$G$80,1,F464)/12*Ipotesi!J126</f>
        <v>1666.66666666667</v>
      </c>
      <c r="BW464" s="15" t="n">
        <f aca="false">INDEX(Ipotesi!$C$82:$G$82,1,F464)/12</f>
        <v>1250</v>
      </c>
      <c r="BX464" s="15" t="n">
        <f aca="false">INDEX(Ipotesi!$C$83:$G$83,1,F464)/12</f>
        <v>750</v>
      </c>
      <c r="BY464" s="15" t="n">
        <f aca="false">SUM(S464:U464)*(Ipotesi!$C$85+Ipotesi!$C$86)/12</f>
        <v>2479.16666666667</v>
      </c>
      <c r="BZ464" s="15" t="n">
        <f aca="false">AM464*Ipotesi!$C$87</f>
        <v>2707.25</v>
      </c>
      <c r="CA464" s="15" t="n">
        <f aca="false">AB464+BJ464+BL464+BN464+BO464+AR464+BP464+BQ464+BR464+BS464+BT464</f>
        <v>155983.51095264</v>
      </c>
      <c r="CB464" s="15" t="n">
        <f aca="false">AC464+BK464+BM464+BH464+BU464+BV464+AS464+BW464+BX464+BY464+BZ464</f>
        <v>62580.173375</v>
      </c>
      <c r="CC464" s="15" t="n">
        <f aca="false">BI464-CA464</f>
        <v>-29973.3776599733</v>
      </c>
      <c r="CD464" s="15" t="n">
        <f aca="false">AM464-CB464</f>
        <v>27661.4932916667</v>
      </c>
      <c r="CE464" s="15" t="n">
        <f aca="false">INDEX(Ipotesi!$C$79:$G$79,1,F464)/12</f>
        <v>3333.33333333333</v>
      </c>
      <c r="CF464" s="15" t="n">
        <f aca="false">INDEX(Ipotesi!$C$84:$G$84,1,F464)/12</f>
        <v>666.666666666667</v>
      </c>
      <c r="CG464" s="15" t="n">
        <f aca="false">Y464*MAX(0,Parametri_v3!$C$12-IF(P464=0,0,MIN(1,BE464/(P464*Parametri_v3!$C$22))))+W464*Parametri_v3!$C$13+X464*Parametri_v3!$C$14</f>
        <v>31667.5957413892</v>
      </c>
      <c r="CH464" s="15" t="n">
        <f aca="false">AB464*Parametri_v3!$C$32</f>
        <v>4823.65419791667</v>
      </c>
      <c r="CI464" s="15" t="n">
        <f aca="false">AC464*Parametri_v3!$C$32</f>
        <v>1691.45033541667</v>
      </c>
      <c r="CJ464" s="15" t="n">
        <f aca="false">CA464-AB464</f>
        <v>59510.4269943067</v>
      </c>
      <c r="CK464" s="15" t="n">
        <f aca="false">CB464-AC464-BH464</f>
        <v>19727</v>
      </c>
      <c r="CL464" s="15" t="n">
        <f aca="false">BF464*Ipotesi!$C$73+INDEX(Ipotesi!$C$72:$G$72,1,F464)/12*Ipotesi!J126*Parametri_v3!$C$58+Z464*(1-Parametri_v3!$C$16)</f>
        <v>11575.46670508</v>
      </c>
      <c r="CM464" s="16" t="n">
        <f aca="false">IF(BF464=0,0,1-CL464/BF464)</f>
        <v>0.778400449867077</v>
      </c>
    </row>
    <row r="465" customFormat="false" ht="18" hidden="false" customHeight="true" outlineLevel="0" collapsed="false">
      <c r="A465" s="68" t="n">
        <f aca="false">8</f>
        <v>8</v>
      </c>
      <c r="B465" s="68" t="n">
        <f aca="false">41</f>
        <v>41</v>
      </c>
      <c r="C465" s="18" t="n">
        <f aca="false">EDATE(Parametri_v3!$C$5,41-1)</f>
        <v>47604</v>
      </c>
      <c r="D465" s="68" t="n">
        <f aca="false">YEAR(C465)</f>
        <v>2030</v>
      </c>
      <c r="E465" s="68" t="n">
        <f aca="false">MONTH(C465)</f>
        <v>5</v>
      </c>
      <c r="F465" s="68" t="n">
        <f aca="false">INT((41-1)/12)+1</f>
        <v>4</v>
      </c>
      <c r="G465" s="15" t="n">
        <f aca="false">Ipotesi!J7</f>
        <v>1</v>
      </c>
      <c r="H465" s="15" t="n">
        <f aca="false">Ipotesi!J9</f>
        <v>1</v>
      </c>
      <c r="I465" s="15" t="n">
        <f aca="false">Ipotesi!J10</f>
        <v>1</v>
      </c>
      <c r="J465" s="15" t="n">
        <f aca="false">Ipotesi!J11</f>
        <v>1</v>
      </c>
      <c r="K465" s="15" t="n">
        <f aca="false">Ipotesi!J12</f>
        <v>1</v>
      </c>
      <c r="L465" s="15" t="n">
        <f aca="false">Ipotesi!J13</f>
        <v>90</v>
      </c>
      <c r="M465" s="17" t="n">
        <f aca="false">INDEX(Ipotesi!$C$40:$G$40,1,F465)</f>
        <v>1</v>
      </c>
      <c r="N465" s="17" t="n">
        <f aca="false">INDEX(Ipotesi!$C$41:$G$41,1,F465)</f>
        <v>1</v>
      </c>
      <c r="O465" s="17" t="n">
        <f aca="false">INDEX(Ipotesi!$C$42:$G$42,1,F465)*Ipotesi!J125</f>
        <v>6.5</v>
      </c>
      <c r="P465" s="17" t="n">
        <f aca="false">INDEX(Ipotesi!$C$43:$G$43,1,F465)*I465</f>
        <v>6</v>
      </c>
      <c r="Q465" s="17" t="n">
        <f aca="false">INDEX(Ipotesi!$C$44:$G$44,1,F465)*I465</f>
        <v>5</v>
      </c>
      <c r="R465" s="17" t="n">
        <f aca="false">INDEX(Ipotesi!$C$45:$G$45,1,F465)*I465</f>
        <v>1.5</v>
      </c>
      <c r="S465" s="17" t="n">
        <f aca="false">INDEX(Ipotesi!$C$52:$G$52,1,F465)*Ipotesi!J125</f>
        <v>7</v>
      </c>
      <c r="T465" s="17" t="n">
        <f aca="false">INDEX(Ipotesi!$C$53:$G$53,1,F465)*I465</f>
        <v>1</v>
      </c>
      <c r="U465" s="17" t="n">
        <f aca="false">INDEX(Ipotesi!$C$54:$G$54,1,F465)*I465</f>
        <v>0.5</v>
      </c>
      <c r="V465" s="15" t="n">
        <f aca="false">M465*INDEX(Ipotesi!$C$58:$G$58,1,F465)*K465/12</f>
        <v>7916.66666666667</v>
      </c>
      <c r="W465" s="15" t="n">
        <f aca="false">N465*Ipotesi!$C$59*(1+Ipotesi!$C$66)^(F465-1)/12</f>
        <v>6374.24083333333</v>
      </c>
      <c r="X465" s="15" t="n">
        <f aca="false">O465*Ipotesi!$C$60*(1+Ipotesi!$C$66)^(F465-1)/12</f>
        <v>29594.6895833333</v>
      </c>
      <c r="Y465" s="15" t="n">
        <f aca="false">P465*Ipotesi!$C$61*(1+Ipotesi!$C$66)^(F465-1)/12</f>
        <v>27318.175</v>
      </c>
      <c r="Z465" s="15" t="n">
        <f aca="false">Q465*Ipotesi!$C$62*(1+Ipotesi!$C$66)^(F465-1)/12</f>
        <v>20488.63125</v>
      </c>
      <c r="AA465" s="15" t="n">
        <f aca="false">R465*Ipotesi!$C$63*(1+Ipotesi!$C$66)^(F465-1)/12</f>
        <v>4780.680625</v>
      </c>
      <c r="AB465" s="15" t="n">
        <f aca="false">SUM(V465:AA465)</f>
        <v>96473.0839583333</v>
      </c>
      <c r="AC465" s="15" t="n">
        <f aca="false">(S465*Ipotesi!$C$64+T465*Ipotesi!$C$65+U465*Ipotesi!$C$63)*(1+Ipotesi!$C$66)^(F465-1)/12</f>
        <v>33829.0067083333</v>
      </c>
      <c r="AD465" s="15" t="n">
        <f aca="false">INDEX(Ipotesi!$C$48:$G$48,1,F465)*G465/12</f>
        <v>79.1666666666667</v>
      </c>
      <c r="AE465" s="15" t="n">
        <f aca="false">INDEX(Ipotesi!$C$50:$G$50,1,F465)*G465/12</f>
        <v>8.33333333333333</v>
      </c>
      <c r="AF465" s="15" t="n">
        <f aca="false">(S465*Parametri_v3!$C$7*Parametri_v3!$C$8+Parametri_v3!$C$10)/12</f>
        <v>89.8333333333333</v>
      </c>
      <c r="AG465" s="15" t="n">
        <f aca="false">AD465+AE465*(1+Parametri_v3!$C$9)</f>
        <v>91.6666666666667</v>
      </c>
      <c r="AH465" s="16" t="n">
        <f aca="false">IF(AG465=0,1,MIN(1,AF465/AG465))</f>
        <v>0.98</v>
      </c>
      <c r="AI465" s="15" t="n">
        <f aca="false">AD465*AH465</f>
        <v>77.5833333333333</v>
      </c>
      <c r="AJ465" s="15" t="n">
        <f aca="false">AE465*AH465</f>
        <v>8.16666666666667</v>
      </c>
      <c r="AK465" s="15" t="n">
        <f aca="false">AI465*INDEX(Ipotesi!$C$49:$G$49,1,F465)*H465</f>
        <v>69825</v>
      </c>
      <c r="AL465" s="15" t="n">
        <f aca="false">AJ465*INDEX(Ipotesi!$C$51:$G$51,1,F465)*H465</f>
        <v>20416.6666666667</v>
      </c>
      <c r="AM465" s="15" t="n">
        <f aca="false">AK465+AL465</f>
        <v>90241.6666666667</v>
      </c>
      <c r="AN465" s="15" t="n">
        <f aca="false">INDEX(Ipotesi!$C$30:$G$30,1,F465)*G465/12</f>
        <v>61.6666666666667</v>
      </c>
      <c r="AO465" s="15" t="n">
        <f aca="false">O465*Parametri_v3!$C$7*Parametri_v3!$C$11*(1-Parametri_v3!$C$14)/12</f>
        <v>66.7333333333333</v>
      </c>
      <c r="AP465" s="15" t="n">
        <f aca="false">MIN(AN465,AO465)</f>
        <v>61.6666666666667</v>
      </c>
      <c r="AQ465" s="15" t="n">
        <f aca="false">AP465*INDEX(Ipotesi!$C$31:$G$31,1,F465)*H465</f>
        <v>64750</v>
      </c>
      <c r="AR465" s="15" t="n">
        <f aca="false">INDEX(Ipotesi!$C$75:$G$75,1,F465)*J465/12</f>
        <v>27916.6666666667</v>
      </c>
      <c r="AS465" s="15" t="n">
        <f aca="false">INDEX(Ipotesi!$C$81:$G$81,1,F465)*J465/12</f>
        <v>1666.66666666667</v>
      </c>
      <c r="AT465" s="15" t="n">
        <f aca="false">AR465*Parametri_v3!$C$15+Z465*Parametri_v3!$C$16</f>
        <v>42258.7085416667</v>
      </c>
      <c r="AU465" s="15" t="n">
        <f aca="false">Q465*Parametri_v3!$C$16*Parametri_v3!$C$17</f>
        <v>350</v>
      </c>
      <c r="AV465" s="17" t="n">
        <f aca="false">BD464</f>
        <v>107.55032083235</v>
      </c>
      <c r="AW465" s="17" t="n">
        <f aca="false">AV465*(1-(1-INDEX(Ipotesi!$C$34:$G$34,1,F465))^(1/12))</f>
        <v>0.940163062769214</v>
      </c>
      <c r="AX465" s="15" t="n">
        <f aca="false">ROUND(INDEX(Ipotesi!$C$32:$G$32,1,F465)*Ipotesi!J8,0)</f>
        <v>310</v>
      </c>
      <c r="AY465" s="15" t="n">
        <f aca="false">MAX(0,(AX465-(AV465-AW465))/(13-E465))</f>
        <v>25.4237302788025</v>
      </c>
      <c r="AZ465" s="15" t="n">
        <f aca="false">MIN(P465*Parametri_v3!$C$22,Q465*(1-Parametri_v3!$C$16)*Parametri_v3!$C$23)</f>
        <v>225</v>
      </c>
      <c r="BA465" s="15" t="n">
        <f aca="false">IF(OR(INDEX(Ipotesi!$C$35:$G$35,1,F465)&lt;=0,41-Parametri_v3!$C$21&lt;1),0,INDEX($AT$425:$AT$484,MAX(1,41-Parametri_v3!$C$21))/(INDEX(Ipotesi!$C$35:$G$35,1,F465)*Ipotesi!J27))</f>
        <v>7.04311809027778</v>
      </c>
      <c r="BB465" s="15" t="n">
        <f aca="false">IF(41-Parametri_v3!$C$21&lt;1,0,INDEX($AU$425:$AU$484,MAX(1,41-Parametri_v3!$C$21)))*Parametri_v3!$C$18*Parametri_v3!$C$19*Parametri_v3!$C$20</f>
        <v>13.125</v>
      </c>
      <c r="BC465" s="17" t="n">
        <f aca="false">MAX(0,MIN(AY465,BA465,BB465,MAX(0,AZ465-(AV465-AW465))))</f>
        <v>7.04311809027778</v>
      </c>
      <c r="BD465" s="17" t="n">
        <f aca="false">AV465-AW465+BC465</f>
        <v>113.653275859858</v>
      </c>
      <c r="BE465" s="17" t="n">
        <f aca="false">(AV465+BD465)/2</f>
        <v>110.601798346104</v>
      </c>
      <c r="BF465" s="15" t="n">
        <f aca="false">BE465*INDEX(Ipotesi!$C$33:$G$33,1,F465)*H465/12</f>
        <v>55300.8991730519</v>
      </c>
      <c r="BG465" s="15" t="n">
        <f aca="false">BD465*INDEX(Ipotesi!$C$33:$G$33,1,F465)*H465</f>
        <v>681919.655159149</v>
      </c>
      <c r="BH465" s="15" t="n">
        <f aca="false">AM465*INDEX(Ipotesi!$C$37:$G$37,1,F465)</f>
        <v>9024.16666666667</v>
      </c>
      <c r="BI465" s="15" t="n">
        <f aca="false">AQ465+BF465+BH465</f>
        <v>129075.065839719</v>
      </c>
      <c r="BJ465" s="15" t="n">
        <f aca="false">INDEX(Ipotesi!$C$68:$G$68,1,F465)*Ipotesi!$C$69/12</f>
        <v>3000</v>
      </c>
      <c r="BK465" s="15" t="n">
        <f aca="false">INDEX(Ipotesi!$C$68:$G$68,1,F465)*(1-Ipotesi!$C$69)/12</f>
        <v>4500</v>
      </c>
      <c r="BL465" s="15" t="n">
        <f aca="false">(AQ465+BF465)*Ipotesi!$C$67</f>
        <v>3601.52697519156</v>
      </c>
      <c r="BM465" s="15" t="n">
        <f aca="false">AM465*Ipotesi!$C$67</f>
        <v>2707.25</v>
      </c>
      <c r="BN465" s="15" t="n">
        <f aca="false">INDEX(Ipotesi!$C$72:$G$72,1,F465)/12*Ipotesi!J126+BF465*Ipotesi!$C$73</f>
        <v>5674.07193384416</v>
      </c>
      <c r="BO465" s="15" t="n">
        <f aca="false">INDEX(Ipotesi!$C$74:$G$74,1,F465)/12*Ipotesi!J126</f>
        <v>4166.66666666667</v>
      </c>
      <c r="BP465" s="15" t="n">
        <f aca="false">INDEX(Ipotesi!$C$76:$G$76,1,F465)/12</f>
        <v>1500</v>
      </c>
      <c r="BQ465" s="15" t="n">
        <f aca="false">INDEX(Ipotesi!$C$77:$G$77,1,F465)/12*Ipotesi!J126</f>
        <v>2083.33333333333</v>
      </c>
      <c r="BR465" s="15" t="n">
        <f aca="false">INDEX(Ipotesi!$C$78:$G$78,1,F465)/12</f>
        <v>2000</v>
      </c>
      <c r="BS465" s="15" t="n">
        <f aca="false">SUM(M465:R465)*(Ipotesi!$C$85+Ipotesi!$C$86)/12</f>
        <v>6125</v>
      </c>
      <c r="BT465" s="15" t="n">
        <f aca="false">BI465*Ipotesi!$C$87</f>
        <v>3872.25197519156</v>
      </c>
      <c r="BU465" s="15" t="n">
        <f aca="false">INDEX(Ipotesi!$C$55:$G$55,1,F465)*K465/12</f>
        <v>2000</v>
      </c>
      <c r="BV465" s="15" t="n">
        <f aca="false">INDEX(Ipotesi!$C$80:$G$80,1,F465)/12*Ipotesi!J126</f>
        <v>1666.66666666667</v>
      </c>
      <c r="BW465" s="15" t="n">
        <f aca="false">INDEX(Ipotesi!$C$82:$G$82,1,F465)/12</f>
        <v>1250</v>
      </c>
      <c r="BX465" s="15" t="n">
        <f aca="false">INDEX(Ipotesi!$C$83:$G$83,1,F465)/12</f>
        <v>750</v>
      </c>
      <c r="BY465" s="15" t="n">
        <f aca="false">SUM(S465:U465)*(Ipotesi!$C$85+Ipotesi!$C$86)/12</f>
        <v>2479.16666666667</v>
      </c>
      <c r="BZ465" s="15" t="n">
        <f aca="false">AM465*Ipotesi!$C$87</f>
        <v>2707.25</v>
      </c>
      <c r="CA465" s="15" t="n">
        <f aca="false">AB465+BJ465+BL465+BN465+BO465+AR465+BP465+BQ465+BR465+BS465+BT465</f>
        <v>156412.601509227</v>
      </c>
      <c r="CB465" s="15" t="n">
        <f aca="false">AC465+BK465+BM465+BH465+BU465+BV465+AS465+BW465+BX465+BY465+BZ465</f>
        <v>62580.173375</v>
      </c>
      <c r="CC465" s="15" t="n">
        <f aca="false">BI465-CA465</f>
        <v>-27337.5356695087</v>
      </c>
      <c r="CD465" s="15" t="n">
        <f aca="false">AM465-CB465</f>
        <v>27661.4932916667</v>
      </c>
      <c r="CE465" s="15" t="n">
        <f aca="false">INDEX(Ipotesi!$C$79:$G$79,1,F465)/12</f>
        <v>3333.33333333333</v>
      </c>
      <c r="CF465" s="15" t="n">
        <f aca="false">INDEX(Ipotesi!$C$84:$G$84,1,F465)/12</f>
        <v>666.666666666667</v>
      </c>
      <c r="CG465" s="15" t="n">
        <f aca="false">Y465*MAX(0,Parametri_v3!$C$12-IF(P465=0,0,MIN(1,BE465/(P465*Parametri_v3!$C$22))))+W465*Parametri_v3!$C$13+X465*Parametri_v3!$C$14</f>
        <v>31388.5011957774</v>
      </c>
      <c r="CH465" s="15" t="n">
        <f aca="false">AB465*Parametri_v3!$C$32</f>
        <v>4823.65419791667</v>
      </c>
      <c r="CI465" s="15" t="n">
        <f aca="false">AC465*Parametri_v3!$C$32</f>
        <v>1691.45033541667</v>
      </c>
      <c r="CJ465" s="15" t="n">
        <f aca="false">CA465-AB465</f>
        <v>59939.5175508939</v>
      </c>
      <c r="CK465" s="15" t="n">
        <f aca="false">CB465-AC465-BH465</f>
        <v>19727</v>
      </c>
      <c r="CL465" s="15" t="n">
        <f aca="false">BF465*Ipotesi!$C$73+INDEX(Ipotesi!$C$72:$G$72,1,F465)/12*Ipotesi!J126*Parametri_v3!$C$58+Z465*(1-Parametri_v3!$C$16)</f>
        <v>11820.6613088442</v>
      </c>
      <c r="CM465" s="16" t="n">
        <f aca="false">IF(BF465=0,0,1-CL465/BF465)</f>
        <v>0.786248298208425</v>
      </c>
    </row>
    <row r="466" customFormat="false" ht="18" hidden="false" customHeight="true" outlineLevel="0" collapsed="false">
      <c r="A466" s="68" t="n">
        <f aca="false">8</f>
        <v>8</v>
      </c>
      <c r="B466" s="68" t="n">
        <f aca="false">42</f>
        <v>42</v>
      </c>
      <c r="C466" s="18" t="n">
        <f aca="false">EDATE(Parametri_v3!$C$5,42-1)</f>
        <v>47635</v>
      </c>
      <c r="D466" s="68" t="n">
        <f aca="false">YEAR(C466)</f>
        <v>2030</v>
      </c>
      <c r="E466" s="68" t="n">
        <f aca="false">MONTH(C466)</f>
        <v>6</v>
      </c>
      <c r="F466" s="68" t="n">
        <f aca="false">INT((42-1)/12)+1</f>
        <v>4</v>
      </c>
      <c r="G466" s="15" t="n">
        <f aca="false">Ipotesi!J7</f>
        <v>1</v>
      </c>
      <c r="H466" s="15" t="n">
        <f aca="false">Ipotesi!J9</f>
        <v>1</v>
      </c>
      <c r="I466" s="15" t="n">
        <f aca="false">Ipotesi!J10</f>
        <v>1</v>
      </c>
      <c r="J466" s="15" t="n">
        <f aca="false">Ipotesi!J11</f>
        <v>1</v>
      </c>
      <c r="K466" s="15" t="n">
        <f aca="false">Ipotesi!J12</f>
        <v>1</v>
      </c>
      <c r="L466" s="15" t="n">
        <f aca="false">Ipotesi!J13</f>
        <v>90</v>
      </c>
      <c r="M466" s="17" t="n">
        <f aca="false">INDEX(Ipotesi!$C$40:$G$40,1,F466)</f>
        <v>1</v>
      </c>
      <c r="N466" s="17" t="n">
        <f aca="false">INDEX(Ipotesi!$C$41:$G$41,1,F466)</f>
        <v>1</v>
      </c>
      <c r="O466" s="17" t="n">
        <f aca="false">INDEX(Ipotesi!$C$42:$G$42,1,F466)*Ipotesi!J125</f>
        <v>6.5</v>
      </c>
      <c r="P466" s="17" t="n">
        <f aca="false">INDEX(Ipotesi!$C$43:$G$43,1,F466)*I466</f>
        <v>6</v>
      </c>
      <c r="Q466" s="17" t="n">
        <f aca="false">INDEX(Ipotesi!$C$44:$G$44,1,F466)*I466</f>
        <v>5</v>
      </c>
      <c r="R466" s="17" t="n">
        <f aca="false">INDEX(Ipotesi!$C$45:$G$45,1,F466)*I466</f>
        <v>1.5</v>
      </c>
      <c r="S466" s="17" t="n">
        <f aca="false">INDEX(Ipotesi!$C$52:$G$52,1,F466)*Ipotesi!J125</f>
        <v>7</v>
      </c>
      <c r="T466" s="17" t="n">
        <f aca="false">INDEX(Ipotesi!$C$53:$G$53,1,F466)*I466</f>
        <v>1</v>
      </c>
      <c r="U466" s="17" t="n">
        <f aca="false">INDEX(Ipotesi!$C$54:$G$54,1,F466)*I466</f>
        <v>0.5</v>
      </c>
      <c r="V466" s="15" t="n">
        <f aca="false">M466*INDEX(Ipotesi!$C$58:$G$58,1,F466)*K466/12</f>
        <v>7916.66666666667</v>
      </c>
      <c r="W466" s="15" t="n">
        <f aca="false">N466*Ipotesi!$C$59*(1+Ipotesi!$C$66)^(F466-1)/12</f>
        <v>6374.24083333333</v>
      </c>
      <c r="X466" s="15" t="n">
        <f aca="false">O466*Ipotesi!$C$60*(1+Ipotesi!$C$66)^(F466-1)/12</f>
        <v>29594.6895833333</v>
      </c>
      <c r="Y466" s="15" t="n">
        <f aca="false">P466*Ipotesi!$C$61*(1+Ipotesi!$C$66)^(F466-1)/12</f>
        <v>27318.175</v>
      </c>
      <c r="Z466" s="15" t="n">
        <f aca="false">Q466*Ipotesi!$C$62*(1+Ipotesi!$C$66)^(F466-1)/12</f>
        <v>20488.63125</v>
      </c>
      <c r="AA466" s="15" t="n">
        <f aca="false">R466*Ipotesi!$C$63*(1+Ipotesi!$C$66)^(F466-1)/12</f>
        <v>4780.680625</v>
      </c>
      <c r="AB466" s="15" t="n">
        <f aca="false">SUM(V466:AA466)</f>
        <v>96473.0839583333</v>
      </c>
      <c r="AC466" s="15" t="n">
        <f aca="false">(S466*Ipotesi!$C$64+T466*Ipotesi!$C$65+U466*Ipotesi!$C$63)*(1+Ipotesi!$C$66)^(F466-1)/12</f>
        <v>33829.0067083333</v>
      </c>
      <c r="AD466" s="15" t="n">
        <f aca="false">INDEX(Ipotesi!$C$48:$G$48,1,F466)*G466/12</f>
        <v>79.1666666666667</v>
      </c>
      <c r="AE466" s="15" t="n">
        <f aca="false">INDEX(Ipotesi!$C$50:$G$50,1,F466)*G466/12</f>
        <v>8.33333333333333</v>
      </c>
      <c r="AF466" s="15" t="n">
        <f aca="false">(S466*Parametri_v3!$C$7*Parametri_v3!$C$8+Parametri_v3!$C$10)/12</f>
        <v>89.8333333333333</v>
      </c>
      <c r="AG466" s="15" t="n">
        <f aca="false">AD466+AE466*(1+Parametri_v3!$C$9)</f>
        <v>91.6666666666667</v>
      </c>
      <c r="AH466" s="16" t="n">
        <f aca="false">IF(AG466=0,1,MIN(1,AF466/AG466))</f>
        <v>0.98</v>
      </c>
      <c r="AI466" s="15" t="n">
        <f aca="false">AD466*AH466</f>
        <v>77.5833333333333</v>
      </c>
      <c r="AJ466" s="15" t="n">
        <f aca="false">AE466*AH466</f>
        <v>8.16666666666667</v>
      </c>
      <c r="AK466" s="15" t="n">
        <f aca="false">AI466*INDEX(Ipotesi!$C$49:$G$49,1,F466)*H466</f>
        <v>69825</v>
      </c>
      <c r="AL466" s="15" t="n">
        <f aca="false">AJ466*INDEX(Ipotesi!$C$51:$G$51,1,F466)*H466</f>
        <v>20416.6666666667</v>
      </c>
      <c r="AM466" s="15" t="n">
        <f aca="false">AK466+AL466</f>
        <v>90241.6666666667</v>
      </c>
      <c r="AN466" s="15" t="n">
        <f aca="false">INDEX(Ipotesi!$C$30:$G$30,1,F466)*G466/12</f>
        <v>61.6666666666667</v>
      </c>
      <c r="AO466" s="15" t="n">
        <f aca="false">O466*Parametri_v3!$C$7*Parametri_v3!$C$11*(1-Parametri_v3!$C$14)/12</f>
        <v>66.7333333333333</v>
      </c>
      <c r="AP466" s="15" t="n">
        <f aca="false">MIN(AN466,AO466)</f>
        <v>61.6666666666667</v>
      </c>
      <c r="AQ466" s="15" t="n">
        <f aca="false">AP466*INDEX(Ipotesi!$C$31:$G$31,1,F466)*H466</f>
        <v>64750</v>
      </c>
      <c r="AR466" s="15" t="n">
        <f aca="false">INDEX(Ipotesi!$C$75:$G$75,1,F466)*J466/12</f>
        <v>27916.6666666667</v>
      </c>
      <c r="AS466" s="15" t="n">
        <f aca="false">INDEX(Ipotesi!$C$81:$G$81,1,F466)*J466/12</f>
        <v>1666.66666666667</v>
      </c>
      <c r="AT466" s="15" t="n">
        <f aca="false">AR466*Parametri_v3!$C$15+Z466*Parametri_v3!$C$16</f>
        <v>42258.7085416667</v>
      </c>
      <c r="AU466" s="15" t="n">
        <f aca="false">Q466*Parametri_v3!$C$16*Parametri_v3!$C$17</f>
        <v>350</v>
      </c>
      <c r="AV466" s="17" t="n">
        <f aca="false">BD465</f>
        <v>113.653275859858</v>
      </c>
      <c r="AW466" s="17" t="n">
        <f aca="false">AV466*(1-(1-INDEX(Ipotesi!$C$34:$G$34,1,F466))^(1/12))</f>
        <v>0.993512721293705</v>
      </c>
      <c r="AX466" s="15" t="n">
        <f aca="false">ROUND(INDEX(Ipotesi!$C$32:$G$32,1,F466)*Ipotesi!J8,0)</f>
        <v>310</v>
      </c>
      <c r="AY466" s="15" t="n">
        <f aca="false">MAX(0,(AX466-(AV466-AW466))/(13-E466))</f>
        <v>28.1914624087765</v>
      </c>
      <c r="AZ466" s="15" t="n">
        <f aca="false">MIN(P466*Parametri_v3!$C$22,Q466*(1-Parametri_v3!$C$16)*Parametri_v3!$C$23)</f>
        <v>225</v>
      </c>
      <c r="BA466" s="15" t="n">
        <f aca="false">IF(OR(INDEX(Ipotesi!$C$35:$G$35,1,F466)&lt;=0,42-Parametri_v3!$C$21&lt;1),0,INDEX($AT$425:$AT$484,MAX(1,42-Parametri_v3!$C$21))/(INDEX(Ipotesi!$C$35:$G$35,1,F466)*Ipotesi!J27))</f>
        <v>7.04311809027778</v>
      </c>
      <c r="BB466" s="15" t="n">
        <f aca="false">IF(42-Parametri_v3!$C$21&lt;1,0,INDEX($AU$425:$AU$484,MAX(1,42-Parametri_v3!$C$21)))*Parametri_v3!$C$18*Parametri_v3!$C$19*Parametri_v3!$C$20</f>
        <v>13.125</v>
      </c>
      <c r="BC466" s="17" t="n">
        <f aca="false">MAX(0,MIN(AY466,BA466,BB466,MAX(0,AZ466-(AV466-AW466))))</f>
        <v>7.04311809027778</v>
      </c>
      <c r="BD466" s="17" t="n">
        <f aca="false">AV466-AW466+BC466</f>
        <v>119.702881228842</v>
      </c>
      <c r="BE466" s="17" t="n">
        <f aca="false">(AV466+BD466)/2</f>
        <v>116.67807854435</v>
      </c>
      <c r="BF466" s="15" t="n">
        <f aca="false">BE466*INDEX(Ipotesi!$C$33:$G$33,1,F466)*H466/12</f>
        <v>58339.0392721751</v>
      </c>
      <c r="BG466" s="15" t="n">
        <f aca="false">BD466*INDEX(Ipotesi!$C$33:$G$33,1,F466)*H466</f>
        <v>718217.287373054</v>
      </c>
      <c r="BH466" s="15" t="n">
        <f aca="false">AM466*INDEX(Ipotesi!$C$37:$G$37,1,F466)</f>
        <v>9024.16666666667</v>
      </c>
      <c r="BI466" s="15" t="n">
        <f aca="false">AQ466+BF466+BH466</f>
        <v>132113.205938842</v>
      </c>
      <c r="BJ466" s="15" t="n">
        <f aca="false">INDEX(Ipotesi!$C$68:$G$68,1,F466)*Ipotesi!$C$69/12</f>
        <v>3000</v>
      </c>
      <c r="BK466" s="15" t="n">
        <f aca="false">INDEX(Ipotesi!$C$68:$G$68,1,F466)*(1-Ipotesi!$C$69)/12</f>
        <v>4500</v>
      </c>
      <c r="BL466" s="15" t="n">
        <f aca="false">(AQ466+BF466)*Ipotesi!$C$67</f>
        <v>3692.67117816525</v>
      </c>
      <c r="BM466" s="15" t="n">
        <f aca="false">AM466*Ipotesi!$C$67</f>
        <v>2707.25</v>
      </c>
      <c r="BN466" s="15" t="n">
        <f aca="false">INDEX(Ipotesi!$C$72:$G$72,1,F466)/12*Ipotesi!J126+BF466*Ipotesi!$C$73</f>
        <v>5917.12314177401</v>
      </c>
      <c r="BO466" s="15" t="n">
        <f aca="false">INDEX(Ipotesi!$C$74:$G$74,1,F466)/12*Ipotesi!J126</f>
        <v>4166.66666666667</v>
      </c>
      <c r="BP466" s="15" t="n">
        <f aca="false">INDEX(Ipotesi!$C$76:$G$76,1,F466)/12</f>
        <v>1500</v>
      </c>
      <c r="BQ466" s="15" t="n">
        <f aca="false">INDEX(Ipotesi!$C$77:$G$77,1,F466)/12*Ipotesi!J126</f>
        <v>2083.33333333333</v>
      </c>
      <c r="BR466" s="15" t="n">
        <f aca="false">INDEX(Ipotesi!$C$78:$G$78,1,F466)/12</f>
        <v>2000</v>
      </c>
      <c r="BS466" s="15" t="n">
        <f aca="false">SUM(M466:R466)*(Ipotesi!$C$85+Ipotesi!$C$86)/12</f>
        <v>6125</v>
      </c>
      <c r="BT466" s="15" t="n">
        <f aca="false">BI466*Ipotesi!$C$87</f>
        <v>3963.39617816525</v>
      </c>
      <c r="BU466" s="15" t="n">
        <f aca="false">INDEX(Ipotesi!$C$55:$G$55,1,F466)*K466/12</f>
        <v>2000</v>
      </c>
      <c r="BV466" s="15" t="n">
        <f aca="false">INDEX(Ipotesi!$C$80:$G$80,1,F466)/12*Ipotesi!J126</f>
        <v>1666.66666666667</v>
      </c>
      <c r="BW466" s="15" t="n">
        <f aca="false">INDEX(Ipotesi!$C$82:$G$82,1,F466)/12</f>
        <v>1250</v>
      </c>
      <c r="BX466" s="15" t="n">
        <f aca="false">INDEX(Ipotesi!$C$83:$G$83,1,F466)/12</f>
        <v>750</v>
      </c>
      <c r="BY466" s="15" t="n">
        <f aca="false">SUM(S466:U466)*(Ipotesi!$C$85+Ipotesi!$C$86)/12</f>
        <v>2479.16666666667</v>
      </c>
      <c r="BZ466" s="15" t="n">
        <f aca="false">AM466*Ipotesi!$C$87</f>
        <v>2707.25</v>
      </c>
      <c r="CA466" s="15" t="n">
        <f aca="false">AB466+BJ466+BL466+BN466+BO466+AR466+BP466+BQ466+BR466+BS466+BT466</f>
        <v>156837.941123105</v>
      </c>
      <c r="CB466" s="15" t="n">
        <f aca="false">AC466+BK466+BM466+BH466+BU466+BV466+AS466+BW466+BX466+BY466+BZ466</f>
        <v>62580.173375</v>
      </c>
      <c r="CC466" s="15" t="n">
        <f aca="false">BI466-CA466</f>
        <v>-24724.7351842627</v>
      </c>
      <c r="CD466" s="15" t="n">
        <f aca="false">AM466-CB466</f>
        <v>27661.4932916667</v>
      </c>
      <c r="CE466" s="15" t="n">
        <f aca="false">INDEX(Ipotesi!$C$79:$G$79,1,F466)/12</f>
        <v>3333.33333333333</v>
      </c>
      <c r="CF466" s="15" t="n">
        <f aca="false">INDEX(Ipotesi!$C$84:$G$84,1,F466)/12</f>
        <v>666.666666666667</v>
      </c>
      <c r="CG466" s="15" t="n">
        <f aca="false">Y466*MAX(0,Parametri_v3!$C$12-IF(P466=0,0,MIN(1,BE466/(P466*Parametri_v3!$C$22))))+W466*Parametri_v3!$C$13+X466*Parametri_v3!$C$14</f>
        <v>31111.8463861028</v>
      </c>
      <c r="CH466" s="15" t="n">
        <f aca="false">AB466*Parametri_v3!$C$32</f>
        <v>4823.65419791667</v>
      </c>
      <c r="CI466" s="15" t="n">
        <f aca="false">AC466*Parametri_v3!$C$32</f>
        <v>1691.45033541667</v>
      </c>
      <c r="CJ466" s="15" t="n">
        <f aca="false">CA466-AB466</f>
        <v>60364.8571647712</v>
      </c>
      <c r="CK466" s="15" t="n">
        <f aca="false">CB466-AC466-BH466</f>
        <v>19727</v>
      </c>
      <c r="CL466" s="15" t="n">
        <f aca="false">BF466*Ipotesi!$C$73+INDEX(Ipotesi!$C$72:$G$72,1,F466)/12*Ipotesi!J126*Parametri_v3!$C$58+Z466*(1-Parametri_v3!$C$16)</f>
        <v>12063.712516774</v>
      </c>
      <c r="CM466" s="16" t="n">
        <f aca="false">IF(BF466=0,0,1-CL466/BF466)</f>
        <v>0.793213726738078</v>
      </c>
    </row>
    <row r="467" customFormat="false" ht="18" hidden="false" customHeight="true" outlineLevel="0" collapsed="false">
      <c r="A467" s="68" t="n">
        <f aca="false">8</f>
        <v>8</v>
      </c>
      <c r="B467" s="68" t="n">
        <f aca="false">43</f>
        <v>43</v>
      </c>
      <c r="C467" s="18" t="n">
        <f aca="false">EDATE(Parametri_v3!$C$5,43-1)</f>
        <v>47665</v>
      </c>
      <c r="D467" s="68" t="n">
        <f aca="false">YEAR(C467)</f>
        <v>2030</v>
      </c>
      <c r="E467" s="68" t="n">
        <f aca="false">MONTH(C467)</f>
        <v>7</v>
      </c>
      <c r="F467" s="68" t="n">
        <f aca="false">INT((43-1)/12)+1</f>
        <v>4</v>
      </c>
      <c r="G467" s="15" t="n">
        <f aca="false">Ipotesi!J7</f>
        <v>1</v>
      </c>
      <c r="H467" s="15" t="n">
        <f aca="false">Ipotesi!J9</f>
        <v>1</v>
      </c>
      <c r="I467" s="15" t="n">
        <f aca="false">Ipotesi!J10</f>
        <v>1</v>
      </c>
      <c r="J467" s="15" t="n">
        <f aca="false">Ipotesi!J11</f>
        <v>1</v>
      </c>
      <c r="K467" s="15" t="n">
        <f aca="false">Ipotesi!J12</f>
        <v>1</v>
      </c>
      <c r="L467" s="15" t="n">
        <f aca="false">Ipotesi!J13</f>
        <v>90</v>
      </c>
      <c r="M467" s="17" t="n">
        <f aca="false">INDEX(Ipotesi!$C$40:$G$40,1,F467)</f>
        <v>1</v>
      </c>
      <c r="N467" s="17" t="n">
        <f aca="false">INDEX(Ipotesi!$C$41:$G$41,1,F467)</f>
        <v>1</v>
      </c>
      <c r="O467" s="17" t="n">
        <f aca="false">INDEX(Ipotesi!$C$42:$G$42,1,F467)*Ipotesi!J125</f>
        <v>6.5</v>
      </c>
      <c r="P467" s="17" t="n">
        <f aca="false">INDEX(Ipotesi!$C$43:$G$43,1,F467)*I467</f>
        <v>6</v>
      </c>
      <c r="Q467" s="17" t="n">
        <f aca="false">INDEX(Ipotesi!$C$44:$G$44,1,F467)*I467</f>
        <v>5</v>
      </c>
      <c r="R467" s="17" t="n">
        <f aca="false">INDEX(Ipotesi!$C$45:$G$45,1,F467)*I467</f>
        <v>1.5</v>
      </c>
      <c r="S467" s="17" t="n">
        <f aca="false">INDEX(Ipotesi!$C$52:$G$52,1,F467)*Ipotesi!J125</f>
        <v>7</v>
      </c>
      <c r="T467" s="17" t="n">
        <f aca="false">INDEX(Ipotesi!$C$53:$G$53,1,F467)*I467</f>
        <v>1</v>
      </c>
      <c r="U467" s="17" t="n">
        <f aca="false">INDEX(Ipotesi!$C$54:$G$54,1,F467)*I467</f>
        <v>0.5</v>
      </c>
      <c r="V467" s="15" t="n">
        <f aca="false">M467*INDEX(Ipotesi!$C$58:$G$58,1,F467)*K467/12</f>
        <v>7916.66666666667</v>
      </c>
      <c r="W467" s="15" t="n">
        <f aca="false">N467*Ipotesi!$C$59*(1+Ipotesi!$C$66)^(F467-1)/12</f>
        <v>6374.24083333333</v>
      </c>
      <c r="X467" s="15" t="n">
        <f aca="false">O467*Ipotesi!$C$60*(1+Ipotesi!$C$66)^(F467-1)/12</f>
        <v>29594.6895833333</v>
      </c>
      <c r="Y467" s="15" t="n">
        <f aca="false">P467*Ipotesi!$C$61*(1+Ipotesi!$C$66)^(F467-1)/12</f>
        <v>27318.175</v>
      </c>
      <c r="Z467" s="15" t="n">
        <f aca="false">Q467*Ipotesi!$C$62*(1+Ipotesi!$C$66)^(F467-1)/12</f>
        <v>20488.63125</v>
      </c>
      <c r="AA467" s="15" t="n">
        <f aca="false">R467*Ipotesi!$C$63*(1+Ipotesi!$C$66)^(F467-1)/12</f>
        <v>4780.680625</v>
      </c>
      <c r="AB467" s="15" t="n">
        <f aca="false">SUM(V467:AA467)</f>
        <v>96473.0839583333</v>
      </c>
      <c r="AC467" s="15" t="n">
        <f aca="false">(S467*Ipotesi!$C$64+T467*Ipotesi!$C$65+U467*Ipotesi!$C$63)*(1+Ipotesi!$C$66)^(F467-1)/12</f>
        <v>33829.0067083333</v>
      </c>
      <c r="AD467" s="15" t="n">
        <f aca="false">INDEX(Ipotesi!$C$48:$G$48,1,F467)*G467/12</f>
        <v>79.1666666666667</v>
      </c>
      <c r="AE467" s="15" t="n">
        <f aca="false">INDEX(Ipotesi!$C$50:$G$50,1,F467)*G467/12</f>
        <v>8.33333333333333</v>
      </c>
      <c r="AF467" s="15" t="n">
        <f aca="false">(S467*Parametri_v3!$C$7*Parametri_v3!$C$8+Parametri_v3!$C$10)/12</f>
        <v>89.8333333333333</v>
      </c>
      <c r="AG467" s="15" t="n">
        <f aca="false">AD467+AE467*(1+Parametri_v3!$C$9)</f>
        <v>91.6666666666667</v>
      </c>
      <c r="AH467" s="16" t="n">
        <f aca="false">IF(AG467=0,1,MIN(1,AF467/AG467))</f>
        <v>0.98</v>
      </c>
      <c r="AI467" s="15" t="n">
        <f aca="false">AD467*AH467</f>
        <v>77.5833333333333</v>
      </c>
      <c r="AJ467" s="15" t="n">
        <f aca="false">AE467*AH467</f>
        <v>8.16666666666667</v>
      </c>
      <c r="AK467" s="15" t="n">
        <f aca="false">AI467*INDEX(Ipotesi!$C$49:$G$49,1,F467)*H467</f>
        <v>69825</v>
      </c>
      <c r="AL467" s="15" t="n">
        <f aca="false">AJ467*INDEX(Ipotesi!$C$51:$G$51,1,F467)*H467</f>
        <v>20416.6666666667</v>
      </c>
      <c r="AM467" s="15" t="n">
        <f aca="false">AK467+AL467</f>
        <v>90241.6666666667</v>
      </c>
      <c r="AN467" s="15" t="n">
        <f aca="false">INDEX(Ipotesi!$C$30:$G$30,1,F467)*G467/12</f>
        <v>61.6666666666667</v>
      </c>
      <c r="AO467" s="15" t="n">
        <f aca="false">O467*Parametri_v3!$C$7*Parametri_v3!$C$11*(1-Parametri_v3!$C$14)/12</f>
        <v>66.7333333333333</v>
      </c>
      <c r="AP467" s="15" t="n">
        <f aca="false">MIN(AN467,AO467)</f>
        <v>61.6666666666667</v>
      </c>
      <c r="AQ467" s="15" t="n">
        <f aca="false">AP467*INDEX(Ipotesi!$C$31:$G$31,1,F467)*H467</f>
        <v>64750</v>
      </c>
      <c r="AR467" s="15" t="n">
        <f aca="false">INDEX(Ipotesi!$C$75:$G$75,1,F467)*J467/12</f>
        <v>27916.6666666667</v>
      </c>
      <c r="AS467" s="15" t="n">
        <f aca="false">INDEX(Ipotesi!$C$81:$G$81,1,F467)*J467/12</f>
        <v>1666.66666666667</v>
      </c>
      <c r="AT467" s="15" t="n">
        <f aca="false">AR467*Parametri_v3!$C$15+Z467*Parametri_v3!$C$16</f>
        <v>42258.7085416667</v>
      </c>
      <c r="AU467" s="15" t="n">
        <f aca="false">Q467*Parametri_v3!$C$16*Parametri_v3!$C$17</f>
        <v>350</v>
      </c>
      <c r="AV467" s="17" t="n">
        <f aca="false">BD466</f>
        <v>119.702881228842</v>
      </c>
      <c r="AW467" s="17" t="n">
        <f aca="false">AV467*(1-(1-INDEX(Ipotesi!$C$34:$G$34,1,F467))^(1/12))</f>
        <v>1.04639601785881</v>
      </c>
      <c r="AX467" s="15" t="n">
        <f aca="false">ROUND(INDEX(Ipotesi!$C$32:$G$32,1,F467)*Ipotesi!J8,0)</f>
        <v>310</v>
      </c>
      <c r="AY467" s="15" t="n">
        <f aca="false">MAX(0,(AX467-(AV467-AW467))/(13-E467))</f>
        <v>31.8905857981694</v>
      </c>
      <c r="AZ467" s="15" t="n">
        <f aca="false">MIN(P467*Parametri_v3!$C$22,Q467*(1-Parametri_v3!$C$16)*Parametri_v3!$C$23)</f>
        <v>225</v>
      </c>
      <c r="BA467" s="15" t="n">
        <f aca="false">IF(OR(INDEX(Ipotesi!$C$35:$G$35,1,F467)&lt;=0,43-Parametri_v3!$C$21&lt;1),0,INDEX($AT$425:$AT$484,MAX(1,43-Parametri_v3!$C$21))/(INDEX(Ipotesi!$C$35:$G$35,1,F467)*Ipotesi!J27))</f>
        <v>7.04311809027778</v>
      </c>
      <c r="BB467" s="15" t="n">
        <f aca="false">IF(43-Parametri_v3!$C$21&lt;1,0,INDEX($AU$425:$AU$484,MAX(1,43-Parametri_v3!$C$21)))*Parametri_v3!$C$18*Parametri_v3!$C$19*Parametri_v3!$C$20</f>
        <v>13.125</v>
      </c>
      <c r="BC467" s="17" t="n">
        <f aca="false">MAX(0,MIN(AY467,BA467,BB467,MAX(0,AZ467-(AV467-AW467))))</f>
        <v>7.04311809027778</v>
      </c>
      <c r="BD467" s="17" t="n">
        <f aca="false">AV467-AW467+BC467</f>
        <v>125.699603301261</v>
      </c>
      <c r="BE467" s="17" t="n">
        <f aca="false">(AV467+BD467)/2</f>
        <v>122.701242265052</v>
      </c>
      <c r="BF467" s="15" t="n">
        <f aca="false">BE467*INDEX(Ipotesi!$C$33:$G$33,1,F467)*H467/12</f>
        <v>61350.6211325259</v>
      </c>
      <c r="BG467" s="15" t="n">
        <f aca="false">BD467*INDEX(Ipotesi!$C$33:$G$33,1,F467)*H467</f>
        <v>754197.619807567</v>
      </c>
      <c r="BH467" s="15" t="n">
        <f aca="false">AM467*INDEX(Ipotesi!$C$37:$G$37,1,F467)</f>
        <v>9024.16666666667</v>
      </c>
      <c r="BI467" s="15" t="n">
        <f aca="false">AQ467+BF467+BH467</f>
        <v>135124.787799193</v>
      </c>
      <c r="BJ467" s="15" t="n">
        <f aca="false">INDEX(Ipotesi!$C$68:$G$68,1,F467)*Ipotesi!$C$69/12</f>
        <v>3000</v>
      </c>
      <c r="BK467" s="15" t="n">
        <f aca="false">INDEX(Ipotesi!$C$68:$G$68,1,F467)*(1-Ipotesi!$C$69)/12</f>
        <v>4500</v>
      </c>
      <c r="BL467" s="15" t="n">
        <f aca="false">(AQ467+BF467)*Ipotesi!$C$67</f>
        <v>3783.01863397578</v>
      </c>
      <c r="BM467" s="15" t="n">
        <f aca="false">AM467*Ipotesi!$C$67</f>
        <v>2707.25</v>
      </c>
      <c r="BN467" s="15" t="n">
        <f aca="false">INDEX(Ipotesi!$C$72:$G$72,1,F467)/12*Ipotesi!J126+BF467*Ipotesi!$C$73</f>
        <v>6158.04969060207</v>
      </c>
      <c r="BO467" s="15" t="n">
        <f aca="false">INDEX(Ipotesi!$C$74:$G$74,1,F467)/12*Ipotesi!J126</f>
        <v>4166.66666666667</v>
      </c>
      <c r="BP467" s="15" t="n">
        <f aca="false">INDEX(Ipotesi!$C$76:$G$76,1,F467)/12</f>
        <v>1500</v>
      </c>
      <c r="BQ467" s="15" t="n">
        <f aca="false">INDEX(Ipotesi!$C$77:$G$77,1,F467)/12*Ipotesi!J126</f>
        <v>2083.33333333333</v>
      </c>
      <c r="BR467" s="15" t="n">
        <f aca="false">INDEX(Ipotesi!$C$78:$G$78,1,F467)/12</f>
        <v>2000</v>
      </c>
      <c r="BS467" s="15" t="n">
        <f aca="false">SUM(M467:R467)*(Ipotesi!$C$85+Ipotesi!$C$86)/12</f>
        <v>6125</v>
      </c>
      <c r="BT467" s="15" t="n">
        <f aca="false">BI467*Ipotesi!$C$87</f>
        <v>4053.74363397578</v>
      </c>
      <c r="BU467" s="15" t="n">
        <f aca="false">INDEX(Ipotesi!$C$55:$G$55,1,F467)*K467/12</f>
        <v>2000</v>
      </c>
      <c r="BV467" s="15" t="n">
        <f aca="false">INDEX(Ipotesi!$C$80:$G$80,1,F467)/12*Ipotesi!J126</f>
        <v>1666.66666666667</v>
      </c>
      <c r="BW467" s="15" t="n">
        <f aca="false">INDEX(Ipotesi!$C$82:$G$82,1,F467)/12</f>
        <v>1250</v>
      </c>
      <c r="BX467" s="15" t="n">
        <f aca="false">INDEX(Ipotesi!$C$83:$G$83,1,F467)/12</f>
        <v>750</v>
      </c>
      <c r="BY467" s="15" t="n">
        <f aca="false">SUM(S467:U467)*(Ipotesi!$C$85+Ipotesi!$C$86)/12</f>
        <v>2479.16666666667</v>
      </c>
      <c r="BZ467" s="15" t="n">
        <f aca="false">AM467*Ipotesi!$C$87</f>
        <v>2707.25</v>
      </c>
      <c r="CA467" s="15" t="n">
        <f aca="false">AB467+BJ467+BL467+BN467+BO467+AR467+BP467+BQ467+BR467+BS467+BT467</f>
        <v>157259.562583554</v>
      </c>
      <c r="CB467" s="15" t="n">
        <f aca="false">AC467+BK467+BM467+BH467+BU467+BV467+AS467+BW467+BX467+BY467+BZ467</f>
        <v>62580.173375</v>
      </c>
      <c r="CC467" s="15" t="n">
        <f aca="false">BI467-CA467</f>
        <v>-22134.7747843611</v>
      </c>
      <c r="CD467" s="15" t="n">
        <f aca="false">AM467-CB467</f>
        <v>27661.4932916667</v>
      </c>
      <c r="CE467" s="15" t="n">
        <f aca="false">INDEX(Ipotesi!$C$79:$G$79,1,F467)/12</f>
        <v>3333.33333333333</v>
      </c>
      <c r="CF467" s="15" t="n">
        <f aca="false">INDEX(Ipotesi!$C$84:$G$84,1,F467)/12</f>
        <v>666.666666666667</v>
      </c>
      <c r="CG467" s="15" t="n">
        <f aca="false">Y467*MAX(0,Parametri_v3!$C$12-IF(P467=0,0,MIN(1,BE467/(P467*Parametri_v3!$C$22))))+W467*Parametri_v3!$C$13+X467*Parametri_v3!$C$14</f>
        <v>30837.6099851432</v>
      </c>
      <c r="CH467" s="15" t="n">
        <f aca="false">AB467*Parametri_v3!$C$32</f>
        <v>4823.65419791667</v>
      </c>
      <c r="CI467" s="15" t="n">
        <f aca="false">AC467*Parametri_v3!$C$32</f>
        <v>1691.45033541667</v>
      </c>
      <c r="CJ467" s="15" t="n">
        <f aca="false">CA467-AB467</f>
        <v>60786.4786252203</v>
      </c>
      <c r="CK467" s="15" t="n">
        <f aca="false">CB467-AC467-BH467</f>
        <v>19727</v>
      </c>
      <c r="CL467" s="15" t="n">
        <f aca="false">BF467*Ipotesi!$C$73+INDEX(Ipotesi!$C$72:$G$72,1,F467)/12*Ipotesi!J126*Parametri_v3!$C$58+Z467*(1-Parametri_v3!$C$16)</f>
        <v>12304.6390656021</v>
      </c>
      <c r="CM467" s="16" t="n">
        <f aca="false">IF(BF467=0,0,1-CL467/BF467)</f>
        <v>0.79943741663149</v>
      </c>
    </row>
    <row r="468" customFormat="false" ht="18" hidden="false" customHeight="true" outlineLevel="0" collapsed="false">
      <c r="A468" s="68" t="n">
        <f aca="false">8</f>
        <v>8</v>
      </c>
      <c r="B468" s="68" t="n">
        <f aca="false">44</f>
        <v>44</v>
      </c>
      <c r="C468" s="18" t="n">
        <f aca="false">EDATE(Parametri_v3!$C$5,44-1)</f>
        <v>47696</v>
      </c>
      <c r="D468" s="68" t="n">
        <f aca="false">YEAR(C468)</f>
        <v>2030</v>
      </c>
      <c r="E468" s="68" t="n">
        <f aca="false">MONTH(C468)</f>
        <v>8</v>
      </c>
      <c r="F468" s="68" t="n">
        <f aca="false">INT((44-1)/12)+1</f>
        <v>4</v>
      </c>
      <c r="G468" s="15" t="n">
        <f aca="false">Ipotesi!J7</f>
        <v>1</v>
      </c>
      <c r="H468" s="15" t="n">
        <f aca="false">Ipotesi!J9</f>
        <v>1</v>
      </c>
      <c r="I468" s="15" t="n">
        <f aca="false">Ipotesi!J10</f>
        <v>1</v>
      </c>
      <c r="J468" s="15" t="n">
        <f aca="false">Ipotesi!J11</f>
        <v>1</v>
      </c>
      <c r="K468" s="15" t="n">
        <f aca="false">Ipotesi!J12</f>
        <v>1</v>
      </c>
      <c r="L468" s="15" t="n">
        <f aca="false">Ipotesi!J13</f>
        <v>90</v>
      </c>
      <c r="M468" s="17" t="n">
        <f aca="false">INDEX(Ipotesi!$C$40:$G$40,1,F468)</f>
        <v>1</v>
      </c>
      <c r="N468" s="17" t="n">
        <f aca="false">INDEX(Ipotesi!$C$41:$G$41,1,F468)</f>
        <v>1</v>
      </c>
      <c r="O468" s="17" t="n">
        <f aca="false">INDEX(Ipotesi!$C$42:$G$42,1,F468)*Ipotesi!J125</f>
        <v>6.5</v>
      </c>
      <c r="P468" s="17" t="n">
        <f aca="false">INDEX(Ipotesi!$C$43:$G$43,1,F468)*I468</f>
        <v>6</v>
      </c>
      <c r="Q468" s="17" t="n">
        <f aca="false">INDEX(Ipotesi!$C$44:$G$44,1,F468)*I468</f>
        <v>5</v>
      </c>
      <c r="R468" s="17" t="n">
        <f aca="false">INDEX(Ipotesi!$C$45:$G$45,1,F468)*I468</f>
        <v>1.5</v>
      </c>
      <c r="S468" s="17" t="n">
        <f aca="false">INDEX(Ipotesi!$C$52:$G$52,1,F468)*Ipotesi!J125</f>
        <v>7</v>
      </c>
      <c r="T468" s="17" t="n">
        <f aca="false">INDEX(Ipotesi!$C$53:$G$53,1,F468)*I468</f>
        <v>1</v>
      </c>
      <c r="U468" s="17" t="n">
        <f aca="false">INDEX(Ipotesi!$C$54:$G$54,1,F468)*I468</f>
        <v>0.5</v>
      </c>
      <c r="V468" s="15" t="n">
        <f aca="false">M468*INDEX(Ipotesi!$C$58:$G$58,1,F468)*K468/12</f>
        <v>7916.66666666667</v>
      </c>
      <c r="W468" s="15" t="n">
        <f aca="false">N468*Ipotesi!$C$59*(1+Ipotesi!$C$66)^(F468-1)/12</f>
        <v>6374.24083333333</v>
      </c>
      <c r="X468" s="15" t="n">
        <f aca="false">O468*Ipotesi!$C$60*(1+Ipotesi!$C$66)^(F468-1)/12</f>
        <v>29594.6895833333</v>
      </c>
      <c r="Y468" s="15" t="n">
        <f aca="false">P468*Ipotesi!$C$61*(1+Ipotesi!$C$66)^(F468-1)/12</f>
        <v>27318.175</v>
      </c>
      <c r="Z468" s="15" t="n">
        <f aca="false">Q468*Ipotesi!$C$62*(1+Ipotesi!$C$66)^(F468-1)/12</f>
        <v>20488.63125</v>
      </c>
      <c r="AA468" s="15" t="n">
        <f aca="false">R468*Ipotesi!$C$63*(1+Ipotesi!$C$66)^(F468-1)/12</f>
        <v>4780.680625</v>
      </c>
      <c r="AB468" s="15" t="n">
        <f aca="false">SUM(V468:AA468)</f>
        <v>96473.0839583333</v>
      </c>
      <c r="AC468" s="15" t="n">
        <f aca="false">(S468*Ipotesi!$C$64+T468*Ipotesi!$C$65+U468*Ipotesi!$C$63)*(1+Ipotesi!$C$66)^(F468-1)/12</f>
        <v>33829.0067083333</v>
      </c>
      <c r="AD468" s="15" t="n">
        <f aca="false">INDEX(Ipotesi!$C$48:$G$48,1,F468)*G468/12</f>
        <v>79.1666666666667</v>
      </c>
      <c r="AE468" s="15" t="n">
        <f aca="false">INDEX(Ipotesi!$C$50:$G$50,1,F468)*G468/12</f>
        <v>8.33333333333333</v>
      </c>
      <c r="AF468" s="15" t="n">
        <f aca="false">(S468*Parametri_v3!$C$7*Parametri_v3!$C$8+Parametri_v3!$C$10)/12</f>
        <v>89.8333333333333</v>
      </c>
      <c r="AG468" s="15" t="n">
        <f aca="false">AD468+AE468*(1+Parametri_v3!$C$9)</f>
        <v>91.6666666666667</v>
      </c>
      <c r="AH468" s="16" t="n">
        <f aca="false">IF(AG468=0,1,MIN(1,AF468/AG468))</f>
        <v>0.98</v>
      </c>
      <c r="AI468" s="15" t="n">
        <f aca="false">AD468*AH468</f>
        <v>77.5833333333333</v>
      </c>
      <c r="AJ468" s="15" t="n">
        <f aca="false">AE468*AH468</f>
        <v>8.16666666666667</v>
      </c>
      <c r="AK468" s="15" t="n">
        <f aca="false">AI468*INDEX(Ipotesi!$C$49:$G$49,1,F468)*H468</f>
        <v>69825</v>
      </c>
      <c r="AL468" s="15" t="n">
        <f aca="false">AJ468*INDEX(Ipotesi!$C$51:$G$51,1,F468)*H468</f>
        <v>20416.6666666667</v>
      </c>
      <c r="AM468" s="15" t="n">
        <f aca="false">AK468+AL468</f>
        <v>90241.6666666667</v>
      </c>
      <c r="AN468" s="15" t="n">
        <f aca="false">INDEX(Ipotesi!$C$30:$G$30,1,F468)*G468/12</f>
        <v>61.6666666666667</v>
      </c>
      <c r="AO468" s="15" t="n">
        <f aca="false">O468*Parametri_v3!$C$7*Parametri_v3!$C$11*(1-Parametri_v3!$C$14)/12</f>
        <v>66.7333333333333</v>
      </c>
      <c r="AP468" s="15" t="n">
        <f aca="false">MIN(AN468,AO468)</f>
        <v>61.6666666666667</v>
      </c>
      <c r="AQ468" s="15" t="n">
        <f aca="false">AP468*INDEX(Ipotesi!$C$31:$G$31,1,F468)*H468</f>
        <v>64750</v>
      </c>
      <c r="AR468" s="15" t="n">
        <f aca="false">INDEX(Ipotesi!$C$75:$G$75,1,F468)*J468/12</f>
        <v>27916.6666666667</v>
      </c>
      <c r="AS468" s="15" t="n">
        <f aca="false">INDEX(Ipotesi!$C$81:$G$81,1,F468)*J468/12</f>
        <v>1666.66666666667</v>
      </c>
      <c r="AT468" s="15" t="n">
        <f aca="false">AR468*Parametri_v3!$C$15+Z468*Parametri_v3!$C$16</f>
        <v>42258.7085416667</v>
      </c>
      <c r="AU468" s="15" t="n">
        <f aca="false">Q468*Parametri_v3!$C$16*Parametri_v3!$C$17</f>
        <v>350</v>
      </c>
      <c r="AV468" s="17" t="n">
        <f aca="false">BD467</f>
        <v>125.699603301261</v>
      </c>
      <c r="AW468" s="17" t="n">
        <f aca="false">AV468*(1-(1-INDEX(Ipotesi!$C$34:$G$34,1,F468))^(1/12))</f>
        <v>1.09881702921934</v>
      </c>
      <c r="AX468" s="15" t="n">
        <f aca="false">ROUND(INDEX(Ipotesi!$C$32:$G$32,1,F468)*Ipotesi!J8,0)</f>
        <v>310</v>
      </c>
      <c r="AY468" s="15" t="n">
        <f aca="false">MAX(0,(AX468-(AV468-AW468))/(13-E468))</f>
        <v>37.0798427455916</v>
      </c>
      <c r="AZ468" s="15" t="n">
        <f aca="false">MIN(P468*Parametri_v3!$C$22,Q468*(1-Parametri_v3!$C$16)*Parametri_v3!$C$23)</f>
        <v>225</v>
      </c>
      <c r="BA468" s="15" t="n">
        <f aca="false">IF(OR(INDEX(Ipotesi!$C$35:$G$35,1,F468)&lt;=0,44-Parametri_v3!$C$21&lt;1),0,INDEX($AT$425:$AT$484,MAX(1,44-Parametri_v3!$C$21))/(INDEX(Ipotesi!$C$35:$G$35,1,F468)*Ipotesi!J27))</f>
        <v>7.04311809027778</v>
      </c>
      <c r="BB468" s="15" t="n">
        <f aca="false">IF(44-Parametri_v3!$C$21&lt;1,0,INDEX($AU$425:$AU$484,MAX(1,44-Parametri_v3!$C$21)))*Parametri_v3!$C$18*Parametri_v3!$C$19*Parametri_v3!$C$20</f>
        <v>13.125</v>
      </c>
      <c r="BC468" s="17" t="n">
        <f aca="false">MAX(0,MIN(AY468,BA468,BB468,MAX(0,AZ468-(AV468-AW468))))</f>
        <v>7.04311809027778</v>
      </c>
      <c r="BD468" s="17" t="n">
        <f aca="false">AV468-AW468+BC468</f>
        <v>131.64390436232</v>
      </c>
      <c r="BE468" s="17" t="n">
        <f aca="false">(AV468+BD468)/2</f>
        <v>128.67175383179</v>
      </c>
      <c r="BF468" s="15" t="n">
        <f aca="false">BE468*INDEX(Ipotesi!$C$33:$G$33,1,F468)*H468/12</f>
        <v>64335.8769158952</v>
      </c>
      <c r="BG468" s="15" t="n">
        <f aca="false">BD468*INDEX(Ipotesi!$C$33:$G$33,1,F468)*H468</f>
        <v>789863.426173918</v>
      </c>
      <c r="BH468" s="15" t="n">
        <f aca="false">AM468*INDEX(Ipotesi!$C$37:$G$37,1,F468)</f>
        <v>9024.16666666667</v>
      </c>
      <c r="BI468" s="15" t="n">
        <f aca="false">AQ468+BF468+BH468</f>
        <v>138110.043582562</v>
      </c>
      <c r="BJ468" s="15" t="n">
        <f aca="false">INDEX(Ipotesi!$C$68:$G$68,1,F468)*Ipotesi!$C$69/12</f>
        <v>3000</v>
      </c>
      <c r="BK468" s="15" t="n">
        <f aca="false">INDEX(Ipotesi!$C$68:$G$68,1,F468)*(1-Ipotesi!$C$69)/12</f>
        <v>4500</v>
      </c>
      <c r="BL468" s="15" t="n">
        <f aca="false">(AQ468+BF468)*Ipotesi!$C$67</f>
        <v>3872.57630747686</v>
      </c>
      <c r="BM468" s="15" t="n">
        <f aca="false">AM468*Ipotesi!$C$67</f>
        <v>2707.25</v>
      </c>
      <c r="BN468" s="15" t="n">
        <f aca="false">INDEX(Ipotesi!$C$72:$G$72,1,F468)/12*Ipotesi!J126+BF468*Ipotesi!$C$73</f>
        <v>6396.87015327162</v>
      </c>
      <c r="BO468" s="15" t="n">
        <f aca="false">INDEX(Ipotesi!$C$74:$G$74,1,F468)/12*Ipotesi!J126</f>
        <v>4166.66666666667</v>
      </c>
      <c r="BP468" s="15" t="n">
        <f aca="false">INDEX(Ipotesi!$C$76:$G$76,1,F468)/12</f>
        <v>1500</v>
      </c>
      <c r="BQ468" s="15" t="n">
        <f aca="false">INDEX(Ipotesi!$C$77:$G$77,1,F468)/12*Ipotesi!J126</f>
        <v>2083.33333333333</v>
      </c>
      <c r="BR468" s="15" t="n">
        <f aca="false">INDEX(Ipotesi!$C$78:$G$78,1,F468)/12</f>
        <v>2000</v>
      </c>
      <c r="BS468" s="15" t="n">
        <f aca="false">SUM(M468:R468)*(Ipotesi!$C$85+Ipotesi!$C$86)/12</f>
        <v>6125</v>
      </c>
      <c r="BT468" s="15" t="n">
        <f aca="false">BI468*Ipotesi!$C$87</f>
        <v>4143.30130747686</v>
      </c>
      <c r="BU468" s="15" t="n">
        <f aca="false">INDEX(Ipotesi!$C$55:$G$55,1,F468)*K468/12</f>
        <v>2000</v>
      </c>
      <c r="BV468" s="15" t="n">
        <f aca="false">INDEX(Ipotesi!$C$80:$G$80,1,F468)/12*Ipotesi!J126</f>
        <v>1666.66666666667</v>
      </c>
      <c r="BW468" s="15" t="n">
        <f aca="false">INDEX(Ipotesi!$C$82:$G$82,1,F468)/12</f>
        <v>1250</v>
      </c>
      <c r="BX468" s="15" t="n">
        <f aca="false">INDEX(Ipotesi!$C$83:$G$83,1,F468)/12</f>
        <v>750</v>
      </c>
      <c r="BY468" s="15" t="n">
        <f aca="false">SUM(S468:U468)*(Ipotesi!$C$85+Ipotesi!$C$86)/12</f>
        <v>2479.16666666667</v>
      </c>
      <c r="BZ468" s="15" t="n">
        <f aca="false">AM468*Ipotesi!$C$87</f>
        <v>2707.25</v>
      </c>
      <c r="CA468" s="15" t="n">
        <f aca="false">AB468+BJ468+BL468+BN468+BO468+AR468+BP468+BQ468+BR468+BS468+BT468</f>
        <v>157677.498393225</v>
      </c>
      <c r="CB468" s="15" t="n">
        <f aca="false">AC468+BK468+BM468+BH468+BU468+BV468+AS468+BW468+BX468+BY468+BZ468</f>
        <v>62580.173375</v>
      </c>
      <c r="CC468" s="15" t="n">
        <f aca="false">BI468-CA468</f>
        <v>-19567.4548106635</v>
      </c>
      <c r="CD468" s="15" t="n">
        <f aca="false">AM468-CB468</f>
        <v>27661.4932916667</v>
      </c>
      <c r="CE468" s="15" t="n">
        <f aca="false">INDEX(Ipotesi!$C$79:$G$79,1,F468)/12</f>
        <v>3333.33333333333</v>
      </c>
      <c r="CF468" s="15" t="n">
        <f aca="false">INDEX(Ipotesi!$C$84:$G$84,1,F468)/12</f>
        <v>666.666666666667</v>
      </c>
      <c r="CG468" s="15" t="n">
        <f aca="false">Y468*MAX(0,Parametri_v3!$C$12-IF(P468=0,0,MIN(1,BE468/(P468*Parametri_v3!$C$22))))+W468*Parametri_v3!$C$13+X468*Parametri_v3!$C$14</f>
        <v>30565.7708521104</v>
      </c>
      <c r="CH468" s="15" t="n">
        <f aca="false">AB468*Parametri_v3!$C$32</f>
        <v>4823.65419791667</v>
      </c>
      <c r="CI468" s="15" t="n">
        <f aca="false">AC468*Parametri_v3!$C$32</f>
        <v>1691.45033541667</v>
      </c>
      <c r="CJ468" s="15" t="n">
        <f aca="false">CA468-AB468</f>
        <v>61204.414434892</v>
      </c>
      <c r="CK468" s="15" t="n">
        <f aca="false">CB468-AC468-BH468</f>
        <v>19727</v>
      </c>
      <c r="CL468" s="15" t="n">
        <f aca="false">BF468*Ipotesi!$C$73+INDEX(Ipotesi!$C$72:$G$72,1,F468)/12*Ipotesi!J126*Parametri_v3!$C$58+Z468*(1-Parametri_v3!$C$16)</f>
        <v>12543.4595282716</v>
      </c>
      <c r="CM468" s="16" t="n">
        <f aca="false">IF(BF468=0,0,1-CL468/BF468)</f>
        <v>0.80503165372768</v>
      </c>
    </row>
    <row r="469" customFormat="false" ht="18" hidden="false" customHeight="true" outlineLevel="0" collapsed="false">
      <c r="A469" s="68" t="n">
        <f aca="false">8</f>
        <v>8</v>
      </c>
      <c r="B469" s="68" t="n">
        <f aca="false">45</f>
        <v>45</v>
      </c>
      <c r="C469" s="18" t="n">
        <f aca="false">EDATE(Parametri_v3!$C$5,45-1)</f>
        <v>47727</v>
      </c>
      <c r="D469" s="68" t="n">
        <f aca="false">YEAR(C469)</f>
        <v>2030</v>
      </c>
      <c r="E469" s="68" t="n">
        <f aca="false">MONTH(C469)</f>
        <v>9</v>
      </c>
      <c r="F469" s="68" t="n">
        <f aca="false">INT((45-1)/12)+1</f>
        <v>4</v>
      </c>
      <c r="G469" s="15" t="n">
        <f aca="false">Ipotesi!J7</f>
        <v>1</v>
      </c>
      <c r="H469" s="15" t="n">
        <f aca="false">Ipotesi!J9</f>
        <v>1</v>
      </c>
      <c r="I469" s="15" t="n">
        <f aca="false">Ipotesi!J10</f>
        <v>1</v>
      </c>
      <c r="J469" s="15" t="n">
        <f aca="false">Ipotesi!J11</f>
        <v>1</v>
      </c>
      <c r="K469" s="15" t="n">
        <f aca="false">Ipotesi!J12</f>
        <v>1</v>
      </c>
      <c r="L469" s="15" t="n">
        <f aca="false">Ipotesi!J13</f>
        <v>90</v>
      </c>
      <c r="M469" s="17" t="n">
        <f aca="false">INDEX(Ipotesi!$C$40:$G$40,1,F469)</f>
        <v>1</v>
      </c>
      <c r="N469" s="17" t="n">
        <f aca="false">INDEX(Ipotesi!$C$41:$G$41,1,F469)</f>
        <v>1</v>
      </c>
      <c r="O469" s="17" t="n">
        <f aca="false">INDEX(Ipotesi!$C$42:$G$42,1,F469)*Ipotesi!J125</f>
        <v>6.5</v>
      </c>
      <c r="P469" s="17" t="n">
        <f aca="false">INDEX(Ipotesi!$C$43:$G$43,1,F469)*I469</f>
        <v>6</v>
      </c>
      <c r="Q469" s="17" t="n">
        <f aca="false">INDEX(Ipotesi!$C$44:$G$44,1,F469)*I469</f>
        <v>5</v>
      </c>
      <c r="R469" s="17" t="n">
        <f aca="false">INDEX(Ipotesi!$C$45:$G$45,1,F469)*I469</f>
        <v>1.5</v>
      </c>
      <c r="S469" s="17" t="n">
        <f aca="false">INDEX(Ipotesi!$C$52:$G$52,1,F469)*Ipotesi!J125</f>
        <v>7</v>
      </c>
      <c r="T469" s="17" t="n">
        <f aca="false">INDEX(Ipotesi!$C$53:$G$53,1,F469)*I469</f>
        <v>1</v>
      </c>
      <c r="U469" s="17" t="n">
        <f aca="false">INDEX(Ipotesi!$C$54:$G$54,1,F469)*I469</f>
        <v>0.5</v>
      </c>
      <c r="V469" s="15" t="n">
        <f aca="false">M469*INDEX(Ipotesi!$C$58:$G$58,1,F469)*K469/12</f>
        <v>7916.66666666667</v>
      </c>
      <c r="W469" s="15" t="n">
        <f aca="false">N469*Ipotesi!$C$59*(1+Ipotesi!$C$66)^(F469-1)/12</f>
        <v>6374.24083333333</v>
      </c>
      <c r="X469" s="15" t="n">
        <f aca="false">O469*Ipotesi!$C$60*(1+Ipotesi!$C$66)^(F469-1)/12</f>
        <v>29594.6895833333</v>
      </c>
      <c r="Y469" s="15" t="n">
        <f aca="false">P469*Ipotesi!$C$61*(1+Ipotesi!$C$66)^(F469-1)/12</f>
        <v>27318.175</v>
      </c>
      <c r="Z469" s="15" t="n">
        <f aca="false">Q469*Ipotesi!$C$62*(1+Ipotesi!$C$66)^(F469-1)/12</f>
        <v>20488.63125</v>
      </c>
      <c r="AA469" s="15" t="n">
        <f aca="false">R469*Ipotesi!$C$63*(1+Ipotesi!$C$66)^(F469-1)/12</f>
        <v>4780.680625</v>
      </c>
      <c r="AB469" s="15" t="n">
        <f aca="false">SUM(V469:AA469)</f>
        <v>96473.0839583333</v>
      </c>
      <c r="AC469" s="15" t="n">
        <f aca="false">(S469*Ipotesi!$C$64+T469*Ipotesi!$C$65+U469*Ipotesi!$C$63)*(1+Ipotesi!$C$66)^(F469-1)/12</f>
        <v>33829.0067083333</v>
      </c>
      <c r="AD469" s="15" t="n">
        <f aca="false">INDEX(Ipotesi!$C$48:$G$48,1,F469)*G469/12</f>
        <v>79.1666666666667</v>
      </c>
      <c r="AE469" s="15" t="n">
        <f aca="false">INDEX(Ipotesi!$C$50:$G$50,1,F469)*G469/12</f>
        <v>8.33333333333333</v>
      </c>
      <c r="AF469" s="15" t="n">
        <f aca="false">(S469*Parametri_v3!$C$7*Parametri_v3!$C$8+Parametri_v3!$C$10)/12</f>
        <v>89.8333333333333</v>
      </c>
      <c r="AG469" s="15" t="n">
        <f aca="false">AD469+AE469*(1+Parametri_v3!$C$9)</f>
        <v>91.6666666666667</v>
      </c>
      <c r="AH469" s="16" t="n">
        <f aca="false">IF(AG469=0,1,MIN(1,AF469/AG469))</f>
        <v>0.98</v>
      </c>
      <c r="AI469" s="15" t="n">
        <f aca="false">AD469*AH469</f>
        <v>77.5833333333333</v>
      </c>
      <c r="AJ469" s="15" t="n">
        <f aca="false">AE469*AH469</f>
        <v>8.16666666666667</v>
      </c>
      <c r="AK469" s="15" t="n">
        <f aca="false">AI469*INDEX(Ipotesi!$C$49:$G$49,1,F469)*H469</f>
        <v>69825</v>
      </c>
      <c r="AL469" s="15" t="n">
        <f aca="false">AJ469*INDEX(Ipotesi!$C$51:$G$51,1,F469)*H469</f>
        <v>20416.6666666667</v>
      </c>
      <c r="AM469" s="15" t="n">
        <f aca="false">AK469+AL469</f>
        <v>90241.6666666667</v>
      </c>
      <c r="AN469" s="15" t="n">
        <f aca="false">INDEX(Ipotesi!$C$30:$G$30,1,F469)*G469/12</f>
        <v>61.6666666666667</v>
      </c>
      <c r="AO469" s="15" t="n">
        <f aca="false">O469*Parametri_v3!$C$7*Parametri_v3!$C$11*(1-Parametri_v3!$C$14)/12</f>
        <v>66.7333333333333</v>
      </c>
      <c r="AP469" s="15" t="n">
        <f aca="false">MIN(AN469,AO469)</f>
        <v>61.6666666666667</v>
      </c>
      <c r="AQ469" s="15" t="n">
        <f aca="false">AP469*INDEX(Ipotesi!$C$31:$G$31,1,F469)*H469</f>
        <v>64750</v>
      </c>
      <c r="AR469" s="15" t="n">
        <f aca="false">INDEX(Ipotesi!$C$75:$G$75,1,F469)*J469/12</f>
        <v>27916.6666666667</v>
      </c>
      <c r="AS469" s="15" t="n">
        <f aca="false">INDEX(Ipotesi!$C$81:$G$81,1,F469)*J469/12</f>
        <v>1666.66666666667</v>
      </c>
      <c r="AT469" s="15" t="n">
        <f aca="false">AR469*Parametri_v3!$C$15+Z469*Parametri_v3!$C$16</f>
        <v>42258.7085416667</v>
      </c>
      <c r="AU469" s="15" t="n">
        <f aca="false">Q469*Parametri_v3!$C$16*Parametri_v3!$C$17</f>
        <v>350</v>
      </c>
      <c r="AV469" s="17" t="n">
        <f aca="false">BD468</f>
        <v>131.64390436232</v>
      </c>
      <c r="AW469" s="17" t="n">
        <f aca="false">AV469*(1-(1-INDEX(Ipotesi!$C$34:$G$34,1,F469))^(1/12))</f>
        <v>1.1507797964927</v>
      </c>
      <c r="AX469" s="15" t="n">
        <f aca="false">ROUND(INDEX(Ipotesi!$C$32:$G$32,1,F469)*Ipotesi!J8,0)</f>
        <v>310</v>
      </c>
      <c r="AY469" s="15" t="n">
        <f aca="false">MAX(0,(AX469-(AV469-AW469))/(13-E469))</f>
        <v>44.8767188585433</v>
      </c>
      <c r="AZ469" s="15" t="n">
        <f aca="false">MIN(P469*Parametri_v3!$C$22,Q469*(1-Parametri_v3!$C$16)*Parametri_v3!$C$23)</f>
        <v>225</v>
      </c>
      <c r="BA469" s="15" t="n">
        <f aca="false">IF(OR(INDEX(Ipotesi!$C$35:$G$35,1,F469)&lt;=0,45-Parametri_v3!$C$21&lt;1),0,INDEX($AT$425:$AT$484,MAX(1,45-Parametri_v3!$C$21))/(INDEX(Ipotesi!$C$35:$G$35,1,F469)*Ipotesi!J27))</f>
        <v>7.04311809027778</v>
      </c>
      <c r="BB469" s="15" t="n">
        <f aca="false">IF(45-Parametri_v3!$C$21&lt;1,0,INDEX($AU$425:$AU$484,MAX(1,45-Parametri_v3!$C$21)))*Parametri_v3!$C$18*Parametri_v3!$C$19*Parametri_v3!$C$20</f>
        <v>13.125</v>
      </c>
      <c r="BC469" s="17" t="n">
        <f aca="false">MAX(0,MIN(AY469,BA469,BB469,MAX(0,AZ469-(AV469-AW469))))</f>
        <v>7.04311809027778</v>
      </c>
      <c r="BD469" s="17" t="n">
        <f aca="false">AV469-AW469+BC469</f>
        <v>137.536242656105</v>
      </c>
      <c r="BE469" s="17" t="n">
        <f aca="false">(AV469+BD469)/2</f>
        <v>134.590073509212</v>
      </c>
      <c r="BF469" s="15" t="n">
        <f aca="false">BE469*INDEX(Ipotesi!$C$33:$G$33,1,F469)*H469/12</f>
        <v>67295.0367546061</v>
      </c>
      <c r="BG469" s="15" t="n">
        <f aca="false">BD469*INDEX(Ipotesi!$C$33:$G$33,1,F469)*H469</f>
        <v>825217.455936628</v>
      </c>
      <c r="BH469" s="15" t="n">
        <f aca="false">AM469*INDEX(Ipotesi!$C$37:$G$37,1,F469)</f>
        <v>9024.16666666667</v>
      </c>
      <c r="BI469" s="15" t="n">
        <f aca="false">AQ469+BF469+BH469</f>
        <v>141069.203421273</v>
      </c>
      <c r="BJ469" s="15" t="n">
        <f aca="false">INDEX(Ipotesi!$C$68:$G$68,1,F469)*Ipotesi!$C$69/12</f>
        <v>3000</v>
      </c>
      <c r="BK469" s="15" t="n">
        <f aca="false">INDEX(Ipotesi!$C$68:$G$68,1,F469)*(1-Ipotesi!$C$69)/12</f>
        <v>4500</v>
      </c>
      <c r="BL469" s="15" t="n">
        <f aca="false">(AQ469+BF469)*Ipotesi!$C$67</f>
        <v>3961.35110263818</v>
      </c>
      <c r="BM469" s="15" t="n">
        <f aca="false">AM469*Ipotesi!$C$67</f>
        <v>2707.25</v>
      </c>
      <c r="BN469" s="15" t="n">
        <f aca="false">INDEX(Ipotesi!$C$72:$G$72,1,F469)/12*Ipotesi!J126+BF469*Ipotesi!$C$73</f>
        <v>6633.60294036849</v>
      </c>
      <c r="BO469" s="15" t="n">
        <f aca="false">INDEX(Ipotesi!$C$74:$G$74,1,F469)/12*Ipotesi!J126</f>
        <v>4166.66666666667</v>
      </c>
      <c r="BP469" s="15" t="n">
        <f aca="false">INDEX(Ipotesi!$C$76:$G$76,1,F469)/12</f>
        <v>1500</v>
      </c>
      <c r="BQ469" s="15" t="n">
        <f aca="false">INDEX(Ipotesi!$C$77:$G$77,1,F469)/12*Ipotesi!J126</f>
        <v>2083.33333333333</v>
      </c>
      <c r="BR469" s="15" t="n">
        <f aca="false">INDEX(Ipotesi!$C$78:$G$78,1,F469)/12</f>
        <v>2000</v>
      </c>
      <c r="BS469" s="15" t="n">
        <f aca="false">SUM(M469:R469)*(Ipotesi!$C$85+Ipotesi!$C$86)/12</f>
        <v>6125</v>
      </c>
      <c r="BT469" s="15" t="n">
        <f aca="false">BI469*Ipotesi!$C$87</f>
        <v>4232.07610263818</v>
      </c>
      <c r="BU469" s="15" t="n">
        <f aca="false">INDEX(Ipotesi!$C$55:$G$55,1,F469)*K469/12</f>
        <v>2000</v>
      </c>
      <c r="BV469" s="15" t="n">
        <f aca="false">INDEX(Ipotesi!$C$80:$G$80,1,F469)/12*Ipotesi!J126</f>
        <v>1666.66666666667</v>
      </c>
      <c r="BW469" s="15" t="n">
        <f aca="false">INDEX(Ipotesi!$C$82:$G$82,1,F469)/12</f>
        <v>1250</v>
      </c>
      <c r="BX469" s="15" t="n">
        <f aca="false">INDEX(Ipotesi!$C$83:$G$83,1,F469)/12</f>
        <v>750</v>
      </c>
      <c r="BY469" s="15" t="n">
        <f aca="false">SUM(S469:U469)*(Ipotesi!$C$85+Ipotesi!$C$86)/12</f>
        <v>2479.16666666667</v>
      </c>
      <c r="BZ469" s="15" t="n">
        <f aca="false">AM469*Ipotesi!$C$87</f>
        <v>2707.25</v>
      </c>
      <c r="CA469" s="15" t="n">
        <f aca="false">AB469+BJ469+BL469+BN469+BO469+AR469+BP469+BQ469+BR469+BS469+BT469</f>
        <v>158091.780770645</v>
      </c>
      <c r="CB469" s="15" t="n">
        <f aca="false">AC469+BK469+BM469+BH469+BU469+BV469+AS469+BW469+BX469+BY469+BZ469</f>
        <v>62580.173375</v>
      </c>
      <c r="CC469" s="15" t="n">
        <f aca="false">BI469-CA469</f>
        <v>-17022.5773493721</v>
      </c>
      <c r="CD469" s="15" t="n">
        <f aca="false">AM469-CB469</f>
        <v>27661.4932916667</v>
      </c>
      <c r="CE469" s="15" t="n">
        <f aca="false">INDEX(Ipotesi!$C$79:$G$79,1,F469)/12</f>
        <v>3333.33333333333</v>
      </c>
      <c r="CF469" s="15" t="n">
        <f aca="false">INDEX(Ipotesi!$C$84:$G$84,1,F469)/12</f>
        <v>666.666666666667</v>
      </c>
      <c r="CG469" s="15" t="n">
        <f aca="false">Y469*MAX(0,Parametri_v3!$C$12-IF(P469=0,0,MIN(1,BE469/(P469*Parametri_v3!$C$22))))+W469*Parametri_v3!$C$13+X469*Parametri_v3!$C$14</f>
        <v>30296.3080310208</v>
      </c>
      <c r="CH469" s="15" t="n">
        <f aca="false">AB469*Parametri_v3!$C$32</f>
        <v>4823.65419791667</v>
      </c>
      <c r="CI469" s="15" t="n">
        <f aca="false">AC469*Parametri_v3!$C$32</f>
        <v>1691.45033541667</v>
      </c>
      <c r="CJ469" s="15" t="n">
        <f aca="false">CA469-AB469</f>
        <v>61618.6968123115</v>
      </c>
      <c r="CK469" s="15" t="n">
        <f aca="false">CB469-AC469-BH469</f>
        <v>19727</v>
      </c>
      <c r="CL469" s="15" t="n">
        <f aca="false">BF469*Ipotesi!$C$73+INDEX(Ipotesi!$C$72:$G$72,1,F469)/12*Ipotesi!J126*Parametri_v3!$C$58+Z469*(1-Parametri_v3!$C$16)</f>
        <v>12780.1923153685</v>
      </c>
      <c r="CM469" s="16" t="n">
        <f aca="false">IF(BF469=0,0,1-CL469/BF469)</f>
        <v>0.810087148596531</v>
      </c>
    </row>
    <row r="470" customFormat="false" ht="18" hidden="false" customHeight="true" outlineLevel="0" collapsed="false">
      <c r="A470" s="68" t="n">
        <f aca="false">8</f>
        <v>8</v>
      </c>
      <c r="B470" s="68" t="n">
        <f aca="false">46</f>
        <v>46</v>
      </c>
      <c r="C470" s="18" t="n">
        <f aca="false">EDATE(Parametri_v3!$C$5,46-1)</f>
        <v>47757</v>
      </c>
      <c r="D470" s="68" t="n">
        <f aca="false">YEAR(C470)</f>
        <v>2030</v>
      </c>
      <c r="E470" s="68" t="n">
        <f aca="false">MONTH(C470)</f>
        <v>10</v>
      </c>
      <c r="F470" s="68" t="n">
        <f aca="false">INT((46-1)/12)+1</f>
        <v>4</v>
      </c>
      <c r="G470" s="15" t="n">
        <f aca="false">Ipotesi!J7</f>
        <v>1</v>
      </c>
      <c r="H470" s="15" t="n">
        <f aca="false">Ipotesi!J9</f>
        <v>1</v>
      </c>
      <c r="I470" s="15" t="n">
        <f aca="false">Ipotesi!J10</f>
        <v>1</v>
      </c>
      <c r="J470" s="15" t="n">
        <f aca="false">Ipotesi!J11</f>
        <v>1</v>
      </c>
      <c r="K470" s="15" t="n">
        <f aca="false">Ipotesi!J12</f>
        <v>1</v>
      </c>
      <c r="L470" s="15" t="n">
        <f aca="false">Ipotesi!J13</f>
        <v>90</v>
      </c>
      <c r="M470" s="17" t="n">
        <f aca="false">INDEX(Ipotesi!$C$40:$G$40,1,F470)</f>
        <v>1</v>
      </c>
      <c r="N470" s="17" t="n">
        <f aca="false">INDEX(Ipotesi!$C$41:$G$41,1,F470)</f>
        <v>1</v>
      </c>
      <c r="O470" s="17" t="n">
        <f aca="false">INDEX(Ipotesi!$C$42:$G$42,1,F470)*Ipotesi!J125</f>
        <v>6.5</v>
      </c>
      <c r="P470" s="17" t="n">
        <f aca="false">INDEX(Ipotesi!$C$43:$G$43,1,F470)*I470</f>
        <v>6</v>
      </c>
      <c r="Q470" s="17" t="n">
        <f aca="false">INDEX(Ipotesi!$C$44:$G$44,1,F470)*I470</f>
        <v>5</v>
      </c>
      <c r="R470" s="17" t="n">
        <f aca="false">INDEX(Ipotesi!$C$45:$G$45,1,F470)*I470</f>
        <v>1.5</v>
      </c>
      <c r="S470" s="17" t="n">
        <f aca="false">INDEX(Ipotesi!$C$52:$G$52,1,F470)*Ipotesi!J125</f>
        <v>7</v>
      </c>
      <c r="T470" s="17" t="n">
        <f aca="false">INDEX(Ipotesi!$C$53:$G$53,1,F470)*I470</f>
        <v>1</v>
      </c>
      <c r="U470" s="17" t="n">
        <f aca="false">INDEX(Ipotesi!$C$54:$G$54,1,F470)*I470</f>
        <v>0.5</v>
      </c>
      <c r="V470" s="15" t="n">
        <f aca="false">M470*INDEX(Ipotesi!$C$58:$G$58,1,F470)*K470/12</f>
        <v>7916.66666666667</v>
      </c>
      <c r="W470" s="15" t="n">
        <f aca="false">N470*Ipotesi!$C$59*(1+Ipotesi!$C$66)^(F470-1)/12</f>
        <v>6374.24083333333</v>
      </c>
      <c r="X470" s="15" t="n">
        <f aca="false">O470*Ipotesi!$C$60*(1+Ipotesi!$C$66)^(F470-1)/12</f>
        <v>29594.6895833333</v>
      </c>
      <c r="Y470" s="15" t="n">
        <f aca="false">P470*Ipotesi!$C$61*(1+Ipotesi!$C$66)^(F470-1)/12</f>
        <v>27318.175</v>
      </c>
      <c r="Z470" s="15" t="n">
        <f aca="false">Q470*Ipotesi!$C$62*(1+Ipotesi!$C$66)^(F470-1)/12</f>
        <v>20488.63125</v>
      </c>
      <c r="AA470" s="15" t="n">
        <f aca="false">R470*Ipotesi!$C$63*(1+Ipotesi!$C$66)^(F470-1)/12</f>
        <v>4780.680625</v>
      </c>
      <c r="AB470" s="15" t="n">
        <f aca="false">SUM(V470:AA470)</f>
        <v>96473.0839583333</v>
      </c>
      <c r="AC470" s="15" t="n">
        <f aca="false">(S470*Ipotesi!$C$64+T470*Ipotesi!$C$65+U470*Ipotesi!$C$63)*(1+Ipotesi!$C$66)^(F470-1)/12</f>
        <v>33829.0067083333</v>
      </c>
      <c r="AD470" s="15" t="n">
        <f aca="false">INDEX(Ipotesi!$C$48:$G$48,1,F470)*G470/12</f>
        <v>79.1666666666667</v>
      </c>
      <c r="AE470" s="15" t="n">
        <f aca="false">INDEX(Ipotesi!$C$50:$G$50,1,F470)*G470/12</f>
        <v>8.33333333333333</v>
      </c>
      <c r="AF470" s="15" t="n">
        <f aca="false">(S470*Parametri_v3!$C$7*Parametri_v3!$C$8+Parametri_v3!$C$10)/12</f>
        <v>89.8333333333333</v>
      </c>
      <c r="AG470" s="15" t="n">
        <f aca="false">AD470+AE470*(1+Parametri_v3!$C$9)</f>
        <v>91.6666666666667</v>
      </c>
      <c r="AH470" s="16" t="n">
        <f aca="false">IF(AG470=0,1,MIN(1,AF470/AG470))</f>
        <v>0.98</v>
      </c>
      <c r="AI470" s="15" t="n">
        <f aca="false">AD470*AH470</f>
        <v>77.5833333333333</v>
      </c>
      <c r="AJ470" s="15" t="n">
        <f aca="false">AE470*AH470</f>
        <v>8.16666666666667</v>
      </c>
      <c r="AK470" s="15" t="n">
        <f aca="false">AI470*INDEX(Ipotesi!$C$49:$G$49,1,F470)*H470</f>
        <v>69825</v>
      </c>
      <c r="AL470" s="15" t="n">
        <f aca="false">AJ470*INDEX(Ipotesi!$C$51:$G$51,1,F470)*H470</f>
        <v>20416.6666666667</v>
      </c>
      <c r="AM470" s="15" t="n">
        <f aca="false">AK470+AL470</f>
        <v>90241.6666666667</v>
      </c>
      <c r="AN470" s="15" t="n">
        <f aca="false">INDEX(Ipotesi!$C$30:$G$30,1,F470)*G470/12</f>
        <v>61.6666666666667</v>
      </c>
      <c r="AO470" s="15" t="n">
        <f aca="false">O470*Parametri_v3!$C$7*Parametri_v3!$C$11*(1-Parametri_v3!$C$14)/12</f>
        <v>66.7333333333333</v>
      </c>
      <c r="AP470" s="15" t="n">
        <f aca="false">MIN(AN470,AO470)</f>
        <v>61.6666666666667</v>
      </c>
      <c r="AQ470" s="15" t="n">
        <f aca="false">AP470*INDEX(Ipotesi!$C$31:$G$31,1,F470)*H470</f>
        <v>64750</v>
      </c>
      <c r="AR470" s="15" t="n">
        <f aca="false">INDEX(Ipotesi!$C$75:$G$75,1,F470)*J470/12</f>
        <v>27916.6666666667</v>
      </c>
      <c r="AS470" s="15" t="n">
        <f aca="false">INDEX(Ipotesi!$C$81:$G$81,1,F470)*J470/12</f>
        <v>1666.66666666667</v>
      </c>
      <c r="AT470" s="15" t="n">
        <f aca="false">AR470*Parametri_v3!$C$15+Z470*Parametri_v3!$C$16</f>
        <v>42258.7085416667</v>
      </c>
      <c r="AU470" s="15" t="n">
        <f aca="false">Q470*Parametri_v3!$C$16*Parametri_v3!$C$17</f>
        <v>350</v>
      </c>
      <c r="AV470" s="17" t="n">
        <f aca="false">BD469</f>
        <v>137.536242656105</v>
      </c>
      <c r="AW470" s="17" t="n">
        <f aca="false">AV470*(1-(1-INDEX(Ipotesi!$C$34:$G$34,1,F470))^(1/12))</f>
        <v>1.20228832547043</v>
      </c>
      <c r="AX470" s="15" t="n">
        <f aca="false">ROUND(INDEX(Ipotesi!$C$32:$G$32,1,F470)*Ipotesi!J8,0)</f>
        <v>310</v>
      </c>
      <c r="AY470" s="15" t="n">
        <f aca="false">MAX(0,(AX470-(AV470-AW470))/(13-E470))</f>
        <v>57.8886818897886</v>
      </c>
      <c r="AZ470" s="15" t="n">
        <f aca="false">MIN(P470*Parametri_v3!$C$22,Q470*(1-Parametri_v3!$C$16)*Parametri_v3!$C$23)</f>
        <v>225</v>
      </c>
      <c r="BA470" s="15" t="n">
        <f aca="false">IF(OR(INDEX(Ipotesi!$C$35:$G$35,1,F470)&lt;=0,46-Parametri_v3!$C$21&lt;1),0,INDEX($AT$425:$AT$484,MAX(1,46-Parametri_v3!$C$21))/(INDEX(Ipotesi!$C$35:$G$35,1,F470)*Ipotesi!J27))</f>
        <v>7.04311809027778</v>
      </c>
      <c r="BB470" s="15" t="n">
        <f aca="false">IF(46-Parametri_v3!$C$21&lt;1,0,INDEX($AU$425:$AU$484,MAX(1,46-Parametri_v3!$C$21)))*Parametri_v3!$C$18*Parametri_v3!$C$19*Parametri_v3!$C$20</f>
        <v>13.125</v>
      </c>
      <c r="BC470" s="17" t="n">
        <f aca="false">MAX(0,MIN(AY470,BA470,BB470,MAX(0,AZ470-(AV470-AW470))))</f>
        <v>7.04311809027778</v>
      </c>
      <c r="BD470" s="17" t="n">
        <f aca="false">AV470-AW470+BC470</f>
        <v>143.377072420912</v>
      </c>
      <c r="BE470" s="17" t="n">
        <f aca="false">(AV470+BD470)/2</f>
        <v>140.456657538508</v>
      </c>
      <c r="BF470" s="15" t="n">
        <f aca="false">BE470*INDEX(Ipotesi!$C$33:$G$33,1,F470)*H470/12</f>
        <v>70228.3287692542</v>
      </c>
      <c r="BG470" s="15" t="n">
        <f aca="false">BD470*INDEX(Ipotesi!$C$33:$G$33,1,F470)*H470</f>
        <v>860262.434525473</v>
      </c>
      <c r="BH470" s="15" t="n">
        <f aca="false">AM470*INDEX(Ipotesi!$C$37:$G$37,1,F470)</f>
        <v>9024.16666666667</v>
      </c>
      <c r="BI470" s="15" t="n">
        <f aca="false">AQ470+BF470+BH470</f>
        <v>144002.495435921</v>
      </c>
      <c r="BJ470" s="15" t="n">
        <f aca="false">INDEX(Ipotesi!$C$68:$G$68,1,F470)*Ipotesi!$C$69/12</f>
        <v>3000</v>
      </c>
      <c r="BK470" s="15" t="n">
        <f aca="false">INDEX(Ipotesi!$C$68:$G$68,1,F470)*(1-Ipotesi!$C$69)/12</f>
        <v>4500</v>
      </c>
      <c r="BL470" s="15" t="n">
        <f aca="false">(AQ470+BF470)*Ipotesi!$C$67</f>
        <v>4049.34986307763</v>
      </c>
      <c r="BM470" s="15" t="n">
        <f aca="false">AM470*Ipotesi!$C$67</f>
        <v>2707.25</v>
      </c>
      <c r="BN470" s="15" t="n">
        <f aca="false">INDEX(Ipotesi!$C$72:$G$72,1,F470)/12*Ipotesi!J126+BF470*Ipotesi!$C$73</f>
        <v>6868.26630154034</v>
      </c>
      <c r="BO470" s="15" t="n">
        <f aca="false">INDEX(Ipotesi!$C$74:$G$74,1,F470)/12*Ipotesi!J126</f>
        <v>4166.66666666667</v>
      </c>
      <c r="BP470" s="15" t="n">
        <f aca="false">INDEX(Ipotesi!$C$76:$G$76,1,F470)/12</f>
        <v>1500</v>
      </c>
      <c r="BQ470" s="15" t="n">
        <f aca="false">INDEX(Ipotesi!$C$77:$G$77,1,F470)/12*Ipotesi!J126</f>
        <v>2083.33333333333</v>
      </c>
      <c r="BR470" s="15" t="n">
        <f aca="false">INDEX(Ipotesi!$C$78:$G$78,1,F470)/12</f>
        <v>2000</v>
      </c>
      <c r="BS470" s="15" t="n">
        <f aca="false">SUM(M470:R470)*(Ipotesi!$C$85+Ipotesi!$C$86)/12</f>
        <v>6125</v>
      </c>
      <c r="BT470" s="15" t="n">
        <f aca="false">BI470*Ipotesi!$C$87</f>
        <v>4320.07486307763</v>
      </c>
      <c r="BU470" s="15" t="n">
        <f aca="false">INDEX(Ipotesi!$C$55:$G$55,1,F470)*K470/12</f>
        <v>2000</v>
      </c>
      <c r="BV470" s="15" t="n">
        <f aca="false">INDEX(Ipotesi!$C$80:$G$80,1,F470)/12*Ipotesi!J126</f>
        <v>1666.66666666667</v>
      </c>
      <c r="BW470" s="15" t="n">
        <f aca="false">INDEX(Ipotesi!$C$82:$G$82,1,F470)/12</f>
        <v>1250</v>
      </c>
      <c r="BX470" s="15" t="n">
        <f aca="false">INDEX(Ipotesi!$C$83:$G$83,1,F470)/12</f>
        <v>750</v>
      </c>
      <c r="BY470" s="15" t="n">
        <f aca="false">SUM(S470:U470)*(Ipotesi!$C$85+Ipotesi!$C$86)/12</f>
        <v>2479.16666666667</v>
      </c>
      <c r="BZ470" s="15" t="n">
        <f aca="false">AM470*Ipotesi!$C$87</f>
        <v>2707.25</v>
      </c>
      <c r="CA470" s="15" t="n">
        <f aca="false">AB470+BJ470+BL470+BN470+BO470+AR470+BP470+BQ470+BR470+BS470+BT470</f>
        <v>158502.441652696</v>
      </c>
      <c r="CB470" s="15" t="n">
        <f aca="false">AC470+BK470+BM470+BH470+BU470+BV470+AS470+BW470+BX470+BY470+BZ470</f>
        <v>62580.173375</v>
      </c>
      <c r="CC470" s="15" t="n">
        <f aca="false">BI470-CA470</f>
        <v>-14499.9462167748</v>
      </c>
      <c r="CD470" s="15" t="n">
        <f aca="false">AM470-CB470</f>
        <v>27661.4932916667</v>
      </c>
      <c r="CE470" s="15" t="n">
        <f aca="false">INDEX(Ipotesi!$C$79:$G$79,1,F470)/12</f>
        <v>3333.33333333333</v>
      </c>
      <c r="CF470" s="15" t="n">
        <f aca="false">INDEX(Ipotesi!$C$84:$G$84,1,F470)/12</f>
        <v>666.666666666667</v>
      </c>
      <c r="CG470" s="15" t="n">
        <f aca="false">Y470*MAX(0,Parametri_v3!$C$12-IF(P470=0,0,MIN(1,BE470/(P470*Parametri_v3!$C$22))))+W470*Parametri_v3!$C$13+X470*Parametri_v3!$C$14</f>
        <v>30029.2007490799</v>
      </c>
      <c r="CH470" s="15" t="n">
        <f aca="false">AB470*Parametri_v3!$C$32</f>
        <v>4823.65419791667</v>
      </c>
      <c r="CI470" s="15" t="n">
        <f aca="false">AC470*Parametri_v3!$C$32</f>
        <v>1691.45033541667</v>
      </c>
      <c r="CJ470" s="15" t="n">
        <f aca="false">CA470-AB470</f>
        <v>62029.3576943623</v>
      </c>
      <c r="CK470" s="15" t="n">
        <f aca="false">CB470-AC470-BH470</f>
        <v>19727</v>
      </c>
      <c r="CL470" s="15" t="n">
        <f aca="false">BF470*Ipotesi!$C$73+INDEX(Ipotesi!$C$72:$G$72,1,F470)/12*Ipotesi!J126*Parametri_v3!$C$58+Z470*(1-Parametri_v3!$C$16)</f>
        <v>13014.8556765403</v>
      </c>
      <c r="CM470" s="16" t="n">
        <f aca="false">IF(BF470=0,0,1-CL470/BF470)</f>
        <v>0.814677981028103</v>
      </c>
    </row>
    <row r="471" customFormat="false" ht="18" hidden="false" customHeight="true" outlineLevel="0" collapsed="false">
      <c r="A471" s="68" t="n">
        <f aca="false">8</f>
        <v>8</v>
      </c>
      <c r="B471" s="68" t="n">
        <f aca="false">47</f>
        <v>47</v>
      </c>
      <c r="C471" s="18" t="n">
        <f aca="false">EDATE(Parametri_v3!$C$5,47-1)</f>
        <v>47788</v>
      </c>
      <c r="D471" s="68" t="n">
        <f aca="false">YEAR(C471)</f>
        <v>2030</v>
      </c>
      <c r="E471" s="68" t="n">
        <f aca="false">MONTH(C471)</f>
        <v>11</v>
      </c>
      <c r="F471" s="68" t="n">
        <f aca="false">INT((47-1)/12)+1</f>
        <v>4</v>
      </c>
      <c r="G471" s="15" t="n">
        <f aca="false">Ipotesi!J7</f>
        <v>1</v>
      </c>
      <c r="H471" s="15" t="n">
        <f aca="false">Ipotesi!J9</f>
        <v>1</v>
      </c>
      <c r="I471" s="15" t="n">
        <f aca="false">Ipotesi!J10</f>
        <v>1</v>
      </c>
      <c r="J471" s="15" t="n">
        <f aca="false">Ipotesi!J11</f>
        <v>1</v>
      </c>
      <c r="K471" s="15" t="n">
        <f aca="false">Ipotesi!J12</f>
        <v>1</v>
      </c>
      <c r="L471" s="15" t="n">
        <f aca="false">Ipotesi!J13</f>
        <v>90</v>
      </c>
      <c r="M471" s="17" t="n">
        <f aca="false">INDEX(Ipotesi!$C$40:$G$40,1,F471)</f>
        <v>1</v>
      </c>
      <c r="N471" s="17" t="n">
        <f aca="false">INDEX(Ipotesi!$C$41:$G$41,1,F471)</f>
        <v>1</v>
      </c>
      <c r="O471" s="17" t="n">
        <f aca="false">INDEX(Ipotesi!$C$42:$G$42,1,F471)*Ipotesi!J125</f>
        <v>6.5</v>
      </c>
      <c r="P471" s="17" t="n">
        <f aca="false">INDEX(Ipotesi!$C$43:$G$43,1,F471)*I471</f>
        <v>6</v>
      </c>
      <c r="Q471" s="17" t="n">
        <f aca="false">INDEX(Ipotesi!$C$44:$G$44,1,F471)*I471</f>
        <v>5</v>
      </c>
      <c r="R471" s="17" t="n">
        <f aca="false">INDEX(Ipotesi!$C$45:$G$45,1,F471)*I471</f>
        <v>1.5</v>
      </c>
      <c r="S471" s="17" t="n">
        <f aca="false">INDEX(Ipotesi!$C$52:$G$52,1,F471)*Ipotesi!J125</f>
        <v>7</v>
      </c>
      <c r="T471" s="17" t="n">
        <f aca="false">INDEX(Ipotesi!$C$53:$G$53,1,F471)*I471</f>
        <v>1</v>
      </c>
      <c r="U471" s="17" t="n">
        <f aca="false">INDEX(Ipotesi!$C$54:$G$54,1,F471)*I471</f>
        <v>0.5</v>
      </c>
      <c r="V471" s="15" t="n">
        <f aca="false">M471*INDEX(Ipotesi!$C$58:$G$58,1,F471)*K471/12</f>
        <v>7916.66666666667</v>
      </c>
      <c r="W471" s="15" t="n">
        <f aca="false">N471*Ipotesi!$C$59*(1+Ipotesi!$C$66)^(F471-1)/12</f>
        <v>6374.24083333333</v>
      </c>
      <c r="X471" s="15" t="n">
        <f aca="false">O471*Ipotesi!$C$60*(1+Ipotesi!$C$66)^(F471-1)/12</f>
        <v>29594.6895833333</v>
      </c>
      <c r="Y471" s="15" t="n">
        <f aca="false">P471*Ipotesi!$C$61*(1+Ipotesi!$C$66)^(F471-1)/12</f>
        <v>27318.175</v>
      </c>
      <c r="Z471" s="15" t="n">
        <f aca="false">Q471*Ipotesi!$C$62*(1+Ipotesi!$C$66)^(F471-1)/12</f>
        <v>20488.63125</v>
      </c>
      <c r="AA471" s="15" t="n">
        <f aca="false">R471*Ipotesi!$C$63*(1+Ipotesi!$C$66)^(F471-1)/12</f>
        <v>4780.680625</v>
      </c>
      <c r="AB471" s="15" t="n">
        <f aca="false">SUM(V471:AA471)</f>
        <v>96473.0839583333</v>
      </c>
      <c r="AC471" s="15" t="n">
        <f aca="false">(S471*Ipotesi!$C$64+T471*Ipotesi!$C$65+U471*Ipotesi!$C$63)*(1+Ipotesi!$C$66)^(F471-1)/12</f>
        <v>33829.0067083333</v>
      </c>
      <c r="AD471" s="15" t="n">
        <f aca="false">INDEX(Ipotesi!$C$48:$G$48,1,F471)*G471/12</f>
        <v>79.1666666666667</v>
      </c>
      <c r="AE471" s="15" t="n">
        <f aca="false">INDEX(Ipotesi!$C$50:$G$50,1,F471)*G471/12</f>
        <v>8.33333333333333</v>
      </c>
      <c r="AF471" s="15" t="n">
        <f aca="false">(S471*Parametri_v3!$C$7*Parametri_v3!$C$8+Parametri_v3!$C$10)/12</f>
        <v>89.8333333333333</v>
      </c>
      <c r="AG471" s="15" t="n">
        <f aca="false">AD471+AE471*(1+Parametri_v3!$C$9)</f>
        <v>91.6666666666667</v>
      </c>
      <c r="AH471" s="16" t="n">
        <f aca="false">IF(AG471=0,1,MIN(1,AF471/AG471))</f>
        <v>0.98</v>
      </c>
      <c r="AI471" s="15" t="n">
        <f aca="false">AD471*AH471</f>
        <v>77.5833333333333</v>
      </c>
      <c r="AJ471" s="15" t="n">
        <f aca="false">AE471*AH471</f>
        <v>8.16666666666667</v>
      </c>
      <c r="AK471" s="15" t="n">
        <f aca="false">AI471*INDEX(Ipotesi!$C$49:$G$49,1,F471)*H471</f>
        <v>69825</v>
      </c>
      <c r="AL471" s="15" t="n">
        <f aca="false">AJ471*INDEX(Ipotesi!$C$51:$G$51,1,F471)*H471</f>
        <v>20416.6666666667</v>
      </c>
      <c r="AM471" s="15" t="n">
        <f aca="false">AK471+AL471</f>
        <v>90241.6666666667</v>
      </c>
      <c r="AN471" s="15" t="n">
        <f aca="false">INDEX(Ipotesi!$C$30:$G$30,1,F471)*G471/12</f>
        <v>61.6666666666667</v>
      </c>
      <c r="AO471" s="15" t="n">
        <f aca="false">O471*Parametri_v3!$C$7*Parametri_v3!$C$11*(1-Parametri_v3!$C$14)/12</f>
        <v>66.7333333333333</v>
      </c>
      <c r="AP471" s="15" t="n">
        <f aca="false">MIN(AN471,AO471)</f>
        <v>61.6666666666667</v>
      </c>
      <c r="AQ471" s="15" t="n">
        <f aca="false">AP471*INDEX(Ipotesi!$C$31:$G$31,1,F471)*H471</f>
        <v>64750</v>
      </c>
      <c r="AR471" s="15" t="n">
        <f aca="false">INDEX(Ipotesi!$C$75:$G$75,1,F471)*J471/12</f>
        <v>27916.6666666667</v>
      </c>
      <c r="AS471" s="15" t="n">
        <f aca="false">INDEX(Ipotesi!$C$81:$G$81,1,F471)*J471/12</f>
        <v>1666.66666666667</v>
      </c>
      <c r="AT471" s="15" t="n">
        <f aca="false">AR471*Parametri_v3!$C$15+Z471*Parametri_v3!$C$16</f>
        <v>42258.7085416667</v>
      </c>
      <c r="AU471" s="15" t="n">
        <f aca="false">Q471*Parametri_v3!$C$16*Parametri_v3!$C$17</f>
        <v>350</v>
      </c>
      <c r="AV471" s="17" t="n">
        <f aca="false">BD470</f>
        <v>143.377072420912</v>
      </c>
      <c r="AW471" s="17" t="n">
        <f aca="false">AV471*(1-(1-INDEX(Ipotesi!$C$34:$G$34,1,F471))^(1/12))</f>
        <v>1.25334658692699</v>
      </c>
      <c r="AX471" s="15" t="n">
        <f aca="false">ROUND(INDEX(Ipotesi!$C$32:$G$32,1,F471)*Ipotesi!J8,0)</f>
        <v>310</v>
      </c>
      <c r="AY471" s="15" t="n">
        <f aca="false">MAX(0,(AX471-(AV471-AW471))/(13-E471))</f>
        <v>83.9381370830075</v>
      </c>
      <c r="AZ471" s="15" t="n">
        <f aca="false">MIN(P471*Parametri_v3!$C$22,Q471*(1-Parametri_v3!$C$16)*Parametri_v3!$C$23)</f>
        <v>225</v>
      </c>
      <c r="BA471" s="15" t="n">
        <f aca="false">IF(OR(INDEX(Ipotesi!$C$35:$G$35,1,F471)&lt;=0,47-Parametri_v3!$C$21&lt;1),0,INDEX($AT$425:$AT$484,MAX(1,47-Parametri_v3!$C$21))/(INDEX(Ipotesi!$C$35:$G$35,1,F471)*Ipotesi!J27))</f>
        <v>7.04311809027778</v>
      </c>
      <c r="BB471" s="15" t="n">
        <f aca="false">IF(47-Parametri_v3!$C$21&lt;1,0,INDEX($AU$425:$AU$484,MAX(1,47-Parametri_v3!$C$21)))*Parametri_v3!$C$18*Parametri_v3!$C$19*Parametri_v3!$C$20</f>
        <v>13.125</v>
      </c>
      <c r="BC471" s="17" t="n">
        <f aca="false">MAX(0,MIN(AY471,BA471,BB471,MAX(0,AZ471-(AV471-AW471))))</f>
        <v>7.04311809027778</v>
      </c>
      <c r="BD471" s="17" t="n">
        <f aca="false">AV471-AW471+BC471</f>
        <v>149.166843924263</v>
      </c>
      <c r="BE471" s="17" t="n">
        <f aca="false">(AV471+BD471)/2</f>
        <v>146.271958172587</v>
      </c>
      <c r="BF471" s="15" t="n">
        <f aca="false">BE471*INDEX(Ipotesi!$C$33:$G$33,1,F471)*H471/12</f>
        <v>73135.9790862937</v>
      </c>
      <c r="BG471" s="15" t="n">
        <f aca="false">BD471*INDEX(Ipotesi!$C$33:$G$33,1,F471)*H471</f>
        <v>895001.063545577</v>
      </c>
      <c r="BH471" s="15" t="n">
        <f aca="false">AM471*INDEX(Ipotesi!$C$37:$G$37,1,F471)</f>
        <v>9024.16666666667</v>
      </c>
      <c r="BI471" s="15" t="n">
        <f aca="false">AQ471+BF471+BH471</f>
        <v>146910.14575296</v>
      </c>
      <c r="BJ471" s="15" t="n">
        <f aca="false">INDEX(Ipotesi!$C$68:$G$68,1,F471)*Ipotesi!$C$69/12</f>
        <v>3000</v>
      </c>
      <c r="BK471" s="15" t="n">
        <f aca="false">INDEX(Ipotesi!$C$68:$G$68,1,F471)*(1-Ipotesi!$C$69)/12</f>
        <v>4500</v>
      </c>
      <c r="BL471" s="15" t="n">
        <f aca="false">(AQ471+BF471)*Ipotesi!$C$67</f>
        <v>4136.57937258881</v>
      </c>
      <c r="BM471" s="15" t="n">
        <f aca="false">AM471*Ipotesi!$C$67</f>
        <v>2707.25</v>
      </c>
      <c r="BN471" s="15" t="n">
        <f aca="false">INDEX(Ipotesi!$C$72:$G$72,1,F471)/12*Ipotesi!J126+BF471*Ipotesi!$C$73</f>
        <v>7100.8783269035</v>
      </c>
      <c r="BO471" s="15" t="n">
        <f aca="false">INDEX(Ipotesi!$C$74:$G$74,1,F471)/12*Ipotesi!J126</f>
        <v>4166.66666666667</v>
      </c>
      <c r="BP471" s="15" t="n">
        <f aca="false">INDEX(Ipotesi!$C$76:$G$76,1,F471)/12</f>
        <v>1500</v>
      </c>
      <c r="BQ471" s="15" t="n">
        <f aca="false">INDEX(Ipotesi!$C$77:$G$77,1,F471)/12*Ipotesi!J126</f>
        <v>2083.33333333333</v>
      </c>
      <c r="BR471" s="15" t="n">
        <f aca="false">INDEX(Ipotesi!$C$78:$G$78,1,F471)/12</f>
        <v>2000</v>
      </c>
      <c r="BS471" s="15" t="n">
        <f aca="false">SUM(M471:R471)*(Ipotesi!$C$85+Ipotesi!$C$86)/12</f>
        <v>6125</v>
      </c>
      <c r="BT471" s="15" t="n">
        <f aca="false">BI471*Ipotesi!$C$87</f>
        <v>4407.30437258881</v>
      </c>
      <c r="BU471" s="15" t="n">
        <f aca="false">INDEX(Ipotesi!$C$55:$G$55,1,F471)*K471/12</f>
        <v>2000</v>
      </c>
      <c r="BV471" s="15" t="n">
        <f aca="false">INDEX(Ipotesi!$C$80:$G$80,1,F471)/12*Ipotesi!J126</f>
        <v>1666.66666666667</v>
      </c>
      <c r="BW471" s="15" t="n">
        <f aca="false">INDEX(Ipotesi!$C$82:$G$82,1,F471)/12</f>
        <v>1250</v>
      </c>
      <c r="BX471" s="15" t="n">
        <f aca="false">INDEX(Ipotesi!$C$83:$G$83,1,F471)/12</f>
        <v>750</v>
      </c>
      <c r="BY471" s="15" t="n">
        <f aca="false">SUM(S471:U471)*(Ipotesi!$C$85+Ipotesi!$C$86)/12</f>
        <v>2479.16666666667</v>
      </c>
      <c r="BZ471" s="15" t="n">
        <f aca="false">AM471*Ipotesi!$C$87</f>
        <v>2707.25</v>
      </c>
      <c r="CA471" s="15" t="n">
        <f aca="false">AB471+BJ471+BL471+BN471+BO471+AR471+BP471+BQ471+BR471+BS471+BT471</f>
        <v>158909.512697081</v>
      </c>
      <c r="CB471" s="15" t="n">
        <f aca="false">AC471+BK471+BM471+BH471+BU471+BV471+AS471+BW471+BX471+BY471+BZ471</f>
        <v>62580.173375</v>
      </c>
      <c r="CC471" s="15" t="n">
        <f aca="false">BI471-CA471</f>
        <v>-11999.3669441208</v>
      </c>
      <c r="CD471" s="15" t="n">
        <f aca="false">AM471-CB471</f>
        <v>27661.4932916667</v>
      </c>
      <c r="CE471" s="15" t="n">
        <f aca="false">INDEX(Ipotesi!$C$79:$G$79,1,F471)/12</f>
        <v>3333.33333333333</v>
      </c>
      <c r="CF471" s="15" t="n">
        <f aca="false">INDEX(Ipotesi!$C$84:$G$84,1,F471)/12</f>
        <v>666.666666666667</v>
      </c>
      <c r="CG471" s="15" t="n">
        <f aca="false">Y471*MAX(0,Parametri_v3!$C$12-IF(P471=0,0,MIN(1,BE471/(P471*Parametri_v3!$C$22))))+W471*Parametri_v3!$C$13+X471*Parametri_v3!$C$14</f>
        <v>29764.428415081</v>
      </c>
      <c r="CH471" s="15" t="n">
        <f aca="false">AB471*Parametri_v3!$C$32</f>
        <v>4823.65419791667</v>
      </c>
      <c r="CI471" s="15" t="n">
        <f aca="false">AC471*Parametri_v3!$C$32</f>
        <v>1691.45033541667</v>
      </c>
      <c r="CJ471" s="15" t="n">
        <f aca="false">CA471-AB471</f>
        <v>62436.4287387478</v>
      </c>
      <c r="CK471" s="15" t="n">
        <f aca="false">CB471-AC471-BH471</f>
        <v>19727</v>
      </c>
      <c r="CL471" s="15" t="n">
        <f aca="false">BF471*Ipotesi!$C$73+INDEX(Ipotesi!$C$72:$G$72,1,F471)/12*Ipotesi!J126*Parametri_v3!$C$58+Z471*(1-Parametri_v3!$C$16)</f>
        <v>13247.4677019035</v>
      </c>
      <c r="CM471" s="16" t="n">
        <f aca="false">IF(BF471=0,0,1-CL471/BF471)</f>
        <v>0.818865244337911</v>
      </c>
    </row>
    <row r="472" customFormat="false" ht="18" hidden="false" customHeight="true" outlineLevel="0" collapsed="false">
      <c r="A472" s="68" t="n">
        <f aca="false">8</f>
        <v>8</v>
      </c>
      <c r="B472" s="68" t="n">
        <f aca="false">48</f>
        <v>48</v>
      </c>
      <c r="C472" s="18" t="n">
        <f aca="false">EDATE(Parametri_v3!$C$5,48-1)</f>
        <v>47818</v>
      </c>
      <c r="D472" s="68" t="n">
        <f aca="false">YEAR(C472)</f>
        <v>2030</v>
      </c>
      <c r="E472" s="68" t="n">
        <f aca="false">MONTH(C472)</f>
        <v>12</v>
      </c>
      <c r="F472" s="68" t="n">
        <f aca="false">INT((48-1)/12)+1</f>
        <v>4</v>
      </c>
      <c r="G472" s="15" t="n">
        <f aca="false">Ipotesi!J7</f>
        <v>1</v>
      </c>
      <c r="H472" s="15" t="n">
        <f aca="false">Ipotesi!J9</f>
        <v>1</v>
      </c>
      <c r="I472" s="15" t="n">
        <f aca="false">Ipotesi!J10</f>
        <v>1</v>
      </c>
      <c r="J472" s="15" t="n">
        <f aca="false">Ipotesi!J11</f>
        <v>1</v>
      </c>
      <c r="K472" s="15" t="n">
        <f aca="false">Ipotesi!J12</f>
        <v>1</v>
      </c>
      <c r="L472" s="15" t="n">
        <f aca="false">Ipotesi!J13</f>
        <v>90</v>
      </c>
      <c r="M472" s="17" t="n">
        <f aca="false">INDEX(Ipotesi!$C$40:$G$40,1,F472)</f>
        <v>1</v>
      </c>
      <c r="N472" s="17" t="n">
        <f aca="false">INDEX(Ipotesi!$C$41:$G$41,1,F472)</f>
        <v>1</v>
      </c>
      <c r="O472" s="17" t="n">
        <f aca="false">INDEX(Ipotesi!$C$42:$G$42,1,F472)*Ipotesi!J125</f>
        <v>6.5</v>
      </c>
      <c r="P472" s="17" t="n">
        <f aca="false">INDEX(Ipotesi!$C$43:$G$43,1,F472)*I472</f>
        <v>6</v>
      </c>
      <c r="Q472" s="17" t="n">
        <f aca="false">INDEX(Ipotesi!$C$44:$G$44,1,F472)*I472</f>
        <v>5</v>
      </c>
      <c r="R472" s="17" t="n">
        <f aca="false">INDEX(Ipotesi!$C$45:$G$45,1,F472)*I472</f>
        <v>1.5</v>
      </c>
      <c r="S472" s="17" t="n">
        <f aca="false">INDEX(Ipotesi!$C$52:$G$52,1,F472)*Ipotesi!J125</f>
        <v>7</v>
      </c>
      <c r="T472" s="17" t="n">
        <f aca="false">INDEX(Ipotesi!$C$53:$G$53,1,F472)*I472</f>
        <v>1</v>
      </c>
      <c r="U472" s="17" t="n">
        <f aca="false">INDEX(Ipotesi!$C$54:$G$54,1,F472)*I472</f>
        <v>0.5</v>
      </c>
      <c r="V472" s="15" t="n">
        <f aca="false">M472*INDEX(Ipotesi!$C$58:$G$58,1,F472)*K472/12</f>
        <v>7916.66666666667</v>
      </c>
      <c r="W472" s="15" t="n">
        <f aca="false">N472*Ipotesi!$C$59*(1+Ipotesi!$C$66)^(F472-1)/12</f>
        <v>6374.24083333333</v>
      </c>
      <c r="X472" s="15" t="n">
        <f aca="false">O472*Ipotesi!$C$60*(1+Ipotesi!$C$66)^(F472-1)/12</f>
        <v>29594.6895833333</v>
      </c>
      <c r="Y472" s="15" t="n">
        <f aca="false">P472*Ipotesi!$C$61*(1+Ipotesi!$C$66)^(F472-1)/12</f>
        <v>27318.175</v>
      </c>
      <c r="Z472" s="15" t="n">
        <f aca="false">Q472*Ipotesi!$C$62*(1+Ipotesi!$C$66)^(F472-1)/12</f>
        <v>20488.63125</v>
      </c>
      <c r="AA472" s="15" t="n">
        <f aca="false">R472*Ipotesi!$C$63*(1+Ipotesi!$C$66)^(F472-1)/12</f>
        <v>4780.680625</v>
      </c>
      <c r="AB472" s="15" t="n">
        <f aca="false">SUM(V472:AA472)</f>
        <v>96473.0839583333</v>
      </c>
      <c r="AC472" s="15" t="n">
        <f aca="false">(S472*Ipotesi!$C$64+T472*Ipotesi!$C$65+U472*Ipotesi!$C$63)*(1+Ipotesi!$C$66)^(F472-1)/12</f>
        <v>33829.0067083333</v>
      </c>
      <c r="AD472" s="15" t="n">
        <f aca="false">INDEX(Ipotesi!$C$48:$G$48,1,F472)*G472/12</f>
        <v>79.1666666666667</v>
      </c>
      <c r="AE472" s="15" t="n">
        <f aca="false">INDEX(Ipotesi!$C$50:$G$50,1,F472)*G472/12</f>
        <v>8.33333333333333</v>
      </c>
      <c r="AF472" s="15" t="n">
        <f aca="false">(S472*Parametri_v3!$C$7*Parametri_v3!$C$8+Parametri_v3!$C$10)/12</f>
        <v>89.8333333333333</v>
      </c>
      <c r="AG472" s="15" t="n">
        <f aca="false">AD472+AE472*(1+Parametri_v3!$C$9)</f>
        <v>91.6666666666667</v>
      </c>
      <c r="AH472" s="16" t="n">
        <f aca="false">IF(AG472=0,1,MIN(1,AF472/AG472))</f>
        <v>0.98</v>
      </c>
      <c r="AI472" s="15" t="n">
        <f aca="false">AD472*AH472</f>
        <v>77.5833333333333</v>
      </c>
      <c r="AJ472" s="15" t="n">
        <f aca="false">AE472*AH472</f>
        <v>8.16666666666667</v>
      </c>
      <c r="AK472" s="15" t="n">
        <f aca="false">AI472*INDEX(Ipotesi!$C$49:$G$49,1,F472)*H472</f>
        <v>69825</v>
      </c>
      <c r="AL472" s="15" t="n">
        <f aca="false">AJ472*INDEX(Ipotesi!$C$51:$G$51,1,F472)*H472</f>
        <v>20416.6666666667</v>
      </c>
      <c r="AM472" s="15" t="n">
        <f aca="false">AK472+AL472</f>
        <v>90241.6666666667</v>
      </c>
      <c r="AN472" s="15" t="n">
        <f aca="false">INDEX(Ipotesi!$C$30:$G$30,1,F472)*G472/12</f>
        <v>61.6666666666667</v>
      </c>
      <c r="AO472" s="15" t="n">
        <f aca="false">O472*Parametri_v3!$C$7*Parametri_v3!$C$11*(1-Parametri_v3!$C$14)/12</f>
        <v>66.7333333333333</v>
      </c>
      <c r="AP472" s="15" t="n">
        <f aca="false">MIN(AN472,AO472)</f>
        <v>61.6666666666667</v>
      </c>
      <c r="AQ472" s="15" t="n">
        <f aca="false">AP472*INDEX(Ipotesi!$C$31:$G$31,1,F472)*H472</f>
        <v>64750</v>
      </c>
      <c r="AR472" s="15" t="n">
        <f aca="false">INDEX(Ipotesi!$C$75:$G$75,1,F472)*J472/12</f>
        <v>27916.6666666667</v>
      </c>
      <c r="AS472" s="15" t="n">
        <f aca="false">INDEX(Ipotesi!$C$81:$G$81,1,F472)*J472/12</f>
        <v>1666.66666666667</v>
      </c>
      <c r="AT472" s="15" t="n">
        <f aca="false">AR472*Parametri_v3!$C$15+Z472*Parametri_v3!$C$16</f>
        <v>42258.7085416667</v>
      </c>
      <c r="AU472" s="15" t="n">
        <f aca="false">Q472*Parametri_v3!$C$16*Parametri_v3!$C$17</f>
        <v>350</v>
      </c>
      <c r="AV472" s="17" t="n">
        <f aca="false">BD471</f>
        <v>149.166843924263</v>
      </c>
      <c r="AW472" s="17" t="n">
        <f aca="false">AV472*(1-(1-INDEX(Ipotesi!$C$34:$G$34,1,F472))^(1/12))</f>
        <v>1.30395851692587</v>
      </c>
      <c r="AX472" s="15" t="n">
        <f aca="false">ROUND(INDEX(Ipotesi!$C$32:$G$32,1,F472)*Ipotesi!J8,0)</f>
        <v>310</v>
      </c>
      <c r="AY472" s="15" t="n">
        <f aca="false">MAX(0,(AX472-(AV472-AW472))/(13-E472))</f>
        <v>162.137114592663</v>
      </c>
      <c r="AZ472" s="15" t="n">
        <f aca="false">MIN(P472*Parametri_v3!$C$22,Q472*(1-Parametri_v3!$C$16)*Parametri_v3!$C$23)</f>
        <v>225</v>
      </c>
      <c r="BA472" s="15" t="n">
        <f aca="false">IF(OR(INDEX(Ipotesi!$C$35:$G$35,1,F472)&lt;=0,48-Parametri_v3!$C$21&lt;1),0,INDEX($AT$425:$AT$484,MAX(1,48-Parametri_v3!$C$21))/(INDEX(Ipotesi!$C$35:$G$35,1,F472)*Ipotesi!J27))</f>
        <v>7.04311809027778</v>
      </c>
      <c r="BB472" s="15" t="n">
        <f aca="false">IF(48-Parametri_v3!$C$21&lt;1,0,INDEX($AU$425:$AU$484,MAX(1,48-Parametri_v3!$C$21)))*Parametri_v3!$C$18*Parametri_v3!$C$19*Parametri_v3!$C$20</f>
        <v>13.125</v>
      </c>
      <c r="BC472" s="17" t="n">
        <f aca="false">MAX(0,MIN(AY472,BA472,BB472,MAX(0,AZ472-(AV472-AW472))))</f>
        <v>7.04311809027778</v>
      </c>
      <c r="BD472" s="17" t="n">
        <f aca="false">AV472-AW472+BC472</f>
        <v>154.906003497615</v>
      </c>
      <c r="BE472" s="17" t="n">
        <f aca="false">(AV472+BD472)/2</f>
        <v>152.036423710939</v>
      </c>
      <c r="BF472" s="15" t="n">
        <f aca="false">BE472*INDEX(Ipotesi!$C$33:$G$33,1,F472)*H472/12</f>
        <v>76018.2118554694</v>
      </c>
      <c r="BG472" s="15" t="n">
        <f aca="false">BD472*INDEX(Ipotesi!$C$33:$G$33,1,F472)*H472</f>
        <v>929436.020985689</v>
      </c>
      <c r="BH472" s="15" t="n">
        <f aca="false">AM472*INDEX(Ipotesi!$C$37:$G$37,1,F472)</f>
        <v>9024.16666666667</v>
      </c>
      <c r="BI472" s="15" t="n">
        <f aca="false">AQ472+BF472+BH472</f>
        <v>149792.378522136</v>
      </c>
      <c r="BJ472" s="15" t="n">
        <f aca="false">INDEX(Ipotesi!$C$68:$G$68,1,F472)*Ipotesi!$C$69/12</f>
        <v>3000</v>
      </c>
      <c r="BK472" s="15" t="n">
        <f aca="false">INDEX(Ipotesi!$C$68:$G$68,1,F472)*(1-Ipotesi!$C$69)/12</f>
        <v>4500</v>
      </c>
      <c r="BL472" s="15" t="n">
        <f aca="false">(AQ472+BF472)*Ipotesi!$C$67</f>
        <v>4223.04635566408</v>
      </c>
      <c r="BM472" s="15" t="n">
        <f aca="false">AM472*Ipotesi!$C$67</f>
        <v>2707.25</v>
      </c>
      <c r="BN472" s="15" t="n">
        <f aca="false">INDEX(Ipotesi!$C$72:$G$72,1,F472)/12*Ipotesi!J126+BF472*Ipotesi!$C$73</f>
        <v>7331.45694843755</v>
      </c>
      <c r="BO472" s="15" t="n">
        <f aca="false">INDEX(Ipotesi!$C$74:$G$74,1,F472)/12*Ipotesi!J126</f>
        <v>4166.66666666667</v>
      </c>
      <c r="BP472" s="15" t="n">
        <f aca="false">INDEX(Ipotesi!$C$76:$G$76,1,F472)/12</f>
        <v>1500</v>
      </c>
      <c r="BQ472" s="15" t="n">
        <f aca="false">INDEX(Ipotesi!$C$77:$G$77,1,F472)/12*Ipotesi!J126</f>
        <v>2083.33333333333</v>
      </c>
      <c r="BR472" s="15" t="n">
        <f aca="false">INDEX(Ipotesi!$C$78:$G$78,1,F472)/12</f>
        <v>2000</v>
      </c>
      <c r="BS472" s="15" t="n">
        <f aca="false">SUM(M472:R472)*(Ipotesi!$C$85+Ipotesi!$C$86)/12</f>
        <v>6125</v>
      </c>
      <c r="BT472" s="15" t="n">
        <f aca="false">BI472*Ipotesi!$C$87</f>
        <v>4493.77135566408</v>
      </c>
      <c r="BU472" s="15" t="n">
        <f aca="false">INDEX(Ipotesi!$C$55:$G$55,1,F472)*K472/12</f>
        <v>2000</v>
      </c>
      <c r="BV472" s="15" t="n">
        <f aca="false">INDEX(Ipotesi!$C$80:$G$80,1,F472)/12*Ipotesi!J126</f>
        <v>1666.66666666667</v>
      </c>
      <c r="BW472" s="15" t="n">
        <f aca="false">INDEX(Ipotesi!$C$82:$G$82,1,F472)/12</f>
        <v>1250</v>
      </c>
      <c r="BX472" s="15" t="n">
        <f aca="false">INDEX(Ipotesi!$C$83:$G$83,1,F472)/12</f>
        <v>750</v>
      </c>
      <c r="BY472" s="15" t="n">
        <f aca="false">SUM(S472:U472)*(Ipotesi!$C$85+Ipotesi!$C$86)/12</f>
        <v>2479.16666666667</v>
      </c>
      <c r="BZ472" s="15" t="n">
        <f aca="false">AM472*Ipotesi!$C$87</f>
        <v>2707.25</v>
      </c>
      <c r="CA472" s="15" t="n">
        <f aca="false">AB472+BJ472+BL472+BN472+BO472+AR472+BP472+BQ472+BR472+BS472+BT472</f>
        <v>159313.025284766</v>
      </c>
      <c r="CB472" s="15" t="n">
        <f aca="false">AC472+BK472+BM472+BH472+BU472+BV472+AS472+BW472+BX472+BY472+BZ472</f>
        <v>62580.173375</v>
      </c>
      <c r="CC472" s="15" t="n">
        <f aca="false">BI472-CA472</f>
        <v>-9520.64676262965</v>
      </c>
      <c r="CD472" s="15" t="n">
        <f aca="false">AM472-CB472</f>
        <v>27661.4932916667</v>
      </c>
      <c r="CE472" s="15" t="n">
        <f aca="false">INDEX(Ipotesi!$C$79:$G$79,1,F472)/12</f>
        <v>3333.33333333333</v>
      </c>
      <c r="CF472" s="15" t="n">
        <f aca="false">INDEX(Ipotesi!$C$84:$G$84,1,F472)/12</f>
        <v>666.666666666667</v>
      </c>
      <c r="CG472" s="15" t="n">
        <f aca="false">Y472*MAX(0,Parametri_v3!$C$12-IF(P472=0,0,MIN(1,BE472/(P472*Parametri_v3!$C$22))))+W472*Parametri_v3!$C$13+X472*Parametri_v3!$C$14</f>
        <v>29501.9706178174</v>
      </c>
      <c r="CH472" s="15" t="n">
        <f aca="false">AB472*Parametri_v3!$C$32</f>
        <v>4823.65419791667</v>
      </c>
      <c r="CI472" s="15" t="n">
        <f aca="false">AC472*Parametri_v3!$C$32</f>
        <v>1691.45033541667</v>
      </c>
      <c r="CJ472" s="15" t="n">
        <f aca="false">CA472-AB472</f>
        <v>62839.9413264324</v>
      </c>
      <c r="CK472" s="15" t="n">
        <f aca="false">CB472-AC472-BH472</f>
        <v>19727</v>
      </c>
      <c r="CL472" s="15" t="n">
        <f aca="false">BF472*Ipotesi!$C$73+INDEX(Ipotesi!$C$72:$G$72,1,F472)/12*Ipotesi!J126*Parametri_v3!$C$58+Z472*(1-Parametri_v3!$C$16)</f>
        <v>13478.0463234376</v>
      </c>
      <c r="CM472" s="16" t="n">
        <f aca="false">IF(BF472=0,0,1-CL472/BF472)</f>
        <v>0.822699771614428</v>
      </c>
    </row>
    <row r="473" customFormat="false" ht="18" hidden="false" customHeight="true" outlineLevel="0" collapsed="false">
      <c r="A473" s="68" t="n">
        <f aca="false">8</f>
        <v>8</v>
      </c>
      <c r="B473" s="68" t="n">
        <f aca="false">49</f>
        <v>49</v>
      </c>
      <c r="C473" s="18" t="n">
        <f aca="false">EDATE(Parametri_v3!$C$5,49-1)</f>
        <v>47849</v>
      </c>
      <c r="D473" s="68" t="n">
        <f aca="false">YEAR(C473)</f>
        <v>2031</v>
      </c>
      <c r="E473" s="68" t="n">
        <f aca="false">MONTH(C473)</f>
        <v>1</v>
      </c>
      <c r="F473" s="68" t="n">
        <f aca="false">INT((49-1)/12)+1</f>
        <v>5</v>
      </c>
      <c r="G473" s="15" t="n">
        <f aca="false">Ipotesi!J7</f>
        <v>1</v>
      </c>
      <c r="H473" s="15" t="n">
        <f aca="false">Ipotesi!J9</f>
        <v>1</v>
      </c>
      <c r="I473" s="15" t="n">
        <f aca="false">Ipotesi!J10</f>
        <v>1</v>
      </c>
      <c r="J473" s="15" t="n">
        <f aca="false">Ipotesi!J11</f>
        <v>1</v>
      </c>
      <c r="K473" s="15" t="n">
        <f aca="false">Ipotesi!J12</f>
        <v>1</v>
      </c>
      <c r="L473" s="15" t="n">
        <f aca="false">Ipotesi!J13</f>
        <v>90</v>
      </c>
      <c r="M473" s="17" t="n">
        <f aca="false">INDEX(Ipotesi!$C$40:$G$40,1,F473)</f>
        <v>1</v>
      </c>
      <c r="N473" s="17" t="n">
        <f aca="false">INDEX(Ipotesi!$C$41:$G$41,1,F473)</f>
        <v>1</v>
      </c>
      <c r="O473" s="17" t="n">
        <f aca="false">INDEX(Ipotesi!$C$42:$G$42,1,F473)*Ipotesi!J125</f>
        <v>8.5</v>
      </c>
      <c r="P473" s="17" t="n">
        <f aca="false">INDEX(Ipotesi!$C$43:$G$43,1,F473)*I473</f>
        <v>7</v>
      </c>
      <c r="Q473" s="17" t="n">
        <f aca="false">INDEX(Ipotesi!$C$44:$G$44,1,F473)*I473</f>
        <v>6</v>
      </c>
      <c r="R473" s="17" t="n">
        <f aca="false">INDEX(Ipotesi!$C$45:$G$45,1,F473)*I473</f>
        <v>2</v>
      </c>
      <c r="S473" s="17" t="n">
        <f aca="false">INDEX(Ipotesi!$C$52:$G$52,1,F473)*Ipotesi!J125</f>
        <v>9</v>
      </c>
      <c r="T473" s="17" t="n">
        <f aca="false">INDEX(Ipotesi!$C$53:$G$53,1,F473)*I473</f>
        <v>1</v>
      </c>
      <c r="U473" s="17" t="n">
        <f aca="false">INDEX(Ipotesi!$C$54:$G$54,1,F473)*I473</f>
        <v>1</v>
      </c>
      <c r="V473" s="15" t="n">
        <f aca="false">M473*INDEX(Ipotesi!$C$58:$G$58,1,F473)*K473/12</f>
        <v>8333.33333333333</v>
      </c>
      <c r="W473" s="15" t="n">
        <f aca="false">N473*Ipotesi!$C$59*(1+Ipotesi!$C$66)^(F473-1)/12</f>
        <v>6565.46805833334</v>
      </c>
      <c r="X473" s="15" t="n">
        <f aca="false">O473*Ipotesi!$C$60*(1+Ipotesi!$C$66)^(F473-1)/12</f>
        <v>39861.7703541667</v>
      </c>
      <c r="Y473" s="15" t="n">
        <f aca="false">P473*Ipotesi!$C$61*(1+Ipotesi!$C$66)^(F473-1)/12</f>
        <v>32827.3402916667</v>
      </c>
      <c r="Z473" s="15" t="n">
        <f aca="false">Q473*Ipotesi!$C$62*(1+Ipotesi!$C$66)^(F473-1)/12</f>
        <v>25323.948225</v>
      </c>
      <c r="AA473" s="15" t="n">
        <f aca="false">R473*Ipotesi!$C$63*(1+Ipotesi!$C$66)^(F473-1)/12</f>
        <v>6565.46805833334</v>
      </c>
      <c r="AB473" s="15" t="n">
        <f aca="false">SUM(V473:AA473)</f>
        <v>119477.328320833</v>
      </c>
      <c r="AC473" s="15" t="n">
        <f aca="false">(S473*Ipotesi!$C$64+T473*Ipotesi!$C$65+U473*Ipotesi!$C$63)*(1+Ipotesi!$C$66)^(F473-1)/12</f>
        <v>44363.8055941667</v>
      </c>
      <c r="AD473" s="15" t="n">
        <f aca="false">INDEX(Ipotesi!$C$48:$G$48,1,F473)*G473/12</f>
        <v>95.8333333333333</v>
      </c>
      <c r="AE473" s="15" t="n">
        <f aca="false">INDEX(Ipotesi!$C$50:$G$50,1,F473)*G473/12</f>
        <v>9.58333333333333</v>
      </c>
      <c r="AF473" s="15" t="n">
        <f aca="false">(S473*Parametri_v3!$C$7*Parametri_v3!$C$8+Parametri_v3!$C$10)/12</f>
        <v>115.5</v>
      </c>
      <c r="AG473" s="15" t="n">
        <f aca="false">AD473+AE473*(1+Parametri_v3!$C$9)</f>
        <v>110.208333333333</v>
      </c>
      <c r="AH473" s="16" t="n">
        <f aca="false">IF(AG473=0,1,MIN(1,AF473/AG473))</f>
        <v>1</v>
      </c>
      <c r="AI473" s="15" t="n">
        <f aca="false">AD473*AH473</f>
        <v>95.8333333333333</v>
      </c>
      <c r="AJ473" s="15" t="n">
        <f aca="false">AE473*AH473</f>
        <v>9.58333333333333</v>
      </c>
      <c r="AK473" s="15" t="n">
        <f aca="false">AI473*INDEX(Ipotesi!$C$49:$G$49,1,F473)*H473</f>
        <v>91041.6666666667</v>
      </c>
      <c r="AL473" s="15" t="n">
        <f aca="false">AJ473*INDEX(Ipotesi!$C$51:$G$51,1,F473)*H473</f>
        <v>24916.6666666667</v>
      </c>
      <c r="AM473" s="15" t="n">
        <f aca="false">AK473+AL473</f>
        <v>115958.333333333</v>
      </c>
      <c r="AN473" s="15" t="n">
        <f aca="false">INDEX(Ipotesi!$C$30:$G$30,1,F473)*G473/12</f>
        <v>81.6666666666667</v>
      </c>
      <c r="AO473" s="15" t="n">
        <f aca="false">O473*Parametri_v3!$C$7*Parametri_v3!$C$11*(1-Parametri_v3!$C$14)/12</f>
        <v>87.2666666666667</v>
      </c>
      <c r="AP473" s="15" t="n">
        <f aca="false">MIN(AN473,AO473)</f>
        <v>81.6666666666667</v>
      </c>
      <c r="AQ473" s="15" t="n">
        <f aca="false">AP473*INDEX(Ipotesi!$C$31:$G$31,1,F473)*H473</f>
        <v>89833.3333333333</v>
      </c>
      <c r="AR473" s="15" t="n">
        <f aca="false">INDEX(Ipotesi!$C$75:$G$75,1,F473)*J473/12</f>
        <v>35833.3333333333</v>
      </c>
      <c r="AS473" s="15" t="n">
        <f aca="false">INDEX(Ipotesi!$C$81:$G$81,1,F473)*J473/12</f>
        <v>2083.33333333333</v>
      </c>
      <c r="AT473" s="15" t="n">
        <f aca="false">AR473*Parametri_v3!$C$15+Z473*Parametri_v3!$C$16</f>
        <v>53560.0970908333</v>
      </c>
      <c r="AU473" s="15" t="n">
        <f aca="false">Q473*Parametri_v3!$C$16*Parametri_v3!$C$17</f>
        <v>420</v>
      </c>
      <c r="AV473" s="17" t="n">
        <f aca="false">BD472</f>
        <v>154.906003497615</v>
      </c>
      <c r="AW473" s="17" t="n">
        <f aca="false">AV473*(1-(1-INDEX(Ipotesi!$C$34:$G$34,1,F473))^(1/12))</f>
        <v>1.35412801712304</v>
      </c>
      <c r="AX473" s="15" t="n">
        <f aca="false">ROUND(INDEX(Ipotesi!$C$32:$G$32,1,F473)*Ipotesi!J8,0)</f>
        <v>560</v>
      </c>
      <c r="AY473" s="15" t="n">
        <f aca="false">MAX(0,(AX473-(AV473-AW473))/(13-E473))</f>
        <v>33.8706770432924</v>
      </c>
      <c r="AZ473" s="15" t="n">
        <f aca="false">MIN(P473*Parametri_v3!$C$22,Q473*(1-Parametri_v3!$C$16)*Parametri_v3!$C$23)</f>
        <v>270</v>
      </c>
      <c r="BA473" s="15" t="n">
        <f aca="false">IF(OR(INDEX(Ipotesi!$C$35:$G$35,1,F473)&lt;=0,49-Parametri_v3!$C$21&lt;1),0,INDEX($AT$425:$AT$484,MAX(1,49-Parametri_v3!$C$21))/(INDEX(Ipotesi!$C$35:$G$35,1,F473)*Ipotesi!J27))</f>
        <v>6.50133977564103</v>
      </c>
      <c r="BB473" s="15" t="n">
        <f aca="false">IF(49-Parametri_v3!$C$21&lt;1,0,INDEX($AU$425:$AU$484,MAX(1,49-Parametri_v3!$C$21)))*Parametri_v3!$C$18*Parametri_v3!$C$19*Parametri_v3!$C$20</f>
        <v>13.125</v>
      </c>
      <c r="BC473" s="17" t="n">
        <f aca="false">MAX(0,MIN(AY473,BA473,BB473,MAX(0,AZ473-(AV473-AW473))))</f>
        <v>6.50133977564103</v>
      </c>
      <c r="BD473" s="17" t="n">
        <f aca="false">AV473-AW473+BC473</f>
        <v>160.053215256133</v>
      </c>
      <c r="BE473" s="17" t="n">
        <f aca="false">(AV473+BD473)/2</f>
        <v>157.479609376874</v>
      </c>
      <c r="BF473" s="15" t="n">
        <f aca="false">BE473*INDEX(Ipotesi!$C$33:$G$33,1,F473)*H473/12</f>
        <v>81364.4648447181</v>
      </c>
      <c r="BG473" s="15" t="n">
        <f aca="false">BD473*INDEX(Ipotesi!$C$33:$G$33,1,F473)*H473</f>
        <v>992329.934588023</v>
      </c>
      <c r="BH473" s="15" t="n">
        <f aca="false">AM473*INDEX(Ipotesi!$C$37:$G$37,1,F473)</f>
        <v>11595.8333333333</v>
      </c>
      <c r="BI473" s="15" t="n">
        <f aca="false">AQ473+BF473+BH473</f>
        <v>182793.631511385</v>
      </c>
      <c r="BJ473" s="15" t="n">
        <f aca="false">INDEX(Ipotesi!$C$68:$G$68,1,F473)*Ipotesi!$C$69/12</f>
        <v>3333.33333333333</v>
      </c>
      <c r="BK473" s="15" t="n">
        <f aca="false">INDEX(Ipotesi!$C$68:$G$68,1,F473)*(1-Ipotesi!$C$69)/12</f>
        <v>5000</v>
      </c>
      <c r="BL473" s="15" t="n">
        <f aca="false">(AQ473+BF473)*Ipotesi!$C$67</f>
        <v>5135.93394534154</v>
      </c>
      <c r="BM473" s="15" t="n">
        <f aca="false">AM473*Ipotesi!$C$67</f>
        <v>3478.75</v>
      </c>
      <c r="BN473" s="15" t="n">
        <f aca="false">INDEX(Ipotesi!$C$72:$G$72,1,F473)/12*Ipotesi!J126+BF473*Ipotesi!$C$73</f>
        <v>7759.15718757745</v>
      </c>
      <c r="BO473" s="15" t="n">
        <f aca="false">INDEX(Ipotesi!$C$74:$G$74,1,F473)/12*Ipotesi!J126</f>
        <v>5416.66666666667</v>
      </c>
      <c r="BP473" s="15" t="n">
        <f aca="false">INDEX(Ipotesi!$C$76:$G$76,1,F473)/12</f>
        <v>1916.66666666667</v>
      </c>
      <c r="BQ473" s="15" t="n">
        <f aca="false">INDEX(Ipotesi!$C$77:$G$77,1,F473)/12*Ipotesi!J126</f>
        <v>2500</v>
      </c>
      <c r="BR473" s="15" t="n">
        <f aca="false">INDEX(Ipotesi!$C$78:$G$78,1,F473)/12</f>
        <v>2333.33333333333</v>
      </c>
      <c r="BS473" s="15" t="n">
        <f aca="false">SUM(M473:R473)*(Ipotesi!$C$85+Ipotesi!$C$86)/12</f>
        <v>7437.5</v>
      </c>
      <c r="BT473" s="15" t="n">
        <f aca="false">BI473*Ipotesi!$C$87</f>
        <v>5483.80894534154</v>
      </c>
      <c r="BU473" s="15" t="n">
        <f aca="false">INDEX(Ipotesi!$C$55:$G$55,1,F473)*K473/12</f>
        <v>2000</v>
      </c>
      <c r="BV473" s="15" t="n">
        <f aca="false">INDEX(Ipotesi!$C$80:$G$80,1,F473)/12*Ipotesi!J126</f>
        <v>2083.33333333333</v>
      </c>
      <c r="BW473" s="15" t="n">
        <f aca="false">INDEX(Ipotesi!$C$82:$G$82,1,F473)/12</f>
        <v>1500</v>
      </c>
      <c r="BX473" s="15" t="n">
        <f aca="false">INDEX(Ipotesi!$C$83:$G$83,1,F473)/12</f>
        <v>833.333333333333</v>
      </c>
      <c r="BY473" s="15" t="n">
        <f aca="false">SUM(S473:U473)*(Ipotesi!$C$85+Ipotesi!$C$86)/12</f>
        <v>3208.33333333333</v>
      </c>
      <c r="BZ473" s="15" t="n">
        <f aca="false">AM473*Ipotesi!$C$87</f>
        <v>3478.75</v>
      </c>
      <c r="CA473" s="15" t="n">
        <f aca="false">AB473+BJ473+BL473+BN473+BO473+AR473+BP473+BQ473+BR473+BS473+BT473</f>
        <v>196627.061732427</v>
      </c>
      <c r="CB473" s="15" t="n">
        <f aca="false">AC473+BK473+BM473+BH473+BU473+BV473+AS473+BW473+BX473+BY473+BZ473</f>
        <v>79625.4722608333</v>
      </c>
      <c r="CC473" s="15" t="n">
        <f aca="false">BI473-CA473</f>
        <v>-13833.4302210424</v>
      </c>
      <c r="CD473" s="15" t="n">
        <f aca="false">AM473-CB473</f>
        <v>36332.8610725</v>
      </c>
      <c r="CE473" s="15" t="n">
        <f aca="false">INDEX(Ipotesi!$C$79:$G$79,1,F473)/12</f>
        <v>4166.66666666667</v>
      </c>
      <c r="CF473" s="15" t="n">
        <f aca="false">INDEX(Ipotesi!$C$84:$G$84,1,F473)/12</f>
        <v>666.666666666667</v>
      </c>
      <c r="CG473" s="15" t="n">
        <f aca="false">Y473*MAX(0,Parametri_v3!$C$12-IF(P473=0,0,MIN(1,BE473/(P473*Parametri_v3!$C$22))))+W473*Parametri_v3!$C$13+X473*Parametri_v3!$C$14</f>
        <v>36697.2330687904</v>
      </c>
      <c r="CH473" s="15" t="n">
        <f aca="false">AB473*Parametri_v3!$C$32</f>
        <v>5973.86641604167</v>
      </c>
      <c r="CI473" s="15" t="n">
        <f aca="false">AC473*Parametri_v3!$C$32</f>
        <v>2218.19027970833</v>
      </c>
      <c r="CJ473" s="15" t="n">
        <f aca="false">CA473-AB473</f>
        <v>77149.7334115939</v>
      </c>
      <c r="CK473" s="15" t="n">
        <f aca="false">CB473-AC473-BH473</f>
        <v>23665.8333333333</v>
      </c>
      <c r="CL473" s="15" t="n">
        <f aca="false">BF473*Ipotesi!$C$73+INDEX(Ipotesi!$C$72:$G$72,1,F473)/12*Ipotesi!J126*Parametri_v3!$C$58+Z473*(1-Parametri_v3!$C$16)</f>
        <v>15356.3416550775</v>
      </c>
      <c r="CM473" s="16" t="n">
        <f aca="false">IF(BF473=0,0,1-CL473/BF473)</f>
        <v>0.811264761780409</v>
      </c>
    </row>
    <row r="474" customFormat="false" ht="18" hidden="false" customHeight="true" outlineLevel="0" collapsed="false">
      <c r="A474" s="68" t="n">
        <f aca="false">8</f>
        <v>8</v>
      </c>
      <c r="B474" s="68" t="n">
        <f aca="false">50</f>
        <v>50</v>
      </c>
      <c r="C474" s="18" t="n">
        <f aca="false">EDATE(Parametri_v3!$C$5,50-1)</f>
        <v>47880</v>
      </c>
      <c r="D474" s="68" t="n">
        <f aca="false">YEAR(C474)</f>
        <v>2031</v>
      </c>
      <c r="E474" s="68" t="n">
        <f aca="false">MONTH(C474)</f>
        <v>2</v>
      </c>
      <c r="F474" s="68" t="n">
        <f aca="false">INT((50-1)/12)+1</f>
        <v>5</v>
      </c>
      <c r="G474" s="15" t="n">
        <f aca="false">Ipotesi!J7</f>
        <v>1</v>
      </c>
      <c r="H474" s="15" t="n">
        <f aca="false">Ipotesi!J9</f>
        <v>1</v>
      </c>
      <c r="I474" s="15" t="n">
        <f aca="false">Ipotesi!J10</f>
        <v>1</v>
      </c>
      <c r="J474" s="15" t="n">
        <f aca="false">Ipotesi!J11</f>
        <v>1</v>
      </c>
      <c r="K474" s="15" t="n">
        <f aca="false">Ipotesi!J12</f>
        <v>1</v>
      </c>
      <c r="L474" s="15" t="n">
        <f aca="false">Ipotesi!J13</f>
        <v>90</v>
      </c>
      <c r="M474" s="17" t="n">
        <f aca="false">INDEX(Ipotesi!$C$40:$G$40,1,F474)</f>
        <v>1</v>
      </c>
      <c r="N474" s="17" t="n">
        <f aca="false">INDEX(Ipotesi!$C$41:$G$41,1,F474)</f>
        <v>1</v>
      </c>
      <c r="O474" s="17" t="n">
        <f aca="false">INDEX(Ipotesi!$C$42:$G$42,1,F474)*Ipotesi!J125</f>
        <v>8.5</v>
      </c>
      <c r="P474" s="17" t="n">
        <f aca="false">INDEX(Ipotesi!$C$43:$G$43,1,F474)*I474</f>
        <v>7</v>
      </c>
      <c r="Q474" s="17" t="n">
        <f aca="false">INDEX(Ipotesi!$C$44:$G$44,1,F474)*I474</f>
        <v>6</v>
      </c>
      <c r="R474" s="17" t="n">
        <f aca="false">INDEX(Ipotesi!$C$45:$G$45,1,F474)*I474</f>
        <v>2</v>
      </c>
      <c r="S474" s="17" t="n">
        <f aca="false">INDEX(Ipotesi!$C$52:$G$52,1,F474)*Ipotesi!J125</f>
        <v>9</v>
      </c>
      <c r="T474" s="17" t="n">
        <f aca="false">INDEX(Ipotesi!$C$53:$G$53,1,F474)*I474</f>
        <v>1</v>
      </c>
      <c r="U474" s="17" t="n">
        <f aca="false">INDEX(Ipotesi!$C$54:$G$54,1,F474)*I474</f>
        <v>1</v>
      </c>
      <c r="V474" s="15" t="n">
        <f aca="false">M474*INDEX(Ipotesi!$C$58:$G$58,1,F474)*K474/12</f>
        <v>8333.33333333333</v>
      </c>
      <c r="W474" s="15" t="n">
        <f aca="false">N474*Ipotesi!$C$59*(1+Ipotesi!$C$66)^(F474-1)/12</f>
        <v>6565.46805833334</v>
      </c>
      <c r="X474" s="15" t="n">
        <f aca="false">O474*Ipotesi!$C$60*(1+Ipotesi!$C$66)^(F474-1)/12</f>
        <v>39861.7703541667</v>
      </c>
      <c r="Y474" s="15" t="n">
        <f aca="false">P474*Ipotesi!$C$61*(1+Ipotesi!$C$66)^(F474-1)/12</f>
        <v>32827.3402916667</v>
      </c>
      <c r="Z474" s="15" t="n">
        <f aca="false">Q474*Ipotesi!$C$62*(1+Ipotesi!$C$66)^(F474-1)/12</f>
        <v>25323.948225</v>
      </c>
      <c r="AA474" s="15" t="n">
        <f aca="false">R474*Ipotesi!$C$63*(1+Ipotesi!$C$66)^(F474-1)/12</f>
        <v>6565.46805833334</v>
      </c>
      <c r="AB474" s="15" t="n">
        <f aca="false">SUM(V474:AA474)</f>
        <v>119477.328320833</v>
      </c>
      <c r="AC474" s="15" t="n">
        <f aca="false">(S474*Ipotesi!$C$64+T474*Ipotesi!$C$65+U474*Ipotesi!$C$63)*(1+Ipotesi!$C$66)^(F474-1)/12</f>
        <v>44363.8055941667</v>
      </c>
      <c r="AD474" s="15" t="n">
        <f aca="false">INDEX(Ipotesi!$C$48:$G$48,1,F474)*G474/12</f>
        <v>95.8333333333333</v>
      </c>
      <c r="AE474" s="15" t="n">
        <f aca="false">INDEX(Ipotesi!$C$50:$G$50,1,F474)*G474/12</f>
        <v>9.58333333333333</v>
      </c>
      <c r="AF474" s="15" t="n">
        <f aca="false">(S474*Parametri_v3!$C$7*Parametri_v3!$C$8+Parametri_v3!$C$10)/12</f>
        <v>115.5</v>
      </c>
      <c r="AG474" s="15" t="n">
        <f aca="false">AD474+AE474*(1+Parametri_v3!$C$9)</f>
        <v>110.208333333333</v>
      </c>
      <c r="AH474" s="16" t="n">
        <f aca="false">IF(AG474=0,1,MIN(1,AF474/AG474))</f>
        <v>1</v>
      </c>
      <c r="AI474" s="15" t="n">
        <f aca="false">AD474*AH474</f>
        <v>95.8333333333333</v>
      </c>
      <c r="AJ474" s="15" t="n">
        <f aca="false">AE474*AH474</f>
        <v>9.58333333333333</v>
      </c>
      <c r="AK474" s="15" t="n">
        <f aca="false">AI474*INDEX(Ipotesi!$C$49:$G$49,1,F474)*H474</f>
        <v>91041.6666666667</v>
      </c>
      <c r="AL474" s="15" t="n">
        <f aca="false">AJ474*INDEX(Ipotesi!$C$51:$G$51,1,F474)*H474</f>
        <v>24916.6666666667</v>
      </c>
      <c r="AM474" s="15" t="n">
        <f aca="false">AK474+AL474</f>
        <v>115958.333333333</v>
      </c>
      <c r="AN474" s="15" t="n">
        <f aca="false">INDEX(Ipotesi!$C$30:$G$30,1,F474)*G474/12</f>
        <v>81.6666666666667</v>
      </c>
      <c r="AO474" s="15" t="n">
        <f aca="false">O474*Parametri_v3!$C$7*Parametri_v3!$C$11*(1-Parametri_v3!$C$14)/12</f>
        <v>87.2666666666667</v>
      </c>
      <c r="AP474" s="15" t="n">
        <f aca="false">MIN(AN474,AO474)</f>
        <v>81.6666666666667</v>
      </c>
      <c r="AQ474" s="15" t="n">
        <f aca="false">AP474*INDEX(Ipotesi!$C$31:$G$31,1,F474)*H474</f>
        <v>89833.3333333333</v>
      </c>
      <c r="AR474" s="15" t="n">
        <f aca="false">INDEX(Ipotesi!$C$75:$G$75,1,F474)*J474/12</f>
        <v>35833.3333333333</v>
      </c>
      <c r="AS474" s="15" t="n">
        <f aca="false">INDEX(Ipotesi!$C$81:$G$81,1,F474)*J474/12</f>
        <v>2083.33333333333</v>
      </c>
      <c r="AT474" s="15" t="n">
        <f aca="false">AR474*Parametri_v3!$C$15+Z474*Parametri_v3!$C$16</f>
        <v>53560.0970908333</v>
      </c>
      <c r="AU474" s="15" t="n">
        <f aca="false">Q474*Parametri_v3!$C$16*Parametri_v3!$C$17</f>
        <v>420</v>
      </c>
      <c r="AV474" s="17" t="n">
        <f aca="false">BD473</f>
        <v>160.053215256133</v>
      </c>
      <c r="AW474" s="17" t="n">
        <f aca="false">AV474*(1-(1-INDEX(Ipotesi!$C$34:$G$34,1,F474))^(1/12))</f>
        <v>1.39912293981744</v>
      </c>
      <c r="AX474" s="15" t="n">
        <f aca="false">ROUND(INDEX(Ipotesi!$C$32:$G$32,1,F474)*Ipotesi!J8,0)</f>
        <v>560</v>
      </c>
      <c r="AY474" s="15" t="n">
        <f aca="false">MAX(0,(AX474-(AV474-AW474))/(13-E474))</f>
        <v>36.4859916076077</v>
      </c>
      <c r="AZ474" s="15" t="n">
        <f aca="false">MIN(P474*Parametri_v3!$C$22,Q474*(1-Parametri_v3!$C$16)*Parametri_v3!$C$23)</f>
        <v>270</v>
      </c>
      <c r="BA474" s="15" t="n">
        <f aca="false">IF(OR(INDEX(Ipotesi!$C$35:$G$35,1,F474)&lt;=0,50-Parametri_v3!$C$21&lt;1),0,INDEX($AT$425:$AT$484,MAX(1,50-Parametri_v3!$C$21))/(INDEX(Ipotesi!$C$35:$G$35,1,F474)*Ipotesi!J27))</f>
        <v>6.50133977564103</v>
      </c>
      <c r="BB474" s="15" t="n">
        <f aca="false">IF(50-Parametri_v3!$C$21&lt;1,0,INDEX($AU$425:$AU$484,MAX(1,50-Parametri_v3!$C$21)))*Parametri_v3!$C$18*Parametri_v3!$C$19*Parametri_v3!$C$20</f>
        <v>13.125</v>
      </c>
      <c r="BC474" s="17" t="n">
        <f aca="false">MAX(0,MIN(AY474,BA474,BB474,MAX(0,AZ474-(AV474-AW474))))</f>
        <v>6.50133977564103</v>
      </c>
      <c r="BD474" s="17" t="n">
        <f aca="false">AV474-AW474+BC474</f>
        <v>165.155432091956</v>
      </c>
      <c r="BE474" s="17" t="n">
        <f aca="false">(AV474+BD474)/2</f>
        <v>162.604323674045</v>
      </c>
      <c r="BF474" s="15" t="n">
        <f aca="false">BE474*INDEX(Ipotesi!$C$33:$G$33,1,F474)*H474/12</f>
        <v>84012.2338982563</v>
      </c>
      <c r="BG474" s="15" t="n">
        <f aca="false">BD474*INDEX(Ipotesi!$C$33:$G$33,1,F474)*H474</f>
        <v>1023963.67897013</v>
      </c>
      <c r="BH474" s="15" t="n">
        <f aca="false">AM474*INDEX(Ipotesi!$C$37:$G$37,1,F474)</f>
        <v>11595.8333333333</v>
      </c>
      <c r="BI474" s="15" t="n">
        <f aca="false">AQ474+BF474+BH474</f>
        <v>185441.400564923</v>
      </c>
      <c r="BJ474" s="15" t="n">
        <f aca="false">INDEX(Ipotesi!$C$68:$G$68,1,F474)*Ipotesi!$C$69/12</f>
        <v>3333.33333333333</v>
      </c>
      <c r="BK474" s="15" t="n">
        <f aca="false">INDEX(Ipotesi!$C$68:$G$68,1,F474)*(1-Ipotesi!$C$69)/12</f>
        <v>5000</v>
      </c>
      <c r="BL474" s="15" t="n">
        <f aca="false">(AQ474+BF474)*Ipotesi!$C$67</f>
        <v>5215.36701694769</v>
      </c>
      <c r="BM474" s="15" t="n">
        <f aca="false">AM474*Ipotesi!$C$67</f>
        <v>3478.75</v>
      </c>
      <c r="BN474" s="15" t="n">
        <f aca="false">INDEX(Ipotesi!$C$72:$G$72,1,F474)/12*Ipotesi!J126+BF474*Ipotesi!$C$73</f>
        <v>7970.97871186051</v>
      </c>
      <c r="BO474" s="15" t="n">
        <f aca="false">INDEX(Ipotesi!$C$74:$G$74,1,F474)/12*Ipotesi!J126</f>
        <v>5416.66666666667</v>
      </c>
      <c r="BP474" s="15" t="n">
        <f aca="false">INDEX(Ipotesi!$C$76:$G$76,1,F474)/12</f>
        <v>1916.66666666667</v>
      </c>
      <c r="BQ474" s="15" t="n">
        <f aca="false">INDEX(Ipotesi!$C$77:$G$77,1,F474)/12*Ipotesi!J126</f>
        <v>2500</v>
      </c>
      <c r="BR474" s="15" t="n">
        <f aca="false">INDEX(Ipotesi!$C$78:$G$78,1,F474)/12</f>
        <v>2333.33333333333</v>
      </c>
      <c r="BS474" s="15" t="n">
        <f aca="false">SUM(M474:R474)*(Ipotesi!$C$85+Ipotesi!$C$86)/12</f>
        <v>7437.5</v>
      </c>
      <c r="BT474" s="15" t="n">
        <f aca="false">BI474*Ipotesi!$C$87</f>
        <v>5563.24201694769</v>
      </c>
      <c r="BU474" s="15" t="n">
        <f aca="false">INDEX(Ipotesi!$C$55:$G$55,1,F474)*K474/12</f>
        <v>2000</v>
      </c>
      <c r="BV474" s="15" t="n">
        <f aca="false">INDEX(Ipotesi!$C$80:$G$80,1,F474)/12*Ipotesi!J126</f>
        <v>2083.33333333333</v>
      </c>
      <c r="BW474" s="15" t="n">
        <f aca="false">INDEX(Ipotesi!$C$82:$G$82,1,F474)/12</f>
        <v>1500</v>
      </c>
      <c r="BX474" s="15" t="n">
        <f aca="false">INDEX(Ipotesi!$C$83:$G$83,1,F474)/12</f>
        <v>833.333333333333</v>
      </c>
      <c r="BY474" s="15" t="n">
        <f aca="false">SUM(S474:U474)*(Ipotesi!$C$85+Ipotesi!$C$86)/12</f>
        <v>3208.33333333333</v>
      </c>
      <c r="BZ474" s="15" t="n">
        <f aca="false">AM474*Ipotesi!$C$87</f>
        <v>3478.75</v>
      </c>
      <c r="CA474" s="15" t="n">
        <f aca="false">AB474+BJ474+BL474+BN474+BO474+AR474+BP474+BQ474+BR474+BS474+BT474</f>
        <v>196997.749399923</v>
      </c>
      <c r="CB474" s="15" t="n">
        <f aca="false">AC474+BK474+BM474+BH474+BU474+BV474+AS474+BW474+BX474+BY474+BZ474</f>
        <v>79625.4722608333</v>
      </c>
      <c r="CC474" s="15" t="n">
        <f aca="false">BI474-CA474</f>
        <v>-11556.3488349995</v>
      </c>
      <c r="CD474" s="15" t="n">
        <f aca="false">AM474-CB474</f>
        <v>36332.8610725</v>
      </c>
      <c r="CE474" s="15" t="n">
        <f aca="false">INDEX(Ipotesi!$C$79:$G$79,1,F474)/12</f>
        <v>4166.66666666667</v>
      </c>
      <c r="CF474" s="15" t="n">
        <f aca="false">INDEX(Ipotesi!$C$84:$G$84,1,F474)/12</f>
        <v>666.666666666667</v>
      </c>
      <c r="CG474" s="15" t="n">
        <f aca="false">Y474*MAX(0,Parametri_v3!$C$12-IF(P474=0,0,MIN(1,BE474/(P474*Parametri_v3!$C$22))))+W474*Parametri_v3!$C$13+X474*Parametri_v3!$C$14</f>
        <v>36456.9034400321</v>
      </c>
      <c r="CH474" s="15" t="n">
        <f aca="false">AB474*Parametri_v3!$C$32</f>
        <v>5973.86641604167</v>
      </c>
      <c r="CI474" s="15" t="n">
        <f aca="false">AC474*Parametri_v3!$C$32</f>
        <v>2218.19027970833</v>
      </c>
      <c r="CJ474" s="15" t="n">
        <f aca="false">CA474-AB474</f>
        <v>77520.4210790892</v>
      </c>
      <c r="CK474" s="15" t="n">
        <f aca="false">CB474-AC474-BH474</f>
        <v>23665.8333333333</v>
      </c>
      <c r="CL474" s="15" t="n">
        <f aca="false">BF474*Ipotesi!$C$73+INDEX(Ipotesi!$C$72:$G$72,1,F474)/12*Ipotesi!J126*Parametri_v3!$C$58+Z474*(1-Parametri_v3!$C$16)</f>
        <v>15568.1631793605</v>
      </c>
      <c r="CM474" s="16" t="n">
        <f aca="false">IF(BF474=0,0,1-CL474/BF474)</f>
        <v>0.814691712659201</v>
      </c>
    </row>
    <row r="475" customFormat="false" ht="18" hidden="false" customHeight="true" outlineLevel="0" collapsed="false">
      <c r="A475" s="68" t="n">
        <f aca="false">8</f>
        <v>8</v>
      </c>
      <c r="B475" s="68" t="n">
        <f aca="false">51</f>
        <v>51</v>
      </c>
      <c r="C475" s="18" t="n">
        <f aca="false">EDATE(Parametri_v3!$C$5,51-1)</f>
        <v>47908</v>
      </c>
      <c r="D475" s="68" t="n">
        <f aca="false">YEAR(C475)</f>
        <v>2031</v>
      </c>
      <c r="E475" s="68" t="n">
        <f aca="false">MONTH(C475)</f>
        <v>3</v>
      </c>
      <c r="F475" s="68" t="n">
        <f aca="false">INT((51-1)/12)+1</f>
        <v>5</v>
      </c>
      <c r="G475" s="15" t="n">
        <f aca="false">Ipotesi!J7</f>
        <v>1</v>
      </c>
      <c r="H475" s="15" t="n">
        <f aca="false">Ipotesi!J9</f>
        <v>1</v>
      </c>
      <c r="I475" s="15" t="n">
        <f aca="false">Ipotesi!J10</f>
        <v>1</v>
      </c>
      <c r="J475" s="15" t="n">
        <f aca="false">Ipotesi!J11</f>
        <v>1</v>
      </c>
      <c r="K475" s="15" t="n">
        <f aca="false">Ipotesi!J12</f>
        <v>1</v>
      </c>
      <c r="L475" s="15" t="n">
        <f aca="false">Ipotesi!J13</f>
        <v>90</v>
      </c>
      <c r="M475" s="17" t="n">
        <f aca="false">INDEX(Ipotesi!$C$40:$G$40,1,F475)</f>
        <v>1</v>
      </c>
      <c r="N475" s="17" t="n">
        <f aca="false">INDEX(Ipotesi!$C$41:$G$41,1,F475)</f>
        <v>1</v>
      </c>
      <c r="O475" s="17" t="n">
        <f aca="false">INDEX(Ipotesi!$C$42:$G$42,1,F475)*Ipotesi!J125</f>
        <v>8.5</v>
      </c>
      <c r="P475" s="17" t="n">
        <f aca="false">INDEX(Ipotesi!$C$43:$G$43,1,F475)*I475</f>
        <v>7</v>
      </c>
      <c r="Q475" s="17" t="n">
        <f aca="false">INDEX(Ipotesi!$C$44:$G$44,1,F475)*I475</f>
        <v>6</v>
      </c>
      <c r="R475" s="17" t="n">
        <f aca="false">INDEX(Ipotesi!$C$45:$G$45,1,F475)*I475</f>
        <v>2</v>
      </c>
      <c r="S475" s="17" t="n">
        <f aca="false">INDEX(Ipotesi!$C$52:$G$52,1,F475)*Ipotesi!J125</f>
        <v>9</v>
      </c>
      <c r="T475" s="17" t="n">
        <f aca="false">INDEX(Ipotesi!$C$53:$G$53,1,F475)*I475</f>
        <v>1</v>
      </c>
      <c r="U475" s="17" t="n">
        <f aca="false">INDEX(Ipotesi!$C$54:$G$54,1,F475)*I475</f>
        <v>1</v>
      </c>
      <c r="V475" s="15" t="n">
        <f aca="false">M475*INDEX(Ipotesi!$C$58:$G$58,1,F475)*K475/12</f>
        <v>8333.33333333333</v>
      </c>
      <c r="W475" s="15" t="n">
        <f aca="false">N475*Ipotesi!$C$59*(1+Ipotesi!$C$66)^(F475-1)/12</f>
        <v>6565.46805833334</v>
      </c>
      <c r="X475" s="15" t="n">
        <f aca="false">O475*Ipotesi!$C$60*(1+Ipotesi!$C$66)^(F475-1)/12</f>
        <v>39861.7703541667</v>
      </c>
      <c r="Y475" s="15" t="n">
        <f aca="false">P475*Ipotesi!$C$61*(1+Ipotesi!$C$66)^(F475-1)/12</f>
        <v>32827.3402916667</v>
      </c>
      <c r="Z475" s="15" t="n">
        <f aca="false">Q475*Ipotesi!$C$62*(1+Ipotesi!$C$66)^(F475-1)/12</f>
        <v>25323.948225</v>
      </c>
      <c r="AA475" s="15" t="n">
        <f aca="false">R475*Ipotesi!$C$63*(1+Ipotesi!$C$66)^(F475-1)/12</f>
        <v>6565.46805833334</v>
      </c>
      <c r="AB475" s="15" t="n">
        <f aca="false">SUM(V475:AA475)</f>
        <v>119477.328320833</v>
      </c>
      <c r="AC475" s="15" t="n">
        <f aca="false">(S475*Ipotesi!$C$64+T475*Ipotesi!$C$65+U475*Ipotesi!$C$63)*(1+Ipotesi!$C$66)^(F475-1)/12</f>
        <v>44363.8055941667</v>
      </c>
      <c r="AD475" s="15" t="n">
        <f aca="false">INDEX(Ipotesi!$C$48:$G$48,1,F475)*G475/12</f>
        <v>95.8333333333333</v>
      </c>
      <c r="AE475" s="15" t="n">
        <f aca="false">INDEX(Ipotesi!$C$50:$G$50,1,F475)*G475/12</f>
        <v>9.58333333333333</v>
      </c>
      <c r="AF475" s="15" t="n">
        <f aca="false">(S475*Parametri_v3!$C$7*Parametri_v3!$C$8+Parametri_v3!$C$10)/12</f>
        <v>115.5</v>
      </c>
      <c r="AG475" s="15" t="n">
        <f aca="false">AD475+AE475*(1+Parametri_v3!$C$9)</f>
        <v>110.208333333333</v>
      </c>
      <c r="AH475" s="16" t="n">
        <f aca="false">IF(AG475=0,1,MIN(1,AF475/AG475))</f>
        <v>1</v>
      </c>
      <c r="AI475" s="15" t="n">
        <f aca="false">AD475*AH475</f>
        <v>95.8333333333333</v>
      </c>
      <c r="AJ475" s="15" t="n">
        <f aca="false">AE475*AH475</f>
        <v>9.58333333333333</v>
      </c>
      <c r="AK475" s="15" t="n">
        <f aca="false">AI475*INDEX(Ipotesi!$C$49:$G$49,1,F475)*H475</f>
        <v>91041.6666666667</v>
      </c>
      <c r="AL475" s="15" t="n">
        <f aca="false">AJ475*INDEX(Ipotesi!$C$51:$G$51,1,F475)*H475</f>
        <v>24916.6666666667</v>
      </c>
      <c r="AM475" s="15" t="n">
        <f aca="false">AK475+AL475</f>
        <v>115958.333333333</v>
      </c>
      <c r="AN475" s="15" t="n">
        <f aca="false">INDEX(Ipotesi!$C$30:$G$30,1,F475)*G475/12</f>
        <v>81.6666666666667</v>
      </c>
      <c r="AO475" s="15" t="n">
        <f aca="false">O475*Parametri_v3!$C$7*Parametri_v3!$C$11*(1-Parametri_v3!$C$14)/12</f>
        <v>87.2666666666667</v>
      </c>
      <c r="AP475" s="15" t="n">
        <f aca="false">MIN(AN475,AO475)</f>
        <v>81.6666666666667</v>
      </c>
      <c r="AQ475" s="15" t="n">
        <f aca="false">AP475*INDEX(Ipotesi!$C$31:$G$31,1,F475)*H475</f>
        <v>89833.3333333333</v>
      </c>
      <c r="AR475" s="15" t="n">
        <f aca="false">INDEX(Ipotesi!$C$75:$G$75,1,F475)*J475/12</f>
        <v>35833.3333333333</v>
      </c>
      <c r="AS475" s="15" t="n">
        <f aca="false">INDEX(Ipotesi!$C$81:$G$81,1,F475)*J475/12</f>
        <v>2083.33333333333</v>
      </c>
      <c r="AT475" s="15" t="n">
        <f aca="false">AR475*Parametri_v3!$C$15+Z475*Parametri_v3!$C$16</f>
        <v>53560.0970908333</v>
      </c>
      <c r="AU475" s="15" t="n">
        <f aca="false">Q475*Parametri_v3!$C$16*Parametri_v3!$C$17</f>
        <v>420</v>
      </c>
      <c r="AV475" s="17" t="n">
        <f aca="false">BD474</f>
        <v>165.155432091956</v>
      </c>
      <c r="AW475" s="17" t="n">
        <f aca="false">AV475*(1-(1-INDEX(Ipotesi!$C$34:$G$34,1,F475))^(1/12))</f>
        <v>1.44372453440272</v>
      </c>
      <c r="AX475" s="15" t="n">
        <f aca="false">ROUND(INDEX(Ipotesi!$C$32:$G$32,1,F475)*Ipotesi!J8,0)</f>
        <v>560</v>
      </c>
      <c r="AY475" s="15" t="n">
        <f aca="false">MAX(0,(AX475-(AV475-AW475))/(13-E475))</f>
        <v>39.6288292442446</v>
      </c>
      <c r="AZ475" s="15" t="n">
        <f aca="false">MIN(P475*Parametri_v3!$C$22,Q475*(1-Parametri_v3!$C$16)*Parametri_v3!$C$23)</f>
        <v>270</v>
      </c>
      <c r="BA475" s="15" t="n">
        <f aca="false">IF(OR(INDEX(Ipotesi!$C$35:$G$35,1,F475)&lt;=0,51-Parametri_v3!$C$21&lt;1),0,INDEX($AT$425:$AT$484,MAX(1,51-Parametri_v3!$C$21))/(INDEX(Ipotesi!$C$35:$G$35,1,F475)*Ipotesi!J27))</f>
        <v>6.50133977564103</v>
      </c>
      <c r="BB475" s="15" t="n">
        <f aca="false">IF(51-Parametri_v3!$C$21&lt;1,0,INDEX($AU$425:$AU$484,MAX(1,51-Parametri_v3!$C$21)))*Parametri_v3!$C$18*Parametri_v3!$C$19*Parametri_v3!$C$20</f>
        <v>13.125</v>
      </c>
      <c r="BC475" s="17" t="n">
        <f aca="false">MAX(0,MIN(AY475,BA475,BB475,MAX(0,AZ475-(AV475-AW475))))</f>
        <v>6.50133977564103</v>
      </c>
      <c r="BD475" s="17" t="n">
        <f aca="false">AV475-AW475+BC475</f>
        <v>170.213047333195</v>
      </c>
      <c r="BE475" s="17" t="n">
        <f aca="false">(AV475+BD475)/2</f>
        <v>167.684239712575</v>
      </c>
      <c r="BF475" s="15" t="n">
        <f aca="false">BE475*INDEX(Ipotesi!$C$33:$G$33,1,F475)*H475/12</f>
        <v>86636.8571848307</v>
      </c>
      <c r="BG475" s="15" t="n">
        <f aca="false">BD475*INDEX(Ipotesi!$C$33:$G$33,1,F475)*H475</f>
        <v>1055320.89346581</v>
      </c>
      <c r="BH475" s="15" t="n">
        <f aca="false">AM475*INDEX(Ipotesi!$C$37:$G$37,1,F475)</f>
        <v>11595.8333333333</v>
      </c>
      <c r="BI475" s="15" t="n">
        <f aca="false">AQ475+BF475+BH475</f>
        <v>188066.023851497</v>
      </c>
      <c r="BJ475" s="15" t="n">
        <f aca="false">INDEX(Ipotesi!$C$68:$G$68,1,F475)*Ipotesi!$C$69/12</f>
        <v>3333.33333333333</v>
      </c>
      <c r="BK475" s="15" t="n">
        <f aca="false">INDEX(Ipotesi!$C$68:$G$68,1,F475)*(1-Ipotesi!$C$69)/12</f>
        <v>5000</v>
      </c>
      <c r="BL475" s="15" t="n">
        <f aca="false">(AQ475+BF475)*Ipotesi!$C$67</f>
        <v>5294.10571554492</v>
      </c>
      <c r="BM475" s="15" t="n">
        <f aca="false">AM475*Ipotesi!$C$67</f>
        <v>3478.75</v>
      </c>
      <c r="BN475" s="15" t="n">
        <f aca="false">INDEX(Ipotesi!$C$72:$G$72,1,F475)/12*Ipotesi!J126+BF475*Ipotesi!$C$73</f>
        <v>8180.94857478645</v>
      </c>
      <c r="BO475" s="15" t="n">
        <f aca="false">INDEX(Ipotesi!$C$74:$G$74,1,F475)/12*Ipotesi!J126</f>
        <v>5416.66666666667</v>
      </c>
      <c r="BP475" s="15" t="n">
        <f aca="false">INDEX(Ipotesi!$C$76:$G$76,1,F475)/12</f>
        <v>1916.66666666667</v>
      </c>
      <c r="BQ475" s="15" t="n">
        <f aca="false">INDEX(Ipotesi!$C$77:$G$77,1,F475)/12*Ipotesi!J126</f>
        <v>2500</v>
      </c>
      <c r="BR475" s="15" t="n">
        <f aca="false">INDEX(Ipotesi!$C$78:$G$78,1,F475)/12</f>
        <v>2333.33333333333</v>
      </c>
      <c r="BS475" s="15" t="n">
        <f aca="false">SUM(M475:R475)*(Ipotesi!$C$85+Ipotesi!$C$86)/12</f>
        <v>7437.5</v>
      </c>
      <c r="BT475" s="15" t="n">
        <f aca="false">BI475*Ipotesi!$C$87</f>
        <v>5641.98071554492</v>
      </c>
      <c r="BU475" s="15" t="n">
        <f aca="false">INDEX(Ipotesi!$C$55:$G$55,1,F475)*K475/12</f>
        <v>2000</v>
      </c>
      <c r="BV475" s="15" t="n">
        <f aca="false">INDEX(Ipotesi!$C$80:$G$80,1,F475)/12*Ipotesi!J126</f>
        <v>2083.33333333333</v>
      </c>
      <c r="BW475" s="15" t="n">
        <f aca="false">INDEX(Ipotesi!$C$82:$G$82,1,F475)/12</f>
        <v>1500</v>
      </c>
      <c r="BX475" s="15" t="n">
        <f aca="false">INDEX(Ipotesi!$C$83:$G$83,1,F475)/12</f>
        <v>833.333333333333</v>
      </c>
      <c r="BY475" s="15" t="n">
        <f aca="false">SUM(S475:U475)*(Ipotesi!$C$85+Ipotesi!$C$86)/12</f>
        <v>3208.33333333333</v>
      </c>
      <c r="BZ475" s="15" t="n">
        <f aca="false">AM475*Ipotesi!$C$87</f>
        <v>3478.75</v>
      </c>
      <c r="CA475" s="15" t="n">
        <f aca="false">AB475+BJ475+BL475+BN475+BO475+AR475+BP475+BQ475+BR475+BS475+BT475</f>
        <v>197365.196660043</v>
      </c>
      <c r="CB475" s="15" t="n">
        <f aca="false">AC475+BK475+BM475+BH475+BU475+BV475+AS475+BW475+BX475+BY475+BZ475</f>
        <v>79625.4722608333</v>
      </c>
      <c r="CC475" s="15" t="n">
        <f aca="false">BI475-CA475</f>
        <v>-9299.17280854564</v>
      </c>
      <c r="CD475" s="15" t="n">
        <f aca="false">AM475-CB475</f>
        <v>36332.8610725</v>
      </c>
      <c r="CE475" s="15" t="n">
        <f aca="false">INDEX(Ipotesi!$C$79:$G$79,1,F475)/12</f>
        <v>4166.66666666667</v>
      </c>
      <c r="CF475" s="15" t="n">
        <f aca="false">INDEX(Ipotesi!$C$84:$G$84,1,F475)/12</f>
        <v>666.666666666667</v>
      </c>
      <c r="CG475" s="15" t="n">
        <f aca="false">Y475*MAX(0,Parametri_v3!$C$12-IF(P475=0,0,MIN(1,BE475/(P475*Parametri_v3!$C$22))))+W475*Parametri_v3!$C$13+X475*Parametri_v3!$C$14</f>
        <v>36218.6746793894</v>
      </c>
      <c r="CH475" s="15" t="n">
        <f aca="false">AB475*Parametri_v3!$C$32</f>
        <v>5973.86641604167</v>
      </c>
      <c r="CI475" s="15" t="n">
        <f aca="false">AC475*Parametri_v3!$C$32</f>
        <v>2218.19027970833</v>
      </c>
      <c r="CJ475" s="15" t="n">
        <f aca="false">CA475-AB475</f>
        <v>77887.8683392096</v>
      </c>
      <c r="CK475" s="15" t="n">
        <f aca="false">CB475-AC475-BH475</f>
        <v>23665.8333333333</v>
      </c>
      <c r="CL475" s="15" t="n">
        <f aca="false">BF475*Ipotesi!$C$73+INDEX(Ipotesi!$C$72:$G$72,1,F475)/12*Ipotesi!J126*Parametri_v3!$C$58+Z475*(1-Parametri_v3!$C$16)</f>
        <v>15778.1330422865</v>
      </c>
      <c r="CM475" s="16" t="n">
        <f aca="false">IF(BF475=0,0,1-CL475/BF475)</f>
        <v>0.817881978236751</v>
      </c>
    </row>
    <row r="476" customFormat="false" ht="18" hidden="false" customHeight="true" outlineLevel="0" collapsed="false">
      <c r="A476" s="68" t="n">
        <f aca="false">8</f>
        <v>8</v>
      </c>
      <c r="B476" s="68" t="n">
        <f aca="false">52</f>
        <v>52</v>
      </c>
      <c r="C476" s="18" t="n">
        <f aca="false">EDATE(Parametri_v3!$C$5,52-1)</f>
        <v>47939</v>
      </c>
      <c r="D476" s="68" t="n">
        <f aca="false">YEAR(C476)</f>
        <v>2031</v>
      </c>
      <c r="E476" s="68" t="n">
        <f aca="false">MONTH(C476)</f>
        <v>4</v>
      </c>
      <c r="F476" s="68" t="n">
        <f aca="false">INT((52-1)/12)+1</f>
        <v>5</v>
      </c>
      <c r="G476" s="15" t="n">
        <f aca="false">Ipotesi!J7</f>
        <v>1</v>
      </c>
      <c r="H476" s="15" t="n">
        <f aca="false">Ipotesi!J9</f>
        <v>1</v>
      </c>
      <c r="I476" s="15" t="n">
        <f aca="false">Ipotesi!J10</f>
        <v>1</v>
      </c>
      <c r="J476" s="15" t="n">
        <f aca="false">Ipotesi!J11</f>
        <v>1</v>
      </c>
      <c r="K476" s="15" t="n">
        <f aca="false">Ipotesi!J12</f>
        <v>1</v>
      </c>
      <c r="L476" s="15" t="n">
        <f aca="false">Ipotesi!J13</f>
        <v>90</v>
      </c>
      <c r="M476" s="17" t="n">
        <f aca="false">INDEX(Ipotesi!$C$40:$G$40,1,F476)</f>
        <v>1</v>
      </c>
      <c r="N476" s="17" t="n">
        <f aca="false">INDEX(Ipotesi!$C$41:$G$41,1,F476)</f>
        <v>1</v>
      </c>
      <c r="O476" s="17" t="n">
        <f aca="false">INDEX(Ipotesi!$C$42:$G$42,1,F476)*Ipotesi!J125</f>
        <v>8.5</v>
      </c>
      <c r="P476" s="17" t="n">
        <f aca="false">INDEX(Ipotesi!$C$43:$G$43,1,F476)*I476</f>
        <v>7</v>
      </c>
      <c r="Q476" s="17" t="n">
        <f aca="false">INDEX(Ipotesi!$C$44:$G$44,1,F476)*I476</f>
        <v>6</v>
      </c>
      <c r="R476" s="17" t="n">
        <f aca="false">INDEX(Ipotesi!$C$45:$G$45,1,F476)*I476</f>
        <v>2</v>
      </c>
      <c r="S476" s="17" t="n">
        <f aca="false">INDEX(Ipotesi!$C$52:$G$52,1,F476)*Ipotesi!J125</f>
        <v>9</v>
      </c>
      <c r="T476" s="17" t="n">
        <f aca="false">INDEX(Ipotesi!$C$53:$G$53,1,F476)*I476</f>
        <v>1</v>
      </c>
      <c r="U476" s="17" t="n">
        <f aca="false">INDEX(Ipotesi!$C$54:$G$54,1,F476)*I476</f>
        <v>1</v>
      </c>
      <c r="V476" s="15" t="n">
        <f aca="false">M476*INDEX(Ipotesi!$C$58:$G$58,1,F476)*K476/12</f>
        <v>8333.33333333333</v>
      </c>
      <c r="W476" s="15" t="n">
        <f aca="false">N476*Ipotesi!$C$59*(1+Ipotesi!$C$66)^(F476-1)/12</f>
        <v>6565.46805833334</v>
      </c>
      <c r="X476" s="15" t="n">
        <f aca="false">O476*Ipotesi!$C$60*(1+Ipotesi!$C$66)^(F476-1)/12</f>
        <v>39861.7703541667</v>
      </c>
      <c r="Y476" s="15" t="n">
        <f aca="false">P476*Ipotesi!$C$61*(1+Ipotesi!$C$66)^(F476-1)/12</f>
        <v>32827.3402916667</v>
      </c>
      <c r="Z476" s="15" t="n">
        <f aca="false">Q476*Ipotesi!$C$62*(1+Ipotesi!$C$66)^(F476-1)/12</f>
        <v>25323.948225</v>
      </c>
      <c r="AA476" s="15" t="n">
        <f aca="false">R476*Ipotesi!$C$63*(1+Ipotesi!$C$66)^(F476-1)/12</f>
        <v>6565.46805833334</v>
      </c>
      <c r="AB476" s="15" t="n">
        <f aca="false">SUM(V476:AA476)</f>
        <v>119477.328320833</v>
      </c>
      <c r="AC476" s="15" t="n">
        <f aca="false">(S476*Ipotesi!$C$64+T476*Ipotesi!$C$65+U476*Ipotesi!$C$63)*(1+Ipotesi!$C$66)^(F476-1)/12</f>
        <v>44363.8055941667</v>
      </c>
      <c r="AD476" s="15" t="n">
        <f aca="false">INDEX(Ipotesi!$C$48:$G$48,1,F476)*G476/12</f>
        <v>95.8333333333333</v>
      </c>
      <c r="AE476" s="15" t="n">
        <f aca="false">INDEX(Ipotesi!$C$50:$G$50,1,F476)*G476/12</f>
        <v>9.58333333333333</v>
      </c>
      <c r="AF476" s="15" t="n">
        <f aca="false">(S476*Parametri_v3!$C$7*Parametri_v3!$C$8+Parametri_v3!$C$10)/12</f>
        <v>115.5</v>
      </c>
      <c r="AG476" s="15" t="n">
        <f aca="false">AD476+AE476*(1+Parametri_v3!$C$9)</f>
        <v>110.208333333333</v>
      </c>
      <c r="AH476" s="16" t="n">
        <f aca="false">IF(AG476=0,1,MIN(1,AF476/AG476))</f>
        <v>1</v>
      </c>
      <c r="AI476" s="15" t="n">
        <f aca="false">AD476*AH476</f>
        <v>95.8333333333333</v>
      </c>
      <c r="AJ476" s="15" t="n">
        <f aca="false">AE476*AH476</f>
        <v>9.58333333333333</v>
      </c>
      <c r="AK476" s="15" t="n">
        <f aca="false">AI476*INDEX(Ipotesi!$C$49:$G$49,1,F476)*H476</f>
        <v>91041.6666666667</v>
      </c>
      <c r="AL476" s="15" t="n">
        <f aca="false">AJ476*INDEX(Ipotesi!$C$51:$G$51,1,F476)*H476</f>
        <v>24916.6666666667</v>
      </c>
      <c r="AM476" s="15" t="n">
        <f aca="false">AK476+AL476</f>
        <v>115958.333333333</v>
      </c>
      <c r="AN476" s="15" t="n">
        <f aca="false">INDEX(Ipotesi!$C$30:$G$30,1,F476)*G476/12</f>
        <v>81.6666666666667</v>
      </c>
      <c r="AO476" s="15" t="n">
        <f aca="false">O476*Parametri_v3!$C$7*Parametri_v3!$C$11*(1-Parametri_v3!$C$14)/12</f>
        <v>87.2666666666667</v>
      </c>
      <c r="AP476" s="15" t="n">
        <f aca="false">MIN(AN476,AO476)</f>
        <v>81.6666666666667</v>
      </c>
      <c r="AQ476" s="15" t="n">
        <f aca="false">AP476*INDEX(Ipotesi!$C$31:$G$31,1,F476)*H476</f>
        <v>89833.3333333333</v>
      </c>
      <c r="AR476" s="15" t="n">
        <f aca="false">INDEX(Ipotesi!$C$75:$G$75,1,F476)*J476/12</f>
        <v>35833.3333333333</v>
      </c>
      <c r="AS476" s="15" t="n">
        <f aca="false">INDEX(Ipotesi!$C$81:$G$81,1,F476)*J476/12</f>
        <v>2083.33333333333</v>
      </c>
      <c r="AT476" s="15" t="n">
        <f aca="false">AR476*Parametri_v3!$C$15+Z476*Parametri_v3!$C$16</f>
        <v>53560.0970908333</v>
      </c>
      <c r="AU476" s="15" t="n">
        <f aca="false">Q476*Parametri_v3!$C$16*Parametri_v3!$C$17</f>
        <v>420</v>
      </c>
      <c r="AV476" s="17" t="n">
        <f aca="false">BD475</f>
        <v>170.213047333195</v>
      </c>
      <c r="AW476" s="17" t="n">
        <f aca="false">AV476*(1-(1-INDEX(Ipotesi!$C$34:$G$34,1,F476))^(1/12))</f>
        <v>1.48793623920017</v>
      </c>
      <c r="AX476" s="15" t="n">
        <f aca="false">ROUND(INDEX(Ipotesi!$C$32:$G$32,1,F476)*Ipotesi!J8,0)</f>
        <v>560</v>
      </c>
      <c r="AY476" s="15" t="n">
        <f aca="false">MAX(0,(AX476-(AV476-AW476))/(13-E476))</f>
        <v>43.4749876562228</v>
      </c>
      <c r="AZ476" s="15" t="n">
        <f aca="false">MIN(P476*Parametri_v3!$C$22,Q476*(1-Parametri_v3!$C$16)*Parametri_v3!$C$23)</f>
        <v>270</v>
      </c>
      <c r="BA476" s="15" t="n">
        <f aca="false">IF(OR(INDEX(Ipotesi!$C$35:$G$35,1,F476)&lt;=0,52-Parametri_v3!$C$21&lt;1),0,INDEX($AT$425:$AT$484,MAX(1,52-Parametri_v3!$C$21))/(INDEX(Ipotesi!$C$35:$G$35,1,F476)*Ipotesi!J27))</f>
        <v>8.24001493705128</v>
      </c>
      <c r="BB476" s="15" t="n">
        <f aca="false">IF(52-Parametri_v3!$C$21&lt;1,0,INDEX($AU$425:$AU$484,MAX(1,52-Parametri_v3!$C$21)))*Parametri_v3!$C$18*Parametri_v3!$C$19*Parametri_v3!$C$20</f>
        <v>15.75</v>
      </c>
      <c r="BC476" s="17" t="n">
        <f aca="false">MAX(0,MIN(AY476,BA476,BB476,MAX(0,AZ476-(AV476-AW476))))</f>
        <v>8.24001493705128</v>
      </c>
      <c r="BD476" s="17" t="n">
        <f aca="false">AV476-AW476+BC476</f>
        <v>176.965126031046</v>
      </c>
      <c r="BE476" s="17" t="n">
        <f aca="false">(AV476+BD476)/2</f>
        <v>173.58908668212</v>
      </c>
      <c r="BF476" s="15" t="n">
        <f aca="false">BE476*INDEX(Ipotesi!$C$33:$G$33,1,F476)*H476/12</f>
        <v>89687.6947857621</v>
      </c>
      <c r="BG476" s="15" t="n">
        <f aca="false">BD476*INDEX(Ipotesi!$C$33:$G$33,1,F476)*H476</f>
        <v>1097183.78139248</v>
      </c>
      <c r="BH476" s="15" t="n">
        <f aca="false">AM476*INDEX(Ipotesi!$C$37:$G$37,1,F476)</f>
        <v>11595.8333333333</v>
      </c>
      <c r="BI476" s="15" t="n">
        <f aca="false">AQ476+BF476+BH476</f>
        <v>191116.861452429</v>
      </c>
      <c r="BJ476" s="15" t="n">
        <f aca="false">INDEX(Ipotesi!$C$68:$G$68,1,F476)*Ipotesi!$C$69/12</f>
        <v>3333.33333333333</v>
      </c>
      <c r="BK476" s="15" t="n">
        <f aca="false">INDEX(Ipotesi!$C$68:$G$68,1,F476)*(1-Ipotesi!$C$69)/12</f>
        <v>5000</v>
      </c>
      <c r="BL476" s="15" t="n">
        <f aca="false">(AQ476+BF476)*Ipotesi!$C$67</f>
        <v>5385.63084357286</v>
      </c>
      <c r="BM476" s="15" t="n">
        <f aca="false">AM476*Ipotesi!$C$67</f>
        <v>3478.75</v>
      </c>
      <c r="BN476" s="15" t="n">
        <f aca="false">INDEX(Ipotesi!$C$72:$G$72,1,F476)/12*Ipotesi!J126+BF476*Ipotesi!$C$73</f>
        <v>8425.01558286097</v>
      </c>
      <c r="BO476" s="15" t="n">
        <f aca="false">INDEX(Ipotesi!$C$74:$G$74,1,F476)/12*Ipotesi!J126</f>
        <v>5416.66666666667</v>
      </c>
      <c r="BP476" s="15" t="n">
        <f aca="false">INDEX(Ipotesi!$C$76:$G$76,1,F476)/12</f>
        <v>1916.66666666667</v>
      </c>
      <c r="BQ476" s="15" t="n">
        <f aca="false">INDEX(Ipotesi!$C$77:$G$77,1,F476)/12*Ipotesi!J126</f>
        <v>2500</v>
      </c>
      <c r="BR476" s="15" t="n">
        <f aca="false">INDEX(Ipotesi!$C$78:$G$78,1,F476)/12</f>
        <v>2333.33333333333</v>
      </c>
      <c r="BS476" s="15" t="n">
        <f aca="false">SUM(M476:R476)*(Ipotesi!$C$85+Ipotesi!$C$86)/12</f>
        <v>7437.5</v>
      </c>
      <c r="BT476" s="15" t="n">
        <f aca="false">BI476*Ipotesi!$C$87</f>
        <v>5733.50584357286</v>
      </c>
      <c r="BU476" s="15" t="n">
        <f aca="false">INDEX(Ipotesi!$C$55:$G$55,1,F476)*K476/12</f>
        <v>2000</v>
      </c>
      <c r="BV476" s="15" t="n">
        <f aca="false">INDEX(Ipotesi!$C$80:$G$80,1,F476)/12*Ipotesi!J126</f>
        <v>2083.33333333333</v>
      </c>
      <c r="BW476" s="15" t="n">
        <f aca="false">INDEX(Ipotesi!$C$82:$G$82,1,F476)/12</f>
        <v>1500</v>
      </c>
      <c r="BX476" s="15" t="n">
        <f aca="false">INDEX(Ipotesi!$C$83:$G$83,1,F476)/12</f>
        <v>833.333333333333</v>
      </c>
      <c r="BY476" s="15" t="n">
        <f aca="false">SUM(S476:U476)*(Ipotesi!$C$85+Ipotesi!$C$86)/12</f>
        <v>3208.33333333333</v>
      </c>
      <c r="BZ476" s="15" t="n">
        <f aca="false">AM476*Ipotesi!$C$87</f>
        <v>3478.75</v>
      </c>
      <c r="CA476" s="15" t="n">
        <f aca="false">AB476+BJ476+BL476+BN476+BO476+AR476+BP476+BQ476+BR476+BS476+BT476</f>
        <v>197792.313924173</v>
      </c>
      <c r="CB476" s="15" t="n">
        <f aca="false">AC476+BK476+BM476+BH476+BU476+BV476+AS476+BW476+BX476+BY476+BZ476</f>
        <v>79625.4722608333</v>
      </c>
      <c r="CC476" s="15" t="n">
        <f aca="false">BI476-CA476</f>
        <v>-6675.45247174462</v>
      </c>
      <c r="CD476" s="15" t="n">
        <f aca="false">AM476-CB476</f>
        <v>36332.8610725</v>
      </c>
      <c r="CE476" s="15" t="n">
        <f aca="false">INDEX(Ipotesi!$C$79:$G$79,1,F476)/12</f>
        <v>4166.66666666667</v>
      </c>
      <c r="CF476" s="15" t="n">
        <f aca="false">INDEX(Ipotesi!$C$84:$G$84,1,F476)/12</f>
        <v>666.666666666667</v>
      </c>
      <c r="CG476" s="15" t="n">
        <f aca="false">Y476*MAX(0,Parametri_v3!$C$12-IF(P476=0,0,MIN(1,BE476/(P476*Parametri_v3!$C$22))))+W476*Parametri_v3!$C$13+X476*Parametri_v3!$C$14</f>
        <v>35941.7597924758</v>
      </c>
      <c r="CH476" s="15" t="n">
        <f aca="false">AB476*Parametri_v3!$C$32</f>
        <v>5973.86641604167</v>
      </c>
      <c r="CI476" s="15" t="n">
        <f aca="false">AC476*Parametri_v3!$C$32</f>
        <v>2218.19027970833</v>
      </c>
      <c r="CJ476" s="15" t="n">
        <f aca="false">CA476-AB476</f>
        <v>78314.98560334</v>
      </c>
      <c r="CK476" s="15" t="n">
        <f aca="false">CB476-AC476-BH476</f>
        <v>23665.8333333333</v>
      </c>
      <c r="CL476" s="15" t="n">
        <f aca="false">BF476*Ipotesi!$C$73+INDEX(Ipotesi!$C$72:$G$72,1,F476)/12*Ipotesi!J126*Parametri_v3!$C$58+Z476*(1-Parametri_v3!$C$16)</f>
        <v>16022.200050361</v>
      </c>
      <c r="CM476" s="16" t="n">
        <f aca="false">IF(BF476=0,0,1-CL476/BF476)</f>
        <v>0.821355648747207</v>
      </c>
    </row>
    <row r="477" customFormat="false" ht="18" hidden="false" customHeight="true" outlineLevel="0" collapsed="false">
      <c r="A477" s="68" t="n">
        <f aca="false">8</f>
        <v>8</v>
      </c>
      <c r="B477" s="68" t="n">
        <f aca="false">53</f>
        <v>53</v>
      </c>
      <c r="C477" s="18" t="n">
        <f aca="false">EDATE(Parametri_v3!$C$5,53-1)</f>
        <v>47969</v>
      </c>
      <c r="D477" s="68" t="n">
        <f aca="false">YEAR(C477)</f>
        <v>2031</v>
      </c>
      <c r="E477" s="68" t="n">
        <f aca="false">MONTH(C477)</f>
        <v>5</v>
      </c>
      <c r="F477" s="68" t="n">
        <f aca="false">INT((53-1)/12)+1</f>
        <v>5</v>
      </c>
      <c r="G477" s="15" t="n">
        <f aca="false">Ipotesi!J7</f>
        <v>1</v>
      </c>
      <c r="H477" s="15" t="n">
        <f aca="false">Ipotesi!J9</f>
        <v>1</v>
      </c>
      <c r="I477" s="15" t="n">
        <f aca="false">Ipotesi!J10</f>
        <v>1</v>
      </c>
      <c r="J477" s="15" t="n">
        <f aca="false">Ipotesi!J11</f>
        <v>1</v>
      </c>
      <c r="K477" s="15" t="n">
        <f aca="false">Ipotesi!J12</f>
        <v>1</v>
      </c>
      <c r="L477" s="15" t="n">
        <f aca="false">Ipotesi!J13</f>
        <v>90</v>
      </c>
      <c r="M477" s="17" t="n">
        <f aca="false">INDEX(Ipotesi!$C$40:$G$40,1,F477)</f>
        <v>1</v>
      </c>
      <c r="N477" s="17" t="n">
        <f aca="false">INDEX(Ipotesi!$C$41:$G$41,1,F477)</f>
        <v>1</v>
      </c>
      <c r="O477" s="17" t="n">
        <f aca="false">INDEX(Ipotesi!$C$42:$G$42,1,F477)*Ipotesi!J125</f>
        <v>8.5</v>
      </c>
      <c r="P477" s="17" t="n">
        <f aca="false">INDEX(Ipotesi!$C$43:$G$43,1,F477)*I477</f>
        <v>7</v>
      </c>
      <c r="Q477" s="17" t="n">
        <f aca="false">INDEX(Ipotesi!$C$44:$G$44,1,F477)*I477</f>
        <v>6</v>
      </c>
      <c r="R477" s="17" t="n">
        <f aca="false">INDEX(Ipotesi!$C$45:$G$45,1,F477)*I477</f>
        <v>2</v>
      </c>
      <c r="S477" s="17" t="n">
        <f aca="false">INDEX(Ipotesi!$C$52:$G$52,1,F477)*Ipotesi!J125</f>
        <v>9</v>
      </c>
      <c r="T477" s="17" t="n">
        <f aca="false">INDEX(Ipotesi!$C$53:$G$53,1,F477)*I477</f>
        <v>1</v>
      </c>
      <c r="U477" s="17" t="n">
        <f aca="false">INDEX(Ipotesi!$C$54:$G$54,1,F477)*I477</f>
        <v>1</v>
      </c>
      <c r="V477" s="15" t="n">
        <f aca="false">M477*INDEX(Ipotesi!$C$58:$G$58,1,F477)*K477/12</f>
        <v>8333.33333333333</v>
      </c>
      <c r="W477" s="15" t="n">
        <f aca="false">N477*Ipotesi!$C$59*(1+Ipotesi!$C$66)^(F477-1)/12</f>
        <v>6565.46805833334</v>
      </c>
      <c r="X477" s="15" t="n">
        <f aca="false">O477*Ipotesi!$C$60*(1+Ipotesi!$C$66)^(F477-1)/12</f>
        <v>39861.7703541667</v>
      </c>
      <c r="Y477" s="15" t="n">
        <f aca="false">P477*Ipotesi!$C$61*(1+Ipotesi!$C$66)^(F477-1)/12</f>
        <v>32827.3402916667</v>
      </c>
      <c r="Z477" s="15" t="n">
        <f aca="false">Q477*Ipotesi!$C$62*(1+Ipotesi!$C$66)^(F477-1)/12</f>
        <v>25323.948225</v>
      </c>
      <c r="AA477" s="15" t="n">
        <f aca="false">R477*Ipotesi!$C$63*(1+Ipotesi!$C$66)^(F477-1)/12</f>
        <v>6565.46805833334</v>
      </c>
      <c r="AB477" s="15" t="n">
        <f aca="false">SUM(V477:AA477)</f>
        <v>119477.328320833</v>
      </c>
      <c r="AC477" s="15" t="n">
        <f aca="false">(S477*Ipotesi!$C$64+T477*Ipotesi!$C$65+U477*Ipotesi!$C$63)*(1+Ipotesi!$C$66)^(F477-1)/12</f>
        <v>44363.8055941667</v>
      </c>
      <c r="AD477" s="15" t="n">
        <f aca="false">INDEX(Ipotesi!$C$48:$G$48,1,F477)*G477/12</f>
        <v>95.8333333333333</v>
      </c>
      <c r="AE477" s="15" t="n">
        <f aca="false">INDEX(Ipotesi!$C$50:$G$50,1,F477)*G477/12</f>
        <v>9.58333333333333</v>
      </c>
      <c r="AF477" s="15" t="n">
        <f aca="false">(S477*Parametri_v3!$C$7*Parametri_v3!$C$8+Parametri_v3!$C$10)/12</f>
        <v>115.5</v>
      </c>
      <c r="AG477" s="15" t="n">
        <f aca="false">AD477+AE477*(1+Parametri_v3!$C$9)</f>
        <v>110.208333333333</v>
      </c>
      <c r="AH477" s="16" t="n">
        <f aca="false">IF(AG477=0,1,MIN(1,AF477/AG477))</f>
        <v>1</v>
      </c>
      <c r="AI477" s="15" t="n">
        <f aca="false">AD477*AH477</f>
        <v>95.8333333333333</v>
      </c>
      <c r="AJ477" s="15" t="n">
        <f aca="false">AE477*AH477</f>
        <v>9.58333333333333</v>
      </c>
      <c r="AK477" s="15" t="n">
        <f aca="false">AI477*INDEX(Ipotesi!$C$49:$G$49,1,F477)*H477</f>
        <v>91041.6666666667</v>
      </c>
      <c r="AL477" s="15" t="n">
        <f aca="false">AJ477*INDEX(Ipotesi!$C$51:$G$51,1,F477)*H477</f>
        <v>24916.6666666667</v>
      </c>
      <c r="AM477" s="15" t="n">
        <f aca="false">AK477+AL477</f>
        <v>115958.333333333</v>
      </c>
      <c r="AN477" s="15" t="n">
        <f aca="false">INDEX(Ipotesi!$C$30:$G$30,1,F477)*G477/12</f>
        <v>81.6666666666667</v>
      </c>
      <c r="AO477" s="15" t="n">
        <f aca="false">O477*Parametri_v3!$C$7*Parametri_v3!$C$11*(1-Parametri_v3!$C$14)/12</f>
        <v>87.2666666666667</v>
      </c>
      <c r="AP477" s="15" t="n">
        <f aca="false">MIN(AN477,AO477)</f>
        <v>81.6666666666667</v>
      </c>
      <c r="AQ477" s="15" t="n">
        <f aca="false">AP477*INDEX(Ipotesi!$C$31:$G$31,1,F477)*H477</f>
        <v>89833.3333333333</v>
      </c>
      <c r="AR477" s="15" t="n">
        <f aca="false">INDEX(Ipotesi!$C$75:$G$75,1,F477)*J477/12</f>
        <v>35833.3333333333</v>
      </c>
      <c r="AS477" s="15" t="n">
        <f aca="false">INDEX(Ipotesi!$C$81:$G$81,1,F477)*J477/12</f>
        <v>2083.33333333333</v>
      </c>
      <c r="AT477" s="15" t="n">
        <f aca="false">AR477*Parametri_v3!$C$15+Z477*Parametri_v3!$C$16</f>
        <v>53560.0970908333</v>
      </c>
      <c r="AU477" s="15" t="n">
        <f aca="false">Q477*Parametri_v3!$C$16*Parametri_v3!$C$17</f>
        <v>420</v>
      </c>
      <c r="AV477" s="17" t="n">
        <f aca="false">BD476</f>
        <v>176.965126031046</v>
      </c>
      <c r="AW477" s="17" t="n">
        <f aca="false">AV477*(1-(1-INDEX(Ipotesi!$C$34:$G$34,1,F477))^(1/12))</f>
        <v>1.54696028431228</v>
      </c>
      <c r="AX477" s="15" t="n">
        <f aca="false">ROUND(INDEX(Ipotesi!$C$32:$G$32,1,F477)*Ipotesi!J8,0)</f>
        <v>560</v>
      </c>
      <c r="AY477" s="15" t="n">
        <f aca="false">MAX(0,(AX477-(AV477-AW477))/(13-E477))</f>
        <v>48.0727292816583</v>
      </c>
      <c r="AZ477" s="15" t="n">
        <f aca="false">MIN(P477*Parametri_v3!$C$22,Q477*(1-Parametri_v3!$C$16)*Parametri_v3!$C$23)</f>
        <v>270</v>
      </c>
      <c r="BA477" s="15" t="n">
        <f aca="false">IF(OR(INDEX(Ipotesi!$C$35:$G$35,1,F477)&lt;=0,53-Parametri_v3!$C$21&lt;1),0,INDEX($AT$425:$AT$484,MAX(1,53-Parametri_v3!$C$21))/(INDEX(Ipotesi!$C$35:$G$35,1,F477)*Ipotesi!J27))</f>
        <v>8.24001493705128</v>
      </c>
      <c r="BB477" s="15" t="n">
        <f aca="false">IF(53-Parametri_v3!$C$21&lt;1,0,INDEX($AU$425:$AU$484,MAX(1,53-Parametri_v3!$C$21)))*Parametri_v3!$C$18*Parametri_v3!$C$19*Parametri_v3!$C$20</f>
        <v>15.75</v>
      </c>
      <c r="BC477" s="17" t="n">
        <f aca="false">MAX(0,MIN(AY477,BA477,BB477,MAX(0,AZ477-(AV477-AW477))))</f>
        <v>8.24001493705128</v>
      </c>
      <c r="BD477" s="17" t="n">
        <f aca="false">AV477-AW477+BC477</f>
        <v>183.658180683785</v>
      </c>
      <c r="BE477" s="17" t="n">
        <f aca="false">(AV477+BD477)/2</f>
        <v>180.311653357415</v>
      </c>
      <c r="BF477" s="15" t="n">
        <f aca="false">BE477*INDEX(Ipotesi!$C$33:$G$33,1,F477)*H477/12</f>
        <v>93161.0209013312</v>
      </c>
      <c r="BG477" s="15" t="n">
        <f aca="false">BD477*INDEX(Ipotesi!$C$33:$G$33,1,F477)*H477</f>
        <v>1138680.72023947</v>
      </c>
      <c r="BH477" s="15" t="n">
        <f aca="false">AM477*INDEX(Ipotesi!$C$37:$G$37,1,F477)</f>
        <v>11595.8333333333</v>
      </c>
      <c r="BI477" s="15" t="n">
        <f aca="false">AQ477+BF477+BH477</f>
        <v>194590.187567998</v>
      </c>
      <c r="BJ477" s="15" t="n">
        <f aca="false">INDEX(Ipotesi!$C$68:$G$68,1,F477)*Ipotesi!$C$69/12</f>
        <v>3333.33333333333</v>
      </c>
      <c r="BK477" s="15" t="n">
        <f aca="false">INDEX(Ipotesi!$C$68:$G$68,1,F477)*(1-Ipotesi!$C$69)/12</f>
        <v>5000</v>
      </c>
      <c r="BL477" s="15" t="n">
        <f aca="false">(AQ477+BF477)*Ipotesi!$C$67</f>
        <v>5489.83062703994</v>
      </c>
      <c r="BM477" s="15" t="n">
        <f aca="false">AM477*Ipotesi!$C$67</f>
        <v>3478.75</v>
      </c>
      <c r="BN477" s="15" t="n">
        <f aca="false">INDEX(Ipotesi!$C$72:$G$72,1,F477)/12*Ipotesi!J126+BF477*Ipotesi!$C$73</f>
        <v>8702.8816721065</v>
      </c>
      <c r="BO477" s="15" t="n">
        <f aca="false">INDEX(Ipotesi!$C$74:$G$74,1,F477)/12*Ipotesi!J126</f>
        <v>5416.66666666667</v>
      </c>
      <c r="BP477" s="15" t="n">
        <f aca="false">INDEX(Ipotesi!$C$76:$G$76,1,F477)/12</f>
        <v>1916.66666666667</v>
      </c>
      <c r="BQ477" s="15" t="n">
        <f aca="false">INDEX(Ipotesi!$C$77:$G$77,1,F477)/12*Ipotesi!J126</f>
        <v>2500</v>
      </c>
      <c r="BR477" s="15" t="n">
        <f aca="false">INDEX(Ipotesi!$C$78:$G$78,1,F477)/12</f>
        <v>2333.33333333333</v>
      </c>
      <c r="BS477" s="15" t="n">
        <f aca="false">SUM(M477:R477)*(Ipotesi!$C$85+Ipotesi!$C$86)/12</f>
        <v>7437.5</v>
      </c>
      <c r="BT477" s="15" t="n">
        <f aca="false">BI477*Ipotesi!$C$87</f>
        <v>5837.70562703994</v>
      </c>
      <c r="BU477" s="15" t="n">
        <f aca="false">INDEX(Ipotesi!$C$55:$G$55,1,F477)*K477/12</f>
        <v>2000</v>
      </c>
      <c r="BV477" s="15" t="n">
        <f aca="false">INDEX(Ipotesi!$C$80:$G$80,1,F477)/12*Ipotesi!J126</f>
        <v>2083.33333333333</v>
      </c>
      <c r="BW477" s="15" t="n">
        <f aca="false">INDEX(Ipotesi!$C$82:$G$82,1,F477)/12</f>
        <v>1500</v>
      </c>
      <c r="BX477" s="15" t="n">
        <f aca="false">INDEX(Ipotesi!$C$83:$G$83,1,F477)/12</f>
        <v>833.333333333333</v>
      </c>
      <c r="BY477" s="15" t="n">
        <f aca="false">SUM(S477:U477)*(Ipotesi!$C$85+Ipotesi!$C$86)/12</f>
        <v>3208.33333333333</v>
      </c>
      <c r="BZ477" s="15" t="n">
        <f aca="false">AM477*Ipotesi!$C$87</f>
        <v>3478.75</v>
      </c>
      <c r="CA477" s="15" t="n">
        <f aca="false">AB477+BJ477+BL477+BN477+BO477+AR477+BP477+BQ477+BR477+BS477+BT477</f>
        <v>198278.579580353</v>
      </c>
      <c r="CB477" s="15" t="n">
        <f aca="false">AC477+BK477+BM477+BH477+BU477+BV477+AS477+BW477+BX477+BY477+BZ477</f>
        <v>79625.4722608333</v>
      </c>
      <c r="CC477" s="15" t="n">
        <f aca="false">BI477-CA477</f>
        <v>-3688.39201235518</v>
      </c>
      <c r="CD477" s="15" t="n">
        <f aca="false">AM477-CB477</f>
        <v>36332.8610725</v>
      </c>
      <c r="CE477" s="15" t="n">
        <f aca="false">INDEX(Ipotesi!$C$79:$G$79,1,F477)/12</f>
        <v>4166.66666666667</v>
      </c>
      <c r="CF477" s="15" t="n">
        <f aca="false">INDEX(Ipotesi!$C$84:$G$84,1,F477)/12</f>
        <v>666.666666666667</v>
      </c>
      <c r="CG477" s="15" t="n">
        <f aca="false">Y477*MAX(0,Parametri_v3!$C$12-IF(P477=0,0,MIN(1,BE477/(P477*Parametri_v3!$C$22))))+W477*Parametri_v3!$C$13+X477*Parametri_v3!$C$14</f>
        <v>35626.4969583568</v>
      </c>
      <c r="CH477" s="15" t="n">
        <f aca="false">AB477*Parametri_v3!$C$32</f>
        <v>5973.86641604167</v>
      </c>
      <c r="CI477" s="15" t="n">
        <f aca="false">AC477*Parametri_v3!$C$32</f>
        <v>2218.19027970833</v>
      </c>
      <c r="CJ477" s="15" t="n">
        <f aca="false">CA477-AB477</f>
        <v>78801.2512595197</v>
      </c>
      <c r="CK477" s="15" t="n">
        <f aca="false">CB477-AC477-BH477</f>
        <v>23665.8333333333</v>
      </c>
      <c r="CL477" s="15" t="n">
        <f aca="false">BF477*Ipotesi!$C$73+INDEX(Ipotesi!$C$72:$G$72,1,F477)/12*Ipotesi!J126*Parametri_v3!$C$58+Z477*(1-Parametri_v3!$C$16)</f>
        <v>16300.0661396065</v>
      </c>
      <c r="CM477" s="16" t="n">
        <f aca="false">IF(BF477=0,0,1-CL477/BF477)</f>
        <v>0.825033410090361</v>
      </c>
    </row>
    <row r="478" customFormat="false" ht="18" hidden="false" customHeight="true" outlineLevel="0" collapsed="false">
      <c r="A478" s="68" t="n">
        <f aca="false">8</f>
        <v>8</v>
      </c>
      <c r="B478" s="68" t="n">
        <f aca="false">54</f>
        <v>54</v>
      </c>
      <c r="C478" s="18" t="n">
        <f aca="false">EDATE(Parametri_v3!$C$5,54-1)</f>
        <v>48000</v>
      </c>
      <c r="D478" s="68" t="n">
        <f aca="false">YEAR(C478)</f>
        <v>2031</v>
      </c>
      <c r="E478" s="68" t="n">
        <f aca="false">MONTH(C478)</f>
        <v>6</v>
      </c>
      <c r="F478" s="68" t="n">
        <f aca="false">INT((54-1)/12)+1</f>
        <v>5</v>
      </c>
      <c r="G478" s="15" t="n">
        <f aca="false">Ipotesi!J7</f>
        <v>1</v>
      </c>
      <c r="H478" s="15" t="n">
        <f aca="false">Ipotesi!J9</f>
        <v>1</v>
      </c>
      <c r="I478" s="15" t="n">
        <f aca="false">Ipotesi!J10</f>
        <v>1</v>
      </c>
      <c r="J478" s="15" t="n">
        <f aca="false">Ipotesi!J11</f>
        <v>1</v>
      </c>
      <c r="K478" s="15" t="n">
        <f aca="false">Ipotesi!J12</f>
        <v>1</v>
      </c>
      <c r="L478" s="15" t="n">
        <f aca="false">Ipotesi!J13</f>
        <v>90</v>
      </c>
      <c r="M478" s="17" t="n">
        <f aca="false">INDEX(Ipotesi!$C$40:$G$40,1,F478)</f>
        <v>1</v>
      </c>
      <c r="N478" s="17" t="n">
        <f aca="false">INDEX(Ipotesi!$C$41:$G$41,1,F478)</f>
        <v>1</v>
      </c>
      <c r="O478" s="17" t="n">
        <f aca="false">INDEX(Ipotesi!$C$42:$G$42,1,F478)*Ipotesi!J125</f>
        <v>8.5</v>
      </c>
      <c r="P478" s="17" t="n">
        <f aca="false">INDEX(Ipotesi!$C$43:$G$43,1,F478)*I478</f>
        <v>7</v>
      </c>
      <c r="Q478" s="17" t="n">
        <f aca="false">INDEX(Ipotesi!$C$44:$G$44,1,F478)*I478</f>
        <v>6</v>
      </c>
      <c r="R478" s="17" t="n">
        <f aca="false">INDEX(Ipotesi!$C$45:$G$45,1,F478)*I478</f>
        <v>2</v>
      </c>
      <c r="S478" s="17" t="n">
        <f aca="false">INDEX(Ipotesi!$C$52:$G$52,1,F478)*Ipotesi!J125</f>
        <v>9</v>
      </c>
      <c r="T478" s="17" t="n">
        <f aca="false">INDEX(Ipotesi!$C$53:$G$53,1,F478)*I478</f>
        <v>1</v>
      </c>
      <c r="U478" s="17" t="n">
        <f aca="false">INDEX(Ipotesi!$C$54:$G$54,1,F478)*I478</f>
        <v>1</v>
      </c>
      <c r="V478" s="15" t="n">
        <f aca="false">M478*INDEX(Ipotesi!$C$58:$G$58,1,F478)*K478/12</f>
        <v>8333.33333333333</v>
      </c>
      <c r="W478" s="15" t="n">
        <f aca="false">N478*Ipotesi!$C$59*(1+Ipotesi!$C$66)^(F478-1)/12</f>
        <v>6565.46805833334</v>
      </c>
      <c r="X478" s="15" t="n">
        <f aca="false">O478*Ipotesi!$C$60*(1+Ipotesi!$C$66)^(F478-1)/12</f>
        <v>39861.7703541667</v>
      </c>
      <c r="Y478" s="15" t="n">
        <f aca="false">P478*Ipotesi!$C$61*(1+Ipotesi!$C$66)^(F478-1)/12</f>
        <v>32827.3402916667</v>
      </c>
      <c r="Z478" s="15" t="n">
        <f aca="false">Q478*Ipotesi!$C$62*(1+Ipotesi!$C$66)^(F478-1)/12</f>
        <v>25323.948225</v>
      </c>
      <c r="AA478" s="15" t="n">
        <f aca="false">R478*Ipotesi!$C$63*(1+Ipotesi!$C$66)^(F478-1)/12</f>
        <v>6565.46805833334</v>
      </c>
      <c r="AB478" s="15" t="n">
        <f aca="false">SUM(V478:AA478)</f>
        <v>119477.328320833</v>
      </c>
      <c r="AC478" s="15" t="n">
        <f aca="false">(S478*Ipotesi!$C$64+T478*Ipotesi!$C$65+U478*Ipotesi!$C$63)*(1+Ipotesi!$C$66)^(F478-1)/12</f>
        <v>44363.8055941667</v>
      </c>
      <c r="AD478" s="15" t="n">
        <f aca="false">INDEX(Ipotesi!$C$48:$G$48,1,F478)*G478/12</f>
        <v>95.8333333333333</v>
      </c>
      <c r="AE478" s="15" t="n">
        <f aca="false">INDEX(Ipotesi!$C$50:$G$50,1,F478)*G478/12</f>
        <v>9.58333333333333</v>
      </c>
      <c r="AF478" s="15" t="n">
        <f aca="false">(S478*Parametri_v3!$C$7*Parametri_v3!$C$8+Parametri_v3!$C$10)/12</f>
        <v>115.5</v>
      </c>
      <c r="AG478" s="15" t="n">
        <f aca="false">AD478+AE478*(1+Parametri_v3!$C$9)</f>
        <v>110.208333333333</v>
      </c>
      <c r="AH478" s="16" t="n">
        <f aca="false">IF(AG478=0,1,MIN(1,AF478/AG478))</f>
        <v>1</v>
      </c>
      <c r="AI478" s="15" t="n">
        <f aca="false">AD478*AH478</f>
        <v>95.8333333333333</v>
      </c>
      <c r="AJ478" s="15" t="n">
        <f aca="false">AE478*AH478</f>
        <v>9.58333333333333</v>
      </c>
      <c r="AK478" s="15" t="n">
        <f aca="false">AI478*INDEX(Ipotesi!$C$49:$G$49,1,F478)*H478</f>
        <v>91041.6666666667</v>
      </c>
      <c r="AL478" s="15" t="n">
        <f aca="false">AJ478*INDEX(Ipotesi!$C$51:$G$51,1,F478)*H478</f>
        <v>24916.6666666667</v>
      </c>
      <c r="AM478" s="15" t="n">
        <f aca="false">AK478+AL478</f>
        <v>115958.333333333</v>
      </c>
      <c r="AN478" s="15" t="n">
        <f aca="false">INDEX(Ipotesi!$C$30:$G$30,1,F478)*G478/12</f>
        <v>81.6666666666667</v>
      </c>
      <c r="AO478" s="15" t="n">
        <f aca="false">O478*Parametri_v3!$C$7*Parametri_v3!$C$11*(1-Parametri_v3!$C$14)/12</f>
        <v>87.2666666666667</v>
      </c>
      <c r="AP478" s="15" t="n">
        <f aca="false">MIN(AN478,AO478)</f>
        <v>81.6666666666667</v>
      </c>
      <c r="AQ478" s="15" t="n">
        <f aca="false">AP478*INDEX(Ipotesi!$C$31:$G$31,1,F478)*H478</f>
        <v>89833.3333333333</v>
      </c>
      <c r="AR478" s="15" t="n">
        <f aca="false">INDEX(Ipotesi!$C$75:$G$75,1,F478)*J478/12</f>
        <v>35833.3333333333</v>
      </c>
      <c r="AS478" s="15" t="n">
        <f aca="false">INDEX(Ipotesi!$C$81:$G$81,1,F478)*J478/12</f>
        <v>2083.33333333333</v>
      </c>
      <c r="AT478" s="15" t="n">
        <f aca="false">AR478*Parametri_v3!$C$15+Z478*Parametri_v3!$C$16</f>
        <v>53560.0970908333</v>
      </c>
      <c r="AU478" s="15" t="n">
        <f aca="false">Q478*Parametri_v3!$C$16*Parametri_v3!$C$17</f>
        <v>420</v>
      </c>
      <c r="AV478" s="17" t="n">
        <f aca="false">BD477</f>
        <v>183.658180683785</v>
      </c>
      <c r="AW478" s="17" t="n">
        <f aca="false">AV478*(1-(1-INDEX(Ipotesi!$C$34:$G$34,1,F478))^(1/12))</f>
        <v>1.60546836418504</v>
      </c>
      <c r="AX478" s="15" t="n">
        <f aca="false">ROUND(INDEX(Ipotesi!$C$32:$G$32,1,F478)*Ipotesi!J8,0)</f>
        <v>560</v>
      </c>
      <c r="AY478" s="15" t="n">
        <f aca="false">MAX(0,(AX478-(AV478-AW478))/(13-E478))</f>
        <v>53.9924696686286</v>
      </c>
      <c r="AZ478" s="15" t="n">
        <f aca="false">MIN(P478*Parametri_v3!$C$22,Q478*(1-Parametri_v3!$C$16)*Parametri_v3!$C$23)</f>
        <v>270</v>
      </c>
      <c r="BA478" s="15" t="n">
        <f aca="false">IF(OR(INDEX(Ipotesi!$C$35:$G$35,1,F478)&lt;=0,54-Parametri_v3!$C$21&lt;1),0,INDEX($AT$425:$AT$484,MAX(1,54-Parametri_v3!$C$21))/(INDEX(Ipotesi!$C$35:$G$35,1,F478)*Ipotesi!J27))</f>
        <v>8.24001493705128</v>
      </c>
      <c r="BB478" s="15" t="n">
        <f aca="false">IF(54-Parametri_v3!$C$21&lt;1,0,INDEX($AU$425:$AU$484,MAX(1,54-Parametri_v3!$C$21)))*Parametri_v3!$C$18*Parametri_v3!$C$19*Parametri_v3!$C$20</f>
        <v>15.75</v>
      </c>
      <c r="BC478" s="17" t="n">
        <f aca="false">MAX(0,MIN(AY478,BA478,BB478,MAX(0,AZ478-(AV478-AW478))))</f>
        <v>8.24001493705128</v>
      </c>
      <c r="BD478" s="17" t="n">
        <f aca="false">AV478-AW478+BC478</f>
        <v>190.292727256651</v>
      </c>
      <c r="BE478" s="17" t="n">
        <f aca="false">(AV478+BD478)/2</f>
        <v>186.975453970218</v>
      </c>
      <c r="BF478" s="15" t="n">
        <f aca="false">BE478*INDEX(Ipotesi!$C$33:$G$33,1,F478)*H478/12</f>
        <v>96603.9845512792</v>
      </c>
      <c r="BG478" s="15" t="n">
        <f aca="false">BD478*INDEX(Ipotesi!$C$33:$G$33,1,F478)*H478</f>
        <v>1179814.90899124</v>
      </c>
      <c r="BH478" s="15" t="n">
        <f aca="false">AM478*INDEX(Ipotesi!$C$37:$G$37,1,F478)</f>
        <v>11595.8333333333</v>
      </c>
      <c r="BI478" s="15" t="n">
        <f aca="false">AQ478+BF478+BH478</f>
        <v>198033.151217946</v>
      </c>
      <c r="BJ478" s="15" t="n">
        <f aca="false">INDEX(Ipotesi!$C$68:$G$68,1,F478)*Ipotesi!$C$69/12</f>
        <v>3333.33333333333</v>
      </c>
      <c r="BK478" s="15" t="n">
        <f aca="false">INDEX(Ipotesi!$C$68:$G$68,1,F478)*(1-Ipotesi!$C$69)/12</f>
        <v>5000</v>
      </c>
      <c r="BL478" s="15" t="n">
        <f aca="false">(AQ478+BF478)*Ipotesi!$C$67</f>
        <v>5593.11953653838</v>
      </c>
      <c r="BM478" s="15" t="n">
        <f aca="false">AM478*Ipotesi!$C$67</f>
        <v>3478.75</v>
      </c>
      <c r="BN478" s="15" t="n">
        <f aca="false">INDEX(Ipotesi!$C$72:$G$72,1,F478)/12*Ipotesi!J126+BF478*Ipotesi!$C$73</f>
        <v>8978.31876410234</v>
      </c>
      <c r="BO478" s="15" t="n">
        <f aca="false">INDEX(Ipotesi!$C$74:$G$74,1,F478)/12*Ipotesi!J126</f>
        <v>5416.66666666667</v>
      </c>
      <c r="BP478" s="15" t="n">
        <f aca="false">INDEX(Ipotesi!$C$76:$G$76,1,F478)/12</f>
        <v>1916.66666666667</v>
      </c>
      <c r="BQ478" s="15" t="n">
        <f aca="false">INDEX(Ipotesi!$C$77:$G$77,1,F478)/12*Ipotesi!J126</f>
        <v>2500</v>
      </c>
      <c r="BR478" s="15" t="n">
        <f aca="false">INDEX(Ipotesi!$C$78:$G$78,1,F478)/12</f>
        <v>2333.33333333333</v>
      </c>
      <c r="BS478" s="15" t="n">
        <f aca="false">SUM(M478:R478)*(Ipotesi!$C$85+Ipotesi!$C$86)/12</f>
        <v>7437.5</v>
      </c>
      <c r="BT478" s="15" t="n">
        <f aca="false">BI478*Ipotesi!$C$87</f>
        <v>5940.99453653838</v>
      </c>
      <c r="BU478" s="15" t="n">
        <f aca="false">INDEX(Ipotesi!$C$55:$G$55,1,F478)*K478/12</f>
        <v>2000</v>
      </c>
      <c r="BV478" s="15" t="n">
        <f aca="false">INDEX(Ipotesi!$C$80:$G$80,1,F478)/12*Ipotesi!J126</f>
        <v>2083.33333333333</v>
      </c>
      <c r="BW478" s="15" t="n">
        <f aca="false">INDEX(Ipotesi!$C$82:$G$82,1,F478)/12</f>
        <v>1500</v>
      </c>
      <c r="BX478" s="15" t="n">
        <f aca="false">INDEX(Ipotesi!$C$83:$G$83,1,F478)/12</f>
        <v>833.333333333333</v>
      </c>
      <c r="BY478" s="15" t="n">
        <f aca="false">SUM(S478:U478)*(Ipotesi!$C$85+Ipotesi!$C$86)/12</f>
        <v>3208.33333333333</v>
      </c>
      <c r="BZ478" s="15" t="n">
        <f aca="false">AM478*Ipotesi!$C$87</f>
        <v>3478.75</v>
      </c>
      <c r="CA478" s="15" t="n">
        <f aca="false">AB478+BJ478+BL478+BN478+BO478+AR478+BP478+BQ478+BR478+BS478+BT478</f>
        <v>198760.594491346</v>
      </c>
      <c r="CB478" s="15" t="n">
        <f aca="false">AC478+BK478+BM478+BH478+BU478+BV478+AS478+BW478+BX478+BY478+BZ478</f>
        <v>79625.4722608333</v>
      </c>
      <c r="CC478" s="15" t="n">
        <f aca="false">BI478-CA478</f>
        <v>-727.443273399869</v>
      </c>
      <c r="CD478" s="15" t="n">
        <f aca="false">AM478-CB478</f>
        <v>36332.8610725</v>
      </c>
      <c r="CE478" s="15" t="n">
        <f aca="false">INDEX(Ipotesi!$C$79:$G$79,1,F478)/12</f>
        <v>4166.66666666667</v>
      </c>
      <c r="CF478" s="15" t="n">
        <f aca="false">INDEX(Ipotesi!$C$84:$G$84,1,F478)/12</f>
        <v>666.666666666667</v>
      </c>
      <c r="CG478" s="15" t="n">
        <f aca="false">Y478*MAX(0,Parametri_v3!$C$12-IF(P478=0,0,MIN(1,BE478/(P478*Parametri_v3!$C$22))))+W478*Parametri_v3!$C$13+X478*Parametri_v3!$C$14</f>
        <v>35313.9900292821</v>
      </c>
      <c r="CH478" s="15" t="n">
        <f aca="false">AB478*Parametri_v3!$C$32</f>
        <v>5973.86641604167</v>
      </c>
      <c r="CI478" s="15" t="n">
        <f aca="false">AC478*Parametri_v3!$C$32</f>
        <v>2218.19027970833</v>
      </c>
      <c r="CJ478" s="15" t="n">
        <f aca="false">CA478-AB478</f>
        <v>79283.2661705124</v>
      </c>
      <c r="CK478" s="15" t="n">
        <f aca="false">CB478-AC478-BH478</f>
        <v>23665.8333333333</v>
      </c>
      <c r="CL478" s="15" t="n">
        <f aca="false">BF478*Ipotesi!$C$73+INDEX(Ipotesi!$C$72:$G$72,1,F478)/12*Ipotesi!J126*Parametri_v3!$C$58+Z478*(1-Parametri_v3!$C$16)</f>
        <v>16575.5032316023</v>
      </c>
      <c r="CM478" s="16" t="n">
        <f aca="false">IF(BF478=0,0,1-CL478/BF478)</f>
        <v>0.828418017035273</v>
      </c>
    </row>
    <row r="479" customFormat="false" ht="18" hidden="false" customHeight="true" outlineLevel="0" collapsed="false">
      <c r="A479" s="68" t="n">
        <f aca="false">8</f>
        <v>8</v>
      </c>
      <c r="B479" s="68" t="n">
        <f aca="false">55</f>
        <v>55</v>
      </c>
      <c r="C479" s="18" t="n">
        <f aca="false">EDATE(Parametri_v3!$C$5,55-1)</f>
        <v>48030</v>
      </c>
      <c r="D479" s="68" t="n">
        <f aca="false">YEAR(C479)</f>
        <v>2031</v>
      </c>
      <c r="E479" s="68" t="n">
        <f aca="false">MONTH(C479)</f>
        <v>7</v>
      </c>
      <c r="F479" s="68" t="n">
        <f aca="false">INT((55-1)/12)+1</f>
        <v>5</v>
      </c>
      <c r="G479" s="15" t="n">
        <f aca="false">Ipotesi!J7</f>
        <v>1</v>
      </c>
      <c r="H479" s="15" t="n">
        <f aca="false">Ipotesi!J9</f>
        <v>1</v>
      </c>
      <c r="I479" s="15" t="n">
        <f aca="false">Ipotesi!J10</f>
        <v>1</v>
      </c>
      <c r="J479" s="15" t="n">
        <f aca="false">Ipotesi!J11</f>
        <v>1</v>
      </c>
      <c r="K479" s="15" t="n">
        <f aca="false">Ipotesi!J12</f>
        <v>1</v>
      </c>
      <c r="L479" s="15" t="n">
        <f aca="false">Ipotesi!J13</f>
        <v>90</v>
      </c>
      <c r="M479" s="17" t="n">
        <f aca="false">INDEX(Ipotesi!$C$40:$G$40,1,F479)</f>
        <v>1</v>
      </c>
      <c r="N479" s="17" t="n">
        <f aca="false">INDEX(Ipotesi!$C$41:$G$41,1,F479)</f>
        <v>1</v>
      </c>
      <c r="O479" s="17" t="n">
        <f aca="false">INDEX(Ipotesi!$C$42:$G$42,1,F479)*Ipotesi!J125</f>
        <v>8.5</v>
      </c>
      <c r="P479" s="17" t="n">
        <f aca="false">INDEX(Ipotesi!$C$43:$G$43,1,F479)*I479</f>
        <v>7</v>
      </c>
      <c r="Q479" s="17" t="n">
        <f aca="false">INDEX(Ipotesi!$C$44:$G$44,1,F479)*I479</f>
        <v>6</v>
      </c>
      <c r="R479" s="17" t="n">
        <f aca="false">INDEX(Ipotesi!$C$45:$G$45,1,F479)*I479</f>
        <v>2</v>
      </c>
      <c r="S479" s="17" t="n">
        <f aca="false">INDEX(Ipotesi!$C$52:$G$52,1,F479)*Ipotesi!J125</f>
        <v>9</v>
      </c>
      <c r="T479" s="17" t="n">
        <f aca="false">INDEX(Ipotesi!$C$53:$G$53,1,F479)*I479</f>
        <v>1</v>
      </c>
      <c r="U479" s="17" t="n">
        <f aca="false">INDEX(Ipotesi!$C$54:$G$54,1,F479)*I479</f>
        <v>1</v>
      </c>
      <c r="V479" s="15" t="n">
        <f aca="false">M479*INDEX(Ipotesi!$C$58:$G$58,1,F479)*K479/12</f>
        <v>8333.33333333333</v>
      </c>
      <c r="W479" s="15" t="n">
        <f aca="false">N479*Ipotesi!$C$59*(1+Ipotesi!$C$66)^(F479-1)/12</f>
        <v>6565.46805833334</v>
      </c>
      <c r="X479" s="15" t="n">
        <f aca="false">O479*Ipotesi!$C$60*(1+Ipotesi!$C$66)^(F479-1)/12</f>
        <v>39861.7703541667</v>
      </c>
      <c r="Y479" s="15" t="n">
        <f aca="false">P479*Ipotesi!$C$61*(1+Ipotesi!$C$66)^(F479-1)/12</f>
        <v>32827.3402916667</v>
      </c>
      <c r="Z479" s="15" t="n">
        <f aca="false">Q479*Ipotesi!$C$62*(1+Ipotesi!$C$66)^(F479-1)/12</f>
        <v>25323.948225</v>
      </c>
      <c r="AA479" s="15" t="n">
        <f aca="false">R479*Ipotesi!$C$63*(1+Ipotesi!$C$66)^(F479-1)/12</f>
        <v>6565.46805833334</v>
      </c>
      <c r="AB479" s="15" t="n">
        <f aca="false">SUM(V479:AA479)</f>
        <v>119477.328320833</v>
      </c>
      <c r="AC479" s="15" t="n">
        <f aca="false">(S479*Ipotesi!$C$64+T479*Ipotesi!$C$65+U479*Ipotesi!$C$63)*(1+Ipotesi!$C$66)^(F479-1)/12</f>
        <v>44363.8055941667</v>
      </c>
      <c r="AD479" s="15" t="n">
        <f aca="false">INDEX(Ipotesi!$C$48:$G$48,1,F479)*G479/12</f>
        <v>95.8333333333333</v>
      </c>
      <c r="AE479" s="15" t="n">
        <f aca="false">INDEX(Ipotesi!$C$50:$G$50,1,F479)*G479/12</f>
        <v>9.58333333333333</v>
      </c>
      <c r="AF479" s="15" t="n">
        <f aca="false">(S479*Parametri_v3!$C$7*Parametri_v3!$C$8+Parametri_v3!$C$10)/12</f>
        <v>115.5</v>
      </c>
      <c r="AG479" s="15" t="n">
        <f aca="false">AD479+AE479*(1+Parametri_v3!$C$9)</f>
        <v>110.208333333333</v>
      </c>
      <c r="AH479" s="16" t="n">
        <f aca="false">IF(AG479=0,1,MIN(1,AF479/AG479))</f>
        <v>1</v>
      </c>
      <c r="AI479" s="15" t="n">
        <f aca="false">AD479*AH479</f>
        <v>95.8333333333333</v>
      </c>
      <c r="AJ479" s="15" t="n">
        <f aca="false">AE479*AH479</f>
        <v>9.58333333333333</v>
      </c>
      <c r="AK479" s="15" t="n">
        <f aca="false">AI479*INDEX(Ipotesi!$C$49:$G$49,1,F479)*H479</f>
        <v>91041.6666666667</v>
      </c>
      <c r="AL479" s="15" t="n">
        <f aca="false">AJ479*INDEX(Ipotesi!$C$51:$G$51,1,F479)*H479</f>
        <v>24916.6666666667</v>
      </c>
      <c r="AM479" s="15" t="n">
        <f aca="false">AK479+AL479</f>
        <v>115958.333333333</v>
      </c>
      <c r="AN479" s="15" t="n">
        <f aca="false">INDEX(Ipotesi!$C$30:$G$30,1,F479)*G479/12</f>
        <v>81.6666666666667</v>
      </c>
      <c r="AO479" s="15" t="n">
        <f aca="false">O479*Parametri_v3!$C$7*Parametri_v3!$C$11*(1-Parametri_v3!$C$14)/12</f>
        <v>87.2666666666667</v>
      </c>
      <c r="AP479" s="15" t="n">
        <f aca="false">MIN(AN479,AO479)</f>
        <v>81.6666666666667</v>
      </c>
      <c r="AQ479" s="15" t="n">
        <f aca="false">AP479*INDEX(Ipotesi!$C$31:$G$31,1,F479)*H479</f>
        <v>89833.3333333333</v>
      </c>
      <c r="AR479" s="15" t="n">
        <f aca="false">INDEX(Ipotesi!$C$75:$G$75,1,F479)*J479/12</f>
        <v>35833.3333333333</v>
      </c>
      <c r="AS479" s="15" t="n">
        <f aca="false">INDEX(Ipotesi!$C$81:$G$81,1,F479)*J479/12</f>
        <v>2083.33333333333</v>
      </c>
      <c r="AT479" s="15" t="n">
        <f aca="false">AR479*Parametri_v3!$C$15+Z479*Parametri_v3!$C$16</f>
        <v>53560.0970908333</v>
      </c>
      <c r="AU479" s="15" t="n">
        <f aca="false">Q479*Parametri_v3!$C$16*Parametri_v3!$C$17</f>
        <v>420</v>
      </c>
      <c r="AV479" s="17" t="n">
        <f aca="false">BD478</f>
        <v>190.292727256651</v>
      </c>
      <c r="AW479" s="17" t="n">
        <f aca="false">AV479*(1-(1-INDEX(Ipotesi!$C$34:$G$34,1,F479))^(1/12))</f>
        <v>1.66346498918586</v>
      </c>
      <c r="AX479" s="15" t="n">
        <f aca="false">ROUND(INDEX(Ipotesi!$C$32:$G$32,1,F479)*Ipotesi!J8,0)</f>
        <v>560</v>
      </c>
      <c r="AY479" s="15" t="n">
        <f aca="false">MAX(0,(AX479-(AV479-AW479))/(13-E479))</f>
        <v>61.8951229554225</v>
      </c>
      <c r="AZ479" s="15" t="n">
        <f aca="false">MIN(P479*Parametri_v3!$C$22,Q479*(1-Parametri_v3!$C$16)*Parametri_v3!$C$23)</f>
        <v>270</v>
      </c>
      <c r="BA479" s="15" t="n">
        <f aca="false">IF(OR(INDEX(Ipotesi!$C$35:$G$35,1,F479)&lt;=0,55-Parametri_v3!$C$21&lt;1),0,INDEX($AT$425:$AT$484,MAX(1,55-Parametri_v3!$C$21))/(INDEX(Ipotesi!$C$35:$G$35,1,F479)*Ipotesi!J27))</f>
        <v>8.24001493705128</v>
      </c>
      <c r="BB479" s="15" t="n">
        <f aca="false">IF(55-Parametri_v3!$C$21&lt;1,0,INDEX($AU$425:$AU$484,MAX(1,55-Parametri_v3!$C$21)))*Parametri_v3!$C$18*Parametri_v3!$C$19*Parametri_v3!$C$20</f>
        <v>15.75</v>
      </c>
      <c r="BC479" s="17" t="n">
        <f aca="false">MAX(0,MIN(AY479,BA479,BB479,MAX(0,AZ479-(AV479-AW479))))</f>
        <v>8.24001493705128</v>
      </c>
      <c r="BD479" s="17" t="n">
        <f aca="false">AV479-AW479+BC479</f>
        <v>196.869277204516</v>
      </c>
      <c r="BE479" s="17" t="n">
        <f aca="false">(AV479+BD479)/2</f>
        <v>193.581002230584</v>
      </c>
      <c r="BF479" s="15" t="n">
        <f aca="false">BE479*INDEX(Ipotesi!$C$33:$G$33,1,F479)*H479/12</f>
        <v>100016.851152468</v>
      </c>
      <c r="BG479" s="15" t="n">
        <f aca="false">BD479*INDEX(Ipotesi!$C$33:$G$33,1,F479)*H479</f>
        <v>1220589.518668</v>
      </c>
      <c r="BH479" s="15" t="n">
        <f aca="false">AM479*INDEX(Ipotesi!$C$37:$G$37,1,F479)</f>
        <v>11595.8333333333</v>
      </c>
      <c r="BI479" s="15" t="n">
        <f aca="false">AQ479+BF479+BH479</f>
        <v>201446.017819135</v>
      </c>
      <c r="BJ479" s="15" t="n">
        <f aca="false">INDEX(Ipotesi!$C$68:$G$68,1,F479)*Ipotesi!$C$69/12</f>
        <v>3333.33333333333</v>
      </c>
      <c r="BK479" s="15" t="n">
        <f aca="false">INDEX(Ipotesi!$C$68:$G$68,1,F479)*(1-Ipotesi!$C$69)/12</f>
        <v>5000</v>
      </c>
      <c r="BL479" s="15" t="n">
        <f aca="false">(AQ479+BF479)*Ipotesi!$C$67</f>
        <v>5695.50553457405</v>
      </c>
      <c r="BM479" s="15" t="n">
        <f aca="false">AM479*Ipotesi!$C$67</f>
        <v>3478.75</v>
      </c>
      <c r="BN479" s="15" t="n">
        <f aca="false">INDEX(Ipotesi!$C$72:$G$72,1,F479)/12*Ipotesi!J126+BF479*Ipotesi!$C$73</f>
        <v>9251.34809219746</v>
      </c>
      <c r="BO479" s="15" t="n">
        <f aca="false">INDEX(Ipotesi!$C$74:$G$74,1,F479)/12*Ipotesi!J126</f>
        <v>5416.66666666667</v>
      </c>
      <c r="BP479" s="15" t="n">
        <f aca="false">INDEX(Ipotesi!$C$76:$G$76,1,F479)/12</f>
        <v>1916.66666666667</v>
      </c>
      <c r="BQ479" s="15" t="n">
        <f aca="false">INDEX(Ipotesi!$C$77:$G$77,1,F479)/12*Ipotesi!J126</f>
        <v>2500</v>
      </c>
      <c r="BR479" s="15" t="n">
        <f aca="false">INDEX(Ipotesi!$C$78:$G$78,1,F479)/12</f>
        <v>2333.33333333333</v>
      </c>
      <c r="BS479" s="15" t="n">
        <f aca="false">SUM(M479:R479)*(Ipotesi!$C$85+Ipotesi!$C$86)/12</f>
        <v>7437.5</v>
      </c>
      <c r="BT479" s="15" t="n">
        <f aca="false">BI479*Ipotesi!$C$87</f>
        <v>6043.38053457405</v>
      </c>
      <c r="BU479" s="15" t="n">
        <f aca="false">INDEX(Ipotesi!$C$55:$G$55,1,F479)*K479/12</f>
        <v>2000</v>
      </c>
      <c r="BV479" s="15" t="n">
        <f aca="false">INDEX(Ipotesi!$C$80:$G$80,1,F479)/12*Ipotesi!J126</f>
        <v>2083.33333333333</v>
      </c>
      <c r="BW479" s="15" t="n">
        <f aca="false">INDEX(Ipotesi!$C$82:$G$82,1,F479)/12</f>
        <v>1500</v>
      </c>
      <c r="BX479" s="15" t="n">
        <f aca="false">INDEX(Ipotesi!$C$83:$G$83,1,F479)/12</f>
        <v>833.333333333333</v>
      </c>
      <c r="BY479" s="15" t="n">
        <f aca="false">SUM(S479:U479)*(Ipotesi!$C$85+Ipotesi!$C$86)/12</f>
        <v>3208.33333333333</v>
      </c>
      <c r="BZ479" s="15" t="n">
        <f aca="false">AM479*Ipotesi!$C$87</f>
        <v>3478.75</v>
      </c>
      <c r="CA479" s="15" t="n">
        <f aca="false">AB479+BJ479+BL479+BN479+BO479+AR479+BP479+BQ479+BR479+BS479+BT479</f>
        <v>199238.395815512</v>
      </c>
      <c r="CB479" s="15" t="n">
        <f aca="false">AC479+BK479+BM479+BH479+BU479+BV479+AS479+BW479+BX479+BY479+BZ479</f>
        <v>79625.4722608333</v>
      </c>
      <c r="CC479" s="15" t="n">
        <f aca="false">BI479-CA479</f>
        <v>2207.6220036227</v>
      </c>
      <c r="CD479" s="15" t="n">
        <f aca="false">AM479-CB479</f>
        <v>36332.8610725</v>
      </c>
      <c r="CE479" s="15" t="n">
        <f aca="false">INDEX(Ipotesi!$C$79:$G$79,1,F479)/12</f>
        <v>4166.66666666667</v>
      </c>
      <c r="CF479" s="15" t="n">
        <f aca="false">INDEX(Ipotesi!$C$84:$G$84,1,F479)/12</f>
        <v>666.666666666667</v>
      </c>
      <c r="CG479" s="15" t="n">
        <f aca="false">Y479*MAX(0,Parametri_v3!$C$12-IF(P479=0,0,MIN(1,BE479/(P479*Parametri_v3!$C$22))))+W479*Parametri_v3!$C$13+X479*Parametri_v3!$C$14</f>
        <v>35004.214914202</v>
      </c>
      <c r="CH479" s="15" t="n">
        <f aca="false">AB479*Parametri_v3!$C$32</f>
        <v>5973.86641604167</v>
      </c>
      <c r="CI479" s="15" t="n">
        <f aca="false">AC479*Parametri_v3!$C$32</f>
        <v>2218.19027970833</v>
      </c>
      <c r="CJ479" s="15" t="n">
        <f aca="false">CA479-AB479</f>
        <v>79761.0674946789</v>
      </c>
      <c r="CK479" s="15" t="n">
        <f aca="false">CB479-AC479-BH479</f>
        <v>23665.8333333333</v>
      </c>
      <c r="CL479" s="15" t="n">
        <f aca="false">BF479*Ipotesi!$C$73+INDEX(Ipotesi!$C$72:$G$72,1,F479)/12*Ipotesi!J126*Parametri_v3!$C$58+Z479*(1-Parametri_v3!$C$16)</f>
        <v>16848.5325596975</v>
      </c>
      <c r="CM479" s="16" t="n">
        <f aca="false">IF(BF479=0,0,1-CL479/BF479)</f>
        <v>0.831543061338603</v>
      </c>
    </row>
    <row r="480" customFormat="false" ht="18" hidden="false" customHeight="true" outlineLevel="0" collapsed="false">
      <c r="A480" s="68" t="n">
        <f aca="false">8</f>
        <v>8</v>
      </c>
      <c r="B480" s="68" t="n">
        <f aca="false">56</f>
        <v>56</v>
      </c>
      <c r="C480" s="18" t="n">
        <f aca="false">EDATE(Parametri_v3!$C$5,56-1)</f>
        <v>48061</v>
      </c>
      <c r="D480" s="68" t="n">
        <f aca="false">YEAR(C480)</f>
        <v>2031</v>
      </c>
      <c r="E480" s="68" t="n">
        <f aca="false">MONTH(C480)</f>
        <v>8</v>
      </c>
      <c r="F480" s="68" t="n">
        <f aca="false">INT((56-1)/12)+1</f>
        <v>5</v>
      </c>
      <c r="G480" s="15" t="n">
        <f aca="false">Ipotesi!J7</f>
        <v>1</v>
      </c>
      <c r="H480" s="15" t="n">
        <f aca="false">Ipotesi!J9</f>
        <v>1</v>
      </c>
      <c r="I480" s="15" t="n">
        <f aca="false">Ipotesi!J10</f>
        <v>1</v>
      </c>
      <c r="J480" s="15" t="n">
        <f aca="false">Ipotesi!J11</f>
        <v>1</v>
      </c>
      <c r="K480" s="15" t="n">
        <f aca="false">Ipotesi!J12</f>
        <v>1</v>
      </c>
      <c r="L480" s="15" t="n">
        <f aca="false">Ipotesi!J13</f>
        <v>90</v>
      </c>
      <c r="M480" s="17" t="n">
        <f aca="false">INDEX(Ipotesi!$C$40:$G$40,1,F480)</f>
        <v>1</v>
      </c>
      <c r="N480" s="17" t="n">
        <f aca="false">INDEX(Ipotesi!$C$41:$G$41,1,F480)</f>
        <v>1</v>
      </c>
      <c r="O480" s="17" t="n">
        <f aca="false">INDEX(Ipotesi!$C$42:$G$42,1,F480)*Ipotesi!J125</f>
        <v>8.5</v>
      </c>
      <c r="P480" s="17" t="n">
        <f aca="false">INDEX(Ipotesi!$C$43:$G$43,1,F480)*I480</f>
        <v>7</v>
      </c>
      <c r="Q480" s="17" t="n">
        <f aca="false">INDEX(Ipotesi!$C$44:$G$44,1,F480)*I480</f>
        <v>6</v>
      </c>
      <c r="R480" s="17" t="n">
        <f aca="false">INDEX(Ipotesi!$C$45:$G$45,1,F480)*I480</f>
        <v>2</v>
      </c>
      <c r="S480" s="17" t="n">
        <f aca="false">INDEX(Ipotesi!$C$52:$G$52,1,F480)*Ipotesi!J125</f>
        <v>9</v>
      </c>
      <c r="T480" s="17" t="n">
        <f aca="false">INDEX(Ipotesi!$C$53:$G$53,1,F480)*I480</f>
        <v>1</v>
      </c>
      <c r="U480" s="17" t="n">
        <f aca="false">INDEX(Ipotesi!$C$54:$G$54,1,F480)*I480</f>
        <v>1</v>
      </c>
      <c r="V480" s="15" t="n">
        <f aca="false">M480*INDEX(Ipotesi!$C$58:$G$58,1,F480)*K480/12</f>
        <v>8333.33333333333</v>
      </c>
      <c r="W480" s="15" t="n">
        <f aca="false">N480*Ipotesi!$C$59*(1+Ipotesi!$C$66)^(F480-1)/12</f>
        <v>6565.46805833334</v>
      </c>
      <c r="X480" s="15" t="n">
        <f aca="false">O480*Ipotesi!$C$60*(1+Ipotesi!$C$66)^(F480-1)/12</f>
        <v>39861.7703541667</v>
      </c>
      <c r="Y480" s="15" t="n">
        <f aca="false">P480*Ipotesi!$C$61*(1+Ipotesi!$C$66)^(F480-1)/12</f>
        <v>32827.3402916667</v>
      </c>
      <c r="Z480" s="15" t="n">
        <f aca="false">Q480*Ipotesi!$C$62*(1+Ipotesi!$C$66)^(F480-1)/12</f>
        <v>25323.948225</v>
      </c>
      <c r="AA480" s="15" t="n">
        <f aca="false">R480*Ipotesi!$C$63*(1+Ipotesi!$C$66)^(F480-1)/12</f>
        <v>6565.46805833334</v>
      </c>
      <c r="AB480" s="15" t="n">
        <f aca="false">SUM(V480:AA480)</f>
        <v>119477.328320833</v>
      </c>
      <c r="AC480" s="15" t="n">
        <f aca="false">(S480*Ipotesi!$C$64+T480*Ipotesi!$C$65+U480*Ipotesi!$C$63)*(1+Ipotesi!$C$66)^(F480-1)/12</f>
        <v>44363.8055941667</v>
      </c>
      <c r="AD480" s="15" t="n">
        <f aca="false">INDEX(Ipotesi!$C$48:$G$48,1,F480)*G480/12</f>
        <v>95.8333333333333</v>
      </c>
      <c r="AE480" s="15" t="n">
        <f aca="false">INDEX(Ipotesi!$C$50:$G$50,1,F480)*G480/12</f>
        <v>9.58333333333333</v>
      </c>
      <c r="AF480" s="15" t="n">
        <f aca="false">(S480*Parametri_v3!$C$7*Parametri_v3!$C$8+Parametri_v3!$C$10)/12</f>
        <v>115.5</v>
      </c>
      <c r="AG480" s="15" t="n">
        <f aca="false">AD480+AE480*(1+Parametri_v3!$C$9)</f>
        <v>110.208333333333</v>
      </c>
      <c r="AH480" s="16" t="n">
        <f aca="false">IF(AG480=0,1,MIN(1,AF480/AG480))</f>
        <v>1</v>
      </c>
      <c r="AI480" s="15" t="n">
        <f aca="false">AD480*AH480</f>
        <v>95.8333333333333</v>
      </c>
      <c r="AJ480" s="15" t="n">
        <f aca="false">AE480*AH480</f>
        <v>9.58333333333333</v>
      </c>
      <c r="AK480" s="15" t="n">
        <f aca="false">AI480*INDEX(Ipotesi!$C$49:$G$49,1,F480)*H480</f>
        <v>91041.6666666667</v>
      </c>
      <c r="AL480" s="15" t="n">
        <f aca="false">AJ480*INDEX(Ipotesi!$C$51:$G$51,1,F480)*H480</f>
        <v>24916.6666666667</v>
      </c>
      <c r="AM480" s="15" t="n">
        <f aca="false">AK480+AL480</f>
        <v>115958.333333333</v>
      </c>
      <c r="AN480" s="15" t="n">
        <f aca="false">INDEX(Ipotesi!$C$30:$G$30,1,F480)*G480/12</f>
        <v>81.6666666666667</v>
      </c>
      <c r="AO480" s="15" t="n">
        <f aca="false">O480*Parametri_v3!$C$7*Parametri_v3!$C$11*(1-Parametri_v3!$C$14)/12</f>
        <v>87.2666666666667</v>
      </c>
      <c r="AP480" s="15" t="n">
        <f aca="false">MIN(AN480,AO480)</f>
        <v>81.6666666666667</v>
      </c>
      <c r="AQ480" s="15" t="n">
        <f aca="false">AP480*INDEX(Ipotesi!$C$31:$G$31,1,F480)*H480</f>
        <v>89833.3333333333</v>
      </c>
      <c r="AR480" s="15" t="n">
        <f aca="false">INDEX(Ipotesi!$C$75:$G$75,1,F480)*J480/12</f>
        <v>35833.3333333333</v>
      </c>
      <c r="AS480" s="15" t="n">
        <f aca="false">INDEX(Ipotesi!$C$81:$G$81,1,F480)*J480/12</f>
        <v>2083.33333333333</v>
      </c>
      <c r="AT480" s="15" t="n">
        <f aca="false">AR480*Parametri_v3!$C$15+Z480*Parametri_v3!$C$16</f>
        <v>53560.0970908333</v>
      </c>
      <c r="AU480" s="15" t="n">
        <f aca="false">Q480*Parametri_v3!$C$16*Parametri_v3!$C$17</f>
        <v>420</v>
      </c>
      <c r="AV480" s="17" t="n">
        <f aca="false">BD479</f>
        <v>196.869277204516</v>
      </c>
      <c r="AW480" s="17" t="n">
        <f aca="false">AV480*(1-(1-INDEX(Ipotesi!$C$34:$G$34,1,F480))^(1/12))</f>
        <v>1.72095463025423</v>
      </c>
      <c r="AX480" s="15" t="n">
        <f aca="false">ROUND(INDEX(Ipotesi!$C$32:$G$32,1,F480)*Ipotesi!J8,0)</f>
        <v>560</v>
      </c>
      <c r="AY480" s="15" t="n">
        <f aca="false">MAX(0,(AX480-(AV480-AW480))/(13-E480))</f>
        <v>72.9703354851476</v>
      </c>
      <c r="AZ480" s="15" t="n">
        <f aca="false">MIN(P480*Parametri_v3!$C$22,Q480*(1-Parametri_v3!$C$16)*Parametri_v3!$C$23)</f>
        <v>270</v>
      </c>
      <c r="BA480" s="15" t="n">
        <f aca="false">IF(OR(INDEX(Ipotesi!$C$35:$G$35,1,F480)&lt;=0,56-Parametri_v3!$C$21&lt;1),0,INDEX($AT$425:$AT$484,MAX(1,56-Parametri_v3!$C$21))/(INDEX(Ipotesi!$C$35:$G$35,1,F480)*Ipotesi!J27))</f>
        <v>8.24001493705128</v>
      </c>
      <c r="BB480" s="15" t="n">
        <f aca="false">IF(56-Parametri_v3!$C$21&lt;1,0,INDEX($AU$425:$AU$484,MAX(1,56-Parametri_v3!$C$21)))*Parametri_v3!$C$18*Parametri_v3!$C$19*Parametri_v3!$C$20</f>
        <v>15.75</v>
      </c>
      <c r="BC480" s="17" t="n">
        <f aca="false">MAX(0,MIN(AY480,BA480,BB480,MAX(0,AZ480-(AV480-AW480))))</f>
        <v>8.24001493705128</v>
      </c>
      <c r="BD480" s="17" t="n">
        <f aca="false">AV480-AW480+BC480</f>
        <v>203.388337511314</v>
      </c>
      <c r="BE480" s="17" t="n">
        <f aca="false">(AV480+BD480)/2</f>
        <v>200.128807357915</v>
      </c>
      <c r="BF480" s="15" t="n">
        <f aca="false">BE480*INDEX(Ipotesi!$C$33:$G$33,1,F480)*H480/12</f>
        <v>103399.883801589</v>
      </c>
      <c r="BG480" s="15" t="n">
        <f aca="false">BD480*INDEX(Ipotesi!$C$33:$G$33,1,F480)*H480</f>
        <v>1261007.69257014</v>
      </c>
      <c r="BH480" s="15" t="n">
        <f aca="false">AM480*INDEX(Ipotesi!$C$37:$G$37,1,F480)</f>
        <v>11595.8333333333</v>
      </c>
      <c r="BI480" s="15" t="n">
        <f aca="false">AQ480+BF480+BH480</f>
        <v>204829.050468256</v>
      </c>
      <c r="BJ480" s="15" t="n">
        <f aca="false">INDEX(Ipotesi!$C$68:$G$68,1,F480)*Ipotesi!$C$69/12</f>
        <v>3333.33333333333</v>
      </c>
      <c r="BK480" s="15" t="n">
        <f aca="false">INDEX(Ipotesi!$C$68:$G$68,1,F480)*(1-Ipotesi!$C$69)/12</f>
        <v>5000</v>
      </c>
      <c r="BL480" s="15" t="n">
        <f aca="false">(AQ480+BF480)*Ipotesi!$C$67</f>
        <v>5796.99651404768</v>
      </c>
      <c r="BM480" s="15" t="n">
        <f aca="false">AM480*Ipotesi!$C$67</f>
        <v>3478.75</v>
      </c>
      <c r="BN480" s="15" t="n">
        <f aca="false">INDEX(Ipotesi!$C$72:$G$72,1,F480)/12*Ipotesi!J126+BF480*Ipotesi!$C$73</f>
        <v>9521.99070412715</v>
      </c>
      <c r="BO480" s="15" t="n">
        <f aca="false">INDEX(Ipotesi!$C$74:$G$74,1,F480)/12*Ipotesi!J126</f>
        <v>5416.66666666667</v>
      </c>
      <c r="BP480" s="15" t="n">
        <f aca="false">INDEX(Ipotesi!$C$76:$G$76,1,F480)/12</f>
        <v>1916.66666666667</v>
      </c>
      <c r="BQ480" s="15" t="n">
        <f aca="false">INDEX(Ipotesi!$C$77:$G$77,1,F480)/12*Ipotesi!J126</f>
        <v>2500</v>
      </c>
      <c r="BR480" s="15" t="n">
        <f aca="false">INDEX(Ipotesi!$C$78:$G$78,1,F480)/12</f>
        <v>2333.33333333333</v>
      </c>
      <c r="BS480" s="15" t="n">
        <f aca="false">SUM(M480:R480)*(Ipotesi!$C$85+Ipotesi!$C$86)/12</f>
        <v>7437.5</v>
      </c>
      <c r="BT480" s="15" t="n">
        <f aca="false">BI480*Ipotesi!$C$87</f>
        <v>6144.87151404768</v>
      </c>
      <c r="BU480" s="15" t="n">
        <f aca="false">INDEX(Ipotesi!$C$55:$G$55,1,F480)*K480/12</f>
        <v>2000</v>
      </c>
      <c r="BV480" s="15" t="n">
        <f aca="false">INDEX(Ipotesi!$C$80:$G$80,1,F480)/12*Ipotesi!J126</f>
        <v>2083.33333333333</v>
      </c>
      <c r="BW480" s="15" t="n">
        <f aca="false">INDEX(Ipotesi!$C$82:$G$82,1,F480)/12</f>
        <v>1500</v>
      </c>
      <c r="BX480" s="15" t="n">
        <f aca="false">INDEX(Ipotesi!$C$83:$G$83,1,F480)/12</f>
        <v>833.333333333333</v>
      </c>
      <c r="BY480" s="15" t="n">
        <f aca="false">SUM(S480:U480)*(Ipotesi!$C$85+Ipotesi!$C$86)/12</f>
        <v>3208.33333333333</v>
      </c>
      <c r="BZ480" s="15" t="n">
        <f aca="false">AM480*Ipotesi!$C$87</f>
        <v>3478.75</v>
      </c>
      <c r="CA480" s="15" t="n">
        <f aca="false">AB480+BJ480+BL480+BN480+BO480+AR480+BP480+BQ480+BR480+BS480+BT480</f>
        <v>199712.020386389</v>
      </c>
      <c r="CB480" s="15" t="n">
        <f aca="false">AC480+BK480+BM480+BH480+BU480+BV480+AS480+BW480+BX480+BY480+BZ480</f>
        <v>79625.4722608333</v>
      </c>
      <c r="CC480" s="15" t="n">
        <f aca="false">BI480-CA480</f>
        <v>5117.03008186689</v>
      </c>
      <c r="CD480" s="15" t="n">
        <f aca="false">AM480-CB480</f>
        <v>36332.8610725</v>
      </c>
      <c r="CE480" s="15" t="n">
        <f aca="false">INDEX(Ipotesi!$C$79:$G$79,1,F480)/12</f>
        <v>4166.66666666667</v>
      </c>
      <c r="CF480" s="15" t="n">
        <f aca="false">INDEX(Ipotesi!$C$84:$G$84,1,F480)/12</f>
        <v>666.666666666667</v>
      </c>
      <c r="CG480" s="15" t="n">
        <f aca="false">Y480*MAX(0,Parametri_v3!$C$12-IF(P480=0,0,MIN(1,BE480/(P480*Parametri_v3!$C$22))))+W480*Parametri_v3!$C$13+X480*Parametri_v3!$C$14</f>
        <v>34697.1477326614</v>
      </c>
      <c r="CH480" s="15" t="n">
        <f aca="false">AB480*Parametri_v3!$C$32</f>
        <v>5973.86641604167</v>
      </c>
      <c r="CI480" s="15" t="n">
        <f aca="false">AC480*Parametri_v3!$C$32</f>
        <v>2218.19027970833</v>
      </c>
      <c r="CJ480" s="15" t="n">
        <f aca="false">CA480-AB480</f>
        <v>80234.6920655558</v>
      </c>
      <c r="CK480" s="15" t="n">
        <f aca="false">CB480-AC480-BH480</f>
        <v>23665.8333333333</v>
      </c>
      <c r="CL480" s="15" t="n">
        <f aca="false">BF480*Ipotesi!$C$73+INDEX(Ipotesi!$C$72:$G$72,1,F480)/12*Ipotesi!J126*Parametri_v3!$C$58+Z480*(1-Parametri_v3!$C$16)</f>
        <v>17119.1751716272</v>
      </c>
      <c r="CM480" s="16" t="n">
        <f aca="false">IF(BF480=0,0,1-CL480/BF480)</f>
        <v>0.834437191394948</v>
      </c>
    </row>
    <row r="481" customFormat="false" ht="18" hidden="false" customHeight="true" outlineLevel="0" collapsed="false">
      <c r="A481" s="68" t="n">
        <f aca="false">8</f>
        <v>8</v>
      </c>
      <c r="B481" s="68" t="n">
        <f aca="false">57</f>
        <v>57</v>
      </c>
      <c r="C481" s="18" t="n">
        <f aca="false">EDATE(Parametri_v3!$C$5,57-1)</f>
        <v>48092</v>
      </c>
      <c r="D481" s="68" t="n">
        <f aca="false">YEAR(C481)</f>
        <v>2031</v>
      </c>
      <c r="E481" s="68" t="n">
        <f aca="false">MONTH(C481)</f>
        <v>9</v>
      </c>
      <c r="F481" s="68" t="n">
        <f aca="false">INT((57-1)/12)+1</f>
        <v>5</v>
      </c>
      <c r="G481" s="15" t="n">
        <f aca="false">Ipotesi!J7</f>
        <v>1</v>
      </c>
      <c r="H481" s="15" t="n">
        <f aca="false">Ipotesi!J9</f>
        <v>1</v>
      </c>
      <c r="I481" s="15" t="n">
        <f aca="false">Ipotesi!J10</f>
        <v>1</v>
      </c>
      <c r="J481" s="15" t="n">
        <f aca="false">Ipotesi!J11</f>
        <v>1</v>
      </c>
      <c r="K481" s="15" t="n">
        <f aca="false">Ipotesi!J12</f>
        <v>1</v>
      </c>
      <c r="L481" s="15" t="n">
        <f aca="false">Ipotesi!J13</f>
        <v>90</v>
      </c>
      <c r="M481" s="17" t="n">
        <f aca="false">INDEX(Ipotesi!$C$40:$G$40,1,F481)</f>
        <v>1</v>
      </c>
      <c r="N481" s="17" t="n">
        <f aca="false">INDEX(Ipotesi!$C$41:$G$41,1,F481)</f>
        <v>1</v>
      </c>
      <c r="O481" s="17" t="n">
        <f aca="false">INDEX(Ipotesi!$C$42:$G$42,1,F481)*Ipotesi!J125</f>
        <v>8.5</v>
      </c>
      <c r="P481" s="17" t="n">
        <f aca="false">INDEX(Ipotesi!$C$43:$G$43,1,F481)*I481</f>
        <v>7</v>
      </c>
      <c r="Q481" s="17" t="n">
        <f aca="false">INDEX(Ipotesi!$C$44:$G$44,1,F481)*I481</f>
        <v>6</v>
      </c>
      <c r="R481" s="17" t="n">
        <f aca="false">INDEX(Ipotesi!$C$45:$G$45,1,F481)*I481</f>
        <v>2</v>
      </c>
      <c r="S481" s="17" t="n">
        <f aca="false">INDEX(Ipotesi!$C$52:$G$52,1,F481)*Ipotesi!J125</f>
        <v>9</v>
      </c>
      <c r="T481" s="17" t="n">
        <f aca="false">INDEX(Ipotesi!$C$53:$G$53,1,F481)*I481</f>
        <v>1</v>
      </c>
      <c r="U481" s="17" t="n">
        <f aca="false">INDEX(Ipotesi!$C$54:$G$54,1,F481)*I481</f>
        <v>1</v>
      </c>
      <c r="V481" s="15" t="n">
        <f aca="false">M481*INDEX(Ipotesi!$C$58:$G$58,1,F481)*K481/12</f>
        <v>8333.33333333333</v>
      </c>
      <c r="W481" s="15" t="n">
        <f aca="false">N481*Ipotesi!$C$59*(1+Ipotesi!$C$66)^(F481-1)/12</f>
        <v>6565.46805833334</v>
      </c>
      <c r="X481" s="15" t="n">
        <f aca="false">O481*Ipotesi!$C$60*(1+Ipotesi!$C$66)^(F481-1)/12</f>
        <v>39861.7703541667</v>
      </c>
      <c r="Y481" s="15" t="n">
        <f aca="false">P481*Ipotesi!$C$61*(1+Ipotesi!$C$66)^(F481-1)/12</f>
        <v>32827.3402916667</v>
      </c>
      <c r="Z481" s="15" t="n">
        <f aca="false">Q481*Ipotesi!$C$62*(1+Ipotesi!$C$66)^(F481-1)/12</f>
        <v>25323.948225</v>
      </c>
      <c r="AA481" s="15" t="n">
        <f aca="false">R481*Ipotesi!$C$63*(1+Ipotesi!$C$66)^(F481-1)/12</f>
        <v>6565.46805833334</v>
      </c>
      <c r="AB481" s="15" t="n">
        <f aca="false">SUM(V481:AA481)</f>
        <v>119477.328320833</v>
      </c>
      <c r="AC481" s="15" t="n">
        <f aca="false">(S481*Ipotesi!$C$64+T481*Ipotesi!$C$65+U481*Ipotesi!$C$63)*(1+Ipotesi!$C$66)^(F481-1)/12</f>
        <v>44363.8055941667</v>
      </c>
      <c r="AD481" s="15" t="n">
        <f aca="false">INDEX(Ipotesi!$C$48:$G$48,1,F481)*G481/12</f>
        <v>95.8333333333333</v>
      </c>
      <c r="AE481" s="15" t="n">
        <f aca="false">INDEX(Ipotesi!$C$50:$G$50,1,F481)*G481/12</f>
        <v>9.58333333333333</v>
      </c>
      <c r="AF481" s="15" t="n">
        <f aca="false">(S481*Parametri_v3!$C$7*Parametri_v3!$C$8+Parametri_v3!$C$10)/12</f>
        <v>115.5</v>
      </c>
      <c r="AG481" s="15" t="n">
        <f aca="false">AD481+AE481*(1+Parametri_v3!$C$9)</f>
        <v>110.208333333333</v>
      </c>
      <c r="AH481" s="16" t="n">
        <f aca="false">IF(AG481=0,1,MIN(1,AF481/AG481))</f>
        <v>1</v>
      </c>
      <c r="AI481" s="15" t="n">
        <f aca="false">AD481*AH481</f>
        <v>95.8333333333333</v>
      </c>
      <c r="AJ481" s="15" t="n">
        <f aca="false">AE481*AH481</f>
        <v>9.58333333333333</v>
      </c>
      <c r="AK481" s="15" t="n">
        <f aca="false">AI481*INDEX(Ipotesi!$C$49:$G$49,1,F481)*H481</f>
        <v>91041.6666666667</v>
      </c>
      <c r="AL481" s="15" t="n">
        <f aca="false">AJ481*INDEX(Ipotesi!$C$51:$G$51,1,F481)*H481</f>
        <v>24916.6666666667</v>
      </c>
      <c r="AM481" s="15" t="n">
        <f aca="false">AK481+AL481</f>
        <v>115958.333333333</v>
      </c>
      <c r="AN481" s="15" t="n">
        <f aca="false">INDEX(Ipotesi!$C$30:$G$30,1,F481)*G481/12</f>
        <v>81.6666666666667</v>
      </c>
      <c r="AO481" s="15" t="n">
        <f aca="false">O481*Parametri_v3!$C$7*Parametri_v3!$C$11*(1-Parametri_v3!$C$14)/12</f>
        <v>87.2666666666667</v>
      </c>
      <c r="AP481" s="15" t="n">
        <f aca="false">MIN(AN481,AO481)</f>
        <v>81.6666666666667</v>
      </c>
      <c r="AQ481" s="15" t="n">
        <f aca="false">AP481*INDEX(Ipotesi!$C$31:$G$31,1,F481)*H481</f>
        <v>89833.3333333333</v>
      </c>
      <c r="AR481" s="15" t="n">
        <f aca="false">INDEX(Ipotesi!$C$75:$G$75,1,F481)*J481/12</f>
        <v>35833.3333333333</v>
      </c>
      <c r="AS481" s="15" t="n">
        <f aca="false">INDEX(Ipotesi!$C$81:$G$81,1,F481)*J481/12</f>
        <v>2083.33333333333</v>
      </c>
      <c r="AT481" s="15" t="n">
        <f aca="false">AR481*Parametri_v3!$C$15+Z481*Parametri_v3!$C$16</f>
        <v>53560.0970908333</v>
      </c>
      <c r="AU481" s="15" t="n">
        <f aca="false">Q481*Parametri_v3!$C$16*Parametri_v3!$C$17</f>
        <v>420</v>
      </c>
      <c r="AV481" s="17" t="n">
        <f aca="false">BD480</f>
        <v>203.388337511314</v>
      </c>
      <c r="AW481" s="17" t="n">
        <f aca="false">AV481*(1-(1-INDEX(Ipotesi!$C$34:$G$34,1,F481))^(1/12))</f>
        <v>1.77794171924645</v>
      </c>
      <c r="AX481" s="15" t="n">
        <f aca="false">ROUND(INDEX(Ipotesi!$C$32:$G$32,1,F481)*Ipotesi!J8,0)</f>
        <v>560</v>
      </c>
      <c r="AY481" s="15" t="n">
        <f aca="false">MAX(0,(AX481-(AV481-AW481))/(13-E481))</f>
        <v>89.5974010519832</v>
      </c>
      <c r="AZ481" s="15" t="n">
        <f aca="false">MIN(P481*Parametri_v3!$C$22,Q481*(1-Parametri_v3!$C$16)*Parametri_v3!$C$23)</f>
        <v>270</v>
      </c>
      <c r="BA481" s="15" t="n">
        <f aca="false">IF(OR(INDEX(Ipotesi!$C$35:$G$35,1,F481)&lt;=0,57-Parametri_v3!$C$21&lt;1),0,INDEX($AT$425:$AT$484,MAX(1,57-Parametri_v3!$C$21))/(INDEX(Ipotesi!$C$35:$G$35,1,F481)*Ipotesi!J27))</f>
        <v>8.24001493705128</v>
      </c>
      <c r="BB481" s="15" t="n">
        <f aca="false">IF(57-Parametri_v3!$C$21&lt;1,0,INDEX($AU$425:$AU$484,MAX(1,57-Parametri_v3!$C$21)))*Parametri_v3!$C$18*Parametri_v3!$C$19*Parametri_v3!$C$20</f>
        <v>15.75</v>
      </c>
      <c r="BC481" s="17" t="n">
        <f aca="false">MAX(0,MIN(AY481,BA481,BB481,MAX(0,AZ481-(AV481-AW481))))</f>
        <v>8.24001493705128</v>
      </c>
      <c r="BD481" s="17" t="n">
        <f aca="false">AV481-AW481+BC481</f>
        <v>209.850410729118</v>
      </c>
      <c r="BE481" s="17" t="n">
        <f aca="false">(AV481+BD481)/2</f>
        <v>206.619374120216</v>
      </c>
      <c r="BF481" s="15" t="n">
        <f aca="false">BE481*INDEX(Ipotesi!$C$33:$G$33,1,F481)*H481/12</f>
        <v>106753.343295445</v>
      </c>
      <c r="BG481" s="15" t="n">
        <f aca="false">BD481*INDEX(Ipotesi!$C$33:$G$33,1,F481)*H481</f>
        <v>1301072.54652053</v>
      </c>
      <c r="BH481" s="15" t="n">
        <f aca="false">AM481*INDEX(Ipotesi!$C$37:$G$37,1,F481)</f>
        <v>11595.8333333333</v>
      </c>
      <c r="BI481" s="15" t="n">
        <f aca="false">AQ481+BF481+BH481</f>
        <v>208182.509962112</v>
      </c>
      <c r="BJ481" s="15" t="n">
        <f aca="false">INDEX(Ipotesi!$C$68:$G$68,1,F481)*Ipotesi!$C$69/12</f>
        <v>3333.33333333333</v>
      </c>
      <c r="BK481" s="15" t="n">
        <f aca="false">INDEX(Ipotesi!$C$68:$G$68,1,F481)*(1-Ipotesi!$C$69)/12</f>
        <v>5000</v>
      </c>
      <c r="BL481" s="15" t="n">
        <f aca="false">(AQ481+BF481)*Ipotesi!$C$67</f>
        <v>5897.60029886335</v>
      </c>
      <c r="BM481" s="15" t="n">
        <f aca="false">AM481*Ipotesi!$C$67</f>
        <v>3478.75</v>
      </c>
      <c r="BN481" s="15" t="n">
        <f aca="false">INDEX(Ipotesi!$C$72:$G$72,1,F481)/12*Ipotesi!J126+BF481*Ipotesi!$C$73</f>
        <v>9790.26746363559</v>
      </c>
      <c r="BO481" s="15" t="n">
        <f aca="false">INDEX(Ipotesi!$C$74:$G$74,1,F481)/12*Ipotesi!J126</f>
        <v>5416.66666666667</v>
      </c>
      <c r="BP481" s="15" t="n">
        <f aca="false">INDEX(Ipotesi!$C$76:$G$76,1,F481)/12</f>
        <v>1916.66666666667</v>
      </c>
      <c r="BQ481" s="15" t="n">
        <f aca="false">INDEX(Ipotesi!$C$77:$G$77,1,F481)/12*Ipotesi!J126</f>
        <v>2500</v>
      </c>
      <c r="BR481" s="15" t="n">
        <f aca="false">INDEX(Ipotesi!$C$78:$G$78,1,F481)/12</f>
        <v>2333.33333333333</v>
      </c>
      <c r="BS481" s="15" t="n">
        <f aca="false">SUM(M481:R481)*(Ipotesi!$C$85+Ipotesi!$C$86)/12</f>
        <v>7437.5</v>
      </c>
      <c r="BT481" s="15" t="n">
        <f aca="false">BI481*Ipotesi!$C$87</f>
        <v>6245.47529886335</v>
      </c>
      <c r="BU481" s="15" t="n">
        <f aca="false">INDEX(Ipotesi!$C$55:$G$55,1,F481)*K481/12</f>
        <v>2000</v>
      </c>
      <c r="BV481" s="15" t="n">
        <f aca="false">INDEX(Ipotesi!$C$80:$G$80,1,F481)/12*Ipotesi!J126</f>
        <v>2083.33333333333</v>
      </c>
      <c r="BW481" s="15" t="n">
        <f aca="false">INDEX(Ipotesi!$C$82:$G$82,1,F481)/12</f>
        <v>1500</v>
      </c>
      <c r="BX481" s="15" t="n">
        <f aca="false">INDEX(Ipotesi!$C$83:$G$83,1,F481)/12</f>
        <v>833.333333333333</v>
      </c>
      <c r="BY481" s="15" t="n">
        <f aca="false">SUM(S481:U481)*(Ipotesi!$C$85+Ipotesi!$C$86)/12</f>
        <v>3208.33333333333</v>
      </c>
      <c r="BZ481" s="15" t="n">
        <f aca="false">AM481*Ipotesi!$C$87</f>
        <v>3478.75</v>
      </c>
      <c r="CA481" s="15" t="n">
        <f aca="false">AB481+BJ481+BL481+BN481+BO481+AR481+BP481+BQ481+BR481+BS481+BT481</f>
        <v>200181.504715529</v>
      </c>
      <c r="CB481" s="15" t="n">
        <f aca="false">AC481+BK481+BM481+BH481+BU481+BV481+AS481+BW481+BX481+BY481+BZ481</f>
        <v>79625.4722608333</v>
      </c>
      <c r="CC481" s="15" t="n">
        <f aca="false">BI481-CA481</f>
        <v>8001.00524658262</v>
      </c>
      <c r="CD481" s="15" t="n">
        <f aca="false">AM481-CB481</f>
        <v>36332.8610725</v>
      </c>
      <c r="CE481" s="15" t="n">
        <f aca="false">INDEX(Ipotesi!$C$79:$G$79,1,F481)/12</f>
        <v>4166.66666666667</v>
      </c>
      <c r="CF481" s="15" t="n">
        <f aca="false">INDEX(Ipotesi!$C$84:$G$84,1,F481)/12</f>
        <v>666.666666666667</v>
      </c>
      <c r="CG481" s="15" t="n">
        <f aca="false">Y481*MAX(0,Parametri_v3!$C$12-IF(P481=0,0,MIN(1,BE481/(P481*Parametri_v3!$C$22))))+W481*Parametri_v3!$C$13+X481*Parametri_v3!$C$14</f>
        <v>34392.7648129588</v>
      </c>
      <c r="CH481" s="15" t="n">
        <f aca="false">AB481*Parametri_v3!$C$32</f>
        <v>5973.86641604167</v>
      </c>
      <c r="CI481" s="15" t="n">
        <f aca="false">AC481*Parametri_v3!$C$32</f>
        <v>2218.19027970833</v>
      </c>
      <c r="CJ481" s="15" t="n">
        <f aca="false">CA481-AB481</f>
        <v>80704.1763946956</v>
      </c>
      <c r="CK481" s="15" t="n">
        <f aca="false">CB481-AC481-BH481</f>
        <v>23665.8333333333</v>
      </c>
      <c r="CL481" s="15" t="n">
        <f aca="false">BF481*Ipotesi!$C$73+INDEX(Ipotesi!$C$72:$G$72,1,F481)/12*Ipotesi!J126*Parametri_v3!$C$58+Z481*(1-Parametri_v3!$C$16)</f>
        <v>17387.4519311356</v>
      </c>
      <c r="CM481" s="16" t="n">
        <f aca="false">IF(BF481=0,0,1-CL481/BF481)</f>
        <v>0.837124989303473</v>
      </c>
    </row>
    <row r="482" customFormat="false" ht="18" hidden="false" customHeight="true" outlineLevel="0" collapsed="false">
      <c r="A482" s="68" t="n">
        <f aca="false">8</f>
        <v>8</v>
      </c>
      <c r="B482" s="68" t="n">
        <f aca="false">58</f>
        <v>58</v>
      </c>
      <c r="C482" s="18" t="n">
        <f aca="false">EDATE(Parametri_v3!$C$5,58-1)</f>
        <v>48122</v>
      </c>
      <c r="D482" s="68" t="n">
        <f aca="false">YEAR(C482)</f>
        <v>2031</v>
      </c>
      <c r="E482" s="68" t="n">
        <f aca="false">MONTH(C482)</f>
        <v>10</v>
      </c>
      <c r="F482" s="68" t="n">
        <f aca="false">INT((58-1)/12)+1</f>
        <v>5</v>
      </c>
      <c r="G482" s="15" t="n">
        <f aca="false">Ipotesi!J7</f>
        <v>1</v>
      </c>
      <c r="H482" s="15" t="n">
        <f aca="false">Ipotesi!J9</f>
        <v>1</v>
      </c>
      <c r="I482" s="15" t="n">
        <f aca="false">Ipotesi!J10</f>
        <v>1</v>
      </c>
      <c r="J482" s="15" t="n">
        <f aca="false">Ipotesi!J11</f>
        <v>1</v>
      </c>
      <c r="K482" s="15" t="n">
        <f aca="false">Ipotesi!J12</f>
        <v>1</v>
      </c>
      <c r="L482" s="15" t="n">
        <f aca="false">Ipotesi!J13</f>
        <v>90</v>
      </c>
      <c r="M482" s="17" t="n">
        <f aca="false">INDEX(Ipotesi!$C$40:$G$40,1,F482)</f>
        <v>1</v>
      </c>
      <c r="N482" s="17" t="n">
        <f aca="false">INDEX(Ipotesi!$C$41:$G$41,1,F482)</f>
        <v>1</v>
      </c>
      <c r="O482" s="17" t="n">
        <f aca="false">INDEX(Ipotesi!$C$42:$G$42,1,F482)*Ipotesi!J125</f>
        <v>8.5</v>
      </c>
      <c r="P482" s="17" t="n">
        <f aca="false">INDEX(Ipotesi!$C$43:$G$43,1,F482)*I482</f>
        <v>7</v>
      </c>
      <c r="Q482" s="17" t="n">
        <f aca="false">INDEX(Ipotesi!$C$44:$G$44,1,F482)*I482</f>
        <v>6</v>
      </c>
      <c r="R482" s="17" t="n">
        <f aca="false">INDEX(Ipotesi!$C$45:$G$45,1,F482)*I482</f>
        <v>2</v>
      </c>
      <c r="S482" s="17" t="n">
        <f aca="false">INDEX(Ipotesi!$C$52:$G$52,1,F482)*Ipotesi!J125</f>
        <v>9</v>
      </c>
      <c r="T482" s="17" t="n">
        <f aca="false">INDEX(Ipotesi!$C$53:$G$53,1,F482)*I482</f>
        <v>1</v>
      </c>
      <c r="U482" s="17" t="n">
        <f aca="false">INDEX(Ipotesi!$C$54:$G$54,1,F482)*I482</f>
        <v>1</v>
      </c>
      <c r="V482" s="15" t="n">
        <f aca="false">M482*INDEX(Ipotesi!$C$58:$G$58,1,F482)*K482/12</f>
        <v>8333.33333333333</v>
      </c>
      <c r="W482" s="15" t="n">
        <f aca="false">N482*Ipotesi!$C$59*(1+Ipotesi!$C$66)^(F482-1)/12</f>
        <v>6565.46805833334</v>
      </c>
      <c r="X482" s="15" t="n">
        <f aca="false">O482*Ipotesi!$C$60*(1+Ipotesi!$C$66)^(F482-1)/12</f>
        <v>39861.7703541667</v>
      </c>
      <c r="Y482" s="15" t="n">
        <f aca="false">P482*Ipotesi!$C$61*(1+Ipotesi!$C$66)^(F482-1)/12</f>
        <v>32827.3402916667</v>
      </c>
      <c r="Z482" s="15" t="n">
        <f aca="false">Q482*Ipotesi!$C$62*(1+Ipotesi!$C$66)^(F482-1)/12</f>
        <v>25323.948225</v>
      </c>
      <c r="AA482" s="15" t="n">
        <f aca="false">R482*Ipotesi!$C$63*(1+Ipotesi!$C$66)^(F482-1)/12</f>
        <v>6565.46805833334</v>
      </c>
      <c r="AB482" s="15" t="n">
        <f aca="false">SUM(V482:AA482)</f>
        <v>119477.328320833</v>
      </c>
      <c r="AC482" s="15" t="n">
        <f aca="false">(S482*Ipotesi!$C$64+T482*Ipotesi!$C$65+U482*Ipotesi!$C$63)*(1+Ipotesi!$C$66)^(F482-1)/12</f>
        <v>44363.8055941667</v>
      </c>
      <c r="AD482" s="15" t="n">
        <f aca="false">INDEX(Ipotesi!$C$48:$G$48,1,F482)*G482/12</f>
        <v>95.8333333333333</v>
      </c>
      <c r="AE482" s="15" t="n">
        <f aca="false">INDEX(Ipotesi!$C$50:$G$50,1,F482)*G482/12</f>
        <v>9.58333333333333</v>
      </c>
      <c r="AF482" s="15" t="n">
        <f aca="false">(S482*Parametri_v3!$C$7*Parametri_v3!$C$8+Parametri_v3!$C$10)/12</f>
        <v>115.5</v>
      </c>
      <c r="AG482" s="15" t="n">
        <f aca="false">AD482+AE482*(1+Parametri_v3!$C$9)</f>
        <v>110.208333333333</v>
      </c>
      <c r="AH482" s="16" t="n">
        <f aca="false">IF(AG482=0,1,MIN(1,AF482/AG482))</f>
        <v>1</v>
      </c>
      <c r="AI482" s="15" t="n">
        <f aca="false">AD482*AH482</f>
        <v>95.8333333333333</v>
      </c>
      <c r="AJ482" s="15" t="n">
        <f aca="false">AE482*AH482</f>
        <v>9.58333333333333</v>
      </c>
      <c r="AK482" s="15" t="n">
        <f aca="false">AI482*INDEX(Ipotesi!$C$49:$G$49,1,F482)*H482</f>
        <v>91041.6666666667</v>
      </c>
      <c r="AL482" s="15" t="n">
        <f aca="false">AJ482*INDEX(Ipotesi!$C$51:$G$51,1,F482)*H482</f>
        <v>24916.6666666667</v>
      </c>
      <c r="AM482" s="15" t="n">
        <f aca="false">AK482+AL482</f>
        <v>115958.333333333</v>
      </c>
      <c r="AN482" s="15" t="n">
        <f aca="false">INDEX(Ipotesi!$C$30:$G$30,1,F482)*G482/12</f>
        <v>81.6666666666667</v>
      </c>
      <c r="AO482" s="15" t="n">
        <f aca="false">O482*Parametri_v3!$C$7*Parametri_v3!$C$11*(1-Parametri_v3!$C$14)/12</f>
        <v>87.2666666666667</v>
      </c>
      <c r="AP482" s="15" t="n">
        <f aca="false">MIN(AN482,AO482)</f>
        <v>81.6666666666667</v>
      </c>
      <c r="AQ482" s="15" t="n">
        <f aca="false">AP482*INDEX(Ipotesi!$C$31:$G$31,1,F482)*H482</f>
        <v>89833.3333333333</v>
      </c>
      <c r="AR482" s="15" t="n">
        <f aca="false">INDEX(Ipotesi!$C$75:$G$75,1,F482)*J482/12</f>
        <v>35833.3333333333</v>
      </c>
      <c r="AS482" s="15" t="n">
        <f aca="false">INDEX(Ipotesi!$C$81:$G$81,1,F482)*J482/12</f>
        <v>2083.33333333333</v>
      </c>
      <c r="AT482" s="15" t="n">
        <f aca="false">AR482*Parametri_v3!$C$15+Z482*Parametri_v3!$C$16</f>
        <v>53560.0970908333</v>
      </c>
      <c r="AU482" s="15" t="n">
        <f aca="false">Q482*Parametri_v3!$C$16*Parametri_v3!$C$17</f>
        <v>420</v>
      </c>
      <c r="AV482" s="17" t="n">
        <f aca="false">BD481</f>
        <v>209.850410729118</v>
      </c>
      <c r="AW482" s="17" t="n">
        <f aca="false">AV482*(1-(1-INDEX(Ipotesi!$C$34:$G$34,1,F482))^(1/12))</f>
        <v>1.83443064927727</v>
      </c>
      <c r="AX482" s="15" t="n">
        <f aca="false">ROUND(INDEX(Ipotesi!$C$32:$G$32,1,F482)*Ipotesi!J8,0)</f>
        <v>560</v>
      </c>
      <c r="AY482" s="15" t="n">
        <f aca="false">MAX(0,(AX482-(AV482-AW482))/(13-E482))</f>
        <v>117.328006640053</v>
      </c>
      <c r="AZ482" s="15" t="n">
        <f aca="false">MIN(P482*Parametri_v3!$C$22,Q482*(1-Parametri_v3!$C$16)*Parametri_v3!$C$23)</f>
        <v>270</v>
      </c>
      <c r="BA482" s="15" t="n">
        <f aca="false">IF(OR(INDEX(Ipotesi!$C$35:$G$35,1,F482)&lt;=0,58-Parametri_v3!$C$21&lt;1),0,INDEX($AT$425:$AT$484,MAX(1,58-Parametri_v3!$C$21))/(INDEX(Ipotesi!$C$35:$G$35,1,F482)*Ipotesi!J27))</f>
        <v>8.24001493705128</v>
      </c>
      <c r="BB482" s="15" t="n">
        <f aca="false">IF(58-Parametri_v3!$C$21&lt;1,0,INDEX($AU$425:$AU$484,MAX(1,58-Parametri_v3!$C$21)))*Parametri_v3!$C$18*Parametri_v3!$C$19*Parametri_v3!$C$20</f>
        <v>15.75</v>
      </c>
      <c r="BC482" s="17" t="n">
        <f aca="false">MAX(0,MIN(AY482,BA482,BB482,MAX(0,AZ482-(AV482-AW482))))</f>
        <v>8.24001493705128</v>
      </c>
      <c r="BD482" s="17" t="n">
        <f aca="false">AV482-AW482+BC482</f>
        <v>216.255995016892</v>
      </c>
      <c r="BE482" s="17" t="n">
        <f aca="false">(AV482+BD482)/2</f>
        <v>213.053202873005</v>
      </c>
      <c r="BF482" s="15" t="n">
        <f aca="false">BE482*INDEX(Ipotesi!$C$33:$G$33,1,F482)*H482/12</f>
        <v>110077.488151053</v>
      </c>
      <c r="BG482" s="15" t="n">
        <f aca="false">BD482*INDEX(Ipotesi!$C$33:$G$33,1,F482)*H482</f>
        <v>1340787.16910473</v>
      </c>
      <c r="BH482" s="15" t="n">
        <f aca="false">AM482*INDEX(Ipotesi!$C$37:$G$37,1,F482)</f>
        <v>11595.8333333333</v>
      </c>
      <c r="BI482" s="15" t="n">
        <f aca="false">AQ482+BF482+BH482</f>
        <v>211506.654817719</v>
      </c>
      <c r="BJ482" s="15" t="n">
        <f aca="false">INDEX(Ipotesi!$C$68:$G$68,1,F482)*Ipotesi!$C$69/12</f>
        <v>3333.33333333333</v>
      </c>
      <c r="BK482" s="15" t="n">
        <f aca="false">INDEX(Ipotesi!$C$68:$G$68,1,F482)*(1-Ipotesi!$C$69)/12</f>
        <v>5000</v>
      </c>
      <c r="BL482" s="15" t="n">
        <f aca="false">(AQ482+BF482)*Ipotesi!$C$67</f>
        <v>5997.32464453158</v>
      </c>
      <c r="BM482" s="15" t="n">
        <f aca="false">AM482*Ipotesi!$C$67</f>
        <v>3478.75</v>
      </c>
      <c r="BN482" s="15" t="n">
        <f aca="false">INDEX(Ipotesi!$C$72:$G$72,1,F482)/12*Ipotesi!J126+BF482*Ipotesi!$C$73</f>
        <v>10056.1990520842</v>
      </c>
      <c r="BO482" s="15" t="n">
        <f aca="false">INDEX(Ipotesi!$C$74:$G$74,1,F482)/12*Ipotesi!J126</f>
        <v>5416.66666666667</v>
      </c>
      <c r="BP482" s="15" t="n">
        <f aca="false">INDEX(Ipotesi!$C$76:$G$76,1,F482)/12</f>
        <v>1916.66666666667</v>
      </c>
      <c r="BQ482" s="15" t="n">
        <f aca="false">INDEX(Ipotesi!$C$77:$G$77,1,F482)/12*Ipotesi!J126</f>
        <v>2500</v>
      </c>
      <c r="BR482" s="15" t="n">
        <f aca="false">INDEX(Ipotesi!$C$78:$G$78,1,F482)/12</f>
        <v>2333.33333333333</v>
      </c>
      <c r="BS482" s="15" t="n">
        <f aca="false">SUM(M482:R482)*(Ipotesi!$C$85+Ipotesi!$C$86)/12</f>
        <v>7437.5</v>
      </c>
      <c r="BT482" s="15" t="n">
        <f aca="false">BI482*Ipotesi!$C$87</f>
        <v>6345.19964453158</v>
      </c>
      <c r="BU482" s="15" t="n">
        <f aca="false">INDEX(Ipotesi!$C$55:$G$55,1,F482)*K482/12</f>
        <v>2000</v>
      </c>
      <c r="BV482" s="15" t="n">
        <f aca="false">INDEX(Ipotesi!$C$80:$G$80,1,F482)/12*Ipotesi!J126</f>
        <v>2083.33333333333</v>
      </c>
      <c r="BW482" s="15" t="n">
        <f aca="false">INDEX(Ipotesi!$C$82:$G$82,1,F482)/12</f>
        <v>1500</v>
      </c>
      <c r="BX482" s="15" t="n">
        <f aca="false">INDEX(Ipotesi!$C$83:$G$83,1,F482)/12</f>
        <v>833.333333333333</v>
      </c>
      <c r="BY482" s="15" t="n">
        <f aca="false">SUM(S482:U482)*(Ipotesi!$C$85+Ipotesi!$C$86)/12</f>
        <v>3208.33333333333</v>
      </c>
      <c r="BZ482" s="15" t="n">
        <f aca="false">AM482*Ipotesi!$C$87</f>
        <v>3478.75</v>
      </c>
      <c r="CA482" s="15" t="n">
        <f aca="false">AB482+BJ482+BL482+BN482+BO482+AR482+BP482+BQ482+BR482+BS482+BT482</f>
        <v>200646.884995314</v>
      </c>
      <c r="CB482" s="15" t="n">
        <f aca="false">AC482+BK482+BM482+BH482+BU482+BV482+AS482+BW482+BX482+BY482+BZ482</f>
        <v>79625.4722608333</v>
      </c>
      <c r="CC482" s="15" t="n">
        <f aca="false">BI482-CA482</f>
        <v>10859.7698224054</v>
      </c>
      <c r="CD482" s="15" t="n">
        <f aca="false">AM482-CB482</f>
        <v>36332.8610725</v>
      </c>
      <c r="CE482" s="15" t="n">
        <f aca="false">INDEX(Ipotesi!$C$79:$G$79,1,F482)/12</f>
        <v>4166.66666666667</v>
      </c>
      <c r="CF482" s="15" t="n">
        <f aca="false">INDEX(Ipotesi!$C$84:$G$84,1,F482)/12</f>
        <v>666.666666666667</v>
      </c>
      <c r="CG482" s="15" t="n">
        <f aca="false">Y482*MAX(0,Parametri_v3!$C$12-IF(P482=0,0,MIN(1,BE482/(P482*Parametri_v3!$C$22))))+W482*Parametri_v3!$C$13+X482*Parametri_v3!$C$14</f>
        <v>34091.0426903215</v>
      </c>
      <c r="CH482" s="15" t="n">
        <f aca="false">AB482*Parametri_v3!$C$32</f>
        <v>5973.86641604167</v>
      </c>
      <c r="CI482" s="15" t="n">
        <f aca="false">AC482*Parametri_v3!$C$32</f>
        <v>2218.19027970833</v>
      </c>
      <c r="CJ482" s="15" t="n">
        <f aca="false">CA482-AB482</f>
        <v>81169.5566744807</v>
      </c>
      <c r="CK482" s="15" t="n">
        <f aca="false">CB482-AC482-BH482</f>
        <v>23665.8333333333</v>
      </c>
      <c r="CL482" s="15" t="n">
        <f aca="false">BF482*Ipotesi!$C$73+INDEX(Ipotesi!$C$72:$G$72,1,F482)/12*Ipotesi!J126*Parametri_v3!$C$58+Z482*(1-Parametri_v3!$C$16)</f>
        <v>17653.3835195842</v>
      </c>
      <c r="CM482" s="16" t="n">
        <f aca="false">IF(BF482=0,0,1-CL482/BF482)</f>
        <v>0.839627667599396</v>
      </c>
    </row>
    <row r="483" customFormat="false" ht="18" hidden="false" customHeight="true" outlineLevel="0" collapsed="false">
      <c r="A483" s="68" t="n">
        <f aca="false">8</f>
        <v>8</v>
      </c>
      <c r="B483" s="68" t="n">
        <f aca="false">59</f>
        <v>59</v>
      </c>
      <c r="C483" s="18" t="n">
        <f aca="false">EDATE(Parametri_v3!$C$5,59-1)</f>
        <v>48153</v>
      </c>
      <c r="D483" s="68" t="n">
        <f aca="false">YEAR(C483)</f>
        <v>2031</v>
      </c>
      <c r="E483" s="68" t="n">
        <f aca="false">MONTH(C483)</f>
        <v>11</v>
      </c>
      <c r="F483" s="68" t="n">
        <f aca="false">INT((59-1)/12)+1</f>
        <v>5</v>
      </c>
      <c r="G483" s="15" t="n">
        <f aca="false">Ipotesi!J7</f>
        <v>1</v>
      </c>
      <c r="H483" s="15" t="n">
        <f aca="false">Ipotesi!J9</f>
        <v>1</v>
      </c>
      <c r="I483" s="15" t="n">
        <f aca="false">Ipotesi!J10</f>
        <v>1</v>
      </c>
      <c r="J483" s="15" t="n">
        <f aca="false">Ipotesi!J11</f>
        <v>1</v>
      </c>
      <c r="K483" s="15" t="n">
        <f aca="false">Ipotesi!J12</f>
        <v>1</v>
      </c>
      <c r="L483" s="15" t="n">
        <f aca="false">Ipotesi!J13</f>
        <v>90</v>
      </c>
      <c r="M483" s="17" t="n">
        <f aca="false">INDEX(Ipotesi!$C$40:$G$40,1,F483)</f>
        <v>1</v>
      </c>
      <c r="N483" s="17" t="n">
        <f aca="false">INDEX(Ipotesi!$C$41:$G$41,1,F483)</f>
        <v>1</v>
      </c>
      <c r="O483" s="17" t="n">
        <f aca="false">INDEX(Ipotesi!$C$42:$G$42,1,F483)*Ipotesi!J125</f>
        <v>8.5</v>
      </c>
      <c r="P483" s="17" t="n">
        <f aca="false">INDEX(Ipotesi!$C$43:$G$43,1,F483)*I483</f>
        <v>7</v>
      </c>
      <c r="Q483" s="17" t="n">
        <f aca="false">INDEX(Ipotesi!$C$44:$G$44,1,F483)*I483</f>
        <v>6</v>
      </c>
      <c r="R483" s="17" t="n">
        <f aca="false">INDEX(Ipotesi!$C$45:$G$45,1,F483)*I483</f>
        <v>2</v>
      </c>
      <c r="S483" s="17" t="n">
        <f aca="false">INDEX(Ipotesi!$C$52:$G$52,1,F483)*Ipotesi!J125</f>
        <v>9</v>
      </c>
      <c r="T483" s="17" t="n">
        <f aca="false">INDEX(Ipotesi!$C$53:$G$53,1,F483)*I483</f>
        <v>1</v>
      </c>
      <c r="U483" s="17" t="n">
        <f aca="false">INDEX(Ipotesi!$C$54:$G$54,1,F483)*I483</f>
        <v>1</v>
      </c>
      <c r="V483" s="15" t="n">
        <f aca="false">M483*INDEX(Ipotesi!$C$58:$G$58,1,F483)*K483/12</f>
        <v>8333.33333333333</v>
      </c>
      <c r="W483" s="15" t="n">
        <f aca="false">N483*Ipotesi!$C$59*(1+Ipotesi!$C$66)^(F483-1)/12</f>
        <v>6565.46805833334</v>
      </c>
      <c r="X483" s="15" t="n">
        <f aca="false">O483*Ipotesi!$C$60*(1+Ipotesi!$C$66)^(F483-1)/12</f>
        <v>39861.7703541667</v>
      </c>
      <c r="Y483" s="15" t="n">
        <f aca="false">P483*Ipotesi!$C$61*(1+Ipotesi!$C$66)^(F483-1)/12</f>
        <v>32827.3402916667</v>
      </c>
      <c r="Z483" s="15" t="n">
        <f aca="false">Q483*Ipotesi!$C$62*(1+Ipotesi!$C$66)^(F483-1)/12</f>
        <v>25323.948225</v>
      </c>
      <c r="AA483" s="15" t="n">
        <f aca="false">R483*Ipotesi!$C$63*(1+Ipotesi!$C$66)^(F483-1)/12</f>
        <v>6565.46805833334</v>
      </c>
      <c r="AB483" s="15" t="n">
        <f aca="false">SUM(V483:AA483)</f>
        <v>119477.328320833</v>
      </c>
      <c r="AC483" s="15" t="n">
        <f aca="false">(S483*Ipotesi!$C$64+T483*Ipotesi!$C$65+U483*Ipotesi!$C$63)*(1+Ipotesi!$C$66)^(F483-1)/12</f>
        <v>44363.8055941667</v>
      </c>
      <c r="AD483" s="15" t="n">
        <f aca="false">INDEX(Ipotesi!$C$48:$G$48,1,F483)*G483/12</f>
        <v>95.8333333333333</v>
      </c>
      <c r="AE483" s="15" t="n">
        <f aca="false">INDEX(Ipotesi!$C$50:$G$50,1,F483)*G483/12</f>
        <v>9.58333333333333</v>
      </c>
      <c r="AF483" s="15" t="n">
        <f aca="false">(S483*Parametri_v3!$C$7*Parametri_v3!$C$8+Parametri_v3!$C$10)/12</f>
        <v>115.5</v>
      </c>
      <c r="AG483" s="15" t="n">
        <f aca="false">AD483+AE483*(1+Parametri_v3!$C$9)</f>
        <v>110.208333333333</v>
      </c>
      <c r="AH483" s="16" t="n">
        <f aca="false">IF(AG483=0,1,MIN(1,AF483/AG483))</f>
        <v>1</v>
      </c>
      <c r="AI483" s="15" t="n">
        <f aca="false">AD483*AH483</f>
        <v>95.8333333333333</v>
      </c>
      <c r="AJ483" s="15" t="n">
        <f aca="false">AE483*AH483</f>
        <v>9.58333333333333</v>
      </c>
      <c r="AK483" s="15" t="n">
        <f aca="false">AI483*INDEX(Ipotesi!$C$49:$G$49,1,F483)*H483</f>
        <v>91041.6666666667</v>
      </c>
      <c r="AL483" s="15" t="n">
        <f aca="false">AJ483*INDEX(Ipotesi!$C$51:$G$51,1,F483)*H483</f>
        <v>24916.6666666667</v>
      </c>
      <c r="AM483" s="15" t="n">
        <f aca="false">AK483+AL483</f>
        <v>115958.333333333</v>
      </c>
      <c r="AN483" s="15" t="n">
        <f aca="false">INDEX(Ipotesi!$C$30:$G$30,1,F483)*G483/12</f>
        <v>81.6666666666667</v>
      </c>
      <c r="AO483" s="15" t="n">
        <f aca="false">O483*Parametri_v3!$C$7*Parametri_v3!$C$11*(1-Parametri_v3!$C$14)/12</f>
        <v>87.2666666666667</v>
      </c>
      <c r="AP483" s="15" t="n">
        <f aca="false">MIN(AN483,AO483)</f>
        <v>81.6666666666667</v>
      </c>
      <c r="AQ483" s="15" t="n">
        <f aca="false">AP483*INDEX(Ipotesi!$C$31:$G$31,1,F483)*H483</f>
        <v>89833.3333333333</v>
      </c>
      <c r="AR483" s="15" t="n">
        <f aca="false">INDEX(Ipotesi!$C$75:$G$75,1,F483)*J483/12</f>
        <v>35833.3333333333</v>
      </c>
      <c r="AS483" s="15" t="n">
        <f aca="false">INDEX(Ipotesi!$C$81:$G$81,1,F483)*J483/12</f>
        <v>2083.33333333333</v>
      </c>
      <c r="AT483" s="15" t="n">
        <f aca="false">AR483*Parametri_v3!$C$15+Z483*Parametri_v3!$C$16</f>
        <v>53560.0970908333</v>
      </c>
      <c r="AU483" s="15" t="n">
        <f aca="false">Q483*Parametri_v3!$C$16*Parametri_v3!$C$17</f>
        <v>420</v>
      </c>
      <c r="AV483" s="17" t="n">
        <f aca="false">BD482</f>
        <v>216.255995016892</v>
      </c>
      <c r="AW483" s="17" t="n">
        <f aca="false">AV483*(1-(1-INDEX(Ipotesi!$C$34:$G$34,1,F483))^(1/12))</f>
        <v>1.89042577505851</v>
      </c>
      <c r="AX483" s="15" t="n">
        <f aca="false">ROUND(INDEX(Ipotesi!$C$32:$G$32,1,F483)*Ipotesi!J8,0)</f>
        <v>560</v>
      </c>
      <c r="AY483" s="15" t="n">
        <f aca="false">MAX(0,(AX483-(AV483-AW483))/(13-E483))</f>
        <v>172.817215379083</v>
      </c>
      <c r="AZ483" s="15" t="n">
        <f aca="false">MIN(P483*Parametri_v3!$C$22,Q483*(1-Parametri_v3!$C$16)*Parametri_v3!$C$23)</f>
        <v>270</v>
      </c>
      <c r="BA483" s="15" t="n">
        <f aca="false">IF(OR(INDEX(Ipotesi!$C$35:$G$35,1,F483)&lt;=0,59-Parametri_v3!$C$21&lt;1),0,INDEX($AT$425:$AT$484,MAX(1,59-Parametri_v3!$C$21))/(INDEX(Ipotesi!$C$35:$G$35,1,F483)*Ipotesi!J27))</f>
        <v>8.24001493705128</v>
      </c>
      <c r="BB483" s="15" t="n">
        <f aca="false">IF(59-Parametri_v3!$C$21&lt;1,0,INDEX($AU$425:$AU$484,MAX(1,59-Parametri_v3!$C$21)))*Parametri_v3!$C$18*Parametri_v3!$C$19*Parametri_v3!$C$20</f>
        <v>15.75</v>
      </c>
      <c r="BC483" s="17" t="n">
        <f aca="false">MAX(0,MIN(AY483,BA483,BB483,MAX(0,AZ483-(AV483-AW483))))</f>
        <v>8.24001493705128</v>
      </c>
      <c r="BD483" s="17" t="n">
        <f aca="false">AV483-AW483+BC483</f>
        <v>222.605584178885</v>
      </c>
      <c r="BE483" s="17" t="n">
        <f aca="false">(AV483+BD483)/2</f>
        <v>219.430789597889</v>
      </c>
      <c r="BF483" s="15" t="n">
        <f aca="false">BE483*INDEX(Ipotesi!$C$33:$G$33,1,F483)*H483/12</f>
        <v>113372.574625576</v>
      </c>
      <c r="BG483" s="15" t="n">
        <f aca="false">BD483*INDEX(Ipotesi!$C$33:$G$33,1,F483)*H483</f>
        <v>1380154.62190909</v>
      </c>
      <c r="BH483" s="15" t="n">
        <f aca="false">AM483*INDEX(Ipotesi!$C$37:$G$37,1,F483)</f>
        <v>11595.8333333333</v>
      </c>
      <c r="BI483" s="15" t="n">
        <f aca="false">AQ483+BF483+BH483</f>
        <v>214801.741292243</v>
      </c>
      <c r="BJ483" s="15" t="n">
        <f aca="false">INDEX(Ipotesi!$C$68:$G$68,1,F483)*Ipotesi!$C$69/12</f>
        <v>3333.33333333333</v>
      </c>
      <c r="BK483" s="15" t="n">
        <f aca="false">INDEX(Ipotesi!$C$68:$G$68,1,F483)*(1-Ipotesi!$C$69)/12</f>
        <v>5000</v>
      </c>
      <c r="BL483" s="15" t="n">
        <f aca="false">(AQ483+BF483)*Ipotesi!$C$67</f>
        <v>6096.17723876728</v>
      </c>
      <c r="BM483" s="15" t="n">
        <f aca="false">AM483*Ipotesi!$C$67</f>
        <v>3478.75</v>
      </c>
      <c r="BN483" s="15" t="n">
        <f aca="false">INDEX(Ipotesi!$C$72:$G$72,1,F483)/12*Ipotesi!J126+BF483*Ipotesi!$C$73</f>
        <v>10319.8059700461</v>
      </c>
      <c r="BO483" s="15" t="n">
        <f aca="false">INDEX(Ipotesi!$C$74:$G$74,1,F483)/12*Ipotesi!J126</f>
        <v>5416.66666666667</v>
      </c>
      <c r="BP483" s="15" t="n">
        <f aca="false">INDEX(Ipotesi!$C$76:$G$76,1,F483)/12</f>
        <v>1916.66666666667</v>
      </c>
      <c r="BQ483" s="15" t="n">
        <f aca="false">INDEX(Ipotesi!$C$77:$G$77,1,F483)/12*Ipotesi!J126</f>
        <v>2500</v>
      </c>
      <c r="BR483" s="15" t="n">
        <f aca="false">INDEX(Ipotesi!$C$78:$G$78,1,F483)/12</f>
        <v>2333.33333333333</v>
      </c>
      <c r="BS483" s="15" t="n">
        <f aca="false">SUM(M483:R483)*(Ipotesi!$C$85+Ipotesi!$C$86)/12</f>
        <v>7437.5</v>
      </c>
      <c r="BT483" s="15" t="n">
        <f aca="false">BI483*Ipotesi!$C$87</f>
        <v>6444.05223876728</v>
      </c>
      <c r="BU483" s="15" t="n">
        <f aca="false">INDEX(Ipotesi!$C$55:$G$55,1,F483)*K483/12</f>
        <v>2000</v>
      </c>
      <c r="BV483" s="15" t="n">
        <f aca="false">INDEX(Ipotesi!$C$80:$G$80,1,F483)/12*Ipotesi!J126</f>
        <v>2083.33333333333</v>
      </c>
      <c r="BW483" s="15" t="n">
        <f aca="false">INDEX(Ipotesi!$C$82:$G$82,1,F483)/12</f>
        <v>1500</v>
      </c>
      <c r="BX483" s="15" t="n">
        <f aca="false">INDEX(Ipotesi!$C$83:$G$83,1,F483)/12</f>
        <v>833.333333333333</v>
      </c>
      <c r="BY483" s="15" t="n">
        <f aca="false">SUM(S483:U483)*(Ipotesi!$C$85+Ipotesi!$C$86)/12</f>
        <v>3208.33333333333</v>
      </c>
      <c r="BZ483" s="15" t="n">
        <f aca="false">AM483*Ipotesi!$C$87</f>
        <v>3478.75</v>
      </c>
      <c r="CA483" s="15" t="n">
        <f aca="false">AB483+BJ483+BL483+BN483+BO483+AR483+BP483+BQ483+BR483+BS483+BT483</f>
        <v>201108.197101747</v>
      </c>
      <c r="CB483" s="15" t="n">
        <f aca="false">AC483+BK483+BM483+BH483+BU483+BV483+AS483+BW483+BX483+BY483+BZ483</f>
        <v>79625.4722608333</v>
      </c>
      <c r="CC483" s="15" t="n">
        <f aca="false">BI483-CA483</f>
        <v>13693.5441904952</v>
      </c>
      <c r="CD483" s="15" t="n">
        <f aca="false">AM483-CB483</f>
        <v>36332.8610725</v>
      </c>
      <c r="CE483" s="15" t="n">
        <f aca="false">INDEX(Ipotesi!$C$79:$G$79,1,F483)/12</f>
        <v>4166.66666666667</v>
      </c>
      <c r="CF483" s="15" t="n">
        <f aca="false">INDEX(Ipotesi!$C$84:$G$84,1,F483)/12</f>
        <v>666.666666666667</v>
      </c>
      <c r="CG483" s="15" t="n">
        <f aca="false">Y483*MAX(0,Parametri_v3!$C$12-IF(P483=0,0,MIN(1,BE483/(P483*Parametri_v3!$C$22))))+W483*Parametri_v3!$C$13+X483*Parametri_v3!$C$14</f>
        <v>33791.9581050967</v>
      </c>
      <c r="CH483" s="15" t="n">
        <f aca="false">AB483*Parametri_v3!$C$32</f>
        <v>5973.86641604167</v>
      </c>
      <c r="CI483" s="15" t="n">
        <f aca="false">AC483*Parametri_v3!$C$32</f>
        <v>2218.19027970833</v>
      </c>
      <c r="CJ483" s="15" t="n">
        <f aca="false">CA483-AB483</f>
        <v>81630.8687809139</v>
      </c>
      <c r="CK483" s="15" t="n">
        <f aca="false">CB483-AC483-BH483</f>
        <v>23665.8333333333</v>
      </c>
      <c r="CL483" s="15" t="n">
        <f aca="false">BF483*Ipotesi!$C$73+INDEX(Ipotesi!$C$72:$G$72,1,F483)/12*Ipotesi!J126*Parametri_v3!$C$58+Z483*(1-Parametri_v3!$C$16)</f>
        <v>17916.9904375461</v>
      </c>
      <c r="CM483" s="16" t="n">
        <f aca="false">IF(BF483=0,0,1-CL483/BF483)</f>
        <v>0.84196362747588</v>
      </c>
    </row>
    <row r="484" customFormat="false" ht="18" hidden="false" customHeight="true" outlineLevel="0" collapsed="false">
      <c r="A484" s="68" t="n">
        <f aca="false">8</f>
        <v>8</v>
      </c>
      <c r="B484" s="68" t="n">
        <f aca="false">60</f>
        <v>60</v>
      </c>
      <c r="C484" s="18" t="n">
        <f aca="false">EDATE(Parametri_v3!$C$5,60-1)</f>
        <v>48183</v>
      </c>
      <c r="D484" s="68" t="n">
        <f aca="false">YEAR(C484)</f>
        <v>2031</v>
      </c>
      <c r="E484" s="68" t="n">
        <f aca="false">MONTH(C484)</f>
        <v>12</v>
      </c>
      <c r="F484" s="68" t="n">
        <f aca="false">INT((60-1)/12)+1</f>
        <v>5</v>
      </c>
      <c r="G484" s="15" t="n">
        <f aca="false">Ipotesi!J7</f>
        <v>1</v>
      </c>
      <c r="H484" s="15" t="n">
        <f aca="false">Ipotesi!J9</f>
        <v>1</v>
      </c>
      <c r="I484" s="15" t="n">
        <f aca="false">Ipotesi!J10</f>
        <v>1</v>
      </c>
      <c r="J484" s="15" t="n">
        <f aca="false">Ipotesi!J11</f>
        <v>1</v>
      </c>
      <c r="K484" s="15" t="n">
        <f aca="false">Ipotesi!J12</f>
        <v>1</v>
      </c>
      <c r="L484" s="15" t="n">
        <f aca="false">Ipotesi!J13</f>
        <v>90</v>
      </c>
      <c r="M484" s="17" t="n">
        <f aca="false">INDEX(Ipotesi!$C$40:$G$40,1,F484)</f>
        <v>1</v>
      </c>
      <c r="N484" s="17" t="n">
        <f aca="false">INDEX(Ipotesi!$C$41:$G$41,1,F484)</f>
        <v>1</v>
      </c>
      <c r="O484" s="17" t="n">
        <f aca="false">INDEX(Ipotesi!$C$42:$G$42,1,F484)*Ipotesi!J125</f>
        <v>8.5</v>
      </c>
      <c r="P484" s="17" t="n">
        <f aca="false">INDEX(Ipotesi!$C$43:$G$43,1,F484)*I484</f>
        <v>7</v>
      </c>
      <c r="Q484" s="17" t="n">
        <f aca="false">INDEX(Ipotesi!$C$44:$G$44,1,F484)*I484</f>
        <v>6</v>
      </c>
      <c r="R484" s="17" t="n">
        <f aca="false">INDEX(Ipotesi!$C$45:$G$45,1,F484)*I484</f>
        <v>2</v>
      </c>
      <c r="S484" s="17" t="n">
        <f aca="false">INDEX(Ipotesi!$C$52:$G$52,1,F484)*Ipotesi!J125</f>
        <v>9</v>
      </c>
      <c r="T484" s="17" t="n">
        <f aca="false">INDEX(Ipotesi!$C$53:$G$53,1,F484)*I484</f>
        <v>1</v>
      </c>
      <c r="U484" s="17" t="n">
        <f aca="false">INDEX(Ipotesi!$C$54:$G$54,1,F484)*I484</f>
        <v>1</v>
      </c>
      <c r="V484" s="15" t="n">
        <f aca="false">M484*INDEX(Ipotesi!$C$58:$G$58,1,F484)*K484/12</f>
        <v>8333.33333333333</v>
      </c>
      <c r="W484" s="15" t="n">
        <f aca="false">N484*Ipotesi!$C$59*(1+Ipotesi!$C$66)^(F484-1)/12</f>
        <v>6565.46805833334</v>
      </c>
      <c r="X484" s="15" t="n">
        <f aca="false">O484*Ipotesi!$C$60*(1+Ipotesi!$C$66)^(F484-1)/12</f>
        <v>39861.7703541667</v>
      </c>
      <c r="Y484" s="15" t="n">
        <f aca="false">P484*Ipotesi!$C$61*(1+Ipotesi!$C$66)^(F484-1)/12</f>
        <v>32827.3402916667</v>
      </c>
      <c r="Z484" s="15" t="n">
        <f aca="false">Q484*Ipotesi!$C$62*(1+Ipotesi!$C$66)^(F484-1)/12</f>
        <v>25323.948225</v>
      </c>
      <c r="AA484" s="15" t="n">
        <f aca="false">R484*Ipotesi!$C$63*(1+Ipotesi!$C$66)^(F484-1)/12</f>
        <v>6565.46805833334</v>
      </c>
      <c r="AB484" s="15" t="n">
        <f aca="false">SUM(V484:AA484)</f>
        <v>119477.328320833</v>
      </c>
      <c r="AC484" s="15" t="n">
        <f aca="false">(S484*Ipotesi!$C$64+T484*Ipotesi!$C$65+U484*Ipotesi!$C$63)*(1+Ipotesi!$C$66)^(F484-1)/12</f>
        <v>44363.8055941667</v>
      </c>
      <c r="AD484" s="15" t="n">
        <f aca="false">INDEX(Ipotesi!$C$48:$G$48,1,F484)*G484/12</f>
        <v>95.8333333333333</v>
      </c>
      <c r="AE484" s="15" t="n">
        <f aca="false">INDEX(Ipotesi!$C$50:$G$50,1,F484)*G484/12</f>
        <v>9.58333333333333</v>
      </c>
      <c r="AF484" s="15" t="n">
        <f aca="false">(S484*Parametri_v3!$C$7*Parametri_v3!$C$8+Parametri_v3!$C$10)/12</f>
        <v>115.5</v>
      </c>
      <c r="AG484" s="15" t="n">
        <f aca="false">AD484+AE484*(1+Parametri_v3!$C$9)</f>
        <v>110.208333333333</v>
      </c>
      <c r="AH484" s="16" t="n">
        <f aca="false">IF(AG484=0,1,MIN(1,AF484/AG484))</f>
        <v>1</v>
      </c>
      <c r="AI484" s="15" t="n">
        <f aca="false">AD484*AH484</f>
        <v>95.8333333333333</v>
      </c>
      <c r="AJ484" s="15" t="n">
        <f aca="false">AE484*AH484</f>
        <v>9.58333333333333</v>
      </c>
      <c r="AK484" s="15" t="n">
        <f aca="false">AI484*INDEX(Ipotesi!$C$49:$G$49,1,F484)*H484</f>
        <v>91041.6666666667</v>
      </c>
      <c r="AL484" s="15" t="n">
        <f aca="false">AJ484*INDEX(Ipotesi!$C$51:$G$51,1,F484)*H484</f>
        <v>24916.6666666667</v>
      </c>
      <c r="AM484" s="15" t="n">
        <f aca="false">AK484+AL484</f>
        <v>115958.333333333</v>
      </c>
      <c r="AN484" s="15" t="n">
        <f aca="false">INDEX(Ipotesi!$C$30:$G$30,1,F484)*G484/12</f>
        <v>81.6666666666667</v>
      </c>
      <c r="AO484" s="15" t="n">
        <f aca="false">O484*Parametri_v3!$C$7*Parametri_v3!$C$11*(1-Parametri_v3!$C$14)/12</f>
        <v>87.2666666666667</v>
      </c>
      <c r="AP484" s="15" t="n">
        <f aca="false">MIN(AN484,AO484)</f>
        <v>81.6666666666667</v>
      </c>
      <c r="AQ484" s="15" t="n">
        <f aca="false">AP484*INDEX(Ipotesi!$C$31:$G$31,1,F484)*H484</f>
        <v>89833.3333333333</v>
      </c>
      <c r="AR484" s="15" t="n">
        <f aca="false">INDEX(Ipotesi!$C$75:$G$75,1,F484)*J484/12</f>
        <v>35833.3333333333</v>
      </c>
      <c r="AS484" s="15" t="n">
        <f aca="false">INDEX(Ipotesi!$C$81:$G$81,1,F484)*J484/12</f>
        <v>2083.33333333333</v>
      </c>
      <c r="AT484" s="15" t="n">
        <f aca="false">AR484*Parametri_v3!$C$15+Z484*Parametri_v3!$C$16</f>
        <v>53560.0970908333</v>
      </c>
      <c r="AU484" s="15" t="n">
        <f aca="false">Q484*Parametri_v3!$C$16*Parametri_v3!$C$17</f>
        <v>420</v>
      </c>
      <c r="AV484" s="17" t="n">
        <f aca="false">BD483</f>
        <v>222.605584178885</v>
      </c>
      <c r="AW484" s="17" t="n">
        <f aca="false">AV484*(1-(1-INDEX(Ipotesi!$C$34:$G$34,1,F484))^(1/12))</f>
        <v>1.94593141323481</v>
      </c>
      <c r="AX484" s="15" t="n">
        <f aca="false">ROUND(INDEX(Ipotesi!$C$32:$G$32,1,F484)*Ipotesi!J8,0)</f>
        <v>560</v>
      </c>
      <c r="AY484" s="15" t="n">
        <f aca="false">MAX(0,(AX484-(AV484-AW484))/(13-E484))</f>
        <v>339.34034723435</v>
      </c>
      <c r="AZ484" s="15" t="n">
        <f aca="false">MIN(P484*Parametri_v3!$C$22,Q484*(1-Parametri_v3!$C$16)*Parametri_v3!$C$23)</f>
        <v>270</v>
      </c>
      <c r="BA484" s="15" t="n">
        <f aca="false">IF(OR(INDEX(Ipotesi!$C$35:$G$35,1,F484)&lt;=0,60-Parametri_v3!$C$21&lt;1),0,INDEX($AT$425:$AT$484,MAX(1,60-Parametri_v3!$C$21))/(INDEX(Ipotesi!$C$35:$G$35,1,F484)*Ipotesi!J27))</f>
        <v>8.24001493705128</v>
      </c>
      <c r="BB484" s="15" t="n">
        <f aca="false">IF(60-Parametri_v3!$C$21&lt;1,0,INDEX($AU$425:$AU$484,MAX(1,60-Parametri_v3!$C$21)))*Parametri_v3!$C$18*Parametri_v3!$C$19*Parametri_v3!$C$20</f>
        <v>15.75</v>
      </c>
      <c r="BC484" s="17" t="n">
        <f aca="false">MAX(0,MIN(AY484,BA484,BB484,MAX(0,AZ484-(AV484-AW484))))</f>
        <v>8.24001493705128</v>
      </c>
      <c r="BD484" s="17" t="n">
        <f aca="false">AV484-AW484+BC484</f>
        <v>228.899667702702</v>
      </c>
      <c r="BE484" s="17" t="n">
        <f aca="false">(AV484+BD484)/2</f>
        <v>225.752625940793</v>
      </c>
      <c r="BF484" s="15" t="n">
        <f aca="false">BE484*INDEX(Ipotesi!$C$33:$G$33,1,F484)*H484/12</f>
        <v>116638.856736077</v>
      </c>
      <c r="BG484" s="15" t="n">
        <f aca="false">BD484*INDEX(Ipotesi!$C$33:$G$33,1,F484)*H484</f>
        <v>1419177.93975675</v>
      </c>
      <c r="BH484" s="15" t="n">
        <f aca="false">AM484*INDEX(Ipotesi!$C$37:$G$37,1,F484)</f>
        <v>11595.8333333333</v>
      </c>
      <c r="BI484" s="15" t="n">
        <f aca="false">AQ484+BF484+BH484</f>
        <v>218068.023402743</v>
      </c>
      <c r="BJ484" s="15" t="n">
        <f aca="false">INDEX(Ipotesi!$C$68:$G$68,1,F484)*Ipotesi!$C$69/12</f>
        <v>3333.33333333333</v>
      </c>
      <c r="BK484" s="15" t="n">
        <f aca="false">INDEX(Ipotesi!$C$68:$G$68,1,F484)*(1-Ipotesi!$C$69)/12</f>
        <v>5000</v>
      </c>
      <c r="BL484" s="15" t="n">
        <f aca="false">(AQ484+BF484)*Ipotesi!$C$67</f>
        <v>6194.1657020823</v>
      </c>
      <c r="BM484" s="15" t="n">
        <f aca="false">AM484*Ipotesi!$C$67</f>
        <v>3478.75</v>
      </c>
      <c r="BN484" s="15" t="n">
        <f aca="false">INDEX(Ipotesi!$C$72:$G$72,1,F484)/12*Ipotesi!J126+BF484*Ipotesi!$C$73</f>
        <v>10581.1085388861</v>
      </c>
      <c r="BO484" s="15" t="n">
        <f aca="false">INDEX(Ipotesi!$C$74:$G$74,1,F484)/12*Ipotesi!J126</f>
        <v>5416.66666666667</v>
      </c>
      <c r="BP484" s="15" t="n">
        <f aca="false">INDEX(Ipotesi!$C$76:$G$76,1,F484)/12</f>
        <v>1916.66666666667</v>
      </c>
      <c r="BQ484" s="15" t="n">
        <f aca="false">INDEX(Ipotesi!$C$77:$G$77,1,F484)/12*Ipotesi!J126</f>
        <v>2500</v>
      </c>
      <c r="BR484" s="15" t="n">
        <f aca="false">INDEX(Ipotesi!$C$78:$G$78,1,F484)/12</f>
        <v>2333.33333333333</v>
      </c>
      <c r="BS484" s="15" t="n">
        <f aca="false">SUM(M484:R484)*(Ipotesi!$C$85+Ipotesi!$C$86)/12</f>
        <v>7437.5</v>
      </c>
      <c r="BT484" s="15" t="n">
        <f aca="false">BI484*Ipotesi!$C$87</f>
        <v>6542.0407020823</v>
      </c>
      <c r="BU484" s="15" t="n">
        <f aca="false">INDEX(Ipotesi!$C$55:$G$55,1,F484)*K484/12</f>
        <v>2000</v>
      </c>
      <c r="BV484" s="15" t="n">
        <f aca="false">INDEX(Ipotesi!$C$80:$G$80,1,F484)/12*Ipotesi!J126</f>
        <v>2083.33333333333</v>
      </c>
      <c r="BW484" s="15" t="n">
        <f aca="false">INDEX(Ipotesi!$C$82:$G$82,1,F484)/12</f>
        <v>1500</v>
      </c>
      <c r="BX484" s="15" t="n">
        <f aca="false">INDEX(Ipotesi!$C$83:$G$83,1,F484)/12</f>
        <v>833.333333333333</v>
      </c>
      <c r="BY484" s="15" t="n">
        <f aca="false">SUM(S484:U484)*(Ipotesi!$C$85+Ipotesi!$C$86)/12</f>
        <v>3208.33333333333</v>
      </c>
      <c r="BZ484" s="15" t="n">
        <f aca="false">AM484*Ipotesi!$C$87</f>
        <v>3478.75</v>
      </c>
      <c r="CA484" s="15" t="n">
        <f aca="false">AB484+BJ484+BL484+BN484+BO484+AR484+BP484+BQ484+BR484+BS484+BT484</f>
        <v>201565.476597217</v>
      </c>
      <c r="CB484" s="15" t="n">
        <f aca="false">AC484+BK484+BM484+BH484+BU484+BV484+AS484+BW484+BX484+BY484+BZ484</f>
        <v>79625.4722608333</v>
      </c>
      <c r="CC484" s="15" t="n">
        <f aca="false">BI484-CA484</f>
        <v>16502.5468055258</v>
      </c>
      <c r="CD484" s="15" t="n">
        <f aca="false">AM484-CB484</f>
        <v>36332.8610725</v>
      </c>
      <c r="CE484" s="15" t="n">
        <f aca="false">INDEX(Ipotesi!$C$79:$G$79,1,F484)/12</f>
        <v>4166.66666666667</v>
      </c>
      <c r="CF484" s="15" t="n">
        <f aca="false">INDEX(Ipotesi!$C$84:$G$84,1,F484)/12</f>
        <v>666.666666666667</v>
      </c>
      <c r="CG484" s="15" t="n">
        <f aca="false">Y484*MAX(0,Parametri_v3!$C$12-IF(P484=0,0,MIN(1,BE484/(P484*Parametri_v3!$C$22))))+W484*Parametri_v3!$C$13+X484*Parametri_v3!$C$14</f>
        <v>33495.4880009584</v>
      </c>
      <c r="CH484" s="15" t="n">
        <f aca="false">AB484*Parametri_v3!$C$32</f>
        <v>5973.86641604167</v>
      </c>
      <c r="CI484" s="15" t="n">
        <f aca="false">AC484*Parametri_v3!$C$32</f>
        <v>2218.19027970833</v>
      </c>
      <c r="CJ484" s="15" t="n">
        <f aca="false">CA484-AB484</f>
        <v>82088.1482763841</v>
      </c>
      <c r="CK484" s="15" t="n">
        <f aca="false">CB484-AC484-BH484</f>
        <v>23665.8333333333</v>
      </c>
      <c r="CL484" s="15" t="n">
        <f aca="false">BF484*Ipotesi!$C$73+INDEX(Ipotesi!$C$72:$G$72,1,F484)/12*Ipotesi!J126*Parametri_v3!$C$58+Z484*(1-Parametri_v3!$C$16)</f>
        <v>18178.2930063861</v>
      </c>
      <c r="CM484" s="16" t="n">
        <f aca="false">IF(BF484=0,0,1-CL484/BF484)</f>
        <v>0.844148909590919</v>
      </c>
    </row>
    <row r="485" customFormat="false" ht="18" hidden="false" customHeight="true" outlineLevel="0" collapsed="false">
      <c r="A485" s="68" t="n">
        <f aca="false">9</f>
        <v>9</v>
      </c>
      <c r="B485" s="68" t="n">
        <f aca="false">1</f>
        <v>1</v>
      </c>
      <c r="C485" s="18" t="n">
        <f aca="false">EDATE(Parametri_v3!$C$5,1-1)</f>
        <v>46388</v>
      </c>
      <c r="D485" s="68" t="n">
        <f aca="false">YEAR(C485)</f>
        <v>2027</v>
      </c>
      <c r="E485" s="68" t="n">
        <f aca="false">MONTH(C485)</f>
        <v>1</v>
      </c>
      <c r="F485" s="68" t="n">
        <f aca="false">INT((1-1)/12)+1</f>
        <v>1</v>
      </c>
      <c r="G485" s="15" t="n">
        <f aca="false">Ipotesi!K7</f>
        <v>1</v>
      </c>
      <c r="H485" s="15" t="n">
        <f aca="false">Ipotesi!K9</f>
        <v>1</v>
      </c>
      <c r="I485" s="15" t="n">
        <f aca="false">Ipotesi!K10</f>
        <v>1</v>
      </c>
      <c r="J485" s="15" t="n">
        <f aca="false">Ipotesi!K11</f>
        <v>1</v>
      </c>
      <c r="K485" s="15" t="n">
        <f aca="false">Ipotesi!K12</f>
        <v>1</v>
      </c>
      <c r="L485" s="15" t="n">
        <f aca="false">Ipotesi!K13</f>
        <v>90</v>
      </c>
      <c r="M485" s="17" t="n">
        <f aca="false">INDEX(Ipotesi!$C$40:$G$40,1,F485)</f>
        <v>1</v>
      </c>
      <c r="N485" s="17" t="n">
        <f aca="false">INDEX(Ipotesi!$C$41:$G$41,1,F485)</f>
        <v>0.75</v>
      </c>
      <c r="O485" s="17" t="n">
        <f aca="false">INDEX(Ipotesi!$C$42:$G$42,1,F485)*Ipotesi!K125</f>
        <v>1</v>
      </c>
      <c r="P485" s="17" t="n">
        <f aca="false">INDEX(Ipotesi!$C$43:$G$43,1,F485)*I485</f>
        <v>1</v>
      </c>
      <c r="Q485" s="17" t="n">
        <f aca="false">INDEX(Ipotesi!$C$44:$G$44,1,F485)*I485</f>
        <v>0.5</v>
      </c>
      <c r="R485" s="17" t="n">
        <f aca="false">INDEX(Ipotesi!$C$45:$G$45,1,F485)*I485</f>
        <v>0</v>
      </c>
      <c r="S485" s="17" t="n">
        <f aca="false">INDEX(Ipotesi!$C$52:$G$52,1,F485)*Ipotesi!K125</f>
        <v>1.5</v>
      </c>
      <c r="T485" s="17" t="n">
        <f aca="false">INDEX(Ipotesi!$C$53:$G$53,1,F485)*I485</f>
        <v>0</v>
      </c>
      <c r="U485" s="17" t="n">
        <f aca="false">INDEX(Ipotesi!$C$54:$G$54,1,F485)*I485</f>
        <v>0</v>
      </c>
      <c r="V485" s="15" t="n">
        <f aca="false">M485*INDEX(Ipotesi!$C$58:$G$58,1,F485)*K485/12</f>
        <v>3333.33333333333</v>
      </c>
      <c r="W485" s="15" t="n">
        <f aca="false">N485*Ipotesi!$C$59*(1+Ipotesi!$C$66)^(F485-1)/12</f>
        <v>4375</v>
      </c>
      <c r="X485" s="15" t="n">
        <f aca="false">O485*Ipotesi!$C$60*(1+Ipotesi!$C$66)^(F485-1)/12</f>
        <v>4166.66666666667</v>
      </c>
      <c r="Y485" s="15" t="n">
        <f aca="false">P485*Ipotesi!$C$61*(1+Ipotesi!$C$66)^(F485-1)/12</f>
        <v>4166.66666666667</v>
      </c>
      <c r="Z485" s="15" t="n">
        <f aca="false">Q485*Ipotesi!$C$62*(1+Ipotesi!$C$66)^(F485-1)/12</f>
        <v>1875</v>
      </c>
      <c r="AA485" s="15" t="n">
        <f aca="false">R485*Ipotesi!$C$63*(1+Ipotesi!$C$66)^(F485-1)/12</f>
        <v>0</v>
      </c>
      <c r="AB485" s="15" t="n">
        <f aca="false">SUM(V485:AA485)</f>
        <v>17916.6666666667</v>
      </c>
      <c r="AC485" s="15" t="n">
        <f aca="false">(S485*Ipotesi!$C$64+T485*Ipotesi!$C$65+U485*Ipotesi!$C$63)*(1+Ipotesi!$C$66)^(F485-1)/12</f>
        <v>5250</v>
      </c>
      <c r="AD485" s="15" t="n">
        <f aca="false">INDEX(Ipotesi!$C$48:$G$48,1,F485)*G485/12</f>
        <v>16.6666666666667</v>
      </c>
      <c r="AE485" s="15" t="n">
        <f aca="false">INDEX(Ipotesi!$C$50:$G$50,1,F485)*G485/12</f>
        <v>2.08333333333333</v>
      </c>
      <c r="AF485" s="15" t="n">
        <f aca="false">(S485*Parametri_v3!$C$7*Parametri_v3!$C$8+Parametri_v3!$C$10)/12</f>
        <v>19.25</v>
      </c>
      <c r="AG485" s="15" t="n">
        <f aca="false">AD485+AE485*(1+Parametri_v3!$C$9)</f>
        <v>19.7916666666667</v>
      </c>
      <c r="AH485" s="16" t="n">
        <f aca="false">IF(AG485=0,1,MIN(1,AF485/AG485))</f>
        <v>0.972631578947368</v>
      </c>
      <c r="AI485" s="15" t="n">
        <f aca="false">AD485*AH485</f>
        <v>16.2105263157895</v>
      </c>
      <c r="AJ485" s="15" t="n">
        <f aca="false">AE485*AH485</f>
        <v>2.02631578947368</v>
      </c>
      <c r="AK485" s="15" t="n">
        <f aca="false">AI485*INDEX(Ipotesi!$C$49:$G$49,1,F485)*H485</f>
        <v>12157.8947368421</v>
      </c>
      <c r="AL485" s="15" t="n">
        <f aca="false">AJ485*INDEX(Ipotesi!$C$51:$G$51,1,F485)*H485</f>
        <v>4052.63157894737</v>
      </c>
      <c r="AM485" s="15" t="n">
        <f aca="false">AK485+AL485</f>
        <v>16210.5263157895</v>
      </c>
      <c r="AN485" s="15" t="n">
        <f aca="false">INDEX(Ipotesi!$C$30:$G$30,1,F485)*G485/12</f>
        <v>8.33333333333333</v>
      </c>
      <c r="AO485" s="15" t="n">
        <f aca="false">O485*Parametri_v3!$C$7*Parametri_v3!$C$11*(1-Parametri_v3!$C$14)/12</f>
        <v>10.2666666666667</v>
      </c>
      <c r="AP485" s="15" t="n">
        <f aca="false">MIN(AN485,AO485)</f>
        <v>8.33333333333333</v>
      </c>
      <c r="AQ485" s="15" t="n">
        <f aca="false">AP485*INDEX(Ipotesi!$C$31:$G$31,1,F485)*H485</f>
        <v>7500</v>
      </c>
      <c r="AR485" s="15" t="n">
        <f aca="false">INDEX(Ipotesi!$C$75:$G$75,1,F485)*J485/12</f>
        <v>2083.33333333333</v>
      </c>
      <c r="AS485" s="15" t="n">
        <f aca="false">INDEX(Ipotesi!$C$81:$G$81,1,F485)*J485/12</f>
        <v>416.666666666667</v>
      </c>
      <c r="AT485" s="15" t="n">
        <f aca="false">AR485*Parametri_v3!$C$15+Z485*Parametri_v3!$C$16</f>
        <v>3395.83333333333</v>
      </c>
      <c r="AU485" s="15" t="n">
        <f aca="false">Q485*Parametri_v3!$C$16*Parametri_v3!$C$17</f>
        <v>35</v>
      </c>
      <c r="AV485" s="17" t="n">
        <f aca="false">0</f>
        <v>0</v>
      </c>
      <c r="AW485" s="17" t="n">
        <f aca="false">AV485*(1-(1-INDEX(Ipotesi!$C$34:$G$34,1,F485))^(1/12))</f>
        <v>0</v>
      </c>
      <c r="AX485" s="15" t="n">
        <f aca="false">ROUND(INDEX(Ipotesi!$C$32:$G$32,1,F485)*Ipotesi!K8,0)</f>
        <v>5</v>
      </c>
      <c r="AY485" s="15" t="n">
        <f aca="false">MAX(0,(AX485-(AV485-AW485))/(13-E485))</f>
        <v>0.416666666666667</v>
      </c>
      <c r="AZ485" s="15" t="n">
        <f aca="false">MIN(P485*Parametri_v3!$C$22,Q485*(1-Parametri_v3!$C$16)*Parametri_v3!$C$23)</f>
        <v>22.5</v>
      </c>
      <c r="BA485" s="15" t="n">
        <f aca="false">IF(OR(INDEX(Ipotesi!$C$35:$G$35,1,F485)&lt;=0,1-Parametri_v3!$C$21&lt;1),0,INDEX($AT$485:$AT$544,MAX(1,1-Parametri_v3!$C$21))/(INDEX(Ipotesi!$C$35:$G$35,1,F485)*Ipotesi!K27))</f>
        <v>0</v>
      </c>
      <c r="BB485" s="15" t="n">
        <f aca="false">IF(1-Parametri_v3!$C$21&lt;1,0,INDEX($AU$485:$AU$544,MAX(1,1-Parametri_v3!$C$21)))*Parametri_v3!$C$18*Parametri_v3!$C$19*Parametri_v3!$C$20</f>
        <v>0</v>
      </c>
      <c r="BC485" s="17" t="n">
        <f aca="false">MAX(0,MIN(AY485,BA485,BB485,MAX(0,AZ485-(AV485-AW485))))</f>
        <v>0</v>
      </c>
      <c r="BD485" s="17" t="n">
        <f aca="false">AV485-AW485+BC485</f>
        <v>0</v>
      </c>
      <c r="BE485" s="17" t="n">
        <f aca="false">(AV485+BD485)/2</f>
        <v>0</v>
      </c>
      <c r="BF485" s="15" t="n">
        <f aca="false">BE485*INDEX(Ipotesi!$C$33:$G$33,1,F485)*H485/12</f>
        <v>0</v>
      </c>
      <c r="BG485" s="15" t="n">
        <f aca="false">BD485*INDEX(Ipotesi!$C$33:$G$33,1,F485)*H485</f>
        <v>0</v>
      </c>
      <c r="BH485" s="15" t="n">
        <f aca="false">AM485*INDEX(Ipotesi!$C$37:$G$37,1,F485)</f>
        <v>1621.05263157895</v>
      </c>
      <c r="BI485" s="15" t="n">
        <f aca="false">AQ485+BF485+BH485</f>
        <v>9121.05263157895</v>
      </c>
      <c r="BJ485" s="15" t="n">
        <f aca="false">INDEX(Ipotesi!$C$68:$G$68,1,F485)*Ipotesi!$C$69/12</f>
        <v>1000</v>
      </c>
      <c r="BK485" s="15" t="n">
        <f aca="false">INDEX(Ipotesi!$C$68:$G$68,1,F485)*(1-Ipotesi!$C$69)/12</f>
        <v>1500</v>
      </c>
      <c r="BL485" s="15" t="n">
        <f aca="false">(AQ485+BF485)*Ipotesi!$C$67</f>
        <v>225</v>
      </c>
      <c r="BM485" s="15" t="n">
        <f aca="false">AM485*Ipotesi!$C$67</f>
        <v>486.315789473684</v>
      </c>
      <c r="BN485" s="15" t="n">
        <f aca="false">INDEX(Ipotesi!$C$72:$G$72,1,F485)/12*Ipotesi!K126+BF485*Ipotesi!$C$73</f>
        <v>1250</v>
      </c>
      <c r="BO485" s="15" t="n">
        <f aca="false">INDEX(Ipotesi!$C$74:$G$74,1,F485)/12*Ipotesi!K126</f>
        <v>1000</v>
      </c>
      <c r="BP485" s="15" t="n">
        <f aca="false">INDEX(Ipotesi!$C$76:$G$76,1,F485)/12</f>
        <v>500</v>
      </c>
      <c r="BQ485" s="15" t="n">
        <f aca="false">INDEX(Ipotesi!$C$77:$G$77,1,F485)/12*Ipotesi!K126</f>
        <v>1250</v>
      </c>
      <c r="BR485" s="15" t="n">
        <f aca="false">INDEX(Ipotesi!$C$78:$G$78,1,F485)/12</f>
        <v>1000</v>
      </c>
      <c r="BS485" s="15" t="n">
        <f aca="false">SUM(M485:R485)*(Ipotesi!$C$85+Ipotesi!$C$86)/12</f>
        <v>1239.58333333333</v>
      </c>
      <c r="BT485" s="15" t="n">
        <f aca="false">BI485*Ipotesi!$C$87</f>
        <v>273.631578947368</v>
      </c>
      <c r="BU485" s="15" t="n">
        <f aca="false">INDEX(Ipotesi!$C$55:$G$55,1,F485)*K485/12</f>
        <v>500</v>
      </c>
      <c r="BV485" s="15" t="n">
        <f aca="false">INDEX(Ipotesi!$C$80:$G$80,1,F485)/12*Ipotesi!K126</f>
        <v>500</v>
      </c>
      <c r="BW485" s="15" t="n">
        <f aca="false">INDEX(Ipotesi!$C$82:$G$82,1,F485)/12</f>
        <v>416.666666666667</v>
      </c>
      <c r="BX485" s="15" t="n">
        <f aca="false">INDEX(Ipotesi!$C$83:$G$83,1,F485)/12</f>
        <v>500</v>
      </c>
      <c r="BY485" s="15" t="n">
        <f aca="false">SUM(S485:U485)*(Ipotesi!$C$85+Ipotesi!$C$86)/12</f>
        <v>437.5</v>
      </c>
      <c r="BZ485" s="15" t="n">
        <f aca="false">AM485*Ipotesi!$C$87</f>
        <v>486.315789473684</v>
      </c>
      <c r="CA485" s="15" t="n">
        <f aca="false">AB485+BJ485+BL485+BN485+BO485+AR485+BP485+BQ485+BR485+BS485+BT485</f>
        <v>27738.2149122807</v>
      </c>
      <c r="CB485" s="15" t="n">
        <f aca="false">AC485+BK485+BM485+BH485+BU485+BV485+AS485+BW485+BX485+BY485+BZ485</f>
        <v>12114.5175438596</v>
      </c>
      <c r="CC485" s="15" t="n">
        <f aca="false">BI485-CA485</f>
        <v>-18617.1622807018</v>
      </c>
      <c r="CD485" s="15" t="n">
        <f aca="false">AM485-CB485</f>
        <v>4096.00877192982</v>
      </c>
      <c r="CE485" s="15" t="n">
        <f aca="false">INDEX(Ipotesi!$C$79:$G$79,1,F485)/12</f>
        <v>1666.66666666667</v>
      </c>
      <c r="CF485" s="15" t="n">
        <f aca="false">INDEX(Ipotesi!$C$84:$G$84,1,F485)/12</f>
        <v>250</v>
      </c>
      <c r="CG485" s="15" t="n">
        <f aca="false">Y485*MAX(0,Parametri_v3!$C$12-IF(P485=0,0,MIN(1,BE485/(P485*Parametri_v3!$C$22))))+W485*Parametri_v3!$C$13+X485*Parametri_v3!$C$14</f>
        <v>7187.5</v>
      </c>
      <c r="CH485" s="15" t="n">
        <f aca="false">AB485*Parametri_v3!$C$32</f>
        <v>895.833333333334</v>
      </c>
      <c r="CI485" s="15" t="n">
        <f aca="false">AC485*Parametri_v3!$C$32</f>
        <v>262.5</v>
      </c>
      <c r="CJ485" s="15" t="n">
        <f aca="false">CA485-AB485</f>
        <v>9821.54824561403</v>
      </c>
      <c r="CK485" s="15" t="n">
        <f aca="false">CB485-AC485-BH485</f>
        <v>5243.4649122807</v>
      </c>
      <c r="CL485" s="15" t="n">
        <f aca="false">BF485*Ipotesi!$C$73+INDEX(Ipotesi!$C$72:$G$72,1,F485)/12*Ipotesi!K126*Parametri_v3!$C$58+Z485*(1-Parametri_v3!$C$16)</f>
        <v>1812.5</v>
      </c>
      <c r="CM485" s="16" t="n">
        <f aca="false">IF(BF485=0,0,1-CL485/BF485)</f>
        <v>0</v>
      </c>
    </row>
    <row r="486" customFormat="false" ht="18" hidden="false" customHeight="true" outlineLevel="0" collapsed="false">
      <c r="A486" s="68" t="n">
        <f aca="false">9</f>
        <v>9</v>
      </c>
      <c r="B486" s="68" t="n">
        <f aca="false">2</f>
        <v>2</v>
      </c>
      <c r="C486" s="18" t="n">
        <f aca="false">EDATE(Parametri_v3!$C$5,2-1)</f>
        <v>46419</v>
      </c>
      <c r="D486" s="68" t="n">
        <f aca="false">YEAR(C486)</f>
        <v>2027</v>
      </c>
      <c r="E486" s="68" t="n">
        <f aca="false">MONTH(C486)</f>
        <v>2</v>
      </c>
      <c r="F486" s="68" t="n">
        <f aca="false">INT((2-1)/12)+1</f>
        <v>1</v>
      </c>
      <c r="G486" s="15" t="n">
        <f aca="false">Ipotesi!K7</f>
        <v>1</v>
      </c>
      <c r="H486" s="15" t="n">
        <f aca="false">Ipotesi!K9</f>
        <v>1</v>
      </c>
      <c r="I486" s="15" t="n">
        <f aca="false">Ipotesi!K10</f>
        <v>1</v>
      </c>
      <c r="J486" s="15" t="n">
        <f aca="false">Ipotesi!K11</f>
        <v>1</v>
      </c>
      <c r="K486" s="15" t="n">
        <f aca="false">Ipotesi!K12</f>
        <v>1</v>
      </c>
      <c r="L486" s="15" t="n">
        <f aca="false">Ipotesi!K13</f>
        <v>90</v>
      </c>
      <c r="M486" s="17" t="n">
        <f aca="false">INDEX(Ipotesi!$C$40:$G$40,1,F486)</f>
        <v>1</v>
      </c>
      <c r="N486" s="17" t="n">
        <f aca="false">INDEX(Ipotesi!$C$41:$G$41,1,F486)</f>
        <v>0.75</v>
      </c>
      <c r="O486" s="17" t="n">
        <f aca="false">INDEX(Ipotesi!$C$42:$G$42,1,F486)*Ipotesi!K125</f>
        <v>1</v>
      </c>
      <c r="P486" s="17" t="n">
        <f aca="false">INDEX(Ipotesi!$C$43:$G$43,1,F486)*I486</f>
        <v>1</v>
      </c>
      <c r="Q486" s="17" t="n">
        <f aca="false">INDEX(Ipotesi!$C$44:$G$44,1,F486)*I486</f>
        <v>0.5</v>
      </c>
      <c r="R486" s="17" t="n">
        <f aca="false">INDEX(Ipotesi!$C$45:$G$45,1,F486)*I486</f>
        <v>0</v>
      </c>
      <c r="S486" s="17" t="n">
        <f aca="false">INDEX(Ipotesi!$C$52:$G$52,1,F486)*Ipotesi!K125</f>
        <v>1.5</v>
      </c>
      <c r="T486" s="17" t="n">
        <f aca="false">INDEX(Ipotesi!$C$53:$G$53,1,F486)*I486</f>
        <v>0</v>
      </c>
      <c r="U486" s="17" t="n">
        <f aca="false">INDEX(Ipotesi!$C$54:$G$54,1,F486)*I486</f>
        <v>0</v>
      </c>
      <c r="V486" s="15" t="n">
        <f aca="false">M486*INDEX(Ipotesi!$C$58:$G$58,1,F486)*K486/12</f>
        <v>3333.33333333333</v>
      </c>
      <c r="W486" s="15" t="n">
        <f aca="false">N486*Ipotesi!$C$59*(1+Ipotesi!$C$66)^(F486-1)/12</f>
        <v>4375</v>
      </c>
      <c r="X486" s="15" t="n">
        <f aca="false">O486*Ipotesi!$C$60*(1+Ipotesi!$C$66)^(F486-1)/12</f>
        <v>4166.66666666667</v>
      </c>
      <c r="Y486" s="15" t="n">
        <f aca="false">P486*Ipotesi!$C$61*(1+Ipotesi!$C$66)^(F486-1)/12</f>
        <v>4166.66666666667</v>
      </c>
      <c r="Z486" s="15" t="n">
        <f aca="false">Q486*Ipotesi!$C$62*(1+Ipotesi!$C$66)^(F486-1)/12</f>
        <v>1875</v>
      </c>
      <c r="AA486" s="15" t="n">
        <f aca="false">R486*Ipotesi!$C$63*(1+Ipotesi!$C$66)^(F486-1)/12</f>
        <v>0</v>
      </c>
      <c r="AB486" s="15" t="n">
        <f aca="false">SUM(V486:AA486)</f>
        <v>17916.6666666667</v>
      </c>
      <c r="AC486" s="15" t="n">
        <f aca="false">(S486*Ipotesi!$C$64+T486*Ipotesi!$C$65+U486*Ipotesi!$C$63)*(1+Ipotesi!$C$66)^(F486-1)/12</f>
        <v>5250</v>
      </c>
      <c r="AD486" s="15" t="n">
        <f aca="false">INDEX(Ipotesi!$C$48:$G$48,1,F486)*G486/12</f>
        <v>16.6666666666667</v>
      </c>
      <c r="AE486" s="15" t="n">
        <f aca="false">INDEX(Ipotesi!$C$50:$G$50,1,F486)*G486/12</f>
        <v>2.08333333333333</v>
      </c>
      <c r="AF486" s="15" t="n">
        <f aca="false">(S486*Parametri_v3!$C$7*Parametri_v3!$C$8+Parametri_v3!$C$10)/12</f>
        <v>19.25</v>
      </c>
      <c r="AG486" s="15" t="n">
        <f aca="false">AD486+AE486*(1+Parametri_v3!$C$9)</f>
        <v>19.7916666666667</v>
      </c>
      <c r="AH486" s="16" t="n">
        <f aca="false">IF(AG486=0,1,MIN(1,AF486/AG486))</f>
        <v>0.972631578947368</v>
      </c>
      <c r="AI486" s="15" t="n">
        <f aca="false">AD486*AH486</f>
        <v>16.2105263157895</v>
      </c>
      <c r="AJ486" s="15" t="n">
        <f aca="false">AE486*AH486</f>
        <v>2.02631578947368</v>
      </c>
      <c r="AK486" s="15" t="n">
        <f aca="false">AI486*INDEX(Ipotesi!$C$49:$G$49,1,F486)*H486</f>
        <v>12157.8947368421</v>
      </c>
      <c r="AL486" s="15" t="n">
        <f aca="false">AJ486*INDEX(Ipotesi!$C$51:$G$51,1,F486)*H486</f>
        <v>4052.63157894737</v>
      </c>
      <c r="AM486" s="15" t="n">
        <f aca="false">AK486+AL486</f>
        <v>16210.5263157895</v>
      </c>
      <c r="AN486" s="15" t="n">
        <f aca="false">INDEX(Ipotesi!$C$30:$G$30,1,F486)*G486/12</f>
        <v>8.33333333333333</v>
      </c>
      <c r="AO486" s="15" t="n">
        <f aca="false">O486*Parametri_v3!$C$7*Parametri_v3!$C$11*(1-Parametri_v3!$C$14)/12</f>
        <v>10.2666666666667</v>
      </c>
      <c r="AP486" s="15" t="n">
        <f aca="false">MIN(AN486,AO486)</f>
        <v>8.33333333333333</v>
      </c>
      <c r="AQ486" s="15" t="n">
        <f aca="false">AP486*INDEX(Ipotesi!$C$31:$G$31,1,F486)*H486</f>
        <v>7500</v>
      </c>
      <c r="AR486" s="15" t="n">
        <f aca="false">INDEX(Ipotesi!$C$75:$G$75,1,F486)*J486/12</f>
        <v>2083.33333333333</v>
      </c>
      <c r="AS486" s="15" t="n">
        <f aca="false">INDEX(Ipotesi!$C$81:$G$81,1,F486)*J486/12</f>
        <v>416.666666666667</v>
      </c>
      <c r="AT486" s="15" t="n">
        <f aca="false">AR486*Parametri_v3!$C$15+Z486*Parametri_v3!$C$16</f>
        <v>3395.83333333333</v>
      </c>
      <c r="AU486" s="15" t="n">
        <f aca="false">Q486*Parametri_v3!$C$16*Parametri_v3!$C$17</f>
        <v>35</v>
      </c>
      <c r="AV486" s="17" t="n">
        <f aca="false">BD485</f>
        <v>0</v>
      </c>
      <c r="AW486" s="17" t="n">
        <f aca="false">AV486*(1-(1-INDEX(Ipotesi!$C$34:$G$34,1,F486))^(1/12))</f>
        <v>0</v>
      </c>
      <c r="AX486" s="15" t="n">
        <f aca="false">ROUND(INDEX(Ipotesi!$C$32:$G$32,1,F486)*Ipotesi!K8,0)</f>
        <v>5</v>
      </c>
      <c r="AY486" s="15" t="n">
        <f aca="false">MAX(0,(AX486-(AV486-AW486))/(13-E486))</f>
        <v>0.454545454545455</v>
      </c>
      <c r="AZ486" s="15" t="n">
        <f aca="false">MIN(P486*Parametri_v3!$C$22,Q486*(1-Parametri_v3!$C$16)*Parametri_v3!$C$23)</f>
        <v>22.5</v>
      </c>
      <c r="BA486" s="15" t="n">
        <f aca="false">IF(OR(INDEX(Ipotesi!$C$35:$G$35,1,F486)&lt;=0,2-Parametri_v3!$C$21&lt;1),0,INDEX($AT$485:$AT$544,MAX(1,2-Parametri_v3!$C$21))/(INDEX(Ipotesi!$C$35:$G$35,1,F486)*Ipotesi!K27))</f>
        <v>0</v>
      </c>
      <c r="BB486" s="15" t="n">
        <f aca="false">IF(2-Parametri_v3!$C$21&lt;1,0,INDEX($AU$485:$AU$544,MAX(1,2-Parametri_v3!$C$21)))*Parametri_v3!$C$18*Parametri_v3!$C$19*Parametri_v3!$C$20</f>
        <v>0</v>
      </c>
      <c r="BC486" s="17" t="n">
        <f aca="false">MAX(0,MIN(AY486,BA486,BB486,MAX(0,AZ486-(AV486-AW486))))</f>
        <v>0</v>
      </c>
      <c r="BD486" s="17" t="n">
        <f aca="false">AV486-AW486+BC486</f>
        <v>0</v>
      </c>
      <c r="BE486" s="17" t="n">
        <f aca="false">(AV486+BD486)/2</f>
        <v>0</v>
      </c>
      <c r="BF486" s="15" t="n">
        <f aca="false">BE486*INDEX(Ipotesi!$C$33:$G$33,1,F486)*H486/12</f>
        <v>0</v>
      </c>
      <c r="BG486" s="15" t="n">
        <f aca="false">BD486*INDEX(Ipotesi!$C$33:$G$33,1,F486)*H486</f>
        <v>0</v>
      </c>
      <c r="BH486" s="15" t="n">
        <f aca="false">AM486*INDEX(Ipotesi!$C$37:$G$37,1,F486)</f>
        <v>1621.05263157895</v>
      </c>
      <c r="BI486" s="15" t="n">
        <f aca="false">AQ486+BF486+BH486</f>
        <v>9121.05263157895</v>
      </c>
      <c r="BJ486" s="15" t="n">
        <f aca="false">INDEX(Ipotesi!$C$68:$G$68,1,F486)*Ipotesi!$C$69/12</f>
        <v>1000</v>
      </c>
      <c r="BK486" s="15" t="n">
        <f aca="false">INDEX(Ipotesi!$C$68:$G$68,1,F486)*(1-Ipotesi!$C$69)/12</f>
        <v>1500</v>
      </c>
      <c r="BL486" s="15" t="n">
        <f aca="false">(AQ486+BF486)*Ipotesi!$C$67</f>
        <v>225</v>
      </c>
      <c r="BM486" s="15" t="n">
        <f aca="false">AM486*Ipotesi!$C$67</f>
        <v>486.315789473684</v>
      </c>
      <c r="BN486" s="15" t="n">
        <f aca="false">INDEX(Ipotesi!$C$72:$G$72,1,F486)/12*Ipotesi!K126+BF486*Ipotesi!$C$73</f>
        <v>1250</v>
      </c>
      <c r="BO486" s="15" t="n">
        <f aca="false">INDEX(Ipotesi!$C$74:$G$74,1,F486)/12*Ipotesi!K126</f>
        <v>1000</v>
      </c>
      <c r="BP486" s="15" t="n">
        <f aca="false">INDEX(Ipotesi!$C$76:$G$76,1,F486)/12</f>
        <v>500</v>
      </c>
      <c r="BQ486" s="15" t="n">
        <f aca="false">INDEX(Ipotesi!$C$77:$G$77,1,F486)/12*Ipotesi!K126</f>
        <v>1250</v>
      </c>
      <c r="BR486" s="15" t="n">
        <f aca="false">INDEX(Ipotesi!$C$78:$G$78,1,F486)/12</f>
        <v>1000</v>
      </c>
      <c r="BS486" s="15" t="n">
        <f aca="false">SUM(M486:R486)*(Ipotesi!$C$85+Ipotesi!$C$86)/12</f>
        <v>1239.58333333333</v>
      </c>
      <c r="BT486" s="15" t="n">
        <f aca="false">BI486*Ipotesi!$C$87</f>
        <v>273.631578947368</v>
      </c>
      <c r="BU486" s="15" t="n">
        <f aca="false">INDEX(Ipotesi!$C$55:$G$55,1,F486)*K486/12</f>
        <v>500</v>
      </c>
      <c r="BV486" s="15" t="n">
        <f aca="false">INDEX(Ipotesi!$C$80:$G$80,1,F486)/12*Ipotesi!K126</f>
        <v>500</v>
      </c>
      <c r="BW486" s="15" t="n">
        <f aca="false">INDEX(Ipotesi!$C$82:$G$82,1,F486)/12</f>
        <v>416.666666666667</v>
      </c>
      <c r="BX486" s="15" t="n">
        <f aca="false">INDEX(Ipotesi!$C$83:$G$83,1,F486)/12</f>
        <v>500</v>
      </c>
      <c r="BY486" s="15" t="n">
        <f aca="false">SUM(S486:U486)*(Ipotesi!$C$85+Ipotesi!$C$86)/12</f>
        <v>437.5</v>
      </c>
      <c r="BZ486" s="15" t="n">
        <f aca="false">AM486*Ipotesi!$C$87</f>
        <v>486.315789473684</v>
      </c>
      <c r="CA486" s="15" t="n">
        <f aca="false">AB486+BJ486+BL486+BN486+BO486+AR486+BP486+BQ486+BR486+BS486+BT486</f>
        <v>27738.2149122807</v>
      </c>
      <c r="CB486" s="15" t="n">
        <f aca="false">AC486+BK486+BM486+BH486+BU486+BV486+AS486+BW486+BX486+BY486+BZ486</f>
        <v>12114.5175438596</v>
      </c>
      <c r="CC486" s="15" t="n">
        <f aca="false">BI486-CA486</f>
        <v>-18617.1622807018</v>
      </c>
      <c r="CD486" s="15" t="n">
        <f aca="false">AM486-CB486</f>
        <v>4096.00877192982</v>
      </c>
      <c r="CE486" s="15" t="n">
        <f aca="false">INDEX(Ipotesi!$C$79:$G$79,1,F486)/12</f>
        <v>1666.66666666667</v>
      </c>
      <c r="CF486" s="15" t="n">
        <f aca="false">INDEX(Ipotesi!$C$84:$G$84,1,F486)/12</f>
        <v>250</v>
      </c>
      <c r="CG486" s="15" t="n">
        <f aca="false">Y486*MAX(0,Parametri_v3!$C$12-IF(P486=0,0,MIN(1,BE486/(P486*Parametri_v3!$C$22))))+W486*Parametri_v3!$C$13+X486*Parametri_v3!$C$14</f>
        <v>7187.5</v>
      </c>
      <c r="CH486" s="15" t="n">
        <f aca="false">AB486*Parametri_v3!$C$32</f>
        <v>895.833333333334</v>
      </c>
      <c r="CI486" s="15" t="n">
        <f aca="false">AC486*Parametri_v3!$C$32</f>
        <v>262.5</v>
      </c>
      <c r="CJ486" s="15" t="n">
        <f aca="false">CA486-AB486</f>
        <v>9821.54824561403</v>
      </c>
      <c r="CK486" s="15" t="n">
        <f aca="false">CB486-AC486-BH486</f>
        <v>5243.4649122807</v>
      </c>
      <c r="CL486" s="15" t="n">
        <f aca="false">BF486*Ipotesi!$C$73+INDEX(Ipotesi!$C$72:$G$72,1,F486)/12*Ipotesi!K126*Parametri_v3!$C$58+Z486*(1-Parametri_v3!$C$16)</f>
        <v>1812.5</v>
      </c>
      <c r="CM486" s="16" t="n">
        <f aca="false">IF(BF486=0,0,1-CL486/BF486)</f>
        <v>0</v>
      </c>
    </row>
    <row r="487" customFormat="false" ht="18" hidden="false" customHeight="true" outlineLevel="0" collapsed="false">
      <c r="A487" s="68" t="n">
        <f aca="false">9</f>
        <v>9</v>
      </c>
      <c r="B487" s="68" t="n">
        <f aca="false">3</f>
        <v>3</v>
      </c>
      <c r="C487" s="18" t="n">
        <f aca="false">EDATE(Parametri_v3!$C$5,3-1)</f>
        <v>46447</v>
      </c>
      <c r="D487" s="68" t="n">
        <f aca="false">YEAR(C487)</f>
        <v>2027</v>
      </c>
      <c r="E487" s="68" t="n">
        <f aca="false">MONTH(C487)</f>
        <v>3</v>
      </c>
      <c r="F487" s="68" t="n">
        <f aca="false">INT((3-1)/12)+1</f>
        <v>1</v>
      </c>
      <c r="G487" s="15" t="n">
        <f aca="false">Ipotesi!K7</f>
        <v>1</v>
      </c>
      <c r="H487" s="15" t="n">
        <f aca="false">Ipotesi!K9</f>
        <v>1</v>
      </c>
      <c r="I487" s="15" t="n">
        <f aca="false">Ipotesi!K10</f>
        <v>1</v>
      </c>
      <c r="J487" s="15" t="n">
        <f aca="false">Ipotesi!K11</f>
        <v>1</v>
      </c>
      <c r="K487" s="15" t="n">
        <f aca="false">Ipotesi!K12</f>
        <v>1</v>
      </c>
      <c r="L487" s="15" t="n">
        <f aca="false">Ipotesi!K13</f>
        <v>90</v>
      </c>
      <c r="M487" s="17" t="n">
        <f aca="false">INDEX(Ipotesi!$C$40:$G$40,1,F487)</f>
        <v>1</v>
      </c>
      <c r="N487" s="17" t="n">
        <f aca="false">INDEX(Ipotesi!$C$41:$G$41,1,F487)</f>
        <v>0.75</v>
      </c>
      <c r="O487" s="17" t="n">
        <f aca="false">INDEX(Ipotesi!$C$42:$G$42,1,F487)*Ipotesi!K125</f>
        <v>1</v>
      </c>
      <c r="P487" s="17" t="n">
        <f aca="false">INDEX(Ipotesi!$C$43:$G$43,1,F487)*I487</f>
        <v>1</v>
      </c>
      <c r="Q487" s="17" t="n">
        <f aca="false">INDEX(Ipotesi!$C$44:$G$44,1,F487)*I487</f>
        <v>0.5</v>
      </c>
      <c r="R487" s="17" t="n">
        <f aca="false">INDEX(Ipotesi!$C$45:$G$45,1,F487)*I487</f>
        <v>0</v>
      </c>
      <c r="S487" s="17" t="n">
        <f aca="false">INDEX(Ipotesi!$C$52:$G$52,1,F487)*Ipotesi!K125</f>
        <v>1.5</v>
      </c>
      <c r="T487" s="17" t="n">
        <f aca="false">INDEX(Ipotesi!$C$53:$G$53,1,F487)*I487</f>
        <v>0</v>
      </c>
      <c r="U487" s="17" t="n">
        <f aca="false">INDEX(Ipotesi!$C$54:$G$54,1,F487)*I487</f>
        <v>0</v>
      </c>
      <c r="V487" s="15" t="n">
        <f aca="false">M487*INDEX(Ipotesi!$C$58:$G$58,1,F487)*K487/12</f>
        <v>3333.33333333333</v>
      </c>
      <c r="W487" s="15" t="n">
        <f aca="false">N487*Ipotesi!$C$59*(1+Ipotesi!$C$66)^(F487-1)/12</f>
        <v>4375</v>
      </c>
      <c r="X487" s="15" t="n">
        <f aca="false">O487*Ipotesi!$C$60*(1+Ipotesi!$C$66)^(F487-1)/12</f>
        <v>4166.66666666667</v>
      </c>
      <c r="Y487" s="15" t="n">
        <f aca="false">P487*Ipotesi!$C$61*(1+Ipotesi!$C$66)^(F487-1)/12</f>
        <v>4166.66666666667</v>
      </c>
      <c r="Z487" s="15" t="n">
        <f aca="false">Q487*Ipotesi!$C$62*(1+Ipotesi!$C$66)^(F487-1)/12</f>
        <v>1875</v>
      </c>
      <c r="AA487" s="15" t="n">
        <f aca="false">R487*Ipotesi!$C$63*(1+Ipotesi!$C$66)^(F487-1)/12</f>
        <v>0</v>
      </c>
      <c r="AB487" s="15" t="n">
        <f aca="false">SUM(V487:AA487)</f>
        <v>17916.6666666667</v>
      </c>
      <c r="AC487" s="15" t="n">
        <f aca="false">(S487*Ipotesi!$C$64+T487*Ipotesi!$C$65+U487*Ipotesi!$C$63)*(1+Ipotesi!$C$66)^(F487-1)/12</f>
        <v>5250</v>
      </c>
      <c r="AD487" s="15" t="n">
        <f aca="false">INDEX(Ipotesi!$C$48:$G$48,1,F487)*G487/12</f>
        <v>16.6666666666667</v>
      </c>
      <c r="AE487" s="15" t="n">
        <f aca="false">INDEX(Ipotesi!$C$50:$G$50,1,F487)*G487/12</f>
        <v>2.08333333333333</v>
      </c>
      <c r="AF487" s="15" t="n">
        <f aca="false">(S487*Parametri_v3!$C$7*Parametri_v3!$C$8+Parametri_v3!$C$10)/12</f>
        <v>19.25</v>
      </c>
      <c r="AG487" s="15" t="n">
        <f aca="false">AD487+AE487*(1+Parametri_v3!$C$9)</f>
        <v>19.7916666666667</v>
      </c>
      <c r="AH487" s="16" t="n">
        <f aca="false">IF(AG487=0,1,MIN(1,AF487/AG487))</f>
        <v>0.972631578947368</v>
      </c>
      <c r="AI487" s="15" t="n">
        <f aca="false">AD487*AH487</f>
        <v>16.2105263157895</v>
      </c>
      <c r="AJ487" s="15" t="n">
        <f aca="false">AE487*AH487</f>
        <v>2.02631578947368</v>
      </c>
      <c r="AK487" s="15" t="n">
        <f aca="false">AI487*INDEX(Ipotesi!$C$49:$G$49,1,F487)*H487</f>
        <v>12157.8947368421</v>
      </c>
      <c r="AL487" s="15" t="n">
        <f aca="false">AJ487*INDEX(Ipotesi!$C$51:$G$51,1,F487)*H487</f>
        <v>4052.63157894737</v>
      </c>
      <c r="AM487" s="15" t="n">
        <f aca="false">AK487+AL487</f>
        <v>16210.5263157895</v>
      </c>
      <c r="AN487" s="15" t="n">
        <f aca="false">INDEX(Ipotesi!$C$30:$G$30,1,F487)*G487/12</f>
        <v>8.33333333333333</v>
      </c>
      <c r="AO487" s="15" t="n">
        <f aca="false">O487*Parametri_v3!$C$7*Parametri_v3!$C$11*(1-Parametri_v3!$C$14)/12</f>
        <v>10.2666666666667</v>
      </c>
      <c r="AP487" s="15" t="n">
        <f aca="false">MIN(AN487,AO487)</f>
        <v>8.33333333333333</v>
      </c>
      <c r="AQ487" s="15" t="n">
        <f aca="false">AP487*INDEX(Ipotesi!$C$31:$G$31,1,F487)*H487</f>
        <v>7500</v>
      </c>
      <c r="AR487" s="15" t="n">
        <f aca="false">INDEX(Ipotesi!$C$75:$G$75,1,F487)*J487/12</f>
        <v>2083.33333333333</v>
      </c>
      <c r="AS487" s="15" t="n">
        <f aca="false">INDEX(Ipotesi!$C$81:$G$81,1,F487)*J487/12</f>
        <v>416.666666666667</v>
      </c>
      <c r="AT487" s="15" t="n">
        <f aca="false">AR487*Parametri_v3!$C$15+Z487*Parametri_v3!$C$16</f>
        <v>3395.83333333333</v>
      </c>
      <c r="AU487" s="15" t="n">
        <f aca="false">Q487*Parametri_v3!$C$16*Parametri_v3!$C$17</f>
        <v>35</v>
      </c>
      <c r="AV487" s="17" t="n">
        <f aca="false">BD486</f>
        <v>0</v>
      </c>
      <c r="AW487" s="17" t="n">
        <f aca="false">AV487*(1-(1-INDEX(Ipotesi!$C$34:$G$34,1,F487))^(1/12))</f>
        <v>0</v>
      </c>
      <c r="AX487" s="15" t="n">
        <f aca="false">ROUND(INDEX(Ipotesi!$C$32:$G$32,1,F487)*Ipotesi!K8,0)</f>
        <v>5</v>
      </c>
      <c r="AY487" s="15" t="n">
        <f aca="false">MAX(0,(AX487-(AV487-AW487))/(13-E487))</f>
        <v>0.5</v>
      </c>
      <c r="AZ487" s="15" t="n">
        <f aca="false">MIN(P487*Parametri_v3!$C$22,Q487*(1-Parametri_v3!$C$16)*Parametri_v3!$C$23)</f>
        <v>22.5</v>
      </c>
      <c r="BA487" s="15" t="n">
        <f aca="false">IF(OR(INDEX(Ipotesi!$C$35:$G$35,1,F487)&lt;=0,3-Parametri_v3!$C$21&lt;1),0,INDEX($AT$485:$AT$544,MAX(1,3-Parametri_v3!$C$21))/(INDEX(Ipotesi!$C$35:$G$35,1,F487)*Ipotesi!K27))</f>
        <v>0</v>
      </c>
      <c r="BB487" s="15" t="n">
        <f aca="false">IF(3-Parametri_v3!$C$21&lt;1,0,INDEX($AU$485:$AU$544,MAX(1,3-Parametri_v3!$C$21)))*Parametri_v3!$C$18*Parametri_v3!$C$19*Parametri_v3!$C$20</f>
        <v>0</v>
      </c>
      <c r="BC487" s="17" t="n">
        <f aca="false">MAX(0,MIN(AY487,BA487,BB487,MAX(0,AZ487-(AV487-AW487))))</f>
        <v>0</v>
      </c>
      <c r="BD487" s="17" t="n">
        <f aca="false">AV487-AW487+BC487</f>
        <v>0</v>
      </c>
      <c r="BE487" s="17" t="n">
        <f aca="false">(AV487+BD487)/2</f>
        <v>0</v>
      </c>
      <c r="BF487" s="15" t="n">
        <f aca="false">BE487*INDEX(Ipotesi!$C$33:$G$33,1,F487)*H487/12</f>
        <v>0</v>
      </c>
      <c r="BG487" s="15" t="n">
        <f aca="false">BD487*INDEX(Ipotesi!$C$33:$G$33,1,F487)*H487</f>
        <v>0</v>
      </c>
      <c r="BH487" s="15" t="n">
        <f aca="false">AM487*INDEX(Ipotesi!$C$37:$G$37,1,F487)</f>
        <v>1621.05263157895</v>
      </c>
      <c r="BI487" s="15" t="n">
        <f aca="false">AQ487+BF487+BH487</f>
        <v>9121.05263157895</v>
      </c>
      <c r="BJ487" s="15" t="n">
        <f aca="false">INDEX(Ipotesi!$C$68:$G$68,1,F487)*Ipotesi!$C$69/12</f>
        <v>1000</v>
      </c>
      <c r="BK487" s="15" t="n">
        <f aca="false">INDEX(Ipotesi!$C$68:$G$68,1,F487)*(1-Ipotesi!$C$69)/12</f>
        <v>1500</v>
      </c>
      <c r="BL487" s="15" t="n">
        <f aca="false">(AQ487+BF487)*Ipotesi!$C$67</f>
        <v>225</v>
      </c>
      <c r="BM487" s="15" t="n">
        <f aca="false">AM487*Ipotesi!$C$67</f>
        <v>486.315789473684</v>
      </c>
      <c r="BN487" s="15" t="n">
        <f aca="false">INDEX(Ipotesi!$C$72:$G$72,1,F487)/12*Ipotesi!K126+BF487*Ipotesi!$C$73</f>
        <v>1250</v>
      </c>
      <c r="BO487" s="15" t="n">
        <f aca="false">INDEX(Ipotesi!$C$74:$G$74,1,F487)/12*Ipotesi!K126</f>
        <v>1000</v>
      </c>
      <c r="BP487" s="15" t="n">
        <f aca="false">INDEX(Ipotesi!$C$76:$G$76,1,F487)/12</f>
        <v>500</v>
      </c>
      <c r="BQ487" s="15" t="n">
        <f aca="false">INDEX(Ipotesi!$C$77:$G$77,1,F487)/12*Ipotesi!K126</f>
        <v>1250</v>
      </c>
      <c r="BR487" s="15" t="n">
        <f aca="false">INDEX(Ipotesi!$C$78:$G$78,1,F487)/12</f>
        <v>1000</v>
      </c>
      <c r="BS487" s="15" t="n">
        <f aca="false">SUM(M487:R487)*(Ipotesi!$C$85+Ipotesi!$C$86)/12</f>
        <v>1239.58333333333</v>
      </c>
      <c r="BT487" s="15" t="n">
        <f aca="false">BI487*Ipotesi!$C$87</f>
        <v>273.631578947368</v>
      </c>
      <c r="BU487" s="15" t="n">
        <f aca="false">INDEX(Ipotesi!$C$55:$G$55,1,F487)*K487/12</f>
        <v>500</v>
      </c>
      <c r="BV487" s="15" t="n">
        <f aca="false">INDEX(Ipotesi!$C$80:$G$80,1,F487)/12*Ipotesi!K126</f>
        <v>500</v>
      </c>
      <c r="BW487" s="15" t="n">
        <f aca="false">INDEX(Ipotesi!$C$82:$G$82,1,F487)/12</f>
        <v>416.666666666667</v>
      </c>
      <c r="BX487" s="15" t="n">
        <f aca="false">INDEX(Ipotesi!$C$83:$G$83,1,F487)/12</f>
        <v>500</v>
      </c>
      <c r="BY487" s="15" t="n">
        <f aca="false">SUM(S487:U487)*(Ipotesi!$C$85+Ipotesi!$C$86)/12</f>
        <v>437.5</v>
      </c>
      <c r="BZ487" s="15" t="n">
        <f aca="false">AM487*Ipotesi!$C$87</f>
        <v>486.315789473684</v>
      </c>
      <c r="CA487" s="15" t="n">
        <f aca="false">AB487+BJ487+BL487+BN487+BO487+AR487+BP487+BQ487+BR487+BS487+BT487</f>
        <v>27738.2149122807</v>
      </c>
      <c r="CB487" s="15" t="n">
        <f aca="false">AC487+BK487+BM487+BH487+BU487+BV487+AS487+BW487+BX487+BY487+BZ487</f>
        <v>12114.5175438596</v>
      </c>
      <c r="CC487" s="15" t="n">
        <f aca="false">BI487-CA487</f>
        <v>-18617.1622807018</v>
      </c>
      <c r="CD487" s="15" t="n">
        <f aca="false">AM487-CB487</f>
        <v>4096.00877192982</v>
      </c>
      <c r="CE487" s="15" t="n">
        <f aca="false">INDEX(Ipotesi!$C$79:$G$79,1,F487)/12</f>
        <v>1666.66666666667</v>
      </c>
      <c r="CF487" s="15" t="n">
        <f aca="false">INDEX(Ipotesi!$C$84:$G$84,1,F487)/12</f>
        <v>250</v>
      </c>
      <c r="CG487" s="15" t="n">
        <f aca="false">Y487*MAX(0,Parametri_v3!$C$12-IF(P487=0,0,MIN(1,BE487/(P487*Parametri_v3!$C$22))))+W487*Parametri_v3!$C$13+X487*Parametri_v3!$C$14</f>
        <v>7187.5</v>
      </c>
      <c r="CH487" s="15" t="n">
        <f aca="false">AB487*Parametri_v3!$C$32</f>
        <v>895.833333333334</v>
      </c>
      <c r="CI487" s="15" t="n">
        <f aca="false">AC487*Parametri_v3!$C$32</f>
        <v>262.5</v>
      </c>
      <c r="CJ487" s="15" t="n">
        <f aca="false">CA487-AB487</f>
        <v>9821.54824561403</v>
      </c>
      <c r="CK487" s="15" t="n">
        <f aca="false">CB487-AC487-BH487</f>
        <v>5243.4649122807</v>
      </c>
      <c r="CL487" s="15" t="n">
        <f aca="false">BF487*Ipotesi!$C$73+INDEX(Ipotesi!$C$72:$G$72,1,F487)/12*Ipotesi!K126*Parametri_v3!$C$58+Z487*(1-Parametri_v3!$C$16)</f>
        <v>1812.5</v>
      </c>
      <c r="CM487" s="16" t="n">
        <f aca="false">IF(BF487=0,0,1-CL487/BF487)</f>
        <v>0</v>
      </c>
    </row>
    <row r="488" customFormat="false" ht="18" hidden="false" customHeight="true" outlineLevel="0" collapsed="false">
      <c r="A488" s="68" t="n">
        <f aca="false">9</f>
        <v>9</v>
      </c>
      <c r="B488" s="68" t="n">
        <f aca="false">4</f>
        <v>4</v>
      </c>
      <c r="C488" s="18" t="n">
        <f aca="false">EDATE(Parametri_v3!$C$5,4-1)</f>
        <v>46478</v>
      </c>
      <c r="D488" s="68" t="n">
        <f aca="false">YEAR(C488)</f>
        <v>2027</v>
      </c>
      <c r="E488" s="68" t="n">
        <f aca="false">MONTH(C488)</f>
        <v>4</v>
      </c>
      <c r="F488" s="68" t="n">
        <f aca="false">INT((4-1)/12)+1</f>
        <v>1</v>
      </c>
      <c r="G488" s="15" t="n">
        <f aca="false">Ipotesi!K7</f>
        <v>1</v>
      </c>
      <c r="H488" s="15" t="n">
        <f aca="false">Ipotesi!K9</f>
        <v>1</v>
      </c>
      <c r="I488" s="15" t="n">
        <f aca="false">Ipotesi!K10</f>
        <v>1</v>
      </c>
      <c r="J488" s="15" t="n">
        <f aca="false">Ipotesi!K11</f>
        <v>1</v>
      </c>
      <c r="K488" s="15" t="n">
        <f aca="false">Ipotesi!K12</f>
        <v>1</v>
      </c>
      <c r="L488" s="15" t="n">
        <f aca="false">Ipotesi!K13</f>
        <v>90</v>
      </c>
      <c r="M488" s="17" t="n">
        <f aca="false">INDEX(Ipotesi!$C$40:$G$40,1,F488)</f>
        <v>1</v>
      </c>
      <c r="N488" s="17" t="n">
        <f aca="false">INDEX(Ipotesi!$C$41:$G$41,1,F488)</f>
        <v>0.75</v>
      </c>
      <c r="O488" s="17" t="n">
        <f aca="false">INDEX(Ipotesi!$C$42:$G$42,1,F488)*Ipotesi!K125</f>
        <v>1</v>
      </c>
      <c r="P488" s="17" t="n">
        <f aca="false">INDEX(Ipotesi!$C$43:$G$43,1,F488)*I488</f>
        <v>1</v>
      </c>
      <c r="Q488" s="17" t="n">
        <f aca="false">INDEX(Ipotesi!$C$44:$G$44,1,F488)*I488</f>
        <v>0.5</v>
      </c>
      <c r="R488" s="17" t="n">
        <f aca="false">INDEX(Ipotesi!$C$45:$G$45,1,F488)*I488</f>
        <v>0</v>
      </c>
      <c r="S488" s="17" t="n">
        <f aca="false">INDEX(Ipotesi!$C$52:$G$52,1,F488)*Ipotesi!K125</f>
        <v>1.5</v>
      </c>
      <c r="T488" s="17" t="n">
        <f aca="false">INDEX(Ipotesi!$C$53:$G$53,1,F488)*I488</f>
        <v>0</v>
      </c>
      <c r="U488" s="17" t="n">
        <f aca="false">INDEX(Ipotesi!$C$54:$G$54,1,F488)*I488</f>
        <v>0</v>
      </c>
      <c r="V488" s="15" t="n">
        <f aca="false">M488*INDEX(Ipotesi!$C$58:$G$58,1,F488)*K488/12</f>
        <v>3333.33333333333</v>
      </c>
      <c r="W488" s="15" t="n">
        <f aca="false">N488*Ipotesi!$C$59*(1+Ipotesi!$C$66)^(F488-1)/12</f>
        <v>4375</v>
      </c>
      <c r="X488" s="15" t="n">
        <f aca="false">O488*Ipotesi!$C$60*(1+Ipotesi!$C$66)^(F488-1)/12</f>
        <v>4166.66666666667</v>
      </c>
      <c r="Y488" s="15" t="n">
        <f aca="false">P488*Ipotesi!$C$61*(1+Ipotesi!$C$66)^(F488-1)/12</f>
        <v>4166.66666666667</v>
      </c>
      <c r="Z488" s="15" t="n">
        <f aca="false">Q488*Ipotesi!$C$62*(1+Ipotesi!$C$66)^(F488-1)/12</f>
        <v>1875</v>
      </c>
      <c r="AA488" s="15" t="n">
        <f aca="false">R488*Ipotesi!$C$63*(1+Ipotesi!$C$66)^(F488-1)/12</f>
        <v>0</v>
      </c>
      <c r="AB488" s="15" t="n">
        <f aca="false">SUM(V488:AA488)</f>
        <v>17916.6666666667</v>
      </c>
      <c r="AC488" s="15" t="n">
        <f aca="false">(S488*Ipotesi!$C$64+T488*Ipotesi!$C$65+U488*Ipotesi!$C$63)*(1+Ipotesi!$C$66)^(F488-1)/12</f>
        <v>5250</v>
      </c>
      <c r="AD488" s="15" t="n">
        <f aca="false">INDEX(Ipotesi!$C$48:$G$48,1,F488)*G488/12</f>
        <v>16.6666666666667</v>
      </c>
      <c r="AE488" s="15" t="n">
        <f aca="false">INDEX(Ipotesi!$C$50:$G$50,1,F488)*G488/12</f>
        <v>2.08333333333333</v>
      </c>
      <c r="AF488" s="15" t="n">
        <f aca="false">(S488*Parametri_v3!$C$7*Parametri_v3!$C$8+Parametri_v3!$C$10)/12</f>
        <v>19.25</v>
      </c>
      <c r="AG488" s="15" t="n">
        <f aca="false">AD488+AE488*(1+Parametri_v3!$C$9)</f>
        <v>19.7916666666667</v>
      </c>
      <c r="AH488" s="16" t="n">
        <f aca="false">IF(AG488=0,1,MIN(1,AF488/AG488))</f>
        <v>0.972631578947368</v>
      </c>
      <c r="AI488" s="15" t="n">
        <f aca="false">AD488*AH488</f>
        <v>16.2105263157895</v>
      </c>
      <c r="AJ488" s="15" t="n">
        <f aca="false">AE488*AH488</f>
        <v>2.02631578947368</v>
      </c>
      <c r="AK488" s="15" t="n">
        <f aca="false">AI488*INDEX(Ipotesi!$C$49:$G$49,1,F488)*H488</f>
        <v>12157.8947368421</v>
      </c>
      <c r="AL488" s="15" t="n">
        <f aca="false">AJ488*INDEX(Ipotesi!$C$51:$G$51,1,F488)*H488</f>
        <v>4052.63157894737</v>
      </c>
      <c r="AM488" s="15" t="n">
        <f aca="false">AK488+AL488</f>
        <v>16210.5263157895</v>
      </c>
      <c r="AN488" s="15" t="n">
        <f aca="false">INDEX(Ipotesi!$C$30:$G$30,1,F488)*G488/12</f>
        <v>8.33333333333333</v>
      </c>
      <c r="AO488" s="15" t="n">
        <f aca="false">O488*Parametri_v3!$C$7*Parametri_v3!$C$11*(1-Parametri_v3!$C$14)/12</f>
        <v>10.2666666666667</v>
      </c>
      <c r="AP488" s="15" t="n">
        <f aca="false">MIN(AN488,AO488)</f>
        <v>8.33333333333333</v>
      </c>
      <c r="AQ488" s="15" t="n">
        <f aca="false">AP488*INDEX(Ipotesi!$C$31:$G$31,1,F488)*H488</f>
        <v>7500</v>
      </c>
      <c r="AR488" s="15" t="n">
        <f aca="false">INDEX(Ipotesi!$C$75:$G$75,1,F488)*J488/12</f>
        <v>2083.33333333333</v>
      </c>
      <c r="AS488" s="15" t="n">
        <f aca="false">INDEX(Ipotesi!$C$81:$G$81,1,F488)*J488/12</f>
        <v>416.666666666667</v>
      </c>
      <c r="AT488" s="15" t="n">
        <f aca="false">AR488*Parametri_v3!$C$15+Z488*Parametri_v3!$C$16</f>
        <v>3395.83333333333</v>
      </c>
      <c r="AU488" s="15" t="n">
        <f aca="false">Q488*Parametri_v3!$C$16*Parametri_v3!$C$17</f>
        <v>35</v>
      </c>
      <c r="AV488" s="17" t="n">
        <f aca="false">BD487</f>
        <v>0</v>
      </c>
      <c r="AW488" s="17" t="n">
        <f aca="false">AV488*(1-(1-INDEX(Ipotesi!$C$34:$G$34,1,F488))^(1/12))</f>
        <v>0</v>
      </c>
      <c r="AX488" s="15" t="n">
        <f aca="false">ROUND(INDEX(Ipotesi!$C$32:$G$32,1,F488)*Ipotesi!K8,0)</f>
        <v>5</v>
      </c>
      <c r="AY488" s="15" t="n">
        <f aca="false">MAX(0,(AX488-(AV488-AW488))/(13-E488))</f>
        <v>0.555555555555556</v>
      </c>
      <c r="AZ488" s="15" t="n">
        <f aca="false">MIN(P488*Parametri_v3!$C$22,Q488*(1-Parametri_v3!$C$16)*Parametri_v3!$C$23)</f>
        <v>22.5</v>
      </c>
      <c r="BA488" s="15" t="n">
        <f aca="false">IF(OR(INDEX(Ipotesi!$C$35:$G$35,1,F488)&lt;=0,4-Parametri_v3!$C$21&lt;1),0,INDEX($AT$485:$AT$544,MAX(1,4-Parametri_v3!$C$21))/(INDEX(Ipotesi!$C$35:$G$35,1,F488)*Ipotesi!K27))</f>
        <v>0.679166666666667</v>
      </c>
      <c r="BB488" s="15" t="n">
        <f aca="false">IF(4-Parametri_v3!$C$21&lt;1,0,INDEX($AU$485:$AU$544,MAX(1,4-Parametri_v3!$C$21)))*Parametri_v3!$C$18*Parametri_v3!$C$19*Parametri_v3!$C$20</f>
        <v>1.3125</v>
      </c>
      <c r="BC488" s="17" t="n">
        <f aca="false">MAX(0,MIN(AY488,BA488,BB488,MAX(0,AZ488-(AV488-AW488))))</f>
        <v>0.555555555555556</v>
      </c>
      <c r="BD488" s="17" t="n">
        <f aca="false">AV488-AW488+BC488</f>
        <v>0.555555555555556</v>
      </c>
      <c r="BE488" s="17" t="n">
        <f aca="false">(AV488+BD488)/2</f>
        <v>0.277777777777778</v>
      </c>
      <c r="BF488" s="15" t="n">
        <f aca="false">BE488*INDEX(Ipotesi!$C$33:$G$33,1,F488)*H488/12</f>
        <v>46.2962962962963</v>
      </c>
      <c r="BG488" s="15" t="n">
        <f aca="false">BD488*INDEX(Ipotesi!$C$33:$G$33,1,F488)*H488</f>
        <v>1111.11111111111</v>
      </c>
      <c r="BH488" s="15" t="n">
        <f aca="false">AM488*INDEX(Ipotesi!$C$37:$G$37,1,F488)</f>
        <v>1621.05263157895</v>
      </c>
      <c r="BI488" s="15" t="n">
        <f aca="false">AQ488+BF488+BH488</f>
        <v>9167.34892787525</v>
      </c>
      <c r="BJ488" s="15" t="n">
        <f aca="false">INDEX(Ipotesi!$C$68:$G$68,1,F488)*Ipotesi!$C$69/12</f>
        <v>1000</v>
      </c>
      <c r="BK488" s="15" t="n">
        <f aca="false">INDEX(Ipotesi!$C$68:$G$68,1,F488)*(1-Ipotesi!$C$69)/12</f>
        <v>1500</v>
      </c>
      <c r="BL488" s="15" t="n">
        <f aca="false">(AQ488+BF488)*Ipotesi!$C$67</f>
        <v>226.388888888889</v>
      </c>
      <c r="BM488" s="15" t="n">
        <f aca="false">AM488*Ipotesi!$C$67</f>
        <v>486.315789473684</v>
      </c>
      <c r="BN488" s="15" t="n">
        <f aca="false">INDEX(Ipotesi!$C$72:$G$72,1,F488)/12*Ipotesi!K126+BF488*Ipotesi!$C$73</f>
        <v>1253.7037037037</v>
      </c>
      <c r="BO488" s="15" t="n">
        <f aca="false">INDEX(Ipotesi!$C$74:$G$74,1,F488)/12*Ipotesi!K126</f>
        <v>1000</v>
      </c>
      <c r="BP488" s="15" t="n">
        <f aca="false">INDEX(Ipotesi!$C$76:$G$76,1,F488)/12</f>
        <v>500</v>
      </c>
      <c r="BQ488" s="15" t="n">
        <f aca="false">INDEX(Ipotesi!$C$77:$G$77,1,F488)/12*Ipotesi!K126</f>
        <v>1250</v>
      </c>
      <c r="BR488" s="15" t="n">
        <f aca="false">INDEX(Ipotesi!$C$78:$G$78,1,F488)/12</f>
        <v>1000</v>
      </c>
      <c r="BS488" s="15" t="n">
        <f aca="false">SUM(M488:R488)*(Ipotesi!$C$85+Ipotesi!$C$86)/12</f>
        <v>1239.58333333333</v>
      </c>
      <c r="BT488" s="15" t="n">
        <f aca="false">BI488*Ipotesi!$C$87</f>
        <v>275.020467836257</v>
      </c>
      <c r="BU488" s="15" t="n">
        <f aca="false">INDEX(Ipotesi!$C$55:$G$55,1,F488)*K488/12</f>
        <v>500</v>
      </c>
      <c r="BV488" s="15" t="n">
        <f aca="false">INDEX(Ipotesi!$C$80:$G$80,1,F488)/12*Ipotesi!K126</f>
        <v>500</v>
      </c>
      <c r="BW488" s="15" t="n">
        <f aca="false">INDEX(Ipotesi!$C$82:$G$82,1,F488)/12</f>
        <v>416.666666666667</v>
      </c>
      <c r="BX488" s="15" t="n">
        <f aca="false">INDEX(Ipotesi!$C$83:$G$83,1,F488)/12</f>
        <v>500</v>
      </c>
      <c r="BY488" s="15" t="n">
        <f aca="false">SUM(S488:U488)*(Ipotesi!$C$85+Ipotesi!$C$86)/12</f>
        <v>437.5</v>
      </c>
      <c r="BZ488" s="15" t="n">
        <f aca="false">AM488*Ipotesi!$C$87</f>
        <v>486.315789473684</v>
      </c>
      <c r="CA488" s="15" t="n">
        <f aca="false">AB488+BJ488+BL488+BN488+BO488+AR488+BP488+BQ488+BR488+BS488+BT488</f>
        <v>27744.6963937622</v>
      </c>
      <c r="CB488" s="15" t="n">
        <f aca="false">AC488+BK488+BM488+BH488+BU488+BV488+AS488+BW488+BX488+BY488+BZ488</f>
        <v>12114.5175438596</v>
      </c>
      <c r="CC488" s="15" t="n">
        <f aca="false">BI488-CA488</f>
        <v>-18577.3474658869</v>
      </c>
      <c r="CD488" s="15" t="n">
        <f aca="false">AM488-CB488</f>
        <v>4096.00877192982</v>
      </c>
      <c r="CE488" s="15" t="n">
        <f aca="false">INDEX(Ipotesi!$C$79:$G$79,1,F488)/12</f>
        <v>1666.66666666667</v>
      </c>
      <c r="CF488" s="15" t="n">
        <f aca="false">INDEX(Ipotesi!$C$84:$G$84,1,F488)/12</f>
        <v>250</v>
      </c>
      <c r="CG488" s="15" t="n">
        <f aca="false">Y488*MAX(0,Parametri_v3!$C$12-IF(P488=0,0,MIN(1,BE488/(P488*Parametri_v3!$C$22))))+W488*Parametri_v3!$C$13+X488*Parametri_v3!$C$14</f>
        <v>7175.92592592593</v>
      </c>
      <c r="CH488" s="15" t="n">
        <f aca="false">AB488*Parametri_v3!$C$32</f>
        <v>895.833333333334</v>
      </c>
      <c r="CI488" s="15" t="n">
        <f aca="false">AC488*Parametri_v3!$C$32</f>
        <v>262.5</v>
      </c>
      <c r="CJ488" s="15" t="n">
        <f aca="false">CA488-AB488</f>
        <v>9828.02972709552</v>
      </c>
      <c r="CK488" s="15" t="n">
        <f aca="false">CB488-AC488-BH488</f>
        <v>5243.4649122807</v>
      </c>
      <c r="CL488" s="15" t="n">
        <f aca="false">BF488*Ipotesi!$C$73+INDEX(Ipotesi!$C$72:$G$72,1,F488)/12*Ipotesi!K126*Parametri_v3!$C$58+Z488*(1-Parametri_v3!$C$16)</f>
        <v>1816.2037037037</v>
      </c>
      <c r="CM488" s="16" t="n">
        <f aca="false">IF(BF488=0,0,1-CL488/BF488)</f>
        <v>-38.23</v>
      </c>
    </row>
    <row r="489" customFormat="false" ht="18" hidden="false" customHeight="true" outlineLevel="0" collapsed="false">
      <c r="A489" s="68" t="n">
        <f aca="false">9</f>
        <v>9</v>
      </c>
      <c r="B489" s="68" t="n">
        <f aca="false">5</f>
        <v>5</v>
      </c>
      <c r="C489" s="18" t="n">
        <f aca="false">EDATE(Parametri_v3!$C$5,5-1)</f>
        <v>46508</v>
      </c>
      <c r="D489" s="68" t="n">
        <f aca="false">YEAR(C489)</f>
        <v>2027</v>
      </c>
      <c r="E489" s="68" t="n">
        <f aca="false">MONTH(C489)</f>
        <v>5</v>
      </c>
      <c r="F489" s="68" t="n">
        <f aca="false">INT((5-1)/12)+1</f>
        <v>1</v>
      </c>
      <c r="G489" s="15" t="n">
        <f aca="false">Ipotesi!K7</f>
        <v>1</v>
      </c>
      <c r="H489" s="15" t="n">
        <f aca="false">Ipotesi!K9</f>
        <v>1</v>
      </c>
      <c r="I489" s="15" t="n">
        <f aca="false">Ipotesi!K10</f>
        <v>1</v>
      </c>
      <c r="J489" s="15" t="n">
        <f aca="false">Ipotesi!K11</f>
        <v>1</v>
      </c>
      <c r="K489" s="15" t="n">
        <f aca="false">Ipotesi!K12</f>
        <v>1</v>
      </c>
      <c r="L489" s="15" t="n">
        <f aca="false">Ipotesi!K13</f>
        <v>90</v>
      </c>
      <c r="M489" s="17" t="n">
        <f aca="false">INDEX(Ipotesi!$C$40:$G$40,1,F489)</f>
        <v>1</v>
      </c>
      <c r="N489" s="17" t="n">
        <f aca="false">INDEX(Ipotesi!$C$41:$G$41,1,F489)</f>
        <v>0.75</v>
      </c>
      <c r="O489" s="17" t="n">
        <f aca="false">INDEX(Ipotesi!$C$42:$G$42,1,F489)*Ipotesi!K125</f>
        <v>1</v>
      </c>
      <c r="P489" s="17" t="n">
        <f aca="false">INDEX(Ipotesi!$C$43:$G$43,1,F489)*I489</f>
        <v>1</v>
      </c>
      <c r="Q489" s="17" t="n">
        <f aca="false">INDEX(Ipotesi!$C$44:$G$44,1,F489)*I489</f>
        <v>0.5</v>
      </c>
      <c r="R489" s="17" t="n">
        <f aca="false">INDEX(Ipotesi!$C$45:$G$45,1,F489)*I489</f>
        <v>0</v>
      </c>
      <c r="S489" s="17" t="n">
        <f aca="false">INDEX(Ipotesi!$C$52:$G$52,1,F489)*Ipotesi!K125</f>
        <v>1.5</v>
      </c>
      <c r="T489" s="17" t="n">
        <f aca="false">INDEX(Ipotesi!$C$53:$G$53,1,F489)*I489</f>
        <v>0</v>
      </c>
      <c r="U489" s="17" t="n">
        <f aca="false">INDEX(Ipotesi!$C$54:$G$54,1,F489)*I489</f>
        <v>0</v>
      </c>
      <c r="V489" s="15" t="n">
        <f aca="false">M489*INDEX(Ipotesi!$C$58:$G$58,1,F489)*K489/12</f>
        <v>3333.33333333333</v>
      </c>
      <c r="W489" s="15" t="n">
        <f aca="false">N489*Ipotesi!$C$59*(1+Ipotesi!$C$66)^(F489-1)/12</f>
        <v>4375</v>
      </c>
      <c r="X489" s="15" t="n">
        <f aca="false">O489*Ipotesi!$C$60*(1+Ipotesi!$C$66)^(F489-1)/12</f>
        <v>4166.66666666667</v>
      </c>
      <c r="Y489" s="15" t="n">
        <f aca="false">P489*Ipotesi!$C$61*(1+Ipotesi!$C$66)^(F489-1)/12</f>
        <v>4166.66666666667</v>
      </c>
      <c r="Z489" s="15" t="n">
        <f aca="false">Q489*Ipotesi!$C$62*(1+Ipotesi!$C$66)^(F489-1)/12</f>
        <v>1875</v>
      </c>
      <c r="AA489" s="15" t="n">
        <f aca="false">R489*Ipotesi!$C$63*(1+Ipotesi!$C$66)^(F489-1)/12</f>
        <v>0</v>
      </c>
      <c r="AB489" s="15" t="n">
        <f aca="false">SUM(V489:AA489)</f>
        <v>17916.6666666667</v>
      </c>
      <c r="AC489" s="15" t="n">
        <f aca="false">(S489*Ipotesi!$C$64+T489*Ipotesi!$C$65+U489*Ipotesi!$C$63)*(1+Ipotesi!$C$66)^(F489-1)/12</f>
        <v>5250</v>
      </c>
      <c r="AD489" s="15" t="n">
        <f aca="false">INDEX(Ipotesi!$C$48:$G$48,1,F489)*G489/12</f>
        <v>16.6666666666667</v>
      </c>
      <c r="AE489" s="15" t="n">
        <f aca="false">INDEX(Ipotesi!$C$50:$G$50,1,F489)*G489/12</f>
        <v>2.08333333333333</v>
      </c>
      <c r="AF489" s="15" t="n">
        <f aca="false">(S489*Parametri_v3!$C$7*Parametri_v3!$C$8+Parametri_v3!$C$10)/12</f>
        <v>19.25</v>
      </c>
      <c r="AG489" s="15" t="n">
        <f aca="false">AD489+AE489*(1+Parametri_v3!$C$9)</f>
        <v>19.7916666666667</v>
      </c>
      <c r="AH489" s="16" t="n">
        <f aca="false">IF(AG489=0,1,MIN(1,AF489/AG489))</f>
        <v>0.972631578947368</v>
      </c>
      <c r="AI489" s="15" t="n">
        <f aca="false">AD489*AH489</f>
        <v>16.2105263157895</v>
      </c>
      <c r="AJ489" s="15" t="n">
        <f aca="false">AE489*AH489</f>
        <v>2.02631578947368</v>
      </c>
      <c r="AK489" s="15" t="n">
        <f aca="false">AI489*INDEX(Ipotesi!$C$49:$G$49,1,F489)*H489</f>
        <v>12157.8947368421</v>
      </c>
      <c r="AL489" s="15" t="n">
        <f aca="false">AJ489*INDEX(Ipotesi!$C$51:$G$51,1,F489)*H489</f>
        <v>4052.63157894737</v>
      </c>
      <c r="AM489" s="15" t="n">
        <f aca="false">AK489+AL489</f>
        <v>16210.5263157895</v>
      </c>
      <c r="AN489" s="15" t="n">
        <f aca="false">INDEX(Ipotesi!$C$30:$G$30,1,F489)*G489/12</f>
        <v>8.33333333333333</v>
      </c>
      <c r="AO489" s="15" t="n">
        <f aca="false">O489*Parametri_v3!$C$7*Parametri_v3!$C$11*(1-Parametri_v3!$C$14)/12</f>
        <v>10.2666666666667</v>
      </c>
      <c r="AP489" s="15" t="n">
        <f aca="false">MIN(AN489,AO489)</f>
        <v>8.33333333333333</v>
      </c>
      <c r="AQ489" s="15" t="n">
        <f aca="false">AP489*INDEX(Ipotesi!$C$31:$G$31,1,F489)*H489</f>
        <v>7500</v>
      </c>
      <c r="AR489" s="15" t="n">
        <f aca="false">INDEX(Ipotesi!$C$75:$G$75,1,F489)*J489/12</f>
        <v>2083.33333333333</v>
      </c>
      <c r="AS489" s="15" t="n">
        <f aca="false">INDEX(Ipotesi!$C$81:$G$81,1,F489)*J489/12</f>
        <v>416.666666666667</v>
      </c>
      <c r="AT489" s="15" t="n">
        <f aca="false">AR489*Parametri_v3!$C$15+Z489*Parametri_v3!$C$16</f>
        <v>3395.83333333333</v>
      </c>
      <c r="AU489" s="15" t="n">
        <f aca="false">Q489*Parametri_v3!$C$16*Parametri_v3!$C$17</f>
        <v>35</v>
      </c>
      <c r="AV489" s="17" t="n">
        <f aca="false">BD488</f>
        <v>0.555555555555556</v>
      </c>
      <c r="AW489" s="17" t="n">
        <f aca="false">AV489*(1-(1-INDEX(Ipotesi!$C$34:$G$34,1,F489))^(1/12))</f>
        <v>0</v>
      </c>
      <c r="AX489" s="15" t="n">
        <f aca="false">ROUND(INDEX(Ipotesi!$C$32:$G$32,1,F489)*Ipotesi!K8,0)</f>
        <v>5</v>
      </c>
      <c r="AY489" s="15" t="n">
        <f aca="false">MAX(0,(AX489-(AV489-AW489))/(13-E489))</f>
        <v>0.555555555555556</v>
      </c>
      <c r="AZ489" s="15" t="n">
        <f aca="false">MIN(P489*Parametri_v3!$C$22,Q489*(1-Parametri_v3!$C$16)*Parametri_v3!$C$23)</f>
        <v>22.5</v>
      </c>
      <c r="BA489" s="15" t="n">
        <f aca="false">IF(OR(INDEX(Ipotesi!$C$35:$G$35,1,F489)&lt;=0,5-Parametri_v3!$C$21&lt;1),0,INDEX($AT$485:$AT$544,MAX(1,5-Parametri_v3!$C$21))/(INDEX(Ipotesi!$C$35:$G$35,1,F489)*Ipotesi!K27))</f>
        <v>0.679166666666667</v>
      </c>
      <c r="BB489" s="15" t="n">
        <f aca="false">IF(5-Parametri_v3!$C$21&lt;1,0,INDEX($AU$485:$AU$544,MAX(1,5-Parametri_v3!$C$21)))*Parametri_v3!$C$18*Parametri_v3!$C$19*Parametri_v3!$C$20</f>
        <v>1.3125</v>
      </c>
      <c r="BC489" s="17" t="n">
        <f aca="false">MAX(0,MIN(AY489,BA489,BB489,MAX(0,AZ489-(AV489-AW489))))</f>
        <v>0.555555555555556</v>
      </c>
      <c r="BD489" s="17" t="n">
        <f aca="false">AV489-AW489+BC489</f>
        <v>1.11111111111111</v>
      </c>
      <c r="BE489" s="17" t="n">
        <f aca="false">(AV489+BD489)/2</f>
        <v>0.833333333333333</v>
      </c>
      <c r="BF489" s="15" t="n">
        <f aca="false">BE489*INDEX(Ipotesi!$C$33:$G$33,1,F489)*H489/12</f>
        <v>138.888888888889</v>
      </c>
      <c r="BG489" s="15" t="n">
        <f aca="false">BD489*INDEX(Ipotesi!$C$33:$G$33,1,F489)*H489</f>
        <v>2222.22222222222</v>
      </c>
      <c r="BH489" s="15" t="n">
        <f aca="false">AM489*INDEX(Ipotesi!$C$37:$G$37,1,F489)</f>
        <v>1621.05263157895</v>
      </c>
      <c r="BI489" s="15" t="n">
        <f aca="false">AQ489+BF489+BH489</f>
        <v>9259.94152046784</v>
      </c>
      <c r="BJ489" s="15" t="n">
        <f aca="false">INDEX(Ipotesi!$C$68:$G$68,1,F489)*Ipotesi!$C$69/12</f>
        <v>1000</v>
      </c>
      <c r="BK489" s="15" t="n">
        <f aca="false">INDEX(Ipotesi!$C$68:$G$68,1,F489)*(1-Ipotesi!$C$69)/12</f>
        <v>1500</v>
      </c>
      <c r="BL489" s="15" t="n">
        <f aca="false">(AQ489+BF489)*Ipotesi!$C$67</f>
        <v>229.166666666667</v>
      </c>
      <c r="BM489" s="15" t="n">
        <f aca="false">AM489*Ipotesi!$C$67</f>
        <v>486.315789473684</v>
      </c>
      <c r="BN489" s="15" t="n">
        <f aca="false">INDEX(Ipotesi!$C$72:$G$72,1,F489)/12*Ipotesi!K126+BF489*Ipotesi!$C$73</f>
        <v>1261.11111111111</v>
      </c>
      <c r="BO489" s="15" t="n">
        <f aca="false">INDEX(Ipotesi!$C$74:$G$74,1,F489)/12*Ipotesi!K126</f>
        <v>1000</v>
      </c>
      <c r="BP489" s="15" t="n">
        <f aca="false">INDEX(Ipotesi!$C$76:$G$76,1,F489)/12</f>
        <v>500</v>
      </c>
      <c r="BQ489" s="15" t="n">
        <f aca="false">INDEX(Ipotesi!$C$77:$G$77,1,F489)/12*Ipotesi!K126</f>
        <v>1250</v>
      </c>
      <c r="BR489" s="15" t="n">
        <f aca="false">INDEX(Ipotesi!$C$78:$G$78,1,F489)/12</f>
        <v>1000</v>
      </c>
      <c r="BS489" s="15" t="n">
        <f aca="false">SUM(M489:R489)*(Ipotesi!$C$85+Ipotesi!$C$86)/12</f>
        <v>1239.58333333333</v>
      </c>
      <c r="BT489" s="15" t="n">
        <f aca="false">BI489*Ipotesi!$C$87</f>
        <v>277.798245614035</v>
      </c>
      <c r="BU489" s="15" t="n">
        <f aca="false">INDEX(Ipotesi!$C$55:$G$55,1,F489)*K489/12</f>
        <v>500</v>
      </c>
      <c r="BV489" s="15" t="n">
        <f aca="false">INDEX(Ipotesi!$C$80:$G$80,1,F489)/12*Ipotesi!K126</f>
        <v>500</v>
      </c>
      <c r="BW489" s="15" t="n">
        <f aca="false">INDEX(Ipotesi!$C$82:$G$82,1,F489)/12</f>
        <v>416.666666666667</v>
      </c>
      <c r="BX489" s="15" t="n">
        <f aca="false">INDEX(Ipotesi!$C$83:$G$83,1,F489)/12</f>
        <v>500</v>
      </c>
      <c r="BY489" s="15" t="n">
        <f aca="false">SUM(S489:U489)*(Ipotesi!$C$85+Ipotesi!$C$86)/12</f>
        <v>437.5</v>
      </c>
      <c r="BZ489" s="15" t="n">
        <f aca="false">AM489*Ipotesi!$C$87</f>
        <v>486.315789473684</v>
      </c>
      <c r="CA489" s="15" t="n">
        <f aca="false">AB489+BJ489+BL489+BN489+BO489+AR489+BP489+BQ489+BR489+BS489+BT489</f>
        <v>27757.6593567251</v>
      </c>
      <c r="CB489" s="15" t="n">
        <f aca="false">AC489+BK489+BM489+BH489+BU489+BV489+AS489+BW489+BX489+BY489+BZ489</f>
        <v>12114.5175438596</v>
      </c>
      <c r="CC489" s="15" t="n">
        <f aca="false">BI489-CA489</f>
        <v>-18497.7178362573</v>
      </c>
      <c r="CD489" s="15" t="n">
        <f aca="false">AM489-CB489</f>
        <v>4096.00877192982</v>
      </c>
      <c r="CE489" s="15" t="n">
        <f aca="false">INDEX(Ipotesi!$C$79:$G$79,1,F489)/12</f>
        <v>1666.66666666667</v>
      </c>
      <c r="CF489" s="15" t="n">
        <f aca="false">INDEX(Ipotesi!$C$84:$G$84,1,F489)/12</f>
        <v>250</v>
      </c>
      <c r="CG489" s="15" t="n">
        <f aca="false">Y489*MAX(0,Parametri_v3!$C$12-IF(P489=0,0,MIN(1,BE489/(P489*Parametri_v3!$C$22))))+W489*Parametri_v3!$C$13+X489*Parametri_v3!$C$14</f>
        <v>7152.77777777778</v>
      </c>
      <c r="CH489" s="15" t="n">
        <f aca="false">AB489*Parametri_v3!$C$32</f>
        <v>895.833333333334</v>
      </c>
      <c r="CI489" s="15" t="n">
        <f aca="false">AC489*Parametri_v3!$C$32</f>
        <v>262.5</v>
      </c>
      <c r="CJ489" s="15" t="n">
        <f aca="false">CA489-AB489</f>
        <v>9840.99269005848</v>
      </c>
      <c r="CK489" s="15" t="n">
        <f aca="false">CB489-AC489-BH489</f>
        <v>5243.4649122807</v>
      </c>
      <c r="CL489" s="15" t="n">
        <f aca="false">BF489*Ipotesi!$C$73+INDEX(Ipotesi!$C$72:$G$72,1,F489)/12*Ipotesi!K126*Parametri_v3!$C$58+Z489*(1-Parametri_v3!$C$16)</f>
        <v>1823.61111111111</v>
      </c>
      <c r="CM489" s="16" t="n">
        <f aca="false">IF(BF489=0,0,1-CL489/BF489)</f>
        <v>-12.13</v>
      </c>
    </row>
    <row r="490" customFormat="false" ht="18" hidden="false" customHeight="true" outlineLevel="0" collapsed="false">
      <c r="A490" s="68" t="n">
        <f aca="false">9</f>
        <v>9</v>
      </c>
      <c r="B490" s="68" t="n">
        <f aca="false">6</f>
        <v>6</v>
      </c>
      <c r="C490" s="18" t="n">
        <f aca="false">EDATE(Parametri_v3!$C$5,6-1)</f>
        <v>46539</v>
      </c>
      <c r="D490" s="68" t="n">
        <f aca="false">YEAR(C490)</f>
        <v>2027</v>
      </c>
      <c r="E490" s="68" t="n">
        <f aca="false">MONTH(C490)</f>
        <v>6</v>
      </c>
      <c r="F490" s="68" t="n">
        <f aca="false">INT((6-1)/12)+1</f>
        <v>1</v>
      </c>
      <c r="G490" s="15" t="n">
        <f aca="false">Ipotesi!K7</f>
        <v>1</v>
      </c>
      <c r="H490" s="15" t="n">
        <f aca="false">Ipotesi!K9</f>
        <v>1</v>
      </c>
      <c r="I490" s="15" t="n">
        <f aca="false">Ipotesi!K10</f>
        <v>1</v>
      </c>
      <c r="J490" s="15" t="n">
        <f aca="false">Ipotesi!K11</f>
        <v>1</v>
      </c>
      <c r="K490" s="15" t="n">
        <f aca="false">Ipotesi!K12</f>
        <v>1</v>
      </c>
      <c r="L490" s="15" t="n">
        <f aca="false">Ipotesi!K13</f>
        <v>90</v>
      </c>
      <c r="M490" s="17" t="n">
        <f aca="false">INDEX(Ipotesi!$C$40:$G$40,1,F490)</f>
        <v>1</v>
      </c>
      <c r="N490" s="17" t="n">
        <f aca="false">INDEX(Ipotesi!$C$41:$G$41,1,F490)</f>
        <v>0.75</v>
      </c>
      <c r="O490" s="17" t="n">
        <f aca="false">INDEX(Ipotesi!$C$42:$G$42,1,F490)*Ipotesi!K125</f>
        <v>1</v>
      </c>
      <c r="P490" s="17" t="n">
        <f aca="false">INDEX(Ipotesi!$C$43:$G$43,1,F490)*I490</f>
        <v>1</v>
      </c>
      <c r="Q490" s="17" t="n">
        <f aca="false">INDEX(Ipotesi!$C$44:$G$44,1,F490)*I490</f>
        <v>0.5</v>
      </c>
      <c r="R490" s="17" t="n">
        <f aca="false">INDEX(Ipotesi!$C$45:$G$45,1,F490)*I490</f>
        <v>0</v>
      </c>
      <c r="S490" s="17" t="n">
        <f aca="false">INDEX(Ipotesi!$C$52:$G$52,1,F490)*Ipotesi!K125</f>
        <v>1.5</v>
      </c>
      <c r="T490" s="17" t="n">
        <f aca="false">INDEX(Ipotesi!$C$53:$G$53,1,F490)*I490</f>
        <v>0</v>
      </c>
      <c r="U490" s="17" t="n">
        <f aca="false">INDEX(Ipotesi!$C$54:$G$54,1,F490)*I490</f>
        <v>0</v>
      </c>
      <c r="V490" s="15" t="n">
        <f aca="false">M490*INDEX(Ipotesi!$C$58:$G$58,1,F490)*K490/12</f>
        <v>3333.33333333333</v>
      </c>
      <c r="W490" s="15" t="n">
        <f aca="false">N490*Ipotesi!$C$59*(1+Ipotesi!$C$66)^(F490-1)/12</f>
        <v>4375</v>
      </c>
      <c r="X490" s="15" t="n">
        <f aca="false">O490*Ipotesi!$C$60*(1+Ipotesi!$C$66)^(F490-1)/12</f>
        <v>4166.66666666667</v>
      </c>
      <c r="Y490" s="15" t="n">
        <f aca="false">P490*Ipotesi!$C$61*(1+Ipotesi!$C$66)^(F490-1)/12</f>
        <v>4166.66666666667</v>
      </c>
      <c r="Z490" s="15" t="n">
        <f aca="false">Q490*Ipotesi!$C$62*(1+Ipotesi!$C$66)^(F490-1)/12</f>
        <v>1875</v>
      </c>
      <c r="AA490" s="15" t="n">
        <f aca="false">R490*Ipotesi!$C$63*(1+Ipotesi!$C$66)^(F490-1)/12</f>
        <v>0</v>
      </c>
      <c r="AB490" s="15" t="n">
        <f aca="false">SUM(V490:AA490)</f>
        <v>17916.6666666667</v>
      </c>
      <c r="AC490" s="15" t="n">
        <f aca="false">(S490*Ipotesi!$C$64+T490*Ipotesi!$C$65+U490*Ipotesi!$C$63)*(1+Ipotesi!$C$66)^(F490-1)/12</f>
        <v>5250</v>
      </c>
      <c r="AD490" s="15" t="n">
        <f aca="false">INDEX(Ipotesi!$C$48:$G$48,1,F490)*G490/12</f>
        <v>16.6666666666667</v>
      </c>
      <c r="AE490" s="15" t="n">
        <f aca="false">INDEX(Ipotesi!$C$50:$G$50,1,F490)*G490/12</f>
        <v>2.08333333333333</v>
      </c>
      <c r="AF490" s="15" t="n">
        <f aca="false">(S490*Parametri_v3!$C$7*Parametri_v3!$C$8+Parametri_v3!$C$10)/12</f>
        <v>19.25</v>
      </c>
      <c r="AG490" s="15" t="n">
        <f aca="false">AD490+AE490*(1+Parametri_v3!$C$9)</f>
        <v>19.7916666666667</v>
      </c>
      <c r="AH490" s="16" t="n">
        <f aca="false">IF(AG490=0,1,MIN(1,AF490/AG490))</f>
        <v>0.972631578947368</v>
      </c>
      <c r="AI490" s="15" t="n">
        <f aca="false">AD490*AH490</f>
        <v>16.2105263157895</v>
      </c>
      <c r="AJ490" s="15" t="n">
        <f aca="false">AE490*AH490</f>
        <v>2.02631578947368</v>
      </c>
      <c r="AK490" s="15" t="n">
        <f aca="false">AI490*INDEX(Ipotesi!$C$49:$G$49,1,F490)*H490</f>
        <v>12157.8947368421</v>
      </c>
      <c r="AL490" s="15" t="n">
        <f aca="false">AJ490*INDEX(Ipotesi!$C$51:$G$51,1,F490)*H490</f>
        <v>4052.63157894737</v>
      </c>
      <c r="AM490" s="15" t="n">
        <f aca="false">AK490+AL490</f>
        <v>16210.5263157895</v>
      </c>
      <c r="AN490" s="15" t="n">
        <f aca="false">INDEX(Ipotesi!$C$30:$G$30,1,F490)*G490/12</f>
        <v>8.33333333333333</v>
      </c>
      <c r="AO490" s="15" t="n">
        <f aca="false">O490*Parametri_v3!$C$7*Parametri_v3!$C$11*(1-Parametri_v3!$C$14)/12</f>
        <v>10.2666666666667</v>
      </c>
      <c r="AP490" s="15" t="n">
        <f aca="false">MIN(AN490,AO490)</f>
        <v>8.33333333333333</v>
      </c>
      <c r="AQ490" s="15" t="n">
        <f aca="false">AP490*INDEX(Ipotesi!$C$31:$G$31,1,F490)*H490</f>
        <v>7500</v>
      </c>
      <c r="AR490" s="15" t="n">
        <f aca="false">INDEX(Ipotesi!$C$75:$G$75,1,F490)*J490/12</f>
        <v>2083.33333333333</v>
      </c>
      <c r="AS490" s="15" t="n">
        <f aca="false">INDEX(Ipotesi!$C$81:$G$81,1,F490)*J490/12</f>
        <v>416.666666666667</v>
      </c>
      <c r="AT490" s="15" t="n">
        <f aca="false">AR490*Parametri_v3!$C$15+Z490*Parametri_v3!$C$16</f>
        <v>3395.83333333333</v>
      </c>
      <c r="AU490" s="15" t="n">
        <f aca="false">Q490*Parametri_v3!$C$16*Parametri_v3!$C$17</f>
        <v>35</v>
      </c>
      <c r="AV490" s="17" t="n">
        <f aca="false">BD489</f>
        <v>1.11111111111111</v>
      </c>
      <c r="AW490" s="17" t="n">
        <f aca="false">AV490*(1-(1-INDEX(Ipotesi!$C$34:$G$34,1,F490))^(1/12))</f>
        <v>0</v>
      </c>
      <c r="AX490" s="15" t="n">
        <f aca="false">ROUND(INDEX(Ipotesi!$C$32:$G$32,1,F490)*Ipotesi!K8,0)</f>
        <v>5</v>
      </c>
      <c r="AY490" s="15" t="n">
        <f aca="false">MAX(0,(AX490-(AV490-AW490))/(13-E490))</f>
        <v>0.555555555555556</v>
      </c>
      <c r="AZ490" s="15" t="n">
        <f aca="false">MIN(P490*Parametri_v3!$C$22,Q490*(1-Parametri_v3!$C$16)*Parametri_v3!$C$23)</f>
        <v>22.5</v>
      </c>
      <c r="BA490" s="15" t="n">
        <f aca="false">IF(OR(INDEX(Ipotesi!$C$35:$G$35,1,F490)&lt;=0,6-Parametri_v3!$C$21&lt;1),0,INDEX($AT$485:$AT$544,MAX(1,6-Parametri_v3!$C$21))/(INDEX(Ipotesi!$C$35:$G$35,1,F490)*Ipotesi!K27))</f>
        <v>0.679166666666667</v>
      </c>
      <c r="BB490" s="15" t="n">
        <f aca="false">IF(6-Parametri_v3!$C$21&lt;1,0,INDEX($AU$485:$AU$544,MAX(1,6-Parametri_v3!$C$21)))*Parametri_v3!$C$18*Parametri_v3!$C$19*Parametri_v3!$C$20</f>
        <v>1.3125</v>
      </c>
      <c r="BC490" s="17" t="n">
        <f aca="false">MAX(0,MIN(AY490,BA490,BB490,MAX(0,AZ490-(AV490-AW490))))</f>
        <v>0.555555555555556</v>
      </c>
      <c r="BD490" s="17" t="n">
        <f aca="false">AV490-AW490+BC490</f>
        <v>1.66666666666667</v>
      </c>
      <c r="BE490" s="17" t="n">
        <f aca="false">(AV490+BD490)/2</f>
        <v>1.38888888888889</v>
      </c>
      <c r="BF490" s="15" t="n">
        <f aca="false">BE490*INDEX(Ipotesi!$C$33:$G$33,1,F490)*H490/12</f>
        <v>231.481481481482</v>
      </c>
      <c r="BG490" s="15" t="n">
        <f aca="false">BD490*INDEX(Ipotesi!$C$33:$G$33,1,F490)*H490</f>
        <v>3333.33333333333</v>
      </c>
      <c r="BH490" s="15" t="n">
        <f aca="false">AM490*INDEX(Ipotesi!$C$37:$G$37,1,F490)</f>
        <v>1621.05263157895</v>
      </c>
      <c r="BI490" s="15" t="n">
        <f aca="false">AQ490+BF490+BH490</f>
        <v>9352.53411306043</v>
      </c>
      <c r="BJ490" s="15" t="n">
        <f aca="false">INDEX(Ipotesi!$C$68:$G$68,1,F490)*Ipotesi!$C$69/12</f>
        <v>1000</v>
      </c>
      <c r="BK490" s="15" t="n">
        <f aca="false">INDEX(Ipotesi!$C$68:$G$68,1,F490)*(1-Ipotesi!$C$69)/12</f>
        <v>1500</v>
      </c>
      <c r="BL490" s="15" t="n">
        <f aca="false">(AQ490+BF490)*Ipotesi!$C$67</f>
        <v>231.944444444444</v>
      </c>
      <c r="BM490" s="15" t="n">
        <f aca="false">AM490*Ipotesi!$C$67</f>
        <v>486.315789473684</v>
      </c>
      <c r="BN490" s="15" t="n">
        <f aca="false">INDEX(Ipotesi!$C$72:$G$72,1,F490)/12*Ipotesi!K126+BF490*Ipotesi!$C$73</f>
        <v>1268.51851851852</v>
      </c>
      <c r="BO490" s="15" t="n">
        <f aca="false">INDEX(Ipotesi!$C$74:$G$74,1,F490)/12*Ipotesi!K126</f>
        <v>1000</v>
      </c>
      <c r="BP490" s="15" t="n">
        <f aca="false">INDEX(Ipotesi!$C$76:$G$76,1,F490)/12</f>
        <v>500</v>
      </c>
      <c r="BQ490" s="15" t="n">
        <f aca="false">INDEX(Ipotesi!$C$77:$G$77,1,F490)/12*Ipotesi!K126</f>
        <v>1250</v>
      </c>
      <c r="BR490" s="15" t="n">
        <f aca="false">INDEX(Ipotesi!$C$78:$G$78,1,F490)/12</f>
        <v>1000</v>
      </c>
      <c r="BS490" s="15" t="n">
        <f aca="false">SUM(M490:R490)*(Ipotesi!$C$85+Ipotesi!$C$86)/12</f>
        <v>1239.58333333333</v>
      </c>
      <c r="BT490" s="15" t="n">
        <f aca="false">BI490*Ipotesi!$C$87</f>
        <v>280.576023391813</v>
      </c>
      <c r="BU490" s="15" t="n">
        <f aca="false">INDEX(Ipotesi!$C$55:$G$55,1,F490)*K490/12</f>
        <v>500</v>
      </c>
      <c r="BV490" s="15" t="n">
        <f aca="false">INDEX(Ipotesi!$C$80:$G$80,1,F490)/12*Ipotesi!K126</f>
        <v>500</v>
      </c>
      <c r="BW490" s="15" t="n">
        <f aca="false">INDEX(Ipotesi!$C$82:$G$82,1,F490)/12</f>
        <v>416.666666666667</v>
      </c>
      <c r="BX490" s="15" t="n">
        <f aca="false">INDEX(Ipotesi!$C$83:$G$83,1,F490)/12</f>
        <v>500</v>
      </c>
      <c r="BY490" s="15" t="n">
        <f aca="false">SUM(S490:U490)*(Ipotesi!$C$85+Ipotesi!$C$86)/12</f>
        <v>437.5</v>
      </c>
      <c r="BZ490" s="15" t="n">
        <f aca="false">AM490*Ipotesi!$C$87</f>
        <v>486.315789473684</v>
      </c>
      <c r="CA490" s="15" t="n">
        <f aca="false">AB490+BJ490+BL490+BN490+BO490+AR490+BP490+BQ490+BR490+BS490+BT490</f>
        <v>27770.6223196881</v>
      </c>
      <c r="CB490" s="15" t="n">
        <f aca="false">AC490+BK490+BM490+BH490+BU490+BV490+AS490+BW490+BX490+BY490+BZ490</f>
        <v>12114.5175438596</v>
      </c>
      <c r="CC490" s="15" t="n">
        <f aca="false">BI490-CA490</f>
        <v>-18418.0882066277</v>
      </c>
      <c r="CD490" s="15" t="n">
        <f aca="false">AM490-CB490</f>
        <v>4096.00877192982</v>
      </c>
      <c r="CE490" s="15" t="n">
        <f aca="false">INDEX(Ipotesi!$C$79:$G$79,1,F490)/12</f>
        <v>1666.66666666667</v>
      </c>
      <c r="CF490" s="15" t="n">
        <f aca="false">INDEX(Ipotesi!$C$84:$G$84,1,F490)/12</f>
        <v>250</v>
      </c>
      <c r="CG490" s="15" t="n">
        <f aca="false">Y490*MAX(0,Parametri_v3!$C$12-IF(P490=0,0,MIN(1,BE490/(P490*Parametri_v3!$C$22))))+W490*Parametri_v3!$C$13+X490*Parametri_v3!$C$14</f>
        <v>7129.62962962963</v>
      </c>
      <c r="CH490" s="15" t="n">
        <f aca="false">AB490*Parametri_v3!$C$32</f>
        <v>895.833333333334</v>
      </c>
      <c r="CI490" s="15" t="n">
        <f aca="false">AC490*Parametri_v3!$C$32</f>
        <v>262.5</v>
      </c>
      <c r="CJ490" s="15" t="n">
        <f aca="false">CA490-AB490</f>
        <v>9853.95565302144</v>
      </c>
      <c r="CK490" s="15" t="n">
        <f aca="false">CB490-AC490-BH490</f>
        <v>5243.4649122807</v>
      </c>
      <c r="CL490" s="15" t="n">
        <f aca="false">BF490*Ipotesi!$C$73+INDEX(Ipotesi!$C$72:$G$72,1,F490)/12*Ipotesi!K126*Parametri_v3!$C$58+Z490*(1-Parametri_v3!$C$16)</f>
        <v>1831.01851851852</v>
      </c>
      <c r="CM490" s="16" t="n">
        <f aca="false">IF(BF490=0,0,1-CL490/BF490)</f>
        <v>-6.91</v>
      </c>
    </row>
    <row r="491" customFormat="false" ht="18" hidden="false" customHeight="true" outlineLevel="0" collapsed="false">
      <c r="A491" s="68" t="n">
        <f aca="false">9</f>
        <v>9</v>
      </c>
      <c r="B491" s="68" t="n">
        <f aca="false">7</f>
        <v>7</v>
      </c>
      <c r="C491" s="18" t="n">
        <f aca="false">EDATE(Parametri_v3!$C$5,7-1)</f>
        <v>46569</v>
      </c>
      <c r="D491" s="68" t="n">
        <f aca="false">YEAR(C491)</f>
        <v>2027</v>
      </c>
      <c r="E491" s="68" t="n">
        <f aca="false">MONTH(C491)</f>
        <v>7</v>
      </c>
      <c r="F491" s="68" t="n">
        <f aca="false">INT((7-1)/12)+1</f>
        <v>1</v>
      </c>
      <c r="G491" s="15" t="n">
        <f aca="false">Ipotesi!K7</f>
        <v>1</v>
      </c>
      <c r="H491" s="15" t="n">
        <f aca="false">Ipotesi!K9</f>
        <v>1</v>
      </c>
      <c r="I491" s="15" t="n">
        <f aca="false">Ipotesi!K10</f>
        <v>1</v>
      </c>
      <c r="J491" s="15" t="n">
        <f aca="false">Ipotesi!K11</f>
        <v>1</v>
      </c>
      <c r="K491" s="15" t="n">
        <f aca="false">Ipotesi!K12</f>
        <v>1</v>
      </c>
      <c r="L491" s="15" t="n">
        <f aca="false">Ipotesi!K13</f>
        <v>90</v>
      </c>
      <c r="M491" s="17" t="n">
        <f aca="false">INDEX(Ipotesi!$C$40:$G$40,1,F491)</f>
        <v>1</v>
      </c>
      <c r="N491" s="17" t="n">
        <f aca="false">INDEX(Ipotesi!$C$41:$G$41,1,F491)</f>
        <v>0.75</v>
      </c>
      <c r="O491" s="17" t="n">
        <f aca="false">INDEX(Ipotesi!$C$42:$G$42,1,F491)*Ipotesi!K125</f>
        <v>1</v>
      </c>
      <c r="P491" s="17" t="n">
        <f aca="false">INDEX(Ipotesi!$C$43:$G$43,1,F491)*I491</f>
        <v>1</v>
      </c>
      <c r="Q491" s="17" t="n">
        <f aca="false">INDEX(Ipotesi!$C$44:$G$44,1,F491)*I491</f>
        <v>0.5</v>
      </c>
      <c r="R491" s="17" t="n">
        <f aca="false">INDEX(Ipotesi!$C$45:$G$45,1,F491)*I491</f>
        <v>0</v>
      </c>
      <c r="S491" s="17" t="n">
        <f aca="false">INDEX(Ipotesi!$C$52:$G$52,1,F491)*Ipotesi!K125</f>
        <v>1.5</v>
      </c>
      <c r="T491" s="17" t="n">
        <f aca="false">INDEX(Ipotesi!$C$53:$G$53,1,F491)*I491</f>
        <v>0</v>
      </c>
      <c r="U491" s="17" t="n">
        <f aca="false">INDEX(Ipotesi!$C$54:$G$54,1,F491)*I491</f>
        <v>0</v>
      </c>
      <c r="V491" s="15" t="n">
        <f aca="false">M491*INDEX(Ipotesi!$C$58:$G$58,1,F491)*K491/12</f>
        <v>3333.33333333333</v>
      </c>
      <c r="W491" s="15" t="n">
        <f aca="false">N491*Ipotesi!$C$59*(1+Ipotesi!$C$66)^(F491-1)/12</f>
        <v>4375</v>
      </c>
      <c r="X491" s="15" t="n">
        <f aca="false">O491*Ipotesi!$C$60*(1+Ipotesi!$C$66)^(F491-1)/12</f>
        <v>4166.66666666667</v>
      </c>
      <c r="Y491" s="15" t="n">
        <f aca="false">P491*Ipotesi!$C$61*(1+Ipotesi!$C$66)^(F491-1)/12</f>
        <v>4166.66666666667</v>
      </c>
      <c r="Z491" s="15" t="n">
        <f aca="false">Q491*Ipotesi!$C$62*(1+Ipotesi!$C$66)^(F491-1)/12</f>
        <v>1875</v>
      </c>
      <c r="AA491" s="15" t="n">
        <f aca="false">R491*Ipotesi!$C$63*(1+Ipotesi!$C$66)^(F491-1)/12</f>
        <v>0</v>
      </c>
      <c r="AB491" s="15" t="n">
        <f aca="false">SUM(V491:AA491)</f>
        <v>17916.6666666667</v>
      </c>
      <c r="AC491" s="15" t="n">
        <f aca="false">(S491*Ipotesi!$C$64+T491*Ipotesi!$C$65+U491*Ipotesi!$C$63)*(1+Ipotesi!$C$66)^(F491-1)/12</f>
        <v>5250</v>
      </c>
      <c r="AD491" s="15" t="n">
        <f aca="false">INDEX(Ipotesi!$C$48:$G$48,1,F491)*G491/12</f>
        <v>16.6666666666667</v>
      </c>
      <c r="AE491" s="15" t="n">
        <f aca="false">INDEX(Ipotesi!$C$50:$G$50,1,F491)*G491/12</f>
        <v>2.08333333333333</v>
      </c>
      <c r="AF491" s="15" t="n">
        <f aca="false">(S491*Parametri_v3!$C$7*Parametri_v3!$C$8+Parametri_v3!$C$10)/12</f>
        <v>19.25</v>
      </c>
      <c r="AG491" s="15" t="n">
        <f aca="false">AD491+AE491*(1+Parametri_v3!$C$9)</f>
        <v>19.7916666666667</v>
      </c>
      <c r="AH491" s="16" t="n">
        <f aca="false">IF(AG491=0,1,MIN(1,AF491/AG491))</f>
        <v>0.972631578947368</v>
      </c>
      <c r="AI491" s="15" t="n">
        <f aca="false">AD491*AH491</f>
        <v>16.2105263157895</v>
      </c>
      <c r="AJ491" s="15" t="n">
        <f aca="false">AE491*AH491</f>
        <v>2.02631578947368</v>
      </c>
      <c r="AK491" s="15" t="n">
        <f aca="false">AI491*INDEX(Ipotesi!$C$49:$G$49,1,F491)*H491</f>
        <v>12157.8947368421</v>
      </c>
      <c r="AL491" s="15" t="n">
        <f aca="false">AJ491*INDEX(Ipotesi!$C$51:$G$51,1,F491)*H491</f>
        <v>4052.63157894737</v>
      </c>
      <c r="AM491" s="15" t="n">
        <f aca="false">AK491+AL491</f>
        <v>16210.5263157895</v>
      </c>
      <c r="AN491" s="15" t="n">
        <f aca="false">INDEX(Ipotesi!$C$30:$G$30,1,F491)*G491/12</f>
        <v>8.33333333333333</v>
      </c>
      <c r="AO491" s="15" t="n">
        <f aca="false">O491*Parametri_v3!$C$7*Parametri_v3!$C$11*(1-Parametri_v3!$C$14)/12</f>
        <v>10.2666666666667</v>
      </c>
      <c r="AP491" s="15" t="n">
        <f aca="false">MIN(AN491,AO491)</f>
        <v>8.33333333333333</v>
      </c>
      <c r="AQ491" s="15" t="n">
        <f aca="false">AP491*INDEX(Ipotesi!$C$31:$G$31,1,F491)*H491</f>
        <v>7500</v>
      </c>
      <c r="AR491" s="15" t="n">
        <f aca="false">INDEX(Ipotesi!$C$75:$G$75,1,F491)*J491/12</f>
        <v>2083.33333333333</v>
      </c>
      <c r="AS491" s="15" t="n">
        <f aca="false">INDEX(Ipotesi!$C$81:$G$81,1,F491)*J491/12</f>
        <v>416.666666666667</v>
      </c>
      <c r="AT491" s="15" t="n">
        <f aca="false">AR491*Parametri_v3!$C$15+Z491*Parametri_v3!$C$16</f>
        <v>3395.83333333333</v>
      </c>
      <c r="AU491" s="15" t="n">
        <f aca="false">Q491*Parametri_v3!$C$16*Parametri_v3!$C$17</f>
        <v>35</v>
      </c>
      <c r="AV491" s="17" t="n">
        <f aca="false">BD490</f>
        <v>1.66666666666667</v>
      </c>
      <c r="AW491" s="17" t="n">
        <f aca="false">AV491*(1-(1-INDEX(Ipotesi!$C$34:$G$34,1,F491))^(1/12))</f>
        <v>0</v>
      </c>
      <c r="AX491" s="15" t="n">
        <f aca="false">ROUND(INDEX(Ipotesi!$C$32:$G$32,1,F491)*Ipotesi!K8,0)</f>
        <v>5</v>
      </c>
      <c r="AY491" s="15" t="n">
        <f aca="false">MAX(0,(AX491-(AV491-AW491))/(13-E491))</f>
        <v>0.555555555555556</v>
      </c>
      <c r="AZ491" s="15" t="n">
        <f aca="false">MIN(P491*Parametri_v3!$C$22,Q491*(1-Parametri_v3!$C$16)*Parametri_v3!$C$23)</f>
        <v>22.5</v>
      </c>
      <c r="BA491" s="15" t="n">
        <f aca="false">IF(OR(INDEX(Ipotesi!$C$35:$G$35,1,F491)&lt;=0,7-Parametri_v3!$C$21&lt;1),0,INDEX($AT$485:$AT$544,MAX(1,7-Parametri_v3!$C$21))/(INDEX(Ipotesi!$C$35:$G$35,1,F491)*Ipotesi!K27))</f>
        <v>0.679166666666667</v>
      </c>
      <c r="BB491" s="15" t="n">
        <f aca="false">IF(7-Parametri_v3!$C$21&lt;1,0,INDEX($AU$485:$AU$544,MAX(1,7-Parametri_v3!$C$21)))*Parametri_v3!$C$18*Parametri_v3!$C$19*Parametri_v3!$C$20</f>
        <v>1.3125</v>
      </c>
      <c r="BC491" s="17" t="n">
        <f aca="false">MAX(0,MIN(AY491,BA491,BB491,MAX(0,AZ491-(AV491-AW491))))</f>
        <v>0.555555555555556</v>
      </c>
      <c r="BD491" s="17" t="n">
        <f aca="false">AV491-AW491+BC491</f>
        <v>2.22222222222222</v>
      </c>
      <c r="BE491" s="17" t="n">
        <f aca="false">(AV491+BD491)/2</f>
        <v>1.94444444444444</v>
      </c>
      <c r="BF491" s="15" t="n">
        <f aca="false">BE491*INDEX(Ipotesi!$C$33:$G$33,1,F491)*H491/12</f>
        <v>324.074074074074</v>
      </c>
      <c r="BG491" s="15" t="n">
        <f aca="false">BD491*INDEX(Ipotesi!$C$33:$G$33,1,F491)*H491</f>
        <v>4444.44444444444</v>
      </c>
      <c r="BH491" s="15" t="n">
        <f aca="false">AM491*INDEX(Ipotesi!$C$37:$G$37,1,F491)</f>
        <v>1621.05263157895</v>
      </c>
      <c r="BI491" s="15" t="n">
        <f aca="false">AQ491+BF491+BH491</f>
        <v>9445.12670565302</v>
      </c>
      <c r="BJ491" s="15" t="n">
        <f aca="false">INDEX(Ipotesi!$C$68:$G$68,1,F491)*Ipotesi!$C$69/12</f>
        <v>1000</v>
      </c>
      <c r="BK491" s="15" t="n">
        <f aca="false">INDEX(Ipotesi!$C$68:$G$68,1,F491)*(1-Ipotesi!$C$69)/12</f>
        <v>1500</v>
      </c>
      <c r="BL491" s="15" t="n">
        <f aca="false">(AQ491+BF491)*Ipotesi!$C$67</f>
        <v>234.722222222222</v>
      </c>
      <c r="BM491" s="15" t="n">
        <f aca="false">AM491*Ipotesi!$C$67</f>
        <v>486.315789473684</v>
      </c>
      <c r="BN491" s="15" t="n">
        <f aca="false">INDEX(Ipotesi!$C$72:$G$72,1,F491)/12*Ipotesi!K126+BF491*Ipotesi!$C$73</f>
        <v>1275.92592592593</v>
      </c>
      <c r="BO491" s="15" t="n">
        <f aca="false">INDEX(Ipotesi!$C$74:$G$74,1,F491)/12*Ipotesi!K126</f>
        <v>1000</v>
      </c>
      <c r="BP491" s="15" t="n">
        <f aca="false">INDEX(Ipotesi!$C$76:$G$76,1,F491)/12</f>
        <v>500</v>
      </c>
      <c r="BQ491" s="15" t="n">
        <f aca="false">INDEX(Ipotesi!$C$77:$G$77,1,F491)/12*Ipotesi!K126</f>
        <v>1250</v>
      </c>
      <c r="BR491" s="15" t="n">
        <f aca="false">INDEX(Ipotesi!$C$78:$G$78,1,F491)/12</f>
        <v>1000</v>
      </c>
      <c r="BS491" s="15" t="n">
        <f aca="false">SUM(M491:R491)*(Ipotesi!$C$85+Ipotesi!$C$86)/12</f>
        <v>1239.58333333333</v>
      </c>
      <c r="BT491" s="15" t="n">
        <f aca="false">BI491*Ipotesi!$C$87</f>
        <v>283.353801169591</v>
      </c>
      <c r="BU491" s="15" t="n">
        <f aca="false">INDEX(Ipotesi!$C$55:$G$55,1,F491)*K491/12</f>
        <v>500</v>
      </c>
      <c r="BV491" s="15" t="n">
        <f aca="false">INDEX(Ipotesi!$C$80:$G$80,1,F491)/12*Ipotesi!K126</f>
        <v>500</v>
      </c>
      <c r="BW491" s="15" t="n">
        <f aca="false">INDEX(Ipotesi!$C$82:$G$82,1,F491)/12</f>
        <v>416.666666666667</v>
      </c>
      <c r="BX491" s="15" t="n">
        <f aca="false">INDEX(Ipotesi!$C$83:$G$83,1,F491)/12</f>
        <v>500</v>
      </c>
      <c r="BY491" s="15" t="n">
        <f aca="false">SUM(S491:U491)*(Ipotesi!$C$85+Ipotesi!$C$86)/12</f>
        <v>437.5</v>
      </c>
      <c r="BZ491" s="15" t="n">
        <f aca="false">AM491*Ipotesi!$C$87</f>
        <v>486.315789473684</v>
      </c>
      <c r="CA491" s="15" t="n">
        <f aca="false">AB491+BJ491+BL491+BN491+BO491+AR491+BP491+BQ491+BR491+BS491+BT491</f>
        <v>27783.5852826511</v>
      </c>
      <c r="CB491" s="15" t="n">
        <f aca="false">AC491+BK491+BM491+BH491+BU491+BV491+AS491+BW491+BX491+BY491+BZ491</f>
        <v>12114.5175438596</v>
      </c>
      <c r="CC491" s="15" t="n">
        <f aca="false">BI491-CA491</f>
        <v>-18338.458576998</v>
      </c>
      <c r="CD491" s="15" t="n">
        <f aca="false">AM491-CB491</f>
        <v>4096.00877192982</v>
      </c>
      <c r="CE491" s="15" t="n">
        <f aca="false">INDEX(Ipotesi!$C$79:$G$79,1,F491)/12</f>
        <v>1666.66666666667</v>
      </c>
      <c r="CF491" s="15" t="n">
        <f aca="false">INDEX(Ipotesi!$C$84:$G$84,1,F491)/12</f>
        <v>250</v>
      </c>
      <c r="CG491" s="15" t="n">
        <f aca="false">Y491*MAX(0,Parametri_v3!$C$12-IF(P491=0,0,MIN(1,BE491/(P491*Parametri_v3!$C$22))))+W491*Parametri_v3!$C$13+X491*Parametri_v3!$C$14</f>
        <v>7106.48148148148</v>
      </c>
      <c r="CH491" s="15" t="n">
        <f aca="false">AB491*Parametri_v3!$C$32</f>
        <v>895.833333333334</v>
      </c>
      <c r="CI491" s="15" t="n">
        <f aca="false">AC491*Parametri_v3!$C$32</f>
        <v>262.5</v>
      </c>
      <c r="CJ491" s="15" t="n">
        <f aca="false">CA491-AB491</f>
        <v>9866.9186159844</v>
      </c>
      <c r="CK491" s="15" t="n">
        <f aca="false">CB491-AC491-BH491</f>
        <v>5243.4649122807</v>
      </c>
      <c r="CL491" s="15" t="n">
        <f aca="false">BF491*Ipotesi!$C$73+INDEX(Ipotesi!$C$72:$G$72,1,F491)/12*Ipotesi!K126*Parametri_v3!$C$58+Z491*(1-Parametri_v3!$C$16)</f>
        <v>1838.42592592593</v>
      </c>
      <c r="CM491" s="16" t="n">
        <f aca="false">IF(BF491=0,0,1-CL491/BF491)</f>
        <v>-4.67285714285714</v>
      </c>
    </row>
    <row r="492" customFormat="false" ht="18" hidden="false" customHeight="true" outlineLevel="0" collapsed="false">
      <c r="A492" s="68" t="n">
        <f aca="false">9</f>
        <v>9</v>
      </c>
      <c r="B492" s="68" t="n">
        <f aca="false">8</f>
        <v>8</v>
      </c>
      <c r="C492" s="18" t="n">
        <f aca="false">EDATE(Parametri_v3!$C$5,8-1)</f>
        <v>46600</v>
      </c>
      <c r="D492" s="68" t="n">
        <f aca="false">YEAR(C492)</f>
        <v>2027</v>
      </c>
      <c r="E492" s="68" t="n">
        <f aca="false">MONTH(C492)</f>
        <v>8</v>
      </c>
      <c r="F492" s="68" t="n">
        <f aca="false">INT((8-1)/12)+1</f>
        <v>1</v>
      </c>
      <c r="G492" s="15" t="n">
        <f aca="false">Ipotesi!K7</f>
        <v>1</v>
      </c>
      <c r="H492" s="15" t="n">
        <f aca="false">Ipotesi!K9</f>
        <v>1</v>
      </c>
      <c r="I492" s="15" t="n">
        <f aca="false">Ipotesi!K10</f>
        <v>1</v>
      </c>
      <c r="J492" s="15" t="n">
        <f aca="false">Ipotesi!K11</f>
        <v>1</v>
      </c>
      <c r="K492" s="15" t="n">
        <f aca="false">Ipotesi!K12</f>
        <v>1</v>
      </c>
      <c r="L492" s="15" t="n">
        <f aca="false">Ipotesi!K13</f>
        <v>90</v>
      </c>
      <c r="M492" s="17" t="n">
        <f aca="false">INDEX(Ipotesi!$C$40:$G$40,1,F492)</f>
        <v>1</v>
      </c>
      <c r="N492" s="17" t="n">
        <f aca="false">INDEX(Ipotesi!$C$41:$G$41,1,F492)</f>
        <v>0.75</v>
      </c>
      <c r="O492" s="17" t="n">
        <f aca="false">INDEX(Ipotesi!$C$42:$G$42,1,F492)*Ipotesi!K125</f>
        <v>1</v>
      </c>
      <c r="P492" s="17" t="n">
        <f aca="false">INDEX(Ipotesi!$C$43:$G$43,1,F492)*I492</f>
        <v>1</v>
      </c>
      <c r="Q492" s="17" t="n">
        <f aca="false">INDEX(Ipotesi!$C$44:$G$44,1,F492)*I492</f>
        <v>0.5</v>
      </c>
      <c r="R492" s="17" t="n">
        <f aca="false">INDEX(Ipotesi!$C$45:$G$45,1,F492)*I492</f>
        <v>0</v>
      </c>
      <c r="S492" s="17" t="n">
        <f aca="false">INDEX(Ipotesi!$C$52:$G$52,1,F492)*Ipotesi!K125</f>
        <v>1.5</v>
      </c>
      <c r="T492" s="17" t="n">
        <f aca="false">INDEX(Ipotesi!$C$53:$G$53,1,F492)*I492</f>
        <v>0</v>
      </c>
      <c r="U492" s="17" t="n">
        <f aca="false">INDEX(Ipotesi!$C$54:$G$54,1,F492)*I492</f>
        <v>0</v>
      </c>
      <c r="V492" s="15" t="n">
        <f aca="false">M492*INDEX(Ipotesi!$C$58:$G$58,1,F492)*K492/12</f>
        <v>3333.33333333333</v>
      </c>
      <c r="W492" s="15" t="n">
        <f aca="false">N492*Ipotesi!$C$59*(1+Ipotesi!$C$66)^(F492-1)/12</f>
        <v>4375</v>
      </c>
      <c r="X492" s="15" t="n">
        <f aca="false">O492*Ipotesi!$C$60*(1+Ipotesi!$C$66)^(F492-1)/12</f>
        <v>4166.66666666667</v>
      </c>
      <c r="Y492" s="15" t="n">
        <f aca="false">P492*Ipotesi!$C$61*(1+Ipotesi!$C$66)^(F492-1)/12</f>
        <v>4166.66666666667</v>
      </c>
      <c r="Z492" s="15" t="n">
        <f aca="false">Q492*Ipotesi!$C$62*(1+Ipotesi!$C$66)^(F492-1)/12</f>
        <v>1875</v>
      </c>
      <c r="AA492" s="15" t="n">
        <f aca="false">R492*Ipotesi!$C$63*(1+Ipotesi!$C$66)^(F492-1)/12</f>
        <v>0</v>
      </c>
      <c r="AB492" s="15" t="n">
        <f aca="false">SUM(V492:AA492)</f>
        <v>17916.6666666667</v>
      </c>
      <c r="AC492" s="15" t="n">
        <f aca="false">(S492*Ipotesi!$C$64+T492*Ipotesi!$C$65+U492*Ipotesi!$C$63)*(1+Ipotesi!$C$66)^(F492-1)/12</f>
        <v>5250</v>
      </c>
      <c r="AD492" s="15" t="n">
        <f aca="false">INDEX(Ipotesi!$C$48:$G$48,1,F492)*G492/12</f>
        <v>16.6666666666667</v>
      </c>
      <c r="AE492" s="15" t="n">
        <f aca="false">INDEX(Ipotesi!$C$50:$G$50,1,F492)*G492/12</f>
        <v>2.08333333333333</v>
      </c>
      <c r="AF492" s="15" t="n">
        <f aca="false">(S492*Parametri_v3!$C$7*Parametri_v3!$C$8+Parametri_v3!$C$10)/12</f>
        <v>19.25</v>
      </c>
      <c r="AG492" s="15" t="n">
        <f aca="false">AD492+AE492*(1+Parametri_v3!$C$9)</f>
        <v>19.7916666666667</v>
      </c>
      <c r="AH492" s="16" t="n">
        <f aca="false">IF(AG492=0,1,MIN(1,AF492/AG492))</f>
        <v>0.972631578947368</v>
      </c>
      <c r="AI492" s="15" t="n">
        <f aca="false">AD492*AH492</f>
        <v>16.2105263157895</v>
      </c>
      <c r="AJ492" s="15" t="n">
        <f aca="false">AE492*AH492</f>
        <v>2.02631578947368</v>
      </c>
      <c r="AK492" s="15" t="n">
        <f aca="false">AI492*INDEX(Ipotesi!$C$49:$G$49,1,F492)*H492</f>
        <v>12157.8947368421</v>
      </c>
      <c r="AL492" s="15" t="n">
        <f aca="false">AJ492*INDEX(Ipotesi!$C$51:$G$51,1,F492)*H492</f>
        <v>4052.63157894737</v>
      </c>
      <c r="AM492" s="15" t="n">
        <f aca="false">AK492+AL492</f>
        <v>16210.5263157895</v>
      </c>
      <c r="AN492" s="15" t="n">
        <f aca="false">INDEX(Ipotesi!$C$30:$G$30,1,F492)*G492/12</f>
        <v>8.33333333333333</v>
      </c>
      <c r="AO492" s="15" t="n">
        <f aca="false">O492*Parametri_v3!$C$7*Parametri_v3!$C$11*(1-Parametri_v3!$C$14)/12</f>
        <v>10.2666666666667</v>
      </c>
      <c r="AP492" s="15" t="n">
        <f aca="false">MIN(AN492,AO492)</f>
        <v>8.33333333333333</v>
      </c>
      <c r="AQ492" s="15" t="n">
        <f aca="false">AP492*INDEX(Ipotesi!$C$31:$G$31,1,F492)*H492</f>
        <v>7500</v>
      </c>
      <c r="AR492" s="15" t="n">
        <f aca="false">INDEX(Ipotesi!$C$75:$G$75,1,F492)*J492/12</f>
        <v>2083.33333333333</v>
      </c>
      <c r="AS492" s="15" t="n">
        <f aca="false">INDEX(Ipotesi!$C$81:$G$81,1,F492)*J492/12</f>
        <v>416.666666666667</v>
      </c>
      <c r="AT492" s="15" t="n">
        <f aca="false">AR492*Parametri_v3!$C$15+Z492*Parametri_v3!$C$16</f>
        <v>3395.83333333333</v>
      </c>
      <c r="AU492" s="15" t="n">
        <f aca="false">Q492*Parametri_v3!$C$16*Parametri_v3!$C$17</f>
        <v>35</v>
      </c>
      <c r="AV492" s="17" t="n">
        <f aca="false">BD491</f>
        <v>2.22222222222222</v>
      </c>
      <c r="AW492" s="17" t="n">
        <f aca="false">AV492*(1-(1-INDEX(Ipotesi!$C$34:$G$34,1,F492))^(1/12))</f>
        <v>0</v>
      </c>
      <c r="AX492" s="15" t="n">
        <f aca="false">ROUND(INDEX(Ipotesi!$C$32:$G$32,1,F492)*Ipotesi!K8,0)</f>
        <v>5</v>
      </c>
      <c r="AY492" s="15" t="n">
        <f aca="false">MAX(0,(AX492-(AV492-AW492))/(13-E492))</f>
        <v>0.555555555555556</v>
      </c>
      <c r="AZ492" s="15" t="n">
        <f aca="false">MIN(P492*Parametri_v3!$C$22,Q492*(1-Parametri_v3!$C$16)*Parametri_v3!$C$23)</f>
        <v>22.5</v>
      </c>
      <c r="BA492" s="15" t="n">
        <f aca="false">IF(OR(INDEX(Ipotesi!$C$35:$G$35,1,F492)&lt;=0,8-Parametri_v3!$C$21&lt;1),0,INDEX($AT$485:$AT$544,MAX(1,8-Parametri_v3!$C$21))/(INDEX(Ipotesi!$C$35:$G$35,1,F492)*Ipotesi!K27))</f>
        <v>0.679166666666667</v>
      </c>
      <c r="BB492" s="15" t="n">
        <f aca="false">IF(8-Parametri_v3!$C$21&lt;1,0,INDEX($AU$485:$AU$544,MAX(1,8-Parametri_v3!$C$21)))*Parametri_v3!$C$18*Parametri_v3!$C$19*Parametri_v3!$C$20</f>
        <v>1.3125</v>
      </c>
      <c r="BC492" s="17" t="n">
        <f aca="false">MAX(0,MIN(AY492,BA492,BB492,MAX(0,AZ492-(AV492-AW492))))</f>
        <v>0.555555555555556</v>
      </c>
      <c r="BD492" s="17" t="n">
        <f aca="false">AV492-AW492+BC492</f>
        <v>2.77777777777778</v>
      </c>
      <c r="BE492" s="17" t="n">
        <f aca="false">(AV492+BD492)/2</f>
        <v>2.5</v>
      </c>
      <c r="BF492" s="15" t="n">
        <f aca="false">BE492*INDEX(Ipotesi!$C$33:$G$33,1,F492)*H492/12</f>
        <v>416.666666666667</v>
      </c>
      <c r="BG492" s="15" t="n">
        <f aca="false">BD492*INDEX(Ipotesi!$C$33:$G$33,1,F492)*H492</f>
        <v>5555.55555555556</v>
      </c>
      <c r="BH492" s="15" t="n">
        <f aca="false">AM492*INDEX(Ipotesi!$C$37:$G$37,1,F492)</f>
        <v>1621.05263157895</v>
      </c>
      <c r="BI492" s="15" t="n">
        <f aca="false">AQ492+BF492+BH492</f>
        <v>9537.71929824561</v>
      </c>
      <c r="BJ492" s="15" t="n">
        <f aca="false">INDEX(Ipotesi!$C$68:$G$68,1,F492)*Ipotesi!$C$69/12</f>
        <v>1000</v>
      </c>
      <c r="BK492" s="15" t="n">
        <f aca="false">INDEX(Ipotesi!$C$68:$G$68,1,F492)*(1-Ipotesi!$C$69)/12</f>
        <v>1500</v>
      </c>
      <c r="BL492" s="15" t="n">
        <f aca="false">(AQ492+BF492)*Ipotesi!$C$67</f>
        <v>237.5</v>
      </c>
      <c r="BM492" s="15" t="n">
        <f aca="false">AM492*Ipotesi!$C$67</f>
        <v>486.315789473684</v>
      </c>
      <c r="BN492" s="15" t="n">
        <f aca="false">INDEX(Ipotesi!$C$72:$G$72,1,F492)/12*Ipotesi!K126+BF492*Ipotesi!$C$73</f>
        <v>1283.33333333333</v>
      </c>
      <c r="BO492" s="15" t="n">
        <f aca="false">INDEX(Ipotesi!$C$74:$G$74,1,F492)/12*Ipotesi!K126</f>
        <v>1000</v>
      </c>
      <c r="BP492" s="15" t="n">
        <f aca="false">INDEX(Ipotesi!$C$76:$G$76,1,F492)/12</f>
        <v>500</v>
      </c>
      <c r="BQ492" s="15" t="n">
        <f aca="false">INDEX(Ipotesi!$C$77:$G$77,1,F492)/12*Ipotesi!K126</f>
        <v>1250</v>
      </c>
      <c r="BR492" s="15" t="n">
        <f aca="false">INDEX(Ipotesi!$C$78:$G$78,1,F492)/12</f>
        <v>1000</v>
      </c>
      <c r="BS492" s="15" t="n">
        <f aca="false">SUM(M492:R492)*(Ipotesi!$C$85+Ipotesi!$C$86)/12</f>
        <v>1239.58333333333</v>
      </c>
      <c r="BT492" s="15" t="n">
        <f aca="false">BI492*Ipotesi!$C$87</f>
        <v>286.131578947368</v>
      </c>
      <c r="BU492" s="15" t="n">
        <f aca="false">INDEX(Ipotesi!$C$55:$G$55,1,F492)*K492/12</f>
        <v>500</v>
      </c>
      <c r="BV492" s="15" t="n">
        <f aca="false">INDEX(Ipotesi!$C$80:$G$80,1,F492)/12*Ipotesi!K126</f>
        <v>500</v>
      </c>
      <c r="BW492" s="15" t="n">
        <f aca="false">INDEX(Ipotesi!$C$82:$G$82,1,F492)/12</f>
        <v>416.666666666667</v>
      </c>
      <c r="BX492" s="15" t="n">
        <f aca="false">INDEX(Ipotesi!$C$83:$G$83,1,F492)/12</f>
        <v>500</v>
      </c>
      <c r="BY492" s="15" t="n">
        <f aca="false">SUM(S492:U492)*(Ipotesi!$C$85+Ipotesi!$C$86)/12</f>
        <v>437.5</v>
      </c>
      <c r="BZ492" s="15" t="n">
        <f aca="false">AM492*Ipotesi!$C$87</f>
        <v>486.315789473684</v>
      </c>
      <c r="CA492" s="15" t="n">
        <f aca="false">AB492+BJ492+BL492+BN492+BO492+AR492+BP492+BQ492+BR492+BS492+BT492</f>
        <v>27796.548245614</v>
      </c>
      <c r="CB492" s="15" t="n">
        <f aca="false">AC492+BK492+BM492+BH492+BU492+BV492+AS492+BW492+BX492+BY492+BZ492</f>
        <v>12114.5175438596</v>
      </c>
      <c r="CC492" s="15" t="n">
        <f aca="false">BI492-CA492</f>
        <v>-18258.8289473684</v>
      </c>
      <c r="CD492" s="15" t="n">
        <f aca="false">AM492-CB492</f>
        <v>4096.00877192982</v>
      </c>
      <c r="CE492" s="15" t="n">
        <f aca="false">INDEX(Ipotesi!$C$79:$G$79,1,F492)/12</f>
        <v>1666.66666666667</v>
      </c>
      <c r="CF492" s="15" t="n">
        <f aca="false">INDEX(Ipotesi!$C$84:$G$84,1,F492)/12</f>
        <v>250</v>
      </c>
      <c r="CG492" s="15" t="n">
        <f aca="false">Y492*MAX(0,Parametri_v3!$C$12-IF(P492=0,0,MIN(1,BE492/(P492*Parametri_v3!$C$22))))+W492*Parametri_v3!$C$13+X492*Parametri_v3!$C$14</f>
        <v>7083.33333333333</v>
      </c>
      <c r="CH492" s="15" t="n">
        <f aca="false">AB492*Parametri_v3!$C$32</f>
        <v>895.833333333334</v>
      </c>
      <c r="CI492" s="15" t="n">
        <f aca="false">AC492*Parametri_v3!$C$32</f>
        <v>262.5</v>
      </c>
      <c r="CJ492" s="15" t="n">
        <f aca="false">CA492-AB492</f>
        <v>9879.88157894737</v>
      </c>
      <c r="CK492" s="15" t="n">
        <f aca="false">CB492-AC492-BH492</f>
        <v>5243.4649122807</v>
      </c>
      <c r="CL492" s="15" t="n">
        <f aca="false">BF492*Ipotesi!$C$73+INDEX(Ipotesi!$C$72:$G$72,1,F492)/12*Ipotesi!K126*Parametri_v3!$C$58+Z492*(1-Parametri_v3!$C$16)</f>
        <v>1845.83333333333</v>
      </c>
      <c r="CM492" s="16" t="n">
        <f aca="false">IF(BF492=0,0,1-CL492/BF492)</f>
        <v>-3.43</v>
      </c>
    </row>
    <row r="493" customFormat="false" ht="18" hidden="false" customHeight="true" outlineLevel="0" collapsed="false">
      <c r="A493" s="68" t="n">
        <f aca="false">9</f>
        <v>9</v>
      </c>
      <c r="B493" s="68" t="n">
        <f aca="false">9</f>
        <v>9</v>
      </c>
      <c r="C493" s="18" t="n">
        <f aca="false">EDATE(Parametri_v3!$C$5,9-1)</f>
        <v>46631</v>
      </c>
      <c r="D493" s="68" t="n">
        <f aca="false">YEAR(C493)</f>
        <v>2027</v>
      </c>
      <c r="E493" s="68" t="n">
        <f aca="false">MONTH(C493)</f>
        <v>9</v>
      </c>
      <c r="F493" s="68" t="n">
        <f aca="false">INT((9-1)/12)+1</f>
        <v>1</v>
      </c>
      <c r="G493" s="15" t="n">
        <f aca="false">Ipotesi!K7</f>
        <v>1</v>
      </c>
      <c r="H493" s="15" t="n">
        <f aca="false">Ipotesi!K9</f>
        <v>1</v>
      </c>
      <c r="I493" s="15" t="n">
        <f aca="false">Ipotesi!K10</f>
        <v>1</v>
      </c>
      <c r="J493" s="15" t="n">
        <f aca="false">Ipotesi!K11</f>
        <v>1</v>
      </c>
      <c r="K493" s="15" t="n">
        <f aca="false">Ipotesi!K12</f>
        <v>1</v>
      </c>
      <c r="L493" s="15" t="n">
        <f aca="false">Ipotesi!K13</f>
        <v>90</v>
      </c>
      <c r="M493" s="17" t="n">
        <f aca="false">INDEX(Ipotesi!$C$40:$G$40,1,F493)</f>
        <v>1</v>
      </c>
      <c r="N493" s="17" t="n">
        <f aca="false">INDEX(Ipotesi!$C$41:$G$41,1,F493)</f>
        <v>0.75</v>
      </c>
      <c r="O493" s="17" t="n">
        <f aca="false">INDEX(Ipotesi!$C$42:$G$42,1,F493)*Ipotesi!K125</f>
        <v>1</v>
      </c>
      <c r="P493" s="17" t="n">
        <f aca="false">INDEX(Ipotesi!$C$43:$G$43,1,F493)*I493</f>
        <v>1</v>
      </c>
      <c r="Q493" s="17" t="n">
        <f aca="false">INDEX(Ipotesi!$C$44:$G$44,1,F493)*I493</f>
        <v>0.5</v>
      </c>
      <c r="R493" s="17" t="n">
        <f aca="false">INDEX(Ipotesi!$C$45:$G$45,1,F493)*I493</f>
        <v>0</v>
      </c>
      <c r="S493" s="17" t="n">
        <f aca="false">INDEX(Ipotesi!$C$52:$G$52,1,F493)*Ipotesi!K125</f>
        <v>1.5</v>
      </c>
      <c r="T493" s="17" t="n">
        <f aca="false">INDEX(Ipotesi!$C$53:$G$53,1,F493)*I493</f>
        <v>0</v>
      </c>
      <c r="U493" s="17" t="n">
        <f aca="false">INDEX(Ipotesi!$C$54:$G$54,1,F493)*I493</f>
        <v>0</v>
      </c>
      <c r="V493" s="15" t="n">
        <f aca="false">M493*INDEX(Ipotesi!$C$58:$G$58,1,F493)*K493/12</f>
        <v>3333.33333333333</v>
      </c>
      <c r="W493" s="15" t="n">
        <f aca="false">N493*Ipotesi!$C$59*(1+Ipotesi!$C$66)^(F493-1)/12</f>
        <v>4375</v>
      </c>
      <c r="X493" s="15" t="n">
        <f aca="false">O493*Ipotesi!$C$60*(1+Ipotesi!$C$66)^(F493-1)/12</f>
        <v>4166.66666666667</v>
      </c>
      <c r="Y493" s="15" t="n">
        <f aca="false">P493*Ipotesi!$C$61*(1+Ipotesi!$C$66)^(F493-1)/12</f>
        <v>4166.66666666667</v>
      </c>
      <c r="Z493" s="15" t="n">
        <f aca="false">Q493*Ipotesi!$C$62*(1+Ipotesi!$C$66)^(F493-1)/12</f>
        <v>1875</v>
      </c>
      <c r="AA493" s="15" t="n">
        <f aca="false">R493*Ipotesi!$C$63*(1+Ipotesi!$C$66)^(F493-1)/12</f>
        <v>0</v>
      </c>
      <c r="AB493" s="15" t="n">
        <f aca="false">SUM(V493:AA493)</f>
        <v>17916.6666666667</v>
      </c>
      <c r="AC493" s="15" t="n">
        <f aca="false">(S493*Ipotesi!$C$64+T493*Ipotesi!$C$65+U493*Ipotesi!$C$63)*(1+Ipotesi!$C$66)^(F493-1)/12</f>
        <v>5250</v>
      </c>
      <c r="AD493" s="15" t="n">
        <f aca="false">INDEX(Ipotesi!$C$48:$G$48,1,F493)*G493/12</f>
        <v>16.6666666666667</v>
      </c>
      <c r="AE493" s="15" t="n">
        <f aca="false">INDEX(Ipotesi!$C$50:$G$50,1,F493)*G493/12</f>
        <v>2.08333333333333</v>
      </c>
      <c r="AF493" s="15" t="n">
        <f aca="false">(S493*Parametri_v3!$C$7*Parametri_v3!$C$8+Parametri_v3!$C$10)/12</f>
        <v>19.25</v>
      </c>
      <c r="AG493" s="15" t="n">
        <f aca="false">AD493+AE493*(1+Parametri_v3!$C$9)</f>
        <v>19.7916666666667</v>
      </c>
      <c r="AH493" s="16" t="n">
        <f aca="false">IF(AG493=0,1,MIN(1,AF493/AG493))</f>
        <v>0.972631578947368</v>
      </c>
      <c r="AI493" s="15" t="n">
        <f aca="false">AD493*AH493</f>
        <v>16.2105263157895</v>
      </c>
      <c r="AJ493" s="15" t="n">
        <f aca="false">AE493*AH493</f>
        <v>2.02631578947368</v>
      </c>
      <c r="AK493" s="15" t="n">
        <f aca="false">AI493*INDEX(Ipotesi!$C$49:$G$49,1,F493)*H493</f>
        <v>12157.8947368421</v>
      </c>
      <c r="AL493" s="15" t="n">
        <f aca="false">AJ493*INDEX(Ipotesi!$C$51:$G$51,1,F493)*H493</f>
        <v>4052.63157894737</v>
      </c>
      <c r="AM493" s="15" t="n">
        <f aca="false">AK493+AL493</f>
        <v>16210.5263157895</v>
      </c>
      <c r="AN493" s="15" t="n">
        <f aca="false">INDEX(Ipotesi!$C$30:$G$30,1,F493)*G493/12</f>
        <v>8.33333333333333</v>
      </c>
      <c r="AO493" s="15" t="n">
        <f aca="false">O493*Parametri_v3!$C$7*Parametri_v3!$C$11*(1-Parametri_v3!$C$14)/12</f>
        <v>10.2666666666667</v>
      </c>
      <c r="AP493" s="15" t="n">
        <f aca="false">MIN(AN493,AO493)</f>
        <v>8.33333333333333</v>
      </c>
      <c r="AQ493" s="15" t="n">
        <f aca="false">AP493*INDEX(Ipotesi!$C$31:$G$31,1,F493)*H493</f>
        <v>7500</v>
      </c>
      <c r="AR493" s="15" t="n">
        <f aca="false">INDEX(Ipotesi!$C$75:$G$75,1,F493)*J493/12</f>
        <v>2083.33333333333</v>
      </c>
      <c r="AS493" s="15" t="n">
        <f aca="false">INDEX(Ipotesi!$C$81:$G$81,1,F493)*J493/12</f>
        <v>416.666666666667</v>
      </c>
      <c r="AT493" s="15" t="n">
        <f aca="false">AR493*Parametri_v3!$C$15+Z493*Parametri_v3!$C$16</f>
        <v>3395.83333333333</v>
      </c>
      <c r="AU493" s="15" t="n">
        <f aca="false">Q493*Parametri_v3!$C$16*Parametri_v3!$C$17</f>
        <v>35</v>
      </c>
      <c r="AV493" s="17" t="n">
        <f aca="false">BD492</f>
        <v>2.77777777777778</v>
      </c>
      <c r="AW493" s="17" t="n">
        <f aca="false">AV493*(1-(1-INDEX(Ipotesi!$C$34:$G$34,1,F493))^(1/12))</f>
        <v>0</v>
      </c>
      <c r="AX493" s="15" t="n">
        <f aca="false">ROUND(INDEX(Ipotesi!$C$32:$G$32,1,F493)*Ipotesi!K8,0)</f>
        <v>5</v>
      </c>
      <c r="AY493" s="15" t="n">
        <f aca="false">MAX(0,(AX493-(AV493-AW493))/(13-E493))</f>
        <v>0.555555555555556</v>
      </c>
      <c r="AZ493" s="15" t="n">
        <f aca="false">MIN(P493*Parametri_v3!$C$22,Q493*(1-Parametri_v3!$C$16)*Parametri_v3!$C$23)</f>
        <v>22.5</v>
      </c>
      <c r="BA493" s="15" t="n">
        <f aca="false">IF(OR(INDEX(Ipotesi!$C$35:$G$35,1,F493)&lt;=0,9-Parametri_v3!$C$21&lt;1),0,INDEX($AT$485:$AT$544,MAX(1,9-Parametri_v3!$C$21))/(INDEX(Ipotesi!$C$35:$G$35,1,F493)*Ipotesi!K27))</f>
        <v>0.679166666666667</v>
      </c>
      <c r="BB493" s="15" t="n">
        <f aca="false">IF(9-Parametri_v3!$C$21&lt;1,0,INDEX($AU$485:$AU$544,MAX(1,9-Parametri_v3!$C$21)))*Parametri_v3!$C$18*Parametri_v3!$C$19*Parametri_v3!$C$20</f>
        <v>1.3125</v>
      </c>
      <c r="BC493" s="17" t="n">
        <f aca="false">MAX(0,MIN(AY493,BA493,BB493,MAX(0,AZ493-(AV493-AW493))))</f>
        <v>0.555555555555556</v>
      </c>
      <c r="BD493" s="17" t="n">
        <f aca="false">AV493-AW493+BC493</f>
        <v>3.33333333333333</v>
      </c>
      <c r="BE493" s="17" t="n">
        <f aca="false">(AV493+BD493)/2</f>
        <v>3.05555555555556</v>
      </c>
      <c r="BF493" s="15" t="n">
        <f aca="false">BE493*INDEX(Ipotesi!$C$33:$G$33,1,F493)*H493/12</f>
        <v>509.259259259259</v>
      </c>
      <c r="BG493" s="15" t="n">
        <f aca="false">BD493*INDEX(Ipotesi!$C$33:$G$33,1,F493)*H493</f>
        <v>6666.66666666667</v>
      </c>
      <c r="BH493" s="15" t="n">
        <f aca="false">AM493*INDEX(Ipotesi!$C$37:$G$37,1,F493)</f>
        <v>1621.05263157895</v>
      </c>
      <c r="BI493" s="15" t="n">
        <f aca="false">AQ493+BF493+BH493</f>
        <v>9630.31189083821</v>
      </c>
      <c r="BJ493" s="15" t="n">
        <f aca="false">INDEX(Ipotesi!$C$68:$G$68,1,F493)*Ipotesi!$C$69/12</f>
        <v>1000</v>
      </c>
      <c r="BK493" s="15" t="n">
        <f aca="false">INDEX(Ipotesi!$C$68:$G$68,1,F493)*(1-Ipotesi!$C$69)/12</f>
        <v>1500</v>
      </c>
      <c r="BL493" s="15" t="n">
        <f aca="false">(AQ493+BF493)*Ipotesi!$C$67</f>
        <v>240.277777777778</v>
      </c>
      <c r="BM493" s="15" t="n">
        <f aca="false">AM493*Ipotesi!$C$67</f>
        <v>486.315789473684</v>
      </c>
      <c r="BN493" s="15" t="n">
        <f aca="false">INDEX(Ipotesi!$C$72:$G$72,1,F493)/12*Ipotesi!K126+BF493*Ipotesi!$C$73</f>
        <v>1290.74074074074</v>
      </c>
      <c r="BO493" s="15" t="n">
        <f aca="false">INDEX(Ipotesi!$C$74:$G$74,1,F493)/12*Ipotesi!K126</f>
        <v>1000</v>
      </c>
      <c r="BP493" s="15" t="n">
        <f aca="false">INDEX(Ipotesi!$C$76:$G$76,1,F493)/12</f>
        <v>500</v>
      </c>
      <c r="BQ493" s="15" t="n">
        <f aca="false">INDEX(Ipotesi!$C$77:$G$77,1,F493)/12*Ipotesi!K126</f>
        <v>1250</v>
      </c>
      <c r="BR493" s="15" t="n">
        <f aca="false">INDEX(Ipotesi!$C$78:$G$78,1,F493)/12</f>
        <v>1000</v>
      </c>
      <c r="BS493" s="15" t="n">
        <f aca="false">SUM(M493:R493)*(Ipotesi!$C$85+Ipotesi!$C$86)/12</f>
        <v>1239.58333333333</v>
      </c>
      <c r="BT493" s="15" t="n">
        <f aca="false">BI493*Ipotesi!$C$87</f>
        <v>288.909356725146</v>
      </c>
      <c r="BU493" s="15" t="n">
        <f aca="false">INDEX(Ipotesi!$C$55:$G$55,1,F493)*K493/12</f>
        <v>500</v>
      </c>
      <c r="BV493" s="15" t="n">
        <f aca="false">INDEX(Ipotesi!$C$80:$G$80,1,F493)/12*Ipotesi!K126</f>
        <v>500</v>
      </c>
      <c r="BW493" s="15" t="n">
        <f aca="false">INDEX(Ipotesi!$C$82:$G$82,1,F493)/12</f>
        <v>416.666666666667</v>
      </c>
      <c r="BX493" s="15" t="n">
        <f aca="false">INDEX(Ipotesi!$C$83:$G$83,1,F493)/12</f>
        <v>500</v>
      </c>
      <c r="BY493" s="15" t="n">
        <f aca="false">SUM(S493:U493)*(Ipotesi!$C$85+Ipotesi!$C$86)/12</f>
        <v>437.5</v>
      </c>
      <c r="BZ493" s="15" t="n">
        <f aca="false">AM493*Ipotesi!$C$87</f>
        <v>486.315789473684</v>
      </c>
      <c r="CA493" s="15" t="n">
        <f aca="false">AB493+BJ493+BL493+BN493+BO493+AR493+BP493+BQ493+BR493+BS493+BT493</f>
        <v>27809.511208577</v>
      </c>
      <c r="CB493" s="15" t="n">
        <f aca="false">AC493+BK493+BM493+BH493+BU493+BV493+AS493+BW493+BX493+BY493+BZ493</f>
        <v>12114.5175438596</v>
      </c>
      <c r="CC493" s="15" t="n">
        <f aca="false">BI493-CA493</f>
        <v>-18179.1993177388</v>
      </c>
      <c r="CD493" s="15" t="n">
        <f aca="false">AM493-CB493</f>
        <v>4096.00877192982</v>
      </c>
      <c r="CE493" s="15" t="n">
        <f aca="false">INDEX(Ipotesi!$C$79:$G$79,1,F493)/12</f>
        <v>1666.66666666667</v>
      </c>
      <c r="CF493" s="15" t="n">
        <f aca="false">INDEX(Ipotesi!$C$84:$G$84,1,F493)/12</f>
        <v>250</v>
      </c>
      <c r="CG493" s="15" t="n">
        <f aca="false">Y493*MAX(0,Parametri_v3!$C$12-IF(P493=0,0,MIN(1,BE493/(P493*Parametri_v3!$C$22))))+W493*Parametri_v3!$C$13+X493*Parametri_v3!$C$14</f>
        <v>7060.18518518519</v>
      </c>
      <c r="CH493" s="15" t="n">
        <f aca="false">AB493*Parametri_v3!$C$32</f>
        <v>895.833333333334</v>
      </c>
      <c r="CI493" s="15" t="n">
        <f aca="false">AC493*Parametri_v3!$C$32</f>
        <v>262.5</v>
      </c>
      <c r="CJ493" s="15" t="n">
        <f aca="false">CA493-AB493</f>
        <v>9892.84454191033</v>
      </c>
      <c r="CK493" s="15" t="n">
        <f aca="false">CB493-AC493-BH493</f>
        <v>5243.4649122807</v>
      </c>
      <c r="CL493" s="15" t="n">
        <f aca="false">BF493*Ipotesi!$C$73+INDEX(Ipotesi!$C$72:$G$72,1,F493)/12*Ipotesi!K126*Parametri_v3!$C$58+Z493*(1-Parametri_v3!$C$16)</f>
        <v>1853.24074074074</v>
      </c>
      <c r="CM493" s="16" t="n">
        <f aca="false">IF(BF493=0,0,1-CL493/BF493)</f>
        <v>-2.63909090909091</v>
      </c>
    </row>
    <row r="494" customFormat="false" ht="18" hidden="false" customHeight="true" outlineLevel="0" collapsed="false">
      <c r="A494" s="68" t="n">
        <f aca="false">9</f>
        <v>9</v>
      </c>
      <c r="B494" s="68" t="n">
        <f aca="false">10</f>
        <v>10</v>
      </c>
      <c r="C494" s="18" t="n">
        <f aca="false">EDATE(Parametri_v3!$C$5,10-1)</f>
        <v>46661</v>
      </c>
      <c r="D494" s="68" t="n">
        <f aca="false">YEAR(C494)</f>
        <v>2027</v>
      </c>
      <c r="E494" s="68" t="n">
        <f aca="false">MONTH(C494)</f>
        <v>10</v>
      </c>
      <c r="F494" s="68" t="n">
        <f aca="false">INT((10-1)/12)+1</f>
        <v>1</v>
      </c>
      <c r="G494" s="15" t="n">
        <f aca="false">Ipotesi!K7</f>
        <v>1</v>
      </c>
      <c r="H494" s="15" t="n">
        <f aca="false">Ipotesi!K9</f>
        <v>1</v>
      </c>
      <c r="I494" s="15" t="n">
        <f aca="false">Ipotesi!K10</f>
        <v>1</v>
      </c>
      <c r="J494" s="15" t="n">
        <f aca="false">Ipotesi!K11</f>
        <v>1</v>
      </c>
      <c r="K494" s="15" t="n">
        <f aca="false">Ipotesi!K12</f>
        <v>1</v>
      </c>
      <c r="L494" s="15" t="n">
        <f aca="false">Ipotesi!K13</f>
        <v>90</v>
      </c>
      <c r="M494" s="17" t="n">
        <f aca="false">INDEX(Ipotesi!$C$40:$G$40,1,F494)</f>
        <v>1</v>
      </c>
      <c r="N494" s="17" t="n">
        <f aca="false">INDEX(Ipotesi!$C$41:$G$41,1,F494)</f>
        <v>0.75</v>
      </c>
      <c r="O494" s="17" t="n">
        <f aca="false">INDEX(Ipotesi!$C$42:$G$42,1,F494)*Ipotesi!K125</f>
        <v>1</v>
      </c>
      <c r="P494" s="17" t="n">
        <f aca="false">INDEX(Ipotesi!$C$43:$G$43,1,F494)*I494</f>
        <v>1</v>
      </c>
      <c r="Q494" s="17" t="n">
        <f aca="false">INDEX(Ipotesi!$C$44:$G$44,1,F494)*I494</f>
        <v>0.5</v>
      </c>
      <c r="R494" s="17" t="n">
        <f aca="false">INDEX(Ipotesi!$C$45:$G$45,1,F494)*I494</f>
        <v>0</v>
      </c>
      <c r="S494" s="17" t="n">
        <f aca="false">INDEX(Ipotesi!$C$52:$G$52,1,F494)*Ipotesi!K125</f>
        <v>1.5</v>
      </c>
      <c r="T494" s="17" t="n">
        <f aca="false">INDEX(Ipotesi!$C$53:$G$53,1,F494)*I494</f>
        <v>0</v>
      </c>
      <c r="U494" s="17" t="n">
        <f aca="false">INDEX(Ipotesi!$C$54:$G$54,1,F494)*I494</f>
        <v>0</v>
      </c>
      <c r="V494" s="15" t="n">
        <f aca="false">M494*INDEX(Ipotesi!$C$58:$G$58,1,F494)*K494/12</f>
        <v>3333.33333333333</v>
      </c>
      <c r="W494" s="15" t="n">
        <f aca="false">N494*Ipotesi!$C$59*(1+Ipotesi!$C$66)^(F494-1)/12</f>
        <v>4375</v>
      </c>
      <c r="X494" s="15" t="n">
        <f aca="false">O494*Ipotesi!$C$60*(1+Ipotesi!$C$66)^(F494-1)/12</f>
        <v>4166.66666666667</v>
      </c>
      <c r="Y494" s="15" t="n">
        <f aca="false">P494*Ipotesi!$C$61*(1+Ipotesi!$C$66)^(F494-1)/12</f>
        <v>4166.66666666667</v>
      </c>
      <c r="Z494" s="15" t="n">
        <f aca="false">Q494*Ipotesi!$C$62*(1+Ipotesi!$C$66)^(F494-1)/12</f>
        <v>1875</v>
      </c>
      <c r="AA494" s="15" t="n">
        <f aca="false">R494*Ipotesi!$C$63*(1+Ipotesi!$C$66)^(F494-1)/12</f>
        <v>0</v>
      </c>
      <c r="AB494" s="15" t="n">
        <f aca="false">SUM(V494:AA494)</f>
        <v>17916.6666666667</v>
      </c>
      <c r="AC494" s="15" t="n">
        <f aca="false">(S494*Ipotesi!$C$64+T494*Ipotesi!$C$65+U494*Ipotesi!$C$63)*(1+Ipotesi!$C$66)^(F494-1)/12</f>
        <v>5250</v>
      </c>
      <c r="AD494" s="15" t="n">
        <f aca="false">INDEX(Ipotesi!$C$48:$G$48,1,F494)*G494/12</f>
        <v>16.6666666666667</v>
      </c>
      <c r="AE494" s="15" t="n">
        <f aca="false">INDEX(Ipotesi!$C$50:$G$50,1,F494)*G494/12</f>
        <v>2.08333333333333</v>
      </c>
      <c r="AF494" s="15" t="n">
        <f aca="false">(S494*Parametri_v3!$C$7*Parametri_v3!$C$8+Parametri_v3!$C$10)/12</f>
        <v>19.25</v>
      </c>
      <c r="AG494" s="15" t="n">
        <f aca="false">AD494+AE494*(1+Parametri_v3!$C$9)</f>
        <v>19.7916666666667</v>
      </c>
      <c r="AH494" s="16" t="n">
        <f aca="false">IF(AG494=0,1,MIN(1,AF494/AG494))</f>
        <v>0.972631578947368</v>
      </c>
      <c r="AI494" s="15" t="n">
        <f aca="false">AD494*AH494</f>
        <v>16.2105263157895</v>
      </c>
      <c r="AJ494" s="15" t="n">
        <f aca="false">AE494*AH494</f>
        <v>2.02631578947368</v>
      </c>
      <c r="AK494" s="15" t="n">
        <f aca="false">AI494*INDEX(Ipotesi!$C$49:$G$49,1,F494)*H494</f>
        <v>12157.8947368421</v>
      </c>
      <c r="AL494" s="15" t="n">
        <f aca="false">AJ494*INDEX(Ipotesi!$C$51:$G$51,1,F494)*H494</f>
        <v>4052.63157894737</v>
      </c>
      <c r="AM494" s="15" t="n">
        <f aca="false">AK494+AL494</f>
        <v>16210.5263157895</v>
      </c>
      <c r="AN494" s="15" t="n">
        <f aca="false">INDEX(Ipotesi!$C$30:$G$30,1,F494)*G494/12</f>
        <v>8.33333333333333</v>
      </c>
      <c r="AO494" s="15" t="n">
        <f aca="false">O494*Parametri_v3!$C$7*Parametri_v3!$C$11*(1-Parametri_v3!$C$14)/12</f>
        <v>10.2666666666667</v>
      </c>
      <c r="AP494" s="15" t="n">
        <f aca="false">MIN(AN494,AO494)</f>
        <v>8.33333333333333</v>
      </c>
      <c r="AQ494" s="15" t="n">
        <f aca="false">AP494*INDEX(Ipotesi!$C$31:$G$31,1,F494)*H494</f>
        <v>7500</v>
      </c>
      <c r="AR494" s="15" t="n">
        <f aca="false">INDEX(Ipotesi!$C$75:$G$75,1,F494)*J494/12</f>
        <v>2083.33333333333</v>
      </c>
      <c r="AS494" s="15" t="n">
        <f aca="false">INDEX(Ipotesi!$C$81:$G$81,1,F494)*J494/12</f>
        <v>416.666666666667</v>
      </c>
      <c r="AT494" s="15" t="n">
        <f aca="false">AR494*Parametri_v3!$C$15+Z494*Parametri_v3!$C$16</f>
        <v>3395.83333333333</v>
      </c>
      <c r="AU494" s="15" t="n">
        <f aca="false">Q494*Parametri_v3!$C$16*Parametri_v3!$C$17</f>
        <v>35</v>
      </c>
      <c r="AV494" s="17" t="n">
        <f aca="false">BD493</f>
        <v>3.33333333333333</v>
      </c>
      <c r="AW494" s="17" t="n">
        <f aca="false">AV494*(1-(1-INDEX(Ipotesi!$C$34:$G$34,1,F494))^(1/12))</f>
        <v>0</v>
      </c>
      <c r="AX494" s="15" t="n">
        <f aca="false">ROUND(INDEX(Ipotesi!$C$32:$G$32,1,F494)*Ipotesi!K8,0)</f>
        <v>5</v>
      </c>
      <c r="AY494" s="15" t="n">
        <f aca="false">MAX(0,(AX494-(AV494-AW494))/(13-E494))</f>
        <v>0.555555555555556</v>
      </c>
      <c r="AZ494" s="15" t="n">
        <f aca="false">MIN(P494*Parametri_v3!$C$22,Q494*(1-Parametri_v3!$C$16)*Parametri_v3!$C$23)</f>
        <v>22.5</v>
      </c>
      <c r="BA494" s="15" t="n">
        <f aca="false">IF(OR(INDEX(Ipotesi!$C$35:$G$35,1,F494)&lt;=0,10-Parametri_v3!$C$21&lt;1),0,INDEX($AT$485:$AT$544,MAX(1,10-Parametri_v3!$C$21))/(INDEX(Ipotesi!$C$35:$G$35,1,F494)*Ipotesi!K27))</f>
        <v>0.679166666666667</v>
      </c>
      <c r="BB494" s="15" t="n">
        <f aca="false">IF(10-Parametri_v3!$C$21&lt;1,0,INDEX($AU$485:$AU$544,MAX(1,10-Parametri_v3!$C$21)))*Parametri_v3!$C$18*Parametri_v3!$C$19*Parametri_v3!$C$20</f>
        <v>1.3125</v>
      </c>
      <c r="BC494" s="17" t="n">
        <f aca="false">MAX(0,MIN(AY494,BA494,BB494,MAX(0,AZ494-(AV494-AW494))))</f>
        <v>0.555555555555556</v>
      </c>
      <c r="BD494" s="17" t="n">
        <f aca="false">AV494-AW494+BC494</f>
        <v>3.88888888888889</v>
      </c>
      <c r="BE494" s="17" t="n">
        <f aca="false">(AV494+BD494)/2</f>
        <v>3.61111111111111</v>
      </c>
      <c r="BF494" s="15" t="n">
        <f aca="false">BE494*INDEX(Ipotesi!$C$33:$G$33,1,F494)*H494/12</f>
        <v>601.851851851852</v>
      </c>
      <c r="BG494" s="15" t="n">
        <f aca="false">BD494*INDEX(Ipotesi!$C$33:$G$33,1,F494)*H494</f>
        <v>7777.77777777778</v>
      </c>
      <c r="BH494" s="15" t="n">
        <f aca="false">AM494*INDEX(Ipotesi!$C$37:$G$37,1,F494)</f>
        <v>1621.05263157895</v>
      </c>
      <c r="BI494" s="15" t="n">
        <f aca="false">AQ494+BF494+BH494</f>
        <v>9722.9044834308</v>
      </c>
      <c r="BJ494" s="15" t="n">
        <f aca="false">INDEX(Ipotesi!$C$68:$G$68,1,F494)*Ipotesi!$C$69/12</f>
        <v>1000</v>
      </c>
      <c r="BK494" s="15" t="n">
        <f aca="false">INDEX(Ipotesi!$C$68:$G$68,1,F494)*(1-Ipotesi!$C$69)/12</f>
        <v>1500</v>
      </c>
      <c r="BL494" s="15" t="n">
        <f aca="false">(AQ494+BF494)*Ipotesi!$C$67</f>
        <v>243.055555555556</v>
      </c>
      <c r="BM494" s="15" t="n">
        <f aca="false">AM494*Ipotesi!$C$67</f>
        <v>486.315789473684</v>
      </c>
      <c r="BN494" s="15" t="n">
        <f aca="false">INDEX(Ipotesi!$C$72:$G$72,1,F494)/12*Ipotesi!K126+BF494*Ipotesi!$C$73</f>
        <v>1298.14814814815</v>
      </c>
      <c r="BO494" s="15" t="n">
        <f aca="false">INDEX(Ipotesi!$C$74:$G$74,1,F494)/12*Ipotesi!K126</f>
        <v>1000</v>
      </c>
      <c r="BP494" s="15" t="n">
        <f aca="false">INDEX(Ipotesi!$C$76:$G$76,1,F494)/12</f>
        <v>500</v>
      </c>
      <c r="BQ494" s="15" t="n">
        <f aca="false">INDEX(Ipotesi!$C$77:$G$77,1,F494)/12*Ipotesi!K126</f>
        <v>1250</v>
      </c>
      <c r="BR494" s="15" t="n">
        <f aca="false">INDEX(Ipotesi!$C$78:$G$78,1,F494)/12</f>
        <v>1000</v>
      </c>
      <c r="BS494" s="15" t="n">
        <f aca="false">SUM(M494:R494)*(Ipotesi!$C$85+Ipotesi!$C$86)/12</f>
        <v>1239.58333333333</v>
      </c>
      <c r="BT494" s="15" t="n">
        <f aca="false">BI494*Ipotesi!$C$87</f>
        <v>291.687134502924</v>
      </c>
      <c r="BU494" s="15" t="n">
        <f aca="false">INDEX(Ipotesi!$C$55:$G$55,1,F494)*K494/12</f>
        <v>500</v>
      </c>
      <c r="BV494" s="15" t="n">
        <f aca="false">INDEX(Ipotesi!$C$80:$G$80,1,F494)/12*Ipotesi!K126</f>
        <v>500</v>
      </c>
      <c r="BW494" s="15" t="n">
        <f aca="false">INDEX(Ipotesi!$C$82:$G$82,1,F494)/12</f>
        <v>416.666666666667</v>
      </c>
      <c r="BX494" s="15" t="n">
        <f aca="false">INDEX(Ipotesi!$C$83:$G$83,1,F494)/12</f>
        <v>500</v>
      </c>
      <c r="BY494" s="15" t="n">
        <f aca="false">SUM(S494:U494)*(Ipotesi!$C$85+Ipotesi!$C$86)/12</f>
        <v>437.5</v>
      </c>
      <c r="BZ494" s="15" t="n">
        <f aca="false">AM494*Ipotesi!$C$87</f>
        <v>486.315789473684</v>
      </c>
      <c r="CA494" s="15" t="n">
        <f aca="false">AB494+BJ494+BL494+BN494+BO494+AR494+BP494+BQ494+BR494+BS494+BT494</f>
        <v>27822.47417154</v>
      </c>
      <c r="CB494" s="15" t="n">
        <f aca="false">AC494+BK494+BM494+BH494+BU494+BV494+AS494+BW494+BX494+BY494+BZ494</f>
        <v>12114.5175438596</v>
      </c>
      <c r="CC494" s="15" t="n">
        <f aca="false">BI494-CA494</f>
        <v>-18099.5696881092</v>
      </c>
      <c r="CD494" s="15" t="n">
        <f aca="false">AM494-CB494</f>
        <v>4096.00877192982</v>
      </c>
      <c r="CE494" s="15" t="n">
        <f aca="false">INDEX(Ipotesi!$C$79:$G$79,1,F494)/12</f>
        <v>1666.66666666667</v>
      </c>
      <c r="CF494" s="15" t="n">
        <f aca="false">INDEX(Ipotesi!$C$84:$G$84,1,F494)/12</f>
        <v>250</v>
      </c>
      <c r="CG494" s="15" t="n">
        <f aca="false">Y494*MAX(0,Parametri_v3!$C$12-IF(P494=0,0,MIN(1,BE494/(P494*Parametri_v3!$C$22))))+W494*Parametri_v3!$C$13+X494*Parametri_v3!$C$14</f>
        <v>7037.03703703704</v>
      </c>
      <c r="CH494" s="15" t="n">
        <f aca="false">AB494*Parametri_v3!$C$32</f>
        <v>895.833333333334</v>
      </c>
      <c r="CI494" s="15" t="n">
        <f aca="false">AC494*Parametri_v3!$C$32</f>
        <v>262.5</v>
      </c>
      <c r="CJ494" s="15" t="n">
        <f aca="false">CA494-AB494</f>
        <v>9905.80750487329</v>
      </c>
      <c r="CK494" s="15" t="n">
        <f aca="false">CB494-AC494-BH494</f>
        <v>5243.4649122807</v>
      </c>
      <c r="CL494" s="15" t="n">
        <f aca="false">BF494*Ipotesi!$C$73+INDEX(Ipotesi!$C$72:$G$72,1,F494)/12*Ipotesi!K126*Parametri_v3!$C$58+Z494*(1-Parametri_v3!$C$16)</f>
        <v>1860.64814814815</v>
      </c>
      <c r="CM494" s="16" t="n">
        <f aca="false">IF(BF494=0,0,1-CL494/BF494)</f>
        <v>-2.09153846153846</v>
      </c>
    </row>
    <row r="495" customFormat="false" ht="18" hidden="false" customHeight="true" outlineLevel="0" collapsed="false">
      <c r="A495" s="68" t="n">
        <f aca="false">9</f>
        <v>9</v>
      </c>
      <c r="B495" s="68" t="n">
        <f aca="false">11</f>
        <v>11</v>
      </c>
      <c r="C495" s="18" t="n">
        <f aca="false">EDATE(Parametri_v3!$C$5,11-1)</f>
        <v>46692</v>
      </c>
      <c r="D495" s="68" t="n">
        <f aca="false">YEAR(C495)</f>
        <v>2027</v>
      </c>
      <c r="E495" s="68" t="n">
        <f aca="false">MONTH(C495)</f>
        <v>11</v>
      </c>
      <c r="F495" s="68" t="n">
        <f aca="false">INT((11-1)/12)+1</f>
        <v>1</v>
      </c>
      <c r="G495" s="15" t="n">
        <f aca="false">Ipotesi!K7</f>
        <v>1</v>
      </c>
      <c r="H495" s="15" t="n">
        <f aca="false">Ipotesi!K9</f>
        <v>1</v>
      </c>
      <c r="I495" s="15" t="n">
        <f aca="false">Ipotesi!K10</f>
        <v>1</v>
      </c>
      <c r="J495" s="15" t="n">
        <f aca="false">Ipotesi!K11</f>
        <v>1</v>
      </c>
      <c r="K495" s="15" t="n">
        <f aca="false">Ipotesi!K12</f>
        <v>1</v>
      </c>
      <c r="L495" s="15" t="n">
        <f aca="false">Ipotesi!K13</f>
        <v>90</v>
      </c>
      <c r="M495" s="17" t="n">
        <f aca="false">INDEX(Ipotesi!$C$40:$G$40,1,F495)</f>
        <v>1</v>
      </c>
      <c r="N495" s="17" t="n">
        <f aca="false">INDEX(Ipotesi!$C$41:$G$41,1,F495)</f>
        <v>0.75</v>
      </c>
      <c r="O495" s="17" t="n">
        <f aca="false">INDEX(Ipotesi!$C$42:$G$42,1,F495)*Ipotesi!K125</f>
        <v>1</v>
      </c>
      <c r="P495" s="17" t="n">
        <f aca="false">INDEX(Ipotesi!$C$43:$G$43,1,F495)*I495</f>
        <v>1</v>
      </c>
      <c r="Q495" s="17" t="n">
        <f aca="false">INDEX(Ipotesi!$C$44:$G$44,1,F495)*I495</f>
        <v>0.5</v>
      </c>
      <c r="R495" s="17" t="n">
        <f aca="false">INDEX(Ipotesi!$C$45:$G$45,1,F495)*I495</f>
        <v>0</v>
      </c>
      <c r="S495" s="17" t="n">
        <f aca="false">INDEX(Ipotesi!$C$52:$G$52,1,F495)*Ipotesi!K125</f>
        <v>1.5</v>
      </c>
      <c r="T495" s="17" t="n">
        <f aca="false">INDEX(Ipotesi!$C$53:$G$53,1,F495)*I495</f>
        <v>0</v>
      </c>
      <c r="U495" s="17" t="n">
        <f aca="false">INDEX(Ipotesi!$C$54:$G$54,1,F495)*I495</f>
        <v>0</v>
      </c>
      <c r="V495" s="15" t="n">
        <f aca="false">M495*INDEX(Ipotesi!$C$58:$G$58,1,F495)*K495/12</f>
        <v>3333.33333333333</v>
      </c>
      <c r="W495" s="15" t="n">
        <f aca="false">N495*Ipotesi!$C$59*(1+Ipotesi!$C$66)^(F495-1)/12</f>
        <v>4375</v>
      </c>
      <c r="X495" s="15" t="n">
        <f aca="false">O495*Ipotesi!$C$60*(1+Ipotesi!$C$66)^(F495-1)/12</f>
        <v>4166.66666666667</v>
      </c>
      <c r="Y495" s="15" t="n">
        <f aca="false">P495*Ipotesi!$C$61*(1+Ipotesi!$C$66)^(F495-1)/12</f>
        <v>4166.66666666667</v>
      </c>
      <c r="Z495" s="15" t="n">
        <f aca="false">Q495*Ipotesi!$C$62*(1+Ipotesi!$C$66)^(F495-1)/12</f>
        <v>1875</v>
      </c>
      <c r="AA495" s="15" t="n">
        <f aca="false">R495*Ipotesi!$C$63*(1+Ipotesi!$C$66)^(F495-1)/12</f>
        <v>0</v>
      </c>
      <c r="AB495" s="15" t="n">
        <f aca="false">SUM(V495:AA495)</f>
        <v>17916.6666666667</v>
      </c>
      <c r="AC495" s="15" t="n">
        <f aca="false">(S495*Ipotesi!$C$64+T495*Ipotesi!$C$65+U495*Ipotesi!$C$63)*(1+Ipotesi!$C$66)^(F495-1)/12</f>
        <v>5250</v>
      </c>
      <c r="AD495" s="15" t="n">
        <f aca="false">INDEX(Ipotesi!$C$48:$G$48,1,F495)*G495/12</f>
        <v>16.6666666666667</v>
      </c>
      <c r="AE495" s="15" t="n">
        <f aca="false">INDEX(Ipotesi!$C$50:$G$50,1,F495)*G495/12</f>
        <v>2.08333333333333</v>
      </c>
      <c r="AF495" s="15" t="n">
        <f aca="false">(S495*Parametri_v3!$C$7*Parametri_v3!$C$8+Parametri_v3!$C$10)/12</f>
        <v>19.25</v>
      </c>
      <c r="AG495" s="15" t="n">
        <f aca="false">AD495+AE495*(1+Parametri_v3!$C$9)</f>
        <v>19.7916666666667</v>
      </c>
      <c r="AH495" s="16" t="n">
        <f aca="false">IF(AG495=0,1,MIN(1,AF495/AG495))</f>
        <v>0.972631578947368</v>
      </c>
      <c r="AI495" s="15" t="n">
        <f aca="false">AD495*AH495</f>
        <v>16.2105263157895</v>
      </c>
      <c r="AJ495" s="15" t="n">
        <f aca="false">AE495*AH495</f>
        <v>2.02631578947368</v>
      </c>
      <c r="AK495" s="15" t="n">
        <f aca="false">AI495*INDEX(Ipotesi!$C$49:$G$49,1,F495)*H495</f>
        <v>12157.8947368421</v>
      </c>
      <c r="AL495" s="15" t="n">
        <f aca="false">AJ495*INDEX(Ipotesi!$C$51:$G$51,1,F495)*H495</f>
        <v>4052.63157894737</v>
      </c>
      <c r="AM495" s="15" t="n">
        <f aca="false">AK495+AL495</f>
        <v>16210.5263157895</v>
      </c>
      <c r="AN495" s="15" t="n">
        <f aca="false">INDEX(Ipotesi!$C$30:$G$30,1,F495)*G495/12</f>
        <v>8.33333333333333</v>
      </c>
      <c r="AO495" s="15" t="n">
        <f aca="false">O495*Parametri_v3!$C$7*Parametri_v3!$C$11*(1-Parametri_v3!$C$14)/12</f>
        <v>10.2666666666667</v>
      </c>
      <c r="AP495" s="15" t="n">
        <f aca="false">MIN(AN495,AO495)</f>
        <v>8.33333333333333</v>
      </c>
      <c r="AQ495" s="15" t="n">
        <f aca="false">AP495*INDEX(Ipotesi!$C$31:$G$31,1,F495)*H495</f>
        <v>7500</v>
      </c>
      <c r="AR495" s="15" t="n">
        <f aca="false">INDEX(Ipotesi!$C$75:$G$75,1,F495)*J495/12</f>
        <v>2083.33333333333</v>
      </c>
      <c r="AS495" s="15" t="n">
        <f aca="false">INDEX(Ipotesi!$C$81:$G$81,1,F495)*J495/12</f>
        <v>416.666666666667</v>
      </c>
      <c r="AT495" s="15" t="n">
        <f aca="false">AR495*Parametri_v3!$C$15+Z495*Parametri_v3!$C$16</f>
        <v>3395.83333333333</v>
      </c>
      <c r="AU495" s="15" t="n">
        <f aca="false">Q495*Parametri_v3!$C$16*Parametri_v3!$C$17</f>
        <v>35</v>
      </c>
      <c r="AV495" s="17" t="n">
        <f aca="false">BD494</f>
        <v>3.88888888888889</v>
      </c>
      <c r="AW495" s="17" t="n">
        <f aca="false">AV495*(1-(1-INDEX(Ipotesi!$C$34:$G$34,1,F495))^(1/12))</f>
        <v>0</v>
      </c>
      <c r="AX495" s="15" t="n">
        <f aca="false">ROUND(INDEX(Ipotesi!$C$32:$G$32,1,F495)*Ipotesi!K8,0)</f>
        <v>5</v>
      </c>
      <c r="AY495" s="15" t="n">
        <f aca="false">MAX(0,(AX495-(AV495-AW495))/(13-E495))</f>
        <v>0.555555555555556</v>
      </c>
      <c r="AZ495" s="15" t="n">
        <f aca="false">MIN(P495*Parametri_v3!$C$22,Q495*(1-Parametri_v3!$C$16)*Parametri_v3!$C$23)</f>
        <v>22.5</v>
      </c>
      <c r="BA495" s="15" t="n">
        <f aca="false">IF(OR(INDEX(Ipotesi!$C$35:$G$35,1,F495)&lt;=0,11-Parametri_v3!$C$21&lt;1),0,INDEX($AT$485:$AT$544,MAX(1,11-Parametri_v3!$C$21))/(INDEX(Ipotesi!$C$35:$G$35,1,F495)*Ipotesi!K27))</f>
        <v>0.679166666666667</v>
      </c>
      <c r="BB495" s="15" t="n">
        <f aca="false">IF(11-Parametri_v3!$C$21&lt;1,0,INDEX($AU$485:$AU$544,MAX(1,11-Parametri_v3!$C$21)))*Parametri_v3!$C$18*Parametri_v3!$C$19*Parametri_v3!$C$20</f>
        <v>1.3125</v>
      </c>
      <c r="BC495" s="17" t="n">
        <f aca="false">MAX(0,MIN(AY495,BA495,BB495,MAX(0,AZ495-(AV495-AW495))))</f>
        <v>0.555555555555556</v>
      </c>
      <c r="BD495" s="17" t="n">
        <f aca="false">AV495-AW495+BC495</f>
        <v>4.44444444444445</v>
      </c>
      <c r="BE495" s="17" t="n">
        <f aca="false">(AV495+BD495)/2</f>
        <v>4.16666666666667</v>
      </c>
      <c r="BF495" s="15" t="n">
        <f aca="false">BE495*INDEX(Ipotesi!$C$33:$G$33,1,F495)*H495/12</f>
        <v>694.444444444445</v>
      </c>
      <c r="BG495" s="15" t="n">
        <f aca="false">BD495*INDEX(Ipotesi!$C$33:$G$33,1,F495)*H495</f>
        <v>8888.88888888889</v>
      </c>
      <c r="BH495" s="15" t="n">
        <f aca="false">AM495*INDEX(Ipotesi!$C$37:$G$37,1,F495)</f>
        <v>1621.05263157895</v>
      </c>
      <c r="BI495" s="15" t="n">
        <f aca="false">AQ495+BF495+BH495</f>
        <v>9815.49707602339</v>
      </c>
      <c r="BJ495" s="15" t="n">
        <f aca="false">INDEX(Ipotesi!$C$68:$G$68,1,F495)*Ipotesi!$C$69/12</f>
        <v>1000</v>
      </c>
      <c r="BK495" s="15" t="n">
        <f aca="false">INDEX(Ipotesi!$C$68:$G$68,1,F495)*(1-Ipotesi!$C$69)/12</f>
        <v>1500</v>
      </c>
      <c r="BL495" s="15" t="n">
        <f aca="false">(AQ495+BF495)*Ipotesi!$C$67</f>
        <v>245.833333333333</v>
      </c>
      <c r="BM495" s="15" t="n">
        <f aca="false">AM495*Ipotesi!$C$67</f>
        <v>486.315789473684</v>
      </c>
      <c r="BN495" s="15" t="n">
        <f aca="false">INDEX(Ipotesi!$C$72:$G$72,1,F495)/12*Ipotesi!K126+BF495*Ipotesi!$C$73</f>
        <v>1305.55555555556</v>
      </c>
      <c r="BO495" s="15" t="n">
        <f aca="false">INDEX(Ipotesi!$C$74:$G$74,1,F495)/12*Ipotesi!K126</f>
        <v>1000</v>
      </c>
      <c r="BP495" s="15" t="n">
        <f aca="false">INDEX(Ipotesi!$C$76:$G$76,1,F495)/12</f>
        <v>500</v>
      </c>
      <c r="BQ495" s="15" t="n">
        <f aca="false">INDEX(Ipotesi!$C$77:$G$77,1,F495)/12*Ipotesi!K126</f>
        <v>1250</v>
      </c>
      <c r="BR495" s="15" t="n">
        <f aca="false">INDEX(Ipotesi!$C$78:$G$78,1,F495)/12</f>
        <v>1000</v>
      </c>
      <c r="BS495" s="15" t="n">
        <f aca="false">SUM(M495:R495)*(Ipotesi!$C$85+Ipotesi!$C$86)/12</f>
        <v>1239.58333333333</v>
      </c>
      <c r="BT495" s="15" t="n">
        <f aca="false">BI495*Ipotesi!$C$87</f>
        <v>294.464912280702</v>
      </c>
      <c r="BU495" s="15" t="n">
        <f aca="false">INDEX(Ipotesi!$C$55:$G$55,1,F495)*K495/12</f>
        <v>500</v>
      </c>
      <c r="BV495" s="15" t="n">
        <f aca="false">INDEX(Ipotesi!$C$80:$G$80,1,F495)/12*Ipotesi!K126</f>
        <v>500</v>
      </c>
      <c r="BW495" s="15" t="n">
        <f aca="false">INDEX(Ipotesi!$C$82:$G$82,1,F495)/12</f>
        <v>416.666666666667</v>
      </c>
      <c r="BX495" s="15" t="n">
        <f aca="false">INDEX(Ipotesi!$C$83:$G$83,1,F495)/12</f>
        <v>500</v>
      </c>
      <c r="BY495" s="15" t="n">
        <f aca="false">SUM(S495:U495)*(Ipotesi!$C$85+Ipotesi!$C$86)/12</f>
        <v>437.5</v>
      </c>
      <c r="BZ495" s="15" t="n">
        <f aca="false">AM495*Ipotesi!$C$87</f>
        <v>486.315789473684</v>
      </c>
      <c r="CA495" s="15" t="n">
        <f aca="false">AB495+BJ495+BL495+BN495+BO495+AR495+BP495+BQ495+BR495+BS495+BT495</f>
        <v>27835.4371345029</v>
      </c>
      <c r="CB495" s="15" t="n">
        <f aca="false">AC495+BK495+BM495+BH495+BU495+BV495+AS495+BW495+BX495+BY495+BZ495</f>
        <v>12114.5175438596</v>
      </c>
      <c r="CC495" s="15" t="n">
        <f aca="false">BI495-CA495</f>
        <v>-18019.9400584795</v>
      </c>
      <c r="CD495" s="15" t="n">
        <f aca="false">AM495-CB495</f>
        <v>4096.00877192982</v>
      </c>
      <c r="CE495" s="15" t="n">
        <f aca="false">INDEX(Ipotesi!$C$79:$G$79,1,F495)/12</f>
        <v>1666.66666666667</v>
      </c>
      <c r="CF495" s="15" t="n">
        <f aca="false">INDEX(Ipotesi!$C$84:$G$84,1,F495)/12</f>
        <v>250</v>
      </c>
      <c r="CG495" s="15" t="n">
        <f aca="false">Y495*MAX(0,Parametri_v3!$C$12-IF(P495=0,0,MIN(1,BE495/(P495*Parametri_v3!$C$22))))+W495*Parametri_v3!$C$13+X495*Parametri_v3!$C$14</f>
        <v>7013.88888888889</v>
      </c>
      <c r="CH495" s="15" t="n">
        <f aca="false">AB495*Parametri_v3!$C$32</f>
        <v>895.833333333334</v>
      </c>
      <c r="CI495" s="15" t="n">
        <f aca="false">AC495*Parametri_v3!$C$32</f>
        <v>262.5</v>
      </c>
      <c r="CJ495" s="15" t="n">
        <f aca="false">CA495-AB495</f>
        <v>9918.77046783625</v>
      </c>
      <c r="CK495" s="15" t="n">
        <f aca="false">CB495-AC495-BH495</f>
        <v>5243.4649122807</v>
      </c>
      <c r="CL495" s="15" t="n">
        <f aca="false">BF495*Ipotesi!$C$73+INDEX(Ipotesi!$C$72:$G$72,1,F495)/12*Ipotesi!K126*Parametri_v3!$C$58+Z495*(1-Parametri_v3!$C$16)</f>
        <v>1868.05555555556</v>
      </c>
      <c r="CM495" s="16" t="n">
        <f aca="false">IF(BF495=0,0,1-CL495/BF495)</f>
        <v>-1.69</v>
      </c>
    </row>
    <row r="496" customFormat="false" ht="18" hidden="false" customHeight="true" outlineLevel="0" collapsed="false">
      <c r="A496" s="68" t="n">
        <f aca="false">9</f>
        <v>9</v>
      </c>
      <c r="B496" s="68" t="n">
        <f aca="false">12</f>
        <v>12</v>
      </c>
      <c r="C496" s="18" t="n">
        <f aca="false">EDATE(Parametri_v3!$C$5,12-1)</f>
        <v>46722</v>
      </c>
      <c r="D496" s="68" t="n">
        <f aca="false">YEAR(C496)</f>
        <v>2027</v>
      </c>
      <c r="E496" s="68" t="n">
        <f aca="false">MONTH(C496)</f>
        <v>12</v>
      </c>
      <c r="F496" s="68" t="n">
        <f aca="false">INT((12-1)/12)+1</f>
        <v>1</v>
      </c>
      <c r="G496" s="15" t="n">
        <f aca="false">Ipotesi!K7</f>
        <v>1</v>
      </c>
      <c r="H496" s="15" t="n">
        <f aca="false">Ipotesi!K9</f>
        <v>1</v>
      </c>
      <c r="I496" s="15" t="n">
        <f aca="false">Ipotesi!K10</f>
        <v>1</v>
      </c>
      <c r="J496" s="15" t="n">
        <f aca="false">Ipotesi!K11</f>
        <v>1</v>
      </c>
      <c r="K496" s="15" t="n">
        <f aca="false">Ipotesi!K12</f>
        <v>1</v>
      </c>
      <c r="L496" s="15" t="n">
        <f aca="false">Ipotesi!K13</f>
        <v>90</v>
      </c>
      <c r="M496" s="17" t="n">
        <f aca="false">INDEX(Ipotesi!$C$40:$G$40,1,F496)</f>
        <v>1</v>
      </c>
      <c r="N496" s="17" t="n">
        <f aca="false">INDEX(Ipotesi!$C$41:$G$41,1,F496)</f>
        <v>0.75</v>
      </c>
      <c r="O496" s="17" t="n">
        <f aca="false">INDEX(Ipotesi!$C$42:$G$42,1,F496)*Ipotesi!K125</f>
        <v>1</v>
      </c>
      <c r="P496" s="17" t="n">
        <f aca="false">INDEX(Ipotesi!$C$43:$G$43,1,F496)*I496</f>
        <v>1</v>
      </c>
      <c r="Q496" s="17" t="n">
        <f aca="false">INDEX(Ipotesi!$C$44:$G$44,1,F496)*I496</f>
        <v>0.5</v>
      </c>
      <c r="R496" s="17" t="n">
        <f aca="false">INDEX(Ipotesi!$C$45:$G$45,1,F496)*I496</f>
        <v>0</v>
      </c>
      <c r="S496" s="17" t="n">
        <f aca="false">INDEX(Ipotesi!$C$52:$G$52,1,F496)*Ipotesi!K125</f>
        <v>1.5</v>
      </c>
      <c r="T496" s="17" t="n">
        <f aca="false">INDEX(Ipotesi!$C$53:$G$53,1,F496)*I496</f>
        <v>0</v>
      </c>
      <c r="U496" s="17" t="n">
        <f aca="false">INDEX(Ipotesi!$C$54:$G$54,1,F496)*I496</f>
        <v>0</v>
      </c>
      <c r="V496" s="15" t="n">
        <f aca="false">M496*INDEX(Ipotesi!$C$58:$G$58,1,F496)*K496/12</f>
        <v>3333.33333333333</v>
      </c>
      <c r="W496" s="15" t="n">
        <f aca="false">N496*Ipotesi!$C$59*(1+Ipotesi!$C$66)^(F496-1)/12</f>
        <v>4375</v>
      </c>
      <c r="X496" s="15" t="n">
        <f aca="false">O496*Ipotesi!$C$60*(1+Ipotesi!$C$66)^(F496-1)/12</f>
        <v>4166.66666666667</v>
      </c>
      <c r="Y496" s="15" t="n">
        <f aca="false">P496*Ipotesi!$C$61*(1+Ipotesi!$C$66)^(F496-1)/12</f>
        <v>4166.66666666667</v>
      </c>
      <c r="Z496" s="15" t="n">
        <f aca="false">Q496*Ipotesi!$C$62*(1+Ipotesi!$C$66)^(F496-1)/12</f>
        <v>1875</v>
      </c>
      <c r="AA496" s="15" t="n">
        <f aca="false">R496*Ipotesi!$C$63*(1+Ipotesi!$C$66)^(F496-1)/12</f>
        <v>0</v>
      </c>
      <c r="AB496" s="15" t="n">
        <f aca="false">SUM(V496:AA496)</f>
        <v>17916.6666666667</v>
      </c>
      <c r="AC496" s="15" t="n">
        <f aca="false">(S496*Ipotesi!$C$64+T496*Ipotesi!$C$65+U496*Ipotesi!$C$63)*(1+Ipotesi!$C$66)^(F496-1)/12</f>
        <v>5250</v>
      </c>
      <c r="AD496" s="15" t="n">
        <f aca="false">INDEX(Ipotesi!$C$48:$G$48,1,F496)*G496/12</f>
        <v>16.6666666666667</v>
      </c>
      <c r="AE496" s="15" t="n">
        <f aca="false">INDEX(Ipotesi!$C$50:$G$50,1,F496)*G496/12</f>
        <v>2.08333333333333</v>
      </c>
      <c r="AF496" s="15" t="n">
        <f aca="false">(S496*Parametri_v3!$C$7*Parametri_v3!$C$8+Parametri_v3!$C$10)/12</f>
        <v>19.25</v>
      </c>
      <c r="AG496" s="15" t="n">
        <f aca="false">AD496+AE496*(1+Parametri_v3!$C$9)</f>
        <v>19.7916666666667</v>
      </c>
      <c r="AH496" s="16" t="n">
        <f aca="false">IF(AG496=0,1,MIN(1,AF496/AG496))</f>
        <v>0.972631578947368</v>
      </c>
      <c r="AI496" s="15" t="n">
        <f aca="false">AD496*AH496</f>
        <v>16.2105263157895</v>
      </c>
      <c r="AJ496" s="15" t="n">
        <f aca="false">AE496*AH496</f>
        <v>2.02631578947368</v>
      </c>
      <c r="AK496" s="15" t="n">
        <f aca="false">AI496*INDEX(Ipotesi!$C$49:$G$49,1,F496)*H496</f>
        <v>12157.8947368421</v>
      </c>
      <c r="AL496" s="15" t="n">
        <f aca="false">AJ496*INDEX(Ipotesi!$C$51:$G$51,1,F496)*H496</f>
        <v>4052.63157894737</v>
      </c>
      <c r="AM496" s="15" t="n">
        <f aca="false">AK496+AL496</f>
        <v>16210.5263157895</v>
      </c>
      <c r="AN496" s="15" t="n">
        <f aca="false">INDEX(Ipotesi!$C$30:$G$30,1,F496)*G496/12</f>
        <v>8.33333333333333</v>
      </c>
      <c r="AO496" s="15" t="n">
        <f aca="false">O496*Parametri_v3!$C$7*Parametri_v3!$C$11*(1-Parametri_v3!$C$14)/12</f>
        <v>10.2666666666667</v>
      </c>
      <c r="AP496" s="15" t="n">
        <f aca="false">MIN(AN496,AO496)</f>
        <v>8.33333333333333</v>
      </c>
      <c r="AQ496" s="15" t="n">
        <f aca="false">AP496*INDEX(Ipotesi!$C$31:$G$31,1,F496)*H496</f>
        <v>7500</v>
      </c>
      <c r="AR496" s="15" t="n">
        <f aca="false">INDEX(Ipotesi!$C$75:$G$75,1,F496)*J496/12</f>
        <v>2083.33333333333</v>
      </c>
      <c r="AS496" s="15" t="n">
        <f aca="false">INDEX(Ipotesi!$C$81:$G$81,1,F496)*J496/12</f>
        <v>416.666666666667</v>
      </c>
      <c r="AT496" s="15" t="n">
        <f aca="false">AR496*Parametri_v3!$C$15+Z496*Parametri_v3!$C$16</f>
        <v>3395.83333333333</v>
      </c>
      <c r="AU496" s="15" t="n">
        <f aca="false">Q496*Parametri_v3!$C$16*Parametri_v3!$C$17</f>
        <v>35</v>
      </c>
      <c r="AV496" s="17" t="n">
        <f aca="false">BD495</f>
        <v>4.44444444444445</v>
      </c>
      <c r="AW496" s="17" t="n">
        <f aca="false">AV496*(1-(1-INDEX(Ipotesi!$C$34:$G$34,1,F496))^(1/12))</f>
        <v>0</v>
      </c>
      <c r="AX496" s="15" t="n">
        <f aca="false">ROUND(INDEX(Ipotesi!$C$32:$G$32,1,F496)*Ipotesi!K8,0)</f>
        <v>5</v>
      </c>
      <c r="AY496" s="15" t="n">
        <f aca="false">MAX(0,(AX496-(AV496-AW496))/(13-E496))</f>
        <v>0.555555555555555</v>
      </c>
      <c r="AZ496" s="15" t="n">
        <f aca="false">MIN(P496*Parametri_v3!$C$22,Q496*(1-Parametri_v3!$C$16)*Parametri_v3!$C$23)</f>
        <v>22.5</v>
      </c>
      <c r="BA496" s="15" t="n">
        <f aca="false">IF(OR(INDEX(Ipotesi!$C$35:$G$35,1,F496)&lt;=0,12-Parametri_v3!$C$21&lt;1),0,INDEX($AT$485:$AT$544,MAX(1,12-Parametri_v3!$C$21))/(INDEX(Ipotesi!$C$35:$G$35,1,F496)*Ipotesi!K27))</f>
        <v>0.679166666666667</v>
      </c>
      <c r="BB496" s="15" t="n">
        <f aca="false">IF(12-Parametri_v3!$C$21&lt;1,0,INDEX($AU$485:$AU$544,MAX(1,12-Parametri_v3!$C$21)))*Parametri_v3!$C$18*Parametri_v3!$C$19*Parametri_v3!$C$20</f>
        <v>1.3125</v>
      </c>
      <c r="BC496" s="17" t="n">
        <f aca="false">MAX(0,MIN(AY496,BA496,BB496,MAX(0,AZ496-(AV496-AW496))))</f>
        <v>0.555555555555555</v>
      </c>
      <c r="BD496" s="17" t="n">
        <f aca="false">AV496-AW496+BC496</f>
        <v>5</v>
      </c>
      <c r="BE496" s="17" t="n">
        <f aca="false">(AV496+BD496)/2</f>
        <v>4.72222222222222</v>
      </c>
      <c r="BF496" s="15" t="n">
        <f aca="false">BE496*INDEX(Ipotesi!$C$33:$G$33,1,F496)*H496/12</f>
        <v>787.037037037037</v>
      </c>
      <c r="BG496" s="15" t="n">
        <f aca="false">BD496*INDEX(Ipotesi!$C$33:$G$33,1,F496)*H496</f>
        <v>10000</v>
      </c>
      <c r="BH496" s="15" t="n">
        <f aca="false">AM496*INDEX(Ipotesi!$C$37:$G$37,1,F496)</f>
        <v>1621.05263157895</v>
      </c>
      <c r="BI496" s="15" t="n">
        <f aca="false">AQ496+BF496+BH496</f>
        <v>9908.08966861599</v>
      </c>
      <c r="BJ496" s="15" t="n">
        <f aca="false">INDEX(Ipotesi!$C$68:$G$68,1,F496)*Ipotesi!$C$69/12</f>
        <v>1000</v>
      </c>
      <c r="BK496" s="15" t="n">
        <f aca="false">INDEX(Ipotesi!$C$68:$G$68,1,F496)*(1-Ipotesi!$C$69)/12</f>
        <v>1500</v>
      </c>
      <c r="BL496" s="15" t="n">
        <f aca="false">(AQ496+BF496)*Ipotesi!$C$67</f>
        <v>248.611111111111</v>
      </c>
      <c r="BM496" s="15" t="n">
        <f aca="false">AM496*Ipotesi!$C$67</f>
        <v>486.315789473684</v>
      </c>
      <c r="BN496" s="15" t="n">
        <f aca="false">INDEX(Ipotesi!$C$72:$G$72,1,F496)/12*Ipotesi!K126+BF496*Ipotesi!$C$73</f>
        <v>1312.96296296296</v>
      </c>
      <c r="BO496" s="15" t="n">
        <f aca="false">INDEX(Ipotesi!$C$74:$G$74,1,F496)/12*Ipotesi!K126</f>
        <v>1000</v>
      </c>
      <c r="BP496" s="15" t="n">
        <f aca="false">INDEX(Ipotesi!$C$76:$G$76,1,F496)/12</f>
        <v>500</v>
      </c>
      <c r="BQ496" s="15" t="n">
        <f aca="false">INDEX(Ipotesi!$C$77:$G$77,1,F496)/12*Ipotesi!K126</f>
        <v>1250</v>
      </c>
      <c r="BR496" s="15" t="n">
        <f aca="false">INDEX(Ipotesi!$C$78:$G$78,1,F496)/12</f>
        <v>1000</v>
      </c>
      <c r="BS496" s="15" t="n">
        <f aca="false">SUM(M496:R496)*(Ipotesi!$C$85+Ipotesi!$C$86)/12</f>
        <v>1239.58333333333</v>
      </c>
      <c r="BT496" s="15" t="n">
        <f aca="false">BI496*Ipotesi!$C$87</f>
        <v>297.24269005848</v>
      </c>
      <c r="BU496" s="15" t="n">
        <f aca="false">INDEX(Ipotesi!$C$55:$G$55,1,F496)*K496/12</f>
        <v>500</v>
      </c>
      <c r="BV496" s="15" t="n">
        <f aca="false">INDEX(Ipotesi!$C$80:$G$80,1,F496)/12*Ipotesi!K126</f>
        <v>500</v>
      </c>
      <c r="BW496" s="15" t="n">
        <f aca="false">INDEX(Ipotesi!$C$82:$G$82,1,F496)/12</f>
        <v>416.666666666667</v>
      </c>
      <c r="BX496" s="15" t="n">
        <f aca="false">INDEX(Ipotesi!$C$83:$G$83,1,F496)/12</f>
        <v>500</v>
      </c>
      <c r="BY496" s="15" t="n">
        <f aca="false">SUM(S496:U496)*(Ipotesi!$C$85+Ipotesi!$C$86)/12</f>
        <v>437.5</v>
      </c>
      <c r="BZ496" s="15" t="n">
        <f aca="false">AM496*Ipotesi!$C$87</f>
        <v>486.315789473684</v>
      </c>
      <c r="CA496" s="15" t="n">
        <f aca="false">AB496+BJ496+BL496+BN496+BO496+AR496+BP496+BQ496+BR496+BS496+BT496</f>
        <v>27848.4000974659</v>
      </c>
      <c r="CB496" s="15" t="n">
        <f aca="false">AC496+BK496+BM496+BH496+BU496+BV496+AS496+BW496+BX496+BY496+BZ496</f>
        <v>12114.5175438596</v>
      </c>
      <c r="CC496" s="15" t="n">
        <f aca="false">BI496-CA496</f>
        <v>-17940.3104288499</v>
      </c>
      <c r="CD496" s="15" t="n">
        <f aca="false">AM496-CB496</f>
        <v>4096.00877192982</v>
      </c>
      <c r="CE496" s="15" t="n">
        <f aca="false">INDEX(Ipotesi!$C$79:$G$79,1,F496)/12</f>
        <v>1666.66666666667</v>
      </c>
      <c r="CF496" s="15" t="n">
        <f aca="false">INDEX(Ipotesi!$C$84:$G$84,1,F496)/12</f>
        <v>250</v>
      </c>
      <c r="CG496" s="15" t="n">
        <f aca="false">Y496*MAX(0,Parametri_v3!$C$12-IF(P496=0,0,MIN(1,BE496/(P496*Parametri_v3!$C$22))))+W496*Parametri_v3!$C$13+X496*Parametri_v3!$C$14</f>
        <v>6990.74074074074</v>
      </c>
      <c r="CH496" s="15" t="n">
        <f aca="false">AB496*Parametri_v3!$C$32</f>
        <v>895.833333333334</v>
      </c>
      <c r="CI496" s="15" t="n">
        <f aca="false">AC496*Parametri_v3!$C$32</f>
        <v>262.5</v>
      </c>
      <c r="CJ496" s="15" t="n">
        <f aca="false">CA496-AB496</f>
        <v>9931.73343079922</v>
      </c>
      <c r="CK496" s="15" t="n">
        <f aca="false">CB496-AC496-BH496</f>
        <v>5243.4649122807</v>
      </c>
      <c r="CL496" s="15" t="n">
        <f aca="false">BF496*Ipotesi!$C$73+INDEX(Ipotesi!$C$72:$G$72,1,F496)/12*Ipotesi!K126*Parametri_v3!$C$58+Z496*(1-Parametri_v3!$C$16)</f>
        <v>1875.46296296296</v>
      </c>
      <c r="CM496" s="16" t="n">
        <f aca="false">IF(BF496=0,0,1-CL496/BF496)</f>
        <v>-1.38294117647059</v>
      </c>
    </row>
    <row r="497" customFormat="false" ht="18" hidden="false" customHeight="true" outlineLevel="0" collapsed="false">
      <c r="A497" s="68" t="n">
        <f aca="false">9</f>
        <v>9</v>
      </c>
      <c r="B497" s="68" t="n">
        <f aca="false">13</f>
        <v>13</v>
      </c>
      <c r="C497" s="18" t="n">
        <f aca="false">EDATE(Parametri_v3!$C$5,13-1)</f>
        <v>46753</v>
      </c>
      <c r="D497" s="68" t="n">
        <f aca="false">YEAR(C497)</f>
        <v>2028</v>
      </c>
      <c r="E497" s="68" t="n">
        <f aca="false">MONTH(C497)</f>
        <v>1</v>
      </c>
      <c r="F497" s="68" t="n">
        <f aca="false">INT((13-1)/12)+1</f>
        <v>2</v>
      </c>
      <c r="G497" s="15" t="n">
        <f aca="false">Ipotesi!K7</f>
        <v>1</v>
      </c>
      <c r="H497" s="15" t="n">
        <f aca="false">Ipotesi!K9</f>
        <v>1</v>
      </c>
      <c r="I497" s="15" t="n">
        <f aca="false">Ipotesi!K10</f>
        <v>1</v>
      </c>
      <c r="J497" s="15" t="n">
        <f aca="false">Ipotesi!K11</f>
        <v>1</v>
      </c>
      <c r="K497" s="15" t="n">
        <f aca="false">Ipotesi!K12</f>
        <v>1</v>
      </c>
      <c r="L497" s="15" t="n">
        <f aca="false">Ipotesi!K13</f>
        <v>90</v>
      </c>
      <c r="M497" s="17" t="n">
        <f aca="false">INDEX(Ipotesi!$C$40:$G$40,1,F497)</f>
        <v>1</v>
      </c>
      <c r="N497" s="17" t="n">
        <f aca="false">INDEX(Ipotesi!$C$41:$G$41,1,F497)</f>
        <v>1</v>
      </c>
      <c r="O497" s="17" t="n">
        <f aca="false">INDEX(Ipotesi!$C$42:$G$42,1,F497)*Ipotesi!K125</f>
        <v>2.5</v>
      </c>
      <c r="P497" s="17" t="n">
        <f aca="false">INDEX(Ipotesi!$C$43:$G$43,1,F497)*I497</f>
        <v>2.5</v>
      </c>
      <c r="Q497" s="17" t="n">
        <f aca="false">INDEX(Ipotesi!$C$44:$G$44,1,F497)*I497</f>
        <v>1.5</v>
      </c>
      <c r="R497" s="17" t="n">
        <f aca="false">INDEX(Ipotesi!$C$45:$G$45,1,F497)*I497</f>
        <v>0.5</v>
      </c>
      <c r="S497" s="17" t="n">
        <f aca="false">INDEX(Ipotesi!$C$52:$G$52,1,F497)*Ipotesi!K125</f>
        <v>3</v>
      </c>
      <c r="T497" s="17" t="n">
        <f aca="false">INDEX(Ipotesi!$C$53:$G$53,1,F497)*I497</f>
        <v>1</v>
      </c>
      <c r="U497" s="17" t="n">
        <f aca="false">INDEX(Ipotesi!$C$54:$G$54,1,F497)*I497</f>
        <v>0</v>
      </c>
      <c r="V497" s="15" t="n">
        <f aca="false">M497*INDEX(Ipotesi!$C$58:$G$58,1,F497)*K497/12</f>
        <v>5000</v>
      </c>
      <c r="W497" s="15" t="n">
        <f aca="false">N497*Ipotesi!$C$59*(1+Ipotesi!$C$66)^(F497-1)/12</f>
        <v>6008.33333333333</v>
      </c>
      <c r="X497" s="15" t="n">
        <f aca="false">O497*Ipotesi!$C$60*(1+Ipotesi!$C$66)^(F497-1)/12</f>
        <v>10729.1666666667</v>
      </c>
      <c r="Y497" s="15" t="n">
        <f aca="false">P497*Ipotesi!$C$61*(1+Ipotesi!$C$66)^(F497-1)/12</f>
        <v>10729.1666666667</v>
      </c>
      <c r="Z497" s="15" t="n">
        <f aca="false">Q497*Ipotesi!$C$62*(1+Ipotesi!$C$66)^(F497-1)/12</f>
        <v>5793.75</v>
      </c>
      <c r="AA497" s="15" t="n">
        <f aca="false">R497*Ipotesi!$C$63*(1+Ipotesi!$C$66)^(F497-1)/12</f>
        <v>1502.08333333333</v>
      </c>
      <c r="AB497" s="15" t="n">
        <f aca="false">SUM(V497:AA497)</f>
        <v>39762.5</v>
      </c>
      <c r="AC497" s="15" t="n">
        <f aca="false">(S497*Ipotesi!$C$64+T497*Ipotesi!$C$65+U497*Ipotesi!$C$63)*(1+Ipotesi!$C$66)^(F497-1)/12</f>
        <v>15965</v>
      </c>
      <c r="AD497" s="15" t="n">
        <f aca="false">INDEX(Ipotesi!$C$48:$G$48,1,F497)*G497/12</f>
        <v>37.5</v>
      </c>
      <c r="AE497" s="15" t="n">
        <f aca="false">INDEX(Ipotesi!$C$50:$G$50,1,F497)*G497/12</f>
        <v>4.58333333333333</v>
      </c>
      <c r="AF497" s="15" t="n">
        <f aca="false">(S497*Parametri_v3!$C$7*Parametri_v3!$C$8+Parametri_v3!$C$10)/12</f>
        <v>38.5</v>
      </c>
      <c r="AG497" s="15" t="n">
        <f aca="false">AD497+AE497*(1+Parametri_v3!$C$9)</f>
        <v>44.375</v>
      </c>
      <c r="AH497" s="16" t="n">
        <f aca="false">IF(AG497=0,1,MIN(1,AF497/AG497))</f>
        <v>0.867605633802817</v>
      </c>
      <c r="AI497" s="15" t="n">
        <f aca="false">AD497*AH497</f>
        <v>32.5352112676056</v>
      </c>
      <c r="AJ497" s="15" t="n">
        <f aca="false">AE497*AH497</f>
        <v>3.97652582159624</v>
      </c>
      <c r="AK497" s="15" t="n">
        <f aca="false">AI497*INDEX(Ipotesi!$C$49:$G$49,1,F497)*H497</f>
        <v>26028.1690140845</v>
      </c>
      <c r="AL497" s="15" t="n">
        <f aca="false">AJ497*INDEX(Ipotesi!$C$51:$G$51,1,F497)*H497</f>
        <v>7953.05164319249</v>
      </c>
      <c r="AM497" s="15" t="n">
        <f aca="false">AK497+AL497</f>
        <v>33981.220657277</v>
      </c>
      <c r="AN497" s="15" t="n">
        <f aca="false">INDEX(Ipotesi!$C$30:$G$30,1,F497)*G497/12</f>
        <v>22.5</v>
      </c>
      <c r="AO497" s="15" t="n">
        <f aca="false">O497*Parametri_v3!$C$7*Parametri_v3!$C$11*(1-Parametri_v3!$C$14)/12</f>
        <v>25.6666666666667</v>
      </c>
      <c r="AP497" s="15" t="n">
        <f aca="false">MIN(AN497,AO497)</f>
        <v>22.5</v>
      </c>
      <c r="AQ497" s="15" t="n">
        <f aca="false">AP497*INDEX(Ipotesi!$C$31:$G$31,1,F497)*H497</f>
        <v>21375</v>
      </c>
      <c r="AR497" s="15" t="n">
        <f aca="false">INDEX(Ipotesi!$C$75:$G$75,1,F497)*J497/12</f>
        <v>4583.33333333333</v>
      </c>
      <c r="AS497" s="15" t="n">
        <f aca="false">INDEX(Ipotesi!$C$81:$G$81,1,F497)*J497/12</f>
        <v>833.333333333333</v>
      </c>
      <c r="AT497" s="15" t="n">
        <f aca="false">AR497*Parametri_v3!$C$15+Z497*Parametri_v3!$C$16</f>
        <v>8638.95833333333</v>
      </c>
      <c r="AU497" s="15" t="n">
        <f aca="false">Q497*Parametri_v3!$C$16*Parametri_v3!$C$17</f>
        <v>105</v>
      </c>
      <c r="AV497" s="17" t="n">
        <f aca="false">BD496</f>
        <v>5</v>
      </c>
      <c r="AW497" s="17" t="n">
        <f aca="false">AV497*(1-(1-INDEX(Ipotesi!$C$34:$G$34,1,F497))^(1/12))</f>
        <v>0.0437080547734836</v>
      </c>
      <c r="AX497" s="15" t="n">
        <f aca="false">ROUND(INDEX(Ipotesi!$C$32:$G$32,1,F497)*Ipotesi!K8,0)</f>
        <v>35</v>
      </c>
      <c r="AY497" s="15" t="n">
        <f aca="false">MAX(0,(AX497-(AV497-AW497))/(13-E497))</f>
        <v>2.50364233789779</v>
      </c>
      <c r="AZ497" s="15" t="n">
        <f aca="false">MIN(P497*Parametri_v3!$C$22,Q497*(1-Parametri_v3!$C$16)*Parametri_v3!$C$23)</f>
        <v>67.5</v>
      </c>
      <c r="BA497" s="15" t="n">
        <f aca="false">IF(OR(INDEX(Ipotesi!$C$35:$G$35,1,F497)&lt;=0,13-Parametri_v3!$C$21&lt;1),0,INDEX($AT$485:$AT$544,MAX(1,13-Parametri_v3!$C$21))/(INDEX(Ipotesi!$C$35:$G$35,1,F497)*Ipotesi!K27))</f>
        <v>1.13194444444444</v>
      </c>
      <c r="BB497" s="15" t="n">
        <f aca="false">IF(13-Parametri_v3!$C$21&lt;1,0,INDEX($AU$485:$AU$544,MAX(1,13-Parametri_v3!$C$21)))*Parametri_v3!$C$18*Parametri_v3!$C$19*Parametri_v3!$C$20</f>
        <v>1.3125</v>
      </c>
      <c r="BC497" s="17" t="n">
        <f aca="false">MAX(0,MIN(AY497,BA497,BB497,MAX(0,AZ497-(AV497-AW497))))</f>
        <v>1.13194444444444</v>
      </c>
      <c r="BD497" s="17" t="n">
        <f aca="false">AV497-AW497+BC497</f>
        <v>6.08823638967096</v>
      </c>
      <c r="BE497" s="17" t="n">
        <f aca="false">(AV497+BD497)/2</f>
        <v>5.54411819483548</v>
      </c>
      <c r="BF497" s="15" t="n">
        <f aca="false">BE497*INDEX(Ipotesi!$C$33:$G$33,1,F497)*H497/12</f>
        <v>1848.03939827849</v>
      </c>
      <c r="BG497" s="15" t="n">
        <f aca="false">BD497*INDEX(Ipotesi!$C$33:$G$33,1,F497)*H497</f>
        <v>24352.9455586838</v>
      </c>
      <c r="BH497" s="15" t="n">
        <f aca="false">AM497*INDEX(Ipotesi!$C$37:$G$37,1,F497)</f>
        <v>3398.1220657277</v>
      </c>
      <c r="BI497" s="15" t="n">
        <f aca="false">AQ497+BF497+BH497</f>
        <v>26621.1614640062</v>
      </c>
      <c r="BJ497" s="15" t="n">
        <f aca="false">INDEX(Ipotesi!$C$68:$G$68,1,F497)*Ipotesi!$C$69/12</f>
        <v>1600</v>
      </c>
      <c r="BK497" s="15" t="n">
        <f aca="false">INDEX(Ipotesi!$C$68:$G$68,1,F497)*(1-Ipotesi!$C$69)/12</f>
        <v>2400</v>
      </c>
      <c r="BL497" s="15" t="n">
        <f aca="false">(AQ497+BF497)*Ipotesi!$C$67</f>
        <v>696.691181948355</v>
      </c>
      <c r="BM497" s="15" t="n">
        <f aca="false">AM497*Ipotesi!$C$67</f>
        <v>1019.43661971831</v>
      </c>
      <c r="BN497" s="15" t="n">
        <f aca="false">INDEX(Ipotesi!$C$72:$G$72,1,F497)/12*Ipotesi!K126+BF497*Ipotesi!$C$73</f>
        <v>1397.84315186228</v>
      </c>
      <c r="BO497" s="15" t="n">
        <f aca="false">INDEX(Ipotesi!$C$74:$G$74,1,F497)/12*Ipotesi!K126</f>
        <v>1833.33333333333</v>
      </c>
      <c r="BP497" s="15" t="n">
        <f aca="false">INDEX(Ipotesi!$C$76:$G$76,1,F497)/12</f>
        <v>750</v>
      </c>
      <c r="BQ497" s="15" t="n">
        <f aca="false">INDEX(Ipotesi!$C$77:$G$77,1,F497)/12*Ipotesi!K126</f>
        <v>1666.66666666667</v>
      </c>
      <c r="BR497" s="15" t="n">
        <f aca="false">INDEX(Ipotesi!$C$78:$G$78,1,F497)/12</f>
        <v>1250</v>
      </c>
      <c r="BS497" s="15" t="n">
        <f aca="false">SUM(M497:R497)*(Ipotesi!$C$85+Ipotesi!$C$86)/12</f>
        <v>2625</v>
      </c>
      <c r="BT497" s="15" t="n">
        <f aca="false">BI497*Ipotesi!$C$87</f>
        <v>798.634843920186</v>
      </c>
      <c r="BU497" s="15" t="n">
        <f aca="false">INDEX(Ipotesi!$C$55:$G$55,1,F497)*K497/12</f>
        <v>1000</v>
      </c>
      <c r="BV497" s="15" t="n">
        <f aca="false">INDEX(Ipotesi!$C$80:$G$80,1,F497)/12*Ipotesi!K126</f>
        <v>833.333333333333</v>
      </c>
      <c r="BW497" s="15" t="n">
        <f aca="false">INDEX(Ipotesi!$C$82:$G$82,1,F497)/12</f>
        <v>666.666666666667</v>
      </c>
      <c r="BX497" s="15" t="n">
        <f aca="false">INDEX(Ipotesi!$C$83:$G$83,1,F497)/12</f>
        <v>583.333333333333</v>
      </c>
      <c r="BY497" s="15" t="n">
        <f aca="false">SUM(S497:U497)*(Ipotesi!$C$85+Ipotesi!$C$86)/12</f>
        <v>1166.66666666667</v>
      </c>
      <c r="BZ497" s="15" t="n">
        <f aca="false">AM497*Ipotesi!$C$87</f>
        <v>1019.43661971831</v>
      </c>
      <c r="CA497" s="15" t="n">
        <f aca="false">AB497+BJ497+BL497+BN497+BO497+AR497+BP497+BQ497+BR497+BS497+BT497</f>
        <v>56964.0025110642</v>
      </c>
      <c r="CB497" s="15" t="n">
        <f aca="false">AC497+BK497+BM497+BH497+BU497+BV497+AS497+BW497+BX497+BY497+BZ497</f>
        <v>28885.3286384976</v>
      </c>
      <c r="CC497" s="15" t="n">
        <f aca="false">BI497-CA497</f>
        <v>-30342.841047058</v>
      </c>
      <c r="CD497" s="15" t="n">
        <f aca="false">AM497-CB497</f>
        <v>5095.89201877934</v>
      </c>
      <c r="CE497" s="15" t="n">
        <f aca="false">INDEX(Ipotesi!$C$79:$G$79,1,F497)/12</f>
        <v>2083.33333333333</v>
      </c>
      <c r="CF497" s="15" t="n">
        <f aca="false">INDEX(Ipotesi!$C$84:$G$84,1,F497)/12</f>
        <v>416.666666666667</v>
      </c>
      <c r="CG497" s="15" t="n">
        <f aca="false">Y497*MAX(0,Parametri_v3!$C$12-IF(P497=0,0,MIN(1,BE497/(P497*Parametri_v3!$C$22))))+W497*Parametri_v3!$C$13+X497*Parametri_v3!$C$14</f>
        <v>15641.2315941383</v>
      </c>
      <c r="CH497" s="15" t="n">
        <f aca="false">AB497*Parametri_v3!$C$32</f>
        <v>1988.125</v>
      </c>
      <c r="CI497" s="15" t="n">
        <f aca="false">AC497*Parametri_v3!$C$32</f>
        <v>798.25</v>
      </c>
      <c r="CJ497" s="15" t="n">
        <f aca="false">CA497-AB497</f>
        <v>17201.5025110642</v>
      </c>
      <c r="CK497" s="15" t="n">
        <f aca="false">CB497-AC497-BH497</f>
        <v>9522.20657276995</v>
      </c>
      <c r="CL497" s="15" t="n">
        <f aca="false">BF497*Ipotesi!$C$73+INDEX(Ipotesi!$C$72:$G$72,1,F497)/12*Ipotesi!K126*Parametri_v3!$C$58+Z497*(1-Parametri_v3!$C$16)</f>
        <v>3135.96815186228</v>
      </c>
      <c r="CM497" s="16" t="n">
        <f aca="false">IF(BF497=0,0,1-CL497/BF497)</f>
        <v>-0.696916285866812</v>
      </c>
    </row>
    <row r="498" customFormat="false" ht="18" hidden="false" customHeight="true" outlineLevel="0" collapsed="false">
      <c r="A498" s="68" t="n">
        <f aca="false">9</f>
        <v>9</v>
      </c>
      <c r="B498" s="68" t="n">
        <f aca="false">14</f>
        <v>14</v>
      </c>
      <c r="C498" s="18" t="n">
        <f aca="false">EDATE(Parametri_v3!$C$5,14-1)</f>
        <v>46784</v>
      </c>
      <c r="D498" s="68" t="n">
        <f aca="false">YEAR(C498)</f>
        <v>2028</v>
      </c>
      <c r="E498" s="68" t="n">
        <f aca="false">MONTH(C498)</f>
        <v>2</v>
      </c>
      <c r="F498" s="68" t="n">
        <f aca="false">INT((14-1)/12)+1</f>
        <v>2</v>
      </c>
      <c r="G498" s="15" t="n">
        <f aca="false">Ipotesi!K7</f>
        <v>1</v>
      </c>
      <c r="H498" s="15" t="n">
        <f aca="false">Ipotesi!K9</f>
        <v>1</v>
      </c>
      <c r="I498" s="15" t="n">
        <f aca="false">Ipotesi!K10</f>
        <v>1</v>
      </c>
      <c r="J498" s="15" t="n">
        <f aca="false">Ipotesi!K11</f>
        <v>1</v>
      </c>
      <c r="K498" s="15" t="n">
        <f aca="false">Ipotesi!K12</f>
        <v>1</v>
      </c>
      <c r="L498" s="15" t="n">
        <f aca="false">Ipotesi!K13</f>
        <v>90</v>
      </c>
      <c r="M498" s="17" t="n">
        <f aca="false">INDEX(Ipotesi!$C$40:$G$40,1,F498)</f>
        <v>1</v>
      </c>
      <c r="N498" s="17" t="n">
        <f aca="false">INDEX(Ipotesi!$C$41:$G$41,1,F498)</f>
        <v>1</v>
      </c>
      <c r="O498" s="17" t="n">
        <f aca="false">INDEX(Ipotesi!$C$42:$G$42,1,F498)*Ipotesi!K125</f>
        <v>2.5</v>
      </c>
      <c r="P498" s="17" t="n">
        <f aca="false">INDEX(Ipotesi!$C$43:$G$43,1,F498)*I498</f>
        <v>2.5</v>
      </c>
      <c r="Q498" s="17" t="n">
        <f aca="false">INDEX(Ipotesi!$C$44:$G$44,1,F498)*I498</f>
        <v>1.5</v>
      </c>
      <c r="R498" s="17" t="n">
        <f aca="false">INDEX(Ipotesi!$C$45:$G$45,1,F498)*I498</f>
        <v>0.5</v>
      </c>
      <c r="S498" s="17" t="n">
        <f aca="false">INDEX(Ipotesi!$C$52:$G$52,1,F498)*Ipotesi!K125</f>
        <v>3</v>
      </c>
      <c r="T498" s="17" t="n">
        <f aca="false">INDEX(Ipotesi!$C$53:$G$53,1,F498)*I498</f>
        <v>1</v>
      </c>
      <c r="U498" s="17" t="n">
        <f aca="false">INDEX(Ipotesi!$C$54:$G$54,1,F498)*I498</f>
        <v>0</v>
      </c>
      <c r="V498" s="15" t="n">
        <f aca="false">M498*INDEX(Ipotesi!$C$58:$G$58,1,F498)*K498/12</f>
        <v>5000</v>
      </c>
      <c r="W498" s="15" t="n">
        <f aca="false">N498*Ipotesi!$C$59*(1+Ipotesi!$C$66)^(F498-1)/12</f>
        <v>6008.33333333333</v>
      </c>
      <c r="X498" s="15" t="n">
        <f aca="false">O498*Ipotesi!$C$60*(1+Ipotesi!$C$66)^(F498-1)/12</f>
        <v>10729.1666666667</v>
      </c>
      <c r="Y498" s="15" t="n">
        <f aca="false">P498*Ipotesi!$C$61*(1+Ipotesi!$C$66)^(F498-1)/12</f>
        <v>10729.1666666667</v>
      </c>
      <c r="Z498" s="15" t="n">
        <f aca="false">Q498*Ipotesi!$C$62*(1+Ipotesi!$C$66)^(F498-1)/12</f>
        <v>5793.75</v>
      </c>
      <c r="AA498" s="15" t="n">
        <f aca="false">R498*Ipotesi!$C$63*(1+Ipotesi!$C$66)^(F498-1)/12</f>
        <v>1502.08333333333</v>
      </c>
      <c r="AB498" s="15" t="n">
        <f aca="false">SUM(V498:AA498)</f>
        <v>39762.5</v>
      </c>
      <c r="AC498" s="15" t="n">
        <f aca="false">(S498*Ipotesi!$C$64+T498*Ipotesi!$C$65+U498*Ipotesi!$C$63)*(1+Ipotesi!$C$66)^(F498-1)/12</f>
        <v>15965</v>
      </c>
      <c r="AD498" s="15" t="n">
        <f aca="false">INDEX(Ipotesi!$C$48:$G$48,1,F498)*G498/12</f>
        <v>37.5</v>
      </c>
      <c r="AE498" s="15" t="n">
        <f aca="false">INDEX(Ipotesi!$C$50:$G$50,1,F498)*G498/12</f>
        <v>4.58333333333333</v>
      </c>
      <c r="AF498" s="15" t="n">
        <f aca="false">(S498*Parametri_v3!$C$7*Parametri_v3!$C$8+Parametri_v3!$C$10)/12</f>
        <v>38.5</v>
      </c>
      <c r="AG498" s="15" t="n">
        <f aca="false">AD498+AE498*(1+Parametri_v3!$C$9)</f>
        <v>44.375</v>
      </c>
      <c r="AH498" s="16" t="n">
        <f aca="false">IF(AG498=0,1,MIN(1,AF498/AG498))</f>
        <v>0.867605633802817</v>
      </c>
      <c r="AI498" s="15" t="n">
        <f aca="false">AD498*AH498</f>
        <v>32.5352112676056</v>
      </c>
      <c r="AJ498" s="15" t="n">
        <f aca="false">AE498*AH498</f>
        <v>3.97652582159624</v>
      </c>
      <c r="AK498" s="15" t="n">
        <f aca="false">AI498*INDEX(Ipotesi!$C$49:$G$49,1,F498)*H498</f>
        <v>26028.1690140845</v>
      </c>
      <c r="AL498" s="15" t="n">
        <f aca="false">AJ498*INDEX(Ipotesi!$C$51:$G$51,1,F498)*H498</f>
        <v>7953.05164319249</v>
      </c>
      <c r="AM498" s="15" t="n">
        <f aca="false">AK498+AL498</f>
        <v>33981.220657277</v>
      </c>
      <c r="AN498" s="15" t="n">
        <f aca="false">INDEX(Ipotesi!$C$30:$G$30,1,F498)*G498/12</f>
        <v>22.5</v>
      </c>
      <c r="AO498" s="15" t="n">
        <f aca="false">O498*Parametri_v3!$C$7*Parametri_v3!$C$11*(1-Parametri_v3!$C$14)/12</f>
        <v>25.6666666666667</v>
      </c>
      <c r="AP498" s="15" t="n">
        <f aca="false">MIN(AN498,AO498)</f>
        <v>22.5</v>
      </c>
      <c r="AQ498" s="15" t="n">
        <f aca="false">AP498*INDEX(Ipotesi!$C$31:$G$31,1,F498)*H498</f>
        <v>21375</v>
      </c>
      <c r="AR498" s="15" t="n">
        <f aca="false">INDEX(Ipotesi!$C$75:$G$75,1,F498)*J498/12</f>
        <v>4583.33333333333</v>
      </c>
      <c r="AS498" s="15" t="n">
        <f aca="false">INDEX(Ipotesi!$C$81:$G$81,1,F498)*J498/12</f>
        <v>833.333333333333</v>
      </c>
      <c r="AT498" s="15" t="n">
        <f aca="false">AR498*Parametri_v3!$C$15+Z498*Parametri_v3!$C$16</f>
        <v>8638.95833333333</v>
      </c>
      <c r="AU498" s="15" t="n">
        <f aca="false">Q498*Parametri_v3!$C$16*Parametri_v3!$C$17</f>
        <v>105</v>
      </c>
      <c r="AV498" s="17" t="n">
        <f aca="false">BD497</f>
        <v>6.08823638967096</v>
      </c>
      <c r="AW498" s="17" t="n">
        <f aca="false">AV498*(1-(1-INDEX(Ipotesi!$C$34:$G$34,1,F498))^(1/12))</f>
        <v>0.0532209939187309</v>
      </c>
      <c r="AX498" s="15" t="n">
        <f aca="false">ROUND(INDEX(Ipotesi!$C$32:$G$32,1,F498)*Ipotesi!K8,0)</f>
        <v>35</v>
      </c>
      <c r="AY498" s="15" t="n">
        <f aca="false">MAX(0,(AX498-(AV498-AW498))/(13-E498))</f>
        <v>2.63318041856798</v>
      </c>
      <c r="AZ498" s="15" t="n">
        <f aca="false">MIN(P498*Parametri_v3!$C$22,Q498*(1-Parametri_v3!$C$16)*Parametri_v3!$C$23)</f>
        <v>67.5</v>
      </c>
      <c r="BA498" s="15" t="n">
        <f aca="false">IF(OR(INDEX(Ipotesi!$C$35:$G$35,1,F498)&lt;=0,14-Parametri_v3!$C$21&lt;1),0,INDEX($AT$485:$AT$544,MAX(1,14-Parametri_v3!$C$21))/(INDEX(Ipotesi!$C$35:$G$35,1,F498)*Ipotesi!K27))</f>
        <v>1.13194444444444</v>
      </c>
      <c r="BB498" s="15" t="n">
        <f aca="false">IF(14-Parametri_v3!$C$21&lt;1,0,INDEX($AU$485:$AU$544,MAX(1,14-Parametri_v3!$C$21)))*Parametri_v3!$C$18*Parametri_v3!$C$19*Parametri_v3!$C$20</f>
        <v>1.3125</v>
      </c>
      <c r="BC498" s="17" t="n">
        <f aca="false">MAX(0,MIN(AY498,BA498,BB498,MAX(0,AZ498-(AV498-AW498))))</f>
        <v>1.13194444444444</v>
      </c>
      <c r="BD498" s="17" t="n">
        <f aca="false">AV498-AW498+BC498</f>
        <v>7.16695984019667</v>
      </c>
      <c r="BE498" s="17" t="n">
        <f aca="false">(AV498+BD498)/2</f>
        <v>6.62759811493382</v>
      </c>
      <c r="BF498" s="15" t="n">
        <f aca="false">BE498*INDEX(Ipotesi!$C$33:$G$33,1,F498)*H498/12</f>
        <v>2209.19937164461</v>
      </c>
      <c r="BG498" s="15" t="n">
        <f aca="false">BD498*INDEX(Ipotesi!$C$33:$G$33,1,F498)*H498</f>
        <v>28667.8393607867</v>
      </c>
      <c r="BH498" s="15" t="n">
        <f aca="false">AM498*INDEX(Ipotesi!$C$37:$G$37,1,F498)</f>
        <v>3398.1220657277</v>
      </c>
      <c r="BI498" s="15" t="n">
        <f aca="false">AQ498+BF498+BH498</f>
        <v>26982.3214373723</v>
      </c>
      <c r="BJ498" s="15" t="n">
        <f aca="false">INDEX(Ipotesi!$C$68:$G$68,1,F498)*Ipotesi!$C$69/12</f>
        <v>1600</v>
      </c>
      <c r="BK498" s="15" t="n">
        <f aca="false">INDEX(Ipotesi!$C$68:$G$68,1,F498)*(1-Ipotesi!$C$69)/12</f>
        <v>2400</v>
      </c>
      <c r="BL498" s="15" t="n">
        <f aca="false">(AQ498+BF498)*Ipotesi!$C$67</f>
        <v>707.525981149338</v>
      </c>
      <c r="BM498" s="15" t="n">
        <f aca="false">AM498*Ipotesi!$C$67</f>
        <v>1019.43661971831</v>
      </c>
      <c r="BN498" s="15" t="n">
        <f aca="false">INDEX(Ipotesi!$C$72:$G$72,1,F498)/12*Ipotesi!K126+BF498*Ipotesi!$C$73</f>
        <v>1426.73594973157</v>
      </c>
      <c r="BO498" s="15" t="n">
        <f aca="false">INDEX(Ipotesi!$C$74:$G$74,1,F498)/12*Ipotesi!K126</f>
        <v>1833.33333333333</v>
      </c>
      <c r="BP498" s="15" t="n">
        <f aca="false">INDEX(Ipotesi!$C$76:$G$76,1,F498)/12</f>
        <v>750</v>
      </c>
      <c r="BQ498" s="15" t="n">
        <f aca="false">INDEX(Ipotesi!$C$77:$G$77,1,F498)/12*Ipotesi!K126</f>
        <v>1666.66666666667</v>
      </c>
      <c r="BR498" s="15" t="n">
        <f aca="false">INDEX(Ipotesi!$C$78:$G$78,1,F498)/12</f>
        <v>1250</v>
      </c>
      <c r="BS498" s="15" t="n">
        <f aca="false">SUM(M498:R498)*(Ipotesi!$C$85+Ipotesi!$C$86)/12</f>
        <v>2625</v>
      </c>
      <c r="BT498" s="15" t="n">
        <f aca="false">BI498*Ipotesi!$C$87</f>
        <v>809.469643121169</v>
      </c>
      <c r="BU498" s="15" t="n">
        <f aca="false">INDEX(Ipotesi!$C$55:$G$55,1,F498)*K498/12</f>
        <v>1000</v>
      </c>
      <c r="BV498" s="15" t="n">
        <f aca="false">INDEX(Ipotesi!$C$80:$G$80,1,F498)/12*Ipotesi!K126</f>
        <v>833.333333333333</v>
      </c>
      <c r="BW498" s="15" t="n">
        <f aca="false">INDEX(Ipotesi!$C$82:$G$82,1,F498)/12</f>
        <v>666.666666666667</v>
      </c>
      <c r="BX498" s="15" t="n">
        <f aca="false">INDEX(Ipotesi!$C$83:$G$83,1,F498)/12</f>
        <v>583.333333333333</v>
      </c>
      <c r="BY498" s="15" t="n">
        <f aca="false">SUM(S498:U498)*(Ipotesi!$C$85+Ipotesi!$C$86)/12</f>
        <v>1166.66666666667</v>
      </c>
      <c r="BZ498" s="15" t="n">
        <f aca="false">AM498*Ipotesi!$C$87</f>
        <v>1019.43661971831</v>
      </c>
      <c r="CA498" s="15" t="n">
        <f aca="false">AB498+BJ498+BL498+BN498+BO498+AR498+BP498+BQ498+BR498+BS498+BT498</f>
        <v>57014.5649073354</v>
      </c>
      <c r="CB498" s="15" t="n">
        <f aca="false">AC498+BK498+BM498+BH498+BU498+BV498+AS498+BW498+BX498+BY498+BZ498</f>
        <v>28885.3286384976</v>
      </c>
      <c r="CC498" s="15" t="n">
        <f aca="false">BI498-CA498</f>
        <v>-30032.2434699631</v>
      </c>
      <c r="CD498" s="15" t="n">
        <f aca="false">AM498-CB498</f>
        <v>5095.89201877934</v>
      </c>
      <c r="CE498" s="15" t="n">
        <f aca="false">INDEX(Ipotesi!$C$79:$G$79,1,F498)/12</f>
        <v>2083.33333333333</v>
      </c>
      <c r="CF498" s="15" t="n">
        <f aca="false">INDEX(Ipotesi!$C$84:$G$84,1,F498)/12</f>
        <v>416.666666666667</v>
      </c>
      <c r="CG498" s="15" t="n">
        <f aca="false">Y498*MAX(0,Parametri_v3!$C$12-IF(P498=0,0,MIN(1,BE498/(P498*Parametri_v3!$C$22))))+W498*Parametri_v3!$C$13+X498*Parametri_v3!$C$14</f>
        <v>15594.7322475674</v>
      </c>
      <c r="CH498" s="15" t="n">
        <f aca="false">AB498*Parametri_v3!$C$32</f>
        <v>1988.125</v>
      </c>
      <c r="CI498" s="15" t="n">
        <f aca="false">AC498*Parametri_v3!$C$32</f>
        <v>798.25</v>
      </c>
      <c r="CJ498" s="15" t="n">
        <f aca="false">CA498-AB498</f>
        <v>17252.0649073354</v>
      </c>
      <c r="CK498" s="15" t="n">
        <f aca="false">CB498-AC498-BH498</f>
        <v>9522.20657276995</v>
      </c>
      <c r="CL498" s="15" t="n">
        <f aca="false">BF498*Ipotesi!$C$73+INDEX(Ipotesi!$C$72:$G$72,1,F498)/12*Ipotesi!K126*Parametri_v3!$C$58+Z498*(1-Parametri_v3!$C$16)</f>
        <v>3164.86094973157</v>
      </c>
      <c r="CM498" s="16" t="n">
        <f aca="false">IF(BF498=0,0,1-CL498/BF498)</f>
        <v>-0.4325827674736</v>
      </c>
    </row>
    <row r="499" customFormat="false" ht="18" hidden="false" customHeight="true" outlineLevel="0" collapsed="false">
      <c r="A499" s="68" t="n">
        <f aca="false">9</f>
        <v>9</v>
      </c>
      <c r="B499" s="68" t="n">
        <f aca="false">15</f>
        <v>15</v>
      </c>
      <c r="C499" s="18" t="n">
        <f aca="false">EDATE(Parametri_v3!$C$5,15-1)</f>
        <v>46813</v>
      </c>
      <c r="D499" s="68" t="n">
        <f aca="false">YEAR(C499)</f>
        <v>2028</v>
      </c>
      <c r="E499" s="68" t="n">
        <f aca="false">MONTH(C499)</f>
        <v>3</v>
      </c>
      <c r="F499" s="68" t="n">
        <f aca="false">INT((15-1)/12)+1</f>
        <v>2</v>
      </c>
      <c r="G499" s="15" t="n">
        <f aca="false">Ipotesi!K7</f>
        <v>1</v>
      </c>
      <c r="H499" s="15" t="n">
        <f aca="false">Ipotesi!K9</f>
        <v>1</v>
      </c>
      <c r="I499" s="15" t="n">
        <f aca="false">Ipotesi!K10</f>
        <v>1</v>
      </c>
      <c r="J499" s="15" t="n">
        <f aca="false">Ipotesi!K11</f>
        <v>1</v>
      </c>
      <c r="K499" s="15" t="n">
        <f aca="false">Ipotesi!K12</f>
        <v>1</v>
      </c>
      <c r="L499" s="15" t="n">
        <f aca="false">Ipotesi!K13</f>
        <v>90</v>
      </c>
      <c r="M499" s="17" t="n">
        <f aca="false">INDEX(Ipotesi!$C$40:$G$40,1,F499)</f>
        <v>1</v>
      </c>
      <c r="N499" s="17" t="n">
        <f aca="false">INDEX(Ipotesi!$C$41:$G$41,1,F499)</f>
        <v>1</v>
      </c>
      <c r="O499" s="17" t="n">
        <f aca="false">INDEX(Ipotesi!$C$42:$G$42,1,F499)*Ipotesi!K125</f>
        <v>2.5</v>
      </c>
      <c r="P499" s="17" t="n">
        <f aca="false">INDEX(Ipotesi!$C$43:$G$43,1,F499)*I499</f>
        <v>2.5</v>
      </c>
      <c r="Q499" s="17" t="n">
        <f aca="false">INDEX(Ipotesi!$C$44:$G$44,1,F499)*I499</f>
        <v>1.5</v>
      </c>
      <c r="R499" s="17" t="n">
        <f aca="false">INDEX(Ipotesi!$C$45:$G$45,1,F499)*I499</f>
        <v>0.5</v>
      </c>
      <c r="S499" s="17" t="n">
        <f aca="false">INDEX(Ipotesi!$C$52:$G$52,1,F499)*Ipotesi!K125</f>
        <v>3</v>
      </c>
      <c r="T499" s="17" t="n">
        <f aca="false">INDEX(Ipotesi!$C$53:$G$53,1,F499)*I499</f>
        <v>1</v>
      </c>
      <c r="U499" s="17" t="n">
        <f aca="false">INDEX(Ipotesi!$C$54:$G$54,1,F499)*I499</f>
        <v>0</v>
      </c>
      <c r="V499" s="15" t="n">
        <f aca="false">M499*INDEX(Ipotesi!$C$58:$G$58,1,F499)*K499/12</f>
        <v>5000</v>
      </c>
      <c r="W499" s="15" t="n">
        <f aca="false">N499*Ipotesi!$C$59*(1+Ipotesi!$C$66)^(F499-1)/12</f>
        <v>6008.33333333333</v>
      </c>
      <c r="X499" s="15" t="n">
        <f aca="false">O499*Ipotesi!$C$60*(1+Ipotesi!$C$66)^(F499-1)/12</f>
        <v>10729.1666666667</v>
      </c>
      <c r="Y499" s="15" t="n">
        <f aca="false">P499*Ipotesi!$C$61*(1+Ipotesi!$C$66)^(F499-1)/12</f>
        <v>10729.1666666667</v>
      </c>
      <c r="Z499" s="15" t="n">
        <f aca="false">Q499*Ipotesi!$C$62*(1+Ipotesi!$C$66)^(F499-1)/12</f>
        <v>5793.75</v>
      </c>
      <c r="AA499" s="15" t="n">
        <f aca="false">R499*Ipotesi!$C$63*(1+Ipotesi!$C$66)^(F499-1)/12</f>
        <v>1502.08333333333</v>
      </c>
      <c r="AB499" s="15" t="n">
        <f aca="false">SUM(V499:AA499)</f>
        <v>39762.5</v>
      </c>
      <c r="AC499" s="15" t="n">
        <f aca="false">(S499*Ipotesi!$C$64+T499*Ipotesi!$C$65+U499*Ipotesi!$C$63)*(1+Ipotesi!$C$66)^(F499-1)/12</f>
        <v>15965</v>
      </c>
      <c r="AD499" s="15" t="n">
        <f aca="false">INDEX(Ipotesi!$C$48:$G$48,1,F499)*G499/12</f>
        <v>37.5</v>
      </c>
      <c r="AE499" s="15" t="n">
        <f aca="false">INDEX(Ipotesi!$C$50:$G$50,1,F499)*G499/12</f>
        <v>4.58333333333333</v>
      </c>
      <c r="AF499" s="15" t="n">
        <f aca="false">(S499*Parametri_v3!$C$7*Parametri_v3!$C$8+Parametri_v3!$C$10)/12</f>
        <v>38.5</v>
      </c>
      <c r="AG499" s="15" t="n">
        <f aca="false">AD499+AE499*(1+Parametri_v3!$C$9)</f>
        <v>44.375</v>
      </c>
      <c r="AH499" s="16" t="n">
        <f aca="false">IF(AG499=0,1,MIN(1,AF499/AG499))</f>
        <v>0.867605633802817</v>
      </c>
      <c r="AI499" s="15" t="n">
        <f aca="false">AD499*AH499</f>
        <v>32.5352112676056</v>
      </c>
      <c r="AJ499" s="15" t="n">
        <f aca="false">AE499*AH499</f>
        <v>3.97652582159624</v>
      </c>
      <c r="AK499" s="15" t="n">
        <f aca="false">AI499*INDEX(Ipotesi!$C$49:$G$49,1,F499)*H499</f>
        <v>26028.1690140845</v>
      </c>
      <c r="AL499" s="15" t="n">
        <f aca="false">AJ499*INDEX(Ipotesi!$C$51:$G$51,1,F499)*H499</f>
        <v>7953.05164319249</v>
      </c>
      <c r="AM499" s="15" t="n">
        <f aca="false">AK499+AL499</f>
        <v>33981.220657277</v>
      </c>
      <c r="AN499" s="15" t="n">
        <f aca="false">INDEX(Ipotesi!$C$30:$G$30,1,F499)*G499/12</f>
        <v>22.5</v>
      </c>
      <c r="AO499" s="15" t="n">
        <f aca="false">O499*Parametri_v3!$C$7*Parametri_v3!$C$11*(1-Parametri_v3!$C$14)/12</f>
        <v>25.6666666666667</v>
      </c>
      <c r="AP499" s="15" t="n">
        <f aca="false">MIN(AN499,AO499)</f>
        <v>22.5</v>
      </c>
      <c r="AQ499" s="15" t="n">
        <f aca="false">AP499*INDEX(Ipotesi!$C$31:$G$31,1,F499)*H499</f>
        <v>21375</v>
      </c>
      <c r="AR499" s="15" t="n">
        <f aca="false">INDEX(Ipotesi!$C$75:$G$75,1,F499)*J499/12</f>
        <v>4583.33333333333</v>
      </c>
      <c r="AS499" s="15" t="n">
        <f aca="false">INDEX(Ipotesi!$C$81:$G$81,1,F499)*J499/12</f>
        <v>833.333333333333</v>
      </c>
      <c r="AT499" s="15" t="n">
        <f aca="false">AR499*Parametri_v3!$C$15+Z499*Parametri_v3!$C$16</f>
        <v>8638.95833333333</v>
      </c>
      <c r="AU499" s="15" t="n">
        <f aca="false">Q499*Parametri_v3!$C$16*Parametri_v3!$C$17</f>
        <v>105</v>
      </c>
      <c r="AV499" s="17" t="n">
        <f aca="false">BD498</f>
        <v>7.16695984019667</v>
      </c>
      <c r="AW499" s="17" t="n">
        <f aca="false">AV499*(1-(1-INDEX(Ipotesi!$C$34:$G$34,1,F499))^(1/12))</f>
        <v>0.0626507746509347</v>
      </c>
      <c r="AX499" s="15" t="n">
        <f aca="false">ROUND(INDEX(Ipotesi!$C$32:$G$32,1,F499)*Ipotesi!K8,0)</f>
        <v>35</v>
      </c>
      <c r="AY499" s="15" t="n">
        <f aca="false">MAX(0,(AX499-(AV499-AW499))/(13-E499))</f>
        <v>2.78956909344543</v>
      </c>
      <c r="AZ499" s="15" t="n">
        <f aca="false">MIN(P499*Parametri_v3!$C$22,Q499*(1-Parametri_v3!$C$16)*Parametri_v3!$C$23)</f>
        <v>67.5</v>
      </c>
      <c r="BA499" s="15" t="n">
        <f aca="false">IF(OR(INDEX(Ipotesi!$C$35:$G$35,1,F499)&lt;=0,15-Parametri_v3!$C$21&lt;1),0,INDEX($AT$485:$AT$544,MAX(1,15-Parametri_v3!$C$21))/(INDEX(Ipotesi!$C$35:$G$35,1,F499)*Ipotesi!K27))</f>
        <v>1.13194444444444</v>
      </c>
      <c r="BB499" s="15" t="n">
        <f aca="false">IF(15-Parametri_v3!$C$21&lt;1,0,INDEX($AU$485:$AU$544,MAX(1,15-Parametri_v3!$C$21)))*Parametri_v3!$C$18*Parametri_v3!$C$19*Parametri_v3!$C$20</f>
        <v>1.3125</v>
      </c>
      <c r="BC499" s="17" t="n">
        <f aca="false">MAX(0,MIN(AY499,BA499,BB499,MAX(0,AZ499-(AV499-AW499))))</f>
        <v>1.13194444444444</v>
      </c>
      <c r="BD499" s="17" t="n">
        <f aca="false">AV499-AW499+BC499</f>
        <v>8.23625350999018</v>
      </c>
      <c r="BE499" s="17" t="n">
        <f aca="false">(AV499+BD499)/2</f>
        <v>7.70160667509343</v>
      </c>
      <c r="BF499" s="15" t="n">
        <f aca="false">BE499*INDEX(Ipotesi!$C$33:$G$33,1,F499)*H499/12</f>
        <v>2567.20222503114</v>
      </c>
      <c r="BG499" s="15" t="n">
        <f aca="false">BD499*INDEX(Ipotesi!$C$33:$G$33,1,F499)*H499</f>
        <v>32945.0140399607</v>
      </c>
      <c r="BH499" s="15" t="n">
        <f aca="false">AM499*INDEX(Ipotesi!$C$37:$G$37,1,F499)</f>
        <v>3398.1220657277</v>
      </c>
      <c r="BI499" s="15" t="n">
        <f aca="false">AQ499+BF499+BH499</f>
        <v>27340.3242907588</v>
      </c>
      <c r="BJ499" s="15" t="n">
        <f aca="false">INDEX(Ipotesi!$C$68:$G$68,1,F499)*Ipotesi!$C$69/12</f>
        <v>1600</v>
      </c>
      <c r="BK499" s="15" t="n">
        <f aca="false">INDEX(Ipotesi!$C$68:$G$68,1,F499)*(1-Ipotesi!$C$69)/12</f>
        <v>2400</v>
      </c>
      <c r="BL499" s="15" t="n">
        <f aca="false">(AQ499+BF499)*Ipotesi!$C$67</f>
        <v>718.266066750934</v>
      </c>
      <c r="BM499" s="15" t="n">
        <f aca="false">AM499*Ipotesi!$C$67</f>
        <v>1019.43661971831</v>
      </c>
      <c r="BN499" s="15" t="n">
        <f aca="false">INDEX(Ipotesi!$C$72:$G$72,1,F499)/12*Ipotesi!K126+BF499*Ipotesi!$C$73</f>
        <v>1455.37617800249</v>
      </c>
      <c r="BO499" s="15" t="n">
        <f aca="false">INDEX(Ipotesi!$C$74:$G$74,1,F499)/12*Ipotesi!K126</f>
        <v>1833.33333333333</v>
      </c>
      <c r="BP499" s="15" t="n">
        <f aca="false">INDEX(Ipotesi!$C$76:$G$76,1,F499)/12</f>
        <v>750</v>
      </c>
      <c r="BQ499" s="15" t="n">
        <f aca="false">INDEX(Ipotesi!$C$77:$G$77,1,F499)/12*Ipotesi!K126</f>
        <v>1666.66666666667</v>
      </c>
      <c r="BR499" s="15" t="n">
        <f aca="false">INDEX(Ipotesi!$C$78:$G$78,1,F499)/12</f>
        <v>1250</v>
      </c>
      <c r="BS499" s="15" t="n">
        <f aca="false">SUM(M499:R499)*(Ipotesi!$C$85+Ipotesi!$C$86)/12</f>
        <v>2625</v>
      </c>
      <c r="BT499" s="15" t="n">
        <f aca="false">BI499*Ipotesi!$C$87</f>
        <v>820.209728722765</v>
      </c>
      <c r="BU499" s="15" t="n">
        <f aca="false">INDEX(Ipotesi!$C$55:$G$55,1,F499)*K499/12</f>
        <v>1000</v>
      </c>
      <c r="BV499" s="15" t="n">
        <f aca="false">INDEX(Ipotesi!$C$80:$G$80,1,F499)/12*Ipotesi!K126</f>
        <v>833.333333333333</v>
      </c>
      <c r="BW499" s="15" t="n">
        <f aca="false">INDEX(Ipotesi!$C$82:$G$82,1,F499)/12</f>
        <v>666.666666666667</v>
      </c>
      <c r="BX499" s="15" t="n">
        <f aca="false">INDEX(Ipotesi!$C$83:$G$83,1,F499)/12</f>
        <v>583.333333333333</v>
      </c>
      <c r="BY499" s="15" t="n">
        <f aca="false">SUM(S499:U499)*(Ipotesi!$C$85+Ipotesi!$C$86)/12</f>
        <v>1166.66666666667</v>
      </c>
      <c r="BZ499" s="15" t="n">
        <f aca="false">AM499*Ipotesi!$C$87</f>
        <v>1019.43661971831</v>
      </c>
      <c r="CA499" s="15" t="n">
        <f aca="false">AB499+BJ499+BL499+BN499+BO499+AR499+BP499+BQ499+BR499+BS499+BT499</f>
        <v>57064.6853068095</v>
      </c>
      <c r="CB499" s="15" t="n">
        <f aca="false">AC499+BK499+BM499+BH499+BU499+BV499+AS499+BW499+BX499+BY499+BZ499</f>
        <v>28885.3286384976</v>
      </c>
      <c r="CC499" s="15" t="n">
        <f aca="false">BI499-CA499</f>
        <v>-29724.3610160507</v>
      </c>
      <c r="CD499" s="15" t="n">
        <f aca="false">AM499-CB499</f>
        <v>5095.89201877934</v>
      </c>
      <c r="CE499" s="15" t="n">
        <f aca="false">INDEX(Ipotesi!$C$79:$G$79,1,F499)/12</f>
        <v>2083.33333333333</v>
      </c>
      <c r="CF499" s="15" t="n">
        <f aca="false">INDEX(Ipotesi!$C$84:$G$84,1,F499)/12</f>
        <v>416.666666666667</v>
      </c>
      <c r="CG499" s="15" t="n">
        <f aca="false">Y499*MAX(0,Parametri_v3!$C$12-IF(P499=0,0,MIN(1,BE499/(P499*Parametri_v3!$C$22))))+W499*Parametri_v3!$C$13+X499*Parametri_v3!$C$14</f>
        <v>15548.6393801939</v>
      </c>
      <c r="CH499" s="15" t="n">
        <f aca="false">AB499*Parametri_v3!$C$32</f>
        <v>1988.125</v>
      </c>
      <c r="CI499" s="15" t="n">
        <f aca="false">AC499*Parametri_v3!$C$32</f>
        <v>798.25</v>
      </c>
      <c r="CJ499" s="15" t="n">
        <f aca="false">CA499-AB499</f>
        <v>17302.1853068095</v>
      </c>
      <c r="CK499" s="15" t="n">
        <f aca="false">CB499-AC499-BH499</f>
        <v>9522.20657276995</v>
      </c>
      <c r="CL499" s="15" t="n">
        <f aca="false">BF499*Ipotesi!$C$73+INDEX(Ipotesi!$C$72:$G$72,1,F499)/12*Ipotesi!K126*Parametri_v3!$C$58+Z499*(1-Parametri_v3!$C$16)</f>
        <v>3193.50117800249</v>
      </c>
      <c r="CM499" s="16" t="n">
        <f aca="false">IF(BF499=0,0,1-CL499/BF499)</f>
        <v>-0.243961674255619</v>
      </c>
    </row>
    <row r="500" customFormat="false" ht="18" hidden="false" customHeight="true" outlineLevel="0" collapsed="false">
      <c r="A500" s="68" t="n">
        <f aca="false">9</f>
        <v>9</v>
      </c>
      <c r="B500" s="68" t="n">
        <f aca="false">16</f>
        <v>16</v>
      </c>
      <c r="C500" s="18" t="n">
        <f aca="false">EDATE(Parametri_v3!$C$5,16-1)</f>
        <v>46844</v>
      </c>
      <c r="D500" s="68" t="n">
        <f aca="false">YEAR(C500)</f>
        <v>2028</v>
      </c>
      <c r="E500" s="68" t="n">
        <f aca="false">MONTH(C500)</f>
        <v>4</v>
      </c>
      <c r="F500" s="68" t="n">
        <f aca="false">INT((16-1)/12)+1</f>
        <v>2</v>
      </c>
      <c r="G500" s="15" t="n">
        <f aca="false">Ipotesi!K7</f>
        <v>1</v>
      </c>
      <c r="H500" s="15" t="n">
        <f aca="false">Ipotesi!K9</f>
        <v>1</v>
      </c>
      <c r="I500" s="15" t="n">
        <f aca="false">Ipotesi!K10</f>
        <v>1</v>
      </c>
      <c r="J500" s="15" t="n">
        <f aca="false">Ipotesi!K11</f>
        <v>1</v>
      </c>
      <c r="K500" s="15" t="n">
        <f aca="false">Ipotesi!K12</f>
        <v>1</v>
      </c>
      <c r="L500" s="15" t="n">
        <f aca="false">Ipotesi!K13</f>
        <v>90</v>
      </c>
      <c r="M500" s="17" t="n">
        <f aca="false">INDEX(Ipotesi!$C$40:$G$40,1,F500)</f>
        <v>1</v>
      </c>
      <c r="N500" s="17" t="n">
        <f aca="false">INDEX(Ipotesi!$C$41:$G$41,1,F500)</f>
        <v>1</v>
      </c>
      <c r="O500" s="17" t="n">
        <f aca="false">INDEX(Ipotesi!$C$42:$G$42,1,F500)*Ipotesi!K125</f>
        <v>2.5</v>
      </c>
      <c r="P500" s="17" t="n">
        <f aca="false">INDEX(Ipotesi!$C$43:$G$43,1,F500)*I500</f>
        <v>2.5</v>
      </c>
      <c r="Q500" s="17" t="n">
        <f aca="false">INDEX(Ipotesi!$C$44:$G$44,1,F500)*I500</f>
        <v>1.5</v>
      </c>
      <c r="R500" s="17" t="n">
        <f aca="false">INDEX(Ipotesi!$C$45:$G$45,1,F500)*I500</f>
        <v>0.5</v>
      </c>
      <c r="S500" s="17" t="n">
        <f aca="false">INDEX(Ipotesi!$C$52:$G$52,1,F500)*Ipotesi!K125</f>
        <v>3</v>
      </c>
      <c r="T500" s="17" t="n">
        <f aca="false">INDEX(Ipotesi!$C$53:$G$53,1,F500)*I500</f>
        <v>1</v>
      </c>
      <c r="U500" s="17" t="n">
        <f aca="false">INDEX(Ipotesi!$C$54:$G$54,1,F500)*I500</f>
        <v>0</v>
      </c>
      <c r="V500" s="15" t="n">
        <f aca="false">M500*INDEX(Ipotesi!$C$58:$G$58,1,F500)*K500/12</f>
        <v>5000</v>
      </c>
      <c r="W500" s="15" t="n">
        <f aca="false">N500*Ipotesi!$C$59*(1+Ipotesi!$C$66)^(F500-1)/12</f>
        <v>6008.33333333333</v>
      </c>
      <c r="X500" s="15" t="n">
        <f aca="false">O500*Ipotesi!$C$60*(1+Ipotesi!$C$66)^(F500-1)/12</f>
        <v>10729.1666666667</v>
      </c>
      <c r="Y500" s="15" t="n">
        <f aca="false">P500*Ipotesi!$C$61*(1+Ipotesi!$C$66)^(F500-1)/12</f>
        <v>10729.1666666667</v>
      </c>
      <c r="Z500" s="15" t="n">
        <f aca="false">Q500*Ipotesi!$C$62*(1+Ipotesi!$C$66)^(F500-1)/12</f>
        <v>5793.75</v>
      </c>
      <c r="AA500" s="15" t="n">
        <f aca="false">R500*Ipotesi!$C$63*(1+Ipotesi!$C$66)^(F500-1)/12</f>
        <v>1502.08333333333</v>
      </c>
      <c r="AB500" s="15" t="n">
        <f aca="false">SUM(V500:AA500)</f>
        <v>39762.5</v>
      </c>
      <c r="AC500" s="15" t="n">
        <f aca="false">(S500*Ipotesi!$C$64+T500*Ipotesi!$C$65+U500*Ipotesi!$C$63)*(1+Ipotesi!$C$66)^(F500-1)/12</f>
        <v>15965</v>
      </c>
      <c r="AD500" s="15" t="n">
        <f aca="false">INDEX(Ipotesi!$C$48:$G$48,1,F500)*G500/12</f>
        <v>37.5</v>
      </c>
      <c r="AE500" s="15" t="n">
        <f aca="false">INDEX(Ipotesi!$C$50:$G$50,1,F500)*G500/12</f>
        <v>4.58333333333333</v>
      </c>
      <c r="AF500" s="15" t="n">
        <f aca="false">(S500*Parametri_v3!$C$7*Parametri_v3!$C$8+Parametri_v3!$C$10)/12</f>
        <v>38.5</v>
      </c>
      <c r="AG500" s="15" t="n">
        <f aca="false">AD500+AE500*(1+Parametri_v3!$C$9)</f>
        <v>44.375</v>
      </c>
      <c r="AH500" s="16" t="n">
        <f aca="false">IF(AG500=0,1,MIN(1,AF500/AG500))</f>
        <v>0.867605633802817</v>
      </c>
      <c r="AI500" s="15" t="n">
        <f aca="false">AD500*AH500</f>
        <v>32.5352112676056</v>
      </c>
      <c r="AJ500" s="15" t="n">
        <f aca="false">AE500*AH500</f>
        <v>3.97652582159624</v>
      </c>
      <c r="AK500" s="15" t="n">
        <f aca="false">AI500*INDEX(Ipotesi!$C$49:$G$49,1,F500)*H500</f>
        <v>26028.1690140845</v>
      </c>
      <c r="AL500" s="15" t="n">
        <f aca="false">AJ500*INDEX(Ipotesi!$C$51:$G$51,1,F500)*H500</f>
        <v>7953.05164319249</v>
      </c>
      <c r="AM500" s="15" t="n">
        <f aca="false">AK500+AL500</f>
        <v>33981.220657277</v>
      </c>
      <c r="AN500" s="15" t="n">
        <f aca="false">INDEX(Ipotesi!$C$30:$G$30,1,F500)*G500/12</f>
        <v>22.5</v>
      </c>
      <c r="AO500" s="15" t="n">
        <f aca="false">O500*Parametri_v3!$C$7*Parametri_v3!$C$11*(1-Parametri_v3!$C$14)/12</f>
        <v>25.6666666666667</v>
      </c>
      <c r="AP500" s="15" t="n">
        <f aca="false">MIN(AN500,AO500)</f>
        <v>22.5</v>
      </c>
      <c r="AQ500" s="15" t="n">
        <f aca="false">AP500*INDEX(Ipotesi!$C$31:$G$31,1,F500)*H500</f>
        <v>21375</v>
      </c>
      <c r="AR500" s="15" t="n">
        <f aca="false">INDEX(Ipotesi!$C$75:$G$75,1,F500)*J500/12</f>
        <v>4583.33333333333</v>
      </c>
      <c r="AS500" s="15" t="n">
        <f aca="false">INDEX(Ipotesi!$C$81:$G$81,1,F500)*J500/12</f>
        <v>833.333333333333</v>
      </c>
      <c r="AT500" s="15" t="n">
        <f aca="false">AR500*Parametri_v3!$C$15+Z500*Parametri_v3!$C$16</f>
        <v>8638.95833333333</v>
      </c>
      <c r="AU500" s="15" t="n">
        <f aca="false">Q500*Parametri_v3!$C$16*Parametri_v3!$C$17</f>
        <v>105</v>
      </c>
      <c r="AV500" s="17" t="n">
        <f aca="false">BD499</f>
        <v>8.23625350999018</v>
      </c>
      <c r="AW500" s="17" t="n">
        <f aca="false">AV500*(1-(1-INDEX(Ipotesi!$C$34:$G$34,1,F500))^(1/12))</f>
        <v>0.0719981239085895</v>
      </c>
      <c r="AX500" s="15" t="n">
        <f aca="false">ROUND(INDEX(Ipotesi!$C$32:$G$32,1,F500)*Ipotesi!K8,0)</f>
        <v>35</v>
      </c>
      <c r="AY500" s="15" t="n">
        <f aca="false">MAX(0,(AX500-(AV500-AW500))/(13-E500))</f>
        <v>2.98174940154649</v>
      </c>
      <c r="AZ500" s="15" t="n">
        <f aca="false">MIN(P500*Parametri_v3!$C$22,Q500*(1-Parametri_v3!$C$16)*Parametri_v3!$C$23)</f>
        <v>67.5</v>
      </c>
      <c r="BA500" s="15" t="n">
        <f aca="false">IF(OR(INDEX(Ipotesi!$C$35:$G$35,1,F500)&lt;=0,16-Parametri_v3!$C$21&lt;1),0,INDEX($AT$485:$AT$544,MAX(1,16-Parametri_v3!$C$21))/(INDEX(Ipotesi!$C$35:$G$35,1,F500)*Ipotesi!K27))</f>
        <v>2.87965277777778</v>
      </c>
      <c r="BB500" s="15" t="n">
        <f aca="false">IF(16-Parametri_v3!$C$21&lt;1,0,INDEX($AU$485:$AU$544,MAX(1,16-Parametri_v3!$C$21)))*Parametri_v3!$C$18*Parametri_v3!$C$19*Parametri_v3!$C$20</f>
        <v>3.9375</v>
      </c>
      <c r="BC500" s="17" t="n">
        <f aca="false">MAX(0,MIN(AY500,BA500,BB500,MAX(0,AZ500-(AV500-AW500))))</f>
        <v>2.87965277777778</v>
      </c>
      <c r="BD500" s="17" t="n">
        <f aca="false">AV500-AW500+BC500</f>
        <v>11.0439081638594</v>
      </c>
      <c r="BE500" s="17" t="n">
        <f aca="false">(AV500+BD500)/2</f>
        <v>9.64008083692478</v>
      </c>
      <c r="BF500" s="15" t="n">
        <f aca="false">BE500*INDEX(Ipotesi!$C$33:$G$33,1,F500)*H500/12</f>
        <v>3213.36027897493</v>
      </c>
      <c r="BG500" s="15" t="n">
        <f aca="false">BD500*INDEX(Ipotesi!$C$33:$G$33,1,F500)*H500</f>
        <v>44175.6326554375</v>
      </c>
      <c r="BH500" s="15" t="n">
        <f aca="false">AM500*INDEX(Ipotesi!$C$37:$G$37,1,F500)</f>
        <v>3398.1220657277</v>
      </c>
      <c r="BI500" s="15" t="n">
        <f aca="false">AQ500+BF500+BH500</f>
        <v>27986.4823447026</v>
      </c>
      <c r="BJ500" s="15" t="n">
        <f aca="false">INDEX(Ipotesi!$C$68:$G$68,1,F500)*Ipotesi!$C$69/12</f>
        <v>1600</v>
      </c>
      <c r="BK500" s="15" t="n">
        <f aca="false">INDEX(Ipotesi!$C$68:$G$68,1,F500)*(1-Ipotesi!$C$69)/12</f>
        <v>2400</v>
      </c>
      <c r="BL500" s="15" t="n">
        <f aca="false">(AQ500+BF500)*Ipotesi!$C$67</f>
        <v>737.650808369248</v>
      </c>
      <c r="BM500" s="15" t="n">
        <f aca="false">AM500*Ipotesi!$C$67</f>
        <v>1019.43661971831</v>
      </c>
      <c r="BN500" s="15" t="n">
        <f aca="false">INDEX(Ipotesi!$C$72:$G$72,1,F500)/12*Ipotesi!K126+BF500*Ipotesi!$C$73</f>
        <v>1507.06882231799</v>
      </c>
      <c r="BO500" s="15" t="n">
        <f aca="false">INDEX(Ipotesi!$C$74:$G$74,1,F500)/12*Ipotesi!K126</f>
        <v>1833.33333333333</v>
      </c>
      <c r="BP500" s="15" t="n">
        <f aca="false">INDEX(Ipotesi!$C$76:$G$76,1,F500)/12</f>
        <v>750</v>
      </c>
      <c r="BQ500" s="15" t="n">
        <f aca="false">INDEX(Ipotesi!$C$77:$G$77,1,F500)/12*Ipotesi!K126</f>
        <v>1666.66666666667</v>
      </c>
      <c r="BR500" s="15" t="n">
        <f aca="false">INDEX(Ipotesi!$C$78:$G$78,1,F500)/12</f>
        <v>1250</v>
      </c>
      <c r="BS500" s="15" t="n">
        <f aca="false">SUM(M500:R500)*(Ipotesi!$C$85+Ipotesi!$C$86)/12</f>
        <v>2625</v>
      </c>
      <c r="BT500" s="15" t="n">
        <f aca="false">BI500*Ipotesi!$C$87</f>
        <v>839.594470341079</v>
      </c>
      <c r="BU500" s="15" t="n">
        <f aca="false">INDEX(Ipotesi!$C$55:$G$55,1,F500)*K500/12</f>
        <v>1000</v>
      </c>
      <c r="BV500" s="15" t="n">
        <f aca="false">INDEX(Ipotesi!$C$80:$G$80,1,F500)/12*Ipotesi!K126</f>
        <v>833.333333333333</v>
      </c>
      <c r="BW500" s="15" t="n">
        <f aca="false">INDEX(Ipotesi!$C$82:$G$82,1,F500)/12</f>
        <v>666.666666666667</v>
      </c>
      <c r="BX500" s="15" t="n">
        <f aca="false">INDEX(Ipotesi!$C$83:$G$83,1,F500)/12</f>
        <v>583.333333333333</v>
      </c>
      <c r="BY500" s="15" t="n">
        <f aca="false">SUM(S500:U500)*(Ipotesi!$C$85+Ipotesi!$C$86)/12</f>
        <v>1166.66666666667</v>
      </c>
      <c r="BZ500" s="15" t="n">
        <f aca="false">AM500*Ipotesi!$C$87</f>
        <v>1019.43661971831</v>
      </c>
      <c r="CA500" s="15" t="n">
        <f aca="false">AB500+BJ500+BL500+BN500+BO500+AR500+BP500+BQ500+BR500+BS500+BT500</f>
        <v>57155.1474343617</v>
      </c>
      <c r="CB500" s="15" t="n">
        <f aca="false">AC500+BK500+BM500+BH500+BU500+BV500+AS500+BW500+BX500+BY500+BZ500</f>
        <v>28885.3286384976</v>
      </c>
      <c r="CC500" s="15" t="n">
        <f aca="false">BI500-CA500</f>
        <v>-29168.665089659</v>
      </c>
      <c r="CD500" s="15" t="n">
        <f aca="false">AM500-CB500</f>
        <v>5095.89201877934</v>
      </c>
      <c r="CE500" s="15" t="n">
        <f aca="false">INDEX(Ipotesi!$C$79:$G$79,1,F500)/12</f>
        <v>2083.33333333333</v>
      </c>
      <c r="CF500" s="15" t="n">
        <f aca="false">INDEX(Ipotesi!$C$84:$G$84,1,F500)/12</f>
        <v>416.666666666667</v>
      </c>
      <c r="CG500" s="15" t="n">
        <f aca="false">Y500*MAX(0,Parametri_v3!$C$12-IF(P500=0,0,MIN(1,BE500/(P500*Parametri_v3!$C$22))))+W500*Parametri_v3!$C$13+X500*Parametri_v3!$C$14</f>
        <v>15465.4465307486</v>
      </c>
      <c r="CH500" s="15" t="n">
        <f aca="false">AB500*Parametri_v3!$C$32</f>
        <v>1988.125</v>
      </c>
      <c r="CI500" s="15" t="n">
        <f aca="false">AC500*Parametri_v3!$C$32</f>
        <v>798.25</v>
      </c>
      <c r="CJ500" s="15" t="n">
        <f aca="false">CA500-AB500</f>
        <v>17392.6474343617</v>
      </c>
      <c r="CK500" s="15" t="n">
        <f aca="false">CB500-AC500-BH500</f>
        <v>9522.20657276995</v>
      </c>
      <c r="CL500" s="15" t="n">
        <f aca="false">BF500*Ipotesi!$C$73+INDEX(Ipotesi!$C$72:$G$72,1,F500)/12*Ipotesi!K126*Parametri_v3!$C$58+Z500*(1-Parametri_v3!$C$16)</f>
        <v>3245.19382231799</v>
      </c>
      <c r="CM500" s="16" t="n">
        <f aca="false">IF(BF500=0,0,1-CL500/BF500)</f>
        <v>-0.00990662128717901</v>
      </c>
    </row>
    <row r="501" customFormat="false" ht="18" hidden="false" customHeight="true" outlineLevel="0" collapsed="false">
      <c r="A501" s="68" t="n">
        <f aca="false">9</f>
        <v>9</v>
      </c>
      <c r="B501" s="68" t="n">
        <f aca="false">17</f>
        <v>17</v>
      </c>
      <c r="C501" s="18" t="n">
        <f aca="false">EDATE(Parametri_v3!$C$5,17-1)</f>
        <v>46874</v>
      </c>
      <c r="D501" s="68" t="n">
        <f aca="false">YEAR(C501)</f>
        <v>2028</v>
      </c>
      <c r="E501" s="68" t="n">
        <f aca="false">MONTH(C501)</f>
        <v>5</v>
      </c>
      <c r="F501" s="68" t="n">
        <f aca="false">INT((17-1)/12)+1</f>
        <v>2</v>
      </c>
      <c r="G501" s="15" t="n">
        <f aca="false">Ipotesi!K7</f>
        <v>1</v>
      </c>
      <c r="H501" s="15" t="n">
        <f aca="false">Ipotesi!K9</f>
        <v>1</v>
      </c>
      <c r="I501" s="15" t="n">
        <f aca="false">Ipotesi!K10</f>
        <v>1</v>
      </c>
      <c r="J501" s="15" t="n">
        <f aca="false">Ipotesi!K11</f>
        <v>1</v>
      </c>
      <c r="K501" s="15" t="n">
        <f aca="false">Ipotesi!K12</f>
        <v>1</v>
      </c>
      <c r="L501" s="15" t="n">
        <f aca="false">Ipotesi!K13</f>
        <v>90</v>
      </c>
      <c r="M501" s="17" t="n">
        <f aca="false">INDEX(Ipotesi!$C$40:$G$40,1,F501)</f>
        <v>1</v>
      </c>
      <c r="N501" s="17" t="n">
        <f aca="false">INDEX(Ipotesi!$C$41:$G$41,1,F501)</f>
        <v>1</v>
      </c>
      <c r="O501" s="17" t="n">
        <f aca="false">INDEX(Ipotesi!$C$42:$G$42,1,F501)*Ipotesi!K125</f>
        <v>2.5</v>
      </c>
      <c r="P501" s="17" t="n">
        <f aca="false">INDEX(Ipotesi!$C$43:$G$43,1,F501)*I501</f>
        <v>2.5</v>
      </c>
      <c r="Q501" s="17" t="n">
        <f aca="false">INDEX(Ipotesi!$C$44:$G$44,1,F501)*I501</f>
        <v>1.5</v>
      </c>
      <c r="R501" s="17" t="n">
        <f aca="false">INDEX(Ipotesi!$C$45:$G$45,1,F501)*I501</f>
        <v>0.5</v>
      </c>
      <c r="S501" s="17" t="n">
        <f aca="false">INDEX(Ipotesi!$C$52:$G$52,1,F501)*Ipotesi!K125</f>
        <v>3</v>
      </c>
      <c r="T501" s="17" t="n">
        <f aca="false">INDEX(Ipotesi!$C$53:$G$53,1,F501)*I501</f>
        <v>1</v>
      </c>
      <c r="U501" s="17" t="n">
        <f aca="false">INDEX(Ipotesi!$C$54:$G$54,1,F501)*I501</f>
        <v>0</v>
      </c>
      <c r="V501" s="15" t="n">
        <f aca="false">M501*INDEX(Ipotesi!$C$58:$G$58,1,F501)*K501/12</f>
        <v>5000</v>
      </c>
      <c r="W501" s="15" t="n">
        <f aca="false">N501*Ipotesi!$C$59*(1+Ipotesi!$C$66)^(F501-1)/12</f>
        <v>6008.33333333333</v>
      </c>
      <c r="X501" s="15" t="n">
        <f aca="false">O501*Ipotesi!$C$60*(1+Ipotesi!$C$66)^(F501-1)/12</f>
        <v>10729.1666666667</v>
      </c>
      <c r="Y501" s="15" t="n">
        <f aca="false">P501*Ipotesi!$C$61*(1+Ipotesi!$C$66)^(F501-1)/12</f>
        <v>10729.1666666667</v>
      </c>
      <c r="Z501" s="15" t="n">
        <f aca="false">Q501*Ipotesi!$C$62*(1+Ipotesi!$C$66)^(F501-1)/12</f>
        <v>5793.75</v>
      </c>
      <c r="AA501" s="15" t="n">
        <f aca="false">R501*Ipotesi!$C$63*(1+Ipotesi!$C$66)^(F501-1)/12</f>
        <v>1502.08333333333</v>
      </c>
      <c r="AB501" s="15" t="n">
        <f aca="false">SUM(V501:AA501)</f>
        <v>39762.5</v>
      </c>
      <c r="AC501" s="15" t="n">
        <f aca="false">(S501*Ipotesi!$C$64+T501*Ipotesi!$C$65+U501*Ipotesi!$C$63)*(1+Ipotesi!$C$66)^(F501-1)/12</f>
        <v>15965</v>
      </c>
      <c r="AD501" s="15" t="n">
        <f aca="false">INDEX(Ipotesi!$C$48:$G$48,1,F501)*G501/12</f>
        <v>37.5</v>
      </c>
      <c r="AE501" s="15" t="n">
        <f aca="false">INDEX(Ipotesi!$C$50:$G$50,1,F501)*G501/12</f>
        <v>4.58333333333333</v>
      </c>
      <c r="AF501" s="15" t="n">
        <f aca="false">(S501*Parametri_v3!$C$7*Parametri_v3!$C$8+Parametri_v3!$C$10)/12</f>
        <v>38.5</v>
      </c>
      <c r="AG501" s="15" t="n">
        <f aca="false">AD501+AE501*(1+Parametri_v3!$C$9)</f>
        <v>44.375</v>
      </c>
      <c r="AH501" s="16" t="n">
        <f aca="false">IF(AG501=0,1,MIN(1,AF501/AG501))</f>
        <v>0.867605633802817</v>
      </c>
      <c r="AI501" s="15" t="n">
        <f aca="false">AD501*AH501</f>
        <v>32.5352112676056</v>
      </c>
      <c r="AJ501" s="15" t="n">
        <f aca="false">AE501*AH501</f>
        <v>3.97652582159624</v>
      </c>
      <c r="AK501" s="15" t="n">
        <f aca="false">AI501*INDEX(Ipotesi!$C$49:$G$49,1,F501)*H501</f>
        <v>26028.1690140845</v>
      </c>
      <c r="AL501" s="15" t="n">
        <f aca="false">AJ501*INDEX(Ipotesi!$C$51:$G$51,1,F501)*H501</f>
        <v>7953.05164319249</v>
      </c>
      <c r="AM501" s="15" t="n">
        <f aca="false">AK501+AL501</f>
        <v>33981.220657277</v>
      </c>
      <c r="AN501" s="15" t="n">
        <f aca="false">INDEX(Ipotesi!$C$30:$G$30,1,F501)*G501/12</f>
        <v>22.5</v>
      </c>
      <c r="AO501" s="15" t="n">
        <f aca="false">O501*Parametri_v3!$C$7*Parametri_v3!$C$11*(1-Parametri_v3!$C$14)/12</f>
        <v>25.6666666666667</v>
      </c>
      <c r="AP501" s="15" t="n">
        <f aca="false">MIN(AN501,AO501)</f>
        <v>22.5</v>
      </c>
      <c r="AQ501" s="15" t="n">
        <f aca="false">AP501*INDEX(Ipotesi!$C$31:$G$31,1,F501)*H501</f>
        <v>21375</v>
      </c>
      <c r="AR501" s="15" t="n">
        <f aca="false">INDEX(Ipotesi!$C$75:$G$75,1,F501)*J501/12</f>
        <v>4583.33333333333</v>
      </c>
      <c r="AS501" s="15" t="n">
        <f aca="false">INDEX(Ipotesi!$C$81:$G$81,1,F501)*J501/12</f>
        <v>833.333333333333</v>
      </c>
      <c r="AT501" s="15" t="n">
        <f aca="false">AR501*Parametri_v3!$C$15+Z501*Parametri_v3!$C$16</f>
        <v>8638.95833333333</v>
      </c>
      <c r="AU501" s="15" t="n">
        <f aca="false">Q501*Parametri_v3!$C$16*Parametri_v3!$C$17</f>
        <v>105</v>
      </c>
      <c r="AV501" s="17" t="n">
        <f aca="false">BD500</f>
        <v>11.0439081638594</v>
      </c>
      <c r="AW501" s="17" t="n">
        <f aca="false">AV501*(1-(1-INDEX(Ipotesi!$C$34:$G$34,1,F501))^(1/12))</f>
        <v>0.0965415485878576</v>
      </c>
      <c r="AX501" s="15" t="n">
        <f aca="false">ROUND(INDEX(Ipotesi!$C$32:$G$32,1,F501)*Ipotesi!K8,0)</f>
        <v>35</v>
      </c>
      <c r="AY501" s="15" t="n">
        <f aca="false">MAX(0,(AX501-(AV501-AW501))/(13-E501))</f>
        <v>3.00657917309106</v>
      </c>
      <c r="AZ501" s="15" t="n">
        <f aca="false">MIN(P501*Parametri_v3!$C$22,Q501*(1-Parametri_v3!$C$16)*Parametri_v3!$C$23)</f>
        <v>67.5</v>
      </c>
      <c r="BA501" s="15" t="n">
        <f aca="false">IF(OR(INDEX(Ipotesi!$C$35:$G$35,1,F501)&lt;=0,17-Parametri_v3!$C$21&lt;1),0,INDEX($AT$485:$AT$544,MAX(1,17-Parametri_v3!$C$21))/(INDEX(Ipotesi!$C$35:$G$35,1,F501)*Ipotesi!K27))</f>
        <v>2.87965277777778</v>
      </c>
      <c r="BB501" s="15" t="n">
        <f aca="false">IF(17-Parametri_v3!$C$21&lt;1,0,INDEX($AU$485:$AU$544,MAX(1,17-Parametri_v3!$C$21)))*Parametri_v3!$C$18*Parametri_v3!$C$19*Parametri_v3!$C$20</f>
        <v>3.9375</v>
      </c>
      <c r="BC501" s="17" t="n">
        <f aca="false">MAX(0,MIN(AY501,BA501,BB501,MAX(0,AZ501-(AV501-AW501))))</f>
        <v>2.87965277777778</v>
      </c>
      <c r="BD501" s="17" t="n">
        <f aca="false">AV501-AW501+BC501</f>
        <v>13.8270193930493</v>
      </c>
      <c r="BE501" s="17" t="n">
        <f aca="false">(AV501+BD501)/2</f>
        <v>12.4354637784543</v>
      </c>
      <c r="BF501" s="15" t="n">
        <f aca="false">BE501*INDEX(Ipotesi!$C$33:$G$33,1,F501)*H501/12</f>
        <v>4145.15459281811</v>
      </c>
      <c r="BG501" s="15" t="n">
        <f aca="false">BD501*INDEX(Ipotesi!$C$33:$G$33,1,F501)*H501</f>
        <v>55308.0775721972</v>
      </c>
      <c r="BH501" s="15" t="n">
        <f aca="false">AM501*INDEX(Ipotesi!$C$37:$G$37,1,F501)</f>
        <v>3398.1220657277</v>
      </c>
      <c r="BI501" s="15" t="n">
        <f aca="false">AQ501+BF501+BH501</f>
        <v>28918.2766585458</v>
      </c>
      <c r="BJ501" s="15" t="n">
        <f aca="false">INDEX(Ipotesi!$C$68:$G$68,1,F501)*Ipotesi!$C$69/12</f>
        <v>1600</v>
      </c>
      <c r="BK501" s="15" t="n">
        <f aca="false">INDEX(Ipotesi!$C$68:$G$68,1,F501)*(1-Ipotesi!$C$69)/12</f>
        <v>2400</v>
      </c>
      <c r="BL501" s="15" t="n">
        <f aca="false">(AQ501+BF501)*Ipotesi!$C$67</f>
        <v>765.604637784543</v>
      </c>
      <c r="BM501" s="15" t="n">
        <f aca="false">AM501*Ipotesi!$C$67</f>
        <v>1019.43661971831</v>
      </c>
      <c r="BN501" s="15" t="n">
        <f aca="false">INDEX(Ipotesi!$C$72:$G$72,1,F501)/12*Ipotesi!K126+BF501*Ipotesi!$C$73</f>
        <v>1581.61236742545</v>
      </c>
      <c r="BO501" s="15" t="n">
        <f aca="false">INDEX(Ipotesi!$C$74:$G$74,1,F501)/12*Ipotesi!K126</f>
        <v>1833.33333333333</v>
      </c>
      <c r="BP501" s="15" t="n">
        <f aca="false">INDEX(Ipotesi!$C$76:$G$76,1,F501)/12</f>
        <v>750</v>
      </c>
      <c r="BQ501" s="15" t="n">
        <f aca="false">INDEX(Ipotesi!$C$77:$G$77,1,F501)/12*Ipotesi!K126</f>
        <v>1666.66666666667</v>
      </c>
      <c r="BR501" s="15" t="n">
        <f aca="false">INDEX(Ipotesi!$C$78:$G$78,1,F501)/12</f>
        <v>1250</v>
      </c>
      <c r="BS501" s="15" t="n">
        <f aca="false">SUM(M501:R501)*(Ipotesi!$C$85+Ipotesi!$C$86)/12</f>
        <v>2625</v>
      </c>
      <c r="BT501" s="15" t="n">
        <f aca="false">BI501*Ipotesi!$C$87</f>
        <v>867.548299756374</v>
      </c>
      <c r="BU501" s="15" t="n">
        <f aca="false">INDEX(Ipotesi!$C$55:$G$55,1,F501)*K501/12</f>
        <v>1000</v>
      </c>
      <c r="BV501" s="15" t="n">
        <f aca="false">INDEX(Ipotesi!$C$80:$G$80,1,F501)/12*Ipotesi!K126</f>
        <v>833.333333333333</v>
      </c>
      <c r="BW501" s="15" t="n">
        <f aca="false">INDEX(Ipotesi!$C$82:$G$82,1,F501)/12</f>
        <v>666.666666666667</v>
      </c>
      <c r="BX501" s="15" t="n">
        <f aca="false">INDEX(Ipotesi!$C$83:$G$83,1,F501)/12</f>
        <v>583.333333333333</v>
      </c>
      <c r="BY501" s="15" t="n">
        <f aca="false">SUM(S501:U501)*(Ipotesi!$C$85+Ipotesi!$C$86)/12</f>
        <v>1166.66666666667</v>
      </c>
      <c r="BZ501" s="15" t="n">
        <f aca="false">AM501*Ipotesi!$C$87</f>
        <v>1019.43661971831</v>
      </c>
      <c r="CA501" s="15" t="n">
        <f aca="false">AB501+BJ501+BL501+BN501+BO501+AR501+BP501+BQ501+BR501+BS501+BT501</f>
        <v>57285.5986382997</v>
      </c>
      <c r="CB501" s="15" t="n">
        <f aca="false">AC501+BK501+BM501+BH501+BU501+BV501+AS501+BW501+BX501+BY501+BZ501</f>
        <v>28885.3286384976</v>
      </c>
      <c r="CC501" s="15" t="n">
        <f aca="false">BI501-CA501</f>
        <v>-28367.3219797539</v>
      </c>
      <c r="CD501" s="15" t="n">
        <f aca="false">AM501-CB501</f>
        <v>5095.89201877934</v>
      </c>
      <c r="CE501" s="15" t="n">
        <f aca="false">INDEX(Ipotesi!$C$79:$G$79,1,F501)/12</f>
        <v>2083.33333333333</v>
      </c>
      <c r="CF501" s="15" t="n">
        <f aca="false">INDEX(Ipotesi!$C$84:$G$84,1,F501)/12</f>
        <v>416.666666666667</v>
      </c>
      <c r="CG501" s="15" t="n">
        <f aca="false">Y501*MAX(0,Parametri_v3!$C$12-IF(P501=0,0,MIN(1,BE501/(P501*Parametri_v3!$C$22))))+W501*Parametri_v3!$C$13+X501*Parametri_v3!$C$14</f>
        <v>15345.4780128413</v>
      </c>
      <c r="CH501" s="15" t="n">
        <f aca="false">AB501*Parametri_v3!$C$32</f>
        <v>1988.125</v>
      </c>
      <c r="CI501" s="15" t="n">
        <f aca="false">AC501*Parametri_v3!$C$32</f>
        <v>798.25</v>
      </c>
      <c r="CJ501" s="15" t="n">
        <f aca="false">CA501-AB501</f>
        <v>17523.0986382997</v>
      </c>
      <c r="CK501" s="15" t="n">
        <f aca="false">CB501-AC501-BH501</f>
        <v>9522.20657276995</v>
      </c>
      <c r="CL501" s="15" t="n">
        <f aca="false">BF501*Ipotesi!$C$73+INDEX(Ipotesi!$C$72:$G$72,1,F501)/12*Ipotesi!K126*Parametri_v3!$C$58+Z501*(1-Parametri_v3!$C$16)</f>
        <v>3319.73736742545</v>
      </c>
      <c r="CM501" s="16" t="n">
        <f aca="false">IF(BF501=0,0,1-CL501/BF501)</f>
        <v>0.199128212690252</v>
      </c>
    </row>
    <row r="502" customFormat="false" ht="18" hidden="false" customHeight="true" outlineLevel="0" collapsed="false">
      <c r="A502" s="68" t="n">
        <f aca="false">9</f>
        <v>9</v>
      </c>
      <c r="B502" s="68" t="n">
        <f aca="false">18</f>
        <v>18</v>
      </c>
      <c r="C502" s="18" t="n">
        <f aca="false">EDATE(Parametri_v3!$C$5,18-1)</f>
        <v>46905</v>
      </c>
      <c r="D502" s="68" t="n">
        <f aca="false">YEAR(C502)</f>
        <v>2028</v>
      </c>
      <c r="E502" s="68" t="n">
        <f aca="false">MONTH(C502)</f>
        <v>6</v>
      </c>
      <c r="F502" s="68" t="n">
        <f aca="false">INT((18-1)/12)+1</f>
        <v>2</v>
      </c>
      <c r="G502" s="15" t="n">
        <f aca="false">Ipotesi!K7</f>
        <v>1</v>
      </c>
      <c r="H502" s="15" t="n">
        <f aca="false">Ipotesi!K9</f>
        <v>1</v>
      </c>
      <c r="I502" s="15" t="n">
        <f aca="false">Ipotesi!K10</f>
        <v>1</v>
      </c>
      <c r="J502" s="15" t="n">
        <f aca="false">Ipotesi!K11</f>
        <v>1</v>
      </c>
      <c r="K502" s="15" t="n">
        <f aca="false">Ipotesi!K12</f>
        <v>1</v>
      </c>
      <c r="L502" s="15" t="n">
        <f aca="false">Ipotesi!K13</f>
        <v>90</v>
      </c>
      <c r="M502" s="17" t="n">
        <f aca="false">INDEX(Ipotesi!$C$40:$G$40,1,F502)</f>
        <v>1</v>
      </c>
      <c r="N502" s="17" t="n">
        <f aca="false">INDEX(Ipotesi!$C$41:$G$41,1,F502)</f>
        <v>1</v>
      </c>
      <c r="O502" s="17" t="n">
        <f aca="false">INDEX(Ipotesi!$C$42:$G$42,1,F502)*Ipotesi!K125</f>
        <v>2.5</v>
      </c>
      <c r="P502" s="17" t="n">
        <f aca="false">INDEX(Ipotesi!$C$43:$G$43,1,F502)*I502</f>
        <v>2.5</v>
      </c>
      <c r="Q502" s="17" t="n">
        <f aca="false">INDEX(Ipotesi!$C$44:$G$44,1,F502)*I502</f>
        <v>1.5</v>
      </c>
      <c r="R502" s="17" t="n">
        <f aca="false">INDEX(Ipotesi!$C$45:$G$45,1,F502)*I502</f>
        <v>0.5</v>
      </c>
      <c r="S502" s="17" t="n">
        <f aca="false">INDEX(Ipotesi!$C$52:$G$52,1,F502)*Ipotesi!K125</f>
        <v>3</v>
      </c>
      <c r="T502" s="17" t="n">
        <f aca="false">INDEX(Ipotesi!$C$53:$G$53,1,F502)*I502</f>
        <v>1</v>
      </c>
      <c r="U502" s="17" t="n">
        <f aca="false">INDEX(Ipotesi!$C$54:$G$54,1,F502)*I502</f>
        <v>0</v>
      </c>
      <c r="V502" s="15" t="n">
        <f aca="false">M502*INDEX(Ipotesi!$C$58:$G$58,1,F502)*K502/12</f>
        <v>5000</v>
      </c>
      <c r="W502" s="15" t="n">
        <f aca="false">N502*Ipotesi!$C$59*(1+Ipotesi!$C$66)^(F502-1)/12</f>
        <v>6008.33333333333</v>
      </c>
      <c r="X502" s="15" t="n">
        <f aca="false">O502*Ipotesi!$C$60*(1+Ipotesi!$C$66)^(F502-1)/12</f>
        <v>10729.1666666667</v>
      </c>
      <c r="Y502" s="15" t="n">
        <f aca="false">P502*Ipotesi!$C$61*(1+Ipotesi!$C$66)^(F502-1)/12</f>
        <v>10729.1666666667</v>
      </c>
      <c r="Z502" s="15" t="n">
        <f aca="false">Q502*Ipotesi!$C$62*(1+Ipotesi!$C$66)^(F502-1)/12</f>
        <v>5793.75</v>
      </c>
      <c r="AA502" s="15" t="n">
        <f aca="false">R502*Ipotesi!$C$63*(1+Ipotesi!$C$66)^(F502-1)/12</f>
        <v>1502.08333333333</v>
      </c>
      <c r="AB502" s="15" t="n">
        <f aca="false">SUM(V502:AA502)</f>
        <v>39762.5</v>
      </c>
      <c r="AC502" s="15" t="n">
        <f aca="false">(S502*Ipotesi!$C$64+T502*Ipotesi!$C$65+U502*Ipotesi!$C$63)*(1+Ipotesi!$C$66)^(F502-1)/12</f>
        <v>15965</v>
      </c>
      <c r="AD502" s="15" t="n">
        <f aca="false">INDEX(Ipotesi!$C$48:$G$48,1,F502)*G502/12</f>
        <v>37.5</v>
      </c>
      <c r="AE502" s="15" t="n">
        <f aca="false">INDEX(Ipotesi!$C$50:$G$50,1,F502)*G502/12</f>
        <v>4.58333333333333</v>
      </c>
      <c r="AF502" s="15" t="n">
        <f aca="false">(S502*Parametri_v3!$C$7*Parametri_v3!$C$8+Parametri_v3!$C$10)/12</f>
        <v>38.5</v>
      </c>
      <c r="AG502" s="15" t="n">
        <f aca="false">AD502+AE502*(1+Parametri_v3!$C$9)</f>
        <v>44.375</v>
      </c>
      <c r="AH502" s="16" t="n">
        <f aca="false">IF(AG502=0,1,MIN(1,AF502/AG502))</f>
        <v>0.867605633802817</v>
      </c>
      <c r="AI502" s="15" t="n">
        <f aca="false">AD502*AH502</f>
        <v>32.5352112676056</v>
      </c>
      <c r="AJ502" s="15" t="n">
        <f aca="false">AE502*AH502</f>
        <v>3.97652582159624</v>
      </c>
      <c r="AK502" s="15" t="n">
        <f aca="false">AI502*INDEX(Ipotesi!$C$49:$G$49,1,F502)*H502</f>
        <v>26028.1690140845</v>
      </c>
      <c r="AL502" s="15" t="n">
        <f aca="false">AJ502*INDEX(Ipotesi!$C$51:$G$51,1,F502)*H502</f>
        <v>7953.05164319249</v>
      </c>
      <c r="AM502" s="15" t="n">
        <f aca="false">AK502+AL502</f>
        <v>33981.220657277</v>
      </c>
      <c r="AN502" s="15" t="n">
        <f aca="false">INDEX(Ipotesi!$C$30:$G$30,1,F502)*G502/12</f>
        <v>22.5</v>
      </c>
      <c r="AO502" s="15" t="n">
        <f aca="false">O502*Parametri_v3!$C$7*Parametri_v3!$C$11*(1-Parametri_v3!$C$14)/12</f>
        <v>25.6666666666667</v>
      </c>
      <c r="AP502" s="15" t="n">
        <f aca="false">MIN(AN502,AO502)</f>
        <v>22.5</v>
      </c>
      <c r="AQ502" s="15" t="n">
        <f aca="false">AP502*INDEX(Ipotesi!$C$31:$G$31,1,F502)*H502</f>
        <v>21375</v>
      </c>
      <c r="AR502" s="15" t="n">
        <f aca="false">INDEX(Ipotesi!$C$75:$G$75,1,F502)*J502/12</f>
        <v>4583.33333333333</v>
      </c>
      <c r="AS502" s="15" t="n">
        <f aca="false">INDEX(Ipotesi!$C$81:$G$81,1,F502)*J502/12</f>
        <v>833.333333333333</v>
      </c>
      <c r="AT502" s="15" t="n">
        <f aca="false">AR502*Parametri_v3!$C$15+Z502*Parametri_v3!$C$16</f>
        <v>8638.95833333333</v>
      </c>
      <c r="AU502" s="15" t="n">
        <f aca="false">Q502*Parametri_v3!$C$16*Parametri_v3!$C$17</f>
        <v>105</v>
      </c>
      <c r="AV502" s="17" t="n">
        <f aca="false">BD501</f>
        <v>13.8270193930493</v>
      </c>
      <c r="AW502" s="17" t="n">
        <f aca="false">AV502*(1-(1-INDEX(Ipotesi!$C$34:$G$34,1,F502))^(1/12))</f>
        <v>0.120870424197084</v>
      </c>
      <c r="AX502" s="15" t="n">
        <f aca="false">ROUND(INDEX(Ipotesi!$C$32:$G$32,1,F502)*Ipotesi!K8,0)</f>
        <v>35</v>
      </c>
      <c r="AY502" s="15" t="n">
        <f aca="false">MAX(0,(AX502-(AV502-AW502))/(13-E502))</f>
        <v>3.0419787187354</v>
      </c>
      <c r="AZ502" s="15" t="n">
        <f aca="false">MIN(P502*Parametri_v3!$C$22,Q502*(1-Parametri_v3!$C$16)*Parametri_v3!$C$23)</f>
        <v>67.5</v>
      </c>
      <c r="BA502" s="15" t="n">
        <f aca="false">IF(OR(INDEX(Ipotesi!$C$35:$G$35,1,F502)&lt;=0,18-Parametri_v3!$C$21&lt;1),0,INDEX($AT$485:$AT$544,MAX(1,18-Parametri_v3!$C$21))/(INDEX(Ipotesi!$C$35:$G$35,1,F502)*Ipotesi!K27))</f>
        <v>2.87965277777778</v>
      </c>
      <c r="BB502" s="15" t="n">
        <f aca="false">IF(18-Parametri_v3!$C$21&lt;1,0,INDEX($AU$485:$AU$544,MAX(1,18-Parametri_v3!$C$21)))*Parametri_v3!$C$18*Parametri_v3!$C$19*Parametri_v3!$C$20</f>
        <v>3.9375</v>
      </c>
      <c r="BC502" s="17" t="n">
        <f aca="false">MAX(0,MIN(AY502,BA502,BB502,MAX(0,AZ502-(AV502-AW502))))</f>
        <v>2.87965277777778</v>
      </c>
      <c r="BD502" s="17" t="n">
        <f aca="false">AV502-AW502+BC502</f>
        <v>16.58580174663</v>
      </c>
      <c r="BE502" s="17" t="n">
        <f aca="false">(AV502+BD502)/2</f>
        <v>15.2064105698396</v>
      </c>
      <c r="BF502" s="15" t="n">
        <f aca="false">BE502*INDEX(Ipotesi!$C$33:$G$33,1,F502)*H502/12</f>
        <v>5068.80352327988</v>
      </c>
      <c r="BG502" s="15" t="n">
        <f aca="false">BD502*INDEX(Ipotesi!$C$33:$G$33,1,F502)*H502</f>
        <v>66343.2069865199</v>
      </c>
      <c r="BH502" s="15" t="n">
        <f aca="false">AM502*INDEX(Ipotesi!$C$37:$G$37,1,F502)</f>
        <v>3398.1220657277</v>
      </c>
      <c r="BI502" s="15" t="n">
        <f aca="false">AQ502+BF502+BH502</f>
        <v>29841.9255890076</v>
      </c>
      <c r="BJ502" s="15" t="n">
        <f aca="false">INDEX(Ipotesi!$C$68:$G$68,1,F502)*Ipotesi!$C$69/12</f>
        <v>1600</v>
      </c>
      <c r="BK502" s="15" t="n">
        <f aca="false">INDEX(Ipotesi!$C$68:$G$68,1,F502)*(1-Ipotesi!$C$69)/12</f>
        <v>2400</v>
      </c>
      <c r="BL502" s="15" t="n">
        <f aca="false">(AQ502+BF502)*Ipotesi!$C$67</f>
        <v>793.314105698396</v>
      </c>
      <c r="BM502" s="15" t="n">
        <f aca="false">AM502*Ipotesi!$C$67</f>
        <v>1019.43661971831</v>
      </c>
      <c r="BN502" s="15" t="n">
        <f aca="false">INDEX(Ipotesi!$C$72:$G$72,1,F502)/12*Ipotesi!K126+BF502*Ipotesi!$C$73</f>
        <v>1655.50428186239</v>
      </c>
      <c r="BO502" s="15" t="n">
        <f aca="false">INDEX(Ipotesi!$C$74:$G$74,1,F502)/12*Ipotesi!K126</f>
        <v>1833.33333333333</v>
      </c>
      <c r="BP502" s="15" t="n">
        <f aca="false">INDEX(Ipotesi!$C$76:$G$76,1,F502)/12</f>
        <v>750</v>
      </c>
      <c r="BQ502" s="15" t="n">
        <f aca="false">INDEX(Ipotesi!$C$77:$G$77,1,F502)/12*Ipotesi!K126</f>
        <v>1666.66666666667</v>
      </c>
      <c r="BR502" s="15" t="n">
        <f aca="false">INDEX(Ipotesi!$C$78:$G$78,1,F502)/12</f>
        <v>1250</v>
      </c>
      <c r="BS502" s="15" t="n">
        <f aca="false">SUM(M502:R502)*(Ipotesi!$C$85+Ipotesi!$C$86)/12</f>
        <v>2625</v>
      </c>
      <c r="BT502" s="15" t="n">
        <f aca="false">BI502*Ipotesi!$C$87</f>
        <v>895.257767670227</v>
      </c>
      <c r="BU502" s="15" t="n">
        <f aca="false">INDEX(Ipotesi!$C$55:$G$55,1,F502)*K502/12</f>
        <v>1000</v>
      </c>
      <c r="BV502" s="15" t="n">
        <f aca="false">INDEX(Ipotesi!$C$80:$G$80,1,F502)/12*Ipotesi!K126</f>
        <v>833.333333333333</v>
      </c>
      <c r="BW502" s="15" t="n">
        <f aca="false">INDEX(Ipotesi!$C$82:$G$82,1,F502)/12</f>
        <v>666.666666666667</v>
      </c>
      <c r="BX502" s="15" t="n">
        <f aca="false">INDEX(Ipotesi!$C$83:$G$83,1,F502)/12</f>
        <v>583.333333333333</v>
      </c>
      <c r="BY502" s="15" t="n">
        <f aca="false">SUM(S502:U502)*(Ipotesi!$C$85+Ipotesi!$C$86)/12</f>
        <v>1166.66666666667</v>
      </c>
      <c r="BZ502" s="15" t="n">
        <f aca="false">AM502*Ipotesi!$C$87</f>
        <v>1019.43661971831</v>
      </c>
      <c r="CA502" s="15" t="n">
        <f aca="false">AB502+BJ502+BL502+BN502+BO502+AR502+BP502+BQ502+BR502+BS502+BT502</f>
        <v>57414.9094885644</v>
      </c>
      <c r="CB502" s="15" t="n">
        <f aca="false">AC502+BK502+BM502+BH502+BU502+BV502+AS502+BW502+BX502+BY502+BZ502</f>
        <v>28885.3286384976</v>
      </c>
      <c r="CC502" s="15" t="n">
        <f aca="false">BI502-CA502</f>
        <v>-27572.9838995568</v>
      </c>
      <c r="CD502" s="15" t="n">
        <f aca="false">AM502-CB502</f>
        <v>5095.89201877934</v>
      </c>
      <c r="CE502" s="15" t="n">
        <f aca="false">INDEX(Ipotesi!$C$79:$G$79,1,F502)/12</f>
        <v>2083.33333333333</v>
      </c>
      <c r="CF502" s="15" t="n">
        <f aca="false">INDEX(Ipotesi!$C$84:$G$84,1,F502)/12</f>
        <v>416.666666666667</v>
      </c>
      <c r="CG502" s="15" t="n">
        <f aca="false">Y502*MAX(0,Parametri_v3!$C$12-IF(P502=0,0,MIN(1,BE502/(P502*Parametri_v3!$C$22))))+W502*Parametri_v3!$C$13+X502*Parametri_v3!$C$14</f>
        <v>15226.5582130444</v>
      </c>
      <c r="CH502" s="15" t="n">
        <f aca="false">AB502*Parametri_v3!$C$32</f>
        <v>1988.125</v>
      </c>
      <c r="CI502" s="15" t="n">
        <f aca="false">AC502*Parametri_v3!$C$32</f>
        <v>798.25</v>
      </c>
      <c r="CJ502" s="15" t="n">
        <f aca="false">CA502-AB502</f>
        <v>17652.4094885644</v>
      </c>
      <c r="CK502" s="15" t="n">
        <f aca="false">CB502-AC502-BH502</f>
        <v>9522.20657276995</v>
      </c>
      <c r="CL502" s="15" t="n">
        <f aca="false">BF502*Ipotesi!$C$73+INDEX(Ipotesi!$C$72:$G$72,1,F502)/12*Ipotesi!K126*Parametri_v3!$C$58+Z502*(1-Parametri_v3!$C$16)</f>
        <v>3393.62928186239</v>
      </c>
      <c r="CM502" s="16" t="n">
        <f aca="false">IF(BF502=0,0,1-CL502/BF502)</f>
        <v>0.330487112732579</v>
      </c>
    </row>
    <row r="503" customFormat="false" ht="18" hidden="false" customHeight="true" outlineLevel="0" collapsed="false">
      <c r="A503" s="68" t="n">
        <f aca="false">9</f>
        <v>9</v>
      </c>
      <c r="B503" s="68" t="n">
        <f aca="false">19</f>
        <v>19</v>
      </c>
      <c r="C503" s="18" t="n">
        <f aca="false">EDATE(Parametri_v3!$C$5,19-1)</f>
        <v>46935</v>
      </c>
      <c r="D503" s="68" t="n">
        <f aca="false">YEAR(C503)</f>
        <v>2028</v>
      </c>
      <c r="E503" s="68" t="n">
        <f aca="false">MONTH(C503)</f>
        <v>7</v>
      </c>
      <c r="F503" s="68" t="n">
        <f aca="false">INT((19-1)/12)+1</f>
        <v>2</v>
      </c>
      <c r="G503" s="15" t="n">
        <f aca="false">Ipotesi!K7</f>
        <v>1</v>
      </c>
      <c r="H503" s="15" t="n">
        <f aca="false">Ipotesi!K9</f>
        <v>1</v>
      </c>
      <c r="I503" s="15" t="n">
        <f aca="false">Ipotesi!K10</f>
        <v>1</v>
      </c>
      <c r="J503" s="15" t="n">
        <f aca="false">Ipotesi!K11</f>
        <v>1</v>
      </c>
      <c r="K503" s="15" t="n">
        <f aca="false">Ipotesi!K12</f>
        <v>1</v>
      </c>
      <c r="L503" s="15" t="n">
        <f aca="false">Ipotesi!K13</f>
        <v>90</v>
      </c>
      <c r="M503" s="17" t="n">
        <f aca="false">INDEX(Ipotesi!$C$40:$G$40,1,F503)</f>
        <v>1</v>
      </c>
      <c r="N503" s="17" t="n">
        <f aca="false">INDEX(Ipotesi!$C$41:$G$41,1,F503)</f>
        <v>1</v>
      </c>
      <c r="O503" s="17" t="n">
        <f aca="false">INDEX(Ipotesi!$C$42:$G$42,1,F503)*Ipotesi!K125</f>
        <v>2.5</v>
      </c>
      <c r="P503" s="17" t="n">
        <f aca="false">INDEX(Ipotesi!$C$43:$G$43,1,F503)*I503</f>
        <v>2.5</v>
      </c>
      <c r="Q503" s="17" t="n">
        <f aca="false">INDEX(Ipotesi!$C$44:$G$44,1,F503)*I503</f>
        <v>1.5</v>
      </c>
      <c r="R503" s="17" t="n">
        <f aca="false">INDEX(Ipotesi!$C$45:$G$45,1,F503)*I503</f>
        <v>0.5</v>
      </c>
      <c r="S503" s="17" t="n">
        <f aca="false">INDEX(Ipotesi!$C$52:$G$52,1,F503)*Ipotesi!K125</f>
        <v>3</v>
      </c>
      <c r="T503" s="17" t="n">
        <f aca="false">INDEX(Ipotesi!$C$53:$G$53,1,F503)*I503</f>
        <v>1</v>
      </c>
      <c r="U503" s="17" t="n">
        <f aca="false">INDEX(Ipotesi!$C$54:$G$54,1,F503)*I503</f>
        <v>0</v>
      </c>
      <c r="V503" s="15" t="n">
        <f aca="false">M503*INDEX(Ipotesi!$C$58:$G$58,1,F503)*K503/12</f>
        <v>5000</v>
      </c>
      <c r="W503" s="15" t="n">
        <f aca="false">N503*Ipotesi!$C$59*(1+Ipotesi!$C$66)^(F503-1)/12</f>
        <v>6008.33333333333</v>
      </c>
      <c r="X503" s="15" t="n">
        <f aca="false">O503*Ipotesi!$C$60*(1+Ipotesi!$C$66)^(F503-1)/12</f>
        <v>10729.1666666667</v>
      </c>
      <c r="Y503" s="15" t="n">
        <f aca="false">P503*Ipotesi!$C$61*(1+Ipotesi!$C$66)^(F503-1)/12</f>
        <v>10729.1666666667</v>
      </c>
      <c r="Z503" s="15" t="n">
        <f aca="false">Q503*Ipotesi!$C$62*(1+Ipotesi!$C$66)^(F503-1)/12</f>
        <v>5793.75</v>
      </c>
      <c r="AA503" s="15" t="n">
        <f aca="false">R503*Ipotesi!$C$63*(1+Ipotesi!$C$66)^(F503-1)/12</f>
        <v>1502.08333333333</v>
      </c>
      <c r="AB503" s="15" t="n">
        <f aca="false">SUM(V503:AA503)</f>
        <v>39762.5</v>
      </c>
      <c r="AC503" s="15" t="n">
        <f aca="false">(S503*Ipotesi!$C$64+T503*Ipotesi!$C$65+U503*Ipotesi!$C$63)*(1+Ipotesi!$C$66)^(F503-1)/12</f>
        <v>15965</v>
      </c>
      <c r="AD503" s="15" t="n">
        <f aca="false">INDEX(Ipotesi!$C$48:$G$48,1,F503)*G503/12</f>
        <v>37.5</v>
      </c>
      <c r="AE503" s="15" t="n">
        <f aca="false">INDEX(Ipotesi!$C$50:$G$50,1,F503)*G503/12</f>
        <v>4.58333333333333</v>
      </c>
      <c r="AF503" s="15" t="n">
        <f aca="false">(S503*Parametri_v3!$C$7*Parametri_v3!$C$8+Parametri_v3!$C$10)/12</f>
        <v>38.5</v>
      </c>
      <c r="AG503" s="15" t="n">
        <f aca="false">AD503+AE503*(1+Parametri_v3!$C$9)</f>
        <v>44.375</v>
      </c>
      <c r="AH503" s="16" t="n">
        <f aca="false">IF(AG503=0,1,MIN(1,AF503/AG503))</f>
        <v>0.867605633802817</v>
      </c>
      <c r="AI503" s="15" t="n">
        <f aca="false">AD503*AH503</f>
        <v>32.5352112676056</v>
      </c>
      <c r="AJ503" s="15" t="n">
        <f aca="false">AE503*AH503</f>
        <v>3.97652582159624</v>
      </c>
      <c r="AK503" s="15" t="n">
        <f aca="false">AI503*INDEX(Ipotesi!$C$49:$G$49,1,F503)*H503</f>
        <v>26028.1690140845</v>
      </c>
      <c r="AL503" s="15" t="n">
        <f aca="false">AJ503*INDEX(Ipotesi!$C$51:$G$51,1,F503)*H503</f>
        <v>7953.05164319249</v>
      </c>
      <c r="AM503" s="15" t="n">
        <f aca="false">AK503+AL503</f>
        <v>33981.220657277</v>
      </c>
      <c r="AN503" s="15" t="n">
        <f aca="false">INDEX(Ipotesi!$C$30:$G$30,1,F503)*G503/12</f>
        <v>22.5</v>
      </c>
      <c r="AO503" s="15" t="n">
        <f aca="false">O503*Parametri_v3!$C$7*Parametri_v3!$C$11*(1-Parametri_v3!$C$14)/12</f>
        <v>25.6666666666667</v>
      </c>
      <c r="AP503" s="15" t="n">
        <f aca="false">MIN(AN503,AO503)</f>
        <v>22.5</v>
      </c>
      <c r="AQ503" s="15" t="n">
        <f aca="false">AP503*INDEX(Ipotesi!$C$31:$G$31,1,F503)*H503</f>
        <v>21375</v>
      </c>
      <c r="AR503" s="15" t="n">
        <f aca="false">INDEX(Ipotesi!$C$75:$G$75,1,F503)*J503/12</f>
        <v>4583.33333333333</v>
      </c>
      <c r="AS503" s="15" t="n">
        <f aca="false">INDEX(Ipotesi!$C$81:$G$81,1,F503)*J503/12</f>
        <v>833.333333333333</v>
      </c>
      <c r="AT503" s="15" t="n">
        <f aca="false">AR503*Parametri_v3!$C$15+Z503*Parametri_v3!$C$16</f>
        <v>8638.95833333333</v>
      </c>
      <c r="AU503" s="15" t="n">
        <f aca="false">Q503*Parametri_v3!$C$16*Parametri_v3!$C$17</f>
        <v>105</v>
      </c>
      <c r="AV503" s="17" t="n">
        <f aca="false">BD502</f>
        <v>16.58580174663</v>
      </c>
      <c r="AW503" s="17" t="n">
        <f aca="false">AV503*(1-(1-INDEX(Ipotesi!$C$34:$G$34,1,F503))^(1/12))</f>
        <v>0.144986626240769</v>
      </c>
      <c r="AX503" s="15" t="n">
        <f aca="false">ROUND(INDEX(Ipotesi!$C$32:$G$32,1,F503)*Ipotesi!K8,0)</f>
        <v>35</v>
      </c>
      <c r="AY503" s="15" t="n">
        <f aca="false">MAX(0,(AX503-(AV503-AW503))/(13-E503))</f>
        <v>3.09319747993513</v>
      </c>
      <c r="AZ503" s="15" t="n">
        <f aca="false">MIN(P503*Parametri_v3!$C$22,Q503*(1-Parametri_v3!$C$16)*Parametri_v3!$C$23)</f>
        <v>67.5</v>
      </c>
      <c r="BA503" s="15" t="n">
        <f aca="false">IF(OR(INDEX(Ipotesi!$C$35:$G$35,1,F503)&lt;=0,19-Parametri_v3!$C$21&lt;1),0,INDEX($AT$485:$AT$544,MAX(1,19-Parametri_v3!$C$21))/(INDEX(Ipotesi!$C$35:$G$35,1,F503)*Ipotesi!K27))</f>
        <v>2.87965277777778</v>
      </c>
      <c r="BB503" s="15" t="n">
        <f aca="false">IF(19-Parametri_v3!$C$21&lt;1,0,INDEX($AU$485:$AU$544,MAX(1,19-Parametri_v3!$C$21)))*Parametri_v3!$C$18*Parametri_v3!$C$19*Parametri_v3!$C$20</f>
        <v>3.9375</v>
      </c>
      <c r="BC503" s="17" t="n">
        <f aca="false">MAX(0,MIN(AY503,BA503,BB503,MAX(0,AZ503-(AV503-AW503))))</f>
        <v>2.87965277777778</v>
      </c>
      <c r="BD503" s="17" t="n">
        <f aca="false">AV503-AW503+BC503</f>
        <v>19.320467898167</v>
      </c>
      <c r="BE503" s="17" t="n">
        <f aca="false">(AV503+BD503)/2</f>
        <v>17.9531348223985</v>
      </c>
      <c r="BF503" s="15" t="n">
        <f aca="false">BE503*INDEX(Ipotesi!$C$33:$G$33,1,F503)*H503/12</f>
        <v>5984.37827413283</v>
      </c>
      <c r="BG503" s="15" t="n">
        <f aca="false">BD503*INDEX(Ipotesi!$C$33:$G$33,1,F503)*H503</f>
        <v>77281.871592668</v>
      </c>
      <c r="BH503" s="15" t="n">
        <f aca="false">AM503*INDEX(Ipotesi!$C$37:$G$37,1,F503)</f>
        <v>3398.1220657277</v>
      </c>
      <c r="BI503" s="15" t="n">
        <f aca="false">AQ503+BF503+BH503</f>
        <v>30757.5003398605</v>
      </c>
      <c r="BJ503" s="15" t="n">
        <f aca="false">INDEX(Ipotesi!$C$68:$G$68,1,F503)*Ipotesi!$C$69/12</f>
        <v>1600</v>
      </c>
      <c r="BK503" s="15" t="n">
        <f aca="false">INDEX(Ipotesi!$C$68:$G$68,1,F503)*(1-Ipotesi!$C$69)/12</f>
        <v>2400</v>
      </c>
      <c r="BL503" s="15" t="n">
        <f aca="false">(AQ503+BF503)*Ipotesi!$C$67</f>
        <v>820.781348223985</v>
      </c>
      <c r="BM503" s="15" t="n">
        <f aca="false">AM503*Ipotesi!$C$67</f>
        <v>1019.43661971831</v>
      </c>
      <c r="BN503" s="15" t="n">
        <f aca="false">INDEX(Ipotesi!$C$72:$G$72,1,F503)/12*Ipotesi!K126+BF503*Ipotesi!$C$73</f>
        <v>1728.75026193063</v>
      </c>
      <c r="BO503" s="15" t="n">
        <f aca="false">INDEX(Ipotesi!$C$74:$G$74,1,F503)/12*Ipotesi!K126</f>
        <v>1833.33333333333</v>
      </c>
      <c r="BP503" s="15" t="n">
        <f aca="false">INDEX(Ipotesi!$C$76:$G$76,1,F503)/12</f>
        <v>750</v>
      </c>
      <c r="BQ503" s="15" t="n">
        <f aca="false">INDEX(Ipotesi!$C$77:$G$77,1,F503)/12*Ipotesi!K126</f>
        <v>1666.66666666667</v>
      </c>
      <c r="BR503" s="15" t="n">
        <f aca="false">INDEX(Ipotesi!$C$78:$G$78,1,F503)/12</f>
        <v>1250</v>
      </c>
      <c r="BS503" s="15" t="n">
        <f aca="false">SUM(M503:R503)*(Ipotesi!$C$85+Ipotesi!$C$86)/12</f>
        <v>2625</v>
      </c>
      <c r="BT503" s="15" t="n">
        <f aca="false">BI503*Ipotesi!$C$87</f>
        <v>922.725010195816</v>
      </c>
      <c r="BU503" s="15" t="n">
        <f aca="false">INDEX(Ipotesi!$C$55:$G$55,1,F503)*K503/12</f>
        <v>1000</v>
      </c>
      <c r="BV503" s="15" t="n">
        <f aca="false">INDEX(Ipotesi!$C$80:$G$80,1,F503)/12*Ipotesi!K126</f>
        <v>833.333333333333</v>
      </c>
      <c r="BW503" s="15" t="n">
        <f aca="false">INDEX(Ipotesi!$C$82:$G$82,1,F503)/12</f>
        <v>666.666666666667</v>
      </c>
      <c r="BX503" s="15" t="n">
        <f aca="false">INDEX(Ipotesi!$C$83:$G$83,1,F503)/12</f>
        <v>583.333333333333</v>
      </c>
      <c r="BY503" s="15" t="n">
        <f aca="false">SUM(S503:U503)*(Ipotesi!$C$85+Ipotesi!$C$86)/12</f>
        <v>1166.66666666667</v>
      </c>
      <c r="BZ503" s="15" t="n">
        <f aca="false">AM503*Ipotesi!$C$87</f>
        <v>1019.43661971831</v>
      </c>
      <c r="CA503" s="15" t="n">
        <f aca="false">AB503+BJ503+BL503+BN503+BO503+AR503+BP503+BQ503+BR503+BS503+BT503</f>
        <v>57543.0899536838</v>
      </c>
      <c r="CB503" s="15" t="n">
        <f aca="false">AC503+BK503+BM503+BH503+BU503+BV503+AS503+BW503+BX503+BY503+BZ503</f>
        <v>28885.3286384976</v>
      </c>
      <c r="CC503" s="15" t="n">
        <f aca="false">BI503-CA503</f>
        <v>-26785.5896138232</v>
      </c>
      <c r="CD503" s="15" t="n">
        <f aca="false">AM503-CB503</f>
        <v>5095.89201877934</v>
      </c>
      <c r="CE503" s="15" t="n">
        <f aca="false">INDEX(Ipotesi!$C$79:$G$79,1,F503)/12</f>
        <v>2083.33333333333</v>
      </c>
      <c r="CF503" s="15" t="n">
        <f aca="false">INDEX(Ipotesi!$C$84:$G$84,1,F503)/12</f>
        <v>416.666666666667</v>
      </c>
      <c r="CG503" s="15" t="n">
        <f aca="false">Y503*MAX(0,Parametri_v3!$C$12-IF(P503=0,0,MIN(1,BE503/(P503*Parametri_v3!$C$22))))+W503*Parametri_v3!$C$13+X503*Parametri_v3!$C$14</f>
        <v>15108.6779638721</v>
      </c>
      <c r="CH503" s="15" t="n">
        <f aca="false">AB503*Parametri_v3!$C$32</f>
        <v>1988.125</v>
      </c>
      <c r="CI503" s="15" t="n">
        <f aca="false">AC503*Parametri_v3!$C$32</f>
        <v>798.25</v>
      </c>
      <c r="CJ503" s="15" t="n">
        <f aca="false">CA503-AB503</f>
        <v>17780.5899536838</v>
      </c>
      <c r="CK503" s="15" t="n">
        <f aca="false">CB503-AC503-BH503</f>
        <v>9522.20657276995</v>
      </c>
      <c r="CL503" s="15" t="n">
        <f aca="false">BF503*Ipotesi!$C$73+INDEX(Ipotesi!$C$72:$G$72,1,F503)/12*Ipotesi!K126*Parametri_v3!$C$58+Z503*(1-Parametri_v3!$C$16)</f>
        <v>3466.87526193063</v>
      </c>
      <c r="CM503" s="16" t="n">
        <f aca="false">IF(BF503=0,0,1-CL503/BF503)</f>
        <v>0.420679124360166</v>
      </c>
    </row>
    <row r="504" customFormat="false" ht="18" hidden="false" customHeight="true" outlineLevel="0" collapsed="false">
      <c r="A504" s="68" t="n">
        <f aca="false">9</f>
        <v>9</v>
      </c>
      <c r="B504" s="68" t="n">
        <f aca="false">20</f>
        <v>20</v>
      </c>
      <c r="C504" s="18" t="n">
        <f aca="false">EDATE(Parametri_v3!$C$5,20-1)</f>
        <v>46966</v>
      </c>
      <c r="D504" s="68" t="n">
        <f aca="false">YEAR(C504)</f>
        <v>2028</v>
      </c>
      <c r="E504" s="68" t="n">
        <f aca="false">MONTH(C504)</f>
        <v>8</v>
      </c>
      <c r="F504" s="68" t="n">
        <f aca="false">INT((20-1)/12)+1</f>
        <v>2</v>
      </c>
      <c r="G504" s="15" t="n">
        <f aca="false">Ipotesi!K7</f>
        <v>1</v>
      </c>
      <c r="H504" s="15" t="n">
        <f aca="false">Ipotesi!K9</f>
        <v>1</v>
      </c>
      <c r="I504" s="15" t="n">
        <f aca="false">Ipotesi!K10</f>
        <v>1</v>
      </c>
      <c r="J504" s="15" t="n">
        <f aca="false">Ipotesi!K11</f>
        <v>1</v>
      </c>
      <c r="K504" s="15" t="n">
        <f aca="false">Ipotesi!K12</f>
        <v>1</v>
      </c>
      <c r="L504" s="15" t="n">
        <f aca="false">Ipotesi!K13</f>
        <v>90</v>
      </c>
      <c r="M504" s="17" t="n">
        <f aca="false">INDEX(Ipotesi!$C$40:$G$40,1,F504)</f>
        <v>1</v>
      </c>
      <c r="N504" s="17" t="n">
        <f aca="false">INDEX(Ipotesi!$C$41:$G$41,1,F504)</f>
        <v>1</v>
      </c>
      <c r="O504" s="17" t="n">
        <f aca="false">INDEX(Ipotesi!$C$42:$G$42,1,F504)*Ipotesi!K125</f>
        <v>2.5</v>
      </c>
      <c r="P504" s="17" t="n">
        <f aca="false">INDEX(Ipotesi!$C$43:$G$43,1,F504)*I504</f>
        <v>2.5</v>
      </c>
      <c r="Q504" s="17" t="n">
        <f aca="false">INDEX(Ipotesi!$C$44:$G$44,1,F504)*I504</f>
        <v>1.5</v>
      </c>
      <c r="R504" s="17" t="n">
        <f aca="false">INDEX(Ipotesi!$C$45:$G$45,1,F504)*I504</f>
        <v>0.5</v>
      </c>
      <c r="S504" s="17" t="n">
        <f aca="false">INDEX(Ipotesi!$C$52:$G$52,1,F504)*Ipotesi!K125</f>
        <v>3</v>
      </c>
      <c r="T504" s="17" t="n">
        <f aca="false">INDEX(Ipotesi!$C$53:$G$53,1,F504)*I504</f>
        <v>1</v>
      </c>
      <c r="U504" s="17" t="n">
        <f aca="false">INDEX(Ipotesi!$C$54:$G$54,1,F504)*I504</f>
        <v>0</v>
      </c>
      <c r="V504" s="15" t="n">
        <f aca="false">M504*INDEX(Ipotesi!$C$58:$G$58,1,F504)*K504/12</f>
        <v>5000</v>
      </c>
      <c r="W504" s="15" t="n">
        <f aca="false">N504*Ipotesi!$C$59*(1+Ipotesi!$C$66)^(F504-1)/12</f>
        <v>6008.33333333333</v>
      </c>
      <c r="X504" s="15" t="n">
        <f aca="false">O504*Ipotesi!$C$60*(1+Ipotesi!$C$66)^(F504-1)/12</f>
        <v>10729.1666666667</v>
      </c>
      <c r="Y504" s="15" t="n">
        <f aca="false">P504*Ipotesi!$C$61*(1+Ipotesi!$C$66)^(F504-1)/12</f>
        <v>10729.1666666667</v>
      </c>
      <c r="Z504" s="15" t="n">
        <f aca="false">Q504*Ipotesi!$C$62*(1+Ipotesi!$C$66)^(F504-1)/12</f>
        <v>5793.75</v>
      </c>
      <c r="AA504" s="15" t="n">
        <f aca="false">R504*Ipotesi!$C$63*(1+Ipotesi!$C$66)^(F504-1)/12</f>
        <v>1502.08333333333</v>
      </c>
      <c r="AB504" s="15" t="n">
        <f aca="false">SUM(V504:AA504)</f>
        <v>39762.5</v>
      </c>
      <c r="AC504" s="15" t="n">
        <f aca="false">(S504*Ipotesi!$C$64+T504*Ipotesi!$C$65+U504*Ipotesi!$C$63)*(1+Ipotesi!$C$66)^(F504-1)/12</f>
        <v>15965</v>
      </c>
      <c r="AD504" s="15" t="n">
        <f aca="false">INDEX(Ipotesi!$C$48:$G$48,1,F504)*G504/12</f>
        <v>37.5</v>
      </c>
      <c r="AE504" s="15" t="n">
        <f aca="false">INDEX(Ipotesi!$C$50:$G$50,1,F504)*G504/12</f>
        <v>4.58333333333333</v>
      </c>
      <c r="AF504" s="15" t="n">
        <f aca="false">(S504*Parametri_v3!$C$7*Parametri_v3!$C$8+Parametri_v3!$C$10)/12</f>
        <v>38.5</v>
      </c>
      <c r="AG504" s="15" t="n">
        <f aca="false">AD504+AE504*(1+Parametri_v3!$C$9)</f>
        <v>44.375</v>
      </c>
      <c r="AH504" s="16" t="n">
        <f aca="false">IF(AG504=0,1,MIN(1,AF504/AG504))</f>
        <v>0.867605633802817</v>
      </c>
      <c r="AI504" s="15" t="n">
        <f aca="false">AD504*AH504</f>
        <v>32.5352112676056</v>
      </c>
      <c r="AJ504" s="15" t="n">
        <f aca="false">AE504*AH504</f>
        <v>3.97652582159624</v>
      </c>
      <c r="AK504" s="15" t="n">
        <f aca="false">AI504*INDEX(Ipotesi!$C$49:$G$49,1,F504)*H504</f>
        <v>26028.1690140845</v>
      </c>
      <c r="AL504" s="15" t="n">
        <f aca="false">AJ504*INDEX(Ipotesi!$C$51:$G$51,1,F504)*H504</f>
        <v>7953.05164319249</v>
      </c>
      <c r="AM504" s="15" t="n">
        <f aca="false">AK504+AL504</f>
        <v>33981.220657277</v>
      </c>
      <c r="AN504" s="15" t="n">
        <f aca="false">INDEX(Ipotesi!$C$30:$G$30,1,F504)*G504/12</f>
        <v>22.5</v>
      </c>
      <c r="AO504" s="15" t="n">
        <f aca="false">O504*Parametri_v3!$C$7*Parametri_v3!$C$11*(1-Parametri_v3!$C$14)/12</f>
        <v>25.6666666666667</v>
      </c>
      <c r="AP504" s="15" t="n">
        <f aca="false">MIN(AN504,AO504)</f>
        <v>22.5</v>
      </c>
      <c r="AQ504" s="15" t="n">
        <f aca="false">AP504*INDEX(Ipotesi!$C$31:$G$31,1,F504)*H504</f>
        <v>21375</v>
      </c>
      <c r="AR504" s="15" t="n">
        <f aca="false">INDEX(Ipotesi!$C$75:$G$75,1,F504)*J504/12</f>
        <v>4583.33333333333</v>
      </c>
      <c r="AS504" s="15" t="n">
        <f aca="false">INDEX(Ipotesi!$C$81:$G$81,1,F504)*J504/12</f>
        <v>833.333333333333</v>
      </c>
      <c r="AT504" s="15" t="n">
        <f aca="false">AR504*Parametri_v3!$C$15+Z504*Parametri_v3!$C$16</f>
        <v>8638.95833333333</v>
      </c>
      <c r="AU504" s="15" t="n">
        <f aca="false">Q504*Parametri_v3!$C$16*Parametri_v3!$C$17</f>
        <v>105</v>
      </c>
      <c r="AV504" s="17" t="n">
        <f aca="false">BD503</f>
        <v>19.320467898167</v>
      </c>
      <c r="AW504" s="17" t="n">
        <f aca="false">AV504*(1-(1-INDEX(Ipotesi!$C$34:$G$34,1,F504))^(1/12))</f>
        <v>0.168892013828483</v>
      </c>
      <c r="AX504" s="15" t="n">
        <f aca="false">ROUND(INDEX(Ipotesi!$C$32:$G$32,1,F504)*Ipotesi!K8,0)</f>
        <v>35</v>
      </c>
      <c r="AY504" s="15" t="n">
        <f aca="false">MAX(0,(AX504-(AV504-AW504))/(13-E504))</f>
        <v>3.1696848231323</v>
      </c>
      <c r="AZ504" s="15" t="n">
        <f aca="false">MIN(P504*Parametri_v3!$C$22,Q504*(1-Parametri_v3!$C$16)*Parametri_v3!$C$23)</f>
        <v>67.5</v>
      </c>
      <c r="BA504" s="15" t="n">
        <f aca="false">IF(OR(INDEX(Ipotesi!$C$35:$G$35,1,F504)&lt;=0,20-Parametri_v3!$C$21&lt;1),0,INDEX($AT$485:$AT$544,MAX(1,20-Parametri_v3!$C$21))/(INDEX(Ipotesi!$C$35:$G$35,1,F504)*Ipotesi!K27))</f>
        <v>2.87965277777778</v>
      </c>
      <c r="BB504" s="15" t="n">
        <f aca="false">IF(20-Parametri_v3!$C$21&lt;1,0,INDEX($AU$485:$AU$544,MAX(1,20-Parametri_v3!$C$21)))*Parametri_v3!$C$18*Parametri_v3!$C$19*Parametri_v3!$C$20</f>
        <v>3.9375</v>
      </c>
      <c r="BC504" s="17" t="n">
        <f aca="false">MAX(0,MIN(AY504,BA504,BB504,MAX(0,AZ504-(AV504-AW504))))</f>
        <v>2.87965277777778</v>
      </c>
      <c r="BD504" s="17" t="n">
        <f aca="false">AV504-AW504+BC504</f>
        <v>22.0312286621163</v>
      </c>
      <c r="BE504" s="17" t="n">
        <f aca="false">(AV504+BD504)/2</f>
        <v>20.6758482801416</v>
      </c>
      <c r="BF504" s="15" t="n">
        <f aca="false">BE504*INDEX(Ipotesi!$C$33:$G$33,1,F504)*H504/12</f>
        <v>6891.94942671388</v>
      </c>
      <c r="BG504" s="15" t="n">
        <f aca="false">BD504*INDEX(Ipotesi!$C$33:$G$33,1,F504)*H504</f>
        <v>88124.9146484652</v>
      </c>
      <c r="BH504" s="15" t="n">
        <f aca="false">AM504*INDEX(Ipotesi!$C$37:$G$37,1,F504)</f>
        <v>3398.1220657277</v>
      </c>
      <c r="BI504" s="15" t="n">
        <f aca="false">AQ504+BF504+BH504</f>
        <v>31665.0714924416</v>
      </c>
      <c r="BJ504" s="15" t="n">
        <f aca="false">INDEX(Ipotesi!$C$68:$G$68,1,F504)*Ipotesi!$C$69/12</f>
        <v>1600</v>
      </c>
      <c r="BK504" s="15" t="n">
        <f aca="false">INDEX(Ipotesi!$C$68:$G$68,1,F504)*(1-Ipotesi!$C$69)/12</f>
        <v>2400</v>
      </c>
      <c r="BL504" s="15" t="n">
        <f aca="false">(AQ504+BF504)*Ipotesi!$C$67</f>
        <v>848.008482801416</v>
      </c>
      <c r="BM504" s="15" t="n">
        <f aca="false">AM504*Ipotesi!$C$67</f>
        <v>1019.43661971831</v>
      </c>
      <c r="BN504" s="15" t="n">
        <f aca="false">INDEX(Ipotesi!$C$72:$G$72,1,F504)/12*Ipotesi!K126+BF504*Ipotesi!$C$73</f>
        <v>1801.35595413711</v>
      </c>
      <c r="BO504" s="15" t="n">
        <f aca="false">INDEX(Ipotesi!$C$74:$G$74,1,F504)/12*Ipotesi!K126</f>
        <v>1833.33333333333</v>
      </c>
      <c r="BP504" s="15" t="n">
        <f aca="false">INDEX(Ipotesi!$C$76:$G$76,1,F504)/12</f>
        <v>750</v>
      </c>
      <c r="BQ504" s="15" t="n">
        <f aca="false">INDEX(Ipotesi!$C$77:$G$77,1,F504)/12*Ipotesi!K126</f>
        <v>1666.66666666667</v>
      </c>
      <c r="BR504" s="15" t="n">
        <f aca="false">INDEX(Ipotesi!$C$78:$G$78,1,F504)/12</f>
        <v>1250</v>
      </c>
      <c r="BS504" s="15" t="n">
        <f aca="false">SUM(M504:R504)*(Ipotesi!$C$85+Ipotesi!$C$86)/12</f>
        <v>2625</v>
      </c>
      <c r="BT504" s="15" t="n">
        <f aca="false">BI504*Ipotesi!$C$87</f>
        <v>949.952144773247</v>
      </c>
      <c r="BU504" s="15" t="n">
        <f aca="false">INDEX(Ipotesi!$C$55:$G$55,1,F504)*K504/12</f>
        <v>1000</v>
      </c>
      <c r="BV504" s="15" t="n">
        <f aca="false">INDEX(Ipotesi!$C$80:$G$80,1,F504)/12*Ipotesi!K126</f>
        <v>833.333333333333</v>
      </c>
      <c r="BW504" s="15" t="n">
        <f aca="false">INDEX(Ipotesi!$C$82:$G$82,1,F504)/12</f>
        <v>666.666666666667</v>
      </c>
      <c r="BX504" s="15" t="n">
        <f aca="false">INDEX(Ipotesi!$C$83:$G$83,1,F504)/12</f>
        <v>583.333333333333</v>
      </c>
      <c r="BY504" s="15" t="n">
        <f aca="false">SUM(S504:U504)*(Ipotesi!$C$85+Ipotesi!$C$86)/12</f>
        <v>1166.66666666667</v>
      </c>
      <c r="BZ504" s="15" t="n">
        <f aca="false">AM504*Ipotesi!$C$87</f>
        <v>1019.43661971831</v>
      </c>
      <c r="CA504" s="15" t="n">
        <f aca="false">AB504+BJ504+BL504+BN504+BO504+AR504+BP504+BQ504+BR504+BS504+BT504</f>
        <v>57670.1499150451</v>
      </c>
      <c r="CB504" s="15" t="n">
        <f aca="false">AC504+BK504+BM504+BH504+BU504+BV504+AS504+BW504+BX504+BY504+BZ504</f>
        <v>28885.3286384976</v>
      </c>
      <c r="CC504" s="15" t="n">
        <f aca="false">BI504-CA504</f>
        <v>-26005.0784226035</v>
      </c>
      <c r="CD504" s="15" t="n">
        <f aca="false">AM504-CB504</f>
        <v>5095.89201877934</v>
      </c>
      <c r="CE504" s="15" t="n">
        <f aca="false">INDEX(Ipotesi!$C$79:$G$79,1,F504)/12</f>
        <v>2083.33333333333</v>
      </c>
      <c r="CF504" s="15" t="n">
        <f aca="false">INDEX(Ipotesi!$C$84:$G$84,1,F504)/12</f>
        <v>416.666666666667</v>
      </c>
      <c r="CG504" s="15" t="n">
        <f aca="false">Y504*MAX(0,Parametri_v3!$C$12-IF(P504=0,0,MIN(1,BE504/(P504*Parametri_v3!$C$22))))+W504*Parametri_v3!$C$13+X504*Parametri_v3!$C$14</f>
        <v>14991.8281779773</v>
      </c>
      <c r="CH504" s="15" t="n">
        <f aca="false">AB504*Parametri_v3!$C$32</f>
        <v>1988.125</v>
      </c>
      <c r="CI504" s="15" t="n">
        <f aca="false">AC504*Parametri_v3!$C$32</f>
        <v>798.25</v>
      </c>
      <c r="CJ504" s="15" t="n">
        <f aca="false">CA504-AB504</f>
        <v>17907.6499150451</v>
      </c>
      <c r="CK504" s="15" t="n">
        <f aca="false">CB504-AC504-BH504</f>
        <v>9522.20657276995</v>
      </c>
      <c r="CL504" s="15" t="n">
        <f aca="false">BF504*Ipotesi!$C$73+INDEX(Ipotesi!$C$72:$G$72,1,F504)/12*Ipotesi!K126*Parametri_v3!$C$58+Z504*(1-Parametri_v3!$C$16)</f>
        <v>3539.48095413711</v>
      </c>
      <c r="CM504" s="16" t="n">
        <f aca="false">IF(BF504=0,0,1-CL504/BF504)</f>
        <v>0.48643254107209</v>
      </c>
    </row>
    <row r="505" customFormat="false" ht="18" hidden="false" customHeight="true" outlineLevel="0" collapsed="false">
      <c r="A505" s="68" t="n">
        <f aca="false">9</f>
        <v>9</v>
      </c>
      <c r="B505" s="68" t="n">
        <f aca="false">21</f>
        <v>21</v>
      </c>
      <c r="C505" s="18" t="n">
        <f aca="false">EDATE(Parametri_v3!$C$5,21-1)</f>
        <v>46997</v>
      </c>
      <c r="D505" s="68" t="n">
        <f aca="false">YEAR(C505)</f>
        <v>2028</v>
      </c>
      <c r="E505" s="68" t="n">
        <f aca="false">MONTH(C505)</f>
        <v>9</v>
      </c>
      <c r="F505" s="68" t="n">
        <f aca="false">INT((21-1)/12)+1</f>
        <v>2</v>
      </c>
      <c r="G505" s="15" t="n">
        <f aca="false">Ipotesi!K7</f>
        <v>1</v>
      </c>
      <c r="H505" s="15" t="n">
        <f aca="false">Ipotesi!K9</f>
        <v>1</v>
      </c>
      <c r="I505" s="15" t="n">
        <f aca="false">Ipotesi!K10</f>
        <v>1</v>
      </c>
      <c r="J505" s="15" t="n">
        <f aca="false">Ipotesi!K11</f>
        <v>1</v>
      </c>
      <c r="K505" s="15" t="n">
        <f aca="false">Ipotesi!K12</f>
        <v>1</v>
      </c>
      <c r="L505" s="15" t="n">
        <f aca="false">Ipotesi!K13</f>
        <v>90</v>
      </c>
      <c r="M505" s="17" t="n">
        <f aca="false">INDEX(Ipotesi!$C$40:$G$40,1,F505)</f>
        <v>1</v>
      </c>
      <c r="N505" s="17" t="n">
        <f aca="false">INDEX(Ipotesi!$C$41:$G$41,1,F505)</f>
        <v>1</v>
      </c>
      <c r="O505" s="17" t="n">
        <f aca="false">INDEX(Ipotesi!$C$42:$G$42,1,F505)*Ipotesi!K125</f>
        <v>2.5</v>
      </c>
      <c r="P505" s="17" t="n">
        <f aca="false">INDEX(Ipotesi!$C$43:$G$43,1,F505)*I505</f>
        <v>2.5</v>
      </c>
      <c r="Q505" s="17" t="n">
        <f aca="false">INDEX(Ipotesi!$C$44:$G$44,1,F505)*I505</f>
        <v>1.5</v>
      </c>
      <c r="R505" s="17" t="n">
        <f aca="false">INDEX(Ipotesi!$C$45:$G$45,1,F505)*I505</f>
        <v>0.5</v>
      </c>
      <c r="S505" s="17" t="n">
        <f aca="false">INDEX(Ipotesi!$C$52:$G$52,1,F505)*Ipotesi!K125</f>
        <v>3</v>
      </c>
      <c r="T505" s="17" t="n">
        <f aca="false">INDEX(Ipotesi!$C$53:$G$53,1,F505)*I505</f>
        <v>1</v>
      </c>
      <c r="U505" s="17" t="n">
        <f aca="false">INDEX(Ipotesi!$C$54:$G$54,1,F505)*I505</f>
        <v>0</v>
      </c>
      <c r="V505" s="15" t="n">
        <f aca="false">M505*INDEX(Ipotesi!$C$58:$G$58,1,F505)*K505/12</f>
        <v>5000</v>
      </c>
      <c r="W505" s="15" t="n">
        <f aca="false">N505*Ipotesi!$C$59*(1+Ipotesi!$C$66)^(F505-1)/12</f>
        <v>6008.33333333333</v>
      </c>
      <c r="X505" s="15" t="n">
        <f aca="false">O505*Ipotesi!$C$60*(1+Ipotesi!$C$66)^(F505-1)/12</f>
        <v>10729.1666666667</v>
      </c>
      <c r="Y505" s="15" t="n">
        <f aca="false">P505*Ipotesi!$C$61*(1+Ipotesi!$C$66)^(F505-1)/12</f>
        <v>10729.1666666667</v>
      </c>
      <c r="Z505" s="15" t="n">
        <f aca="false">Q505*Ipotesi!$C$62*(1+Ipotesi!$C$66)^(F505-1)/12</f>
        <v>5793.75</v>
      </c>
      <c r="AA505" s="15" t="n">
        <f aca="false">R505*Ipotesi!$C$63*(1+Ipotesi!$C$66)^(F505-1)/12</f>
        <v>1502.08333333333</v>
      </c>
      <c r="AB505" s="15" t="n">
        <f aca="false">SUM(V505:AA505)</f>
        <v>39762.5</v>
      </c>
      <c r="AC505" s="15" t="n">
        <f aca="false">(S505*Ipotesi!$C$64+T505*Ipotesi!$C$65+U505*Ipotesi!$C$63)*(1+Ipotesi!$C$66)^(F505-1)/12</f>
        <v>15965</v>
      </c>
      <c r="AD505" s="15" t="n">
        <f aca="false">INDEX(Ipotesi!$C$48:$G$48,1,F505)*G505/12</f>
        <v>37.5</v>
      </c>
      <c r="AE505" s="15" t="n">
        <f aca="false">INDEX(Ipotesi!$C$50:$G$50,1,F505)*G505/12</f>
        <v>4.58333333333333</v>
      </c>
      <c r="AF505" s="15" t="n">
        <f aca="false">(S505*Parametri_v3!$C$7*Parametri_v3!$C$8+Parametri_v3!$C$10)/12</f>
        <v>38.5</v>
      </c>
      <c r="AG505" s="15" t="n">
        <f aca="false">AD505+AE505*(1+Parametri_v3!$C$9)</f>
        <v>44.375</v>
      </c>
      <c r="AH505" s="16" t="n">
        <f aca="false">IF(AG505=0,1,MIN(1,AF505/AG505))</f>
        <v>0.867605633802817</v>
      </c>
      <c r="AI505" s="15" t="n">
        <f aca="false">AD505*AH505</f>
        <v>32.5352112676056</v>
      </c>
      <c r="AJ505" s="15" t="n">
        <f aca="false">AE505*AH505</f>
        <v>3.97652582159624</v>
      </c>
      <c r="AK505" s="15" t="n">
        <f aca="false">AI505*INDEX(Ipotesi!$C$49:$G$49,1,F505)*H505</f>
        <v>26028.1690140845</v>
      </c>
      <c r="AL505" s="15" t="n">
        <f aca="false">AJ505*INDEX(Ipotesi!$C$51:$G$51,1,F505)*H505</f>
        <v>7953.05164319249</v>
      </c>
      <c r="AM505" s="15" t="n">
        <f aca="false">AK505+AL505</f>
        <v>33981.220657277</v>
      </c>
      <c r="AN505" s="15" t="n">
        <f aca="false">INDEX(Ipotesi!$C$30:$G$30,1,F505)*G505/12</f>
        <v>22.5</v>
      </c>
      <c r="AO505" s="15" t="n">
        <f aca="false">O505*Parametri_v3!$C$7*Parametri_v3!$C$11*(1-Parametri_v3!$C$14)/12</f>
        <v>25.6666666666667</v>
      </c>
      <c r="AP505" s="15" t="n">
        <f aca="false">MIN(AN505,AO505)</f>
        <v>22.5</v>
      </c>
      <c r="AQ505" s="15" t="n">
        <f aca="false">AP505*INDEX(Ipotesi!$C$31:$G$31,1,F505)*H505</f>
        <v>21375</v>
      </c>
      <c r="AR505" s="15" t="n">
        <f aca="false">INDEX(Ipotesi!$C$75:$G$75,1,F505)*J505/12</f>
        <v>4583.33333333333</v>
      </c>
      <c r="AS505" s="15" t="n">
        <f aca="false">INDEX(Ipotesi!$C$81:$G$81,1,F505)*J505/12</f>
        <v>833.333333333333</v>
      </c>
      <c r="AT505" s="15" t="n">
        <f aca="false">AR505*Parametri_v3!$C$15+Z505*Parametri_v3!$C$16</f>
        <v>8638.95833333333</v>
      </c>
      <c r="AU505" s="15" t="n">
        <f aca="false">Q505*Parametri_v3!$C$16*Parametri_v3!$C$17</f>
        <v>105</v>
      </c>
      <c r="AV505" s="17" t="n">
        <f aca="false">BD504</f>
        <v>22.0312286621163</v>
      </c>
      <c r="AW505" s="17" t="n">
        <f aca="false">AV505*(1-(1-INDEX(Ipotesi!$C$34:$G$34,1,F505))^(1/12))</f>
        <v>0.192588429818184</v>
      </c>
      <c r="AX505" s="15" t="n">
        <f aca="false">ROUND(INDEX(Ipotesi!$C$32:$G$32,1,F505)*Ipotesi!K8,0)</f>
        <v>35</v>
      </c>
      <c r="AY505" s="15" t="n">
        <f aca="false">MAX(0,(AX505-(AV505-AW505))/(13-E505))</f>
        <v>3.29033994192547</v>
      </c>
      <c r="AZ505" s="15" t="n">
        <f aca="false">MIN(P505*Parametri_v3!$C$22,Q505*(1-Parametri_v3!$C$16)*Parametri_v3!$C$23)</f>
        <v>67.5</v>
      </c>
      <c r="BA505" s="15" t="n">
        <f aca="false">IF(OR(INDEX(Ipotesi!$C$35:$G$35,1,F505)&lt;=0,21-Parametri_v3!$C$21&lt;1),0,INDEX($AT$485:$AT$544,MAX(1,21-Parametri_v3!$C$21))/(INDEX(Ipotesi!$C$35:$G$35,1,F505)*Ipotesi!K27))</f>
        <v>2.87965277777778</v>
      </c>
      <c r="BB505" s="15" t="n">
        <f aca="false">IF(21-Parametri_v3!$C$21&lt;1,0,INDEX($AU$485:$AU$544,MAX(1,21-Parametri_v3!$C$21)))*Parametri_v3!$C$18*Parametri_v3!$C$19*Parametri_v3!$C$20</f>
        <v>3.9375</v>
      </c>
      <c r="BC505" s="17" t="n">
        <f aca="false">MAX(0,MIN(AY505,BA505,BB505,MAX(0,AZ505-(AV505-AW505))))</f>
        <v>2.87965277777778</v>
      </c>
      <c r="BD505" s="17" t="n">
        <f aca="false">AV505-AW505+BC505</f>
        <v>24.7182930100759</v>
      </c>
      <c r="BE505" s="17" t="n">
        <f aca="false">(AV505+BD505)/2</f>
        <v>23.3747608360961</v>
      </c>
      <c r="BF505" s="15" t="n">
        <f aca="false">BE505*INDEX(Ipotesi!$C$33:$G$33,1,F505)*H505/12</f>
        <v>7791.58694536536</v>
      </c>
      <c r="BG505" s="15" t="n">
        <f aca="false">BD505*INDEX(Ipotesi!$C$33:$G$33,1,F505)*H505</f>
        <v>98873.1720403035</v>
      </c>
      <c r="BH505" s="15" t="n">
        <f aca="false">AM505*INDEX(Ipotesi!$C$37:$G$37,1,F505)</f>
        <v>3398.1220657277</v>
      </c>
      <c r="BI505" s="15" t="n">
        <f aca="false">AQ505+BF505+BH505</f>
        <v>32564.7090110931</v>
      </c>
      <c r="BJ505" s="15" t="n">
        <f aca="false">INDEX(Ipotesi!$C$68:$G$68,1,F505)*Ipotesi!$C$69/12</f>
        <v>1600</v>
      </c>
      <c r="BK505" s="15" t="n">
        <f aca="false">INDEX(Ipotesi!$C$68:$G$68,1,F505)*(1-Ipotesi!$C$69)/12</f>
        <v>2400</v>
      </c>
      <c r="BL505" s="15" t="n">
        <f aca="false">(AQ505+BF505)*Ipotesi!$C$67</f>
        <v>874.997608360961</v>
      </c>
      <c r="BM505" s="15" t="n">
        <f aca="false">AM505*Ipotesi!$C$67</f>
        <v>1019.43661971831</v>
      </c>
      <c r="BN505" s="15" t="n">
        <f aca="false">INDEX(Ipotesi!$C$72:$G$72,1,F505)/12*Ipotesi!K126+BF505*Ipotesi!$C$73</f>
        <v>1873.32695562923</v>
      </c>
      <c r="BO505" s="15" t="n">
        <f aca="false">INDEX(Ipotesi!$C$74:$G$74,1,F505)/12*Ipotesi!K126</f>
        <v>1833.33333333333</v>
      </c>
      <c r="BP505" s="15" t="n">
        <f aca="false">INDEX(Ipotesi!$C$76:$G$76,1,F505)/12</f>
        <v>750</v>
      </c>
      <c r="BQ505" s="15" t="n">
        <f aca="false">INDEX(Ipotesi!$C$77:$G$77,1,F505)/12*Ipotesi!K126</f>
        <v>1666.66666666667</v>
      </c>
      <c r="BR505" s="15" t="n">
        <f aca="false">INDEX(Ipotesi!$C$78:$G$78,1,F505)/12</f>
        <v>1250</v>
      </c>
      <c r="BS505" s="15" t="n">
        <f aca="false">SUM(M505:R505)*(Ipotesi!$C$85+Ipotesi!$C$86)/12</f>
        <v>2625</v>
      </c>
      <c r="BT505" s="15" t="n">
        <f aca="false">BI505*Ipotesi!$C$87</f>
        <v>976.941270332792</v>
      </c>
      <c r="BU505" s="15" t="n">
        <f aca="false">INDEX(Ipotesi!$C$55:$G$55,1,F505)*K505/12</f>
        <v>1000</v>
      </c>
      <c r="BV505" s="15" t="n">
        <f aca="false">INDEX(Ipotesi!$C$80:$G$80,1,F505)/12*Ipotesi!K126</f>
        <v>833.333333333333</v>
      </c>
      <c r="BW505" s="15" t="n">
        <f aca="false">INDEX(Ipotesi!$C$82:$G$82,1,F505)/12</f>
        <v>666.666666666667</v>
      </c>
      <c r="BX505" s="15" t="n">
        <f aca="false">INDEX(Ipotesi!$C$83:$G$83,1,F505)/12</f>
        <v>583.333333333333</v>
      </c>
      <c r="BY505" s="15" t="n">
        <f aca="false">SUM(S505:U505)*(Ipotesi!$C$85+Ipotesi!$C$86)/12</f>
        <v>1166.66666666667</v>
      </c>
      <c r="BZ505" s="15" t="n">
        <f aca="false">AM505*Ipotesi!$C$87</f>
        <v>1019.43661971831</v>
      </c>
      <c r="CA505" s="15" t="n">
        <f aca="false">AB505+BJ505+BL505+BN505+BO505+AR505+BP505+BQ505+BR505+BS505+BT505</f>
        <v>57796.0991676563</v>
      </c>
      <c r="CB505" s="15" t="n">
        <f aca="false">AC505+BK505+BM505+BH505+BU505+BV505+AS505+BW505+BX505+BY505+BZ505</f>
        <v>28885.3286384976</v>
      </c>
      <c r="CC505" s="15" t="n">
        <f aca="false">BI505-CA505</f>
        <v>-25231.3901565633</v>
      </c>
      <c r="CD505" s="15" t="n">
        <f aca="false">AM505-CB505</f>
        <v>5095.89201877934</v>
      </c>
      <c r="CE505" s="15" t="n">
        <f aca="false">INDEX(Ipotesi!$C$79:$G$79,1,F505)/12</f>
        <v>2083.33333333333</v>
      </c>
      <c r="CF505" s="15" t="n">
        <f aca="false">INDEX(Ipotesi!$C$84:$G$84,1,F505)/12</f>
        <v>416.666666666667</v>
      </c>
      <c r="CG505" s="15" t="n">
        <f aca="false">Y505*MAX(0,Parametri_v3!$C$12-IF(P505=0,0,MIN(1,BE505/(P505*Parametri_v3!$C$22))))+W505*Parametri_v3!$C$13+X505*Parametri_v3!$C$14</f>
        <v>14875.9998474509</v>
      </c>
      <c r="CH505" s="15" t="n">
        <f aca="false">AB505*Parametri_v3!$C$32</f>
        <v>1988.125</v>
      </c>
      <c r="CI505" s="15" t="n">
        <f aca="false">AC505*Parametri_v3!$C$32</f>
        <v>798.25</v>
      </c>
      <c r="CJ505" s="15" t="n">
        <f aca="false">CA505-AB505</f>
        <v>18033.5991676563</v>
      </c>
      <c r="CK505" s="15" t="n">
        <f aca="false">CB505-AC505-BH505</f>
        <v>9522.20657276995</v>
      </c>
      <c r="CL505" s="15" t="n">
        <f aca="false">BF505*Ipotesi!$C$73+INDEX(Ipotesi!$C$72:$G$72,1,F505)/12*Ipotesi!K126*Parametri_v3!$C$58+Z505*(1-Parametri_v3!$C$16)</f>
        <v>3611.45195562923</v>
      </c>
      <c r="CM505" s="16" t="n">
        <f aca="false">IF(BF505=0,0,1-CL505/BF505)</f>
        <v>0.536493402312938</v>
      </c>
    </row>
    <row r="506" customFormat="false" ht="18" hidden="false" customHeight="true" outlineLevel="0" collapsed="false">
      <c r="A506" s="68" t="n">
        <f aca="false">9</f>
        <v>9</v>
      </c>
      <c r="B506" s="68" t="n">
        <f aca="false">22</f>
        <v>22</v>
      </c>
      <c r="C506" s="18" t="n">
        <f aca="false">EDATE(Parametri_v3!$C$5,22-1)</f>
        <v>47027</v>
      </c>
      <c r="D506" s="68" t="n">
        <f aca="false">YEAR(C506)</f>
        <v>2028</v>
      </c>
      <c r="E506" s="68" t="n">
        <f aca="false">MONTH(C506)</f>
        <v>10</v>
      </c>
      <c r="F506" s="68" t="n">
        <f aca="false">INT((22-1)/12)+1</f>
        <v>2</v>
      </c>
      <c r="G506" s="15" t="n">
        <f aca="false">Ipotesi!K7</f>
        <v>1</v>
      </c>
      <c r="H506" s="15" t="n">
        <f aca="false">Ipotesi!K9</f>
        <v>1</v>
      </c>
      <c r="I506" s="15" t="n">
        <f aca="false">Ipotesi!K10</f>
        <v>1</v>
      </c>
      <c r="J506" s="15" t="n">
        <f aca="false">Ipotesi!K11</f>
        <v>1</v>
      </c>
      <c r="K506" s="15" t="n">
        <f aca="false">Ipotesi!K12</f>
        <v>1</v>
      </c>
      <c r="L506" s="15" t="n">
        <f aca="false">Ipotesi!K13</f>
        <v>90</v>
      </c>
      <c r="M506" s="17" t="n">
        <f aca="false">INDEX(Ipotesi!$C$40:$G$40,1,F506)</f>
        <v>1</v>
      </c>
      <c r="N506" s="17" t="n">
        <f aca="false">INDEX(Ipotesi!$C$41:$G$41,1,F506)</f>
        <v>1</v>
      </c>
      <c r="O506" s="17" t="n">
        <f aca="false">INDEX(Ipotesi!$C$42:$G$42,1,F506)*Ipotesi!K125</f>
        <v>2.5</v>
      </c>
      <c r="P506" s="17" t="n">
        <f aca="false">INDEX(Ipotesi!$C$43:$G$43,1,F506)*I506</f>
        <v>2.5</v>
      </c>
      <c r="Q506" s="17" t="n">
        <f aca="false">INDEX(Ipotesi!$C$44:$G$44,1,F506)*I506</f>
        <v>1.5</v>
      </c>
      <c r="R506" s="17" t="n">
        <f aca="false">INDEX(Ipotesi!$C$45:$G$45,1,F506)*I506</f>
        <v>0.5</v>
      </c>
      <c r="S506" s="17" t="n">
        <f aca="false">INDEX(Ipotesi!$C$52:$G$52,1,F506)*Ipotesi!K125</f>
        <v>3</v>
      </c>
      <c r="T506" s="17" t="n">
        <f aca="false">INDEX(Ipotesi!$C$53:$G$53,1,F506)*I506</f>
        <v>1</v>
      </c>
      <c r="U506" s="17" t="n">
        <f aca="false">INDEX(Ipotesi!$C$54:$G$54,1,F506)*I506</f>
        <v>0</v>
      </c>
      <c r="V506" s="15" t="n">
        <f aca="false">M506*INDEX(Ipotesi!$C$58:$G$58,1,F506)*K506/12</f>
        <v>5000</v>
      </c>
      <c r="W506" s="15" t="n">
        <f aca="false">N506*Ipotesi!$C$59*(1+Ipotesi!$C$66)^(F506-1)/12</f>
        <v>6008.33333333333</v>
      </c>
      <c r="X506" s="15" t="n">
        <f aca="false">O506*Ipotesi!$C$60*(1+Ipotesi!$C$66)^(F506-1)/12</f>
        <v>10729.1666666667</v>
      </c>
      <c r="Y506" s="15" t="n">
        <f aca="false">P506*Ipotesi!$C$61*(1+Ipotesi!$C$66)^(F506-1)/12</f>
        <v>10729.1666666667</v>
      </c>
      <c r="Z506" s="15" t="n">
        <f aca="false">Q506*Ipotesi!$C$62*(1+Ipotesi!$C$66)^(F506-1)/12</f>
        <v>5793.75</v>
      </c>
      <c r="AA506" s="15" t="n">
        <f aca="false">R506*Ipotesi!$C$63*(1+Ipotesi!$C$66)^(F506-1)/12</f>
        <v>1502.08333333333</v>
      </c>
      <c r="AB506" s="15" t="n">
        <f aca="false">SUM(V506:AA506)</f>
        <v>39762.5</v>
      </c>
      <c r="AC506" s="15" t="n">
        <f aca="false">(S506*Ipotesi!$C$64+T506*Ipotesi!$C$65+U506*Ipotesi!$C$63)*(1+Ipotesi!$C$66)^(F506-1)/12</f>
        <v>15965</v>
      </c>
      <c r="AD506" s="15" t="n">
        <f aca="false">INDEX(Ipotesi!$C$48:$G$48,1,F506)*G506/12</f>
        <v>37.5</v>
      </c>
      <c r="AE506" s="15" t="n">
        <f aca="false">INDEX(Ipotesi!$C$50:$G$50,1,F506)*G506/12</f>
        <v>4.58333333333333</v>
      </c>
      <c r="AF506" s="15" t="n">
        <f aca="false">(S506*Parametri_v3!$C$7*Parametri_v3!$C$8+Parametri_v3!$C$10)/12</f>
        <v>38.5</v>
      </c>
      <c r="AG506" s="15" t="n">
        <f aca="false">AD506+AE506*(1+Parametri_v3!$C$9)</f>
        <v>44.375</v>
      </c>
      <c r="AH506" s="16" t="n">
        <f aca="false">IF(AG506=0,1,MIN(1,AF506/AG506))</f>
        <v>0.867605633802817</v>
      </c>
      <c r="AI506" s="15" t="n">
        <f aca="false">AD506*AH506</f>
        <v>32.5352112676056</v>
      </c>
      <c r="AJ506" s="15" t="n">
        <f aca="false">AE506*AH506</f>
        <v>3.97652582159624</v>
      </c>
      <c r="AK506" s="15" t="n">
        <f aca="false">AI506*INDEX(Ipotesi!$C$49:$G$49,1,F506)*H506</f>
        <v>26028.1690140845</v>
      </c>
      <c r="AL506" s="15" t="n">
        <f aca="false">AJ506*INDEX(Ipotesi!$C$51:$G$51,1,F506)*H506</f>
        <v>7953.05164319249</v>
      </c>
      <c r="AM506" s="15" t="n">
        <f aca="false">AK506+AL506</f>
        <v>33981.220657277</v>
      </c>
      <c r="AN506" s="15" t="n">
        <f aca="false">INDEX(Ipotesi!$C$30:$G$30,1,F506)*G506/12</f>
        <v>22.5</v>
      </c>
      <c r="AO506" s="15" t="n">
        <f aca="false">O506*Parametri_v3!$C$7*Parametri_v3!$C$11*(1-Parametri_v3!$C$14)/12</f>
        <v>25.6666666666667</v>
      </c>
      <c r="AP506" s="15" t="n">
        <f aca="false">MIN(AN506,AO506)</f>
        <v>22.5</v>
      </c>
      <c r="AQ506" s="15" t="n">
        <f aca="false">AP506*INDEX(Ipotesi!$C$31:$G$31,1,F506)*H506</f>
        <v>21375</v>
      </c>
      <c r="AR506" s="15" t="n">
        <f aca="false">INDEX(Ipotesi!$C$75:$G$75,1,F506)*J506/12</f>
        <v>4583.33333333333</v>
      </c>
      <c r="AS506" s="15" t="n">
        <f aca="false">INDEX(Ipotesi!$C$81:$G$81,1,F506)*J506/12</f>
        <v>833.333333333333</v>
      </c>
      <c r="AT506" s="15" t="n">
        <f aca="false">AR506*Parametri_v3!$C$15+Z506*Parametri_v3!$C$16</f>
        <v>8638.95833333333</v>
      </c>
      <c r="AU506" s="15" t="n">
        <f aca="false">Q506*Parametri_v3!$C$16*Parametri_v3!$C$17</f>
        <v>105</v>
      </c>
      <c r="AV506" s="17" t="n">
        <f aca="false">BD505</f>
        <v>24.7182930100759</v>
      </c>
      <c r="AW506" s="17" t="n">
        <f aca="false">AV506*(1-(1-INDEX(Ipotesi!$C$34:$G$34,1,F506))^(1/12))</f>
        <v>0.216077700958283</v>
      </c>
      <c r="AX506" s="15" t="n">
        <f aca="false">ROUND(INDEX(Ipotesi!$C$32:$G$32,1,F506)*Ipotesi!K8,0)</f>
        <v>35</v>
      </c>
      <c r="AY506" s="15" t="n">
        <f aca="false">MAX(0,(AX506-(AV506-AW506))/(13-E506))</f>
        <v>3.49926156362747</v>
      </c>
      <c r="AZ506" s="15" t="n">
        <f aca="false">MIN(P506*Parametri_v3!$C$22,Q506*(1-Parametri_v3!$C$16)*Parametri_v3!$C$23)</f>
        <v>67.5</v>
      </c>
      <c r="BA506" s="15" t="n">
        <f aca="false">IF(OR(INDEX(Ipotesi!$C$35:$G$35,1,F506)&lt;=0,22-Parametri_v3!$C$21&lt;1),0,INDEX($AT$485:$AT$544,MAX(1,22-Parametri_v3!$C$21))/(INDEX(Ipotesi!$C$35:$G$35,1,F506)*Ipotesi!K27))</f>
        <v>2.87965277777778</v>
      </c>
      <c r="BB506" s="15" t="n">
        <f aca="false">IF(22-Parametri_v3!$C$21&lt;1,0,INDEX($AU$485:$AU$544,MAX(1,22-Parametri_v3!$C$21)))*Parametri_v3!$C$18*Parametri_v3!$C$19*Parametri_v3!$C$20</f>
        <v>3.9375</v>
      </c>
      <c r="BC506" s="17" t="n">
        <f aca="false">MAX(0,MIN(AY506,BA506,BB506,MAX(0,AZ506-(AV506-AW506))))</f>
        <v>2.87965277777778</v>
      </c>
      <c r="BD506" s="17" t="n">
        <f aca="false">AV506-AW506+BC506</f>
        <v>27.3818680868954</v>
      </c>
      <c r="BE506" s="17" t="n">
        <f aca="false">(AV506+BD506)/2</f>
        <v>26.0500805484856</v>
      </c>
      <c r="BF506" s="15" t="n">
        <f aca="false">BE506*INDEX(Ipotesi!$C$33:$G$33,1,F506)*H506/12</f>
        <v>8683.36018282855</v>
      </c>
      <c r="BG506" s="15" t="n">
        <f aca="false">BD506*INDEX(Ipotesi!$C$33:$G$33,1,F506)*H506</f>
        <v>109527.472347582</v>
      </c>
      <c r="BH506" s="15" t="n">
        <f aca="false">AM506*INDEX(Ipotesi!$C$37:$G$37,1,F506)</f>
        <v>3398.1220657277</v>
      </c>
      <c r="BI506" s="15" t="n">
        <f aca="false">AQ506+BF506+BH506</f>
        <v>33456.4822485563</v>
      </c>
      <c r="BJ506" s="15" t="n">
        <f aca="false">INDEX(Ipotesi!$C$68:$G$68,1,F506)*Ipotesi!$C$69/12</f>
        <v>1600</v>
      </c>
      <c r="BK506" s="15" t="n">
        <f aca="false">INDEX(Ipotesi!$C$68:$G$68,1,F506)*(1-Ipotesi!$C$69)/12</f>
        <v>2400</v>
      </c>
      <c r="BL506" s="15" t="n">
        <f aca="false">(AQ506+BF506)*Ipotesi!$C$67</f>
        <v>901.750805484856</v>
      </c>
      <c r="BM506" s="15" t="n">
        <f aca="false">AM506*Ipotesi!$C$67</f>
        <v>1019.43661971831</v>
      </c>
      <c r="BN506" s="15" t="n">
        <f aca="false">INDEX(Ipotesi!$C$72:$G$72,1,F506)/12*Ipotesi!K126+BF506*Ipotesi!$C$73</f>
        <v>1944.66881462628</v>
      </c>
      <c r="BO506" s="15" t="n">
        <f aca="false">INDEX(Ipotesi!$C$74:$G$74,1,F506)/12*Ipotesi!K126</f>
        <v>1833.33333333333</v>
      </c>
      <c r="BP506" s="15" t="n">
        <f aca="false">INDEX(Ipotesi!$C$76:$G$76,1,F506)/12</f>
        <v>750</v>
      </c>
      <c r="BQ506" s="15" t="n">
        <f aca="false">INDEX(Ipotesi!$C$77:$G$77,1,F506)/12*Ipotesi!K126</f>
        <v>1666.66666666667</v>
      </c>
      <c r="BR506" s="15" t="n">
        <f aca="false">INDEX(Ipotesi!$C$78:$G$78,1,F506)/12</f>
        <v>1250</v>
      </c>
      <c r="BS506" s="15" t="n">
        <f aca="false">SUM(M506:R506)*(Ipotesi!$C$85+Ipotesi!$C$86)/12</f>
        <v>2625</v>
      </c>
      <c r="BT506" s="15" t="n">
        <f aca="false">BI506*Ipotesi!$C$87</f>
        <v>1003.69446745669</v>
      </c>
      <c r="BU506" s="15" t="n">
        <f aca="false">INDEX(Ipotesi!$C$55:$G$55,1,F506)*K506/12</f>
        <v>1000</v>
      </c>
      <c r="BV506" s="15" t="n">
        <f aca="false">INDEX(Ipotesi!$C$80:$G$80,1,F506)/12*Ipotesi!K126</f>
        <v>833.333333333333</v>
      </c>
      <c r="BW506" s="15" t="n">
        <f aca="false">INDEX(Ipotesi!$C$82:$G$82,1,F506)/12</f>
        <v>666.666666666667</v>
      </c>
      <c r="BX506" s="15" t="n">
        <f aca="false">INDEX(Ipotesi!$C$83:$G$83,1,F506)/12</f>
        <v>583.333333333333</v>
      </c>
      <c r="BY506" s="15" t="n">
        <f aca="false">SUM(S506:U506)*(Ipotesi!$C$85+Ipotesi!$C$86)/12</f>
        <v>1166.66666666667</v>
      </c>
      <c r="BZ506" s="15" t="n">
        <f aca="false">AM506*Ipotesi!$C$87</f>
        <v>1019.43661971831</v>
      </c>
      <c r="CA506" s="15" t="n">
        <f aca="false">AB506+BJ506+BL506+BN506+BO506+AR506+BP506+BQ506+BR506+BS506+BT506</f>
        <v>57920.9474209012</v>
      </c>
      <c r="CB506" s="15" t="n">
        <f aca="false">AC506+BK506+BM506+BH506+BU506+BV506+AS506+BW506+BX506+BY506+BZ506</f>
        <v>28885.3286384976</v>
      </c>
      <c r="CC506" s="15" t="n">
        <f aca="false">BI506-CA506</f>
        <v>-24464.4651723449</v>
      </c>
      <c r="CD506" s="15" t="n">
        <f aca="false">AM506-CB506</f>
        <v>5095.89201877934</v>
      </c>
      <c r="CE506" s="15" t="n">
        <f aca="false">INDEX(Ipotesi!$C$79:$G$79,1,F506)/12</f>
        <v>2083.33333333333</v>
      </c>
      <c r="CF506" s="15" t="n">
        <f aca="false">INDEX(Ipotesi!$C$84:$G$84,1,F506)/12</f>
        <v>416.666666666667</v>
      </c>
      <c r="CG506" s="15" t="n">
        <f aca="false">Y506*MAX(0,Parametri_v3!$C$12-IF(P506=0,0,MIN(1,BE506/(P506*Parametri_v3!$C$22))))+W506*Parametri_v3!$C$13+X506*Parametri_v3!$C$14</f>
        <v>14761.1840431275</v>
      </c>
      <c r="CH506" s="15" t="n">
        <f aca="false">AB506*Parametri_v3!$C$32</f>
        <v>1988.125</v>
      </c>
      <c r="CI506" s="15" t="n">
        <f aca="false">AC506*Parametri_v3!$C$32</f>
        <v>798.25</v>
      </c>
      <c r="CJ506" s="15" t="n">
        <f aca="false">CA506-AB506</f>
        <v>18158.4474209012</v>
      </c>
      <c r="CK506" s="15" t="n">
        <f aca="false">CB506-AC506-BH506</f>
        <v>9522.20657276995</v>
      </c>
      <c r="CL506" s="15" t="n">
        <f aca="false">BF506*Ipotesi!$C$73+INDEX(Ipotesi!$C$72:$G$72,1,F506)/12*Ipotesi!K126*Parametri_v3!$C$58+Z506*(1-Parametri_v3!$C$16)</f>
        <v>3682.79381462628</v>
      </c>
      <c r="CM506" s="16" t="n">
        <f aca="false">IF(BF506=0,0,1-CL506/BF506)</f>
        <v>0.575879183048395</v>
      </c>
    </row>
    <row r="507" customFormat="false" ht="18" hidden="false" customHeight="true" outlineLevel="0" collapsed="false">
      <c r="A507" s="68" t="n">
        <f aca="false">9</f>
        <v>9</v>
      </c>
      <c r="B507" s="68" t="n">
        <f aca="false">23</f>
        <v>23</v>
      </c>
      <c r="C507" s="18" t="n">
        <f aca="false">EDATE(Parametri_v3!$C$5,23-1)</f>
        <v>47058</v>
      </c>
      <c r="D507" s="68" t="n">
        <f aca="false">YEAR(C507)</f>
        <v>2028</v>
      </c>
      <c r="E507" s="68" t="n">
        <f aca="false">MONTH(C507)</f>
        <v>11</v>
      </c>
      <c r="F507" s="68" t="n">
        <f aca="false">INT((23-1)/12)+1</f>
        <v>2</v>
      </c>
      <c r="G507" s="15" t="n">
        <f aca="false">Ipotesi!K7</f>
        <v>1</v>
      </c>
      <c r="H507" s="15" t="n">
        <f aca="false">Ipotesi!K9</f>
        <v>1</v>
      </c>
      <c r="I507" s="15" t="n">
        <f aca="false">Ipotesi!K10</f>
        <v>1</v>
      </c>
      <c r="J507" s="15" t="n">
        <f aca="false">Ipotesi!K11</f>
        <v>1</v>
      </c>
      <c r="K507" s="15" t="n">
        <f aca="false">Ipotesi!K12</f>
        <v>1</v>
      </c>
      <c r="L507" s="15" t="n">
        <f aca="false">Ipotesi!K13</f>
        <v>90</v>
      </c>
      <c r="M507" s="17" t="n">
        <f aca="false">INDEX(Ipotesi!$C$40:$G$40,1,F507)</f>
        <v>1</v>
      </c>
      <c r="N507" s="17" t="n">
        <f aca="false">INDEX(Ipotesi!$C$41:$G$41,1,F507)</f>
        <v>1</v>
      </c>
      <c r="O507" s="17" t="n">
        <f aca="false">INDEX(Ipotesi!$C$42:$G$42,1,F507)*Ipotesi!K125</f>
        <v>2.5</v>
      </c>
      <c r="P507" s="17" t="n">
        <f aca="false">INDEX(Ipotesi!$C$43:$G$43,1,F507)*I507</f>
        <v>2.5</v>
      </c>
      <c r="Q507" s="17" t="n">
        <f aca="false">INDEX(Ipotesi!$C$44:$G$44,1,F507)*I507</f>
        <v>1.5</v>
      </c>
      <c r="R507" s="17" t="n">
        <f aca="false">INDEX(Ipotesi!$C$45:$G$45,1,F507)*I507</f>
        <v>0.5</v>
      </c>
      <c r="S507" s="17" t="n">
        <f aca="false">INDEX(Ipotesi!$C$52:$G$52,1,F507)*Ipotesi!K125</f>
        <v>3</v>
      </c>
      <c r="T507" s="17" t="n">
        <f aca="false">INDEX(Ipotesi!$C$53:$G$53,1,F507)*I507</f>
        <v>1</v>
      </c>
      <c r="U507" s="17" t="n">
        <f aca="false">INDEX(Ipotesi!$C$54:$G$54,1,F507)*I507</f>
        <v>0</v>
      </c>
      <c r="V507" s="15" t="n">
        <f aca="false">M507*INDEX(Ipotesi!$C$58:$G$58,1,F507)*K507/12</f>
        <v>5000</v>
      </c>
      <c r="W507" s="15" t="n">
        <f aca="false">N507*Ipotesi!$C$59*(1+Ipotesi!$C$66)^(F507-1)/12</f>
        <v>6008.33333333333</v>
      </c>
      <c r="X507" s="15" t="n">
        <f aca="false">O507*Ipotesi!$C$60*(1+Ipotesi!$C$66)^(F507-1)/12</f>
        <v>10729.1666666667</v>
      </c>
      <c r="Y507" s="15" t="n">
        <f aca="false">P507*Ipotesi!$C$61*(1+Ipotesi!$C$66)^(F507-1)/12</f>
        <v>10729.1666666667</v>
      </c>
      <c r="Z507" s="15" t="n">
        <f aca="false">Q507*Ipotesi!$C$62*(1+Ipotesi!$C$66)^(F507-1)/12</f>
        <v>5793.75</v>
      </c>
      <c r="AA507" s="15" t="n">
        <f aca="false">R507*Ipotesi!$C$63*(1+Ipotesi!$C$66)^(F507-1)/12</f>
        <v>1502.08333333333</v>
      </c>
      <c r="AB507" s="15" t="n">
        <f aca="false">SUM(V507:AA507)</f>
        <v>39762.5</v>
      </c>
      <c r="AC507" s="15" t="n">
        <f aca="false">(S507*Ipotesi!$C$64+T507*Ipotesi!$C$65+U507*Ipotesi!$C$63)*(1+Ipotesi!$C$66)^(F507-1)/12</f>
        <v>15965</v>
      </c>
      <c r="AD507" s="15" t="n">
        <f aca="false">INDEX(Ipotesi!$C$48:$G$48,1,F507)*G507/12</f>
        <v>37.5</v>
      </c>
      <c r="AE507" s="15" t="n">
        <f aca="false">INDEX(Ipotesi!$C$50:$G$50,1,F507)*G507/12</f>
        <v>4.58333333333333</v>
      </c>
      <c r="AF507" s="15" t="n">
        <f aca="false">(S507*Parametri_v3!$C$7*Parametri_v3!$C$8+Parametri_v3!$C$10)/12</f>
        <v>38.5</v>
      </c>
      <c r="AG507" s="15" t="n">
        <f aca="false">AD507+AE507*(1+Parametri_v3!$C$9)</f>
        <v>44.375</v>
      </c>
      <c r="AH507" s="16" t="n">
        <f aca="false">IF(AG507=0,1,MIN(1,AF507/AG507))</f>
        <v>0.867605633802817</v>
      </c>
      <c r="AI507" s="15" t="n">
        <f aca="false">AD507*AH507</f>
        <v>32.5352112676056</v>
      </c>
      <c r="AJ507" s="15" t="n">
        <f aca="false">AE507*AH507</f>
        <v>3.97652582159624</v>
      </c>
      <c r="AK507" s="15" t="n">
        <f aca="false">AI507*INDEX(Ipotesi!$C$49:$G$49,1,F507)*H507</f>
        <v>26028.1690140845</v>
      </c>
      <c r="AL507" s="15" t="n">
        <f aca="false">AJ507*INDEX(Ipotesi!$C$51:$G$51,1,F507)*H507</f>
        <v>7953.05164319249</v>
      </c>
      <c r="AM507" s="15" t="n">
        <f aca="false">AK507+AL507</f>
        <v>33981.220657277</v>
      </c>
      <c r="AN507" s="15" t="n">
        <f aca="false">INDEX(Ipotesi!$C$30:$G$30,1,F507)*G507/12</f>
        <v>22.5</v>
      </c>
      <c r="AO507" s="15" t="n">
        <f aca="false">O507*Parametri_v3!$C$7*Parametri_v3!$C$11*(1-Parametri_v3!$C$14)/12</f>
        <v>25.6666666666667</v>
      </c>
      <c r="AP507" s="15" t="n">
        <f aca="false">MIN(AN507,AO507)</f>
        <v>22.5</v>
      </c>
      <c r="AQ507" s="15" t="n">
        <f aca="false">AP507*INDEX(Ipotesi!$C$31:$G$31,1,F507)*H507</f>
        <v>21375</v>
      </c>
      <c r="AR507" s="15" t="n">
        <f aca="false">INDEX(Ipotesi!$C$75:$G$75,1,F507)*J507/12</f>
        <v>4583.33333333333</v>
      </c>
      <c r="AS507" s="15" t="n">
        <f aca="false">INDEX(Ipotesi!$C$81:$G$81,1,F507)*J507/12</f>
        <v>833.333333333333</v>
      </c>
      <c r="AT507" s="15" t="n">
        <f aca="false">AR507*Parametri_v3!$C$15+Z507*Parametri_v3!$C$16</f>
        <v>8638.95833333333</v>
      </c>
      <c r="AU507" s="15" t="n">
        <f aca="false">Q507*Parametri_v3!$C$16*Parametri_v3!$C$17</f>
        <v>105</v>
      </c>
      <c r="AV507" s="17" t="n">
        <f aca="false">BD506</f>
        <v>27.3818680868954</v>
      </c>
      <c r="AW507" s="17" t="n">
        <f aca="false">AV507*(1-(1-INDEX(Ipotesi!$C$34:$G$34,1,F507))^(1/12))</f>
        <v>0.239361638028465</v>
      </c>
      <c r="AX507" s="15" t="n">
        <f aca="false">ROUND(INDEX(Ipotesi!$C$32:$G$32,1,F507)*Ipotesi!K8,0)</f>
        <v>35</v>
      </c>
      <c r="AY507" s="15" t="n">
        <f aca="false">MAX(0,(AX507-(AV507-AW507))/(13-E507))</f>
        <v>3.92874677556654</v>
      </c>
      <c r="AZ507" s="15" t="n">
        <f aca="false">MIN(P507*Parametri_v3!$C$22,Q507*(1-Parametri_v3!$C$16)*Parametri_v3!$C$23)</f>
        <v>67.5</v>
      </c>
      <c r="BA507" s="15" t="n">
        <f aca="false">IF(OR(INDEX(Ipotesi!$C$35:$G$35,1,F507)&lt;=0,23-Parametri_v3!$C$21&lt;1),0,INDEX($AT$485:$AT$544,MAX(1,23-Parametri_v3!$C$21))/(INDEX(Ipotesi!$C$35:$G$35,1,F507)*Ipotesi!K27))</f>
        <v>2.87965277777778</v>
      </c>
      <c r="BB507" s="15" t="n">
        <f aca="false">IF(23-Parametri_v3!$C$21&lt;1,0,INDEX($AU$485:$AU$544,MAX(1,23-Parametri_v3!$C$21)))*Parametri_v3!$C$18*Parametri_v3!$C$19*Parametri_v3!$C$20</f>
        <v>3.9375</v>
      </c>
      <c r="BC507" s="17" t="n">
        <f aca="false">MAX(0,MIN(AY507,BA507,BB507,MAX(0,AZ507-(AV507-AW507))))</f>
        <v>2.87965277777778</v>
      </c>
      <c r="BD507" s="17" t="n">
        <f aca="false">AV507-AW507+BC507</f>
        <v>30.0221592266447</v>
      </c>
      <c r="BE507" s="17" t="n">
        <f aca="false">(AV507+BD507)/2</f>
        <v>28.70201365677</v>
      </c>
      <c r="BF507" s="15" t="n">
        <f aca="false">BE507*INDEX(Ipotesi!$C$33:$G$33,1,F507)*H507/12</f>
        <v>9567.33788559001</v>
      </c>
      <c r="BG507" s="15" t="n">
        <f aca="false">BD507*INDEX(Ipotesi!$C$33:$G$33,1,F507)*H507</f>
        <v>120088.636906579</v>
      </c>
      <c r="BH507" s="15" t="n">
        <f aca="false">AM507*INDEX(Ipotesi!$C$37:$G$37,1,F507)</f>
        <v>3398.1220657277</v>
      </c>
      <c r="BI507" s="15" t="n">
        <f aca="false">AQ507+BF507+BH507</f>
        <v>34340.4599513177</v>
      </c>
      <c r="BJ507" s="15" t="n">
        <f aca="false">INDEX(Ipotesi!$C$68:$G$68,1,F507)*Ipotesi!$C$69/12</f>
        <v>1600</v>
      </c>
      <c r="BK507" s="15" t="n">
        <f aca="false">INDEX(Ipotesi!$C$68:$G$68,1,F507)*(1-Ipotesi!$C$69)/12</f>
        <v>2400</v>
      </c>
      <c r="BL507" s="15" t="n">
        <f aca="false">(AQ507+BF507)*Ipotesi!$C$67</f>
        <v>928.2701365677</v>
      </c>
      <c r="BM507" s="15" t="n">
        <f aca="false">AM507*Ipotesi!$C$67</f>
        <v>1019.43661971831</v>
      </c>
      <c r="BN507" s="15" t="n">
        <f aca="false">INDEX(Ipotesi!$C$72:$G$72,1,F507)/12*Ipotesi!K126+BF507*Ipotesi!$C$73</f>
        <v>2015.3870308472</v>
      </c>
      <c r="BO507" s="15" t="n">
        <f aca="false">INDEX(Ipotesi!$C$74:$G$74,1,F507)/12*Ipotesi!K126</f>
        <v>1833.33333333333</v>
      </c>
      <c r="BP507" s="15" t="n">
        <f aca="false">INDEX(Ipotesi!$C$76:$G$76,1,F507)/12</f>
        <v>750</v>
      </c>
      <c r="BQ507" s="15" t="n">
        <f aca="false">INDEX(Ipotesi!$C$77:$G$77,1,F507)/12*Ipotesi!K126</f>
        <v>1666.66666666667</v>
      </c>
      <c r="BR507" s="15" t="n">
        <f aca="false">INDEX(Ipotesi!$C$78:$G$78,1,F507)/12</f>
        <v>1250</v>
      </c>
      <c r="BS507" s="15" t="n">
        <f aca="false">SUM(M507:R507)*(Ipotesi!$C$85+Ipotesi!$C$86)/12</f>
        <v>2625</v>
      </c>
      <c r="BT507" s="15" t="n">
        <f aca="false">BI507*Ipotesi!$C$87</f>
        <v>1030.21379853953</v>
      </c>
      <c r="BU507" s="15" t="n">
        <f aca="false">INDEX(Ipotesi!$C$55:$G$55,1,F507)*K507/12</f>
        <v>1000</v>
      </c>
      <c r="BV507" s="15" t="n">
        <f aca="false">INDEX(Ipotesi!$C$80:$G$80,1,F507)/12*Ipotesi!K126</f>
        <v>833.333333333333</v>
      </c>
      <c r="BW507" s="15" t="n">
        <f aca="false">INDEX(Ipotesi!$C$82:$G$82,1,F507)/12</f>
        <v>666.666666666667</v>
      </c>
      <c r="BX507" s="15" t="n">
        <f aca="false">INDEX(Ipotesi!$C$83:$G$83,1,F507)/12</f>
        <v>583.333333333333</v>
      </c>
      <c r="BY507" s="15" t="n">
        <f aca="false">SUM(S507:U507)*(Ipotesi!$C$85+Ipotesi!$C$86)/12</f>
        <v>1166.66666666667</v>
      </c>
      <c r="BZ507" s="15" t="n">
        <f aca="false">AM507*Ipotesi!$C$87</f>
        <v>1019.43661971831</v>
      </c>
      <c r="CA507" s="15" t="n">
        <f aca="false">AB507+BJ507+BL507+BN507+BO507+AR507+BP507+BQ507+BR507+BS507+BT507</f>
        <v>58044.7042992878</v>
      </c>
      <c r="CB507" s="15" t="n">
        <f aca="false">AC507+BK507+BM507+BH507+BU507+BV507+AS507+BW507+BX507+BY507+BZ507</f>
        <v>28885.3286384976</v>
      </c>
      <c r="CC507" s="15" t="n">
        <f aca="false">BI507-CA507</f>
        <v>-23704.2443479701</v>
      </c>
      <c r="CD507" s="15" t="n">
        <f aca="false">AM507-CB507</f>
        <v>5095.89201877934</v>
      </c>
      <c r="CE507" s="15" t="n">
        <f aca="false">INDEX(Ipotesi!$C$79:$G$79,1,F507)/12</f>
        <v>2083.33333333333</v>
      </c>
      <c r="CF507" s="15" t="n">
        <f aca="false">INDEX(Ipotesi!$C$84:$G$84,1,F507)/12</f>
        <v>416.666666666667</v>
      </c>
      <c r="CG507" s="15" t="n">
        <f aca="false">Y507*MAX(0,Parametri_v3!$C$12-IF(P507=0,0,MIN(1,BE507/(P507*Parametri_v3!$C$22))))+W507*Parametri_v3!$C$13+X507*Parametri_v3!$C$14</f>
        <v>14647.371913897</v>
      </c>
      <c r="CH507" s="15" t="n">
        <f aca="false">AB507*Parametri_v3!$C$32</f>
        <v>1988.125</v>
      </c>
      <c r="CI507" s="15" t="n">
        <f aca="false">AC507*Parametri_v3!$C$32</f>
        <v>798.25</v>
      </c>
      <c r="CJ507" s="15" t="n">
        <f aca="false">CA507-AB507</f>
        <v>18282.2042992878</v>
      </c>
      <c r="CK507" s="15" t="n">
        <f aca="false">CB507-AC507-BH507</f>
        <v>9522.20657276995</v>
      </c>
      <c r="CL507" s="15" t="n">
        <f aca="false">BF507*Ipotesi!$C$73+INDEX(Ipotesi!$C$72:$G$72,1,F507)/12*Ipotesi!K126*Parametri_v3!$C$58+Z507*(1-Parametri_v3!$C$16)</f>
        <v>3753.5120308472</v>
      </c>
      <c r="CM507" s="16" t="n">
        <f aca="false">IF(BF507=0,0,1-CL507/BF507)</f>
        <v>0.607674352496674</v>
      </c>
    </row>
    <row r="508" customFormat="false" ht="18" hidden="false" customHeight="true" outlineLevel="0" collapsed="false">
      <c r="A508" s="68" t="n">
        <f aca="false">9</f>
        <v>9</v>
      </c>
      <c r="B508" s="68" t="n">
        <f aca="false">24</f>
        <v>24</v>
      </c>
      <c r="C508" s="18" t="n">
        <f aca="false">EDATE(Parametri_v3!$C$5,24-1)</f>
        <v>47088</v>
      </c>
      <c r="D508" s="68" t="n">
        <f aca="false">YEAR(C508)</f>
        <v>2028</v>
      </c>
      <c r="E508" s="68" t="n">
        <f aca="false">MONTH(C508)</f>
        <v>12</v>
      </c>
      <c r="F508" s="68" t="n">
        <f aca="false">INT((24-1)/12)+1</f>
        <v>2</v>
      </c>
      <c r="G508" s="15" t="n">
        <f aca="false">Ipotesi!K7</f>
        <v>1</v>
      </c>
      <c r="H508" s="15" t="n">
        <f aca="false">Ipotesi!K9</f>
        <v>1</v>
      </c>
      <c r="I508" s="15" t="n">
        <f aca="false">Ipotesi!K10</f>
        <v>1</v>
      </c>
      <c r="J508" s="15" t="n">
        <f aca="false">Ipotesi!K11</f>
        <v>1</v>
      </c>
      <c r="K508" s="15" t="n">
        <f aca="false">Ipotesi!K12</f>
        <v>1</v>
      </c>
      <c r="L508" s="15" t="n">
        <f aca="false">Ipotesi!K13</f>
        <v>90</v>
      </c>
      <c r="M508" s="17" t="n">
        <f aca="false">INDEX(Ipotesi!$C$40:$G$40,1,F508)</f>
        <v>1</v>
      </c>
      <c r="N508" s="17" t="n">
        <f aca="false">INDEX(Ipotesi!$C$41:$G$41,1,F508)</f>
        <v>1</v>
      </c>
      <c r="O508" s="17" t="n">
        <f aca="false">INDEX(Ipotesi!$C$42:$G$42,1,F508)*Ipotesi!K125</f>
        <v>2.5</v>
      </c>
      <c r="P508" s="17" t="n">
        <f aca="false">INDEX(Ipotesi!$C$43:$G$43,1,F508)*I508</f>
        <v>2.5</v>
      </c>
      <c r="Q508" s="17" t="n">
        <f aca="false">INDEX(Ipotesi!$C$44:$G$44,1,F508)*I508</f>
        <v>1.5</v>
      </c>
      <c r="R508" s="17" t="n">
        <f aca="false">INDEX(Ipotesi!$C$45:$G$45,1,F508)*I508</f>
        <v>0.5</v>
      </c>
      <c r="S508" s="17" t="n">
        <f aca="false">INDEX(Ipotesi!$C$52:$G$52,1,F508)*Ipotesi!K125</f>
        <v>3</v>
      </c>
      <c r="T508" s="17" t="n">
        <f aca="false">INDEX(Ipotesi!$C$53:$G$53,1,F508)*I508</f>
        <v>1</v>
      </c>
      <c r="U508" s="17" t="n">
        <f aca="false">INDEX(Ipotesi!$C$54:$G$54,1,F508)*I508</f>
        <v>0</v>
      </c>
      <c r="V508" s="15" t="n">
        <f aca="false">M508*INDEX(Ipotesi!$C$58:$G$58,1,F508)*K508/12</f>
        <v>5000</v>
      </c>
      <c r="W508" s="15" t="n">
        <f aca="false">N508*Ipotesi!$C$59*(1+Ipotesi!$C$66)^(F508-1)/12</f>
        <v>6008.33333333333</v>
      </c>
      <c r="X508" s="15" t="n">
        <f aca="false">O508*Ipotesi!$C$60*(1+Ipotesi!$C$66)^(F508-1)/12</f>
        <v>10729.1666666667</v>
      </c>
      <c r="Y508" s="15" t="n">
        <f aca="false">P508*Ipotesi!$C$61*(1+Ipotesi!$C$66)^(F508-1)/12</f>
        <v>10729.1666666667</v>
      </c>
      <c r="Z508" s="15" t="n">
        <f aca="false">Q508*Ipotesi!$C$62*(1+Ipotesi!$C$66)^(F508-1)/12</f>
        <v>5793.75</v>
      </c>
      <c r="AA508" s="15" t="n">
        <f aca="false">R508*Ipotesi!$C$63*(1+Ipotesi!$C$66)^(F508-1)/12</f>
        <v>1502.08333333333</v>
      </c>
      <c r="AB508" s="15" t="n">
        <f aca="false">SUM(V508:AA508)</f>
        <v>39762.5</v>
      </c>
      <c r="AC508" s="15" t="n">
        <f aca="false">(S508*Ipotesi!$C$64+T508*Ipotesi!$C$65+U508*Ipotesi!$C$63)*(1+Ipotesi!$C$66)^(F508-1)/12</f>
        <v>15965</v>
      </c>
      <c r="AD508" s="15" t="n">
        <f aca="false">INDEX(Ipotesi!$C$48:$G$48,1,F508)*G508/12</f>
        <v>37.5</v>
      </c>
      <c r="AE508" s="15" t="n">
        <f aca="false">INDEX(Ipotesi!$C$50:$G$50,1,F508)*G508/12</f>
        <v>4.58333333333333</v>
      </c>
      <c r="AF508" s="15" t="n">
        <f aca="false">(S508*Parametri_v3!$C$7*Parametri_v3!$C$8+Parametri_v3!$C$10)/12</f>
        <v>38.5</v>
      </c>
      <c r="AG508" s="15" t="n">
        <f aca="false">AD508+AE508*(1+Parametri_v3!$C$9)</f>
        <v>44.375</v>
      </c>
      <c r="AH508" s="16" t="n">
        <f aca="false">IF(AG508=0,1,MIN(1,AF508/AG508))</f>
        <v>0.867605633802817</v>
      </c>
      <c r="AI508" s="15" t="n">
        <f aca="false">AD508*AH508</f>
        <v>32.5352112676056</v>
      </c>
      <c r="AJ508" s="15" t="n">
        <f aca="false">AE508*AH508</f>
        <v>3.97652582159624</v>
      </c>
      <c r="AK508" s="15" t="n">
        <f aca="false">AI508*INDEX(Ipotesi!$C$49:$G$49,1,F508)*H508</f>
        <v>26028.1690140845</v>
      </c>
      <c r="AL508" s="15" t="n">
        <f aca="false">AJ508*INDEX(Ipotesi!$C$51:$G$51,1,F508)*H508</f>
        <v>7953.05164319249</v>
      </c>
      <c r="AM508" s="15" t="n">
        <f aca="false">AK508+AL508</f>
        <v>33981.220657277</v>
      </c>
      <c r="AN508" s="15" t="n">
        <f aca="false">INDEX(Ipotesi!$C$30:$G$30,1,F508)*G508/12</f>
        <v>22.5</v>
      </c>
      <c r="AO508" s="15" t="n">
        <f aca="false">O508*Parametri_v3!$C$7*Parametri_v3!$C$11*(1-Parametri_v3!$C$14)/12</f>
        <v>25.6666666666667</v>
      </c>
      <c r="AP508" s="15" t="n">
        <f aca="false">MIN(AN508,AO508)</f>
        <v>22.5</v>
      </c>
      <c r="AQ508" s="15" t="n">
        <f aca="false">AP508*INDEX(Ipotesi!$C$31:$G$31,1,F508)*H508</f>
        <v>21375</v>
      </c>
      <c r="AR508" s="15" t="n">
        <f aca="false">INDEX(Ipotesi!$C$75:$G$75,1,F508)*J508/12</f>
        <v>4583.33333333333</v>
      </c>
      <c r="AS508" s="15" t="n">
        <f aca="false">INDEX(Ipotesi!$C$81:$G$81,1,F508)*J508/12</f>
        <v>833.333333333333</v>
      </c>
      <c r="AT508" s="15" t="n">
        <f aca="false">AR508*Parametri_v3!$C$15+Z508*Parametri_v3!$C$16</f>
        <v>8638.95833333333</v>
      </c>
      <c r="AU508" s="15" t="n">
        <f aca="false">Q508*Parametri_v3!$C$16*Parametri_v3!$C$17</f>
        <v>105</v>
      </c>
      <c r="AV508" s="17" t="n">
        <f aca="false">BD507</f>
        <v>30.0221592266447</v>
      </c>
      <c r="AW508" s="17" t="n">
        <f aca="false">AV508*(1-(1-INDEX(Ipotesi!$C$34:$G$34,1,F508))^(1/12))</f>
        <v>0.262442035979287</v>
      </c>
      <c r="AX508" s="15" t="n">
        <f aca="false">ROUND(INDEX(Ipotesi!$C$32:$G$32,1,F508)*Ipotesi!K8,0)</f>
        <v>35</v>
      </c>
      <c r="AY508" s="15" t="n">
        <f aca="false">MAX(0,(AX508-(AV508-AW508))/(13-E508))</f>
        <v>5.2402828093346</v>
      </c>
      <c r="AZ508" s="15" t="n">
        <f aca="false">MIN(P508*Parametri_v3!$C$22,Q508*(1-Parametri_v3!$C$16)*Parametri_v3!$C$23)</f>
        <v>67.5</v>
      </c>
      <c r="BA508" s="15" t="n">
        <f aca="false">IF(OR(INDEX(Ipotesi!$C$35:$G$35,1,F508)&lt;=0,24-Parametri_v3!$C$21&lt;1),0,INDEX($AT$485:$AT$544,MAX(1,24-Parametri_v3!$C$21))/(INDEX(Ipotesi!$C$35:$G$35,1,F508)*Ipotesi!K27))</f>
        <v>2.87965277777778</v>
      </c>
      <c r="BB508" s="15" t="n">
        <f aca="false">IF(24-Parametri_v3!$C$21&lt;1,0,INDEX($AU$485:$AU$544,MAX(1,24-Parametri_v3!$C$21)))*Parametri_v3!$C$18*Parametri_v3!$C$19*Parametri_v3!$C$20</f>
        <v>3.9375</v>
      </c>
      <c r="BC508" s="17" t="n">
        <f aca="false">MAX(0,MIN(AY508,BA508,BB508,MAX(0,AZ508-(AV508-AW508))))</f>
        <v>2.87965277777778</v>
      </c>
      <c r="BD508" s="17" t="n">
        <f aca="false">AV508-AW508+BC508</f>
        <v>32.6393699684432</v>
      </c>
      <c r="BE508" s="17" t="n">
        <f aca="false">(AV508+BD508)/2</f>
        <v>31.3307645975439</v>
      </c>
      <c r="BF508" s="15" t="n">
        <f aca="false">BE508*INDEX(Ipotesi!$C$33:$G$33,1,F508)*H508/12</f>
        <v>10443.5881991813</v>
      </c>
      <c r="BG508" s="15" t="n">
        <f aca="false">BD508*INDEX(Ipotesi!$C$33:$G$33,1,F508)*H508</f>
        <v>130557.479873773</v>
      </c>
      <c r="BH508" s="15" t="n">
        <f aca="false">AM508*INDEX(Ipotesi!$C$37:$G$37,1,F508)</f>
        <v>3398.1220657277</v>
      </c>
      <c r="BI508" s="15" t="n">
        <f aca="false">AQ508+BF508+BH508</f>
        <v>35216.710264909</v>
      </c>
      <c r="BJ508" s="15" t="n">
        <f aca="false">INDEX(Ipotesi!$C$68:$G$68,1,F508)*Ipotesi!$C$69/12</f>
        <v>1600</v>
      </c>
      <c r="BK508" s="15" t="n">
        <f aca="false">INDEX(Ipotesi!$C$68:$G$68,1,F508)*(1-Ipotesi!$C$69)/12</f>
        <v>2400</v>
      </c>
      <c r="BL508" s="15" t="n">
        <f aca="false">(AQ508+BF508)*Ipotesi!$C$67</f>
        <v>954.557645975439</v>
      </c>
      <c r="BM508" s="15" t="n">
        <f aca="false">AM508*Ipotesi!$C$67</f>
        <v>1019.43661971831</v>
      </c>
      <c r="BN508" s="15" t="n">
        <f aca="false">INDEX(Ipotesi!$C$72:$G$72,1,F508)/12*Ipotesi!K126+BF508*Ipotesi!$C$73</f>
        <v>2085.48705593451</v>
      </c>
      <c r="BO508" s="15" t="n">
        <f aca="false">INDEX(Ipotesi!$C$74:$G$74,1,F508)/12*Ipotesi!K126</f>
        <v>1833.33333333333</v>
      </c>
      <c r="BP508" s="15" t="n">
        <f aca="false">INDEX(Ipotesi!$C$76:$G$76,1,F508)/12</f>
        <v>750</v>
      </c>
      <c r="BQ508" s="15" t="n">
        <f aca="false">INDEX(Ipotesi!$C$77:$G$77,1,F508)/12*Ipotesi!K126</f>
        <v>1666.66666666667</v>
      </c>
      <c r="BR508" s="15" t="n">
        <f aca="false">INDEX(Ipotesi!$C$78:$G$78,1,F508)/12</f>
        <v>1250</v>
      </c>
      <c r="BS508" s="15" t="n">
        <f aca="false">SUM(M508:R508)*(Ipotesi!$C$85+Ipotesi!$C$86)/12</f>
        <v>2625</v>
      </c>
      <c r="BT508" s="15" t="n">
        <f aca="false">BI508*Ipotesi!$C$87</f>
        <v>1056.50130794727</v>
      </c>
      <c r="BU508" s="15" t="n">
        <f aca="false">INDEX(Ipotesi!$C$55:$G$55,1,F508)*K508/12</f>
        <v>1000</v>
      </c>
      <c r="BV508" s="15" t="n">
        <f aca="false">INDEX(Ipotesi!$C$80:$G$80,1,F508)/12*Ipotesi!K126</f>
        <v>833.333333333333</v>
      </c>
      <c r="BW508" s="15" t="n">
        <f aca="false">INDEX(Ipotesi!$C$82:$G$82,1,F508)/12</f>
        <v>666.666666666667</v>
      </c>
      <c r="BX508" s="15" t="n">
        <f aca="false">INDEX(Ipotesi!$C$83:$G$83,1,F508)/12</f>
        <v>583.333333333333</v>
      </c>
      <c r="BY508" s="15" t="n">
        <f aca="false">SUM(S508:U508)*(Ipotesi!$C$85+Ipotesi!$C$86)/12</f>
        <v>1166.66666666667</v>
      </c>
      <c r="BZ508" s="15" t="n">
        <f aca="false">AM508*Ipotesi!$C$87</f>
        <v>1019.43661971831</v>
      </c>
      <c r="CA508" s="15" t="n">
        <f aca="false">AB508+BJ508+BL508+BN508+BO508+AR508+BP508+BQ508+BR508+BS508+BT508</f>
        <v>58167.3793431906</v>
      </c>
      <c r="CB508" s="15" t="n">
        <f aca="false">AC508+BK508+BM508+BH508+BU508+BV508+AS508+BW508+BX508+BY508+BZ508</f>
        <v>28885.3286384976</v>
      </c>
      <c r="CC508" s="15" t="n">
        <f aca="false">BI508-CA508</f>
        <v>-22950.6690782815</v>
      </c>
      <c r="CD508" s="15" t="n">
        <f aca="false">AM508-CB508</f>
        <v>5095.89201877934</v>
      </c>
      <c r="CE508" s="15" t="n">
        <f aca="false">INDEX(Ipotesi!$C$79:$G$79,1,F508)/12</f>
        <v>2083.33333333333</v>
      </c>
      <c r="CF508" s="15" t="n">
        <f aca="false">INDEX(Ipotesi!$C$84:$G$84,1,F508)/12</f>
        <v>416.666666666667</v>
      </c>
      <c r="CG508" s="15" t="n">
        <f aca="false">Y508*MAX(0,Parametri_v3!$C$12-IF(P508=0,0,MIN(1,BE508/(P508*Parametri_v3!$C$22))))+W508*Parametri_v3!$C$13+X508*Parametri_v3!$C$14</f>
        <v>14534.5546860221</v>
      </c>
      <c r="CH508" s="15" t="n">
        <f aca="false">AB508*Parametri_v3!$C$32</f>
        <v>1988.125</v>
      </c>
      <c r="CI508" s="15" t="n">
        <f aca="false">AC508*Parametri_v3!$C$32</f>
        <v>798.25</v>
      </c>
      <c r="CJ508" s="15" t="n">
        <f aca="false">CA508-AB508</f>
        <v>18404.8793431906</v>
      </c>
      <c r="CK508" s="15" t="n">
        <f aca="false">CB508-AC508-BH508</f>
        <v>9522.20657276995</v>
      </c>
      <c r="CL508" s="15" t="n">
        <f aca="false">BF508*Ipotesi!$C$73+INDEX(Ipotesi!$C$72:$G$72,1,F508)/12*Ipotesi!K126*Parametri_v3!$C$58+Z508*(1-Parametri_v3!$C$16)</f>
        <v>3823.61205593451</v>
      </c>
      <c r="CM508" s="16" t="n">
        <f aca="false">IF(BF508=0,0,1-CL508/BF508)</f>
        <v>0.633879469104858</v>
      </c>
    </row>
    <row r="509" customFormat="false" ht="18" hidden="false" customHeight="true" outlineLevel="0" collapsed="false">
      <c r="A509" s="68" t="n">
        <f aca="false">9</f>
        <v>9</v>
      </c>
      <c r="B509" s="68" t="n">
        <f aca="false">25</f>
        <v>25</v>
      </c>
      <c r="C509" s="18" t="n">
        <f aca="false">EDATE(Parametri_v3!$C$5,25-1)</f>
        <v>47119</v>
      </c>
      <c r="D509" s="68" t="n">
        <f aca="false">YEAR(C509)</f>
        <v>2029</v>
      </c>
      <c r="E509" s="68" t="n">
        <f aca="false">MONTH(C509)</f>
        <v>1</v>
      </c>
      <c r="F509" s="68" t="n">
        <f aca="false">INT((25-1)/12)+1</f>
        <v>3</v>
      </c>
      <c r="G509" s="15" t="n">
        <f aca="false">Ipotesi!K7</f>
        <v>1</v>
      </c>
      <c r="H509" s="15" t="n">
        <f aca="false">Ipotesi!K9</f>
        <v>1</v>
      </c>
      <c r="I509" s="15" t="n">
        <f aca="false">Ipotesi!K10</f>
        <v>1</v>
      </c>
      <c r="J509" s="15" t="n">
        <f aca="false">Ipotesi!K11</f>
        <v>1</v>
      </c>
      <c r="K509" s="15" t="n">
        <f aca="false">Ipotesi!K12</f>
        <v>1</v>
      </c>
      <c r="L509" s="15" t="n">
        <f aca="false">Ipotesi!K13</f>
        <v>90</v>
      </c>
      <c r="M509" s="17" t="n">
        <f aca="false">INDEX(Ipotesi!$C$40:$G$40,1,F509)</f>
        <v>1</v>
      </c>
      <c r="N509" s="17" t="n">
        <f aca="false">INDEX(Ipotesi!$C$41:$G$41,1,F509)</f>
        <v>1</v>
      </c>
      <c r="O509" s="17" t="n">
        <f aca="false">INDEX(Ipotesi!$C$42:$G$42,1,F509)*Ipotesi!K125</f>
        <v>4.5</v>
      </c>
      <c r="P509" s="17" t="n">
        <f aca="false">INDEX(Ipotesi!$C$43:$G$43,1,F509)*I509</f>
        <v>5</v>
      </c>
      <c r="Q509" s="17" t="n">
        <f aca="false">INDEX(Ipotesi!$C$44:$G$44,1,F509)*I509</f>
        <v>4</v>
      </c>
      <c r="R509" s="17" t="n">
        <f aca="false">INDEX(Ipotesi!$C$45:$G$45,1,F509)*I509</f>
        <v>1</v>
      </c>
      <c r="S509" s="17" t="n">
        <f aca="false">INDEX(Ipotesi!$C$52:$G$52,1,F509)*Ipotesi!K125</f>
        <v>5</v>
      </c>
      <c r="T509" s="17" t="n">
        <f aca="false">INDEX(Ipotesi!$C$53:$G$53,1,F509)*I509</f>
        <v>1</v>
      </c>
      <c r="U509" s="17" t="n">
        <f aca="false">INDEX(Ipotesi!$C$54:$G$54,1,F509)*I509</f>
        <v>0.5</v>
      </c>
      <c r="V509" s="15" t="n">
        <f aca="false">M509*INDEX(Ipotesi!$C$58:$G$58,1,F509)*K509/12</f>
        <v>7083.33333333333</v>
      </c>
      <c r="W509" s="15" t="n">
        <f aca="false">N509*Ipotesi!$C$59*(1+Ipotesi!$C$66)^(F509-1)/12</f>
        <v>6188.58333333333</v>
      </c>
      <c r="X509" s="15" t="n">
        <f aca="false">O509*Ipotesi!$C$60*(1+Ipotesi!$C$66)^(F509-1)/12</f>
        <v>19891.875</v>
      </c>
      <c r="Y509" s="15" t="n">
        <f aca="false">P509*Ipotesi!$C$61*(1+Ipotesi!$C$66)^(F509-1)/12</f>
        <v>22102.0833333333</v>
      </c>
      <c r="Z509" s="15" t="n">
        <f aca="false">Q509*Ipotesi!$C$62*(1+Ipotesi!$C$66)^(F509-1)/12</f>
        <v>15913.5</v>
      </c>
      <c r="AA509" s="15" t="n">
        <f aca="false">R509*Ipotesi!$C$63*(1+Ipotesi!$C$66)^(F509-1)/12</f>
        <v>3094.29166666667</v>
      </c>
      <c r="AB509" s="15" t="n">
        <f aca="false">SUM(V509:AA509)</f>
        <v>74273.6666666667</v>
      </c>
      <c r="AC509" s="15" t="n">
        <f aca="false">(S509*Ipotesi!$C$64+T509*Ipotesi!$C$65+U509*Ipotesi!$C$63)*(1+Ipotesi!$C$66)^(F509-1)/12</f>
        <v>25417.3958333333</v>
      </c>
      <c r="AD509" s="15" t="n">
        <f aca="false">INDEX(Ipotesi!$C$48:$G$48,1,F509)*G509/12</f>
        <v>60</v>
      </c>
      <c r="AE509" s="15" t="n">
        <f aca="false">INDEX(Ipotesi!$C$50:$G$50,1,F509)*G509/12</f>
        <v>6.66666666666667</v>
      </c>
      <c r="AF509" s="15" t="n">
        <f aca="false">(S509*Parametri_v3!$C$7*Parametri_v3!$C$8+Parametri_v3!$C$10)/12</f>
        <v>64.1666666666667</v>
      </c>
      <c r="AG509" s="15" t="n">
        <f aca="false">AD509+AE509*(1+Parametri_v3!$C$9)</f>
        <v>70</v>
      </c>
      <c r="AH509" s="16" t="n">
        <f aca="false">IF(AG509=0,1,MIN(1,AF509/AG509))</f>
        <v>0.916666666666667</v>
      </c>
      <c r="AI509" s="15" t="n">
        <f aca="false">AD509*AH509</f>
        <v>55</v>
      </c>
      <c r="AJ509" s="15" t="n">
        <f aca="false">AE509*AH509</f>
        <v>6.11111111111111</v>
      </c>
      <c r="AK509" s="15" t="n">
        <f aca="false">AI509*INDEX(Ipotesi!$C$49:$G$49,1,F509)*H509</f>
        <v>46750</v>
      </c>
      <c r="AL509" s="15" t="n">
        <f aca="false">AJ509*INDEX(Ipotesi!$C$51:$G$51,1,F509)*H509</f>
        <v>13750</v>
      </c>
      <c r="AM509" s="15" t="n">
        <f aca="false">AK509+AL509</f>
        <v>60500</v>
      </c>
      <c r="AN509" s="15" t="n">
        <f aca="false">INDEX(Ipotesi!$C$30:$G$30,1,F509)*G509/12</f>
        <v>41.6666666666667</v>
      </c>
      <c r="AO509" s="15" t="n">
        <f aca="false">O509*Parametri_v3!$C$7*Parametri_v3!$C$11*(1-Parametri_v3!$C$14)/12</f>
        <v>46.2</v>
      </c>
      <c r="AP509" s="15" t="n">
        <f aca="false">MIN(AN509,AO509)</f>
        <v>41.6666666666667</v>
      </c>
      <c r="AQ509" s="15" t="n">
        <f aca="false">AP509*INDEX(Ipotesi!$C$31:$G$31,1,F509)*H509</f>
        <v>41666.6666666667</v>
      </c>
      <c r="AR509" s="15" t="n">
        <f aca="false">INDEX(Ipotesi!$C$75:$G$75,1,F509)*J509/12</f>
        <v>20000</v>
      </c>
      <c r="AS509" s="15" t="n">
        <f aca="false">INDEX(Ipotesi!$C$81:$G$81,1,F509)*J509/12</f>
        <v>1250</v>
      </c>
      <c r="AT509" s="15" t="n">
        <f aca="false">AR509*Parametri_v3!$C$15+Z509*Parametri_v3!$C$16</f>
        <v>31139.45</v>
      </c>
      <c r="AU509" s="15" t="n">
        <f aca="false">Q509*Parametri_v3!$C$16*Parametri_v3!$C$17</f>
        <v>280</v>
      </c>
      <c r="AV509" s="17" t="n">
        <f aca="false">BD508</f>
        <v>32.6393699684432</v>
      </c>
      <c r="AW509" s="17" t="n">
        <f aca="false">AV509*(1-(1-INDEX(Ipotesi!$C$34:$G$34,1,F509))^(1/12))</f>
        <v>0.285320674070542</v>
      </c>
      <c r="AX509" s="15" t="n">
        <f aca="false">ROUND(INDEX(Ipotesi!$C$32:$G$32,1,F509)*Ipotesi!K8,0)</f>
        <v>130</v>
      </c>
      <c r="AY509" s="15" t="n">
        <f aca="false">MAX(0,(AX509-(AV509-AW509))/(13-E509))</f>
        <v>8.13716255880228</v>
      </c>
      <c r="AZ509" s="15" t="n">
        <f aca="false">MIN(P509*Parametri_v3!$C$22,Q509*(1-Parametri_v3!$C$16)*Parametri_v3!$C$23)</f>
        <v>180</v>
      </c>
      <c r="BA509" s="15" t="n">
        <f aca="false">IF(OR(INDEX(Ipotesi!$C$35:$G$35,1,F509)&lt;=0,25-Parametri_v3!$C$21&lt;1),0,INDEX($AT$485:$AT$544,MAX(1,25-Parametri_v3!$C$21))/(INDEX(Ipotesi!$C$35:$G$35,1,F509)*Ipotesi!K27))</f>
        <v>1.72779166666667</v>
      </c>
      <c r="BB509" s="15" t="n">
        <f aca="false">IF(25-Parametri_v3!$C$21&lt;1,0,INDEX($AU$485:$AU$544,MAX(1,25-Parametri_v3!$C$21)))*Parametri_v3!$C$18*Parametri_v3!$C$19*Parametri_v3!$C$20</f>
        <v>3.9375</v>
      </c>
      <c r="BC509" s="17" t="n">
        <f aca="false">MAX(0,MIN(AY509,BA509,BB509,MAX(0,AZ509-(AV509-AW509))))</f>
        <v>1.72779166666667</v>
      </c>
      <c r="BD509" s="17" t="n">
        <f aca="false">AV509-AW509+BC509</f>
        <v>34.0818409610393</v>
      </c>
      <c r="BE509" s="17" t="n">
        <f aca="false">(AV509+BD509)/2</f>
        <v>33.3606054647413</v>
      </c>
      <c r="BF509" s="15" t="n">
        <f aca="false">BE509*INDEX(Ipotesi!$C$33:$G$33,1,F509)*H509/12</f>
        <v>15290.2775046731</v>
      </c>
      <c r="BG509" s="15" t="n">
        <f aca="false">BD509*INDEX(Ipotesi!$C$33:$G$33,1,F509)*H509</f>
        <v>187450.125285716</v>
      </c>
      <c r="BH509" s="15" t="n">
        <f aca="false">AM509*INDEX(Ipotesi!$C$37:$G$37,1,F509)</f>
        <v>6050</v>
      </c>
      <c r="BI509" s="15" t="n">
        <f aca="false">AQ509+BF509+BH509</f>
        <v>63006.9441713397</v>
      </c>
      <c r="BJ509" s="15" t="n">
        <f aca="false">INDEX(Ipotesi!$C$68:$G$68,1,F509)*Ipotesi!$C$69/12</f>
        <v>2400</v>
      </c>
      <c r="BK509" s="15" t="n">
        <f aca="false">INDEX(Ipotesi!$C$68:$G$68,1,F509)*(1-Ipotesi!$C$69)/12</f>
        <v>3600</v>
      </c>
      <c r="BL509" s="15" t="n">
        <f aca="false">(AQ509+BF509)*Ipotesi!$C$67</f>
        <v>1708.70832514019</v>
      </c>
      <c r="BM509" s="15" t="n">
        <f aca="false">AM509*Ipotesi!$C$67</f>
        <v>1815</v>
      </c>
      <c r="BN509" s="15" t="n">
        <f aca="false">INDEX(Ipotesi!$C$72:$G$72,1,F509)/12*Ipotesi!K126+BF509*Ipotesi!$C$73</f>
        <v>2473.22220037385</v>
      </c>
      <c r="BO509" s="15" t="n">
        <f aca="false">INDEX(Ipotesi!$C$74:$G$74,1,F509)/12*Ipotesi!K126</f>
        <v>2916.66666666667</v>
      </c>
      <c r="BP509" s="15" t="n">
        <f aca="false">INDEX(Ipotesi!$C$76:$G$76,1,F509)/12</f>
        <v>1083.33333333333</v>
      </c>
      <c r="BQ509" s="15" t="n">
        <f aca="false">INDEX(Ipotesi!$C$77:$G$77,1,F509)/12*Ipotesi!K126</f>
        <v>2083.33333333333</v>
      </c>
      <c r="BR509" s="15" t="n">
        <f aca="false">INDEX(Ipotesi!$C$78:$G$78,1,F509)/12</f>
        <v>1666.66666666667</v>
      </c>
      <c r="BS509" s="15" t="n">
        <f aca="false">SUM(M509:R509)*(Ipotesi!$C$85+Ipotesi!$C$86)/12</f>
        <v>4812.5</v>
      </c>
      <c r="BT509" s="15" t="n">
        <f aca="false">BI509*Ipotesi!$C$87</f>
        <v>1890.20832514019</v>
      </c>
      <c r="BU509" s="15" t="n">
        <f aca="false">INDEX(Ipotesi!$C$55:$G$55,1,F509)*K509/12</f>
        <v>1500</v>
      </c>
      <c r="BV509" s="15" t="n">
        <f aca="false">INDEX(Ipotesi!$C$80:$G$80,1,F509)/12*Ipotesi!K126</f>
        <v>1250</v>
      </c>
      <c r="BW509" s="15" t="n">
        <f aca="false">INDEX(Ipotesi!$C$82:$G$82,1,F509)/12</f>
        <v>1000</v>
      </c>
      <c r="BX509" s="15" t="n">
        <f aca="false">INDEX(Ipotesi!$C$83:$G$83,1,F509)/12</f>
        <v>666.666666666667</v>
      </c>
      <c r="BY509" s="15" t="n">
        <f aca="false">SUM(S509:U509)*(Ipotesi!$C$85+Ipotesi!$C$86)/12</f>
        <v>1895.83333333333</v>
      </c>
      <c r="BZ509" s="15" t="n">
        <f aca="false">AM509*Ipotesi!$C$87</f>
        <v>1815</v>
      </c>
      <c r="CA509" s="15" t="n">
        <f aca="false">AB509+BJ509+BL509+BN509+BO509+AR509+BP509+BQ509+BR509+BS509+BT509</f>
        <v>115308.305517321</v>
      </c>
      <c r="CB509" s="15" t="n">
        <f aca="false">AC509+BK509+BM509+BH509+BU509+BV509+AS509+BW509+BX509+BY509+BZ509</f>
        <v>46259.8958333333</v>
      </c>
      <c r="CC509" s="15" t="n">
        <f aca="false">BI509-CA509</f>
        <v>-52301.3613459812</v>
      </c>
      <c r="CD509" s="15" t="n">
        <f aca="false">AM509-CB509</f>
        <v>14240.1041666667</v>
      </c>
      <c r="CE509" s="15" t="n">
        <f aca="false">INDEX(Ipotesi!$C$79:$G$79,1,F509)/12</f>
        <v>2500</v>
      </c>
      <c r="CF509" s="15" t="n">
        <f aca="false">INDEX(Ipotesi!$C$84:$G$84,1,F509)/12</f>
        <v>416.666666666667</v>
      </c>
      <c r="CG509" s="15" t="n">
        <f aca="false">Y509*MAX(0,Parametri_v3!$C$12-IF(P509=0,0,MIN(1,BE509/(P509*Parametri_v3!$C$22))))+W509*Parametri_v3!$C$13+X509*Parametri_v3!$C$14</f>
        <v>27700.0722359357</v>
      </c>
      <c r="CH509" s="15" t="n">
        <f aca="false">AB509*Parametri_v3!$C$32</f>
        <v>3713.68333333333</v>
      </c>
      <c r="CI509" s="15" t="n">
        <f aca="false">AC509*Parametri_v3!$C$32</f>
        <v>1270.86979166667</v>
      </c>
      <c r="CJ509" s="15" t="n">
        <f aca="false">CA509-AB509</f>
        <v>41034.6388506542</v>
      </c>
      <c r="CK509" s="15" t="n">
        <f aca="false">CB509-AC509-BH509</f>
        <v>14792.5</v>
      </c>
      <c r="CL509" s="15" t="n">
        <f aca="false">BF509*Ipotesi!$C$73+INDEX(Ipotesi!$C$72:$G$72,1,F509)/12*Ipotesi!K126*Parametri_v3!$C$58+Z509*(1-Parametri_v3!$C$16)</f>
        <v>7247.27220037385</v>
      </c>
      <c r="CM509" s="16" t="n">
        <f aca="false">IF(BF509=0,0,1-CL509/BF509)</f>
        <v>0.526020884960465</v>
      </c>
    </row>
    <row r="510" customFormat="false" ht="18" hidden="false" customHeight="true" outlineLevel="0" collapsed="false">
      <c r="A510" s="68" t="n">
        <f aca="false">9</f>
        <v>9</v>
      </c>
      <c r="B510" s="68" t="n">
        <f aca="false">26</f>
        <v>26</v>
      </c>
      <c r="C510" s="18" t="n">
        <f aca="false">EDATE(Parametri_v3!$C$5,26-1)</f>
        <v>47150</v>
      </c>
      <c r="D510" s="68" t="n">
        <f aca="false">YEAR(C510)</f>
        <v>2029</v>
      </c>
      <c r="E510" s="68" t="n">
        <f aca="false">MONTH(C510)</f>
        <v>2</v>
      </c>
      <c r="F510" s="68" t="n">
        <f aca="false">INT((26-1)/12)+1</f>
        <v>3</v>
      </c>
      <c r="G510" s="15" t="n">
        <f aca="false">Ipotesi!K7</f>
        <v>1</v>
      </c>
      <c r="H510" s="15" t="n">
        <f aca="false">Ipotesi!K9</f>
        <v>1</v>
      </c>
      <c r="I510" s="15" t="n">
        <f aca="false">Ipotesi!K10</f>
        <v>1</v>
      </c>
      <c r="J510" s="15" t="n">
        <f aca="false">Ipotesi!K11</f>
        <v>1</v>
      </c>
      <c r="K510" s="15" t="n">
        <f aca="false">Ipotesi!K12</f>
        <v>1</v>
      </c>
      <c r="L510" s="15" t="n">
        <f aca="false">Ipotesi!K13</f>
        <v>90</v>
      </c>
      <c r="M510" s="17" t="n">
        <f aca="false">INDEX(Ipotesi!$C$40:$G$40,1,F510)</f>
        <v>1</v>
      </c>
      <c r="N510" s="17" t="n">
        <f aca="false">INDEX(Ipotesi!$C$41:$G$41,1,F510)</f>
        <v>1</v>
      </c>
      <c r="O510" s="17" t="n">
        <f aca="false">INDEX(Ipotesi!$C$42:$G$42,1,F510)*Ipotesi!K125</f>
        <v>4.5</v>
      </c>
      <c r="P510" s="17" t="n">
        <f aca="false">INDEX(Ipotesi!$C$43:$G$43,1,F510)*I510</f>
        <v>5</v>
      </c>
      <c r="Q510" s="17" t="n">
        <f aca="false">INDEX(Ipotesi!$C$44:$G$44,1,F510)*I510</f>
        <v>4</v>
      </c>
      <c r="R510" s="17" t="n">
        <f aca="false">INDEX(Ipotesi!$C$45:$G$45,1,F510)*I510</f>
        <v>1</v>
      </c>
      <c r="S510" s="17" t="n">
        <f aca="false">INDEX(Ipotesi!$C$52:$G$52,1,F510)*Ipotesi!K125</f>
        <v>5</v>
      </c>
      <c r="T510" s="17" t="n">
        <f aca="false">INDEX(Ipotesi!$C$53:$G$53,1,F510)*I510</f>
        <v>1</v>
      </c>
      <c r="U510" s="17" t="n">
        <f aca="false">INDEX(Ipotesi!$C$54:$G$54,1,F510)*I510</f>
        <v>0.5</v>
      </c>
      <c r="V510" s="15" t="n">
        <f aca="false">M510*INDEX(Ipotesi!$C$58:$G$58,1,F510)*K510/12</f>
        <v>7083.33333333333</v>
      </c>
      <c r="W510" s="15" t="n">
        <f aca="false">N510*Ipotesi!$C$59*(1+Ipotesi!$C$66)^(F510-1)/12</f>
        <v>6188.58333333333</v>
      </c>
      <c r="X510" s="15" t="n">
        <f aca="false">O510*Ipotesi!$C$60*(1+Ipotesi!$C$66)^(F510-1)/12</f>
        <v>19891.875</v>
      </c>
      <c r="Y510" s="15" t="n">
        <f aca="false">P510*Ipotesi!$C$61*(1+Ipotesi!$C$66)^(F510-1)/12</f>
        <v>22102.0833333333</v>
      </c>
      <c r="Z510" s="15" t="n">
        <f aca="false">Q510*Ipotesi!$C$62*(1+Ipotesi!$C$66)^(F510-1)/12</f>
        <v>15913.5</v>
      </c>
      <c r="AA510" s="15" t="n">
        <f aca="false">R510*Ipotesi!$C$63*(1+Ipotesi!$C$66)^(F510-1)/12</f>
        <v>3094.29166666667</v>
      </c>
      <c r="AB510" s="15" t="n">
        <f aca="false">SUM(V510:AA510)</f>
        <v>74273.6666666667</v>
      </c>
      <c r="AC510" s="15" t="n">
        <f aca="false">(S510*Ipotesi!$C$64+T510*Ipotesi!$C$65+U510*Ipotesi!$C$63)*(1+Ipotesi!$C$66)^(F510-1)/12</f>
        <v>25417.3958333333</v>
      </c>
      <c r="AD510" s="15" t="n">
        <f aca="false">INDEX(Ipotesi!$C$48:$G$48,1,F510)*G510/12</f>
        <v>60</v>
      </c>
      <c r="AE510" s="15" t="n">
        <f aca="false">INDEX(Ipotesi!$C$50:$G$50,1,F510)*G510/12</f>
        <v>6.66666666666667</v>
      </c>
      <c r="AF510" s="15" t="n">
        <f aca="false">(S510*Parametri_v3!$C$7*Parametri_v3!$C$8+Parametri_v3!$C$10)/12</f>
        <v>64.1666666666667</v>
      </c>
      <c r="AG510" s="15" t="n">
        <f aca="false">AD510+AE510*(1+Parametri_v3!$C$9)</f>
        <v>70</v>
      </c>
      <c r="AH510" s="16" t="n">
        <f aca="false">IF(AG510=0,1,MIN(1,AF510/AG510))</f>
        <v>0.916666666666667</v>
      </c>
      <c r="AI510" s="15" t="n">
        <f aca="false">AD510*AH510</f>
        <v>55</v>
      </c>
      <c r="AJ510" s="15" t="n">
        <f aca="false">AE510*AH510</f>
        <v>6.11111111111111</v>
      </c>
      <c r="AK510" s="15" t="n">
        <f aca="false">AI510*INDEX(Ipotesi!$C$49:$G$49,1,F510)*H510</f>
        <v>46750</v>
      </c>
      <c r="AL510" s="15" t="n">
        <f aca="false">AJ510*INDEX(Ipotesi!$C$51:$G$51,1,F510)*H510</f>
        <v>13750</v>
      </c>
      <c r="AM510" s="15" t="n">
        <f aca="false">AK510+AL510</f>
        <v>60500</v>
      </c>
      <c r="AN510" s="15" t="n">
        <f aca="false">INDEX(Ipotesi!$C$30:$G$30,1,F510)*G510/12</f>
        <v>41.6666666666667</v>
      </c>
      <c r="AO510" s="15" t="n">
        <f aca="false">O510*Parametri_v3!$C$7*Parametri_v3!$C$11*(1-Parametri_v3!$C$14)/12</f>
        <v>46.2</v>
      </c>
      <c r="AP510" s="15" t="n">
        <f aca="false">MIN(AN510,AO510)</f>
        <v>41.6666666666667</v>
      </c>
      <c r="AQ510" s="15" t="n">
        <f aca="false">AP510*INDEX(Ipotesi!$C$31:$G$31,1,F510)*H510</f>
        <v>41666.6666666667</v>
      </c>
      <c r="AR510" s="15" t="n">
        <f aca="false">INDEX(Ipotesi!$C$75:$G$75,1,F510)*J510/12</f>
        <v>20000</v>
      </c>
      <c r="AS510" s="15" t="n">
        <f aca="false">INDEX(Ipotesi!$C$81:$G$81,1,F510)*J510/12</f>
        <v>1250</v>
      </c>
      <c r="AT510" s="15" t="n">
        <f aca="false">AR510*Parametri_v3!$C$15+Z510*Parametri_v3!$C$16</f>
        <v>31139.45</v>
      </c>
      <c r="AU510" s="15" t="n">
        <f aca="false">Q510*Parametri_v3!$C$16*Parametri_v3!$C$17</f>
        <v>280</v>
      </c>
      <c r="AV510" s="17" t="n">
        <f aca="false">BD509</f>
        <v>34.0818409610393</v>
      </c>
      <c r="AW510" s="17" t="n">
        <f aca="false">AV510*(1-(1-INDEX(Ipotesi!$C$34:$G$34,1,F510))^(1/12))</f>
        <v>0.297930194301253</v>
      </c>
      <c r="AX510" s="15" t="n">
        <f aca="false">ROUND(INDEX(Ipotesi!$C$32:$G$32,1,F510)*Ipotesi!K8,0)</f>
        <v>130</v>
      </c>
      <c r="AY510" s="15" t="n">
        <f aca="false">MAX(0,(AX510-(AV510-AW510))/(13-E510))</f>
        <v>8.74691720302381</v>
      </c>
      <c r="AZ510" s="15" t="n">
        <f aca="false">MIN(P510*Parametri_v3!$C$22,Q510*(1-Parametri_v3!$C$16)*Parametri_v3!$C$23)</f>
        <v>180</v>
      </c>
      <c r="BA510" s="15" t="n">
        <f aca="false">IF(OR(INDEX(Ipotesi!$C$35:$G$35,1,F510)&lt;=0,26-Parametri_v3!$C$21&lt;1),0,INDEX($AT$485:$AT$544,MAX(1,26-Parametri_v3!$C$21))/(INDEX(Ipotesi!$C$35:$G$35,1,F510)*Ipotesi!K27))</f>
        <v>1.72779166666667</v>
      </c>
      <c r="BB510" s="15" t="n">
        <f aca="false">IF(26-Parametri_v3!$C$21&lt;1,0,INDEX($AU$485:$AU$544,MAX(1,26-Parametri_v3!$C$21)))*Parametri_v3!$C$18*Parametri_v3!$C$19*Parametri_v3!$C$20</f>
        <v>3.9375</v>
      </c>
      <c r="BC510" s="17" t="n">
        <f aca="false">MAX(0,MIN(AY510,BA510,BB510,MAX(0,AZ510-(AV510-AW510))))</f>
        <v>1.72779166666667</v>
      </c>
      <c r="BD510" s="17" t="n">
        <f aca="false">AV510-AW510+BC510</f>
        <v>35.5117024334047</v>
      </c>
      <c r="BE510" s="17" t="n">
        <f aca="false">(AV510+BD510)/2</f>
        <v>34.796771697222</v>
      </c>
      <c r="BF510" s="15" t="n">
        <f aca="false">BE510*INDEX(Ipotesi!$C$33:$G$33,1,F510)*H510/12</f>
        <v>15948.5203612268</v>
      </c>
      <c r="BG510" s="15" t="n">
        <f aca="false">BD510*INDEX(Ipotesi!$C$33:$G$33,1,F510)*H510</f>
        <v>195314.363383726</v>
      </c>
      <c r="BH510" s="15" t="n">
        <f aca="false">AM510*INDEX(Ipotesi!$C$37:$G$37,1,F510)</f>
        <v>6050</v>
      </c>
      <c r="BI510" s="15" t="n">
        <f aca="false">AQ510+BF510+BH510</f>
        <v>63665.1870278934</v>
      </c>
      <c r="BJ510" s="15" t="n">
        <f aca="false">INDEX(Ipotesi!$C$68:$G$68,1,F510)*Ipotesi!$C$69/12</f>
        <v>2400</v>
      </c>
      <c r="BK510" s="15" t="n">
        <f aca="false">INDEX(Ipotesi!$C$68:$G$68,1,F510)*(1-Ipotesi!$C$69)/12</f>
        <v>3600</v>
      </c>
      <c r="BL510" s="15" t="n">
        <f aca="false">(AQ510+BF510)*Ipotesi!$C$67</f>
        <v>1728.4556108368</v>
      </c>
      <c r="BM510" s="15" t="n">
        <f aca="false">AM510*Ipotesi!$C$67</f>
        <v>1815</v>
      </c>
      <c r="BN510" s="15" t="n">
        <f aca="false">INDEX(Ipotesi!$C$72:$G$72,1,F510)/12*Ipotesi!K126+BF510*Ipotesi!$C$73</f>
        <v>2525.88162889814</v>
      </c>
      <c r="BO510" s="15" t="n">
        <f aca="false">INDEX(Ipotesi!$C$74:$G$74,1,F510)/12*Ipotesi!K126</f>
        <v>2916.66666666667</v>
      </c>
      <c r="BP510" s="15" t="n">
        <f aca="false">INDEX(Ipotesi!$C$76:$G$76,1,F510)/12</f>
        <v>1083.33333333333</v>
      </c>
      <c r="BQ510" s="15" t="n">
        <f aca="false">INDEX(Ipotesi!$C$77:$G$77,1,F510)/12*Ipotesi!K126</f>
        <v>2083.33333333333</v>
      </c>
      <c r="BR510" s="15" t="n">
        <f aca="false">INDEX(Ipotesi!$C$78:$G$78,1,F510)/12</f>
        <v>1666.66666666667</v>
      </c>
      <c r="BS510" s="15" t="n">
        <f aca="false">SUM(M510:R510)*(Ipotesi!$C$85+Ipotesi!$C$86)/12</f>
        <v>4812.5</v>
      </c>
      <c r="BT510" s="15" t="n">
        <f aca="false">BI510*Ipotesi!$C$87</f>
        <v>1909.9556108368</v>
      </c>
      <c r="BU510" s="15" t="n">
        <f aca="false">INDEX(Ipotesi!$C$55:$G$55,1,F510)*K510/12</f>
        <v>1500</v>
      </c>
      <c r="BV510" s="15" t="n">
        <f aca="false">INDEX(Ipotesi!$C$80:$G$80,1,F510)/12*Ipotesi!K126</f>
        <v>1250</v>
      </c>
      <c r="BW510" s="15" t="n">
        <f aca="false">INDEX(Ipotesi!$C$82:$G$82,1,F510)/12</f>
        <v>1000</v>
      </c>
      <c r="BX510" s="15" t="n">
        <f aca="false">INDEX(Ipotesi!$C$83:$G$83,1,F510)/12</f>
        <v>666.666666666667</v>
      </c>
      <c r="BY510" s="15" t="n">
        <f aca="false">SUM(S510:U510)*(Ipotesi!$C$85+Ipotesi!$C$86)/12</f>
        <v>1895.83333333333</v>
      </c>
      <c r="BZ510" s="15" t="n">
        <f aca="false">AM510*Ipotesi!$C$87</f>
        <v>1815</v>
      </c>
      <c r="CA510" s="15" t="n">
        <f aca="false">AB510+BJ510+BL510+BN510+BO510+AR510+BP510+BQ510+BR510+BS510+BT510</f>
        <v>115400.459517238</v>
      </c>
      <c r="CB510" s="15" t="n">
        <f aca="false">AC510+BK510+BM510+BH510+BU510+BV510+AS510+BW510+BX510+BY510+BZ510</f>
        <v>46259.8958333333</v>
      </c>
      <c r="CC510" s="15" t="n">
        <f aca="false">BI510-CA510</f>
        <v>-51735.272489345</v>
      </c>
      <c r="CD510" s="15" t="n">
        <f aca="false">AM510-CB510</f>
        <v>14240.1041666667</v>
      </c>
      <c r="CE510" s="15" t="n">
        <f aca="false">INDEX(Ipotesi!$C$79:$G$79,1,F510)/12</f>
        <v>2500</v>
      </c>
      <c r="CF510" s="15" t="n">
        <f aca="false">INDEX(Ipotesi!$C$84:$G$84,1,F510)/12</f>
        <v>416.666666666667</v>
      </c>
      <c r="CG510" s="15" t="n">
        <f aca="false">Y510*MAX(0,Parametri_v3!$C$12-IF(P510=0,0,MIN(1,BE510/(P510*Parametri_v3!$C$22))))+W510*Parametri_v3!$C$13+X510*Parametri_v3!$C$14</f>
        <v>27636.5877044341</v>
      </c>
      <c r="CH510" s="15" t="n">
        <f aca="false">AB510*Parametri_v3!$C$32</f>
        <v>3713.68333333333</v>
      </c>
      <c r="CI510" s="15" t="n">
        <f aca="false">AC510*Parametri_v3!$C$32</f>
        <v>1270.86979166667</v>
      </c>
      <c r="CJ510" s="15" t="n">
        <f aca="false">CA510-AB510</f>
        <v>41126.7928505717</v>
      </c>
      <c r="CK510" s="15" t="n">
        <f aca="false">CB510-AC510-BH510</f>
        <v>14792.5</v>
      </c>
      <c r="CL510" s="15" t="n">
        <f aca="false">BF510*Ipotesi!$C$73+INDEX(Ipotesi!$C$72:$G$72,1,F510)/12*Ipotesi!K126*Parametri_v3!$C$58+Z510*(1-Parametri_v3!$C$16)</f>
        <v>7299.93162889814</v>
      </c>
      <c r="CM510" s="16" t="n">
        <f aca="false">IF(BF510=0,0,1-CL510/BF510)</f>
        <v>0.542281574493558</v>
      </c>
    </row>
    <row r="511" customFormat="false" ht="18" hidden="false" customHeight="true" outlineLevel="0" collapsed="false">
      <c r="A511" s="68" t="n">
        <f aca="false">9</f>
        <v>9</v>
      </c>
      <c r="B511" s="68" t="n">
        <f aca="false">27</f>
        <v>27</v>
      </c>
      <c r="C511" s="18" t="n">
        <f aca="false">EDATE(Parametri_v3!$C$5,27-1)</f>
        <v>47178</v>
      </c>
      <c r="D511" s="68" t="n">
        <f aca="false">YEAR(C511)</f>
        <v>2029</v>
      </c>
      <c r="E511" s="68" t="n">
        <f aca="false">MONTH(C511)</f>
        <v>3</v>
      </c>
      <c r="F511" s="68" t="n">
        <f aca="false">INT((27-1)/12)+1</f>
        <v>3</v>
      </c>
      <c r="G511" s="15" t="n">
        <f aca="false">Ipotesi!K7</f>
        <v>1</v>
      </c>
      <c r="H511" s="15" t="n">
        <f aca="false">Ipotesi!K9</f>
        <v>1</v>
      </c>
      <c r="I511" s="15" t="n">
        <f aca="false">Ipotesi!K10</f>
        <v>1</v>
      </c>
      <c r="J511" s="15" t="n">
        <f aca="false">Ipotesi!K11</f>
        <v>1</v>
      </c>
      <c r="K511" s="15" t="n">
        <f aca="false">Ipotesi!K12</f>
        <v>1</v>
      </c>
      <c r="L511" s="15" t="n">
        <f aca="false">Ipotesi!K13</f>
        <v>90</v>
      </c>
      <c r="M511" s="17" t="n">
        <f aca="false">INDEX(Ipotesi!$C$40:$G$40,1,F511)</f>
        <v>1</v>
      </c>
      <c r="N511" s="17" t="n">
        <f aca="false">INDEX(Ipotesi!$C$41:$G$41,1,F511)</f>
        <v>1</v>
      </c>
      <c r="O511" s="17" t="n">
        <f aca="false">INDEX(Ipotesi!$C$42:$G$42,1,F511)*Ipotesi!K125</f>
        <v>4.5</v>
      </c>
      <c r="P511" s="17" t="n">
        <f aca="false">INDEX(Ipotesi!$C$43:$G$43,1,F511)*I511</f>
        <v>5</v>
      </c>
      <c r="Q511" s="17" t="n">
        <f aca="false">INDEX(Ipotesi!$C$44:$G$44,1,F511)*I511</f>
        <v>4</v>
      </c>
      <c r="R511" s="17" t="n">
        <f aca="false">INDEX(Ipotesi!$C$45:$G$45,1,F511)*I511</f>
        <v>1</v>
      </c>
      <c r="S511" s="17" t="n">
        <f aca="false">INDEX(Ipotesi!$C$52:$G$52,1,F511)*Ipotesi!K125</f>
        <v>5</v>
      </c>
      <c r="T511" s="17" t="n">
        <f aca="false">INDEX(Ipotesi!$C$53:$G$53,1,F511)*I511</f>
        <v>1</v>
      </c>
      <c r="U511" s="17" t="n">
        <f aca="false">INDEX(Ipotesi!$C$54:$G$54,1,F511)*I511</f>
        <v>0.5</v>
      </c>
      <c r="V511" s="15" t="n">
        <f aca="false">M511*INDEX(Ipotesi!$C$58:$G$58,1,F511)*K511/12</f>
        <v>7083.33333333333</v>
      </c>
      <c r="W511" s="15" t="n">
        <f aca="false">N511*Ipotesi!$C$59*(1+Ipotesi!$C$66)^(F511-1)/12</f>
        <v>6188.58333333333</v>
      </c>
      <c r="X511" s="15" t="n">
        <f aca="false">O511*Ipotesi!$C$60*(1+Ipotesi!$C$66)^(F511-1)/12</f>
        <v>19891.875</v>
      </c>
      <c r="Y511" s="15" t="n">
        <f aca="false">P511*Ipotesi!$C$61*(1+Ipotesi!$C$66)^(F511-1)/12</f>
        <v>22102.0833333333</v>
      </c>
      <c r="Z511" s="15" t="n">
        <f aca="false">Q511*Ipotesi!$C$62*(1+Ipotesi!$C$66)^(F511-1)/12</f>
        <v>15913.5</v>
      </c>
      <c r="AA511" s="15" t="n">
        <f aca="false">R511*Ipotesi!$C$63*(1+Ipotesi!$C$66)^(F511-1)/12</f>
        <v>3094.29166666667</v>
      </c>
      <c r="AB511" s="15" t="n">
        <f aca="false">SUM(V511:AA511)</f>
        <v>74273.6666666667</v>
      </c>
      <c r="AC511" s="15" t="n">
        <f aca="false">(S511*Ipotesi!$C$64+T511*Ipotesi!$C$65+U511*Ipotesi!$C$63)*(1+Ipotesi!$C$66)^(F511-1)/12</f>
        <v>25417.3958333333</v>
      </c>
      <c r="AD511" s="15" t="n">
        <f aca="false">INDEX(Ipotesi!$C$48:$G$48,1,F511)*G511/12</f>
        <v>60</v>
      </c>
      <c r="AE511" s="15" t="n">
        <f aca="false">INDEX(Ipotesi!$C$50:$G$50,1,F511)*G511/12</f>
        <v>6.66666666666667</v>
      </c>
      <c r="AF511" s="15" t="n">
        <f aca="false">(S511*Parametri_v3!$C$7*Parametri_v3!$C$8+Parametri_v3!$C$10)/12</f>
        <v>64.1666666666667</v>
      </c>
      <c r="AG511" s="15" t="n">
        <f aca="false">AD511+AE511*(1+Parametri_v3!$C$9)</f>
        <v>70</v>
      </c>
      <c r="AH511" s="16" t="n">
        <f aca="false">IF(AG511=0,1,MIN(1,AF511/AG511))</f>
        <v>0.916666666666667</v>
      </c>
      <c r="AI511" s="15" t="n">
        <f aca="false">AD511*AH511</f>
        <v>55</v>
      </c>
      <c r="AJ511" s="15" t="n">
        <f aca="false">AE511*AH511</f>
        <v>6.11111111111111</v>
      </c>
      <c r="AK511" s="15" t="n">
        <f aca="false">AI511*INDEX(Ipotesi!$C$49:$G$49,1,F511)*H511</f>
        <v>46750</v>
      </c>
      <c r="AL511" s="15" t="n">
        <f aca="false">AJ511*INDEX(Ipotesi!$C$51:$G$51,1,F511)*H511</f>
        <v>13750</v>
      </c>
      <c r="AM511" s="15" t="n">
        <f aca="false">AK511+AL511</f>
        <v>60500</v>
      </c>
      <c r="AN511" s="15" t="n">
        <f aca="false">INDEX(Ipotesi!$C$30:$G$30,1,F511)*G511/12</f>
        <v>41.6666666666667</v>
      </c>
      <c r="AO511" s="15" t="n">
        <f aca="false">O511*Parametri_v3!$C$7*Parametri_v3!$C$11*(1-Parametri_v3!$C$14)/12</f>
        <v>46.2</v>
      </c>
      <c r="AP511" s="15" t="n">
        <f aca="false">MIN(AN511,AO511)</f>
        <v>41.6666666666667</v>
      </c>
      <c r="AQ511" s="15" t="n">
        <f aca="false">AP511*INDEX(Ipotesi!$C$31:$G$31,1,F511)*H511</f>
        <v>41666.6666666667</v>
      </c>
      <c r="AR511" s="15" t="n">
        <f aca="false">INDEX(Ipotesi!$C$75:$G$75,1,F511)*J511/12</f>
        <v>20000</v>
      </c>
      <c r="AS511" s="15" t="n">
        <f aca="false">INDEX(Ipotesi!$C$81:$G$81,1,F511)*J511/12</f>
        <v>1250</v>
      </c>
      <c r="AT511" s="15" t="n">
        <f aca="false">AR511*Parametri_v3!$C$15+Z511*Parametri_v3!$C$16</f>
        <v>31139.45</v>
      </c>
      <c r="AU511" s="15" t="n">
        <f aca="false">Q511*Parametri_v3!$C$16*Parametri_v3!$C$17</f>
        <v>280</v>
      </c>
      <c r="AV511" s="17" t="n">
        <f aca="false">BD510</f>
        <v>35.5117024334047</v>
      </c>
      <c r="AW511" s="17" t="n">
        <f aca="false">AV511*(1-(1-INDEX(Ipotesi!$C$34:$G$34,1,F511))^(1/12))</f>
        <v>0.310429487011781</v>
      </c>
      <c r="AX511" s="15" t="n">
        <f aca="false">ROUND(INDEX(Ipotesi!$C$32:$G$32,1,F511)*Ipotesi!K8,0)</f>
        <v>130</v>
      </c>
      <c r="AY511" s="15" t="n">
        <f aca="false">MAX(0,(AX511-(AV511-AW511))/(13-E511))</f>
        <v>9.47987270536071</v>
      </c>
      <c r="AZ511" s="15" t="n">
        <f aca="false">MIN(P511*Parametri_v3!$C$22,Q511*(1-Parametri_v3!$C$16)*Parametri_v3!$C$23)</f>
        <v>180</v>
      </c>
      <c r="BA511" s="15" t="n">
        <f aca="false">IF(OR(INDEX(Ipotesi!$C$35:$G$35,1,F511)&lt;=0,27-Parametri_v3!$C$21&lt;1),0,INDEX($AT$485:$AT$544,MAX(1,27-Parametri_v3!$C$21))/(INDEX(Ipotesi!$C$35:$G$35,1,F511)*Ipotesi!K27))</f>
        <v>1.72779166666667</v>
      </c>
      <c r="BB511" s="15" t="n">
        <f aca="false">IF(27-Parametri_v3!$C$21&lt;1,0,INDEX($AU$485:$AU$544,MAX(1,27-Parametri_v3!$C$21)))*Parametri_v3!$C$18*Parametri_v3!$C$19*Parametri_v3!$C$20</f>
        <v>3.9375</v>
      </c>
      <c r="BC511" s="17" t="n">
        <f aca="false">MAX(0,MIN(AY511,BA511,BB511,MAX(0,AZ511-(AV511-AW511))))</f>
        <v>1.72779166666667</v>
      </c>
      <c r="BD511" s="17" t="n">
        <f aca="false">AV511-AW511+BC511</f>
        <v>36.9290646130596</v>
      </c>
      <c r="BE511" s="17" t="n">
        <f aca="false">(AV511+BD511)/2</f>
        <v>36.2203835232322</v>
      </c>
      <c r="BF511" s="15" t="n">
        <f aca="false">BE511*INDEX(Ipotesi!$C$33:$G$33,1,F511)*H511/12</f>
        <v>16601.0091148147</v>
      </c>
      <c r="BG511" s="15" t="n">
        <f aca="false">BD511*INDEX(Ipotesi!$C$33:$G$33,1,F511)*H511</f>
        <v>203109.855371828</v>
      </c>
      <c r="BH511" s="15" t="n">
        <f aca="false">AM511*INDEX(Ipotesi!$C$37:$G$37,1,F511)</f>
        <v>6050</v>
      </c>
      <c r="BI511" s="15" t="n">
        <f aca="false">AQ511+BF511+BH511</f>
        <v>64317.6757814814</v>
      </c>
      <c r="BJ511" s="15" t="n">
        <f aca="false">INDEX(Ipotesi!$C$68:$G$68,1,F511)*Ipotesi!$C$69/12</f>
        <v>2400</v>
      </c>
      <c r="BK511" s="15" t="n">
        <f aca="false">INDEX(Ipotesi!$C$68:$G$68,1,F511)*(1-Ipotesi!$C$69)/12</f>
        <v>3600</v>
      </c>
      <c r="BL511" s="15" t="n">
        <f aca="false">(AQ511+BF511)*Ipotesi!$C$67</f>
        <v>1748.03027344444</v>
      </c>
      <c r="BM511" s="15" t="n">
        <f aca="false">AM511*Ipotesi!$C$67</f>
        <v>1815</v>
      </c>
      <c r="BN511" s="15" t="n">
        <f aca="false">INDEX(Ipotesi!$C$72:$G$72,1,F511)/12*Ipotesi!K126+BF511*Ipotesi!$C$73</f>
        <v>2578.08072918518</v>
      </c>
      <c r="BO511" s="15" t="n">
        <f aca="false">INDEX(Ipotesi!$C$74:$G$74,1,F511)/12*Ipotesi!K126</f>
        <v>2916.66666666667</v>
      </c>
      <c r="BP511" s="15" t="n">
        <f aca="false">INDEX(Ipotesi!$C$76:$G$76,1,F511)/12</f>
        <v>1083.33333333333</v>
      </c>
      <c r="BQ511" s="15" t="n">
        <f aca="false">INDEX(Ipotesi!$C$77:$G$77,1,F511)/12*Ipotesi!K126</f>
        <v>2083.33333333333</v>
      </c>
      <c r="BR511" s="15" t="n">
        <f aca="false">INDEX(Ipotesi!$C$78:$G$78,1,F511)/12</f>
        <v>1666.66666666667</v>
      </c>
      <c r="BS511" s="15" t="n">
        <f aca="false">SUM(M511:R511)*(Ipotesi!$C$85+Ipotesi!$C$86)/12</f>
        <v>4812.5</v>
      </c>
      <c r="BT511" s="15" t="n">
        <f aca="false">BI511*Ipotesi!$C$87</f>
        <v>1929.53027344444</v>
      </c>
      <c r="BU511" s="15" t="n">
        <f aca="false">INDEX(Ipotesi!$C$55:$G$55,1,F511)*K511/12</f>
        <v>1500</v>
      </c>
      <c r="BV511" s="15" t="n">
        <f aca="false">INDEX(Ipotesi!$C$80:$G$80,1,F511)/12*Ipotesi!K126</f>
        <v>1250</v>
      </c>
      <c r="BW511" s="15" t="n">
        <f aca="false">INDEX(Ipotesi!$C$82:$G$82,1,F511)/12</f>
        <v>1000</v>
      </c>
      <c r="BX511" s="15" t="n">
        <f aca="false">INDEX(Ipotesi!$C$83:$G$83,1,F511)/12</f>
        <v>666.666666666667</v>
      </c>
      <c r="BY511" s="15" t="n">
        <f aca="false">SUM(S511:U511)*(Ipotesi!$C$85+Ipotesi!$C$86)/12</f>
        <v>1895.83333333333</v>
      </c>
      <c r="BZ511" s="15" t="n">
        <f aca="false">AM511*Ipotesi!$C$87</f>
        <v>1815</v>
      </c>
      <c r="CA511" s="15" t="n">
        <f aca="false">AB511+BJ511+BL511+BN511+BO511+AR511+BP511+BQ511+BR511+BS511+BT511</f>
        <v>115491.807942741</v>
      </c>
      <c r="CB511" s="15" t="n">
        <f aca="false">AC511+BK511+BM511+BH511+BU511+BV511+AS511+BW511+BX511+BY511+BZ511</f>
        <v>46259.8958333333</v>
      </c>
      <c r="CC511" s="15" t="n">
        <f aca="false">BI511-CA511</f>
        <v>-51174.1321612593</v>
      </c>
      <c r="CD511" s="15" t="n">
        <f aca="false">AM511-CB511</f>
        <v>14240.1041666667</v>
      </c>
      <c r="CE511" s="15" t="n">
        <f aca="false">INDEX(Ipotesi!$C$79:$G$79,1,F511)/12</f>
        <v>2500</v>
      </c>
      <c r="CF511" s="15" t="n">
        <f aca="false">INDEX(Ipotesi!$C$84:$G$84,1,F511)/12</f>
        <v>416.666666666667</v>
      </c>
      <c r="CG511" s="15" t="n">
        <f aca="false">Y511*MAX(0,Parametri_v3!$C$12-IF(P511=0,0,MIN(1,BE511/(P511*Parametri_v3!$C$22))))+W511*Parametri_v3!$C$13+X511*Parametri_v3!$C$14</f>
        <v>27573.6581300085</v>
      </c>
      <c r="CH511" s="15" t="n">
        <f aca="false">AB511*Parametri_v3!$C$32</f>
        <v>3713.68333333333</v>
      </c>
      <c r="CI511" s="15" t="n">
        <f aca="false">AC511*Parametri_v3!$C$32</f>
        <v>1270.86979166667</v>
      </c>
      <c r="CJ511" s="15" t="n">
        <f aca="false">CA511-AB511</f>
        <v>41218.1412760741</v>
      </c>
      <c r="CK511" s="15" t="n">
        <f aca="false">CB511-AC511-BH511</f>
        <v>14792.5</v>
      </c>
      <c r="CL511" s="15" t="n">
        <f aca="false">BF511*Ipotesi!$C$73+INDEX(Ipotesi!$C$72:$G$72,1,F511)/12*Ipotesi!K126*Parametri_v3!$C$58+Z511*(1-Parametri_v3!$C$16)</f>
        <v>7352.13072918518</v>
      </c>
      <c r="CM511" s="16" t="n">
        <f aca="false">IF(BF511=0,0,1-CL511/BF511)</f>
        <v>0.557127480725004</v>
      </c>
    </row>
    <row r="512" customFormat="false" ht="18" hidden="false" customHeight="true" outlineLevel="0" collapsed="false">
      <c r="A512" s="68" t="n">
        <f aca="false">9</f>
        <v>9</v>
      </c>
      <c r="B512" s="68" t="n">
        <f aca="false">28</f>
        <v>28</v>
      </c>
      <c r="C512" s="18" t="n">
        <f aca="false">EDATE(Parametri_v3!$C$5,28-1)</f>
        <v>47209</v>
      </c>
      <c r="D512" s="68" t="n">
        <f aca="false">YEAR(C512)</f>
        <v>2029</v>
      </c>
      <c r="E512" s="68" t="n">
        <f aca="false">MONTH(C512)</f>
        <v>4</v>
      </c>
      <c r="F512" s="68" t="n">
        <f aca="false">INT((28-1)/12)+1</f>
        <v>3</v>
      </c>
      <c r="G512" s="15" t="n">
        <f aca="false">Ipotesi!K7</f>
        <v>1</v>
      </c>
      <c r="H512" s="15" t="n">
        <f aca="false">Ipotesi!K9</f>
        <v>1</v>
      </c>
      <c r="I512" s="15" t="n">
        <f aca="false">Ipotesi!K10</f>
        <v>1</v>
      </c>
      <c r="J512" s="15" t="n">
        <f aca="false">Ipotesi!K11</f>
        <v>1</v>
      </c>
      <c r="K512" s="15" t="n">
        <f aca="false">Ipotesi!K12</f>
        <v>1</v>
      </c>
      <c r="L512" s="15" t="n">
        <f aca="false">Ipotesi!K13</f>
        <v>90</v>
      </c>
      <c r="M512" s="17" t="n">
        <f aca="false">INDEX(Ipotesi!$C$40:$G$40,1,F512)</f>
        <v>1</v>
      </c>
      <c r="N512" s="17" t="n">
        <f aca="false">INDEX(Ipotesi!$C$41:$G$41,1,F512)</f>
        <v>1</v>
      </c>
      <c r="O512" s="17" t="n">
        <f aca="false">INDEX(Ipotesi!$C$42:$G$42,1,F512)*Ipotesi!K125</f>
        <v>4.5</v>
      </c>
      <c r="P512" s="17" t="n">
        <f aca="false">INDEX(Ipotesi!$C$43:$G$43,1,F512)*I512</f>
        <v>5</v>
      </c>
      <c r="Q512" s="17" t="n">
        <f aca="false">INDEX(Ipotesi!$C$44:$G$44,1,F512)*I512</f>
        <v>4</v>
      </c>
      <c r="R512" s="17" t="n">
        <f aca="false">INDEX(Ipotesi!$C$45:$G$45,1,F512)*I512</f>
        <v>1</v>
      </c>
      <c r="S512" s="17" t="n">
        <f aca="false">INDEX(Ipotesi!$C$52:$G$52,1,F512)*Ipotesi!K125</f>
        <v>5</v>
      </c>
      <c r="T512" s="17" t="n">
        <f aca="false">INDEX(Ipotesi!$C$53:$G$53,1,F512)*I512</f>
        <v>1</v>
      </c>
      <c r="U512" s="17" t="n">
        <f aca="false">INDEX(Ipotesi!$C$54:$G$54,1,F512)*I512</f>
        <v>0.5</v>
      </c>
      <c r="V512" s="15" t="n">
        <f aca="false">M512*INDEX(Ipotesi!$C$58:$G$58,1,F512)*K512/12</f>
        <v>7083.33333333333</v>
      </c>
      <c r="W512" s="15" t="n">
        <f aca="false">N512*Ipotesi!$C$59*(1+Ipotesi!$C$66)^(F512-1)/12</f>
        <v>6188.58333333333</v>
      </c>
      <c r="X512" s="15" t="n">
        <f aca="false">O512*Ipotesi!$C$60*(1+Ipotesi!$C$66)^(F512-1)/12</f>
        <v>19891.875</v>
      </c>
      <c r="Y512" s="15" t="n">
        <f aca="false">P512*Ipotesi!$C$61*(1+Ipotesi!$C$66)^(F512-1)/12</f>
        <v>22102.0833333333</v>
      </c>
      <c r="Z512" s="15" t="n">
        <f aca="false">Q512*Ipotesi!$C$62*(1+Ipotesi!$C$66)^(F512-1)/12</f>
        <v>15913.5</v>
      </c>
      <c r="AA512" s="15" t="n">
        <f aca="false">R512*Ipotesi!$C$63*(1+Ipotesi!$C$66)^(F512-1)/12</f>
        <v>3094.29166666667</v>
      </c>
      <c r="AB512" s="15" t="n">
        <f aca="false">SUM(V512:AA512)</f>
        <v>74273.6666666667</v>
      </c>
      <c r="AC512" s="15" t="n">
        <f aca="false">(S512*Ipotesi!$C$64+T512*Ipotesi!$C$65+U512*Ipotesi!$C$63)*(1+Ipotesi!$C$66)^(F512-1)/12</f>
        <v>25417.3958333333</v>
      </c>
      <c r="AD512" s="15" t="n">
        <f aca="false">INDEX(Ipotesi!$C$48:$G$48,1,F512)*G512/12</f>
        <v>60</v>
      </c>
      <c r="AE512" s="15" t="n">
        <f aca="false">INDEX(Ipotesi!$C$50:$G$50,1,F512)*G512/12</f>
        <v>6.66666666666667</v>
      </c>
      <c r="AF512" s="15" t="n">
        <f aca="false">(S512*Parametri_v3!$C$7*Parametri_v3!$C$8+Parametri_v3!$C$10)/12</f>
        <v>64.1666666666667</v>
      </c>
      <c r="AG512" s="15" t="n">
        <f aca="false">AD512+AE512*(1+Parametri_v3!$C$9)</f>
        <v>70</v>
      </c>
      <c r="AH512" s="16" t="n">
        <f aca="false">IF(AG512=0,1,MIN(1,AF512/AG512))</f>
        <v>0.916666666666667</v>
      </c>
      <c r="AI512" s="15" t="n">
        <f aca="false">AD512*AH512</f>
        <v>55</v>
      </c>
      <c r="AJ512" s="15" t="n">
        <f aca="false">AE512*AH512</f>
        <v>6.11111111111111</v>
      </c>
      <c r="AK512" s="15" t="n">
        <f aca="false">AI512*INDEX(Ipotesi!$C$49:$G$49,1,F512)*H512</f>
        <v>46750</v>
      </c>
      <c r="AL512" s="15" t="n">
        <f aca="false">AJ512*INDEX(Ipotesi!$C$51:$G$51,1,F512)*H512</f>
        <v>13750</v>
      </c>
      <c r="AM512" s="15" t="n">
        <f aca="false">AK512+AL512</f>
        <v>60500</v>
      </c>
      <c r="AN512" s="15" t="n">
        <f aca="false">INDEX(Ipotesi!$C$30:$G$30,1,F512)*G512/12</f>
        <v>41.6666666666667</v>
      </c>
      <c r="AO512" s="15" t="n">
        <f aca="false">O512*Parametri_v3!$C$7*Parametri_v3!$C$11*(1-Parametri_v3!$C$14)/12</f>
        <v>46.2</v>
      </c>
      <c r="AP512" s="15" t="n">
        <f aca="false">MIN(AN512,AO512)</f>
        <v>41.6666666666667</v>
      </c>
      <c r="AQ512" s="15" t="n">
        <f aca="false">AP512*INDEX(Ipotesi!$C$31:$G$31,1,F512)*H512</f>
        <v>41666.6666666667</v>
      </c>
      <c r="AR512" s="15" t="n">
        <f aca="false">INDEX(Ipotesi!$C$75:$G$75,1,F512)*J512/12</f>
        <v>20000</v>
      </c>
      <c r="AS512" s="15" t="n">
        <f aca="false">INDEX(Ipotesi!$C$81:$G$81,1,F512)*J512/12</f>
        <v>1250</v>
      </c>
      <c r="AT512" s="15" t="n">
        <f aca="false">AR512*Parametri_v3!$C$15+Z512*Parametri_v3!$C$16</f>
        <v>31139.45</v>
      </c>
      <c r="AU512" s="15" t="n">
        <f aca="false">Q512*Parametri_v3!$C$16*Parametri_v3!$C$17</f>
        <v>280</v>
      </c>
      <c r="AV512" s="17" t="n">
        <f aca="false">BD511</f>
        <v>36.9290646130596</v>
      </c>
      <c r="AW512" s="17" t="n">
        <f aca="false">AV512*(1-(1-INDEX(Ipotesi!$C$34:$G$34,1,F512))^(1/12))</f>
        <v>0.322819515768225</v>
      </c>
      <c r="AX512" s="15" t="n">
        <f aca="false">ROUND(INDEX(Ipotesi!$C$32:$G$32,1,F512)*Ipotesi!K8,0)</f>
        <v>130</v>
      </c>
      <c r="AY512" s="15" t="n">
        <f aca="false">MAX(0,(AX512-(AV512-AW512))/(13-E512))</f>
        <v>10.3770838780787</v>
      </c>
      <c r="AZ512" s="15" t="n">
        <f aca="false">MIN(P512*Parametri_v3!$C$22,Q512*(1-Parametri_v3!$C$16)*Parametri_v3!$C$23)</f>
        <v>180</v>
      </c>
      <c r="BA512" s="15" t="n">
        <f aca="false">IF(OR(INDEX(Ipotesi!$C$35:$G$35,1,F512)&lt;=0,28-Parametri_v3!$C$21&lt;1),0,INDEX($AT$485:$AT$544,MAX(1,28-Parametri_v3!$C$21))/(INDEX(Ipotesi!$C$35:$G$35,1,F512)*Ipotesi!K27))</f>
        <v>6.22789</v>
      </c>
      <c r="BB512" s="15" t="n">
        <f aca="false">IF(28-Parametri_v3!$C$21&lt;1,0,INDEX($AU$485:$AU$544,MAX(1,28-Parametri_v3!$C$21)))*Parametri_v3!$C$18*Parametri_v3!$C$19*Parametri_v3!$C$20</f>
        <v>10.5</v>
      </c>
      <c r="BC512" s="17" t="n">
        <f aca="false">MAX(0,MIN(AY512,BA512,BB512,MAX(0,AZ512-(AV512-AW512))))</f>
        <v>6.22789</v>
      </c>
      <c r="BD512" s="17" t="n">
        <f aca="false">AV512-AW512+BC512</f>
        <v>42.8341350972914</v>
      </c>
      <c r="BE512" s="17" t="n">
        <f aca="false">(AV512+BD512)/2</f>
        <v>39.8815998551755</v>
      </c>
      <c r="BF512" s="15" t="n">
        <f aca="false">BE512*INDEX(Ipotesi!$C$33:$G$33,1,F512)*H512/12</f>
        <v>18279.0666002888</v>
      </c>
      <c r="BG512" s="15" t="n">
        <f aca="false">BD512*INDEX(Ipotesi!$C$33:$G$33,1,F512)*H512</f>
        <v>235587.743035103</v>
      </c>
      <c r="BH512" s="15" t="n">
        <f aca="false">AM512*INDEX(Ipotesi!$C$37:$G$37,1,F512)</f>
        <v>6050</v>
      </c>
      <c r="BI512" s="15" t="n">
        <f aca="false">AQ512+BF512+BH512</f>
        <v>65995.7332669555</v>
      </c>
      <c r="BJ512" s="15" t="n">
        <f aca="false">INDEX(Ipotesi!$C$68:$G$68,1,F512)*Ipotesi!$C$69/12</f>
        <v>2400</v>
      </c>
      <c r="BK512" s="15" t="n">
        <f aca="false">INDEX(Ipotesi!$C$68:$G$68,1,F512)*(1-Ipotesi!$C$69)/12</f>
        <v>3600</v>
      </c>
      <c r="BL512" s="15" t="n">
        <f aca="false">(AQ512+BF512)*Ipotesi!$C$67</f>
        <v>1798.37199800866</v>
      </c>
      <c r="BM512" s="15" t="n">
        <f aca="false">AM512*Ipotesi!$C$67</f>
        <v>1815</v>
      </c>
      <c r="BN512" s="15" t="n">
        <f aca="false">INDEX(Ipotesi!$C$72:$G$72,1,F512)/12*Ipotesi!K126+BF512*Ipotesi!$C$73</f>
        <v>2712.3253280231</v>
      </c>
      <c r="BO512" s="15" t="n">
        <f aca="false">INDEX(Ipotesi!$C$74:$G$74,1,F512)/12*Ipotesi!K126</f>
        <v>2916.66666666667</v>
      </c>
      <c r="BP512" s="15" t="n">
        <f aca="false">INDEX(Ipotesi!$C$76:$G$76,1,F512)/12</f>
        <v>1083.33333333333</v>
      </c>
      <c r="BQ512" s="15" t="n">
        <f aca="false">INDEX(Ipotesi!$C$77:$G$77,1,F512)/12*Ipotesi!K126</f>
        <v>2083.33333333333</v>
      </c>
      <c r="BR512" s="15" t="n">
        <f aca="false">INDEX(Ipotesi!$C$78:$G$78,1,F512)/12</f>
        <v>1666.66666666667</v>
      </c>
      <c r="BS512" s="15" t="n">
        <f aca="false">SUM(M512:R512)*(Ipotesi!$C$85+Ipotesi!$C$86)/12</f>
        <v>4812.5</v>
      </c>
      <c r="BT512" s="15" t="n">
        <f aca="false">BI512*Ipotesi!$C$87</f>
        <v>1979.87199800866</v>
      </c>
      <c r="BU512" s="15" t="n">
        <f aca="false">INDEX(Ipotesi!$C$55:$G$55,1,F512)*K512/12</f>
        <v>1500</v>
      </c>
      <c r="BV512" s="15" t="n">
        <f aca="false">INDEX(Ipotesi!$C$80:$G$80,1,F512)/12*Ipotesi!K126</f>
        <v>1250</v>
      </c>
      <c r="BW512" s="15" t="n">
        <f aca="false">INDEX(Ipotesi!$C$82:$G$82,1,F512)/12</f>
        <v>1000</v>
      </c>
      <c r="BX512" s="15" t="n">
        <f aca="false">INDEX(Ipotesi!$C$83:$G$83,1,F512)/12</f>
        <v>666.666666666667</v>
      </c>
      <c r="BY512" s="15" t="n">
        <f aca="false">SUM(S512:U512)*(Ipotesi!$C$85+Ipotesi!$C$86)/12</f>
        <v>1895.83333333333</v>
      </c>
      <c r="BZ512" s="15" t="n">
        <f aca="false">AM512*Ipotesi!$C$87</f>
        <v>1815</v>
      </c>
      <c r="CA512" s="15" t="n">
        <f aca="false">AB512+BJ512+BL512+BN512+BO512+AR512+BP512+BQ512+BR512+BS512+BT512</f>
        <v>115726.735990707</v>
      </c>
      <c r="CB512" s="15" t="n">
        <f aca="false">AC512+BK512+BM512+BH512+BU512+BV512+AS512+BW512+BX512+BY512+BZ512</f>
        <v>46259.8958333333</v>
      </c>
      <c r="CC512" s="15" t="n">
        <f aca="false">BI512-CA512</f>
        <v>-49731.0027237517</v>
      </c>
      <c r="CD512" s="15" t="n">
        <f aca="false">AM512-CB512</f>
        <v>14240.1041666667</v>
      </c>
      <c r="CE512" s="15" t="n">
        <f aca="false">INDEX(Ipotesi!$C$79:$G$79,1,F512)/12</f>
        <v>2500</v>
      </c>
      <c r="CF512" s="15" t="n">
        <f aca="false">INDEX(Ipotesi!$C$84:$G$84,1,F512)/12</f>
        <v>416.666666666667</v>
      </c>
      <c r="CG512" s="15" t="n">
        <f aca="false">Y512*MAX(0,Parametri_v3!$C$12-IF(P512=0,0,MIN(1,BE512/(P512*Parametri_v3!$C$22))))+W512*Parametri_v3!$C$13+X512*Parametri_v3!$C$14</f>
        <v>27411.8171130685</v>
      </c>
      <c r="CH512" s="15" t="n">
        <f aca="false">AB512*Parametri_v3!$C$32</f>
        <v>3713.68333333333</v>
      </c>
      <c r="CI512" s="15" t="n">
        <f aca="false">AC512*Parametri_v3!$C$32</f>
        <v>1270.86979166667</v>
      </c>
      <c r="CJ512" s="15" t="n">
        <f aca="false">CA512-AB512</f>
        <v>41453.0693240404</v>
      </c>
      <c r="CK512" s="15" t="n">
        <f aca="false">CB512-AC512-BH512</f>
        <v>14792.5</v>
      </c>
      <c r="CL512" s="15" t="n">
        <f aca="false">BF512*Ipotesi!$C$73+INDEX(Ipotesi!$C$72:$G$72,1,F512)/12*Ipotesi!K126*Parametri_v3!$C$58+Z512*(1-Parametri_v3!$C$16)</f>
        <v>7486.3753280231</v>
      </c>
      <c r="CM512" s="16" t="n">
        <f aca="false">IF(BF512=0,0,1-CL512/BF512)</f>
        <v>0.590439955620883</v>
      </c>
    </row>
    <row r="513" customFormat="false" ht="18" hidden="false" customHeight="true" outlineLevel="0" collapsed="false">
      <c r="A513" s="68" t="n">
        <f aca="false">9</f>
        <v>9</v>
      </c>
      <c r="B513" s="68" t="n">
        <f aca="false">29</f>
        <v>29</v>
      </c>
      <c r="C513" s="18" t="n">
        <f aca="false">EDATE(Parametri_v3!$C$5,29-1)</f>
        <v>47239</v>
      </c>
      <c r="D513" s="68" t="n">
        <f aca="false">YEAR(C513)</f>
        <v>2029</v>
      </c>
      <c r="E513" s="68" t="n">
        <f aca="false">MONTH(C513)</f>
        <v>5</v>
      </c>
      <c r="F513" s="68" t="n">
        <f aca="false">INT((29-1)/12)+1</f>
        <v>3</v>
      </c>
      <c r="G513" s="15" t="n">
        <f aca="false">Ipotesi!K7</f>
        <v>1</v>
      </c>
      <c r="H513" s="15" t="n">
        <f aca="false">Ipotesi!K9</f>
        <v>1</v>
      </c>
      <c r="I513" s="15" t="n">
        <f aca="false">Ipotesi!K10</f>
        <v>1</v>
      </c>
      <c r="J513" s="15" t="n">
        <f aca="false">Ipotesi!K11</f>
        <v>1</v>
      </c>
      <c r="K513" s="15" t="n">
        <f aca="false">Ipotesi!K12</f>
        <v>1</v>
      </c>
      <c r="L513" s="15" t="n">
        <f aca="false">Ipotesi!K13</f>
        <v>90</v>
      </c>
      <c r="M513" s="17" t="n">
        <f aca="false">INDEX(Ipotesi!$C$40:$G$40,1,F513)</f>
        <v>1</v>
      </c>
      <c r="N513" s="17" t="n">
        <f aca="false">INDEX(Ipotesi!$C$41:$G$41,1,F513)</f>
        <v>1</v>
      </c>
      <c r="O513" s="17" t="n">
        <f aca="false">INDEX(Ipotesi!$C$42:$G$42,1,F513)*Ipotesi!K125</f>
        <v>4.5</v>
      </c>
      <c r="P513" s="17" t="n">
        <f aca="false">INDEX(Ipotesi!$C$43:$G$43,1,F513)*I513</f>
        <v>5</v>
      </c>
      <c r="Q513" s="17" t="n">
        <f aca="false">INDEX(Ipotesi!$C$44:$G$44,1,F513)*I513</f>
        <v>4</v>
      </c>
      <c r="R513" s="17" t="n">
        <f aca="false">INDEX(Ipotesi!$C$45:$G$45,1,F513)*I513</f>
        <v>1</v>
      </c>
      <c r="S513" s="17" t="n">
        <f aca="false">INDEX(Ipotesi!$C$52:$G$52,1,F513)*Ipotesi!K125</f>
        <v>5</v>
      </c>
      <c r="T513" s="17" t="n">
        <f aca="false">INDEX(Ipotesi!$C$53:$G$53,1,F513)*I513</f>
        <v>1</v>
      </c>
      <c r="U513" s="17" t="n">
        <f aca="false">INDEX(Ipotesi!$C$54:$G$54,1,F513)*I513</f>
        <v>0.5</v>
      </c>
      <c r="V513" s="15" t="n">
        <f aca="false">M513*INDEX(Ipotesi!$C$58:$G$58,1,F513)*K513/12</f>
        <v>7083.33333333333</v>
      </c>
      <c r="W513" s="15" t="n">
        <f aca="false">N513*Ipotesi!$C$59*(1+Ipotesi!$C$66)^(F513-1)/12</f>
        <v>6188.58333333333</v>
      </c>
      <c r="X513" s="15" t="n">
        <f aca="false">O513*Ipotesi!$C$60*(1+Ipotesi!$C$66)^(F513-1)/12</f>
        <v>19891.875</v>
      </c>
      <c r="Y513" s="15" t="n">
        <f aca="false">P513*Ipotesi!$C$61*(1+Ipotesi!$C$66)^(F513-1)/12</f>
        <v>22102.0833333333</v>
      </c>
      <c r="Z513" s="15" t="n">
        <f aca="false">Q513*Ipotesi!$C$62*(1+Ipotesi!$C$66)^(F513-1)/12</f>
        <v>15913.5</v>
      </c>
      <c r="AA513" s="15" t="n">
        <f aca="false">R513*Ipotesi!$C$63*(1+Ipotesi!$C$66)^(F513-1)/12</f>
        <v>3094.29166666667</v>
      </c>
      <c r="AB513" s="15" t="n">
        <f aca="false">SUM(V513:AA513)</f>
        <v>74273.6666666667</v>
      </c>
      <c r="AC513" s="15" t="n">
        <f aca="false">(S513*Ipotesi!$C$64+T513*Ipotesi!$C$65+U513*Ipotesi!$C$63)*(1+Ipotesi!$C$66)^(F513-1)/12</f>
        <v>25417.3958333333</v>
      </c>
      <c r="AD513" s="15" t="n">
        <f aca="false">INDEX(Ipotesi!$C$48:$G$48,1,F513)*G513/12</f>
        <v>60</v>
      </c>
      <c r="AE513" s="15" t="n">
        <f aca="false">INDEX(Ipotesi!$C$50:$G$50,1,F513)*G513/12</f>
        <v>6.66666666666667</v>
      </c>
      <c r="AF513" s="15" t="n">
        <f aca="false">(S513*Parametri_v3!$C$7*Parametri_v3!$C$8+Parametri_v3!$C$10)/12</f>
        <v>64.1666666666667</v>
      </c>
      <c r="AG513" s="15" t="n">
        <f aca="false">AD513+AE513*(1+Parametri_v3!$C$9)</f>
        <v>70</v>
      </c>
      <c r="AH513" s="16" t="n">
        <f aca="false">IF(AG513=0,1,MIN(1,AF513/AG513))</f>
        <v>0.916666666666667</v>
      </c>
      <c r="AI513" s="15" t="n">
        <f aca="false">AD513*AH513</f>
        <v>55</v>
      </c>
      <c r="AJ513" s="15" t="n">
        <f aca="false">AE513*AH513</f>
        <v>6.11111111111111</v>
      </c>
      <c r="AK513" s="15" t="n">
        <f aca="false">AI513*INDEX(Ipotesi!$C$49:$G$49,1,F513)*H513</f>
        <v>46750</v>
      </c>
      <c r="AL513" s="15" t="n">
        <f aca="false">AJ513*INDEX(Ipotesi!$C$51:$G$51,1,F513)*H513</f>
        <v>13750</v>
      </c>
      <c r="AM513" s="15" t="n">
        <f aca="false">AK513+AL513</f>
        <v>60500</v>
      </c>
      <c r="AN513" s="15" t="n">
        <f aca="false">INDEX(Ipotesi!$C$30:$G$30,1,F513)*G513/12</f>
        <v>41.6666666666667</v>
      </c>
      <c r="AO513" s="15" t="n">
        <f aca="false">O513*Parametri_v3!$C$7*Parametri_v3!$C$11*(1-Parametri_v3!$C$14)/12</f>
        <v>46.2</v>
      </c>
      <c r="AP513" s="15" t="n">
        <f aca="false">MIN(AN513,AO513)</f>
        <v>41.6666666666667</v>
      </c>
      <c r="AQ513" s="15" t="n">
        <f aca="false">AP513*INDEX(Ipotesi!$C$31:$G$31,1,F513)*H513</f>
        <v>41666.6666666667</v>
      </c>
      <c r="AR513" s="15" t="n">
        <f aca="false">INDEX(Ipotesi!$C$75:$G$75,1,F513)*J513/12</f>
        <v>20000</v>
      </c>
      <c r="AS513" s="15" t="n">
        <f aca="false">INDEX(Ipotesi!$C$81:$G$81,1,F513)*J513/12</f>
        <v>1250</v>
      </c>
      <c r="AT513" s="15" t="n">
        <f aca="false">AR513*Parametri_v3!$C$15+Z513*Parametri_v3!$C$16</f>
        <v>31139.45</v>
      </c>
      <c r="AU513" s="15" t="n">
        <f aca="false">Q513*Parametri_v3!$C$16*Parametri_v3!$C$17</f>
        <v>280</v>
      </c>
      <c r="AV513" s="17" t="n">
        <f aca="false">BD512</f>
        <v>42.8341350972914</v>
      </c>
      <c r="AW513" s="17" t="n">
        <f aca="false">AV513*(1-(1-INDEX(Ipotesi!$C$34:$G$34,1,F513))^(1/12))</f>
        <v>0.374439344601442</v>
      </c>
      <c r="AX513" s="15" t="n">
        <f aca="false">ROUND(INDEX(Ipotesi!$C$32:$G$32,1,F513)*Ipotesi!K8,0)</f>
        <v>130</v>
      </c>
      <c r="AY513" s="15" t="n">
        <f aca="false">MAX(0,(AX513-(AV513-AW513))/(13-E513))</f>
        <v>10.9425380309138</v>
      </c>
      <c r="AZ513" s="15" t="n">
        <f aca="false">MIN(P513*Parametri_v3!$C$22,Q513*(1-Parametri_v3!$C$16)*Parametri_v3!$C$23)</f>
        <v>180</v>
      </c>
      <c r="BA513" s="15" t="n">
        <f aca="false">IF(OR(INDEX(Ipotesi!$C$35:$G$35,1,F513)&lt;=0,29-Parametri_v3!$C$21&lt;1),0,INDEX($AT$485:$AT$544,MAX(1,29-Parametri_v3!$C$21))/(INDEX(Ipotesi!$C$35:$G$35,1,F513)*Ipotesi!K27))</f>
        <v>6.22789</v>
      </c>
      <c r="BB513" s="15" t="n">
        <f aca="false">IF(29-Parametri_v3!$C$21&lt;1,0,INDEX($AU$485:$AU$544,MAX(1,29-Parametri_v3!$C$21)))*Parametri_v3!$C$18*Parametri_v3!$C$19*Parametri_v3!$C$20</f>
        <v>10.5</v>
      </c>
      <c r="BC513" s="17" t="n">
        <f aca="false">MAX(0,MIN(AY513,BA513,BB513,MAX(0,AZ513-(AV513-AW513))))</f>
        <v>6.22789</v>
      </c>
      <c r="BD513" s="17" t="n">
        <f aca="false">AV513-AW513+BC513</f>
        <v>48.68758575269</v>
      </c>
      <c r="BE513" s="17" t="n">
        <f aca="false">(AV513+BD513)/2</f>
        <v>45.7608604249907</v>
      </c>
      <c r="BF513" s="15" t="n">
        <f aca="false">BE513*INDEX(Ipotesi!$C$33:$G$33,1,F513)*H513/12</f>
        <v>20973.7276947874</v>
      </c>
      <c r="BG513" s="15" t="n">
        <f aca="false">BD513*INDEX(Ipotesi!$C$33:$G$33,1,F513)*H513</f>
        <v>267781.721639795</v>
      </c>
      <c r="BH513" s="15" t="n">
        <f aca="false">AM513*INDEX(Ipotesi!$C$37:$G$37,1,F513)</f>
        <v>6050</v>
      </c>
      <c r="BI513" s="15" t="n">
        <f aca="false">AQ513+BF513+BH513</f>
        <v>68690.3943614541</v>
      </c>
      <c r="BJ513" s="15" t="n">
        <f aca="false">INDEX(Ipotesi!$C$68:$G$68,1,F513)*Ipotesi!$C$69/12</f>
        <v>2400</v>
      </c>
      <c r="BK513" s="15" t="n">
        <f aca="false">INDEX(Ipotesi!$C$68:$G$68,1,F513)*(1-Ipotesi!$C$69)/12</f>
        <v>3600</v>
      </c>
      <c r="BL513" s="15" t="n">
        <f aca="false">(AQ513+BF513)*Ipotesi!$C$67</f>
        <v>1879.21183084362</v>
      </c>
      <c r="BM513" s="15" t="n">
        <f aca="false">AM513*Ipotesi!$C$67</f>
        <v>1815</v>
      </c>
      <c r="BN513" s="15" t="n">
        <f aca="false">INDEX(Ipotesi!$C$72:$G$72,1,F513)/12*Ipotesi!K126+BF513*Ipotesi!$C$73</f>
        <v>2927.89821558299</v>
      </c>
      <c r="BO513" s="15" t="n">
        <f aca="false">INDEX(Ipotesi!$C$74:$G$74,1,F513)/12*Ipotesi!K126</f>
        <v>2916.66666666667</v>
      </c>
      <c r="BP513" s="15" t="n">
        <f aca="false">INDEX(Ipotesi!$C$76:$G$76,1,F513)/12</f>
        <v>1083.33333333333</v>
      </c>
      <c r="BQ513" s="15" t="n">
        <f aca="false">INDEX(Ipotesi!$C$77:$G$77,1,F513)/12*Ipotesi!K126</f>
        <v>2083.33333333333</v>
      </c>
      <c r="BR513" s="15" t="n">
        <f aca="false">INDEX(Ipotesi!$C$78:$G$78,1,F513)/12</f>
        <v>1666.66666666667</v>
      </c>
      <c r="BS513" s="15" t="n">
        <f aca="false">SUM(M513:R513)*(Ipotesi!$C$85+Ipotesi!$C$86)/12</f>
        <v>4812.5</v>
      </c>
      <c r="BT513" s="15" t="n">
        <f aca="false">BI513*Ipotesi!$C$87</f>
        <v>2060.71183084362</v>
      </c>
      <c r="BU513" s="15" t="n">
        <f aca="false">INDEX(Ipotesi!$C$55:$G$55,1,F513)*K513/12</f>
        <v>1500</v>
      </c>
      <c r="BV513" s="15" t="n">
        <f aca="false">INDEX(Ipotesi!$C$80:$G$80,1,F513)/12*Ipotesi!K126</f>
        <v>1250</v>
      </c>
      <c r="BW513" s="15" t="n">
        <f aca="false">INDEX(Ipotesi!$C$82:$G$82,1,F513)/12</f>
        <v>1000</v>
      </c>
      <c r="BX513" s="15" t="n">
        <f aca="false">INDEX(Ipotesi!$C$83:$G$83,1,F513)/12</f>
        <v>666.666666666667</v>
      </c>
      <c r="BY513" s="15" t="n">
        <f aca="false">SUM(S513:U513)*(Ipotesi!$C$85+Ipotesi!$C$86)/12</f>
        <v>1895.83333333333</v>
      </c>
      <c r="BZ513" s="15" t="n">
        <f aca="false">AM513*Ipotesi!$C$87</f>
        <v>1815</v>
      </c>
      <c r="CA513" s="15" t="n">
        <f aca="false">AB513+BJ513+BL513+BN513+BO513+AR513+BP513+BQ513+BR513+BS513+BT513</f>
        <v>116103.988543937</v>
      </c>
      <c r="CB513" s="15" t="n">
        <f aca="false">AC513+BK513+BM513+BH513+BU513+BV513+AS513+BW513+BX513+BY513+BZ513</f>
        <v>46259.8958333333</v>
      </c>
      <c r="CC513" s="15" t="n">
        <f aca="false">BI513-CA513</f>
        <v>-47413.5941824828</v>
      </c>
      <c r="CD513" s="15" t="n">
        <f aca="false">AM513-CB513</f>
        <v>14240.1041666667</v>
      </c>
      <c r="CE513" s="15" t="n">
        <f aca="false">INDEX(Ipotesi!$C$79:$G$79,1,F513)/12</f>
        <v>2500</v>
      </c>
      <c r="CF513" s="15" t="n">
        <f aca="false">INDEX(Ipotesi!$C$84:$G$84,1,F513)/12</f>
        <v>416.666666666667</v>
      </c>
      <c r="CG513" s="15" t="n">
        <f aca="false">Y513*MAX(0,Parametri_v3!$C$12-IF(P513=0,0,MIN(1,BE513/(P513*Parametri_v3!$C$22))))+W513*Parametri_v3!$C$13+X513*Parametri_v3!$C$14</f>
        <v>27151.9292989636</v>
      </c>
      <c r="CH513" s="15" t="n">
        <f aca="false">AB513*Parametri_v3!$C$32</f>
        <v>3713.68333333333</v>
      </c>
      <c r="CI513" s="15" t="n">
        <f aca="false">AC513*Parametri_v3!$C$32</f>
        <v>1270.86979166667</v>
      </c>
      <c r="CJ513" s="15" t="n">
        <f aca="false">CA513-AB513</f>
        <v>41830.3218772702</v>
      </c>
      <c r="CK513" s="15" t="n">
        <f aca="false">CB513-AC513-BH513</f>
        <v>14792.5</v>
      </c>
      <c r="CL513" s="15" t="n">
        <f aca="false">BF513*Ipotesi!$C$73+INDEX(Ipotesi!$C$72:$G$72,1,F513)/12*Ipotesi!K126*Parametri_v3!$C$58+Z513*(1-Parametri_v3!$C$16)</f>
        <v>7701.94821558299</v>
      </c>
      <c r="CM513" s="16" t="n">
        <f aca="false">IF(BF513=0,0,1-CL513/BF513)</f>
        <v>0.632781147554559</v>
      </c>
    </row>
    <row r="514" customFormat="false" ht="18" hidden="false" customHeight="true" outlineLevel="0" collapsed="false">
      <c r="A514" s="68" t="n">
        <f aca="false">9</f>
        <v>9</v>
      </c>
      <c r="B514" s="68" t="n">
        <f aca="false">30</f>
        <v>30</v>
      </c>
      <c r="C514" s="18" t="n">
        <f aca="false">EDATE(Parametri_v3!$C$5,30-1)</f>
        <v>47270</v>
      </c>
      <c r="D514" s="68" t="n">
        <f aca="false">YEAR(C514)</f>
        <v>2029</v>
      </c>
      <c r="E514" s="68" t="n">
        <f aca="false">MONTH(C514)</f>
        <v>6</v>
      </c>
      <c r="F514" s="68" t="n">
        <f aca="false">INT((30-1)/12)+1</f>
        <v>3</v>
      </c>
      <c r="G514" s="15" t="n">
        <f aca="false">Ipotesi!K7</f>
        <v>1</v>
      </c>
      <c r="H514" s="15" t="n">
        <f aca="false">Ipotesi!K9</f>
        <v>1</v>
      </c>
      <c r="I514" s="15" t="n">
        <f aca="false">Ipotesi!K10</f>
        <v>1</v>
      </c>
      <c r="J514" s="15" t="n">
        <f aca="false">Ipotesi!K11</f>
        <v>1</v>
      </c>
      <c r="K514" s="15" t="n">
        <f aca="false">Ipotesi!K12</f>
        <v>1</v>
      </c>
      <c r="L514" s="15" t="n">
        <f aca="false">Ipotesi!K13</f>
        <v>90</v>
      </c>
      <c r="M514" s="17" t="n">
        <f aca="false">INDEX(Ipotesi!$C$40:$G$40,1,F514)</f>
        <v>1</v>
      </c>
      <c r="N514" s="17" t="n">
        <f aca="false">INDEX(Ipotesi!$C$41:$G$41,1,F514)</f>
        <v>1</v>
      </c>
      <c r="O514" s="17" t="n">
        <f aca="false">INDEX(Ipotesi!$C$42:$G$42,1,F514)*Ipotesi!K125</f>
        <v>4.5</v>
      </c>
      <c r="P514" s="17" t="n">
        <f aca="false">INDEX(Ipotesi!$C$43:$G$43,1,F514)*I514</f>
        <v>5</v>
      </c>
      <c r="Q514" s="17" t="n">
        <f aca="false">INDEX(Ipotesi!$C$44:$G$44,1,F514)*I514</f>
        <v>4</v>
      </c>
      <c r="R514" s="17" t="n">
        <f aca="false">INDEX(Ipotesi!$C$45:$G$45,1,F514)*I514</f>
        <v>1</v>
      </c>
      <c r="S514" s="17" t="n">
        <f aca="false">INDEX(Ipotesi!$C$52:$G$52,1,F514)*Ipotesi!K125</f>
        <v>5</v>
      </c>
      <c r="T514" s="17" t="n">
        <f aca="false">INDEX(Ipotesi!$C$53:$G$53,1,F514)*I514</f>
        <v>1</v>
      </c>
      <c r="U514" s="17" t="n">
        <f aca="false">INDEX(Ipotesi!$C$54:$G$54,1,F514)*I514</f>
        <v>0.5</v>
      </c>
      <c r="V514" s="15" t="n">
        <f aca="false">M514*INDEX(Ipotesi!$C$58:$G$58,1,F514)*K514/12</f>
        <v>7083.33333333333</v>
      </c>
      <c r="W514" s="15" t="n">
        <f aca="false">N514*Ipotesi!$C$59*(1+Ipotesi!$C$66)^(F514-1)/12</f>
        <v>6188.58333333333</v>
      </c>
      <c r="X514" s="15" t="n">
        <f aca="false">O514*Ipotesi!$C$60*(1+Ipotesi!$C$66)^(F514-1)/12</f>
        <v>19891.875</v>
      </c>
      <c r="Y514" s="15" t="n">
        <f aca="false">P514*Ipotesi!$C$61*(1+Ipotesi!$C$66)^(F514-1)/12</f>
        <v>22102.0833333333</v>
      </c>
      <c r="Z514" s="15" t="n">
        <f aca="false">Q514*Ipotesi!$C$62*(1+Ipotesi!$C$66)^(F514-1)/12</f>
        <v>15913.5</v>
      </c>
      <c r="AA514" s="15" t="n">
        <f aca="false">R514*Ipotesi!$C$63*(1+Ipotesi!$C$66)^(F514-1)/12</f>
        <v>3094.29166666667</v>
      </c>
      <c r="AB514" s="15" t="n">
        <f aca="false">SUM(V514:AA514)</f>
        <v>74273.6666666667</v>
      </c>
      <c r="AC514" s="15" t="n">
        <f aca="false">(S514*Ipotesi!$C$64+T514*Ipotesi!$C$65+U514*Ipotesi!$C$63)*(1+Ipotesi!$C$66)^(F514-1)/12</f>
        <v>25417.3958333333</v>
      </c>
      <c r="AD514" s="15" t="n">
        <f aca="false">INDEX(Ipotesi!$C$48:$G$48,1,F514)*G514/12</f>
        <v>60</v>
      </c>
      <c r="AE514" s="15" t="n">
        <f aca="false">INDEX(Ipotesi!$C$50:$G$50,1,F514)*G514/12</f>
        <v>6.66666666666667</v>
      </c>
      <c r="AF514" s="15" t="n">
        <f aca="false">(S514*Parametri_v3!$C$7*Parametri_v3!$C$8+Parametri_v3!$C$10)/12</f>
        <v>64.1666666666667</v>
      </c>
      <c r="AG514" s="15" t="n">
        <f aca="false">AD514+AE514*(1+Parametri_v3!$C$9)</f>
        <v>70</v>
      </c>
      <c r="AH514" s="16" t="n">
        <f aca="false">IF(AG514=0,1,MIN(1,AF514/AG514))</f>
        <v>0.916666666666667</v>
      </c>
      <c r="AI514" s="15" t="n">
        <f aca="false">AD514*AH514</f>
        <v>55</v>
      </c>
      <c r="AJ514" s="15" t="n">
        <f aca="false">AE514*AH514</f>
        <v>6.11111111111111</v>
      </c>
      <c r="AK514" s="15" t="n">
        <f aca="false">AI514*INDEX(Ipotesi!$C$49:$G$49,1,F514)*H514</f>
        <v>46750</v>
      </c>
      <c r="AL514" s="15" t="n">
        <f aca="false">AJ514*INDEX(Ipotesi!$C$51:$G$51,1,F514)*H514</f>
        <v>13750</v>
      </c>
      <c r="AM514" s="15" t="n">
        <f aca="false">AK514+AL514</f>
        <v>60500</v>
      </c>
      <c r="AN514" s="15" t="n">
        <f aca="false">INDEX(Ipotesi!$C$30:$G$30,1,F514)*G514/12</f>
        <v>41.6666666666667</v>
      </c>
      <c r="AO514" s="15" t="n">
        <f aca="false">O514*Parametri_v3!$C$7*Parametri_v3!$C$11*(1-Parametri_v3!$C$14)/12</f>
        <v>46.2</v>
      </c>
      <c r="AP514" s="15" t="n">
        <f aca="false">MIN(AN514,AO514)</f>
        <v>41.6666666666667</v>
      </c>
      <c r="AQ514" s="15" t="n">
        <f aca="false">AP514*INDEX(Ipotesi!$C$31:$G$31,1,F514)*H514</f>
        <v>41666.6666666667</v>
      </c>
      <c r="AR514" s="15" t="n">
        <f aca="false">INDEX(Ipotesi!$C$75:$G$75,1,F514)*J514/12</f>
        <v>20000</v>
      </c>
      <c r="AS514" s="15" t="n">
        <f aca="false">INDEX(Ipotesi!$C$81:$G$81,1,F514)*J514/12</f>
        <v>1250</v>
      </c>
      <c r="AT514" s="15" t="n">
        <f aca="false">AR514*Parametri_v3!$C$15+Z514*Parametri_v3!$C$16</f>
        <v>31139.45</v>
      </c>
      <c r="AU514" s="15" t="n">
        <f aca="false">Q514*Parametri_v3!$C$16*Parametri_v3!$C$17</f>
        <v>280</v>
      </c>
      <c r="AV514" s="17" t="n">
        <f aca="false">BD513</f>
        <v>48.68758575269</v>
      </c>
      <c r="AW514" s="17" t="n">
        <f aca="false">AV514*(1-(1-INDEX(Ipotesi!$C$34:$G$34,1,F514))^(1/12))</f>
        <v>0.425607932973451</v>
      </c>
      <c r="AX514" s="15" t="n">
        <f aca="false">ROUND(INDEX(Ipotesi!$C$32:$G$32,1,F514)*Ipotesi!K8,0)</f>
        <v>130</v>
      </c>
      <c r="AY514" s="15" t="n">
        <f aca="false">MAX(0,(AX514-(AV514-AW514))/(13-E514))</f>
        <v>11.6768603114691</v>
      </c>
      <c r="AZ514" s="15" t="n">
        <f aca="false">MIN(P514*Parametri_v3!$C$22,Q514*(1-Parametri_v3!$C$16)*Parametri_v3!$C$23)</f>
        <v>180</v>
      </c>
      <c r="BA514" s="15" t="n">
        <f aca="false">IF(OR(INDEX(Ipotesi!$C$35:$G$35,1,F514)&lt;=0,30-Parametri_v3!$C$21&lt;1),0,INDEX($AT$485:$AT$544,MAX(1,30-Parametri_v3!$C$21))/(INDEX(Ipotesi!$C$35:$G$35,1,F514)*Ipotesi!K27))</f>
        <v>6.22789</v>
      </c>
      <c r="BB514" s="15" t="n">
        <f aca="false">IF(30-Parametri_v3!$C$21&lt;1,0,INDEX($AU$485:$AU$544,MAX(1,30-Parametri_v3!$C$21)))*Parametri_v3!$C$18*Parametri_v3!$C$19*Parametri_v3!$C$20</f>
        <v>10.5</v>
      </c>
      <c r="BC514" s="17" t="n">
        <f aca="false">MAX(0,MIN(AY514,BA514,BB514,MAX(0,AZ514-(AV514-AW514))))</f>
        <v>6.22789</v>
      </c>
      <c r="BD514" s="17" t="n">
        <f aca="false">AV514-AW514+BC514</f>
        <v>54.4898678197165</v>
      </c>
      <c r="BE514" s="17" t="n">
        <f aca="false">(AV514+BD514)/2</f>
        <v>51.5887267862032</v>
      </c>
      <c r="BF514" s="15" t="n">
        <f aca="false">BE514*INDEX(Ipotesi!$C$33:$G$33,1,F514)*H514/12</f>
        <v>23644.8331103431</v>
      </c>
      <c r="BG514" s="15" t="n">
        <f aca="false">BD514*INDEX(Ipotesi!$C$33:$G$33,1,F514)*H514</f>
        <v>299694.273008441</v>
      </c>
      <c r="BH514" s="15" t="n">
        <f aca="false">AM514*INDEX(Ipotesi!$C$37:$G$37,1,F514)</f>
        <v>6050</v>
      </c>
      <c r="BI514" s="15" t="n">
        <f aca="false">AQ514+BF514+BH514</f>
        <v>71361.4997770098</v>
      </c>
      <c r="BJ514" s="15" t="n">
        <f aca="false">INDEX(Ipotesi!$C$68:$G$68,1,F514)*Ipotesi!$C$69/12</f>
        <v>2400</v>
      </c>
      <c r="BK514" s="15" t="n">
        <f aca="false">INDEX(Ipotesi!$C$68:$G$68,1,F514)*(1-Ipotesi!$C$69)/12</f>
        <v>3600</v>
      </c>
      <c r="BL514" s="15" t="n">
        <f aca="false">(AQ514+BF514)*Ipotesi!$C$67</f>
        <v>1959.34499331029</v>
      </c>
      <c r="BM514" s="15" t="n">
        <f aca="false">AM514*Ipotesi!$C$67</f>
        <v>1815</v>
      </c>
      <c r="BN514" s="15" t="n">
        <f aca="false">INDEX(Ipotesi!$C$72:$G$72,1,F514)/12*Ipotesi!K126+BF514*Ipotesi!$C$73</f>
        <v>3141.58664882745</v>
      </c>
      <c r="BO514" s="15" t="n">
        <f aca="false">INDEX(Ipotesi!$C$74:$G$74,1,F514)/12*Ipotesi!K126</f>
        <v>2916.66666666667</v>
      </c>
      <c r="BP514" s="15" t="n">
        <f aca="false">INDEX(Ipotesi!$C$76:$G$76,1,F514)/12</f>
        <v>1083.33333333333</v>
      </c>
      <c r="BQ514" s="15" t="n">
        <f aca="false">INDEX(Ipotesi!$C$77:$G$77,1,F514)/12*Ipotesi!K126</f>
        <v>2083.33333333333</v>
      </c>
      <c r="BR514" s="15" t="n">
        <f aca="false">INDEX(Ipotesi!$C$78:$G$78,1,F514)/12</f>
        <v>1666.66666666667</v>
      </c>
      <c r="BS514" s="15" t="n">
        <f aca="false">SUM(M514:R514)*(Ipotesi!$C$85+Ipotesi!$C$86)/12</f>
        <v>4812.5</v>
      </c>
      <c r="BT514" s="15" t="n">
        <f aca="false">BI514*Ipotesi!$C$87</f>
        <v>2140.84499331029</v>
      </c>
      <c r="BU514" s="15" t="n">
        <f aca="false">INDEX(Ipotesi!$C$55:$G$55,1,F514)*K514/12</f>
        <v>1500</v>
      </c>
      <c r="BV514" s="15" t="n">
        <f aca="false">INDEX(Ipotesi!$C$80:$G$80,1,F514)/12*Ipotesi!K126</f>
        <v>1250</v>
      </c>
      <c r="BW514" s="15" t="n">
        <f aca="false">INDEX(Ipotesi!$C$82:$G$82,1,F514)/12</f>
        <v>1000</v>
      </c>
      <c r="BX514" s="15" t="n">
        <f aca="false">INDEX(Ipotesi!$C$83:$G$83,1,F514)/12</f>
        <v>666.666666666667</v>
      </c>
      <c r="BY514" s="15" t="n">
        <f aca="false">SUM(S514:U514)*(Ipotesi!$C$85+Ipotesi!$C$86)/12</f>
        <v>1895.83333333333</v>
      </c>
      <c r="BZ514" s="15" t="n">
        <f aca="false">AM514*Ipotesi!$C$87</f>
        <v>1815</v>
      </c>
      <c r="CA514" s="15" t="n">
        <f aca="false">AB514+BJ514+BL514+BN514+BO514+AR514+BP514+BQ514+BR514+BS514+BT514</f>
        <v>116477.943302115</v>
      </c>
      <c r="CB514" s="15" t="n">
        <f aca="false">AC514+BK514+BM514+BH514+BU514+BV514+AS514+BW514+BX514+BY514+BZ514</f>
        <v>46259.8958333333</v>
      </c>
      <c r="CC514" s="15" t="n">
        <f aca="false">BI514-CA514</f>
        <v>-45116.4435251049</v>
      </c>
      <c r="CD514" s="15" t="n">
        <f aca="false">AM514-CB514</f>
        <v>14240.1041666667</v>
      </c>
      <c r="CE514" s="15" t="n">
        <f aca="false">INDEX(Ipotesi!$C$79:$G$79,1,F514)/12</f>
        <v>2500</v>
      </c>
      <c r="CF514" s="15" t="n">
        <f aca="false">INDEX(Ipotesi!$C$84:$G$84,1,F514)/12</f>
        <v>416.666666666667</v>
      </c>
      <c r="CG514" s="15" t="n">
        <f aca="false">Y514*MAX(0,Parametri_v3!$C$12-IF(P514=0,0,MIN(1,BE514/(P514*Parametri_v3!$C$22))))+W514*Parametri_v3!$C$13+X514*Parametri_v3!$C$14</f>
        <v>26894.3133230215</v>
      </c>
      <c r="CH514" s="15" t="n">
        <f aca="false">AB514*Parametri_v3!$C$32</f>
        <v>3713.68333333333</v>
      </c>
      <c r="CI514" s="15" t="n">
        <f aca="false">AC514*Parametri_v3!$C$32</f>
        <v>1270.86979166667</v>
      </c>
      <c r="CJ514" s="15" t="n">
        <f aca="false">CA514-AB514</f>
        <v>42204.276635448</v>
      </c>
      <c r="CK514" s="15" t="n">
        <f aca="false">CB514-AC514-BH514</f>
        <v>14792.5</v>
      </c>
      <c r="CL514" s="15" t="n">
        <f aca="false">BF514*Ipotesi!$C$73+INDEX(Ipotesi!$C$72:$G$72,1,F514)/12*Ipotesi!K126*Parametri_v3!$C$58+Z514*(1-Parametri_v3!$C$16)</f>
        <v>7915.63664882745</v>
      </c>
      <c r="CM514" s="16" t="n">
        <f aca="false">IF(BF514=0,0,1-CL514/BF514)</f>
        <v>0.665227637180283</v>
      </c>
    </row>
    <row r="515" customFormat="false" ht="18" hidden="false" customHeight="true" outlineLevel="0" collapsed="false">
      <c r="A515" s="68" t="n">
        <f aca="false">9</f>
        <v>9</v>
      </c>
      <c r="B515" s="68" t="n">
        <f aca="false">31</f>
        <v>31</v>
      </c>
      <c r="C515" s="18" t="n">
        <f aca="false">EDATE(Parametri_v3!$C$5,31-1)</f>
        <v>47300</v>
      </c>
      <c r="D515" s="68" t="n">
        <f aca="false">YEAR(C515)</f>
        <v>2029</v>
      </c>
      <c r="E515" s="68" t="n">
        <f aca="false">MONTH(C515)</f>
        <v>7</v>
      </c>
      <c r="F515" s="68" t="n">
        <f aca="false">INT((31-1)/12)+1</f>
        <v>3</v>
      </c>
      <c r="G515" s="15" t="n">
        <f aca="false">Ipotesi!K7</f>
        <v>1</v>
      </c>
      <c r="H515" s="15" t="n">
        <f aca="false">Ipotesi!K9</f>
        <v>1</v>
      </c>
      <c r="I515" s="15" t="n">
        <f aca="false">Ipotesi!K10</f>
        <v>1</v>
      </c>
      <c r="J515" s="15" t="n">
        <f aca="false">Ipotesi!K11</f>
        <v>1</v>
      </c>
      <c r="K515" s="15" t="n">
        <f aca="false">Ipotesi!K12</f>
        <v>1</v>
      </c>
      <c r="L515" s="15" t="n">
        <f aca="false">Ipotesi!K13</f>
        <v>90</v>
      </c>
      <c r="M515" s="17" t="n">
        <f aca="false">INDEX(Ipotesi!$C$40:$G$40,1,F515)</f>
        <v>1</v>
      </c>
      <c r="N515" s="17" t="n">
        <f aca="false">INDEX(Ipotesi!$C$41:$G$41,1,F515)</f>
        <v>1</v>
      </c>
      <c r="O515" s="17" t="n">
        <f aca="false">INDEX(Ipotesi!$C$42:$G$42,1,F515)*Ipotesi!K125</f>
        <v>4.5</v>
      </c>
      <c r="P515" s="17" t="n">
        <f aca="false">INDEX(Ipotesi!$C$43:$G$43,1,F515)*I515</f>
        <v>5</v>
      </c>
      <c r="Q515" s="17" t="n">
        <f aca="false">INDEX(Ipotesi!$C$44:$G$44,1,F515)*I515</f>
        <v>4</v>
      </c>
      <c r="R515" s="17" t="n">
        <f aca="false">INDEX(Ipotesi!$C$45:$G$45,1,F515)*I515</f>
        <v>1</v>
      </c>
      <c r="S515" s="17" t="n">
        <f aca="false">INDEX(Ipotesi!$C$52:$G$52,1,F515)*Ipotesi!K125</f>
        <v>5</v>
      </c>
      <c r="T515" s="17" t="n">
        <f aca="false">INDEX(Ipotesi!$C$53:$G$53,1,F515)*I515</f>
        <v>1</v>
      </c>
      <c r="U515" s="17" t="n">
        <f aca="false">INDEX(Ipotesi!$C$54:$G$54,1,F515)*I515</f>
        <v>0.5</v>
      </c>
      <c r="V515" s="15" t="n">
        <f aca="false">M515*INDEX(Ipotesi!$C$58:$G$58,1,F515)*K515/12</f>
        <v>7083.33333333333</v>
      </c>
      <c r="W515" s="15" t="n">
        <f aca="false">N515*Ipotesi!$C$59*(1+Ipotesi!$C$66)^(F515-1)/12</f>
        <v>6188.58333333333</v>
      </c>
      <c r="X515" s="15" t="n">
        <f aca="false">O515*Ipotesi!$C$60*(1+Ipotesi!$C$66)^(F515-1)/12</f>
        <v>19891.875</v>
      </c>
      <c r="Y515" s="15" t="n">
        <f aca="false">P515*Ipotesi!$C$61*(1+Ipotesi!$C$66)^(F515-1)/12</f>
        <v>22102.0833333333</v>
      </c>
      <c r="Z515" s="15" t="n">
        <f aca="false">Q515*Ipotesi!$C$62*(1+Ipotesi!$C$66)^(F515-1)/12</f>
        <v>15913.5</v>
      </c>
      <c r="AA515" s="15" t="n">
        <f aca="false">R515*Ipotesi!$C$63*(1+Ipotesi!$C$66)^(F515-1)/12</f>
        <v>3094.29166666667</v>
      </c>
      <c r="AB515" s="15" t="n">
        <f aca="false">SUM(V515:AA515)</f>
        <v>74273.6666666667</v>
      </c>
      <c r="AC515" s="15" t="n">
        <f aca="false">(S515*Ipotesi!$C$64+T515*Ipotesi!$C$65+U515*Ipotesi!$C$63)*(1+Ipotesi!$C$66)^(F515-1)/12</f>
        <v>25417.3958333333</v>
      </c>
      <c r="AD515" s="15" t="n">
        <f aca="false">INDEX(Ipotesi!$C$48:$G$48,1,F515)*G515/12</f>
        <v>60</v>
      </c>
      <c r="AE515" s="15" t="n">
        <f aca="false">INDEX(Ipotesi!$C$50:$G$50,1,F515)*G515/12</f>
        <v>6.66666666666667</v>
      </c>
      <c r="AF515" s="15" t="n">
        <f aca="false">(S515*Parametri_v3!$C$7*Parametri_v3!$C$8+Parametri_v3!$C$10)/12</f>
        <v>64.1666666666667</v>
      </c>
      <c r="AG515" s="15" t="n">
        <f aca="false">AD515+AE515*(1+Parametri_v3!$C$9)</f>
        <v>70</v>
      </c>
      <c r="AH515" s="16" t="n">
        <f aca="false">IF(AG515=0,1,MIN(1,AF515/AG515))</f>
        <v>0.916666666666667</v>
      </c>
      <c r="AI515" s="15" t="n">
        <f aca="false">AD515*AH515</f>
        <v>55</v>
      </c>
      <c r="AJ515" s="15" t="n">
        <f aca="false">AE515*AH515</f>
        <v>6.11111111111111</v>
      </c>
      <c r="AK515" s="15" t="n">
        <f aca="false">AI515*INDEX(Ipotesi!$C$49:$G$49,1,F515)*H515</f>
        <v>46750</v>
      </c>
      <c r="AL515" s="15" t="n">
        <f aca="false">AJ515*INDEX(Ipotesi!$C$51:$G$51,1,F515)*H515</f>
        <v>13750</v>
      </c>
      <c r="AM515" s="15" t="n">
        <f aca="false">AK515+AL515</f>
        <v>60500</v>
      </c>
      <c r="AN515" s="15" t="n">
        <f aca="false">INDEX(Ipotesi!$C$30:$G$30,1,F515)*G515/12</f>
        <v>41.6666666666667</v>
      </c>
      <c r="AO515" s="15" t="n">
        <f aca="false">O515*Parametri_v3!$C$7*Parametri_v3!$C$11*(1-Parametri_v3!$C$14)/12</f>
        <v>46.2</v>
      </c>
      <c r="AP515" s="15" t="n">
        <f aca="false">MIN(AN515,AO515)</f>
        <v>41.6666666666667</v>
      </c>
      <c r="AQ515" s="15" t="n">
        <f aca="false">AP515*INDEX(Ipotesi!$C$31:$G$31,1,F515)*H515</f>
        <v>41666.6666666667</v>
      </c>
      <c r="AR515" s="15" t="n">
        <f aca="false">INDEX(Ipotesi!$C$75:$G$75,1,F515)*J515/12</f>
        <v>20000</v>
      </c>
      <c r="AS515" s="15" t="n">
        <f aca="false">INDEX(Ipotesi!$C$81:$G$81,1,F515)*J515/12</f>
        <v>1250</v>
      </c>
      <c r="AT515" s="15" t="n">
        <f aca="false">AR515*Parametri_v3!$C$15+Z515*Parametri_v3!$C$16</f>
        <v>31139.45</v>
      </c>
      <c r="AU515" s="15" t="n">
        <f aca="false">Q515*Parametri_v3!$C$16*Parametri_v3!$C$17</f>
        <v>280</v>
      </c>
      <c r="AV515" s="17" t="n">
        <f aca="false">BD514</f>
        <v>54.4898678197165</v>
      </c>
      <c r="AW515" s="17" t="n">
        <f aca="false">AV515*(1-(1-INDEX(Ipotesi!$C$34:$G$34,1,F515))^(1/12))</f>
        <v>0.47632922545281</v>
      </c>
      <c r="AX515" s="15" t="n">
        <f aca="false">ROUND(INDEX(Ipotesi!$C$32:$G$32,1,F515)*Ipotesi!K8,0)</f>
        <v>130</v>
      </c>
      <c r="AY515" s="15" t="n">
        <f aca="false">MAX(0,(AX515-(AV515-AW515))/(13-E515))</f>
        <v>12.6644102342894</v>
      </c>
      <c r="AZ515" s="15" t="n">
        <f aca="false">MIN(P515*Parametri_v3!$C$22,Q515*(1-Parametri_v3!$C$16)*Parametri_v3!$C$23)</f>
        <v>180</v>
      </c>
      <c r="BA515" s="15" t="n">
        <f aca="false">IF(OR(INDEX(Ipotesi!$C$35:$G$35,1,F515)&lt;=0,31-Parametri_v3!$C$21&lt;1),0,INDEX($AT$485:$AT$544,MAX(1,31-Parametri_v3!$C$21))/(INDEX(Ipotesi!$C$35:$G$35,1,F515)*Ipotesi!K27))</f>
        <v>6.22789</v>
      </c>
      <c r="BB515" s="15" t="n">
        <f aca="false">IF(31-Parametri_v3!$C$21&lt;1,0,INDEX($AU$485:$AU$544,MAX(1,31-Parametri_v3!$C$21)))*Parametri_v3!$C$18*Parametri_v3!$C$19*Parametri_v3!$C$20</f>
        <v>10.5</v>
      </c>
      <c r="BC515" s="17" t="n">
        <f aca="false">MAX(0,MIN(AY515,BA515,BB515,MAX(0,AZ515-(AV515-AW515))))</f>
        <v>6.22789</v>
      </c>
      <c r="BD515" s="17" t="n">
        <f aca="false">AV515-AW515+BC515</f>
        <v>60.2414285942637</v>
      </c>
      <c r="BE515" s="17" t="n">
        <f aca="false">(AV515+BD515)/2</f>
        <v>57.3656482069901</v>
      </c>
      <c r="BF515" s="15" t="n">
        <f aca="false">BE515*INDEX(Ipotesi!$C$33:$G$33,1,F515)*H515/12</f>
        <v>26292.5887615371</v>
      </c>
      <c r="BG515" s="15" t="n">
        <f aca="false">BD515*INDEX(Ipotesi!$C$33:$G$33,1,F515)*H515</f>
        <v>331327.85726845</v>
      </c>
      <c r="BH515" s="15" t="n">
        <f aca="false">AM515*INDEX(Ipotesi!$C$37:$G$37,1,F515)</f>
        <v>6050</v>
      </c>
      <c r="BI515" s="15" t="n">
        <f aca="false">AQ515+BF515+BH515</f>
        <v>74009.2554282038</v>
      </c>
      <c r="BJ515" s="15" t="n">
        <f aca="false">INDEX(Ipotesi!$C$68:$G$68,1,F515)*Ipotesi!$C$69/12</f>
        <v>2400</v>
      </c>
      <c r="BK515" s="15" t="n">
        <f aca="false">INDEX(Ipotesi!$C$68:$G$68,1,F515)*(1-Ipotesi!$C$69)/12</f>
        <v>3600</v>
      </c>
      <c r="BL515" s="15" t="n">
        <f aca="false">(AQ515+BF515)*Ipotesi!$C$67</f>
        <v>2038.77766284611</v>
      </c>
      <c r="BM515" s="15" t="n">
        <f aca="false">AM515*Ipotesi!$C$67</f>
        <v>1815</v>
      </c>
      <c r="BN515" s="15" t="n">
        <f aca="false">INDEX(Ipotesi!$C$72:$G$72,1,F515)/12*Ipotesi!K126+BF515*Ipotesi!$C$73</f>
        <v>3353.40710092297</v>
      </c>
      <c r="BO515" s="15" t="n">
        <f aca="false">INDEX(Ipotesi!$C$74:$G$74,1,F515)/12*Ipotesi!K126</f>
        <v>2916.66666666667</v>
      </c>
      <c r="BP515" s="15" t="n">
        <f aca="false">INDEX(Ipotesi!$C$76:$G$76,1,F515)/12</f>
        <v>1083.33333333333</v>
      </c>
      <c r="BQ515" s="15" t="n">
        <f aca="false">INDEX(Ipotesi!$C$77:$G$77,1,F515)/12*Ipotesi!K126</f>
        <v>2083.33333333333</v>
      </c>
      <c r="BR515" s="15" t="n">
        <f aca="false">INDEX(Ipotesi!$C$78:$G$78,1,F515)/12</f>
        <v>1666.66666666667</v>
      </c>
      <c r="BS515" s="15" t="n">
        <f aca="false">SUM(M515:R515)*(Ipotesi!$C$85+Ipotesi!$C$86)/12</f>
        <v>4812.5</v>
      </c>
      <c r="BT515" s="15" t="n">
        <f aca="false">BI515*Ipotesi!$C$87</f>
        <v>2220.27766284611</v>
      </c>
      <c r="BU515" s="15" t="n">
        <f aca="false">INDEX(Ipotesi!$C$55:$G$55,1,F515)*K515/12</f>
        <v>1500</v>
      </c>
      <c r="BV515" s="15" t="n">
        <f aca="false">INDEX(Ipotesi!$C$80:$G$80,1,F515)/12*Ipotesi!K126</f>
        <v>1250</v>
      </c>
      <c r="BW515" s="15" t="n">
        <f aca="false">INDEX(Ipotesi!$C$82:$G$82,1,F515)/12</f>
        <v>1000</v>
      </c>
      <c r="BX515" s="15" t="n">
        <f aca="false">INDEX(Ipotesi!$C$83:$G$83,1,F515)/12</f>
        <v>666.666666666667</v>
      </c>
      <c r="BY515" s="15" t="n">
        <f aca="false">SUM(S515:U515)*(Ipotesi!$C$85+Ipotesi!$C$86)/12</f>
        <v>1895.83333333333</v>
      </c>
      <c r="BZ515" s="15" t="n">
        <f aca="false">AM515*Ipotesi!$C$87</f>
        <v>1815</v>
      </c>
      <c r="CA515" s="15" t="n">
        <f aca="false">AB515+BJ515+BL515+BN515+BO515+AR515+BP515+BQ515+BR515+BS515+BT515</f>
        <v>116848.629093282</v>
      </c>
      <c r="CB515" s="15" t="n">
        <f aca="false">AC515+BK515+BM515+BH515+BU515+BV515+AS515+BW515+BX515+BY515+BZ515</f>
        <v>46259.8958333333</v>
      </c>
      <c r="CC515" s="15" t="n">
        <f aca="false">BI515-CA515</f>
        <v>-42839.3736650781</v>
      </c>
      <c r="CD515" s="15" t="n">
        <f aca="false">AM515-CB515</f>
        <v>14240.1041666667</v>
      </c>
      <c r="CE515" s="15" t="n">
        <f aca="false">INDEX(Ipotesi!$C$79:$G$79,1,F515)/12</f>
        <v>2500</v>
      </c>
      <c r="CF515" s="15" t="n">
        <f aca="false">INDEX(Ipotesi!$C$84:$G$84,1,F515)/12</f>
        <v>416.666666666667</v>
      </c>
      <c r="CG515" s="15" t="n">
        <f aca="false">Y515*MAX(0,Parametri_v3!$C$12-IF(P515=0,0,MIN(1,BE515/(P515*Parametri_v3!$C$22))))+W515*Parametri_v3!$C$13+X515*Parametri_v3!$C$14</f>
        <v>26638.9493257168</v>
      </c>
      <c r="CH515" s="15" t="n">
        <f aca="false">AB515*Parametri_v3!$C$32</f>
        <v>3713.68333333333</v>
      </c>
      <c r="CI515" s="15" t="n">
        <f aca="false">AC515*Parametri_v3!$C$32</f>
        <v>1270.86979166667</v>
      </c>
      <c r="CJ515" s="15" t="n">
        <f aca="false">CA515-AB515</f>
        <v>42574.9624266152</v>
      </c>
      <c r="CK515" s="15" t="n">
        <f aca="false">CB515-AC515-BH515</f>
        <v>14792.5</v>
      </c>
      <c r="CL515" s="15" t="n">
        <f aca="false">BF515*Ipotesi!$C$73+INDEX(Ipotesi!$C$72:$G$72,1,F515)/12*Ipotesi!K126*Parametri_v3!$C$58+Z515*(1-Parametri_v3!$C$16)</f>
        <v>8127.45710092297</v>
      </c>
      <c r="CM515" s="16" t="n">
        <f aca="false">IF(BF515=0,0,1-CL515/BF515)</f>
        <v>0.690884105226928</v>
      </c>
    </row>
    <row r="516" customFormat="false" ht="18" hidden="false" customHeight="true" outlineLevel="0" collapsed="false">
      <c r="A516" s="68" t="n">
        <f aca="false">9</f>
        <v>9</v>
      </c>
      <c r="B516" s="68" t="n">
        <f aca="false">32</f>
        <v>32</v>
      </c>
      <c r="C516" s="18" t="n">
        <f aca="false">EDATE(Parametri_v3!$C$5,32-1)</f>
        <v>47331</v>
      </c>
      <c r="D516" s="68" t="n">
        <f aca="false">YEAR(C516)</f>
        <v>2029</v>
      </c>
      <c r="E516" s="68" t="n">
        <f aca="false">MONTH(C516)</f>
        <v>8</v>
      </c>
      <c r="F516" s="68" t="n">
        <f aca="false">INT((32-1)/12)+1</f>
        <v>3</v>
      </c>
      <c r="G516" s="15" t="n">
        <f aca="false">Ipotesi!K7</f>
        <v>1</v>
      </c>
      <c r="H516" s="15" t="n">
        <f aca="false">Ipotesi!K9</f>
        <v>1</v>
      </c>
      <c r="I516" s="15" t="n">
        <f aca="false">Ipotesi!K10</f>
        <v>1</v>
      </c>
      <c r="J516" s="15" t="n">
        <f aca="false">Ipotesi!K11</f>
        <v>1</v>
      </c>
      <c r="K516" s="15" t="n">
        <f aca="false">Ipotesi!K12</f>
        <v>1</v>
      </c>
      <c r="L516" s="15" t="n">
        <f aca="false">Ipotesi!K13</f>
        <v>90</v>
      </c>
      <c r="M516" s="17" t="n">
        <f aca="false">INDEX(Ipotesi!$C$40:$G$40,1,F516)</f>
        <v>1</v>
      </c>
      <c r="N516" s="17" t="n">
        <f aca="false">INDEX(Ipotesi!$C$41:$G$41,1,F516)</f>
        <v>1</v>
      </c>
      <c r="O516" s="17" t="n">
        <f aca="false">INDEX(Ipotesi!$C$42:$G$42,1,F516)*Ipotesi!K125</f>
        <v>4.5</v>
      </c>
      <c r="P516" s="17" t="n">
        <f aca="false">INDEX(Ipotesi!$C$43:$G$43,1,F516)*I516</f>
        <v>5</v>
      </c>
      <c r="Q516" s="17" t="n">
        <f aca="false">INDEX(Ipotesi!$C$44:$G$44,1,F516)*I516</f>
        <v>4</v>
      </c>
      <c r="R516" s="17" t="n">
        <f aca="false">INDEX(Ipotesi!$C$45:$G$45,1,F516)*I516</f>
        <v>1</v>
      </c>
      <c r="S516" s="17" t="n">
        <f aca="false">INDEX(Ipotesi!$C$52:$G$52,1,F516)*Ipotesi!K125</f>
        <v>5</v>
      </c>
      <c r="T516" s="17" t="n">
        <f aca="false">INDEX(Ipotesi!$C$53:$G$53,1,F516)*I516</f>
        <v>1</v>
      </c>
      <c r="U516" s="17" t="n">
        <f aca="false">INDEX(Ipotesi!$C$54:$G$54,1,F516)*I516</f>
        <v>0.5</v>
      </c>
      <c r="V516" s="15" t="n">
        <f aca="false">M516*INDEX(Ipotesi!$C$58:$G$58,1,F516)*K516/12</f>
        <v>7083.33333333333</v>
      </c>
      <c r="W516" s="15" t="n">
        <f aca="false">N516*Ipotesi!$C$59*(1+Ipotesi!$C$66)^(F516-1)/12</f>
        <v>6188.58333333333</v>
      </c>
      <c r="X516" s="15" t="n">
        <f aca="false">O516*Ipotesi!$C$60*(1+Ipotesi!$C$66)^(F516-1)/12</f>
        <v>19891.875</v>
      </c>
      <c r="Y516" s="15" t="n">
        <f aca="false">P516*Ipotesi!$C$61*(1+Ipotesi!$C$66)^(F516-1)/12</f>
        <v>22102.0833333333</v>
      </c>
      <c r="Z516" s="15" t="n">
        <f aca="false">Q516*Ipotesi!$C$62*(1+Ipotesi!$C$66)^(F516-1)/12</f>
        <v>15913.5</v>
      </c>
      <c r="AA516" s="15" t="n">
        <f aca="false">R516*Ipotesi!$C$63*(1+Ipotesi!$C$66)^(F516-1)/12</f>
        <v>3094.29166666667</v>
      </c>
      <c r="AB516" s="15" t="n">
        <f aca="false">SUM(V516:AA516)</f>
        <v>74273.6666666667</v>
      </c>
      <c r="AC516" s="15" t="n">
        <f aca="false">(S516*Ipotesi!$C$64+T516*Ipotesi!$C$65+U516*Ipotesi!$C$63)*(1+Ipotesi!$C$66)^(F516-1)/12</f>
        <v>25417.3958333333</v>
      </c>
      <c r="AD516" s="15" t="n">
        <f aca="false">INDEX(Ipotesi!$C$48:$G$48,1,F516)*G516/12</f>
        <v>60</v>
      </c>
      <c r="AE516" s="15" t="n">
        <f aca="false">INDEX(Ipotesi!$C$50:$G$50,1,F516)*G516/12</f>
        <v>6.66666666666667</v>
      </c>
      <c r="AF516" s="15" t="n">
        <f aca="false">(S516*Parametri_v3!$C$7*Parametri_v3!$C$8+Parametri_v3!$C$10)/12</f>
        <v>64.1666666666667</v>
      </c>
      <c r="AG516" s="15" t="n">
        <f aca="false">AD516+AE516*(1+Parametri_v3!$C$9)</f>
        <v>70</v>
      </c>
      <c r="AH516" s="16" t="n">
        <f aca="false">IF(AG516=0,1,MIN(1,AF516/AG516))</f>
        <v>0.916666666666667</v>
      </c>
      <c r="AI516" s="15" t="n">
        <f aca="false">AD516*AH516</f>
        <v>55</v>
      </c>
      <c r="AJ516" s="15" t="n">
        <f aca="false">AE516*AH516</f>
        <v>6.11111111111111</v>
      </c>
      <c r="AK516" s="15" t="n">
        <f aca="false">AI516*INDEX(Ipotesi!$C$49:$G$49,1,F516)*H516</f>
        <v>46750</v>
      </c>
      <c r="AL516" s="15" t="n">
        <f aca="false">AJ516*INDEX(Ipotesi!$C$51:$G$51,1,F516)*H516</f>
        <v>13750</v>
      </c>
      <c r="AM516" s="15" t="n">
        <f aca="false">AK516+AL516</f>
        <v>60500</v>
      </c>
      <c r="AN516" s="15" t="n">
        <f aca="false">INDEX(Ipotesi!$C$30:$G$30,1,F516)*G516/12</f>
        <v>41.6666666666667</v>
      </c>
      <c r="AO516" s="15" t="n">
        <f aca="false">O516*Parametri_v3!$C$7*Parametri_v3!$C$11*(1-Parametri_v3!$C$14)/12</f>
        <v>46.2</v>
      </c>
      <c r="AP516" s="15" t="n">
        <f aca="false">MIN(AN516,AO516)</f>
        <v>41.6666666666667</v>
      </c>
      <c r="AQ516" s="15" t="n">
        <f aca="false">AP516*INDEX(Ipotesi!$C$31:$G$31,1,F516)*H516</f>
        <v>41666.6666666667</v>
      </c>
      <c r="AR516" s="15" t="n">
        <f aca="false">INDEX(Ipotesi!$C$75:$G$75,1,F516)*J516/12</f>
        <v>20000</v>
      </c>
      <c r="AS516" s="15" t="n">
        <f aca="false">INDEX(Ipotesi!$C$81:$G$81,1,F516)*J516/12</f>
        <v>1250</v>
      </c>
      <c r="AT516" s="15" t="n">
        <f aca="false">AR516*Parametri_v3!$C$15+Z516*Parametri_v3!$C$16</f>
        <v>31139.45</v>
      </c>
      <c r="AU516" s="15" t="n">
        <f aca="false">Q516*Parametri_v3!$C$16*Parametri_v3!$C$17</f>
        <v>280</v>
      </c>
      <c r="AV516" s="17" t="n">
        <f aca="false">BD515</f>
        <v>60.2414285942637</v>
      </c>
      <c r="AW516" s="17" t="n">
        <f aca="false">AV516*(1-(1-INDEX(Ipotesi!$C$34:$G$34,1,F516))^(1/12))</f>
        <v>0.526607132126196</v>
      </c>
      <c r="AX516" s="15" t="n">
        <f aca="false">ROUND(INDEX(Ipotesi!$C$32:$G$32,1,F516)*Ipotesi!K8,0)</f>
        <v>130</v>
      </c>
      <c r="AY516" s="15" t="n">
        <f aca="false">MAX(0,(AX516-(AV516-AW516))/(13-E516))</f>
        <v>14.0570357075725</v>
      </c>
      <c r="AZ516" s="15" t="n">
        <f aca="false">MIN(P516*Parametri_v3!$C$22,Q516*(1-Parametri_v3!$C$16)*Parametri_v3!$C$23)</f>
        <v>180</v>
      </c>
      <c r="BA516" s="15" t="n">
        <f aca="false">IF(OR(INDEX(Ipotesi!$C$35:$G$35,1,F516)&lt;=0,32-Parametri_v3!$C$21&lt;1),0,INDEX($AT$485:$AT$544,MAX(1,32-Parametri_v3!$C$21))/(INDEX(Ipotesi!$C$35:$G$35,1,F516)*Ipotesi!K27))</f>
        <v>6.22789</v>
      </c>
      <c r="BB516" s="15" t="n">
        <f aca="false">IF(32-Parametri_v3!$C$21&lt;1,0,INDEX($AU$485:$AU$544,MAX(1,32-Parametri_v3!$C$21)))*Parametri_v3!$C$18*Parametri_v3!$C$19*Parametri_v3!$C$20</f>
        <v>10.5</v>
      </c>
      <c r="BC516" s="17" t="n">
        <f aca="false">MAX(0,MIN(AY516,BA516,BB516,MAX(0,AZ516-(AV516-AW516))))</f>
        <v>6.22789</v>
      </c>
      <c r="BD516" s="17" t="n">
        <f aca="false">AV516-AW516+BC516</f>
        <v>65.9427114621375</v>
      </c>
      <c r="BE516" s="17" t="n">
        <f aca="false">(AV516+BD516)/2</f>
        <v>63.0920700282006</v>
      </c>
      <c r="BF516" s="15" t="n">
        <f aca="false">BE516*INDEX(Ipotesi!$C$33:$G$33,1,F516)*H516/12</f>
        <v>28917.1987629253</v>
      </c>
      <c r="BG516" s="15" t="n">
        <f aca="false">BD516*INDEX(Ipotesi!$C$33:$G$33,1,F516)*H516</f>
        <v>362684.913041756</v>
      </c>
      <c r="BH516" s="15" t="n">
        <f aca="false">AM516*INDEX(Ipotesi!$C$37:$G$37,1,F516)</f>
        <v>6050</v>
      </c>
      <c r="BI516" s="15" t="n">
        <f aca="false">AQ516+BF516+BH516</f>
        <v>76633.8654295919</v>
      </c>
      <c r="BJ516" s="15" t="n">
        <f aca="false">INDEX(Ipotesi!$C$68:$G$68,1,F516)*Ipotesi!$C$69/12</f>
        <v>2400</v>
      </c>
      <c r="BK516" s="15" t="n">
        <f aca="false">INDEX(Ipotesi!$C$68:$G$68,1,F516)*(1-Ipotesi!$C$69)/12</f>
        <v>3600</v>
      </c>
      <c r="BL516" s="15" t="n">
        <f aca="false">(AQ516+BF516)*Ipotesi!$C$67</f>
        <v>2117.51596288776</v>
      </c>
      <c r="BM516" s="15" t="n">
        <f aca="false">AM516*Ipotesi!$C$67</f>
        <v>1815</v>
      </c>
      <c r="BN516" s="15" t="n">
        <f aca="false">INDEX(Ipotesi!$C$72:$G$72,1,F516)/12*Ipotesi!K126+BF516*Ipotesi!$C$73</f>
        <v>3563.37590103402</v>
      </c>
      <c r="BO516" s="15" t="n">
        <f aca="false">INDEX(Ipotesi!$C$74:$G$74,1,F516)/12*Ipotesi!K126</f>
        <v>2916.66666666667</v>
      </c>
      <c r="BP516" s="15" t="n">
        <f aca="false">INDEX(Ipotesi!$C$76:$G$76,1,F516)/12</f>
        <v>1083.33333333333</v>
      </c>
      <c r="BQ516" s="15" t="n">
        <f aca="false">INDEX(Ipotesi!$C$77:$G$77,1,F516)/12*Ipotesi!K126</f>
        <v>2083.33333333333</v>
      </c>
      <c r="BR516" s="15" t="n">
        <f aca="false">INDEX(Ipotesi!$C$78:$G$78,1,F516)/12</f>
        <v>1666.66666666667</v>
      </c>
      <c r="BS516" s="15" t="n">
        <f aca="false">SUM(M516:R516)*(Ipotesi!$C$85+Ipotesi!$C$86)/12</f>
        <v>4812.5</v>
      </c>
      <c r="BT516" s="15" t="n">
        <f aca="false">BI516*Ipotesi!$C$87</f>
        <v>2299.01596288776</v>
      </c>
      <c r="BU516" s="15" t="n">
        <f aca="false">INDEX(Ipotesi!$C$55:$G$55,1,F516)*K516/12</f>
        <v>1500</v>
      </c>
      <c r="BV516" s="15" t="n">
        <f aca="false">INDEX(Ipotesi!$C$80:$G$80,1,F516)/12*Ipotesi!K126</f>
        <v>1250</v>
      </c>
      <c r="BW516" s="15" t="n">
        <f aca="false">INDEX(Ipotesi!$C$82:$G$82,1,F516)/12</f>
        <v>1000</v>
      </c>
      <c r="BX516" s="15" t="n">
        <f aca="false">INDEX(Ipotesi!$C$83:$G$83,1,F516)/12</f>
        <v>666.666666666667</v>
      </c>
      <c r="BY516" s="15" t="n">
        <f aca="false">SUM(S516:U516)*(Ipotesi!$C$85+Ipotesi!$C$86)/12</f>
        <v>1895.83333333333</v>
      </c>
      <c r="BZ516" s="15" t="n">
        <f aca="false">AM516*Ipotesi!$C$87</f>
        <v>1815</v>
      </c>
      <c r="CA516" s="15" t="n">
        <f aca="false">AB516+BJ516+BL516+BN516+BO516+AR516+BP516+BQ516+BR516+BS516+BT516</f>
        <v>117216.074493476</v>
      </c>
      <c r="CB516" s="15" t="n">
        <f aca="false">AC516+BK516+BM516+BH516+BU516+BV516+AS516+BW516+BX516+BY516+BZ516</f>
        <v>46259.8958333333</v>
      </c>
      <c r="CC516" s="15" t="n">
        <f aca="false">BI516-CA516</f>
        <v>-40582.2090638843</v>
      </c>
      <c r="CD516" s="15" t="n">
        <f aca="false">AM516-CB516</f>
        <v>14240.1041666667</v>
      </c>
      <c r="CE516" s="15" t="n">
        <f aca="false">INDEX(Ipotesi!$C$79:$G$79,1,F516)/12</f>
        <v>2500</v>
      </c>
      <c r="CF516" s="15" t="n">
        <f aca="false">INDEX(Ipotesi!$C$84:$G$84,1,F516)/12</f>
        <v>416.666666666667</v>
      </c>
      <c r="CG516" s="15" t="n">
        <f aca="false">Y516*MAX(0,Parametri_v3!$C$12-IF(P516=0,0,MIN(1,BE516/(P516*Parametri_v3!$C$22))))+W516*Parametri_v3!$C$13+X516*Parametri_v3!$C$14</f>
        <v>26385.8176211284</v>
      </c>
      <c r="CH516" s="15" t="n">
        <f aca="false">AB516*Parametri_v3!$C$32</f>
        <v>3713.68333333333</v>
      </c>
      <c r="CI516" s="15" t="n">
        <f aca="false">AC516*Parametri_v3!$C$32</f>
        <v>1270.86979166667</v>
      </c>
      <c r="CJ516" s="15" t="n">
        <f aca="false">CA516-AB516</f>
        <v>42942.4078268096</v>
      </c>
      <c r="CK516" s="15" t="n">
        <f aca="false">CB516-AC516-BH516</f>
        <v>14792.5</v>
      </c>
      <c r="CL516" s="15" t="n">
        <f aca="false">BF516*Ipotesi!$C$73+INDEX(Ipotesi!$C$72:$G$72,1,F516)/12*Ipotesi!K126*Parametri_v3!$C$58+Z516*(1-Parametri_v3!$C$16)</f>
        <v>8337.42590103402</v>
      </c>
      <c r="CM516" s="16" t="n">
        <f aca="false">IF(BF516=0,0,1-CL516/BF516)</f>
        <v>0.71167933763614</v>
      </c>
    </row>
    <row r="517" customFormat="false" ht="18" hidden="false" customHeight="true" outlineLevel="0" collapsed="false">
      <c r="A517" s="68" t="n">
        <f aca="false">9</f>
        <v>9</v>
      </c>
      <c r="B517" s="68" t="n">
        <f aca="false">33</f>
        <v>33</v>
      </c>
      <c r="C517" s="18" t="n">
        <f aca="false">EDATE(Parametri_v3!$C$5,33-1)</f>
        <v>47362</v>
      </c>
      <c r="D517" s="68" t="n">
        <f aca="false">YEAR(C517)</f>
        <v>2029</v>
      </c>
      <c r="E517" s="68" t="n">
        <f aca="false">MONTH(C517)</f>
        <v>9</v>
      </c>
      <c r="F517" s="68" t="n">
        <f aca="false">INT((33-1)/12)+1</f>
        <v>3</v>
      </c>
      <c r="G517" s="15" t="n">
        <f aca="false">Ipotesi!K7</f>
        <v>1</v>
      </c>
      <c r="H517" s="15" t="n">
        <f aca="false">Ipotesi!K9</f>
        <v>1</v>
      </c>
      <c r="I517" s="15" t="n">
        <f aca="false">Ipotesi!K10</f>
        <v>1</v>
      </c>
      <c r="J517" s="15" t="n">
        <f aca="false">Ipotesi!K11</f>
        <v>1</v>
      </c>
      <c r="K517" s="15" t="n">
        <f aca="false">Ipotesi!K12</f>
        <v>1</v>
      </c>
      <c r="L517" s="15" t="n">
        <f aca="false">Ipotesi!K13</f>
        <v>90</v>
      </c>
      <c r="M517" s="17" t="n">
        <f aca="false">INDEX(Ipotesi!$C$40:$G$40,1,F517)</f>
        <v>1</v>
      </c>
      <c r="N517" s="17" t="n">
        <f aca="false">INDEX(Ipotesi!$C$41:$G$41,1,F517)</f>
        <v>1</v>
      </c>
      <c r="O517" s="17" t="n">
        <f aca="false">INDEX(Ipotesi!$C$42:$G$42,1,F517)*Ipotesi!K125</f>
        <v>4.5</v>
      </c>
      <c r="P517" s="17" t="n">
        <f aca="false">INDEX(Ipotesi!$C$43:$G$43,1,F517)*I517</f>
        <v>5</v>
      </c>
      <c r="Q517" s="17" t="n">
        <f aca="false">INDEX(Ipotesi!$C$44:$G$44,1,F517)*I517</f>
        <v>4</v>
      </c>
      <c r="R517" s="17" t="n">
        <f aca="false">INDEX(Ipotesi!$C$45:$G$45,1,F517)*I517</f>
        <v>1</v>
      </c>
      <c r="S517" s="17" t="n">
        <f aca="false">INDEX(Ipotesi!$C$52:$G$52,1,F517)*Ipotesi!K125</f>
        <v>5</v>
      </c>
      <c r="T517" s="17" t="n">
        <f aca="false">INDEX(Ipotesi!$C$53:$G$53,1,F517)*I517</f>
        <v>1</v>
      </c>
      <c r="U517" s="17" t="n">
        <f aca="false">INDEX(Ipotesi!$C$54:$G$54,1,F517)*I517</f>
        <v>0.5</v>
      </c>
      <c r="V517" s="15" t="n">
        <f aca="false">M517*INDEX(Ipotesi!$C$58:$G$58,1,F517)*K517/12</f>
        <v>7083.33333333333</v>
      </c>
      <c r="W517" s="15" t="n">
        <f aca="false">N517*Ipotesi!$C$59*(1+Ipotesi!$C$66)^(F517-1)/12</f>
        <v>6188.58333333333</v>
      </c>
      <c r="X517" s="15" t="n">
        <f aca="false">O517*Ipotesi!$C$60*(1+Ipotesi!$C$66)^(F517-1)/12</f>
        <v>19891.875</v>
      </c>
      <c r="Y517" s="15" t="n">
        <f aca="false">P517*Ipotesi!$C$61*(1+Ipotesi!$C$66)^(F517-1)/12</f>
        <v>22102.0833333333</v>
      </c>
      <c r="Z517" s="15" t="n">
        <f aca="false">Q517*Ipotesi!$C$62*(1+Ipotesi!$C$66)^(F517-1)/12</f>
        <v>15913.5</v>
      </c>
      <c r="AA517" s="15" t="n">
        <f aca="false">R517*Ipotesi!$C$63*(1+Ipotesi!$C$66)^(F517-1)/12</f>
        <v>3094.29166666667</v>
      </c>
      <c r="AB517" s="15" t="n">
        <f aca="false">SUM(V517:AA517)</f>
        <v>74273.6666666667</v>
      </c>
      <c r="AC517" s="15" t="n">
        <f aca="false">(S517*Ipotesi!$C$64+T517*Ipotesi!$C$65+U517*Ipotesi!$C$63)*(1+Ipotesi!$C$66)^(F517-1)/12</f>
        <v>25417.3958333333</v>
      </c>
      <c r="AD517" s="15" t="n">
        <f aca="false">INDEX(Ipotesi!$C$48:$G$48,1,F517)*G517/12</f>
        <v>60</v>
      </c>
      <c r="AE517" s="15" t="n">
        <f aca="false">INDEX(Ipotesi!$C$50:$G$50,1,F517)*G517/12</f>
        <v>6.66666666666667</v>
      </c>
      <c r="AF517" s="15" t="n">
        <f aca="false">(S517*Parametri_v3!$C$7*Parametri_v3!$C$8+Parametri_v3!$C$10)/12</f>
        <v>64.1666666666667</v>
      </c>
      <c r="AG517" s="15" t="n">
        <f aca="false">AD517+AE517*(1+Parametri_v3!$C$9)</f>
        <v>70</v>
      </c>
      <c r="AH517" s="16" t="n">
        <f aca="false">IF(AG517=0,1,MIN(1,AF517/AG517))</f>
        <v>0.916666666666667</v>
      </c>
      <c r="AI517" s="15" t="n">
        <f aca="false">AD517*AH517</f>
        <v>55</v>
      </c>
      <c r="AJ517" s="15" t="n">
        <f aca="false">AE517*AH517</f>
        <v>6.11111111111111</v>
      </c>
      <c r="AK517" s="15" t="n">
        <f aca="false">AI517*INDEX(Ipotesi!$C$49:$G$49,1,F517)*H517</f>
        <v>46750</v>
      </c>
      <c r="AL517" s="15" t="n">
        <f aca="false">AJ517*INDEX(Ipotesi!$C$51:$G$51,1,F517)*H517</f>
        <v>13750</v>
      </c>
      <c r="AM517" s="15" t="n">
        <f aca="false">AK517+AL517</f>
        <v>60500</v>
      </c>
      <c r="AN517" s="15" t="n">
        <f aca="false">INDEX(Ipotesi!$C$30:$G$30,1,F517)*G517/12</f>
        <v>41.6666666666667</v>
      </c>
      <c r="AO517" s="15" t="n">
        <f aca="false">O517*Parametri_v3!$C$7*Parametri_v3!$C$11*(1-Parametri_v3!$C$14)/12</f>
        <v>46.2</v>
      </c>
      <c r="AP517" s="15" t="n">
        <f aca="false">MIN(AN517,AO517)</f>
        <v>41.6666666666667</v>
      </c>
      <c r="AQ517" s="15" t="n">
        <f aca="false">AP517*INDEX(Ipotesi!$C$31:$G$31,1,F517)*H517</f>
        <v>41666.6666666667</v>
      </c>
      <c r="AR517" s="15" t="n">
        <f aca="false">INDEX(Ipotesi!$C$75:$G$75,1,F517)*J517/12</f>
        <v>20000</v>
      </c>
      <c r="AS517" s="15" t="n">
        <f aca="false">INDEX(Ipotesi!$C$81:$G$81,1,F517)*J517/12</f>
        <v>1250</v>
      </c>
      <c r="AT517" s="15" t="n">
        <f aca="false">AR517*Parametri_v3!$C$15+Z517*Parametri_v3!$C$16</f>
        <v>31139.45</v>
      </c>
      <c r="AU517" s="15" t="n">
        <f aca="false">Q517*Parametri_v3!$C$16*Parametri_v3!$C$17</f>
        <v>280</v>
      </c>
      <c r="AV517" s="17" t="n">
        <f aca="false">BD516</f>
        <v>65.9427114621375</v>
      </c>
      <c r="AW517" s="17" t="n">
        <f aca="false">AV517*(1-(1-INDEX(Ipotesi!$C$34:$G$34,1,F517))^(1/12))</f>
        <v>0.576445528899826</v>
      </c>
      <c r="AX517" s="15" t="n">
        <f aca="false">ROUND(INDEX(Ipotesi!$C$32:$G$32,1,F517)*Ipotesi!K8,0)</f>
        <v>130</v>
      </c>
      <c r="AY517" s="15" t="n">
        <f aca="false">MAX(0,(AX517-(AV517-AW517))/(13-E517))</f>
        <v>16.1584335166906</v>
      </c>
      <c r="AZ517" s="15" t="n">
        <f aca="false">MIN(P517*Parametri_v3!$C$22,Q517*(1-Parametri_v3!$C$16)*Parametri_v3!$C$23)</f>
        <v>180</v>
      </c>
      <c r="BA517" s="15" t="n">
        <f aca="false">IF(OR(INDEX(Ipotesi!$C$35:$G$35,1,F517)&lt;=0,33-Parametri_v3!$C$21&lt;1),0,INDEX($AT$485:$AT$544,MAX(1,33-Parametri_v3!$C$21))/(INDEX(Ipotesi!$C$35:$G$35,1,F517)*Ipotesi!K27))</f>
        <v>6.22789</v>
      </c>
      <c r="BB517" s="15" t="n">
        <f aca="false">IF(33-Parametri_v3!$C$21&lt;1,0,INDEX($AU$485:$AU$544,MAX(1,33-Parametri_v3!$C$21)))*Parametri_v3!$C$18*Parametri_v3!$C$19*Parametri_v3!$C$20</f>
        <v>10.5</v>
      </c>
      <c r="BC517" s="17" t="n">
        <f aca="false">MAX(0,MIN(AY517,BA517,BB517,MAX(0,AZ517-(AV517-AW517))))</f>
        <v>6.22789</v>
      </c>
      <c r="BD517" s="17" t="n">
        <f aca="false">AV517-AW517+BC517</f>
        <v>71.5941559332377</v>
      </c>
      <c r="BE517" s="17" t="n">
        <f aca="false">(AV517+BD517)/2</f>
        <v>68.7684336976876</v>
      </c>
      <c r="BF517" s="15" t="n">
        <f aca="false">BE517*INDEX(Ipotesi!$C$33:$G$33,1,F517)*H517/12</f>
        <v>31518.8654447735</v>
      </c>
      <c r="BG517" s="15" t="n">
        <f aca="false">BD517*INDEX(Ipotesi!$C$33:$G$33,1,F517)*H517</f>
        <v>393767.857632807</v>
      </c>
      <c r="BH517" s="15" t="n">
        <f aca="false">AM517*INDEX(Ipotesi!$C$37:$G$37,1,F517)</f>
        <v>6050</v>
      </c>
      <c r="BI517" s="15" t="n">
        <f aca="false">AQ517+BF517+BH517</f>
        <v>79235.5321114401</v>
      </c>
      <c r="BJ517" s="15" t="n">
        <f aca="false">INDEX(Ipotesi!$C$68:$G$68,1,F517)*Ipotesi!$C$69/12</f>
        <v>2400</v>
      </c>
      <c r="BK517" s="15" t="n">
        <f aca="false">INDEX(Ipotesi!$C$68:$G$68,1,F517)*(1-Ipotesi!$C$69)/12</f>
        <v>3600</v>
      </c>
      <c r="BL517" s="15" t="n">
        <f aca="false">(AQ517+BF517)*Ipotesi!$C$67</f>
        <v>2195.5659633432</v>
      </c>
      <c r="BM517" s="15" t="n">
        <f aca="false">AM517*Ipotesi!$C$67</f>
        <v>1815</v>
      </c>
      <c r="BN517" s="15" t="n">
        <f aca="false">INDEX(Ipotesi!$C$72:$G$72,1,F517)/12*Ipotesi!K126+BF517*Ipotesi!$C$73</f>
        <v>3771.50923558188</v>
      </c>
      <c r="BO517" s="15" t="n">
        <f aca="false">INDEX(Ipotesi!$C$74:$G$74,1,F517)/12*Ipotesi!K126</f>
        <v>2916.66666666667</v>
      </c>
      <c r="BP517" s="15" t="n">
        <f aca="false">INDEX(Ipotesi!$C$76:$G$76,1,F517)/12</f>
        <v>1083.33333333333</v>
      </c>
      <c r="BQ517" s="15" t="n">
        <f aca="false">INDEX(Ipotesi!$C$77:$G$77,1,F517)/12*Ipotesi!K126</f>
        <v>2083.33333333333</v>
      </c>
      <c r="BR517" s="15" t="n">
        <f aca="false">INDEX(Ipotesi!$C$78:$G$78,1,F517)/12</f>
        <v>1666.66666666667</v>
      </c>
      <c r="BS517" s="15" t="n">
        <f aca="false">SUM(M517:R517)*(Ipotesi!$C$85+Ipotesi!$C$86)/12</f>
        <v>4812.5</v>
      </c>
      <c r="BT517" s="15" t="n">
        <f aca="false">BI517*Ipotesi!$C$87</f>
        <v>2377.0659633432</v>
      </c>
      <c r="BU517" s="15" t="n">
        <f aca="false">INDEX(Ipotesi!$C$55:$G$55,1,F517)*K517/12</f>
        <v>1500</v>
      </c>
      <c r="BV517" s="15" t="n">
        <f aca="false">INDEX(Ipotesi!$C$80:$G$80,1,F517)/12*Ipotesi!K126</f>
        <v>1250</v>
      </c>
      <c r="BW517" s="15" t="n">
        <f aca="false">INDEX(Ipotesi!$C$82:$G$82,1,F517)/12</f>
        <v>1000</v>
      </c>
      <c r="BX517" s="15" t="n">
        <f aca="false">INDEX(Ipotesi!$C$83:$G$83,1,F517)/12</f>
        <v>666.666666666667</v>
      </c>
      <c r="BY517" s="15" t="n">
        <f aca="false">SUM(S517:U517)*(Ipotesi!$C$85+Ipotesi!$C$86)/12</f>
        <v>1895.83333333333</v>
      </c>
      <c r="BZ517" s="15" t="n">
        <f aca="false">AM517*Ipotesi!$C$87</f>
        <v>1815</v>
      </c>
      <c r="CA517" s="15" t="n">
        <f aca="false">AB517+BJ517+BL517+BN517+BO517+AR517+BP517+BQ517+BR517+BS517+BT517</f>
        <v>117580.307828935</v>
      </c>
      <c r="CB517" s="15" t="n">
        <f aca="false">AC517+BK517+BM517+BH517+BU517+BV517+AS517+BW517+BX517+BY517+BZ517</f>
        <v>46259.8958333333</v>
      </c>
      <c r="CC517" s="15" t="n">
        <f aca="false">BI517-CA517</f>
        <v>-38344.7757174948</v>
      </c>
      <c r="CD517" s="15" t="n">
        <f aca="false">AM517-CB517</f>
        <v>14240.1041666667</v>
      </c>
      <c r="CE517" s="15" t="n">
        <f aca="false">INDEX(Ipotesi!$C$79:$G$79,1,F517)/12</f>
        <v>2500</v>
      </c>
      <c r="CF517" s="15" t="n">
        <f aca="false">INDEX(Ipotesi!$C$84:$G$84,1,F517)/12</f>
        <v>416.666666666667</v>
      </c>
      <c r="CG517" s="15" t="n">
        <f aca="false">Y517*MAX(0,Parametri_v3!$C$12-IF(P517=0,0,MIN(1,BE517/(P517*Parametri_v3!$C$22))))+W517*Parametri_v3!$C$13+X517*Parametri_v3!$C$14</f>
        <v>26134.8986954218</v>
      </c>
      <c r="CH517" s="15" t="n">
        <f aca="false">AB517*Parametri_v3!$C$32</f>
        <v>3713.68333333333</v>
      </c>
      <c r="CI517" s="15" t="n">
        <f aca="false">AC517*Parametri_v3!$C$32</f>
        <v>1270.86979166667</v>
      </c>
      <c r="CJ517" s="15" t="n">
        <f aca="false">CA517-AB517</f>
        <v>43306.6411622683</v>
      </c>
      <c r="CK517" s="15" t="n">
        <f aca="false">CB517-AC517-BH517</f>
        <v>14792.5</v>
      </c>
      <c r="CL517" s="15" t="n">
        <f aca="false">BF517*Ipotesi!$C$73+INDEX(Ipotesi!$C$72:$G$72,1,F517)/12*Ipotesi!K126*Parametri_v3!$C$58+Z517*(1-Parametri_v3!$C$16)</f>
        <v>8545.55923558188</v>
      </c>
      <c r="CM517" s="16" t="n">
        <f aca="false">IF(BF517=0,0,1-CL517/BF517)</f>
        <v>0.728874782927857</v>
      </c>
    </row>
    <row r="518" customFormat="false" ht="18" hidden="false" customHeight="true" outlineLevel="0" collapsed="false">
      <c r="A518" s="68" t="n">
        <f aca="false">9</f>
        <v>9</v>
      </c>
      <c r="B518" s="68" t="n">
        <f aca="false">34</f>
        <v>34</v>
      </c>
      <c r="C518" s="18" t="n">
        <f aca="false">EDATE(Parametri_v3!$C$5,34-1)</f>
        <v>47392</v>
      </c>
      <c r="D518" s="68" t="n">
        <f aca="false">YEAR(C518)</f>
        <v>2029</v>
      </c>
      <c r="E518" s="68" t="n">
        <f aca="false">MONTH(C518)</f>
        <v>10</v>
      </c>
      <c r="F518" s="68" t="n">
        <f aca="false">INT((34-1)/12)+1</f>
        <v>3</v>
      </c>
      <c r="G518" s="15" t="n">
        <f aca="false">Ipotesi!K7</f>
        <v>1</v>
      </c>
      <c r="H518" s="15" t="n">
        <f aca="false">Ipotesi!K9</f>
        <v>1</v>
      </c>
      <c r="I518" s="15" t="n">
        <f aca="false">Ipotesi!K10</f>
        <v>1</v>
      </c>
      <c r="J518" s="15" t="n">
        <f aca="false">Ipotesi!K11</f>
        <v>1</v>
      </c>
      <c r="K518" s="15" t="n">
        <f aca="false">Ipotesi!K12</f>
        <v>1</v>
      </c>
      <c r="L518" s="15" t="n">
        <f aca="false">Ipotesi!K13</f>
        <v>90</v>
      </c>
      <c r="M518" s="17" t="n">
        <f aca="false">INDEX(Ipotesi!$C$40:$G$40,1,F518)</f>
        <v>1</v>
      </c>
      <c r="N518" s="17" t="n">
        <f aca="false">INDEX(Ipotesi!$C$41:$G$41,1,F518)</f>
        <v>1</v>
      </c>
      <c r="O518" s="17" t="n">
        <f aca="false">INDEX(Ipotesi!$C$42:$G$42,1,F518)*Ipotesi!K125</f>
        <v>4.5</v>
      </c>
      <c r="P518" s="17" t="n">
        <f aca="false">INDEX(Ipotesi!$C$43:$G$43,1,F518)*I518</f>
        <v>5</v>
      </c>
      <c r="Q518" s="17" t="n">
        <f aca="false">INDEX(Ipotesi!$C$44:$G$44,1,F518)*I518</f>
        <v>4</v>
      </c>
      <c r="R518" s="17" t="n">
        <f aca="false">INDEX(Ipotesi!$C$45:$G$45,1,F518)*I518</f>
        <v>1</v>
      </c>
      <c r="S518" s="17" t="n">
        <f aca="false">INDEX(Ipotesi!$C$52:$G$52,1,F518)*Ipotesi!K125</f>
        <v>5</v>
      </c>
      <c r="T518" s="17" t="n">
        <f aca="false">INDEX(Ipotesi!$C$53:$G$53,1,F518)*I518</f>
        <v>1</v>
      </c>
      <c r="U518" s="17" t="n">
        <f aca="false">INDEX(Ipotesi!$C$54:$G$54,1,F518)*I518</f>
        <v>0.5</v>
      </c>
      <c r="V518" s="15" t="n">
        <f aca="false">M518*INDEX(Ipotesi!$C$58:$G$58,1,F518)*K518/12</f>
        <v>7083.33333333333</v>
      </c>
      <c r="W518" s="15" t="n">
        <f aca="false">N518*Ipotesi!$C$59*(1+Ipotesi!$C$66)^(F518-1)/12</f>
        <v>6188.58333333333</v>
      </c>
      <c r="X518" s="15" t="n">
        <f aca="false">O518*Ipotesi!$C$60*(1+Ipotesi!$C$66)^(F518-1)/12</f>
        <v>19891.875</v>
      </c>
      <c r="Y518" s="15" t="n">
        <f aca="false">P518*Ipotesi!$C$61*(1+Ipotesi!$C$66)^(F518-1)/12</f>
        <v>22102.0833333333</v>
      </c>
      <c r="Z518" s="15" t="n">
        <f aca="false">Q518*Ipotesi!$C$62*(1+Ipotesi!$C$66)^(F518-1)/12</f>
        <v>15913.5</v>
      </c>
      <c r="AA518" s="15" t="n">
        <f aca="false">R518*Ipotesi!$C$63*(1+Ipotesi!$C$66)^(F518-1)/12</f>
        <v>3094.29166666667</v>
      </c>
      <c r="AB518" s="15" t="n">
        <f aca="false">SUM(V518:AA518)</f>
        <v>74273.6666666667</v>
      </c>
      <c r="AC518" s="15" t="n">
        <f aca="false">(S518*Ipotesi!$C$64+T518*Ipotesi!$C$65+U518*Ipotesi!$C$63)*(1+Ipotesi!$C$66)^(F518-1)/12</f>
        <v>25417.3958333333</v>
      </c>
      <c r="AD518" s="15" t="n">
        <f aca="false">INDEX(Ipotesi!$C$48:$G$48,1,F518)*G518/12</f>
        <v>60</v>
      </c>
      <c r="AE518" s="15" t="n">
        <f aca="false">INDEX(Ipotesi!$C$50:$G$50,1,F518)*G518/12</f>
        <v>6.66666666666667</v>
      </c>
      <c r="AF518" s="15" t="n">
        <f aca="false">(S518*Parametri_v3!$C$7*Parametri_v3!$C$8+Parametri_v3!$C$10)/12</f>
        <v>64.1666666666667</v>
      </c>
      <c r="AG518" s="15" t="n">
        <f aca="false">AD518+AE518*(1+Parametri_v3!$C$9)</f>
        <v>70</v>
      </c>
      <c r="AH518" s="16" t="n">
        <f aca="false">IF(AG518=0,1,MIN(1,AF518/AG518))</f>
        <v>0.916666666666667</v>
      </c>
      <c r="AI518" s="15" t="n">
        <f aca="false">AD518*AH518</f>
        <v>55</v>
      </c>
      <c r="AJ518" s="15" t="n">
        <f aca="false">AE518*AH518</f>
        <v>6.11111111111111</v>
      </c>
      <c r="AK518" s="15" t="n">
        <f aca="false">AI518*INDEX(Ipotesi!$C$49:$G$49,1,F518)*H518</f>
        <v>46750</v>
      </c>
      <c r="AL518" s="15" t="n">
        <f aca="false">AJ518*INDEX(Ipotesi!$C$51:$G$51,1,F518)*H518</f>
        <v>13750</v>
      </c>
      <c r="AM518" s="15" t="n">
        <f aca="false">AK518+AL518</f>
        <v>60500</v>
      </c>
      <c r="AN518" s="15" t="n">
        <f aca="false">INDEX(Ipotesi!$C$30:$G$30,1,F518)*G518/12</f>
        <v>41.6666666666667</v>
      </c>
      <c r="AO518" s="15" t="n">
        <f aca="false">O518*Parametri_v3!$C$7*Parametri_v3!$C$11*(1-Parametri_v3!$C$14)/12</f>
        <v>46.2</v>
      </c>
      <c r="AP518" s="15" t="n">
        <f aca="false">MIN(AN518,AO518)</f>
        <v>41.6666666666667</v>
      </c>
      <c r="AQ518" s="15" t="n">
        <f aca="false">AP518*INDEX(Ipotesi!$C$31:$G$31,1,F518)*H518</f>
        <v>41666.6666666667</v>
      </c>
      <c r="AR518" s="15" t="n">
        <f aca="false">INDEX(Ipotesi!$C$75:$G$75,1,F518)*J518/12</f>
        <v>20000</v>
      </c>
      <c r="AS518" s="15" t="n">
        <f aca="false">INDEX(Ipotesi!$C$81:$G$81,1,F518)*J518/12</f>
        <v>1250</v>
      </c>
      <c r="AT518" s="15" t="n">
        <f aca="false">AR518*Parametri_v3!$C$15+Z518*Parametri_v3!$C$16</f>
        <v>31139.45</v>
      </c>
      <c r="AU518" s="15" t="n">
        <f aca="false">Q518*Parametri_v3!$C$16*Parametri_v3!$C$17</f>
        <v>280</v>
      </c>
      <c r="AV518" s="17" t="n">
        <f aca="false">BD517</f>
        <v>71.5941559332377</v>
      </c>
      <c r="AW518" s="17" t="n">
        <f aca="false">AV518*(1-(1-INDEX(Ipotesi!$C$34:$G$34,1,F518))^(1/12))</f>
        <v>0.625848257798256</v>
      </c>
      <c r="AX518" s="15" t="n">
        <f aca="false">ROUND(INDEX(Ipotesi!$C$32:$G$32,1,F518)*Ipotesi!K8,0)</f>
        <v>130</v>
      </c>
      <c r="AY518" s="15" t="n">
        <f aca="false">MAX(0,(AX518-(AV518-AW518))/(13-E518))</f>
        <v>19.6772307748535</v>
      </c>
      <c r="AZ518" s="15" t="n">
        <f aca="false">MIN(P518*Parametri_v3!$C$22,Q518*(1-Parametri_v3!$C$16)*Parametri_v3!$C$23)</f>
        <v>180</v>
      </c>
      <c r="BA518" s="15" t="n">
        <f aca="false">IF(OR(INDEX(Ipotesi!$C$35:$G$35,1,F518)&lt;=0,34-Parametri_v3!$C$21&lt;1),0,INDEX($AT$485:$AT$544,MAX(1,34-Parametri_v3!$C$21))/(INDEX(Ipotesi!$C$35:$G$35,1,F518)*Ipotesi!K27))</f>
        <v>6.22789</v>
      </c>
      <c r="BB518" s="15" t="n">
        <f aca="false">IF(34-Parametri_v3!$C$21&lt;1,0,INDEX($AU$485:$AU$544,MAX(1,34-Parametri_v3!$C$21)))*Parametri_v3!$C$18*Parametri_v3!$C$19*Parametri_v3!$C$20</f>
        <v>10.5</v>
      </c>
      <c r="BC518" s="17" t="n">
        <f aca="false">MAX(0,MIN(AY518,BA518,BB518,MAX(0,AZ518-(AV518-AW518))))</f>
        <v>6.22789</v>
      </c>
      <c r="BD518" s="17" t="n">
        <f aca="false">AV518-AW518+BC518</f>
        <v>77.1961976754394</v>
      </c>
      <c r="BE518" s="17" t="n">
        <f aca="false">(AV518+BD518)/2</f>
        <v>74.3951768043386</v>
      </c>
      <c r="BF518" s="15" t="n">
        <f aca="false">BE518*INDEX(Ipotesi!$C$33:$G$33,1,F518)*H518/12</f>
        <v>34097.7893686552</v>
      </c>
      <c r="BG518" s="15" t="n">
        <f aca="false">BD518*INDEX(Ipotesi!$C$33:$G$33,1,F518)*H518</f>
        <v>424579.087214917</v>
      </c>
      <c r="BH518" s="15" t="n">
        <f aca="false">AM518*INDEX(Ipotesi!$C$37:$G$37,1,F518)</f>
        <v>6050</v>
      </c>
      <c r="BI518" s="15" t="n">
        <f aca="false">AQ518+BF518+BH518</f>
        <v>81814.4560353218</v>
      </c>
      <c r="BJ518" s="15" t="n">
        <f aca="false">INDEX(Ipotesi!$C$68:$G$68,1,F518)*Ipotesi!$C$69/12</f>
        <v>2400</v>
      </c>
      <c r="BK518" s="15" t="n">
        <f aca="false">INDEX(Ipotesi!$C$68:$G$68,1,F518)*(1-Ipotesi!$C$69)/12</f>
        <v>3600</v>
      </c>
      <c r="BL518" s="15" t="n">
        <f aca="false">(AQ518+BF518)*Ipotesi!$C$67</f>
        <v>2272.93368105966</v>
      </c>
      <c r="BM518" s="15" t="n">
        <f aca="false">AM518*Ipotesi!$C$67</f>
        <v>1815</v>
      </c>
      <c r="BN518" s="15" t="n">
        <f aca="false">INDEX(Ipotesi!$C$72:$G$72,1,F518)/12*Ipotesi!K126+BF518*Ipotesi!$C$73</f>
        <v>3977.82314949241</v>
      </c>
      <c r="BO518" s="15" t="n">
        <f aca="false">INDEX(Ipotesi!$C$74:$G$74,1,F518)/12*Ipotesi!K126</f>
        <v>2916.66666666667</v>
      </c>
      <c r="BP518" s="15" t="n">
        <f aca="false">INDEX(Ipotesi!$C$76:$G$76,1,F518)/12</f>
        <v>1083.33333333333</v>
      </c>
      <c r="BQ518" s="15" t="n">
        <f aca="false">INDEX(Ipotesi!$C$77:$G$77,1,F518)/12*Ipotesi!K126</f>
        <v>2083.33333333333</v>
      </c>
      <c r="BR518" s="15" t="n">
        <f aca="false">INDEX(Ipotesi!$C$78:$G$78,1,F518)/12</f>
        <v>1666.66666666667</v>
      </c>
      <c r="BS518" s="15" t="n">
        <f aca="false">SUM(M518:R518)*(Ipotesi!$C$85+Ipotesi!$C$86)/12</f>
        <v>4812.5</v>
      </c>
      <c r="BT518" s="15" t="n">
        <f aca="false">BI518*Ipotesi!$C$87</f>
        <v>2454.43368105966</v>
      </c>
      <c r="BU518" s="15" t="n">
        <f aca="false">INDEX(Ipotesi!$C$55:$G$55,1,F518)*K518/12</f>
        <v>1500</v>
      </c>
      <c r="BV518" s="15" t="n">
        <f aca="false">INDEX(Ipotesi!$C$80:$G$80,1,F518)/12*Ipotesi!K126</f>
        <v>1250</v>
      </c>
      <c r="BW518" s="15" t="n">
        <f aca="false">INDEX(Ipotesi!$C$82:$G$82,1,F518)/12</f>
        <v>1000</v>
      </c>
      <c r="BX518" s="15" t="n">
        <f aca="false">INDEX(Ipotesi!$C$83:$G$83,1,F518)/12</f>
        <v>666.666666666667</v>
      </c>
      <c r="BY518" s="15" t="n">
        <f aca="false">SUM(S518:U518)*(Ipotesi!$C$85+Ipotesi!$C$86)/12</f>
        <v>1895.83333333333</v>
      </c>
      <c r="BZ518" s="15" t="n">
        <f aca="false">AM518*Ipotesi!$C$87</f>
        <v>1815</v>
      </c>
      <c r="CA518" s="15" t="n">
        <f aca="false">AB518+BJ518+BL518+BN518+BO518+AR518+BP518+BQ518+BR518+BS518+BT518</f>
        <v>117941.357178278</v>
      </c>
      <c r="CB518" s="15" t="n">
        <f aca="false">AC518+BK518+BM518+BH518+BU518+BV518+AS518+BW518+BX518+BY518+BZ518</f>
        <v>46259.8958333333</v>
      </c>
      <c r="CC518" s="15" t="n">
        <f aca="false">BI518-CA518</f>
        <v>-36126.9011429566</v>
      </c>
      <c r="CD518" s="15" t="n">
        <f aca="false">AM518-CB518</f>
        <v>14240.1041666667</v>
      </c>
      <c r="CE518" s="15" t="n">
        <f aca="false">INDEX(Ipotesi!$C$79:$G$79,1,F518)/12</f>
        <v>2500</v>
      </c>
      <c r="CF518" s="15" t="n">
        <f aca="false">INDEX(Ipotesi!$C$84:$G$84,1,F518)/12</f>
        <v>416.666666666667</v>
      </c>
      <c r="CG518" s="15" t="n">
        <f aca="false">Y518*MAX(0,Parametri_v3!$C$12-IF(P518=0,0,MIN(1,BE518/(P518*Parametri_v3!$C$22))))+W518*Parametri_v3!$C$13+X518*Parametri_v3!$C$14</f>
        <v>25886.1732053449</v>
      </c>
      <c r="CH518" s="15" t="n">
        <f aca="false">AB518*Parametri_v3!$C$32</f>
        <v>3713.68333333333</v>
      </c>
      <c r="CI518" s="15" t="n">
        <f aca="false">AC518*Parametri_v3!$C$32</f>
        <v>1270.86979166667</v>
      </c>
      <c r="CJ518" s="15" t="n">
        <f aca="false">CA518-AB518</f>
        <v>43667.6905116117</v>
      </c>
      <c r="CK518" s="15" t="n">
        <f aca="false">CB518-AC518-BH518</f>
        <v>14792.5</v>
      </c>
      <c r="CL518" s="15" t="n">
        <f aca="false">BF518*Ipotesi!$C$73+INDEX(Ipotesi!$C$72:$G$72,1,F518)/12*Ipotesi!K126*Parametri_v3!$C$58+Z518*(1-Parametri_v3!$C$16)</f>
        <v>8751.87314949242</v>
      </c>
      <c r="CM518" s="16" t="n">
        <f aca="false">IF(BF518=0,0,1-CL518/BF518)</f>
        <v>0.743330189096139</v>
      </c>
    </row>
    <row r="519" customFormat="false" ht="18" hidden="false" customHeight="true" outlineLevel="0" collapsed="false">
      <c r="A519" s="68" t="n">
        <f aca="false">9</f>
        <v>9</v>
      </c>
      <c r="B519" s="68" t="n">
        <f aca="false">35</f>
        <v>35</v>
      </c>
      <c r="C519" s="18" t="n">
        <f aca="false">EDATE(Parametri_v3!$C$5,35-1)</f>
        <v>47423</v>
      </c>
      <c r="D519" s="68" t="n">
        <f aca="false">YEAR(C519)</f>
        <v>2029</v>
      </c>
      <c r="E519" s="68" t="n">
        <f aca="false">MONTH(C519)</f>
        <v>11</v>
      </c>
      <c r="F519" s="68" t="n">
        <f aca="false">INT((35-1)/12)+1</f>
        <v>3</v>
      </c>
      <c r="G519" s="15" t="n">
        <f aca="false">Ipotesi!K7</f>
        <v>1</v>
      </c>
      <c r="H519" s="15" t="n">
        <f aca="false">Ipotesi!K9</f>
        <v>1</v>
      </c>
      <c r="I519" s="15" t="n">
        <f aca="false">Ipotesi!K10</f>
        <v>1</v>
      </c>
      <c r="J519" s="15" t="n">
        <f aca="false">Ipotesi!K11</f>
        <v>1</v>
      </c>
      <c r="K519" s="15" t="n">
        <f aca="false">Ipotesi!K12</f>
        <v>1</v>
      </c>
      <c r="L519" s="15" t="n">
        <f aca="false">Ipotesi!K13</f>
        <v>90</v>
      </c>
      <c r="M519" s="17" t="n">
        <f aca="false">INDEX(Ipotesi!$C$40:$G$40,1,F519)</f>
        <v>1</v>
      </c>
      <c r="N519" s="17" t="n">
        <f aca="false">INDEX(Ipotesi!$C$41:$G$41,1,F519)</f>
        <v>1</v>
      </c>
      <c r="O519" s="17" t="n">
        <f aca="false">INDEX(Ipotesi!$C$42:$G$42,1,F519)*Ipotesi!K125</f>
        <v>4.5</v>
      </c>
      <c r="P519" s="17" t="n">
        <f aca="false">INDEX(Ipotesi!$C$43:$G$43,1,F519)*I519</f>
        <v>5</v>
      </c>
      <c r="Q519" s="17" t="n">
        <f aca="false">INDEX(Ipotesi!$C$44:$G$44,1,F519)*I519</f>
        <v>4</v>
      </c>
      <c r="R519" s="17" t="n">
        <f aca="false">INDEX(Ipotesi!$C$45:$G$45,1,F519)*I519</f>
        <v>1</v>
      </c>
      <c r="S519" s="17" t="n">
        <f aca="false">INDEX(Ipotesi!$C$52:$G$52,1,F519)*Ipotesi!K125</f>
        <v>5</v>
      </c>
      <c r="T519" s="17" t="n">
        <f aca="false">INDEX(Ipotesi!$C$53:$G$53,1,F519)*I519</f>
        <v>1</v>
      </c>
      <c r="U519" s="17" t="n">
        <f aca="false">INDEX(Ipotesi!$C$54:$G$54,1,F519)*I519</f>
        <v>0.5</v>
      </c>
      <c r="V519" s="15" t="n">
        <f aca="false">M519*INDEX(Ipotesi!$C$58:$G$58,1,F519)*K519/12</f>
        <v>7083.33333333333</v>
      </c>
      <c r="W519" s="15" t="n">
        <f aca="false">N519*Ipotesi!$C$59*(1+Ipotesi!$C$66)^(F519-1)/12</f>
        <v>6188.58333333333</v>
      </c>
      <c r="X519" s="15" t="n">
        <f aca="false">O519*Ipotesi!$C$60*(1+Ipotesi!$C$66)^(F519-1)/12</f>
        <v>19891.875</v>
      </c>
      <c r="Y519" s="15" t="n">
        <f aca="false">P519*Ipotesi!$C$61*(1+Ipotesi!$C$66)^(F519-1)/12</f>
        <v>22102.0833333333</v>
      </c>
      <c r="Z519" s="15" t="n">
        <f aca="false">Q519*Ipotesi!$C$62*(1+Ipotesi!$C$66)^(F519-1)/12</f>
        <v>15913.5</v>
      </c>
      <c r="AA519" s="15" t="n">
        <f aca="false">R519*Ipotesi!$C$63*(1+Ipotesi!$C$66)^(F519-1)/12</f>
        <v>3094.29166666667</v>
      </c>
      <c r="AB519" s="15" t="n">
        <f aca="false">SUM(V519:AA519)</f>
        <v>74273.6666666667</v>
      </c>
      <c r="AC519" s="15" t="n">
        <f aca="false">(S519*Ipotesi!$C$64+T519*Ipotesi!$C$65+U519*Ipotesi!$C$63)*(1+Ipotesi!$C$66)^(F519-1)/12</f>
        <v>25417.3958333333</v>
      </c>
      <c r="AD519" s="15" t="n">
        <f aca="false">INDEX(Ipotesi!$C$48:$G$48,1,F519)*G519/12</f>
        <v>60</v>
      </c>
      <c r="AE519" s="15" t="n">
        <f aca="false">INDEX(Ipotesi!$C$50:$G$50,1,F519)*G519/12</f>
        <v>6.66666666666667</v>
      </c>
      <c r="AF519" s="15" t="n">
        <f aca="false">(S519*Parametri_v3!$C$7*Parametri_v3!$C$8+Parametri_v3!$C$10)/12</f>
        <v>64.1666666666667</v>
      </c>
      <c r="AG519" s="15" t="n">
        <f aca="false">AD519+AE519*(1+Parametri_v3!$C$9)</f>
        <v>70</v>
      </c>
      <c r="AH519" s="16" t="n">
        <f aca="false">IF(AG519=0,1,MIN(1,AF519/AG519))</f>
        <v>0.916666666666667</v>
      </c>
      <c r="AI519" s="15" t="n">
        <f aca="false">AD519*AH519</f>
        <v>55</v>
      </c>
      <c r="AJ519" s="15" t="n">
        <f aca="false">AE519*AH519</f>
        <v>6.11111111111111</v>
      </c>
      <c r="AK519" s="15" t="n">
        <f aca="false">AI519*INDEX(Ipotesi!$C$49:$G$49,1,F519)*H519</f>
        <v>46750</v>
      </c>
      <c r="AL519" s="15" t="n">
        <f aca="false">AJ519*INDEX(Ipotesi!$C$51:$G$51,1,F519)*H519</f>
        <v>13750</v>
      </c>
      <c r="AM519" s="15" t="n">
        <f aca="false">AK519+AL519</f>
        <v>60500</v>
      </c>
      <c r="AN519" s="15" t="n">
        <f aca="false">INDEX(Ipotesi!$C$30:$G$30,1,F519)*G519/12</f>
        <v>41.6666666666667</v>
      </c>
      <c r="AO519" s="15" t="n">
        <f aca="false">O519*Parametri_v3!$C$7*Parametri_v3!$C$11*(1-Parametri_v3!$C$14)/12</f>
        <v>46.2</v>
      </c>
      <c r="AP519" s="15" t="n">
        <f aca="false">MIN(AN519,AO519)</f>
        <v>41.6666666666667</v>
      </c>
      <c r="AQ519" s="15" t="n">
        <f aca="false">AP519*INDEX(Ipotesi!$C$31:$G$31,1,F519)*H519</f>
        <v>41666.6666666667</v>
      </c>
      <c r="AR519" s="15" t="n">
        <f aca="false">INDEX(Ipotesi!$C$75:$G$75,1,F519)*J519/12</f>
        <v>20000</v>
      </c>
      <c r="AS519" s="15" t="n">
        <f aca="false">INDEX(Ipotesi!$C$81:$G$81,1,F519)*J519/12</f>
        <v>1250</v>
      </c>
      <c r="AT519" s="15" t="n">
        <f aca="false">AR519*Parametri_v3!$C$15+Z519*Parametri_v3!$C$16</f>
        <v>31139.45</v>
      </c>
      <c r="AU519" s="15" t="n">
        <f aca="false">Q519*Parametri_v3!$C$16*Parametri_v3!$C$17</f>
        <v>280</v>
      </c>
      <c r="AV519" s="17" t="n">
        <f aca="false">BD518</f>
        <v>77.1961976754394</v>
      </c>
      <c r="AW519" s="17" t="n">
        <f aca="false">AV519*(1-(1-INDEX(Ipotesi!$C$34:$G$34,1,F519))^(1/12))</f>
        <v>0.674819127260555</v>
      </c>
      <c r="AX519" s="15" t="n">
        <f aca="false">ROUND(INDEX(Ipotesi!$C$32:$G$32,1,F519)*Ipotesi!K8,0)</f>
        <v>130</v>
      </c>
      <c r="AY519" s="15" t="n">
        <f aca="false">MAX(0,(AX519-(AV519-AW519))/(13-E519))</f>
        <v>26.7393107259106</v>
      </c>
      <c r="AZ519" s="15" t="n">
        <f aca="false">MIN(P519*Parametri_v3!$C$22,Q519*(1-Parametri_v3!$C$16)*Parametri_v3!$C$23)</f>
        <v>180</v>
      </c>
      <c r="BA519" s="15" t="n">
        <f aca="false">IF(OR(INDEX(Ipotesi!$C$35:$G$35,1,F519)&lt;=0,35-Parametri_v3!$C$21&lt;1),0,INDEX($AT$485:$AT$544,MAX(1,35-Parametri_v3!$C$21))/(INDEX(Ipotesi!$C$35:$G$35,1,F519)*Ipotesi!K27))</f>
        <v>6.22789</v>
      </c>
      <c r="BB519" s="15" t="n">
        <f aca="false">IF(35-Parametri_v3!$C$21&lt;1,0,INDEX($AU$485:$AU$544,MAX(1,35-Parametri_v3!$C$21)))*Parametri_v3!$C$18*Parametri_v3!$C$19*Parametri_v3!$C$20</f>
        <v>10.5</v>
      </c>
      <c r="BC519" s="17" t="n">
        <f aca="false">MAX(0,MIN(AY519,BA519,BB519,MAX(0,AZ519-(AV519-AW519))))</f>
        <v>6.22789</v>
      </c>
      <c r="BD519" s="17" t="n">
        <f aca="false">AV519-AW519+BC519</f>
        <v>82.7492685481789</v>
      </c>
      <c r="BE519" s="17" t="n">
        <f aca="false">(AV519+BD519)/2</f>
        <v>79.9727331118092</v>
      </c>
      <c r="BF519" s="15" t="n">
        <f aca="false">BE519*INDEX(Ipotesi!$C$33:$G$33,1,F519)*H519/12</f>
        <v>36654.1693429125</v>
      </c>
      <c r="BG519" s="15" t="n">
        <f aca="false">BD519*INDEX(Ipotesi!$C$33:$G$33,1,F519)*H519</f>
        <v>455120.977014984</v>
      </c>
      <c r="BH519" s="15" t="n">
        <f aca="false">AM519*INDEX(Ipotesi!$C$37:$G$37,1,F519)</f>
        <v>6050</v>
      </c>
      <c r="BI519" s="15" t="n">
        <f aca="false">AQ519+BF519+BH519</f>
        <v>84370.8360095792</v>
      </c>
      <c r="BJ519" s="15" t="n">
        <f aca="false">INDEX(Ipotesi!$C$68:$G$68,1,F519)*Ipotesi!$C$69/12</f>
        <v>2400</v>
      </c>
      <c r="BK519" s="15" t="n">
        <f aca="false">INDEX(Ipotesi!$C$68:$G$68,1,F519)*(1-Ipotesi!$C$69)/12</f>
        <v>3600</v>
      </c>
      <c r="BL519" s="15" t="n">
        <f aca="false">(AQ519+BF519)*Ipotesi!$C$67</f>
        <v>2349.62508028738</v>
      </c>
      <c r="BM519" s="15" t="n">
        <f aca="false">AM519*Ipotesi!$C$67</f>
        <v>1815</v>
      </c>
      <c r="BN519" s="15" t="n">
        <f aca="false">INDEX(Ipotesi!$C$72:$G$72,1,F519)/12*Ipotesi!K126+BF519*Ipotesi!$C$73</f>
        <v>4182.333547433</v>
      </c>
      <c r="BO519" s="15" t="n">
        <f aca="false">INDEX(Ipotesi!$C$74:$G$74,1,F519)/12*Ipotesi!K126</f>
        <v>2916.66666666667</v>
      </c>
      <c r="BP519" s="15" t="n">
        <f aca="false">INDEX(Ipotesi!$C$76:$G$76,1,F519)/12</f>
        <v>1083.33333333333</v>
      </c>
      <c r="BQ519" s="15" t="n">
        <f aca="false">INDEX(Ipotesi!$C$77:$G$77,1,F519)/12*Ipotesi!K126</f>
        <v>2083.33333333333</v>
      </c>
      <c r="BR519" s="15" t="n">
        <f aca="false">INDEX(Ipotesi!$C$78:$G$78,1,F519)/12</f>
        <v>1666.66666666667</v>
      </c>
      <c r="BS519" s="15" t="n">
        <f aca="false">SUM(M519:R519)*(Ipotesi!$C$85+Ipotesi!$C$86)/12</f>
        <v>4812.5</v>
      </c>
      <c r="BT519" s="15" t="n">
        <f aca="false">BI519*Ipotesi!$C$87</f>
        <v>2531.12508028738</v>
      </c>
      <c r="BU519" s="15" t="n">
        <f aca="false">INDEX(Ipotesi!$C$55:$G$55,1,F519)*K519/12</f>
        <v>1500</v>
      </c>
      <c r="BV519" s="15" t="n">
        <f aca="false">INDEX(Ipotesi!$C$80:$G$80,1,F519)/12*Ipotesi!K126</f>
        <v>1250</v>
      </c>
      <c r="BW519" s="15" t="n">
        <f aca="false">INDEX(Ipotesi!$C$82:$G$82,1,F519)/12</f>
        <v>1000</v>
      </c>
      <c r="BX519" s="15" t="n">
        <f aca="false">INDEX(Ipotesi!$C$83:$G$83,1,F519)/12</f>
        <v>666.666666666667</v>
      </c>
      <c r="BY519" s="15" t="n">
        <f aca="false">SUM(S519:U519)*(Ipotesi!$C$85+Ipotesi!$C$86)/12</f>
        <v>1895.83333333333</v>
      </c>
      <c r="BZ519" s="15" t="n">
        <f aca="false">AM519*Ipotesi!$C$87</f>
        <v>1815</v>
      </c>
      <c r="CA519" s="15" t="n">
        <f aca="false">AB519+BJ519+BL519+BN519+BO519+AR519+BP519+BQ519+BR519+BS519+BT519</f>
        <v>118299.250374674</v>
      </c>
      <c r="CB519" s="15" t="n">
        <f aca="false">AC519+BK519+BM519+BH519+BU519+BV519+AS519+BW519+BX519+BY519+BZ519</f>
        <v>46259.8958333333</v>
      </c>
      <c r="CC519" s="15" t="n">
        <f aca="false">BI519-CA519</f>
        <v>-33928.4143650952</v>
      </c>
      <c r="CD519" s="15" t="n">
        <f aca="false">AM519-CB519</f>
        <v>14240.1041666667</v>
      </c>
      <c r="CE519" s="15" t="n">
        <f aca="false">INDEX(Ipotesi!$C$79:$G$79,1,F519)/12</f>
        <v>2500</v>
      </c>
      <c r="CF519" s="15" t="n">
        <f aca="false">INDEX(Ipotesi!$C$84:$G$84,1,F519)/12</f>
        <v>416.666666666667</v>
      </c>
      <c r="CG519" s="15" t="n">
        <f aca="false">Y519*MAX(0,Parametri_v3!$C$12-IF(P519=0,0,MIN(1,BE519/(P519*Parametri_v3!$C$22))))+W519*Parametri_v3!$C$13+X519*Parametri_v3!$C$14</f>
        <v>25639.6219767367</v>
      </c>
      <c r="CH519" s="15" t="n">
        <f aca="false">AB519*Parametri_v3!$C$32</f>
        <v>3713.68333333333</v>
      </c>
      <c r="CI519" s="15" t="n">
        <f aca="false">AC519*Parametri_v3!$C$32</f>
        <v>1270.86979166667</v>
      </c>
      <c r="CJ519" s="15" t="n">
        <f aca="false">CA519-AB519</f>
        <v>44025.5837080078</v>
      </c>
      <c r="CK519" s="15" t="n">
        <f aca="false">CB519-AC519-BH519</f>
        <v>14792.5</v>
      </c>
      <c r="CL519" s="15" t="n">
        <f aca="false">BF519*Ipotesi!$C$73+INDEX(Ipotesi!$C$72:$G$72,1,F519)/12*Ipotesi!K126*Parametri_v3!$C$58+Z519*(1-Parametri_v3!$C$16)</f>
        <v>8956.383547433</v>
      </c>
      <c r="CM519" s="16" t="n">
        <f aca="false">IF(BF519=0,0,1-CL519/BF519)</f>
        <v>0.755651711442622</v>
      </c>
    </row>
    <row r="520" customFormat="false" ht="18" hidden="false" customHeight="true" outlineLevel="0" collapsed="false">
      <c r="A520" s="68" t="n">
        <f aca="false">9</f>
        <v>9</v>
      </c>
      <c r="B520" s="68" t="n">
        <f aca="false">36</f>
        <v>36</v>
      </c>
      <c r="C520" s="18" t="n">
        <f aca="false">EDATE(Parametri_v3!$C$5,36-1)</f>
        <v>47453</v>
      </c>
      <c r="D520" s="68" t="n">
        <f aca="false">YEAR(C520)</f>
        <v>2029</v>
      </c>
      <c r="E520" s="68" t="n">
        <f aca="false">MONTH(C520)</f>
        <v>12</v>
      </c>
      <c r="F520" s="68" t="n">
        <f aca="false">INT((36-1)/12)+1</f>
        <v>3</v>
      </c>
      <c r="G520" s="15" t="n">
        <f aca="false">Ipotesi!K7</f>
        <v>1</v>
      </c>
      <c r="H520" s="15" t="n">
        <f aca="false">Ipotesi!K9</f>
        <v>1</v>
      </c>
      <c r="I520" s="15" t="n">
        <f aca="false">Ipotesi!K10</f>
        <v>1</v>
      </c>
      <c r="J520" s="15" t="n">
        <f aca="false">Ipotesi!K11</f>
        <v>1</v>
      </c>
      <c r="K520" s="15" t="n">
        <f aca="false">Ipotesi!K12</f>
        <v>1</v>
      </c>
      <c r="L520" s="15" t="n">
        <f aca="false">Ipotesi!K13</f>
        <v>90</v>
      </c>
      <c r="M520" s="17" t="n">
        <f aca="false">INDEX(Ipotesi!$C$40:$G$40,1,F520)</f>
        <v>1</v>
      </c>
      <c r="N520" s="17" t="n">
        <f aca="false">INDEX(Ipotesi!$C$41:$G$41,1,F520)</f>
        <v>1</v>
      </c>
      <c r="O520" s="17" t="n">
        <f aca="false">INDEX(Ipotesi!$C$42:$G$42,1,F520)*Ipotesi!K125</f>
        <v>4.5</v>
      </c>
      <c r="P520" s="17" t="n">
        <f aca="false">INDEX(Ipotesi!$C$43:$G$43,1,F520)*I520</f>
        <v>5</v>
      </c>
      <c r="Q520" s="17" t="n">
        <f aca="false">INDEX(Ipotesi!$C$44:$G$44,1,F520)*I520</f>
        <v>4</v>
      </c>
      <c r="R520" s="17" t="n">
        <f aca="false">INDEX(Ipotesi!$C$45:$G$45,1,F520)*I520</f>
        <v>1</v>
      </c>
      <c r="S520" s="17" t="n">
        <f aca="false">INDEX(Ipotesi!$C$52:$G$52,1,F520)*Ipotesi!K125</f>
        <v>5</v>
      </c>
      <c r="T520" s="17" t="n">
        <f aca="false">INDEX(Ipotesi!$C$53:$G$53,1,F520)*I520</f>
        <v>1</v>
      </c>
      <c r="U520" s="17" t="n">
        <f aca="false">INDEX(Ipotesi!$C$54:$G$54,1,F520)*I520</f>
        <v>0.5</v>
      </c>
      <c r="V520" s="15" t="n">
        <f aca="false">M520*INDEX(Ipotesi!$C$58:$G$58,1,F520)*K520/12</f>
        <v>7083.33333333333</v>
      </c>
      <c r="W520" s="15" t="n">
        <f aca="false">N520*Ipotesi!$C$59*(1+Ipotesi!$C$66)^(F520-1)/12</f>
        <v>6188.58333333333</v>
      </c>
      <c r="X520" s="15" t="n">
        <f aca="false">O520*Ipotesi!$C$60*(1+Ipotesi!$C$66)^(F520-1)/12</f>
        <v>19891.875</v>
      </c>
      <c r="Y520" s="15" t="n">
        <f aca="false">P520*Ipotesi!$C$61*(1+Ipotesi!$C$66)^(F520-1)/12</f>
        <v>22102.0833333333</v>
      </c>
      <c r="Z520" s="15" t="n">
        <f aca="false">Q520*Ipotesi!$C$62*(1+Ipotesi!$C$66)^(F520-1)/12</f>
        <v>15913.5</v>
      </c>
      <c r="AA520" s="15" t="n">
        <f aca="false">R520*Ipotesi!$C$63*(1+Ipotesi!$C$66)^(F520-1)/12</f>
        <v>3094.29166666667</v>
      </c>
      <c r="AB520" s="15" t="n">
        <f aca="false">SUM(V520:AA520)</f>
        <v>74273.6666666667</v>
      </c>
      <c r="AC520" s="15" t="n">
        <f aca="false">(S520*Ipotesi!$C$64+T520*Ipotesi!$C$65+U520*Ipotesi!$C$63)*(1+Ipotesi!$C$66)^(F520-1)/12</f>
        <v>25417.3958333333</v>
      </c>
      <c r="AD520" s="15" t="n">
        <f aca="false">INDEX(Ipotesi!$C$48:$G$48,1,F520)*G520/12</f>
        <v>60</v>
      </c>
      <c r="AE520" s="15" t="n">
        <f aca="false">INDEX(Ipotesi!$C$50:$G$50,1,F520)*G520/12</f>
        <v>6.66666666666667</v>
      </c>
      <c r="AF520" s="15" t="n">
        <f aca="false">(S520*Parametri_v3!$C$7*Parametri_v3!$C$8+Parametri_v3!$C$10)/12</f>
        <v>64.1666666666667</v>
      </c>
      <c r="AG520" s="15" t="n">
        <f aca="false">AD520+AE520*(1+Parametri_v3!$C$9)</f>
        <v>70</v>
      </c>
      <c r="AH520" s="16" t="n">
        <f aca="false">IF(AG520=0,1,MIN(1,AF520/AG520))</f>
        <v>0.916666666666667</v>
      </c>
      <c r="AI520" s="15" t="n">
        <f aca="false">AD520*AH520</f>
        <v>55</v>
      </c>
      <c r="AJ520" s="15" t="n">
        <f aca="false">AE520*AH520</f>
        <v>6.11111111111111</v>
      </c>
      <c r="AK520" s="15" t="n">
        <f aca="false">AI520*INDEX(Ipotesi!$C$49:$G$49,1,F520)*H520</f>
        <v>46750</v>
      </c>
      <c r="AL520" s="15" t="n">
        <f aca="false">AJ520*INDEX(Ipotesi!$C$51:$G$51,1,F520)*H520</f>
        <v>13750</v>
      </c>
      <c r="AM520" s="15" t="n">
        <f aca="false">AK520+AL520</f>
        <v>60500</v>
      </c>
      <c r="AN520" s="15" t="n">
        <f aca="false">INDEX(Ipotesi!$C$30:$G$30,1,F520)*G520/12</f>
        <v>41.6666666666667</v>
      </c>
      <c r="AO520" s="15" t="n">
        <f aca="false">O520*Parametri_v3!$C$7*Parametri_v3!$C$11*(1-Parametri_v3!$C$14)/12</f>
        <v>46.2</v>
      </c>
      <c r="AP520" s="15" t="n">
        <f aca="false">MIN(AN520,AO520)</f>
        <v>41.6666666666667</v>
      </c>
      <c r="AQ520" s="15" t="n">
        <f aca="false">AP520*INDEX(Ipotesi!$C$31:$G$31,1,F520)*H520</f>
        <v>41666.6666666667</v>
      </c>
      <c r="AR520" s="15" t="n">
        <f aca="false">INDEX(Ipotesi!$C$75:$G$75,1,F520)*J520/12</f>
        <v>20000</v>
      </c>
      <c r="AS520" s="15" t="n">
        <f aca="false">INDEX(Ipotesi!$C$81:$G$81,1,F520)*J520/12</f>
        <v>1250</v>
      </c>
      <c r="AT520" s="15" t="n">
        <f aca="false">AR520*Parametri_v3!$C$15+Z520*Parametri_v3!$C$16</f>
        <v>31139.45</v>
      </c>
      <c r="AU520" s="15" t="n">
        <f aca="false">Q520*Parametri_v3!$C$16*Parametri_v3!$C$17</f>
        <v>280</v>
      </c>
      <c r="AV520" s="17" t="n">
        <f aca="false">BD519</f>
        <v>82.7492685481789</v>
      </c>
      <c r="AW520" s="17" t="n">
        <f aca="false">AV520*(1-(1-INDEX(Ipotesi!$C$34:$G$34,1,F520))^(1/12))</f>
        <v>0.723361912433902</v>
      </c>
      <c r="AX520" s="15" t="n">
        <f aca="false">ROUND(INDEX(Ipotesi!$C$32:$G$32,1,F520)*Ipotesi!K8,0)</f>
        <v>130</v>
      </c>
      <c r="AY520" s="15" t="n">
        <f aca="false">MAX(0,(AX520-(AV520-AW520))/(13-E520))</f>
        <v>47.974093364255</v>
      </c>
      <c r="AZ520" s="15" t="n">
        <f aca="false">MIN(P520*Parametri_v3!$C$22,Q520*(1-Parametri_v3!$C$16)*Parametri_v3!$C$23)</f>
        <v>180</v>
      </c>
      <c r="BA520" s="15" t="n">
        <f aca="false">IF(OR(INDEX(Ipotesi!$C$35:$G$35,1,F520)&lt;=0,36-Parametri_v3!$C$21&lt;1),0,INDEX($AT$485:$AT$544,MAX(1,36-Parametri_v3!$C$21))/(INDEX(Ipotesi!$C$35:$G$35,1,F520)*Ipotesi!K27))</f>
        <v>6.22789</v>
      </c>
      <c r="BB520" s="15" t="n">
        <f aca="false">IF(36-Parametri_v3!$C$21&lt;1,0,INDEX($AU$485:$AU$544,MAX(1,36-Parametri_v3!$C$21)))*Parametri_v3!$C$18*Parametri_v3!$C$19*Parametri_v3!$C$20</f>
        <v>10.5</v>
      </c>
      <c r="BC520" s="17" t="n">
        <f aca="false">MAX(0,MIN(AY520,BA520,BB520,MAX(0,AZ520-(AV520-AW520))))</f>
        <v>6.22789</v>
      </c>
      <c r="BD520" s="17" t="n">
        <f aca="false">AV520-AW520+BC520</f>
        <v>88.253796635745</v>
      </c>
      <c r="BE520" s="17" t="n">
        <f aca="false">(AV520+BD520)/2</f>
        <v>85.5015325919619</v>
      </c>
      <c r="BF520" s="15" t="n">
        <f aca="false">BE520*INDEX(Ipotesi!$C$33:$G$33,1,F520)*H520/12</f>
        <v>39188.2024379826</v>
      </c>
      <c r="BG520" s="15" t="n">
        <f aca="false">BD520*INDEX(Ipotesi!$C$33:$G$33,1,F520)*H520</f>
        <v>485395.881496597</v>
      </c>
      <c r="BH520" s="15" t="n">
        <f aca="false">AM520*INDEX(Ipotesi!$C$37:$G$37,1,F520)</f>
        <v>6050</v>
      </c>
      <c r="BI520" s="15" t="n">
        <f aca="false">AQ520+BF520+BH520</f>
        <v>86904.8691046492</v>
      </c>
      <c r="BJ520" s="15" t="n">
        <f aca="false">INDEX(Ipotesi!$C$68:$G$68,1,F520)*Ipotesi!$C$69/12</f>
        <v>2400</v>
      </c>
      <c r="BK520" s="15" t="n">
        <f aca="false">INDEX(Ipotesi!$C$68:$G$68,1,F520)*(1-Ipotesi!$C$69)/12</f>
        <v>3600</v>
      </c>
      <c r="BL520" s="15" t="n">
        <f aca="false">(AQ520+BF520)*Ipotesi!$C$67</f>
        <v>2425.64607313948</v>
      </c>
      <c r="BM520" s="15" t="n">
        <f aca="false">AM520*Ipotesi!$C$67</f>
        <v>1815</v>
      </c>
      <c r="BN520" s="15" t="n">
        <f aca="false">INDEX(Ipotesi!$C$72:$G$72,1,F520)/12*Ipotesi!K126+BF520*Ipotesi!$C$73</f>
        <v>4385.0561950386</v>
      </c>
      <c r="BO520" s="15" t="n">
        <f aca="false">INDEX(Ipotesi!$C$74:$G$74,1,F520)/12*Ipotesi!K126</f>
        <v>2916.66666666667</v>
      </c>
      <c r="BP520" s="15" t="n">
        <f aca="false">INDEX(Ipotesi!$C$76:$G$76,1,F520)/12</f>
        <v>1083.33333333333</v>
      </c>
      <c r="BQ520" s="15" t="n">
        <f aca="false">INDEX(Ipotesi!$C$77:$G$77,1,F520)/12*Ipotesi!K126</f>
        <v>2083.33333333333</v>
      </c>
      <c r="BR520" s="15" t="n">
        <f aca="false">INDEX(Ipotesi!$C$78:$G$78,1,F520)/12</f>
        <v>1666.66666666667</v>
      </c>
      <c r="BS520" s="15" t="n">
        <f aca="false">SUM(M520:R520)*(Ipotesi!$C$85+Ipotesi!$C$86)/12</f>
        <v>4812.5</v>
      </c>
      <c r="BT520" s="15" t="n">
        <f aca="false">BI520*Ipotesi!$C$87</f>
        <v>2607.14607313948</v>
      </c>
      <c r="BU520" s="15" t="n">
        <f aca="false">INDEX(Ipotesi!$C$55:$G$55,1,F520)*K520/12</f>
        <v>1500</v>
      </c>
      <c r="BV520" s="15" t="n">
        <f aca="false">INDEX(Ipotesi!$C$80:$G$80,1,F520)/12*Ipotesi!K126</f>
        <v>1250</v>
      </c>
      <c r="BW520" s="15" t="n">
        <f aca="false">INDEX(Ipotesi!$C$82:$G$82,1,F520)/12</f>
        <v>1000</v>
      </c>
      <c r="BX520" s="15" t="n">
        <f aca="false">INDEX(Ipotesi!$C$83:$G$83,1,F520)/12</f>
        <v>666.666666666667</v>
      </c>
      <c r="BY520" s="15" t="n">
        <f aca="false">SUM(S520:U520)*(Ipotesi!$C$85+Ipotesi!$C$86)/12</f>
        <v>1895.83333333333</v>
      </c>
      <c r="BZ520" s="15" t="n">
        <f aca="false">AM520*Ipotesi!$C$87</f>
        <v>1815</v>
      </c>
      <c r="CA520" s="15" t="n">
        <f aca="false">AB520+BJ520+BL520+BN520+BO520+AR520+BP520+BQ520+BR520+BS520+BT520</f>
        <v>118654.015007984</v>
      </c>
      <c r="CB520" s="15" t="n">
        <f aca="false">AC520+BK520+BM520+BH520+BU520+BV520+AS520+BW520+BX520+BY520+BZ520</f>
        <v>46259.8958333333</v>
      </c>
      <c r="CC520" s="15" t="n">
        <f aca="false">BI520-CA520</f>
        <v>-31749.145903335</v>
      </c>
      <c r="CD520" s="15" t="n">
        <f aca="false">AM520-CB520</f>
        <v>14240.1041666667</v>
      </c>
      <c r="CE520" s="15" t="n">
        <f aca="false">INDEX(Ipotesi!$C$79:$G$79,1,F520)/12</f>
        <v>2500</v>
      </c>
      <c r="CF520" s="15" t="n">
        <f aca="false">INDEX(Ipotesi!$C$84:$G$84,1,F520)/12</f>
        <v>416.666666666667</v>
      </c>
      <c r="CG520" s="15" t="n">
        <f aca="false">Y520*MAX(0,Parametri_v3!$C$12-IF(P520=0,0,MIN(1,BE520/(P520*Parametri_v3!$C$22))))+W520*Parametri_v3!$C$13+X520*Parametri_v3!$C$14</f>
        <v>25395.2260030495</v>
      </c>
      <c r="CH520" s="15" t="n">
        <f aca="false">AB520*Parametri_v3!$C$32</f>
        <v>3713.68333333333</v>
      </c>
      <c r="CI520" s="15" t="n">
        <f aca="false">AC520*Parametri_v3!$C$32</f>
        <v>1270.86979166667</v>
      </c>
      <c r="CJ520" s="15" t="n">
        <f aca="false">CA520-AB520</f>
        <v>44380.3483413176</v>
      </c>
      <c r="CK520" s="15" t="n">
        <f aca="false">CB520-AC520-BH520</f>
        <v>14792.5</v>
      </c>
      <c r="CL520" s="15" t="n">
        <f aca="false">BF520*Ipotesi!$C$73+INDEX(Ipotesi!$C$72:$G$72,1,F520)/12*Ipotesi!K126*Parametri_v3!$C$58+Z520*(1-Parametri_v3!$C$16)</f>
        <v>9159.10619503861</v>
      </c>
      <c r="CM520" s="16" t="n">
        <f aca="false">IF(BF520=0,0,1-CL520/BF520)</f>
        <v>0.766278991501757</v>
      </c>
    </row>
    <row r="521" customFormat="false" ht="18" hidden="false" customHeight="true" outlineLevel="0" collapsed="false">
      <c r="A521" s="68" t="n">
        <f aca="false">9</f>
        <v>9</v>
      </c>
      <c r="B521" s="68" t="n">
        <f aca="false">37</f>
        <v>37</v>
      </c>
      <c r="C521" s="18" t="n">
        <f aca="false">EDATE(Parametri_v3!$C$5,37-1)</f>
        <v>47484</v>
      </c>
      <c r="D521" s="68" t="n">
        <f aca="false">YEAR(C521)</f>
        <v>2030</v>
      </c>
      <c r="E521" s="68" t="n">
        <f aca="false">MONTH(C521)</f>
        <v>1</v>
      </c>
      <c r="F521" s="68" t="n">
        <f aca="false">INT((37-1)/12)+1</f>
        <v>4</v>
      </c>
      <c r="G521" s="15" t="n">
        <f aca="false">Ipotesi!K7</f>
        <v>1</v>
      </c>
      <c r="H521" s="15" t="n">
        <f aca="false">Ipotesi!K9</f>
        <v>1</v>
      </c>
      <c r="I521" s="15" t="n">
        <f aca="false">Ipotesi!K10</f>
        <v>1</v>
      </c>
      <c r="J521" s="15" t="n">
        <f aca="false">Ipotesi!K11</f>
        <v>1</v>
      </c>
      <c r="K521" s="15" t="n">
        <f aca="false">Ipotesi!K12</f>
        <v>1</v>
      </c>
      <c r="L521" s="15" t="n">
        <f aca="false">Ipotesi!K13</f>
        <v>90</v>
      </c>
      <c r="M521" s="17" t="n">
        <f aca="false">INDEX(Ipotesi!$C$40:$G$40,1,F521)</f>
        <v>1</v>
      </c>
      <c r="N521" s="17" t="n">
        <f aca="false">INDEX(Ipotesi!$C$41:$G$41,1,F521)</f>
        <v>1</v>
      </c>
      <c r="O521" s="17" t="n">
        <f aca="false">INDEX(Ipotesi!$C$42:$G$42,1,F521)*Ipotesi!K125</f>
        <v>6.5</v>
      </c>
      <c r="P521" s="17" t="n">
        <f aca="false">INDEX(Ipotesi!$C$43:$G$43,1,F521)*I521</f>
        <v>6</v>
      </c>
      <c r="Q521" s="17" t="n">
        <f aca="false">INDEX(Ipotesi!$C$44:$G$44,1,F521)*I521</f>
        <v>5</v>
      </c>
      <c r="R521" s="17" t="n">
        <f aca="false">INDEX(Ipotesi!$C$45:$G$45,1,F521)*I521</f>
        <v>1.5</v>
      </c>
      <c r="S521" s="17" t="n">
        <f aca="false">INDEX(Ipotesi!$C$52:$G$52,1,F521)*Ipotesi!K125</f>
        <v>7</v>
      </c>
      <c r="T521" s="17" t="n">
        <f aca="false">INDEX(Ipotesi!$C$53:$G$53,1,F521)*I521</f>
        <v>1</v>
      </c>
      <c r="U521" s="17" t="n">
        <f aca="false">INDEX(Ipotesi!$C$54:$G$54,1,F521)*I521</f>
        <v>0.5</v>
      </c>
      <c r="V521" s="15" t="n">
        <f aca="false">M521*INDEX(Ipotesi!$C$58:$G$58,1,F521)*K521/12</f>
        <v>7916.66666666667</v>
      </c>
      <c r="W521" s="15" t="n">
        <f aca="false">N521*Ipotesi!$C$59*(1+Ipotesi!$C$66)^(F521-1)/12</f>
        <v>6374.24083333333</v>
      </c>
      <c r="X521" s="15" t="n">
        <f aca="false">O521*Ipotesi!$C$60*(1+Ipotesi!$C$66)^(F521-1)/12</f>
        <v>29594.6895833333</v>
      </c>
      <c r="Y521" s="15" t="n">
        <f aca="false">P521*Ipotesi!$C$61*(1+Ipotesi!$C$66)^(F521-1)/12</f>
        <v>27318.175</v>
      </c>
      <c r="Z521" s="15" t="n">
        <f aca="false">Q521*Ipotesi!$C$62*(1+Ipotesi!$C$66)^(F521-1)/12</f>
        <v>20488.63125</v>
      </c>
      <c r="AA521" s="15" t="n">
        <f aca="false">R521*Ipotesi!$C$63*(1+Ipotesi!$C$66)^(F521-1)/12</f>
        <v>4780.680625</v>
      </c>
      <c r="AB521" s="15" t="n">
        <f aca="false">SUM(V521:AA521)</f>
        <v>96473.0839583333</v>
      </c>
      <c r="AC521" s="15" t="n">
        <f aca="false">(S521*Ipotesi!$C$64+T521*Ipotesi!$C$65+U521*Ipotesi!$C$63)*(1+Ipotesi!$C$66)^(F521-1)/12</f>
        <v>33829.0067083333</v>
      </c>
      <c r="AD521" s="15" t="n">
        <f aca="false">INDEX(Ipotesi!$C$48:$G$48,1,F521)*G521/12</f>
        <v>79.1666666666667</v>
      </c>
      <c r="AE521" s="15" t="n">
        <f aca="false">INDEX(Ipotesi!$C$50:$G$50,1,F521)*G521/12</f>
        <v>8.33333333333333</v>
      </c>
      <c r="AF521" s="15" t="n">
        <f aca="false">(S521*Parametri_v3!$C$7*Parametri_v3!$C$8+Parametri_v3!$C$10)/12</f>
        <v>89.8333333333333</v>
      </c>
      <c r="AG521" s="15" t="n">
        <f aca="false">AD521+AE521*(1+Parametri_v3!$C$9)</f>
        <v>91.6666666666667</v>
      </c>
      <c r="AH521" s="16" t="n">
        <f aca="false">IF(AG521=0,1,MIN(1,AF521/AG521))</f>
        <v>0.98</v>
      </c>
      <c r="AI521" s="15" t="n">
        <f aca="false">AD521*AH521</f>
        <v>77.5833333333333</v>
      </c>
      <c r="AJ521" s="15" t="n">
        <f aca="false">AE521*AH521</f>
        <v>8.16666666666667</v>
      </c>
      <c r="AK521" s="15" t="n">
        <f aca="false">AI521*INDEX(Ipotesi!$C$49:$G$49,1,F521)*H521</f>
        <v>69825</v>
      </c>
      <c r="AL521" s="15" t="n">
        <f aca="false">AJ521*INDEX(Ipotesi!$C$51:$G$51,1,F521)*H521</f>
        <v>20416.6666666667</v>
      </c>
      <c r="AM521" s="15" t="n">
        <f aca="false">AK521+AL521</f>
        <v>90241.6666666667</v>
      </c>
      <c r="AN521" s="15" t="n">
        <f aca="false">INDEX(Ipotesi!$C$30:$G$30,1,F521)*G521/12</f>
        <v>61.6666666666667</v>
      </c>
      <c r="AO521" s="15" t="n">
        <f aca="false">O521*Parametri_v3!$C$7*Parametri_v3!$C$11*(1-Parametri_v3!$C$14)/12</f>
        <v>66.7333333333333</v>
      </c>
      <c r="AP521" s="15" t="n">
        <f aca="false">MIN(AN521,AO521)</f>
        <v>61.6666666666667</v>
      </c>
      <c r="AQ521" s="15" t="n">
        <f aca="false">AP521*INDEX(Ipotesi!$C$31:$G$31,1,F521)*H521</f>
        <v>64750</v>
      </c>
      <c r="AR521" s="15" t="n">
        <f aca="false">INDEX(Ipotesi!$C$75:$G$75,1,F521)*J521/12</f>
        <v>27916.6666666667</v>
      </c>
      <c r="AS521" s="15" t="n">
        <f aca="false">INDEX(Ipotesi!$C$81:$G$81,1,F521)*J521/12</f>
        <v>1666.66666666667</v>
      </c>
      <c r="AT521" s="15" t="n">
        <f aca="false">AR521*Parametri_v3!$C$15+Z521*Parametri_v3!$C$16</f>
        <v>42258.7085416667</v>
      </c>
      <c r="AU521" s="15" t="n">
        <f aca="false">Q521*Parametri_v3!$C$16*Parametri_v3!$C$17</f>
        <v>350</v>
      </c>
      <c r="AV521" s="17" t="n">
        <f aca="false">BD520</f>
        <v>88.253796635745</v>
      </c>
      <c r="AW521" s="17" t="n">
        <f aca="false">AV521*(1-(1-INDEX(Ipotesi!$C$34:$G$34,1,F521))^(1/12))</f>
        <v>0.771480355464605</v>
      </c>
      <c r="AX521" s="15" t="n">
        <f aca="false">ROUND(INDEX(Ipotesi!$C$32:$G$32,1,F521)*Ipotesi!K8,0)</f>
        <v>310</v>
      </c>
      <c r="AY521" s="15" t="n">
        <f aca="false">MAX(0,(AX521-(AV521-AW521))/(13-E521))</f>
        <v>18.5431403099766</v>
      </c>
      <c r="AZ521" s="15" t="n">
        <f aca="false">MIN(P521*Parametri_v3!$C$22,Q521*(1-Parametri_v3!$C$16)*Parametri_v3!$C$23)</f>
        <v>225</v>
      </c>
      <c r="BA521" s="15" t="n">
        <f aca="false">IF(OR(INDEX(Ipotesi!$C$35:$G$35,1,F521)&lt;=0,37-Parametri_v3!$C$21&lt;1),0,INDEX($AT$485:$AT$544,MAX(1,37-Parametri_v3!$C$21))/(INDEX(Ipotesi!$C$35:$G$35,1,F521)*Ipotesi!K27))</f>
        <v>5.18990833333333</v>
      </c>
      <c r="BB521" s="15" t="n">
        <f aca="false">IF(37-Parametri_v3!$C$21&lt;1,0,INDEX($AU$485:$AU$544,MAX(1,37-Parametri_v3!$C$21)))*Parametri_v3!$C$18*Parametri_v3!$C$19*Parametri_v3!$C$20</f>
        <v>10.5</v>
      </c>
      <c r="BC521" s="17" t="n">
        <f aca="false">MAX(0,MIN(AY521,BA521,BB521,MAX(0,AZ521-(AV521-AW521))))</f>
        <v>5.18990833333333</v>
      </c>
      <c r="BD521" s="17" t="n">
        <f aca="false">AV521-AW521+BC521</f>
        <v>92.6722246136137</v>
      </c>
      <c r="BE521" s="17" t="n">
        <f aca="false">(AV521+BD521)/2</f>
        <v>90.4630106246794</v>
      </c>
      <c r="BF521" s="15" t="n">
        <f aca="false">BE521*INDEX(Ipotesi!$C$33:$G$33,1,F521)*H521/12</f>
        <v>45231.5053123397</v>
      </c>
      <c r="BG521" s="15" t="n">
        <f aca="false">BD521*INDEX(Ipotesi!$C$33:$G$33,1,F521)*H521</f>
        <v>556033.347681682</v>
      </c>
      <c r="BH521" s="15" t="n">
        <f aca="false">AM521*INDEX(Ipotesi!$C$37:$G$37,1,F521)</f>
        <v>9024.16666666667</v>
      </c>
      <c r="BI521" s="15" t="n">
        <f aca="false">AQ521+BF521+BH521</f>
        <v>119005.671979006</v>
      </c>
      <c r="BJ521" s="15" t="n">
        <f aca="false">INDEX(Ipotesi!$C$68:$G$68,1,F521)*Ipotesi!$C$69/12</f>
        <v>3000</v>
      </c>
      <c r="BK521" s="15" t="n">
        <f aca="false">INDEX(Ipotesi!$C$68:$G$68,1,F521)*(1-Ipotesi!$C$69)/12</f>
        <v>4500</v>
      </c>
      <c r="BL521" s="15" t="n">
        <f aca="false">(AQ521+BF521)*Ipotesi!$C$67</f>
        <v>3299.44515937019</v>
      </c>
      <c r="BM521" s="15" t="n">
        <f aca="false">AM521*Ipotesi!$C$67</f>
        <v>2707.25</v>
      </c>
      <c r="BN521" s="15" t="n">
        <f aca="false">INDEX(Ipotesi!$C$72:$G$72,1,F521)/12*Ipotesi!K126+BF521*Ipotesi!$C$73</f>
        <v>4868.52042498717</v>
      </c>
      <c r="BO521" s="15" t="n">
        <f aca="false">INDEX(Ipotesi!$C$74:$G$74,1,F521)/12*Ipotesi!K126</f>
        <v>4166.66666666667</v>
      </c>
      <c r="BP521" s="15" t="n">
        <f aca="false">INDEX(Ipotesi!$C$76:$G$76,1,F521)/12</f>
        <v>1500</v>
      </c>
      <c r="BQ521" s="15" t="n">
        <f aca="false">INDEX(Ipotesi!$C$77:$G$77,1,F521)/12*Ipotesi!K126</f>
        <v>2083.33333333333</v>
      </c>
      <c r="BR521" s="15" t="n">
        <f aca="false">INDEX(Ipotesi!$C$78:$G$78,1,F521)/12</f>
        <v>2000</v>
      </c>
      <c r="BS521" s="15" t="n">
        <f aca="false">SUM(M521:R521)*(Ipotesi!$C$85+Ipotesi!$C$86)/12</f>
        <v>6125</v>
      </c>
      <c r="BT521" s="15" t="n">
        <f aca="false">BI521*Ipotesi!$C$87</f>
        <v>3570.17015937019</v>
      </c>
      <c r="BU521" s="15" t="n">
        <f aca="false">INDEX(Ipotesi!$C$55:$G$55,1,F521)*K521/12</f>
        <v>2000</v>
      </c>
      <c r="BV521" s="15" t="n">
        <f aca="false">INDEX(Ipotesi!$C$80:$G$80,1,F521)/12*Ipotesi!K126</f>
        <v>1666.66666666667</v>
      </c>
      <c r="BW521" s="15" t="n">
        <f aca="false">INDEX(Ipotesi!$C$82:$G$82,1,F521)/12</f>
        <v>1250</v>
      </c>
      <c r="BX521" s="15" t="n">
        <f aca="false">INDEX(Ipotesi!$C$83:$G$83,1,F521)/12</f>
        <v>750</v>
      </c>
      <c r="BY521" s="15" t="n">
        <f aca="false">SUM(S521:U521)*(Ipotesi!$C$85+Ipotesi!$C$86)/12</f>
        <v>2479.16666666667</v>
      </c>
      <c r="BZ521" s="15" t="n">
        <f aca="false">AM521*Ipotesi!$C$87</f>
        <v>2707.25</v>
      </c>
      <c r="CA521" s="15" t="n">
        <f aca="false">AB521+BJ521+BL521+BN521+BO521+AR521+BP521+BQ521+BR521+BS521+BT521</f>
        <v>155002.886368728</v>
      </c>
      <c r="CB521" s="15" t="n">
        <f aca="false">AC521+BK521+BM521+BH521+BU521+BV521+AS521+BW521+BX521+BY521+BZ521</f>
        <v>62580.173375</v>
      </c>
      <c r="CC521" s="15" t="n">
        <f aca="false">BI521-CA521</f>
        <v>-35997.2143897212</v>
      </c>
      <c r="CD521" s="15" t="n">
        <f aca="false">AM521-CB521</f>
        <v>27661.4932916667</v>
      </c>
      <c r="CE521" s="15" t="n">
        <f aca="false">INDEX(Ipotesi!$C$79:$G$79,1,F521)/12</f>
        <v>3333.33333333333</v>
      </c>
      <c r="CF521" s="15" t="n">
        <f aca="false">INDEX(Ipotesi!$C$84:$G$84,1,F521)/12</f>
        <v>666.666666666667</v>
      </c>
      <c r="CG521" s="15" t="n">
        <f aca="false">Y521*MAX(0,Parametri_v3!$C$12-IF(P521=0,0,MIN(1,BE521/(P521*Parametri_v3!$C$22))))+W521*Parametri_v3!$C$13+X521*Parametri_v3!$C$14</f>
        <v>32305.4260745469</v>
      </c>
      <c r="CH521" s="15" t="n">
        <f aca="false">AB521*Parametri_v3!$C$32</f>
        <v>4823.65419791667</v>
      </c>
      <c r="CI521" s="15" t="n">
        <f aca="false">AC521*Parametri_v3!$C$32</f>
        <v>1691.45033541667</v>
      </c>
      <c r="CJ521" s="15" t="n">
        <f aca="false">CA521-AB521</f>
        <v>58529.8024103942</v>
      </c>
      <c r="CK521" s="15" t="n">
        <f aca="false">CB521-AC521-BH521</f>
        <v>19727</v>
      </c>
      <c r="CL521" s="15" t="n">
        <f aca="false">BF521*Ipotesi!$C$73+INDEX(Ipotesi!$C$72:$G$72,1,F521)/12*Ipotesi!K126*Parametri_v3!$C$58+Z521*(1-Parametri_v3!$C$16)</f>
        <v>11015.1097999872</v>
      </c>
      <c r="CM521" s="16" t="n">
        <f aca="false">IF(BF521=0,0,1-CL521/BF521)</f>
        <v>0.75647262402779</v>
      </c>
    </row>
    <row r="522" customFormat="false" ht="18" hidden="false" customHeight="true" outlineLevel="0" collapsed="false">
      <c r="A522" s="68" t="n">
        <f aca="false">9</f>
        <v>9</v>
      </c>
      <c r="B522" s="68" t="n">
        <f aca="false">38</f>
        <v>38</v>
      </c>
      <c r="C522" s="18" t="n">
        <f aca="false">EDATE(Parametri_v3!$C$5,38-1)</f>
        <v>47515</v>
      </c>
      <c r="D522" s="68" t="n">
        <f aca="false">YEAR(C522)</f>
        <v>2030</v>
      </c>
      <c r="E522" s="68" t="n">
        <f aca="false">MONTH(C522)</f>
        <v>2</v>
      </c>
      <c r="F522" s="68" t="n">
        <f aca="false">INT((38-1)/12)+1</f>
        <v>4</v>
      </c>
      <c r="G522" s="15" t="n">
        <f aca="false">Ipotesi!K7</f>
        <v>1</v>
      </c>
      <c r="H522" s="15" t="n">
        <f aca="false">Ipotesi!K9</f>
        <v>1</v>
      </c>
      <c r="I522" s="15" t="n">
        <f aca="false">Ipotesi!K10</f>
        <v>1</v>
      </c>
      <c r="J522" s="15" t="n">
        <f aca="false">Ipotesi!K11</f>
        <v>1</v>
      </c>
      <c r="K522" s="15" t="n">
        <f aca="false">Ipotesi!K12</f>
        <v>1</v>
      </c>
      <c r="L522" s="15" t="n">
        <f aca="false">Ipotesi!K13</f>
        <v>90</v>
      </c>
      <c r="M522" s="17" t="n">
        <f aca="false">INDEX(Ipotesi!$C$40:$G$40,1,F522)</f>
        <v>1</v>
      </c>
      <c r="N522" s="17" t="n">
        <f aca="false">INDEX(Ipotesi!$C$41:$G$41,1,F522)</f>
        <v>1</v>
      </c>
      <c r="O522" s="17" t="n">
        <f aca="false">INDEX(Ipotesi!$C$42:$G$42,1,F522)*Ipotesi!K125</f>
        <v>6.5</v>
      </c>
      <c r="P522" s="17" t="n">
        <f aca="false">INDEX(Ipotesi!$C$43:$G$43,1,F522)*I522</f>
        <v>6</v>
      </c>
      <c r="Q522" s="17" t="n">
        <f aca="false">INDEX(Ipotesi!$C$44:$G$44,1,F522)*I522</f>
        <v>5</v>
      </c>
      <c r="R522" s="17" t="n">
        <f aca="false">INDEX(Ipotesi!$C$45:$G$45,1,F522)*I522</f>
        <v>1.5</v>
      </c>
      <c r="S522" s="17" t="n">
        <f aca="false">INDEX(Ipotesi!$C$52:$G$52,1,F522)*Ipotesi!K125</f>
        <v>7</v>
      </c>
      <c r="T522" s="17" t="n">
        <f aca="false">INDEX(Ipotesi!$C$53:$G$53,1,F522)*I522</f>
        <v>1</v>
      </c>
      <c r="U522" s="17" t="n">
        <f aca="false">INDEX(Ipotesi!$C$54:$G$54,1,F522)*I522</f>
        <v>0.5</v>
      </c>
      <c r="V522" s="15" t="n">
        <f aca="false">M522*INDEX(Ipotesi!$C$58:$G$58,1,F522)*K522/12</f>
        <v>7916.66666666667</v>
      </c>
      <c r="W522" s="15" t="n">
        <f aca="false">N522*Ipotesi!$C$59*(1+Ipotesi!$C$66)^(F522-1)/12</f>
        <v>6374.24083333333</v>
      </c>
      <c r="X522" s="15" t="n">
        <f aca="false">O522*Ipotesi!$C$60*(1+Ipotesi!$C$66)^(F522-1)/12</f>
        <v>29594.6895833333</v>
      </c>
      <c r="Y522" s="15" t="n">
        <f aca="false">P522*Ipotesi!$C$61*(1+Ipotesi!$C$66)^(F522-1)/12</f>
        <v>27318.175</v>
      </c>
      <c r="Z522" s="15" t="n">
        <f aca="false">Q522*Ipotesi!$C$62*(1+Ipotesi!$C$66)^(F522-1)/12</f>
        <v>20488.63125</v>
      </c>
      <c r="AA522" s="15" t="n">
        <f aca="false">R522*Ipotesi!$C$63*(1+Ipotesi!$C$66)^(F522-1)/12</f>
        <v>4780.680625</v>
      </c>
      <c r="AB522" s="15" t="n">
        <f aca="false">SUM(V522:AA522)</f>
        <v>96473.0839583333</v>
      </c>
      <c r="AC522" s="15" t="n">
        <f aca="false">(S522*Ipotesi!$C$64+T522*Ipotesi!$C$65+U522*Ipotesi!$C$63)*(1+Ipotesi!$C$66)^(F522-1)/12</f>
        <v>33829.0067083333</v>
      </c>
      <c r="AD522" s="15" t="n">
        <f aca="false">INDEX(Ipotesi!$C$48:$G$48,1,F522)*G522/12</f>
        <v>79.1666666666667</v>
      </c>
      <c r="AE522" s="15" t="n">
        <f aca="false">INDEX(Ipotesi!$C$50:$G$50,1,F522)*G522/12</f>
        <v>8.33333333333333</v>
      </c>
      <c r="AF522" s="15" t="n">
        <f aca="false">(S522*Parametri_v3!$C$7*Parametri_v3!$C$8+Parametri_v3!$C$10)/12</f>
        <v>89.8333333333333</v>
      </c>
      <c r="AG522" s="15" t="n">
        <f aca="false">AD522+AE522*(1+Parametri_v3!$C$9)</f>
        <v>91.6666666666667</v>
      </c>
      <c r="AH522" s="16" t="n">
        <f aca="false">IF(AG522=0,1,MIN(1,AF522/AG522))</f>
        <v>0.98</v>
      </c>
      <c r="AI522" s="15" t="n">
        <f aca="false">AD522*AH522</f>
        <v>77.5833333333333</v>
      </c>
      <c r="AJ522" s="15" t="n">
        <f aca="false">AE522*AH522</f>
        <v>8.16666666666667</v>
      </c>
      <c r="AK522" s="15" t="n">
        <f aca="false">AI522*INDEX(Ipotesi!$C$49:$G$49,1,F522)*H522</f>
        <v>69825</v>
      </c>
      <c r="AL522" s="15" t="n">
        <f aca="false">AJ522*INDEX(Ipotesi!$C$51:$G$51,1,F522)*H522</f>
        <v>20416.6666666667</v>
      </c>
      <c r="AM522" s="15" t="n">
        <f aca="false">AK522+AL522</f>
        <v>90241.6666666667</v>
      </c>
      <c r="AN522" s="15" t="n">
        <f aca="false">INDEX(Ipotesi!$C$30:$G$30,1,F522)*G522/12</f>
        <v>61.6666666666667</v>
      </c>
      <c r="AO522" s="15" t="n">
        <f aca="false">O522*Parametri_v3!$C$7*Parametri_v3!$C$11*(1-Parametri_v3!$C$14)/12</f>
        <v>66.7333333333333</v>
      </c>
      <c r="AP522" s="15" t="n">
        <f aca="false">MIN(AN522,AO522)</f>
        <v>61.6666666666667</v>
      </c>
      <c r="AQ522" s="15" t="n">
        <f aca="false">AP522*INDEX(Ipotesi!$C$31:$G$31,1,F522)*H522</f>
        <v>64750</v>
      </c>
      <c r="AR522" s="15" t="n">
        <f aca="false">INDEX(Ipotesi!$C$75:$G$75,1,F522)*J522/12</f>
        <v>27916.6666666667</v>
      </c>
      <c r="AS522" s="15" t="n">
        <f aca="false">INDEX(Ipotesi!$C$81:$G$81,1,F522)*J522/12</f>
        <v>1666.66666666667</v>
      </c>
      <c r="AT522" s="15" t="n">
        <f aca="false">AR522*Parametri_v3!$C$15+Z522*Parametri_v3!$C$16</f>
        <v>42258.7085416667</v>
      </c>
      <c r="AU522" s="15" t="n">
        <f aca="false">Q522*Parametri_v3!$C$16*Parametri_v3!$C$17</f>
        <v>350</v>
      </c>
      <c r="AV522" s="17" t="n">
        <f aca="false">BD521</f>
        <v>92.6722246136137</v>
      </c>
      <c r="AW522" s="17" t="n">
        <f aca="false">AV522*(1-(1-INDEX(Ipotesi!$C$34:$G$34,1,F522))^(1/12))</f>
        <v>0.810104533878481</v>
      </c>
      <c r="AX522" s="15" t="n">
        <f aca="false">ROUND(INDEX(Ipotesi!$C$32:$G$32,1,F522)*Ipotesi!K8,0)</f>
        <v>310</v>
      </c>
      <c r="AY522" s="15" t="n">
        <f aca="false">MAX(0,(AX522-(AV522-AW522))/(13-E522))</f>
        <v>19.8307163563877</v>
      </c>
      <c r="AZ522" s="15" t="n">
        <f aca="false">MIN(P522*Parametri_v3!$C$22,Q522*(1-Parametri_v3!$C$16)*Parametri_v3!$C$23)</f>
        <v>225</v>
      </c>
      <c r="BA522" s="15" t="n">
        <f aca="false">IF(OR(INDEX(Ipotesi!$C$35:$G$35,1,F522)&lt;=0,38-Parametri_v3!$C$21&lt;1),0,INDEX($AT$485:$AT$544,MAX(1,38-Parametri_v3!$C$21))/(INDEX(Ipotesi!$C$35:$G$35,1,F522)*Ipotesi!K27))</f>
        <v>5.18990833333333</v>
      </c>
      <c r="BB522" s="15" t="n">
        <f aca="false">IF(38-Parametri_v3!$C$21&lt;1,0,INDEX($AU$485:$AU$544,MAX(1,38-Parametri_v3!$C$21)))*Parametri_v3!$C$18*Parametri_v3!$C$19*Parametri_v3!$C$20</f>
        <v>10.5</v>
      </c>
      <c r="BC522" s="17" t="n">
        <f aca="false">MAX(0,MIN(AY522,BA522,BB522,MAX(0,AZ522-(AV522-AW522))))</f>
        <v>5.18990833333333</v>
      </c>
      <c r="BD522" s="17" t="n">
        <f aca="false">AV522-AW522+BC522</f>
        <v>97.0520284130686</v>
      </c>
      <c r="BE522" s="17" t="n">
        <f aca="false">(AV522+BD522)/2</f>
        <v>94.8621265133411</v>
      </c>
      <c r="BF522" s="15" t="n">
        <f aca="false">BE522*INDEX(Ipotesi!$C$33:$G$33,1,F522)*H522/12</f>
        <v>47431.0632566706</v>
      </c>
      <c r="BG522" s="15" t="n">
        <f aca="false">BD522*INDEX(Ipotesi!$C$33:$G$33,1,F522)*H522</f>
        <v>582312.170478411</v>
      </c>
      <c r="BH522" s="15" t="n">
        <f aca="false">AM522*INDEX(Ipotesi!$C$37:$G$37,1,F522)</f>
        <v>9024.16666666667</v>
      </c>
      <c r="BI522" s="15" t="n">
        <f aca="false">AQ522+BF522+BH522</f>
        <v>121205.229923337</v>
      </c>
      <c r="BJ522" s="15" t="n">
        <f aca="false">INDEX(Ipotesi!$C$68:$G$68,1,F522)*Ipotesi!$C$69/12</f>
        <v>3000</v>
      </c>
      <c r="BK522" s="15" t="n">
        <f aca="false">INDEX(Ipotesi!$C$68:$G$68,1,F522)*(1-Ipotesi!$C$69)/12</f>
        <v>4500</v>
      </c>
      <c r="BL522" s="15" t="n">
        <f aca="false">(AQ522+BF522)*Ipotesi!$C$67</f>
        <v>3365.43189770012</v>
      </c>
      <c r="BM522" s="15" t="n">
        <f aca="false">AM522*Ipotesi!$C$67</f>
        <v>2707.25</v>
      </c>
      <c r="BN522" s="15" t="n">
        <f aca="false">INDEX(Ipotesi!$C$72:$G$72,1,F522)/12*Ipotesi!K126+BF522*Ipotesi!$C$73</f>
        <v>5044.48506053365</v>
      </c>
      <c r="BO522" s="15" t="n">
        <f aca="false">INDEX(Ipotesi!$C$74:$G$74,1,F522)/12*Ipotesi!K126</f>
        <v>4166.66666666667</v>
      </c>
      <c r="BP522" s="15" t="n">
        <f aca="false">INDEX(Ipotesi!$C$76:$G$76,1,F522)/12</f>
        <v>1500</v>
      </c>
      <c r="BQ522" s="15" t="n">
        <f aca="false">INDEX(Ipotesi!$C$77:$G$77,1,F522)/12*Ipotesi!K126</f>
        <v>2083.33333333333</v>
      </c>
      <c r="BR522" s="15" t="n">
        <f aca="false">INDEX(Ipotesi!$C$78:$G$78,1,F522)/12</f>
        <v>2000</v>
      </c>
      <c r="BS522" s="15" t="n">
        <f aca="false">SUM(M522:R522)*(Ipotesi!$C$85+Ipotesi!$C$86)/12</f>
        <v>6125</v>
      </c>
      <c r="BT522" s="15" t="n">
        <f aca="false">BI522*Ipotesi!$C$87</f>
        <v>3636.15689770012</v>
      </c>
      <c r="BU522" s="15" t="n">
        <f aca="false">INDEX(Ipotesi!$C$55:$G$55,1,F522)*K522/12</f>
        <v>2000</v>
      </c>
      <c r="BV522" s="15" t="n">
        <f aca="false">INDEX(Ipotesi!$C$80:$G$80,1,F522)/12*Ipotesi!K126</f>
        <v>1666.66666666667</v>
      </c>
      <c r="BW522" s="15" t="n">
        <f aca="false">INDEX(Ipotesi!$C$82:$G$82,1,F522)/12</f>
        <v>1250</v>
      </c>
      <c r="BX522" s="15" t="n">
        <f aca="false">INDEX(Ipotesi!$C$83:$G$83,1,F522)/12</f>
        <v>750</v>
      </c>
      <c r="BY522" s="15" t="n">
        <f aca="false">SUM(S522:U522)*(Ipotesi!$C$85+Ipotesi!$C$86)/12</f>
        <v>2479.16666666667</v>
      </c>
      <c r="BZ522" s="15" t="n">
        <f aca="false">AM522*Ipotesi!$C$87</f>
        <v>2707.25</v>
      </c>
      <c r="CA522" s="15" t="n">
        <f aca="false">AB522+BJ522+BL522+BN522+BO522+AR522+BP522+BQ522+BR522+BS522+BT522</f>
        <v>155310.824480934</v>
      </c>
      <c r="CB522" s="15" t="n">
        <f aca="false">AC522+BK522+BM522+BH522+BU522+BV522+AS522+BW522+BX522+BY522+BZ522</f>
        <v>62580.173375</v>
      </c>
      <c r="CC522" s="15" t="n">
        <f aca="false">BI522-CA522</f>
        <v>-34105.5945575967</v>
      </c>
      <c r="CD522" s="15" t="n">
        <f aca="false">AM522-CB522</f>
        <v>27661.4932916667</v>
      </c>
      <c r="CE522" s="15" t="n">
        <f aca="false">INDEX(Ipotesi!$C$79:$G$79,1,F522)/12</f>
        <v>3333.33333333333</v>
      </c>
      <c r="CF522" s="15" t="n">
        <f aca="false">INDEX(Ipotesi!$C$84:$G$84,1,F522)/12</f>
        <v>666.666666666667</v>
      </c>
      <c r="CG522" s="15" t="n">
        <f aca="false">Y522*MAX(0,Parametri_v3!$C$12-IF(P522=0,0,MIN(1,BE522/(P522*Parametri_v3!$C$22))))+W522*Parametri_v3!$C$13+X522*Parametri_v3!$C$14</f>
        <v>32105.1330450607</v>
      </c>
      <c r="CH522" s="15" t="n">
        <f aca="false">AB522*Parametri_v3!$C$32</f>
        <v>4823.65419791667</v>
      </c>
      <c r="CI522" s="15" t="n">
        <f aca="false">AC522*Parametri_v3!$C$32</f>
        <v>1691.45033541667</v>
      </c>
      <c r="CJ522" s="15" t="n">
        <f aca="false">CA522-AB522</f>
        <v>58837.7405226006</v>
      </c>
      <c r="CK522" s="15" t="n">
        <f aca="false">CB522-AC522-BH522</f>
        <v>19727</v>
      </c>
      <c r="CL522" s="15" t="n">
        <f aca="false">BF522*Ipotesi!$C$73+INDEX(Ipotesi!$C$72:$G$72,1,F522)/12*Ipotesi!K126*Parametri_v3!$C$58+Z522*(1-Parametri_v3!$C$16)</f>
        <v>11191.0744355336</v>
      </c>
      <c r="CM522" s="16" t="n">
        <f aca="false">IF(BF522=0,0,1-CL522/BF522)</f>
        <v>0.764056007452885</v>
      </c>
    </row>
    <row r="523" customFormat="false" ht="18" hidden="false" customHeight="true" outlineLevel="0" collapsed="false">
      <c r="A523" s="68" t="n">
        <f aca="false">9</f>
        <v>9</v>
      </c>
      <c r="B523" s="68" t="n">
        <f aca="false">39</f>
        <v>39</v>
      </c>
      <c r="C523" s="18" t="n">
        <f aca="false">EDATE(Parametri_v3!$C$5,39-1)</f>
        <v>47543</v>
      </c>
      <c r="D523" s="68" t="n">
        <f aca="false">YEAR(C523)</f>
        <v>2030</v>
      </c>
      <c r="E523" s="68" t="n">
        <f aca="false">MONTH(C523)</f>
        <v>3</v>
      </c>
      <c r="F523" s="68" t="n">
        <f aca="false">INT((39-1)/12)+1</f>
        <v>4</v>
      </c>
      <c r="G523" s="15" t="n">
        <f aca="false">Ipotesi!K7</f>
        <v>1</v>
      </c>
      <c r="H523" s="15" t="n">
        <f aca="false">Ipotesi!K9</f>
        <v>1</v>
      </c>
      <c r="I523" s="15" t="n">
        <f aca="false">Ipotesi!K10</f>
        <v>1</v>
      </c>
      <c r="J523" s="15" t="n">
        <f aca="false">Ipotesi!K11</f>
        <v>1</v>
      </c>
      <c r="K523" s="15" t="n">
        <f aca="false">Ipotesi!K12</f>
        <v>1</v>
      </c>
      <c r="L523" s="15" t="n">
        <f aca="false">Ipotesi!K13</f>
        <v>90</v>
      </c>
      <c r="M523" s="17" t="n">
        <f aca="false">INDEX(Ipotesi!$C$40:$G$40,1,F523)</f>
        <v>1</v>
      </c>
      <c r="N523" s="17" t="n">
        <f aca="false">INDEX(Ipotesi!$C$41:$G$41,1,F523)</f>
        <v>1</v>
      </c>
      <c r="O523" s="17" t="n">
        <f aca="false">INDEX(Ipotesi!$C$42:$G$42,1,F523)*Ipotesi!K125</f>
        <v>6.5</v>
      </c>
      <c r="P523" s="17" t="n">
        <f aca="false">INDEX(Ipotesi!$C$43:$G$43,1,F523)*I523</f>
        <v>6</v>
      </c>
      <c r="Q523" s="17" t="n">
        <f aca="false">INDEX(Ipotesi!$C$44:$G$44,1,F523)*I523</f>
        <v>5</v>
      </c>
      <c r="R523" s="17" t="n">
        <f aca="false">INDEX(Ipotesi!$C$45:$G$45,1,F523)*I523</f>
        <v>1.5</v>
      </c>
      <c r="S523" s="17" t="n">
        <f aca="false">INDEX(Ipotesi!$C$52:$G$52,1,F523)*Ipotesi!K125</f>
        <v>7</v>
      </c>
      <c r="T523" s="17" t="n">
        <f aca="false">INDEX(Ipotesi!$C$53:$G$53,1,F523)*I523</f>
        <v>1</v>
      </c>
      <c r="U523" s="17" t="n">
        <f aca="false">INDEX(Ipotesi!$C$54:$G$54,1,F523)*I523</f>
        <v>0.5</v>
      </c>
      <c r="V523" s="15" t="n">
        <f aca="false">M523*INDEX(Ipotesi!$C$58:$G$58,1,F523)*K523/12</f>
        <v>7916.66666666667</v>
      </c>
      <c r="W523" s="15" t="n">
        <f aca="false">N523*Ipotesi!$C$59*(1+Ipotesi!$C$66)^(F523-1)/12</f>
        <v>6374.24083333333</v>
      </c>
      <c r="X523" s="15" t="n">
        <f aca="false">O523*Ipotesi!$C$60*(1+Ipotesi!$C$66)^(F523-1)/12</f>
        <v>29594.6895833333</v>
      </c>
      <c r="Y523" s="15" t="n">
        <f aca="false">P523*Ipotesi!$C$61*(1+Ipotesi!$C$66)^(F523-1)/12</f>
        <v>27318.175</v>
      </c>
      <c r="Z523" s="15" t="n">
        <f aca="false">Q523*Ipotesi!$C$62*(1+Ipotesi!$C$66)^(F523-1)/12</f>
        <v>20488.63125</v>
      </c>
      <c r="AA523" s="15" t="n">
        <f aca="false">R523*Ipotesi!$C$63*(1+Ipotesi!$C$66)^(F523-1)/12</f>
        <v>4780.680625</v>
      </c>
      <c r="AB523" s="15" t="n">
        <f aca="false">SUM(V523:AA523)</f>
        <v>96473.0839583333</v>
      </c>
      <c r="AC523" s="15" t="n">
        <f aca="false">(S523*Ipotesi!$C$64+T523*Ipotesi!$C$65+U523*Ipotesi!$C$63)*(1+Ipotesi!$C$66)^(F523-1)/12</f>
        <v>33829.0067083333</v>
      </c>
      <c r="AD523" s="15" t="n">
        <f aca="false">INDEX(Ipotesi!$C$48:$G$48,1,F523)*G523/12</f>
        <v>79.1666666666667</v>
      </c>
      <c r="AE523" s="15" t="n">
        <f aca="false">INDEX(Ipotesi!$C$50:$G$50,1,F523)*G523/12</f>
        <v>8.33333333333333</v>
      </c>
      <c r="AF523" s="15" t="n">
        <f aca="false">(S523*Parametri_v3!$C$7*Parametri_v3!$C$8+Parametri_v3!$C$10)/12</f>
        <v>89.8333333333333</v>
      </c>
      <c r="AG523" s="15" t="n">
        <f aca="false">AD523+AE523*(1+Parametri_v3!$C$9)</f>
        <v>91.6666666666667</v>
      </c>
      <c r="AH523" s="16" t="n">
        <f aca="false">IF(AG523=0,1,MIN(1,AF523/AG523))</f>
        <v>0.98</v>
      </c>
      <c r="AI523" s="15" t="n">
        <f aca="false">AD523*AH523</f>
        <v>77.5833333333333</v>
      </c>
      <c r="AJ523" s="15" t="n">
        <f aca="false">AE523*AH523</f>
        <v>8.16666666666667</v>
      </c>
      <c r="AK523" s="15" t="n">
        <f aca="false">AI523*INDEX(Ipotesi!$C$49:$G$49,1,F523)*H523</f>
        <v>69825</v>
      </c>
      <c r="AL523" s="15" t="n">
        <f aca="false">AJ523*INDEX(Ipotesi!$C$51:$G$51,1,F523)*H523</f>
        <v>20416.6666666667</v>
      </c>
      <c r="AM523" s="15" t="n">
        <f aca="false">AK523+AL523</f>
        <v>90241.6666666667</v>
      </c>
      <c r="AN523" s="15" t="n">
        <f aca="false">INDEX(Ipotesi!$C$30:$G$30,1,F523)*G523/12</f>
        <v>61.6666666666667</v>
      </c>
      <c r="AO523" s="15" t="n">
        <f aca="false">O523*Parametri_v3!$C$7*Parametri_v3!$C$11*(1-Parametri_v3!$C$14)/12</f>
        <v>66.7333333333333</v>
      </c>
      <c r="AP523" s="15" t="n">
        <f aca="false">MIN(AN523,AO523)</f>
        <v>61.6666666666667</v>
      </c>
      <c r="AQ523" s="15" t="n">
        <f aca="false">AP523*INDEX(Ipotesi!$C$31:$G$31,1,F523)*H523</f>
        <v>64750</v>
      </c>
      <c r="AR523" s="15" t="n">
        <f aca="false">INDEX(Ipotesi!$C$75:$G$75,1,F523)*J523/12</f>
        <v>27916.6666666667</v>
      </c>
      <c r="AS523" s="15" t="n">
        <f aca="false">INDEX(Ipotesi!$C$81:$G$81,1,F523)*J523/12</f>
        <v>1666.66666666667</v>
      </c>
      <c r="AT523" s="15" t="n">
        <f aca="false">AR523*Parametri_v3!$C$15+Z523*Parametri_v3!$C$16</f>
        <v>42258.7085416667</v>
      </c>
      <c r="AU523" s="15" t="n">
        <f aca="false">Q523*Parametri_v3!$C$16*Parametri_v3!$C$17</f>
        <v>350</v>
      </c>
      <c r="AV523" s="17" t="n">
        <f aca="false">BD522</f>
        <v>97.0520284130686</v>
      </c>
      <c r="AW523" s="17" t="n">
        <f aca="false">AV523*(1-(1-INDEX(Ipotesi!$C$34:$G$34,1,F523))^(1/12))</f>
        <v>0.848391074751218</v>
      </c>
      <c r="AX523" s="15" t="n">
        <f aca="false">ROUND(INDEX(Ipotesi!$C$32:$G$32,1,F523)*Ipotesi!K8,0)</f>
        <v>310</v>
      </c>
      <c r="AY523" s="15" t="n">
        <f aca="false">MAX(0,(AX523-(AV523-AW523))/(13-E523))</f>
        <v>21.3796362661683</v>
      </c>
      <c r="AZ523" s="15" t="n">
        <f aca="false">MIN(P523*Parametri_v3!$C$22,Q523*(1-Parametri_v3!$C$16)*Parametri_v3!$C$23)</f>
        <v>225</v>
      </c>
      <c r="BA523" s="15" t="n">
        <f aca="false">IF(OR(INDEX(Ipotesi!$C$35:$G$35,1,F523)&lt;=0,39-Parametri_v3!$C$21&lt;1),0,INDEX($AT$485:$AT$544,MAX(1,39-Parametri_v3!$C$21))/(INDEX(Ipotesi!$C$35:$G$35,1,F523)*Ipotesi!K27))</f>
        <v>5.18990833333333</v>
      </c>
      <c r="BB523" s="15" t="n">
        <f aca="false">IF(39-Parametri_v3!$C$21&lt;1,0,INDEX($AU$485:$AU$544,MAX(1,39-Parametri_v3!$C$21)))*Parametri_v3!$C$18*Parametri_v3!$C$19*Parametri_v3!$C$20</f>
        <v>10.5</v>
      </c>
      <c r="BC523" s="17" t="n">
        <f aca="false">MAX(0,MIN(AY523,BA523,BB523,MAX(0,AZ523-(AV523-AW523))))</f>
        <v>5.18990833333333</v>
      </c>
      <c r="BD523" s="17" t="n">
        <f aca="false">AV523-AW523+BC523</f>
        <v>101.393545671651</v>
      </c>
      <c r="BE523" s="17" t="n">
        <f aca="false">(AV523+BD523)/2</f>
        <v>99.2227870423596</v>
      </c>
      <c r="BF523" s="15" t="n">
        <f aca="false">BE523*INDEX(Ipotesi!$C$33:$G$33,1,F523)*H523/12</f>
        <v>49611.3935211798</v>
      </c>
      <c r="BG523" s="15" t="n">
        <f aca="false">BD523*INDEX(Ipotesi!$C$33:$G$33,1,F523)*H523</f>
        <v>608361.274029904</v>
      </c>
      <c r="BH523" s="15" t="n">
        <f aca="false">AM523*INDEX(Ipotesi!$C$37:$G$37,1,F523)</f>
        <v>9024.16666666667</v>
      </c>
      <c r="BI523" s="15" t="n">
        <f aca="false">AQ523+BF523+BH523</f>
        <v>123385.560187847</v>
      </c>
      <c r="BJ523" s="15" t="n">
        <f aca="false">INDEX(Ipotesi!$C$68:$G$68,1,F523)*Ipotesi!$C$69/12</f>
        <v>3000</v>
      </c>
      <c r="BK523" s="15" t="n">
        <f aca="false">INDEX(Ipotesi!$C$68:$G$68,1,F523)*(1-Ipotesi!$C$69)/12</f>
        <v>4500</v>
      </c>
      <c r="BL523" s="15" t="n">
        <f aca="false">(AQ523+BF523)*Ipotesi!$C$67</f>
        <v>3430.84180563539</v>
      </c>
      <c r="BM523" s="15" t="n">
        <f aca="false">AM523*Ipotesi!$C$67</f>
        <v>2707.25</v>
      </c>
      <c r="BN523" s="15" t="n">
        <f aca="false">INDEX(Ipotesi!$C$72:$G$72,1,F523)/12*Ipotesi!K126+BF523*Ipotesi!$C$73</f>
        <v>5218.91148169439</v>
      </c>
      <c r="BO523" s="15" t="n">
        <f aca="false">INDEX(Ipotesi!$C$74:$G$74,1,F523)/12*Ipotesi!K126</f>
        <v>4166.66666666667</v>
      </c>
      <c r="BP523" s="15" t="n">
        <f aca="false">INDEX(Ipotesi!$C$76:$G$76,1,F523)/12</f>
        <v>1500</v>
      </c>
      <c r="BQ523" s="15" t="n">
        <f aca="false">INDEX(Ipotesi!$C$77:$G$77,1,F523)/12*Ipotesi!K126</f>
        <v>2083.33333333333</v>
      </c>
      <c r="BR523" s="15" t="n">
        <f aca="false">INDEX(Ipotesi!$C$78:$G$78,1,F523)/12</f>
        <v>2000</v>
      </c>
      <c r="BS523" s="15" t="n">
        <f aca="false">SUM(M523:R523)*(Ipotesi!$C$85+Ipotesi!$C$86)/12</f>
        <v>6125</v>
      </c>
      <c r="BT523" s="15" t="n">
        <f aca="false">BI523*Ipotesi!$C$87</f>
        <v>3701.56680563539</v>
      </c>
      <c r="BU523" s="15" t="n">
        <f aca="false">INDEX(Ipotesi!$C$55:$G$55,1,F523)*K523/12</f>
        <v>2000</v>
      </c>
      <c r="BV523" s="15" t="n">
        <f aca="false">INDEX(Ipotesi!$C$80:$G$80,1,F523)/12*Ipotesi!K126</f>
        <v>1666.66666666667</v>
      </c>
      <c r="BW523" s="15" t="n">
        <f aca="false">INDEX(Ipotesi!$C$82:$G$82,1,F523)/12</f>
        <v>1250</v>
      </c>
      <c r="BX523" s="15" t="n">
        <f aca="false">INDEX(Ipotesi!$C$83:$G$83,1,F523)/12</f>
        <v>750</v>
      </c>
      <c r="BY523" s="15" t="n">
        <f aca="false">SUM(S523:U523)*(Ipotesi!$C$85+Ipotesi!$C$86)/12</f>
        <v>2479.16666666667</v>
      </c>
      <c r="BZ523" s="15" t="n">
        <f aca="false">AM523*Ipotesi!$C$87</f>
        <v>2707.25</v>
      </c>
      <c r="CA523" s="15" t="n">
        <f aca="false">AB523+BJ523+BL523+BN523+BO523+AR523+BP523+BQ523+BR523+BS523+BT523</f>
        <v>155616.070717965</v>
      </c>
      <c r="CB523" s="15" t="n">
        <f aca="false">AC523+BK523+BM523+BH523+BU523+BV523+AS523+BW523+BX523+BY523+BZ523</f>
        <v>62580.173375</v>
      </c>
      <c r="CC523" s="15" t="n">
        <f aca="false">BI523-CA523</f>
        <v>-32230.5105301187</v>
      </c>
      <c r="CD523" s="15" t="n">
        <f aca="false">AM523-CB523</f>
        <v>27661.4932916667</v>
      </c>
      <c r="CE523" s="15" t="n">
        <f aca="false">INDEX(Ipotesi!$C$79:$G$79,1,F523)/12</f>
        <v>3333.33333333333</v>
      </c>
      <c r="CF523" s="15" t="n">
        <f aca="false">INDEX(Ipotesi!$C$84:$G$84,1,F523)/12</f>
        <v>666.666666666667</v>
      </c>
      <c r="CG523" s="15" t="n">
        <f aca="false">Y523*MAX(0,Parametri_v3!$C$12-IF(P523=0,0,MIN(1,BE523/(P523*Parametri_v3!$C$22))))+W523*Parametri_v3!$C$13+X523*Parametri_v3!$C$14</f>
        <v>31906.5908993151</v>
      </c>
      <c r="CH523" s="15" t="n">
        <f aca="false">AB523*Parametri_v3!$C$32</f>
        <v>4823.65419791667</v>
      </c>
      <c r="CI523" s="15" t="n">
        <f aca="false">AC523*Parametri_v3!$C$32</f>
        <v>1691.45033541667</v>
      </c>
      <c r="CJ523" s="15" t="n">
        <f aca="false">CA523-AB523</f>
        <v>59142.9867596319</v>
      </c>
      <c r="CK523" s="15" t="n">
        <f aca="false">CB523-AC523-BH523</f>
        <v>19727</v>
      </c>
      <c r="CL523" s="15" t="n">
        <f aca="false">BF523*Ipotesi!$C$73+INDEX(Ipotesi!$C$72:$G$72,1,F523)/12*Ipotesi!K126*Parametri_v3!$C$58+Z523*(1-Parametri_v3!$C$16)</f>
        <v>11365.5008566944</v>
      </c>
      <c r="CM523" s="16" t="n">
        <f aca="false">IF(BF523=0,0,1-CL523/BF523)</f>
        <v>0.770909461516289</v>
      </c>
    </row>
    <row r="524" customFormat="false" ht="18" hidden="false" customHeight="true" outlineLevel="0" collapsed="false">
      <c r="A524" s="68" t="n">
        <f aca="false">9</f>
        <v>9</v>
      </c>
      <c r="B524" s="68" t="n">
        <f aca="false">40</f>
        <v>40</v>
      </c>
      <c r="C524" s="18" t="n">
        <f aca="false">EDATE(Parametri_v3!$C$5,40-1)</f>
        <v>47574</v>
      </c>
      <c r="D524" s="68" t="n">
        <f aca="false">YEAR(C524)</f>
        <v>2030</v>
      </c>
      <c r="E524" s="68" t="n">
        <f aca="false">MONTH(C524)</f>
        <v>4</v>
      </c>
      <c r="F524" s="68" t="n">
        <f aca="false">INT((40-1)/12)+1</f>
        <v>4</v>
      </c>
      <c r="G524" s="15" t="n">
        <f aca="false">Ipotesi!K7</f>
        <v>1</v>
      </c>
      <c r="H524" s="15" t="n">
        <f aca="false">Ipotesi!K9</f>
        <v>1</v>
      </c>
      <c r="I524" s="15" t="n">
        <f aca="false">Ipotesi!K10</f>
        <v>1</v>
      </c>
      <c r="J524" s="15" t="n">
        <f aca="false">Ipotesi!K11</f>
        <v>1</v>
      </c>
      <c r="K524" s="15" t="n">
        <f aca="false">Ipotesi!K12</f>
        <v>1</v>
      </c>
      <c r="L524" s="15" t="n">
        <f aca="false">Ipotesi!K13</f>
        <v>90</v>
      </c>
      <c r="M524" s="17" t="n">
        <f aca="false">INDEX(Ipotesi!$C$40:$G$40,1,F524)</f>
        <v>1</v>
      </c>
      <c r="N524" s="17" t="n">
        <f aca="false">INDEX(Ipotesi!$C$41:$G$41,1,F524)</f>
        <v>1</v>
      </c>
      <c r="O524" s="17" t="n">
        <f aca="false">INDEX(Ipotesi!$C$42:$G$42,1,F524)*Ipotesi!K125</f>
        <v>6.5</v>
      </c>
      <c r="P524" s="17" t="n">
        <f aca="false">INDEX(Ipotesi!$C$43:$G$43,1,F524)*I524</f>
        <v>6</v>
      </c>
      <c r="Q524" s="17" t="n">
        <f aca="false">INDEX(Ipotesi!$C$44:$G$44,1,F524)*I524</f>
        <v>5</v>
      </c>
      <c r="R524" s="17" t="n">
        <f aca="false">INDEX(Ipotesi!$C$45:$G$45,1,F524)*I524</f>
        <v>1.5</v>
      </c>
      <c r="S524" s="17" t="n">
        <f aca="false">INDEX(Ipotesi!$C$52:$G$52,1,F524)*Ipotesi!K125</f>
        <v>7</v>
      </c>
      <c r="T524" s="17" t="n">
        <f aca="false">INDEX(Ipotesi!$C$53:$G$53,1,F524)*I524</f>
        <v>1</v>
      </c>
      <c r="U524" s="17" t="n">
        <f aca="false">INDEX(Ipotesi!$C$54:$G$54,1,F524)*I524</f>
        <v>0.5</v>
      </c>
      <c r="V524" s="15" t="n">
        <f aca="false">M524*INDEX(Ipotesi!$C$58:$G$58,1,F524)*K524/12</f>
        <v>7916.66666666667</v>
      </c>
      <c r="W524" s="15" t="n">
        <f aca="false">N524*Ipotesi!$C$59*(1+Ipotesi!$C$66)^(F524-1)/12</f>
        <v>6374.24083333333</v>
      </c>
      <c r="X524" s="15" t="n">
        <f aca="false">O524*Ipotesi!$C$60*(1+Ipotesi!$C$66)^(F524-1)/12</f>
        <v>29594.6895833333</v>
      </c>
      <c r="Y524" s="15" t="n">
        <f aca="false">P524*Ipotesi!$C$61*(1+Ipotesi!$C$66)^(F524-1)/12</f>
        <v>27318.175</v>
      </c>
      <c r="Z524" s="15" t="n">
        <f aca="false">Q524*Ipotesi!$C$62*(1+Ipotesi!$C$66)^(F524-1)/12</f>
        <v>20488.63125</v>
      </c>
      <c r="AA524" s="15" t="n">
        <f aca="false">R524*Ipotesi!$C$63*(1+Ipotesi!$C$66)^(F524-1)/12</f>
        <v>4780.680625</v>
      </c>
      <c r="AB524" s="15" t="n">
        <f aca="false">SUM(V524:AA524)</f>
        <v>96473.0839583333</v>
      </c>
      <c r="AC524" s="15" t="n">
        <f aca="false">(S524*Ipotesi!$C$64+T524*Ipotesi!$C$65+U524*Ipotesi!$C$63)*(1+Ipotesi!$C$66)^(F524-1)/12</f>
        <v>33829.0067083333</v>
      </c>
      <c r="AD524" s="15" t="n">
        <f aca="false">INDEX(Ipotesi!$C$48:$G$48,1,F524)*G524/12</f>
        <v>79.1666666666667</v>
      </c>
      <c r="AE524" s="15" t="n">
        <f aca="false">INDEX(Ipotesi!$C$50:$G$50,1,F524)*G524/12</f>
        <v>8.33333333333333</v>
      </c>
      <c r="AF524" s="15" t="n">
        <f aca="false">(S524*Parametri_v3!$C$7*Parametri_v3!$C$8+Parametri_v3!$C$10)/12</f>
        <v>89.8333333333333</v>
      </c>
      <c r="AG524" s="15" t="n">
        <f aca="false">AD524+AE524*(1+Parametri_v3!$C$9)</f>
        <v>91.6666666666667</v>
      </c>
      <c r="AH524" s="16" t="n">
        <f aca="false">IF(AG524=0,1,MIN(1,AF524/AG524))</f>
        <v>0.98</v>
      </c>
      <c r="AI524" s="15" t="n">
        <f aca="false">AD524*AH524</f>
        <v>77.5833333333333</v>
      </c>
      <c r="AJ524" s="15" t="n">
        <f aca="false">AE524*AH524</f>
        <v>8.16666666666667</v>
      </c>
      <c r="AK524" s="15" t="n">
        <f aca="false">AI524*INDEX(Ipotesi!$C$49:$G$49,1,F524)*H524</f>
        <v>69825</v>
      </c>
      <c r="AL524" s="15" t="n">
        <f aca="false">AJ524*INDEX(Ipotesi!$C$51:$G$51,1,F524)*H524</f>
        <v>20416.6666666667</v>
      </c>
      <c r="AM524" s="15" t="n">
        <f aca="false">AK524+AL524</f>
        <v>90241.6666666667</v>
      </c>
      <c r="AN524" s="15" t="n">
        <f aca="false">INDEX(Ipotesi!$C$30:$G$30,1,F524)*G524/12</f>
        <v>61.6666666666667</v>
      </c>
      <c r="AO524" s="15" t="n">
        <f aca="false">O524*Parametri_v3!$C$7*Parametri_v3!$C$11*(1-Parametri_v3!$C$14)/12</f>
        <v>66.7333333333333</v>
      </c>
      <c r="AP524" s="15" t="n">
        <f aca="false">MIN(AN524,AO524)</f>
        <v>61.6666666666667</v>
      </c>
      <c r="AQ524" s="15" t="n">
        <f aca="false">AP524*INDEX(Ipotesi!$C$31:$G$31,1,F524)*H524</f>
        <v>64750</v>
      </c>
      <c r="AR524" s="15" t="n">
        <f aca="false">INDEX(Ipotesi!$C$75:$G$75,1,F524)*J524/12</f>
        <v>27916.6666666667</v>
      </c>
      <c r="AS524" s="15" t="n">
        <f aca="false">INDEX(Ipotesi!$C$81:$G$81,1,F524)*J524/12</f>
        <v>1666.66666666667</v>
      </c>
      <c r="AT524" s="15" t="n">
        <f aca="false">AR524*Parametri_v3!$C$15+Z524*Parametri_v3!$C$16</f>
        <v>42258.7085416667</v>
      </c>
      <c r="AU524" s="15" t="n">
        <f aca="false">Q524*Parametri_v3!$C$16*Parametri_v3!$C$17</f>
        <v>350</v>
      </c>
      <c r="AV524" s="17" t="n">
        <f aca="false">BD523</f>
        <v>101.393545671651</v>
      </c>
      <c r="AW524" s="17" t="n">
        <f aca="false">AV524*(1-(1-INDEX(Ipotesi!$C$34:$G$34,1,F524))^(1/12))</f>
        <v>0.886342929578844</v>
      </c>
      <c r="AX524" s="15" t="n">
        <f aca="false">ROUND(INDEX(Ipotesi!$C$32:$G$32,1,F524)*Ipotesi!K8,0)</f>
        <v>310</v>
      </c>
      <c r="AY524" s="15" t="n">
        <f aca="false">MAX(0,(AX524-(AV524-AW524))/(13-E524))</f>
        <v>23.2769774731031</v>
      </c>
      <c r="AZ524" s="15" t="n">
        <f aca="false">MIN(P524*Parametri_v3!$C$22,Q524*(1-Parametri_v3!$C$16)*Parametri_v3!$C$23)</f>
        <v>225</v>
      </c>
      <c r="BA524" s="15" t="n">
        <f aca="false">IF(OR(INDEX(Ipotesi!$C$35:$G$35,1,F524)&lt;=0,40-Parametri_v3!$C$21&lt;1),0,INDEX($AT$485:$AT$544,MAX(1,40-Parametri_v3!$C$21))/(INDEX(Ipotesi!$C$35:$G$35,1,F524)*Ipotesi!K27))</f>
        <v>7.04311809027778</v>
      </c>
      <c r="BB524" s="15" t="n">
        <f aca="false">IF(40-Parametri_v3!$C$21&lt;1,0,INDEX($AU$485:$AU$544,MAX(1,40-Parametri_v3!$C$21)))*Parametri_v3!$C$18*Parametri_v3!$C$19*Parametri_v3!$C$20</f>
        <v>13.125</v>
      </c>
      <c r="BC524" s="17" t="n">
        <f aca="false">MAX(0,MIN(AY524,BA524,BB524,MAX(0,AZ524-(AV524-AW524))))</f>
        <v>7.04311809027778</v>
      </c>
      <c r="BD524" s="17" t="n">
        <f aca="false">AV524-AW524+BC524</f>
        <v>107.55032083235</v>
      </c>
      <c r="BE524" s="17" t="n">
        <f aca="false">(AV524+BD524)/2</f>
        <v>104.471933252</v>
      </c>
      <c r="BF524" s="15" t="n">
        <f aca="false">BE524*INDEX(Ipotesi!$C$33:$G$33,1,F524)*H524/12</f>
        <v>52235.9666260001</v>
      </c>
      <c r="BG524" s="15" t="n">
        <f aca="false">BD524*INDEX(Ipotesi!$C$33:$G$33,1,F524)*H524</f>
        <v>645301.924994098</v>
      </c>
      <c r="BH524" s="15" t="n">
        <f aca="false">AM524*INDEX(Ipotesi!$C$37:$G$37,1,F524)</f>
        <v>9024.16666666667</v>
      </c>
      <c r="BI524" s="15" t="n">
        <f aca="false">AQ524+BF524+BH524</f>
        <v>126010.133292667</v>
      </c>
      <c r="BJ524" s="15" t="n">
        <f aca="false">INDEX(Ipotesi!$C$68:$G$68,1,F524)*Ipotesi!$C$69/12</f>
        <v>3000</v>
      </c>
      <c r="BK524" s="15" t="n">
        <f aca="false">INDEX(Ipotesi!$C$68:$G$68,1,F524)*(1-Ipotesi!$C$69)/12</f>
        <v>4500</v>
      </c>
      <c r="BL524" s="15" t="n">
        <f aca="false">(AQ524+BF524)*Ipotesi!$C$67</f>
        <v>3509.57899878</v>
      </c>
      <c r="BM524" s="15" t="n">
        <f aca="false">AM524*Ipotesi!$C$67</f>
        <v>2707.25</v>
      </c>
      <c r="BN524" s="15" t="n">
        <f aca="false">INDEX(Ipotesi!$C$72:$G$72,1,F524)/12*Ipotesi!K126+BF524*Ipotesi!$C$73</f>
        <v>5428.87733008001</v>
      </c>
      <c r="BO524" s="15" t="n">
        <f aca="false">INDEX(Ipotesi!$C$74:$G$74,1,F524)/12*Ipotesi!K126</f>
        <v>4166.66666666667</v>
      </c>
      <c r="BP524" s="15" t="n">
        <f aca="false">INDEX(Ipotesi!$C$76:$G$76,1,F524)/12</f>
        <v>1500</v>
      </c>
      <c r="BQ524" s="15" t="n">
        <f aca="false">INDEX(Ipotesi!$C$77:$G$77,1,F524)/12*Ipotesi!K126</f>
        <v>2083.33333333333</v>
      </c>
      <c r="BR524" s="15" t="n">
        <f aca="false">INDEX(Ipotesi!$C$78:$G$78,1,F524)/12</f>
        <v>2000</v>
      </c>
      <c r="BS524" s="15" t="n">
        <f aca="false">SUM(M524:R524)*(Ipotesi!$C$85+Ipotesi!$C$86)/12</f>
        <v>6125</v>
      </c>
      <c r="BT524" s="15" t="n">
        <f aca="false">BI524*Ipotesi!$C$87</f>
        <v>3780.30399878</v>
      </c>
      <c r="BU524" s="15" t="n">
        <f aca="false">INDEX(Ipotesi!$C$55:$G$55,1,F524)*K524/12</f>
        <v>2000</v>
      </c>
      <c r="BV524" s="15" t="n">
        <f aca="false">INDEX(Ipotesi!$C$80:$G$80,1,F524)/12*Ipotesi!K126</f>
        <v>1666.66666666667</v>
      </c>
      <c r="BW524" s="15" t="n">
        <f aca="false">INDEX(Ipotesi!$C$82:$G$82,1,F524)/12</f>
        <v>1250</v>
      </c>
      <c r="BX524" s="15" t="n">
        <f aca="false">INDEX(Ipotesi!$C$83:$G$83,1,F524)/12</f>
        <v>750</v>
      </c>
      <c r="BY524" s="15" t="n">
        <f aca="false">SUM(S524:U524)*(Ipotesi!$C$85+Ipotesi!$C$86)/12</f>
        <v>2479.16666666667</v>
      </c>
      <c r="BZ524" s="15" t="n">
        <f aca="false">AM524*Ipotesi!$C$87</f>
        <v>2707.25</v>
      </c>
      <c r="CA524" s="15" t="n">
        <f aca="false">AB524+BJ524+BL524+BN524+BO524+AR524+BP524+BQ524+BR524+BS524+BT524</f>
        <v>155983.51095264</v>
      </c>
      <c r="CB524" s="15" t="n">
        <f aca="false">AC524+BK524+BM524+BH524+BU524+BV524+AS524+BW524+BX524+BY524+BZ524</f>
        <v>62580.173375</v>
      </c>
      <c r="CC524" s="15" t="n">
        <f aca="false">BI524-CA524</f>
        <v>-29973.3776599733</v>
      </c>
      <c r="CD524" s="15" t="n">
        <f aca="false">AM524-CB524</f>
        <v>27661.4932916667</v>
      </c>
      <c r="CE524" s="15" t="n">
        <f aca="false">INDEX(Ipotesi!$C$79:$G$79,1,F524)/12</f>
        <v>3333.33333333333</v>
      </c>
      <c r="CF524" s="15" t="n">
        <f aca="false">INDEX(Ipotesi!$C$84:$G$84,1,F524)/12</f>
        <v>666.666666666667</v>
      </c>
      <c r="CG524" s="15" t="n">
        <f aca="false">Y524*MAX(0,Parametri_v3!$C$12-IF(P524=0,0,MIN(1,BE524/(P524*Parametri_v3!$C$22))))+W524*Parametri_v3!$C$13+X524*Parametri_v3!$C$14</f>
        <v>31667.5957413892</v>
      </c>
      <c r="CH524" s="15" t="n">
        <f aca="false">AB524*Parametri_v3!$C$32</f>
        <v>4823.65419791667</v>
      </c>
      <c r="CI524" s="15" t="n">
        <f aca="false">AC524*Parametri_v3!$C$32</f>
        <v>1691.45033541667</v>
      </c>
      <c r="CJ524" s="15" t="n">
        <f aca="false">CA524-AB524</f>
        <v>59510.4269943067</v>
      </c>
      <c r="CK524" s="15" t="n">
        <f aca="false">CB524-AC524-BH524</f>
        <v>19727</v>
      </c>
      <c r="CL524" s="15" t="n">
        <f aca="false">BF524*Ipotesi!$C$73+INDEX(Ipotesi!$C$72:$G$72,1,F524)/12*Ipotesi!K126*Parametri_v3!$C$58+Z524*(1-Parametri_v3!$C$16)</f>
        <v>11575.46670508</v>
      </c>
      <c r="CM524" s="16" t="n">
        <f aca="false">IF(BF524=0,0,1-CL524/BF524)</f>
        <v>0.778400449867077</v>
      </c>
    </row>
    <row r="525" customFormat="false" ht="18" hidden="false" customHeight="true" outlineLevel="0" collapsed="false">
      <c r="A525" s="68" t="n">
        <f aca="false">9</f>
        <v>9</v>
      </c>
      <c r="B525" s="68" t="n">
        <f aca="false">41</f>
        <v>41</v>
      </c>
      <c r="C525" s="18" t="n">
        <f aca="false">EDATE(Parametri_v3!$C$5,41-1)</f>
        <v>47604</v>
      </c>
      <c r="D525" s="68" t="n">
        <f aca="false">YEAR(C525)</f>
        <v>2030</v>
      </c>
      <c r="E525" s="68" t="n">
        <f aca="false">MONTH(C525)</f>
        <v>5</v>
      </c>
      <c r="F525" s="68" t="n">
        <f aca="false">INT((41-1)/12)+1</f>
        <v>4</v>
      </c>
      <c r="G525" s="15" t="n">
        <f aca="false">Ipotesi!K7</f>
        <v>1</v>
      </c>
      <c r="H525" s="15" t="n">
        <f aca="false">Ipotesi!K9</f>
        <v>1</v>
      </c>
      <c r="I525" s="15" t="n">
        <f aca="false">Ipotesi!K10</f>
        <v>1</v>
      </c>
      <c r="J525" s="15" t="n">
        <f aca="false">Ipotesi!K11</f>
        <v>1</v>
      </c>
      <c r="K525" s="15" t="n">
        <f aca="false">Ipotesi!K12</f>
        <v>1</v>
      </c>
      <c r="L525" s="15" t="n">
        <f aca="false">Ipotesi!K13</f>
        <v>90</v>
      </c>
      <c r="M525" s="17" t="n">
        <f aca="false">INDEX(Ipotesi!$C$40:$G$40,1,F525)</f>
        <v>1</v>
      </c>
      <c r="N525" s="17" t="n">
        <f aca="false">INDEX(Ipotesi!$C$41:$G$41,1,F525)</f>
        <v>1</v>
      </c>
      <c r="O525" s="17" t="n">
        <f aca="false">INDEX(Ipotesi!$C$42:$G$42,1,F525)*Ipotesi!K125</f>
        <v>6.5</v>
      </c>
      <c r="P525" s="17" t="n">
        <f aca="false">INDEX(Ipotesi!$C$43:$G$43,1,F525)*I525</f>
        <v>6</v>
      </c>
      <c r="Q525" s="17" t="n">
        <f aca="false">INDEX(Ipotesi!$C$44:$G$44,1,F525)*I525</f>
        <v>5</v>
      </c>
      <c r="R525" s="17" t="n">
        <f aca="false">INDEX(Ipotesi!$C$45:$G$45,1,F525)*I525</f>
        <v>1.5</v>
      </c>
      <c r="S525" s="17" t="n">
        <f aca="false">INDEX(Ipotesi!$C$52:$G$52,1,F525)*Ipotesi!K125</f>
        <v>7</v>
      </c>
      <c r="T525" s="17" t="n">
        <f aca="false">INDEX(Ipotesi!$C$53:$G$53,1,F525)*I525</f>
        <v>1</v>
      </c>
      <c r="U525" s="17" t="n">
        <f aca="false">INDEX(Ipotesi!$C$54:$G$54,1,F525)*I525</f>
        <v>0.5</v>
      </c>
      <c r="V525" s="15" t="n">
        <f aca="false">M525*INDEX(Ipotesi!$C$58:$G$58,1,F525)*K525/12</f>
        <v>7916.66666666667</v>
      </c>
      <c r="W525" s="15" t="n">
        <f aca="false">N525*Ipotesi!$C$59*(1+Ipotesi!$C$66)^(F525-1)/12</f>
        <v>6374.24083333333</v>
      </c>
      <c r="X525" s="15" t="n">
        <f aca="false">O525*Ipotesi!$C$60*(1+Ipotesi!$C$66)^(F525-1)/12</f>
        <v>29594.6895833333</v>
      </c>
      <c r="Y525" s="15" t="n">
        <f aca="false">P525*Ipotesi!$C$61*(1+Ipotesi!$C$66)^(F525-1)/12</f>
        <v>27318.175</v>
      </c>
      <c r="Z525" s="15" t="n">
        <f aca="false">Q525*Ipotesi!$C$62*(1+Ipotesi!$C$66)^(F525-1)/12</f>
        <v>20488.63125</v>
      </c>
      <c r="AA525" s="15" t="n">
        <f aca="false">R525*Ipotesi!$C$63*(1+Ipotesi!$C$66)^(F525-1)/12</f>
        <v>4780.680625</v>
      </c>
      <c r="AB525" s="15" t="n">
        <f aca="false">SUM(V525:AA525)</f>
        <v>96473.0839583333</v>
      </c>
      <c r="AC525" s="15" t="n">
        <f aca="false">(S525*Ipotesi!$C$64+T525*Ipotesi!$C$65+U525*Ipotesi!$C$63)*(1+Ipotesi!$C$66)^(F525-1)/12</f>
        <v>33829.0067083333</v>
      </c>
      <c r="AD525" s="15" t="n">
        <f aca="false">INDEX(Ipotesi!$C$48:$G$48,1,F525)*G525/12</f>
        <v>79.1666666666667</v>
      </c>
      <c r="AE525" s="15" t="n">
        <f aca="false">INDEX(Ipotesi!$C$50:$G$50,1,F525)*G525/12</f>
        <v>8.33333333333333</v>
      </c>
      <c r="AF525" s="15" t="n">
        <f aca="false">(S525*Parametri_v3!$C$7*Parametri_v3!$C$8+Parametri_v3!$C$10)/12</f>
        <v>89.8333333333333</v>
      </c>
      <c r="AG525" s="15" t="n">
        <f aca="false">AD525+AE525*(1+Parametri_v3!$C$9)</f>
        <v>91.6666666666667</v>
      </c>
      <c r="AH525" s="16" t="n">
        <f aca="false">IF(AG525=0,1,MIN(1,AF525/AG525))</f>
        <v>0.98</v>
      </c>
      <c r="AI525" s="15" t="n">
        <f aca="false">AD525*AH525</f>
        <v>77.5833333333333</v>
      </c>
      <c r="AJ525" s="15" t="n">
        <f aca="false">AE525*AH525</f>
        <v>8.16666666666667</v>
      </c>
      <c r="AK525" s="15" t="n">
        <f aca="false">AI525*INDEX(Ipotesi!$C$49:$G$49,1,F525)*H525</f>
        <v>69825</v>
      </c>
      <c r="AL525" s="15" t="n">
        <f aca="false">AJ525*INDEX(Ipotesi!$C$51:$G$51,1,F525)*H525</f>
        <v>20416.6666666667</v>
      </c>
      <c r="AM525" s="15" t="n">
        <f aca="false">AK525+AL525</f>
        <v>90241.6666666667</v>
      </c>
      <c r="AN525" s="15" t="n">
        <f aca="false">INDEX(Ipotesi!$C$30:$G$30,1,F525)*G525/12</f>
        <v>61.6666666666667</v>
      </c>
      <c r="AO525" s="15" t="n">
        <f aca="false">O525*Parametri_v3!$C$7*Parametri_v3!$C$11*(1-Parametri_v3!$C$14)/12</f>
        <v>66.7333333333333</v>
      </c>
      <c r="AP525" s="15" t="n">
        <f aca="false">MIN(AN525,AO525)</f>
        <v>61.6666666666667</v>
      </c>
      <c r="AQ525" s="15" t="n">
        <f aca="false">AP525*INDEX(Ipotesi!$C$31:$G$31,1,F525)*H525</f>
        <v>64750</v>
      </c>
      <c r="AR525" s="15" t="n">
        <f aca="false">INDEX(Ipotesi!$C$75:$G$75,1,F525)*J525/12</f>
        <v>27916.6666666667</v>
      </c>
      <c r="AS525" s="15" t="n">
        <f aca="false">INDEX(Ipotesi!$C$81:$G$81,1,F525)*J525/12</f>
        <v>1666.66666666667</v>
      </c>
      <c r="AT525" s="15" t="n">
        <f aca="false">AR525*Parametri_v3!$C$15+Z525*Parametri_v3!$C$16</f>
        <v>42258.7085416667</v>
      </c>
      <c r="AU525" s="15" t="n">
        <f aca="false">Q525*Parametri_v3!$C$16*Parametri_v3!$C$17</f>
        <v>350</v>
      </c>
      <c r="AV525" s="17" t="n">
        <f aca="false">BD524</f>
        <v>107.55032083235</v>
      </c>
      <c r="AW525" s="17" t="n">
        <f aca="false">AV525*(1-(1-INDEX(Ipotesi!$C$34:$G$34,1,F525))^(1/12))</f>
        <v>0.940163062769214</v>
      </c>
      <c r="AX525" s="15" t="n">
        <f aca="false">ROUND(INDEX(Ipotesi!$C$32:$G$32,1,F525)*Ipotesi!K8,0)</f>
        <v>310</v>
      </c>
      <c r="AY525" s="15" t="n">
        <f aca="false">MAX(0,(AX525-(AV525-AW525))/(13-E525))</f>
        <v>25.4237302788025</v>
      </c>
      <c r="AZ525" s="15" t="n">
        <f aca="false">MIN(P525*Parametri_v3!$C$22,Q525*(1-Parametri_v3!$C$16)*Parametri_v3!$C$23)</f>
        <v>225</v>
      </c>
      <c r="BA525" s="15" t="n">
        <f aca="false">IF(OR(INDEX(Ipotesi!$C$35:$G$35,1,F525)&lt;=0,41-Parametri_v3!$C$21&lt;1),0,INDEX($AT$485:$AT$544,MAX(1,41-Parametri_v3!$C$21))/(INDEX(Ipotesi!$C$35:$G$35,1,F525)*Ipotesi!K27))</f>
        <v>7.04311809027778</v>
      </c>
      <c r="BB525" s="15" t="n">
        <f aca="false">IF(41-Parametri_v3!$C$21&lt;1,0,INDEX($AU$485:$AU$544,MAX(1,41-Parametri_v3!$C$21)))*Parametri_v3!$C$18*Parametri_v3!$C$19*Parametri_v3!$C$20</f>
        <v>13.125</v>
      </c>
      <c r="BC525" s="17" t="n">
        <f aca="false">MAX(0,MIN(AY525,BA525,BB525,MAX(0,AZ525-(AV525-AW525))))</f>
        <v>7.04311809027778</v>
      </c>
      <c r="BD525" s="17" t="n">
        <f aca="false">AV525-AW525+BC525</f>
        <v>113.653275859858</v>
      </c>
      <c r="BE525" s="17" t="n">
        <f aca="false">(AV525+BD525)/2</f>
        <v>110.601798346104</v>
      </c>
      <c r="BF525" s="15" t="n">
        <f aca="false">BE525*INDEX(Ipotesi!$C$33:$G$33,1,F525)*H525/12</f>
        <v>55300.8991730519</v>
      </c>
      <c r="BG525" s="15" t="n">
        <f aca="false">BD525*INDEX(Ipotesi!$C$33:$G$33,1,F525)*H525</f>
        <v>681919.655159149</v>
      </c>
      <c r="BH525" s="15" t="n">
        <f aca="false">AM525*INDEX(Ipotesi!$C$37:$G$37,1,F525)</f>
        <v>9024.16666666667</v>
      </c>
      <c r="BI525" s="15" t="n">
        <f aca="false">AQ525+BF525+BH525</f>
        <v>129075.065839719</v>
      </c>
      <c r="BJ525" s="15" t="n">
        <f aca="false">INDEX(Ipotesi!$C$68:$G$68,1,F525)*Ipotesi!$C$69/12</f>
        <v>3000</v>
      </c>
      <c r="BK525" s="15" t="n">
        <f aca="false">INDEX(Ipotesi!$C$68:$G$68,1,F525)*(1-Ipotesi!$C$69)/12</f>
        <v>4500</v>
      </c>
      <c r="BL525" s="15" t="n">
        <f aca="false">(AQ525+BF525)*Ipotesi!$C$67</f>
        <v>3601.52697519156</v>
      </c>
      <c r="BM525" s="15" t="n">
        <f aca="false">AM525*Ipotesi!$C$67</f>
        <v>2707.25</v>
      </c>
      <c r="BN525" s="15" t="n">
        <f aca="false">INDEX(Ipotesi!$C$72:$G$72,1,F525)/12*Ipotesi!K126+BF525*Ipotesi!$C$73</f>
        <v>5674.07193384416</v>
      </c>
      <c r="BO525" s="15" t="n">
        <f aca="false">INDEX(Ipotesi!$C$74:$G$74,1,F525)/12*Ipotesi!K126</f>
        <v>4166.66666666667</v>
      </c>
      <c r="BP525" s="15" t="n">
        <f aca="false">INDEX(Ipotesi!$C$76:$G$76,1,F525)/12</f>
        <v>1500</v>
      </c>
      <c r="BQ525" s="15" t="n">
        <f aca="false">INDEX(Ipotesi!$C$77:$G$77,1,F525)/12*Ipotesi!K126</f>
        <v>2083.33333333333</v>
      </c>
      <c r="BR525" s="15" t="n">
        <f aca="false">INDEX(Ipotesi!$C$78:$G$78,1,F525)/12</f>
        <v>2000</v>
      </c>
      <c r="BS525" s="15" t="n">
        <f aca="false">SUM(M525:R525)*(Ipotesi!$C$85+Ipotesi!$C$86)/12</f>
        <v>6125</v>
      </c>
      <c r="BT525" s="15" t="n">
        <f aca="false">BI525*Ipotesi!$C$87</f>
        <v>3872.25197519156</v>
      </c>
      <c r="BU525" s="15" t="n">
        <f aca="false">INDEX(Ipotesi!$C$55:$G$55,1,F525)*K525/12</f>
        <v>2000</v>
      </c>
      <c r="BV525" s="15" t="n">
        <f aca="false">INDEX(Ipotesi!$C$80:$G$80,1,F525)/12*Ipotesi!K126</f>
        <v>1666.66666666667</v>
      </c>
      <c r="BW525" s="15" t="n">
        <f aca="false">INDEX(Ipotesi!$C$82:$G$82,1,F525)/12</f>
        <v>1250</v>
      </c>
      <c r="BX525" s="15" t="n">
        <f aca="false">INDEX(Ipotesi!$C$83:$G$83,1,F525)/12</f>
        <v>750</v>
      </c>
      <c r="BY525" s="15" t="n">
        <f aca="false">SUM(S525:U525)*(Ipotesi!$C$85+Ipotesi!$C$86)/12</f>
        <v>2479.16666666667</v>
      </c>
      <c r="BZ525" s="15" t="n">
        <f aca="false">AM525*Ipotesi!$C$87</f>
        <v>2707.25</v>
      </c>
      <c r="CA525" s="15" t="n">
        <f aca="false">AB525+BJ525+BL525+BN525+BO525+AR525+BP525+BQ525+BR525+BS525+BT525</f>
        <v>156412.601509227</v>
      </c>
      <c r="CB525" s="15" t="n">
        <f aca="false">AC525+BK525+BM525+BH525+BU525+BV525+AS525+BW525+BX525+BY525+BZ525</f>
        <v>62580.173375</v>
      </c>
      <c r="CC525" s="15" t="n">
        <f aca="false">BI525-CA525</f>
        <v>-27337.5356695087</v>
      </c>
      <c r="CD525" s="15" t="n">
        <f aca="false">AM525-CB525</f>
        <v>27661.4932916667</v>
      </c>
      <c r="CE525" s="15" t="n">
        <f aca="false">INDEX(Ipotesi!$C$79:$G$79,1,F525)/12</f>
        <v>3333.33333333333</v>
      </c>
      <c r="CF525" s="15" t="n">
        <f aca="false">INDEX(Ipotesi!$C$84:$G$84,1,F525)/12</f>
        <v>666.666666666667</v>
      </c>
      <c r="CG525" s="15" t="n">
        <f aca="false">Y525*MAX(0,Parametri_v3!$C$12-IF(P525=0,0,MIN(1,BE525/(P525*Parametri_v3!$C$22))))+W525*Parametri_v3!$C$13+X525*Parametri_v3!$C$14</f>
        <v>31388.5011957774</v>
      </c>
      <c r="CH525" s="15" t="n">
        <f aca="false">AB525*Parametri_v3!$C$32</f>
        <v>4823.65419791667</v>
      </c>
      <c r="CI525" s="15" t="n">
        <f aca="false">AC525*Parametri_v3!$C$32</f>
        <v>1691.45033541667</v>
      </c>
      <c r="CJ525" s="15" t="n">
        <f aca="false">CA525-AB525</f>
        <v>59939.5175508939</v>
      </c>
      <c r="CK525" s="15" t="n">
        <f aca="false">CB525-AC525-BH525</f>
        <v>19727</v>
      </c>
      <c r="CL525" s="15" t="n">
        <f aca="false">BF525*Ipotesi!$C$73+INDEX(Ipotesi!$C$72:$G$72,1,F525)/12*Ipotesi!K126*Parametri_v3!$C$58+Z525*(1-Parametri_v3!$C$16)</f>
        <v>11820.6613088442</v>
      </c>
      <c r="CM525" s="16" t="n">
        <f aca="false">IF(BF525=0,0,1-CL525/BF525)</f>
        <v>0.786248298208425</v>
      </c>
    </row>
    <row r="526" customFormat="false" ht="18" hidden="false" customHeight="true" outlineLevel="0" collapsed="false">
      <c r="A526" s="68" t="n">
        <f aca="false">9</f>
        <v>9</v>
      </c>
      <c r="B526" s="68" t="n">
        <f aca="false">42</f>
        <v>42</v>
      </c>
      <c r="C526" s="18" t="n">
        <f aca="false">EDATE(Parametri_v3!$C$5,42-1)</f>
        <v>47635</v>
      </c>
      <c r="D526" s="68" t="n">
        <f aca="false">YEAR(C526)</f>
        <v>2030</v>
      </c>
      <c r="E526" s="68" t="n">
        <f aca="false">MONTH(C526)</f>
        <v>6</v>
      </c>
      <c r="F526" s="68" t="n">
        <f aca="false">INT((42-1)/12)+1</f>
        <v>4</v>
      </c>
      <c r="G526" s="15" t="n">
        <f aca="false">Ipotesi!K7</f>
        <v>1</v>
      </c>
      <c r="H526" s="15" t="n">
        <f aca="false">Ipotesi!K9</f>
        <v>1</v>
      </c>
      <c r="I526" s="15" t="n">
        <f aca="false">Ipotesi!K10</f>
        <v>1</v>
      </c>
      <c r="J526" s="15" t="n">
        <f aca="false">Ipotesi!K11</f>
        <v>1</v>
      </c>
      <c r="K526" s="15" t="n">
        <f aca="false">Ipotesi!K12</f>
        <v>1</v>
      </c>
      <c r="L526" s="15" t="n">
        <f aca="false">Ipotesi!K13</f>
        <v>90</v>
      </c>
      <c r="M526" s="17" t="n">
        <f aca="false">INDEX(Ipotesi!$C$40:$G$40,1,F526)</f>
        <v>1</v>
      </c>
      <c r="N526" s="17" t="n">
        <f aca="false">INDEX(Ipotesi!$C$41:$G$41,1,F526)</f>
        <v>1</v>
      </c>
      <c r="O526" s="17" t="n">
        <f aca="false">INDEX(Ipotesi!$C$42:$G$42,1,F526)*Ipotesi!K125</f>
        <v>6.5</v>
      </c>
      <c r="P526" s="17" t="n">
        <f aca="false">INDEX(Ipotesi!$C$43:$G$43,1,F526)*I526</f>
        <v>6</v>
      </c>
      <c r="Q526" s="17" t="n">
        <f aca="false">INDEX(Ipotesi!$C$44:$G$44,1,F526)*I526</f>
        <v>5</v>
      </c>
      <c r="R526" s="17" t="n">
        <f aca="false">INDEX(Ipotesi!$C$45:$G$45,1,F526)*I526</f>
        <v>1.5</v>
      </c>
      <c r="S526" s="17" t="n">
        <f aca="false">INDEX(Ipotesi!$C$52:$G$52,1,F526)*Ipotesi!K125</f>
        <v>7</v>
      </c>
      <c r="T526" s="17" t="n">
        <f aca="false">INDEX(Ipotesi!$C$53:$G$53,1,F526)*I526</f>
        <v>1</v>
      </c>
      <c r="U526" s="17" t="n">
        <f aca="false">INDEX(Ipotesi!$C$54:$G$54,1,F526)*I526</f>
        <v>0.5</v>
      </c>
      <c r="V526" s="15" t="n">
        <f aca="false">M526*INDEX(Ipotesi!$C$58:$G$58,1,F526)*K526/12</f>
        <v>7916.66666666667</v>
      </c>
      <c r="W526" s="15" t="n">
        <f aca="false">N526*Ipotesi!$C$59*(1+Ipotesi!$C$66)^(F526-1)/12</f>
        <v>6374.24083333333</v>
      </c>
      <c r="X526" s="15" t="n">
        <f aca="false">O526*Ipotesi!$C$60*(1+Ipotesi!$C$66)^(F526-1)/12</f>
        <v>29594.6895833333</v>
      </c>
      <c r="Y526" s="15" t="n">
        <f aca="false">P526*Ipotesi!$C$61*(1+Ipotesi!$C$66)^(F526-1)/12</f>
        <v>27318.175</v>
      </c>
      <c r="Z526" s="15" t="n">
        <f aca="false">Q526*Ipotesi!$C$62*(1+Ipotesi!$C$66)^(F526-1)/12</f>
        <v>20488.63125</v>
      </c>
      <c r="AA526" s="15" t="n">
        <f aca="false">R526*Ipotesi!$C$63*(1+Ipotesi!$C$66)^(F526-1)/12</f>
        <v>4780.680625</v>
      </c>
      <c r="AB526" s="15" t="n">
        <f aca="false">SUM(V526:AA526)</f>
        <v>96473.0839583333</v>
      </c>
      <c r="AC526" s="15" t="n">
        <f aca="false">(S526*Ipotesi!$C$64+T526*Ipotesi!$C$65+U526*Ipotesi!$C$63)*(1+Ipotesi!$C$66)^(F526-1)/12</f>
        <v>33829.0067083333</v>
      </c>
      <c r="AD526" s="15" t="n">
        <f aca="false">INDEX(Ipotesi!$C$48:$G$48,1,F526)*G526/12</f>
        <v>79.1666666666667</v>
      </c>
      <c r="AE526" s="15" t="n">
        <f aca="false">INDEX(Ipotesi!$C$50:$G$50,1,F526)*G526/12</f>
        <v>8.33333333333333</v>
      </c>
      <c r="AF526" s="15" t="n">
        <f aca="false">(S526*Parametri_v3!$C$7*Parametri_v3!$C$8+Parametri_v3!$C$10)/12</f>
        <v>89.8333333333333</v>
      </c>
      <c r="AG526" s="15" t="n">
        <f aca="false">AD526+AE526*(1+Parametri_v3!$C$9)</f>
        <v>91.6666666666667</v>
      </c>
      <c r="AH526" s="16" t="n">
        <f aca="false">IF(AG526=0,1,MIN(1,AF526/AG526))</f>
        <v>0.98</v>
      </c>
      <c r="AI526" s="15" t="n">
        <f aca="false">AD526*AH526</f>
        <v>77.5833333333333</v>
      </c>
      <c r="AJ526" s="15" t="n">
        <f aca="false">AE526*AH526</f>
        <v>8.16666666666667</v>
      </c>
      <c r="AK526" s="15" t="n">
        <f aca="false">AI526*INDEX(Ipotesi!$C$49:$G$49,1,F526)*H526</f>
        <v>69825</v>
      </c>
      <c r="AL526" s="15" t="n">
        <f aca="false">AJ526*INDEX(Ipotesi!$C$51:$G$51,1,F526)*H526</f>
        <v>20416.6666666667</v>
      </c>
      <c r="AM526" s="15" t="n">
        <f aca="false">AK526+AL526</f>
        <v>90241.6666666667</v>
      </c>
      <c r="AN526" s="15" t="n">
        <f aca="false">INDEX(Ipotesi!$C$30:$G$30,1,F526)*G526/12</f>
        <v>61.6666666666667</v>
      </c>
      <c r="AO526" s="15" t="n">
        <f aca="false">O526*Parametri_v3!$C$7*Parametri_v3!$C$11*(1-Parametri_v3!$C$14)/12</f>
        <v>66.7333333333333</v>
      </c>
      <c r="AP526" s="15" t="n">
        <f aca="false">MIN(AN526,AO526)</f>
        <v>61.6666666666667</v>
      </c>
      <c r="AQ526" s="15" t="n">
        <f aca="false">AP526*INDEX(Ipotesi!$C$31:$G$31,1,F526)*H526</f>
        <v>64750</v>
      </c>
      <c r="AR526" s="15" t="n">
        <f aca="false">INDEX(Ipotesi!$C$75:$G$75,1,F526)*J526/12</f>
        <v>27916.6666666667</v>
      </c>
      <c r="AS526" s="15" t="n">
        <f aca="false">INDEX(Ipotesi!$C$81:$G$81,1,F526)*J526/12</f>
        <v>1666.66666666667</v>
      </c>
      <c r="AT526" s="15" t="n">
        <f aca="false">AR526*Parametri_v3!$C$15+Z526*Parametri_v3!$C$16</f>
        <v>42258.7085416667</v>
      </c>
      <c r="AU526" s="15" t="n">
        <f aca="false">Q526*Parametri_v3!$C$16*Parametri_v3!$C$17</f>
        <v>350</v>
      </c>
      <c r="AV526" s="17" t="n">
        <f aca="false">BD525</f>
        <v>113.653275859858</v>
      </c>
      <c r="AW526" s="17" t="n">
        <f aca="false">AV526*(1-(1-INDEX(Ipotesi!$C$34:$G$34,1,F526))^(1/12))</f>
        <v>0.993512721293705</v>
      </c>
      <c r="AX526" s="15" t="n">
        <f aca="false">ROUND(INDEX(Ipotesi!$C$32:$G$32,1,F526)*Ipotesi!K8,0)</f>
        <v>310</v>
      </c>
      <c r="AY526" s="15" t="n">
        <f aca="false">MAX(0,(AX526-(AV526-AW526))/(13-E526))</f>
        <v>28.1914624087765</v>
      </c>
      <c r="AZ526" s="15" t="n">
        <f aca="false">MIN(P526*Parametri_v3!$C$22,Q526*(1-Parametri_v3!$C$16)*Parametri_v3!$C$23)</f>
        <v>225</v>
      </c>
      <c r="BA526" s="15" t="n">
        <f aca="false">IF(OR(INDEX(Ipotesi!$C$35:$G$35,1,F526)&lt;=0,42-Parametri_v3!$C$21&lt;1),0,INDEX($AT$485:$AT$544,MAX(1,42-Parametri_v3!$C$21))/(INDEX(Ipotesi!$C$35:$G$35,1,F526)*Ipotesi!K27))</f>
        <v>7.04311809027778</v>
      </c>
      <c r="BB526" s="15" t="n">
        <f aca="false">IF(42-Parametri_v3!$C$21&lt;1,0,INDEX($AU$485:$AU$544,MAX(1,42-Parametri_v3!$C$21)))*Parametri_v3!$C$18*Parametri_v3!$C$19*Parametri_v3!$C$20</f>
        <v>13.125</v>
      </c>
      <c r="BC526" s="17" t="n">
        <f aca="false">MAX(0,MIN(AY526,BA526,BB526,MAX(0,AZ526-(AV526-AW526))))</f>
        <v>7.04311809027778</v>
      </c>
      <c r="BD526" s="17" t="n">
        <f aca="false">AV526-AW526+BC526</f>
        <v>119.702881228842</v>
      </c>
      <c r="BE526" s="17" t="n">
        <f aca="false">(AV526+BD526)/2</f>
        <v>116.67807854435</v>
      </c>
      <c r="BF526" s="15" t="n">
        <f aca="false">BE526*INDEX(Ipotesi!$C$33:$G$33,1,F526)*H526/12</f>
        <v>58339.0392721751</v>
      </c>
      <c r="BG526" s="15" t="n">
        <f aca="false">BD526*INDEX(Ipotesi!$C$33:$G$33,1,F526)*H526</f>
        <v>718217.287373054</v>
      </c>
      <c r="BH526" s="15" t="n">
        <f aca="false">AM526*INDEX(Ipotesi!$C$37:$G$37,1,F526)</f>
        <v>9024.16666666667</v>
      </c>
      <c r="BI526" s="15" t="n">
        <f aca="false">AQ526+BF526+BH526</f>
        <v>132113.205938842</v>
      </c>
      <c r="BJ526" s="15" t="n">
        <f aca="false">INDEX(Ipotesi!$C$68:$G$68,1,F526)*Ipotesi!$C$69/12</f>
        <v>3000</v>
      </c>
      <c r="BK526" s="15" t="n">
        <f aca="false">INDEX(Ipotesi!$C$68:$G$68,1,F526)*(1-Ipotesi!$C$69)/12</f>
        <v>4500</v>
      </c>
      <c r="BL526" s="15" t="n">
        <f aca="false">(AQ526+BF526)*Ipotesi!$C$67</f>
        <v>3692.67117816525</v>
      </c>
      <c r="BM526" s="15" t="n">
        <f aca="false">AM526*Ipotesi!$C$67</f>
        <v>2707.25</v>
      </c>
      <c r="BN526" s="15" t="n">
        <f aca="false">INDEX(Ipotesi!$C$72:$G$72,1,F526)/12*Ipotesi!K126+BF526*Ipotesi!$C$73</f>
        <v>5917.12314177401</v>
      </c>
      <c r="BO526" s="15" t="n">
        <f aca="false">INDEX(Ipotesi!$C$74:$G$74,1,F526)/12*Ipotesi!K126</f>
        <v>4166.66666666667</v>
      </c>
      <c r="BP526" s="15" t="n">
        <f aca="false">INDEX(Ipotesi!$C$76:$G$76,1,F526)/12</f>
        <v>1500</v>
      </c>
      <c r="BQ526" s="15" t="n">
        <f aca="false">INDEX(Ipotesi!$C$77:$G$77,1,F526)/12*Ipotesi!K126</f>
        <v>2083.33333333333</v>
      </c>
      <c r="BR526" s="15" t="n">
        <f aca="false">INDEX(Ipotesi!$C$78:$G$78,1,F526)/12</f>
        <v>2000</v>
      </c>
      <c r="BS526" s="15" t="n">
        <f aca="false">SUM(M526:R526)*(Ipotesi!$C$85+Ipotesi!$C$86)/12</f>
        <v>6125</v>
      </c>
      <c r="BT526" s="15" t="n">
        <f aca="false">BI526*Ipotesi!$C$87</f>
        <v>3963.39617816525</v>
      </c>
      <c r="BU526" s="15" t="n">
        <f aca="false">INDEX(Ipotesi!$C$55:$G$55,1,F526)*K526/12</f>
        <v>2000</v>
      </c>
      <c r="BV526" s="15" t="n">
        <f aca="false">INDEX(Ipotesi!$C$80:$G$80,1,F526)/12*Ipotesi!K126</f>
        <v>1666.66666666667</v>
      </c>
      <c r="BW526" s="15" t="n">
        <f aca="false">INDEX(Ipotesi!$C$82:$G$82,1,F526)/12</f>
        <v>1250</v>
      </c>
      <c r="BX526" s="15" t="n">
        <f aca="false">INDEX(Ipotesi!$C$83:$G$83,1,F526)/12</f>
        <v>750</v>
      </c>
      <c r="BY526" s="15" t="n">
        <f aca="false">SUM(S526:U526)*(Ipotesi!$C$85+Ipotesi!$C$86)/12</f>
        <v>2479.16666666667</v>
      </c>
      <c r="BZ526" s="15" t="n">
        <f aca="false">AM526*Ipotesi!$C$87</f>
        <v>2707.25</v>
      </c>
      <c r="CA526" s="15" t="n">
        <f aca="false">AB526+BJ526+BL526+BN526+BO526+AR526+BP526+BQ526+BR526+BS526+BT526</f>
        <v>156837.941123105</v>
      </c>
      <c r="CB526" s="15" t="n">
        <f aca="false">AC526+BK526+BM526+BH526+BU526+BV526+AS526+BW526+BX526+BY526+BZ526</f>
        <v>62580.173375</v>
      </c>
      <c r="CC526" s="15" t="n">
        <f aca="false">BI526-CA526</f>
        <v>-24724.7351842627</v>
      </c>
      <c r="CD526" s="15" t="n">
        <f aca="false">AM526-CB526</f>
        <v>27661.4932916667</v>
      </c>
      <c r="CE526" s="15" t="n">
        <f aca="false">INDEX(Ipotesi!$C$79:$G$79,1,F526)/12</f>
        <v>3333.33333333333</v>
      </c>
      <c r="CF526" s="15" t="n">
        <f aca="false">INDEX(Ipotesi!$C$84:$G$84,1,F526)/12</f>
        <v>666.666666666667</v>
      </c>
      <c r="CG526" s="15" t="n">
        <f aca="false">Y526*MAX(0,Parametri_v3!$C$12-IF(P526=0,0,MIN(1,BE526/(P526*Parametri_v3!$C$22))))+W526*Parametri_v3!$C$13+X526*Parametri_v3!$C$14</f>
        <v>31111.8463861028</v>
      </c>
      <c r="CH526" s="15" t="n">
        <f aca="false">AB526*Parametri_v3!$C$32</f>
        <v>4823.65419791667</v>
      </c>
      <c r="CI526" s="15" t="n">
        <f aca="false">AC526*Parametri_v3!$C$32</f>
        <v>1691.45033541667</v>
      </c>
      <c r="CJ526" s="15" t="n">
        <f aca="false">CA526-AB526</f>
        <v>60364.8571647712</v>
      </c>
      <c r="CK526" s="15" t="n">
        <f aca="false">CB526-AC526-BH526</f>
        <v>19727</v>
      </c>
      <c r="CL526" s="15" t="n">
        <f aca="false">BF526*Ipotesi!$C$73+INDEX(Ipotesi!$C$72:$G$72,1,F526)/12*Ipotesi!K126*Parametri_v3!$C$58+Z526*(1-Parametri_v3!$C$16)</f>
        <v>12063.712516774</v>
      </c>
      <c r="CM526" s="16" t="n">
        <f aca="false">IF(BF526=0,0,1-CL526/BF526)</f>
        <v>0.793213726738078</v>
      </c>
    </row>
    <row r="527" customFormat="false" ht="18" hidden="false" customHeight="true" outlineLevel="0" collapsed="false">
      <c r="A527" s="68" t="n">
        <f aca="false">9</f>
        <v>9</v>
      </c>
      <c r="B527" s="68" t="n">
        <f aca="false">43</f>
        <v>43</v>
      </c>
      <c r="C527" s="18" t="n">
        <f aca="false">EDATE(Parametri_v3!$C$5,43-1)</f>
        <v>47665</v>
      </c>
      <c r="D527" s="68" t="n">
        <f aca="false">YEAR(C527)</f>
        <v>2030</v>
      </c>
      <c r="E527" s="68" t="n">
        <f aca="false">MONTH(C527)</f>
        <v>7</v>
      </c>
      <c r="F527" s="68" t="n">
        <f aca="false">INT((43-1)/12)+1</f>
        <v>4</v>
      </c>
      <c r="G527" s="15" t="n">
        <f aca="false">Ipotesi!K7</f>
        <v>1</v>
      </c>
      <c r="H527" s="15" t="n">
        <f aca="false">Ipotesi!K9</f>
        <v>1</v>
      </c>
      <c r="I527" s="15" t="n">
        <f aca="false">Ipotesi!K10</f>
        <v>1</v>
      </c>
      <c r="J527" s="15" t="n">
        <f aca="false">Ipotesi!K11</f>
        <v>1</v>
      </c>
      <c r="K527" s="15" t="n">
        <f aca="false">Ipotesi!K12</f>
        <v>1</v>
      </c>
      <c r="L527" s="15" t="n">
        <f aca="false">Ipotesi!K13</f>
        <v>90</v>
      </c>
      <c r="M527" s="17" t="n">
        <f aca="false">INDEX(Ipotesi!$C$40:$G$40,1,F527)</f>
        <v>1</v>
      </c>
      <c r="N527" s="17" t="n">
        <f aca="false">INDEX(Ipotesi!$C$41:$G$41,1,F527)</f>
        <v>1</v>
      </c>
      <c r="O527" s="17" t="n">
        <f aca="false">INDEX(Ipotesi!$C$42:$G$42,1,F527)*Ipotesi!K125</f>
        <v>6.5</v>
      </c>
      <c r="P527" s="17" t="n">
        <f aca="false">INDEX(Ipotesi!$C$43:$G$43,1,F527)*I527</f>
        <v>6</v>
      </c>
      <c r="Q527" s="17" t="n">
        <f aca="false">INDEX(Ipotesi!$C$44:$G$44,1,F527)*I527</f>
        <v>5</v>
      </c>
      <c r="R527" s="17" t="n">
        <f aca="false">INDEX(Ipotesi!$C$45:$G$45,1,F527)*I527</f>
        <v>1.5</v>
      </c>
      <c r="S527" s="17" t="n">
        <f aca="false">INDEX(Ipotesi!$C$52:$G$52,1,F527)*Ipotesi!K125</f>
        <v>7</v>
      </c>
      <c r="T527" s="17" t="n">
        <f aca="false">INDEX(Ipotesi!$C$53:$G$53,1,F527)*I527</f>
        <v>1</v>
      </c>
      <c r="U527" s="17" t="n">
        <f aca="false">INDEX(Ipotesi!$C$54:$G$54,1,F527)*I527</f>
        <v>0.5</v>
      </c>
      <c r="V527" s="15" t="n">
        <f aca="false">M527*INDEX(Ipotesi!$C$58:$G$58,1,F527)*K527/12</f>
        <v>7916.66666666667</v>
      </c>
      <c r="W527" s="15" t="n">
        <f aca="false">N527*Ipotesi!$C$59*(1+Ipotesi!$C$66)^(F527-1)/12</f>
        <v>6374.24083333333</v>
      </c>
      <c r="X527" s="15" t="n">
        <f aca="false">O527*Ipotesi!$C$60*(1+Ipotesi!$C$66)^(F527-1)/12</f>
        <v>29594.6895833333</v>
      </c>
      <c r="Y527" s="15" t="n">
        <f aca="false">P527*Ipotesi!$C$61*(1+Ipotesi!$C$66)^(F527-1)/12</f>
        <v>27318.175</v>
      </c>
      <c r="Z527" s="15" t="n">
        <f aca="false">Q527*Ipotesi!$C$62*(1+Ipotesi!$C$66)^(F527-1)/12</f>
        <v>20488.63125</v>
      </c>
      <c r="AA527" s="15" t="n">
        <f aca="false">R527*Ipotesi!$C$63*(1+Ipotesi!$C$66)^(F527-1)/12</f>
        <v>4780.680625</v>
      </c>
      <c r="AB527" s="15" t="n">
        <f aca="false">SUM(V527:AA527)</f>
        <v>96473.0839583333</v>
      </c>
      <c r="AC527" s="15" t="n">
        <f aca="false">(S527*Ipotesi!$C$64+T527*Ipotesi!$C$65+U527*Ipotesi!$C$63)*(1+Ipotesi!$C$66)^(F527-1)/12</f>
        <v>33829.0067083333</v>
      </c>
      <c r="AD527" s="15" t="n">
        <f aca="false">INDEX(Ipotesi!$C$48:$G$48,1,F527)*G527/12</f>
        <v>79.1666666666667</v>
      </c>
      <c r="AE527" s="15" t="n">
        <f aca="false">INDEX(Ipotesi!$C$50:$G$50,1,F527)*G527/12</f>
        <v>8.33333333333333</v>
      </c>
      <c r="AF527" s="15" t="n">
        <f aca="false">(S527*Parametri_v3!$C$7*Parametri_v3!$C$8+Parametri_v3!$C$10)/12</f>
        <v>89.8333333333333</v>
      </c>
      <c r="AG527" s="15" t="n">
        <f aca="false">AD527+AE527*(1+Parametri_v3!$C$9)</f>
        <v>91.6666666666667</v>
      </c>
      <c r="AH527" s="16" t="n">
        <f aca="false">IF(AG527=0,1,MIN(1,AF527/AG527))</f>
        <v>0.98</v>
      </c>
      <c r="AI527" s="15" t="n">
        <f aca="false">AD527*AH527</f>
        <v>77.5833333333333</v>
      </c>
      <c r="AJ527" s="15" t="n">
        <f aca="false">AE527*AH527</f>
        <v>8.16666666666667</v>
      </c>
      <c r="AK527" s="15" t="n">
        <f aca="false">AI527*INDEX(Ipotesi!$C$49:$G$49,1,F527)*H527</f>
        <v>69825</v>
      </c>
      <c r="AL527" s="15" t="n">
        <f aca="false">AJ527*INDEX(Ipotesi!$C$51:$G$51,1,F527)*H527</f>
        <v>20416.6666666667</v>
      </c>
      <c r="AM527" s="15" t="n">
        <f aca="false">AK527+AL527</f>
        <v>90241.6666666667</v>
      </c>
      <c r="AN527" s="15" t="n">
        <f aca="false">INDEX(Ipotesi!$C$30:$G$30,1,F527)*G527/12</f>
        <v>61.6666666666667</v>
      </c>
      <c r="AO527" s="15" t="n">
        <f aca="false">O527*Parametri_v3!$C$7*Parametri_v3!$C$11*(1-Parametri_v3!$C$14)/12</f>
        <v>66.7333333333333</v>
      </c>
      <c r="AP527" s="15" t="n">
        <f aca="false">MIN(AN527,AO527)</f>
        <v>61.6666666666667</v>
      </c>
      <c r="AQ527" s="15" t="n">
        <f aca="false">AP527*INDEX(Ipotesi!$C$31:$G$31,1,F527)*H527</f>
        <v>64750</v>
      </c>
      <c r="AR527" s="15" t="n">
        <f aca="false">INDEX(Ipotesi!$C$75:$G$75,1,F527)*J527/12</f>
        <v>27916.6666666667</v>
      </c>
      <c r="AS527" s="15" t="n">
        <f aca="false">INDEX(Ipotesi!$C$81:$G$81,1,F527)*J527/12</f>
        <v>1666.66666666667</v>
      </c>
      <c r="AT527" s="15" t="n">
        <f aca="false">AR527*Parametri_v3!$C$15+Z527*Parametri_v3!$C$16</f>
        <v>42258.7085416667</v>
      </c>
      <c r="AU527" s="15" t="n">
        <f aca="false">Q527*Parametri_v3!$C$16*Parametri_v3!$C$17</f>
        <v>350</v>
      </c>
      <c r="AV527" s="17" t="n">
        <f aca="false">BD526</f>
        <v>119.702881228842</v>
      </c>
      <c r="AW527" s="17" t="n">
        <f aca="false">AV527*(1-(1-INDEX(Ipotesi!$C$34:$G$34,1,F527))^(1/12))</f>
        <v>1.04639601785881</v>
      </c>
      <c r="AX527" s="15" t="n">
        <f aca="false">ROUND(INDEX(Ipotesi!$C$32:$G$32,1,F527)*Ipotesi!K8,0)</f>
        <v>310</v>
      </c>
      <c r="AY527" s="15" t="n">
        <f aca="false">MAX(0,(AX527-(AV527-AW527))/(13-E527))</f>
        <v>31.8905857981694</v>
      </c>
      <c r="AZ527" s="15" t="n">
        <f aca="false">MIN(P527*Parametri_v3!$C$22,Q527*(1-Parametri_v3!$C$16)*Parametri_v3!$C$23)</f>
        <v>225</v>
      </c>
      <c r="BA527" s="15" t="n">
        <f aca="false">IF(OR(INDEX(Ipotesi!$C$35:$G$35,1,F527)&lt;=0,43-Parametri_v3!$C$21&lt;1),0,INDEX($AT$485:$AT$544,MAX(1,43-Parametri_v3!$C$21))/(INDEX(Ipotesi!$C$35:$G$35,1,F527)*Ipotesi!K27))</f>
        <v>7.04311809027778</v>
      </c>
      <c r="BB527" s="15" t="n">
        <f aca="false">IF(43-Parametri_v3!$C$21&lt;1,0,INDEX($AU$485:$AU$544,MAX(1,43-Parametri_v3!$C$21)))*Parametri_v3!$C$18*Parametri_v3!$C$19*Parametri_v3!$C$20</f>
        <v>13.125</v>
      </c>
      <c r="BC527" s="17" t="n">
        <f aca="false">MAX(0,MIN(AY527,BA527,BB527,MAX(0,AZ527-(AV527-AW527))))</f>
        <v>7.04311809027778</v>
      </c>
      <c r="BD527" s="17" t="n">
        <f aca="false">AV527-AW527+BC527</f>
        <v>125.699603301261</v>
      </c>
      <c r="BE527" s="17" t="n">
        <f aca="false">(AV527+BD527)/2</f>
        <v>122.701242265052</v>
      </c>
      <c r="BF527" s="15" t="n">
        <f aca="false">BE527*INDEX(Ipotesi!$C$33:$G$33,1,F527)*H527/12</f>
        <v>61350.6211325259</v>
      </c>
      <c r="BG527" s="15" t="n">
        <f aca="false">BD527*INDEX(Ipotesi!$C$33:$G$33,1,F527)*H527</f>
        <v>754197.619807567</v>
      </c>
      <c r="BH527" s="15" t="n">
        <f aca="false">AM527*INDEX(Ipotesi!$C$37:$G$37,1,F527)</f>
        <v>9024.16666666667</v>
      </c>
      <c r="BI527" s="15" t="n">
        <f aca="false">AQ527+BF527+BH527</f>
        <v>135124.787799193</v>
      </c>
      <c r="BJ527" s="15" t="n">
        <f aca="false">INDEX(Ipotesi!$C$68:$G$68,1,F527)*Ipotesi!$C$69/12</f>
        <v>3000</v>
      </c>
      <c r="BK527" s="15" t="n">
        <f aca="false">INDEX(Ipotesi!$C$68:$G$68,1,F527)*(1-Ipotesi!$C$69)/12</f>
        <v>4500</v>
      </c>
      <c r="BL527" s="15" t="n">
        <f aca="false">(AQ527+BF527)*Ipotesi!$C$67</f>
        <v>3783.01863397578</v>
      </c>
      <c r="BM527" s="15" t="n">
        <f aca="false">AM527*Ipotesi!$C$67</f>
        <v>2707.25</v>
      </c>
      <c r="BN527" s="15" t="n">
        <f aca="false">INDEX(Ipotesi!$C$72:$G$72,1,F527)/12*Ipotesi!K126+BF527*Ipotesi!$C$73</f>
        <v>6158.04969060207</v>
      </c>
      <c r="BO527" s="15" t="n">
        <f aca="false">INDEX(Ipotesi!$C$74:$G$74,1,F527)/12*Ipotesi!K126</f>
        <v>4166.66666666667</v>
      </c>
      <c r="BP527" s="15" t="n">
        <f aca="false">INDEX(Ipotesi!$C$76:$G$76,1,F527)/12</f>
        <v>1500</v>
      </c>
      <c r="BQ527" s="15" t="n">
        <f aca="false">INDEX(Ipotesi!$C$77:$G$77,1,F527)/12*Ipotesi!K126</f>
        <v>2083.33333333333</v>
      </c>
      <c r="BR527" s="15" t="n">
        <f aca="false">INDEX(Ipotesi!$C$78:$G$78,1,F527)/12</f>
        <v>2000</v>
      </c>
      <c r="BS527" s="15" t="n">
        <f aca="false">SUM(M527:R527)*(Ipotesi!$C$85+Ipotesi!$C$86)/12</f>
        <v>6125</v>
      </c>
      <c r="BT527" s="15" t="n">
        <f aca="false">BI527*Ipotesi!$C$87</f>
        <v>4053.74363397578</v>
      </c>
      <c r="BU527" s="15" t="n">
        <f aca="false">INDEX(Ipotesi!$C$55:$G$55,1,F527)*K527/12</f>
        <v>2000</v>
      </c>
      <c r="BV527" s="15" t="n">
        <f aca="false">INDEX(Ipotesi!$C$80:$G$80,1,F527)/12*Ipotesi!K126</f>
        <v>1666.66666666667</v>
      </c>
      <c r="BW527" s="15" t="n">
        <f aca="false">INDEX(Ipotesi!$C$82:$G$82,1,F527)/12</f>
        <v>1250</v>
      </c>
      <c r="BX527" s="15" t="n">
        <f aca="false">INDEX(Ipotesi!$C$83:$G$83,1,F527)/12</f>
        <v>750</v>
      </c>
      <c r="BY527" s="15" t="n">
        <f aca="false">SUM(S527:U527)*(Ipotesi!$C$85+Ipotesi!$C$86)/12</f>
        <v>2479.16666666667</v>
      </c>
      <c r="BZ527" s="15" t="n">
        <f aca="false">AM527*Ipotesi!$C$87</f>
        <v>2707.25</v>
      </c>
      <c r="CA527" s="15" t="n">
        <f aca="false">AB527+BJ527+BL527+BN527+BO527+AR527+BP527+BQ527+BR527+BS527+BT527</f>
        <v>157259.562583554</v>
      </c>
      <c r="CB527" s="15" t="n">
        <f aca="false">AC527+BK527+BM527+BH527+BU527+BV527+AS527+BW527+BX527+BY527+BZ527</f>
        <v>62580.173375</v>
      </c>
      <c r="CC527" s="15" t="n">
        <f aca="false">BI527-CA527</f>
        <v>-22134.7747843611</v>
      </c>
      <c r="CD527" s="15" t="n">
        <f aca="false">AM527-CB527</f>
        <v>27661.4932916667</v>
      </c>
      <c r="CE527" s="15" t="n">
        <f aca="false">INDEX(Ipotesi!$C$79:$G$79,1,F527)/12</f>
        <v>3333.33333333333</v>
      </c>
      <c r="CF527" s="15" t="n">
        <f aca="false">INDEX(Ipotesi!$C$84:$G$84,1,F527)/12</f>
        <v>666.666666666667</v>
      </c>
      <c r="CG527" s="15" t="n">
        <f aca="false">Y527*MAX(0,Parametri_v3!$C$12-IF(P527=0,0,MIN(1,BE527/(P527*Parametri_v3!$C$22))))+W527*Parametri_v3!$C$13+X527*Parametri_v3!$C$14</f>
        <v>30837.6099851432</v>
      </c>
      <c r="CH527" s="15" t="n">
        <f aca="false">AB527*Parametri_v3!$C$32</f>
        <v>4823.65419791667</v>
      </c>
      <c r="CI527" s="15" t="n">
        <f aca="false">AC527*Parametri_v3!$C$32</f>
        <v>1691.45033541667</v>
      </c>
      <c r="CJ527" s="15" t="n">
        <f aca="false">CA527-AB527</f>
        <v>60786.4786252203</v>
      </c>
      <c r="CK527" s="15" t="n">
        <f aca="false">CB527-AC527-BH527</f>
        <v>19727</v>
      </c>
      <c r="CL527" s="15" t="n">
        <f aca="false">BF527*Ipotesi!$C$73+INDEX(Ipotesi!$C$72:$G$72,1,F527)/12*Ipotesi!K126*Parametri_v3!$C$58+Z527*(1-Parametri_v3!$C$16)</f>
        <v>12304.6390656021</v>
      </c>
      <c r="CM527" s="16" t="n">
        <f aca="false">IF(BF527=0,0,1-CL527/BF527)</f>
        <v>0.79943741663149</v>
      </c>
    </row>
    <row r="528" customFormat="false" ht="18" hidden="false" customHeight="true" outlineLevel="0" collapsed="false">
      <c r="A528" s="68" t="n">
        <f aca="false">9</f>
        <v>9</v>
      </c>
      <c r="B528" s="68" t="n">
        <f aca="false">44</f>
        <v>44</v>
      </c>
      <c r="C528" s="18" t="n">
        <f aca="false">EDATE(Parametri_v3!$C$5,44-1)</f>
        <v>47696</v>
      </c>
      <c r="D528" s="68" t="n">
        <f aca="false">YEAR(C528)</f>
        <v>2030</v>
      </c>
      <c r="E528" s="68" t="n">
        <f aca="false">MONTH(C528)</f>
        <v>8</v>
      </c>
      <c r="F528" s="68" t="n">
        <f aca="false">INT((44-1)/12)+1</f>
        <v>4</v>
      </c>
      <c r="G528" s="15" t="n">
        <f aca="false">Ipotesi!K7</f>
        <v>1</v>
      </c>
      <c r="H528" s="15" t="n">
        <f aca="false">Ipotesi!K9</f>
        <v>1</v>
      </c>
      <c r="I528" s="15" t="n">
        <f aca="false">Ipotesi!K10</f>
        <v>1</v>
      </c>
      <c r="J528" s="15" t="n">
        <f aca="false">Ipotesi!K11</f>
        <v>1</v>
      </c>
      <c r="K528" s="15" t="n">
        <f aca="false">Ipotesi!K12</f>
        <v>1</v>
      </c>
      <c r="L528" s="15" t="n">
        <f aca="false">Ipotesi!K13</f>
        <v>90</v>
      </c>
      <c r="M528" s="17" t="n">
        <f aca="false">INDEX(Ipotesi!$C$40:$G$40,1,F528)</f>
        <v>1</v>
      </c>
      <c r="N528" s="17" t="n">
        <f aca="false">INDEX(Ipotesi!$C$41:$G$41,1,F528)</f>
        <v>1</v>
      </c>
      <c r="O528" s="17" t="n">
        <f aca="false">INDEX(Ipotesi!$C$42:$G$42,1,F528)*Ipotesi!K125</f>
        <v>6.5</v>
      </c>
      <c r="P528" s="17" t="n">
        <f aca="false">INDEX(Ipotesi!$C$43:$G$43,1,F528)*I528</f>
        <v>6</v>
      </c>
      <c r="Q528" s="17" t="n">
        <f aca="false">INDEX(Ipotesi!$C$44:$G$44,1,F528)*I528</f>
        <v>5</v>
      </c>
      <c r="R528" s="17" t="n">
        <f aca="false">INDEX(Ipotesi!$C$45:$G$45,1,F528)*I528</f>
        <v>1.5</v>
      </c>
      <c r="S528" s="17" t="n">
        <f aca="false">INDEX(Ipotesi!$C$52:$G$52,1,F528)*Ipotesi!K125</f>
        <v>7</v>
      </c>
      <c r="T528" s="17" t="n">
        <f aca="false">INDEX(Ipotesi!$C$53:$G$53,1,F528)*I528</f>
        <v>1</v>
      </c>
      <c r="U528" s="17" t="n">
        <f aca="false">INDEX(Ipotesi!$C$54:$G$54,1,F528)*I528</f>
        <v>0.5</v>
      </c>
      <c r="V528" s="15" t="n">
        <f aca="false">M528*INDEX(Ipotesi!$C$58:$G$58,1,F528)*K528/12</f>
        <v>7916.66666666667</v>
      </c>
      <c r="W528" s="15" t="n">
        <f aca="false">N528*Ipotesi!$C$59*(1+Ipotesi!$C$66)^(F528-1)/12</f>
        <v>6374.24083333333</v>
      </c>
      <c r="X528" s="15" t="n">
        <f aca="false">O528*Ipotesi!$C$60*(1+Ipotesi!$C$66)^(F528-1)/12</f>
        <v>29594.6895833333</v>
      </c>
      <c r="Y528" s="15" t="n">
        <f aca="false">P528*Ipotesi!$C$61*(1+Ipotesi!$C$66)^(F528-1)/12</f>
        <v>27318.175</v>
      </c>
      <c r="Z528" s="15" t="n">
        <f aca="false">Q528*Ipotesi!$C$62*(1+Ipotesi!$C$66)^(F528-1)/12</f>
        <v>20488.63125</v>
      </c>
      <c r="AA528" s="15" t="n">
        <f aca="false">R528*Ipotesi!$C$63*(1+Ipotesi!$C$66)^(F528-1)/12</f>
        <v>4780.680625</v>
      </c>
      <c r="AB528" s="15" t="n">
        <f aca="false">SUM(V528:AA528)</f>
        <v>96473.0839583333</v>
      </c>
      <c r="AC528" s="15" t="n">
        <f aca="false">(S528*Ipotesi!$C$64+T528*Ipotesi!$C$65+U528*Ipotesi!$C$63)*(1+Ipotesi!$C$66)^(F528-1)/12</f>
        <v>33829.0067083333</v>
      </c>
      <c r="AD528" s="15" t="n">
        <f aca="false">INDEX(Ipotesi!$C$48:$G$48,1,F528)*G528/12</f>
        <v>79.1666666666667</v>
      </c>
      <c r="AE528" s="15" t="n">
        <f aca="false">INDEX(Ipotesi!$C$50:$G$50,1,F528)*G528/12</f>
        <v>8.33333333333333</v>
      </c>
      <c r="AF528" s="15" t="n">
        <f aca="false">(S528*Parametri_v3!$C$7*Parametri_v3!$C$8+Parametri_v3!$C$10)/12</f>
        <v>89.8333333333333</v>
      </c>
      <c r="AG528" s="15" t="n">
        <f aca="false">AD528+AE528*(1+Parametri_v3!$C$9)</f>
        <v>91.6666666666667</v>
      </c>
      <c r="AH528" s="16" t="n">
        <f aca="false">IF(AG528=0,1,MIN(1,AF528/AG528))</f>
        <v>0.98</v>
      </c>
      <c r="AI528" s="15" t="n">
        <f aca="false">AD528*AH528</f>
        <v>77.5833333333333</v>
      </c>
      <c r="AJ528" s="15" t="n">
        <f aca="false">AE528*AH528</f>
        <v>8.16666666666667</v>
      </c>
      <c r="AK528" s="15" t="n">
        <f aca="false">AI528*INDEX(Ipotesi!$C$49:$G$49,1,F528)*H528</f>
        <v>69825</v>
      </c>
      <c r="AL528" s="15" t="n">
        <f aca="false">AJ528*INDEX(Ipotesi!$C$51:$G$51,1,F528)*H528</f>
        <v>20416.6666666667</v>
      </c>
      <c r="AM528" s="15" t="n">
        <f aca="false">AK528+AL528</f>
        <v>90241.6666666667</v>
      </c>
      <c r="AN528" s="15" t="n">
        <f aca="false">INDEX(Ipotesi!$C$30:$G$30,1,F528)*G528/12</f>
        <v>61.6666666666667</v>
      </c>
      <c r="AO528" s="15" t="n">
        <f aca="false">O528*Parametri_v3!$C$7*Parametri_v3!$C$11*(1-Parametri_v3!$C$14)/12</f>
        <v>66.7333333333333</v>
      </c>
      <c r="AP528" s="15" t="n">
        <f aca="false">MIN(AN528,AO528)</f>
        <v>61.6666666666667</v>
      </c>
      <c r="AQ528" s="15" t="n">
        <f aca="false">AP528*INDEX(Ipotesi!$C$31:$G$31,1,F528)*H528</f>
        <v>64750</v>
      </c>
      <c r="AR528" s="15" t="n">
        <f aca="false">INDEX(Ipotesi!$C$75:$G$75,1,F528)*J528/12</f>
        <v>27916.6666666667</v>
      </c>
      <c r="AS528" s="15" t="n">
        <f aca="false">INDEX(Ipotesi!$C$81:$G$81,1,F528)*J528/12</f>
        <v>1666.66666666667</v>
      </c>
      <c r="AT528" s="15" t="n">
        <f aca="false">AR528*Parametri_v3!$C$15+Z528*Parametri_v3!$C$16</f>
        <v>42258.7085416667</v>
      </c>
      <c r="AU528" s="15" t="n">
        <f aca="false">Q528*Parametri_v3!$C$16*Parametri_v3!$C$17</f>
        <v>350</v>
      </c>
      <c r="AV528" s="17" t="n">
        <f aca="false">BD527</f>
        <v>125.699603301261</v>
      </c>
      <c r="AW528" s="17" t="n">
        <f aca="false">AV528*(1-(1-INDEX(Ipotesi!$C$34:$G$34,1,F528))^(1/12))</f>
        <v>1.09881702921934</v>
      </c>
      <c r="AX528" s="15" t="n">
        <f aca="false">ROUND(INDEX(Ipotesi!$C$32:$G$32,1,F528)*Ipotesi!K8,0)</f>
        <v>310</v>
      </c>
      <c r="AY528" s="15" t="n">
        <f aca="false">MAX(0,(AX528-(AV528-AW528))/(13-E528))</f>
        <v>37.0798427455916</v>
      </c>
      <c r="AZ528" s="15" t="n">
        <f aca="false">MIN(P528*Parametri_v3!$C$22,Q528*(1-Parametri_v3!$C$16)*Parametri_v3!$C$23)</f>
        <v>225</v>
      </c>
      <c r="BA528" s="15" t="n">
        <f aca="false">IF(OR(INDEX(Ipotesi!$C$35:$G$35,1,F528)&lt;=0,44-Parametri_v3!$C$21&lt;1),0,INDEX($AT$485:$AT$544,MAX(1,44-Parametri_v3!$C$21))/(INDEX(Ipotesi!$C$35:$G$35,1,F528)*Ipotesi!K27))</f>
        <v>7.04311809027778</v>
      </c>
      <c r="BB528" s="15" t="n">
        <f aca="false">IF(44-Parametri_v3!$C$21&lt;1,0,INDEX($AU$485:$AU$544,MAX(1,44-Parametri_v3!$C$21)))*Parametri_v3!$C$18*Parametri_v3!$C$19*Parametri_v3!$C$20</f>
        <v>13.125</v>
      </c>
      <c r="BC528" s="17" t="n">
        <f aca="false">MAX(0,MIN(AY528,BA528,BB528,MAX(0,AZ528-(AV528-AW528))))</f>
        <v>7.04311809027778</v>
      </c>
      <c r="BD528" s="17" t="n">
        <f aca="false">AV528-AW528+BC528</f>
        <v>131.64390436232</v>
      </c>
      <c r="BE528" s="17" t="n">
        <f aca="false">(AV528+BD528)/2</f>
        <v>128.67175383179</v>
      </c>
      <c r="BF528" s="15" t="n">
        <f aca="false">BE528*INDEX(Ipotesi!$C$33:$G$33,1,F528)*H528/12</f>
        <v>64335.8769158952</v>
      </c>
      <c r="BG528" s="15" t="n">
        <f aca="false">BD528*INDEX(Ipotesi!$C$33:$G$33,1,F528)*H528</f>
        <v>789863.426173918</v>
      </c>
      <c r="BH528" s="15" t="n">
        <f aca="false">AM528*INDEX(Ipotesi!$C$37:$G$37,1,F528)</f>
        <v>9024.16666666667</v>
      </c>
      <c r="BI528" s="15" t="n">
        <f aca="false">AQ528+BF528+BH528</f>
        <v>138110.043582562</v>
      </c>
      <c r="BJ528" s="15" t="n">
        <f aca="false">INDEX(Ipotesi!$C$68:$G$68,1,F528)*Ipotesi!$C$69/12</f>
        <v>3000</v>
      </c>
      <c r="BK528" s="15" t="n">
        <f aca="false">INDEX(Ipotesi!$C$68:$G$68,1,F528)*(1-Ipotesi!$C$69)/12</f>
        <v>4500</v>
      </c>
      <c r="BL528" s="15" t="n">
        <f aca="false">(AQ528+BF528)*Ipotesi!$C$67</f>
        <v>3872.57630747686</v>
      </c>
      <c r="BM528" s="15" t="n">
        <f aca="false">AM528*Ipotesi!$C$67</f>
        <v>2707.25</v>
      </c>
      <c r="BN528" s="15" t="n">
        <f aca="false">INDEX(Ipotesi!$C$72:$G$72,1,F528)/12*Ipotesi!K126+BF528*Ipotesi!$C$73</f>
        <v>6396.87015327162</v>
      </c>
      <c r="BO528" s="15" t="n">
        <f aca="false">INDEX(Ipotesi!$C$74:$G$74,1,F528)/12*Ipotesi!K126</f>
        <v>4166.66666666667</v>
      </c>
      <c r="BP528" s="15" t="n">
        <f aca="false">INDEX(Ipotesi!$C$76:$G$76,1,F528)/12</f>
        <v>1500</v>
      </c>
      <c r="BQ528" s="15" t="n">
        <f aca="false">INDEX(Ipotesi!$C$77:$G$77,1,F528)/12*Ipotesi!K126</f>
        <v>2083.33333333333</v>
      </c>
      <c r="BR528" s="15" t="n">
        <f aca="false">INDEX(Ipotesi!$C$78:$G$78,1,F528)/12</f>
        <v>2000</v>
      </c>
      <c r="BS528" s="15" t="n">
        <f aca="false">SUM(M528:R528)*(Ipotesi!$C$85+Ipotesi!$C$86)/12</f>
        <v>6125</v>
      </c>
      <c r="BT528" s="15" t="n">
        <f aca="false">BI528*Ipotesi!$C$87</f>
        <v>4143.30130747686</v>
      </c>
      <c r="BU528" s="15" t="n">
        <f aca="false">INDEX(Ipotesi!$C$55:$G$55,1,F528)*K528/12</f>
        <v>2000</v>
      </c>
      <c r="BV528" s="15" t="n">
        <f aca="false">INDEX(Ipotesi!$C$80:$G$80,1,F528)/12*Ipotesi!K126</f>
        <v>1666.66666666667</v>
      </c>
      <c r="BW528" s="15" t="n">
        <f aca="false">INDEX(Ipotesi!$C$82:$G$82,1,F528)/12</f>
        <v>1250</v>
      </c>
      <c r="BX528" s="15" t="n">
        <f aca="false">INDEX(Ipotesi!$C$83:$G$83,1,F528)/12</f>
        <v>750</v>
      </c>
      <c r="BY528" s="15" t="n">
        <f aca="false">SUM(S528:U528)*(Ipotesi!$C$85+Ipotesi!$C$86)/12</f>
        <v>2479.16666666667</v>
      </c>
      <c r="BZ528" s="15" t="n">
        <f aca="false">AM528*Ipotesi!$C$87</f>
        <v>2707.25</v>
      </c>
      <c r="CA528" s="15" t="n">
        <f aca="false">AB528+BJ528+BL528+BN528+BO528+AR528+BP528+BQ528+BR528+BS528+BT528</f>
        <v>157677.498393225</v>
      </c>
      <c r="CB528" s="15" t="n">
        <f aca="false">AC528+BK528+BM528+BH528+BU528+BV528+AS528+BW528+BX528+BY528+BZ528</f>
        <v>62580.173375</v>
      </c>
      <c r="CC528" s="15" t="n">
        <f aca="false">BI528-CA528</f>
        <v>-19567.4548106635</v>
      </c>
      <c r="CD528" s="15" t="n">
        <f aca="false">AM528-CB528</f>
        <v>27661.4932916667</v>
      </c>
      <c r="CE528" s="15" t="n">
        <f aca="false">INDEX(Ipotesi!$C$79:$G$79,1,F528)/12</f>
        <v>3333.33333333333</v>
      </c>
      <c r="CF528" s="15" t="n">
        <f aca="false">INDEX(Ipotesi!$C$84:$G$84,1,F528)/12</f>
        <v>666.666666666667</v>
      </c>
      <c r="CG528" s="15" t="n">
        <f aca="false">Y528*MAX(0,Parametri_v3!$C$12-IF(P528=0,0,MIN(1,BE528/(P528*Parametri_v3!$C$22))))+W528*Parametri_v3!$C$13+X528*Parametri_v3!$C$14</f>
        <v>30565.7708521104</v>
      </c>
      <c r="CH528" s="15" t="n">
        <f aca="false">AB528*Parametri_v3!$C$32</f>
        <v>4823.65419791667</v>
      </c>
      <c r="CI528" s="15" t="n">
        <f aca="false">AC528*Parametri_v3!$C$32</f>
        <v>1691.45033541667</v>
      </c>
      <c r="CJ528" s="15" t="n">
        <f aca="false">CA528-AB528</f>
        <v>61204.414434892</v>
      </c>
      <c r="CK528" s="15" t="n">
        <f aca="false">CB528-AC528-BH528</f>
        <v>19727</v>
      </c>
      <c r="CL528" s="15" t="n">
        <f aca="false">BF528*Ipotesi!$C$73+INDEX(Ipotesi!$C$72:$G$72,1,F528)/12*Ipotesi!K126*Parametri_v3!$C$58+Z528*(1-Parametri_v3!$C$16)</f>
        <v>12543.4595282716</v>
      </c>
      <c r="CM528" s="16" t="n">
        <f aca="false">IF(BF528=0,0,1-CL528/BF528)</f>
        <v>0.80503165372768</v>
      </c>
    </row>
    <row r="529" customFormat="false" ht="18" hidden="false" customHeight="true" outlineLevel="0" collapsed="false">
      <c r="A529" s="68" t="n">
        <f aca="false">9</f>
        <v>9</v>
      </c>
      <c r="B529" s="68" t="n">
        <f aca="false">45</f>
        <v>45</v>
      </c>
      <c r="C529" s="18" t="n">
        <f aca="false">EDATE(Parametri_v3!$C$5,45-1)</f>
        <v>47727</v>
      </c>
      <c r="D529" s="68" t="n">
        <f aca="false">YEAR(C529)</f>
        <v>2030</v>
      </c>
      <c r="E529" s="68" t="n">
        <f aca="false">MONTH(C529)</f>
        <v>9</v>
      </c>
      <c r="F529" s="68" t="n">
        <f aca="false">INT((45-1)/12)+1</f>
        <v>4</v>
      </c>
      <c r="G529" s="15" t="n">
        <f aca="false">Ipotesi!K7</f>
        <v>1</v>
      </c>
      <c r="H529" s="15" t="n">
        <f aca="false">Ipotesi!K9</f>
        <v>1</v>
      </c>
      <c r="I529" s="15" t="n">
        <f aca="false">Ipotesi!K10</f>
        <v>1</v>
      </c>
      <c r="J529" s="15" t="n">
        <f aca="false">Ipotesi!K11</f>
        <v>1</v>
      </c>
      <c r="K529" s="15" t="n">
        <f aca="false">Ipotesi!K12</f>
        <v>1</v>
      </c>
      <c r="L529" s="15" t="n">
        <f aca="false">Ipotesi!K13</f>
        <v>90</v>
      </c>
      <c r="M529" s="17" t="n">
        <f aca="false">INDEX(Ipotesi!$C$40:$G$40,1,F529)</f>
        <v>1</v>
      </c>
      <c r="N529" s="17" t="n">
        <f aca="false">INDEX(Ipotesi!$C$41:$G$41,1,F529)</f>
        <v>1</v>
      </c>
      <c r="O529" s="17" t="n">
        <f aca="false">INDEX(Ipotesi!$C$42:$G$42,1,F529)*Ipotesi!K125</f>
        <v>6.5</v>
      </c>
      <c r="P529" s="17" t="n">
        <f aca="false">INDEX(Ipotesi!$C$43:$G$43,1,F529)*I529</f>
        <v>6</v>
      </c>
      <c r="Q529" s="17" t="n">
        <f aca="false">INDEX(Ipotesi!$C$44:$G$44,1,F529)*I529</f>
        <v>5</v>
      </c>
      <c r="R529" s="17" t="n">
        <f aca="false">INDEX(Ipotesi!$C$45:$G$45,1,F529)*I529</f>
        <v>1.5</v>
      </c>
      <c r="S529" s="17" t="n">
        <f aca="false">INDEX(Ipotesi!$C$52:$G$52,1,F529)*Ipotesi!K125</f>
        <v>7</v>
      </c>
      <c r="T529" s="17" t="n">
        <f aca="false">INDEX(Ipotesi!$C$53:$G$53,1,F529)*I529</f>
        <v>1</v>
      </c>
      <c r="U529" s="17" t="n">
        <f aca="false">INDEX(Ipotesi!$C$54:$G$54,1,F529)*I529</f>
        <v>0.5</v>
      </c>
      <c r="V529" s="15" t="n">
        <f aca="false">M529*INDEX(Ipotesi!$C$58:$G$58,1,F529)*K529/12</f>
        <v>7916.66666666667</v>
      </c>
      <c r="W529" s="15" t="n">
        <f aca="false">N529*Ipotesi!$C$59*(1+Ipotesi!$C$66)^(F529-1)/12</f>
        <v>6374.24083333333</v>
      </c>
      <c r="X529" s="15" t="n">
        <f aca="false">O529*Ipotesi!$C$60*(1+Ipotesi!$C$66)^(F529-1)/12</f>
        <v>29594.6895833333</v>
      </c>
      <c r="Y529" s="15" t="n">
        <f aca="false">P529*Ipotesi!$C$61*(1+Ipotesi!$C$66)^(F529-1)/12</f>
        <v>27318.175</v>
      </c>
      <c r="Z529" s="15" t="n">
        <f aca="false">Q529*Ipotesi!$C$62*(1+Ipotesi!$C$66)^(F529-1)/12</f>
        <v>20488.63125</v>
      </c>
      <c r="AA529" s="15" t="n">
        <f aca="false">R529*Ipotesi!$C$63*(1+Ipotesi!$C$66)^(F529-1)/12</f>
        <v>4780.680625</v>
      </c>
      <c r="AB529" s="15" t="n">
        <f aca="false">SUM(V529:AA529)</f>
        <v>96473.0839583333</v>
      </c>
      <c r="AC529" s="15" t="n">
        <f aca="false">(S529*Ipotesi!$C$64+T529*Ipotesi!$C$65+U529*Ipotesi!$C$63)*(1+Ipotesi!$C$66)^(F529-1)/12</f>
        <v>33829.0067083333</v>
      </c>
      <c r="AD529" s="15" t="n">
        <f aca="false">INDEX(Ipotesi!$C$48:$G$48,1,F529)*G529/12</f>
        <v>79.1666666666667</v>
      </c>
      <c r="AE529" s="15" t="n">
        <f aca="false">INDEX(Ipotesi!$C$50:$G$50,1,F529)*G529/12</f>
        <v>8.33333333333333</v>
      </c>
      <c r="AF529" s="15" t="n">
        <f aca="false">(S529*Parametri_v3!$C$7*Parametri_v3!$C$8+Parametri_v3!$C$10)/12</f>
        <v>89.8333333333333</v>
      </c>
      <c r="AG529" s="15" t="n">
        <f aca="false">AD529+AE529*(1+Parametri_v3!$C$9)</f>
        <v>91.6666666666667</v>
      </c>
      <c r="AH529" s="16" t="n">
        <f aca="false">IF(AG529=0,1,MIN(1,AF529/AG529))</f>
        <v>0.98</v>
      </c>
      <c r="AI529" s="15" t="n">
        <f aca="false">AD529*AH529</f>
        <v>77.5833333333333</v>
      </c>
      <c r="AJ529" s="15" t="n">
        <f aca="false">AE529*AH529</f>
        <v>8.16666666666667</v>
      </c>
      <c r="AK529" s="15" t="n">
        <f aca="false">AI529*INDEX(Ipotesi!$C$49:$G$49,1,F529)*H529</f>
        <v>69825</v>
      </c>
      <c r="AL529" s="15" t="n">
        <f aca="false">AJ529*INDEX(Ipotesi!$C$51:$G$51,1,F529)*H529</f>
        <v>20416.6666666667</v>
      </c>
      <c r="AM529" s="15" t="n">
        <f aca="false">AK529+AL529</f>
        <v>90241.6666666667</v>
      </c>
      <c r="AN529" s="15" t="n">
        <f aca="false">INDEX(Ipotesi!$C$30:$G$30,1,F529)*G529/12</f>
        <v>61.6666666666667</v>
      </c>
      <c r="AO529" s="15" t="n">
        <f aca="false">O529*Parametri_v3!$C$7*Parametri_v3!$C$11*(1-Parametri_v3!$C$14)/12</f>
        <v>66.7333333333333</v>
      </c>
      <c r="AP529" s="15" t="n">
        <f aca="false">MIN(AN529,AO529)</f>
        <v>61.6666666666667</v>
      </c>
      <c r="AQ529" s="15" t="n">
        <f aca="false">AP529*INDEX(Ipotesi!$C$31:$G$31,1,F529)*H529</f>
        <v>64750</v>
      </c>
      <c r="AR529" s="15" t="n">
        <f aca="false">INDEX(Ipotesi!$C$75:$G$75,1,F529)*J529/12</f>
        <v>27916.6666666667</v>
      </c>
      <c r="AS529" s="15" t="n">
        <f aca="false">INDEX(Ipotesi!$C$81:$G$81,1,F529)*J529/12</f>
        <v>1666.66666666667</v>
      </c>
      <c r="AT529" s="15" t="n">
        <f aca="false">AR529*Parametri_v3!$C$15+Z529*Parametri_v3!$C$16</f>
        <v>42258.7085416667</v>
      </c>
      <c r="AU529" s="15" t="n">
        <f aca="false">Q529*Parametri_v3!$C$16*Parametri_v3!$C$17</f>
        <v>350</v>
      </c>
      <c r="AV529" s="17" t="n">
        <f aca="false">BD528</f>
        <v>131.64390436232</v>
      </c>
      <c r="AW529" s="17" t="n">
        <f aca="false">AV529*(1-(1-INDEX(Ipotesi!$C$34:$G$34,1,F529))^(1/12))</f>
        <v>1.1507797964927</v>
      </c>
      <c r="AX529" s="15" t="n">
        <f aca="false">ROUND(INDEX(Ipotesi!$C$32:$G$32,1,F529)*Ipotesi!K8,0)</f>
        <v>310</v>
      </c>
      <c r="AY529" s="15" t="n">
        <f aca="false">MAX(0,(AX529-(AV529-AW529))/(13-E529))</f>
        <v>44.8767188585433</v>
      </c>
      <c r="AZ529" s="15" t="n">
        <f aca="false">MIN(P529*Parametri_v3!$C$22,Q529*(1-Parametri_v3!$C$16)*Parametri_v3!$C$23)</f>
        <v>225</v>
      </c>
      <c r="BA529" s="15" t="n">
        <f aca="false">IF(OR(INDEX(Ipotesi!$C$35:$G$35,1,F529)&lt;=0,45-Parametri_v3!$C$21&lt;1),0,INDEX($AT$485:$AT$544,MAX(1,45-Parametri_v3!$C$21))/(INDEX(Ipotesi!$C$35:$G$35,1,F529)*Ipotesi!K27))</f>
        <v>7.04311809027778</v>
      </c>
      <c r="BB529" s="15" t="n">
        <f aca="false">IF(45-Parametri_v3!$C$21&lt;1,0,INDEX($AU$485:$AU$544,MAX(1,45-Parametri_v3!$C$21)))*Parametri_v3!$C$18*Parametri_v3!$C$19*Parametri_v3!$C$20</f>
        <v>13.125</v>
      </c>
      <c r="BC529" s="17" t="n">
        <f aca="false">MAX(0,MIN(AY529,BA529,BB529,MAX(0,AZ529-(AV529-AW529))))</f>
        <v>7.04311809027778</v>
      </c>
      <c r="BD529" s="17" t="n">
        <f aca="false">AV529-AW529+BC529</f>
        <v>137.536242656105</v>
      </c>
      <c r="BE529" s="17" t="n">
        <f aca="false">(AV529+BD529)/2</f>
        <v>134.590073509212</v>
      </c>
      <c r="BF529" s="15" t="n">
        <f aca="false">BE529*INDEX(Ipotesi!$C$33:$G$33,1,F529)*H529/12</f>
        <v>67295.0367546061</v>
      </c>
      <c r="BG529" s="15" t="n">
        <f aca="false">BD529*INDEX(Ipotesi!$C$33:$G$33,1,F529)*H529</f>
        <v>825217.455936628</v>
      </c>
      <c r="BH529" s="15" t="n">
        <f aca="false">AM529*INDEX(Ipotesi!$C$37:$G$37,1,F529)</f>
        <v>9024.16666666667</v>
      </c>
      <c r="BI529" s="15" t="n">
        <f aca="false">AQ529+BF529+BH529</f>
        <v>141069.203421273</v>
      </c>
      <c r="BJ529" s="15" t="n">
        <f aca="false">INDEX(Ipotesi!$C$68:$G$68,1,F529)*Ipotesi!$C$69/12</f>
        <v>3000</v>
      </c>
      <c r="BK529" s="15" t="n">
        <f aca="false">INDEX(Ipotesi!$C$68:$G$68,1,F529)*(1-Ipotesi!$C$69)/12</f>
        <v>4500</v>
      </c>
      <c r="BL529" s="15" t="n">
        <f aca="false">(AQ529+BF529)*Ipotesi!$C$67</f>
        <v>3961.35110263818</v>
      </c>
      <c r="BM529" s="15" t="n">
        <f aca="false">AM529*Ipotesi!$C$67</f>
        <v>2707.25</v>
      </c>
      <c r="BN529" s="15" t="n">
        <f aca="false">INDEX(Ipotesi!$C$72:$G$72,1,F529)/12*Ipotesi!K126+BF529*Ipotesi!$C$73</f>
        <v>6633.60294036849</v>
      </c>
      <c r="BO529" s="15" t="n">
        <f aca="false">INDEX(Ipotesi!$C$74:$G$74,1,F529)/12*Ipotesi!K126</f>
        <v>4166.66666666667</v>
      </c>
      <c r="BP529" s="15" t="n">
        <f aca="false">INDEX(Ipotesi!$C$76:$G$76,1,F529)/12</f>
        <v>1500</v>
      </c>
      <c r="BQ529" s="15" t="n">
        <f aca="false">INDEX(Ipotesi!$C$77:$G$77,1,F529)/12*Ipotesi!K126</f>
        <v>2083.33333333333</v>
      </c>
      <c r="BR529" s="15" t="n">
        <f aca="false">INDEX(Ipotesi!$C$78:$G$78,1,F529)/12</f>
        <v>2000</v>
      </c>
      <c r="BS529" s="15" t="n">
        <f aca="false">SUM(M529:R529)*(Ipotesi!$C$85+Ipotesi!$C$86)/12</f>
        <v>6125</v>
      </c>
      <c r="BT529" s="15" t="n">
        <f aca="false">BI529*Ipotesi!$C$87</f>
        <v>4232.07610263818</v>
      </c>
      <c r="BU529" s="15" t="n">
        <f aca="false">INDEX(Ipotesi!$C$55:$G$55,1,F529)*K529/12</f>
        <v>2000</v>
      </c>
      <c r="BV529" s="15" t="n">
        <f aca="false">INDEX(Ipotesi!$C$80:$G$80,1,F529)/12*Ipotesi!K126</f>
        <v>1666.66666666667</v>
      </c>
      <c r="BW529" s="15" t="n">
        <f aca="false">INDEX(Ipotesi!$C$82:$G$82,1,F529)/12</f>
        <v>1250</v>
      </c>
      <c r="BX529" s="15" t="n">
        <f aca="false">INDEX(Ipotesi!$C$83:$G$83,1,F529)/12</f>
        <v>750</v>
      </c>
      <c r="BY529" s="15" t="n">
        <f aca="false">SUM(S529:U529)*(Ipotesi!$C$85+Ipotesi!$C$86)/12</f>
        <v>2479.16666666667</v>
      </c>
      <c r="BZ529" s="15" t="n">
        <f aca="false">AM529*Ipotesi!$C$87</f>
        <v>2707.25</v>
      </c>
      <c r="CA529" s="15" t="n">
        <f aca="false">AB529+BJ529+BL529+BN529+BO529+AR529+BP529+BQ529+BR529+BS529+BT529</f>
        <v>158091.780770645</v>
      </c>
      <c r="CB529" s="15" t="n">
        <f aca="false">AC529+BK529+BM529+BH529+BU529+BV529+AS529+BW529+BX529+BY529+BZ529</f>
        <v>62580.173375</v>
      </c>
      <c r="CC529" s="15" t="n">
        <f aca="false">BI529-CA529</f>
        <v>-17022.5773493721</v>
      </c>
      <c r="CD529" s="15" t="n">
        <f aca="false">AM529-CB529</f>
        <v>27661.4932916667</v>
      </c>
      <c r="CE529" s="15" t="n">
        <f aca="false">INDEX(Ipotesi!$C$79:$G$79,1,F529)/12</f>
        <v>3333.33333333333</v>
      </c>
      <c r="CF529" s="15" t="n">
        <f aca="false">INDEX(Ipotesi!$C$84:$G$84,1,F529)/12</f>
        <v>666.666666666667</v>
      </c>
      <c r="CG529" s="15" t="n">
        <f aca="false">Y529*MAX(0,Parametri_v3!$C$12-IF(P529=0,0,MIN(1,BE529/(P529*Parametri_v3!$C$22))))+W529*Parametri_v3!$C$13+X529*Parametri_v3!$C$14</f>
        <v>30296.3080310208</v>
      </c>
      <c r="CH529" s="15" t="n">
        <f aca="false">AB529*Parametri_v3!$C$32</f>
        <v>4823.65419791667</v>
      </c>
      <c r="CI529" s="15" t="n">
        <f aca="false">AC529*Parametri_v3!$C$32</f>
        <v>1691.45033541667</v>
      </c>
      <c r="CJ529" s="15" t="n">
        <f aca="false">CA529-AB529</f>
        <v>61618.6968123115</v>
      </c>
      <c r="CK529" s="15" t="n">
        <f aca="false">CB529-AC529-BH529</f>
        <v>19727</v>
      </c>
      <c r="CL529" s="15" t="n">
        <f aca="false">BF529*Ipotesi!$C$73+INDEX(Ipotesi!$C$72:$G$72,1,F529)/12*Ipotesi!K126*Parametri_v3!$C$58+Z529*(1-Parametri_v3!$C$16)</f>
        <v>12780.1923153685</v>
      </c>
      <c r="CM529" s="16" t="n">
        <f aca="false">IF(BF529=0,0,1-CL529/BF529)</f>
        <v>0.810087148596531</v>
      </c>
    </row>
    <row r="530" customFormat="false" ht="18" hidden="false" customHeight="true" outlineLevel="0" collapsed="false">
      <c r="A530" s="68" t="n">
        <f aca="false">9</f>
        <v>9</v>
      </c>
      <c r="B530" s="68" t="n">
        <f aca="false">46</f>
        <v>46</v>
      </c>
      <c r="C530" s="18" t="n">
        <f aca="false">EDATE(Parametri_v3!$C$5,46-1)</f>
        <v>47757</v>
      </c>
      <c r="D530" s="68" t="n">
        <f aca="false">YEAR(C530)</f>
        <v>2030</v>
      </c>
      <c r="E530" s="68" t="n">
        <f aca="false">MONTH(C530)</f>
        <v>10</v>
      </c>
      <c r="F530" s="68" t="n">
        <f aca="false">INT((46-1)/12)+1</f>
        <v>4</v>
      </c>
      <c r="G530" s="15" t="n">
        <f aca="false">Ipotesi!K7</f>
        <v>1</v>
      </c>
      <c r="H530" s="15" t="n">
        <f aca="false">Ipotesi!K9</f>
        <v>1</v>
      </c>
      <c r="I530" s="15" t="n">
        <f aca="false">Ipotesi!K10</f>
        <v>1</v>
      </c>
      <c r="J530" s="15" t="n">
        <f aca="false">Ipotesi!K11</f>
        <v>1</v>
      </c>
      <c r="K530" s="15" t="n">
        <f aca="false">Ipotesi!K12</f>
        <v>1</v>
      </c>
      <c r="L530" s="15" t="n">
        <f aca="false">Ipotesi!K13</f>
        <v>90</v>
      </c>
      <c r="M530" s="17" t="n">
        <f aca="false">INDEX(Ipotesi!$C$40:$G$40,1,F530)</f>
        <v>1</v>
      </c>
      <c r="N530" s="17" t="n">
        <f aca="false">INDEX(Ipotesi!$C$41:$G$41,1,F530)</f>
        <v>1</v>
      </c>
      <c r="O530" s="17" t="n">
        <f aca="false">INDEX(Ipotesi!$C$42:$G$42,1,F530)*Ipotesi!K125</f>
        <v>6.5</v>
      </c>
      <c r="P530" s="17" t="n">
        <f aca="false">INDEX(Ipotesi!$C$43:$G$43,1,F530)*I530</f>
        <v>6</v>
      </c>
      <c r="Q530" s="17" t="n">
        <f aca="false">INDEX(Ipotesi!$C$44:$G$44,1,F530)*I530</f>
        <v>5</v>
      </c>
      <c r="R530" s="17" t="n">
        <f aca="false">INDEX(Ipotesi!$C$45:$G$45,1,F530)*I530</f>
        <v>1.5</v>
      </c>
      <c r="S530" s="17" t="n">
        <f aca="false">INDEX(Ipotesi!$C$52:$G$52,1,F530)*Ipotesi!K125</f>
        <v>7</v>
      </c>
      <c r="T530" s="17" t="n">
        <f aca="false">INDEX(Ipotesi!$C$53:$G$53,1,F530)*I530</f>
        <v>1</v>
      </c>
      <c r="U530" s="17" t="n">
        <f aca="false">INDEX(Ipotesi!$C$54:$G$54,1,F530)*I530</f>
        <v>0.5</v>
      </c>
      <c r="V530" s="15" t="n">
        <f aca="false">M530*INDEX(Ipotesi!$C$58:$G$58,1,F530)*K530/12</f>
        <v>7916.66666666667</v>
      </c>
      <c r="W530" s="15" t="n">
        <f aca="false">N530*Ipotesi!$C$59*(1+Ipotesi!$C$66)^(F530-1)/12</f>
        <v>6374.24083333333</v>
      </c>
      <c r="X530" s="15" t="n">
        <f aca="false">O530*Ipotesi!$C$60*(1+Ipotesi!$C$66)^(F530-1)/12</f>
        <v>29594.6895833333</v>
      </c>
      <c r="Y530" s="15" t="n">
        <f aca="false">P530*Ipotesi!$C$61*(1+Ipotesi!$C$66)^(F530-1)/12</f>
        <v>27318.175</v>
      </c>
      <c r="Z530" s="15" t="n">
        <f aca="false">Q530*Ipotesi!$C$62*(1+Ipotesi!$C$66)^(F530-1)/12</f>
        <v>20488.63125</v>
      </c>
      <c r="AA530" s="15" t="n">
        <f aca="false">R530*Ipotesi!$C$63*(1+Ipotesi!$C$66)^(F530-1)/12</f>
        <v>4780.680625</v>
      </c>
      <c r="AB530" s="15" t="n">
        <f aca="false">SUM(V530:AA530)</f>
        <v>96473.0839583333</v>
      </c>
      <c r="AC530" s="15" t="n">
        <f aca="false">(S530*Ipotesi!$C$64+T530*Ipotesi!$C$65+U530*Ipotesi!$C$63)*(1+Ipotesi!$C$66)^(F530-1)/12</f>
        <v>33829.0067083333</v>
      </c>
      <c r="AD530" s="15" t="n">
        <f aca="false">INDEX(Ipotesi!$C$48:$G$48,1,F530)*G530/12</f>
        <v>79.1666666666667</v>
      </c>
      <c r="AE530" s="15" t="n">
        <f aca="false">INDEX(Ipotesi!$C$50:$G$50,1,F530)*G530/12</f>
        <v>8.33333333333333</v>
      </c>
      <c r="AF530" s="15" t="n">
        <f aca="false">(S530*Parametri_v3!$C$7*Parametri_v3!$C$8+Parametri_v3!$C$10)/12</f>
        <v>89.8333333333333</v>
      </c>
      <c r="AG530" s="15" t="n">
        <f aca="false">AD530+AE530*(1+Parametri_v3!$C$9)</f>
        <v>91.6666666666667</v>
      </c>
      <c r="AH530" s="16" t="n">
        <f aca="false">IF(AG530=0,1,MIN(1,AF530/AG530))</f>
        <v>0.98</v>
      </c>
      <c r="AI530" s="15" t="n">
        <f aca="false">AD530*AH530</f>
        <v>77.5833333333333</v>
      </c>
      <c r="AJ530" s="15" t="n">
        <f aca="false">AE530*AH530</f>
        <v>8.16666666666667</v>
      </c>
      <c r="AK530" s="15" t="n">
        <f aca="false">AI530*INDEX(Ipotesi!$C$49:$G$49,1,F530)*H530</f>
        <v>69825</v>
      </c>
      <c r="AL530" s="15" t="n">
        <f aca="false">AJ530*INDEX(Ipotesi!$C$51:$G$51,1,F530)*H530</f>
        <v>20416.6666666667</v>
      </c>
      <c r="AM530" s="15" t="n">
        <f aca="false">AK530+AL530</f>
        <v>90241.6666666667</v>
      </c>
      <c r="AN530" s="15" t="n">
        <f aca="false">INDEX(Ipotesi!$C$30:$G$30,1,F530)*G530/12</f>
        <v>61.6666666666667</v>
      </c>
      <c r="AO530" s="15" t="n">
        <f aca="false">O530*Parametri_v3!$C$7*Parametri_v3!$C$11*(1-Parametri_v3!$C$14)/12</f>
        <v>66.7333333333333</v>
      </c>
      <c r="AP530" s="15" t="n">
        <f aca="false">MIN(AN530,AO530)</f>
        <v>61.6666666666667</v>
      </c>
      <c r="AQ530" s="15" t="n">
        <f aca="false">AP530*INDEX(Ipotesi!$C$31:$G$31,1,F530)*H530</f>
        <v>64750</v>
      </c>
      <c r="AR530" s="15" t="n">
        <f aca="false">INDEX(Ipotesi!$C$75:$G$75,1,F530)*J530/12</f>
        <v>27916.6666666667</v>
      </c>
      <c r="AS530" s="15" t="n">
        <f aca="false">INDEX(Ipotesi!$C$81:$G$81,1,F530)*J530/12</f>
        <v>1666.66666666667</v>
      </c>
      <c r="AT530" s="15" t="n">
        <f aca="false">AR530*Parametri_v3!$C$15+Z530*Parametri_v3!$C$16</f>
        <v>42258.7085416667</v>
      </c>
      <c r="AU530" s="15" t="n">
        <f aca="false">Q530*Parametri_v3!$C$16*Parametri_v3!$C$17</f>
        <v>350</v>
      </c>
      <c r="AV530" s="17" t="n">
        <f aca="false">BD529</f>
        <v>137.536242656105</v>
      </c>
      <c r="AW530" s="17" t="n">
        <f aca="false">AV530*(1-(1-INDEX(Ipotesi!$C$34:$G$34,1,F530))^(1/12))</f>
        <v>1.20228832547043</v>
      </c>
      <c r="AX530" s="15" t="n">
        <f aca="false">ROUND(INDEX(Ipotesi!$C$32:$G$32,1,F530)*Ipotesi!K8,0)</f>
        <v>310</v>
      </c>
      <c r="AY530" s="15" t="n">
        <f aca="false">MAX(0,(AX530-(AV530-AW530))/(13-E530))</f>
        <v>57.8886818897886</v>
      </c>
      <c r="AZ530" s="15" t="n">
        <f aca="false">MIN(P530*Parametri_v3!$C$22,Q530*(1-Parametri_v3!$C$16)*Parametri_v3!$C$23)</f>
        <v>225</v>
      </c>
      <c r="BA530" s="15" t="n">
        <f aca="false">IF(OR(INDEX(Ipotesi!$C$35:$G$35,1,F530)&lt;=0,46-Parametri_v3!$C$21&lt;1),0,INDEX($AT$485:$AT$544,MAX(1,46-Parametri_v3!$C$21))/(INDEX(Ipotesi!$C$35:$G$35,1,F530)*Ipotesi!K27))</f>
        <v>7.04311809027778</v>
      </c>
      <c r="BB530" s="15" t="n">
        <f aca="false">IF(46-Parametri_v3!$C$21&lt;1,0,INDEX($AU$485:$AU$544,MAX(1,46-Parametri_v3!$C$21)))*Parametri_v3!$C$18*Parametri_v3!$C$19*Parametri_v3!$C$20</f>
        <v>13.125</v>
      </c>
      <c r="BC530" s="17" t="n">
        <f aca="false">MAX(0,MIN(AY530,BA530,BB530,MAX(0,AZ530-(AV530-AW530))))</f>
        <v>7.04311809027778</v>
      </c>
      <c r="BD530" s="17" t="n">
        <f aca="false">AV530-AW530+BC530</f>
        <v>143.377072420912</v>
      </c>
      <c r="BE530" s="17" t="n">
        <f aca="false">(AV530+BD530)/2</f>
        <v>140.456657538508</v>
      </c>
      <c r="BF530" s="15" t="n">
        <f aca="false">BE530*INDEX(Ipotesi!$C$33:$G$33,1,F530)*H530/12</f>
        <v>70228.3287692542</v>
      </c>
      <c r="BG530" s="15" t="n">
        <f aca="false">BD530*INDEX(Ipotesi!$C$33:$G$33,1,F530)*H530</f>
        <v>860262.434525473</v>
      </c>
      <c r="BH530" s="15" t="n">
        <f aca="false">AM530*INDEX(Ipotesi!$C$37:$G$37,1,F530)</f>
        <v>9024.16666666667</v>
      </c>
      <c r="BI530" s="15" t="n">
        <f aca="false">AQ530+BF530+BH530</f>
        <v>144002.495435921</v>
      </c>
      <c r="BJ530" s="15" t="n">
        <f aca="false">INDEX(Ipotesi!$C$68:$G$68,1,F530)*Ipotesi!$C$69/12</f>
        <v>3000</v>
      </c>
      <c r="BK530" s="15" t="n">
        <f aca="false">INDEX(Ipotesi!$C$68:$G$68,1,F530)*(1-Ipotesi!$C$69)/12</f>
        <v>4500</v>
      </c>
      <c r="BL530" s="15" t="n">
        <f aca="false">(AQ530+BF530)*Ipotesi!$C$67</f>
        <v>4049.34986307763</v>
      </c>
      <c r="BM530" s="15" t="n">
        <f aca="false">AM530*Ipotesi!$C$67</f>
        <v>2707.25</v>
      </c>
      <c r="BN530" s="15" t="n">
        <f aca="false">INDEX(Ipotesi!$C$72:$G$72,1,F530)/12*Ipotesi!K126+BF530*Ipotesi!$C$73</f>
        <v>6868.26630154034</v>
      </c>
      <c r="BO530" s="15" t="n">
        <f aca="false">INDEX(Ipotesi!$C$74:$G$74,1,F530)/12*Ipotesi!K126</f>
        <v>4166.66666666667</v>
      </c>
      <c r="BP530" s="15" t="n">
        <f aca="false">INDEX(Ipotesi!$C$76:$G$76,1,F530)/12</f>
        <v>1500</v>
      </c>
      <c r="BQ530" s="15" t="n">
        <f aca="false">INDEX(Ipotesi!$C$77:$G$77,1,F530)/12*Ipotesi!K126</f>
        <v>2083.33333333333</v>
      </c>
      <c r="BR530" s="15" t="n">
        <f aca="false">INDEX(Ipotesi!$C$78:$G$78,1,F530)/12</f>
        <v>2000</v>
      </c>
      <c r="BS530" s="15" t="n">
        <f aca="false">SUM(M530:R530)*(Ipotesi!$C$85+Ipotesi!$C$86)/12</f>
        <v>6125</v>
      </c>
      <c r="BT530" s="15" t="n">
        <f aca="false">BI530*Ipotesi!$C$87</f>
        <v>4320.07486307763</v>
      </c>
      <c r="BU530" s="15" t="n">
        <f aca="false">INDEX(Ipotesi!$C$55:$G$55,1,F530)*K530/12</f>
        <v>2000</v>
      </c>
      <c r="BV530" s="15" t="n">
        <f aca="false">INDEX(Ipotesi!$C$80:$G$80,1,F530)/12*Ipotesi!K126</f>
        <v>1666.66666666667</v>
      </c>
      <c r="BW530" s="15" t="n">
        <f aca="false">INDEX(Ipotesi!$C$82:$G$82,1,F530)/12</f>
        <v>1250</v>
      </c>
      <c r="BX530" s="15" t="n">
        <f aca="false">INDEX(Ipotesi!$C$83:$G$83,1,F530)/12</f>
        <v>750</v>
      </c>
      <c r="BY530" s="15" t="n">
        <f aca="false">SUM(S530:U530)*(Ipotesi!$C$85+Ipotesi!$C$86)/12</f>
        <v>2479.16666666667</v>
      </c>
      <c r="BZ530" s="15" t="n">
        <f aca="false">AM530*Ipotesi!$C$87</f>
        <v>2707.25</v>
      </c>
      <c r="CA530" s="15" t="n">
        <f aca="false">AB530+BJ530+BL530+BN530+BO530+AR530+BP530+BQ530+BR530+BS530+BT530</f>
        <v>158502.441652696</v>
      </c>
      <c r="CB530" s="15" t="n">
        <f aca="false">AC530+BK530+BM530+BH530+BU530+BV530+AS530+BW530+BX530+BY530+BZ530</f>
        <v>62580.173375</v>
      </c>
      <c r="CC530" s="15" t="n">
        <f aca="false">BI530-CA530</f>
        <v>-14499.9462167748</v>
      </c>
      <c r="CD530" s="15" t="n">
        <f aca="false">AM530-CB530</f>
        <v>27661.4932916667</v>
      </c>
      <c r="CE530" s="15" t="n">
        <f aca="false">INDEX(Ipotesi!$C$79:$G$79,1,F530)/12</f>
        <v>3333.33333333333</v>
      </c>
      <c r="CF530" s="15" t="n">
        <f aca="false">INDEX(Ipotesi!$C$84:$G$84,1,F530)/12</f>
        <v>666.666666666667</v>
      </c>
      <c r="CG530" s="15" t="n">
        <f aca="false">Y530*MAX(0,Parametri_v3!$C$12-IF(P530=0,0,MIN(1,BE530/(P530*Parametri_v3!$C$22))))+W530*Parametri_v3!$C$13+X530*Parametri_v3!$C$14</f>
        <v>30029.2007490799</v>
      </c>
      <c r="CH530" s="15" t="n">
        <f aca="false">AB530*Parametri_v3!$C$32</f>
        <v>4823.65419791667</v>
      </c>
      <c r="CI530" s="15" t="n">
        <f aca="false">AC530*Parametri_v3!$C$32</f>
        <v>1691.45033541667</v>
      </c>
      <c r="CJ530" s="15" t="n">
        <f aca="false">CA530-AB530</f>
        <v>62029.3576943623</v>
      </c>
      <c r="CK530" s="15" t="n">
        <f aca="false">CB530-AC530-BH530</f>
        <v>19727</v>
      </c>
      <c r="CL530" s="15" t="n">
        <f aca="false">BF530*Ipotesi!$C$73+INDEX(Ipotesi!$C$72:$G$72,1,F530)/12*Ipotesi!K126*Parametri_v3!$C$58+Z530*(1-Parametri_v3!$C$16)</f>
        <v>13014.8556765403</v>
      </c>
      <c r="CM530" s="16" t="n">
        <f aca="false">IF(BF530=0,0,1-CL530/BF530)</f>
        <v>0.814677981028103</v>
      </c>
    </row>
    <row r="531" customFormat="false" ht="18" hidden="false" customHeight="true" outlineLevel="0" collapsed="false">
      <c r="A531" s="68" t="n">
        <f aca="false">9</f>
        <v>9</v>
      </c>
      <c r="B531" s="68" t="n">
        <f aca="false">47</f>
        <v>47</v>
      </c>
      <c r="C531" s="18" t="n">
        <f aca="false">EDATE(Parametri_v3!$C$5,47-1)</f>
        <v>47788</v>
      </c>
      <c r="D531" s="68" t="n">
        <f aca="false">YEAR(C531)</f>
        <v>2030</v>
      </c>
      <c r="E531" s="68" t="n">
        <f aca="false">MONTH(C531)</f>
        <v>11</v>
      </c>
      <c r="F531" s="68" t="n">
        <f aca="false">INT((47-1)/12)+1</f>
        <v>4</v>
      </c>
      <c r="G531" s="15" t="n">
        <f aca="false">Ipotesi!K7</f>
        <v>1</v>
      </c>
      <c r="H531" s="15" t="n">
        <f aca="false">Ipotesi!K9</f>
        <v>1</v>
      </c>
      <c r="I531" s="15" t="n">
        <f aca="false">Ipotesi!K10</f>
        <v>1</v>
      </c>
      <c r="J531" s="15" t="n">
        <f aca="false">Ipotesi!K11</f>
        <v>1</v>
      </c>
      <c r="K531" s="15" t="n">
        <f aca="false">Ipotesi!K12</f>
        <v>1</v>
      </c>
      <c r="L531" s="15" t="n">
        <f aca="false">Ipotesi!K13</f>
        <v>90</v>
      </c>
      <c r="M531" s="17" t="n">
        <f aca="false">INDEX(Ipotesi!$C$40:$G$40,1,F531)</f>
        <v>1</v>
      </c>
      <c r="N531" s="17" t="n">
        <f aca="false">INDEX(Ipotesi!$C$41:$G$41,1,F531)</f>
        <v>1</v>
      </c>
      <c r="O531" s="17" t="n">
        <f aca="false">INDEX(Ipotesi!$C$42:$G$42,1,F531)*Ipotesi!K125</f>
        <v>6.5</v>
      </c>
      <c r="P531" s="17" t="n">
        <f aca="false">INDEX(Ipotesi!$C$43:$G$43,1,F531)*I531</f>
        <v>6</v>
      </c>
      <c r="Q531" s="17" t="n">
        <f aca="false">INDEX(Ipotesi!$C$44:$G$44,1,F531)*I531</f>
        <v>5</v>
      </c>
      <c r="R531" s="17" t="n">
        <f aca="false">INDEX(Ipotesi!$C$45:$G$45,1,F531)*I531</f>
        <v>1.5</v>
      </c>
      <c r="S531" s="17" t="n">
        <f aca="false">INDEX(Ipotesi!$C$52:$G$52,1,F531)*Ipotesi!K125</f>
        <v>7</v>
      </c>
      <c r="T531" s="17" t="n">
        <f aca="false">INDEX(Ipotesi!$C$53:$G$53,1,F531)*I531</f>
        <v>1</v>
      </c>
      <c r="U531" s="17" t="n">
        <f aca="false">INDEX(Ipotesi!$C$54:$G$54,1,F531)*I531</f>
        <v>0.5</v>
      </c>
      <c r="V531" s="15" t="n">
        <f aca="false">M531*INDEX(Ipotesi!$C$58:$G$58,1,F531)*K531/12</f>
        <v>7916.66666666667</v>
      </c>
      <c r="W531" s="15" t="n">
        <f aca="false">N531*Ipotesi!$C$59*(1+Ipotesi!$C$66)^(F531-1)/12</f>
        <v>6374.24083333333</v>
      </c>
      <c r="X531" s="15" t="n">
        <f aca="false">O531*Ipotesi!$C$60*(1+Ipotesi!$C$66)^(F531-1)/12</f>
        <v>29594.6895833333</v>
      </c>
      <c r="Y531" s="15" t="n">
        <f aca="false">P531*Ipotesi!$C$61*(1+Ipotesi!$C$66)^(F531-1)/12</f>
        <v>27318.175</v>
      </c>
      <c r="Z531" s="15" t="n">
        <f aca="false">Q531*Ipotesi!$C$62*(1+Ipotesi!$C$66)^(F531-1)/12</f>
        <v>20488.63125</v>
      </c>
      <c r="AA531" s="15" t="n">
        <f aca="false">R531*Ipotesi!$C$63*(1+Ipotesi!$C$66)^(F531-1)/12</f>
        <v>4780.680625</v>
      </c>
      <c r="AB531" s="15" t="n">
        <f aca="false">SUM(V531:AA531)</f>
        <v>96473.0839583333</v>
      </c>
      <c r="AC531" s="15" t="n">
        <f aca="false">(S531*Ipotesi!$C$64+T531*Ipotesi!$C$65+U531*Ipotesi!$C$63)*(1+Ipotesi!$C$66)^(F531-1)/12</f>
        <v>33829.0067083333</v>
      </c>
      <c r="AD531" s="15" t="n">
        <f aca="false">INDEX(Ipotesi!$C$48:$G$48,1,F531)*G531/12</f>
        <v>79.1666666666667</v>
      </c>
      <c r="AE531" s="15" t="n">
        <f aca="false">INDEX(Ipotesi!$C$50:$G$50,1,F531)*G531/12</f>
        <v>8.33333333333333</v>
      </c>
      <c r="AF531" s="15" t="n">
        <f aca="false">(S531*Parametri_v3!$C$7*Parametri_v3!$C$8+Parametri_v3!$C$10)/12</f>
        <v>89.8333333333333</v>
      </c>
      <c r="AG531" s="15" t="n">
        <f aca="false">AD531+AE531*(1+Parametri_v3!$C$9)</f>
        <v>91.6666666666667</v>
      </c>
      <c r="AH531" s="16" t="n">
        <f aca="false">IF(AG531=0,1,MIN(1,AF531/AG531))</f>
        <v>0.98</v>
      </c>
      <c r="AI531" s="15" t="n">
        <f aca="false">AD531*AH531</f>
        <v>77.5833333333333</v>
      </c>
      <c r="AJ531" s="15" t="n">
        <f aca="false">AE531*AH531</f>
        <v>8.16666666666667</v>
      </c>
      <c r="AK531" s="15" t="n">
        <f aca="false">AI531*INDEX(Ipotesi!$C$49:$G$49,1,F531)*H531</f>
        <v>69825</v>
      </c>
      <c r="AL531" s="15" t="n">
        <f aca="false">AJ531*INDEX(Ipotesi!$C$51:$G$51,1,F531)*H531</f>
        <v>20416.6666666667</v>
      </c>
      <c r="AM531" s="15" t="n">
        <f aca="false">AK531+AL531</f>
        <v>90241.6666666667</v>
      </c>
      <c r="AN531" s="15" t="n">
        <f aca="false">INDEX(Ipotesi!$C$30:$G$30,1,F531)*G531/12</f>
        <v>61.6666666666667</v>
      </c>
      <c r="AO531" s="15" t="n">
        <f aca="false">O531*Parametri_v3!$C$7*Parametri_v3!$C$11*(1-Parametri_v3!$C$14)/12</f>
        <v>66.7333333333333</v>
      </c>
      <c r="AP531" s="15" t="n">
        <f aca="false">MIN(AN531,AO531)</f>
        <v>61.6666666666667</v>
      </c>
      <c r="AQ531" s="15" t="n">
        <f aca="false">AP531*INDEX(Ipotesi!$C$31:$G$31,1,F531)*H531</f>
        <v>64750</v>
      </c>
      <c r="AR531" s="15" t="n">
        <f aca="false">INDEX(Ipotesi!$C$75:$G$75,1,F531)*J531/12</f>
        <v>27916.6666666667</v>
      </c>
      <c r="AS531" s="15" t="n">
        <f aca="false">INDEX(Ipotesi!$C$81:$G$81,1,F531)*J531/12</f>
        <v>1666.66666666667</v>
      </c>
      <c r="AT531" s="15" t="n">
        <f aca="false">AR531*Parametri_v3!$C$15+Z531*Parametri_v3!$C$16</f>
        <v>42258.7085416667</v>
      </c>
      <c r="AU531" s="15" t="n">
        <f aca="false">Q531*Parametri_v3!$C$16*Parametri_v3!$C$17</f>
        <v>350</v>
      </c>
      <c r="AV531" s="17" t="n">
        <f aca="false">BD530</f>
        <v>143.377072420912</v>
      </c>
      <c r="AW531" s="17" t="n">
        <f aca="false">AV531*(1-(1-INDEX(Ipotesi!$C$34:$G$34,1,F531))^(1/12))</f>
        <v>1.25334658692699</v>
      </c>
      <c r="AX531" s="15" t="n">
        <f aca="false">ROUND(INDEX(Ipotesi!$C$32:$G$32,1,F531)*Ipotesi!K8,0)</f>
        <v>310</v>
      </c>
      <c r="AY531" s="15" t="n">
        <f aca="false">MAX(0,(AX531-(AV531-AW531))/(13-E531))</f>
        <v>83.9381370830075</v>
      </c>
      <c r="AZ531" s="15" t="n">
        <f aca="false">MIN(P531*Parametri_v3!$C$22,Q531*(1-Parametri_v3!$C$16)*Parametri_v3!$C$23)</f>
        <v>225</v>
      </c>
      <c r="BA531" s="15" t="n">
        <f aca="false">IF(OR(INDEX(Ipotesi!$C$35:$G$35,1,F531)&lt;=0,47-Parametri_v3!$C$21&lt;1),0,INDEX($AT$485:$AT$544,MAX(1,47-Parametri_v3!$C$21))/(INDEX(Ipotesi!$C$35:$G$35,1,F531)*Ipotesi!K27))</f>
        <v>7.04311809027778</v>
      </c>
      <c r="BB531" s="15" t="n">
        <f aca="false">IF(47-Parametri_v3!$C$21&lt;1,0,INDEX($AU$485:$AU$544,MAX(1,47-Parametri_v3!$C$21)))*Parametri_v3!$C$18*Parametri_v3!$C$19*Parametri_v3!$C$20</f>
        <v>13.125</v>
      </c>
      <c r="BC531" s="17" t="n">
        <f aca="false">MAX(0,MIN(AY531,BA531,BB531,MAX(0,AZ531-(AV531-AW531))))</f>
        <v>7.04311809027778</v>
      </c>
      <c r="BD531" s="17" t="n">
        <f aca="false">AV531-AW531+BC531</f>
        <v>149.166843924263</v>
      </c>
      <c r="BE531" s="17" t="n">
        <f aca="false">(AV531+BD531)/2</f>
        <v>146.271958172587</v>
      </c>
      <c r="BF531" s="15" t="n">
        <f aca="false">BE531*INDEX(Ipotesi!$C$33:$G$33,1,F531)*H531/12</f>
        <v>73135.9790862937</v>
      </c>
      <c r="BG531" s="15" t="n">
        <f aca="false">BD531*INDEX(Ipotesi!$C$33:$G$33,1,F531)*H531</f>
        <v>895001.063545577</v>
      </c>
      <c r="BH531" s="15" t="n">
        <f aca="false">AM531*INDEX(Ipotesi!$C$37:$G$37,1,F531)</f>
        <v>9024.16666666667</v>
      </c>
      <c r="BI531" s="15" t="n">
        <f aca="false">AQ531+BF531+BH531</f>
        <v>146910.14575296</v>
      </c>
      <c r="BJ531" s="15" t="n">
        <f aca="false">INDEX(Ipotesi!$C$68:$G$68,1,F531)*Ipotesi!$C$69/12</f>
        <v>3000</v>
      </c>
      <c r="BK531" s="15" t="n">
        <f aca="false">INDEX(Ipotesi!$C$68:$G$68,1,F531)*(1-Ipotesi!$C$69)/12</f>
        <v>4500</v>
      </c>
      <c r="BL531" s="15" t="n">
        <f aca="false">(AQ531+BF531)*Ipotesi!$C$67</f>
        <v>4136.57937258881</v>
      </c>
      <c r="BM531" s="15" t="n">
        <f aca="false">AM531*Ipotesi!$C$67</f>
        <v>2707.25</v>
      </c>
      <c r="BN531" s="15" t="n">
        <f aca="false">INDEX(Ipotesi!$C$72:$G$72,1,F531)/12*Ipotesi!K126+BF531*Ipotesi!$C$73</f>
        <v>7100.8783269035</v>
      </c>
      <c r="BO531" s="15" t="n">
        <f aca="false">INDEX(Ipotesi!$C$74:$G$74,1,F531)/12*Ipotesi!K126</f>
        <v>4166.66666666667</v>
      </c>
      <c r="BP531" s="15" t="n">
        <f aca="false">INDEX(Ipotesi!$C$76:$G$76,1,F531)/12</f>
        <v>1500</v>
      </c>
      <c r="BQ531" s="15" t="n">
        <f aca="false">INDEX(Ipotesi!$C$77:$G$77,1,F531)/12*Ipotesi!K126</f>
        <v>2083.33333333333</v>
      </c>
      <c r="BR531" s="15" t="n">
        <f aca="false">INDEX(Ipotesi!$C$78:$G$78,1,F531)/12</f>
        <v>2000</v>
      </c>
      <c r="BS531" s="15" t="n">
        <f aca="false">SUM(M531:R531)*(Ipotesi!$C$85+Ipotesi!$C$86)/12</f>
        <v>6125</v>
      </c>
      <c r="BT531" s="15" t="n">
        <f aca="false">BI531*Ipotesi!$C$87</f>
        <v>4407.30437258881</v>
      </c>
      <c r="BU531" s="15" t="n">
        <f aca="false">INDEX(Ipotesi!$C$55:$G$55,1,F531)*K531/12</f>
        <v>2000</v>
      </c>
      <c r="BV531" s="15" t="n">
        <f aca="false">INDEX(Ipotesi!$C$80:$G$80,1,F531)/12*Ipotesi!K126</f>
        <v>1666.66666666667</v>
      </c>
      <c r="BW531" s="15" t="n">
        <f aca="false">INDEX(Ipotesi!$C$82:$G$82,1,F531)/12</f>
        <v>1250</v>
      </c>
      <c r="BX531" s="15" t="n">
        <f aca="false">INDEX(Ipotesi!$C$83:$G$83,1,F531)/12</f>
        <v>750</v>
      </c>
      <c r="BY531" s="15" t="n">
        <f aca="false">SUM(S531:U531)*(Ipotesi!$C$85+Ipotesi!$C$86)/12</f>
        <v>2479.16666666667</v>
      </c>
      <c r="BZ531" s="15" t="n">
        <f aca="false">AM531*Ipotesi!$C$87</f>
        <v>2707.25</v>
      </c>
      <c r="CA531" s="15" t="n">
        <f aca="false">AB531+BJ531+BL531+BN531+BO531+AR531+BP531+BQ531+BR531+BS531+BT531</f>
        <v>158909.512697081</v>
      </c>
      <c r="CB531" s="15" t="n">
        <f aca="false">AC531+BK531+BM531+BH531+BU531+BV531+AS531+BW531+BX531+BY531+BZ531</f>
        <v>62580.173375</v>
      </c>
      <c r="CC531" s="15" t="n">
        <f aca="false">BI531-CA531</f>
        <v>-11999.3669441208</v>
      </c>
      <c r="CD531" s="15" t="n">
        <f aca="false">AM531-CB531</f>
        <v>27661.4932916667</v>
      </c>
      <c r="CE531" s="15" t="n">
        <f aca="false">INDEX(Ipotesi!$C$79:$G$79,1,F531)/12</f>
        <v>3333.33333333333</v>
      </c>
      <c r="CF531" s="15" t="n">
        <f aca="false">INDEX(Ipotesi!$C$84:$G$84,1,F531)/12</f>
        <v>666.666666666667</v>
      </c>
      <c r="CG531" s="15" t="n">
        <f aca="false">Y531*MAX(0,Parametri_v3!$C$12-IF(P531=0,0,MIN(1,BE531/(P531*Parametri_v3!$C$22))))+W531*Parametri_v3!$C$13+X531*Parametri_v3!$C$14</f>
        <v>29764.428415081</v>
      </c>
      <c r="CH531" s="15" t="n">
        <f aca="false">AB531*Parametri_v3!$C$32</f>
        <v>4823.65419791667</v>
      </c>
      <c r="CI531" s="15" t="n">
        <f aca="false">AC531*Parametri_v3!$C$32</f>
        <v>1691.45033541667</v>
      </c>
      <c r="CJ531" s="15" t="n">
        <f aca="false">CA531-AB531</f>
        <v>62436.4287387478</v>
      </c>
      <c r="CK531" s="15" t="n">
        <f aca="false">CB531-AC531-BH531</f>
        <v>19727</v>
      </c>
      <c r="CL531" s="15" t="n">
        <f aca="false">BF531*Ipotesi!$C$73+INDEX(Ipotesi!$C$72:$G$72,1,F531)/12*Ipotesi!K126*Parametri_v3!$C$58+Z531*(1-Parametri_v3!$C$16)</f>
        <v>13247.4677019035</v>
      </c>
      <c r="CM531" s="16" t="n">
        <f aca="false">IF(BF531=0,0,1-CL531/BF531)</f>
        <v>0.818865244337911</v>
      </c>
    </row>
    <row r="532" customFormat="false" ht="18" hidden="false" customHeight="true" outlineLevel="0" collapsed="false">
      <c r="A532" s="68" t="n">
        <f aca="false">9</f>
        <v>9</v>
      </c>
      <c r="B532" s="68" t="n">
        <f aca="false">48</f>
        <v>48</v>
      </c>
      <c r="C532" s="18" t="n">
        <f aca="false">EDATE(Parametri_v3!$C$5,48-1)</f>
        <v>47818</v>
      </c>
      <c r="D532" s="68" t="n">
        <f aca="false">YEAR(C532)</f>
        <v>2030</v>
      </c>
      <c r="E532" s="68" t="n">
        <f aca="false">MONTH(C532)</f>
        <v>12</v>
      </c>
      <c r="F532" s="68" t="n">
        <f aca="false">INT((48-1)/12)+1</f>
        <v>4</v>
      </c>
      <c r="G532" s="15" t="n">
        <f aca="false">Ipotesi!K7</f>
        <v>1</v>
      </c>
      <c r="H532" s="15" t="n">
        <f aca="false">Ipotesi!K9</f>
        <v>1</v>
      </c>
      <c r="I532" s="15" t="n">
        <f aca="false">Ipotesi!K10</f>
        <v>1</v>
      </c>
      <c r="J532" s="15" t="n">
        <f aca="false">Ipotesi!K11</f>
        <v>1</v>
      </c>
      <c r="K532" s="15" t="n">
        <f aca="false">Ipotesi!K12</f>
        <v>1</v>
      </c>
      <c r="L532" s="15" t="n">
        <f aca="false">Ipotesi!K13</f>
        <v>90</v>
      </c>
      <c r="M532" s="17" t="n">
        <f aca="false">INDEX(Ipotesi!$C$40:$G$40,1,F532)</f>
        <v>1</v>
      </c>
      <c r="N532" s="17" t="n">
        <f aca="false">INDEX(Ipotesi!$C$41:$G$41,1,F532)</f>
        <v>1</v>
      </c>
      <c r="O532" s="17" t="n">
        <f aca="false">INDEX(Ipotesi!$C$42:$G$42,1,F532)*Ipotesi!K125</f>
        <v>6.5</v>
      </c>
      <c r="P532" s="17" t="n">
        <f aca="false">INDEX(Ipotesi!$C$43:$G$43,1,F532)*I532</f>
        <v>6</v>
      </c>
      <c r="Q532" s="17" t="n">
        <f aca="false">INDEX(Ipotesi!$C$44:$G$44,1,F532)*I532</f>
        <v>5</v>
      </c>
      <c r="R532" s="17" t="n">
        <f aca="false">INDEX(Ipotesi!$C$45:$G$45,1,F532)*I532</f>
        <v>1.5</v>
      </c>
      <c r="S532" s="17" t="n">
        <f aca="false">INDEX(Ipotesi!$C$52:$G$52,1,F532)*Ipotesi!K125</f>
        <v>7</v>
      </c>
      <c r="T532" s="17" t="n">
        <f aca="false">INDEX(Ipotesi!$C$53:$G$53,1,F532)*I532</f>
        <v>1</v>
      </c>
      <c r="U532" s="17" t="n">
        <f aca="false">INDEX(Ipotesi!$C$54:$G$54,1,F532)*I532</f>
        <v>0.5</v>
      </c>
      <c r="V532" s="15" t="n">
        <f aca="false">M532*INDEX(Ipotesi!$C$58:$G$58,1,F532)*K532/12</f>
        <v>7916.66666666667</v>
      </c>
      <c r="W532" s="15" t="n">
        <f aca="false">N532*Ipotesi!$C$59*(1+Ipotesi!$C$66)^(F532-1)/12</f>
        <v>6374.24083333333</v>
      </c>
      <c r="X532" s="15" t="n">
        <f aca="false">O532*Ipotesi!$C$60*(1+Ipotesi!$C$66)^(F532-1)/12</f>
        <v>29594.6895833333</v>
      </c>
      <c r="Y532" s="15" t="n">
        <f aca="false">P532*Ipotesi!$C$61*(1+Ipotesi!$C$66)^(F532-1)/12</f>
        <v>27318.175</v>
      </c>
      <c r="Z532" s="15" t="n">
        <f aca="false">Q532*Ipotesi!$C$62*(1+Ipotesi!$C$66)^(F532-1)/12</f>
        <v>20488.63125</v>
      </c>
      <c r="AA532" s="15" t="n">
        <f aca="false">R532*Ipotesi!$C$63*(1+Ipotesi!$C$66)^(F532-1)/12</f>
        <v>4780.680625</v>
      </c>
      <c r="AB532" s="15" t="n">
        <f aca="false">SUM(V532:AA532)</f>
        <v>96473.0839583333</v>
      </c>
      <c r="AC532" s="15" t="n">
        <f aca="false">(S532*Ipotesi!$C$64+T532*Ipotesi!$C$65+U532*Ipotesi!$C$63)*(1+Ipotesi!$C$66)^(F532-1)/12</f>
        <v>33829.0067083333</v>
      </c>
      <c r="AD532" s="15" t="n">
        <f aca="false">INDEX(Ipotesi!$C$48:$G$48,1,F532)*G532/12</f>
        <v>79.1666666666667</v>
      </c>
      <c r="AE532" s="15" t="n">
        <f aca="false">INDEX(Ipotesi!$C$50:$G$50,1,F532)*G532/12</f>
        <v>8.33333333333333</v>
      </c>
      <c r="AF532" s="15" t="n">
        <f aca="false">(S532*Parametri_v3!$C$7*Parametri_v3!$C$8+Parametri_v3!$C$10)/12</f>
        <v>89.8333333333333</v>
      </c>
      <c r="AG532" s="15" t="n">
        <f aca="false">AD532+AE532*(1+Parametri_v3!$C$9)</f>
        <v>91.6666666666667</v>
      </c>
      <c r="AH532" s="16" t="n">
        <f aca="false">IF(AG532=0,1,MIN(1,AF532/AG532))</f>
        <v>0.98</v>
      </c>
      <c r="AI532" s="15" t="n">
        <f aca="false">AD532*AH532</f>
        <v>77.5833333333333</v>
      </c>
      <c r="AJ532" s="15" t="n">
        <f aca="false">AE532*AH532</f>
        <v>8.16666666666667</v>
      </c>
      <c r="AK532" s="15" t="n">
        <f aca="false">AI532*INDEX(Ipotesi!$C$49:$G$49,1,F532)*H532</f>
        <v>69825</v>
      </c>
      <c r="AL532" s="15" t="n">
        <f aca="false">AJ532*INDEX(Ipotesi!$C$51:$G$51,1,F532)*H532</f>
        <v>20416.6666666667</v>
      </c>
      <c r="AM532" s="15" t="n">
        <f aca="false">AK532+AL532</f>
        <v>90241.6666666667</v>
      </c>
      <c r="AN532" s="15" t="n">
        <f aca="false">INDEX(Ipotesi!$C$30:$G$30,1,F532)*G532/12</f>
        <v>61.6666666666667</v>
      </c>
      <c r="AO532" s="15" t="n">
        <f aca="false">O532*Parametri_v3!$C$7*Parametri_v3!$C$11*(1-Parametri_v3!$C$14)/12</f>
        <v>66.7333333333333</v>
      </c>
      <c r="AP532" s="15" t="n">
        <f aca="false">MIN(AN532,AO532)</f>
        <v>61.6666666666667</v>
      </c>
      <c r="AQ532" s="15" t="n">
        <f aca="false">AP532*INDEX(Ipotesi!$C$31:$G$31,1,F532)*H532</f>
        <v>64750</v>
      </c>
      <c r="AR532" s="15" t="n">
        <f aca="false">INDEX(Ipotesi!$C$75:$G$75,1,F532)*J532/12</f>
        <v>27916.6666666667</v>
      </c>
      <c r="AS532" s="15" t="n">
        <f aca="false">INDEX(Ipotesi!$C$81:$G$81,1,F532)*J532/12</f>
        <v>1666.66666666667</v>
      </c>
      <c r="AT532" s="15" t="n">
        <f aca="false">AR532*Parametri_v3!$C$15+Z532*Parametri_v3!$C$16</f>
        <v>42258.7085416667</v>
      </c>
      <c r="AU532" s="15" t="n">
        <f aca="false">Q532*Parametri_v3!$C$16*Parametri_v3!$C$17</f>
        <v>350</v>
      </c>
      <c r="AV532" s="17" t="n">
        <f aca="false">BD531</f>
        <v>149.166843924263</v>
      </c>
      <c r="AW532" s="17" t="n">
        <f aca="false">AV532*(1-(1-INDEX(Ipotesi!$C$34:$G$34,1,F532))^(1/12))</f>
        <v>1.30395851692587</v>
      </c>
      <c r="AX532" s="15" t="n">
        <f aca="false">ROUND(INDEX(Ipotesi!$C$32:$G$32,1,F532)*Ipotesi!K8,0)</f>
        <v>310</v>
      </c>
      <c r="AY532" s="15" t="n">
        <f aca="false">MAX(0,(AX532-(AV532-AW532))/(13-E532))</f>
        <v>162.137114592663</v>
      </c>
      <c r="AZ532" s="15" t="n">
        <f aca="false">MIN(P532*Parametri_v3!$C$22,Q532*(1-Parametri_v3!$C$16)*Parametri_v3!$C$23)</f>
        <v>225</v>
      </c>
      <c r="BA532" s="15" t="n">
        <f aca="false">IF(OR(INDEX(Ipotesi!$C$35:$G$35,1,F532)&lt;=0,48-Parametri_v3!$C$21&lt;1),0,INDEX($AT$485:$AT$544,MAX(1,48-Parametri_v3!$C$21))/(INDEX(Ipotesi!$C$35:$G$35,1,F532)*Ipotesi!K27))</f>
        <v>7.04311809027778</v>
      </c>
      <c r="BB532" s="15" t="n">
        <f aca="false">IF(48-Parametri_v3!$C$21&lt;1,0,INDEX($AU$485:$AU$544,MAX(1,48-Parametri_v3!$C$21)))*Parametri_v3!$C$18*Parametri_v3!$C$19*Parametri_v3!$C$20</f>
        <v>13.125</v>
      </c>
      <c r="BC532" s="17" t="n">
        <f aca="false">MAX(0,MIN(AY532,BA532,BB532,MAX(0,AZ532-(AV532-AW532))))</f>
        <v>7.04311809027778</v>
      </c>
      <c r="BD532" s="17" t="n">
        <f aca="false">AV532-AW532+BC532</f>
        <v>154.906003497615</v>
      </c>
      <c r="BE532" s="17" t="n">
        <f aca="false">(AV532+BD532)/2</f>
        <v>152.036423710939</v>
      </c>
      <c r="BF532" s="15" t="n">
        <f aca="false">BE532*INDEX(Ipotesi!$C$33:$G$33,1,F532)*H532/12</f>
        <v>76018.2118554694</v>
      </c>
      <c r="BG532" s="15" t="n">
        <f aca="false">BD532*INDEX(Ipotesi!$C$33:$G$33,1,F532)*H532</f>
        <v>929436.020985689</v>
      </c>
      <c r="BH532" s="15" t="n">
        <f aca="false">AM532*INDEX(Ipotesi!$C$37:$G$37,1,F532)</f>
        <v>9024.16666666667</v>
      </c>
      <c r="BI532" s="15" t="n">
        <f aca="false">AQ532+BF532+BH532</f>
        <v>149792.378522136</v>
      </c>
      <c r="BJ532" s="15" t="n">
        <f aca="false">INDEX(Ipotesi!$C$68:$G$68,1,F532)*Ipotesi!$C$69/12</f>
        <v>3000</v>
      </c>
      <c r="BK532" s="15" t="n">
        <f aca="false">INDEX(Ipotesi!$C$68:$G$68,1,F532)*(1-Ipotesi!$C$69)/12</f>
        <v>4500</v>
      </c>
      <c r="BL532" s="15" t="n">
        <f aca="false">(AQ532+BF532)*Ipotesi!$C$67</f>
        <v>4223.04635566408</v>
      </c>
      <c r="BM532" s="15" t="n">
        <f aca="false">AM532*Ipotesi!$C$67</f>
        <v>2707.25</v>
      </c>
      <c r="BN532" s="15" t="n">
        <f aca="false">INDEX(Ipotesi!$C$72:$G$72,1,F532)/12*Ipotesi!K126+BF532*Ipotesi!$C$73</f>
        <v>7331.45694843755</v>
      </c>
      <c r="BO532" s="15" t="n">
        <f aca="false">INDEX(Ipotesi!$C$74:$G$74,1,F532)/12*Ipotesi!K126</f>
        <v>4166.66666666667</v>
      </c>
      <c r="BP532" s="15" t="n">
        <f aca="false">INDEX(Ipotesi!$C$76:$G$76,1,F532)/12</f>
        <v>1500</v>
      </c>
      <c r="BQ532" s="15" t="n">
        <f aca="false">INDEX(Ipotesi!$C$77:$G$77,1,F532)/12*Ipotesi!K126</f>
        <v>2083.33333333333</v>
      </c>
      <c r="BR532" s="15" t="n">
        <f aca="false">INDEX(Ipotesi!$C$78:$G$78,1,F532)/12</f>
        <v>2000</v>
      </c>
      <c r="BS532" s="15" t="n">
        <f aca="false">SUM(M532:R532)*(Ipotesi!$C$85+Ipotesi!$C$86)/12</f>
        <v>6125</v>
      </c>
      <c r="BT532" s="15" t="n">
        <f aca="false">BI532*Ipotesi!$C$87</f>
        <v>4493.77135566408</v>
      </c>
      <c r="BU532" s="15" t="n">
        <f aca="false">INDEX(Ipotesi!$C$55:$G$55,1,F532)*K532/12</f>
        <v>2000</v>
      </c>
      <c r="BV532" s="15" t="n">
        <f aca="false">INDEX(Ipotesi!$C$80:$G$80,1,F532)/12*Ipotesi!K126</f>
        <v>1666.66666666667</v>
      </c>
      <c r="BW532" s="15" t="n">
        <f aca="false">INDEX(Ipotesi!$C$82:$G$82,1,F532)/12</f>
        <v>1250</v>
      </c>
      <c r="BX532" s="15" t="n">
        <f aca="false">INDEX(Ipotesi!$C$83:$G$83,1,F532)/12</f>
        <v>750</v>
      </c>
      <c r="BY532" s="15" t="n">
        <f aca="false">SUM(S532:U532)*(Ipotesi!$C$85+Ipotesi!$C$86)/12</f>
        <v>2479.16666666667</v>
      </c>
      <c r="BZ532" s="15" t="n">
        <f aca="false">AM532*Ipotesi!$C$87</f>
        <v>2707.25</v>
      </c>
      <c r="CA532" s="15" t="n">
        <f aca="false">AB532+BJ532+BL532+BN532+BO532+AR532+BP532+BQ532+BR532+BS532+BT532</f>
        <v>159313.025284766</v>
      </c>
      <c r="CB532" s="15" t="n">
        <f aca="false">AC532+BK532+BM532+BH532+BU532+BV532+AS532+BW532+BX532+BY532+BZ532</f>
        <v>62580.173375</v>
      </c>
      <c r="CC532" s="15" t="n">
        <f aca="false">BI532-CA532</f>
        <v>-9520.64676262965</v>
      </c>
      <c r="CD532" s="15" t="n">
        <f aca="false">AM532-CB532</f>
        <v>27661.4932916667</v>
      </c>
      <c r="CE532" s="15" t="n">
        <f aca="false">INDEX(Ipotesi!$C$79:$G$79,1,F532)/12</f>
        <v>3333.33333333333</v>
      </c>
      <c r="CF532" s="15" t="n">
        <f aca="false">INDEX(Ipotesi!$C$84:$G$84,1,F532)/12</f>
        <v>666.666666666667</v>
      </c>
      <c r="CG532" s="15" t="n">
        <f aca="false">Y532*MAX(0,Parametri_v3!$C$12-IF(P532=0,0,MIN(1,BE532/(P532*Parametri_v3!$C$22))))+W532*Parametri_v3!$C$13+X532*Parametri_v3!$C$14</f>
        <v>29501.9706178174</v>
      </c>
      <c r="CH532" s="15" t="n">
        <f aca="false">AB532*Parametri_v3!$C$32</f>
        <v>4823.65419791667</v>
      </c>
      <c r="CI532" s="15" t="n">
        <f aca="false">AC532*Parametri_v3!$C$32</f>
        <v>1691.45033541667</v>
      </c>
      <c r="CJ532" s="15" t="n">
        <f aca="false">CA532-AB532</f>
        <v>62839.9413264324</v>
      </c>
      <c r="CK532" s="15" t="n">
        <f aca="false">CB532-AC532-BH532</f>
        <v>19727</v>
      </c>
      <c r="CL532" s="15" t="n">
        <f aca="false">BF532*Ipotesi!$C$73+INDEX(Ipotesi!$C$72:$G$72,1,F532)/12*Ipotesi!K126*Parametri_v3!$C$58+Z532*(1-Parametri_v3!$C$16)</f>
        <v>13478.0463234376</v>
      </c>
      <c r="CM532" s="16" t="n">
        <f aca="false">IF(BF532=0,0,1-CL532/BF532)</f>
        <v>0.822699771614428</v>
      </c>
    </row>
    <row r="533" customFormat="false" ht="18" hidden="false" customHeight="true" outlineLevel="0" collapsed="false">
      <c r="A533" s="68" t="n">
        <f aca="false">9</f>
        <v>9</v>
      </c>
      <c r="B533" s="68" t="n">
        <f aca="false">49</f>
        <v>49</v>
      </c>
      <c r="C533" s="18" t="n">
        <f aca="false">EDATE(Parametri_v3!$C$5,49-1)</f>
        <v>47849</v>
      </c>
      <c r="D533" s="68" t="n">
        <f aca="false">YEAR(C533)</f>
        <v>2031</v>
      </c>
      <c r="E533" s="68" t="n">
        <f aca="false">MONTH(C533)</f>
        <v>1</v>
      </c>
      <c r="F533" s="68" t="n">
        <f aca="false">INT((49-1)/12)+1</f>
        <v>5</v>
      </c>
      <c r="G533" s="15" t="n">
        <f aca="false">Ipotesi!K7</f>
        <v>1</v>
      </c>
      <c r="H533" s="15" t="n">
        <f aca="false">Ipotesi!K9</f>
        <v>1</v>
      </c>
      <c r="I533" s="15" t="n">
        <f aca="false">Ipotesi!K10</f>
        <v>1</v>
      </c>
      <c r="J533" s="15" t="n">
        <f aca="false">Ipotesi!K11</f>
        <v>1</v>
      </c>
      <c r="K533" s="15" t="n">
        <f aca="false">Ipotesi!K12</f>
        <v>1</v>
      </c>
      <c r="L533" s="15" t="n">
        <f aca="false">Ipotesi!K13</f>
        <v>90</v>
      </c>
      <c r="M533" s="17" t="n">
        <f aca="false">INDEX(Ipotesi!$C$40:$G$40,1,F533)</f>
        <v>1</v>
      </c>
      <c r="N533" s="17" t="n">
        <f aca="false">INDEX(Ipotesi!$C$41:$G$41,1,F533)</f>
        <v>1</v>
      </c>
      <c r="O533" s="17" t="n">
        <f aca="false">INDEX(Ipotesi!$C$42:$G$42,1,F533)*Ipotesi!K125</f>
        <v>8.5</v>
      </c>
      <c r="P533" s="17" t="n">
        <f aca="false">INDEX(Ipotesi!$C$43:$G$43,1,F533)*I533</f>
        <v>7</v>
      </c>
      <c r="Q533" s="17" t="n">
        <f aca="false">INDEX(Ipotesi!$C$44:$G$44,1,F533)*I533</f>
        <v>6</v>
      </c>
      <c r="R533" s="17" t="n">
        <f aca="false">INDEX(Ipotesi!$C$45:$G$45,1,F533)*I533</f>
        <v>2</v>
      </c>
      <c r="S533" s="17" t="n">
        <f aca="false">INDEX(Ipotesi!$C$52:$G$52,1,F533)*Ipotesi!K125</f>
        <v>9</v>
      </c>
      <c r="T533" s="17" t="n">
        <f aca="false">INDEX(Ipotesi!$C$53:$G$53,1,F533)*I533</f>
        <v>1</v>
      </c>
      <c r="U533" s="17" t="n">
        <f aca="false">INDEX(Ipotesi!$C$54:$G$54,1,F533)*I533</f>
        <v>1</v>
      </c>
      <c r="V533" s="15" t="n">
        <f aca="false">M533*INDEX(Ipotesi!$C$58:$G$58,1,F533)*K533/12</f>
        <v>8333.33333333333</v>
      </c>
      <c r="W533" s="15" t="n">
        <f aca="false">N533*Ipotesi!$C$59*(1+Ipotesi!$C$66)^(F533-1)/12</f>
        <v>6565.46805833334</v>
      </c>
      <c r="X533" s="15" t="n">
        <f aca="false">O533*Ipotesi!$C$60*(1+Ipotesi!$C$66)^(F533-1)/12</f>
        <v>39861.7703541667</v>
      </c>
      <c r="Y533" s="15" t="n">
        <f aca="false">P533*Ipotesi!$C$61*(1+Ipotesi!$C$66)^(F533-1)/12</f>
        <v>32827.3402916667</v>
      </c>
      <c r="Z533" s="15" t="n">
        <f aca="false">Q533*Ipotesi!$C$62*(1+Ipotesi!$C$66)^(F533-1)/12</f>
        <v>25323.948225</v>
      </c>
      <c r="AA533" s="15" t="n">
        <f aca="false">R533*Ipotesi!$C$63*(1+Ipotesi!$C$66)^(F533-1)/12</f>
        <v>6565.46805833334</v>
      </c>
      <c r="AB533" s="15" t="n">
        <f aca="false">SUM(V533:AA533)</f>
        <v>119477.328320833</v>
      </c>
      <c r="AC533" s="15" t="n">
        <f aca="false">(S533*Ipotesi!$C$64+T533*Ipotesi!$C$65+U533*Ipotesi!$C$63)*(1+Ipotesi!$C$66)^(F533-1)/12</f>
        <v>44363.8055941667</v>
      </c>
      <c r="AD533" s="15" t="n">
        <f aca="false">INDEX(Ipotesi!$C$48:$G$48,1,F533)*G533/12</f>
        <v>95.8333333333333</v>
      </c>
      <c r="AE533" s="15" t="n">
        <f aca="false">INDEX(Ipotesi!$C$50:$G$50,1,F533)*G533/12</f>
        <v>9.58333333333333</v>
      </c>
      <c r="AF533" s="15" t="n">
        <f aca="false">(S533*Parametri_v3!$C$7*Parametri_v3!$C$8+Parametri_v3!$C$10)/12</f>
        <v>115.5</v>
      </c>
      <c r="AG533" s="15" t="n">
        <f aca="false">AD533+AE533*(1+Parametri_v3!$C$9)</f>
        <v>110.208333333333</v>
      </c>
      <c r="AH533" s="16" t="n">
        <f aca="false">IF(AG533=0,1,MIN(1,AF533/AG533))</f>
        <v>1</v>
      </c>
      <c r="AI533" s="15" t="n">
        <f aca="false">AD533*AH533</f>
        <v>95.8333333333333</v>
      </c>
      <c r="AJ533" s="15" t="n">
        <f aca="false">AE533*AH533</f>
        <v>9.58333333333333</v>
      </c>
      <c r="AK533" s="15" t="n">
        <f aca="false">AI533*INDEX(Ipotesi!$C$49:$G$49,1,F533)*H533</f>
        <v>91041.6666666667</v>
      </c>
      <c r="AL533" s="15" t="n">
        <f aca="false">AJ533*INDEX(Ipotesi!$C$51:$G$51,1,F533)*H533</f>
        <v>24916.6666666667</v>
      </c>
      <c r="AM533" s="15" t="n">
        <f aca="false">AK533+AL533</f>
        <v>115958.333333333</v>
      </c>
      <c r="AN533" s="15" t="n">
        <f aca="false">INDEX(Ipotesi!$C$30:$G$30,1,F533)*G533/12</f>
        <v>81.6666666666667</v>
      </c>
      <c r="AO533" s="15" t="n">
        <f aca="false">O533*Parametri_v3!$C$7*Parametri_v3!$C$11*(1-Parametri_v3!$C$14)/12</f>
        <v>87.2666666666667</v>
      </c>
      <c r="AP533" s="15" t="n">
        <f aca="false">MIN(AN533,AO533)</f>
        <v>81.6666666666667</v>
      </c>
      <c r="AQ533" s="15" t="n">
        <f aca="false">AP533*INDEX(Ipotesi!$C$31:$G$31,1,F533)*H533</f>
        <v>89833.3333333333</v>
      </c>
      <c r="AR533" s="15" t="n">
        <f aca="false">INDEX(Ipotesi!$C$75:$G$75,1,F533)*J533/12</f>
        <v>35833.3333333333</v>
      </c>
      <c r="AS533" s="15" t="n">
        <f aca="false">INDEX(Ipotesi!$C$81:$G$81,1,F533)*J533/12</f>
        <v>2083.33333333333</v>
      </c>
      <c r="AT533" s="15" t="n">
        <f aca="false">AR533*Parametri_v3!$C$15+Z533*Parametri_v3!$C$16</f>
        <v>53560.0970908333</v>
      </c>
      <c r="AU533" s="15" t="n">
        <f aca="false">Q533*Parametri_v3!$C$16*Parametri_v3!$C$17</f>
        <v>420</v>
      </c>
      <c r="AV533" s="17" t="n">
        <f aca="false">BD532</f>
        <v>154.906003497615</v>
      </c>
      <c r="AW533" s="17" t="n">
        <f aca="false">AV533*(1-(1-INDEX(Ipotesi!$C$34:$G$34,1,F533))^(1/12))</f>
        <v>1.35412801712304</v>
      </c>
      <c r="AX533" s="15" t="n">
        <f aca="false">ROUND(INDEX(Ipotesi!$C$32:$G$32,1,F533)*Ipotesi!K8,0)</f>
        <v>560</v>
      </c>
      <c r="AY533" s="15" t="n">
        <f aca="false">MAX(0,(AX533-(AV533-AW533))/(13-E533))</f>
        <v>33.8706770432924</v>
      </c>
      <c r="AZ533" s="15" t="n">
        <f aca="false">MIN(P533*Parametri_v3!$C$22,Q533*(1-Parametri_v3!$C$16)*Parametri_v3!$C$23)</f>
        <v>270</v>
      </c>
      <c r="BA533" s="15" t="n">
        <f aca="false">IF(OR(INDEX(Ipotesi!$C$35:$G$35,1,F533)&lt;=0,49-Parametri_v3!$C$21&lt;1),0,INDEX($AT$485:$AT$544,MAX(1,49-Parametri_v3!$C$21))/(INDEX(Ipotesi!$C$35:$G$35,1,F533)*Ipotesi!K27))</f>
        <v>6.50133977564103</v>
      </c>
      <c r="BB533" s="15" t="n">
        <f aca="false">IF(49-Parametri_v3!$C$21&lt;1,0,INDEX($AU$485:$AU$544,MAX(1,49-Parametri_v3!$C$21)))*Parametri_v3!$C$18*Parametri_v3!$C$19*Parametri_v3!$C$20</f>
        <v>13.125</v>
      </c>
      <c r="BC533" s="17" t="n">
        <f aca="false">MAX(0,MIN(AY533,BA533,BB533,MAX(0,AZ533-(AV533-AW533))))</f>
        <v>6.50133977564103</v>
      </c>
      <c r="BD533" s="17" t="n">
        <f aca="false">AV533-AW533+BC533</f>
        <v>160.053215256133</v>
      </c>
      <c r="BE533" s="17" t="n">
        <f aca="false">(AV533+BD533)/2</f>
        <v>157.479609376874</v>
      </c>
      <c r="BF533" s="15" t="n">
        <f aca="false">BE533*INDEX(Ipotesi!$C$33:$G$33,1,F533)*H533/12</f>
        <v>81364.4648447181</v>
      </c>
      <c r="BG533" s="15" t="n">
        <f aca="false">BD533*INDEX(Ipotesi!$C$33:$G$33,1,F533)*H533</f>
        <v>992329.934588023</v>
      </c>
      <c r="BH533" s="15" t="n">
        <f aca="false">AM533*INDEX(Ipotesi!$C$37:$G$37,1,F533)</f>
        <v>11595.8333333333</v>
      </c>
      <c r="BI533" s="15" t="n">
        <f aca="false">AQ533+BF533+BH533</f>
        <v>182793.631511385</v>
      </c>
      <c r="BJ533" s="15" t="n">
        <f aca="false">INDEX(Ipotesi!$C$68:$G$68,1,F533)*Ipotesi!$C$69/12</f>
        <v>3333.33333333333</v>
      </c>
      <c r="BK533" s="15" t="n">
        <f aca="false">INDEX(Ipotesi!$C$68:$G$68,1,F533)*(1-Ipotesi!$C$69)/12</f>
        <v>5000</v>
      </c>
      <c r="BL533" s="15" t="n">
        <f aca="false">(AQ533+BF533)*Ipotesi!$C$67</f>
        <v>5135.93394534154</v>
      </c>
      <c r="BM533" s="15" t="n">
        <f aca="false">AM533*Ipotesi!$C$67</f>
        <v>3478.75</v>
      </c>
      <c r="BN533" s="15" t="n">
        <f aca="false">INDEX(Ipotesi!$C$72:$G$72,1,F533)/12*Ipotesi!K126+BF533*Ipotesi!$C$73</f>
        <v>7759.15718757745</v>
      </c>
      <c r="BO533" s="15" t="n">
        <f aca="false">INDEX(Ipotesi!$C$74:$G$74,1,F533)/12*Ipotesi!K126</f>
        <v>5416.66666666667</v>
      </c>
      <c r="BP533" s="15" t="n">
        <f aca="false">INDEX(Ipotesi!$C$76:$G$76,1,F533)/12</f>
        <v>1916.66666666667</v>
      </c>
      <c r="BQ533" s="15" t="n">
        <f aca="false">INDEX(Ipotesi!$C$77:$G$77,1,F533)/12*Ipotesi!K126</f>
        <v>2500</v>
      </c>
      <c r="BR533" s="15" t="n">
        <f aca="false">INDEX(Ipotesi!$C$78:$G$78,1,F533)/12</f>
        <v>2333.33333333333</v>
      </c>
      <c r="BS533" s="15" t="n">
        <f aca="false">SUM(M533:R533)*(Ipotesi!$C$85+Ipotesi!$C$86)/12</f>
        <v>7437.5</v>
      </c>
      <c r="BT533" s="15" t="n">
        <f aca="false">BI533*Ipotesi!$C$87</f>
        <v>5483.80894534154</v>
      </c>
      <c r="BU533" s="15" t="n">
        <f aca="false">INDEX(Ipotesi!$C$55:$G$55,1,F533)*K533/12</f>
        <v>2000</v>
      </c>
      <c r="BV533" s="15" t="n">
        <f aca="false">INDEX(Ipotesi!$C$80:$G$80,1,F533)/12*Ipotesi!K126</f>
        <v>2083.33333333333</v>
      </c>
      <c r="BW533" s="15" t="n">
        <f aca="false">INDEX(Ipotesi!$C$82:$G$82,1,F533)/12</f>
        <v>1500</v>
      </c>
      <c r="BX533" s="15" t="n">
        <f aca="false">INDEX(Ipotesi!$C$83:$G$83,1,F533)/12</f>
        <v>833.333333333333</v>
      </c>
      <c r="BY533" s="15" t="n">
        <f aca="false">SUM(S533:U533)*(Ipotesi!$C$85+Ipotesi!$C$86)/12</f>
        <v>3208.33333333333</v>
      </c>
      <c r="BZ533" s="15" t="n">
        <f aca="false">AM533*Ipotesi!$C$87</f>
        <v>3478.75</v>
      </c>
      <c r="CA533" s="15" t="n">
        <f aca="false">AB533+BJ533+BL533+BN533+BO533+AR533+BP533+BQ533+BR533+BS533+BT533</f>
        <v>196627.061732427</v>
      </c>
      <c r="CB533" s="15" t="n">
        <f aca="false">AC533+BK533+BM533+BH533+BU533+BV533+AS533+BW533+BX533+BY533+BZ533</f>
        <v>79625.4722608333</v>
      </c>
      <c r="CC533" s="15" t="n">
        <f aca="false">BI533-CA533</f>
        <v>-13833.4302210424</v>
      </c>
      <c r="CD533" s="15" t="n">
        <f aca="false">AM533-CB533</f>
        <v>36332.8610725</v>
      </c>
      <c r="CE533" s="15" t="n">
        <f aca="false">INDEX(Ipotesi!$C$79:$G$79,1,F533)/12</f>
        <v>4166.66666666667</v>
      </c>
      <c r="CF533" s="15" t="n">
        <f aca="false">INDEX(Ipotesi!$C$84:$G$84,1,F533)/12</f>
        <v>666.666666666667</v>
      </c>
      <c r="CG533" s="15" t="n">
        <f aca="false">Y533*MAX(0,Parametri_v3!$C$12-IF(P533=0,0,MIN(1,BE533/(P533*Parametri_v3!$C$22))))+W533*Parametri_v3!$C$13+X533*Parametri_v3!$C$14</f>
        <v>36697.2330687904</v>
      </c>
      <c r="CH533" s="15" t="n">
        <f aca="false">AB533*Parametri_v3!$C$32</f>
        <v>5973.86641604167</v>
      </c>
      <c r="CI533" s="15" t="n">
        <f aca="false">AC533*Parametri_v3!$C$32</f>
        <v>2218.19027970833</v>
      </c>
      <c r="CJ533" s="15" t="n">
        <f aca="false">CA533-AB533</f>
        <v>77149.7334115939</v>
      </c>
      <c r="CK533" s="15" t="n">
        <f aca="false">CB533-AC533-BH533</f>
        <v>23665.8333333333</v>
      </c>
      <c r="CL533" s="15" t="n">
        <f aca="false">BF533*Ipotesi!$C$73+INDEX(Ipotesi!$C$72:$G$72,1,F533)/12*Ipotesi!K126*Parametri_v3!$C$58+Z533*(1-Parametri_v3!$C$16)</f>
        <v>15356.3416550775</v>
      </c>
      <c r="CM533" s="16" t="n">
        <f aca="false">IF(BF533=0,0,1-CL533/BF533)</f>
        <v>0.811264761780409</v>
      </c>
    </row>
    <row r="534" customFormat="false" ht="18" hidden="false" customHeight="true" outlineLevel="0" collapsed="false">
      <c r="A534" s="68" t="n">
        <f aca="false">9</f>
        <v>9</v>
      </c>
      <c r="B534" s="68" t="n">
        <f aca="false">50</f>
        <v>50</v>
      </c>
      <c r="C534" s="18" t="n">
        <f aca="false">EDATE(Parametri_v3!$C$5,50-1)</f>
        <v>47880</v>
      </c>
      <c r="D534" s="68" t="n">
        <f aca="false">YEAR(C534)</f>
        <v>2031</v>
      </c>
      <c r="E534" s="68" t="n">
        <f aca="false">MONTH(C534)</f>
        <v>2</v>
      </c>
      <c r="F534" s="68" t="n">
        <f aca="false">INT((50-1)/12)+1</f>
        <v>5</v>
      </c>
      <c r="G534" s="15" t="n">
        <f aca="false">Ipotesi!K7</f>
        <v>1</v>
      </c>
      <c r="H534" s="15" t="n">
        <f aca="false">Ipotesi!K9</f>
        <v>1</v>
      </c>
      <c r="I534" s="15" t="n">
        <f aca="false">Ipotesi!K10</f>
        <v>1</v>
      </c>
      <c r="J534" s="15" t="n">
        <f aca="false">Ipotesi!K11</f>
        <v>1</v>
      </c>
      <c r="K534" s="15" t="n">
        <f aca="false">Ipotesi!K12</f>
        <v>1</v>
      </c>
      <c r="L534" s="15" t="n">
        <f aca="false">Ipotesi!K13</f>
        <v>90</v>
      </c>
      <c r="M534" s="17" t="n">
        <f aca="false">INDEX(Ipotesi!$C$40:$G$40,1,F534)</f>
        <v>1</v>
      </c>
      <c r="N534" s="17" t="n">
        <f aca="false">INDEX(Ipotesi!$C$41:$G$41,1,F534)</f>
        <v>1</v>
      </c>
      <c r="O534" s="17" t="n">
        <f aca="false">INDEX(Ipotesi!$C$42:$G$42,1,F534)*Ipotesi!K125</f>
        <v>8.5</v>
      </c>
      <c r="P534" s="17" t="n">
        <f aca="false">INDEX(Ipotesi!$C$43:$G$43,1,F534)*I534</f>
        <v>7</v>
      </c>
      <c r="Q534" s="17" t="n">
        <f aca="false">INDEX(Ipotesi!$C$44:$G$44,1,F534)*I534</f>
        <v>6</v>
      </c>
      <c r="R534" s="17" t="n">
        <f aca="false">INDEX(Ipotesi!$C$45:$G$45,1,F534)*I534</f>
        <v>2</v>
      </c>
      <c r="S534" s="17" t="n">
        <f aca="false">INDEX(Ipotesi!$C$52:$G$52,1,F534)*Ipotesi!K125</f>
        <v>9</v>
      </c>
      <c r="T534" s="17" t="n">
        <f aca="false">INDEX(Ipotesi!$C$53:$G$53,1,F534)*I534</f>
        <v>1</v>
      </c>
      <c r="U534" s="17" t="n">
        <f aca="false">INDEX(Ipotesi!$C$54:$G$54,1,F534)*I534</f>
        <v>1</v>
      </c>
      <c r="V534" s="15" t="n">
        <f aca="false">M534*INDEX(Ipotesi!$C$58:$G$58,1,F534)*K534/12</f>
        <v>8333.33333333333</v>
      </c>
      <c r="W534" s="15" t="n">
        <f aca="false">N534*Ipotesi!$C$59*(1+Ipotesi!$C$66)^(F534-1)/12</f>
        <v>6565.46805833334</v>
      </c>
      <c r="X534" s="15" t="n">
        <f aca="false">O534*Ipotesi!$C$60*(1+Ipotesi!$C$66)^(F534-1)/12</f>
        <v>39861.7703541667</v>
      </c>
      <c r="Y534" s="15" t="n">
        <f aca="false">P534*Ipotesi!$C$61*(1+Ipotesi!$C$66)^(F534-1)/12</f>
        <v>32827.3402916667</v>
      </c>
      <c r="Z534" s="15" t="n">
        <f aca="false">Q534*Ipotesi!$C$62*(1+Ipotesi!$C$66)^(F534-1)/12</f>
        <v>25323.948225</v>
      </c>
      <c r="AA534" s="15" t="n">
        <f aca="false">R534*Ipotesi!$C$63*(1+Ipotesi!$C$66)^(F534-1)/12</f>
        <v>6565.46805833334</v>
      </c>
      <c r="AB534" s="15" t="n">
        <f aca="false">SUM(V534:AA534)</f>
        <v>119477.328320833</v>
      </c>
      <c r="AC534" s="15" t="n">
        <f aca="false">(S534*Ipotesi!$C$64+T534*Ipotesi!$C$65+U534*Ipotesi!$C$63)*(1+Ipotesi!$C$66)^(F534-1)/12</f>
        <v>44363.8055941667</v>
      </c>
      <c r="AD534" s="15" t="n">
        <f aca="false">INDEX(Ipotesi!$C$48:$G$48,1,F534)*G534/12</f>
        <v>95.8333333333333</v>
      </c>
      <c r="AE534" s="15" t="n">
        <f aca="false">INDEX(Ipotesi!$C$50:$G$50,1,F534)*G534/12</f>
        <v>9.58333333333333</v>
      </c>
      <c r="AF534" s="15" t="n">
        <f aca="false">(S534*Parametri_v3!$C$7*Parametri_v3!$C$8+Parametri_v3!$C$10)/12</f>
        <v>115.5</v>
      </c>
      <c r="AG534" s="15" t="n">
        <f aca="false">AD534+AE534*(1+Parametri_v3!$C$9)</f>
        <v>110.208333333333</v>
      </c>
      <c r="AH534" s="16" t="n">
        <f aca="false">IF(AG534=0,1,MIN(1,AF534/AG534))</f>
        <v>1</v>
      </c>
      <c r="AI534" s="15" t="n">
        <f aca="false">AD534*AH534</f>
        <v>95.8333333333333</v>
      </c>
      <c r="AJ534" s="15" t="n">
        <f aca="false">AE534*AH534</f>
        <v>9.58333333333333</v>
      </c>
      <c r="AK534" s="15" t="n">
        <f aca="false">AI534*INDEX(Ipotesi!$C$49:$G$49,1,F534)*H534</f>
        <v>91041.6666666667</v>
      </c>
      <c r="AL534" s="15" t="n">
        <f aca="false">AJ534*INDEX(Ipotesi!$C$51:$G$51,1,F534)*H534</f>
        <v>24916.6666666667</v>
      </c>
      <c r="AM534" s="15" t="n">
        <f aca="false">AK534+AL534</f>
        <v>115958.333333333</v>
      </c>
      <c r="AN534" s="15" t="n">
        <f aca="false">INDEX(Ipotesi!$C$30:$G$30,1,F534)*G534/12</f>
        <v>81.6666666666667</v>
      </c>
      <c r="AO534" s="15" t="n">
        <f aca="false">O534*Parametri_v3!$C$7*Parametri_v3!$C$11*(1-Parametri_v3!$C$14)/12</f>
        <v>87.2666666666667</v>
      </c>
      <c r="AP534" s="15" t="n">
        <f aca="false">MIN(AN534,AO534)</f>
        <v>81.6666666666667</v>
      </c>
      <c r="AQ534" s="15" t="n">
        <f aca="false">AP534*INDEX(Ipotesi!$C$31:$G$31,1,F534)*H534</f>
        <v>89833.3333333333</v>
      </c>
      <c r="AR534" s="15" t="n">
        <f aca="false">INDEX(Ipotesi!$C$75:$G$75,1,F534)*J534/12</f>
        <v>35833.3333333333</v>
      </c>
      <c r="AS534" s="15" t="n">
        <f aca="false">INDEX(Ipotesi!$C$81:$G$81,1,F534)*J534/12</f>
        <v>2083.33333333333</v>
      </c>
      <c r="AT534" s="15" t="n">
        <f aca="false">AR534*Parametri_v3!$C$15+Z534*Parametri_v3!$C$16</f>
        <v>53560.0970908333</v>
      </c>
      <c r="AU534" s="15" t="n">
        <f aca="false">Q534*Parametri_v3!$C$16*Parametri_v3!$C$17</f>
        <v>420</v>
      </c>
      <c r="AV534" s="17" t="n">
        <f aca="false">BD533</f>
        <v>160.053215256133</v>
      </c>
      <c r="AW534" s="17" t="n">
        <f aca="false">AV534*(1-(1-INDEX(Ipotesi!$C$34:$G$34,1,F534))^(1/12))</f>
        <v>1.39912293981744</v>
      </c>
      <c r="AX534" s="15" t="n">
        <f aca="false">ROUND(INDEX(Ipotesi!$C$32:$G$32,1,F534)*Ipotesi!K8,0)</f>
        <v>560</v>
      </c>
      <c r="AY534" s="15" t="n">
        <f aca="false">MAX(0,(AX534-(AV534-AW534))/(13-E534))</f>
        <v>36.4859916076077</v>
      </c>
      <c r="AZ534" s="15" t="n">
        <f aca="false">MIN(P534*Parametri_v3!$C$22,Q534*(1-Parametri_v3!$C$16)*Parametri_v3!$C$23)</f>
        <v>270</v>
      </c>
      <c r="BA534" s="15" t="n">
        <f aca="false">IF(OR(INDEX(Ipotesi!$C$35:$G$35,1,F534)&lt;=0,50-Parametri_v3!$C$21&lt;1),0,INDEX($AT$485:$AT$544,MAX(1,50-Parametri_v3!$C$21))/(INDEX(Ipotesi!$C$35:$G$35,1,F534)*Ipotesi!K27))</f>
        <v>6.50133977564103</v>
      </c>
      <c r="BB534" s="15" t="n">
        <f aca="false">IF(50-Parametri_v3!$C$21&lt;1,0,INDEX($AU$485:$AU$544,MAX(1,50-Parametri_v3!$C$21)))*Parametri_v3!$C$18*Parametri_v3!$C$19*Parametri_v3!$C$20</f>
        <v>13.125</v>
      </c>
      <c r="BC534" s="17" t="n">
        <f aca="false">MAX(0,MIN(AY534,BA534,BB534,MAX(0,AZ534-(AV534-AW534))))</f>
        <v>6.50133977564103</v>
      </c>
      <c r="BD534" s="17" t="n">
        <f aca="false">AV534-AW534+BC534</f>
        <v>165.155432091956</v>
      </c>
      <c r="BE534" s="17" t="n">
        <f aca="false">(AV534+BD534)/2</f>
        <v>162.604323674045</v>
      </c>
      <c r="BF534" s="15" t="n">
        <f aca="false">BE534*INDEX(Ipotesi!$C$33:$G$33,1,F534)*H534/12</f>
        <v>84012.2338982563</v>
      </c>
      <c r="BG534" s="15" t="n">
        <f aca="false">BD534*INDEX(Ipotesi!$C$33:$G$33,1,F534)*H534</f>
        <v>1023963.67897013</v>
      </c>
      <c r="BH534" s="15" t="n">
        <f aca="false">AM534*INDEX(Ipotesi!$C$37:$G$37,1,F534)</f>
        <v>11595.8333333333</v>
      </c>
      <c r="BI534" s="15" t="n">
        <f aca="false">AQ534+BF534+BH534</f>
        <v>185441.400564923</v>
      </c>
      <c r="BJ534" s="15" t="n">
        <f aca="false">INDEX(Ipotesi!$C$68:$G$68,1,F534)*Ipotesi!$C$69/12</f>
        <v>3333.33333333333</v>
      </c>
      <c r="BK534" s="15" t="n">
        <f aca="false">INDEX(Ipotesi!$C$68:$G$68,1,F534)*(1-Ipotesi!$C$69)/12</f>
        <v>5000</v>
      </c>
      <c r="BL534" s="15" t="n">
        <f aca="false">(AQ534+BF534)*Ipotesi!$C$67</f>
        <v>5215.36701694769</v>
      </c>
      <c r="BM534" s="15" t="n">
        <f aca="false">AM534*Ipotesi!$C$67</f>
        <v>3478.75</v>
      </c>
      <c r="BN534" s="15" t="n">
        <f aca="false">INDEX(Ipotesi!$C$72:$G$72,1,F534)/12*Ipotesi!K126+BF534*Ipotesi!$C$73</f>
        <v>7970.97871186051</v>
      </c>
      <c r="BO534" s="15" t="n">
        <f aca="false">INDEX(Ipotesi!$C$74:$G$74,1,F534)/12*Ipotesi!K126</f>
        <v>5416.66666666667</v>
      </c>
      <c r="BP534" s="15" t="n">
        <f aca="false">INDEX(Ipotesi!$C$76:$G$76,1,F534)/12</f>
        <v>1916.66666666667</v>
      </c>
      <c r="BQ534" s="15" t="n">
        <f aca="false">INDEX(Ipotesi!$C$77:$G$77,1,F534)/12*Ipotesi!K126</f>
        <v>2500</v>
      </c>
      <c r="BR534" s="15" t="n">
        <f aca="false">INDEX(Ipotesi!$C$78:$G$78,1,F534)/12</f>
        <v>2333.33333333333</v>
      </c>
      <c r="BS534" s="15" t="n">
        <f aca="false">SUM(M534:R534)*(Ipotesi!$C$85+Ipotesi!$C$86)/12</f>
        <v>7437.5</v>
      </c>
      <c r="BT534" s="15" t="n">
        <f aca="false">BI534*Ipotesi!$C$87</f>
        <v>5563.24201694769</v>
      </c>
      <c r="BU534" s="15" t="n">
        <f aca="false">INDEX(Ipotesi!$C$55:$G$55,1,F534)*K534/12</f>
        <v>2000</v>
      </c>
      <c r="BV534" s="15" t="n">
        <f aca="false">INDEX(Ipotesi!$C$80:$G$80,1,F534)/12*Ipotesi!K126</f>
        <v>2083.33333333333</v>
      </c>
      <c r="BW534" s="15" t="n">
        <f aca="false">INDEX(Ipotesi!$C$82:$G$82,1,F534)/12</f>
        <v>1500</v>
      </c>
      <c r="BX534" s="15" t="n">
        <f aca="false">INDEX(Ipotesi!$C$83:$G$83,1,F534)/12</f>
        <v>833.333333333333</v>
      </c>
      <c r="BY534" s="15" t="n">
        <f aca="false">SUM(S534:U534)*(Ipotesi!$C$85+Ipotesi!$C$86)/12</f>
        <v>3208.33333333333</v>
      </c>
      <c r="BZ534" s="15" t="n">
        <f aca="false">AM534*Ipotesi!$C$87</f>
        <v>3478.75</v>
      </c>
      <c r="CA534" s="15" t="n">
        <f aca="false">AB534+BJ534+BL534+BN534+BO534+AR534+BP534+BQ534+BR534+BS534+BT534</f>
        <v>196997.749399923</v>
      </c>
      <c r="CB534" s="15" t="n">
        <f aca="false">AC534+BK534+BM534+BH534+BU534+BV534+AS534+BW534+BX534+BY534+BZ534</f>
        <v>79625.4722608333</v>
      </c>
      <c r="CC534" s="15" t="n">
        <f aca="false">BI534-CA534</f>
        <v>-11556.3488349995</v>
      </c>
      <c r="CD534" s="15" t="n">
        <f aca="false">AM534-CB534</f>
        <v>36332.8610725</v>
      </c>
      <c r="CE534" s="15" t="n">
        <f aca="false">INDEX(Ipotesi!$C$79:$G$79,1,F534)/12</f>
        <v>4166.66666666667</v>
      </c>
      <c r="CF534" s="15" t="n">
        <f aca="false">INDEX(Ipotesi!$C$84:$G$84,1,F534)/12</f>
        <v>666.666666666667</v>
      </c>
      <c r="CG534" s="15" t="n">
        <f aca="false">Y534*MAX(0,Parametri_v3!$C$12-IF(P534=0,0,MIN(1,BE534/(P534*Parametri_v3!$C$22))))+W534*Parametri_v3!$C$13+X534*Parametri_v3!$C$14</f>
        <v>36456.9034400321</v>
      </c>
      <c r="CH534" s="15" t="n">
        <f aca="false">AB534*Parametri_v3!$C$32</f>
        <v>5973.86641604167</v>
      </c>
      <c r="CI534" s="15" t="n">
        <f aca="false">AC534*Parametri_v3!$C$32</f>
        <v>2218.19027970833</v>
      </c>
      <c r="CJ534" s="15" t="n">
        <f aca="false">CA534-AB534</f>
        <v>77520.4210790892</v>
      </c>
      <c r="CK534" s="15" t="n">
        <f aca="false">CB534-AC534-BH534</f>
        <v>23665.8333333333</v>
      </c>
      <c r="CL534" s="15" t="n">
        <f aca="false">BF534*Ipotesi!$C$73+INDEX(Ipotesi!$C$72:$G$72,1,F534)/12*Ipotesi!K126*Parametri_v3!$C$58+Z534*(1-Parametri_v3!$C$16)</f>
        <v>15568.1631793605</v>
      </c>
      <c r="CM534" s="16" t="n">
        <f aca="false">IF(BF534=0,0,1-CL534/BF534)</f>
        <v>0.814691712659201</v>
      </c>
    </row>
    <row r="535" customFormat="false" ht="18" hidden="false" customHeight="true" outlineLevel="0" collapsed="false">
      <c r="A535" s="68" t="n">
        <f aca="false">9</f>
        <v>9</v>
      </c>
      <c r="B535" s="68" t="n">
        <f aca="false">51</f>
        <v>51</v>
      </c>
      <c r="C535" s="18" t="n">
        <f aca="false">EDATE(Parametri_v3!$C$5,51-1)</f>
        <v>47908</v>
      </c>
      <c r="D535" s="68" t="n">
        <f aca="false">YEAR(C535)</f>
        <v>2031</v>
      </c>
      <c r="E535" s="68" t="n">
        <f aca="false">MONTH(C535)</f>
        <v>3</v>
      </c>
      <c r="F535" s="68" t="n">
        <f aca="false">INT((51-1)/12)+1</f>
        <v>5</v>
      </c>
      <c r="G535" s="15" t="n">
        <f aca="false">Ipotesi!K7</f>
        <v>1</v>
      </c>
      <c r="H535" s="15" t="n">
        <f aca="false">Ipotesi!K9</f>
        <v>1</v>
      </c>
      <c r="I535" s="15" t="n">
        <f aca="false">Ipotesi!K10</f>
        <v>1</v>
      </c>
      <c r="J535" s="15" t="n">
        <f aca="false">Ipotesi!K11</f>
        <v>1</v>
      </c>
      <c r="K535" s="15" t="n">
        <f aca="false">Ipotesi!K12</f>
        <v>1</v>
      </c>
      <c r="L535" s="15" t="n">
        <f aca="false">Ipotesi!K13</f>
        <v>90</v>
      </c>
      <c r="M535" s="17" t="n">
        <f aca="false">INDEX(Ipotesi!$C$40:$G$40,1,F535)</f>
        <v>1</v>
      </c>
      <c r="N535" s="17" t="n">
        <f aca="false">INDEX(Ipotesi!$C$41:$G$41,1,F535)</f>
        <v>1</v>
      </c>
      <c r="O535" s="17" t="n">
        <f aca="false">INDEX(Ipotesi!$C$42:$G$42,1,F535)*Ipotesi!K125</f>
        <v>8.5</v>
      </c>
      <c r="P535" s="17" t="n">
        <f aca="false">INDEX(Ipotesi!$C$43:$G$43,1,F535)*I535</f>
        <v>7</v>
      </c>
      <c r="Q535" s="17" t="n">
        <f aca="false">INDEX(Ipotesi!$C$44:$G$44,1,F535)*I535</f>
        <v>6</v>
      </c>
      <c r="R535" s="17" t="n">
        <f aca="false">INDEX(Ipotesi!$C$45:$G$45,1,F535)*I535</f>
        <v>2</v>
      </c>
      <c r="S535" s="17" t="n">
        <f aca="false">INDEX(Ipotesi!$C$52:$G$52,1,F535)*Ipotesi!K125</f>
        <v>9</v>
      </c>
      <c r="T535" s="17" t="n">
        <f aca="false">INDEX(Ipotesi!$C$53:$G$53,1,F535)*I535</f>
        <v>1</v>
      </c>
      <c r="U535" s="17" t="n">
        <f aca="false">INDEX(Ipotesi!$C$54:$G$54,1,F535)*I535</f>
        <v>1</v>
      </c>
      <c r="V535" s="15" t="n">
        <f aca="false">M535*INDEX(Ipotesi!$C$58:$G$58,1,F535)*K535/12</f>
        <v>8333.33333333333</v>
      </c>
      <c r="W535" s="15" t="n">
        <f aca="false">N535*Ipotesi!$C$59*(1+Ipotesi!$C$66)^(F535-1)/12</f>
        <v>6565.46805833334</v>
      </c>
      <c r="X535" s="15" t="n">
        <f aca="false">O535*Ipotesi!$C$60*(1+Ipotesi!$C$66)^(F535-1)/12</f>
        <v>39861.7703541667</v>
      </c>
      <c r="Y535" s="15" t="n">
        <f aca="false">P535*Ipotesi!$C$61*(1+Ipotesi!$C$66)^(F535-1)/12</f>
        <v>32827.3402916667</v>
      </c>
      <c r="Z535" s="15" t="n">
        <f aca="false">Q535*Ipotesi!$C$62*(1+Ipotesi!$C$66)^(F535-1)/12</f>
        <v>25323.948225</v>
      </c>
      <c r="AA535" s="15" t="n">
        <f aca="false">R535*Ipotesi!$C$63*(1+Ipotesi!$C$66)^(F535-1)/12</f>
        <v>6565.46805833334</v>
      </c>
      <c r="AB535" s="15" t="n">
        <f aca="false">SUM(V535:AA535)</f>
        <v>119477.328320833</v>
      </c>
      <c r="AC535" s="15" t="n">
        <f aca="false">(S535*Ipotesi!$C$64+T535*Ipotesi!$C$65+U535*Ipotesi!$C$63)*(1+Ipotesi!$C$66)^(F535-1)/12</f>
        <v>44363.8055941667</v>
      </c>
      <c r="AD535" s="15" t="n">
        <f aca="false">INDEX(Ipotesi!$C$48:$G$48,1,F535)*G535/12</f>
        <v>95.8333333333333</v>
      </c>
      <c r="AE535" s="15" t="n">
        <f aca="false">INDEX(Ipotesi!$C$50:$G$50,1,F535)*G535/12</f>
        <v>9.58333333333333</v>
      </c>
      <c r="AF535" s="15" t="n">
        <f aca="false">(S535*Parametri_v3!$C$7*Parametri_v3!$C$8+Parametri_v3!$C$10)/12</f>
        <v>115.5</v>
      </c>
      <c r="AG535" s="15" t="n">
        <f aca="false">AD535+AE535*(1+Parametri_v3!$C$9)</f>
        <v>110.208333333333</v>
      </c>
      <c r="AH535" s="16" t="n">
        <f aca="false">IF(AG535=0,1,MIN(1,AF535/AG535))</f>
        <v>1</v>
      </c>
      <c r="AI535" s="15" t="n">
        <f aca="false">AD535*AH535</f>
        <v>95.8333333333333</v>
      </c>
      <c r="AJ535" s="15" t="n">
        <f aca="false">AE535*AH535</f>
        <v>9.58333333333333</v>
      </c>
      <c r="AK535" s="15" t="n">
        <f aca="false">AI535*INDEX(Ipotesi!$C$49:$G$49,1,F535)*H535</f>
        <v>91041.6666666667</v>
      </c>
      <c r="AL535" s="15" t="n">
        <f aca="false">AJ535*INDEX(Ipotesi!$C$51:$G$51,1,F535)*H535</f>
        <v>24916.6666666667</v>
      </c>
      <c r="AM535" s="15" t="n">
        <f aca="false">AK535+AL535</f>
        <v>115958.333333333</v>
      </c>
      <c r="AN535" s="15" t="n">
        <f aca="false">INDEX(Ipotesi!$C$30:$G$30,1,F535)*G535/12</f>
        <v>81.6666666666667</v>
      </c>
      <c r="AO535" s="15" t="n">
        <f aca="false">O535*Parametri_v3!$C$7*Parametri_v3!$C$11*(1-Parametri_v3!$C$14)/12</f>
        <v>87.2666666666667</v>
      </c>
      <c r="AP535" s="15" t="n">
        <f aca="false">MIN(AN535,AO535)</f>
        <v>81.6666666666667</v>
      </c>
      <c r="AQ535" s="15" t="n">
        <f aca="false">AP535*INDEX(Ipotesi!$C$31:$G$31,1,F535)*H535</f>
        <v>89833.3333333333</v>
      </c>
      <c r="AR535" s="15" t="n">
        <f aca="false">INDEX(Ipotesi!$C$75:$G$75,1,F535)*J535/12</f>
        <v>35833.3333333333</v>
      </c>
      <c r="AS535" s="15" t="n">
        <f aca="false">INDEX(Ipotesi!$C$81:$G$81,1,F535)*J535/12</f>
        <v>2083.33333333333</v>
      </c>
      <c r="AT535" s="15" t="n">
        <f aca="false">AR535*Parametri_v3!$C$15+Z535*Parametri_v3!$C$16</f>
        <v>53560.0970908333</v>
      </c>
      <c r="AU535" s="15" t="n">
        <f aca="false">Q535*Parametri_v3!$C$16*Parametri_v3!$C$17</f>
        <v>420</v>
      </c>
      <c r="AV535" s="17" t="n">
        <f aca="false">BD534</f>
        <v>165.155432091956</v>
      </c>
      <c r="AW535" s="17" t="n">
        <f aca="false">AV535*(1-(1-INDEX(Ipotesi!$C$34:$G$34,1,F535))^(1/12))</f>
        <v>1.44372453440272</v>
      </c>
      <c r="AX535" s="15" t="n">
        <f aca="false">ROUND(INDEX(Ipotesi!$C$32:$G$32,1,F535)*Ipotesi!K8,0)</f>
        <v>560</v>
      </c>
      <c r="AY535" s="15" t="n">
        <f aca="false">MAX(0,(AX535-(AV535-AW535))/(13-E535))</f>
        <v>39.6288292442446</v>
      </c>
      <c r="AZ535" s="15" t="n">
        <f aca="false">MIN(P535*Parametri_v3!$C$22,Q535*(1-Parametri_v3!$C$16)*Parametri_v3!$C$23)</f>
        <v>270</v>
      </c>
      <c r="BA535" s="15" t="n">
        <f aca="false">IF(OR(INDEX(Ipotesi!$C$35:$G$35,1,F535)&lt;=0,51-Parametri_v3!$C$21&lt;1),0,INDEX($AT$485:$AT$544,MAX(1,51-Parametri_v3!$C$21))/(INDEX(Ipotesi!$C$35:$G$35,1,F535)*Ipotesi!K27))</f>
        <v>6.50133977564103</v>
      </c>
      <c r="BB535" s="15" t="n">
        <f aca="false">IF(51-Parametri_v3!$C$21&lt;1,0,INDEX($AU$485:$AU$544,MAX(1,51-Parametri_v3!$C$21)))*Parametri_v3!$C$18*Parametri_v3!$C$19*Parametri_v3!$C$20</f>
        <v>13.125</v>
      </c>
      <c r="BC535" s="17" t="n">
        <f aca="false">MAX(0,MIN(AY535,BA535,BB535,MAX(0,AZ535-(AV535-AW535))))</f>
        <v>6.50133977564103</v>
      </c>
      <c r="BD535" s="17" t="n">
        <f aca="false">AV535-AW535+BC535</f>
        <v>170.213047333195</v>
      </c>
      <c r="BE535" s="17" t="n">
        <f aca="false">(AV535+BD535)/2</f>
        <v>167.684239712575</v>
      </c>
      <c r="BF535" s="15" t="n">
        <f aca="false">BE535*INDEX(Ipotesi!$C$33:$G$33,1,F535)*H535/12</f>
        <v>86636.8571848307</v>
      </c>
      <c r="BG535" s="15" t="n">
        <f aca="false">BD535*INDEX(Ipotesi!$C$33:$G$33,1,F535)*H535</f>
        <v>1055320.89346581</v>
      </c>
      <c r="BH535" s="15" t="n">
        <f aca="false">AM535*INDEX(Ipotesi!$C$37:$G$37,1,F535)</f>
        <v>11595.8333333333</v>
      </c>
      <c r="BI535" s="15" t="n">
        <f aca="false">AQ535+BF535+BH535</f>
        <v>188066.023851497</v>
      </c>
      <c r="BJ535" s="15" t="n">
        <f aca="false">INDEX(Ipotesi!$C$68:$G$68,1,F535)*Ipotesi!$C$69/12</f>
        <v>3333.33333333333</v>
      </c>
      <c r="BK535" s="15" t="n">
        <f aca="false">INDEX(Ipotesi!$C$68:$G$68,1,F535)*(1-Ipotesi!$C$69)/12</f>
        <v>5000</v>
      </c>
      <c r="BL535" s="15" t="n">
        <f aca="false">(AQ535+BF535)*Ipotesi!$C$67</f>
        <v>5294.10571554492</v>
      </c>
      <c r="BM535" s="15" t="n">
        <f aca="false">AM535*Ipotesi!$C$67</f>
        <v>3478.75</v>
      </c>
      <c r="BN535" s="15" t="n">
        <f aca="false">INDEX(Ipotesi!$C$72:$G$72,1,F535)/12*Ipotesi!K126+BF535*Ipotesi!$C$73</f>
        <v>8180.94857478645</v>
      </c>
      <c r="BO535" s="15" t="n">
        <f aca="false">INDEX(Ipotesi!$C$74:$G$74,1,F535)/12*Ipotesi!K126</f>
        <v>5416.66666666667</v>
      </c>
      <c r="BP535" s="15" t="n">
        <f aca="false">INDEX(Ipotesi!$C$76:$G$76,1,F535)/12</f>
        <v>1916.66666666667</v>
      </c>
      <c r="BQ535" s="15" t="n">
        <f aca="false">INDEX(Ipotesi!$C$77:$G$77,1,F535)/12*Ipotesi!K126</f>
        <v>2500</v>
      </c>
      <c r="BR535" s="15" t="n">
        <f aca="false">INDEX(Ipotesi!$C$78:$G$78,1,F535)/12</f>
        <v>2333.33333333333</v>
      </c>
      <c r="BS535" s="15" t="n">
        <f aca="false">SUM(M535:R535)*(Ipotesi!$C$85+Ipotesi!$C$86)/12</f>
        <v>7437.5</v>
      </c>
      <c r="BT535" s="15" t="n">
        <f aca="false">BI535*Ipotesi!$C$87</f>
        <v>5641.98071554492</v>
      </c>
      <c r="BU535" s="15" t="n">
        <f aca="false">INDEX(Ipotesi!$C$55:$G$55,1,F535)*K535/12</f>
        <v>2000</v>
      </c>
      <c r="BV535" s="15" t="n">
        <f aca="false">INDEX(Ipotesi!$C$80:$G$80,1,F535)/12*Ipotesi!K126</f>
        <v>2083.33333333333</v>
      </c>
      <c r="BW535" s="15" t="n">
        <f aca="false">INDEX(Ipotesi!$C$82:$G$82,1,F535)/12</f>
        <v>1500</v>
      </c>
      <c r="BX535" s="15" t="n">
        <f aca="false">INDEX(Ipotesi!$C$83:$G$83,1,F535)/12</f>
        <v>833.333333333333</v>
      </c>
      <c r="BY535" s="15" t="n">
        <f aca="false">SUM(S535:U535)*(Ipotesi!$C$85+Ipotesi!$C$86)/12</f>
        <v>3208.33333333333</v>
      </c>
      <c r="BZ535" s="15" t="n">
        <f aca="false">AM535*Ipotesi!$C$87</f>
        <v>3478.75</v>
      </c>
      <c r="CA535" s="15" t="n">
        <f aca="false">AB535+BJ535+BL535+BN535+BO535+AR535+BP535+BQ535+BR535+BS535+BT535</f>
        <v>197365.196660043</v>
      </c>
      <c r="CB535" s="15" t="n">
        <f aca="false">AC535+BK535+BM535+BH535+BU535+BV535+AS535+BW535+BX535+BY535+BZ535</f>
        <v>79625.4722608333</v>
      </c>
      <c r="CC535" s="15" t="n">
        <f aca="false">BI535-CA535</f>
        <v>-9299.17280854564</v>
      </c>
      <c r="CD535" s="15" t="n">
        <f aca="false">AM535-CB535</f>
        <v>36332.8610725</v>
      </c>
      <c r="CE535" s="15" t="n">
        <f aca="false">INDEX(Ipotesi!$C$79:$G$79,1,F535)/12</f>
        <v>4166.66666666667</v>
      </c>
      <c r="CF535" s="15" t="n">
        <f aca="false">INDEX(Ipotesi!$C$84:$G$84,1,F535)/12</f>
        <v>666.666666666667</v>
      </c>
      <c r="CG535" s="15" t="n">
        <f aca="false">Y535*MAX(0,Parametri_v3!$C$12-IF(P535=0,0,MIN(1,BE535/(P535*Parametri_v3!$C$22))))+W535*Parametri_v3!$C$13+X535*Parametri_v3!$C$14</f>
        <v>36218.6746793894</v>
      </c>
      <c r="CH535" s="15" t="n">
        <f aca="false">AB535*Parametri_v3!$C$32</f>
        <v>5973.86641604167</v>
      </c>
      <c r="CI535" s="15" t="n">
        <f aca="false">AC535*Parametri_v3!$C$32</f>
        <v>2218.19027970833</v>
      </c>
      <c r="CJ535" s="15" t="n">
        <f aca="false">CA535-AB535</f>
        <v>77887.8683392096</v>
      </c>
      <c r="CK535" s="15" t="n">
        <f aca="false">CB535-AC535-BH535</f>
        <v>23665.8333333333</v>
      </c>
      <c r="CL535" s="15" t="n">
        <f aca="false">BF535*Ipotesi!$C$73+INDEX(Ipotesi!$C$72:$G$72,1,F535)/12*Ipotesi!K126*Parametri_v3!$C$58+Z535*(1-Parametri_v3!$C$16)</f>
        <v>15778.1330422865</v>
      </c>
      <c r="CM535" s="16" t="n">
        <f aca="false">IF(BF535=0,0,1-CL535/BF535)</f>
        <v>0.817881978236751</v>
      </c>
    </row>
    <row r="536" customFormat="false" ht="18" hidden="false" customHeight="true" outlineLevel="0" collapsed="false">
      <c r="A536" s="68" t="n">
        <f aca="false">9</f>
        <v>9</v>
      </c>
      <c r="B536" s="68" t="n">
        <f aca="false">52</f>
        <v>52</v>
      </c>
      <c r="C536" s="18" t="n">
        <f aca="false">EDATE(Parametri_v3!$C$5,52-1)</f>
        <v>47939</v>
      </c>
      <c r="D536" s="68" t="n">
        <f aca="false">YEAR(C536)</f>
        <v>2031</v>
      </c>
      <c r="E536" s="68" t="n">
        <f aca="false">MONTH(C536)</f>
        <v>4</v>
      </c>
      <c r="F536" s="68" t="n">
        <f aca="false">INT((52-1)/12)+1</f>
        <v>5</v>
      </c>
      <c r="G536" s="15" t="n">
        <f aca="false">Ipotesi!K7</f>
        <v>1</v>
      </c>
      <c r="H536" s="15" t="n">
        <f aca="false">Ipotesi!K9</f>
        <v>1</v>
      </c>
      <c r="I536" s="15" t="n">
        <f aca="false">Ipotesi!K10</f>
        <v>1</v>
      </c>
      <c r="J536" s="15" t="n">
        <f aca="false">Ipotesi!K11</f>
        <v>1</v>
      </c>
      <c r="K536" s="15" t="n">
        <f aca="false">Ipotesi!K12</f>
        <v>1</v>
      </c>
      <c r="L536" s="15" t="n">
        <f aca="false">Ipotesi!K13</f>
        <v>90</v>
      </c>
      <c r="M536" s="17" t="n">
        <f aca="false">INDEX(Ipotesi!$C$40:$G$40,1,F536)</f>
        <v>1</v>
      </c>
      <c r="N536" s="17" t="n">
        <f aca="false">INDEX(Ipotesi!$C$41:$G$41,1,F536)</f>
        <v>1</v>
      </c>
      <c r="O536" s="17" t="n">
        <f aca="false">INDEX(Ipotesi!$C$42:$G$42,1,F536)*Ipotesi!K125</f>
        <v>8.5</v>
      </c>
      <c r="P536" s="17" t="n">
        <f aca="false">INDEX(Ipotesi!$C$43:$G$43,1,F536)*I536</f>
        <v>7</v>
      </c>
      <c r="Q536" s="17" t="n">
        <f aca="false">INDEX(Ipotesi!$C$44:$G$44,1,F536)*I536</f>
        <v>6</v>
      </c>
      <c r="R536" s="17" t="n">
        <f aca="false">INDEX(Ipotesi!$C$45:$G$45,1,F536)*I536</f>
        <v>2</v>
      </c>
      <c r="S536" s="17" t="n">
        <f aca="false">INDEX(Ipotesi!$C$52:$G$52,1,F536)*Ipotesi!K125</f>
        <v>9</v>
      </c>
      <c r="T536" s="17" t="n">
        <f aca="false">INDEX(Ipotesi!$C$53:$G$53,1,F536)*I536</f>
        <v>1</v>
      </c>
      <c r="U536" s="17" t="n">
        <f aca="false">INDEX(Ipotesi!$C$54:$G$54,1,F536)*I536</f>
        <v>1</v>
      </c>
      <c r="V536" s="15" t="n">
        <f aca="false">M536*INDEX(Ipotesi!$C$58:$G$58,1,F536)*K536/12</f>
        <v>8333.33333333333</v>
      </c>
      <c r="W536" s="15" t="n">
        <f aca="false">N536*Ipotesi!$C$59*(1+Ipotesi!$C$66)^(F536-1)/12</f>
        <v>6565.46805833334</v>
      </c>
      <c r="X536" s="15" t="n">
        <f aca="false">O536*Ipotesi!$C$60*(1+Ipotesi!$C$66)^(F536-1)/12</f>
        <v>39861.7703541667</v>
      </c>
      <c r="Y536" s="15" t="n">
        <f aca="false">P536*Ipotesi!$C$61*(1+Ipotesi!$C$66)^(F536-1)/12</f>
        <v>32827.3402916667</v>
      </c>
      <c r="Z536" s="15" t="n">
        <f aca="false">Q536*Ipotesi!$C$62*(1+Ipotesi!$C$66)^(F536-1)/12</f>
        <v>25323.948225</v>
      </c>
      <c r="AA536" s="15" t="n">
        <f aca="false">R536*Ipotesi!$C$63*(1+Ipotesi!$C$66)^(F536-1)/12</f>
        <v>6565.46805833334</v>
      </c>
      <c r="AB536" s="15" t="n">
        <f aca="false">SUM(V536:AA536)</f>
        <v>119477.328320833</v>
      </c>
      <c r="AC536" s="15" t="n">
        <f aca="false">(S536*Ipotesi!$C$64+T536*Ipotesi!$C$65+U536*Ipotesi!$C$63)*(1+Ipotesi!$C$66)^(F536-1)/12</f>
        <v>44363.8055941667</v>
      </c>
      <c r="AD536" s="15" t="n">
        <f aca="false">INDEX(Ipotesi!$C$48:$G$48,1,F536)*G536/12</f>
        <v>95.8333333333333</v>
      </c>
      <c r="AE536" s="15" t="n">
        <f aca="false">INDEX(Ipotesi!$C$50:$G$50,1,F536)*G536/12</f>
        <v>9.58333333333333</v>
      </c>
      <c r="AF536" s="15" t="n">
        <f aca="false">(S536*Parametri_v3!$C$7*Parametri_v3!$C$8+Parametri_v3!$C$10)/12</f>
        <v>115.5</v>
      </c>
      <c r="AG536" s="15" t="n">
        <f aca="false">AD536+AE536*(1+Parametri_v3!$C$9)</f>
        <v>110.208333333333</v>
      </c>
      <c r="AH536" s="16" t="n">
        <f aca="false">IF(AG536=0,1,MIN(1,AF536/AG536))</f>
        <v>1</v>
      </c>
      <c r="AI536" s="15" t="n">
        <f aca="false">AD536*AH536</f>
        <v>95.8333333333333</v>
      </c>
      <c r="AJ536" s="15" t="n">
        <f aca="false">AE536*AH536</f>
        <v>9.58333333333333</v>
      </c>
      <c r="AK536" s="15" t="n">
        <f aca="false">AI536*INDEX(Ipotesi!$C$49:$G$49,1,F536)*H536</f>
        <v>91041.6666666667</v>
      </c>
      <c r="AL536" s="15" t="n">
        <f aca="false">AJ536*INDEX(Ipotesi!$C$51:$G$51,1,F536)*H536</f>
        <v>24916.6666666667</v>
      </c>
      <c r="AM536" s="15" t="n">
        <f aca="false">AK536+AL536</f>
        <v>115958.333333333</v>
      </c>
      <c r="AN536" s="15" t="n">
        <f aca="false">INDEX(Ipotesi!$C$30:$G$30,1,F536)*G536/12</f>
        <v>81.6666666666667</v>
      </c>
      <c r="AO536" s="15" t="n">
        <f aca="false">O536*Parametri_v3!$C$7*Parametri_v3!$C$11*(1-Parametri_v3!$C$14)/12</f>
        <v>87.2666666666667</v>
      </c>
      <c r="AP536" s="15" t="n">
        <f aca="false">MIN(AN536,AO536)</f>
        <v>81.6666666666667</v>
      </c>
      <c r="AQ536" s="15" t="n">
        <f aca="false">AP536*INDEX(Ipotesi!$C$31:$G$31,1,F536)*H536</f>
        <v>89833.3333333333</v>
      </c>
      <c r="AR536" s="15" t="n">
        <f aca="false">INDEX(Ipotesi!$C$75:$G$75,1,F536)*J536/12</f>
        <v>35833.3333333333</v>
      </c>
      <c r="AS536" s="15" t="n">
        <f aca="false">INDEX(Ipotesi!$C$81:$G$81,1,F536)*J536/12</f>
        <v>2083.33333333333</v>
      </c>
      <c r="AT536" s="15" t="n">
        <f aca="false">AR536*Parametri_v3!$C$15+Z536*Parametri_v3!$C$16</f>
        <v>53560.0970908333</v>
      </c>
      <c r="AU536" s="15" t="n">
        <f aca="false">Q536*Parametri_v3!$C$16*Parametri_v3!$C$17</f>
        <v>420</v>
      </c>
      <c r="AV536" s="17" t="n">
        <f aca="false">BD535</f>
        <v>170.213047333195</v>
      </c>
      <c r="AW536" s="17" t="n">
        <f aca="false">AV536*(1-(1-INDEX(Ipotesi!$C$34:$G$34,1,F536))^(1/12))</f>
        <v>1.48793623920017</v>
      </c>
      <c r="AX536" s="15" t="n">
        <f aca="false">ROUND(INDEX(Ipotesi!$C$32:$G$32,1,F536)*Ipotesi!K8,0)</f>
        <v>560</v>
      </c>
      <c r="AY536" s="15" t="n">
        <f aca="false">MAX(0,(AX536-(AV536-AW536))/(13-E536))</f>
        <v>43.4749876562228</v>
      </c>
      <c r="AZ536" s="15" t="n">
        <f aca="false">MIN(P536*Parametri_v3!$C$22,Q536*(1-Parametri_v3!$C$16)*Parametri_v3!$C$23)</f>
        <v>270</v>
      </c>
      <c r="BA536" s="15" t="n">
        <f aca="false">IF(OR(INDEX(Ipotesi!$C$35:$G$35,1,F536)&lt;=0,52-Parametri_v3!$C$21&lt;1),0,INDEX($AT$485:$AT$544,MAX(1,52-Parametri_v3!$C$21))/(INDEX(Ipotesi!$C$35:$G$35,1,F536)*Ipotesi!K27))</f>
        <v>8.24001493705128</v>
      </c>
      <c r="BB536" s="15" t="n">
        <f aca="false">IF(52-Parametri_v3!$C$21&lt;1,0,INDEX($AU$485:$AU$544,MAX(1,52-Parametri_v3!$C$21)))*Parametri_v3!$C$18*Parametri_v3!$C$19*Parametri_v3!$C$20</f>
        <v>15.75</v>
      </c>
      <c r="BC536" s="17" t="n">
        <f aca="false">MAX(0,MIN(AY536,BA536,BB536,MAX(0,AZ536-(AV536-AW536))))</f>
        <v>8.24001493705128</v>
      </c>
      <c r="BD536" s="17" t="n">
        <f aca="false">AV536-AW536+BC536</f>
        <v>176.965126031046</v>
      </c>
      <c r="BE536" s="17" t="n">
        <f aca="false">(AV536+BD536)/2</f>
        <v>173.58908668212</v>
      </c>
      <c r="BF536" s="15" t="n">
        <f aca="false">BE536*INDEX(Ipotesi!$C$33:$G$33,1,F536)*H536/12</f>
        <v>89687.6947857621</v>
      </c>
      <c r="BG536" s="15" t="n">
        <f aca="false">BD536*INDEX(Ipotesi!$C$33:$G$33,1,F536)*H536</f>
        <v>1097183.78139248</v>
      </c>
      <c r="BH536" s="15" t="n">
        <f aca="false">AM536*INDEX(Ipotesi!$C$37:$G$37,1,F536)</f>
        <v>11595.8333333333</v>
      </c>
      <c r="BI536" s="15" t="n">
        <f aca="false">AQ536+BF536+BH536</f>
        <v>191116.861452429</v>
      </c>
      <c r="BJ536" s="15" t="n">
        <f aca="false">INDEX(Ipotesi!$C$68:$G$68,1,F536)*Ipotesi!$C$69/12</f>
        <v>3333.33333333333</v>
      </c>
      <c r="BK536" s="15" t="n">
        <f aca="false">INDEX(Ipotesi!$C$68:$G$68,1,F536)*(1-Ipotesi!$C$69)/12</f>
        <v>5000</v>
      </c>
      <c r="BL536" s="15" t="n">
        <f aca="false">(AQ536+BF536)*Ipotesi!$C$67</f>
        <v>5385.63084357286</v>
      </c>
      <c r="BM536" s="15" t="n">
        <f aca="false">AM536*Ipotesi!$C$67</f>
        <v>3478.75</v>
      </c>
      <c r="BN536" s="15" t="n">
        <f aca="false">INDEX(Ipotesi!$C$72:$G$72,1,F536)/12*Ipotesi!K126+BF536*Ipotesi!$C$73</f>
        <v>8425.01558286097</v>
      </c>
      <c r="BO536" s="15" t="n">
        <f aca="false">INDEX(Ipotesi!$C$74:$G$74,1,F536)/12*Ipotesi!K126</f>
        <v>5416.66666666667</v>
      </c>
      <c r="BP536" s="15" t="n">
        <f aca="false">INDEX(Ipotesi!$C$76:$G$76,1,F536)/12</f>
        <v>1916.66666666667</v>
      </c>
      <c r="BQ536" s="15" t="n">
        <f aca="false">INDEX(Ipotesi!$C$77:$G$77,1,F536)/12*Ipotesi!K126</f>
        <v>2500</v>
      </c>
      <c r="BR536" s="15" t="n">
        <f aca="false">INDEX(Ipotesi!$C$78:$G$78,1,F536)/12</f>
        <v>2333.33333333333</v>
      </c>
      <c r="BS536" s="15" t="n">
        <f aca="false">SUM(M536:R536)*(Ipotesi!$C$85+Ipotesi!$C$86)/12</f>
        <v>7437.5</v>
      </c>
      <c r="BT536" s="15" t="n">
        <f aca="false">BI536*Ipotesi!$C$87</f>
        <v>5733.50584357286</v>
      </c>
      <c r="BU536" s="15" t="n">
        <f aca="false">INDEX(Ipotesi!$C$55:$G$55,1,F536)*K536/12</f>
        <v>2000</v>
      </c>
      <c r="BV536" s="15" t="n">
        <f aca="false">INDEX(Ipotesi!$C$80:$G$80,1,F536)/12*Ipotesi!K126</f>
        <v>2083.33333333333</v>
      </c>
      <c r="BW536" s="15" t="n">
        <f aca="false">INDEX(Ipotesi!$C$82:$G$82,1,F536)/12</f>
        <v>1500</v>
      </c>
      <c r="BX536" s="15" t="n">
        <f aca="false">INDEX(Ipotesi!$C$83:$G$83,1,F536)/12</f>
        <v>833.333333333333</v>
      </c>
      <c r="BY536" s="15" t="n">
        <f aca="false">SUM(S536:U536)*(Ipotesi!$C$85+Ipotesi!$C$86)/12</f>
        <v>3208.33333333333</v>
      </c>
      <c r="BZ536" s="15" t="n">
        <f aca="false">AM536*Ipotesi!$C$87</f>
        <v>3478.75</v>
      </c>
      <c r="CA536" s="15" t="n">
        <f aca="false">AB536+BJ536+BL536+BN536+BO536+AR536+BP536+BQ536+BR536+BS536+BT536</f>
        <v>197792.313924173</v>
      </c>
      <c r="CB536" s="15" t="n">
        <f aca="false">AC536+BK536+BM536+BH536+BU536+BV536+AS536+BW536+BX536+BY536+BZ536</f>
        <v>79625.4722608333</v>
      </c>
      <c r="CC536" s="15" t="n">
        <f aca="false">BI536-CA536</f>
        <v>-6675.45247174462</v>
      </c>
      <c r="CD536" s="15" t="n">
        <f aca="false">AM536-CB536</f>
        <v>36332.8610725</v>
      </c>
      <c r="CE536" s="15" t="n">
        <f aca="false">INDEX(Ipotesi!$C$79:$G$79,1,F536)/12</f>
        <v>4166.66666666667</v>
      </c>
      <c r="CF536" s="15" t="n">
        <f aca="false">INDEX(Ipotesi!$C$84:$G$84,1,F536)/12</f>
        <v>666.666666666667</v>
      </c>
      <c r="CG536" s="15" t="n">
        <f aca="false">Y536*MAX(0,Parametri_v3!$C$12-IF(P536=0,0,MIN(1,BE536/(P536*Parametri_v3!$C$22))))+W536*Parametri_v3!$C$13+X536*Parametri_v3!$C$14</f>
        <v>35941.7597924758</v>
      </c>
      <c r="CH536" s="15" t="n">
        <f aca="false">AB536*Parametri_v3!$C$32</f>
        <v>5973.86641604167</v>
      </c>
      <c r="CI536" s="15" t="n">
        <f aca="false">AC536*Parametri_v3!$C$32</f>
        <v>2218.19027970833</v>
      </c>
      <c r="CJ536" s="15" t="n">
        <f aca="false">CA536-AB536</f>
        <v>78314.98560334</v>
      </c>
      <c r="CK536" s="15" t="n">
        <f aca="false">CB536-AC536-BH536</f>
        <v>23665.8333333333</v>
      </c>
      <c r="CL536" s="15" t="n">
        <f aca="false">BF536*Ipotesi!$C$73+INDEX(Ipotesi!$C$72:$G$72,1,F536)/12*Ipotesi!K126*Parametri_v3!$C$58+Z536*(1-Parametri_v3!$C$16)</f>
        <v>16022.200050361</v>
      </c>
      <c r="CM536" s="16" t="n">
        <f aca="false">IF(BF536=0,0,1-CL536/BF536)</f>
        <v>0.821355648747207</v>
      </c>
    </row>
    <row r="537" customFormat="false" ht="18" hidden="false" customHeight="true" outlineLevel="0" collapsed="false">
      <c r="A537" s="68" t="n">
        <f aca="false">9</f>
        <v>9</v>
      </c>
      <c r="B537" s="68" t="n">
        <f aca="false">53</f>
        <v>53</v>
      </c>
      <c r="C537" s="18" t="n">
        <f aca="false">EDATE(Parametri_v3!$C$5,53-1)</f>
        <v>47969</v>
      </c>
      <c r="D537" s="68" t="n">
        <f aca="false">YEAR(C537)</f>
        <v>2031</v>
      </c>
      <c r="E537" s="68" t="n">
        <f aca="false">MONTH(C537)</f>
        <v>5</v>
      </c>
      <c r="F537" s="68" t="n">
        <f aca="false">INT((53-1)/12)+1</f>
        <v>5</v>
      </c>
      <c r="G537" s="15" t="n">
        <f aca="false">Ipotesi!K7</f>
        <v>1</v>
      </c>
      <c r="H537" s="15" t="n">
        <f aca="false">Ipotesi!K9</f>
        <v>1</v>
      </c>
      <c r="I537" s="15" t="n">
        <f aca="false">Ipotesi!K10</f>
        <v>1</v>
      </c>
      <c r="J537" s="15" t="n">
        <f aca="false">Ipotesi!K11</f>
        <v>1</v>
      </c>
      <c r="K537" s="15" t="n">
        <f aca="false">Ipotesi!K12</f>
        <v>1</v>
      </c>
      <c r="L537" s="15" t="n">
        <f aca="false">Ipotesi!K13</f>
        <v>90</v>
      </c>
      <c r="M537" s="17" t="n">
        <f aca="false">INDEX(Ipotesi!$C$40:$G$40,1,F537)</f>
        <v>1</v>
      </c>
      <c r="N537" s="17" t="n">
        <f aca="false">INDEX(Ipotesi!$C$41:$G$41,1,F537)</f>
        <v>1</v>
      </c>
      <c r="O537" s="17" t="n">
        <f aca="false">INDEX(Ipotesi!$C$42:$G$42,1,F537)*Ipotesi!K125</f>
        <v>8.5</v>
      </c>
      <c r="P537" s="17" t="n">
        <f aca="false">INDEX(Ipotesi!$C$43:$G$43,1,F537)*I537</f>
        <v>7</v>
      </c>
      <c r="Q537" s="17" t="n">
        <f aca="false">INDEX(Ipotesi!$C$44:$G$44,1,F537)*I537</f>
        <v>6</v>
      </c>
      <c r="R537" s="17" t="n">
        <f aca="false">INDEX(Ipotesi!$C$45:$G$45,1,F537)*I537</f>
        <v>2</v>
      </c>
      <c r="S537" s="17" t="n">
        <f aca="false">INDEX(Ipotesi!$C$52:$G$52,1,F537)*Ipotesi!K125</f>
        <v>9</v>
      </c>
      <c r="T537" s="17" t="n">
        <f aca="false">INDEX(Ipotesi!$C$53:$G$53,1,F537)*I537</f>
        <v>1</v>
      </c>
      <c r="U537" s="17" t="n">
        <f aca="false">INDEX(Ipotesi!$C$54:$G$54,1,F537)*I537</f>
        <v>1</v>
      </c>
      <c r="V537" s="15" t="n">
        <f aca="false">M537*INDEX(Ipotesi!$C$58:$G$58,1,F537)*K537/12</f>
        <v>8333.33333333333</v>
      </c>
      <c r="W537" s="15" t="n">
        <f aca="false">N537*Ipotesi!$C$59*(1+Ipotesi!$C$66)^(F537-1)/12</f>
        <v>6565.46805833334</v>
      </c>
      <c r="X537" s="15" t="n">
        <f aca="false">O537*Ipotesi!$C$60*(1+Ipotesi!$C$66)^(F537-1)/12</f>
        <v>39861.7703541667</v>
      </c>
      <c r="Y537" s="15" t="n">
        <f aca="false">P537*Ipotesi!$C$61*(1+Ipotesi!$C$66)^(F537-1)/12</f>
        <v>32827.3402916667</v>
      </c>
      <c r="Z537" s="15" t="n">
        <f aca="false">Q537*Ipotesi!$C$62*(1+Ipotesi!$C$66)^(F537-1)/12</f>
        <v>25323.948225</v>
      </c>
      <c r="AA537" s="15" t="n">
        <f aca="false">R537*Ipotesi!$C$63*(1+Ipotesi!$C$66)^(F537-1)/12</f>
        <v>6565.46805833334</v>
      </c>
      <c r="AB537" s="15" t="n">
        <f aca="false">SUM(V537:AA537)</f>
        <v>119477.328320833</v>
      </c>
      <c r="AC537" s="15" t="n">
        <f aca="false">(S537*Ipotesi!$C$64+T537*Ipotesi!$C$65+U537*Ipotesi!$C$63)*(1+Ipotesi!$C$66)^(F537-1)/12</f>
        <v>44363.8055941667</v>
      </c>
      <c r="AD537" s="15" t="n">
        <f aca="false">INDEX(Ipotesi!$C$48:$G$48,1,F537)*G537/12</f>
        <v>95.8333333333333</v>
      </c>
      <c r="AE537" s="15" t="n">
        <f aca="false">INDEX(Ipotesi!$C$50:$G$50,1,F537)*G537/12</f>
        <v>9.58333333333333</v>
      </c>
      <c r="AF537" s="15" t="n">
        <f aca="false">(S537*Parametri_v3!$C$7*Parametri_v3!$C$8+Parametri_v3!$C$10)/12</f>
        <v>115.5</v>
      </c>
      <c r="AG537" s="15" t="n">
        <f aca="false">AD537+AE537*(1+Parametri_v3!$C$9)</f>
        <v>110.208333333333</v>
      </c>
      <c r="AH537" s="16" t="n">
        <f aca="false">IF(AG537=0,1,MIN(1,AF537/AG537))</f>
        <v>1</v>
      </c>
      <c r="AI537" s="15" t="n">
        <f aca="false">AD537*AH537</f>
        <v>95.8333333333333</v>
      </c>
      <c r="AJ537" s="15" t="n">
        <f aca="false">AE537*AH537</f>
        <v>9.58333333333333</v>
      </c>
      <c r="AK537" s="15" t="n">
        <f aca="false">AI537*INDEX(Ipotesi!$C$49:$G$49,1,F537)*H537</f>
        <v>91041.6666666667</v>
      </c>
      <c r="AL537" s="15" t="n">
        <f aca="false">AJ537*INDEX(Ipotesi!$C$51:$G$51,1,F537)*H537</f>
        <v>24916.6666666667</v>
      </c>
      <c r="AM537" s="15" t="n">
        <f aca="false">AK537+AL537</f>
        <v>115958.333333333</v>
      </c>
      <c r="AN537" s="15" t="n">
        <f aca="false">INDEX(Ipotesi!$C$30:$G$30,1,F537)*G537/12</f>
        <v>81.6666666666667</v>
      </c>
      <c r="AO537" s="15" t="n">
        <f aca="false">O537*Parametri_v3!$C$7*Parametri_v3!$C$11*(1-Parametri_v3!$C$14)/12</f>
        <v>87.2666666666667</v>
      </c>
      <c r="AP537" s="15" t="n">
        <f aca="false">MIN(AN537,AO537)</f>
        <v>81.6666666666667</v>
      </c>
      <c r="AQ537" s="15" t="n">
        <f aca="false">AP537*INDEX(Ipotesi!$C$31:$G$31,1,F537)*H537</f>
        <v>89833.3333333333</v>
      </c>
      <c r="AR537" s="15" t="n">
        <f aca="false">INDEX(Ipotesi!$C$75:$G$75,1,F537)*J537/12</f>
        <v>35833.3333333333</v>
      </c>
      <c r="AS537" s="15" t="n">
        <f aca="false">INDEX(Ipotesi!$C$81:$G$81,1,F537)*J537/12</f>
        <v>2083.33333333333</v>
      </c>
      <c r="AT537" s="15" t="n">
        <f aca="false">AR537*Parametri_v3!$C$15+Z537*Parametri_v3!$C$16</f>
        <v>53560.0970908333</v>
      </c>
      <c r="AU537" s="15" t="n">
        <f aca="false">Q537*Parametri_v3!$C$16*Parametri_v3!$C$17</f>
        <v>420</v>
      </c>
      <c r="AV537" s="17" t="n">
        <f aca="false">BD536</f>
        <v>176.965126031046</v>
      </c>
      <c r="AW537" s="17" t="n">
        <f aca="false">AV537*(1-(1-INDEX(Ipotesi!$C$34:$G$34,1,F537))^(1/12))</f>
        <v>1.54696028431228</v>
      </c>
      <c r="AX537" s="15" t="n">
        <f aca="false">ROUND(INDEX(Ipotesi!$C$32:$G$32,1,F537)*Ipotesi!K8,0)</f>
        <v>560</v>
      </c>
      <c r="AY537" s="15" t="n">
        <f aca="false">MAX(0,(AX537-(AV537-AW537))/(13-E537))</f>
        <v>48.0727292816583</v>
      </c>
      <c r="AZ537" s="15" t="n">
        <f aca="false">MIN(P537*Parametri_v3!$C$22,Q537*(1-Parametri_v3!$C$16)*Parametri_v3!$C$23)</f>
        <v>270</v>
      </c>
      <c r="BA537" s="15" t="n">
        <f aca="false">IF(OR(INDEX(Ipotesi!$C$35:$G$35,1,F537)&lt;=0,53-Parametri_v3!$C$21&lt;1),0,INDEX($AT$485:$AT$544,MAX(1,53-Parametri_v3!$C$21))/(INDEX(Ipotesi!$C$35:$G$35,1,F537)*Ipotesi!K27))</f>
        <v>8.24001493705128</v>
      </c>
      <c r="BB537" s="15" t="n">
        <f aca="false">IF(53-Parametri_v3!$C$21&lt;1,0,INDEX($AU$485:$AU$544,MAX(1,53-Parametri_v3!$C$21)))*Parametri_v3!$C$18*Parametri_v3!$C$19*Parametri_v3!$C$20</f>
        <v>15.75</v>
      </c>
      <c r="BC537" s="17" t="n">
        <f aca="false">MAX(0,MIN(AY537,BA537,BB537,MAX(0,AZ537-(AV537-AW537))))</f>
        <v>8.24001493705128</v>
      </c>
      <c r="BD537" s="17" t="n">
        <f aca="false">AV537-AW537+BC537</f>
        <v>183.658180683785</v>
      </c>
      <c r="BE537" s="17" t="n">
        <f aca="false">(AV537+BD537)/2</f>
        <v>180.311653357415</v>
      </c>
      <c r="BF537" s="15" t="n">
        <f aca="false">BE537*INDEX(Ipotesi!$C$33:$G$33,1,F537)*H537/12</f>
        <v>93161.0209013312</v>
      </c>
      <c r="BG537" s="15" t="n">
        <f aca="false">BD537*INDEX(Ipotesi!$C$33:$G$33,1,F537)*H537</f>
        <v>1138680.72023947</v>
      </c>
      <c r="BH537" s="15" t="n">
        <f aca="false">AM537*INDEX(Ipotesi!$C$37:$G$37,1,F537)</f>
        <v>11595.8333333333</v>
      </c>
      <c r="BI537" s="15" t="n">
        <f aca="false">AQ537+BF537+BH537</f>
        <v>194590.187567998</v>
      </c>
      <c r="BJ537" s="15" t="n">
        <f aca="false">INDEX(Ipotesi!$C$68:$G$68,1,F537)*Ipotesi!$C$69/12</f>
        <v>3333.33333333333</v>
      </c>
      <c r="BK537" s="15" t="n">
        <f aca="false">INDEX(Ipotesi!$C$68:$G$68,1,F537)*(1-Ipotesi!$C$69)/12</f>
        <v>5000</v>
      </c>
      <c r="BL537" s="15" t="n">
        <f aca="false">(AQ537+BF537)*Ipotesi!$C$67</f>
        <v>5489.83062703994</v>
      </c>
      <c r="BM537" s="15" t="n">
        <f aca="false">AM537*Ipotesi!$C$67</f>
        <v>3478.75</v>
      </c>
      <c r="BN537" s="15" t="n">
        <f aca="false">INDEX(Ipotesi!$C$72:$G$72,1,F537)/12*Ipotesi!K126+BF537*Ipotesi!$C$73</f>
        <v>8702.8816721065</v>
      </c>
      <c r="BO537" s="15" t="n">
        <f aca="false">INDEX(Ipotesi!$C$74:$G$74,1,F537)/12*Ipotesi!K126</f>
        <v>5416.66666666667</v>
      </c>
      <c r="BP537" s="15" t="n">
        <f aca="false">INDEX(Ipotesi!$C$76:$G$76,1,F537)/12</f>
        <v>1916.66666666667</v>
      </c>
      <c r="BQ537" s="15" t="n">
        <f aca="false">INDEX(Ipotesi!$C$77:$G$77,1,F537)/12*Ipotesi!K126</f>
        <v>2500</v>
      </c>
      <c r="BR537" s="15" t="n">
        <f aca="false">INDEX(Ipotesi!$C$78:$G$78,1,F537)/12</f>
        <v>2333.33333333333</v>
      </c>
      <c r="BS537" s="15" t="n">
        <f aca="false">SUM(M537:R537)*(Ipotesi!$C$85+Ipotesi!$C$86)/12</f>
        <v>7437.5</v>
      </c>
      <c r="BT537" s="15" t="n">
        <f aca="false">BI537*Ipotesi!$C$87</f>
        <v>5837.70562703994</v>
      </c>
      <c r="BU537" s="15" t="n">
        <f aca="false">INDEX(Ipotesi!$C$55:$G$55,1,F537)*K537/12</f>
        <v>2000</v>
      </c>
      <c r="BV537" s="15" t="n">
        <f aca="false">INDEX(Ipotesi!$C$80:$G$80,1,F537)/12*Ipotesi!K126</f>
        <v>2083.33333333333</v>
      </c>
      <c r="BW537" s="15" t="n">
        <f aca="false">INDEX(Ipotesi!$C$82:$G$82,1,F537)/12</f>
        <v>1500</v>
      </c>
      <c r="BX537" s="15" t="n">
        <f aca="false">INDEX(Ipotesi!$C$83:$G$83,1,F537)/12</f>
        <v>833.333333333333</v>
      </c>
      <c r="BY537" s="15" t="n">
        <f aca="false">SUM(S537:U537)*(Ipotesi!$C$85+Ipotesi!$C$86)/12</f>
        <v>3208.33333333333</v>
      </c>
      <c r="BZ537" s="15" t="n">
        <f aca="false">AM537*Ipotesi!$C$87</f>
        <v>3478.75</v>
      </c>
      <c r="CA537" s="15" t="n">
        <f aca="false">AB537+BJ537+BL537+BN537+BO537+AR537+BP537+BQ537+BR537+BS537+BT537</f>
        <v>198278.579580353</v>
      </c>
      <c r="CB537" s="15" t="n">
        <f aca="false">AC537+BK537+BM537+BH537+BU537+BV537+AS537+BW537+BX537+BY537+BZ537</f>
        <v>79625.4722608333</v>
      </c>
      <c r="CC537" s="15" t="n">
        <f aca="false">BI537-CA537</f>
        <v>-3688.39201235518</v>
      </c>
      <c r="CD537" s="15" t="n">
        <f aca="false">AM537-CB537</f>
        <v>36332.8610725</v>
      </c>
      <c r="CE537" s="15" t="n">
        <f aca="false">INDEX(Ipotesi!$C$79:$G$79,1,F537)/12</f>
        <v>4166.66666666667</v>
      </c>
      <c r="CF537" s="15" t="n">
        <f aca="false">INDEX(Ipotesi!$C$84:$G$84,1,F537)/12</f>
        <v>666.666666666667</v>
      </c>
      <c r="CG537" s="15" t="n">
        <f aca="false">Y537*MAX(0,Parametri_v3!$C$12-IF(P537=0,0,MIN(1,BE537/(P537*Parametri_v3!$C$22))))+W537*Parametri_v3!$C$13+X537*Parametri_v3!$C$14</f>
        <v>35626.4969583568</v>
      </c>
      <c r="CH537" s="15" t="n">
        <f aca="false">AB537*Parametri_v3!$C$32</f>
        <v>5973.86641604167</v>
      </c>
      <c r="CI537" s="15" t="n">
        <f aca="false">AC537*Parametri_v3!$C$32</f>
        <v>2218.19027970833</v>
      </c>
      <c r="CJ537" s="15" t="n">
        <f aca="false">CA537-AB537</f>
        <v>78801.2512595197</v>
      </c>
      <c r="CK537" s="15" t="n">
        <f aca="false">CB537-AC537-BH537</f>
        <v>23665.8333333333</v>
      </c>
      <c r="CL537" s="15" t="n">
        <f aca="false">BF537*Ipotesi!$C$73+INDEX(Ipotesi!$C$72:$G$72,1,F537)/12*Ipotesi!K126*Parametri_v3!$C$58+Z537*(1-Parametri_v3!$C$16)</f>
        <v>16300.0661396065</v>
      </c>
      <c r="CM537" s="16" t="n">
        <f aca="false">IF(BF537=0,0,1-CL537/BF537)</f>
        <v>0.825033410090361</v>
      </c>
    </row>
    <row r="538" customFormat="false" ht="18" hidden="false" customHeight="true" outlineLevel="0" collapsed="false">
      <c r="A538" s="68" t="n">
        <f aca="false">9</f>
        <v>9</v>
      </c>
      <c r="B538" s="68" t="n">
        <f aca="false">54</f>
        <v>54</v>
      </c>
      <c r="C538" s="18" t="n">
        <f aca="false">EDATE(Parametri_v3!$C$5,54-1)</f>
        <v>48000</v>
      </c>
      <c r="D538" s="68" t="n">
        <f aca="false">YEAR(C538)</f>
        <v>2031</v>
      </c>
      <c r="E538" s="68" t="n">
        <f aca="false">MONTH(C538)</f>
        <v>6</v>
      </c>
      <c r="F538" s="68" t="n">
        <f aca="false">INT((54-1)/12)+1</f>
        <v>5</v>
      </c>
      <c r="G538" s="15" t="n">
        <f aca="false">Ipotesi!K7</f>
        <v>1</v>
      </c>
      <c r="H538" s="15" t="n">
        <f aca="false">Ipotesi!K9</f>
        <v>1</v>
      </c>
      <c r="I538" s="15" t="n">
        <f aca="false">Ipotesi!K10</f>
        <v>1</v>
      </c>
      <c r="J538" s="15" t="n">
        <f aca="false">Ipotesi!K11</f>
        <v>1</v>
      </c>
      <c r="K538" s="15" t="n">
        <f aca="false">Ipotesi!K12</f>
        <v>1</v>
      </c>
      <c r="L538" s="15" t="n">
        <f aca="false">Ipotesi!K13</f>
        <v>90</v>
      </c>
      <c r="M538" s="17" t="n">
        <f aca="false">INDEX(Ipotesi!$C$40:$G$40,1,F538)</f>
        <v>1</v>
      </c>
      <c r="N538" s="17" t="n">
        <f aca="false">INDEX(Ipotesi!$C$41:$G$41,1,F538)</f>
        <v>1</v>
      </c>
      <c r="O538" s="17" t="n">
        <f aca="false">INDEX(Ipotesi!$C$42:$G$42,1,F538)*Ipotesi!K125</f>
        <v>8.5</v>
      </c>
      <c r="P538" s="17" t="n">
        <f aca="false">INDEX(Ipotesi!$C$43:$G$43,1,F538)*I538</f>
        <v>7</v>
      </c>
      <c r="Q538" s="17" t="n">
        <f aca="false">INDEX(Ipotesi!$C$44:$G$44,1,F538)*I538</f>
        <v>6</v>
      </c>
      <c r="R538" s="17" t="n">
        <f aca="false">INDEX(Ipotesi!$C$45:$G$45,1,F538)*I538</f>
        <v>2</v>
      </c>
      <c r="S538" s="17" t="n">
        <f aca="false">INDEX(Ipotesi!$C$52:$G$52,1,F538)*Ipotesi!K125</f>
        <v>9</v>
      </c>
      <c r="T538" s="17" t="n">
        <f aca="false">INDEX(Ipotesi!$C$53:$G$53,1,F538)*I538</f>
        <v>1</v>
      </c>
      <c r="U538" s="17" t="n">
        <f aca="false">INDEX(Ipotesi!$C$54:$G$54,1,F538)*I538</f>
        <v>1</v>
      </c>
      <c r="V538" s="15" t="n">
        <f aca="false">M538*INDEX(Ipotesi!$C$58:$G$58,1,F538)*K538/12</f>
        <v>8333.33333333333</v>
      </c>
      <c r="W538" s="15" t="n">
        <f aca="false">N538*Ipotesi!$C$59*(1+Ipotesi!$C$66)^(F538-1)/12</f>
        <v>6565.46805833334</v>
      </c>
      <c r="X538" s="15" t="n">
        <f aca="false">O538*Ipotesi!$C$60*(1+Ipotesi!$C$66)^(F538-1)/12</f>
        <v>39861.7703541667</v>
      </c>
      <c r="Y538" s="15" t="n">
        <f aca="false">P538*Ipotesi!$C$61*(1+Ipotesi!$C$66)^(F538-1)/12</f>
        <v>32827.3402916667</v>
      </c>
      <c r="Z538" s="15" t="n">
        <f aca="false">Q538*Ipotesi!$C$62*(1+Ipotesi!$C$66)^(F538-1)/12</f>
        <v>25323.948225</v>
      </c>
      <c r="AA538" s="15" t="n">
        <f aca="false">R538*Ipotesi!$C$63*(1+Ipotesi!$C$66)^(F538-1)/12</f>
        <v>6565.46805833334</v>
      </c>
      <c r="AB538" s="15" t="n">
        <f aca="false">SUM(V538:AA538)</f>
        <v>119477.328320833</v>
      </c>
      <c r="AC538" s="15" t="n">
        <f aca="false">(S538*Ipotesi!$C$64+T538*Ipotesi!$C$65+U538*Ipotesi!$C$63)*(1+Ipotesi!$C$66)^(F538-1)/12</f>
        <v>44363.8055941667</v>
      </c>
      <c r="AD538" s="15" t="n">
        <f aca="false">INDEX(Ipotesi!$C$48:$G$48,1,F538)*G538/12</f>
        <v>95.8333333333333</v>
      </c>
      <c r="AE538" s="15" t="n">
        <f aca="false">INDEX(Ipotesi!$C$50:$G$50,1,F538)*G538/12</f>
        <v>9.58333333333333</v>
      </c>
      <c r="AF538" s="15" t="n">
        <f aca="false">(S538*Parametri_v3!$C$7*Parametri_v3!$C$8+Parametri_v3!$C$10)/12</f>
        <v>115.5</v>
      </c>
      <c r="AG538" s="15" t="n">
        <f aca="false">AD538+AE538*(1+Parametri_v3!$C$9)</f>
        <v>110.208333333333</v>
      </c>
      <c r="AH538" s="16" t="n">
        <f aca="false">IF(AG538=0,1,MIN(1,AF538/AG538))</f>
        <v>1</v>
      </c>
      <c r="AI538" s="15" t="n">
        <f aca="false">AD538*AH538</f>
        <v>95.8333333333333</v>
      </c>
      <c r="AJ538" s="15" t="n">
        <f aca="false">AE538*AH538</f>
        <v>9.58333333333333</v>
      </c>
      <c r="AK538" s="15" t="n">
        <f aca="false">AI538*INDEX(Ipotesi!$C$49:$G$49,1,F538)*H538</f>
        <v>91041.6666666667</v>
      </c>
      <c r="AL538" s="15" t="n">
        <f aca="false">AJ538*INDEX(Ipotesi!$C$51:$G$51,1,F538)*H538</f>
        <v>24916.6666666667</v>
      </c>
      <c r="AM538" s="15" t="n">
        <f aca="false">AK538+AL538</f>
        <v>115958.333333333</v>
      </c>
      <c r="AN538" s="15" t="n">
        <f aca="false">INDEX(Ipotesi!$C$30:$G$30,1,F538)*G538/12</f>
        <v>81.6666666666667</v>
      </c>
      <c r="AO538" s="15" t="n">
        <f aca="false">O538*Parametri_v3!$C$7*Parametri_v3!$C$11*(1-Parametri_v3!$C$14)/12</f>
        <v>87.2666666666667</v>
      </c>
      <c r="AP538" s="15" t="n">
        <f aca="false">MIN(AN538,AO538)</f>
        <v>81.6666666666667</v>
      </c>
      <c r="AQ538" s="15" t="n">
        <f aca="false">AP538*INDEX(Ipotesi!$C$31:$G$31,1,F538)*H538</f>
        <v>89833.3333333333</v>
      </c>
      <c r="AR538" s="15" t="n">
        <f aca="false">INDEX(Ipotesi!$C$75:$G$75,1,F538)*J538/12</f>
        <v>35833.3333333333</v>
      </c>
      <c r="AS538" s="15" t="n">
        <f aca="false">INDEX(Ipotesi!$C$81:$G$81,1,F538)*J538/12</f>
        <v>2083.33333333333</v>
      </c>
      <c r="AT538" s="15" t="n">
        <f aca="false">AR538*Parametri_v3!$C$15+Z538*Parametri_v3!$C$16</f>
        <v>53560.0970908333</v>
      </c>
      <c r="AU538" s="15" t="n">
        <f aca="false">Q538*Parametri_v3!$C$16*Parametri_v3!$C$17</f>
        <v>420</v>
      </c>
      <c r="AV538" s="17" t="n">
        <f aca="false">BD537</f>
        <v>183.658180683785</v>
      </c>
      <c r="AW538" s="17" t="n">
        <f aca="false">AV538*(1-(1-INDEX(Ipotesi!$C$34:$G$34,1,F538))^(1/12))</f>
        <v>1.60546836418504</v>
      </c>
      <c r="AX538" s="15" t="n">
        <f aca="false">ROUND(INDEX(Ipotesi!$C$32:$G$32,1,F538)*Ipotesi!K8,0)</f>
        <v>560</v>
      </c>
      <c r="AY538" s="15" t="n">
        <f aca="false">MAX(0,(AX538-(AV538-AW538))/(13-E538))</f>
        <v>53.9924696686286</v>
      </c>
      <c r="AZ538" s="15" t="n">
        <f aca="false">MIN(P538*Parametri_v3!$C$22,Q538*(1-Parametri_v3!$C$16)*Parametri_v3!$C$23)</f>
        <v>270</v>
      </c>
      <c r="BA538" s="15" t="n">
        <f aca="false">IF(OR(INDEX(Ipotesi!$C$35:$G$35,1,F538)&lt;=0,54-Parametri_v3!$C$21&lt;1),0,INDEX($AT$485:$AT$544,MAX(1,54-Parametri_v3!$C$21))/(INDEX(Ipotesi!$C$35:$G$35,1,F538)*Ipotesi!K27))</f>
        <v>8.24001493705128</v>
      </c>
      <c r="BB538" s="15" t="n">
        <f aca="false">IF(54-Parametri_v3!$C$21&lt;1,0,INDEX($AU$485:$AU$544,MAX(1,54-Parametri_v3!$C$21)))*Parametri_v3!$C$18*Parametri_v3!$C$19*Parametri_v3!$C$20</f>
        <v>15.75</v>
      </c>
      <c r="BC538" s="17" t="n">
        <f aca="false">MAX(0,MIN(AY538,BA538,BB538,MAX(0,AZ538-(AV538-AW538))))</f>
        <v>8.24001493705128</v>
      </c>
      <c r="BD538" s="17" t="n">
        <f aca="false">AV538-AW538+BC538</f>
        <v>190.292727256651</v>
      </c>
      <c r="BE538" s="17" t="n">
        <f aca="false">(AV538+BD538)/2</f>
        <v>186.975453970218</v>
      </c>
      <c r="BF538" s="15" t="n">
        <f aca="false">BE538*INDEX(Ipotesi!$C$33:$G$33,1,F538)*H538/12</f>
        <v>96603.9845512792</v>
      </c>
      <c r="BG538" s="15" t="n">
        <f aca="false">BD538*INDEX(Ipotesi!$C$33:$G$33,1,F538)*H538</f>
        <v>1179814.90899124</v>
      </c>
      <c r="BH538" s="15" t="n">
        <f aca="false">AM538*INDEX(Ipotesi!$C$37:$G$37,1,F538)</f>
        <v>11595.8333333333</v>
      </c>
      <c r="BI538" s="15" t="n">
        <f aca="false">AQ538+BF538+BH538</f>
        <v>198033.151217946</v>
      </c>
      <c r="BJ538" s="15" t="n">
        <f aca="false">INDEX(Ipotesi!$C$68:$G$68,1,F538)*Ipotesi!$C$69/12</f>
        <v>3333.33333333333</v>
      </c>
      <c r="BK538" s="15" t="n">
        <f aca="false">INDEX(Ipotesi!$C$68:$G$68,1,F538)*(1-Ipotesi!$C$69)/12</f>
        <v>5000</v>
      </c>
      <c r="BL538" s="15" t="n">
        <f aca="false">(AQ538+BF538)*Ipotesi!$C$67</f>
        <v>5593.11953653838</v>
      </c>
      <c r="BM538" s="15" t="n">
        <f aca="false">AM538*Ipotesi!$C$67</f>
        <v>3478.75</v>
      </c>
      <c r="BN538" s="15" t="n">
        <f aca="false">INDEX(Ipotesi!$C$72:$G$72,1,F538)/12*Ipotesi!K126+BF538*Ipotesi!$C$73</f>
        <v>8978.31876410234</v>
      </c>
      <c r="BO538" s="15" t="n">
        <f aca="false">INDEX(Ipotesi!$C$74:$G$74,1,F538)/12*Ipotesi!K126</f>
        <v>5416.66666666667</v>
      </c>
      <c r="BP538" s="15" t="n">
        <f aca="false">INDEX(Ipotesi!$C$76:$G$76,1,F538)/12</f>
        <v>1916.66666666667</v>
      </c>
      <c r="BQ538" s="15" t="n">
        <f aca="false">INDEX(Ipotesi!$C$77:$G$77,1,F538)/12*Ipotesi!K126</f>
        <v>2500</v>
      </c>
      <c r="BR538" s="15" t="n">
        <f aca="false">INDEX(Ipotesi!$C$78:$G$78,1,F538)/12</f>
        <v>2333.33333333333</v>
      </c>
      <c r="BS538" s="15" t="n">
        <f aca="false">SUM(M538:R538)*(Ipotesi!$C$85+Ipotesi!$C$86)/12</f>
        <v>7437.5</v>
      </c>
      <c r="BT538" s="15" t="n">
        <f aca="false">BI538*Ipotesi!$C$87</f>
        <v>5940.99453653838</v>
      </c>
      <c r="BU538" s="15" t="n">
        <f aca="false">INDEX(Ipotesi!$C$55:$G$55,1,F538)*K538/12</f>
        <v>2000</v>
      </c>
      <c r="BV538" s="15" t="n">
        <f aca="false">INDEX(Ipotesi!$C$80:$G$80,1,F538)/12*Ipotesi!K126</f>
        <v>2083.33333333333</v>
      </c>
      <c r="BW538" s="15" t="n">
        <f aca="false">INDEX(Ipotesi!$C$82:$G$82,1,F538)/12</f>
        <v>1500</v>
      </c>
      <c r="BX538" s="15" t="n">
        <f aca="false">INDEX(Ipotesi!$C$83:$G$83,1,F538)/12</f>
        <v>833.333333333333</v>
      </c>
      <c r="BY538" s="15" t="n">
        <f aca="false">SUM(S538:U538)*(Ipotesi!$C$85+Ipotesi!$C$86)/12</f>
        <v>3208.33333333333</v>
      </c>
      <c r="BZ538" s="15" t="n">
        <f aca="false">AM538*Ipotesi!$C$87</f>
        <v>3478.75</v>
      </c>
      <c r="CA538" s="15" t="n">
        <f aca="false">AB538+BJ538+BL538+BN538+BO538+AR538+BP538+BQ538+BR538+BS538+BT538</f>
        <v>198760.594491346</v>
      </c>
      <c r="CB538" s="15" t="n">
        <f aca="false">AC538+BK538+BM538+BH538+BU538+BV538+AS538+BW538+BX538+BY538+BZ538</f>
        <v>79625.4722608333</v>
      </c>
      <c r="CC538" s="15" t="n">
        <f aca="false">BI538-CA538</f>
        <v>-727.443273399869</v>
      </c>
      <c r="CD538" s="15" t="n">
        <f aca="false">AM538-CB538</f>
        <v>36332.8610725</v>
      </c>
      <c r="CE538" s="15" t="n">
        <f aca="false">INDEX(Ipotesi!$C$79:$G$79,1,F538)/12</f>
        <v>4166.66666666667</v>
      </c>
      <c r="CF538" s="15" t="n">
        <f aca="false">INDEX(Ipotesi!$C$84:$G$84,1,F538)/12</f>
        <v>666.666666666667</v>
      </c>
      <c r="CG538" s="15" t="n">
        <f aca="false">Y538*MAX(0,Parametri_v3!$C$12-IF(P538=0,0,MIN(1,BE538/(P538*Parametri_v3!$C$22))))+W538*Parametri_v3!$C$13+X538*Parametri_v3!$C$14</f>
        <v>35313.9900292821</v>
      </c>
      <c r="CH538" s="15" t="n">
        <f aca="false">AB538*Parametri_v3!$C$32</f>
        <v>5973.86641604167</v>
      </c>
      <c r="CI538" s="15" t="n">
        <f aca="false">AC538*Parametri_v3!$C$32</f>
        <v>2218.19027970833</v>
      </c>
      <c r="CJ538" s="15" t="n">
        <f aca="false">CA538-AB538</f>
        <v>79283.2661705124</v>
      </c>
      <c r="CK538" s="15" t="n">
        <f aca="false">CB538-AC538-BH538</f>
        <v>23665.8333333333</v>
      </c>
      <c r="CL538" s="15" t="n">
        <f aca="false">BF538*Ipotesi!$C$73+INDEX(Ipotesi!$C$72:$G$72,1,F538)/12*Ipotesi!K126*Parametri_v3!$C$58+Z538*(1-Parametri_v3!$C$16)</f>
        <v>16575.5032316023</v>
      </c>
      <c r="CM538" s="16" t="n">
        <f aca="false">IF(BF538=0,0,1-CL538/BF538)</f>
        <v>0.828418017035273</v>
      </c>
    </row>
    <row r="539" customFormat="false" ht="18" hidden="false" customHeight="true" outlineLevel="0" collapsed="false">
      <c r="A539" s="68" t="n">
        <f aca="false">9</f>
        <v>9</v>
      </c>
      <c r="B539" s="68" t="n">
        <f aca="false">55</f>
        <v>55</v>
      </c>
      <c r="C539" s="18" t="n">
        <f aca="false">EDATE(Parametri_v3!$C$5,55-1)</f>
        <v>48030</v>
      </c>
      <c r="D539" s="68" t="n">
        <f aca="false">YEAR(C539)</f>
        <v>2031</v>
      </c>
      <c r="E539" s="68" t="n">
        <f aca="false">MONTH(C539)</f>
        <v>7</v>
      </c>
      <c r="F539" s="68" t="n">
        <f aca="false">INT((55-1)/12)+1</f>
        <v>5</v>
      </c>
      <c r="G539" s="15" t="n">
        <f aca="false">Ipotesi!K7</f>
        <v>1</v>
      </c>
      <c r="H539" s="15" t="n">
        <f aca="false">Ipotesi!K9</f>
        <v>1</v>
      </c>
      <c r="I539" s="15" t="n">
        <f aca="false">Ipotesi!K10</f>
        <v>1</v>
      </c>
      <c r="J539" s="15" t="n">
        <f aca="false">Ipotesi!K11</f>
        <v>1</v>
      </c>
      <c r="K539" s="15" t="n">
        <f aca="false">Ipotesi!K12</f>
        <v>1</v>
      </c>
      <c r="L539" s="15" t="n">
        <f aca="false">Ipotesi!K13</f>
        <v>90</v>
      </c>
      <c r="M539" s="17" t="n">
        <f aca="false">INDEX(Ipotesi!$C$40:$G$40,1,F539)</f>
        <v>1</v>
      </c>
      <c r="N539" s="17" t="n">
        <f aca="false">INDEX(Ipotesi!$C$41:$G$41,1,F539)</f>
        <v>1</v>
      </c>
      <c r="O539" s="17" t="n">
        <f aca="false">INDEX(Ipotesi!$C$42:$G$42,1,F539)*Ipotesi!K125</f>
        <v>8.5</v>
      </c>
      <c r="P539" s="17" t="n">
        <f aca="false">INDEX(Ipotesi!$C$43:$G$43,1,F539)*I539</f>
        <v>7</v>
      </c>
      <c r="Q539" s="17" t="n">
        <f aca="false">INDEX(Ipotesi!$C$44:$G$44,1,F539)*I539</f>
        <v>6</v>
      </c>
      <c r="R539" s="17" t="n">
        <f aca="false">INDEX(Ipotesi!$C$45:$G$45,1,F539)*I539</f>
        <v>2</v>
      </c>
      <c r="S539" s="17" t="n">
        <f aca="false">INDEX(Ipotesi!$C$52:$G$52,1,F539)*Ipotesi!K125</f>
        <v>9</v>
      </c>
      <c r="T539" s="17" t="n">
        <f aca="false">INDEX(Ipotesi!$C$53:$G$53,1,F539)*I539</f>
        <v>1</v>
      </c>
      <c r="U539" s="17" t="n">
        <f aca="false">INDEX(Ipotesi!$C$54:$G$54,1,F539)*I539</f>
        <v>1</v>
      </c>
      <c r="V539" s="15" t="n">
        <f aca="false">M539*INDEX(Ipotesi!$C$58:$G$58,1,F539)*K539/12</f>
        <v>8333.33333333333</v>
      </c>
      <c r="W539" s="15" t="n">
        <f aca="false">N539*Ipotesi!$C$59*(1+Ipotesi!$C$66)^(F539-1)/12</f>
        <v>6565.46805833334</v>
      </c>
      <c r="X539" s="15" t="n">
        <f aca="false">O539*Ipotesi!$C$60*(1+Ipotesi!$C$66)^(F539-1)/12</f>
        <v>39861.7703541667</v>
      </c>
      <c r="Y539" s="15" t="n">
        <f aca="false">P539*Ipotesi!$C$61*(1+Ipotesi!$C$66)^(F539-1)/12</f>
        <v>32827.3402916667</v>
      </c>
      <c r="Z539" s="15" t="n">
        <f aca="false">Q539*Ipotesi!$C$62*(1+Ipotesi!$C$66)^(F539-1)/12</f>
        <v>25323.948225</v>
      </c>
      <c r="AA539" s="15" t="n">
        <f aca="false">R539*Ipotesi!$C$63*(1+Ipotesi!$C$66)^(F539-1)/12</f>
        <v>6565.46805833334</v>
      </c>
      <c r="AB539" s="15" t="n">
        <f aca="false">SUM(V539:AA539)</f>
        <v>119477.328320833</v>
      </c>
      <c r="AC539" s="15" t="n">
        <f aca="false">(S539*Ipotesi!$C$64+T539*Ipotesi!$C$65+U539*Ipotesi!$C$63)*(1+Ipotesi!$C$66)^(F539-1)/12</f>
        <v>44363.8055941667</v>
      </c>
      <c r="AD539" s="15" t="n">
        <f aca="false">INDEX(Ipotesi!$C$48:$G$48,1,F539)*G539/12</f>
        <v>95.8333333333333</v>
      </c>
      <c r="AE539" s="15" t="n">
        <f aca="false">INDEX(Ipotesi!$C$50:$G$50,1,F539)*G539/12</f>
        <v>9.58333333333333</v>
      </c>
      <c r="AF539" s="15" t="n">
        <f aca="false">(S539*Parametri_v3!$C$7*Parametri_v3!$C$8+Parametri_v3!$C$10)/12</f>
        <v>115.5</v>
      </c>
      <c r="AG539" s="15" t="n">
        <f aca="false">AD539+AE539*(1+Parametri_v3!$C$9)</f>
        <v>110.208333333333</v>
      </c>
      <c r="AH539" s="16" t="n">
        <f aca="false">IF(AG539=0,1,MIN(1,AF539/AG539))</f>
        <v>1</v>
      </c>
      <c r="AI539" s="15" t="n">
        <f aca="false">AD539*AH539</f>
        <v>95.8333333333333</v>
      </c>
      <c r="AJ539" s="15" t="n">
        <f aca="false">AE539*AH539</f>
        <v>9.58333333333333</v>
      </c>
      <c r="AK539" s="15" t="n">
        <f aca="false">AI539*INDEX(Ipotesi!$C$49:$G$49,1,F539)*H539</f>
        <v>91041.6666666667</v>
      </c>
      <c r="AL539" s="15" t="n">
        <f aca="false">AJ539*INDEX(Ipotesi!$C$51:$G$51,1,F539)*H539</f>
        <v>24916.6666666667</v>
      </c>
      <c r="AM539" s="15" t="n">
        <f aca="false">AK539+AL539</f>
        <v>115958.333333333</v>
      </c>
      <c r="AN539" s="15" t="n">
        <f aca="false">INDEX(Ipotesi!$C$30:$G$30,1,F539)*G539/12</f>
        <v>81.6666666666667</v>
      </c>
      <c r="AO539" s="15" t="n">
        <f aca="false">O539*Parametri_v3!$C$7*Parametri_v3!$C$11*(1-Parametri_v3!$C$14)/12</f>
        <v>87.2666666666667</v>
      </c>
      <c r="AP539" s="15" t="n">
        <f aca="false">MIN(AN539,AO539)</f>
        <v>81.6666666666667</v>
      </c>
      <c r="AQ539" s="15" t="n">
        <f aca="false">AP539*INDEX(Ipotesi!$C$31:$G$31,1,F539)*H539</f>
        <v>89833.3333333333</v>
      </c>
      <c r="AR539" s="15" t="n">
        <f aca="false">INDEX(Ipotesi!$C$75:$G$75,1,F539)*J539/12</f>
        <v>35833.3333333333</v>
      </c>
      <c r="AS539" s="15" t="n">
        <f aca="false">INDEX(Ipotesi!$C$81:$G$81,1,F539)*J539/12</f>
        <v>2083.33333333333</v>
      </c>
      <c r="AT539" s="15" t="n">
        <f aca="false">AR539*Parametri_v3!$C$15+Z539*Parametri_v3!$C$16</f>
        <v>53560.0970908333</v>
      </c>
      <c r="AU539" s="15" t="n">
        <f aca="false">Q539*Parametri_v3!$C$16*Parametri_v3!$C$17</f>
        <v>420</v>
      </c>
      <c r="AV539" s="17" t="n">
        <f aca="false">BD538</f>
        <v>190.292727256651</v>
      </c>
      <c r="AW539" s="17" t="n">
        <f aca="false">AV539*(1-(1-INDEX(Ipotesi!$C$34:$G$34,1,F539))^(1/12))</f>
        <v>1.66346498918586</v>
      </c>
      <c r="AX539" s="15" t="n">
        <f aca="false">ROUND(INDEX(Ipotesi!$C$32:$G$32,1,F539)*Ipotesi!K8,0)</f>
        <v>560</v>
      </c>
      <c r="AY539" s="15" t="n">
        <f aca="false">MAX(0,(AX539-(AV539-AW539))/(13-E539))</f>
        <v>61.8951229554225</v>
      </c>
      <c r="AZ539" s="15" t="n">
        <f aca="false">MIN(P539*Parametri_v3!$C$22,Q539*(1-Parametri_v3!$C$16)*Parametri_v3!$C$23)</f>
        <v>270</v>
      </c>
      <c r="BA539" s="15" t="n">
        <f aca="false">IF(OR(INDEX(Ipotesi!$C$35:$G$35,1,F539)&lt;=0,55-Parametri_v3!$C$21&lt;1),0,INDEX($AT$485:$AT$544,MAX(1,55-Parametri_v3!$C$21))/(INDEX(Ipotesi!$C$35:$G$35,1,F539)*Ipotesi!K27))</f>
        <v>8.24001493705128</v>
      </c>
      <c r="BB539" s="15" t="n">
        <f aca="false">IF(55-Parametri_v3!$C$21&lt;1,0,INDEX($AU$485:$AU$544,MAX(1,55-Parametri_v3!$C$21)))*Parametri_v3!$C$18*Parametri_v3!$C$19*Parametri_v3!$C$20</f>
        <v>15.75</v>
      </c>
      <c r="BC539" s="17" t="n">
        <f aca="false">MAX(0,MIN(AY539,BA539,BB539,MAX(0,AZ539-(AV539-AW539))))</f>
        <v>8.24001493705128</v>
      </c>
      <c r="BD539" s="17" t="n">
        <f aca="false">AV539-AW539+BC539</f>
        <v>196.869277204516</v>
      </c>
      <c r="BE539" s="17" t="n">
        <f aca="false">(AV539+BD539)/2</f>
        <v>193.581002230584</v>
      </c>
      <c r="BF539" s="15" t="n">
        <f aca="false">BE539*INDEX(Ipotesi!$C$33:$G$33,1,F539)*H539/12</f>
        <v>100016.851152468</v>
      </c>
      <c r="BG539" s="15" t="n">
        <f aca="false">BD539*INDEX(Ipotesi!$C$33:$G$33,1,F539)*H539</f>
        <v>1220589.518668</v>
      </c>
      <c r="BH539" s="15" t="n">
        <f aca="false">AM539*INDEX(Ipotesi!$C$37:$G$37,1,F539)</f>
        <v>11595.8333333333</v>
      </c>
      <c r="BI539" s="15" t="n">
        <f aca="false">AQ539+BF539+BH539</f>
        <v>201446.017819135</v>
      </c>
      <c r="BJ539" s="15" t="n">
        <f aca="false">INDEX(Ipotesi!$C$68:$G$68,1,F539)*Ipotesi!$C$69/12</f>
        <v>3333.33333333333</v>
      </c>
      <c r="BK539" s="15" t="n">
        <f aca="false">INDEX(Ipotesi!$C$68:$G$68,1,F539)*(1-Ipotesi!$C$69)/12</f>
        <v>5000</v>
      </c>
      <c r="BL539" s="15" t="n">
        <f aca="false">(AQ539+BF539)*Ipotesi!$C$67</f>
        <v>5695.50553457405</v>
      </c>
      <c r="BM539" s="15" t="n">
        <f aca="false">AM539*Ipotesi!$C$67</f>
        <v>3478.75</v>
      </c>
      <c r="BN539" s="15" t="n">
        <f aca="false">INDEX(Ipotesi!$C$72:$G$72,1,F539)/12*Ipotesi!K126+BF539*Ipotesi!$C$73</f>
        <v>9251.34809219746</v>
      </c>
      <c r="BO539" s="15" t="n">
        <f aca="false">INDEX(Ipotesi!$C$74:$G$74,1,F539)/12*Ipotesi!K126</f>
        <v>5416.66666666667</v>
      </c>
      <c r="BP539" s="15" t="n">
        <f aca="false">INDEX(Ipotesi!$C$76:$G$76,1,F539)/12</f>
        <v>1916.66666666667</v>
      </c>
      <c r="BQ539" s="15" t="n">
        <f aca="false">INDEX(Ipotesi!$C$77:$G$77,1,F539)/12*Ipotesi!K126</f>
        <v>2500</v>
      </c>
      <c r="BR539" s="15" t="n">
        <f aca="false">INDEX(Ipotesi!$C$78:$G$78,1,F539)/12</f>
        <v>2333.33333333333</v>
      </c>
      <c r="BS539" s="15" t="n">
        <f aca="false">SUM(M539:R539)*(Ipotesi!$C$85+Ipotesi!$C$86)/12</f>
        <v>7437.5</v>
      </c>
      <c r="BT539" s="15" t="n">
        <f aca="false">BI539*Ipotesi!$C$87</f>
        <v>6043.38053457405</v>
      </c>
      <c r="BU539" s="15" t="n">
        <f aca="false">INDEX(Ipotesi!$C$55:$G$55,1,F539)*K539/12</f>
        <v>2000</v>
      </c>
      <c r="BV539" s="15" t="n">
        <f aca="false">INDEX(Ipotesi!$C$80:$G$80,1,F539)/12*Ipotesi!K126</f>
        <v>2083.33333333333</v>
      </c>
      <c r="BW539" s="15" t="n">
        <f aca="false">INDEX(Ipotesi!$C$82:$G$82,1,F539)/12</f>
        <v>1500</v>
      </c>
      <c r="BX539" s="15" t="n">
        <f aca="false">INDEX(Ipotesi!$C$83:$G$83,1,F539)/12</f>
        <v>833.333333333333</v>
      </c>
      <c r="BY539" s="15" t="n">
        <f aca="false">SUM(S539:U539)*(Ipotesi!$C$85+Ipotesi!$C$86)/12</f>
        <v>3208.33333333333</v>
      </c>
      <c r="BZ539" s="15" t="n">
        <f aca="false">AM539*Ipotesi!$C$87</f>
        <v>3478.75</v>
      </c>
      <c r="CA539" s="15" t="n">
        <f aca="false">AB539+BJ539+BL539+BN539+BO539+AR539+BP539+BQ539+BR539+BS539+BT539</f>
        <v>199238.395815512</v>
      </c>
      <c r="CB539" s="15" t="n">
        <f aca="false">AC539+BK539+BM539+BH539+BU539+BV539+AS539+BW539+BX539+BY539+BZ539</f>
        <v>79625.4722608333</v>
      </c>
      <c r="CC539" s="15" t="n">
        <f aca="false">BI539-CA539</f>
        <v>2207.6220036227</v>
      </c>
      <c r="CD539" s="15" t="n">
        <f aca="false">AM539-CB539</f>
        <v>36332.8610725</v>
      </c>
      <c r="CE539" s="15" t="n">
        <f aca="false">INDEX(Ipotesi!$C$79:$G$79,1,F539)/12</f>
        <v>4166.66666666667</v>
      </c>
      <c r="CF539" s="15" t="n">
        <f aca="false">INDEX(Ipotesi!$C$84:$G$84,1,F539)/12</f>
        <v>666.666666666667</v>
      </c>
      <c r="CG539" s="15" t="n">
        <f aca="false">Y539*MAX(0,Parametri_v3!$C$12-IF(P539=0,0,MIN(1,BE539/(P539*Parametri_v3!$C$22))))+W539*Parametri_v3!$C$13+X539*Parametri_v3!$C$14</f>
        <v>35004.214914202</v>
      </c>
      <c r="CH539" s="15" t="n">
        <f aca="false">AB539*Parametri_v3!$C$32</f>
        <v>5973.86641604167</v>
      </c>
      <c r="CI539" s="15" t="n">
        <f aca="false">AC539*Parametri_v3!$C$32</f>
        <v>2218.19027970833</v>
      </c>
      <c r="CJ539" s="15" t="n">
        <f aca="false">CA539-AB539</f>
        <v>79761.0674946789</v>
      </c>
      <c r="CK539" s="15" t="n">
        <f aca="false">CB539-AC539-BH539</f>
        <v>23665.8333333333</v>
      </c>
      <c r="CL539" s="15" t="n">
        <f aca="false">BF539*Ipotesi!$C$73+INDEX(Ipotesi!$C$72:$G$72,1,F539)/12*Ipotesi!K126*Parametri_v3!$C$58+Z539*(1-Parametri_v3!$C$16)</f>
        <v>16848.5325596975</v>
      </c>
      <c r="CM539" s="16" t="n">
        <f aca="false">IF(BF539=0,0,1-CL539/BF539)</f>
        <v>0.831543061338603</v>
      </c>
    </row>
    <row r="540" customFormat="false" ht="18" hidden="false" customHeight="true" outlineLevel="0" collapsed="false">
      <c r="A540" s="68" t="n">
        <f aca="false">9</f>
        <v>9</v>
      </c>
      <c r="B540" s="68" t="n">
        <f aca="false">56</f>
        <v>56</v>
      </c>
      <c r="C540" s="18" t="n">
        <f aca="false">EDATE(Parametri_v3!$C$5,56-1)</f>
        <v>48061</v>
      </c>
      <c r="D540" s="68" t="n">
        <f aca="false">YEAR(C540)</f>
        <v>2031</v>
      </c>
      <c r="E540" s="68" t="n">
        <f aca="false">MONTH(C540)</f>
        <v>8</v>
      </c>
      <c r="F540" s="68" t="n">
        <f aca="false">INT((56-1)/12)+1</f>
        <v>5</v>
      </c>
      <c r="G540" s="15" t="n">
        <f aca="false">Ipotesi!K7</f>
        <v>1</v>
      </c>
      <c r="H540" s="15" t="n">
        <f aca="false">Ipotesi!K9</f>
        <v>1</v>
      </c>
      <c r="I540" s="15" t="n">
        <f aca="false">Ipotesi!K10</f>
        <v>1</v>
      </c>
      <c r="J540" s="15" t="n">
        <f aca="false">Ipotesi!K11</f>
        <v>1</v>
      </c>
      <c r="K540" s="15" t="n">
        <f aca="false">Ipotesi!K12</f>
        <v>1</v>
      </c>
      <c r="L540" s="15" t="n">
        <f aca="false">Ipotesi!K13</f>
        <v>90</v>
      </c>
      <c r="M540" s="17" t="n">
        <f aca="false">INDEX(Ipotesi!$C$40:$G$40,1,F540)</f>
        <v>1</v>
      </c>
      <c r="N540" s="17" t="n">
        <f aca="false">INDEX(Ipotesi!$C$41:$G$41,1,F540)</f>
        <v>1</v>
      </c>
      <c r="O540" s="17" t="n">
        <f aca="false">INDEX(Ipotesi!$C$42:$G$42,1,F540)*Ipotesi!K125</f>
        <v>8.5</v>
      </c>
      <c r="P540" s="17" t="n">
        <f aca="false">INDEX(Ipotesi!$C$43:$G$43,1,F540)*I540</f>
        <v>7</v>
      </c>
      <c r="Q540" s="17" t="n">
        <f aca="false">INDEX(Ipotesi!$C$44:$G$44,1,F540)*I540</f>
        <v>6</v>
      </c>
      <c r="R540" s="17" t="n">
        <f aca="false">INDEX(Ipotesi!$C$45:$G$45,1,F540)*I540</f>
        <v>2</v>
      </c>
      <c r="S540" s="17" t="n">
        <f aca="false">INDEX(Ipotesi!$C$52:$G$52,1,F540)*Ipotesi!K125</f>
        <v>9</v>
      </c>
      <c r="T540" s="17" t="n">
        <f aca="false">INDEX(Ipotesi!$C$53:$G$53,1,F540)*I540</f>
        <v>1</v>
      </c>
      <c r="U540" s="17" t="n">
        <f aca="false">INDEX(Ipotesi!$C$54:$G$54,1,F540)*I540</f>
        <v>1</v>
      </c>
      <c r="V540" s="15" t="n">
        <f aca="false">M540*INDEX(Ipotesi!$C$58:$G$58,1,F540)*K540/12</f>
        <v>8333.33333333333</v>
      </c>
      <c r="W540" s="15" t="n">
        <f aca="false">N540*Ipotesi!$C$59*(1+Ipotesi!$C$66)^(F540-1)/12</f>
        <v>6565.46805833334</v>
      </c>
      <c r="X540" s="15" t="n">
        <f aca="false">O540*Ipotesi!$C$60*(1+Ipotesi!$C$66)^(F540-1)/12</f>
        <v>39861.7703541667</v>
      </c>
      <c r="Y540" s="15" t="n">
        <f aca="false">P540*Ipotesi!$C$61*(1+Ipotesi!$C$66)^(F540-1)/12</f>
        <v>32827.3402916667</v>
      </c>
      <c r="Z540" s="15" t="n">
        <f aca="false">Q540*Ipotesi!$C$62*(1+Ipotesi!$C$66)^(F540-1)/12</f>
        <v>25323.948225</v>
      </c>
      <c r="AA540" s="15" t="n">
        <f aca="false">R540*Ipotesi!$C$63*(1+Ipotesi!$C$66)^(F540-1)/12</f>
        <v>6565.46805833334</v>
      </c>
      <c r="AB540" s="15" t="n">
        <f aca="false">SUM(V540:AA540)</f>
        <v>119477.328320833</v>
      </c>
      <c r="AC540" s="15" t="n">
        <f aca="false">(S540*Ipotesi!$C$64+T540*Ipotesi!$C$65+U540*Ipotesi!$C$63)*(1+Ipotesi!$C$66)^(F540-1)/12</f>
        <v>44363.8055941667</v>
      </c>
      <c r="AD540" s="15" t="n">
        <f aca="false">INDEX(Ipotesi!$C$48:$G$48,1,F540)*G540/12</f>
        <v>95.8333333333333</v>
      </c>
      <c r="AE540" s="15" t="n">
        <f aca="false">INDEX(Ipotesi!$C$50:$G$50,1,F540)*G540/12</f>
        <v>9.58333333333333</v>
      </c>
      <c r="AF540" s="15" t="n">
        <f aca="false">(S540*Parametri_v3!$C$7*Parametri_v3!$C$8+Parametri_v3!$C$10)/12</f>
        <v>115.5</v>
      </c>
      <c r="AG540" s="15" t="n">
        <f aca="false">AD540+AE540*(1+Parametri_v3!$C$9)</f>
        <v>110.208333333333</v>
      </c>
      <c r="AH540" s="16" t="n">
        <f aca="false">IF(AG540=0,1,MIN(1,AF540/AG540))</f>
        <v>1</v>
      </c>
      <c r="AI540" s="15" t="n">
        <f aca="false">AD540*AH540</f>
        <v>95.8333333333333</v>
      </c>
      <c r="AJ540" s="15" t="n">
        <f aca="false">AE540*AH540</f>
        <v>9.58333333333333</v>
      </c>
      <c r="AK540" s="15" t="n">
        <f aca="false">AI540*INDEX(Ipotesi!$C$49:$G$49,1,F540)*H540</f>
        <v>91041.6666666667</v>
      </c>
      <c r="AL540" s="15" t="n">
        <f aca="false">AJ540*INDEX(Ipotesi!$C$51:$G$51,1,F540)*H540</f>
        <v>24916.6666666667</v>
      </c>
      <c r="AM540" s="15" t="n">
        <f aca="false">AK540+AL540</f>
        <v>115958.333333333</v>
      </c>
      <c r="AN540" s="15" t="n">
        <f aca="false">INDEX(Ipotesi!$C$30:$G$30,1,F540)*G540/12</f>
        <v>81.6666666666667</v>
      </c>
      <c r="AO540" s="15" t="n">
        <f aca="false">O540*Parametri_v3!$C$7*Parametri_v3!$C$11*(1-Parametri_v3!$C$14)/12</f>
        <v>87.2666666666667</v>
      </c>
      <c r="AP540" s="15" t="n">
        <f aca="false">MIN(AN540,AO540)</f>
        <v>81.6666666666667</v>
      </c>
      <c r="AQ540" s="15" t="n">
        <f aca="false">AP540*INDEX(Ipotesi!$C$31:$G$31,1,F540)*H540</f>
        <v>89833.3333333333</v>
      </c>
      <c r="AR540" s="15" t="n">
        <f aca="false">INDEX(Ipotesi!$C$75:$G$75,1,F540)*J540/12</f>
        <v>35833.3333333333</v>
      </c>
      <c r="AS540" s="15" t="n">
        <f aca="false">INDEX(Ipotesi!$C$81:$G$81,1,F540)*J540/12</f>
        <v>2083.33333333333</v>
      </c>
      <c r="AT540" s="15" t="n">
        <f aca="false">AR540*Parametri_v3!$C$15+Z540*Parametri_v3!$C$16</f>
        <v>53560.0970908333</v>
      </c>
      <c r="AU540" s="15" t="n">
        <f aca="false">Q540*Parametri_v3!$C$16*Parametri_v3!$C$17</f>
        <v>420</v>
      </c>
      <c r="AV540" s="17" t="n">
        <f aca="false">BD539</f>
        <v>196.869277204516</v>
      </c>
      <c r="AW540" s="17" t="n">
        <f aca="false">AV540*(1-(1-INDEX(Ipotesi!$C$34:$G$34,1,F540))^(1/12))</f>
        <v>1.72095463025423</v>
      </c>
      <c r="AX540" s="15" t="n">
        <f aca="false">ROUND(INDEX(Ipotesi!$C$32:$G$32,1,F540)*Ipotesi!K8,0)</f>
        <v>560</v>
      </c>
      <c r="AY540" s="15" t="n">
        <f aca="false">MAX(0,(AX540-(AV540-AW540))/(13-E540))</f>
        <v>72.9703354851476</v>
      </c>
      <c r="AZ540" s="15" t="n">
        <f aca="false">MIN(P540*Parametri_v3!$C$22,Q540*(1-Parametri_v3!$C$16)*Parametri_v3!$C$23)</f>
        <v>270</v>
      </c>
      <c r="BA540" s="15" t="n">
        <f aca="false">IF(OR(INDEX(Ipotesi!$C$35:$G$35,1,F540)&lt;=0,56-Parametri_v3!$C$21&lt;1),0,INDEX($AT$485:$AT$544,MAX(1,56-Parametri_v3!$C$21))/(INDEX(Ipotesi!$C$35:$G$35,1,F540)*Ipotesi!K27))</f>
        <v>8.24001493705128</v>
      </c>
      <c r="BB540" s="15" t="n">
        <f aca="false">IF(56-Parametri_v3!$C$21&lt;1,0,INDEX($AU$485:$AU$544,MAX(1,56-Parametri_v3!$C$21)))*Parametri_v3!$C$18*Parametri_v3!$C$19*Parametri_v3!$C$20</f>
        <v>15.75</v>
      </c>
      <c r="BC540" s="17" t="n">
        <f aca="false">MAX(0,MIN(AY540,BA540,BB540,MAX(0,AZ540-(AV540-AW540))))</f>
        <v>8.24001493705128</v>
      </c>
      <c r="BD540" s="17" t="n">
        <f aca="false">AV540-AW540+BC540</f>
        <v>203.388337511314</v>
      </c>
      <c r="BE540" s="17" t="n">
        <f aca="false">(AV540+BD540)/2</f>
        <v>200.128807357915</v>
      </c>
      <c r="BF540" s="15" t="n">
        <f aca="false">BE540*INDEX(Ipotesi!$C$33:$G$33,1,F540)*H540/12</f>
        <v>103399.883801589</v>
      </c>
      <c r="BG540" s="15" t="n">
        <f aca="false">BD540*INDEX(Ipotesi!$C$33:$G$33,1,F540)*H540</f>
        <v>1261007.69257014</v>
      </c>
      <c r="BH540" s="15" t="n">
        <f aca="false">AM540*INDEX(Ipotesi!$C$37:$G$37,1,F540)</f>
        <v>11595.8333333333</v>
      </c>
      <c r="BI540" s="15" t="n">
        <f aca="false">AQ540+BF540+BH540</f>
        <v>204829.050468256</v>
      </c>
      <c r="BJ540" s="15" t="n">
        <f aca="false">INDEX(Ipotesi!$C$68:$G$68,1,F540)*Ipotesi!$C$69/12</f>
        <v>3333.33333333333</v>
      </c>
      <c r="BK540" s="15" t="n">
        <f aca="false">INDEX(Ipotesi!$C$68:$G$68,1,F540)*(1-Ipotesi!$C$69)/12</f>
        <v>5000</v>
      </c>
      <c r="BL540" s="15" t="n">
        <f aca="false">(AQ540+BF540)*Ipotesi!$C$67</f>
        <v>5796.99651404768</v>
      </c>
      <c r="BM540" s="15" t="n">
        <f aca="false">AM540*Ipotesi!$C$67</f>
        <v>3478.75</v>
      </c>
      <c r="BN540" s="15" t="n">
        <f aca="false">INDEX(Ipotesi!$C$72:$G$72,1,F540)/12*Ipotesi!K126+BF540*Ipotesi!$C$73</f>
        <v>9521.99070412715</v>
      </c>
      <c r="BO540" s="15" t="n">
        <f aca="false">INDEX(Ipotesi!$C$74:$G$74,1,F540)/12*Ipotesi!K126</f>
        <v>5416.66666666667</v>
      </c>
      <c r="BP540" s="15" t="n">
        <f aca="false">INDEX(Ipotesi!$C$76:$G$76,1,F540)/12</f>
        <v>1916.66666666667</v>
      </c>
      <c r="BQ540" s="15" t="n">
        <f aca="false">INDEX(Ipotesi!$C$77:$G$77,1,F540)/12*Ipotesi!K126</f>
        <v>2500</v>
      </c>
      <c r="BR540" s="15" t="n">
        <f aca="false">INDEX(Ipotesi!$C$78:$G$78,1,F540)/12</f>
        <v>2333.33333333333</v>
      </c>
      <c r="BS540" s="15" t="n">
        <f aca="false">SUM(M540:R540)*(Ipotesi!$C$85+Ipotesi!$C$86)/12</f>
        <v>7437.5</v>
      </c>
      <c r="BT540" s="15" t="n">
        <f aca="false">BI540*Ipotesi!$C$87</f>
        <v>6144.87151404768</v>
      </c>
      <c r="BU540" s="15" t="n">
        <f aca="false">INDEX(Ipotesi!$C$55:$G$55,1,F540)*K540/12</f>
        <v>2000</v>
      </c>
      <c r="BV540" s="15" t="n">
        <f aca="false">INDEX(Ipotesi!$C$80:$G$80,1,F540)/12*Ipotesi!K126</f>
        <v>2083.33333333333</v>
      </c>
      <c r="BW540" s="15" t="n">
        <f aca="false">INDEX(Ipotesi!$C$82:$G$82,1,F540)/12</f>
        <v>1500</v>
      </c>
      <c r="BX540" s="15" t="n">
        <f aca="false">INDEX(Ipotesi!$C$83:$G$83,1,F540)/12</f>
        <v>833.333333333333</v>
      </c>
      <c r="BY540" s="15" t="n">
        <f aca="false">SUM(S540:U540)*(Ipotesi!$C$85+Ipotesi!$C$86)/12</f>
        <v>3208.33333333333</v>
      </c>
      <c r="BZ540" s="15" t="n">
        <f aca="false">AM540*Ipotesi!$C$87</f>
        <v>3478.75</v>
      </c>
      <c r="CA540" s="15" t="n">
        <f aca="false">AB540+BJ540+BL540+BN540+BO540+AR540+BP540+BQ540+BR540+BS540+BT540</f>
        <v>199712.020386389</v>
      </c>
      <c r="CB540" s="15" t="n">
        <f aca="false">AC540+BK540+BM540+BH540+BU540+BV540+AS540+BW540+BX540+BY540+BZ540</f>
        <v>79625.4722608333</v>
      </c>
      <c r="CC540" s="15" t="n">
        <f aca="false">BI540-CA540</f>
        <v>5117.03008186689</v>
      </c>
      <c r="CD540" s="15" t="n">
        <f aca="false">AM540-CB540</f>
        <v>36332.8610725</v>
      </c>
      <c r="CE540" s="15" t="n">
        <f aca="false">INDEX(Ipotesi!$C$79:$G$79,1,F540)/12</f>
        <v>4166.66666666667</v>
      </c>
      <c r="CF540" s="15" t="n">
        <f aca="false">INDEX(Ipotesi!$C$84:$G$84,1,F540)/12</f>
        <v>666.666666666667</v>
      </c>
      <c r="CG540" s="15" t="n">
        <f aca="false">Y540*MAX(0,Parametri_v3!$C$12-IF(P540=0,0,MIN(1,BE540/(P540*Parametri_v3!$C$22))))+W540*Parametri_v3!$C$13+X540*Parametri_v3!$C$14</f>
        <v>34697.1477326614</v>
      </c>
      <c r="CH540" s="15" t="n">
        <f aca="false">AB540*Parametri_v3!$C$32</f>
        <v>5973.86641604167</v>
      </c>
      <c r="CI540" s="15" t="n">
        <f aca="false">AC540*Parametri_v3!$C$32</f>
        <v>2218.19027970833</v>
      </c>
      <c r="CJ540" s="15" t="n">
        <f aca="false">CA540-AB540</f>
        <v>80234.6920655558</v>
      </c>
      <c r="CK540" s="15" t="n">
        <f aca="false">CB540-AC540-BH540</f>
        <v>23665.8333333333</v>
      </c>
      <c r="CL540" s="15" t="n">
        <f aca="false">BF540*Ipotesi!$C$73+INDEX(Ipotesi!$C$72:$G$72,1,F540)/12*Ipotesi!K126*Parametri_v3!$C$58+Z540*(1-Parametri_v3!$C$16)</f>
        <v>17119.1751716272</v>
      </c>
      <c r="CM540" s="16" t="n">
        <f aca="false">IF(BF540=0,0,1-CL540/BF540)</f>
        <v>0.834437191394948</v>
      </c>
    </row>
    <row r="541" customFormat="false" ht="18" hidden="false" customHeight="true" outlineLevel="0" collapsed="false">
      <c r="A541" s="68" t="n">
        <f aca="false">9</f>
        <v>9</v>
      </c>
      <c r="B541" s="68" t="n">
        <f aca="false">57</f>
        <v>57</v>
      </c>
      <c r="C541" s="18" t="n">
        <f aca="false">EDATE(Parametri_v3!$C$5,57-1)</f>
        <v>48092</v>
      </c>
      <c r="D541" s="68" t="n">
        <f aca="false">YEAR(C541)</f>
        <v>2031</v>
      </c>
      <c r="E541" s="68" t="n">
        <f aca="false">MONTH(C541)</f>
        <v>9</v>
      </c>
      <c r="F541" s="68" t="n">
        <f aca="false">INT((57-1)/12)+1</f>
        <v>5</v>
      </c>
      <c r="G541" s="15" t="n">
        <f aca="false">Ipotesi!K7</f>
        <v>1</v>
      </c>
      <c r="H541" s="15" t="n">
        <f aca="false">Ipotesi!K9</f>
        <v>1</v>
      </c>
      <c r="I541" s="15" t="n">
        <f aca="false">Ipotesi!K10</f>
        <v>1</v>
      </c>
      <c r="J541" s="15" t="n">
        <f aca="false">Ipotesi!K11</f>
        <v>1</v>
      </c>
      <c r="K541" s="15" t="n">
        <f aca="false">Ipotesi!K12</f>
        <v>1</v>
      </c>
      <c r="L541" s="15" t="n">
        <f aca="false">Ipotesi!K13</f>
        <v>90</v>
      </c>
      <c r="M541" s="17" t="n">
        <f aca="false">INDEX(Ipotesi!$C$40:$G$40,1,F541)</f>
        <v>1</v>
      </c>
      <c r="N541" s="17" t="n">
        <f aca="false">INDEX(Ipotesi!$C$41:$G$41,1,F541)</f>
        <v>1</v>
      </c>
      <c r="O541" s="17" t="n">
        <f aca="false">INDEX(Ipotesi!$C$42:$G$42,1,F541)*Ipotesi!K125</f>
        <v>8.5</v>
      </c>
      <c r="P541" s="17" t="n">
        <f aca="false">INDEX(Ipotesi!$C$43:$G$43,1,F541)*I541</f>
        <v>7</v>
      </c>
      <c r="Q541" s="17" t="n">
        <f aca="false">INDEX(Ipotesi!$C$44:$G$44,1,F541)*I541</f>
        <v>6</v>
      </c>
      <c r="R541" s="17" t="n">
        <f aca="false">INDEX(Ipotesi!$C$45:$G$45,1,F541)*I541</f>
        <v>2</v>
      </c>
      <c r="S541" s="17" t="n">
        <f aca="false">INDEX(Ipotesi!$C$52:$G$52,1,F541)*Ipotesi!K125</f>
        <v>9</v>
      </c>
      <c r="T541" s="17" t="n">
        <f aca="false">INDEX(Ipotesi!$C$53:$G$53,1,F541)*I541</f>
        <v>1</v>
      </c>
      <c r="U541" s="17" t="n">
        <f aca="false">INDEX(Ipotesi!$C$54:$G$54,1,F541)*I541</f>
        <v>1</v>
      </c>
      <c r="V541" s="15" t="n">
        <f aca="false">M541*INDEX(Ipotesi!$C$58:$G$58,1,F541)*K541/12</f>
        <v>8333.33333333333</v>
      </c>
      <c r="W541" s="15" t="n">
        <f aca="false">N541*Ipotesi!$C$59*(1+Ipotesi!$C$66)^(F541-1)/12</f>
        <v>6565.46805833334</v>
      </c>
      <c r="X541" s="15" t="n">
        <f aca="false">O541*Ipotesi!$C$60*(1+Ipotesi!$C$66)^(F541-1)/12</f>
        <v>39861.7703541667</v>
      </c>
      <c r="Y541" s="15" t="n">
        <f aca="false">P541*Ipotesi!$C$61*(1+Ipotesi!$C$66)^(F541-1)/12</f>
        <v>32827.3402916667</v>
      </c>
      <c r="Z541" s="15" t="n">
        <f aca="false">Q541*Ipotesi!$C$62*(1+Ipotesi!$C$66)^(F541-1)/12</f>
        <v>25323.948225</v>
      </c>
      <c r="AA541" s="15" t="n">
        <f aca="false">R541*Ipotesi!$C$63*(1+Ipotesi!$C$66)^(F541-1)/12</f>
        <v>6565.46805833334</v>
      </c>
      <c r="AB541" s="15" t="n">
        <f aca="false">SUM(V541:AA541)</f>
        <v>119477.328320833</v>
      </c>
      <c r="AC541" s="15" t="n">
        <f aca="false">(S541*Ipotesi!$C$64+T541*Ipotesi!$C$65+U541*Ipotesi!$C$63)*(1+Ipotesi!$C$66)^(F541-1)/12</f>
        <v>44363.8055941667</v>
      </c>
      <c r="AD541" s="15" t="n">
        <f aca="false">INDEX(Ipotesi!$C$48:$G$48,1,F541)*G541/12</f>
        <v>95.8333333333333</v>
      </c>
      <c r="AE541" s="15" t="n">
        <f aca="false">INDEX(Ipotesi!$C$50:$G$50,1,F541)*G541/12</f>
        <v>9.58333333333333</v>
      </c>
      <c r="AF541" s="15" t="n">
        <f aca="false">(S541*Parametri_v3!$C$7*Parametri_v3!$C$8+Parametri_v3!$C$10)/12</f>
        <v>115.5</v>
      </c>
      <c r="AG541" s="15" t="n">
        <f aca="false">AD541+AE541*(1+Parametri_v3!$C$9)</f>
        <v>110.208333333333</v>
      </c>
      <c r="AH541" s="16" t="n">
        <f aca="false">IF(AG541=0,1,MIN(1,AF541/AG541))</f>
        <v>1</v>
      </c>
      <c r="AI541" s="15" t="n">
        <f aca="false">AD541*AH541</f>
        <v>95.8333333333333</v>
      </c>
      <c r="AJ541" s="15" t="n">
        <f aca="false">AE541*AH541</f>
        <v>9.58333333333333</v>
      </c>
      <c r="AK541" s="15" t="n">
        <f aca="false">AI541*INDEX(Ipotesi!$C$49:$G$49,1,F541)*H541</f>
        <v>91041.6666666667</v>
      </c>
      <c r="AL541" s="15" t="n">
        <f aca="false">AJ541*INDEX(Ipotesi!$C$51:$G$51,1,F541)*H541</f>
        <v>24916.6666666667</v>
      </c>
      <c r="AM541" s="15" t="n">
        <f aca="false">AK541+AL541</f>
        <v>115958.333333333</v>
      </c>
      <c r="AN541" s="15" t="n">
        <f aca="false">INDEX(Ipotesi!$C$30:$G$30,1,F541)*G541/12</f>
        <v>81.6666666666667</v>
      </c>
      <c r="AO541" s="15" t="n">
        <f aca="false">O541*Parametri_v3!$C$7*Parametri_v3!$C$11*(1-Parametri_v3!$C$14)/12</f>
        <v>87.2666666666667</v>
      </c>
      <c r="AP541" s="15" t="n">
        <f aca="false">MIN(AN541,AO541)</f>
        <v>81.6666666666667</v>
      </c>
      <c r="AQ541" s="15" t="n">
        <f aca="false">AP541*INDEX(Ipotesi!$C$31:$G$31,1,F541)*H541</f>
        <v>89833.3333333333</v>
      </c>
      <c r="AR541" s="15" t="n">
        <f aca="false">INDEX(Ipotesi!$C$75:$G$75,1,F541)*J541/12</f>
        <v>35833.3333333333</v>
      </c>
      <c r="AS541" s="15" t="n">
        <f aca="false">INDEX(Ipotesi!$C$81:$G$81,1,F541)*J541/12</f>
        <v>2083.33333333333</v>
      </c>
      <c r="AT541" s="15" t="n">
        <f aca="false">AR541*Parametri_v3!$C$15+Z541*Parametri_v3!$C$16</f>
        <v>53560.0970908333</v>
      </c>
      <c r="AU541" s="15" t="n">
        <f aca="false">Q541*Parametri_v3!$C$16*Parametri_v3!$C$17</f>
        <v>420</v>
      </c>
      <c r="AV541" s="17" t="n">
        <f aca="false">BD540</f>
        <v>203.388337511314</v>
      </c>
      <c r="AW541" s="17" t="n">
        <f aca="false">AV541*(1-(1-INDEX(Ipotesi!$C$34:$G$34,1,F541))^(1/12))</f>
        <v>1.77794171924645</v>
      </c>
      <c r="AX541" s="15" t="n">
        <f aca="false">ROUND(INDEX(Ipotesi!$C$32:$G$32,1,F541)*Ipotesi!K8,0)</f>
        <v>560</v>
      </c>
      <c r="AY541" s="15" t="n">
        <f aca="false">MAX(0,(AX541-(AV541-AW541))/(13-E541))</f>
        <v>89.5974010519832</v>
      </c>
      <c r="AZ541" s="15" t="n">
        <f aca="false">MIN(P541*Parametri_v3!$C$22,Q541*(1-Parametri_v3!$C$16)*Parametri_v3!$C$23)</f>
        <v>270</v>
      </c>
      <c r="BA541" s="15" t="n">
        <f aca="false">IF(OR(INDEX(Ipotesi!$C$35:$G$35,1,F541)&lt;=0,57-Parametri_v3!$C$21&lt;1),0,INDEX($AT$485:$AT$544,MAX(1,57-Parametri_v3!$C$21))/(INDEX(Ipotesi!$C$35:$G$35,1,F541)*Ipotesi!K27))</f>
        <v>8.24001493705128</v>
      </c>
      <c r="BB541" s="15" t="n">
        <f aca="false">IF(57-Parametri_v3!$C$21&lt;1,0,INDEX($AU$485:$AU$544,MAX(1,57-Parametri_v3!$C$21)))*Parametri_v3!$C$18*Parametri_v3!$C$19*Parametri_v3!$C$20</f>
        <v>15.75</v>
      </c>
      <c r="BC541" s="17" t="n">
        <f aca="false">MAX(0,MIN(AY541,BA541,BB541,MAX(0,AZ541-(AV541-AW541))))</f>
        <v>8.24001493705128</v>
      </c>
      <c r="BD541" s="17" t="n">
        <f aca="false">AV541-AW541+BC541</f>
        <v>209.850410729118</v>
      </c>
      <c r="BE541" s="17" t="n">
        <f aca="false">(AV541+BD541)/2</f>
        <v>206.619374120216</v>
      </c>
      <c r="BF541" s="15" t="n">
        <f aca="false">BE541*INDEX(Ipotesi!$C$33:$G$33,1,F541)*H541/12</f>
        <v>106753.343295445</v>
      </c>
      <c r="BG541" s="15" t="n">
        <f aca="false">BD541*INDEX(Ipotesi!$C$33:$G$33,1,F541)*H541</f>
        <v>1301072.54652053</v>
      </c>
      <c r="BH541" s="15" t="n">
        <f aca="false">AM541*INDEX(Ipotesi!$C$37:$G$37,1,F541)</f>
        <v>11595.8333333333</v>
      </c>
      <c r="BI541" s="15" t="n">
        <f aca="false">AQ541+BF541+BH541</f>
        <v>208182.509962112</v>
      </c>
      <c r="BJ541" s="15" t="n">
        <f aca="false">INDEX(Ipotesi!$C$68:$G$68,1,F541)*Ipotesi!$C$69/12</f>
        <v>3333.33333333333</v>
      </c>
      <c r="BK541" s="15" t="n">
        <f aca="false">INDEX(Ipotesi!$C$68:$G$68,1,F541)*(1-Ipotesi!$C$69)/12</f>
        <v>5000</v>
      </c>
      <c r="BL541" s="15" t="n">
        <f aca="false">(AQ541+BF541)*Ipotesi!$C$67</f>
        <v>5897.60029886335</v>
      </c>
      <c r="BM541" s="15" t="n">
        <f aca="false">AM541*Ipotesi!$C$67</f>
        <v>3478.75</v>
      </c>
      <c r="BN541" s="15" t="n">
        <f aca="false">INDEX(Ipotesi!$C$72:$G$72,1,F541)/12*Ipotesi!K126+BF541*Ipotesi!$C$73</f>
        <v>9790.26746363559</v>
      </c>
      <c r="BO541" s="15" t="n">
        <f aca="false">INDEX(Ipotesi!$C$74:$G$74,1,F541)/12*Ipotesi!K126</f>
        <v>5416.66666666667</v>
      </c>
      <c r="BP541" s="15" t="n">
        <f aca="false">INDEX(Ipotesi!$C$76:$G$76,1,F541)/12</f>
        <v>1916.66666666667</v>
      </c>
      <c r="BQ541" s="15" t="n">
        <f aca="false">INDEX(Ipotesi!$C$77:$G$77,1,F541)/12*Ipotesi!K126</f>
        <v>2500</v>
      </c>
      <c r="BR541" s="15" t="n">
        <f aca="false">INDEX(Ipotesi!$C$78:$G$78,1,F541)/12</f>
        <v>2333.33333333333</v>
      </c>
      <c r="BS541" s="15" t="n">
        <f aca="false">SUM(M541:R541)*(Ipotesi!$C$85+Ipotesi!$C$86)/12</f>
        <v>7437.5</v>
      </c>
      <c r="BT541" s="15" t="n">
        <f aca="false">BI541*Ipotesi!$C$87</f>
        <v>6245.47529886335</v>
      </c>
      <c r="BU541" s="15" t="n">
        <f aca="false">INDEX(Ipotesi!$C$55:$G$55,1,F541)*K541/12</f>
        <v>2000</v>
      </c>
      <c r="BV541" s="15" t="n">
        <f aca="false">INDEX(Ipotesi!$C$80:$G$80,1,F541)/12*Ipotesi!K126</f>
        <v>2083.33333333333</v>
      </c>
      <c r="BW541" s="15" t="n">
        <f aca="false">INDEX(Ipotesi!$C$82:$G$82,1,F541)/12</f>
        <v>1500</v>
      </c>
      <c r="BX541" s="15" t="n">
        <f aca="false">INDEX(Ipotesi!$C$83:$G$83,1,F541)/12</f>
        <v>833.333333333333</v>
      </c>
      <c r="BY541" s="15" t="n">
        <f aca="false">SUM(S541:U541)*(Ipotesi!$C$85+Ipotesi!$C$86)/12</f>
        <v>3208.33333333333</v>
      </c>
      <c r="BZ541" s="15" t="n">
        <f aca="false">AM541*Ipotesi!$C$87</f>
        <v>3478.75</v>
      </c>
      <c r="CA541" s="15" t="n">
        <f aca="false">AB541+BJ541+BL541+BN541+BO541+AR541+BP541+BQ541+BR541+BS541+BT541</f>
        <v>200181.504715529</v>
      </c>
      <c r="CB541" s="15" t="n">
        <f aca="false">AC541+BK541+BM541+BH541+BU541+BV541+AS541+BW541+BX541+BY541+BZ541</f>
        <v>79625.4722608333</v>
      </c>
      <c r="CC541" s="15" t="n">
        <f aca="false">BI541-CA541</f>
        <v>8001.00524658262</v>
      </c>
      <c r="CD541" s="15" t="n">
        <f aca="false">AM541-CB541</f>
        <v>36332.8610725</v>
      </c>
      <c r="CE541" s="15" t="n">
        <f aca="false">INDEX(Ipotesi!$C$79:$G$79,1,F541)/12</f>
        <v>4166.66666666667</v>
      </c>
      <c r="CF541" s="15" t="n">
        <f aca="false">INDEX(Ipotesi!$C$84:$G$84,1,F541)/12</f>
        <v>666.666666666667</v>
      </c>
      <c r="CG541" s="15" t="n">
        <f aca="false">Y541*MAX(0,Parametri_v3!$C$12-IF(P541=0,0,MIN(1,BE541/(P541*Parametri_v3!$C$22))))+W541*Parametri_v3!$C$13+X541*Parametri_v3!$C$14</f>
        <v>34392.7648129588</v>
      </c>
      <c r="CH541" s="15" t="n">
        <f aca="false">AB541*Parametri_v3!$C$32</f>
        <v>5973.86641604167</v>
      </c>
      <c r="CI541" s="15" t="n">
        <f aca="false">AC541*Parametri_v3!$C$32</f>
        <v>2218.19027970833</v>
      </c>
      <c r="CJ541" s="15" t="n">
        <f aca="false">CA541-AB541</f>
        <v>80704.1763946956</v>
      </c>
      <c r="CK541" s="15" t="n">
        <f aca="false">CB541-AC541-BH541</f>
        <v>23665.8333333333</v>
      </c>
      <c r="CL541" s="15" t="n">
        <f aca="false">BF541*Ipotesi!$C$73+INDEX(Ipotesi!$C$72:$G$72,1,F541)/12*Ipotesi!K126*Parametri_v3!$C$58+Z541*(1-Parametri_v3!$C$16)</f>
        <v>17387.4519311356</v>
      </c>
      <c r="CM541" s="16" t="n">
        <f aca="false">IF(BF541=0,0,1-CL541/BF541)</f>
        <v>0.837124989303473</v>
      </c>
    </row>
    <row r="542" customFormat="false" ht="18" hidden="false" customHeight="true" outlineLevel="0" collapsed="false">
      <c r="A542" s="68" t="n">
        <f aca="false">9</f>
        <v>9</v>
      </c>
      <c r="B542" s="68" t="n">
        <f aca="false">58</f>
        <v>58</v>
      </c>
      <c r="C542" s="18" t="n">
        <f aca="false">EDATE(Parametri_v3!$C$5,58-1)</f>
        <v>48122</v>
      </c>
      <c r="D542" s="68" t="n">
        <f aca="false">YEAR(C542)</f>
        <v>2031</v>
      </c>
      <c r="E542" s="68" t="n">
        <f aca="false">MONTH(C542)</f>
        <v>10</v>
      </c>
      <c r="F542" s="68" t="n">
        <f aca="false">INT((58-1)/12)+1</f>
        <v>5</v>
      </c>
      <c r="G542" s="15" t="n">
        <f aca="false">Ipotesi!K7</f>
        <v>1</v>
      </c>
      <c r="H542" s="15" t="n">
        <f aca="false">Ipotesi!K9</f>
        <v>1</v>
      </c>
      <c r="I542" s="15" t="n">
        <f aca="false">Ipotesi!K10</f>
        <v>1</v>
      </c>
      <c r="J542" s="15" t="n">
        <f aca="false">Ipotesi!K11</f>
        <v>1</v>
      </c>
      <c r="K542" s="15" t="n">
        <f aca="false">Ipotesi!K12</f>
        <v>1</v>
      </c>
      <c r="L542" s="15" t="n">
        <f aca="false">Ipotesi!K13</f>
        <v>90</v>
      </c>
      <c r="M542" s="17" t="n">
        <f aca="false">INDEX(Ipotesi!$C$40:$G$40,1,F542)</f>
        <v>1</v>
      </c>
      <c r="N542" s="17" t="n">
        <f aca="false">INDEX(Ipotesi!$C$41:$G$41,1,F542)</f>
        <v>1</v>
      </c>
      <c r="O542" s="17" t="n">
        <f aca="false">INDEX(Ipotesi!$C$42:$G$42,1,F542)*Ipotesi!K125</f>
        <v>8.5</v>
      </c>
      <c r="P542" s="17" t="n">
        <f aca="false">INDEX(Ipotesi!$C$43:$G$43,1,F542)*I542</f>
        <v>7</v>
      </c>
      <c r="Q542" s="17" t="n">
        <f aca="false">INDEX(Ipotesi!$C$44:$G$44,1,F542)*I542</f>
        <v>6</v>
      </c>
      <c r="R542" s="17" t="n">
        <f aca="false">INDEX(Ipotesi!$C$45:$G$45,1,F542)*I542</f>
        <v>2</v>
      </c>
      <c r="S542" s="17" t="n">
        <f aca="false">INDEX(Ipotesi!$C$52:$G$52,1,F542)*Ipotesi!K125</f>
        <v>9</v>
      </c>
      <c r="T542" s="17" t="n">
        <f aca="false">INDEX(Ipotesi!$C$53:$G$53,1,F542)*I542</f>
        <v>1</v>
      </c>
      <c r="U542" s="17" t="n">
        <f aca="false">INDEX(Ipotesi!$C$54:$G$54,1,F542)*I542</f>
        <v>1</v>
      </c>
      <c r="V542" s="15" t="n">
        <f aca="false">M542*INDEX(Ipotesi!$C$58:$G$58,1,F542)*K542/12</f>
        <v>8333.33333333333</v>
      </c>
      <c r="W542" s="15" t="n">
        <f aca="false">N542*Ipotesi!$C$59*(1+Ipotesi!$C$66)^(F542-1)/12</f>
        <v>6565.46805833334</v>
      </c>
      <c r="X542" s="15" t="n">
        <f aca="false">O542*Ipotesi!$C$60*(1+Ipotesi!$C$66)^(F542-1)/12</f>
        <v>39861.7703541667</v>
      </c>
      <c r="Y542" s="15" t="n">
        <f aca="false">P542*Ipotesi!$C$61*(1+Ipotesi!$C$66)^(F542-1)/12</f>
        <v>32827.3402916667</v>
      </c>
      <c r="Z542" s="15" t="n">
        <f aca="false">Q542*Ipotesi!$C$62*(1+Ipotesi!$C$66)^(F542-1)/12</f>
        <v>25323.948225</v>
      </c>
      <c r="AA542" s="15" t="n">
        <f aca="false">R542*Ipotesi!$C$63*(1+Ipotesi!$C$66)^(F542-1)/12</f>
        <v>6565.46805833334</v>
      </c>
      <c r="AB542" s="15" t="n">
        <f aca="false">SUM(V542:AA542)</f>
        <v>119477.328320833</v>
      </c>
      <c r="AC542" s="15" t="n">
        <f aca="false">(S542*Ipotesi!$C$64+T542*Ipotesi!$C$65+U542*Ipotesi!$C$63)*(1+Ipotesi!$C$66)^(F542-1)/12</f>
        <v>44363.8055941667</v>
      </c>
      <c r="AD542" s="15" t="n">
        <f aca="false">INDEX(Ipotesi!$C$48:$G$48,1,F542)*G542/12</f>
        <v>95.8333333333333</v>
      </c>
      <c r="AE542" s="15" t="n">
        <f aca="false">INDEX(Ipotesi!$C$50:$G$50,1,F542)*G542/12</f>
        <v>9.58333333333333</v>
      </c>
      <c r="AF542" s="15" t="n">
        <f aca="false">(S542*Parametri_v3!$C$7*Parametri_v3!$C$8+Parametri_v3!$C$10)/12</f>
        <v>115.5</v>
      </c>
      <c r="AG542" s="15" t="n">
        <f aca="false">AD542+AE542*(1+Parametri_v3!$C$9)</f>
        <v>110.208333333333</v>
      </c>
      <c r="AH542" s="16" t="n">
        <f aca="false">IF(AG542=0,1,MIN(1,AF542/AG542))</f>
        <v>1</v>
      </c>
      <c r="AI542" s="15" t="n">
        <f aca="false">AD542*AH542</f>
        <v>95.8333333333333</v>
      </c>
      <c r="AJ542" s="15" t="n">
        <f aca="false">AE542*AH542</f>
        <v>9.58333333333333</v>
      </c>
      <c r="AK542" s="15" t="n">
        <f aca="false">AI542*INDEX(Ipotesi!$C$49:$G$49,1,F542)*H542</f>
        <v>91041.6666666667</v>
      </c>
      <c r="AL542" s="15" t="n">
        <f aca="false">AJ542*INDEX(Ipotesi!$C$51:$G$51,1,F542)*H542</f>
        <v>24916.6666666667</v>
      </c>
      <c r="AM542" s="15" t="n">
        <f aca="false">AK542+AL542</f>
        <v>115958.333333333</v>
      </c>
      <c r="AN542" s="15" t="n">
        <f aca="false">INDEX(Ipotesi!$C$30:$G$30,1,F542)*G542/12</f>
        <v>81.6666666666667</v>
      </c>
      <c r="AO542" s="15" t="n">
        <f aca="false">O542*Parametri_v3!$C$7*Parametri_v3!$C$11*(1-Parametri_v3!$C$14)/12</f>
        <v>87.2666666666667</v>
      </c>
      <c r="AP542" s="15" t="n">
        <f aca="false">MIN(AN542,AO542)</f>
        <v>81.6666666666667</v>
      </c>
      <c r="AQ542" s="15" t="n">
        <f aca="false">AP542*INDEX(Ipotesi!$C$31:$G$31,1,F542)*H542</f>
        <v>89833.3333333333</v>
      </c>
      <c r="AR542" s="15" t="n">
        <f aca="false">INDEX(Ipotesi!$C$75:$G$75,1,F542)*J542/12</f>
        <v>35833.3333333333</v>
      </c>
      <c r="AS542" s="15" t="n">
        <f aca="false">INDEX(Ipotesi!$C$81:$G$81,1,F542)*J542/12</f>
        <v>2083.33333333333</v>
      </c>
      <c r="AT542" s="15" t="n">
        <f aca="false">AR542*Parametri_v3!$C$15+Z542*Parametri_v3!$C$16</f>
        <v>53560.0970908333</v>
      </c>
      <c r="AU542" s="15" t="n">
        <f aca="false">Q542*Parametri_v3!$C$16*Parametri_v3!$C$17</f>
        <v>420</v>
      </c>
      <c r="AV542" s="17" t="n">
        <f aca="false">BD541</f>
        <v>209.850410729118</v>
      </c>
      <c r="AW542" s="17" t="n">
        <f aca="false">AV542*(1-(1-INDEX(Ipotesi!$C$34:$G$34,1,F542))^(1/12))</f>
        <v>1.83443064927727</v>
      </c>
      <c r="AX542" s="15" t="n">
        <f aca="false">ROUND(INDEX(Ipotesi!$C$32:$G$32,1,F542)*Ipotesi!K8,0)</f>
        <v>560</v>
      </c>
      <c r="AY542" s="15" t="n">
        <f aca="false">MAX(0,(AX542-(AV542-AW542))/(13-E542))</f>
        <v>117.328006640053</v>
      </c>
      <c r="AZ542" s="15" t="n">
        <f aca="false">MIN(P542*Parametri_v3!$C$22,Q542*(1-Parametri_v3!$C$16)*Parametri_v3!$C$23)</f>
        <v>270</v>
      </c>
      <c r="BA542" s="15" t="n">
        <f aca="false">IF(OR(INDEX(Ipotesi!$C$35:$G$35,1,F542)&lt;=0,58-Parametri_v3!$C$21&lt;1),0,INDEX($AT$485:$AT$544,MAX(1,58-Parametri_v3!$C$21))/(INDEX(Ipotesi!$C$35:$G$35,1,F542)*Ipotesi!K27))</f>
        <v>8.24001493705128</v>
      </c>
      <c r="BB542" s="15" t="n">
        <f aca="false">IF(58-Parametri_v3!$C$21&lt;1,0,INDEX($AU$485:$AU$544,MAX(1,58-Parametri_v3!$C$21)))*Parametri_v3!$C$18*Parametri_v3!$C$19*Parametri_v3!$C$20</f>
        <v>15.75</v>
      </c>
      <c r="BC542" s="17" t="n">
        <f aca="false">MAX(0,MIN(AY542,BA542,BB542,MAX(0,AZ542-(AV542-AW542))))</f>
        <v>8.24001493705128</v>
      </c>
      <c r="BD542" s="17" t="n">
        <f aca="false">AV542-AW542+BC542</f>
        <v>216.255995016892</v>
      </c>
      <c r="BE542" s="17" t="n">
        <f aca="false">(AV542+BD542)/2</f>
        <v>213.053202873005</v>
      </c>
      <c r="BF542" s="15" t="n">
        <f aca="false">BE542*INDEX(Ipotesi!$C$33:$G$33,1,F542)*H542/12</f>
        <v>110077.488151053</v>
      </c>
      <c r="BG542" s="15" t="n">
        <f aca="false">BD542*INDEX(Ipotesi!$C$33:$G$33,1,F542)*H542</f>
        <v>1340787.16910473</v>
      </c>
      <c r="BH542" s="15" t="n">
        <f aca="false">AM542*INDEX(Ipotesi!$C$37:$G$37,1,F542)</f>
        <v>11595.8333333333</v>
      </c>
      <c r="BI542" s="15" t="n">
        <f aca="false">AQ542+BF542+BH542</f>
        <v>211506.654817719</v>
      </c>
      <c r="BJ542" s="15" t="n">
        <f aca="false">INDEX(Ipotesi!$C$68:$G$68,1,F542)*Ipotesi!$C$69/12</f>
        <v>3333.33333333333</v>
      </c>
      <c r="BK542" s="15" t="n">
        <f aca="false">INDEX(Ipotesi!$C$68:$G$68,1,F542)*(1-Ipotesi!$C$69)/12</f>
        <v>5000</v>
      </c>
      <c r="BL542" s="15" t="n">
        <f aca="false">(AQ542+BF542)*Ipotesi!$C$67</f>
        <v>5997.32464453158</v>
      </c>
      <c r="BM542" s="15" t="n">
        <f aca="false">AM542*Ipotesi!$C$67</f>
        <v>3478.75</v>
      </c>
      <c r="BN542" s="15" t="n">
        <f aca="false">INDEX(Ipotesi!$C$72:$G$72,1,F542)/12*Ipotesi!K126+BF542*Ipotesi!$C$73</f>
        <v>10056.1990520842</v>
      </c>
      <c r="BO542" s="15" t="n">
        <f aca="false">INDEX(Ipotesi!$C$74:$G$74,1,F542)/12*Ipotesi!K126</f>
        <v>5416.66666666667</v>
      </c>
      <c r="BP542" s="15" t="n">
        <f aca="false">INDEX(Ipotesi!$C$76:$G$76,1,F542)/12</f>
        <v>1916.66666666667</v>
      </c>
      <c r="BQ542" s="15" t="n">
        <f aca="false">INDEX(Ipotesi!$C$77:$G$77,1,F542)/12*Ipotesi!K126</f>
        <v>2500</v>
      </c>
      <c r="BR542" s="15" t="n">
        <f aca="false">INDEX(Ipotesi!$C$78:$G$78,1,F542)/12</f>
        <v>2333.33333333333</v>
      </c>
      <c r="BS542" s="15" t="n">
        <f aca="false">SUM(M542:R542)*(Ipotesi!$C$85+Ipotesi!$C$86)/12</f>
        <v>7437.5</v>
      </c>
      <c r="BT542" s="15" t="n">
        <f aca="false">BI542*Ipotesi!$C$87</f>
        <v>6345.19964453158</v>
      </c>
      <c r="BU542" s="15" t="n">
        <f aca="false">INDEX(Ipotesi!$C$55:$G$55,1,F542)*K542/12</f>
        <v>2000</v>
      </c>
      <c r="BV542" s="15" t="n">
        <f aca="false">INDEX(Ipotesi!$C$80:$G$80,1,F542)/12*Ipotesi!K126</f>
        <v>2083.33333333333</v>
      </c>
      <c r="BW542" s="15" t="n">
        <f aca="false">INDEX(Ipotesi!$C$82:$G$82,1,F542)/12</f>
        <v>1500</v>
      </c>
      <c r="BX542" s="15" t="n">
        <f aca="false">INDEX(Ipotesi!$C$83:$G$83,1,F542)/12</f>
        <v>833.333333333333</v>
      </c>
      <c r="BY542" s="15" t="n">
        <f aca="false">SUM(S542:U542)*(Ipotesi!$C$85+Ipotesi!$C$86)/12</f>
        <v>3208.33333333333</v>
      </c>
      <c r="BZ542" s="15" t="n">
        <f aca="false">AM542*Ipotesi!$C$87</f>
        <v>3478.75</v>
      </c>
      <c r="CA542" s="15" t="n">
        <f aca="false">AB542+BJ542+BL542+BN542+BO542+AR542+BP542+BQ542+BR542+BS542+BT542</f>
        <v>200646.884995314</v>
      </c>
      <c r="CB542" s="15" t="n">
        <f aca="false">AC542+BK542+BM542+BH542+BU542+BV542+AS542+BW542+BX542+BY542+BZ542</f>
        <v>79625.4722608333</v>
      </c>
      <c r="CC542" s="15" t="n">
        <f aca="false">BI542-CA542</f>
        <v>10859.7698224054</v>
      </c>
      <c r="CD542" s="15" t="n">
        <f aca="false">AM542-CB542</f>
        <v>36332.8610725</v>
      </c>
      <c r="CE542" s="15" t="n">
        <f aca="false">INDEX(Ipotesi!$C$79:$G$79,1,F542)/12</f>
        <v>4166.66666666667</v>
      </c>
      <c r="CF542" s="15" t="n">
        <f aca="false">INDEX(Ipotesi!$C$84:$G$84,1,F542)/12</f>
        <v>666.666666666667</v>
      </c>
      <c r="CG542" s="15" t="n">
        <f aca="false">Y542*MAX(0,Parametri_v3!$C$12-IF(P542=0,0,MIN(1,BE542/(P542*Parametri_v3!$C$22))))+W542*Parametri_v3!$C$13+X542*Parametri_v3!$C$14</f>
        <v>34091.0426903215</v>
      </c>
      <c r="CH542" s="15" t="n">
        <f aca="false">AB542*Parametri_v3!$C$32</f>
        <v>5973.86641604167</v>
      </c>
      <c r="CI542" s="15" t="n">
        <f aca="false">AC542*Parametri_v3!$C$32</f>
        <v>2218.19027970833</v>
      </c>
      <c r="CJ542" s="15" t="n">
        <f aca="false">CA542-AB542</f>
        <v>81169.5566744807</v>
      </c>
      <c r="CK542" s="15" t="n">
        <f aca="false">CB542-AC542-BH542</f>
        <v>23665.8333333333</v>
      </c>
      <c r="CL542" s="15" t="n">
        <f aca="false">BF542*Ipotesi!$C$73+INDEX(Ipotesi!$C$72:$G$72,1,F542)/12*Ipotesi!K126*Parametri_v3!$C$58+Z542*(1-Parametri_v3!$C$16)</f>
        <v>17653.3835195842</v>
      </c>
      <c r="CM542" s="16" t="n">
        <f aca="false">IF(BF542=0,0,1-CL542/BF542)</f>
        <v>0.839627667599396</v>
      </c>
    </row>
    <row r="543" customFormat="false" ht="18" hidden="false" customHeight="true" outlineLevel="0" collapsed="false">
      <c r="A543" s="68" t="n">
        <f aca="false">9</f>
        <v>9</v>
      </c>
      <c r="B543" s="68" t="n">
        <f aca="false">59</f>
        <v>59</v>
      </c>
      <c r="C543" s="18" t="n">
        <f aca="false">EDATE(Parametri_v3!$C$5,59-1)</f>
        <v>48153</v>
      </c>
      <c r="D543" s="68" t="n">
        <f aca="false">YEAR(C543)</f>
        <v>2031</v>
      </c>
      <c r="E543" s="68" t="n">
        <f aca="false">MONTH(C543)</f>
        <v>11</v>
      </c>
      <c r="F543" s="68" t="n">
        <f aca="false">INT((59-1)/12)+1</f>
        <v>5</v>
      </c>
      <c r="G543" s="15" t="n">
        <f aca="false">Ipotesi!K7</f>
        <v>1</v>
      </c>
      <c r="H543" s="15" t="n">
        <f aca="false">Ipotesi!K9</f>
        <v>1</v>
      </c>
      <c r="I543" s="15" t="n">
        <f aca="false">Ipotesi!K10</f>
        <v>1</v>
      </c>
      <c r="J543" s="15" t="n">
        <f aca="false">Ipotesi!K11</f>
        <v>1</v>
      </c>
      <c r="K543" s="15" t="n">
        <f aca="false">Ipotesi!K12</f>
        <v>1</v>
      </c>
      <c r="L543" s="15" t="n">
        <f aca="false">Ipotesi!K13</f>
        <v>90</v>
      </c>
      <c r="M543" s="17" t="n">
        <f aca="false">INDEX(Ipotesi!$C$40:$G$40,1,F543)</f>
        <v>1</v>
      </c>
      <c r="N543" s="17" t="n">
        <f aca="false">INDEX(Ipotesi!$C$41:$G$41,1,F543)</f>
        <v>1</v>
      </c>
      <c r="O543" s="17" t="n">
        <f aca="false">INDEX(Ipotesi!$C$42:$G$42,1,F543)*Ipotesi!K125</f>
        <v>8.5</v>
      </c>
      <c r="P543" s="17" t="n">
        <f aca="false">INDEX(Ipotesi!$C$43:$G$43,1,F543)*I543</f>
        <v>7</v>
      </c>
      <c r="Q543" s="17" t="n">
        <f aca="false">INDEX(Ipotesi!$C$44:$G$44,1,F543)*I543</f>
        <v>6</v>
      </c>
      <c r="R543" s="17" t="n">
        <f aca="false">INDEX(Ipotesi!$C$45:$G$45,1,F543)*I543</f>
        <v>2</v>
      </c>
      <c r="S543" s="17" t="n">
        <f aca="false">INDEX(Ipotesi!$C$52:$G$52,1,F543)*Ipotesi!K125</f>
        <v>9</v>
      </c>
      <c r="T543" s="17" t="n">
        <f aca="false">INDEX(Ipotesi!$C$53:$G$53,1,F543)*I543</f>
        <v>1</v>
      </c>
      <c r="U543" s="17" t="n">
        <f aca="false">INDEX(Ipotesi!$C$54:$G$54,1,F543)*I543</f>
        <v>1</v>
      </c>
      <c r="V543" s="15" t="n">
        <f aca="false">M543*INDEX(Ipotesi!$C$58:$G$58,1,F543)*K543/12</f>
        <v>8333.33333333333</v>
      </c>
      <c r="W543" s="15" t="n">
        <f aca="false">N543*Ipotesi!$C$59*(1+Ipotesi!$C$66)^(F543-1)/12</f>
        <v>6565.46805833334</v>
      </c>
      <c r="X543" s="15" t="n">
        <f aca="false">O543*Ipotesi!$C$60*(1+Ipotesi!$C$66)^(F543-1)/12</f>
        <v>39861.7703541667</v>
      </c>
      <c r="Y543" s="15" t="n">
        <f aca="false">P543*Ipotesi!$C$61*(1+Ipotesi!$C$66)^(F543-1)/12</f>
        <v>32827.3402916667</v>
      </c>
      <c r="Z543" s="15" t="n">
        <f aca="false">Q543*Ipotesi!$C$62*(1+Ipotesi!$C$66)^(F543-1)/12</f>
        <v>25323.948225</v>
      </c>
      <c r="AA543" s="15" t="n">
        <f aca="false">R543*Ipotesi!$C$63*(1+Ipotesi!$C$66)^(F543-1)/12</f>
        <v>6565.46805833334</v>
      </c>
      <c r="AB543" s="15" t="n">
        <f aca="false">SUM(V543:AA543)</f>
        <v>119477.328320833</v>
      </c>
      <c r="AC543" s="15" t="n">
        <f aca="false">(S543*Ipotesi!$C$64+T543*Ipotesi!$C$65+U543*Ipotesi!$C$63)*(1+Ipotesi!$C$66)^(F543-1)/12</f>
        <v>44363.8055941667</v>
      </c>
      <c r="AD543" s="15" t="n">
        <f aca="false">INDEX(Ipotesi!$C$48:$G$48,1,F543)*G543/12</f>
        <v>95.8333333333333</v>
      </c>
      <c r="AE543" s="15" t="n">
        <f aca="false">INDEX(Ipotesi!$C$50:$G$50,1,F543)*G543/12</f>
        <v>9.58333333333333</v>
      </c>
      <c r="AF543" s="15" t="n">
        <f aca="false">(S543*Parametri_v3!$C$7*Parametri_v3!$C$8+Parametri_v3!$C$10)/12</f>
        <v>115.5</v>
      </c>
      <c r="AG543" s="15" t="n">
        <f aca="false">AD543+AE543*(1+Parametri_v3!$C$9)</f>
        <v>110.208333333333</v>
      </c>
      <c r="AH543" s="16" t="n">
        <f aca="false">IF(AG543=0,1,MIN(1,AF543/AG543))</f>
        <v>1</v>
      </c>
      <c r="AI543" s="15" t="n">
        <f aca="false">AD543*AH543</f>
        <v>95.8333333333333</v>
      </c>
      <c r="AJ543" s="15" t="n">
        <f aca="false">AE543*AH543</f>
        <v>9.58333333333333</v>
      </c>
      <c r="AK543" s="15" t="n">
        <f aca="false">AI543*INDEX(Ipotesi!$C$49:$G$49,1,F543)*H543</f>
        <v>91041.6666666667</v>
      </c>
      <c r="AL543" s="15" t="n">
        <f aca="false">AJ543*INDEX(Ipotesi!$C$51:$G$51,1,F543)*H543</f>
        <v>24916.6666666667</v>
      </c>
      <c r="AM543" s="15" t="n">
        <f aca="false">AK543+AL543</f>
        <v>115958.333333333</v>
      </c>
      <c r="AN543" s="15" t="n">
        <f aca="false">INDEX(Ipotesi!$C$30:$G$30,1,F543)*G543/12</f>
        <v>81.6666666666667</v>
      </c>
      <c r="AO543" s="15" t="n">
        <f aca="false">O543*Parametri_v3!$C$7*Parametri_v3!$C$11*(1-Parametri_v3!$C$14)/12</f>
        <v>87.2666666666667</v>
      </c>
      <c r="AP543" s="15" t="n">
        <f aca="false">MIN(AN543,AO543)</f>
        <v>81.6666666666667</v>
      </c>
      <c r="AQ543" s="15" t="n">
        <f aca="false">AP543*INDEX(Ipotesi!$C$31:$G$31,1,F543)*H543</f>
        <v>89833.3333333333</v>
      </c>
      <c r="AR543" s="15" t="n">
        <f aca="false">INDEX(Ipotesi!$C$75:$G$75,1,F543)*J543/12</f>
        <v>35833.3333333333</v>
      </c>
      <c r="AS543" s="15" t="n">
        <f aca="false">INDEX(Ipotesi!$C$81:$G$81,1,F543)*J543/12</f>
        <v>2083.33333333333</v>
      </c>
      <c r="AT543" s="15" t="n">
        <f aca="false">AR543*Parametri_v3!$C$15+Z543*Parametri_v3!$C$16</f>
        <v>53560.0970908333</v>
      </c>
      <c r="AU543" s="15" t="n">
        <f aca="false">Q543*Parametri_v3!$C$16*Parametri_v3!$C$17</f>
        <v>420</v>
      </c>
      <c r="AV543" s="17" t="n">
        <f aca="false">BD542</f>
        <v>216.255995016892</v>
      </c>
      <c r="AW543" s="17" t="n">
        <f aca="false">AV543*(1-(1-INDEX(Ipotesi!$C$34:$G$34,1,F543))^(1/12))</f>
        <v>1.89042577505851</v>
      </c>
      <c r="AX543" s="15" t="n">
        <f aca="false">ROUND(INDEX(Ipotesi!$C$32:$G$32,1,F543)*Ipotesi!K8,0)</f>
        <v>560</v>
      </c>
      <c r="AY543" s="15" t="n">
        <f aca="false">MAX(0,(AX543-(AV543-AW543))/(13-E543))</f>
        <v>172.817215379083</v>
      </c>
      <c r="AZ543" s="15" t="n">
        <f aca="false">MIN(P543*Parametri_v3!$C$22,Q543*(1-Parametri_v3!$C$16)*Parametri_v3!$C$23)</f>
        <v>270</v>
      </c>
      <c r="BA543" s="15" t="n">
        <f aca="false">IF(OR(INDEX(Ipotesi!$C$35:$G$35,1,F543)&lt;=0,59-Parametri_v3!$C$21&lt;1),0,INDEX($AT$485:$AT$544,MAX(1,59-Parametri_v3!$C$21))/(INDEX(Ipotesi!$C$35:$G$35,1,F543)*Ipotesi!K27))</f>
        <v>8.24001493705128</v>
      </c>
      <c r="BB543" s="15" t="n">
        <f aca="false">IF(59-Parametri_v3!$C$21&lt;1,0,INDEX($AU$485:$AU$544,MAX(1,59-Parametri_v3!$C$21)))*Parametri_v3!$C$18*Parametri_v3!$C$19*Parametri_v3!$C$20</f>
        <v>15.75</v>
      </c>
      <c r="BC543" s="17" t="n">
        <f aca="false">MAX(0,MIN(AY543,BA543,BB543,MAX(0,AZ543-(AV543-AW543))))</f>
        <v>8.24001493705128</v>
      </c>
      <c r="BD543" s="17" t="n">
        <f aca="false">AV543-AW543+BC543</f>
        <v>222.605584178885</v>
      </c>
      <c r="BE543" s="17" t="n">
        <f aca="false">(AV543+BD543)/2</f>
        <v>219.430789597889</v>
      </c>
      <c r="BF543" s="15" t="n">
        <f aca="false">BE543*INDEX(Ipotesi!$C$33:$G$33,1,F543)*H543/12</f>
        <v>113372.574625576</v>
      </c>
      <c r="BG543" s="15" t="n">
        <f aca="false">BD543*INDEX(Ipotesi!$C$33:$G$33,1,F543)*H543</f>
        <v>1380154.62190909</v>
      </c>
      <c r="BH543" s="15" t="n">
        <f aca="false">AM543*INDEX(Ipotesi!$C$37:$G$37,1,F543)</f>
        <v>11595.8333333333</v>
      </c>
      <c r="BI543" s="15" t="n">
        <f aca="false">AQ543+BF543+BH543</f>
        <v>214801.741292243</v>
      </c>
      <c r="BJ543" s="15" t="n">
        <f aca="false">INDEX(Ipotesi!$C$68:$G$68,1,F543)*Ipotesi!$C$69/12</f>
        <v>3333.33333333333</v>
      </c>
      <c r="BK543" s="15" t="n">
        <f aca="false">INDEX(Ipotesi!$C$68:$G$68,1,F543)*(1-Ipotesi!$C$69)/12</f>
        <v>5000</v>
      </c>
      <c r="BL543" s="15" t="n">
        <f aca="false">(AQ543+BF543)*Ipotesi!$C$67</f>
        <v>6096.17723876728</v>
      </c>
      <c r="BM543" s="15" t="n">
        <f aca="false">AM543*Ipotesi!$C$67</f>
        <v>3478.75</v>
      </c>
      <c r="BN543" s="15" t="n">
        <f aca="false">INDEX(Ipotesi!$C$72:$G$72,1,F543)/12*Ipotesi!K126+BF543*Ipotesi!$C$73</f>
        <v>10319.8059700461</v>
      </c>
      <c r="BO543" s="15" t="n">
        <f aca="false">INDEX(Ipotesi!$C$74:$G$74,1,F543)/12*Ipotesi!K126</f>
        <v>5416.66666666667</v>
      </c>
      <c r="BP543" s="15" t="n">
        <f aca="false">INDEX(Ipotesi!$C$76:$G$76,1,F543)/12</f>
        <v>1916.66666666667</v>
      </c>
      <c r="BQ543" s="15" t="n">
        <f aca="false">INDEX(Ipotesi!$C$77:$G$77,1,F543)/12*Ipotesi!K126</f>
        <v>2500</v>
      </c>
      <c r="BR543" s="15" t="n">
        <f aca="false">INDEX(Ipotesi!$C$78:$G$78,1,F543)/12</f>
        <v>2333.33333333333</v>
      </c>
      <c r="BS543" s="15" t="n">
        <f aca="false">SUM(M543:R543)*(Ipotesi!$C$85+Ipotesi!$C$86)/12</f>
        <v>7437.5</v>
      </c>
      <c r="BT543" s="15" t="n">
        <f aca="false">BI543*Ipotesi!$C$87</f>
        <v>6444.05223876728</v>
      </c>
      <c r="BU543" s="15" t="n">
        <f aca="false">INDEX(Ipotesi!$C$55:$G$55,1,F543)*K543/12</f>
        <v>2000</v>
      </c>
      <c r="BV543" s="15" t="n">
        <f aca="false">INDEX(Ipotesi!$C$80:$G$80,1,F543)/12*Ipotesi!K126</f>
        <v>2083.33333333333</v>
      </c>
      <c r="BW543" s="15" t="n">
        <f aca="false">INDEX(Ipotesi!$C$82:$G$82,1,F543)/12</f>
        <v>1500</v>
      </c>
      <c r="BX543" s="15" t="n">
        <f aca="false">INDEX(Ipotesi!$C$83:$G$83,1,F543)/12</f>
        <v>833.333333333333</v>
      </c>
      <c r="BY543" s="15" t="n">
        <f aca="false">SUM(S543:U543)*(Ipotesi!$C$85+Ipotesi!$C$86)/12</f>
        <v>3208.33333333333</v>
      </c>
      <c r="BZ543" s="15" t="n">
        <f aca="false">AM543*Ipotesi!$C$87</f>
        <v>3478.75</v>
      </c>
      <c r="CA543" s="15" t="n">
        <f aca="false">AB543+BJ543+BL543+BN543+BO543+AR543+BP543+BQ543+BR543+BS543+BT543</f>
        <v>201108.197101747</v>
      </c>
      <c r="CB543" s="15" t="n">
        <f aca="false">AC543+BK543+BM543+BH543+BU543+BV543+AS543+BW543+BX543+BY543+BZ543</f>
        <v>79625.4722608333</v>
      </c>
      <c r="CC543" s="15" t="n">
        <f aca="false">BI543-CA543</f>
        <v>13693.5441904952</v>
      </c>
      <c r="CD543" s="15" t="n">
        <f aca="false">AM543-CB543</f>
        <v>36332.8610725</v>
      </c>
      <c r="CE543" s="15" t="n">
        <f aca="false">INDEX(Ipotesi!$C$79:$G$79,1,F543)/12</f>
        <v>4166.66666666667</v>
      </c>
      <c r="CF543" s="15" t="n">
        <f aca="false">INDEX(Ipotesi!$C$84:$G$84,1,F543)/12</f>
        <v>666.666666666667</v>
      </c>
      <c r="CG543" s="15" t="n">
        <f aca="false">Y543*MAX(0,Parametri_v3!$C$12-IF(P543=0,0,MIN(1,BE543/(P543*Parametri_v3!$C$22))))+W543*Parametri_v3!$C$13+X543*Parametri_v3!$C$14</f>
        <v>33791.9581050967</v>
      </c>
      <c r="CH543" s="15" t="n">
        <f aca="false">AB543*Parametri_v3!$C$32</f>
        <v>5973.86641604167</v>
      </c>
      <c r="CI543" s="15" t="n">
        <f aca="false">AC543*Parametri_v3!$C$32</f>
        <v>2218.19027970833</v>
      </c>
      <c r="CJ543" s="15" t="n">
        <f aca="false">CA543-AB543</f>
        <v>81630.8687809139</v>
      </c>
      <c r="CK543" s="15" t="n">
        <f aca="false">CB543-AC543-BH543</f>
        <v>23665.8333333333</v>
      </c>
      <c r="CL543" s="15" t="n">
        <f aca="false">BF543*Ipotesi!$C$73+INDEX(Ipotesi!$C$72:$G$72,1,F543)/12*Ipotesi!K126*Parametri_v3!$C$58+Z543*(1-Parametri_v3!$C$16)</f>
        <v>17916.9904375461</v>
      </c>
      <c r="CM543" s="16" t="n">
        <f aca="false">IF(BF543=0,0,1-CL543/BF543)</f>
        <v>0.84196362747588</v>
      </c>
    </row>
    <row r="544" customFormat="false" ht="18" hidden="false" customHeight="true" outlineLevel="0" collapsed="false">
      <c r="A544" s="68" t="n">
        <f aca="false">9</f>
        <v>9</v>
      </c>
      <c r="B544" s="68" t="n">
        <f aca="false">60</f>
        <v>60</v>
      </c>
      <c r="C544" s="18" t="n">
        <f aca="false">EDATE(Parametri_v3!$C$5,60-1)</f>
        <v>48183</v>
      </c>
      <c r="D544" s="68" t="n">
        <f aca="false">YEAR(C544)</f>
        <v>2031</v>
      </c>
      <c r="E544" s="68" t="n">
        <f aca="false">MONTH(C544)</f>
        <v>12</v>
      </c>
      <c r="F544" s="68" t="n">
        <f aca="false">INT((60-1)/12)+1</f>
        <v>5</v>
      </c>
      <c r="G544" s="15" t="n">
        <f aca="false">Ipotesi!K7</f>
        <v>1</v>
      </c>
      <c r="H544" s="15" t="n">
        <f aca="false">Ipotesi!K9</f>
        <v>1</v>
      </c>
      <c r="I544" s="15" t="n">
        <f aca="false">Ipotesi!K10</f>
        <v>1</v>
      </c>
      <c r="J544" s="15" t="n">
        <f aca="false">Ipotesi!K11</f>
        <v>1</v>
      </c>
      <c r="K544" s="15" t="n">
        <f aca="false">Ipotesi!K12</f>
        <v>1</v>
      </c>
      <c r="L544" s="15" t="n">
        <f aca="false">Ipotesi!K13</f>
        <v>90</v>
      </c>
      <c r="M544" s="17" t="n">
        <f aca="false">INDEX(Ipotesi!$C$40:$G$40,1,F544)</f>
        <v>1</v>
      </c>
      <c r="N544" s="17" t="n">
        <f aca="false">INDEX(Ipotesi!$C$41:$G$41,1,F544)</f>
        <v>1</v>
      </c>
      <c r="O544" s="17" t="n">
        <f aca="false">INDEX(Ipotesi!$C$42:$G$42,1,F544)*Ipotesi!K125</f>
        <v>8.5</v>
      </c>
      <c r="P544" s="17" t="n">
        <f aca="false">INDEX(Ipotesi!$C$43:$G$43,1,F544)*I544</f>
        <v>7</v>
      </c>
      <c r="Q544" s="17" t="n">
        <f aca="false">INDEX(Ipotesi!$C$44:$G$44,1,F544)*I544</f>
        <v>6</v>
      </c>
      <c r="R544" s="17" t="n">
        <f aca="false">INDEX(Ipotesi!$C$45:$G$45,1,F544)*I544</f>
        <v>2</v>
      </c>
      <c r="S544" s="17" t="n">
        <f aca="false">INDEX(Ipotesi!$C$52:$G$52,1,F544)*Ipotesi!K125</f>
        <v>9</v>
      </c>
      <c r="T544" s="17" t="n">
        <f aca="false">INDEX(Ipotesi!$C$53:$G$53,1,F544)*I544</f>
        <v>1</v>
      </c>
      <c r="U544" s="17" t="n">
        <f aca="false">INDEX(Ipotesi!$C$54:$G$54,1,F544)*I544</f>
        <v>1</v>
      </c>
      <c r="V544" s="15" t="n">
        <f aca="false">M544*INDEX(Ipotesi!$C$58:$G$58,1,F544)*K544/12</f>
        <v>8333.33333333333</v>
      </c>
      <c r="W544" s="15" t="n">
        <f aca="false">N544*Ipotesi!$C$59*(1+Ipotesi!$C$66)^(F544-1)/12</f>
        <v>6565.46805833334</v>
      </c>
      <c r="X544" s="15" t="n">
        <f aca="false">O544*Ipotesi!$C$60*(1+Ipotesi!$C$66)^(F544-1)/12</f>
        <v>39861.7703541667</v>
      </c>
      <c r="Y544" s="15" t="n">
        <f aca="false">P544*Ipotesi!$C$61*(1+Ipotesi!$C$66)^(F544-1)/12</f>
        <v>32827.3402916667</v>
      </c>
      <c r="Z544" s="15" t="n">
        <f aca="false">Q544*Ipotesi!$C$62*(1+Ipotesi!$C$66)^(F544-1)/12</f>
        <v>25323.948225</v>
      </c>
      <c r="AA544" s="15" t="n">
        <f aca="false">R544*Ipotesi!$C$63*(1+Ipotesi!$C$66)^(F544-1)/12</f>
        <v>6565.46805833334</v>
      </c>
      <c r="AB544" s="15" t="n">
        <f aca="false">SUM(V544:AA544)</f>
        <v>119477.328320833</v>
      </c>
      <c r="AC544" s="15" t="n">
        <f aca="false">(S544*Ipotesi!$C$64+T544*Ipotesi!$C$65+U544*Ipotesi!$C$63)*(1+Ipotesi!$C$66)^(F544-1)/12</f>
        <v>44363.8055941667</v>
      </c>
      <c r="AD544" s="15" t="n">
        <f aca="false">INDEX(Ipotesi!$C$48:$G$48,1,F544)*G544/12</f>
        <v>95.8333333333333</v>
      </c>
      <c r="AE544" s="15" t="n">
        <f aca="false">INDEX(Ipotesi!$C$50:$G$50,1,F544)*G544/12</f>
        <v>9.58333333333333</v>
      </c>
      <c r="AF544" s="15" t="n">
        <f aca="false">(S544*Parametri_v3!$C$7*Parametri_v3!$C$8+Parametri_v3!$C$10)/12</f>
        <v>115.5</v>
      </c>
      <c r="AG544" s="15" t="n">
        <f aca="false">AD544+AE544*(1+Parametri_v3!$C$9)</f>
        <v>110.208333333333</v>
      </c>
      <c r="AH544" s="16" t="n">
        <f aca="false">IF(AG544=0,1,MIN(1,AF544/AG544))</f>
        <v>1</v>
      </c>
      <c r="AI544" s="15" t="n">
        <f aca="false">AD544*AH544</f>
        <v>95.8333333333333</v>
      </c>
      <c r="AJ544" s="15" t="n">
        <f aca="false">AE544*AH544</f>
        <v>9.58333333333333</v>
      </c>
      <c r="AK544" s="15" t="n">
        <f aca="false">AI544*INDEX(Ipotesi!$C$49:$G$49,1,F544)*H544</f>
        <v>91041.6666666667</v>
      </c>
      <c r="AL544" s="15" t="n">
        <f aca="false">AJ544*INDEX(Ipotesi!$C$51:$G$51,1,F544)*H544</f>
        <v>24916.6666666667</v>
      </c>
      <c r="AM544" s="15" t="n">
        <f aca="false">AK544+AL544</f>
        <v>115958.333333333</v>
      </c>
      <c r="AN544" s="15" t="n">
        <f aca="false">INDEX(Ipotesi!$C$30:$G$30,1,F544)*G544/12</f>
        <v>81.6666666666667</v>
      </c>
      <c r="AO544" s="15" t="n">
        <f aca="false">O544*Parametri_v3!$C$7*Parametri_v3!$C$11*(1-Parametri_v3!$C$14)/12</f>
        <v>87.2666666666667</v>
      </c>
      <c r="AP544" s="15" t="n">
        <f aca="false">MIN(AN544,AO544)</f>
        <v>81.6666666666667</v>
      </c>
      <c r="AQ544" s="15" t="n">
        <f aca="false">AP544*INDEX(Ipotesi!$C$31:$G$31,1,F544)*H544</f>
        <v>89833.3333333333</v>
      </c>
      <c r="AR544" s="15" t="n">
        <f aca="false">INDEX(Ipotesi!$C$75:$G$75,1,F544)*J544/12</f>
        <v>35833.3333333333</v>
      </c>
      <c r="AS544" s="15" t="n">
        <f aca="false">INDEX(Ipotesi!$C$81:$G$81,1,F544)*J544/12</f>
        <v>2083.33333333333</v>
      </c>
      <c r="AT544" s="15" t="n">
        <f aca="false">AR544*Parametri_v3!$C$15+Z544*Parametri_v3!$C$16</f>
        <v>53560.0970908333</v>
      </c>
      <c r="AU544" s="15" t="n">
        <f aca="false">Q544*Parametri_v3!$C$16*Parametri_v3!$C$17</f>
        <v>420</v>
      </c>
      <c r="AV544" s="17" t="n">
        <f aca="false">BD543</f>
        <v>222.605584178885</v>
      </c>
      <c r="AW544" s="17" t="n">
        <f aca="false">AV544*(1-(1-INDEX(Ipotesi!$C$34:$G$34,1,F544))^(1/12))</f>
        <v>1.94593141323481</v>
      </c>
      <c r="AX544" s="15" t="n">
        <f aca="false">ROUND(INDEX(Ipotesi!$C$32:$G$32,1,F544)*Ipotesi!K8,0)</f>
        <v>560</v>
      </c>
      <c r="AY544" s="15" t="n">
        <f aca="false">MAX(0,(AX544-(AV544-AW544))/(13-E544))</f>
        <v>339.34034723435</v>
      </c>
      <c r="AZ544" s="15" t="n">
        <f aca="false">MIN(P544*Parametri_v3!$C$22,Q544*(1-Parametri_v3!$C$16)*Parametri_v3!$C$23)</f>
        <v>270</v>
      </c>
      <c r="BA544" s="15" t="n">
        <f aca="false">IF(OR(INDEX(Ipotesi!$C$35:$G$35,1,F544)&lt;=0,60-Parametri_v3!$C$21&lt;1),0,INDEX($AT$485:$AT$544,MAX(1,60-Parametri_v3!$C$21))/(INDEX(Ipotesi!$C$35:$G$35,1,F544)*Ipotesi!K27))</f>
        <v>8.24001493705128</v>
      </c>
      <c r="BB544" s="15" t="n">
        <f aca="false">IF(60-Parametri_v3!$C$21&lt;1,0,INDEX($AU$485:$AU$544,MAX(1,60-Parametri_v3!$C$21)))*Parametri_v3!$C$18*Parametri_v3!$C$19*Parametri_v3!$C$20</f>
        <v>15.75</v>
      </c>
      <c r="BC544" s="17" t="n">
        <f aca="false">MAX(0,MIN(AY544,BA544,BB544,MAX(0,AZ544-(AV544-AW544))))</f>
        <v>8.24001493705128</v>
      </c>
      <c r="BD544" s="17" t="n">
        <f aca="false">AV544-AW544+BC544</f>
        <v>228.899667702702</v>
      </c>
      <c r="BE544" s="17" t="n">
        <f aca="false">(AV544+BD544)/2</f>
        <v>225.752625940793</v>
      </c>
      <c r="BF544" s="15" t="n">
        <f aca="false">BE544*INDEX(Ipotesi!$C$33:$G$33,1,F544)*H544/12</f>
        <v>116638.856736077</v>
      </c>
      <c r="BG544" s="15" t="n">
        <f aca="false">BD544*INDEX(Ipotesi!$C$33:$G$33,1,F544)*H544</f>
        <v>1419177.93975675</v>
      </c>
      <c r="BH544" s="15" t="n">
        <f aca="false">AM544*INDEX(Ipotesi!$C$37:$G$37,1,F544)</f>
        <v>11595.8333333333</v>
      </c>
      <c r="BI544" s="15" t="n">
        <f aca="false">AQ544+BF544+BH544</f>
        <v>218068.023402743</v>
      </c>
      <c r="BJ544" s="15" t="n">
        <f aca="false">INDEX(Ipotesi!$C$68:$G$68,1,F544)*Ipotesi!$C$69/12</f>
        <v>3333.33333333333</v>
      </c>
      <c r="BK544" s="15" t="n">
        <f aca="false">INDEX(Ipotesi!$C$68:$G$68,1,F544)*(1-Ipotesi!$C$69)/12</f>
        <v>5000</v>
      </c>
      <c r="BL544" s="15" t="n">
        <f aca="false">(AQ544+BF544)*Ipotesi!$C$67</f>
        <v>6194.1657020823</v>
      </c>
      <c r="BM544" s="15" t="n">
        <f aca="false">AM544*Ipotesi!$C$67</f>
        <v>3478.75</v>
      </c>
      <c r="BN544" s="15" t="n">
        <f aca="false">INDEX(Ipotesi!$C$72:$G$72,1,F544)/12*Ipotesi!K126+BF544*Ipotesi!$C$73</f>
        <v>10581.1085388861</v>
      </c>
      <c r="BO544" s="15" t="n">
        <f aca="false">INDEX(Ipotesi!$C$74:$G$74,1,F544)/12*Ipotesi!K126</f>
        <v>5416.66666666667</v>
      </c>
      <c r="BP544" s="15" t="n">
        <f aca="false">INDEX(Ipotesi!$C$76:$G$76,1,F544)/12</f>
        <v>1916.66666666667</v>
      </c>
      <c r="BQ544" s="15" t="n">
        <f aca="false">INDEX(Ipotesi!$C$77:$G$77,1,F544)/12*Ipotesi!K126</f>
        <v>2500</v>
      </c>
      <c r="BR544" s="15" t="n">
        <f aca="false">INDEX(Ipotesi!$C$78:$G$78,1,F544)/12</f>
        <v>2333.33333333333</v>
      </c>
      <c r="BS544" s="15" t="n">
        <f aca="false">SUM(M544:R544)*(Ipotesi!$C$85+Ipotesi!$C$86)/12</f>
        <v>7437.5</v>
      </c>
      <c r="BT544" s="15" t="n">
        <f aca="false">BI544*Ipotesi!$C$87</f>
        <v>6542.0407020823</v>
      </c>
      <c r="BU544" s="15" t="n">
        <f aca="false">INDEX(Ipotesi!$C$55:$G$55,1,F544)*K544/12</f>
        <v>2000</v>
      </c>
      <c r="BV544" s="15" t="n">
        <f aca="false">INDEX(Ipotesi!$C$80:$G$80,1,F544)/12*Ipotesi!K126</f>
        <v>2083.33333333333</v>
      </c>
      <c r="BW544" s="15" t="n">
        <f aca="false">INDEX(Ipotesi!$C$82:$G$82,1,F544)/12</f>
        <v>1500</v>
      </c>
      <c r="BX544" s="15" t="n">
        <f aca="false">INDEX(Ipotesi!$C$83:$G$83,1,F544)/12</f>
        <v>833.333333333333</v>
      </c>
      <c r="BY544" s="15" t="n">
        <f aca="false">SUM(S544:U544)*(Ipotesi!$C$85+Ipotesi!$C$86)/12</f>
        <v>3208.33333333333</v>
      </c>
      <c r="BZ544" s="15" t="n">
        <f aca="false">AM544*Ipotesi!$C$87</f>
        <v>3478.75</v>
      </c>
      <c r="CA544" s="15" t="n">
        <f aca="false">AB544+BJ544+BL544+BN544+BO544+AR544+BP544+BQ544+BR544+BS544+BT544</f>
        <v>201565.476597217</v>
      </c>
      <c r="CB544" s="15" t="n">
        <f aca="false">AC544+BK544+BM544+BH544+BU544+BV544+AS544+BW544+BX544+BY544+BZ544</f>
        <v>79625.4722608333</v>
      </c>
      <c r="CC544" s="15" t="n">
        <f aca="false">BI544-CA544</f>
        <v>16502.5468055258</v>
      </c>
      <c r="CD544" s="15" t="n">
        <f aca="false">AM544-CB544</f>
        <v>36332.8610725</v>
      </c>
      <c r="CE544" s="15" t="n">
        <f aca="false">INDEX(Ipotesi!$C$79:$G$79,1,F544)/12</f>
        <v>4166.66666666667</v>
      </c>
      <c r="CF544" s="15" t="n">
        <f aca="false">INDEX(Ipotesi!$C$84:$G$84,1,F544)/12</f>
        <v>666.666666666667</v>
      </c>
      <c r="CG544" s="15" t="n">
        <f aca="false">Y544*MAX(0,Parametri_v3!$C$12-IF(P544=0,0,MIN(1,BE544/(P544*Parametri_v3!$C$22))))+W544*Parametri_v3!$C$13+X544*Parametri_v3!$C$14</f>
        <v>33495.4880009584</v>
      </c>
      <c r="CH544" s="15" t="n">
        <f aca="false">AB544*Parametri_v3!$C$32</f>
        <v>5973.86641604167</v>
      </c>
      <c r="CI544" s="15" t="n">
        <f aca="false">AC544*Parametri_v3!$C$32</f>
        <v>2218.19027970833</v>
      </c>
      <c r="CJ544" s="15" t="n">
        <f aca="false">CA544-AB544</f>
        <v>82088.1482763841</v>
      </c>
      <c r="CK544" s="15" t="n">
        <f aca="false">CB544-AC544-BH544</f>
        <v>23665.8333333333</v>
      </c>
      <c r="CL544" s="15" t="n">
        <f aca="false">BF544*Ipotesi!$C$73+INDEX(Ipotesi!$C$72:$G$72,1,F544)/12*Ipotesi!K126*Parametri_v3!$C$58+Z544*(1-Parametri_v3!$C$16)</f>
        <v>18178.2930063861</v>
      </c>
      <c r="CM544" s="16" t="n">
        <f aca="false">IF(BF544=0,0,1-CL544/BF544)</f>
        <v>0.844148909590919</v>
      </c>
    </row>
  </sheetData>
  <autoFilter ref="A4:CM544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&amp;CLexShield v3 | Proiezioni condizionate, non bilanci certificati&amp;RPagina &amp;P / &amp;N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H54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6" min="1" style="1" width="18"/>
  </cols>
  <sheetData>
    <row r="1" customFormat="false" ht="30" hidden="false" customHeight="true" outlineLevel="0" collapsed="false">
      <c r="A1" s="2" t="s">
        <v>804</v>
      </c>
      <c r="B1" s="2"/>
      <c r="C1" s="2"/>
      <c r="D1" s="2"/>
      <c r="E1" s="2"/>
      <c r="F1" s="2"/>
      <c r="G1" s="2"/>
      <c r="H1" s="2"/>
    </row>
    <row r="2" customFormat="false" ht="42" hidden="false" customHeight="true" outlineLevel="0" collapsed="false">
      <c r="A2" s="3" t="s">
        <v>719</v>
      </c>
      <c r="B2" s="3"/>
      <c r="C2" s="3"/>
      <c r="D2" s="3"/>
      <c r="E2" s="3"/>
      <c r="F2" s="3"/>
      <c r="G2" s="3"/>
      <c r="H2" s="3"/>
    </row>
    <row r="4" customFormat="false" ht="64.5" hidden="false" customHeight="true" outlineLevel="0" collapsed="false">
      <c r="A4" s="4" t="s">
        <v>183</v>
      </c>
      <c r="B4" s="4" t="s">
        <v>720</v>
      </c>
      <c r="C4" s="4" t="s">
        <v>721</v>
      </c>
      <c r="D4" s="4" t="s">
        <v>77</v>
      </c>
      <c r="E4" s="4" t="s">
        <v>166</v>
      </c>
      <c r="F4" s="4" t="s">
        <v>123</v>
      </c>
      <c r="G4" s="4" t="s">
        <v>805</v>
      </c>
      <c r="H4" s="4" t="s">
        <v>806</v>
      </c>
      <c r="I4" s="4" t="s">
        <v>126</v>
      </c>
      <c r="J4" s="4" t="s">
        <v>127</v>
      </c>
      <c r="K4" s="4" t="s">
        <v>807</v>
      </c>
      <c r="L4" s="4" t="s">
        <v>128</v>
      </c>
      <c r="M4" s="4" t="s">
        <v>129</v>
      </c>
      <c r="N4" s="4" t="s">
        <v>130</v>
      </c>
      <c r="O4" s="4" t="s">
        <v>808</v>
      </c>
      <c r="P4" s="4" t="s">
        <v>132</v>
      </c>
      <c r="Q4" s="4" t="s">
        <v>809</v>
      </c>
      <c r="R4" s="4" t="s">
        <v>810</v>
      </c>
      <c r="S4" s="4" t="s">
        <v>811</v>
      </c>
      <c r="T4" s="4" t="s">
        <v>812</v>
      </c>
      <c r="U4" s="4" t="s">
        <v>813</v>
      </c>
      <c r="V4" s="4" t="s">
        <v>814</v>
      </c>
      <c r="W4" s="4" t="s">
        <v>815</v>
      </c>
      <c r="X4" s="4" t="s">
        <v>816</v>
      </c>
      <c r="Y4" s="4" t="s">
        <v>134</v>
      </c>
      <c r="Z4" s="4" t="s">
        <v>817</v>
      </c>
      <c r="AA4" s="4" t="s">
        <v>818</v>
      </c>
      <c r="AB4" s="4" t="s">
        <v>819</v>
      </c>
      <c r="AC4" s="4" t="s">
        <v>820</v>
      </c>
      <c r="AD4" s="4" t="s">
        <v>821</v>
      </c>
      <c r="AE4" s="4" t="s">
        <v>822</v>
      </c>
      <c r="AF4" s="4" t="s">
        <v>823</v>
      </c>
      <c r="AG4" s="4" t="s">
        <v>824</v>
      </c>
      <c r="AH4" s="4" t="s">
        <v>825</v>
      </c>
      <c r="AI4" s="4" t="s">
        <v>826</v>
      </c>
      <c r="AJ4" s="4" t="s">
        <v>827</v>
      </c>
      <c r="AK4" s="4" t="s">
        <v>828</v>
      </c>
      <c r="AL4" s="4" t="s">
        <v>829</v>
      </c>
      <c r="AM4" s="4" t="s">
        <v>830</v>
      </c>
      <c r="AN4" s="4" t="s">
        <v>831</v>
      </c>
      <c r="AO4" s="4" t="s">
        <v>832</v>
      </c>
      <c r="AP4" s="4" t="s">
        <v>833</v>
      </c>
      <c r="AQ4" s="4" t="s">
        <v>834</v>
      </c>
      <c r="AR4" s="4" t="s">
        <v>835</v>
      </c>
      <c r="AS4" s="4" t="s">
        <v>836</v>
      </c>
      <c r="AT4" s="4" t="s">
        <v>837</v>
      </c>
      <c r="AU4" s="4" t="s">
        <v>838</v>
      </c>
      <c r="AV4" s="4" t="s">
        <v>151</v>
      </c>
      <c r="AW4" s="4" t="s">
        <v>839</v>
      </c>
      <c r="AX4" s="4" t="s">
        <v>840</v>
      </c>
      <c r="AY4" s="4" t="s">
        <v>841</v>
      </c>
      <c r="AZ4" s="4" t="s">
        <v>842</v>
      </c>
      <c r="BA4" s="4" t="s">
        <v>843</v>
      </c>
      <c r="BB4" s="4" t="s">
        <v>844</v>
      </c>
      <c r="BC4" s="4" t="s">
        <v>845</v>
      </c>
      <c r="BD4" s="4" t="s">
        <v>846</v>
      </c>
      <c r="BE4" s="4" t="s">
        <v>847</v>
      </c>
      <c r="BF4" s="4" t="s">
        <v>848</v>
      </c>
      <c r="BG4" s="4" t="s">
        <v>849</v>
      </c>
      <c r="BH4" s="4" t="s">
        <v>850</v>
      </c>
      <c r="BI4" s="4" t="s">
        <v>851</v>
      </c>
      <c r="BJ4" s="4" t="s">
        <v>852</v>
      </c>
      <c r="BK4" s="4" t="s">
        <v>853</v>
      </c>
      <c r="BL4" s="4" t="s">
        <v>152</v>
      </c>
      <c r="BM4" s="4" t="s">
        <v>854</v>
      </c>
      <c r="BN4" s="4" t="s">
        <v>855</v>
      </c>
      <c r="BO4" s="4" t="s">
        <v>856</v>
      </c>
      <c r="BP4" s="4" t="s">
        <v>857</v>
      </c>
      <c r="BQ4" s="4" t="s">
        <v>153</v>
      </c>
      <c r="BR4" s="4" t="s">
        <v>858</v>
      </c>
      <c r="BS4" s="4" t="s">
        <v>859</v>
      </c>
      <c r="BT4" s="4" t="s">
        <v>860</v>
      </c>
      <c r="BU4" s="4" t="s">
        <v>861</v>
      </c>
      <c r="BV4" s="4" t="s">
        <v>862</v>
      </c>
      <c r="BW4" s="4" t="s">
        <v>863</v>
      </c>
      <c r="BX4" s="4" t="s">
        <v>864</v>
      </c>
      <c r="BY4" s="4" t="s">
        <v>865</v>
      </c>
      <c r="BZ4" s="4" t="s">
        <v>866</v>
      </c>
      <c r="CA4" s="4" t="s">
        <v>867</v>
      </c>
      <c r="CB4" s="4" t="s">
        <v>868</v>
      </c>
      <c r="CC4" s="4" t="s">
        <v>869</v>
      </c>
      <c r="CD4" s="4" t="s">
        <v>870</v>
      </c>
      <c r="CE4" s="4" t="s">
        <v>871</v>
      </c>
      <c r="CF4" s="4" t="s">
        <v>872</v>
      </c>
      <c r="CG4" s="4" t="s">
        <v>873</v>
      </c>
      <c r="CH4" s="4" t="s">
        <v>874</v>
      </c>
    </row>
    <row r="5" customFormat="false" ht="18" hidden="false" customHeight="true" outlineLevel="0" collapsed="false">
      <c r="A5" s="68" t="n">
        <f aca="false">1</f>
        <v>1</v>
      </c>
      <c r="B5" s="68" t="n">
        <f aca="false">1</f>
        <v>1</v>
      </c>
      <c r="C5" s="18" t="n">
        <f aca="false">Motore_Operativo!C5</f>
        <v>46388</v>
      </c>
      <c r="D5" s="68" t="n">
        <f aca="false">Motore_Operativo!D5</f>
        <v>2027</v>
      </c>
      <c r="E5" s="68" t="n">
        <f aca="false">Motore_Operativo!E5</f>
        <v>1</v>
      </c>
      <c r="F5" s="15" t="n">
        <f aca="false">Motore_Operativo!AQ5+Motore_Operativo!BF5</f>
        <v>5625</v>
      </c>
      <c r="G5" s="15" t="n">
        <f aca="false">Motore_Operativo!BH5</f>
        <v>1250</v>
      </c>
      <c r="H5" s="15" t="n">
        <f aca="false">Motore_Operativo!BI5</f>
        <v>6875</v>
      </c>
      <c r="I5" s="15" t="n">
        <f aca="false">Motore_Operativo!CA5</f>
        <v>27614.5833333333</v>
      </c>
      <c r="J5" s="15" t="n">
        <f aca="false">Motore_Operativo!CC5</f>
        <v>-20739.5833333333</v>
      </c>
      <c r="K5" s="15" t="n">
        <f aca="false">Motore_Operativo!CE5</f>
        <v>1666.66666666667</v>
      </c>
      <c r="L5" s="15" t="n">
        <f aca="false">SUM(INDEX($K$5:$K$64,MAX(1,1-Parametri_v3!$C$59+1)):K5)/Parametri_v3!$C$59</f>
        <v>46.2962962962963</v>
      </c>
      <c r="M5" s="15" t="n">
        <f aca="false">J5-L5</f>
        <v>-20785.8796296296</v>
      </c>
      <c r="N5" s="15" t="n">
        <f aca="false">CD5-(0)</f>
        <v>0</v>
      </c>
      <c r="O5" s="15" t="n">
        <f aca="false">(0)*Ipotesi!$C$110/12+CH5*Parametri_v3!$C$39/12</f>
        <v>0</v>
      </c>
      <c r="P5" s="15" t="n">
        <f aca="false">M5+N5-O5</f>
        <v>-20785.8796296296</v>
      </c>
      <c r="Q5" s="15" t="n">
        <f aca="false">SUM(P5)+Parametri_v3!$C$54*1/12</f>
        <v>-20785.8796296296</v>
      </c>
      <c r="R5" s="15" t="n">
        <f aca="false">0</f>
        <v>0</v>
      </c>
      <c r="S5" s="15" t="n">
        <f aca="false">0</f>
        <v>0</v>
      </c>
      <c r="T5" s="15" t="n">
        <f aca="false">MIN(R5,MAX(0,Q5))</f>
        <v>0</v>
      </c>
      <c r="U5" s="15" t="n">
        <f aca="false">MIN(S5,MAX(0,Q5-T5)*Parametri_v3!$C$42)</f>
        <v>0</v>
      </c>
      <c r="V5" s="15" t="n">
        <f aca="false">MAX(0,Q5-T5-U5)*Ipotesi!$C$92</f>
        <v>0</v>
      </c>
      <c r="W5" s="15" t="n">
        <f aca="false">MAX(0,SUM(M5)+Parametri_v3!$C$55*1/12)*Ipotesi!$C$93</f>
        <v>0</v>
      </c>
      <c r="X5" s="15" t="n">
        <f aca="false">V5+W5-(0)</f>
        <v>0</v>
      </c>
      <c r="Y5" s="15" t="n">
        <f aca="false">P5-X5</f>
        <v>-20785.8796296296</v>
      </c>
      <c r="Z5" s="15" t="n">
        <f aca="false">R5-T5+IF(AND(Parametri_v3!$C$40=1,D5-YEAR(Parametri_v3!$C$50)&lt;Parametri_v3!$C$41),MAX(0,-Q5),0)</f>
        <v>20785.8796296296</v>
      </c>
      <c r="AA5" s="15" t="n">
        <f aca="false">S5-U5+IF(AND(Parametri_v3!$C$40=1,D5-YEAR(Parametri_v3!$C$50)&lt;Parametri_v3!$C$41),0,MAX(0,-Q5))</f>
        <v>0</v>
      </c>
      <c r="AB5" s="15" t="n">
        <f aca="false">F5*(1+Parametri_v3!$C$26)</f>
        <v>6862.5</v>
      </c>
      <c r="AC5" s="15" t="n">
        <f aca="false">(IF(1-(INT((Motore_Operativo!L5)/30))&lt;1,0,INDEX(Motore_Startup!$AB$5:$AB$64,MAX(1,1-(INT((Motore_Operativo!L5)/30)))))*(1-(MOD((Motore_Operativo!L5),30)/30))+IF(1-(INT((Motore_Operativo!L5)/30))-1&lt;1,0,INDEX(Motore_Startup!$AB$5:$AB$64,MAX(1,1-(INT((Motore_Operativo!L5)/30))-1)))*(MOD((Motore_Operativo!L5),30)/30))</f>
        <v>0</v>
      </c>
      <c r="AD5" s="15" t="n">
        <f aca="false">(0)+AB5-AC5</f>
        <v>6862.5</v>
      </c>
      <c r="AE5" s="15" t="n">
        <f aca="false">Motore_Operativo!BH5*(1+Parametri_v3!$C$26)</f>
        <v>1525</v>
      </c>
      <c r="AF5" s="15" t="n">
        <f aca="false">(IF(1-(INT((Parametri_v3!$C$29)/30))&lt;1,0,INDEX(Motore_Operativo!$BH$5:$BH$64,MAX(1,1-(INT((Parametri_v3!$C$29)/30)))))*(1-(MOD((Parametri_v3!$C$29),30)/30))+IF(1-(INT((Parametri_v3!$C$29)/30))-1&lt;1,0,INDEX(Motore_Operativo!$BH$5:$BH$64,MAX(1,1-(INT((Parametri_v3!$C$29)/30))-1)))*(MOD((Parametri_v3!$C$29),30)/30))*(1+Parametri_v3!$C$26)</f>
        <v>0</v>
      </c>
      <c r="AG5" s="15" t="n">
        <f aca="false">(0)+AE5-AF5</f>
        <v>1525</v>
      </c>
      <c r="AH5" s="15" t="n">
        <f aca="false">(Motore_Operativo!CJ5)*(1+Parametri_v3!$C$27*Parametri_v3!$C$26)</f>
        <v>11511.4270833333</v>
      </c>
      <c r="AI5" s="15" t="n">
        <f aca="false">(IF(1-(INT((Ipotesi!$C$91)/30))&lt;1,0,INDEX(Motore_Startup!$AH$5:$AH$64,MAX(1,1-(INT((Ipotesi!$C$91)/30)))))*(1-(MOD((Ipotesi!$C$91),30)/30))+IF(1-(INT((Ipotesi!$C$91)/30))-1&lt;1,0,INDEX(Motore_Startup!$AH$5:$AH$64,MAX(1,1-(INT((Ipotesi!$C$91)/30))-1)))*(MOD((Ipotesi!$C$91),30)/30))</f>
        <v>0</v>
      </c>
      <c r="AJ5" s="15" t="n">
        <f aca="false">(0)+AH5-AI5</f>
        <v>11511.4270833333</v>
      </c>
      <c r="AK5" s="15" t="n">
        <f aca="false">(F5+ Motore_Operativo!BH5-(Motore_Operativo!CJ5)*Parametri_v3!$C$27-Motore_Operativo!CE5)*Parametri_v3!$C$26</f>
        <v>-667.677083333333</v>
      </c>
      <c r="AL5" s="15" t="n">
        <f aca="false">MAX(0,(0))</f>
        <v>0</v>
      </c>
      <c r="AM5" s="15" t="n">
        <f aca="false">(0)+AK5-AL5</f>
        <v>-667.677083333333</v>
      </c>
      <c r="AN5" s="15" t="n">
        <f aca="false">0</f>
        <v>0</v>
      </c>
      <c r="AO5" s="15" t="n">
        <f aca="false">0</f>
        <v>0</v>
      </c>
      <c r="AP5" s="15" t="n">
        <f aca="false">MAX(0,AN5)*IF(1=Parametri_v3!$C$43,Parametri_v3!$C$45,IF(1=Parametri_v3!$C$44,1-Parametri_v3!$C$45,0))</f>
        <v>0</v>
      </c>
      <c r="AQ5" s="15" t="n">
        <f aca="false">MAX(0,AP5+IF(1=Parametri_v3!$C$43,MAX(0,AN5-AO5),0)-MAX(0,-(0)))</f>
        <v>0</v>
      </c>
      <c r="AR5" s="15" t="n">
        <f aca="false">(0)+X5-AQ5</f>
        <v>0</v>
      </c>
      <c r="AS5" s="15" t="n">
        <f aca="false">Motore_Operativo!AB5-AT5+AU5</f>
        <v>17020.8333333333</v>
      </c>
      <c r="AT5" s="15" t="n">
        <f aca="false">Motore_Operativo!CH5</f>
        <v>895.833333333334</v>
      </c>
      <c r="AU5" s="15" t="n">
        <f aca="false">MIN(MAX(0,(0)+AT5),Parametri_v3!$C$60/12)</f>
        <v>0</v>
      </c>
      <c r="AV5" s="15" t="n">
        <f aca="false">(0)+AT5-AU5</f>
        <v>895.833333333334</v>
      </c>
      <c r="AW5" s="15" t="n">
        <f aca="false">IF(AND(Motore_Operativo!C5=Finanziamenti!$D$6,Finanziamenti!$F$6=1),Finanziamenti!$C$6,0)</f>
        <v>130000</v>
      </c>
      <c r="AX5" s="15" t="n">
        <f aca="false">IF(AND(1&lt;&gt;7,1&lt;&gt;9,Finanziamenti!$F$8=1,OR(Parametri_v3!$C$6=0,Finanziamenti!$E$8=1),Motore_Operativo!C5=EDATE(Finanziamenti!$D$8,Ipotesi!C15*12)),Finanziamenti!$C$8*1,0)+IF(AND(1&lt;&gt;7,1&lt;&gt;9,Finanziamenti!$F$9=1,OR(Parametri_v3!$C$6=0,Finanziamenti!$E$9=1),Motore_Operativo!C5=EDATE(Finanziamenti!$D$9,Ipotesi!C15*12)),Finanziamenti!$C$9*Ipotesi!C16,0)</f>
        <v>0</v>
      </c>
      <c r="AY5" s="15" t="n">
        <f aca="false">0</f>
        <v>0</v>
      </c>
      <c r="AZ5" s="15" t="n">
        <f aca="false">Motore_Advisory!AY5*(1-Ipotesi!$C$95)*Ipotesi!$C$96</f>
        <v>0</v>
      </c>
      <c r="BA5" s="15" t="n">
        <f aca="false">MAX(0,MIN(CG5*MIN(1,IF(Motore_Operativo!C5&gt;=EDATE(Finanziamenti!$D$15,Ipotesi!C14*12),Finanziamenti!$C$15,0)+IF(Motore_Operativo!C5&gt;=EDATE(Finanziamenti!$D$16,Ipotesi!C14*12),Finanziamenti!$C$16,0)+IF(Motore_Operativo!C5&gt;=EDATE(Finanziamenti!$D$17,Ipotesi!C14*12),Finanziamenti!$C$17,0)),CA5*Ipotesi!$C$102)-(0))</f>
        <v>0</v>
      </c>
      <c r="BB5" s="15" t="n">
        <f aca="false">IF(AND(CF5&gt;0,Motore_Operativo!C5&gt;=IF(CF5=0,0,EDATE(CF5,Parametri_v3!$C$37)),MOD(((D5-YEAR(IF(CF5=0,0,EDATE(CF5,Parametri_v3!$C$37))))*12+E5-MONTH(IF(CF5=0,0,EDATE(CF5,Parametri_v3!$C$37)))),Parametri_v3!$C$38)=0),MIN(MAX(0,(0)+BA5-N5),(CC5-CD5)/(Ipotesi!$C$108*12/Parametri_v3!$C$38)),0)</f>
        <v>0</v>
      </c>
      <c r="BC5" s="15" t="n">
        <f aca="false">(0)+BA5-N5-BB5</f>
        <v>0</v>
      </c>
      <c r="BD5" s="15" t="n">
        <f aca="false">(0)+AC5+AF5-AI5-AS5-K5*(1+Parametri_v3!$C$26)-AL5-AQ5-O5+AW5+AX5+AZ5+BA5-BB5</f>
        <v>110945.833333333</v>
      </c>
      <c r="BE5" s="15" t="n">
        <f aca="false">MAX(0,MIN(MAX(0,CH5-(0)),Parametri_v3!$C$30-BD5))</f>
        <v>0</v>
      </c>
      <c r="BF5" s="15" t="n">
        <f aca="false">IF(Motore_Operativo!C5&gt;=Parametri_v3!$C$63,(0),MIN((0),MAX(0,BD5-Parametri_v3!$C$30)))</f>
        <v>0</v>
      </c>
      <c r="BG5" s="15" t="n">
        <f aca="false">(0)+BE5-BF5</f>
        <v>0</v>
      </c>
      <c r="BH5" s="15" t="n">
        <f aca="false">BD5+BE5-BF5-AY5</f>
        <v>110945.833333333</v>
      </c>
      <c r="BI5" s="15" t="n">
        <f aca="false">MAX(0,Parametri_v3!$C$30-BH5)</f>
        <v>0</v>
      </c>
      <c r="BJ5" s="15" t="n">
        <f aca="false">(0)+K5</f>
        <v>1666.66666666667</v>
      </c>
      <c r="BK5" s="15" t="n">
        <f aca="false">(0)+L5</f>
        <v>46.2962962962963</v>
      </c>
      <c r="BL5" s="15" t="n">
        <f aca="false">BJ5-BK5</f>
        <v>1620.37037037037</v>
      </c>
      <c r="BM5" s="15" t="n">
        <f aca="false">(0)+Y5</f>
        <v>-20785.8796296296</v>
      </c>
      <c r="BN5" s="15" t="n">
        <f aca="false">(0)+AW5+AX5+AZ5</f>
        <v>130000</v>
      </c>
      <c r="BO5" s="15" t="n">
        <f aca="false">(0)+AY5</f>
        <v>0</v>
      </c>
      <c r="BP5" s="15" t="n">
        <f aca="false">0</f>
        <v>0</v>
      </c>
      <c r="BQ5" s="15" t="n">
        <f aca="false">BN5+BM5-BO5</f>
        <v>109214.12037037</v>
      </c>
      <c r="BR5" s="15" t="n">
        <f aca="false">BH5+AD5+BL5+MAX(0,-AM5)+MAX(0,-AR5)+AG5</f>
        <v>121621.380787037</v>
      </c>
      <c r="BS5" s="15" t="n">
        <f aca="false">AJ5+AV5+MAX(0,AM5)+MAX(0,AR5)+BC5+BG5+BQ5</f>
        <v>121621.380787037</v>
      </c>
      <c r="BT5" s="15" t="n">
        <f aca="false">BR5-BS5</f>
        <v>0</v>
      </c>
      <c r="BU5" s="15" t="n">
        <f aca="false">BH5-(BD5+BE5-BF5-AY5)</f>
        <v>0</v>
      </c>
      <c r="BV5" s="15" t="n">
        <f aca="false">MIN(Piano_SS!$C$6,(0)+IF(AND(Motore_Operativo!C5&gt;=EDATE(Parametri_v3!$C$24,Ipotesi!C14*12),Motore_Operativo!C5&lt;EDATE(Parametri_v3!$C$24,Parametri_v3!$C$25+Ipotesi!C14*12)),MAX(0,(Motore_Operativo!Y5+Motore_Operativo!X5*Parametri_v3!$C$14)*(1-Parametri_v3!$C$32))*Piano_SS!$D$6,0))</f>
        <v>0</v>
      </c>
      <c r="BW5" s="15" t="n">
        <f aca="false">MIN(Piano_SS!$C$7,(0)+IF(AND(Motore_Operativo!C5&gt;=EDATE(Parametri_v3!$C$24,Ipotesi!C14*12),Motore_Operativo!C5&lt;EDATE(Parametri_v3!$C$24,Parametri_v3!$C$25+Ipotesi!C14*12)),MAX(0,(IF(1-(INT((Ipotesi!$C$91)/30))&lt;1,0,INDEX(Motore_Operativo!$BN$5:$BN$64,MAX(1,1-(INT((Ipotesi!$C$91)/30)))))*(1-(MOD((Ipotesi!$C$91),30)/30))+IF(1-(INT((Ipotesi!$C$91)/30))-1&lt;1,0,INDEX(Motore_Operativo!$BN$5:$BN$64,MAX(1,1-(INT((Ipotesi!$C$91)/30))-1)))*(MOD((Ipotesi!$C$91),30)/30)))*Piano_SS!$D$7,0))</f>
        <v>0</v>
      </c>
      <c r="BX5" s="15" t="n">
        <f aca="false">MIN(Piano_SS!$C$8,(0)+IF(AND(Motore_Operativo!C5&gt;=EDATE(Parametri_v3!$C$24,Ipotesi!C14*12),Motore_Operativo!C5&lt;EDATE(Parametri_v3!$C$24,Parametri_v3!$C$25+Ipotesi!C14*12)),MAX(0,Motore_Operativo!CE5)*Piano_SS!$D$8,0))</f>
        <v>0</v>
      </c>
      <c r="BY5" s="15" t="n">
        <f aca="false">MIN(Piano_SS!$C$9,(0)+IF(AND(Motore_Operativo!C5&gt;=EDATE(Parametri_v3!$C$24,Ipotesi!C14*12),Motore_Operativo!C5&lt;EDATE(Parametri_v3!$C$24,Parametri_v3!$C$25+Ipotesi!C14*12)),MAX(0,((IF(1-(INT((Ipotesi!$C$91)/30))&lt;1,0,INDEX(Motore_Operativo!$BQ$5:$BQ$64,MAX(1,1-(INT((Ipotesi!$C$91)/30)))))*(1-(MOD((Ipotesi!$C$91),30)/30))+IF(1-(INT((Ipotesi!$C$91)/30))-1&lt;1,0,INDEX(Motore_Operativo!$BQ$5:$BQ$64,MAX(1,1-(INT((Ipotesi!$C$91)/30))-1)))*(MOD((Ipotesi!$C$91),30)/30))+(IF(1-(INT((Ipotesi!$C$91)/30))&lt;1,0,INDEX(Motore_Operativo!$BR$5:$BR$64,MAX(1,1-(INT((Ipotesi!$C$91)/30)))))*(1-(MOD((Ipotesi!$C$91),30)/30))+IF(1-(INT((Ipotesi!$C$91)/30))-1&lt;1,0,INDEX(Motore_Operativo!$BR$5:$BR$64,MAX(1,1-(INT((Ipotesi!$C$91)/30))-1)))*(MOD((Ipotesi!$C$91),30)/30))))*Piano_SS!$D$9,0))</f>
        <v>0</v>
      </c>
      <c r="BZ5" s="15" t="n">
        <f aca="false">MIN(Piano_SS!$C$10,(0)+IF(AND(Motore_Operativo!C5&gt;=EDATE(Parametri_v3!$C$24,Ipotesi!C14*12),Motore_Operativo!C5&lt;EDATE(Parametri_v3!$C$24,Parametri_v3!$C$25+Ipotesi!C14*12)),MAX(0,(IF(1-(INT((Ipotesi!$C$91)/30))&lt;1,0,INDEX(Motore_Operativo!$BO$5:$BO$64,MAX(1,1-(INT((Ipotesi!$C$91)/30)))))*(1-(MOD((Ipotesi!$C$91),30)/30))+IF(1-(INT((Ipotesi!$C$91)/30))-1&lt;1,0,INDEX(Motore_Operativo!$BO$5:$BO$64,MAX(1,1-(INT((Ipotesi!$C$91)/30))-1)))*(MOD((Ipotesi!$C$91),30)/30)))*Piano_SS!$D$10,0))</f>
        <v>0</v>
      </c>
      <c r="CA5" s="15" t="n">
        <f aca="false">SUM(BV5:BZ5)</f>
        <v>0</v>
      </c>
      <c r="CB5" s="15" t="n">
        <f aca="false">BV5*(1-Piano_SS!$E$6)+BW5*(1-Piano_SS!$E$7)+BX5*(1-Piano_SS!$E$8)+BY5*(1-Piano_SS!$E$9)+BZ5*(1-Piano_SS!$E$10)</f>
        <v>0</v>
      </c>
      <c r="CC5" s="15" t="n">
        <f aca="false">(0)+BA5</f>
        <v>0</v>
      </c>
      <c r="CD5" s="15" t="n">
        <f aca="false">IF(CA5=0,0,CC5*CB5/CA5*Ipotesi!$C$103*Parametri_v3!$C$64)</f>
        <v>0</v>
      </c>
      <c r="CE5" s="18" t="n">
        <f aca="false">IF(BA5&gt;0,Motore_Operativo!C5,(0))</f>
        <v>0</v>
      </c>
      <c r="CF5" s="18" t="n">
        <f aca="false">IF(AND(CC5&gt;0,OR(CC5&gt;=CG5-0.01,Motore_Operativo!C5&gt;=EDATE(MAX(Finanziamenti!$D$15:$D$17),Ipotesi!C14*12))),CE5,0)</f>
        <v>0</v>
      </c>
      <c r="CG5" s="15" t="n">
        <f aca="false">IF(AND(1&lt;&gt;6,1&lt;&gt;9,Finanziamenti!$F$11=1,OR(Parametri_v3!$C$6=0,Finanziamenti!$E$11=1)),MIN(Finanziamenti!$C$11,Piano_SS!$C$12*Ipotesi!$C$102),0)</f>
        <v>400000</v>
      </c>
      <c r="CH5" s="15" t="n">
        <f aca="false">IF(AND(AND(1&lt;&gt;8,1&lt;&gt;9,Finanziamenti!$F$10=1,OR(Parametri_v3!$C$6=0,Finanziamenti!$E$10=1)),Motore_Operativo!C5&gt;=Finanziamenti!$D$10,Motore_Operativo!C5&lt;Parametri_v3!$C$63),Finanziamenti!$C$10,0)</f>
        <v>150000</v>
      </c>
    </row>
    <row r="6" customFormat="false" ht="18" hidden="false" customHeight="true" outlineLevel="0" collapsed="false">
      <c r="A6" s="68" t="n">
        <f aca="false">1</f>
        <v>1</v>
      </c>
      <c r="B6" s="68" t="n">
        <f aca="false">2</f>
        <v>2</v>
      </c>
      <c r="C6" s="18" t="n">
        <f aca="false">Motore_Operativo!C6</f>
        <v>46419</v>
      </c>
      <c r="D6" s="68" t="n">
        <f aca="false">Motore_Operativo!D6</f>
        <v>2027</v>
      </c>
      <c r="E6" s="68" t="n">
        <f aca="false">Motore_Operativo!E6</f>
        <v>2</v>
      </c>
      <c r="F6" s="15" t="n">
        <f aca="false">Motore_Operativo!AQ6+Motore_Operativo!BF6</f>
        <v>5625</v>
      </c>
      <c r="G6" s="15" t="n">
        <f aca="false">Motore_Operativo!BH6</f>
        <v>1250</v>
      </c>
      <c r="H6" s="15" t="n">
        <f aca="false">Motore_Operativo!BI6</f>
        <v>6875</v>
      </c>
      <c r="I6" s="15" t="n">
        <f aca="false">Motore_Operativo!CA6</f>
        <v>27614.5833333333</v>
      </c>
      <c r="J6" s="15" t="n">
        <f aca="false">Motore_Operativo!CC6</f>
        <v>-20739.5833333333</v>
      </c>
      <c r="K6" s="15" t="n">
        <f aca="false">Motore_Operativo!CE6</f>
        <v>1666.66666666667</v>
      </c>
      <c r="L6" s="15" t="n">
        <f aca="false">SUM(INDEX($K$5:$K$64,MAX(1,2-Parametri_v3!$C$59+1)):K6)/Parametri_v3!$C$59</f>
        <v>92.5925925925926</v>
      </c>
      <c r="M6" s="15" t="n">
        <f aca="false">J6-L6</f>
        <v>-20832.1759259259</v>
      </c>
      <c r="N6" s="15" t="n">
        <f aca="false">CD6-(CD5)</f>
        <v>0</v>
      </c>
      <c r="O6" s="15" t="n">
        <f aca="false">(BG5)*Ipotesi!$C$110/12+CH6*Parametri_v3!$C$39/12</f>
        <v>0</v>
      </c>
      <c r="P6" s="15" t="n">
        <f aca="false">M6+N6-O6</f>
        <v>-20832.1759259259</v>
      </c>
      <c r="Q6" s="15" t="n">
        <f aca="false">SUM(P5:P6)+Parametri_v3!$C$54*2/12</f>
        <v>-41618.0555555556</v>
      </c>
      <c r="R6" s="15" t="n">
        <f aca="false">0</f>
        <v>0</v>
      </c>
      <c r="S6" s="15" t="n">
        <f aca="false">0</f>
        <v>0</v>
      </c>
      <c r="T6" s="15" t="n">
        <f aca="false">MIN(R6,MAX(0,Q6))</f>
        <v>0</v>
      </c>
      <c r="U6" s="15" t="n">
        <f aca="false">MIN(S6,MAX(0,Q6-T6)*Parametri_v3!$C$42)</f>
        <v>0</v>
      </c>
      <c r="V6" s="15" t="n">
        <f aca="false">MAX(0,Q6-T6-U6)*Ipotesi!$C$92</f>
        <v>0</v>
      </c>
      <c r="W6" s="15" t="n">
        <f aca="false">MAX(0,SUM(M5:M6)+Parametri_v3!$C$55*2/12)*Ipotesi!$C$93</f>
        <v>0</v>
      </c>
      <c r="X6" s="15" t="n">
        <f aca="false">V6+W6-(V5+W5)</f>
        <v>0</v>
      </c>
      <c r="Y6" s="15" t="n">
        <f aca="false">P6-X6</f>
        <v>-20832.1759259259</v>
      </c>
      <c r="Z6" s="15" t="n">
        <f aca="false">R6-T6+IF(AND(Parametri_v3!$C$40=1,D6-YEAR(Parametri_v3!$C$50)&lt;Parametri_v3!$C$41),MAX(0,-Q6),0)</f>
        <v>41618.0555555556</v>
      </c>
      <c r="AA6" s="15" t="n">
        <f aca="false">S6-U6+IF(AND(Parametri_v3!$C$40=1,D6-YEAR(Parametri_v3!$C$50)&lt;Parametri_v3!$C$41),0,MAX(0,-Q6))</f>
        <v>0</v>
      </c>
      <c r="AB6" s="15" t="n">
        <f aca="false">F6*(1+Parametri_v3!$C$26)</f>
        <v>6862.5</v>
      </c>
      <c r="AC6" s="15" t="n">
        <f aca="false">(IF(2-(INT((Motore_Operativo!L6)/30))&lt;1,0,INDEX(Motore_Startup!$AB$5:$AB$64,MAX(1,2-(INT((Motore_Operativo!L6)/30)))))*(1-(MOD((Motore_Operativo!L6),30)/30))+IF(2-(INT((Motore_Operativo!L6)/30))-1&lt;1,0,INDEX(Motore_Startup!$AB$5:$AB$64,MAX(1,2-(INT((Motore_Operativo!L6)/30))-1)))*(MOD((Motore_Operativo!L6),30)/30))</f>
        <v>0</v>
      </c>
      <c r="AD6" s="15" t="n">
        <f aca="false">(AD5)+AB6-AC6</f>
        <v>13725</v>
      </c>
      <c r="AE6" s="15" t="n">
        <f aca="false">Motore_Operativo!BH6*(1+Parametri_v3!$C$26)</f>
        <v>1525</v>
      </c>
      <c r="AF6" s="15" t="n">
        <f aca="false">(IF(2-(INT((Parametri_v3!$C$29)/30))&lt;1,0,INDEX(Motore_Operativo!$BH$5:$BH$64,MAX(1,2-(INT((Parametri_v3!$C$29)/30)))))*(1-(MOD((Parametri_v3!$C$29),30)/30))+IF(2-(INT((Parametri_v3!$C$29)/30))-1&lt;1,0,INDEX(Motore_Operativo!$BH$5:$BH$64,MAX(1,2-(INT((Parametri_v3!$C$29)/30))-1)))*(MOD((Parametri_v3!$C$29),30)/30))*(1+Parametri_v3!$C$26)</f>
        <v>1525</v>
      </c>
      <c r="AG6" s="15" t="n">
        <f aca="false">(AG5)+AE6-AF6</f>
        <v>1525</v>
      </c>
      <c r="AH6" s="15" t="n">
        <f aca="false">(Motore_Operativo!CJ6)*(1+Parametri_v3!$C$27*Parametri_v3!$C$26)</f>
        <v>11511.4270833333</v>
      </c>
      <c r="AI6" s="15" t="n">
        <f aca="false">(IF(2-(INT((Ipotesi!$C$91)/30))&lt;1,0,INDEX(Motore_Startup!$AH$5:$AH$64,MAX(1,2-(INT((Ipotesi!$C$91)/30)))))*(1-(MOD((Ipotesi!$C$91),30)/30))+IF(2-(INT((Ipotesi!$C$91)/30))-1&lt;1,0,INDEX(Motore_Startup!$AH$5:$AH$64,MAX(1,2-(INT((Ipotesi!$C$91)/30))-1)))*(MOD((Ipotesi!$C$91),30)/30))</f>
        <v>0</v>
      </c>
      <c r="AJ6" s="15" t="n">
        <f aca="false">(AJ5)+AH6-AI6</f>
        <v>23022.8541666667</v>
      </c>
      <c r="AK6" s="15" t="n">
        <f aca="false">(F6+ Motore_Operativo!BH6-(Motore_Operativo!CJ6)*Parametri_v3!$C$27-Motore_Operativo!CE6)*Parametri_v3!$C$26</f>
        <v>-667.677083333333</v>
      </c>
      <c r="AL6" s="15" t="n">
        <f aca="false">MAX(0,(AM5))</f>
        <v>0</v>
      </c>
      <c r="AM6" s="15" t="n">
        <f aca="false">(AM5)+AK6-AL6</f>
        <v>-1335.35416666667</v>
      </c>
      <c r="AN6" s="15" t="n">
        <f aca="false">0</f>
        <v>0</v>
      </c>
      <c r="AO6" s="15" t="n">
        <f aca="false">0</f>
        <v>0</v>
      </c>
      <c r="AP6" s="15" t="n">
        <f aca="false">MAX(0,AN6)*IF(2=Parametri_v3!$C$43,Parametri_v3!$C$45,IF(2=Parametri_v3!$C$44,1-Parametri_v3!$C$45,0))</f>
        <v>0</v>
      </c>
      <c r="AQ6" s="15" t="n">
        <f aca="false">MAX(0,AP6+IF(2=Parametri_v3!$C$43,MAX(0,AN6-AO6),0)-MAX(0,-(AR5)))</f>
        <v>0</v>
      </c>
      <c r="AR6" s="15" t="n">
        <f aca="false">(AR5)+X6-AQ6</f>
        <v>0</v>
      </c>
      <c r="AS6" s="15" t="n">
        <f aca="false">Motore_Operativo!AB6-AT6+AU6</f>
        <v>17020.8333333333</v>
      </c>
      <c r="AT6" s="15" t="n">
        <f aca="false">Motore_Operativo!CH6</f>
        <v>895.833333333334</v>
      </c>
      <c r="AU6" s="15" t="n">
        <f aca="false">MIN(MAX(0,(AV5)+AT6),Parametri_v3!$C$60/12)</f>
        <v>0</v>
      </c>
      <c r="AV6" s="15" t="n">
        <f aca="false">(AV5)+AT6-AU6</f>
        <v>1791.66666666667</v>
      </c>
      <c r="AW6" s="15" t="n">
        <f aca="false">IF(AND(Motore_Operativo!C6=Finanziamenti!$D$6,Finanziamenti!$F$6=1),Finanziamenti!$C$6,0)</f>
        <v>0</v>
      </c>
      <c r="AX6" s="15" t="n">
        <f aca="false">IF(AND(1&lt;&gt;7,1&lt;&gt;9,Finanziamenti!$F$8=1,OR(Parametri_v3!$C$6=0,Finanziamenti!$E$8=1),Motore_Operativo!C6=EDATE(Finanziamenti!$D$8,Ipotesi!C15*12)),Finanziamenti!$C$8*1,0)+IF(AND(1&lt;&gt;7,1&lt;&gt;9,Finanziamenti!$F$9=1,OR(Parametri_v3!$C$6=0,Finanziamenti!$E$9=1),Motore_Operativo!C6=EDATE(Finanziamenti!$D$9,Ipotesi!C15*12)),Finanziamenti!$C$9*Ipotesi!C16,0)</f>
        <v>0</v>
      </c>
      <c r="AY6" s="15" t="n">
        <f aca="false">0</f>
        <v>0</v>
      </c>
      <c r="AZ6" s="15" t="n">
        <f aca="false">Motore_Advisory!AY6*(1-Ipotesi!$C$95)*Ipotesi!$C$96</f>
        <v>0</v>
      </c>
      <c r="BA6" s="15" t="n">
        <f aca="false">MAX(0,MIN(CG6*MIN(1,IF(Motore_Operativo!C6&gt;=EDATE(Finanziamenti!$D$15,Ipotesi!C14*12),Finanziamenti!$C$15,0)+IF(Motore_Operativo!C6&gt;=EDATE(Finanziamenti!$D$16,Ipotesi!C14*12),Finanziamenti!$C$16,0)+IF(Motore_Operativo!C6&gt;=EDATE(Finanziamenti!$D$17,Ipotesi!C14*12),Finanziamenti!$C$17,0)),CA6*Ipotesi!$C$102)-(CC5))</f>
        <v>0</v>
      </c>
      <c r="BB6" s="15" t="n">
        <f aca="false">IF(AND(CF6&gt;0,Motore_Operativo!C6&gt;=IF(CF6=0,0,EDATE(CF6,Parametri_v3!$C$37)),MOD(((D6-YEAR(IF(CF6=0,0,EDATE(CF6,Parametri_v3!$C$37))))*12+E6-MONTH(IF(CF6=0,0,EDATE(CF6,Parametri_v3!$C$37)))),Parametri_v3!$C$38)=0),MIN(MAX(0,(BC5)+BA6-N6),(CC6-CD6)/(Ipotesi!$C$108*12/Parametri_v3!$C$38)),0)</f>
        <v>0</v>
      </c>
      <c r="BC6" s="15" t="n">
        <f aca="false">(BC5)+BA6-N6-BB6</f>
        <v>0</v>
      </c>
      <c r="BD6" s="15" t="n">
        <f aca="false">(BH5)+AC6+AF6-AI6-AS6-K6*(1+Parametri_v3!$C$26)-AL6-AQ6-O6+AW6+AX6+AZ6+BA6-BB6</f>
        <v>93416.6666666667</v>
      </c>
      <c r="BE6" s="15" t="n">
        <f aca="false">MAX(0,MIN(MAX(0,CH6-(BG5)),Parametri_v3!$C$30-BD6))</f>
        <v>0</v>
      </c>
      <c r="BF6" s="15" t="n">
        <f aca="false">IF(Motore_Operativo!C6&gt;=Parametri_v3!$C$63,(BG5),MIN((BG5),MAX(0,BD6-Parametri_v3!$C$30)))</f>
        <v>0</v>
      </c>
      <c r="BG6" s="15" t="n">
        <f aca="false">(BG5)+BE6-BF6</f>
        <v>0</v>
      </c>
      <c r="BH6" s="15" t="n">
        <f aca="false">BD6+BE6-BF6-AY6</f>
        <v>93416.6666666667</v>
      </c>
      <c r="BI6" s="15" t="n">
        <f aca="false">MAX(0,Parametri_v3!$C$30-BH6)</f>
        <v>0</v>
      </c>
      <c r="BJ6" s="15" t="n">
        <f aca="false">(BJ5)+K6</f>
        <v>3333.33333333333</v>
      </c>
      <c r="BK6" s="15" t="n">
        <f aca="false">(BK5)+L6</f>
        <v>138.888888888889</v>
      </c>
      <c r="BL6" s="15" t="n">
        <f aca="false">BJ6-BK6</f>
        <v>3194.44444444445</v>
      </c>
      <c r="BM6" s="15" t="n">
        <f aca="false">(BM5)+Y6</f>
        <v>-41618.0555555556</v>
      </c>
      <c r="BN6" s="15" t="n">
        <f aca="false">(BN5)+AW6+AX6+AZ6</f>
        <v>130000</v>
      </c>
      <c r="BO6" s="15" t="n">
        <f aca="false">(BO5)+AY6</f>
        <v>0</v>
      </c>
      <c r="BP6" s="15" t="n">
        <f aca="false">0</f>
        <v>0</v>
      </c>
      <c r="BQ6" s="15" t="n">
        <f aca="false">BN6+BM6-BO6</f>
        <v>88381.9444444445</v>
      </c>
      <c r="BR6" s="15" t="n">
        <f aca="false">BH6+AD6+BL6+MAX(0,-AM6)+MAX(0,-AR6)+AG6</f>
        <v>113196.465277778</v>
      </c>
      <c r="BS6" s="15" t="n">
        <f aca="false">AJ6+AV6+MAX(0,AM6)+MAX(0,AR6)+BC6+BG6+BQ6</f>
        <v>113196.465277778</v>
      </c>
      <c r="BT6" s="15" t="n">
        <f aca="false">BR6-BS6</f>
        <v>0</v>
      </c>
      <c r="BU6" s="15" t="n">
        <f aca="false">BH6-(BD6+BE6-BF6-AY6)</f>
        <v>0</v>
      </c>
      <c r="BV6" s="15" t="n">
        <f aca="false">MIN(Piano_SS!$C$6,(BV5)+IF(AND(Motore_Operativo!C6&gt;=EDATE(Parametri_v3!$C$24,Ipotesi!C14*12),Motore_Operativo!C6&lt;EDATE(Parametri_v3!$C$24,Parametri_v3!$C$25+Ipotesi!C14*12)),MAX(0,(Motore_Operativo!Y6+Motore_Operativo!X6*Parametri_v3!$C$14)*(1-Parametri_v3!$C$32))*Piano_SS!$D$6,0))</f>
        <v>0</v>
      </c>
      <c r="BW6" s="15" t="n">
        <f aca="false">MIN(Piano_SS!$C$7,(BW5)+IF(AND(Motore_Operativo!C6&gt;=EDATE(Parametri_v3!$C$24,Ipotesi!C14*12),Motore_Operativo!C6&lt;EDATE(Parametri_v3!$C$24,Parametri_v3!$C$25+Ipotesi!C14*12)),MAX(0,(IF(2-(INT((Ipotesi!$C$91)/30))&lt;1,0,INDEX(Motore_Operativo!$BN$5:$BN$64,MAX(1,2-(INT((Ipotesi!$C$91)/30)))))*(1-(MOD((Ipotesi!$C$91),30)/30))+IF(2-(INT((Ipotesi!$C$91)/30))-1&lt;1,0,INDEX(Motore_Operativo!$BN$5:$BN$64,MAX(1,2-(INT((Ipotesi!$C$91)/30))-1)))*(MOD((Ipotesi!$C$91),30)/30)))*Piano_SS!$D$7,0))</f>
        <v>0</v>
      </c>
      <c r="BX6" s="15" t="n">
        <f aca="false">MIN(Piano_SS!$C$8,(BX5)+IF(AND(Motore_Operativo!C6&gt;=EDATE(Parametri_v3!$C$24,Ipotesi!C14*12),Motore_Operativo!C6&lt;EDATE(Parametri_v3!$C$24,Parametri_v3!$C$25+Ipotesi!C14*12)),MAX(0,Motore_Operativo!CE6)*Piano_SS!$D$8,0))</f>
        <v>0</v>
      </c>
      <c r="BY6" s="15" t="n">
        <f aca="false">MIN(Piano_SS!$C$9,(BY5)+IF(AND(Motore_Operativo!C6&gt;=EDATE(Parametri_v3!$C$24,Ipotesi!C14*12),Motore_Operativo!C6&lt;EDATE(Parametri_v3!$C$24,Parametri_v3!$C$25+Ipotesi!C14*12)),MAX(0,((IF(2-(INT((Ipotesi!$C$91)/30))&lt;1,0,INDEX(Motore_Operativo!$BQ$5:$BQ$64,MAX(1,2-(INT((Ipotesi!$C$91)/30)))))*(1-(MOD((Ipotesi!$C$91),30)/30))+IF(2-(INT((Ipotesi!$C$91)/30))-1&lt;1,0,INDEX(Motore_Operativo!$BQ$5:$BQ$64,MAX(1,2-(INT((Ipotesi!$C$91)/30))-1)))*(MOD((Ipotesi!$C$91),30)/30))+(IF(2-(INT((Ipotesi!$C$91)/30))&lt;1,0,INDEX(Motore_Operativo!$BR$5:$BR$64,MAX(1,2-(INT((Ipotesi!$C$91)/30)))))*(1-(MOD((Ipotesi!$C$91),30)/30))+IF(2-(INT((Ipotesi!$C$91)/30))-1&lt;1,0,INDEX(Motore_Operativo!$BR$5:$BR$64,MAX(1,2-(INT((Ipotesi!$C$91)/30))-1)))*(MOD((Ipotesi!$C$91),30)/30))))*Piano_SS!$D$9,0))</f>
        <v>0</v>
      </c>
      <c r="BZ6" s="15" t="n">
        <f aca="false">MIN(Piano_SS!$C$10,(BZ5)+IF(AND(Motore_Operativo!C6&gt;=EDATE(Parametri_v3!$C$24,Ipotesi!C14*12),Motore_Operativo!C6&lt;EDATE(Parametri_v3!$C$24,Parametri_v3!$C$25+Ipotesi!C14*12)),MAX(0,(IF(2-(INT((Ipotesi!$C$91)/30))&lt;1,0,INDEX(Motore_Operativo!$BO$5:$BO$64,MAX(1,2-(INT((Ipotesi!$C$91)/30)))))*(1-(MOD((Ipotesi!$C$91),30)/30))+IF(2-(INT((Ipotesi!$C$91)/30))-1&lt;1,0,INDEX(Motore_Operativo!$BO$5:$BO$64,MAX(1,2-(INT((Ipotesi!$C$91)/30))-1)))*(MOD((Ipotesi!$C$91),30)/30)))*Piano_SS!$D$10,0))</f>
        <v>0</v>
      </c>
      <c r="CA6" s="15" t="n">
        <f aca="false">SUM(BV6:BZ6)</f>
        <v>0</v>
      </c>
      <c r="CB6" s="15" t="n">
        <f aca="false">BV6*(1-Piano_SS!$E$6)+BW6*(1-Piano_SS!$E$7)+BX6*(1-Piano_SS!$E$8)+BY6*(1-Piano_SS!$E$9)+BZ6*(1-Piano_SS!$E$10)</f>
        <v>0</v>
      </c>
      <c r="CC6" s="15" t="n">
        <f aca="false">(CC5)+BA6</f>
        <v>0</v>
      </c>
      <c r="CD6" s="15" t="n">
        <f aca="false">IF(CA6=0,0,CC6*CB6/CA6*Ipotesi!$C$103*Parametri_v3!$C$64)</f>
        <v>0</v>
      </c>
      <c r="CE6" s="18" t="n">
        <f aca="false">IF(BA6&gt;0,Motore_Operativo!C6,(CE5))</f>
        <v>0</v>
      </c>
      <c r="CF6" s="18" t="n">
        <f aca="false">IF(AND(CC6&gt;0,OR(CC6&gt;=CG6-0.01,Motore_Operativo!C6&gt;=EDATE(MAX(Finanziamenti!$D$15:$D$17),Ipotesi!C14*12))),CE6,0)</f>
        <v>0</v>
      </c>
      <c r="CG6" s="15" t="n">
        <f aca="false">IF(AND(1&lt;&gt;6,1&lt;&gt;9,Finanziamenti!$F$11=1,OR(Parametri_v3!$C$6=0,Finanziamenti!$E$11=1)),MIN(Finanziamenti!$C$11,Piano_SS!$C$12*Ipotesi!$C$102),0)</f>
        <v>400000</v>
      </c>
      <c r="CH6" s="15" t="n">
        <f aca="false">IF(AND(AND(1&lt;&gt;8,1&lt;&gt;9,Finanziamenti!$F$10=1,OR(Parametri_v3!$C$6=0,Finanziamenti!$E$10=1)),Motore_Operativo!C6&gt;=Finanziamenti!$D$10,Motore_Operativo!C6&lt;Parametri_v3!$C$63),Finanziamenti!$C$10,0)</f>
        <v>150000</v>
      </c>
    </row>
    <row r="7" customFormat="false" ht="18" hidden="false" customHeight="true" outlineLevel="0" collapsed="false">
      <c r="A7" s="68" t="n">
        <f aca="false">1</f>
        <v>1</v>
      </c>
      <c r="B7" s="68" t="n">
        <f aca="false">3</f>
        <v>3</v>
      </c>
      <c r="C7" s="18" t="n">
        <f aca="false">Motore_Operativo!C7</f>
        <v>46447</v>
      </c>
      <c r="D7" s="68" t="n">
        <f aca="false">Motore_Operativo!D7</f>
        <v>2027</v>
      </c>
      <c r="E7" s="68" t="n">
        <f aca="false">Motore_Operativo!E7</f>
        <v>3</v>
      </c>
      <c r="F7" s="15" t="n">
        <f aca="false">Motore_Operativo!AQ7+Motore_Operativo!BF7</f>
        <v>5625</v>
      </c>
      <c r="G7" s="15" t="n">
        <f aca="false">Motore_Operativo!BH7</f>
        <v>1250</v>
      </c>
      <c r="H7" s="15" t="n">
        <f aca="false">Motore_Operativo!BI7</f>
        <v>6875</v>
      </c>
      <c r="I7" s="15" t="n">
        <f aca="false">Motore_Operativo!CA7</f>
        <v>27614.5833333333</v>
      </c>
      <c r="J7" s="15" t="n">
        <f aca="false">Motore_Operativo!CC7</f>
        <v>-20739.5833333333</v>
      </c>
      <c r="K7" s="15" t="n">
        <f aca="false">Motore_Operativo!CE7</f>
        <v>1666.66666666667</v>
      </c>
      <c r="L7" s="15" t="n">
        <f aca="false">SUM(INDEX($K$5:$K$64,MAX(1,3-Parametri_v3!$C$59+1)):K7)/Parametri_v3!$C$59</f>
        <v>138.888888888889</v>
      </c>
      <c r="M7" s="15" t="n">
        <f aca="false">J7-L7</f>
        <v>-20878.4722222222</v>
      </c>
      <c r="N7" s="15" t="n">
        <f aca="false">CD7-(CD6)</f>
        <v>0</v>
      </c>
      <c r="O7" s="15" t="n">
        <f aca="false">(BG6)*Ipotesi!$C$110/12+CH7*Parametri_v3!$C$39/12</f>
        <v>0</v>
      </c>
      <c r="P7" s="15" t="n">
        <f aca="false">M7+N7-O7</f>
        <v>-20878.4722222222</v>
      </c>
      <c r="Q7" s="15" t="n">
        <f aca="false">SUM(P5:P7)+Parametri_v3!$C$54*3/12</f>
        <v>-62496.5277777778</v>
      </c>
      <c r="R7" s="15" t="n">
        <f aca="false">0</f>
        <v>0</v>
      </c>
      <c r="S7" s="15" t="n">
        <f aca="false">0</f>
        <v>0</v>
      </c>
      <c r="T7" s="15" t="n">
        <f aca="false">MIN(R7,MAX(0,Q7))</f>
        <v>0</v>
      </c>
      <c r="U7" s="15" t="n">
        <f aca="false">MIN(S7,MAX(0,Q7-T7)*Parametri_v3!$C$42)</f>
        <v>0</v>
      </c>
      <c r="V7" s="15" t="n">
        <f aca="false">MAX(0,Q7-T7-U7)*Ipotesi!$C$92</f>
        <v>0</v>
      </c>
      <c r="W7" s="15" t="n">
        <f aca="false">MAX(0,SUM(M5:M7)+Parametri_v3!$C$55*3/12)*Ipotesi!$C$93</f>
        <v>0</v>
      </c>
      <c r="X7" s="15" t="n">
        <f aca="false">V7+W7-(V6+W6)</f>
        <v>0</v>
      </c>
      <c r="Y7" s="15" t="n">
        <f aca="false">P7-X7</f>
        <v>-20878.4722222222</v>
      </c>
      <c r="Z7" s="15" t="n">
        <f aca="false">R7-T7+IF(AND(Parametri_v3!$C$40=1,D7-YEAR(Parametri_v3!$C$50)&lt;Parametri_v3!$C$41),MAX(0,-Q7),0)</f>
        <v>62496.5277777778</v>
      </c>
      <c r="AA7" s="15" t="n">
        <f aca="false">S7-U7+IF(AND(Parametri_v3!$C$40=1,D7-YEAR(Parametri_v3!$C$50)&lt;Parametri_v3!$C$41),0,MAX(0,-Q7))</f>
        <v>0</v>
      </c>
      <c r="AB7" s="15" t="n">
        <f aca="false">F7*(1+Parametri_v3!$C$26)</f>
        <v>6862.5</v>
      </c>
      <c r="AC7" s="15" t="n">
        <f aca="false">(IF(3-(INT((Motore_Operativo!L7)/30))&lt;1,0,INDEX(Motore_Startup!$AB$5:$AB$64,MAX(1,3-(INT((Motore_Operativo!L7)/30)))))*(1-(MOD((Motore_Operativo!L7),30)/30))+IF(3-(INT((Motore_Operativo!L7)/30))-1&lt;1,0,INDEX(Motore_Startup!$AB$5:$AB$64,MAX(1,3-(INT((Motore_Operativo!L7)/30))-1)))*(MOD((Motore_Operativo!L7),30)/30))</f>
        <v>0</v>
      </c>
      <c r="AD7" s="15" t="n">
        <f aca="false">(AD6)+AB7-AC7</f>
        <v>20587.5</v>
      </c>
      <c r="AE7" s="15" t="n">
        <f aca="false">Motore_Operativo!BH7*(1+Parametri_v3!$C$26)</f>
        <v>1525</v>
      </c>
      <c r="AF7" s="15" t="n">
        <f aca="false">(IF(3-(INT((Parametri_v3!$C$29)/30))&lt;1,0,INDEX(Motore_Operativo!$BH$5:$BH$64,MAX(1,3-(INT((Parametri_v3!$C$29)/30)))))*(1-(MOD((Parametri_v3!$C$29),30)/30))+IF(3-(INT((Parametri_v3!$C$29)/30))-1&lt;1,0,INDEX(Motore_Operativo!$BH$5:$BH$64,MAX(1,3-(INT((Parametri_v3!$C$29)/30))-1)))*(MOD((Parametri_v3!$C$29),30)/30))*(1+Parametri_v3!$C$26)</f>
        <v>1525</v>
      </c>
      <c r="AG7" s="15" t="n">
        <f aca="false">(AG6)+AE7-AF7</f>
        <v>1525</v>
      </c>
      <c r="AH7" s="15" t="n">
        <f aca="false">(Motore_Operativo!CJ7)*(1+Parametri_v3!$C$27*Parametri_v3!$C$26)</f>
        <v>11511.4270833333</v>
      </c>
      <c r="AI7" s="15" t="n">
        <f aca="false">(IF(3-(INT((Ipotesi!$C$91)/30))&lt;1,0,INDEX(Motore_Startup!$AH$5:$AH$64,MAX(1,3-(INT((Ipotesi!$C$91)/30)))))*(1-(MOD((Ipotesi!$C$91),30)/30))+IF(3-(INT((Ipotesi!$C$91)/30))-1&lt;1,0,INDEX(Motore_Startup!$AH$5:$AH$64,MAX(1,3-(INT((Ipotesi!$C$91)/30))-1)))*(MOD((Ipotesi!$C$91),30)/30))</f>
        <v>11511.4270833333</v>
      </c>
      <c r="AJ7" s="15" t="n">
        <f aca="false">(AJ6)+AH7-AI7</f>
        <v>23022.8541666667</v>
      </c>
      <c r="AK7" s="15" t="n">
        <f aca="false">(F7+ Motore_Operativo!BH7-(Motore_Operativo!CJ7)*Parametri_v3!$C$27-Motore_Operativo!CE7)*Parametri_v3!$C$26</f>
        <v>-667.677083333333</v>
      </c>
      <c r="AL7" s="15" t="n">
        <f aca="false">MAX(0,(AM6))</f>
        <v>0</v>
      </c>
      <c r="AM7" s="15" t="n">
        <f aca="false">(AM6)+AK7-AL7</f>
        <v>-2003.03125</v>
      </c>
      <c r="AN7" s="15" t="n">
        <f aca="false">0</f>
        <v>0</v>
      </c>
      <c r="AO7" s="15" t="n">
        <f aca="false">0</f>
        <v>0</v>
      </c>
      <c r="AP7" s="15" t="n">
        <f aca="false">MAX(0,AN7)*IF(3=Parametri_v3!$C$43,Parametri_v3!$C$45,IF(3=Parametri_v3!$C$44,1-Parametri_v3!$C$45,0))</f>
        <v>0</v>
      </c>
      <c r="AQ7" s="15" t="n">
        <f aca="false">MAX(0,AP7+IF(3=Parametri_v3!$C$43,MAX(0,AN7-AO7),0)-MAX(0,-(AR6)))</f>
        <v>0</v>
      </c>
      <c r="AR7" s="15" t="n">
        <f aca="false">(AR6)+X7-AQ7</f>
        <v>0</v>
      </c>
      <c r="AS7" s="15" t="n">
        <f aca="false">Motore_Operativo!AB7-AT7+AU7</f>
        <v>17020.8333333333</v>
      </c>
      <c r="AT7" s="15" t="n">
        <f aca="false">Motore_Operativo!CH7</f>
        <v>895.833333333334</v>
      </c>
      <c r="AU7" s="15" t="n">
        <f aca="false">MIN(MAX(0,(AV6)+AT7),Parametri_v3!$C$60/12)</f>
        <v>0</v>
      </c>
      <c r="AV7" s="15" t="n">
        <f aca="false">(AV6)+AT7-AU7</f>
        <v>2687.5</v>
      </c>
      <c r="AW7" s="15" t="n">
        <f aca="false">IF(AND(Motore_Operativo!C7=Finanziamenti!$D$6,Finanziamenti!$F$6=1),Finanziamenti!$C$6,0)</f>
        <v>0</v>
      </c>
      <c r="AX7" s="15" t="n">
        <f aca="false">IF(AND(1&lt;&gt;7,1&lt;&gt;9,Finanziamenti!$F$8=1,OR(Parametri_v3!$C$6=0,Finanziamenti!$E$8=1),Motore_Operativo!C7=EDATE(Finanziamenti!$D$8,Ipotesi!C15*12)),Finanziamenti!$C$8*1,0)+IF(AND(1&lt;&gt;7,1&lt;&gt;9,Finanziamenti!$F$9=1,OR(Parametri_v3!$C$6=0,Finanziamenti!$E$9=1),Motore_Operativo!C7=EDATE(Finanziamenti!$D$9,Ipotesi!C15*12)),Finanziamenti!$C$9*Ipotesi!C16,0)</f>
        <v>0</v>
      </c>
      <c r="AY7" s="15" t="n">
        <f aca="false">0</f>
        <v>0</v>
      </c>
      <c r="AZ7" s="15" t="n">
        <f aca="false">Motore_Advisory!AY7*(1-Ipotesi!$C$95)*Ipotesi!$C$96</f>
        <v>0</v>
      </c>
      <c r="BA7" s="15" t="n">
        <f aca="false">MAX(0,MIN(CG7*MIN(1,IF(Motore_Operativo!C7&gt;=EDATE(Finanziamenti!$D$15,Ipotesi!C14*12),Finanziamenti!$C$15,0)+IF(Motore_Operativo!C7&gt;=EDATE(Finanziamenti!$D$16,Ipotesi!C14*12),Finanziamenti!$C$16,0)+IF(Motore_Operativo!C7&gt;=EDATE(Finanziamenti!$D$17,Ipotesi!C14*12),Finanziamenti!$C$17,0)),CA7*Ipotesi!$C$102)-(CC6))</f>
        <v>0</v>
      </c>
      <c r="BB7" s="15" t="n">
        <f aca="false">IF(AND(CF7&gt;0,Motore_Operativo!C7&gt;=IF(CF7=0,0,EDATE(CF7,Parametri_v3!$C$37)),MOD(((D7-YEAR(IF(CF7=0,0,EDATE(CF7,Parametri_v3!$C$37))))*12+E7-MONTH(IF(CF7=0,0,EDATE(CF7,Parametri_v3!$C$37)))),Parametri_v3!$C$38)=0),MIN(MAX(0,(BC6)+BA7-N7),(CC7-CD7)/(Ipotesi!$C$108*12/Parametri_v3!$C$38)),0)</f>
        <v>0</v>
      </c>
      <c r="BC7" s="15" t="n">
        <f aca="false">(BC6)+BA7-N7-BB7</f>
        <v>0</v>
      </c>
      <c r="BD7" s="15" t="n">
        <f aca="false">(BH6)+AC7+AF7-AI7-AS7-K7*(1+Parametri_v3!$C$26)-AL7-AQ7-O7+AW7+AX7+AZ7+BA7-BB7</f>
        <v>64376.0729166667</v>
      </c>
      <c r="BE7" s="15" t="n">
        <f aca="false">MAX(0,MIN(MAX(0,CH7-(BG6)),Parametri_v3!$C$30-BD7))</f>
        <v>0</v>
      </c>
      <c r="BF7" s="15" t="n">
        <f aca="false">IF(Motore_Operativo!C7&gt;=Parametri_v3!$C$63,(BG6),MIN((BG6),MAX(0,BD7-Parametri_v3!$C$30)))</f>
        <v>0</v>
      </c>
      <c r="BG7" s="15" t="n">
        <f aca="false">(BG6)+BE7-BF7</f>
        <v>0</v>
      </c>
      <c r="BH7" s="15" t="n">
        <f aca="false">BD7+BE7-BF7-AY7</f>
        <v>64376.0729166667</v>
      </c>
      <c r="BI7" s="15" t="n">
        <f aca="false">MAX(0,Parametri_v3!$C$30-BH7)</f>
        <v>0</v>
      </c>
      <c r="BJ7" s="15" t="n">
        <f aca="false">(BJ6)+K7</f>
        <v>5000</v>
      </c>
      <c r="BK7" s="15" t="n">
        <f aca="false">(BK6)+L7</f>
        <v>277.777777777778</v>
      </c>
      <c r="BL7" s="15" t="n">
        <f aca="false">BJ7-BK7</f>
        <v>4722.22222222222</v>
      </c>
      <c r="BM7" s="15" t="n">
        <f aca="false">(BM6)+Y7</f>
        <v>-62496.5277777778</v>
      </c>
      <c r="BN7" s="15" t="n">
        <f aca="false">(BN6)+AW7+AX7+AZ7</f>
        <v>130000</v>
      </c>
      <c r="BO7" s="15" t="n">
        <f aca="false">(BO6)+AY7</f>
        <v>0</v>
      </c>
      <c r="BP7" s="15" t="n">
        <f aca="false">0</f>
        <v>0</v>
      </c>
      <c r="BQ7" s="15" t="n">
        <f aca="false">BN7+BM7-BO7</f>
        <v>67503.4722222222</v>
      </c>
      <c r="BR7" s="15" t="n">
        <f aca="false">BH7+AD7+BL7+MAX(0,-AM7)+MAX(0,-AR7)+AG7</f>
        <v>93213.8263888889</v>
      </c>
      <c r="BS7" s="15" t="n">
        <f aca="false">AJ7+AV7+MAX(0,AM7)+MAX(0,AR7)+BC7+BG7+BQ7</f>
        <v>93213.8263888889</v>
      </c>
      <c r="BT7" s="15" t="n">
        <f aca="false">BR7-BS7</f>
        <v>0</v>
      </c>
      <c r="BU7" s="15" t="n">
        <f aca="false">BH7-(BD7+BE7-BF7-AY7)</f>
        <v>0</v>
      </c>
      <c r="BV7" s="15" t="n">
        <f aca="false">MIN(Piano_SS!$C$6,(BV6)+IF(AND(Motore_Operativo!C7&gt;=EDATE(Parametri_v3!$C$24,Ipotesi!C14*12),Motore_Operativo!C7&lt;EDATE(Parametri_v3!$C$24,Parametri_v3!$C$25+Ipotesi!C14*12)),MAX(0,(Motore_Operativo!Y7+Motore_Operativo!X7*Parametri_v3!$C$14)*(1-Parametri_v3!$C$32))*Piano_SS!$D$6,0))</f>
        <v>0</v>
      </c>
      <c r="BW7" s="15" t="n">
        <f aca="false">MIN(Piano_SS!$C$7,(BW6)+IF(AND(Motore_Operativo!C7&gt;=EDATE(Parametri_v3!$C$24,Ipotesi!C14*12),Motore_Operativo!C7&lt;EDATE(Parametri_v3!$C$24,Parametri_v3!$C$25+Ipotesi!C14*12)),MAX(0,(IF(3-(INT((Ipotesi!$C$91)/30))&lt;1,0,INDEX(Motore_Operativo!$BN$5:$BN$64,MAX(1,3-(INT((Ipotesi!$C$91)/30)))))*(1-(MOD((Ipotesi!$C$91),30)/30))+IF(3-(INT((Ipotesi!$C$91)/30))-1&lt;1,0,INDEX(Motore_Operativo!$BN$5:$BN$64,MAX(1,3-(INT((Ipotesi!$C$91)/30))-1)))*(MOD((Ipotesi!$C$91),30)/30)))*Piano_SS!$D$7,0))</f>
        <v>0</v>
      </c>
      <c r="BX7" s="15" t="n">
        <f aca="false">MIN(Piano_SS!$C$8,(BX6)+IF(AND(Motore_Operativo!C7&gt;=EDATE(Parametri_v3!$C$24,Ipotesi!C14*12),Motore_Operativo!C7&lt;EDATE(Parametri_v3!$C$24,Parametri_v3!$C$25+Ipotesi!C14*12)),MAX(0,Motore_Operativo!CE7)*Piano_SS!$D$8,0))</f>
        <v>0</v>
      </c>
      <c r="BY7" s="15" t="n">
        <f aca="false">MIN(Piano_SS!$C$9,(BY6)+IF(AND(Motore_Operativo!C7&gt;=EDATE(Parametri_v3!$C$24,Ipotesi!C14*12),Motore_Operativo!C7&lt;EDATE(Parametri_v3!$C$24,Parametri_v3!$C$25+Ipotesi!C14*12)),MAX(0,((IF(3-(INT((Ipotesi!$C$91)/30))&lt;1,0,INDEX(Motore_Operativo!$BQ$5:$BQ$64,MAX(1,3-(INT((Ipotesi!$C$91)/30)))))*(1-(MOD((Ipotesi!$C$91),30)/30))+IF(3-(INT((Ipotesi!$C$91)/30))-1&lt;1,0,INDEX(Motore_Operativo!$BQ$5:$BQ$64,MAX(1,3-(INT((Ipotesi!$C$91)/30))-1)))*(MOD((Ipotesi!$C$91),30)/30))+(IF(3-(INT((Ipotesi!$C$91)/30))&lt;1,0,INDEX(Motore_Operativo!$BR$5:$BR$64,MAX(1,3-(INT((Ipotesi!$C$91)/30)))))*(1-(MOD((Ipotesi!$C$91),30)/30))+IF(3-(INT((Ipotesi!$C$91)/30))-1&lt;1,0,INDEX(Motore_Operativo!$BR$5:$BR$64,MAX(1,3-(INT((Ipotesi!$C$91)/30))-1)))*(MOD((Ipotesi!$C$91),30)/30))))*Piano_SS!$D$9,0))</f>
        <v>0</v>
      </c>
      <c r="BZ7" s="15" t="n">
        <f aca="false">MIN(Piano_SS!$C$10,(BZ6)+IF(AND(Motore_Operativo!C7&gt;=EDATE(Parametri_v3!$C$24,Ipotesi!C14*12),Motore_Operativo!C7&lt;EDATE(Parametri_v3!$C$24,Parametri_v3!$C$25+Ipotesi!C14*12)),MAX(0,(IF(3-(INT((Ipotesi!$C$91)/30))&lt;1,0,INDEX(Motore_Operativo!$BO$5:$BO$64,MAX(1,3-(INT((Ipotesi!$C$91)/30)))))*(1-(MOD((Ipotesi!$C$91),30)/30))+IF(3-(INT((Ipotesi!$C$91)/30))-1&lt;1,0,INDEX(Motore_Operativo!$BO$5:$BO$64,MAX(1,3-(INT((Ipotesi!$C$91)/30))-1)))*(MOD((Ipotesi!$C$91),30)/30)))*Piano_SS!$D$10,0))</f>
        <v>0</v>
      </c>
      <c r="CA7" s="15" t="n">
        <f aca="false">SUM(BV7:BZ7)</f>
        <v>0</v>
      </c>
      <c r="CB7" s="15" t="n">
        <f aca="false">BV7*(1-Piano_SS!$E$6)+BW7*(1-Piano_SS!$E$7)+BX7*(1-Piano_SS!$E$8)+BY7*(1-Piano_SS!$E$9)+BZ7*(1-Piano_SS!$E$10)</f>
        <v>0</v>
      </c>
      <c r="CC7" s="15" t="n">
        <f aca="false">(CC6)+BA7</f>
        <v>0</v>
      </c>
      <c r="CD7" s="15" t="n">
        <f aca="false">IF(CA7=0,0,CC7*CB7/CA7*Ipotesi!$C$103*Parametri_v3!$C$64)</f>
        <v>0</v>
      </c>
      <c r="CE7" s="18" t="n">
        <f aca="false">IF(BA7&gt;0,Motore_Operativo!C7,(CE6))</f>
        <v>0</v>
      </c>
      <c r="CF7" s="18" t="n">
        <f aca="false">IF(AND(CC7&gt;0,OR(CC7&gt;=CG7-0.01,Motore_Operativo!C7&gt;=EDATE(MAX(Finanziamenti!$D$15:$D$17),Ipotesi!C14*12))),CE7,0)</f>
        <v>0</v>
      </c>
      <c r="CG7" s="15" t="n">
        <f aca="false">IF(AND(1&lt;&gt;6,1&lt;&gt;9,Finanziamenti!$F$11=1,OR(Parametri_v3!$C$6=0,Finanziamenti!$E$11=1)),MIN(Finanziamenti!$C$11,Piano_SS!$C$12*Ipotesi!$C$102),0)</f>
        <v>400000</v>
      </c>
      <c r="CH7" s="15" t="n">
        <f aca="false">IF(AND(AND(1&lt;&gt;8,1&lt;&gt;9,Finanziamenti!$F$10=1,OR(Parametri_v3!$C$6=0,Finanziamenti!$E$10=1)),Motore_Operativo!C7&gt;=Finanziamenti!$D$10,Motore_Operativo!C7&lt;Parametri_v3!$C$63),Finanziamenti!$C$10,0)</f>
        <v>150000</v>
      </c>
    </row>
    <row r="8" customFormat="false" ht="18" hidden="false" customHeight="true" outlineLevel="0" collapsed="false">
      <c r="A8" s="68" t="n">
        <f aca="false">1</f>
        <v>1</v>
      </c>
      <c r="B8" s="68" t="n">
        <f aca="false">4</f>
        <v>4</v>
      </c>
      <c r="C8" s="18" t="n">
        <f aca="false">Motore_Operativo!C8</f>
        <v>46478</v>
      </c>
      <c r="D8" s="68" t="n">
        <f aca="false">Motore_Operativo!D8</f>
        <v>2027</v>
      </c>
      <c r="E8" s="68" t="n">
        <f aca="false">Motore_Operativo!E8</f>
        <v>4</v>
      </c>
      <c r="F8" s="15" t="n">
        <f aca="false">Motore_Operativo!AQ8+Motore_Operativo!BF8</f>
        <v>5652.77777777778</v>
      </c>
      <c r="G8" s="15" t="n">
        <f aca="false">Motore_Operativo!BH8</f>
        <v>1250</v>
      </c>
      <c r="H8" s="15" t="n">
        <f aca="false">Motore_Operativo!BI8</f>
        <v>6902.77777777778</v>
      </c>
      <c r="I8" s="15" t="n">
        <f aca="false">Motore_Operativo!CA8</f>
        <v>27618.4722222222</v>
      </c>
      <c r="J8" s="15" t="n">
        <f aca="false">Motore_Operativo!CC8</f>
        <v>-20715.6944444444</v>
      </c>
      <c r="K8" s="15" t="n">
        <f aca="false">Motore_Operativo!CE8</f>
        <v>1666.66666666667</v>
      </c>
      <c r="L8" s="15" t="n">
        <f aca="false">SUM(INDEX($K$5:$K$64,MAX(1,4-Parametri_v3!$C$59+1)):K8)/Parametri_v3!$C$59</f>
        <v>185.185185185185</v>
      </c>
      <c r="M8" s="15" t="n">
        <f aca="false">J8-L8</f>
        <v>-20900.8796296296</v>
      </c>
      <c r="N8" s="15" t="n">
        <f aca="false">CD8-(CD7)</f>
        <v>0</v>
      </c>
      <c r="O8" s="15" t="n">
        <f aca="false">(BG7)*Ipotesi!$C$110/12+CH8*Parametri_v3!$C$39/12</f>
        <v>0</v>
      </c>
      <c r="P8" s="15" t="n">
        <f aca="false">M8+N8-O8</f>
        <v>-20900.8796296296</v>
      </c>
      <c r="Q8" s="15" t="n">
        <f aca="false">SUM(P5:P8)+Parametri_v3!$C$54*4/12</f>
        <v>-83397.4074074074</v>
      </c>
      <c r="R8" s="15" t="n">
        <f aca="false">0</f>
        <v>0</v>
      </c>
      <c r="S8" s="15" t="n">
        <f aca="false">0</f>
        <v>0</v>
      </c>
      <c r="T8" s="15" t="n">
        <f aca="false">MIN(R8,MAX(0,Q8))</f>
        <v>0</v>
      </c>
      <c r="U8" s="15" t="n">
        <f aca="false">MIN(S8,MAX(0,Q8-T8)*Parametri_v3!$C$42)</f>
        <v>0</v>
      </c>
      <c r="V8" s="15" t="n">
        <f aca="false">MAX(0,Q8-T8-U8)*Ipotesi!$C$92</f>
        <v>0</v>
      </c>
      <c r="W8" s="15" t="n">
        <f aca="false">MAX(0,SUM(M5:M8)+Parametri_v3!$C$55*4/12)*Ipotesi!$C$93</f>
        <v>0</v>
      </c>
      <c r="X8" s="15" t="n">
        <f aca="false">V8+W8-(V7+W7)</f>
        <v>0</v>
      </c>
      <c r="Y8" s="15" t="n">
        <f aca="false">P8-X8</f>
        <v>-20900.8796296296</v>
      </c>
      <c r="Z8" s="15" t="n">
        <f aca="false">R8-T8+IF(AND(Parametri_v3!$C$40=1,D8-YEAR(Parametri_v3!$C$50)&lt;Parametri_v3!$C$41),MAX(0,-Q8),0)</f>
        <v>83397.4074074074</v>
      </c>
      <c r="AA8" s="15" t="n">
        <f aca="false">S8-U8+IF(AND(Parametri_v3!$C$40=1,D8-YEAR(Parametri_v3!$C$50)&lt;Parametri_v3!$C$41),0,MAX(0,-Q8))</f>
        <v>0</v>
      </c>
      <c r="AB8" s="15" t="n">
        <f aca="false">F8*(1+Parametri_v3!$C$26)</f>
        <v>6896.38888888889</v>
      </c>
      <c r="AC8" s="15" t="n">
        <f aca="false">(IF(4-(INT((Motore_Operativo!L8)/30))&lt;1,0,INDEX(Motore_Startup!$AB$5:$AB$64,MAX(1,4-(INT((Motore_Operativo!L8)/30)))))*(1-(MOD((Motore_Operativo!L8),30)/30))+IF(4-(INT((Motore_Operativo!L8)/30))-1&lt;1,0,INDEX(Motore_Startup!$AB$5:$AB$64,MAX(1,4-(INT((Motore_Operativo!L8)/30))-1)))*(MOD((Motore_Operativo!L8),30)/30))</f>
        <v>6862.5</v>
      </c>
      <c r="AD8" s="15" t="n">
        <f aca="false">(AD7)+AB8-AC8</f>
        <v>20621.3888888889</v>
      </c>
      <c r="AE8" s="15" t="n">
        <f aca="false">Motore_Operativo!BH8*(1+Parametri_v3!$C$26)</f>
        <v>1525</v>
      </c>
      <c r="AF8" s="15" t="n">
        <f aca="false">(IF(4-(INT((Parametri_v3!$C$29)/30))&lt;1,0,INDEX(Motore_Operativo!$BH$5:$BH$64,MAX(1,4-(INT((Parametri_v3!$C$29)/30)))))*(1-(MOD((Parametri_v3!$C$29),30)/30))+IF(4-(INT((Parametri_v3!$C$29)/30))-1&lt;1,0,INDEX(Motore_Operativo!$BH$5:$BH$64,MAX(1,4-(INT((Parametri_v3!$C$29)/30))-1)))*(MOD((Parametri_v3!$C$29),30)/30))*(1+Parametri_v3!$C$26)</f>
        <v>1525</v>
      </c>
      <c r="AG8" s="15" t="n">
        <f aca="false">(AG7)+AE8-AF8</f>
        <v>1525</v>
      </c>
      <c r="AH8" s="15" t="n">
        <f aca="false">(Motore_Operativo!CJ8)*(1+Parametri_v3!$C$27*Parametri_v3!$C$26)</f>
        <v>11516.0431944444</v>
      </c>
      <c r="AI8" s="15" t="n">
        <f aca="false">(IF(4-(INT((Ipotesi!$C$91)/30))&lt;1,0,INDEX(Motore_Startup!$AH$5:$AH$64,MAX(1,4-(INT((Ipotesi!$C$91)/30)))))*(1-(MOD((Ipotesi!$C$91),30)/30))+IF(4-(INT((Ipotesi!$C$91)/30))-1&lt;1,0,INDEX(Motore_Startup!$AH$5:$AH$64,MAX(1,4-(INT((Ipotesi!$C$91)/30))-1)))*(MOD((Ipotesi!$C$91),30)/30))</f>
        <v>11511.4270833333</v>
      </c>
      <c r="AJ8" s="15" t="n">
        <f aca="false">(AJ7)+AH8-AI8</f>
        <v>23027.4702777778</v>
      </c>
      <c r="AK8" s="15" t="n">
        <f aca="false">(F8+ Motore_Operativo!BH8-(Motore_Operativo!CJ8)*Parametri_v3!$C$27-Motore_Operativo!CE8)*Parametri_v3!$C$26</f>
        <v>-662.293194444444</v>
      </c>
      <c r="AL8" s="15" t="n">
        <f aca="false">MAX(0,(AM7))</f>
        <v>0</v>
      </c>
      <c r="AM8" s="15" t="n">
        <f aca="false">(AM7)+AK8-AL8</f>
        <v>-2665.32444444444</v>
      </c>
      <c r="AN8" s="15" t="n">
        <f aca="false">0</f>
        <v>0</v>
      </c>
      <c r="AO8" s="15" t="n">
        <f aca="false">0</f>
        <v>0</v>
      </c>
      <c r="AP8" s="15" t="n">
        <f aca="false">MAX(0,AN8)*IF(4=Parametri_v3!$C$43,Parametri_v3!$C$45,IF(4=Parametri_v3!$C$44,1-Parametri_v3!$C$45,0))</f>
        <v>0</v>
      </c>
      <c r="AQ8" s="15" t="n">
        <f aca="false">MAX(0,AP8+IF(4=Parametri_v3!$C$43,MAX(0,AN8-AO8),0)-MAX(0,-(AR7)))</f>
        <v>0</v>
      </c>
      <c r="AR8" s="15" t="n">
        <f aca="false">(AR7)+X8-AQ8</f>
        <v>0</v>
      </c>
      <c r="AS8" s="15" t="n">
        <f aca="false">Motore_Operativo!AB8-AT8+AU8</f>
        <v>17020.8333333333</v>
      </c>
      <c r="AT8" s="15" t="n">
        <f aca="false">Motore_Operativo!CH8</f>
        <v>895.833333333334</v>
      </c>
      <c r="AU8" s="15" t="n">
        <f aca="false">MIN(MAX(0,(AV7)+AT8),Parametri_v3!$C$60/12)</f>
        <v>0</v>
      </c>
      <c r="AV8" s="15" t="n">
        <f aca="false">(AV7)+AT8-AU8</f>
        <v>3583.33333333333</v>
      </c>
      <c r="AW8" s="15" t="n">
        <f aca="false">IF(AND(Motore_Operativo!C8=Finanziamenti!$D$6,Finanziamenti!$F$6=1),Finanziamenti!$C$6,0)</f>
        <v>0</v>
      </c>
      <c r="AX8" s="15" t="n">
        <f aca="false">IF(AND(1&lt;&gt;7,1&lt;&gt;9,Finanziamenti!$F$8=1,OR(Parametri_v3!$C$6=0,Finanziamenti!$E$8=1),Motore_Operativo!C8=EDATE(Finanziamenti!$D$8,Ipotesi!C15*12)),Finanziamenti!$C$8*1,0)+IF(AND(1&lt;&gt;7,1&lt;&gt;9,Finanziamenti!$F$9=1,OR(Parametri_v3!$C$6=0,Finanziamenti!$E$9=1),Motore_Operativo!C8=EDATE(Finanziamenti!$D$9,Ipotesi!C15*12)),Finanziamenti!$C$9*Ipotesi!C16,0)</f>
        <v>0</v>
      </c>
      <c r="AY8" s="15" t="n">
        <f aca="false">0</f>
        <v>0</v>
      </c>
      <c r="AZ8" s="15" t="n">
        <f aca="false">Motore_Advisory!AY8*(1-Ipotesi!$C$95)*Ipotesi!$C$96</f>
        <v>0</v>
      </c>
      <c r="BA8" s="15" t="n">
        <f aca="false">MAX(0,MIN(CG8*MIN(1,IF(Motore_Operativo!C8&gt;=EDATE(Finanziamenti!$D$15,Ipotesi!C14*12),Finanziamenti!$C$15,0)+IF(Motore_Operativo!C8&gt;=EDATE(Finanziamenti!$D$16,Ipotesi!C14*12),Finanziamenti!$C$16,0)+IF(Motore_Operativo!C8&gt;=EDATE(Finanziamenti!$D$17,Ipotesi!C14*12),Finanziamenti!$C$17,0)),CA8*Ipotesi!$C$102)-(CC7))</f>
        <v>0</v>
      </c>
      <c r="BB8" s="15" t="n">
        <f aca="false">IF(AND(CF8&gt;0,Motore_Operativo!C8&gt;=IF(CF8=0,0,EDATE(CF8,Parametri_v3!$C$37)),MOD(((D8-YEAR(IF(CF8=0,0,EDATE(CF8,Parametri_v3!$C$37))))*12+E8-MONTH(IF(CF8=0,0,EDATE(CF8,Parametri_v3!$C$37)))),Parametri_v3!$C$38)=0),MIN(MAX(0,(BC7)+BA8-N8),(CC8-CD8)/(Ipotesi!$C$108*12/Parametri_v3!$C$38)),0)</f>
        <v>0</v>
      </c>
      <c r="BC8" s="15" t="n">
        <f aca="false">(BC7)+BA8-N8-BB8</f>
        <v>0</v>
      </c>
      <c r="BD8" s="15" t="n">
        <f aca="false">(BH7)+AC8+AF8-AI8-AS8-K8*(1+Parametri_v3!$C$26)-AL8-AQ8-O8+AW8+AX8+AZ8+BA8-BB8</f>
        <v>42197.9791666667</v>
      </c>
      <c r="BE8" s="15" t="n">
        <f aca="false">MAX(0,MIN(MAX(0,CH8-(BG7)),Parametri_v3!$C$30-BD8))</f>
        <v>0</v>
      </c>
      <c r="BF8" s="15" t="n">
        <f aca="false">IF(Motore_Operativo!C8&gt;=Parametri_v3!$C$63,(BG7),MIN((BG7),MAX(0,BD8-Parametri_v3!$C$30)))</f>
        <v>0</v>
      </c>
      <c r="BG8" s="15" t="n">
        <f aca="false">(BG7)+BE8-BF8</f>
        <v>0</v>
      </c>
      <c r="BH8" s="15" t="n">
        <f aca="false">BD8+BE8-BF8-AY8</f>
        <v>42197.9791666667</v>
      </c>
      <c r="BI8" s="15" t="n">
        <f aca="false">MAX(0,Parametri_v3!$C$30-BH8)</f>
        <v>0</v>
      </c>
      <c r="BJ8" s="15" t="n">
        <f aca="false">(BJ7)+K8</f>
        <v>6666.66666666667</v>
      </c>
      <c r="BK8" s="15" t="n">
        <f aca="false">(BK7)+L8</f>
        <v>462.962962962963</v>
      </c>
      <c r="BL8" s="15" t="n">
        <f aca="false">BJ8-BK8</f>
        <v>6203.7037037037</v>
      </c>
      <c r="BM8" s="15" t="n">
        <f aca="false">(BM7)+Y8</f>
        <v>-83397.4074074074</v>
      </c>
      <c r="BN8" s="15" t="n">
        <f aca="false">(BN7)+AW8+AX8+AZ8</f>
        <v>130000</v>
      </c>
      <c r="BO8" s="15" t="n">
        <f aca="false">(BO7)+AY8</f>
        <v>0</v>
      </c>
      <c r="BP8" s="15" t="n">
        <f aca="false">0</f>
        <v>0</v>
      </c>
      <c r="BQ8" s="15" t="n">
        <f aca="false">BN8+BM8-BO8</f>
        <v>46602.5925925926</v>
      </c>
      <c r="BR8" s="15" t="n">
        <f aca="false">BH8+AD8+BL8+MAX(0,-AM8)+MAX(0,-AR8)+AG8</f>
        <v>73213.3962037037</v>
      </c>
      <c r="BS8" s="15" t="n">
        <f aca="false">AJ8+AV8+MAX(0,AM8)+MAX(0,AR8)+BC8+BG8+BQ8</f>
        <v>73213.3962037037</v>
      </c>
      <c r="BT8" s="15" t="n">
        <f aca="false">BR8-BS8</f>
        <v>0</v>
      </c>
      <c r="BU8" s="15" t="n">
        <f aca="false">BH8-(BD8+BE8-BF8-AY8)</f>
        <v>0</v>
      </c>
      <c r="BV8" s="15" t="n">
        <f aca="false">MIN(Piano_SS!$C$6,(BV7)+IF(AND(Motore_Operativo!C8&gt;=EDATE(Parametri_v3!$C$24,Ipotesi!C14*12),Motore_Operativo!C8&lt;EDATE(Parametri_v3!$C$24,Parametri_v3!$C$25+Ipotesi!C14*12)),MAX(0,(Motore_Operativo!Y8+Motore_Operativo!X8*Parametri_v3!$C$14)*(1-Parametri_v3!$C$32))*Piano_SS!$D$6,0))</f>
        <v>0</v>
      </c>
      <c r="BW8" s="15" t="n">
        <f aca="false">MIN(Piano_SS!$C$7,(BW7)+IF(AND(Motore_Operativo!C8&gt;=EDATE(Parametri_v3!$C$24,Ipotesi!C14*12),Motore_Operativo!C8&lt;EDATE(Parametri_v3!$C$24,Parametri_v3!$C$25+Ipotesi!C14*12)),MAX(0,(IF(4-(INT((Ipotesi!$C$91)/30))&lt;1,0,INDEX(Motore_Operativo!$BN$5:$BN$64,MAX(1,4-(INT((Ipotesi!$C$91)/30)))))*(1-(MOD((Ipotesi!$C$91),30)/30))+IF(4-(INT((Ipotesi!$C$91)/30))-1&lt;1,0,INDEX(Motore_Operativo!$BN$5:$BN$64,MAX(1,4-(INT((Ipotesi!$C$91)/30))-1)))*(MOD((Ipotesi!$C$91),30)/30)))*Piano_SS!$D$7,0))</f>
        <v>0</v>
      </c>
      <c r="BX8" s="15" t="n">
        <f aca="false">MIN(Piano_SS!$C$8,(BX7)+IF(AND(Motore_Operativo!C8&gt;=EDATE(Parametri_v3!$C$24,Ipotesi!C14*12),Motore_Operativo!C8&lt;EDATE(Parametri_v3!$C$24,Parametri_v3!$C$25+Ipotesi!C14*12)),MAX(0,Motore_Operativo!CE8)*Piano_SS!$D$8,0))</f>
        <v>0</v>
      </c>
      <c r="BY8" s="15" t="n">
        <f aca="false">MIN(Piano_SS!$C$9,(BY7)+IF(AND(Motore_Operativo!C8&gt;=EDATE(Parametri_v3!$C$24,Ipotesi!C14*12),Motore_Operativo!C8&lt;EDATE(Parametri_v3!$C$24,Parametri_v3!$C$25+Ipotesi!C14*12)),MAX(0,((IF(4-(INT((Ipotesi!$C$91)/30))&lt;1,0,INDEX(Motore_Operativo!$BQ$5:$BQ$64,MAX(1,4-(INT((Ipotesi!$C$91)/30)))))*(1-(MOD((Ipotesi!$C$91),30)/30))+IF(4-(INT((Ipotesi!$C$91)/30))-1&lt;1,0,INDEX(Motore_Operativo!$BQ$5:$BQ$64,MAX(1,4-(INT((Ipotesi!$C$91)/30))-1)))*(MOD((Ipotesi!$C$91),30)/30))+(IF(4-(INT((Ipotesi!$C$91)/30))&lt;1,0,INDEX(Motore_Operativo!$BR$5:$BR$64,MAX(1,4-(INT((Ipotesi!$C$91)/30)))))*(1-(MOD((Ipotesi!$C$91),30)/30))+IF(4-(INT((Ipotesi!$C$91)/30))-1&lt;1,0,INDEX(Motore_Operativo!$BR$5:$BR$64,MAX(1,4-(INT((Ipotesi!$C$91)/30))-1)))*(MOD((Ipotesi!$C$91),30)/30))))*Piano_SS!$D$9,0))</f>
        <v>0</v>
      </c>
      <c r="BZ8" s="15" t="n">
        <f aca="false">MIN(Piano_SS!$C$10,(BZ7)+IF(AND(Motore_Operativo!C8&gt;=EDATE(Parametri_v3!$C$24,Ipotesi!C14*12),Motore_Operativo!C8&lt;EDATE(Parametri_v3!$C$24,Parametri_v3!$C$25+Ipotesi!C14*12)),MAX(0,(IF(4-(INT((Ipotesi!$C$91)/30))&lt;1,0,INDEX(Motore_Operativo!$BO$5:$BO$64,MAX(1,4-(INT((Ipotesi!$C$91)/30)))))*(1-(MOD((Ipotesi!$C$91),30)/30))+IF(4-(INT((Ipotesi!$C$91)/30))-1&lt;1,0,INDEX(Motore_Operativo!$BO$5:$BO$64,MAX(1,4-(INT((Ipotesi!$C$91)/30))-1)))*(MOD((Ipotesi!$C$91),30)/30)))*Piano_SS!$D$10,0))</f>
        <v>0</v>
      </c>
      <c r="CA8" s="15" t="n">
        <f aca="false">SUM(BV8:BZ8)</f>
        <v>0</v>
      </c>
      <c r="CB8" s="15" t="n">
        <f aca="false">BV8*(1-Piano_SS!$E$6)+BW8*(1-Piano_SS!$E$7)+BX8*(1-Piano_SS!$E$8)+BY8*(1-Piano_SS!$E$9)+BZ8*(1-Piano_SS!$E$10)</f>
        <v>0</v>
      </c>
      <c r="CC8" s="15" t="n">
        <f aca="false">(CC7)+BA8</f>
        <v>0</v>
      </c>
      <c r="CD8" s="15" t="n">
        <f aca="false">IF(CA8=0,0,CC8*CB8/CA8*Ipotesi!$C$103*Parametri_v3!$C$64)</f>
        <v>0</v>
      </c>
      <c r="CE8" s="18" t="n">
        <f aca="false">IF(BA8&gt;0,Motore_Operativo!C8,(CE7))</f>
        <v>0</v>
      </c>
      <c r="CF8" s="18" t="n">
        <f aca="false">IF(AND(CC8&gt;0,OR(CC8&gt;=CG8-0.01,Motore_Operativo!C8&gt;=EDATE(MAX(Finanziamenti!$D$15:$D$17),Ipotesi!C14*12))),CE8,0)</f>
        <v>0</v>
      </c>
      <c r="CG8" s="15" t="n">
        <f aca="false">IF(AND(1&lt;&gt;6,1&lt;&gt;9,Finanziamenti!$F$11=1,OR(Parametri_v3!$C$6=0,Finanziamenti!$E$11=1)),MIN(Finanziamenti!$C$11,Piano_SS!$C$12*Ipotesi!$C$102),0)</f>
        <v>400000</v>
      </c>
      <c r="CH8" s="15" t="n">
        <f aca="false">IF(AND(AND(1&lt;&gt;8,1&lt;&gt;9,Finanziamenti!$F$10=1,OR(Parametri_v3!$C$6=0,Finanziamenti!$E$10=1)),Motore_Operativo!C8&gt;=Finanziamenti!$D$10,Motore_Operativo!C8&lt;Parametri_v3!$C$63),Finanziamenti!$C$10,0)</f>
        <v>150000</v>
      </c>
    </row>
    <row r="9" customFormat="false" ht="18" hidden="false" customHeight="true" outlineLevel="0" collapsed="false">
      <c r="A9" s="68" t="n">
        <f aca="false">1</f>
        <v>1</v>
      </c>
      <c r="B9" s="68" t="n">
        <f aca="false">5</f>
        <v>5</v>
      </c>
      <c r="C9" s="18" t="n">
        <f aca="false">Motore_Operativo!C9</f>
        <v>46508</v>
      </c>
      <c r="D9" s="68" t="n">
        <f aca="false">Motore_Operativo!D9</f>
        <v>2027</v>
      </c>
      <c r="E9" s="68" t="n">
        <f aca="false">Motore_Operativo!E9</f>
        <v>5</v>
      </c>
      <c r="F9" s="15" t="n">
        <f aca="false">Motore_Operativo!AQ9+Motore_Operativo!BF9</f>
        <v>5708.33333333333</v>
      </c>
      <c r="G9" s="15" t="n">
        <f aca="false">Motore_Operativo!BH9</f>
        <v>1250</v>
      </c>
      <c r="H9" s="15" t="n">
        <f aca="false">Motore_Operativo!BI9</f>
        <v>6958.33333333333</v>
      </c>
      <c r="I9" s="15" t="n">
        <f aca="false">Motore_Operativo!CA9</f>
        <v>27626.25</v>
      </c>
      <c r="J9" s="15" t="n">
        <f aca="false">Motore_Operativo!CC9</f>
        <v>-20667.9166666667</v>
      </c>
      <c r="K9" s="15" t="n">
        <f aca="false">Motore_Operativo!CE9</f>
        <v>1666.66666666667</v>
      </c>
      <c r="L9" s="15" t="n">
        <f aca="false">SUM(INDEX($K$5:$K$64,MAX(1,5-Parametri_v3!$C$59+1)):K9)/Parametri_v3!$C$59</f>
        <v>231.481481481482</v>
      </c>
      <c r="M9" s="15" t="n">
        <f aca="false">J9-L9</f>
        <v>-20899.3981481482</v>
      </c>
      <c r="N9" s="15" t="n">
        <f aca="false">CD9-(CD8)</f>
        <v>0</v>
      </c>
      <c r="O9" s="15" t="n">
        <f aca="false">(BG8)*Ipotesi!$C$110/12+CH9*Parametri_v3!$C$39/12</f>
        <v>0</v>
      </c>
      <c r="P9" s="15" t="n">
        <f aca="false">M9+N9-O9</f>
        <v>-20899.3981481482</v>
      </c>
      <c r="Q9" s="15" t="n">
        <f aca="false">SUM(P5:P9)+Parametri_v3!$C$54*5/12</f>
        <v>-104296.805555556</v>
      </c>
      <c r="R9" s="15" t="n">
        <f aca="false">0</f>
        <v>0</v>
      </c>
      <c r="S9" s="15" t="n">
        <f aca="false">0</f>
        <v>0</v>
      </c>
      <c r="T9" s="15" t="n">
        <f aca="false">MIN(R9,MAX(0,Q9))</f>
        <v>0</v>
      </c>
      <c r="U9" s="15" t="n">
        <f aca="false">MIN(S9,MAX(0,Q9-T9)*Parametri_v3!$C$42)</f>
        <v>0</v>
      </c>
      <c r="V9" s="15" t="n">
        <f aca="false">MAX(0,Q9-T9-U9)*Ipotesi!$C$92</f>
        <v>0</v>
      </c>
      <c r="W9" s="15" t="n">
        <f aca="false">MAX(0,SUM(M5:M9)+Parametri_v3!$C$55*5/12)*Ipotesi!$C$93</f>
        <v>0</v>
      </c>
      <c r="X9" s="15" t="n">
        <f aca="false">V9+W9-(V8+W8)</f>
        <v>0</v>
      </c>
      <c r="Y9" s="15" t="n">
        <f aca="false">P9-X9</f>
        <v>-20899.3981481482</v>
      </c>
      <c r="Z9" s="15" t="n">
        <f aca="false">R9-T9+IF(AND(Parametri_v3!$C$40=1,D9-YEAR(Parametri_v3!$C$50)&lt;Parametri_v3!$C$41),MAX(0,-Q9),0)</f>
        <v>104296.805555556</v>
      </c>
      <c r="AA9" s="15" t="n">
        <f aca="false">S9-U9+IF(AND(Parametri_v3!$C$40=1,D9-YEAR(Parametri_v3!$C$50)&lt;Parametri_v3!$C$41),0,MAX(0,-Q9))</f>
        <v>0</v>
      </c>
      <c r="AB9" s="15" t="n">
        <f aca="false">F9*(1+Parametri_v3!$C$26)</f>
        <v>6964.16666666667</v>
      </c>
      <c r="AC9" s="15" t="n">
        <f aca="false">(IF(5-(INT((Motore_Operativo!L9)/30))&lt;1,0,INDEX(Motore_Startup!$AB$5:$AB$64,MAX(1,5-(INT((Motore_Operativo!L9)/30)))))*(1-(MOD((Motore_Operativo!L9),30)/30))+IF(5-(INT((Motore_Operativo!L9)/30))-1&lt;1,0,INDEX(Motore_Startup!$AB$5:$AB$64,MAX(1,5-(INT((Motore_Operativo!L9)/30))-1)))*(MOD((Motore_Operativo!L9),30)/30))</f>
        <v>6862.5</v>
      </c>
      <c r="AD9" s="15" t="n">
        <f aca="false">(AD8)+AB9-AC9</f>
        <v>20723.0555555556</v>
      </c>
      <c r="AE9" s="15" t="n">
        <f aca="false">Motore_Operativo!BH9*(1+Parametri_v3!$C$26)</f>
        <v>1525</v>
      </c>
      <c r="AF9" s="15" t="n">
        <f aca="false">(IF(5-(INT((Parametri_v3!$C$29)/30))&lt;1,0,INDEX(Motore_Operativo!$BH$5:$BH$64,MAX(1,5-(INT((Parametri_v3!$C$29)/30)))))*(1-(MOD((Parametri_v3!$C$29),30)/30))+IF(5-(INT((Parametri_v3!$C$29)/30))-1&lt;1,0,INDEX(Motore_Operativo!$BH$5:$BH$64,MAX(1,5-(INT((Parametri_v3!$C$29)/30))-1)))*(MOD((Parametri_v3!$C$29),30)/30))*(1+Parametri_v3!$C$26)</f>
        <v>1525</v>
      </c>
      <c r="AG9" s="15" t="n">
        <f aca="false">(AG8)+AE9-AF9</f>
        <v>1525</v>
      </c>
      <c r="AH9" s="15" t="n">
        <f aca="false">(Motore_Operativo!CJ9)*(1+Parametri_v3!$C$27*Parametri_v3!$C$26)</f>
        <v>11525.2754166667</v>
      </c>
      <c r="AI9" s="15" t="n">
        <f aca="false">(IF(5-(INT((Ipotesi!$C$91)/30))&lt;1,0,INDEX(Motore_Startup!$AH$5:$AH$64,MAX(1,5-(INT((Ipotesi!$C$91)/30)))))*(1-(MOD((Ipotesi!$C$91),30)/30))+IF(5-(INT((Ipotesi!$C$91)/30))-1&lt;1,0,INDEX(Motore_Startup!$AH$5:$AH$64,MAX(1,5-(INT((Ipotesi!$C$91)/30))-1)))*(MOD((Ipotesi!$C$91),30)/30))</f>
        <v>11511.4270833333</v>
      </c>
      <c r="AJ9" s="15" t="n">
        <f aca="false">(AJ8)+AH9-AI9</f>
        <v>23041.3186111111</v>
      </c>
      <c r="AK9" s="15" t="n">
        <f aca="false">(F9+ Motore_Operativo!BH9-(Motore_Operativo!CJ9)*Parametri_v3!$C$27-Motore_Operativo!CE9)*Parametri_v3!$C$26</f>
        <v>-651.525416666667</v>
      </c>
      <c r="AL9" s="15" t="n">
        <f aca="false">MAX(0,(AM8))</f>
        <v>0</v>
      </c>
      <c r="AM9" s="15" t="n">
        <f aca="false">(AM8)+AK9-AL9</f>
        <v>-3316.84986111111</v>
      </c>
      <c r="AN9" s="15" t="n">
        <f aca="false">0</f>
        <v>0</v>
      </c>
      <c r="AO9" s="15" t="n">
        <f aca="false">0</f>
        <v>0</v>
      </c>
      <c r="AP9" s="15" t="n">
        <f aca="false">MAX(0,AN9)*IF(5=Parametri_v3!$C$43,Parametri_v3!$C$45,IF(5=Parametri_v3!$C$44,1-Parametri_v3!$C$45,0))</f>
        <v>0</v>
      </c>
      <c r="AQ9" s="15" t="n">
        <f aca="false">MAX(0,AP9+IF(5=Parametri_v3!$C$43,MAX(0,AN9-AO9),0)-MAX(0,-(AR8)))</f>
        <v>0</v>
      </c>
      <c r="AR9" s="15" t="n">
        <f aca="false">(AR8)+X9-AQ9</f>
        <v>0</v>
      </c>
      <c r="AS9" s="15" t="n">
        <f aca="false">Motore_Operativo!AB9-AT9+AU9</f>
        <v>17020.8333333333</v>
      </c>
      <c r="AT9" s="15" t="n">
        <f aca="false">Motore_Operativo!CH9</f>
        <v>895.833333333334</v>
      </c>
      <c r="AU9" s="15" t="n">
        <f aca="false">MIN(MAX(0,(AV8)+AT9),Parametri_v3!$C$60/12)</f>
        <v>0</v>
      </c>
      <c r="AV9" s="15" t="n">
        <f aca="false">(AV8)+AT9-AU9</f>
        <v>4479.16666666667</v>
      </c>
      <c r="AW9" s="15" t="n">
        <f aca="false">IF(AND(Motore_Operativo!C9=Finanziamenti!$D$6,Finanziamenti!$F$6=1),Finanziamenti!$C$6,0)</f>
        <v>0</v>
      </c>
      <c r="AX9" s="15" t="n">
        <f aca="false">IF(AND(1&lt;&gt;7,1&lt;&gt;9,Finanziamenti!$F$8=1,OR(Parametri_v3!$C$6=0,Finanziamenti!$E$8=1),Motore_Operativo!C9=EDATE(Finanziamenti!$D$8,Ipotesi!C15*12)),Finanziamenti!$C$8*1,0)+IF(AND(1&lt;&gt;7,1&lt;&gt;9,Finanziamenti!$F$9=1,OR(Parametri_v3!$C$6=0,Finanziamenti!$E$9=1),Motore_Operativo!C9=EDATE(Finanziamenti!$D$9,Ipotesi!C15*12)),Finanziamenti!$C$9*Ipotesi!C16,0)</f>
        <v>0</v>
      </c>
      <c r="AY9" s="15" t="n">
        <f aca="false">0</f>
        <v>0</v>
      </c>
      <c r="AZ9" s="15" t="n">
        <f aca="false">Motore_Advisory!AY9*(1-Ipotesi!$C$95)*Ipotesi!$C$96</f>
        <v>0</v>
      </c>
      <c r="BA9" s="15" t="n">
        <f aca="false">MAX(0,MIN(CG9*MIN(1,IF(Motore_Operativo!C9&gt;=EDATE(Finanziamenti!$D$15,Ipotesi!C14*12),Finanziamenti!$C$15,0)+IF(Motore_Operativo!C9&gt;=EDATE(Finanziamenti!$D$16,Ipotesi!C14*12),Finanziamenti!$C$16,0)+IF(Motore_Operativo!C9&gt;=EDATE(Finanziamenti!$D$17,Ipotesi!C14*12),Finanziamenti!$C$17,0)),CA9*Ipotesi!$C$102)-(CC8))</f>
        <v>0</v>
      </c>
      <c r="BB9" s="15" t="n">
        <f aca="false">IF(AND(CF9&gt;0,Motore_Operativo!C9&gt;=IF(CF9=0,0,EDATE(CF9,Parametri_v3!$C$37)),MOD(((D9-YEAR(IF(CF9=0,0,EDATE(CF9,Parametri_v3!$C$37))))*12+E9-MONTH(IF(CF9=0,0,EDATE(CF9,Parametri_v3!$C$37)))),Parametri_v3!$C$38)=0),MIN(MAX(0,(BC8)+BA9-N9),(CC9-CD9)/(Ipotesi!$C$108*12/Parametri_v3!$C$38)),0)</f>
        <v>0</v>
      </c>
      <c r="BC9" s="15" t="n">
        <f aca="false">(BC8)+BA9-N9-BB9</f>
        <v>0</v>
      </c>
      <c r="BD9" s="15" t="n">
        <f aca="false">(BH8)+AC9+AF9-AI9-AS9-K9*(1+Parametri_v3!$C$26)-AL9-AQ9-O9+AW9+AX9+AZ9+BA9-BB9</f>
        <v>20019.8854166667</v>
      </c>
      <c r="BE9" s="15" t="n">
        <f aca="false">MAX(0,MIN(MAX(0,CH9-(BG8)),Parametri_v3!$C$30-BD9))</f>
        <v>4980.11458333334</v>
      </c>
      <c r="BF9" s="15" t="n">
        <f aca="false">IF(Motore_Operativo!C9&gt;=Parametri_v3!$C$63,(BG8),MIN((BG8),MAX(0,BD9-Parametri_v3!$C$30)))</f>
        <v>0</v>
      </c>
      <c r="BG9" s="15" t="n">
        <f aca="false">(BG8)+BE9-BF9</f>
        <v>4980.11458333334</v>
      </c>
      <c r="BH9" s="15" t="n">
        <f aca="false">BD9+BE9-BF9-AY9</f>
        <v>25000</v>
      </c>
      <c r="BI9" s="15" t="n">
        <f aca="false">MAX(0,Parametri_v3!$C$30-BH9)</f>
        <v>0</v>
      </c>
      <c r="BJ9" s="15" t="n">
        <f aca="false">(BJ8)+K9</f>
        <v>8333.33333333333</v>
      </c>
      <c r="BK9" s="15" t="n">
        <f aca="false">(BK8)+L9</f>
        <v>694.444444444445</v>
      </c>
      <c r="BL9" s="15" t="n">
        <f aca="false">BJ9-BK9</f>
        <v>7638.88888888889</v>
      </c>
      <c r="BM9" s="15" t="n">
        <f aca="false">(BM8)+Y9</f>
        <v>-104296.805555556</v>
      </c>
      <c r="BN9" s="15" t="n">
        <f aca="false">(BN8)+AW9+AX9+AZ9</f>
        <v>130000</v>
      </c>
      <c r="BO9" s="15" t="n">
        <f aca="false">(BO8)+AY9</f>
        <v>0</v>
      </c>
      <c r="BP9" s="15" t="n">
        <f aca="false">0</f>
        <v>0</v>
      </c>
      <c r="BQ9" s="15" t="n">
        <f aca="false">BN9+BM9-BO9</f>
        <v>25703.1944444445</v>
      </c>
      <c r="BR9" s="15" t="n">
        <f aca="false">BH9+AD9+BL9+MAX(0,-AM9)+MAX(0,-AR9)+AG9</f>
        <v>58203.7943055556</v>
      </c>
      <c r="BS9" s="15" t="n">
        <f aca="false">AJ9+AV9+MAX(0,AM9)+MAX(0,AR9)+BC9+BG9+BQ9</f>
        <v>58203.7943055556</v>
      </c>
      <c r="BT9" s="15" t="n">
        <f aca="false">BR9-BS9</f>
        <v>0</v>
      </c>
      <c r="BU9" s="15" t="n">
        <f aca="false">BH9-(BD9+BE9-BF9-AY9)</f>
        <v>0</v>
      </c>
      <c r="BV9" s="15" t="n">
        <f aca="false">MIN(Piano_SS!$C$6,(BV8)+IF(AND(Motore_Operativo!C9&gt;=EDATE(Parametri_v3!$C$24,Ipotesi!C14*12),Motore_Operativo!C9&lt;EDATE(Parametri_v3!$C$24,Parametri_v3!$C$25+Ipotesi!C14*12)),MAX(0,(Motore_Operativo!Y9+Motore_Operativo!X9*Parametri_v3!$C$14)*(1-Parametri_v3!$C$32))*Piano_SS!$D$6,0))</f>
        <v>0</v>
      </c>
      <c r="BW9" s="15" t="n">
        <f aca="false">MIN(Piano_SS!$C$7,(BW8)+IF(AND(Motore_Operativo!C9&gt;=EDATE(Parametri_v3!$C$24,Ipotesi!C14*12),Motore_Operativo!C9&lt;EDATE(Parametri_v3!$C$24,Parametri_v3!$C$25+Ipotesi!C14*12)),MAX(0,(IF(5-(INT((Ipotesi!$C$91)/30))&lt;1,0,INDEX(Motore_Operativo!$BN$5:$BN$64,MAX(1,5-(INT((Ipotesi!$C$91)/30)))))*(1-(MOD((Ipotesi!$C$91),30)/30))+IF(5-(INT((Ipotesi!$C$91)/30))-1&lt;1,0,INDEX(Motore_Operativo!$BN$5:$BN$64,MAX(1,5-(INT((Ipotesi!$C$91)/30))-1)))*(MOD((Ipotesi!$C$91),30)/30)))*Piano_SS!$D$7,0))</f>
        <v>0</v>
      </c>
      <c r="BX9" s="15" t="n">
        <f aca="false">MIN(Piano_SS!$C$8,(BX8)+IF(AND(Motore_Operativo!C9&gt;=EDATE(Parametri_v3!$C$24,Ipotesi!C14*12),Motore_Operativo!C9&lt;EDATE(Parametri_v3!$C$24,Parametri_v3!$C$25+Ipotesi!C14*12)),MAX(0,Motore_Operativo!CE9)*Piano_SS!$D$8,0))</f>
        <v>0</v>
      </c>
      <c r="BY9" s="15" t="n">
        <f aca="false">MIN(Piano_SS!$C$9,(BY8)+IF(AND(Motore_Operativo!C9&gt;=EDATE(Parametri_v3!$C$24,Ipotesi!C14*12),Motore_Operativo!C9&lt;EDATE(Parametri_v3!$C$24,Parametri_v3!$C$25+Ipotesi!C14*12)),MAX(0,((IF(5-(INT((Ipotesi!$C$91)/30))&lt;1,0,INDEX(Motore_Operativo!$BQ$5:$BQ$64,MAX(1,5-(INT((Ipotesi!$C$91)/30)))))*(1-(MOD((Ipotesi!$C$91),30)/30))+IF(5-(INT((Ipotesi!$C$91)/30))-1&lt;1,0,INDEX(Motore_Operativo!$BQ$5:$BQ$64,MAX(1,5-(INT((Ipotesi!$C$91)/30))-1)))*(MOD((Ipotesi!$C$91),30)/30))+(IF(5-(INT((Ipotesi!$C$91)/30))&lt;1,0,INDEX(Motore_Operativo!$BR$5:$BR$64,MAX(1,5-(INT((Ipotesi!$C$91)/30)))))*(1-(MOD((Ipotesi!$C$91),30)/30))+IF(5-(INT((Ipotesi!$C$91)/30))-1&lt;1,0,INDEX(Motore_Operativo!$BR$5:$BR$64,MAX(1,5-(INT((Ipotesi!$C$91)/30))-1)))*(MOD((Ipotesi!$C$91),30)/30))))*Piano_SS!$D$9,0))</f>
        <v>0</v>
      </c>
      <c r="BZ9" s="15" t="n">
        <f aca="false">MIN(Piano_SS!$C$10,(BZ8)+IF(AND(Motore_Operativo!C9&gt;=EDATE(Parametri_v3!$C$24,Ipotesi!C14*12),Motore_Operativo!C9&lt;EDATE(Parametri_v3!$C$24,Parametri_v3!$C$25+Ipotesi!C14*12)),MAX(0,(IF(5-(INT((Ipotesi!$C$91)/30))&lt;1,0,INDEX(Motore_Operativo!$BO$5:$BO$64,MAX(1,5-(INT((Ipotesi!$C$91)/30)))))*(1-(MOD((Ipotesi!$C$91),30)/30))+IF(5-(INT((Ipotesi!$C$91)/30))-1&lt;1,0,INDEX(Motore_Operativo!$BO$5:$BO$64,MAX(1,5-(INT((Ipotesi!$C$91)/30))-1)))*(MOD((Ipotesi!$C$91),30)/30)))*Piano_SS!$D$10,0))</f>
        <v>0</v>
      </c>
      <c r="CA9" s="15" t="n">
        <f aca="false">SUM(BV9:BZ9)</f>
        <v>0</v>
      </c>
      <c r="CB9" s="15" t="n">
        <f aca="false">BV9*(1-Piano_SS!$E$6)+BW9*(1-Piano_SS!$E$7)+BX9*(1-Piano_SS!$E$8)+BY9*(1-Piano_SS!$E$9)+BZ9*(1-Piano_SS!$E$10)</f>
        <v>0</v>
      </c>
      <c r="CC9" s="15" t="n">
        <f aca="false">(CC8)+BA9</f>
        <v>0</v>
      </c>
      <c r="CD9" s="15" t="n">
        <f aca="false">IF(CA9=0,0,CC9*CB9/CA9*Ipotesi!$C$103*Parametri_v3!$C$64)</f>
        <v>0</v>
      </c>
      <c r="CE9" s="18" t="n">
        <f aca="false">IF(BA9&gt;0,Motore_Operativo!C9,(CE8))</f>
        <v>0</v>
      </c>
      <c r="CF9" s="18" t="n">
        <f aca="false">IF(AND(CC9&gt;0,OR(CC9&gt;=CG9-0.01,Motore_Operativo!C9&gt;=EDATE(MAX(Finanziamenti!$D$15:$D$17),Ipotesi!C14*12))),CE9,0)</f>
        <v>0</v>
      </c>
      <c r="CG9" s="15" t="n">
        <f aca="false">IF(AND(1&lt;&gt;6,1&lt;&gt;9,Finanziamenti!$F$11=1,OR(Parametri_v3!$C$6=0,Finanziamenti!$E$11=1)),MIN(Finanziamenti!$C$11,Piano_SS!$C$12*Ipotesi!$C$102),0)</f>
        <v>400000</v>
      </c>
      <c r="CH9" s="15" t="n">
        <f aca="false">IF(AND(AND(1&lt;&gt;8,1&lt;&gt;9,Finanziamenti!$F$10=1,OR(Parametri_v3!$C$6=0,Finanziamenti!$E$10=1)),Motore_Operativo!C9&gt;=Finanziamenti!$D$10,Motore_Operativo!C9&lt;Parametri_v3!$C$63),Finanziamenti!$C$10,0)</f>
        <v>150000</v>
      </c>
    </row>
    <row r="10" customFormat="false" ht="18" hidden="false" customHeight="true" outlineLevel="0" collapsed="false">
      <c r="A10" s="68" t="n">
        <f aca="false">1</f>
        <v>1</v>
      </c>
      <c r="B10" s="68" t="n">
        <f aca="false">6</f>
        <v>6</v>
      </c>
      <c r="C10" s="18" t="n">
        <f aca="false">Motore_Operativo!C10</f>
        <v>46539</v>
      </c>
      <c r="D10" s="68" t="n">
        <f aca="false">Motore_Operativo!D10</f>
        <v>2027</v>
      </c>
      <c r="E10" s="68" t="n">
        <f aca="false">Motore_Operativo!E10</f>
        <v>6</v>
      </c>
      <c r="F10" s="15" t="n">
        <f aca="false">Motore_Operativo!AQ10+Motore_Operativo!BF10</f>
        <v>5763.88888888889</v>
      </c>
      <c r="G10" s="15" t="n">
        <f aca="false">Motore_Operativo!BH10</f>
        <v>1250</v>
      </c>
      <c r="H10" s="15" t="n">
        <f aca="false">Motore_Operativo!BI10</f>
        <v>7013.88888888889</v>
      </c>
      <c r="I10" s="15" t="n">
        <f aca="false">Motore_Operativo!CA10</f>
        <v>27634.0277777778</v>
      </c>
      <c r="J10" s="15" t="n">
        <f aca="false">Motore_Operativo!CC10</f>
        <v>-20620.1388888889</v>
      </c>
      <c r="K10" s="15" t="n">
        <f aca="false">Motore_Operativo!CE10</f>
        <v>1666.66666666667</v>
      </c>
      <c r="L10" s="15" t="n">
        <f aca="false">SUM(INDEX($K$5:$K$64,MAX(1,6-Parametri_v3!$C$59+1)):K10)/Parametri_v3!$C$59</f>
        <v>277.777777777778</v>
      </c>
      <c r="M10" s="15" t="n">
        <f aca="false">J10-L10</f>
        <v>-20897.9166666667</v>
      </c>
      <c r="N10" s="15" t="n">
        <f aca="false">CD10-(CD9)</f>
        <v>0</v>
      </c>
      <c r="O10" s="15" t="n">
        <f aca="false">(BG9)*Ipotesi!$C$110/12+CH10*Parametri_v3!$C$39/12</f>
        <v>24.9005729166667</v>
      </c>
      <c r="P10" s="15" t="n">
        <f aca="false">M10+N10-O10</f>
        <v>-20922.8172395833</v>
      </c>
      <c r="Q10" s="15" t="n">
        <f aca="false">SUM(P5:P10)+Parametri_v3!$C$54*6/12</f>
        <v>-125219.622795139</v>
      </c>
      <c r="R10" s="15" t="n">
        <f aca="false">0</f>
        <v>0</v>
      </c>
      <c r="S10" s="15" t="n">
        <f aca="false">0</f>
        <v>0</v>
      </c>
      <c r="T10" s="15" t="n">
        <f aca="false">MIN(R10,MAX(0,Q10))</f>
        <v>0</v>
      </c>
      <c r="U10" s="15" t="n">
        <f aca="false">MIN(S10,MAX(0,Q10-T10)*Parametri_v3!$C$42)</f>
        <v>0</v>
      </c>
      <c r="V10" s="15" t="n">
        <f aca="false">MAX(0,Q10-T10-U10)*Ipotesi!$C$92</f>
        <v>0</v>
      </c>
      <c r="W10" s="15" t="n">
        <f aca="false">MAX(0,SUM(M5:M10)+Parametri_v3!$C$55*6/12)*Ipotesi!$C$93</f>
        <v>0</v>
      </c>
      <c r="X10" s="15" t="n">
        <f aca="false">V10+W10-(V9+W9)</f>
        <v>0</v>
      </c>
      <c r="Y10" s="15" t="n">
        <f aca="false">P10-X10</f>
        <v>-20922.8172395833</v>
      </c>
      <c r="Z10" s="15" t="n">
        <f aca="false">R10-T10+IF(AND(Parametri_v3!$C$40=1,D10-YEAR(Parametri_v3!$C$50)&lt;Parametri_v3!$C$41),MAX(0,-Q10),0)</f>
        <v>125219.622795139</v>
      </c>
      <c r="AA10" s="15" t="n">
        <f aca="false">S10-U10+IF(AND(Parametri_v3!$C$40=1,D10-YEAR(Parametri_v3!$C$50)&lt;Parametri_v3!$C$41),0,MAX(0,-Q10))</f>
        <v>0</v>
      </c>
      <c r="AB10" s="15" t="n">
        <f aca="false">F10*(1+Parametri_v3!$C$26)</f>
        <v>7031.94444444444</v>
      </c>
      <c r="AC10" s="15" t="n">
        <f aca="false">(IF(6-(INT((Motore_Operativo!L10)/30))&lt;1,0,INDEX(Motore_Startup!$AB$5:$AB$64,MAX(1,6-(INT((Motore_Operativo!L10)/30)))))*(1-(MOD((Motore_Operativo!L10),30)/30))+IF(6-(INT((Motore_Operativo!L10)/30))-1&lt;1,0,INDEX(Motore_Startup!$AB$5:$AB$64,MAX(1,6-(INT((Motore_Operativo!L10)/30))-1)))*(MOD((Motore_Operativo!L10),30)/30))</f>
        <v>6862.5</v>
      </c>
      <c r="AD10" s="15" t="n">
        <f aca="false">(AD9)+AB10-AC10</f>
        <v>20892.5</v>
      </c>
      <c r="AE10" s="15" t="n">
        <f aca="false">Motore_Operativo!BH10*(1+Parametri_v3!$C$26)</f>
        <v>1525</v>
      </c>
      <c r="AF10" s="15" t="n">
        <f aca="false">(IF(6-(INT((Parametri_v3!$C$29)/30))&lt;1,0,INDEX(Motore_Operativo!$BH$5:$BH$64,MAX(1,6-(INT((Parametri_v3!$C$29)/30)))))*(1-(MOD((Parametri_v3!$C$29),30)/30))+IF(6-(INT((Parametri_v3!$C$29)/30))-1&lt;1,0,INDEX(Motore_Operativo!$BH$5:$BH$64,MAX(1,6-(INT((Parametri_v3!$C$29)/30))-1)))*(MOD((Parametri_v3!$C$29),30)/30))*(1+Parametri_v3!$C$26)</f>
        <v>1525</v>
      </c>
      <c r="AG10" s="15" t="n">
        <f aca="false">(AG9)+AE10-AF10</f>
        <v>1525</v>
      </c>
      <c r="AH10" s="15" t="n">
        <f aca="false">(Motore_Operativo!CJ10)*(1+Parametri_v3!$C$27*Parametri_v3!$C$26)</f>
        <v>11534.5076388889</v>
      </c>
      <c r="AI10" s="15" t="n">
        <f aca="false">(IF(6-(INT((Ipotesi!$C$91)/30))&lt;1,0,INDEX(Motore_Startup!$AH$5:$AH$64,MAX(1,6-(INT((Ipotesi!$C$91)/30)))))*(1-(MOD((Ipotesi!$C$91),30)/30))+IF(6-(INT((Ipotesi!$C$91)/30))-1&lt;1,0,INDEX(Motore_Startup!$AH$5:$AH$64,MAX(1,6-(INT((Ipotesi!$C$91)/30))-1)))*(MOD((Ipotesi!$C$91),30)/30))</f>
        <v>11516.0431944444</v>
      </c>
      <c r="AJ10" s="15" t="n">
        <f aca="false">(AJ9)+AH10-AI10</f>
        <v>23059.7830555556</v>
      </c>
      <c r="AK10" s="15" t="n">
        <f aca="false">(F10+ Motore_Operativo!BH10-(Motore_Operativo!CJ10)*Parametri_v3!$C$27-Motore_Operativo!CE10)*Parametri_v3!$C$26</f>
        <v>-640.757638888889</v>
      </c>
      <c r="AL10" s="15" t="n">
        <f aca="false">MAX(0,(AM9))</f>
        <v>0</v>
      </c>
      <c r="AM10" s="15" t="n">
        <f aca="false">(AM9)+AK10-AL10</f>
        <v>-3957.6075</v>
      </c>
      <c r="AN10" s="15" t="n">
        <f aca="false">0</f>
        <v>0</v>
      </c>
      <c r="AO10" s="15" t="n">
        <f aca="false">0</f>
        <v>0</v>
      </c>
      <c r="AP10" s="15" t="n">
        <f aca="false">MAX(0,AN10)*IF(6=Parametri_v3!$C$43,Parametri_v3!$C$45,IF(6=Parametri_v3!$C$44,1-Parametri_v3!$C$45,0))</f>
        <v>0</v>
      </c>
      <c r="AQ10" s="15" t="n">
        <f aca="false">MAX(0,AP10+IF(6=Parametri_v3!$C$43,MAX(0,AN10-AO10),0)-MAX(0,-(AR9)))</f>
        <v>0</v>
      </c>
      <c r="AR10" s="15" t="n">
        <f aca="false">(AR9)+X10-AQ10</f>
        <v>0</v>
      </c>
      <c r="AS10" s="15" t="n">
        <f aca="false">Motore_Operativo!AB10-AT10+AU10</f>
        <v>17020.8333333333</v>
      </c>
      <c r="AT10" s="15" t="n">
        <f aca="false">Motore_Operativo!CH10</f>
        <v>895.833333333334</v>
      </c>
      <c r="AU10" s="15" t="n">
        <f aca="false">MIN(MAX(0,(AV9)+AT10),Parametri_v3!$C$60/12)</f>
        <v>0</v>
      </c>
      <c r="AV10" s="15" t="n">
        <f aca="false">(AV9)+AT10-AU10</f>
        <v>5375</v>
      </c>
      <c r="AW10" s="15" t="n">
        <f aca="false">IF(AND(Motore_Operativo!C10=Finanziamenti!$D$6,Finanziamenti!$F$6=1),Finanziamenti!$C$6,0)</f>
        <v>0</v>
      </c>
      <c r="AX10" s="15" t="n">
        <f aca="false">IF(AND(1&lt;&gt;7,1&lt;&gt;9,Finanziamenti!$F$8=1,OR(Parametri_v3!$C$6=0,Finanziamenti!$E$8=1),Motore_Operativo!C10=EDATE(Finanziamenti!$D$8,Ipotesi!C15*12)),Finanziamenti!$C$8*1,0)+IF(AND(1&lt;&gt;7,1&lt;&gt;9,Finanziamenti!$F$9=1,OR(Parametri_v3!$C$6=0,Finanziamenti!$E$9=1),Motore_Operativo!C10=EDATE(Finanziamenti!$D$9,Ipotesi!C15*12)),Finanziamenti!$C$9*Ipotesi!C16,0)</f>
        <v>0</v>
      </c>
      <c r="AY10" s="15" t="n">
        <f aca="false">0</f>
        <v>0</v>
      </c>
      <c r="AZ10" s="15" t="n">
        <f aca="false">Motore_Advisory!AY10*(1-Ipotesi!$C$95)*Ipotesi!$C$96</f>
        <v>0</v>
      </c>
      <c r="BA10" s="15" t="n">
        <f aca="false">MAX(0,MIN(CG10*MIN(1,IF(Motore_Operativo!C10&gt;=EDATE(Finanziamenti!$D$15,Ipotesi!C14*12),Finanziamenti!$C$15,0)+IF(Motore_Operativo!C10&gt;=EDATE(Finanziamenti!$D$16,Ipotesi!C14*12),Finanziamenti!$C$16,0)+IF(Motore_Operativo!C10&gt;=EDATE(Finanziamenti!$D$17,Ipotesi!C14*12),Finanziamenti!$C$17,0)),CA10*Ipotesi!$C$102)-(CC9))</f>
        <v>0</v>
      </c>
      <c r="BB10" s="15" t="n">
        <f aca="false">IF(AND(CF10&gt;0,Motore_Operativo!C10&gt;=IF(CF10=0,0,EDATE(CF10,Parametri_v3!$C$37)),MOD(((D10-YEAR(IF(CF10=0,0,EDATE(CF10,Parametri_v3!$C$37))))*12+E10-MONTH(IF(CF10=0,0,EDATE(CF10,Parametri_v3!$C$37)))),Parametri_v3!$C$38)=0),MIN(MAX(0,(BC9)+BA10-N10),(CC10-CD10)/(Ipotesi!$C$108*12/Parametri_v3!$C$38)),0)</f>
        <v>0</v>
      </c>
      <c r="BC10" s="15" t="n">
        <f aca="false">(BC9)+BA10-N10-BB10</f>
        <v>0</v>
      </c>
      <c r="BD10" s="15" t="n">
        <f aca="false">(BH9)+AC10+AF10-AI10-AS10-K10*(1+Parametri_v3!$C$26)-AL10-AQ10-O10+AW10+AX10+AZ10+BA10-BB10</f>
        <v>2792.38956597223</v>
      </c>
      <c r="BE10" s="15" t="n">
        <f aca="false">MAX(0,MIN(MAX(0,CH10-(BG9)),Parametri_v3!$C$30-BD10))</f>
        <v>22207.6104340278</v>
      </c>
      <c r="BF10" s="15" t="n">
        <f aca="false">IF(Motore_Operativo!C10&gt;=Parametri_v3!$C$63,(BG9),MIN((BG9),MAX(0,BD10-Parametri_v3!$C$30)))</f>
        <v>0</v>
      </c>
      <c r="BG10" s="15" t="n">
        <f aca="false">(BG9)+BE10-BF10</f>
        <v>27187.7250173611</v>
      </c>
      <c r="BH10" s="15" t="n">
        <f aca="false">BD10+BE10-BF10-AY10</f>
        <v>25000</v>
      </c>
      <c r="BI10" s="15" t="n">
        <f aca="false">MAX(0,Parametri_v3!$C$30-BH10)</f>
        <v>0</v>
      </c>
      <c r="BJ10" s="15" t="n">
        <f aca="false">(BJ9)+K10</f>
        <v>10000</v>
      </c>
      <c r="BK10" s="15" t="n">
        <f aca="false">(BK9)+L10</f>
        <v>972.222222222222</v>
      </c>
      <c r="BL10" s="15" t="n">
        <f aca="false">BJ10-BK10</f>
        <v>9027.77777777778</v>
      </c>
      <c r="BM10" s="15" t="n">
        <f aca="false">(BM9)+Y10</f>
        <v>-125219.622795139</v>
      </c>
      <c r="BN10" s="15" t="n">
        <f aca="false">(BN9)+AW10+AX10+AZ10</f>
        <v>130000</v>
      </c>
      <c r="BO10" s="15" t="n">
        <f aca="false">(BO9)+AY10</f>
        <v>0</v>
      </c>
      <c r="BP10" s="15" t="n">
        <f aca="false">0</f>
        <v>0</v>
      </c>
      <c r="BQ10" s="15" t="n">
        <f aca="false">BN10+BM10-BO10</f>
        <v>4780.37720486113</v>
      </c>
      <c r="BR10" s="15" t="n">
        <f aca="false">BH10+AD10+BL10+MAX(0,-AM10)+MAX(0,-AR10)+AG10</f>
        <v>60402.8852777778</v>
      </c>
      <c r="BS10" s="15" t="n">
        <f aca="false">AJ10+AV10+MAX(0,AM10)+MAX(0,AR10)+BC10+BG10+BQ10</f>
        <v>60402.8852777778</v>
      </c>
      <c r="BT10" s="15" t="n">
        <f aca="false">BR10-BS10</f>
        <v>0</v>
      </c>
      <c r="BU10" s="15" t="n">
        <f aca="false">BH10-(BD10+BE10-BF10-AY10)</f>
        <v>0</v>
      </c>
      <c r="BV10" s="15" t="n">
        <f aca="false">MIN(Piano_SS!$C$6,(BV9)+IF(AND(Motore_Operativo!C10&gt;=EDATE(Parametri_v3!$C$24,Ipotesi!C14*12),Motore_Operativo!C10&lt;EDATE(Parametri_v3!$C$24,Parametri_v3!$C$25+Ipotesi!C14*12)),MAX(0,(Motore_Operativo!Y10+Motore_Operativo!X10*Parametri_v3!$C$14)*(1-Parametri_v3!$C$32))*Piano_SS!$D$6,0))</f>
        <v>0</v>
      </c>
      <c r="BW10" s="15" t="n">
        <f aca="false">MIN(Piano_SS!$C$7,(BW9)+IF(AND(Motore_Operativo!C10&gt;=EDATE(Parametri_v3!$C$24,Ipotesi!C14*12),Motore_Operativo!C10&lt;EDATE(Parametri_v3!$C$24,Parametri_v3!$C$25+Ipotesi!C14*12)),MAX(0,(IF(6-(INT((Ipotesi!$C$91)/30))&lt;1,0,INDEX(Motore_Operativo!$BN$5:$BN$64,MAX(1,6-(INT((Ipotesi!$C$91)/30)))))*(1-(MOD((Ipotesi!$C$91),30)/30))+IF(6-(INT((Ipotesi!$C$91)/30))-1&lt;1,0,INDEX(Motore_Operativo!$BN$5:$BN$64,MAX(1,6-(INT((Ipotesi!$C$91)/30))-1)))*(MOD((Ipotesi!$C$91),30)/30)))*Piano_SS!$D$7,0))</f>
        <v>0</v>
      </c>
      <c r="BX10" s="15" t="n">
        <f aca="false">MIN(Piano_SS!$C$8,(BX9)+IF(AND(Motore_Operativo!C10&gt;=EDATE(Parametri_v3!$C$24,Ipotesi!C14*12),Motore_Operativo!C10&lt;EDATE(Parametri_v3!$C$24,Parametri_v3!$C$25+Ipotesi!C14*12)),MAX(0,Motore_Operativo!CE10)*Piano_SS!$D$8,0))</f>
        <v>0</v>
      </c>
      <c r="BY10" s="15" t="n">
        <f aca="false">MIN(Piano_SS!$C$9,(BY9)+IF(AND(Motore_Operativo!C10&gt;=EDATE(Parametri_v3!$C$24,Ipotesi!C14*12),Motore_Operativo!C10&lt;EDATE(Parametri_v3!$C$24,Parametri_v3!$C$25+Ipotesi!C14*12)),MAX(0,((IF(6-(INT((Ipotesi!$C$91)/30))&lt;1,0,INDEX(Motore_Operativo!$BQ$5:$BQ$64,MAX(1,6-(INT((Ipotesi!$C$91)/30)))))*(1-(MOD((Ipotesi!$C$91),30)/30))+IF(6-(INT((Ipotesi!$C$91)/30))-1&lt;1,0,INDEX(Motore_Operativo!$BQ$5:$BQ$64,MAX(1,6-(INT((Ipotesi!$C$91)/30))-1)))*(MOD((Ipotesi!$C$91),30)/30))+(IF(6-(INT((Ipotesi!$C$91)/30))&lt;1,0,INDEX(Motore_Operativo!$BR$5:$BR$64,MAX(1,6-(INT((Ipotesi!$C$91)/30)))))*(1-(MOD((Ipotesi!$C$91),30)/30))+IF(6-(INT((Ipotesi!$C$91)/30))-1&lt;1,0,INDEX(Motore_Operativo!$BR$5:$BR$64,MAX(1,6-(INT((Ipotesi!$C$91)/30))-1)))*(MOD((Ipotesi!$C$91),30)/30))))*Piano_SS!$D$9,0))</f>
        <v>0</v>
      </c>
      <c r="BZ10" s="15" t="n">
        <f aca="false">MIN(Piano_SS!$C$10,(BZ9)+IF(AND(Motore_Operativo!C10&gt;=EDATE(Parametri_v3!$C$24,Ipotesi!C14*12),Motore_Operativo!C10&lt;EDATE(Parametri_v3!$C$24,Parametri_v3!$C$25+Ipotesi!C14*12)),MAX(0,(IF(6-(INT((Ipotesi!$C$91)/30))&lt;1,0,INDEX(Motore_Operativo!$BO$5:$BO$64,MAX(1,6-(INT((Ipotesi!$C$91)/30)))))*(1-(MOD((Ipotesi!$C$91),30)/30))+IF(6-(INT((Ipotesi!$C$91)/30))-1&lt;1,0,INDEX(Motore_Operativo!$BO$5:$BO$64,MAX(1,6-(INT((Ipotesi!$C$91)/30))-1)))*(MOD((Ipotesi!$C$91),30)/30)))*Piano_SS!$D$10,0))</f>
        <v>0</v>
      </c>
      <c r="CA10" s="15" t="n">
        <f aca="false">SUM(BV10:BZ10)</f>
        <v>0</v>
      </c>
      <c r="CB10" s="15" t="n">
        <f aca="false">BV10*(1-Piano_SS!$E$6)+BW10*(1-Piano_SS!$E$7)+BX10*(1-Piano_SS!$E$8)+BY10*(1-Piano_SS!$E$9)+BZ10*(1-Piano_SS!$E$10)</f>
        <v>0</v>
      </c>
      <c r="CC10" s="15" t="n">
        <f aca="false">(CC9)+BA10</f>
        <v>0</v>
      </c>
      <c r="CD10" s="15" t="n">
        <f aca="false">IF(CA10=0,0,CC10*CB10/CA10*Ipotesi!$C$103*Parametri_v3!$C$64)</f>
        <v>0</v>
      </c>
      <c r="CE10" s="18" t="n">
        <f aca="false">IF(BA10&gt;0,Motore_Operativo!C10,(CE9))</f>
        <v>0</v>
      </c>
      <c r="CF10" s="18" t="n">
        <f aca="false">IF(AND(CC10&gt;0,OR(CC10&gt;=CG10-0.01,Motore_Operativo!C10&gt;=EDATE(MAX(Finanziamenti!$D$15:$D$17),Ipotesi!C14*12))),CE10,0)</f>
        <v>0</v>
      </c>
      <c r="CG10" s="15" t="n">
        <f aca="false">IF(AND(1&lt;&gt;6,1&lt;&gt;9,Finanziamenti!$F$11=1,OR(Parametri_v3!$C$6=0,Finanziamenti!$E$11=1)),MIN(Finanziamenti!$C$11,Piano_SS!$C$12*Ipotesi!$C$102),0)</f>
        <v>400000</v>
      </c>
      <c r="CH10" s="15" t="n">
        <f aca="false">IF(AND(AND(1&lt;&gt;8,1&lt;&gt;9,Finanziamenti!$F$10=1,OR(Parametri_v3!$C$6=0,Finanziamenti!$E$10=1)),Motore_Operativo!C10&gt;=Finanziamenti!$D$10,Motore_Operativo!C10&lt;Parametri_v3!$C$63),Finanziamenti!$C$10,0)</f>
        <v>150000</v>
      </c>
    </row>
    <row r="11" customFormat="false" ht="18" hidden="false" customHeight="true" outlineLevel="0" collapsed="false">
      <c r="A11" s="68" t="n">
        <f aca="false">1</f>
        <v>1</v>
      </c>
      <c r="B11" s="68" t="n">
        <f aca="false">7</f>
        <v>7</v>
      </c>
      <c r="C11" s="18" t="n">
        <f aca="false">Motore_Operativo!C11</f>
        <v>46569</v>
      </c>
      <c r="D11" s="68" t="n">
        <f aca="false">Motore_Operativo!D11</f>
        <v>2027</v>
      </c>
      <c r="E11" s="68" t="n">
        <f aca="false">Motore_Operativo!E11</f>
        <v>7</v>
      </c>
      <c r="F11" s="15" t="n">
        <f aca="false">Motore_Operativo!AQ11+Motore_Operativo!BF11</f>
        <v>5819.44444444444</v>
      </c>
      <c r="G11" s="15" t="n">
        <f aca="false">Motore_Operativo!BH11</f>
        <v>1250</v>
      </c>
      <c r="H11" s="15" t="n">
        <f aca="false">Motore_Operativo!BI11</f>
        <v>7069.44444444444</v>
      </c>
      <c r="I11" s="15" t="n">
        <f aca="false">Motore_Operativo!CA11</f>
        <v>27641.8055555556</v>
      </c>
      <c r="J11" s="15" t="n">
        <f aca="false">Motore_Operativo!CC11</f>
        <v>-20572.3611111111</v>
      </c>
      <c r="K11" s="15" t="n">
        <f aca="false">Motore_Operativo!CE11</f>
        <v>1666.66666666667</v>
      </c>
      <c r="L11" s="15" t="n">
        <f aca="false">SUM(INDEX($K$5:$K$64,MAX(1,7-Parametri_v3!$C$59+1)):K11)/Parametri_v3!$C$59</f>
        <v>324.074074074074</v>
      </c>
      <c r="M11" s="15" t="n">
        <f aca="false">J11-L11</f>
        <v>-20896.4351851852</v>
      </c>
      <c r="N11" s="15" t="n">
        <f aca="false">CD11-(CD10)</f>
        <v>0</v>
      </c>
      <c r="O11" s="15" t="n">
        <f aca="false">(BG10)*Ipotesi!$C$110/12+CH11*Parametri_v3!$C$39/12</f>
        <v>135.938625086806</v>
      </c>
      <c r="P11" s="15" t="n">
        <f aca="false">M11+N11-O11</f>
        <v>-21032.373810272</v>
      </c>
      <c r="Q11" s="15" t="n">
        <f aca="false">SUM(P5:P11)+Parametri_v3!$C$54*7/12</f>
        <v>-146251.996605411</v>
      </c>
      <c r="R11" s="15" t="n">
        <f aca="false">0</f>
        <v>0</v>
      </c>
      <c r="S11" s="15" t="n">
        <f aca="false">0</f>
        <v>0</v>
      </c>
      <c r="T11" s="15" t="n">
        <f aca="false">MIN(R11,MAX(0,Q11))</f>
        <v>0</v>
      </c>
      <c r="U11" s="15" t="n">
        <f aca="false">MIN(S11,MAX(0,Q11-T11)*Parametri_v3!$C$42)</f>
        <v>0</v>
      </c>
      <c r="V11" s="15" t="n">
        <f aca="false">MAX(0,Q11-T11-U11)*Ipotesi!$C$92</f>
        <v>0</v>
      </c>
      <c r="W11" s="15" t="n">
        <f aca="false">MAX(0,SUM(M5:M11)+Parametri_v3!$C$55*7/12)*Ipotesi!$C$93</f>
        <v>0</v>
      </c>
      <c r="X11" s="15" t="n">
        <f aca="false">V11+W11-(V10+W10)</f>
        <v>0</v>
      </c>
      <c r="Y11" s="15" t="n">
        <f aca="false">P11-X11</f>
        <v>-21032.373810272</v>
      </c>
      <c r="Z11" s="15" t="n">
        <f aca="false">R11-T11+IF(AND(Parametri_v3!$C$40=1,D11-YEAR(Parametri_v3!$C$50)&lt;Parametri_v3!$C$41),MAX(0,-Q11),0)</f>
        <v>146251.996605411</v>
      </c>
      <c r="AA11" s="15" t="n">
        <f aca="false">S11-U11+IF(AND(Parametri_v3!$C$40=1,D11-YEAR(Parametri_v3!$C$50)&lt;Parametri_v3!$C$41),0,MAX(0,-Q11))</f>
        <v>0</v>
      </c>
      <c r="AB11" s="15" t="n">
        <f aca="false">F11*(1+Parametri_v3!$C$26)</f>
        <v>7099.72222222222</v>
      </c>
      <c r="AC11" s="15" t="n">
        <f aca="false">(IF(7-(INT((Motore_Operativo!L11)/30))&lt;1,0,INDEX(Motore_Startup!$AB$5:$AB$64,MAX(1,7-(INT((Motore_Operativo!L11)/30)))))*(1-(MOD((Motore_Operativo!L11),30)/30))+IF(7-(INT((Motore_Operativo!L11)/30))-1&lt;1,0,INDEX(Motore_Startup!$AB$5:$AB$64,MAX(1,7-(INT((Motore_Operativo!L11)/30))-1)))*(MOD((Motore_Operativo!L11),30)/30))</f>
        <v>6896.38888888889</v>
      </c>
      <c r="AD11" s="15" t="n">
        <f aca="false">(AD10)+AB11-AC11</f>
        <v>21095.8333333333</v>
      </c>
      <c r="AE11" s="15" t="n">
        <f aca="false">Motore_Operativo!BH11*(1+Parametri_v3!$C$26)</f>
        <v>1525</v>
      </c>
      <c r="AF11" s="15" t="n">
        <f aca="false">(IF(7-(INT((Parametri_v3!$C$29)/30))&lt;1,0,INDEX(Motore_Operativo!$BH$5:$BH$64,MAX(1,7-(INT((Parametri_v3!$C$29)/30)))))*(1-(MOD((Parametri_v3!$C$29),30)/30))+IF(7-(INT((Parametri_v3!$C$29)/30))-1&lt;1,0,INDEX(Motore_Operativo!$BH$5:$BH$64,MAX(1,7-(INT((Parametri_v3!$C$29)/30))-1)))*(MOD((Parametri_v3!$C$29),30)/30))*(1+Parametri_v3!$C$26)</f>
        <v>1525</v>
      </c>
      <c r="AG11" s="15" t="n">
        <f aca="false">(AG10)+AE11-AF11</f>
        <v>1525</v>
      </c>
      <c r="AH11" s="15" t="n">
        <f aca="false">(Motore_Operativo!CJ11)*(1+Parametri_v3!$C$27*Parametri_v3!$C$26)</f>
        <v>11543.7398611111</v>
      </c>
      <c r="AI11" s="15" t="n">
        <f aca="false">(IF(7-(INT((Ipotesi!$C$91)/30))&lt;1,0,INDEX(Motore_Startup!$AH$5:$AH$64,MAX(1,7-(INT((Ipotesi!$C$91)/30)))))*(1-(MOD((Ipotesi!$C$91),30)/30))+IF(7-(INT((Ipotesi!$C$91)/30))-1&lt;1,0,INDEX(Motore_Startup!$AH$5:$AH$64,MAX(1,7-(INT((Ipotesi!$C$91)/30))-1)))*(MOD((Ipotesi!$C$91),30)/30))</f>
        <v>11525.2754166667</v>
      </c>
      <c r="AJ11" s="15" t="n">
        <f aca="false">(AJ10)+AH11-AI11</f>
        <v>23078.2475</v>
      </c>
      <c r="AK11" s="15" t="n">
        <f aca="false">(F11+ Motore_Operativo!BH11-(Motore_Operativo!CJ11)*Parametri_v3!$C$27-Motore_Operativo!CE11)*Parametri_v3!$C$26</f>
        <v>-629.98986111111</v>
      </c>
      <c r="AL11" s="15" t="n">
        <f aca="false">MAX(0,(AM10))</f>
        <v>0</v>
      </c>
      <c r="AM11" s="15" t="n">
        <f aca="false">(AM10)+AK11-AL11</f>
        <v>-4587.59736111111</v>
      </c>
      <c r="AN11" s="15" t="n">
        <f aca="false">0</f>
        <v>0</v>
      </c>
      <c r="AO11" s="15" t="n">
        <f aca="false">0</f>
        <v>0</v>
      </c>
      <c r="AP11" s="15" t="n">
        <f aca="false">MAX(0,AN11)*IF(7=Parametri_v3!$C$43,Parametri_v3!$C$45,IF(7=Parametri_v3!$C$44,1-Parametri_v3!$C$45,0))</f>
        <v>0</v>
      </c>
      <c r="AQ11" s="15" t="n">
        <f aca="false">MAX(0,AP11+IF(7=Parametri_v3!$C$43,MAX(0,AN11-AO11),0)-MAX(0,-(AR10)))</f>
        <v>0</v>
      </c>
      <c r="AR11" s="15" t="n">
        <f aca="false">(AR10)+X11-AQ11</f>
        <v>0</v>
      </c>
      <c r="AS11" s="15" t="n">
        <f aca="false">Motore_Operativo!AB11-AT11+AU11</f>
        <v>17020.8333333333</v>
      </c>
      <c r="AT11" s="15" t="n">
        <f aca="false">Motore_Operativo!CH11</f>
        <v>895.833333333334</v>
      </c>
      <c r="AU11" s="15" t="n">
        <f aca="false">MIN(MAX(0,(AV10)+AT11),Parametri_v3!$C$60/12)</f>
        <v>0</v>
      </c>
      <c r="AV11" s="15" t="n">
        <f aca="false">(AV10)+AT11-AU11</f>
        <v>6270.83333333334</v>
      </c>
      <c r="AW11" s="15" t="n">
        <f aca="false">IF(AND(Motore_Operativo!C11=Finanziamenti!$D$6,Finanziamenti!$F$6=1),Finanziamenti!$C$6,0)</f>
        <v>0</v>
      </c>
      <c r="AX11" s="15" t="n">
        <f aca="false">IF(AND(1&lt;&gt;7,1&lt;&gt;9,Finanziamenti!$F$8=1,OR(Parametri_v3!$C$6=0,Finanziamenti!$E$8=1),Motore_Operativo!C11=EDATE(Finanziamenti!$D$8,Ipotesi!C15*12)),Finanziamenti!$C$8*1,0)+IF(AND(1&lt;&gt;7,1&lt;&gt;9,Finanziamenti!$F$9=1,OR(Parametri_v3!$C$6=0,Finanziamenti!$E$9=1),Motore_Operativo!C11=EDATE(Finanziamenti!$D$9,Ipotesi!C15*12)),Finanziamenti!$C$9*Ipotesi!C16,0)</f>
        <v>0</v>
      </c>
      <c r="AY11" s="15" t="n">
        <f aca="false">0</f>
        <v>0</v>
      </c>
      <c r="AZ11" s="15" t="n">
        <f aca="false">Motore_Advisory!AY11*(1-Ipotesi!$C$95)*Ipotesi!$C$96</f>
        <v>0</v>
      </c>
      <c r="BA11" s="15" t="n">
        <f aca="false">MAX(0,MIN(CG11*MIN(1,IF(Motore_Operativo!C11&gt;=EDATE(Finanziamenti!$D$15,Ipotesi!C14*12),Finanziamenti!$C$15,0)+IF(Motore_Operativo!C11&gt;=EDATE(Finanziamenti!$D$16,Ipotesi!C14*12),Finanziamenti!$C$16,0)+IF(Motore_Operativo!C11&gt;=EDATE(Finanziamenti!$D$17,Ipotesi!C14*12),Finanziamenti!$C$17,0)),CA11*Ipotesi!$C$102)-(CC10))</f>
        <v>0</v>
      </c>
      <c r="BB11" s="15" t="n">
        <f aca="false">IF(AND(CF11&gt;0,Motore_Operativo!C11&gt;=IF(CF11=0,0,EDATE(CF11,Parametri_v3!$C$37)),MOD(((D11-YEAR(IF(CF11=0,0,EDATE(CF11,Parametri_v3!$C$37))))*12+E11-MONTH(IF(CF11=0,0,EDATE(CF11,Parametri_v3!$C$37)))),Parametri_v3!$C$38)=0),MIN(MAX(0,(BC10)+BA11-N11),(CC11-CD11)/(Ipotesi!$C$108*12/Parametri_v3!$C$38)),0)</f>
        <v>0</v>
      </c>
      <c r="BC11" s="15" t="n">
        <f aca="false">(BC10)+BA11-N11-BB11</f>
        <v>0</v>
      </c>
      <c r="BD11" s="15" t="n">
        <f aca="false">(BH10)+AC11+AF11-AI11-AS11-K11*(1+Parametri_v3!$C$26)-AL11-AQ11-O11+AW11+AX11+AZ11+BA11-BB11</f>
        <v>2706.00818046875</v>
      </c>
      <c r="BE11" s="15" t="n">
        <f aca="false">MAX(0,MIN(MAX(0,CH11-(BG10)),Parametri_v3!$C$30-BD11))</f>
        <v>22293.9918195313</v>
      </c>
      <c r="BF11" s="15" t="n">
        <f aca="false">IF(Motore_Operativo!C11&gt;=Parametri_v3!$C$63,(BG10),MIN((BG10),MAX(0,BD11-Parametri_v3!$C$30)))</f>
        <v>0</v>
      </c>
      <c r="BG11" s="15" t="n">
        <f aca="false">(BG10)+BE11-BF11</f>
        <v>49481.7168368924</v>
      </c>
      <c r="BH11" s="15" t="n">
        <f aca="false">BD11+BE11-BF11-AY11</f>
        <v>25000</v>
      </c>
      <c r="BI11" s="15" t="n">
        <f aca="false">MAX(0,Parametri_v3!$C$30-BH11)</f>
        <v>0</v>
      </c>
      <c r="BJ11" s="15" t="n">
        <f aca="false">(BJ10)+K11</f>
        <v>11666.6666666667</v>
      </c>
      <c r="BK11" s="15" t="n">
        <f aca="false">(BK10)+L11</f>
        <v>1296.2962962963</v>
      </c>
      <c r="BL11" s="15" t="n">
        <f aca="false">BJ11-BK11</f>
        <v>10370.3703703704</v>
      </c>
      <c r="BM11" s="15" t="n">
        <f aca="false">(BM10)+Y11</f>
        <v>-146251.996605411</v>
      </c>
      <c r="BN11" s="15" t="n">
        <f aca="false">(BN10)+AW11+AX11+AZ11</f>
        <v>130000</v>
      </c>
      <c r="BO11" s="15" t="n">
        <f aca="false">(BO10)+AY11</f>
        <v>0</v>
      </c>
      <c r="BP11" s="15" t="n">
        <f aca="false">0</f>
        <v>0</v>
      </c>
      <c r="BQ11" s="15" t="n">
        <f aca="false">BN11+BM11-BO11</f>
        <v>-16251.9966054109</v>
      </c>
      <c r="BR11" s="15" t="n">
        <f aca="false">BH11+AD11+BL11+MAX(0,-AM11)+MAX(0,-AR11)+AG11</f>
        <v>62578.8010648148</v>
      </c>
      <c r="BS11" s="15" t="n">
        <f aca="false">AJ11+AV11+MAX(0,AM11)+MAX(0,AR11)+BC11+BG11+BQ11</f>
        <v>62578.8010648149</v>
      </c>
      <c r="BT11" s="15" t="n">
        <f aca="false">BR11-BS11</f>
        <v>0</v>
      </c>
      <c r="BU11" s="15" t="n">
        <f aca="false">BH11-(BD11+BE11-BF11-AY11)</f>
        <v>0</v>
      </c>
      <c r="BV11" s="15" t="n">
        <f aca="false">MIN(Piano_SS!$C$6,(BV10)+IF(AND(Motore_Operativo!C11&gt;=EDATE(Parametri_v3!$C$24,Ipotesi!C14*12),Motore_Operativo!C11&lt;EDATE(Parametri_v3!$C$24,Parametri_v3!$C$25+Ipotesi!C14*12)),MAX(0,(Motore_Operativo!Y11+Motore_Operativo!X11*Parametri_v3!$C$14)*(1-Parametri_v3!$C$32))*Piano_SS!$D$6,0))</f>
        <v>4750</v>
      </c>
      <c r="BW11" s="15" t="n">
        <f aca="false">MIN(Piano_SS!$C$7,(BW10)+IF(AND(Motore_Operativo!C11&gt;=EDATE(Parametri_v3!$C$24,Ipotesi!C14*12),Motore_Operativo!C11&lt;EDATE(Parametri_v3!$C$24,Parametri_v3!$C$25+Ipotesi!C14*12)),MAX(0,(IF(7-(INT((Ipotesi!$C$91)/30))&lt;1,0,INDEX(Motore_Operativo!$BN$5:$BN$64,MAX(1,7-(INT((Ipotesi!$C$91)/30)))))*(1-(MOD((Ipotesi!$C$91),30)/30))+IF(7-(INT((Ipotesi!$C$91)/30))-1&lt;1,0,INDEX(Motore_Operativo!$BN$5:$BN$64,MAX(1,7-(INT((Ipotesi!$C$91)/30))-1)))*(MOD((Ipotesi!$C$91),30)/30)))*Piano_SS!$D$7,0))</f>
        <v>1256.66666666667</v>
      </c>
      <c r="BX11" s="15" t="n">
        <f aca="false">MIN(Piano_SS!$C$8,(BX10)+IF(AND(Motore_Operativo!C11&gt;=EDATE(Parametri_v3!$C$24,Ipotesi!C14*12),Motore_Operativo!C11&lt;EDATE(Parametri_v3!$C$24,Parametri_v3!$C$25+Ipotesi!C14*12)),MAX(0,Motore_Operativo!CE11)*Piano_SS!$D$8,0))</f>
        <v>1666.66666666667</v>
      </c>
      <c r="BY11" s="15" t="n">
        <f aca="false">MIN(Piano_SS!$C$9,(BY10)+IF(AND(Motore_Operativo!C11&gt;=EDATE(Parametri_v3!$C$24,Ipotesi!C14*12),Motore_Operativo!C11&lt;EDATE(Parametri_v3!$C$24,Parametri_v3!$C$25+Ipotesi!C14*12)),MAX(0,((IF(7-(INT((Ipotesi!$C$91)/30))&lt;1,0,INDEX(Motore_Operativo!$BQ$5:$BQ$64,MAX(1,7-(INT((Ipotesi!$C$91)/30)))))*(1-(MOD((Ipotesi!$C$91),30)/30))+IF(7-(INT((Ipotesi!$C$91)/30))-1&lt;1,0,INDEX(Motore_Operativo!$BQ$5:$BQ$64,MAX(1,7-(INT((Ipotesi!$C$91)/30))-1)))*(MOD((Ipotesi!$C$91),30)/30))+(IF(7-(INT((Ipotesi!$C$91)/30))&lt;1,0,INDEX(Motore_Operativo!$BR$5:$BR$64,MAX(1,7-(INT((Ipotesi!$C$91)/30)))))*(1-(MOD((Ipotesi!$C$91),30)/30))+IF(7-(INT((Ipotesi!$C$91)/30))-1&lt;1,0,INDEX(Motore_Operativo!$BR$5:$BR$64,MAX(1,7-(INT((Ipotesi!$C$91)/30))-1)))*(MOD((Ipotesi!$C$91),30)/30))))*Piano_SS!$D$9,0))</f>
        <v>2250</v>
      </c>
      <c r="BZ11" s="15" t="n">
        <f aca="false">MIN(Piano_SS!$C$10,(BZ10)+IF(AND(Motore_Operativo!C11&gt;=EDATE(Parametri_v3!$C$24,Ipotesi!C14*12),Motore_Operativo!C11&lt;EDATE(Parametri_v3!$C$24,Parametri_v3!$C$25+Ipotesi!C14*12)),MAX(0,(IF(7-(INT((Ipotesi!$C$91)/30))&lt;1,0,INDEX(Motore_Operativo!$BO$5:$BO$64,MAX(1,7-(INT((Ipotesi!$C$91)/30)))))*(1-(MOD((Ipotesi!$C$91),30)/30))+IF(7-(INT((Ipotesi!$C$91)/30))-1&lt;1,0,INDEX(Motore_Operativo!$BO$5:$BO$64,MAX(1,7-(INT((Ipotesi!$C$91)/30))-1)))*(MOD((Ipotesi!$C$91),30)/30)))*Piano_SS!$D$10,0))</f>
        <v>1000</v>
      </c>
      <c r="CA11" s="15" t="n">
        <f aca="false">SUM(BV11:BZ11)</f>
        <v>10923.3333333333</v>
      </c>
      <c r="CB11" s="15" t="n">
        <f aca="false">BV11*(1-Piano_SS!$E$6)+BW11*(1-Piano_SS!$E$7)+BX11*(1-Piano_SS!$E$8)+BY11*(1-Piano_SS!$E$9)+BZ11*(1-Piano_SS!$E$10)</f>
        <v>9923.33333333333</v>
      </c>
      <c r="CC11" s="15" t="n">
        <f aca="false">(CC10)+BA11</f>
        <v>0</v>
      </c>
      <c r="CD11" s="15" t="n">
        <f aca="false">IF(CA11=0,0,CC11*CB11/CA11*Ipotesi!$C$103*Parametri_v3!$C$64)</f>
        <v>0</v>
      </c>
      <c r="CE11" s="18" t="n">
        <f aca="false">IF(BA11&gt;0,Motore_Operativo!C11,(CE10))</f>
        <v>0</v>
      </c>
      <c r="CF11" s="18" t="n">
        <f aca="false">IF(AND(CC11&gt;0,OR(CC11&gt;=CG11-0.01,Motore_Operativo!C11&gt;=EDATE(MAX(Finanziamenti!$D$15:$D$17),Ipotesi!C14*12))),CE11,0)</f>
        <v>0</v>
      </c>
      <c r="CG11" s="15" t="n">
        <f aca="false">IF(AND(1&lt;&gt;6,1&lt;&gt;9,Finanziamenti!$F$11=1,OR(Parametri_v3!$C$6=0,Finanziamenti!$E$11=1)),MIN(Finanziamenti!$C$11,Piano_SS!$C$12*Ipotesi!$C$102),0)</f>
        <v>400000</v>
      </c>
      <c r="CH11" s="15" t="n">
        <f aca="false">IF(AND(AND(1&lt;&gt;8,1&lt;&gt;9,Finanziamenti!$F$10=1,OR(Parametri_v3!$C$6=0,Finanziamenti!$E$10=1)),Motore_Operativo!C11&gt;=Finanziamenti!$D$10,Motore_Operativo!C11&lt;Parametri_v3!$C$63),Finanziamenti!$C$10,0)</f>
        <v>150000</v>
      </c>
    </row>
    <row r="12" customFormat="false" ht="18" hidden="false" customHeight="true" outlineLevel="0" collapsed="false">
      <c r="A12" s="68" t="n">
        <f aca="false">1</f>
        <v>1</v>
      </c>
      <c r="B12" s="68" t="n">
        <f aca="false">8</f>
        <v>8</v>
      </c>
      <c r="C12" s="18" t="n">
        <f aca="false">Motore_Operativo!C12</f>
        <v>46600</v>
      </c>
      <c r="D12" s="68" t="n">
        <f aca="false">Motore_Operativo!D12</f>
        <v>2027</v>
      </c>
      <c r="E12" s="68" t="n">
        <f aca="false">Motore_Operativo!E12</f>
        <v>8</v>
      </c>
      <c r="F12" s="15" t="n">
        <f aca="false">Motore_Operativo!AQ12+Motore_Operativo!BF12</f>
        <v>5875</v>
      </c>
      <c r="G12" s="15" t="n">
        <f aca="false">Motore_Operativo!BH12</f>
        <v>1250</v>
      </c>
      <c r="H12" s="15" t="n">
        <f aca="false">Motore_Operativo!BI12</f>
        <v>7125</v>
      </c>
      <c r="I12" s="15" t="n">
        <f aca="false">Motore_Operativo!CA12</f>
        <v>27649.5833333333</v>
      </c>
      <c r="J12" s="15" t="n">
        <f aca="false">Motore_Operativo!CC12</f>
        <v>-20524.5833333333</v>
      </c>
      <c r="K12" s="15" t="n">
        <f aca="false">Motore_Operativo!CE12</f>
        <v>1666.66666666667</v>
      </c>
      <c r="L12" s="15" t="n">
        <f aca="false">SUM(INDEX($K$5:$K$64,MAX(1,8-Parametri_v3!$C$59+1)):K12)/Parametri_v3!$C$59</f>
        <v>370.37037037037</v>
      </c>
      <c r="M12" s="15" t="n">
        <f aca="false">J12-L12</f>
        <v>-20894.9537037037</v>
      </c>
      <c r="N12" s="15" t="n">
        <f aca="false">CD12-(CD11)</f>
        <v>0</v>
      </c>
      <c r="O12" s="15" t="n">
        <f aca="false">(BG11)*Ipotesi!$C$110/12+CH12*Parametri_v3!$C$39/12</f>
        <v>247.408584184462</v>
      </c>
      <c r="P12" s="15" t="n">
        <f aca="false">M12+N12-O12</f>
        <v>-21142.3622878882</v>
      </c>
      <c r="Q12" s="15" t="n">
        <f aca="false">SUM(P5:P12)+Parametri_v3!$C$54*8/12</f>
        <v>-167394.358893299</v>
      </c>
      <c r="R12" s="15" t="n">
        <f aca="false">0</f>
        <v>0</v>
      </c>
      <c r="S12" s="15" t="n">
        <f aca="false">0</f>
        <v>0</v>
      </c>
      <c r="T12" s="15" t="n">
        <f aca="false">MIN(R12,MAX(0,Q12))</f>
        <v>0</v>
      </c>
      <c r="U12" s="15" t="n">
        <f aca="false">MIN(S12,MAX(0,Q12-T12)*Parametri_v3!$C$42)</f>
        <v>0</v>
      </c>
      <c r="V12" s="15" t="n">
        <f aca="false">MAX(0,Q12-T12-U12)*Ipotesi!$C$92</f>
        <v>0</v>
      </c>
      <c r="W12" s="15" t="n">
        <f aca="false">MAX(0,SUM(M5:M12)+Parametri_v3!$C$55*8/12)*Ipotesi!$C$93</f>
        <v>0</v>
      </c>
      <c r="X12" s="15" t="n">
        <f aca="false">V12+W12-(V11+W11)</f>
        <v>0</v>
      </c>
      <c r="Y12" s="15" t="n">
        <f aca="false">P12-X12</f>
        <v>-21142.3622878882</v>
      </c>
      <c r="Z12" s="15" t="n">
        <f aca="false">R12-T12+IF(AND(Parametri_v3!$C$40=1,D12-YEAR(Parametri_v3!$C$50)&lt;Parametri_v3!$C$41),MAX(0,-Q12),0)</f>
        <v>167394.358893299</v>
      </c>
      <c r="AA12" s="15" t="n">
        <f aca="false">S12-U12+IF(AND(Parametri_v3!$C$40=1,D12-YEAR(Parametri_v3!$C$50)&lt;Parametri_v3!$C$41),0,MAX(0,-Q12))</f>
        <v>0</v>
      </c>
      <c r="AB12" s="15" t="n">
        <f aca="false">F12*(1+Parametri_v3!$C$26)</f>
        <v>7167.5</v>
      </c>
      <c r="AC12" s="15" t="n">
        <f aca="false">(IF(8-(INT((Motore_Operativo!L12)/30))&lt;1,0,INDEX(Motore_Startup!$AB$5:$AB$64,MAX(1,8-(INT((Motore_Operativo!L12)/30)))))*(1-(MOD((Motore_Operativo!L12),30)/30))+IF(8-(INT((Motore_Operativo!L12)/30))-1&lt;1,0,INDEX(Motore_Startup!$AB$5:$AB$64,MAX(1,8-(INT((Motore_Operativo!L12)/30))-1)))*(MOD((Motore_Operativo!L12),30)/30))</f>
        <v>6964.16666666667</v>
      </c>
      <c r="AD12" s="15" t="n">
        <f aca="false">(AD11)+AB12-AC12</f>
        <v>21299.1666666667</v>
      </c>
      <c r="AE12" s="15" t="n">
        <f aca="false">Motore_Operativo!BH12*(1+Parametri_v3!$C$26)</f>
        <v>1525</v>
      </c>
      <c r="AF12" s="15" t="n">
        <f aca="false">(IF(8-(INT((Parametri_v3!$C$29)/30))&lt;1,0,INDEX(Motore_Operativo!$BH$5:$BH$64,MAX(1,8-(INT((Parametri_v3!$C$29)/30)))))*(1-(MOD((Parametri_v3!$C$29),30)/30))+IF(8-(INT((Parametri_v3!$C$29)/30))-1&lt;1,0,INDEX(Motore_Operativo!$BH$5:$BH$64,MAX(1,8-(INT((Parametri_v3!$C$29)/30))-1)))*(MOD((Parametri_v3!$C$29),30)/30))*(1+Parametri_v3!$C$26)</f>
        <v>1525</v>
      </c>
      <c r="AG12" s="15" t="n">
        <f aca="false">(AG11)+AE12-AF12</f>
        <v>1525</v>
      </c>
      <c r="AH12" s="15" t="n">
        <f aca="false">(Motore_Operativo!CJ12)*(1+Parametri_v3!$C$27*Parametri_v3!$C$26)</f>
        <v>11552.9720833333</v>
      </c>
      <c r="AI12" s="15" t="n">
        <f aca="false">(IF(8-(INT((Ipotesi!$C$91)/30))&lt;1,0,INDEX(Motore_Startup!$AH$5:$AH$64,MAX(1,8-(INT((Ipotesi!$C$91)/30)))))*(1-(MOD((Ipotesi!$C$91),30)/30))+IF(8-(INT((Ipotesi!$C$91)/30))-1&lt;1,0,INDEX(Motore_Startup!$AH$5:$AH$64,MAX(1,8-(INT((Ipotesi!$C$91)/30))-1)))*(MOD((Ipotesi!$C$91),30)/30))</f>
        <v>11534.5076388889</v>
      </c>
      <c r="AJ12" s="15" t="n">
        <f aca="false">(AJ11)+AH12-AI12</f>
        <v>23096.7119444445</v>
      </c>
      <c r="AK12" s="15" t="n">
        <f aca="false">(F12+ Motore_Operativo!BH12-(Motore_Operativo!CJ12)*Parametri_v3!$C$27-Motore_Operativo!CE12)*Parametri_v3!$C$26</f>
        <v>-619.222083333333</v>
      </c>
      <c r="AL12" s="15" t="n">
        <f aca="false">MAX(0,(AM11))</f>
        <v>0</v>
      </c>
      <c r="AM12" s="15" t="n">
        <f aca="false">(AM11)+AK12-AL12</f>
        <v>-5206.81944444444</v>
      </c>
      <c r="AN12" s="15" t="n">
        <f aca="false">0</f>
        <v>0</v>
      </c>
      <c r="AO12" s="15" t="n">
        <f aca="false">0</f>
        <v>0</v>
      </c>
      <c r="AP12" s="15" t="n">
        <f aca="false">MAX(0,AN12)*IF(8=Parametri_v3!$C$43,Parametri_v3!$C$45,IF(8=Parametri_v3!$C$44,1-Parametri_v3!$C$45,0))</f>
        <v>0</v>
      </c>
      <c r="AQ12" s="15" t="n">
        <f aca="false">MAX(0,AP12+IF(8=Parametri_v3!$C$43,MAX(0,AN12-AO12),0)-MAX(0,-(AR11)))</f>
        <v>0</v>
      </c>
      <c r="AR12" s="15" t="n">
        <f aca="false">(AR11)+X12-AQ12</f>
        <v>0</v>
      </c>
      <c r="AS12" s="15" t="n">
        <f aca="false">Motore_Operativo!AB12-AT12+AU12</f>
        <v>17020.8333333333</v>
      </c>
      <c r="AT12" s="15" t="n">
        <f aca="false">Motore_Operativo!CH12</f>
        <v>895.833333333334</v>
      </c>
      <c r="AU12" s="15" t="n">
        <f aca="false">MIN(MAX(0,(AV11)+AT12),Parametri_v3!$C$60/12)</f>
        <v>0</v>
      </c>
      <c r="AV12" s="15" t="n">
        <f aca="false">(AV11)+AT12-AU12</f>
        <v>7166.66666666667</v>
      </c>
      <c r="AW12" s="15" t="n">
        <f aca="false">IF(AND(Motore_Operativo!C12=Finanziamenti!$D$6,Finanziamenti!$F$6=1),Finanziamenti!$C$6,0)</f>
        <v>0</v>
      </c>
      <c r="AX12" s="15" t="n">
        <f aca="false">IF(AND(1&lt;&gt;7,1&lt;&gt;9,Finanziamenti!$F$8=1,OR(Parametri_v3!$C$6=0,Finanziamenti!$E$8=1),Motore_Operativo!C12=EDATE(Finanziamenti!$D$8,Ipotesi!C15*12)),Finanziamenti!$C$8*1,0)+IF(AND(1&lt;&gt;7,1&lt;&gt;9,Finanziamenti!$F$9=1,OR(Parametri_v3!$C$6=0,Finanziamenti!$E$9=1),Motore_Operativo!C12=EDATE(Finanziamenti!$D$9,Ipotesi!C15*12)),Finanziamenti!$C$9*Ipotesi!C16,0)</f>
        <v>0</v>
      </c>
      <c r="AY12" s="15" t="n">
        <f aca="false">0</f>
        <v>0</v>
      </c>
      <c r="AZ12" s="15" t="n">
        <f aca="false">Motore_Advisory!AY12*(1-Ipotesi!$C$95)*Ipotesi!$C$96</f>
        <v>0</v>
      </c>
      <c r="BA12" s="15" t="n">
        <f aca="false">MAX(0,MIN(CG12*MIN(1,IF(Motore_Operativo!C12&gt;=EDATE(Finanziamenti!$D$15,Ipotesi!C14*12),Finanziamenti!$C$15,0)+IF(Motore_Operativo!C12&gt;=EDATE(Finanziamenti!$D$16,Ipotesi!C14*12),Finanziamenti!$C$16,0)+IF(Motore_Operativo!C12&gt;=EDATE(Finanziamenti!$D$17,Ipotesi!C14*12),Finanziamenti!$C$17,0)),CA12*Ipotesi!$C$102)-(CC11))</f>
        <v>0</v>
      </c>
      <c r="BB12" s="15" t="n">
        <f aca="false">IF(AND(CF12&gt;0,Motore_Operativo!C12&gt;=IF(CF12=0,0,EDATE(CF12,Parametri_v3!$C$37)),MOD(((D12-YEAR(IF(CF12=0,0,EDATE(CF12,Parametri_v3!$C$37))))*12+E12-MONTH(IF(CF12=0,0,EDATE(CF12,Parametri_v3!$C$37)))),Parametri_v3!$C$38)=0),MIN(MAX(0,(BC11)+BA12-N12),(CC12-CD12)/(Ipotesi!$C$108*12/Parametri_v3!$C$38)),0)</f>
        <v>0</v>
      </c>
      <c r="BC12" s="15" t="n">
        <f aca="false">(BC11)+BA12-N12-BB12</f>
        <v>0</v>
      </c>
      <c r="BD12" s="15" t="n">
        <f aca="false">(BH11)+AC12+AF12-AI12-AS12-K12*(1+Parametri_v3!$C$26)-AL12-AQ12-O12+AW12+AX12+AZ12+BA12-BB12</f>
        <v>2653.08377692665</v>
      </c>
      <c r="BE12" s="15" t="n">
        <f aca="false">MAX(0,MIN(MAX(0,CH12-(BG11)),Parametri_v3!$C$30-BD12))</f>
        <v>22346.9162230734</v>
      </c>
      <c r="BF12" s="15" t="n">
        <f aca="false">IF(Motore_Operativo!C12&gt;=Parametri_v3!$C$63,(BG11),MIN((BG11),MAX(0,BD12-Parametri_v3!$C$30)))</f>
        <v>0</v>
      </c>
      <c r="BG12" s="15" t="n">
        <f aca="false">(BG11)+BE12-BF12</f>
        <v>71828.6330599657</v>
      </c>
      <c r="BH12" s="15" t="n">
        <f aca="false">BD12+BE12-BF12-AY12</f>
        <v>25000</v>
      </c>
      <c r="BI12" s="15" t="n">
        <f aca="false">MAX(0,Parametri_v3!$C$30-BH12)</f>
        <v>0</v>
      </c>
      <c r="BJ12" s="15" t="n">
        <f aca="false">(BJ11)+K12</f>
        <v>13333.3333333333</v>
      </c>
      <c r="BK12" s="15" t="n">
        <f aca="false">(BK11)+L12</f>
        <v>1666.66666666667</v>
      </c>
      <c r="BL12" s="15" t="n">
        <f aca="false">BJ12-BK12</f>
        <v>11666.6666666667</v>
      </c>
      <c r="BM12" s="15" t="n">
        <f aca="false">(BM11)+Y12</f>
        <v>-167394.358893299</v>
      </c>
      <c r="BN12" s="15" t="n">
        <f aca="false">(BN11)+AW12+AX12+AZ12</f>
        <v>130000</v>
      </c>
      <c r="BO12" s="15" t="n">
        <f aca="false">(BO11)+AY12</f>
        <v>0</v>
      </c>
      <c r="BP12" s="15" t="n">
        <f aca="false">0</f>
        <v>0</v>
      </c>
      <c r="BQ12" s="15" t="n">
        <f aca="false">BN12+BM12-BO12</f>
        <v>-37394.358893299</v>
      </c>
      <c r="BR12" s="15" t="n">
        <f aca="false">BH12+AD12+BL12+MAX(0,-AM12)+MAX(0,-AR12)+AG12</f>
        <v>64697.6527777778</v>
      </c>
      <c r="BS12" s="15" t="n">
        <f aca="false">AJ12+AV12+MAX(0,AM12)+MAX(0,AR12)+BC12+BG12+BQ12</f>
        <v>64697.6527777778</v>
      </c>
      <c r="BT12" s="15" t="n">
        <f aca="false">BR12-BS12</f>
        <v>0</v>
      </c>
      <c r="BU12" s="15" t="n">
        <f aca="false">BH12-(BD12+BE12-BF12-AY12)</f>
        <v>0</v>
      </c>
      <c r="BV12" s="15" t="n">
        <f aca="false">MIN(Piano_SS!$C$6,(BV11)+IF(AND(Motore_Operativo!C12&gt;=EDATE(Parametri_v3!$C$24,Ipotesi!C14*12),Motore_Operativo!C12&lt;EDATE(Parametri_v3!$C$24,Parametri_v3!$C$25+Ipotesi!C14*12)),MAX(0,(Motore_Operativo!Y12+Motore_Operativo!X12*Parametri_v3!$C$14)*(1-Parametri_v3!$C$32))*Piano_SS!$D$6,0))</f>
        <v>9500</v>
      </c>
      <c r="BW12" s="15" t="n">
        <f aca="false">MIN(Piano_SS!$C$7,(BW11)+IF(AND(Motore_Operativo!C12&gt;=EDATE(Parametri_v3!$C$24,Ipotesi!C14*12),Motore_Operativo!C12&lt;EDATE(Parametri_v3!$C$24,Parametri_v3!$C$25+Ipotesi!C14*12)),MAX(0,(IF(8-(INT((Ipotesi!$C$91)/30))&lt;1,0,INDEX(Motore_Operativo!$BN$5:$BN$64,MAX(1,8-(INT((Ipotesi!$C$91)/30)))))*(1-(MOD((Ipotesi!$C$91),30)/30))+IF(8-(INT((Ipotesi!$C$91)/30))-1&lt;1,0,INDEX(Motore_Operativo!$BN$5:$BN$64,MAX(1,8-(INT((Ipotesi!$C$91)/30))-1)))*(MOD((Ipotesi!$C$91),30)/30)))*Piano_SS!$D$7,0))</f>
        <v>2517.77777777778</v>
      </c>
      <c r="BX12" s="15" t="n">
        <f aca="false">MIN(Piano_SS!$C$8,(BX11)+IF(AND(Motore_Operativo!C12&gt;=EDATE(Parametri_v3!$C$24,Ipotesi!C14*12),Motore_Operativo!C12&lt;EDATE(Parametri_v3!$C$24,Parametri_v3!$C$25+Ipotesi!C14*12)),MAX(0,Motore_Operativo!CE12)*Piano_SS!$D$8,0))</f>
        <v>3333.33333333333</v>
      </c>
      <c r="BY12" s="15" t="n">
        <f aca="false">MIN(Piano_SS!$C$9,(BY11)+IF(AND(Motore_Operativo!C12&gt;=EDATE(Parametri_v3!$C$24,Ipotesi!C14*12),Motore_Operativo!C12&lt;EDATE(Parametri_v3!$C$24,Parametri_v3!$C$25+Ipotesi!C14*12)),MAX(0,((IF(8-(INT((Ipotesi!$C$91)/30))&lt;1,0,INDEX(Motore_Operativo!$BQ$5:$BQ$64,MAX(1,8-(INT((Ipotesi!$C$91)/30)))))*(1-(MOD((Ipotesi!$C$91),30)/30))+IF(8-(INT((Ipotesi!$C$91)/30))-1&lt;1,0,INDEX(Motore_Operativo!$BQ$5:$BQ$64,MAX(1,8-(INT((Ipotesi!$C$91)/30))-1)))*(MOD((Ipotesi!$C$91),30)/30))+(IF(8-(INT((Ipotesi!$C$91)/30))&lt;1,0,INDEX(Motore_Operativo!$BR$5:$BR$64,MAX(1,8-(INT((Ipotesi!$C$91)/30)))))*(1-(MOD((Ipotesi!$C$91),30)/30))+IF(8-(INT((Ipotesi!$C$91)/30))-1&lt;1,0,INDEX(Motore_Operativo!$BR$5:$BR$64,MAX(1,8-(INT((Ipotesi!$C$91)/30))-1)))*(MOD((Ipotesi!$C$91),30)/30))))*Piano_SS!$D$9,0))</f>
        <v>4500</v>
      </c>
      <c r="BZ12" s="15" t="n">
        <f aca="false">MIN(Piano_SS!$C$10,(BZ11)+IF(AND(Motore_Operativo!C12&gt;=EDATE(Parametri_v3!$C$24,Ipotesi!C14*12),Motore_Operativo!C12&lt;EDATE(Parametri_v3!$C$24,Parametri_v3!$C$25+Ipotesi!C14*12)),MAX(0,(IF(8-(INT((Ipotesi!$C$91)/30))&lt;1,0,INDEX(Motore_Operativo!$BO$5:$BO$64,MAX(1,8-(INT((Ipotesi!$C$91)/30)))))*(1-(MOD((Ipotesi!$C$91),30)/30))+IF(8-(INT((Ipotesi!$C$91)/30))-1&lt;1,0,INDEX(Motore_Operativo!$BO$5:$BO$64,MAX(1,8-(INT((Ipotesi!$C$91)/30))-1)))*(MOD((Ipotesi!$C$91),30)/30)))*Piano_SS!$D$10,0))</f>
        <v>2000</v>
      </c>
      <c r="CA12" s="15" t="n">
        <f aca="false">SUM(BV12:BZ12)</f>
        <v>21851.1111111111</v>
      </c>
      <c r="CB12" s="15" t="n">
        <f aca="false">BV12*(1-Piano_SS!$E$6)+BW12*(1-Piano_SS!$E$7)+BX12*(1-Piano_SS!$E$8)+BY12*(1-Piano_SS!$E$9)+BZ12*(1-Piano_SS!$E$10)</f>
        <v>19851.1111111111</v>
      </c>
      <c r="CC12" s="15" t="n">
        <f aca="false">(CC11)+BA12</f>
        <v>0</v>
      </c>
      <c r="CD12" s="15" t="n">
        <f aca="false">IF(CA12=0,0,CC12*CB12/CA12*Ipotesi!$C$103*Parametri_v3!$C$64)</f>
        <v>0</v>
      </c>
      <c r="CE12" s="18" t="n">
        <f aca="false">IF(BA12&gt;0,Motore_Operativo!C12,(CE11))</f>
        <v>0</v>
      </c>
      <c r="CF12" s="18" t="n">
        <f aca="false">IF(AND(CC12&gt;0,OR(CC12&gt;=CG12-0.01,Motore_Operativo!C12&gt;=EDATE(MAX(Finanziamenti!$D$15:$D$17),Ipotesi!C14*12))),CE12,0)</f>
        <v>0</v>
      </c>
      <c r="CG12" s="15" t="n">
        <f aca="false">IF(AND(1&lt;&gt;6,1&lt;&gt;9,Finanziamenti!$F$11=1,OR(Parametri_v3!$C$6=0,Finanziamenti!$E$11=1)),MIN(Finanziamenti!$C$11,Piano_SS!$C$12*Ipotesi!$C$102),0)</f>
        <v>400000</v>
      </c>
      <c r="CH12" s="15" t="n">
        <f aca="false">IF(AND(AND(1&lt;&gt;8,1&lt;&gt;9,Finanziamenti!$F$10=1,OR(Parametri_v3!$C$6=0,Finanziamenti!$E$10=1)),Motore_Operativo!C12&gt;=Finanziamenti!$D$10,Motore_Operativo!C12&lt;Parametri_v3!$C$63),Finanziamenti!$C$10,0)</f>
        <v>150000</v>
      </c>
    </row>
    <row r="13" customFormat="false" ht="18" hidden="false" customHeight="true" outlineLevel="0" collapsed="false">
      <c r="A13" s="68" t="n">
        <f aca="false">1</f>
        <v>1</v>
      </c>
      <c r="B13" s="68" t="n">
        <f aca="false">9</f>
        <v>9</v>
      </c>
      <c r="C13" s="18" t="n">
        <f aca="false">Motore_Operativo!C13</f>
        <v>46631</v>
      </c>
      <c r="D13" s="68" t="n">
        <f aca="false">Motore_Operativo!D13</f>
        <v>2027</v>
      </c>
      <c r="E13" s="68" t="n">
        <f aca="false">Motore_Operativo!E13</f>
        <v>9</v>
      </c>
      <c r="F13" s="15" t="n">
        <f aca="false">Motore_Operativo!AQ13+Motore_Operativo!BF13</f>
        <v>5930.55555555556</v>
      </c>
      <c r="G13" s="15" t="n">
        <f aca="false">Motore_Operativo!BH13</f>
        <v>1250</v>
      </c>
      <c r="H13" s="15" t="n">
        <f aca="false">Motore_Operativo!BI13</f>
        <v>7180.55555555556</v>
      </c>
      <c r="I13" s="15" t="n">
        <f aca="false">Motore_Operativo!CA13</f>
        <v>27657.3611111111</v>
      </c>
      <c r="J13" s="15" t="n">
        <f aca="false">Motore_Operativo!CC13</f>
        <v>-20476.8055555556</v>
      </c>
      <c r="K13" s="15" t="n">
        <f aca="false">Motore_Operativo!CE13</f>
        <v>1666.66666666667</v>
      </c>
      <c r="L13" s="15" t="n">
        <f aca="false">SUM(INDEX($K$5:$K$64,MAX(1,9-Parametri_v3!$C$59+1)):K13)/Parametri_v3!$C$59</f>
        <v>416.666666666667</v>
      </c>
      <c r="M13" s="15" t="n">
        <f aca="false">J13-L13</f>
        <v>-20893.4722222222</v>
      </c>
      <c r="N13" s="15" t="n">
        <f aca="false">CD13-(CD12)</f>
        <v>0</v>
      </c>
      <c r="O13" s="15" t="n">
        <f aca="false">(BG12)*Ipotesi!$C$110/12+CH13*Parametri_v3!$C$39/12</f>
        <v>359.143165299829</v>
      </c>
      <c r="P13" s="15" t="n">
        <f aca="false">M13+N13-O13</f>
        <v>-21252.6153875221</v>
      </c>
      <c r="Q13" s="15" t="n">
        <f aca="false">SUM(P5:P13)+Parametri_v3!$C$54*9/12</f>
        <v>-188646.974280821</v>
      </c>
      <c r="R13" s="15" t="n">
        <f aca="false">0</f>
        <v>0</v>
      </c>
      <c r="S13" s="15" t="n">
        <f aca="false">0</f>
        <v>0</v>
      </c>
      <c r="T13" s="15" t="n">
        <f aca="false">MIN(R13,MAX(0,Q13))</f>
        <v>0</v>
      </c>
      <c r="U13" s="15" t="n">
        <f aca="false">MIN(S13,MAX(0,Q13-T13)*Parametri_v3!$C$42)</f>
        <v>0</v>
      </c>
      <c r="V13" s="15" t="n">
        <f aca="false">MAX(0,Q13-T13-U13)*Ipotesi!$C$92</f>
        <v>0</v>
      </c>
      <c r="W13" s="15" t="n">
        <f aca="false">MAX(0,SUM(M5:M13)+Parametri_v3!$C$55*9/12)*Ipotesi!$C$93</f>
        <v>0</v>
      </c>
      <c r="X13" s="15" t="n">
        <f aca="false">V13+W13-(V12+W12)</f>
        <v>0</v>
      </c>
      <c r="Y13" s="15" t="n">
        <f aca="false">P13-X13</f>
        <v>-21252.6153875221</v>
      </c>
      <c r="Z13" s="15" t="n">
        <f aca="false">R13-T13+IF(AND(Parametri_v3!$C$40=1,D13-YEAR(Parametri_v3!$C$50)&lt;Parametri_v3!$C$41),MAX(0,-Q13),0)</f>
        <v>188646.974280821</v>
      </c>
      <c r="AA13" s="15" t="n">
        <f aca="false">S13-U13+IF(AND(Parametri_v3!$C$40=1,D13-YEAR(Parametri_v3!$C$50)&lt;Parametri_v3!$C$41),0,MAX(0,-Q13))</f>
        <v>0</v>
      </c>
      <c r="AB13" s="15" t="n">
        <f aca="false">F13*(1+Parametri_v3!$C$26)</f>
        <v>7235.27777777778</v>
      </c>
      <c r="AC13" s="15" t="n">
        <f aca="false">(IF(9-(INT((Motore_Operativo!L13)/30))&lt;1,0,INDEX(Motore_Startup!$AB$5:$AB$64,MAX(1,9-(INT((Motore_Operativo!L13)/30)))))*(1-(MOD((Motore_Operativo!L13),30)/30))+IF(9-(INT((Motore_Operativo!L13)/30))-1&lt;1,0,INDEX(Motore_Startup!$AB$5:$AB$64,MAX(1,9-(INT((Motore_Operativo!L13)/30))-1)))*(MOD((Motore_Operativo!L13),30)/30))</f>
        <v>7031.94444444444</v>
      </c>
      <c r="AD13" s="15" t="n">
        <f aca="false">(AD12)+AB13-AC13</f>
        <v>21502.5</v>
      </c>
      <c r="AE13" s="15" t="n">
        <f aca="false">Motore_Operativo!BH13*(1+Parametri_v3!$C$26)</f>
        <v>1525</v>
      </c>
      <c r="AF13" s="15" t="n">
        <f aca="false">(IF(9-(INT((Parametri_v3!$C$29)/30))&lt;1,0,INDEX(Motore_Operativo!$BH$5:$BH$64,MAX(1,9-(INT((Parametri_v3!$C$29)/30)))))*(1-(MOD((Parametri_v3!$C$29),30)/30))+IF(9-(INT((Parametri_v3!$C$29)/30))-1&lt;1,0,INDEX(Motore_Operativo!$BH$5:$BH$64,MAX(1,9-(INT((Parametri_v3!$C$29)/30))-1)))*(MOD((Parametri_v3!$C$29),30)/30))*(1+Parametri_v3!$C$26)</f>
        <v>1525</v>
      </c>
      <c r="AG13" s="15" t="n">
        <f aca="false">(AG12)+AE13-AF13</f>
        <v>1525</v>
      </c>
      <c r="AH13" s="15" t="n">
        <f aca="false">(Motore_Operativo!CJ13)*(1+Parametri_v3!$C$27*Parametri_v3!$C$26)</f>
        <v>11562.2043055556</v>
      </c>
      <c r="AI13" s="15" t="n">
        <f aca="false">(IF(9-(INT((Ipotesi!$C$91)/30))&lt;1,0,INDEX(Motore_Startup!$AH$5:$AH$64,MAX(1,9-(INT((Ipotesi!$C$91)/30)))))*(1-(MOD((Ipotesi!$C$91),30)/30))+IF(9-(INT((Ipotesi!$C$91)/30))-1&lt;1,0,INDEX(Motore_Startup!$AH$5:$AH$64,MAX(1,9-(INT((Ipotesi!$C$91)/30))-1)))*(MOD((Ipotesi!$C$91),30)/30))</f>
        <v>11543.7398611111</v>
      </c>
      <c r="AJ13" s="15" t="n">
        <f aca="false">(AJ12)+AH13-AI13</f>
        <v>23115.1763888889</v>
      </c>
      <c r="AK13" s="15" t="n">
        <f aca="false">(F13+ Motore_Operativo!BH13-(Motore_Operativo!CJ13)*Parametri_v3!$C$27-Motore_Operativo!CE13)*Parametri_v3!$C$26</f>
        <v>-608.454305555556</v>
      </c>
      <c r="AL13" s="15" t="n">
        <f aca="false">MAX(0,(AM12))</f>
        <v>0</v>
      </c>
      <c r="AM13" s="15" t="n">
        <f aca="false">(AM12)+AK13-AL13</f>
        <v>-5815.27375</v>
      </c>
      <c r="AN13" s="15" t="n">
        <f aca="false">0</f>
        <v>0</v>
      </c>
      <c r="AO13" s="15" t="n">
        <f aca="false">0</f>
        <v>0</v>
      </c>
      <c r="AP13" s="15" t="n">
        <f aca="false">MAX(0,AN13)*IF(9=Parametri_v3!$C$43,Parametri_v3!$C$45,IF(9=Parametri_v3!$C$44,1-Parametri_v3!$C$45,0))</f>
        <v>0</v>
      </c>
      <c r="AQ13" s="15" t="n">
        <f aca="false">MAX(0,AP13+IF(9=Parametri_v3!$C$43,MAX(0,AN13-AO13),0)-MAX(0,-(AR12)))</f>
        <v>0</v>
      </c>
      <c r="AR13" s="15" t="n">
        <f aca="false">(AR12)+X13-AQ13</f>
        <v>0</v>
      </c>
      <c r="AS13" s="15" t="n">
        <f aca="false">Motore_Operativo!AB13-AT13+AU13</f>
        <v>17020.8333333333</v>
      </c>
      <c r="AT13" s="15" t="n">
        <f aca="false">Motore_Operativo!CH13</f>
        <v>895.833333333334</v>
      </c>
      <c r="AU13" s="15" t="n">
        <f aca="false">MIN(MAX(0,(AV12)+AT13),Parametri_v3!$C$60/12)</f>
        <v>0</v>
      </c>
      <c r="AV13" s="15" t="n">
        <f aca="false">(AV12)+AT13-AU13</f>
        <v>8062.5</v>
      </c>
      <c r="AW13" s="15" t="n">
        <f aca="false">IF(AND(Motore_Operativo!C13=Finanziamenti!$D$6,Finanziamenti!$F$6=1),Finanziamenti!$C$6,0)</f>
        <v>0</v>
      </c>
      <c r="AX13" s="15" t="n">
        <f aca="false">IF(AND(1&lt;&gt;7,1&lt;&gt;9,Finanziamenti!$F$8=1,OR(Parametri_v3!$C$6=0,Finanziamenti!$E$8=1),Motore_Operativo!C13=EDATE(Finanziamenti!$D$8,Ipotesi!C15*12)),Finanziamenti!$C$8*1,0)+IF(AND(1&lt;&gt;7,1&lt;&gt;9,Finanziamenti!$F$9=1,OR(Parametri_v3!$C$6=0,Finanziamenti!$E$9=1),Motore_Operativo!C13=EDATE(Finanziamenti!$D$9,Ipotesi!C15*12)),Finanziamenti!$C$9*Ipotesi!C16,0)</f>
        <v>0</v>
      </c>
      <c r="AY13" s="15" t="n">
        <f aca="false">0</f>
        <v>0</v>
      </c>
      <c r="AZ13" s="15" t="n">
        <f aca="false">Motore_Advisory!AY13*(1-Ipotesi!$C$95)*Ipotesi!$C$96</f>
        <v>0</v>
      </c>
      <c r="BA13" s="15" t="n">
        <f aca="false">MAX(0,MIN(CG13*MIN(1,IF(Motore_Operativo!C13&gt;=EDATE(Finanziamenti!$D$15,Ipotesi!C14*12),Finanziamenti!$C$15,0)+IF(Motore_Operativo!C13&gt;=EDATE(Finanziamenti!$D$16,Ipotesi!C14*12),Finanziamenti!$C$16,0)+IF(Motore_Operativo!C13&gt;=EDATE(Finanziamenti!$D$17,Ipotesi!C14*12),Finanziamenti!$C$17,0)),CA13*Ipotesi!$C$102)-(CC12))</f>
        <v>0</v>
      </c>
      <c r="BB13" s="15" t="n">
        <f aca="false">IF(AND(CF13&gt;0,Motore_Operativo!C13&gt;=IF(CF13=0,0,EDATE(CF13,Parametri_v3!$C$37)),MOD(((D13-YEAR(IF(CF13=0,0,EDATE(CF13,Parametri_v3!$C$37))))*12+E13-MONTH(IF(CF13=0,0,EDATE(CF13,Parametri_v3!$C$37)))),Parametri_v3!$C$38)=0),MIN(MAX(0,(BC12)+BA13-N13),(CC13-CD13)/(Ipotesi!$C$108*12/Parametri_v3!$C$38)),0)</f>
        <v>0</v>
      </c>
      <c r="BC13" s="15" t="n">
        <f aca="false">(BC12)+BA13-N13-BB13</f>
        <v>0</v>
      </c>
      <c r="BD13" s="15" t="n">
        <f aca="false">(BH12)+AC13+AF13-AI13-AS13-K13*(1+Parametri_v3!$C$26)-AL13-AQ13-O13+AW13+AX13+AZ13+BA13-BB13</f>
        <v>2599.89475136684</v>
      </c>
      <c r="BE13" s="15" t="n">
        <f aca="false">MAX(0,MIN(MAX(0,CH13-(BG12)),Parametri_v3!$C$30-BD13))</f>
        <v>22400.1052486332</v>
      </c>
      <c r="BF13" s="15" t="n">
        <f aca="false">IF(Motore_Operativo!C13&gt;=Parametri_v3!$C$63,(BG12),MIN((BG12),MAX(0,BD13-Parametri_v3!$C$30)))</f>
        <v>0</v>
      </c>
      <c r="BG13" s="15" t="n">
        <f aca="false">(BG12)+BE13-BF13</f>
        <v>94228.7383085989</v>
      </c>
      <c r="BH13" s="15" t="n">
        <f aca="false">BD13+BE13-BF13-AY13</f>
        <v>25000</v>
      </c>
      <c r="BI13" s="15" t="n">
        <f aca="false">MAX(0,Parametri_v3!$C$30-BH13)</f>
        <v>0</v>
      </c>
      <c r="BJ13" s="15" t="n">
        <f aca="false">(BJ12)+K13</f>
        <v>15000</v>
      </c>
      <c r="BK13" s="15" t="n">
        <f aca="false">(BK12)+L13</f>
        <v>2083.33333333333</v>
      </c>
      <c r="BL13" s="15" t="n">
        <f aca="false">BJ13-BK13</f>
        <v>12916.6666666667</v>
      </c>
      <c r="BM13" s="15" t="n">
        <f aca="false">(BM12)+Y13</f>
        <v>-188646.974280821</v>
      </c>
      <c r="BN13" s="15" t="n">
        <f aca="false">(BN12)+AW13+AX13+AZ13</f>
        <v>130000</v>
      </c>
      <c r="BO13" s="15" t="n">
        <f aca="false">(BO12)+AY13</f>
        <v>0</v>
      </c>
      <c r="BP13" s="15" t="n">
        <f aca="false">0</f>
        <v>0</v>
      </c>
      <c r="BQ13" s="15" t="n">
        <f aca="false">BN13+BM13-BO13</f>
        <v>-58646.9742808211</v>
      </c>
      <c r="BR13" s="15" t="n">
        <f aca="false">BH13+AD13+BL13+MAX(0,-AM13)+MAX(0,-AR13)+AG13</f>
        <v>66759.4404166667</v>
      </c>
      <c r="BS13" s="15" t="n">
        <f aca="false">AJ13+AV13+MAX(0,AM13)+MAX(0,AR13)+BC13+BG13+BQ13</f>
        <v>66759.4404166667</v>
      </c>
      <c r="BT13" s="15" t="n">
        <f aca="false">BR13-BS13</f>
        <v>0</v>
      </c>
      <c r="BU13" s="15" t="n">
        <f aca="false">BH13-(BD13+BE13-BF13-AY13)</f>
        <v>0</v>
      </c>
      <c r="BV13" s="15" t="n">
        <f aca="false">MIN(Piano_SS!$C$6,(BV12)+IF(AND(Motore_Operativo!C13&gt;=EDATE(Parametri_v3!$C$24,Ipotesi!C14*12),Motore_Operativo!C13&lt;EDATE(Parametri_v3!$C$24,Parametri_v3!$C$25+Ipotesi!C14*12)),MAX(0,(Motore_Operativo!Y13+Motore_Operativo!X13*Parametri_v3!$C$14)*(1-Parametri_v3!$C$32))*Piano_SS!$D$6,0))</f>
        <v>14250</v>
      </c>
      <c r="BW13" s="15" t="n">
        <f aca="false">MIN(Piano_SS!$C$7,(BW12)+IF(AND(Motore_Operativo!C13&gt;=EDATE(Parametri_v3!$C$24,Ipotesi!C14*12),Motore_Operativo!C13&lt;EDATE(Parametri_v3!$C$24,Parametri_v3!$C$25+Ipotesi!C14*12)),MAX(0,(IF(9-(INT((Ipotesi!$C$91)/30))&lt;1,0,INDEX(Motore_Operativo!$BN$5:$BN$64,MAX(1,9-(INT((Ipotesi!$C$91)/30)))))*(1-(MOD((Ipotesi!$C$91),30)/30))+IF(9-(INT((Ipotesi!$C$91)/30))-1&lt;1,0,INDEX(Motore_Operativo!$BN$5:$BN$64,MAX(1,9-(INT((Ipotesi!$C$91)/30))-1)))*(MOD((Ipotesi!$C$91),30)/30)))*Piano_SS!$D$7,0))</f>
        <v>3783.33333333333</v>
      </c>
      <c r="BX13" s="15" t="n">
        <f aca="false">MIN(Piano_SS!$C$8,(BX12)+IF(AND(Motore_Operativo!C13&gt;=EDATE(Parametri_v3!$C$24,Ipotesi!C14*12),Motore_Operativo!C13&lt;EDATE(Parametri_v3!$C$24,Parametri_v3!$C$25+Ipotesi!C14*12)),MAX(0,Motore_Operativo!CE13)*Piano_SS!$D$8,0))</f>
        <v>5000</v>
      </c>
      <c r="BY13" s="15" t="n">
        <f aca="false">MIN(Piano_SS!$C$9,(BY12)+IF(AND(Motore_Operativo!C13&gt;=EDATE(Parametri_v3!$C$24,Ipotesi!C14*12),Motore_Operativo!C13&lt;EDATE(Parametri_v3!$C$24,Parametri_v3!$C$25+Ipotesi!C14*12)),MAX(0,((IF(9-(INT((Ipotesi!$C$91)/30))&lt;1,0,INDEX(Motore_Operativo!$BQ$5:$BQ$64,MAX(1,9-(INT((Ipotesi!$C$91)/30)))))*(1-(MOD((Ipotesi!$C$91),30)/30))+IF(9-(INT((Ipotesi!$C$91)/30))-1&lt;1,0,INDEX(Motore_Operativo!$BQ$5:$BQ$64,MAX(1,9-(INT((Ipotesi!$C$91)/30))-1)))*(MOD((Ipotesi!$C$91),30)/30))+(IF(9-(INT((Ipotesi!$C$91)/30))&lt;1,0,INDEX(Motore_Operativo!$BR$5:$BR$64,MAX(1,9-(INT((Ipotesi!$C$91)/30)))))*(1-(MOD((Ipotesi!$C$91),30)/30))+IF(9-(INT((Ipotesi!$C$91)/30))-1&lt;1,0,INDEX(Motore_Operativo!$BR$5:$BR$64,MAX(1,9-(INT((Ipotesi!$C$91)/30))-1)))*(MOD((Ipotesi!$C$91),30)/30))))*Piano_SS!$D$9,0))</f>
        <v>6750</v>
      </c>
      <c r="BZ13" s="15" t="n">
        <f aca="false">MIN(Piano_SS!$C$10,(BZ12)+IF(AND(Motore_Operativo!C13&gt;=EDATE(Parametri_v3!$C$24,Ipotesi!C14*12),Motore_Operativo!C13&lt;EDATE(Parametri_v3!$C$24,Parametri_v3!$C$25+Ipotesi!C14*12)),MAX(0,(IF(9-(INT((Ipotesi!$C$91)/30))&lt;1,0,INDEX(Motore_Operativo!$BO$5:$BO$64,MAX(1,9-(INT((Ipotesi!$C$91)/30)))))*(1-(MOD((Ipotesi!$C$91),30)/30))+IF(9-(INT((Ipotesi!$C$91)/30))-1&lt;1,0,INDEX(Motore_Operativo!$BO$5:$BO$64,MAX(1,9-(INT((Ipotesi!$C$91)/30))-1)))*(MOD((Ipotesi!$C$91),30)/30)))*Piano_SS!$D$10,0))</f>
        <v>3000</v>
      </c>
      <c r="CA13" s="15" t="n">
        <f aca="false">SUM(BV13:BZ13)</f>
        <v>32783.3333333333</v>
      </c>
      <c r="CB13" s="15" t="n">
        <f aca="false">BV13*(1-Piano_SS!$E$6)+BW13*(1-Piano_SS!$E$7)+BX13*(1-Piano_SS!$E$8)+BY13*(1-Piano_SS!$E$9)+BZ13*(1-Piano_SS!$E$10)</f>
        <v>29783.3333333333</v>
      </c>
      <c r="CC13" s="15" t="n">
        <f aca="false">(CC12)+BA13</f>
        <v>0</v>
      </c>
      <c r="CD13" s="15" t="n">
        <f aca="false">IF(CA13=0,0,CC13*CB13/CA13*Ipotesi!$C$103*Parametri_v3!$C$64)</f>
        <v>0</v>
      </c>
      <c r="CE13" s="18" t="n">
        <f aca="false">IF(BA13&gt;0,Motore_Operativo!C13,(CE12))</f>
        <v>0</v>
      </c>
      <c r="CF13" s="18" t="n">
        <f aca="false">IF(AND(CC13&gt;0,OR(CC13&gt;=CG13-0.01,Motore_Operativo!C13&gt;=EDATE(MAX(Finanziamenti!$D$15:$D$17),Ipotesi!C14*12))),CE13,0)</f>
        <v>0</v>
      </c>
      <c r="CG13" s="15" t="n">
        <f aca="false">IF(AND(1&lt;&gt;6,1&lt;&gt;9,Finanziamenti!$F$11=1,OR(Parametri_v3!$C$6=0,Finanziamenti!$E$11=1)),MIN(Finanziamenti!$C$11,Piano_SS!$C$12*Ipotesi!$C$102),0)</f>
        <v>400000</v>
      </c>
      <c r="CH13" s="15" t="n">
        <f aca="false">IF(AND(AND(1&lt;&gt;8,1&lt;&gt;9,Finanziamenti!$F$10=1,OR(Parametri_v3!$C$6=0,Finanziamenti!$E$10=1)),Motore_Operativo!C13&gt;=Finanziamenti!$D$10,Motore_Operativo!C13&lt;Parametri_v3!$C$63),Finanziamenti!$C$10,0)</f>
        <v>150000</v>
      </c>
    </row>
    <row r="14" customFormat="false" ht="18" hidden="false" customHeight="true" outlineLevel="0" collapsed="false">
      <c r="A14" s="68" t="n">
        <f aca="false">1</f>
        <v>1</v>
      </c>
      <c r="B14" s="68" t="n">
        <f aca="false">10</f>
        <v>10</v>
      </c>
      <c r="C14" s="18" t="n">
        <f aca="false">Motore_Operativo!C14</f>
        <v>46661</v>
      </c>
      <c r="D14" s="68" t="n">
        <f aca="false">Motore_Operativo!D14</f>
        <v>2027</v>
      </c>
      <c r="E14" s="68" t="n">
        <f aca="false">Motore_Operativo!E14</f>
        <v>10</v>
      </c>
      <c r="F14" s="15" t="n">
        <f aca="false">Motore_Operativo!AQ14+Motore_Operativo!BF14</f>
        <v>5986.11111111111</v>
      </c>
      <c r="G14" s="15" t="n">
        <f aca="false">Motore_Operativo!BH14</f>
        <v>1250</v>
      </c>
      <c r="H14" s="15" t="n">
        <f aca="false">Motore_Operativo!BI14</f>
        <v>7236.11111111111</v>
      </c>
      <c r="I14" s="15" t="n">
        <f aca="false">Motore_Operativo!CA14</f>
        <v>27665.1388888889</v>
      </c>
      <c r="J14" s="15" t="n">
        <f aca="false">Motore_Operativo!CC14</f>
        <v>-20429.0277777778</v>
      </c>
      <c r="K14" s="15" t="n">
        <f aca="false">Motore_Operativo!CE14</f>
        <v>1666.66666666667</v>
      </c>
      <c r="L14" s="15" t="n">
        <f aca="false">SUM(INDEX($K$5:$K$64,MAX(1,10-Parametri_v3!$C$59+1)):K14)/Parametri_v3!$C$59</f>
        <v>462.962962962963</v>
      </c>
      <c r="M14" s="15" t="n">
        <f aca="false">J14-L14</f>
        <v>-20891.9907407407</v>
      </c>
      <c r="N14" s="15" t="n">
        <f aca="false">CD14-(CD13)</f>
        <v>0</v>
      </c>
      <c r="O14" s="15" t="n">
        <f aca="false">(BG13)*Ipotesi!$C$110/12+CH14*Parametri_v3!$C$39/12</f>
        <v>471.143691542994</v>
      </c>
      <c r="P14" s="15" t="n">
        <f aca="false">M14+N14-O14</f>
        <v>-21363.1344322837</v>
      </c>
      <c r="Q14" s="15" t="n">
        <f aca="false">SUM(P5:P14)+Parametri_v3!$C$54*10/12</f>
        <v>-210010.108713105</v>
      </c>
      <c r="R14" s="15" t="n">
        <f aca="false">0</f>
        <v>0</v>
      </c>
      <c r="S14" s="15" t="n">
        <f aca="false">0</f>
        <v>0</v>
      </c>
      <c r="T14" s="15" t="n">
        <f aca="false">MIN(R14,MAX(0,Q14))</f>
        <v>0</v>
      </c>
      <c r="U14" s="15" t="n">
        <f aca="false">MIN(S14,MAX(0,Q14-T14)*Parametri_v3!$C$42)</f>
        <v>0</v>
      </c>
      <c r="V14" s="15" t="n">
        <f aca="false">MAX(0,Q14-T14-U14)*Ipotesi!$C$92</f>
        <v>0</v>
      </c>
      <c r="W14" s="15" t="n">
        <f aca="false">MAX(0,SUM(M5:M14)+Parametri_v3!$C$55*10/12)*Ipotesi!$C$93</f>
        <v>0</v>
      </c>
      <c r="X14" s="15" t="n">
        <f aca="false">V14+W14-(V13+W13)</f>
        <v>0</v>
      </c>
      <c r="Y14" s="15" t="n">
        <f aca="false">P14-X14</f>
        <v>-21363.1344322837</v>
      </c>
      <c r="Z14" s="15" t="n">
        <f aca="false">R14-T14+IF(AND(Parametri_v3!$C$40=1,D14-YEAR(Parametri_v3!$C$50)&lt;Parametri_v3!$C$41),MAX(0,-Q14),0)</f>
        <v>210010.108713105</v>
      </c>
      <c r="AA14" s="15" t="n">
        <f aca="false">S14-U14+IF(AND(Parametri_v3!$C$40=1,D14-YEAR(Parametri_v3!$C$50)&lt;Parametri_v3!$C$41),0,MAX(0,-Q14))</f>
        <v>0</v>
      </c>
      <c r="AB14" s="15" t="n">
        <f aca="false">F14*(1+Parametri_v3!$C$26)</f>
        <v>7303.05555555556</v>
      </c>
      <c r="AC14" s="15" t="n">
        <f aca="false">(IF(10-(INT((Motore_Operativo!L14)/30))&lt;1,0,INDEX(Motore_Startup!$AB$5:$AB$64,MAX(1,10-(INT((Motore_Operativo!L14)/30)))))*(1-(MOD((Motore_Operativo!L14),30)/30))+IF(10-(INT((Motore_Operativo!L14)/30))-1&lt;1,0,INDEX(Motore_Startup!$AB$5:$AB$64,MAX(1,10-(INT((Motore_Operativo!L14)/30))-1)))*(MOD((Motore_Operativo!L14),30)/30))</f>
        <v>7099.72222222222</v>
      </c>
      <c r="AD14" s="15" t="n">
        <f aca="false">(AD13)+AB14-AC14</f>
        <v>21705.8333333333</v>
      </c>
      <c r="AE14" s="15" t="n">
        <f aca="false">Motore_Operativo!BH14*(1+Parametri_v3!$C$26)</f>
        <v>1525</v>
      </c>
      <c r="AF14" s="15" t="n">
        <f aca="false">(IF(10-(INT((Parametri_v3!$C$29)/30))&lt;1,0,INDEX(Motore_Operativo!$BH$5:$BH$64,MAX(1,10-(INT((Parametri_v3!$C$29)/30)))))*(1-(MOD((Parametri_v3!$C$29),30)/30))+IF(10-(INT((Parametri_v3!$C$29)/30))-1&lt;1,0,INDEX(Motore_Operativo!$BH$5:$BH$64,MAX(1,10-(INT((Parametri_v3!$C$29)/30))-1)))*(MOD((Parametri_v3!$C$29),30)/30))*(1+Parametri_v3!$C$26)</f>
        <v>1525</v>
      </c>
      <c r="AG14" s="15" t="n">
        <f aca="false">(AG13)+AE14-AF14</f>
        <v>1525</v>
      </c>
      <c r="AH14" s="15" t="n">
        <f aca="false">(Motore_Operativo!CJ14)*(1+Parametri_v3!$C$27*Parametri_v3!$C$26)</f>
        <v>11571.4365277778</v>
      </c>
      <c r="AI14" s="15" t="n">
        <f aca="false">(IF(10-(INT((Ipotesi!$C$91)/30))&lt;1,0,INDEX(Motore_Startup!$AH$5:$AH$64,MAX(1,10-(INT((Ipotesi!$C$91)/30)))))*(1-(MOD((Ipotesi!$C$91),30)/30))+IF(10-(INT((Ipotesi!$C$91)/30))-1&lt;1,0,INDEX(Motore_Startup!$AH$5:$AH$64,MAX(1,10-(INT((Ipotesi!$C$91)/30))-1)))*(MOD((Ipotesi!$C$91),30)/30))</f>
        <v>11552.9720833333</v>
      </c>
      <c r="AJ14" s="15" t="n">
        <f aca="false">(AJ13)+AH14-AI14</f>
        <v>23133.6408333334</v>
      </c>
      <c r="AK14" s="15" t="n">
        <f aca="false">(F14+ Motore_Operativo!BH14-(Motore_Operativo!CJ14)*Parametri_v3!$C$27-Motore_Operativo!CE14)*Parametri_v3!$C$26</f>
        <v>-597.686527777777</v>
      </c>
      <c r="AL14" s="15" t="n">
        <f aca="false">MAX(0,(AM13))</f>
        <v>0</v>
      </c>
      <c r="AM14" s="15" t="n">
        <f aca="false">(AM13)+AK14-AL14</f>
        <v>-6412.96027777777</v>
      </c>
      <c r="AN14" s="15" t="n">
        <f aca="false">0</f>
        <v>0</v>
      </c>
      <c r="AO14" s="15" t="n">
        <f aca="false">0</f>
        <v>0</v>
      </c>
      <c r="AP14" s="15" t="n">
        <f aca="false">MAX(0,AN14)*IF(10=Parametri_v3!$C$43,Parametri_v3!$C$45,IF(10=Parametri_v3!$C$44,1-Parametri_v3!$C$45,0))</f>
        <v>0</v>
      </c>
      <c r="AQ14" s="15" t="n">
        <f aca="false">MAX(0,AP14+IF(10=Parametri_v3!$C$43,MAX(0,AN14-AO14),0)-MAX(0,-(AR13)))</f>
        <v>0</v>
      </c>
      <c r="AR14" s="15" t="n">
        <f aca="false">(AR13)+X14-AQ14</f>
        <v>0</v>
      </c>
      <c r="AS14" s="15" t="n">
        <f aca="false">Motore_Operativo!AB14-AT14+AU14</f>
        <v>17020.8333333333</v>
      </c>
      <c r="AT14" s="15" t="n">
        <f aca="false">Motore_Operativo!CH14</f>
        <v>895.833333333334</v>
      </c>
      <c r="AU14" s="15" t="n">
        <f aca="false">MIN(MAX(0,(AV13)+AT14),Parametri_v3!$C$60/12)</f>
        <v>0</v>
      </c>
      <c r="AV14" s="15" t="n">
        <f aca="false">(AV13)+AT14-AU14</f>
        <v>8958.33333333334</v>
      </c>
      <c r="AW14" s="15" t="n">
        <f aca="false">IF(AND(Motore_Operativo!C14=Finanziamenti!$D$6,Finanziamenti!$F$6=1),Finanziamenti!$C$6,0)</f>
        <v>0</v>
      </c>
      <c r="AX14" s="15" t="n">
        <f aca="false">IF(AND(1&lt;&gt;7,1&lt;&gt;9,Finanziamenti!$F$8=1,OR(Parametri_v3!$C$6=0,Finanziamenti!$E$8=1),Motore_Operativo!C14=EDATE(Finanziamenti!$D$8,Ipotesi!C15*12)),Finanziamenti!$C$8*1,0)+IF(AND(1&lt;&gt;7,1&lt;&gt;9,Finanziamenti!$F$9=1,OR(Parametri_v3!$C$6=0,Finanziamenti!$E$9=1),Motore_Operativo!C14=EDATE(Finanziamenti!$D$9,Ipotesi!C15*12)),Finanziamenti!$C$9*Ipotesi!C16,0)</f>
        <v>0</v>
      </c>
      <c r="AY14" s="15" t="n">
        <f aca="false">0</f>
        <v>0</v>
      </c>
      <c r="AZ14" s="15" t="n">
        <f aca="false">Motore_Advisory!AY14*(1-Ipotesi!$C$95)*Ipotesi!$C$96</f>
        <v>0</v>
      </c>
      <c r="BA14" s="15" t="n">
        <f aca="false">MAX(0,MIN(CG14*MIN(1,IF(Motore_Operativo!C14&gt;=EDATE(Finanziamenti!$D$15,Ipotesi!C14*12),Finanziamenti!$C$15,0)+IF(Motore_Operativo!C14&gt;=EDATE(Finanziamenti!$D$16,Ipotesi!C14*12),Finanziamenti!$C$16,0)+IF(Motore_Operativo!C14&gt;=EDATE(Finanziamenti!$D$17,Ipotesi!C14*12),Finanziamenti!$C$17,0)),CA14*Ipotesi!$C$102)-(CC13))</f>
        <v>0</v>
      </c>
      <c r="BB14" s="15" t="n">
        <f aca="false">IF(AND(CF14&gt;0,Motore_Operativo!C14&gt;=IF(CF14=0,0,EDATE(CF14,Parametri_v3!$C$37)),MOD(((D14-YEAR(IF(CF14=0,0,EDATE(CF14,Parametri_v3!$C$37))))*12+E14-MONTH(IF(CF14=0,0,EDATE(CF14,Parametri_v3!$C$37)))),Parametri_v3!$C$38)=0),MIN(MAX(0,(BC13)+BA14-N14),(CC14-CD14)/(Ipotesi!$C$108*12/Parametri_v3!$C$38)),0)</f>
        <v>0</v>
      </c>
      <c r="BC14" s="15" t="n">
        <f aca="false">(BC13)+BA14-N14-BB14</f>
        <v>0</v>
      </c>
      <c r="BD14" s="15" t="n">
        <f aca="false">(BH13)+AC14+AF14-AI14-AS14-K14*(1+Parametri_v3!$C$26)-AL14-AQ14-O14+AW14+AX14+AZ14+BA14-BB14</f>
        <v>2546.43978067923</v>
      </c>
      <c r="BE14" s="15" t="n">
        <f aca="false">MAX(0,MIN(MAX(0,CH14-(BG13)),Parametri_v3!$C$30-BD14))</f>
        <v>22453.5602193208</v>
      </c>
      <c r="BF14" s="15" t="n">
        <f aca="false">IF(Motore_Operativo!C14&gt;=Parametri_v3!$C$63,(BG13),MIN((BG13),MAX(0,BD14-Parametri_v3!$C$30)))</f>
        <v>0</v>
      </c>
      <c r="BG14" s="15" t="n">
        <f aca="false">(BG13)+BE14-BF14</f>
        <v>116682.29852792</v>
      </c>
      <c r="BH14" s="15" t="n">
        <f aca="false">BD14+BE14-BF14-AY14</f>
        <v>25000</v>
      </c>
      <c r="BI14" s="15" t="n">
        <f aca="false">MAX(0,Parametri_v3!$C$30-BH14)</f>
        <v>0</v>
      </c>
      <c r="BJ14" s="15" t="n">
        <f aca="false">(BJ13)+K14</f>
        <v>16666.6666666667</v>
      </c>
      <c r="BK14" s="15" t="n">
        <f aca="false">(BK13)+L14</f>
        <v>2546.2962962963</v>
      </c>
      <c r="BL14" s="15" t="n">
        <f aca="false">BJ14-BK14</f>
        <v>14120.3703703704</v>
      </c>
      <c r="BM14" s="15" t="n">
        <f aca="false">(BM13)+Y14</f>
        <v>-210010.108713105</v>
      </c>
      <c r="BN14" s="15" t="n">
        <f aca="false">(BN13)+AW14+AX14+AZ14</f>
        <v>130000</v>
      </c>
      <c r="BO14" s="15" t="n">
        <f aca="false">(BO13)+AY14</f>
        <v>0</v>
      </c>
      <c r="BP14" s="15" t="n">
        <f aca="false">0</f>
        <v>0</v>
      </c>
      <c r="BQ14" s="15" t="n">
        <f aca="false">BN14+BM14-BO14</f>
        <v>-80010.1087131048</v>
      </c>
      <c r="BR14" s="15" t="n">
        <f aca="false">BH14+AD14+BL14+MAX(0,-AM14)+MAX(0,-AR14)+AG14</f>
        <v>68764.1639814815</v>
      </c>
      <c r="BS14" s="15" t="n">
        <f aca="false">AJ14+AV14+MAX(0,AM14)+MAX(0,AR14)+BC14+BG14+BQ14</f>
        <v>68764.1639814815</v>
      </c>
      <c r="BT14" s="15" t="n">
        <f aca="false">BR14-BS14</f>
        <v>0</v>
      </c>
      <c r="BU14" s="15" t="n">
        <f aca="false">BH14-(BD14+BE14-BF14-AY14)</f>
        <v>0</v>
      </c>
      <c r="BV14" s="15" t="n">
        <f aca="false">MIN(Piano_SS!$C$6,(BV13)+IF(AND(Motore_Operativo!C14&gt;=EDATE(Parametri_v3!$C$24,Ipotesi!C14*12),Motore_Operativo!C14&lt;EDATE(Parametri_v3!$C$24,Parametri_v3!$C$25+Ipotesi!C14*12)),MAX(0,(Motore_Operativo!Y14+Motore_Operativo!X14*Parametri_v3!$C$14)*(1-Parametri_v3!$C$32))*Piano_SS!$D$6,0))</f>
        <v>19000</v>
      </c>
      <c r="BW14" s="15" t="n">
        <f aca="false">MIN(Piano_SS!$C$7,(BW13)+IF(AND(Motore_Operativo!C14&gt;=EDATE(Parametri_v3!$C$24,Ipotesi!C14*12),Motore_Operativo!C14&lt;EDATE(Parametri_v3!$C$24,Parametri_v3!$C$25+Ipotesi!C14*12)),MAX(0,(IF(10-(INT((Ipotesi!$C$91)/30))&lt;1,0,INDEX(Motore_Operativo!$BN$5:$BN$64,MAX(1,10-(INT((Ipotesi!$C$91)/30)))))*(1-(MOD((Ipotesi!$C$91),30)/30))+IF(10-(INT((Ipotesi!$C$91)/30))-1&lt;1,0,INDEX(Motore_Operativo!$BN$5:$BN$64,MAX(1,10-(INT((Ipotesi!$C$91)/30))-1)))*(MOD((Ipotesi!$C$91),30)/30)))*Piano_SS!$D$7,0))</f>
        <v>5053.33333333333</v>
      </c>
      <c r="BX14" s="15" t="n">
        <f aca="false">MIN(Piano_SS!$C$8,(BX13)+IF(AND(Motore_Operativo!C14&gt;=EDATE(Parametri_v3!$C$24,Ipotesi!C14*12),Motore_Operativo!C14&lt;EDATE(Parametri_v3!$C$24,Parametri_v3!$C$25+Ipotesi!C14*12)),MAX(0,Motore_Operativo!CE14)*Piano_SS!$D$8,0))</f>
        <v>6666.66666666667</v>
      </c>
      <c r="BY14" s="15" t="n">
        <f aca="false">MIN(Piano_SS!$C$9,(BY13)+IF(AND(Motore_Operativo!C14&gt;=EDATE(Parametri_v3!$C$24,Ipotesi!C14*12),Motore_Operativo!C14&lt;EDATE(Parametri_v3!$C$24,Parametri_v3!$C$25+Ipotesi!C14*12)),MAX(0,((IF(10-(INT((Ipotesi!$C$91)/30))&lt;1,0,INDEX(Motore_Operativo!$BQ$5:$BQ$64,MAX(1,10-(INT((Ipotesi!$C$91)/30)))))*(1-(MOD((Ipotesi!$C$91),30)/30))+IF(10-(INT((Ipotesi!$C$91)/30))-1&lt;1,0,INDEX(Motore_Operativo!$BQ$5:$BQ$64,MAX(1,10-(INT((Ipotesi!$C$91)/30))-1)))*(MOD((Ipotesi!$C$91),30)/30))+(IF(10-(INT((Ipotesi!$C$91)/30))&lt;1,0,INDEX(Motore_Operativo!$BR$5:$BR$64,MAX(1,10-(INT((Ipotesi!$C$91)/30)))))*(1-(MOD((Ipotesi!$C$91),30)/30))+IF(10-(INT((Ipotesi!$C$91)/30))-1&lt;1,0,INDEX(Motore_Operativo!$BR$5:$BR$64,MAX(1,10-(INT((Ipotesi!$C$91)/30))-1)))*(MOD((Ipotesi!$C$91),30)/30))))*Piano_SS!$D$9,0))</f>
        <v>9000</v>
      </c>
      <c r="BZ14" s="15" t="n">
        <f aca="false">MIN(Piano_SS!$C$10,(BZ13)+IF(AND(Motore_Operativo!C14&gt;=EDATE(Parametri_v3!$C$24,Ipotesi!C14*12),Motore_Operativo!C14&lt;EDATE(Parametri_v3!$C$24,Parametri_v3!$C$25+Ipotesi!C14*12)),MAX(0,(IF(10-(INT((Ipotesi!$C$91)/30))&lt;1,0,INDEX(Motore_Operativo!$BO$5:$BO$64,MAX(1,10-(INT((Ipotesi!$C$91)/30)))))*(1-(MOD((Ipotesi!$C$91),30)/30))+IF(10-(INT((Ipotesi!$C$91)/30))-1&lt;1,0,INDEX(Motore_Operativo!$BO$5:$BO$64,MAX(1,10-(INT((Ipotesi!$C$91)/30))-1)))*(MOD((Ipotesi!$C$91),30)/30)))*Piano_SS!$D$10,0))</f>
        <v>4000</v>
      </c>
      <c r="CA14" s="15" t="n">
        <f aca="false">SUM(BV14:BZ14)</f>
        <v>43720</v>
      </c>
      <c r="CB14" s="15" t="n">
        <f aca="false">BV14*(1-Piano_SS!$E$6)+BW14*(1-Piano_SS!$E$7)+BX14*(1-Piano_SS!$E$8)+BY14*(1-Piano_SS!$E$9)+BZ14*(1-Piano_SS!$E$10)</f>
        <v>39720</v>
      </c>
      <c r="CC14" s="15" t="n">
        <f aca="false">(CC13)+BA14</f>
        <v>0</v>
      </c>
      <c r="CD14" s="15" t="n">
        <f aca="false">IF(CA14=0,0,CC14*CB14/CA14*Ipotesi!$C$103*Parametri_v3!$C$64)</f>
        <v>0</v>
      </c>
      <c r="CE14" s="18" t="n">
        <f aca="false">IF(BA14&gt;0,Motore_Operativo!C14,(CE13))</f>
        <v>0</v>
      </c>
      <c r="CF14" s="18" t="n">
        <f aca="false">IF(AND(CC14&gt;0,OR(CC14&gt;=CG14-0.01,Motore_Operativo!C14&gt;=EDATE(MAX(Finanziamenti!$D$15:$D$17),Ipotesi!C14*12))),CE14,0)</f>
        <v>0</v>
      </c>
      <c r="CG14" s="15" t="n">
        <f aca="false">IF(AND(1&lt;&gt;6,1&lt;&gt;9,Finanziamenti!$F$11=1,OR(Parametri_v3!$C$6=0,Finanziamenti!$E$11=1)),MIN(Finanziamenti!$C$11,Piano_SS!$C$12*Ipotesi!$C$102),0)</f>
        <v>400000</v>
      </c>
      <c r="CH14" s="15" t="n">
        <f aca="false">IF(AND(AND(1&lt;&gt;8,1&lt;&gt;9,Finanziamenti!$F$10=1,OR(Parametri_v3!$C$6=0,Finanziamenti!$E$10=1)),Motore_Operativo!C14&gt;=Finanziamenti!$D$10,Motore_Operativo!C14&lt;Parametri_v3!$C$63),Finanziamenti!$C$10,0)</f>
        <v>150000</v>
      </c>
    </row>
    <row r="15" customFormat="false" ht="18" hidden="false" customHeight="true" outlineLevel="0" collapsed="false">
      <c r="A15" s="68" t="n">
        <f aca="false">1</f>
        <v>1</v>
      </c>
      <c r="B15" s="68" t="n">
        <f aca="false">11</f>
        <v>11</v>
      </c>
      <c r="C15" s="18" t="n">
        <f aca="false">Motore_Operativo!C15</f>
        <v>46692</v>
      </c>
      <c r="D15" s="68" t="n">
        <f aca="false">Motore_Operativo!D15</f>
        <v>2027</v>
      </c>
      <c r="E15" s="68" t="n">
        <f aca="false">Motore_Operativo!E15</f>
        <v>11</v>
      </c>
      <c r="F15" s="15" t="n">
        <f aca="false">Motore_Operativo!AQ15+Motore_Operativo!BF15</f>
        <v>6041.66666666667</v>
      </c>
      <c r="G15" s="15" t="n">
        <f aca="false">Motore_Operativo!BH15</f>
        <v>1250</v>
      </c>
      <c r="H15" s="15" t="n">
        <f aca="false">Motore_Operativo!BI15</f>
        <v>7291.66666666667</v>
      </c>
      <c r="I15" s="15" t="n">
        <f aca="false">Motore_Operativo!CA15</f>
        <v>27672.9166666667</v>
      </c>
      <c r="J15" s="15" t="n">
        <f aca="false">Motore_Operativo!CC15</f>
        <v>-20381.25</v>
      </c>
      <c r="K15" s="15" t="n">
        <f aca="false">Motore_Operativo!CE15</f>
        <v>1666.66666666667</v>
      </c>
      <c r="L15" s="15" t="n">
        <f aca="false">SUM(INDEX($K$5:$K$64,MAX(1,11-Parametri_v3!$C$59+1)):K15)/Parametri_v3!$C$59</f>
        <v>509.259259259259</v>
      </c>
      <c r="M15" s="15" t="n">
        <f aca="false">J15-L15</f>
        <v>-20890.5092592593</v>
      </c>
      <c r="N15" s="15" t="n">
        <f aca="false">CD15-(CD14)</f>
        <v>0</v>
      </c>
      <c r="O15" s="15" t="n">
        <f aca="false">(BG14)*Ipotesi!$C$110/12+CH15*Parametri_v3!$C$39/12</f>
        <v>583.411492639598</v>
      </c>
      <c r="P15" s="15" t="n">
        <f aca="false">M15+N15-O15</f>
        <v>-21473.9207518989</v>
      </c>
      <c r="Q15" s="15" t="n">
        <f aca="false">SUM(P5:P15)+Parametri_v3!$C$54*11/12</f>
        <v>-231484.029465004</v>
      </c>
      <c r="R15" s="15" t="n">
        <f aca="false">0</f>
        <v>0</v>
      </c>
      <c r="S15" s="15" t="n">
        <f aca="false">0</f>
        <v>0</v>
      </c>
      <c r="T15" s="15" t="n">
        <f aca="false">MIN(R15,MAX(0,Q15))</f>
        <v>0</v>
      </c>
      <c r="U15" s="15" t="n">
        <f aca="false">MIN(S15,MAX(0,Q15-T15)*Parametri_v3!$C$42)</f>
        <v>0</v>
      </c>
      <c r="V15" s="15" t="n">
        <f aca="false">MAX(0,Q15-T15-U15)*Ipotesi!$C$92</f>
        <v>0</v>
      </c>
      <c r="W15" s="15" t="n">
        <f aca="false">MAX(0,SUM(M5:M15)+Parametri_v3!$C$55*11/12)*Ipotesi!$C$93</f>
        <v>0</v>
      </c>
      <c r="X15" s="15" t="n">
        <f aca="false">V15+W15-(V14+W14)</f>
        <v>0</v>
      </c>
      <c r="Y15" s="15" t="n">
        <f aca="false">P15-X15</f>
        <v>-21473.9207518989</v>
      </c>
      <c r="Z15" s="15" t="n">
        <f aca="false">R15-T15+IF(AND(Parametri_v3!$C$40=1,D15-YEAR(Parametri_v3!$C$50)&lt;Parametri_v3!$C$41),MAX(0,-Q15),0)</f>
        <v>231484.029465004</v>
      </c>
      <c r="AA15" s="15" t="n">
        <f aca="false">S15-U15+IF(AND(Parametri_v3!$C$40=1,D15-YEAR(Parametri_v3!$C$50)&lt;Parametri_v3!$C$41),0,MAX(0,-Q15))</f>
        <v>0</v>
      </c>
      <c r="AB15" s="15" t="n">
        <f aca="false">F15*(1+Parametri_v3!$C$26)</f>
        <v>7370.83333333333</v>
      </c>
      <c r="AC15" s="15" t="n">
        <f aca="false">(IF(11-(INT((Motore_Operativo!L15)/30))&lt;1,0,INDEX(Motore_Startup!$AB$5:$AB$64,MAX(1,11-(INT((Motore_Operativo!L15)/30)))))*(1-(MOD((Motore_Operativo!L15),30)/30))+IF(11-(INT((Motore_Operativo!L15)/30))-1&lt;1,0,INDEX(Motore_Startup!$AB$5:$AB$64,MAX(1,11-(INT((Motore_Operativo!L15)/30))-1)))*(MOD((Motore_Operativo!L15),30)/30))</f>
        <v>7167.5</v>
      </c>
      <c r="AD15" s="15" t="n">
        <f aca="false">(AD14)+AB15-AC15</f>
        <v>21909.1666666667</v>
      </c>
      <c r="AE15" s="15" t="n">
        <f aca="false">Motore_Operativo!BH15*(1+Parametri_v3!$C$26)</f>
        <v>1525</v>
      </c>
      <c r="AF15" s="15" t="n">
        <f aca="false">(IF(11-(INT((Parametri_v3!$C$29)/30))&lt;1,0,INDEX(Motore_Operativo!$BH$5:$BH$64,MAX(1,11-(INT((Parametri_v3!$C$29)/30)))))*(1-(MOD((Parametri_v3!$C$29),30)/30))+IF(11-(INT((Parametri_v3!$C$29)/30))-1&lt;1,0,INDEX(Motore_Operativo!$BH$5:$BH$64,MAX(1,11-(INT((Parametri_v3!$C$29)/30))-1)))*(MOD((Parametri_v3!$C$29),30)/30))*(1+Parametri_v3!$C$26)</f>
        <v>1525</v>
      </c>
      <c r="AG15" s="15" t="n">
        <f aca="false">(AG14)+AE15-AF15</f>
        <v>1525</v>
      </c>
      <c r="AH15" s="15" t="n">
        <f aca="false">(Motore_Operativo!CJ15)*(1+Parametri_v3!$C$27*Parametri_v3!$C$26)</f>
        <v>11580.66875</v>
      </c>
      <c r="AI15" s="15" t="n">
        <f aca="false">(IF(11-(INT((Ipotesi!$C$91)/30))&lt;1,0,INDEX(Motore_Startup!$AH$5:$AH$64,MAX(1,11-(INT((Ipotesi!$C$91)/30)))))*(1-(MOD((Ipotesi!$C$91),30)/30))+IF(11-(INT((Ipotesi!$C$91)/30))-1&lt;1,0,INDEX(Motore_Startup!$AH$5:$AH$64,MAX(1,11-(INT((Ipotesi!$C$91)/30))-1)))*(MOD((Ipotesi!$C$91),30)/30))</f>
        <v>11562.2043055556</v>
      </c>
      <c r="AJ15" s="15" t="n">
        <f aca="false">(AJ14)+AH15-AI15</f>
        <v>23152.1052777778</v>
      </c>
      <c r="AK15" s="15" t="n">
        <f aca="false">(F15+ Motore_Operativo!BH15-(Motore_Operativo!CJ15)*Parametri_v3!$C$27-Motore_Operativo!CE15)*Parametri_v3!$C$26</f>
        <v>-586.918749999999</v>
      </c>
      <c r="AL15" s="15" t="n">
        <f aca="false">MAX(0,(AM14))</f>
        <v>0</v>
      </c>
      <c r="AM15" s="15" t="n">
        <f aca="false">(AM14)+AK15-AL15</f>
        <v>-6999.87902777777</v>
      </c>
      <c r="AN15" s="15" t="n">
        <f aca="false">0</f>
        <v>0</v>
      </c>
      <c r="AO15" s="15" t="n">
        <f aca="false">0</f>
        <v>0</v>
      </c>
      <c r="AP15" s="15" t="n">
        <f aca="false">MAX(0,AN15)*IF(11=Parametri_v3!$C$43,Parametri_v3!$C$45,IF(11=Parametri_v3!$C$44,1-Parametri_v3!$C$45,0))</f>
        <v>0</v>
      </c>
      <c r="AQ15" s="15" t="n">
        <f aca="false">MAX(0,AP15+IF(11=Parametri_v3!$C$43,MAX(0,AN15-AO15),0)-MAX(0,-(AR14)))</f>
        <v>0</v>
      </c>
      <c r="AR15" s="15" t="n">
        <f aca="false">(AR14)+X15-AQ15</f>
        <v>0</v>
      </c>
      <c r="AS15" s="15" t="n">
        <f aca="false">Motore_Operativo!AB15-AT15+AU15</f>
        <v>17020.8333333333</v>
      </c>
      <c r="AT15" s="15" t="n">
        <f aca="false">Motore_Operativo!CH15</f>
        <v>895.833333333334</v>
      </c>
      <c r="AU15" s="15" t="n">
        <f aca="false">MIN(MAX(0,(AV14)+AT15),Parametri_v3!$C$60/12)</f>
        <v>0</v>
      </c>
      <c r="AV15" s="15" t="n">
        <f aca="false">(AV14)+AT15-AU15</f>
        <v>9854.16666666667</v>
      </c>
      <c r="AW15" s="15" t="n">
        <f aca="false">IF(AND(Motore_Operativo!C15=Finanziamenti!$D$6,Finanziamenti!$F$6=1),Finanziamenti!$C$6,0)</f>
        <v>0</v>
      </c>
      <c r="AX15" s="15" t="n">
        <f aca="false">IF(AND(1&lt;&gt;7,1&lt;&gt;9,Finanziamenti!$F$8=1,OR(Parametri_v3!$C$6=0,Finanziamenti!$E$8=1),Motore_Operativo!C15=EDATE(Finanziamenti!$D$8,Ipotesi!C15*12)),Finanziamenti!$C$8*1,0)+IF(AND(1&lt;&gt;7,1&lt;&gt;9,Finanziamenti!$F$9=1,OR(Parametri_v3!$C$6=0,Finanziamenti!$E$9=1),Motore_Operativo!C15=EDATE(Finanziamenti!$D$9,Ipotesi!C15*12)),Finanziamenti!$C$9*Ipotesi!C16,0)</f>
        <v>0</v>
      </c>
      <c r="AY15" s="15" t="n">
        <f aca="false">0</f>
        <v>0</v>
      </c>
      <c r="AZ15" s="15" t="n">
        <f aca="false">Motore_Advisory!AY15*(1-Ipotesi!$C$95)*Ipotesi!$C$96</f>
        <v>0</v>
      </c>
      <c r="BA15" s="15" t="n">
        <f aca="false">MAX(0,MIN(CG15*MIN(1,IF(Motore_Operativo!C15&gt;=EDATE(Finanziamenti!$D$15,Ipotesi!C14*12),Finanziamenti!$C$15,0)+IF(Motore_Operativo!C15&gt;=EDATE(Finanziamenti!$D$16,Ipotesi!C14*12),Finanziamenti!$C$16,0)+IF(Motore_Operativo!C15&gt;=EDATE(Finanziamenti!$D$17,Ipotesi!C14*12),Finanziamenti!$C$17,0)),CA15*Ipotesi!$C$102)-(CC14))</f>
        <v>0</v>
      </c>
      <c r="BB15" s="15" t="n">
        <f aca="false">IF(AND(CF15&gt;0,Motore_Operativo!C15&gt;=IF(CF15=0,0,EDATE(CF15,Parametri_v3!$C$37)),MOD(((D15-YEAR(IF(CF15=0,0,EDATE(CF15,Parametri_v3!$C$37))))*12+E15-MONTH(IF(CF15=0,0,EDATE(CF15,Parametri_v3!$C$37)))),Parametri_v3!$C$38)=0),MIN(MAX(0,(BC14)+BA15-N15),(CC15-CD15)/(Ipotesi!$C$108*12/Parametri_v3!$C$38)),0)</f>
        <v>0</v>
      </c>
      <c r="BC15" s="15" t="n">
        <f aca="false">(BC14)+BA15-N15-BB15</f>
        <v>0</v>
      </c>
      <c r="BD15" s="15" t="n">
        <f aca="false">(BH14)+AC15+AF15-AI15-AS15-K15*(1+Parametri_v3!$C$26)-AL15-AQ15-O15+AW15+AX15+AZ15+BA15-BB15</f>
        <v>2492.71753513818</v>
      </c>
      <c r="BE15" s="15" t="n">
        <f aca="false">MAX(0,MIN(MAX(0,CH15-(BG14)),Parametri_v3!$C$30-BD15))</f>
        <v>22507.2824648618</v>
      </c>
      <c r="BF15" s="15" t="n">
        <f aca="false">IF(Motore_Operativo!C15&gt;=Parametri_v3!$C$63,(BG14),MIN((BG14),MAX(0,BD15-Parametri_v3!$C$30)))</f>
        <v>0</v>
      </c>
      <c r="BG15" s="15" t="n">
        <f aca="false">(BG14)+BE15-BF15</f>
        <v>139189.580992781</v>
      </c>
      <c r="BH15" s="15" t="n">
        <f aca="false">BD15+BE15-BF15-AY15</f>
        <v>25000</v>
      </c>
      <c r="BI15" s="15" t="n">
        <f aca="false">MAX(0,Parametri_v3!$C$30-BH15)</f>
        <v>0</v>
      </c>
      <c r="BJ15" s="15" t="n">
        <f aca="false">(BJ14)+K15</f>
        <v>18333.3333333333</v>
      </c>
      <c r="BK15" s="15" t="n">
        <f aca="false">(BK14)+L15</f>
        <v>3055.55555555556</v>
      </c>
      <c r="BL15" s="15" t="n">
        <f aca="false">BJ15-BK15</f>
        <v>15277.7777777778</v>
      </c>
      <c r="BM15" s="15" t="n">
        <f aca="false">(BM14)+Y15</f>
        <v>-231484.029465004</v>
      </c>
      <c r="BN15" s="15" t="n">
        <f aca="false">(BN14)+AW15+AX15+AZ15</f>
        <v>130000</v>
      </c>
      <c r="BO15" s="15" t="n">
        <f aca="false">(BO14)+AY15</f>
        <v>0</v>
      </c>
      <c r="BP15" s="15" t="n">
        <f aca="false">0</f>
        <v>0</v>
      </c>
      <c r="BQ15" s="15" t="n">
        <f aca="false">BN15+BM15-BO15</f>
        <v>-101484.029465004</v>
      </c>
      <c r="BR15" s="15" t="n">
        <f aca="false">BH15+AD15+BL15+MAX(0,-AM15)+MAX(0,-AR15)+AG15</f>
        <v>70711.8234722222</v>
      </c>
      <c r="BS15" s="15" t="n">
        <f aca="false">AJ15+AV15+MAX(0,AM15)+MAX(0,AR15)+BC15+BG15+BQ15</f>
        <v>70711.8234722223</v>
      </c>
      <c r="BT15" s="15" t="n">
        <f aca="false">BR15-BS15</f>
        <v>0</v>
      </c>
      <c r="BU15" s="15" t="n">
        <f aca="false">BH15-(BD15+BE15-BF15-AY15)</f>
        <v>0</v>
      </c>
      <c r="BV15" s="15" t="n">
        <f aca="false">MIN(Piano_SS!$C$6,(BV14)+IF(AND(Motore_Operativo!C15&gt;=EDATE(Parametri_v3!$C$24,Ipotesi!C14*12),Motore_Operativo!C15&lt;EDATE(Parametri_v3!$C$24,Parametri_v3!$C$25+Ipotesi!C14*12)),MAX(0,(Motore_Operativo!Y15+Motore_Operativo!X15*Parametri_v3!$C$14)*(1-Parametri_v3!$C$32))*Piano_SS!$D$6,0))</f>
        <v>23750</v>
      </c>
      <c r="BW15" s="15" t="n">
        <f aca="false">MIN(Piano_SS!$C$7,(BW14)+IF(AND(Motore_Operativo!C15&gt;=EDATE(Parametri_v3!$C$24,Ipotesi!C14*12),Motore_Operativo!C15&lt;EDATE(Parametri_v3!$C$24,Parametri_v3!$C$25+Ipotesi!C14*12)),MAX(0,(IF(11-(INT((Ipotesi!$C$91)/30))&lt;1,0,INDEX(Motore_Operativo!$BN$5:$BN$64,MAX(1,11-(INT((Ipotesi!$C$91)/30)))))*(1-(MOD((Ipotesi!$C$91),30)/30))+IF(11-(INT((Ipotesi!$C$91)/30))-1&lt;1,0,INDEX(Motore_Operativo!$BN$5:$BN$64,MAX(1,11-(INT((Ipotesi!$C$91)/30))-1)))*(MOD((Ipotesi!$C$91),30)/30)))*Piano_SS!$D$7,0))</f>
        <v>6327.77777777778</v>
      </c>
      <c r="BX15" s="15" t="n">
        <f aca="false">MIN(Piano_SS!$C$8,(BX14)+IF(AND(Motore_Operativo!C15&gt;=EDATE(Parametri_v3!$C$24,Ipotesi!C14*12),Motore_Operativo!C15&lt;EDATE(Parametri_v3!$C$24,Parametri_v3!$C$25+Ipotesi!C14*12)),MAX(0,Motore_Operativo!CE15)*Piano_SS!$D$8,0))</f>
        <v>8333.33333333333</v>
      </c>
      <c r="BY15" s="15" t="n">
        <f aca="false">MIN(Piano_SS!$C$9,(BY14)+IF(AND(Motore_Operativo!C15&gt;=EDATE(Parametri_v3!$C$24,Ipotesi!C14*12),Motore_Operativo!C15&lt;EDATE(Parametri_v3!$C$24,Parametri_v3!$C$25+Ipotesi!C14*12)),MAX(0,((IF(11-(INT((Ipotesi!$C$91)/30))&lt;1,0,INDEX(Motore_Operativo!$BQ$5:$BQ$64,MAX(1,11-(INT((Ipotesi!$C$91)/30)))))*(1-(MOD((Ipotesi!$C$91),30)/30))+IF(11-(INT((Ipotesi!$C$91)/30))-1&lt;1,0,INDEX(Motore_Operativo!$BQ$5:$BQ$64,MAX(1,11-(INT((Ipotesi!$C$91)/30))-1)))*(MOD((Ipotesi!$C$91),30)/30))+(IF(11-(INT((Ipotesi!$C$91)/30))&lt;1,0,INDEX(Motore_Operativo!$BR$5:$BR$64,MAX(1,11-(INT((Ipotesi!$C$91)/30)))))*(1-(MOD((Ipotesi!$C$91),30)/30))+IF(11-(INT((Ipotesi!$C$91)/30))-1&lt;1,0,INDEX(Motore_Operativo!$BR$5:$BR$64,MAX(1,11-(INT((Ipotesi!$C$91)/30))-1)))*(MOD((Ipotesi!$C$91),30)/30))))*Piano_SS!$D$9,0))</f>
        <v>11250</v>
      </c>
      <c r="BZ15" s="15" t="n">
        <f aca="false">MIN(Piano_SS!$C$10,(BZ14)+IF(AND(Motore_Operativo!C15&gt;=EDATE(Parametri_v3!$C$24,Ipotesi!C14*12),Motore_Operativo!C15&lt;EDATE(Parametri_v3!$C$24,Parametri_v3!$C$25+Ipotesi!C14*12)),MAX(0,(IF(11-(INT((Ipotesi!$C$91)/30))&lt;1,0,INDEX(Motore_Operativo!$BO$5:$BO$64,MAX(1,11-(INT((Ipotesi!$C$91)/30)))))*(1-(MOD((Ipotesi!$C$91),30)/30))+IF(11-(INT((Ipotesi!$C$91)/30))-1&lt;1,0,INDEX(Motore_Operativo!$BO$5:$BO$64,MAX(1,11-(INT((Ipotesi!$C$91)/30))-1)))*(MOD((Ipotesi!$C$91),30)/30)))*Piano_SS!$D$10,0))</f>
        <v>5000</v>
      </c>
      <c r="CA15" s="15" t="n">
        <f aca="false">SUM(BV15:BZ15)</f>
        <v>54661.1111111111</v>
      </c>
      <c r="CB15" s="15" t="n">
        <f aca="false">BV15*(1-Piano_SS!$E$6)+BW15*(1-Piano_SS!$E$7)+BX15*(1-Piano_SS!$E$8)+BY15*(1-Piano_SS!$E$9)+BZ15*(1-Piano_SS!$E$10)</f>
        <v>49661.1111111111</v>
      </c>
      <c r="CC15" s="15" t="n">
        <f aca="false">(CC14)+BA15</f>
        <v>0</v>
      </c>
      <c r="CD15" s="15" t="n">
        <f aca="false">IF(CA15=0,0,CC15*CB15/CA15*Ipotesi!$C$103*Parametri_v3!$C$64)</f>
        <v>0</v>
      </c>
      <c r="CE15" s="18" t="n">
        <f aca="false">IF(BA15&gt;0,Motore_Operativo!C15,(CE14))</f>
        <v>0</v>
      </c>
      <c r="CF15" s="18" t="n">
        <f aca="false">IF(AND(CC15&gt;0,OR(CC15&gt;=CG15-0.01,Motore_Operativo!C15&gt;=EDATE(MAX(Finanziamenti!$D$15:$D$17),Ipotesi!C14*12))),CE15,0)</f>
        <v>0</v>
      </c>
      <c r="CG15" s="15" t="n">
        <f aca="false">IF(AND(1&lt;&gt;6,1&lt;&gt;9,Finanziamenti!$F$11=1,OR(Parametri_v3!$C$6=0,Finanziamenti!$E$11=1)),MIN(Finanziamenti!$C$11,Piano_SS!$C$12*Ipotesi!$C$102),0)</f>
        <v>400000</v>
      </c>
      <c r="CH15" s="15" t="n">
        <f aca="false">IF(AND(AND(1&lt;&gt;8,1&lt;&gt;9,Finanziamenti!$F$10=1,OR(Parametri_v3!$C$6=0,Finanziamenti!$E$10=1)),Motore_Operativo!C15&gt;=Finanziamenti!$D$10,Motore_Operativo!C15&lt;Parametri_v3!$C$63),Finanziamenti!$C$10,0)</f>
        <v>150000</v>
      </c>
    </row>
    <row r="16" customFormat="false" ht="18" hidden="false" customHeight="true" outlineLevel="0" collapsed="false">
      <c r="A16" s="68" t="n">
        <f aca="false">1</f>
        <v>1</v>
      </c>
      <c r="B16" s="68" t="n">
        <f aca="false">12</f>
        <v>12</v>
      </c>
      <c r="C16" s="18" t="n">
        <f aca="false">Motore_Operativo!C16</f>
        <v>46722</v>
      </c>
      <c r="D16" s="68" t="n">
        <f aca="false">Motore_Operativo!D16</f>
        <v>2027</v>
      </c>
      <c r="E16" s="68" t="n">
        <f aca="false">Motore_Operativo!E16</f>
        <v>12</v>
      </c>
      <c r="F16" s="15" t="n">
        <f aca="false">Motore_Operativo!AQ16+Motore_Operativo!BF16</f>
        <v>6097.22222222222</v>
      </c>
      <c r="G16" s="15" t="n">
        <f aca="false">Motore_Operativo!BH16</f>
        <v>1250</v>
      </c>
      <c r="H16" s="15" t="n">
        <f aca="false">Motore_Operativo!BI16</f>
        <v>7347.22222222222</v>
      </c>
      <c r="I16" s="15" t="n">
        <f aca="false">Motore_Operativo!CA16</f>
        <v>27680.6944444444</v>
      </c>
      <c r="J16" s="15" t="n">
        <f aca="false">Motore_Operativo!CC16</f>
        <v>-20333.4722222222</v>
      </c>
      <c r="K16" s="15" t="n">
        <f aca="false">Motore_Operativo!CE16</f>
        <v>1666.66666666667</v>
      </c>
      <c r="L16" s="15" t="n">
        <f aca="false">SUM(INDEX($K$5:$K$64,MAX(1,12-Parametri_v3!$C$59+1)):K16)/Parametri_v3!$C$59</f>
        <v>555.555555555556</v>
      </c>
      <c r="M16" s="15" t="n">
        <f aca="false">J16-L16</f>
        <v>-20889.0277777778</v>
      </c>
      <c r="N16" s="15" t="n">
        <f aca="false">CD16-(CD15)</f>
        <v>14305.6</v>
      </c>
      <c r="O16" s="15" t="n">
        <f aca="false">(BG15)*Ipotesi!$C$110/12+CH16*Parametri_v3!$C$39/12</f>
        <v>695.947904963907</v>
      </c>
      <c r="P16" s="15" t="n">
        <f aca="false">M16+N16-O16</f>
        <v>-7279.37568274169</v>
      </c>
      <c r="Q16" s="15" t="n">
        <f aca="false">SUM(P5:P16)+Parametri_v3!$C$54*12/12</f>
        <v>-238763.405147745</v>
      </c>
      <c r="R16" s="15" t="n">
        <f aca="false">0</f>
        <v>0</v>
      </c>
      <c r="S16" s="15" t="n">
        <f aca="false">0</f>
        <v>0</v>
      </c>
      <c r="T16" s="15" t="n">
        <f aca="false">MIN(R16,MAX(0,Q16))</f>
        <v>0</v>
      </c>
      <c r="U16" s="15" t="n">
        <f aca="false">MIN(S16,MAX(0,Q16-T16)*Parametri_v3!$C$42)</f>
        <v>0</v>
      </c>
      <c r="V16" s="15" t="n">
        <f aca="false">MAX(0,Q16-T16-U16)*Ipotesi!$C$92</f>
        <v>0</v>
      </c>
      <c r="W16" s="15" t="n">
        <f aca="false">MAX(0,SUM(M5:M16)+Parametri_v3!$C$55*12/12)*Ipotesi!$C$93</f>
        <v>0</v>
      </c>
      <c r="X16" s="15" t="n">
        <f aca="false">V16+W16-(V15+W15)</f>
        <v>0</v>
      </c>
      <c r="Y16" s="15" t="n">
        <f aca="false">P16-X16</f>
        <v>-7279.37568274169</v>
      </c>
      <c r="Z16" s="15" t="n">
        <f aca="false">R16-T16+IF(AND(Parametri_v3!$C$40=1,D16-YEAR(Parametri_v3!$C$50)&lt;Parametri_v3!$C$41),MAX(0,-Q16),0)</f>
        <v>238763.405147745</v>
      </c>
      <c r="AA16" s="15" t="n">
        <f aca="false">S16-U16+IF(AND(Parametri_v3!$C$40=1,D16-YEAR(Parametri_v3!$C$50)&lt;Parametri_v3!$C$41),0,MAX(0,-Q16))</f>
        <v>0</v>
      </c>
      <c r="AB16" s="15" t="n">
        <f aca="false">F16*(1+Parametri_v3!$C$26)</f>
        <v>7438.61111111111</v>
      </c>
      <c r="AC16" s="15" t="n">
        <f aca="false">(IF(12-(INT((Motore_Operativo!L16)/30))&lt;1,0,INDEX(Motore_Startup!$AB$5:$AB$64,MAX(1,12-(INT((Motore_Operativo!L16)/30)))))*(1-(MOD((Motore_Operativo!L16),30)/30))+IF(12-(INT((Motore_Operativo!L16)/30))-1&lt;1,0,INDEX(Motore_Startup!$AB$5:$AB$64,MAX(1,12-(INT((Motore_Operativo!L16)/30))-1)))*(MOD((Motore_Operativo!L16),30)/30))</f>
        <v>7235.27777777778</v>
      </c>
      <c r="AD16" s="15" t="n">
        <f aca="false">(AD15)+AB16-AC16</f>
        <v>22112.5</v>
      </c>
      <c r="AE16" s="15" t="n">
        <f aca="false">Motore_Operativo!BH16*(1+Parametri_v3!$C$26)</f>
        <v>1525</v>
      </c>
      <c r="AF16" s="15" t="n">
        <f aca="false">(IF(12-(INT((Parametri_v3!$C$29)/30))&lt;1,0,INDEX(Motore_Operativo!$BH$5:$BH$64,MAX(1,12-(INT((Parametri_v3!$C$29)/30)))))*(1-(MOD((Parametri_v3!$C$29),30)/30))+IF(12-(INT((Parametri_v3!$C$29)/30))-1&lt;1,0,INDEX(Motore_Operativo!$BH$5:$BH$64,MAX(1,12-(INT((Parametri_v3!$C$29)/30))-1)))*(MOD((Parametri_v3!$C$29),30)/30))*(1+Parametri_v3!$C$26)</f>
        <v>1525</v>
      </c>
      <c r="AG16" s="15" t="n">
        <f aca="false">(AG15)+AE16-AF16</f>
        <v>1525</v>
      </c>
      <c r="AH16" s="15" t="n">
        <f aca="false">(Motore_Operativo!CJ16)*(1+Parametri_v3!$C$27*Parametri_v3!$C$26)</f>
        <v>11589.9009722222</v>
      </c>
      <c r="AI16" s="15" t="n">
        <f aca="false">(IF(12-(INT((Ipotesi!$C$91)/30))&lt;1,0,INDEX(Motore_Startup!$AH$5:$AH$64,MAX(1,12-(INT((Ipotesi!$C$91)/30)))))*(1-(MOD((Ipotesi!$C$91),30)/30))+IF(12-(INT((Ipotesi!$C$91)/30))-1&lt;1,0,INDEX(Motore_Startup!$AH$5:$AH$64,MAX(1,12-(INT((Ipotesi!$C$91)/30))-1)))*(MOD((Ipotesi!$C$91),30)/30))</f>
        <v>11571.4365277778</v>
      </c>
      <c r="AJ16" s="15" t="n">
        <f aca="false">(AJ15)+AH16-AI16</f>
        <v>23170.5697222222</v>
      </c>
      <c r="AK16" s="15" t="n">
        <f aca="false">(F16+ Motore_Operativo!BH16-(Motore_Operativo!CJ16)*Parametri_v3!$C$27-Motore_Operativo!CE16)*Parametri_v3!$C$26</f>
        <v>-576.150972222222</v>
      </c>
      <c r="AL16" s="15" t="n">
        <f aca="false">MAX(0,(AM15))</f>
        <v>0</v>
      </c>
      <c r="AM16" s="15" t="n">
        <f aca="false">(AM15)+AK16-AL16</f>
        <v>-7576.03</v>
      </c>
      <c r="AN16" s="15" t="n">
        <f aca="false">0</f>
        <v>0</v>
      </c>
      <c r="AO16" s="15" t="n">
        <f aca="false">0</f>
        <v>0</v>
      </c>
      <c r="AP16" s="15" t="n">
        <f aca="false">MAX(0,AN16)*IF(12=Parametri_v3!$C$43,Parametri_v3!$C$45,IF(12=Parametri_v3!$C$44,1-Parametri_v3!$C$45,0))</f>
        <v>0</v>
      </c>
      <c r="AQ16" s="15" t="n">
        <f aca="false">MAX(0,AP16+IF(12=Parametri_v3!$C$43,MAX(0,AN16-AO16),0)-MAX(0,-(AR15)))</f>
        <v>0</v>
      </c>
      <c r="AR16" s="15" t="n">
        <f aca="false">(AR15)+X16-AQ16</f>
        <v>0</v>
      </c>
      <c r="AS16" s="15" t="n">
        <f aca="false">Motore_Operativo!AB16-AT16+AU16</f>
        <v>17020.8333333333</v>
      </c>
      <c r="AT16" s="15" t="n">
        <f aca="false">Motore_Operativo!CH16</f>
        <v>895.833333333334</v>
      </c>
      <c r="AU16" s="15" t="n">
        <f aca="false">MIN(MAX(0,(AV15)+AT16),Parametri_v3!$C$60/12)</f>
        <v>0</v>
      </c>
      <c r="AV16" s="15" t="n">
        <f aca="false">(AV15)+AT16-AU16</f>
        <v>10750</v>
      </c>
      <c r="AW16" s="15" t="n">
        <f aca="false">IF(AND(Motore_Operativo!C16=Finanziamenti!$D$6,Finanziamenti!$F$6=1),Finanziamenti!$C$6,0)</f>
        <v>0</v>
      </c>
      <c r="AX16" s="15" t="n">
        <f aca="false">IF(AND(1&lt;&gt;7,1&lt;&gt;9,Finanziamenti!$F$8=1,OR(Parametri_v3!$C$6=0,Finanziamenti!$E$8=1),Motore_Operativo!C16=EDATE(Finanziamenti!$D$8,Ipotesi!C15*12)),Finanziamenti!$C$8*1,0)+IF(AND(1&lt;&gt;7,1&lt;&gt;9,Finanziamenti!$F$9=1,OR(Parametri_v3!$C$6=0,Finanziamenti!$E$9=1),Motore_Operativo!C16=EDATE(Finanziamenti!$D$9,Ipotesi!C15*12)),Finanziamenti!$C$9*Ipotesi!C16,0)</f>
        <v>0</v>
      </c>
      <c r="AY16" s="15" t="n">
        <f aca="false">0</f>
        <v>0</v>
      </c>
      <c r="AZ16" s="15" t="n">
        <f aca="false">Motore_Advisory!AY16*(1-Ipotesi!$C$95)*Ipotesi!$C$96</f>
        <v>0</v>
      </c>
      <c r="BA16" s="15" t="n">
        <f aca="false">MAX(0,MIN(CG16*MIN(1,IF(Motore_Operativo!C16&gt;=EDATE(Finanziamenti!$D$15,Ipotesi!C14*12),Finanziamenti!$C$15,0)+IF(Motore_Operativo!C16&gt;=EDATE(Finanziamenti!$D$16,Ipotesi!C14*12),Finanziamenti!$C$16,0)+IF(Motore_Operativo!C16&gt;=EDATE(Finanziamenti!$D$17,Ipotesi!C14*12),Finanziamenti!$C$17,0)),CA16*Ipotesi!$C$102)-(CC15))</f>
        <v>52485.3333333333</v>
      </c>
      <c r="BB16" s="15" t="n">
        <f aca="false">IF(AND(CF16&gt;0,Motore_Operativo!C16&gt;=IF(CF16=0,0,EDATE(CF16,Parametri_v3!$C$37)),MOD(((D16-YEAR(IF(CF16=0,0,EDATE(CF16,Parametri_v3!$C$37))))*12+E16-MONTH(IF(CF16=0,0,EDATE(CF16,Parametri_v3!$C$37)))),Parametri_v3!$C$38)=0),MIN(MAX(0,(BC15)+BA16-N16),(CC16-CD16)/(Ipotesi!$C$108*12/Parametri_v3!$C$38)),0)</f>
        <v>0</v>
      </c>
      <c r="BC16" s="15" t="n">
        <f aca="false">(BC15)+BA16-N16-BB16</f>
        <v>38179.7333333333</v>
      </c>
      <c r="BD16" s="15" t="n">
        <f aca="false">(BH15)+AC16+AF16-AI16-AS16-K16*(1+Parametri_v3!$C$26)-AL16-AQ16-O16+AW16+AX16+AZ16+BA16-BB16</f>
        <v>54924.0600117028</v>
      </c>
      <c r="BE16" s="15" t="n">
        <f aca="false">MAX(0,MIN(MAX(0,CH16-(BG15)),Parametri_v3!$C$30-BD16))</f>
        <v>0</v>
      </c>
      <c r="BF16" s="15" t="n">
        <f aca="false">IF(Motore_Operativo!C16&gt;=Parametri_v3!$C$63,(BG15),MIN((BG15),MAX(0,BD16-Parametri_v3!$C$30)))</f>
        <v>29924.0600117028</v>
      </c>
      <c r="BG16" s="15" t="n">
        <f aca="false">(BG15)+BE16-BF16</f>
        <v>109265.520981079</v>
      </c>
      <c r="BH16" s="15" t="n">
        <f aca="false">BD16+BE16-BF16-AY16</f>
        <v>25000</v>
      </c>
      <c r="BI16" s="15" t="n">
        <f aca="false">MAX(0,Parametri_v3!$C$30-BH16)</f>
        <v>0</v>
      </c>
      <c r="BJ16" s="15" t="n">
        <f aca="false">(BJ15)+K16</f>
        <v>20000</v>
      </c>
      <c r="BK16" s="15" t="n">
        <f aca="false">(BK15)+L16</f>
        <v>3611.11111111111</v>
      </c>
      <c r="BL16" s="15" t="n">
        <f aca="false">BJ16-BK16</f>
        <v>16388.8888888889</v>
      </c>
      <c r="BM16" s="15" t="n">
        <f aca="false">(BM15)+Y16</f>
        <v>-238763.405147745</v>
      </c>
      <c r="BN16" s="15" t="n">
        <f aca="false">(BN15)+AW16+AX16+AZ16</f>
        <v>130000</v>
      </c>
      <c r="BO16" s="15" t="n">
        <f aca="false">(BO15)+AY16</f>
        <v>0</v>
      </c>
      <c r="BP16" s="15" t="n">
        <f aca="false">0</f>
        <v>0</v>
      </c>
      <c r="BQ16" s="15" t="n">
        <f aca="false">BN16+BM16-BO16</f>
        <v>-108763.405147745</v>
      </c>
      <c r="BR16" s="15" t="n">
        <f aca="false">BH16+AD16+BL16+MAX(0,-AM16)+MAX(0,-AR16)+AG16</f>
        <v>72602.4188888889</v>
      </c>
      <c r="BS16" s="15" t="n">
        <f aca="false">AJ16+AV16+MAX(0,AM16)+MAX(0,AR16)+BC16+BG16+BQ16</f>
        <v>72602.418888889</v>
      </c>
      <c r="BT16" s="15" t="n">
        <f aca="false">BR16-BS16</f>
        <v>0</v>
      </c>
      <c r="BU16" s="15" t="n">
        <f aca="false">BH16-(BD16+BE16-BF16-AY16)</f>
        <v>0</v>
      </c>
      <c r="BV16" s="15" t="n">
        <f aca="false">MIN(Piano_SS!$C$6,(BV15)+IF(AND(Motore_Operativo!C16&gt;=EDATE(Parametri_v3!$C$24,Ipotesi!C14*12),Motore_Operativo!C16&lt;EDATE(Parametri_v3!$C$24,Parametri_v3!$C$25+Ipotesi!C14*12)),MAX(0,(Motore_Operativo!Y16+Motore_Operativo!X16*Parametri_v3!$C$14)*(1-Parametri_v3!$C$32))*Piano_SS!$D$6,0))</f>
        <v>28500</v>
      </c>
      <c r="BW16" s="15" t="n">
        <f aca="false">MIN(Piano_SS!$C$7,(BW15)+IF(AND(Motore_Operativo!C16&gt;=EDATE(Parametri_v3!$C$24,Ipotesi!C14*12),Motore_Operativo!C16&lt;EDATE(Parametri_v3!$C$24,Parametri_v3!$C$25+Ipotesi!C14*12)),MAX(0,(IF(12-(INT((Ipotesi!$C$91)/30))&lt;1,0,INDEX(Motore_Operativo!$BN$5:$BN$64,MAX(1,12-(INT((Ipotesi!$C$91)/30)))))*(1-(MOD((Ipotesi!$C$91),30)/30))+IF(12-(INT((Ipotesi!$C$91)/30))-1&lt;1,0,INDEX(Motore_Operativo!$BN$5:$BN$64,MAX(1,12-(INT((Ipotesi!$C$91)/30))-1)))*(MOD((Ipotesi!$C$91),30)/30)))*Piano_SS!$D$7,0))</f>
        <v>7606.66666666667</v>
      </c>
      <c r="BX16" s="15" t="n">
        <f aca="false">MIN(Piano_SS!$C$8,(BX15)+IF(AND(Motore_Operativo!C16&gt;=EDATE(Parametri_v3!$C$24,Ipotesi!C14*12),Motore_Operativo!C16&lt;EDATE(Parametri_v3!$C$24,Parametri_v3!$C$25+Ipotesi!C14*12)),MAX(0,Motore_Operativo!CE16)*Piano_SS!$D$8,0))</f>
        <v>10000</v>
      </c>
      <c r="BY16" s="15" t="n">
        <f aca="false">MIN(Piano_SS!$C$9,(BY15)+IF(AND(Motore_Operativo!C16&gt;=EDATE(Parametri_v3!$C$24,Ipotesi!C14*12),Motore_Operativo!C16&lt;EDATE(Parametri_v3!$C$24,Parametri_v3!$C$25+Ipotesi!C14*12)),MAX(0,((IF(12-(INT((Ipotesi!$C$91)/30))&lt;1,0,INDEX(Motore_Operativo!$BQ$5:$BQ$64,MAX(1,12-(INT((Ipotesi!$C$91)/30)))))*(1-(MOD((Ipotesi!$C$91),30)/30))+IF(12-(INT((Ipotesi!$C$91)/30))-1&lt;1,0,INDEX(Motore_Operativo!$BQ$5:$BQ$64,MAX(1,12-(INT((Ipotesi!$C$91)/30))-1)))*(MOD((Ipotesi!$C$91),30)/30))+(IF(12-(INT((Ipotesi!$C$91)/30))&lt;1,0,INDEX(Motore_Operativo!$BR$5:$BR$64,MAX(1,12-(INT((Ipotesi!$C$91)/30)))))*(1-(MOD((Ipotesi!$C$91),30)/30))+IF(12-(INT((Ipotesi!$C$91)/30))-1&lt;1,0,INDEX(Motore_Operativo!$BR$5:$BR$64,MAX(1,12-(INT((Ipotesi!$C$91)/30))-1)))*(MOD((Ipotesi!$C$91),30)/30))))*Piano_SS!$D$9,0))</f>
        <v>13500</v>
      </c>
      <c r="BZ16" s="15" t="n">
        <f aca="false">MIN(Piano_SS!$C$10,(BZ15)+IF(AND(Motore_Operativo!C16&gt;=EDATE(Parametri_v3!$C$24,Ipotesi!C14*12),Motore_Operativo!C16&lt;EDATE(Parametri_v3!$C$24,Parametri_v3!$C$25+Ipotesi!C14*12)),MAX(0,(IF(12-(INT((Ipotesi!$C$91)/30))&lt;1,0,INDEX(Motore_Operativo!$BO$5:$BO$64,MAX(1,12-(INT((Ipotesi!$C$91)/30)))))*(1-(MOD((Ipotesi!$C$91),30)/30))+IF(12-(INT((Ipotesi!$C$91)/30))-1&lt;1,0,INDEX(Motore_Operativo!$BO$5:$BO$64,MAX(1,12-(INT((Ipotesi!$C$91)/30))-1)))*(MOD((Ipotesi!$C$91),30)/30)))*Piano_SS!$D$10,0))</f>
        <v>6000</v>
      </c>
      <c r="CA16" s="15" t="n">
        <f aca="false">SUM(BV16:BZ16)</f>
        <v>65606.6666666667</v>
      </c>
      <c r="CB16" s="15" t="n">
        <f aca="false">BV16*(1-Piano_SS!$E$6)+BW16*(1-Piano_SS!$E$7)+BX16*(1-Piano_SS!$E$8)+BY16*(1-Piano_SS!$E$9)+BZ16*(1-Piano_SS!$E$10)</f>
        <v>59606.6666666667</v>
      </c>
      <c r="CC16" s="15" t="n">
        <f aca="false">(CC15)+BA16</f>
        <v>52485.3333333333</v>
      </c>
      <c r="CD16" s="15" t="n">
        <f aca="false">IF(CA16=0,0,CC16*CB16/CA16*Ipotesi!$C$103*Parametri_v3!$C$64)</f>
        <v>14305.6</v>
      </c>
      <c r="CE16" s="18" t="n">
        <f aca="false">IF(BA16&gt;0,Motore_Operativo!C16,(CE15))</f>
        <v>46722</v>
      </c>
      <c r="CF16" s="18" t="n">
        <f aca="false">IF(AND(CC16&gt;0,OR(CC16&gt;=CG16-0.01,Motore_Operativo!C16&gt;=EDATE(MAX(Finanziamenti!$D$15:$D$17),Ipotesi!C14*12))),CE16,0)</f>
        <v>0</v>
      </c>
      <c r="CG16" s="15" t="n">
        <f aca="false">IF(AND(1&lt;&gt;6,1&lt;&gt;9,Finanziamenti!$F$11=1,OR(Parametri_v3!$C$6=0,Finanziamenti!$E$11=1)),MIN(Finanziamenti!$C$11,Piano_SS!$C$12*Ipotesi!$C$102),0)</f>
        <v>400000</v>
      </c>
      <c r="CH16" s="15" t="n">
        <f aca="false">IF(AND(AND(1&lt;&gt;8,1&lt;&gt;9,Finanziamenti!$F$10=1,OR(Parametri_v3!$C$6=0,Finanziamenti!$E$10=1)),Motore_Operativo!C16&gt;=Finanziamenti!$D$10,Motore_Operativo!C16&lt;Parametri_v3!$C$63),Finanziamenti!$C$10,0)</f>
        <v>150000</v>
      </c>
    </row>
    <row r="17" customFormat="false" ht="18" hidden="false" customHeight="true" outlineLevel="0" collapsed="false">
      <c r="A17" s="68" t="n">
        <f aca="false">1</f>
        <v>1</v>
      </c>
      <c r="B17" s="68" t="n">
        <f aca="false">13</f>
        <v>13</v>
      </c>
      <c r="C17" s="18" t="n">
        <f aca="false">Motore_Operativo!C17</f>
        <v>46753</v>
      </c>
      <c r="D17" s="68" t="n">
        <f aca="false">Motore_Operativo!D17</f>
        <v>2028</v>
      </c>
      <c r="E17" s="68" t="n">
        <f aca="false">Motore_Operativo!E17</f>
        <v>1</v>
      </c>
      <c r="F17" s="15" t="n">
        <f aca="false">Motore_Operativo!AQ17+Motore_Operativo!BF17</f>
        <v>17184.0937006955</v>
      </c>
      <c r="G17" s="15" t="n">
        <f aca="false">Motore_Operativo!BH17</f>
        <v>2937.5</v>
      </c>
      <c r="H17" s="15" t="n">
        <f aca="false">Motore_Operativo!BI17</f>
        <v>20121.5937006955</v>
      </c>
      <c r="I17" s="15" t="n">
        <f aca="false">Motore_Operativo!CA17</f>
        <v>56532.2314514307</v>
      </c>
      <c r="J17" s="15" t="n">
        <f aca="false">Motore_Operativo!CC17</f>
        <v>-36410.6377507352</v>
      </c>
      <c r="K17" s="15" t="n">
        <f aca="false">Motore_Operativo!CE17</f>
        <v>2083.33333333333</v>
      </c>
      <c r="L17" s="15" t="n">
        <f aca="false">SUM(INDEX($K$5:$K$64,MAX(1,13-Parametri_v3!$C$59+1)):K17)/Parametri_v3!$C$59</f>
        <v>613.425925925926</v>
      </c>
      <c r="M17" s="15" t="n">
        <f aca="false">J17-L17</f>
        <v>-37024.0636766611</v>
      </c>
      <c r="N17" s="15" t="n">
        <f aca="false">CD17-(CD16)</f>
        <v>4283.50000000001</v>
      </c>
      <c r="O17" s="15" t="n">
        <f aca="false">(BG16)*Ipotesi!$C$110/12+CH17*Parametri_v3!$C$39/12</f>
        <v>546.327604905394</v>
      </c>
      <c r="P17" s="15" t="n">
        <f aca="false">M17+N17-O17</f>
        <v>-33286.8912815665</v>
      </c>
      <c r="Q17" s="15" t="n">
        <f aca="false">SUM(P17)+Parametri_v3!$C$54*1/12</f>
        <v>-33286.8912815665</v>
      </c>
      <c r="R17" s="15" t="n">
        <f aca="false">Z16</f>
        <v>238763.405147745</v>
      </c>
      <c r="S17" s="15" t="n">
        <f aca="false">AA16</f>
        <v>0</v>
      </c>
      <c r="T17" s="15" t="n">
        <f aca="false">MIN(R17,MAX(0,Q17))</f>
        <v>0</v>
      </c>
      <c r="U17" s="15" t="n">
        <f aca="false">MIN(S17,MAX(0,Q17-T17)*Parametri_v3!$C$42)</f>
        <v>0</v>
      </c>
      <c r="V17" s="15" t="n">
        <f aca="false">MAX(0,Q17-T17-U17)*Ipotesi!$C$92</f>
        <v>0</v>
      </c>
      <c r="W17" s="15" t="n">
        <f aca="false">MAX(0,SUM(M17)+Parametri_v3!$C$55*1/12)*Ipotesi!$C$93</f>
        <v>0</v>
      </c>
      <c r="X17" s="15" t="n">
        <f aca="false">V17+W17-(0)</f>
        <v>0</v>
      </c>
      <c r="Y17" s="15" t="n">
        <f aca="false">P17-X17</f>
        <v>-33286.8912815665</v>
      </c>
      <c r="Z17" s="15" t="n">
        <f aca="false">R17-T17+IF(AND(Parametri_v3!$C$40=1,D17-YEAR(Parametri_v3!$C$50)&lt;Parametri_v3!$C$41),MAX(0,-Q17),0)</f>
        <v>272050.296429312</v>
      </c>
      <c r="AA17" s="15" t="n">
        <f aca="false">S17-U17+IF(AND(Parametri_v3!$C$40=1,D17-YEAR(Parametri_v3!$C$50)&lt;Parametri_v3!$C$41),0,MAX(0,-Q17))</f>
        <v>0</v>
      </c>
      <c r="AB17" s="15" t="n">
        <f aca="false">F17*(1+Parametri_v3!$C$26)</f>
        <v>20964.5943148485</v>
      </c>
      <c r="AC17" s="15" t="n">
        <f aca="false">(IF(13-(INT((Motore_Operativo!L17)/30))&lt;1,0,INDEX(Motore_Startup!$AB$5:$AB$64,MAX(1,13-(INT((Motore_Operativo!L17)/30)))))*(1-(MOD((Motore_Operativo!L17),30)/30))+IF(13-(INT((Motore_Operativo!L17)/30))-1&lt;1,0,INDEX(Motore_Startup!$AB$5:$AB$64,MAX(1,13-(INT((Motore_Operativo!L17)/30))-1)))*(MOD((Motore_Operativo!L17),30)/30))</f>
        <v>7303.05555555556</v>
      </c>
      <c r="AD17" s="15" t="n">
        <f aca="false">(AD16)+AB17-AC17</f>
        <v>35774.038759293</v>
      </c>
      <c r="AE17" s="15" t="n">
        <f aca="false">Motore_Operativo!BH17*(1+Parametri_v3!$C$26)</f>
        <v>3583.75</v>
      </c>
      <c r="AF17" s="15" t="n">
        <f aca="false">(IF(13-(INT((Parametri_v3!$C$29)/30))&lt;1,0,INDEX(Motore_Operativo!$BH$5:$BH$64,MAX(1,13-(INT((Parametri_v3!$C$29)/30)))))*(1-(MOD((Parametri_v3!$C$29),30)/30))+IF(13-(INT((Parametri_v3!$C$29)/30))-1&lt;1,0,INDEX(Motore_Operativo!$BH$5:$BH$64,MAX(1,13-(INT((Parametri_v3!$C$29)/30))-1)))*(MOD((Parametri_v3!$C$29),30)/30))*(1+Parametri_v3!$C$26)</f>
        <v>1525</v>
      </c>
      <c r="AG17" s="15" t="n">
        <f aca="false">(AG16)+AE17-AF17</f>
        <v>3583.75</v>
      </c>
      <c r="AH17" s="15" t="n">
        <f aca="false">(Motore_Operativo!CJ17)*(1+Parametri_v3!$C$27*Parametri_v3!$C$26)</f>
        <v>19905.6712328482</v>
      </c>
      <c r="AI17" s="15" t="n">
        <f aca="false">(IF(13-(INT((Ipotesi!$C$91)/30))&lt;1,0,INDEX(Motore_Startup!$AH$5:$AH$64,MAX(1,13-(INT((Ipotesi!$C$91)/30)))))*(1-(MOD((Ipotesi!$C$91),30)/30))+IF(13-(INT((Ipotesi!$C$91)/30))-1&lt;1,0,INDEX(Motore_Startup!$AH$5:$AH$64,MAX(1,13-(INT((Ipotesi!$C$91)/30))-1)))*(MOD((Ipotesi!$C$91),30)/30))</f>
        <v>11580.66875</v>
      </c>
      <c r="AJ17" s="15" t="n">
        <f aca="false">(AJ16)+AH17-AI17</f>
        <v>31495.5722050705</v>
      </c>
      <c r="AK17" s="15" t="n">
        <f aca="false">(F17+ Motore_Operativo!BH17-(Motore_Operativo!CJ17)*Parametri_v3!$C$27-Motore_Operativo!CE17)*Parametri_v3!$C$26</f>
        <v>832.477499402134</v>
      </c>
      <c r="AL17" s="15" t="n">
        <f aca="false">MAX(0,(AM16))</f>
        <v>0</v>
      </c>
      <c r="AM17" s="15" t="n">
        <f aca="false">(AM16)+AK17-AL17</f>
        <v>-6743.55250059786</v>
      </c>
      <c r="AN17" s="15" t="n">
        <f aca="false">SUM(X5:X16)</f>
        <v>0</v>
      </c>
      <c r="AO17" s="15" t="n">
        <f aca="false">SUM(AP5:AP16)</f>
        <v>0</v>
      </c>
      <c r="AP17" s="15" t="n">
        <f aca="false">MAX(0,AN17)*IF(1=Parametri_v3!$C$43,Parametri_v3!$C$45,IF(1=Parametri_v3!$C$44,1-Parametri_v3!$C$45,0))</f>
        <v>0</v>
      </c>
      <c r="AQ17" s="15" t="n">
        <f aca="false">MAX(0,AP17+IF(1=Parametri_v3!$C$43,MAX(0,AN17-AO17),0)-MAX(0,-(AR16)))</f>
        <v>0</v>
      </c>
      <c r="AR17" s="15" t="n">
        <f aca="false">(AR16)+X17-AQ17</f>
        <v>0</v>
      </c>
      <c r="AS17" s="15" t="n">
        <f aca="false">Motore_Operativo!AB17-AT17+AU17</f>
        <v>37774.375</v>
      </c>
      <c r="AT17" s="15" t="n">
        <f aca="false">Motore_Operativo!CH17</f>
        <v>1988.125</v>
      </c>
      <c r="AU17" s="15" t="n">
        <f aca="false">MIN(MAX(0,(AV16)+AT17),Parametri_v3!$C$60/12)</f>
        <v>0</v>
      </c>
      <c r="AV17" s="15" t="n">
        <f aca="false">(AV16)+AT17-AU17</f>
        <v>12738.125</v>
      </c>
      <c r="AW17" s="15" t="n">
        <f aca="false">IF(AND(Motore_Operativo!C17=Finanziamenti!$D$6,Finanziamenti!$F$6=1),Finanziamenti!$C$6,0)</f>
        <v>0</v>
      </c>
      <c r="AX17" s="15" t="n">
        <f aca="false">IF(AND(1&lt;&gt;7,1&lt;&gt;9,Finanziamenti!$F$8=1,OR(Parametri_v3!$C$6=0,Finanziamenti!$E$8=1),Motore_Operativo!C17=EDATE(Finanziamenti!$D$8,Ipotesi!C15*12)),Finanziamenti!$C$8*1,0)+IF(AND(1&lt;&gt;7,1&lt;&gt;9,Finanziamenti!$F$9=1,OR(Parametri_v3!$C$6=0,Finanziamenti!$E$9=1),Motore_Operativo!C17=EDATE(Finanziamenti!$D$9,Ipotesi!C15*12)),Finanziamenti!$C$9*Ipotesi!C16,0)</f>
        <v>0</v>
      </c>
      <c r="AY17" s="15" t="n">
        <f aca="false">0</f>
        <v>0</v>
      </c>
      <c r="AZ17" s="15" t="n">
        <f aca="false">Motore_Advisory!AY17*(1-Ipotesi!$C$95)*Ipotesi!$C$96</f>
        <v>0</v>
      </c>
      <c r="BA17" s="15" t="n">
        <f aca="false">MAX(0,MIN(CG17*MIN(1,IF(Motore_Operativo!C17&gt;=EDATE(Finanziamenti!$D$15,Ipotesi!C14*12),Finanziamenti!$C$15,0)+IF(Motore_Operativo!C17&gt;=EDATE(Finanziamenti!$D$16,Ipotesi!C14*12),Finanziamenti!$C$16,0)+IF(Motore_Operativo!C17&gt;=EDATE(Finanziamenti!$D$17,Ipotesi!C14*12),Finanziamenti!$C$17,0)),CA17*Ipotesi!$C$102)-(CC16))</f>
        <v>15078.3333333333</v>
      </c>
      <c r="BB17" s="15" t="n">
        <f aca="false">IF(AND(CF17&gt;0,Motore_Operativo!C17&gt;=IF(CF17=0,0,EDATE(CF17,Parametri_v3!$C$37)),MOD(((D17-YEAR(IF(CF17=0,0,EDATE(CF17,Parametri_v3!$C$37))))*12+E17-MONTH(IF(CF17=0,0,EDATE(CF17,Parametri_v3!$C$37)))),Parametri_v3!$C$38)=0),MIN(MAX(0,(BC16)+BA17-N17),(CC17-CD17)/(Ipotesi!$C$108*12/Parametri_v3!$C$38)),0)</f>
        <v>0</v>
      </c>
      <c r="BC17" s="15" t="n">
        <f aca="false">(BC16)+BA17-N17-BB17</f>
        <v>48974.5666666667</v>
      </c>
      <c r="BD17" s="15" t="n">
        <f aca="false">(BH16)+AC17+AF17-AI17-AS17-K17*(1+Parametri_v3!$C$26)-AL17-AQ17-O17+AW17+AX17+AZ17+BA17-BB17</f>
        <v>-3536.64913268316</v>
      </c>
      <c r="BE17" s="15" t="n">
        <f aca="false">MAX(0,MIN(MAX(0,CH17-(BG16)),Parametri_v3!$C$30-BD17))</f>
        <v>28536.6491326832</v>
      </c>
      <c r="BF17" s="15" t="n">
        <f aca="false">IF(Motore_Operativo!C17&gt;=Parametri_v3!$C$63,(BG16),MIN((BG16),MAX(0,BD17-Parametri_v3!$C$30)))</f>
        <v>0</v>
      </c>
      <c r="BG17" s="15" t="n">
        <f aca="false">(BG16)+BE17-BF17</f>
        <v>137802.170113762</v>
      </c>
      <c r="BH17" s="15" t="n">
        <f aca="false">BD17+BE17-BF17-AY17</f>
        <v>25000</v>
      </c>
      <c r="BI17" s="15" t="n">
        <f aca="false">MAX(0,Parametri_v3!$C$30-BH17)</f>
        <v>0</v>
      </c>
      <c r="BJ17" s="15" t="n">
        <f aca="false">(BJ16)+K17</f>
        <v>22083.3333333333</v>
      </c>
      <c r="BK17" s="15" t="n">
        <f aca="false">(BK16)+L17</f>
        <v>4224.53703703704</v>
      </c>
      <c r="BL17" s="15" t="n">
        <f aca="false">BJ17-BK17</f>
        <v>17858.7962962963</v>
      </c>
      <c r="BM17" s="15" t="n">
        <f aca="false">(BM16)+Y17</f>
        <v>-272050.296429312</v>
      </c>
      <c r="BN17" s="15" t="n">
        <f aca="false">(BN16)+AW17+AX17+AZ17</f>
        <v>130000</v>
      </c>
      <c r="BO17" s="15" t="n">
        <f aca="false">(BO16)+AY17</f>
        <v>0</v>
      </c>
      <c r="BP17" s="15" t="n">
        <f aca="false">0</f>
        <v>0</v>
      </c>
      <c r="BQ17" s="15" t="n">
        <f aca="false">BN17+BM17-BO17</f>
        <v>-142050.296429312</v>
      </c>
      <c r="BR17" s="15" t="n">
        <f aca="false">BH17+AD17+BL17+MAX(0,-AM17)+MAX(0,-AR17)+AG17</f>
        <v>88960.1375561871</v>
      </c>
      <c r="BS17" s="15" t="n">
        <f aca="false">AJ17+AV17+MAX(0,AM17)+MAX(0,AR17)+BC17+BG17+BQ17</f>
        <v>88960.1375561872</v>
      </c>
      <c r="BT17" s="15" t="n">
        <f aca="false">BR17-BS17</f>
        <v>0</v>
      </c>
      <c r="BU17" s="15" t="n">
        <f aca="false">BH17-(BD17+BE17-BF17-AY17)</f>
        <v>0</v>
      </c>
      <c r="BV17" s="15" t="n">
        <f aca="false">MIN(Piano_SS!$C$6,(BV16)+IF(AND(Motore_Operativo!C17&gt;=EDATE(Parametri_v3!$C$24,Ipotesi!C14*12),Motore_Operativo!C17&lt;EDATE(Parametri_v3!$C$24,Parametri_v3!$C$25+Ipotesi!C14*12)),MAX(0,(Motore_Operativo!Y17+Motore_Operativo!X17*Parametri_v3!$C$14)*(1-Parametri_v3!$C$32))*Piano_SS!$D$6,0))</f>
        <v>40731.25</v>
      </c>
      <c r="BW17" s="15" t="n">
        <f aca="false">MIN(Piano_SS!$C$7,(BW16)+IF(AND(Motore_Operativo!C17&gt;=EDATE(Parametri_v3!$C$24,Ipotesi!C14*12),Motore_Operativo!C17&lt;EDATE(Parametri_v3!$C$24,Parametri_v3!$C$25+Ipotesi!C14*12)),MAX(0,(IF(13-(INT((Ipotesi!$C$91)/30))&lt;1,0,INDEX(Motore_Operativo!$BN$5:$BN$64,MAX(1,13-(INT((Ipotesi!$C$91)/30)))))*(1-(MOD((Ipotesi!$C$91),30)/30))+IF(13-(INT((Ipotesi!$C$91)/30))-1&lt;1,0,INDEX(Motore_Operativo!$BN$5:$BN$64,MAX(1,13-(INT((Ipotesi!$C$91)/30))-1)))*(MOD((Ipotesi!$C$91),30)/30)))*Piano_SS!$D$7,0))</f>
        <v>8890</v>
      </c>
      <c r="BX17" s="15" t="n">
        <f aca="false">MIN(Piano_SS!$C$8,(BX16)+IF(AND(Motore_Operativo!C17&gt;=EDATE(Parametri_v3!$C$24,Ipotesi!C14*12),Motore_Operativo!C17&lt;EDATE(Parametri_v3!$C$24,Parametri_v3!$C$25+Ipotesi!C14*12)),MAX(0,Motore_Operativo!CE17)*Piano_SS!$D$8,0))</f>
        <v>12083.3333333333</v>
      </c>
      <c r="BY17" s="15" t="n">
        <f aca="false">MIN(Piano_SS!$C$9,(BY16)+IF(AND(Motore_Operativo!C17&gt;=EDATE(Parametri_v3!$C$24,Ipotesi!C14*12),Motore_Operativo!C17&lt;EDATE(Parametri_v3!$C$24,Parametri_v3!$C$25+Ipotesi!C14*12)),MAX(0,((IF(13-(INT((Ipotesi!$C$91)/30))&lt;1,0,INDEX(Motore_Operativo!$BQ$5:$BQ$64,MAX(1,13-(INT((Ipotesi!$C$91)/30)))))*(1-(MOD((Ipotesi!$C$91),30)/30))+IF(13-(INT((Ipotesi!$C$91)/30))-1&lt;1,0,INDEX(Motore_Operativo!$BQ$5:$BQ$64,MAX(1,13-(INT((Ipotesi!$C$91)/30))-1)))*(MOD((Ipotesi!$C$91),30)/30))+(IF(13-(INT((Ipotesi!$C$91)/30))&lt;1,0,INDEX(Motore_Operativo!$BR$5:$BR$64,MAX(1,13-(INT((Ipotesi!$C$91)/30)))))*(1-(MOD((Ipotesi!$C$91),30)/30))+IF(13-(INT((Ipotesi!$C$91)/30))-1&lt;1,0,INDEX(Motore_Operativo!$BR$5:$BR$64,MAX(1,13-(INT((Ipotesi!$C$91)/30))-1)))*(MOD((Ipotesi!$C$91),30)/30))))*Piano_SS!$D$9,0))</f>
        <v>15750</v>
      </c>
      <c r="BZ17" s="15" t="n">
        <f aca="false">MIN(Piano_SS!$C$10,(BZ16)+IF(AND(Motore_Operativo!C17&gt;=EDATE(Parametri_v3!$C$24,Ipotesi!C14*12),Motore_Operativo!C17&lt;EDATE(Parametri_v3!$C$24,Parametri_v3!$C$25+Ipotesi!C14*12)),MAX(0,(IF(13-(INT((Ipotesi!$C$91)/30))&lt;1,0,INDEX(Motore_Operativo!$BO$5:$BO$64,MAX(1,13-(INT((Ipotesi!$C$91)/30)))))*(1-(MOD((Ipotesi!$C$91),30)/30))+IF(13-(INT((Ipotesi!$C$91)/30))-1&lt;1,0,INDEX(Motore_Operativo!$BO$5:$BO$64,MAX(1,13-(INT((Ipotesi!$C$91)/30))-1)))*(MOD((Ipotesi!$C$91),30)/30)))*Piano_SS!$D$10,0))</f>
        <v>7000</v>
      </c>
      <c r="CA17" s="15" t="n">
        <f aca="false">SUM(BV17:BZ17)</f>
        <v>84454.5833333333</v>
      </c>
      <c r="CB17" s="15" t="n">
        <f aca="false">BV17*(1-Piano_SS!$E$6)+BW17*(1-Piano_SS!$E$7)+BX17*(1-Piano_SS!$E$8)+BY17*(1-Piano_SS!$E$9)+BZ17*(1-Piano_SS!$E$10)</f>
        <v>77454.5833333333</v>
      </c>
      <c r="CC17" s="15" t="n">
        <f aca="false">(CC16)+BA17</f>
        <v>67563.6666666667</v>
      </c>
      <c r="CD17" s="15" t="n">
        <f aca="false">IF(CA17=0,0,CC17*CB17/CA17*Ipotesi!$C$103*Parametri_v3!$C$64)</f>
        <v>18589.1</v>
      </c>
      <c r="CE17" s="18" t="n">
        <f aca="false">IF(BA17&gt;0,Motore_Operativo!C17,(CE16))</f>
        <v>46753</v>
      </c>
      <c r="CF17" s="18" t="n">
        <f aca="false">IF(AND(CC17&gt;0,OR(CC17&gt;=CG17-0.01,Motore_Operativo!C17&gt;=EDATE(MAX(Finanziamenti!$D$15:$D$17),Ipotesi!C14*12))),CE17,0)</f>
        <v>0</v>
      </c>
      <c r="CG17" s="15" t="n">
        <f aca="false">IF(AND(1&lt;&gt;6,1&lt;&gt;9,Finanziamenti!$F$11=1,OR(Parametri_v3!$C$6=0,Finanziamenti!$E$11=1)),MIN(Finanziamenti!$C$11,Piano_SS!$C$12*Ipotesi!$C$102),0)</f>
        <v>400000</v>
      </c>
      <c r="CH17" s="15" t="n">
        <f aca="false">IF(AND(AND(1&lt;&gt;8,1&lt;&gt;9,Finanziamenti!$F$10=1,OR(Parametri_v3!$C$6=0,Finanziamenti!$E$10=1)),Motore_Operativo!C17&gt;=Finanziamenti!$D$10,Motore_Operativo!C17&lt;Parametri_v3!$C$63),Finanziamenti!$C$10,0)</f>
        <v>150000</v>
      </c>
    </row>
    <row r="18" customFormat="false" ht="18" hidden="false" customHeight="true" outlineLevel="0" collapsed="false">
      <c r="A18" s="68" t="n">
        <f aca="false">1</f>
        <v>1</v>
      </c>
      <c r="B18" s="68" t="n">
        <f aca="false">14</f>
        <v>14</v>
      </c>
      <c r="C18" s="18" t="n">
        <f aca="false">Motore_Operativo!C18</f>
        <v>46784</v>
      </c>
      <c r="D18" s="68" t="n">
        <f aca="false">Motore_Operativo!D18</f>
        <v>2028</v>
      </c>
      <c r="E18" s="68" t="n">
        <f aca="false">Motore_Operativo!E18</f>
        <v>2</v>
      </c>
      <c r="F18" s="15" t="n">
        <f aca="false">Motore_Operativo!AQ18+Motore_Operativo!BF18</f>
        <v>17488.4450019181</v>
      </c>
      <c r="G18" s="15" t="n">
        <f aca="false">Motore_Operativo!BH18</f>
        <v>2937.5</v>
      </c>
      <c r="H18" s="15" t="n">
        <f aca="false">Motore_Operativo!BI18</f>
        <v>20425.9450019181</v>
      </c>
      <c r="I18" s="15" t="n">
        <f aca="false">Motore_Operativo!CA18</f>
        <v>56574.8406336019</v>
      </c>
      <c r="J18" s="15" t="n">
        <f aca="false">Motore_Operativo!CC18</f>
        <v>-36148.8956316838</v>
      </c>
      <c r="K18" s="15" t="n">
        <f aca="false">Motore_Operativo!CE18</f>
        <v>2083.33333333333</v>
      </c>
      <c r="L18" s="15" t="n">
        <f aca="false">SUM(INDEX($K$5:$K$64,MAX(1,14-Parametri_v3!$C$59+1)):K18)/Parametri_v3!$C$59</f>
        <v>671.296296296296</v>
      </c>
      <c r="M18" s="15" t="n">
        <f aca="false">J18-L18</f>
        <v>-36820.1919279801</v>
      </c>
      <c r="N18" s="15" t="n">
        <f aca="false">CD18-(CD17)</f>
        <v>3552.36085693927</v>
      </c>
      <c r="O18" s="15" t="n">
        <f aca="false">(BG17)*Ipotesi!$C$110/12+CH18*Parametri_v3!$C$39/12</f>
        <v>689.010850568809</v>
      </c>
      <c r="P18" s="15" t="n">
        <f aca="false">M18+N18-O18</f>
        <v>-33956.8419216096</v>
      </c>
      <c r="Q18" s="15" t="n">
        <f aca="false">SUM(P17:P18)+Parametri_v3!$C$54*2/12</f>
        <v>-67243.7332031761</v>
      </c>
      <c r="R18" s="15" t="n">
        <f aca="false">Z16</f>
        <v>238763.405147745</v>
      </c>
      <c r="S18" s="15" t="n">
        <f aca="false">AA16</f>
        <v>0</v>
      </c>
      <c r="T18" s="15" t="n">
        <f aca="false">MIN(R18,MAX(0,Q18))</f>
        <v>0</v>
      </c>
      <c r="U18" s="15" t="n">
        <f aca="false">MIN(S18,MAX(0,Q18-T18)*Parametri_v3!$C$42)</f>
        <v>0</v>
      </c>
      <c r="V18" s="15" t="n">
        <f aca="false">MAX(0,Q18-T18-U18)*Ipotesi!$C$92</f>
        <v>0</v>
      </c>
      <c r="W18" s="15" t="n">
        <f aca="false">MAX(0,SUM(M17:M18)+Parametri_v3!$C$55*2/12)*Ipotesi!$C$93</f>
        <v>0</v>
      </c>
      <c r="X18" s="15" t="n">
        <f aca="false">V18+W18-(V17+W17)</f>
        <v>0</v>
      </c>
      <c r="Y18" s="15" t="n">
        <f aca="false">P18-X18</f>
        <v>-33956.8419216096</v>
      </c>
      <c r="Z18" s="15" t="n">
        <f aca="false">R18-T18+IF(AND(Parametri_v3!$C$40=1,D18-YEAR(Parametri_v3!$C$50)&lt;Parametri_v3!$C$41),MAX(0,-Q18),0)</f>
        <v>306007.138350921</v>
      </c>
      <c r="AA18" s="15" t="n">
        <f aca="false">S18-U18+IF(AND(Parametri_v3!$C$40=1,D18-YEAR(Parametri_v3!$C$50)&lt;Parametri_v3!$C$41),0,MAX(0,-Q18))</f>
        <v>0</v>
      </c>
      <c r="AB18" s="15" t="n">
        <f aca="false">F18*(1+Parametri_v3!$C$26)</f>
        <v>21335.9029023401</v>
      </c>
      <c r="AC18" s="15" t="n">
        <f aca="false">(IF(14-(INT((Motore_Operativo!L18)/30))&lt;1,0,INDEX(Motore_Startup!$AB$5:$AB$64,MAX(1,14-(INT((Motore_Operativo!L18)/30)))))*(1-(MOD((Motore_Operativo!L18),30)/30))+IF(14-(INT((Motore_Operativo!L18)/30))-1&lt;1,0,INDEX(Motore_Startup!$AB$5:$AB$64,MAX(1,14-(INT((Motore_Operativo!L18)/30))-1)))*(MOD((Motore_Operativo!L18),30)/30))</f>
        <v>7370.83333333333</v>
      </c>
      <c r="AD18" s="15" t="n">
        <f aca="false">(AD17)+AB18-AC18</f>
        <v>49739.1083282997</v>
      </c>
      <c r="AE18" s="15" t="n">
        <f aca="false">Motore_Operativo!BH18*(1+Parametri_v3!$C$26)</f>
        <v>3583.75</v>
      </c>
      <c r="AF18" s="15" t="n">
        <f aca="false">(IF(14-(INT((Parametri_v3!$C$29)/30))&lt;1,0,INDEX(Motore_Operativo!$BH$5:$BH$64,MAX(1,14-(INT((Parametri_v3!$C$29)/30)))))*(1-(MOD((Parametri_v3!$C$29),30)/30))+IF(14-(INT((Parametri_v3!$C$29)/30))-1&lt;1,0,INDEX(Motore_Operativo!$BH$5:$BH$64,MAX(1,14-(INT((Parametri_v3!$C$29)/30))-1)))*(MOD((Parametri_v3!$C$29),30)/30))*(1+Parametri_v3!$C$26)</f>
        <v>3583.75</v>
      </c>
      <c r="AG18" s="15" t="n">
        <f aca="false">(AG17)+AE18-AF18</f>
        <v>3583.75</v>
      </c>
      <c r="AH18" s="15" t="n">
        <f aca="false">(Motore_Operativo!CJ18)*(1+Parametri_v3!$C$27*Parametri_v3!$C$26)</f>
        <v>19956.2483320854</v>
      </c>
      <c r="AI18" s="15" t="n">
        <f aca="false">(IF(14-(INT((Ipotesi!$C$91)/30))&lt;1,0,INDEX(Motore_Startup!$AH$5:$AH$64,MAX(1,14-(INT((Ipotesi!$C$91)/30)))))*(1-(MOD((Ipotesi!$C$91),30)/30))+IF(14-(INT((Ipotesi!$C$91)/30))-1&lt;1,0,INDEX(Motore_Startup!$AH$5:$AH$64,MAX(1,14-(INT((Ipotesi!$C$91)/30))-1)))*(MOD((Ipotesi!$C$91),30)/30))</f>
        <v>11589.9009722222</v>
      </c>
      <c r="AJ18" s="15" t="n">
        <f aca="false">(AJ17)+AH18-AI18</f>
        <v>39861.9195649337</v>
      </c>
      <c r="AK18" s="15" t="n">
        <f aca="false">(F18+ Motore_Operativo!BH18-(Motore_Operativo!CJ18)*Parametri_v3!$C$27-Motore_Operativo!CE18)*Parametri_v3!$C$26</f>
        <v>891.466868605102</v>
      </c>
      <c r="AL18" s="15" t="n">
        <f aca="false">MAX(0,(AM17))</f>
        <v>0</v>
      </c>
      <c r="AM18" s="15" t="n">
        <f aca="false">(AM17)+AK18-AL18</f>
        <v>-5852.08563199276</v>
      </c>
      <c r="AN18" s="15" t="n">
        <f aca="false">SUM(X5:X16)</f>
        <v>0</v>
      </c>
      <c r="AO18" s="15" t="n">
        <f aca="false">SUM(AP5:AP16)</f>
        <v>0</v>
      </c>
      <c r="AP18" s="15" t="n">
        <f aca="false">MAX(0,AN18)*IF(2=Parametri_v3!$C$43,Parametri_v3!$C$45,IF(2=Parametri_v3!$C$44,1-Parametri_v3!$C$45,0))</f>
        <v>0</v>
      </c>
      <c r="AQ18" s="15" t="n">
        <f aca="false">MAX(0,AP18+IF(2=Parametri_v3!$C$43,MAX(0,AN18-AO18),0)-MAX(0,-(AR17)))</f>
        <v>0</v>
      </c>
      <c r="AR18" s="15" t="n">
        <f aca="false">(AR17)+X18-AQ18</f>
        <v>0</v>
      </c>
      <c r="AS18" s="15" t="n">
        <f aca="false">Motore_Operativo!AB18-AT18+AU18</f>
        <v>37774.375</v>
      </c>
      <c r="AT18" s="15" t="n">
        <f aca="false">Motore_Operativo!CH18</f>
        <v>1988.125</v>
      </c>
      <c r="AU18" s="15" t="n">
        <f aca="false">MIN(MAX(0,(AV17)+AT18),Parametri_v3!$C$60/12)</f>
        <v>0</v>
      </c>
      <c r="AV18" s="15" t="n">
        <f aca="false">(AV17)+AT18-AU18</f>
        <v>14726.25</v>
      </c>
      <c r="AW18" s="15" t="n">
        <f aca="false">IF(AND(Motore_Operativo!C18=Finanziamenti!$D$6,Finanziamenti!$F$6=1),Finanziamenti!$C$6,0)</f>
        <v>0</v>
      </c>
      <c r="AX18" s="15" t="n">
        <f aca="false">IF(AND(1&lt;&gt;7,1&lt;&gt;9,Finanziamenti!$F$8=1,OR(Parametri_v3!$C$6=0,Finanziamenti!$E$8=1),Motore_Operativo!C18=EDATE(Finanziamenti!$D$8,Ipotesi!C15*12)),Finanziamenti!$C$8*1,0)+IF(AND(1&lt;&gt;7,1&lt;&gt;9,Finanziamenti!$F$9=1,OR(Parametri_v3!$C$6=0,Finanziamenti!$E$9=1),Motore_Operativo!C18=EDATE(Finanziamenti!$D$9,Ipotesi!C15*12)),Finanziamenti!$C$9*Ipotesi!C16,0)</f>
        <v>0</v>
      </c>
      <c r="AY18" s="15" t="n">
        <f aca="false">0</f>
        <v>0</v>
      </c>
      <c r="AZ18" s="15" t="n">
        <f aca="false">Motore_Advisory!AY18*(1-Ipotesi!$C$95)*Ipotesi!$C$96</f>
        <v>0</v>
      </c>
      <c r="BA18" s="15" t="n">
        <f aca="false">MAX(0,MIN(CG18*MIN(1,IF(Motore_Operativo!C18&gt;=EDATE(Finanziamenti!$D$15,Ipotesi!C14*12),Finanziamenti!$C$15,0)+IF(Motore_Operativo!C18&gt;=EDATE(Finanziamenti!$D$16,Ipotesi!C14*12),Finanziamenti!$C$16,0)+IF(Motore_Operativo!C18&gt;=EDATE(Finanziamenti!$D$17,Ipotesi!C14*12),Finanziamenti!$C$17,0)),CA18*Ipotesi!$C$102)-(CC17))</f>
        <v>12436.3333333333</v>
      </c>
      <c r="BB18" s="15" t="n">
        <f aca="false">IF(AND(CF18&gt;0,Motore_Operativo!C18&gt;=IF(CF18=0,0,EDATE(CF18,Parametri_v3!$C$37)),MOD(((D18-YEAR(IF(CF18=0,0,EDATE(CF18,Parametri_v3!$C$37))))*12+E18-MONTH(IF(CF18=0,0,EDATE(CF18,Parametri_v3!$C$37)))),Parametri_v3!$C$38)=0),MIN(MAX(0,(BC17)+BA18-N18),(CC18-CD18)/(Ipotesi!$C$108*12/Parametri_v3!$C$38)),0)</f>
        <v>0</v>
      </c>
      <c r="BC18" s="15" t="n">
        <f aca="false">(BC17)+BA18-N18-BB18</f>
        <v>57858.5391430607</v>
      </c>
      <c r="BD18" s="15" t="n">
        <f aca="false">(BH17)+AC18+AF18-AI18-AS18-K18*(1+Parametri_v3!$C$26)-AL18-AQ18-O18+AW18+AX18+AZ18+BA18-BB18</f>
        <v>-4204.03682279103</v>
      </c>
      <c r="BE18" s="15" t="n">
        <f aca="false">MAX(0,MIN(MAX(0,CH18-(BG17)),Parametri_v3!$C$30-BD18))</f>
        <v>12197.8298862381</v>
      </c>
      <c r="BF18" s="15" t="n">
        <f aca="false">IF(Motore_Operativo!C18&gt;=Parametri_v3!$C$63,(BG17),MIN((BG17),MAX(0,BD18-Parametri_v3!$C$30)))</f>
        <v>0</v>
      </c>
      <c r="BG18" s="15" t="n">
        <f aca="false">(BG17)+BE18-BF18</f>
        <v>150000</v>
      </c>
      <c r="BH18" s="15" t="n">
        <f aca="false">BD18+BE18-BF18-AY18</f>
        <v>7993.79306344712</v>
      </c>
      <c r="BI18" s="15" t="n">
        <f aca="false">MAX(0,Parametri_v3!$C$30-BH18)</f>
        <v>17006.2069365529</v>
      </c>
      <c r="BJ18" s="15" t="n">
        <f aca="false">(BJ17)+K18</f>
        <v>24166.6666666667</v>
      </c>
      <c r="BK18" s="15" t="n">
        <f aca="false">(BK17)+L18</f>
        <v>4895.83333333333</v>
      </c>
      <c r="BL18" s="15" t="n">
        <f aca="false">BJ18-BK18</f>
        <v>19270.8333333333</v>
      </c>
      <c r="BM18" s="15" t="n">
        <f aca="false">(BM17)+Y18</f>
        <v>-306007.138350921</v>
      </c>
      <c r="BN18" s="15" t="n">
        <f aca="false">(BN17)+AW18+AX18+AZ18</f>
        <v>130000</v>
      </c>
      <c r="BO18" s="15" t="n">
        <f aca="false">(BO17)+AY18</f>
        <v>0</v>
      </c>
      <c r="BP18" s="15" t="n">
        <f aca="false">0</f>
        <v>0</v>
      </c>
      <c r="BQ18" s="15" t="n">
        <f aca="false">BN18+BM18-BO18</f>
        <v>-176007.138350921</v>
      </c>
      <c r="BR18" s="15" t="n">
        <f aca="false">BH18+AD18+BL18+MAX(0,-AM18)+MAX(0,-AR18)+AG18</f>
        <v>86439.5703570729</v>
      </c>
      <c r="BS18" s="15" t="n">
        <f aca="false">AJ18+AV18+MAX(0,AM18)+MAX(0,AR18)+BC18+BG18+BQ18</f>
        <v>86439.570357073</v>
      </c>
      <c r="BT18" s="15" t="n">
        <f aca="false">BR18-BS18</f>
        <v>0</v>
      </c>
      <c r="BU18" s="15" t="n">
        <f aca="false">BH18-(BD18+BE18-BF18-AY18)</f>
        <v>0</v>
      </c>
      <c r="BV18" s="15" t="n">
        <f aca="false">MIN(Piano_SS!$C$6,(BV17)+IF(AND(Motore_Operativo!C18&gt;=EDATE(Parametri_v3!$C$24,Ipotesi!C14*12),Motore_Operativo!C18&lt;EDATE(Parametri_v3!$C$24,Parametri_v3!$C$25+Ipotesi!C14*12)),MAX(0,(Motore_Operativo!Y18+Motore_Operativo!X18*Parametri_v3!$C$14)*(1-Parametri_v3!$C$32))*Piano_SS!$D$6,0))</f>
        <v>52962.5</v>
      </c>
      <c r="BW18" s="15" t="n">
        <f aca="false">MIN(Piano_SS!$C$7,(BW17)+IF(AND(Motore_Operativo!C18&gt;=EDATE(Parametri_v3!$C$24,Ipotesi!C14*12),Motore_Operativo!C18&lt;EDATE(Parametri_v3!$C$24,Parametri_v3!$C$25+Ipotesi!C14*12)),MAX(0,(IF(14-(INT((Ipotesi!$C$91)/30))&lt;1,0,INDEX(Motore_Operativo!$BN$5:$BN$64,MAX(1,14-(INT((Ipotesi!$C$91)/30)))))*(1-(MOD((Ipotesi!$C$91),30)/30))+IF(14-(INT((Ipotesi!$C$91)/30))-1&lt;1,0,INDEX(Motore_Operativo!$BN$5:$BN$64,MAX(1,14-(INT((Ipotesi!$C$91)/30))-1)))*(MOD((Ipotesi!$C$91),30)/30)))*Piano_SS!$D$7,0))</f>
        <v>10177.7777777778</v>
      </c>
      <c r="BX18" s="15" t="n">
        <f aca="false">MIN(Piano_SS!$C$8,(BX17)+IF(AND(Motore_Operativo!C18&gt;=EDATE(Parametri_v3!$C$24,Ipotesi!C14*12),Motore_Operativo!C18&lt;EDATE(Parametri_v3!$C$24,Parametri_v3!$C$25+Ipotesi!C14*12)),MAX(0,Motore_Operativo!CE18)*Piano_SS!$D$8,0))</f>
        <v>14166.6666666667</v>
      </c>
      <c r="BY18" s="15" t="n">
        <f aca="false">MIN(Piano_SS!$C$9,(BY17)+IF(AND(Motore_Operativo!C18&gt;=EDATE(Parametri_v3!$C$24,Ipotesi!C14*12),Motore_Operativo!C18&lt;EDATE(Parametri_v3!$C$24,Parametri_v3!$C$25+Ipotesi!C14*12)),MAX(0,((IF(14-(INT((Ipotesi!$C$91)/30))&lt;1,0,INDEX(Motore_Operativo!$BQ$5:$BQ$64,MAX(1,14-(INT((Ipotesi!$C$91)/30)))))*(1-(MOD((Ipotesi!$C$91),30)/30))+IF(14-(INT((Ipotesi!$C$91)/30))-1&lt;1,0,INDEX(Motore_Operativo!$BQ$5:$BQ$64,MAX(1,14-(INT((Ipotesi!$C$91)/30))-1)))*(MOD((Ipotesi!$C$91),30)/30))+(IF(14-(INT((Ipotesi!$C$91)/30))&lt;1,0,INDEX(Motore_Operativo!$BR$5:$BR$64,MAX(1,14-(INT((Ipotesi!$C$91)/30)))))*(1-(MOD((Ipotesi!$C$91),30)/30))+IF(14-(INT((Ipotesi!$C$91)/30))-1&lt;1,0,INDEX(Motore_Operativo!$BR$5:$BR$64,MAX(1,14-(INT((Ipotesi!$C$91)/30))-1)))*(MOD((Ipotesi!$C$91),30)/30))))*Piano_SS!$D$9,0))</f>
        <v>18000</v>
      </c>
      <c r="BZ18" s="15" t="n">
        <f aca="false">MIN(Piano_SS!$C$10,(BZ17)+IF(AND(Motore_Operativo!C18&gt;=EDATE(Parametri_v3!$C$24,Ipotesi!C14*12),Motore_Operativo!C18&lt;EDATE(Parametri_v3!$C$24,Parametri_v3!$C$25+Ipotesi!C14*12)),MAX(0,(IF(14-(INT((Ipotesi!$C$91)/30))&lt;1,0,INDEX(Motore_Operativo!$BO$5:$BO$64,MAX(1,14-(INT((Ipotesi!$C$91)/30)))))*(1-(MOD((Ipotesi!$C$91),30)/30))+IF(14-(INT((Ipotesi!$C$91)/30))-1&lt;1,0,INDEX(Motore_Operativo!$BO$5:$BO$64,MAX(1,14-(INT((Ipotesi!$C$91)/30))-1)))*(MOD((Ipotesi!$C$91),30)/30)))*Piano_SS!$D$10,0))</f>
        <v>8000</v>
      </c>
      <c r="CA18" s="15" t="n">
        <f aca="false">SUM(BV18:BZ18)</f>
        <v>103306.944444444</v>
      </c>
      <c r="CB18" s="15" t="n">
        <f aca="false">BV18*(1-Piano_SS!$E$6)+BW18*(1-Piano_SS!$E$7)+BX18*(1-Piano_SS!$E$8)+BY18*(1-Piano_SS!$E$9)+BZ18*(1-Piano_SS!$E$10)</f>
        <v>95306.9444444445</v>
      </c>
      <c r="CC18" s="15" t="n">
        <f aca="false">(CC17)+BA18</f>
        <v>80000</v>
      </c>
      <c r="CD18" s="15" t="n">
        <f aca="false">IF(CA18=0,0,CC18*CB18/CA18*Ipotesi!$C$103*Parametri_v3!$C$64)</f>
        <v>22141.4608569393</v>
      </c>
      <c r="CE18" s="18" t="n">
        <f aca="false">IF(BA18&gt;0,Motore_Operativo!C18,(CE17))</f>
        <v>46784</v>
      </c>
      <c r="CF18" s="18" t="n">
        <f aca="false">IF(AND(CC18&gt;0,OR(CC18&gt;=CG18-0.01,Motore_Operativo!C18&gt;=EDATE(MAX(Finanziamenti!$D$15:$D$17),Ipotesi!C14*12))),CE18,0)</f>
        <v>0</v>
      </c>
      <c r="CG18" s="15" t="n">
        <f aca="false">IF(AND(1&lt;&gt;6,1&lt;&gt;9,Finanziamenti!$F$11=1,OR(Parametri_v3!$C$6=0,Finanziamenti!$E$11=1)),MIN(Finanziamenti!$C$11,Piano_SS!$C$12*Ipotesi!$C$102),0)</f>
        <v>400000</v>
      </c>
      <c r="CH18" s="15" t="n">
        <f aca="false">IF(AND(AND(1&lt;&gt;8,1&lt;&gt;9,Finanziamenti!$F$10=1,OR(Parametri_v3!$C$6=0,Finanziamenti!$E$10=1)),Motore_Operativo!C18&gt;=Finanziamenti!$D$10,Motore_Operativo!C18&lt;Parametri_v3!$C$63),Finanziamenti!$C$10,0)</f>
        <v>150000</v>
      </c>
    </row>
    <row r="19" customFormat="false" ht="18" hidden="false" customHeight="true" outlineLevel="0" collapsed="false">
      <c r="A19" s="68" t="n">
        <f aca="false">1</f>
        <v>1</v>
      </c>
      <c r="B19" s="68" t="n">
        <f aca="false">15</f>
        <v>15</v>
      </c>
      <c r="C19" s="18" t="n">
        <f aca="false">Motore_Operativo!C19</f>
        <v>46813</v>
      </c>
      <c r="D19" s="68" t="n">
        <f aca="false">Motore_Operativo!D19</f>
        <v>2028</v>
      </c>
      <c r="E19" s="68" t="n">
        <f aca="false">Motore_Operativo!E19</f>
        <v>3</v>
      </c>
      <c r="F19" s="15" t="n">
        <f aca="false">Motore_Operativo!AQ19+Motore_Operativo!BF19</f>
        <v>17790.1357824719</v>
      </c>
      <c r="G19" s="15" t="n">
        <f aca="false">Motore_Operativo!BH19</f>
        <v>2937.5</v>
      </c>
      <c r="H19" s="15" t="n">
        <f aca="false">Motore_Operativo!BI19</f>
        <v>20727.6357824719</v>
      </c>
      <c r="I19" s="15" t="n">
        <f aca="false">Motore_Operativo!CA19</f>
        <v>56617.0773428794</v>
      </c>
      <c r="J19" s="15" t="n">
        <f aca="false">Motore_Operativo!CC19</f>
        <v>-35889.4415604075</v>
      </c>
      <c r="K19" s="15" t="n">
        <f aca="false">Motore_Operativo!CE19</f>
        <v>2083.33333333333</v>
      </c>
      <c r="L19" s="15" t="n">
        <f aca="false">SUM(INDEX($K$5:$K$64,MAX(1,15-Parametri_v3!$C$59+1)):K19)/Parametri_v3!$C$59</f>
        <v>729.166666666667</v>
      </c>
      <c r="M19" s="15" t="n">
        <f aca="false">J19-L19</f>
        <v>-36618.6082270742</v>
      </c>
      <c r="N19" s="15" t="n">
        <f aca="false">CD19-(CD18)</f>
        <v>-49.0902832518768</v>
      </c>
      <c r="O19" s="15" t="n">
        <f aca="false">(BG18)*Ipotesi!$C$110/12+CH19*Parametri_v3!$C$39/12</f>
        <v>750</v>
      </c>
      <c r="P19" s="15" t="n">
        <f aca="false">M19+N19-O19</f>
        <v>-37417.698510326</v>
      </c>
      <c r="Q19" s="15" t="n">
        <f aca="false">SUM(P17:P19)+Parametri_v3!$C$54*3/12</f>
        <v>-104661.431713502</v>
      </c>
      <c r="R19" s="15" t="n">
        <f aca="false">Z16</f>
        <v>238763.405147745</v>
      </c>
      <c r="S19" s="15" t="n">
        <f aca="false">AA16</f>
        <v>0</v>
      </c>
      <c r="T19" s="15" t="n">
        <f aca="false">MIN(R19,MAX(0,Q19))</f>
        <v>0</v>
      </c>
      <c r="U19" s="15" t="n">
        <f aca="false">MIN(S19,MAX(0,Q19-T19)*Parametri_v3!$C$42)</f>
        <v>0</v>
      </c>
      <c r="V19" s="15" t="n">
        <f aca="false">MAX(0,Q19-T19-U19)*Ipotesi!$C$92</f>
        <v>0</v>
      </c>
      <c r="W19" s="15" t="n">
        <f aca="false">MAX(0,SUM(M17:M19)+Parametri_v3!$C$55*3/12)*Ipotesi!$C$93</f>
        <v>0</v>
      </c>
      <c r="X19" s="15" t="n">
        <f aca="false">V19+W19-(V18+W18)</f>
        <v>0</v>
      </c>
      <c r="Y19" s="15" t="n">
        <f aca="false">P19-X19</f>
        <v>-37417.698510326</v>
      </c>
      <c r="Z19" s="15" t="n">
        <f aca="false">R19-T19+IF(AND(Parametri_v3!$C$40=1,D19-YEAR(Parametri_v3!$C$50)&lt;Parametri_v3!$C$41),MAX(0,-Q19),0)</f>
        <v>343424.836861248</v>
      </c>
      <c r="AA19" s="15" t="n">
        <f aca="false">S19-U19+IF(AND(Parametri_v3!$C$40=1,D19-YEAR(Parametri_v3!$C$50)&lt;Parametri_v3!$C$41),0,MAX(0,-Q19))</f>
        <v>0</v>
      </c>
      <c r="AB19" s="15" t="n">
        <f aca="false">F19*(1+Parametri_v3!$C$26)</f>
        <v>21703.9656546157</v>
      </c>
      <c r="AC19" s="15" t="n">
        <f aca="false">(IF(15-(INT((Motore_Operativo!L19)/30))&lt;1,0,INDEX(Motore_Startup!$AB$5:$AB$64,MAX(1,15-(INT((Motore_Operativo!L19)/30)))))*(1-(MOD((Motore_Operativo!L19),30)/30))+IF(15-(INT((Motore_Operativo!L19)/30))-1&lt;1,0,INDEX(Motore_Startup!$AB$5:$AB$64,MAX(1,15-(INT((Motore_Operativo!L19)/30))-1)))*(MOD((Motore_Operativo!L19),30)/30))</f>
        <v>7438.61111111111</v>
      </c>
      <c r="AD19" s="15" t="n">
        <f aca="false">(AD18)+AB19-AC19</f>
        <v>64004.4628718043</v>
      </c>
      <c r="AE19" s="15" t="n">
        <f aca="false">Motore_Operativo!BH19*(1+Parametri_v3!$C$26)</f>
        <v>3583.75</v>
      </c>
      <c r="AF19" s="15" t="n">
        <f aca="false">(IF(15-(INT((Parametri_v3!$C$29)/30))&lt;1,0,INDEX(Motore_Operativo!$BH$5:$BH$64,MAX(1,15-(INT((Parametri_v3!$C$29)/30)))))*(1-(MOD((Parametri_v3!$C$29),30)/30))+IF(15-(INT((Parametri_v3!$C$29)/30))-1&lt;1,0,INDEX(Motore_Operativo!$BH$5:$BH$64,MAX(1,15-(INT((Parametri_v3!$C$29)/30))-1)))*(MOD((Parametri_v3!$C$29),30)/30))*(1+Parametri_v3!$C$26)</f>
        <v>3583.75</v>
      </c>
      <c r="AG19" s="15" t="n">
        <f aca="false">(AG18)+AE19-AF19</f>
        <v>3583.75</v>
      </c>
      <c r="AH19" s="15" t="n">
        <f aca="false">(Motore_Operativo!CJ19)*(1+Parametri_v3!$C$27*Parametri_v3!$C$26)</f>
        <v>20006.3833059979</v>
      </c>
      <c r="AI19" s="15" t="n">
        <f aca="false">(IF(15-(INT((Ipotesi!$C$91)/30))&lt;1,0,INDEX(Motore_Startup!$AH$5:$AH$64,MAX(1,15-(INT((Ipotesi!$C$91)/30)))))*(1-(MOD((Ipotesi!$C$91),30)/30))+IF(15-(INT((Ipotesi!$C$91)/30))-1&lt;1,0,INDEX(Motore_Startup!$AH$5:$AH$64,MAX(1,15-(INT((Ipotesi!$C$91)/30))-1)))*(MOD((Ipotesi!$C$91),30)/30))</f>
        <v>19905.6712328482</v>
      </c>
      <c r="AJ19" s="15" t="n">
        <f aca="false">(AJ18)+AH19-AI19</f>
        <v>39962.6316380833</v>
      </c>
      <c r="AK19" s="15" t="n">
        <f aca="false">(F19+ Motore_Operativo!BH19-(Motore_Operativo!CJ19)*Parametri_v3!$C$27-Motore_Operativo!CE19)*Parametri_v3!$C$26</f>
        <v>949.940575692036</v>
      </c>
      <c r="AL19" s="15" t="n">
        <f aca="false">MAX(0,(AM18))</f>
        <v>0</v>
      </c>
      <c r="AM19" s="15" t="n">
        <f aca="false">(AM18)+AK19-AL19</f>
        <v>-4902.14505630072</v>
      </c>
      <c r="AN19" s="15" t="n">
        <f aca="false">SUM(X5:X16)</f>
        <v>0</v>
      </c>
      <c r="AO19" s="15" t="n">
        <f aca="false">SUM(AP5:AP16)</f>
        <v>0</v>
      </c>
      <c r="AP19" s="15" t="n">
        <f aca="false">MAX(0,AN19)*IF(3=Parametri_v3!$C$43,Parametri_v3!$C$45,IF(3=Parametri_v3!$C$44,1-Parametri_v3!$C$45,0))</f>
        <v>0</v>
      </c>
      <c r="AQ19" s="15" t="n">
        <f aca="false">MAX(0,AP19+IF(3=Parametri_v3!$C$43,MAX(0,AN19-AO19),0)-MAX(0,-(AR18)))</f>
        <v>0</v>
      </c>
      <c r="AR19" s="15" t="n">
        <f aca="false">(AR18)+X19-AQ19</f>
        <v>0</v>
      </c>
      <c r="AS19" s="15" t="n">
        <f aca="false">Motore_Operativo!AB19-AT19+AU19</f>
        <v>37774.375</v>
      </c>
      <c r="AT19" s="15" t="n">
        <f aca="false">Motore_Operativo!CH19</f>
        <v>1988.125</v>
      </c>
      <c r="AU19" s="15" t="n">
        <f aca="false">MIN(MAX(0,(AV18)+AT19),Parametri_v3!$C$60/12)</f>
        <v>0</v>
      </c>
      <c r="AV19" s="15" t="n">
        <f aca="false">(AV18)+AT19-AU19</f>
        <v>16714.375</v>
      </c>
      <c r="AW19" s="15" t="n">
        <f aca="false">IF(AND(Motore_Operativo!C19=Finanziamenti!$D$6,Finanziamenti!$F$6=1),Finanziamenti!$C$6,0)</f>
        <v>0</v>
      </c>
      <c r="AX19" s="15" t="n">
        <f aca="false">IF(AND(1&lt;&gt;7,1&lt;&gt;9,Finanziamenti!$F$8=1,OR(Parametri_v3!$C$6=0,Finanziamenti!$E$8=1),Motore_Operativo!C19=EDATE(Finanziamenti!$D$8,Ipotesi!C15*12)),Finanziamenti!$C$8*1,0)+IF(AND(1&lt;&gt;7,1&lt;&gt;9,Finanziamenti!$F$9=1,OR(Parametri_v3!$C$6=0,Finanziamenti!$E$9=1),Motore_Operativo!C19=EDATE(Finanziamenti!$D$9,Ipotesi!C15*12)),Finanziamenti!$C$9*Ipotesi!C16,0)</f>
        <v>0</v>
      </c>
      <c r="AY19" s="15" t="n">
        <f aca="false">0</f>
        <v>0</v>
      </c>
      <c r="AZ19" s="15" t="n">
        <f aca="false">Motore_Advisory!AY19*(1-Ipotesi!$C$95)*Ipotesi!$C$96</f>
        <v>0</v>
      </c>
      <c r="BA19" s="15" t="n">
        <f aca="false">MAX(0,MIN(CG19*MIN(1,IF(Motore_Operativo!C19&gt;=EDATE(Finanziamenti!$D$15,Ipotesi!C14*12),Finanziamenti!$C$15,0)+IF(Motore_Operativo!C19&gt;=EDATE(Finanziamenti!$D$16,Ipotesi!C14*12),Finanziamenti!$C$16,0)+IF(Motore_Operativo!C19&gt;=EDATE(Finanziamenti!$D$17,Ipotesi!C14*12),Finanziamenti!$C$17,0)),CA19*Ipotesi!$C$102)-(CC18))</f>
        <v>0</v>
      </c>
      <c r="BB19" s="15" t="n">
        <f aca="false">IF(AND(CF19&gt;0,Motore_Operativo!C19&gt;=IF(CF19=0,0,EDATE(CF19,Parametri_v3!$C$37)),MOD(((D19-YEAR(IF(CF19=0,0,EDATE(CF19,Parametri_v3!$C$37))))*12+E19-MONTH(IF(CF19=0,0,EDATE(CF19,Parametri_v3!$C$37)))),Parametri_v3!$C$38)=0),MIN(MAX(0,(BC18)+BA19-N19),(CC19-CD19)/(Ipotesi!$C$108*12/Parametri_v3!$C$38)),0)</f>
        <v>0</v>
      </c>
      <c r="BC19" s="15" t="n">
        <f aca="false">(BC18)+BA19-N19-BB19</f>
        <v>57907.6294263126</v>
      </c>
      <c r="BD19" s="15" t="n">
        <f aca="false">(BH18)+AC19+AF19-AI19-AS19-K19*(1+Parametri_v3!$C$26)-AL19-AQ19-O19+AW19+AX19+AZ19+BA19-BB19</f>
        <v>-41955.5587249567</v>
      </c>
      <c r="BE19" s="15" t="n">
        <f aca="false">MAX(0,MIN(MAX(0,CH19-(BG18)),Parametri_v3!$C$30-BD19))</f>
        <v>0</v>
      </c>
      <c r="BF19" s="15" t="n">
        <f aca="false">IF(Motore_Operativo!C19&gt;=Parametri_v3!$C$63,(BG18),MIN((BG18),MAX(0,BD19-Parametri_v3!$C$30)))</f>
        <v>0</v>
      </c>
      <c r="BG19" s="15" t="n">
        <f aca="false">(BG18)+BE19-BF19</f>
        <v>150000</v>
      </c>
      <c r="BH19" s="15" t="n">
        <f aca="false">BD19+BE19-BF19-AY19</f>
        <v>-41955.5587249567</v>
      </c>
      <c r="BI19" s="15" t="n">
        <f aca="false">MAX(0,Parametri_v3!$C$30-BH19)</f>
        <v>66955.5587249567</v>
      </c>
      <c r="BJ19" s="15" t="n">
        <f aca="false">(BJ18)+K19</f>
        <v>26250</v>
      </c>
      <c r="BK19" s="15" t="n">
        <f aca="false">(BK18)+L19</f>
        <v>5625</v>
      </c>
      <c r="BL19" s="15" t="n">
        <f aca="false">BJ19-BK19</f>
        <v>20625</v>
      </c>
      <c r="BM19" s="15" t="n">
        <f aca="false">(BM18)+Y19</f>
        <v>-343424.836861248</v>
      </c>
      <c r="BN19" s="15" t="n">
        <f aca="false">(BN18)+AW19+AX19+AZ19</f>
        <v>130000</v>
      </c>
      <c r="BO19" s="15" t="n">
        <f aca="false">(BO18)+AY19</f>
        <v>0</v>
      </c>
      <c r="BP19" s="15" t="n">
        <f aca="false">0</f>
        <v>0</v>
      </c>
      <c r="BQ19" s="15" t="n">
        <f aca="false">BN19+BM19-BO19</f>
        <v>-213424.836861248</v>
      </c>
      <c r="BR19" s="15" t="n">
        <f aca="false">BH19+AD19+BL19+MAX(0,-AM19)+MAX(0,-AR19)+AG19</f>
        <v>51159.7992031484</v>
      </c>
      <c r="BS19" s="15" t="n">
        <f aca="false">AJ19+AV19+MAX(0,AM19)+MAX(0,AR19)+BC19+BG19+BQ19</f>
        <v>51159.7992031484</v>
      </c>
      <c r="BT19" s="15" t="n">
        <f aca="false">BR19-BS19</f>
        <v>0</v>
      </c>
      <c r="BU19" s="15" t="n">
        <f aca="false">BH19-(BD19+BE19-BF19-AY19)</f>
        <v>0</v>
      </c>
      <c r="BV19" s="15" t="n">
        <f aca="false">MIN(Piano_SS!$C$6,(BV18)+IF(AND(Motore_Operativo!C19&gt;=EDATE(Parametri_v3!$C$24,Ipotesi!C14*12),Motore_Operativo!C19&lt;EDATE(Parametri_v3!$C$24,Parametri_v3!$C$25+Ipotesi!C14*12)),MAX(0,(Motore_Operativo!Y19+Motore_Operativo!X19*Parametri_v3!$C$14)*(1-Parametri_v3!$C$32))*Piano_SS!$D$6,0))</f>
        <v>65193.75</v>
      </c>
      <c r="BW19" s="15" t="n">
        <f aca="false">MIN(Piano_SS!$C$7,(BW18)+IF(AND(Motore_Operativo!C19&gt;=EDATE(Parametri_v3!$C$24,Ipotesi!C14*12),Motore_Operativo!C19&lt;EDATE(Parametri_v3!$C$24,Parametri_v3!$C$25+Ipotesi!C14*12)),MAX(0,(IF(15-(INT((Ipotesi!$C$91)/30))&lt;1,0,INDEX(Motore_Operativo!$BN$5:$BN$64,MAX(1,15-(INT((Ipotesi!$C$91)/30)))))*(1-(MOD((Ipotesi!$C$91),30)/30))+IF(15-(INT((Ipotesi!$C$91)/30))-1&lt;1,0,INDEX(Motore_Operativo!$BN$5:$BN$64,MAX(1,15-(INT((Ipotesi!$C$91)/30))-1)))*(MOD((Ipotesi!$C$91),30)/30)))*Piano_SS!$D$7,0))</f>
        <v>11520.0052738334</v>
      </c>
      <c r="BX19" s="15" t="n">
        <f aca="false">MIN(Piano_SS!$C$8,(BX18)+IF(AND(Motore_Operativo!C19&gt;=EDATE(Parametri_v3!$C$24,Ipotesi!C14*12),Motore_Operativo!C19&lt;EDATE(Parametri_v3!$C$24,Parametri_v3!$C$25+Ipotesi!C14*12)),MAX(0,Motore_Operativo!CE19)*Piano_SS!$D$8,0))</f>
        <v>16250</v>
      </c>
      <c r="BY19" s="15" t="n">
        <f aca="false">MIN(Piano_SS!$C$9,(BY18)+IF(AND(Motore_Operativo!C19&gt;=EDATE(Parametri_v3!$C$24,Ipotesi!C14*12),Motore_Operativo!C19&lt;EDATE(Parametri_v3!$C$24,Parametri_v3!$C$25+Ipotesi!C14*12)),MAX(0,((IF(15-(INT((Ipotesi!$C$91)/30))&lt;1,0,INDEX(Motore_Operativo!$BQ$5:$BQ$64,MAX(1,15-(INT((Ipotesi!$C$91)/30)))))*(1-(MOD((Ipotesi!$C$91),30)/30))+IF(15-(INT((Ipotesi!$C$91)/30))-1&lt;1,0,INDEX(Motore_Operativo!$BQ$5:$BQ$64,MAX(1,15-(INT((Ipotesi!$C$91)/30))-1)))*(MOD((Ipotesi!$C$91),30)/30))+(IF(15-(INT((Ipotesi!$C$91)/30))&lt;1,0,INDEX(Motore_Operativo!$BR$5:$BR$64,MAX(1,15-(INT((Ipotesi!$C$91)/30)))))*(1-(MOD((Ipotesi!$C$91),30)/30))+IF(15-(INT((Ipotesi!$C$91)/30))-1&lt;1,0,INDEX(Motore_Operativo!$BR$5:$BR$64,MAX(1,15-(INT((Ipotesi!$C$91)/30))-1)))*(MOD((Ipotesi!$C$91),30)/30))))*Piano_SS!$D$9,0))</f>
        <v>20916.6666666667</v>
      </c>
      <c r="BZ19" s="15" t="n">
        <f aca="false">MIN(Piano_SS!$C$10,(BZ18)+IF(AND(Motore_Operativo!C19&gt;=EDATE(Parametri_v3!$C$24,Ipotesi!C14*12),Motore_Operativo!C19&lt;EDATE(Parametri_v3!$C$24,Parametri_v3!$C$25+Ipotesi!C14*12)),MAX(0,(IF(15-(INT((Ipotesi!$C$91)/30))&lt;1,0,INDEX(Motore_Operativo!$BO$5:$BO$64,MAX(1,15-(INT((Ipotesi!$C$91)/30)))))*(1-(MOD((Ipotesi!$C$91),30)/30))+IF(15-(INT((Ipotesi!$C$91)/30))-1&lt;1,0,INDEX(Motore_Operativo!$BO$5:$BO$64,MAX(1,15-(INT((Ipotesi!$C$91)/30))-1)))*(MOD((Ipotesi!$C$91),30)/30)))*Piano_SS!$D$10,0))</f>
        <v>9833.33333333333</v>
      </c>
      <c r="CA19" s="15" t="n">
        <f aca="false">SUM(BV19:BZ19)</f>
        <v>123713.755273833</v>
      </c>
      <c r="CB19" s="15" t="n">
        <f aca="false">BV19*(1-Piano_SS!$E$6)+BW19*(1-Piano_SS!$E$7)+BX19*(1-Piano_SS!$E$8)+BY19*(1-Piano_SS!$E$9)+BZ19*(1-Piano_SS!$E$10)</f>
        <v>113880.4219405</v>
      </c>
      <c r="CC19" s="15" t="n">
        <f aca="false">(CC18)+BA19</f>
        <v>80000</v>
      </c>
      <c r="CD19" s="15" t="n">
        <f aca="false">IF(CA19=0,0,CC19*CB19/CA19*Ipotesi!$C$103*Parametri_v3!$C$64)</f>
        <v>22092.3705736874</v>
      </c>
      <c r="CE19" s="18" t="n">
        <f aca="false">IF(BA19&gt;0,Motore_Operativo!C19,(CE18))</f>
        <v>46784</v>
      </c>
      <c r="CF19" s="18" t="n">
        <f aca="false">IF(AND(CC19&gt;0,OR(CC19&gt;=CG19-0.01,Motore_Operativo!C19&gt;=EDATE(MAX(Finanziamenti!$D$15:$D$17),Ipotesi!C14*12))),CE19,0)</f>
        <v>0</v>
      </c>
      <c r="CG19" s="15" t="n">
        <f aca="false">IF(AND(1&lt;&gt;6,1&lt;&gt;9,Finanziamenti!$F$11=1,OR(Parametri_v3!$C$6=0,Finanziamenti!$E$11=1)),MIN(Finanziamenti!$C$11,Piano_SS!$C$12*Ipotesi!$C$102),0)</f>
        <v>400000</v>
      </c>
      <c r="CH19" s="15" t="n">
        <f aca="false">IF(AND(AND(1&lt;&gt;8,1&lt;&gt;9,Finanziamenti!$F$10=1,OR(Parametri_v3!$C$6=0,Finanziamenti!$E$10=1)),Motore_Operativo!C19&gt;=Finanziamenti!$D$10,Motore_Operativo!C19&lt;Parametri_v3!$C$63),Finanziamenti!$C$10,0)</f>
        <v>150000</v>
      </c>
    </row>
    <row r="20" customFormat="false" ht="18" hidden="false" customHeight="true" outlineLevel="0" collapsed="false">
      <c r="A20" s="68" t="n">
        <f aca="false">1</f>
        <v>1</v>
      </c>
      <c r="B20" s="68" t="n">
        <f aca="false">16</f>
        <v>16</v>
      </c>
      <c r="C20" s="18" t="n">
        <f aca="false">Motore_Operativo!C20</f>
        <v>46844</v>
      </c>
      <c r="D20" s="68" t="n">
        <f aca="false">Motore_Operativo!D20</f>
        <v>2028</v>
      </c>
      <c r="E20" s="68" t="n">
        <f aca="false">Motore_Operativo!E20</f>
        <v>4</v>
      </c>
      <c r="F20" s="15" t="n">
        <f aca="false">Motore_Operativo!AQ20+Motore_Operativo!BF20</f>
        <v>18215.7314254016</v>
      </c>
      <c r="G20" s="15" t="n">
        <f aca="false">Motore_Operativo!BH20</f>
        <v>2937.5</v>
      </c>
      <c r="H20" s="15" t="n">
        <f aca="false">Motore_Operativo!BI20</f>
        <v>21153.2314254016</v>
      </c>
      <c r="I20" s="15" t="n">
        <f aca="false">Motore_Operativo!CA20</f>
        <v>56676.6607328896</v>
      </c>
      <c r="J20" s="15" t="n">
        <f aca="false">Motore_Operativo!CC20</f>
        <v>-35523.429307488</v>
      </c>
      <c r="K20" s="15" t="n">
        <f aca="false">Motore_Operativo!CE20</f>
        <v>2083.33333333333</v>
      </c>
      <c r="L20" s="15" t="n">
        <f aca="false">SUM(INDEX($K$5:$K$64,MAX(1,16-Parametri_v3!$C$59+1)):K20)/Parametri_v3!$C$59</f>
        <v>787.037037037037</v>
      </c>
      <c r="M20" s="15" t="n">
        <f aca="false">J20-L20</f>
        <v>-36310.466344525</v>
      </c>
      <c r="N20" s="15" t="n">
        <f aca="false">CD20-(CD19)</f>
        <v>-34.8601962992834</v>
      </c>
      <c r="O20" s="15" t="n">
        <f aca="false">(BG19)*Ipotesi!$C$110/12+CH20*Parametri_v3!$C$39/12</f>
        <v>750</v>
      </c>
      <c r="P20" s="15" t="n">
        <f aca="false">M20+N20-O20</f>
        <v>-37095.3265408243</v>
      </c>
      <c r="Q20" s="15" t="n">
        <f aca="false">SUM(P17:P20)+Parametri_v3!$C$54*4/12</f>
        <v>-141756.758254326</v>
      </c>
      <c r="R20" s="15" t="n">
        <f aca="false">Z16</f>
        <v>238763.405147745</v>
      </c>
      <c r="S20" s="15" t="n">
        <f aca="false">AA16</f>
        <v>0</v>
      </c>
      <c r="T20" s="15" t="n">
        <f aca="false">MIN(R20,MAX(0,Q20))</f>
        <v>0</v>
      </c>
      <c r="U20" s="15" t="n">
        <f aca="false">MIN(S20,MAX(0,Q20-T20)*Parametri_v3!$C$42)</f>
        <v>0</v>
      </c>
      <c r="V20" s="15" t="n">
        <f aca="false">MAX(0,Q20-T20-U20)*Ipotesi!$C$92</f>
        <v>0</v>
      </c>
      <c r="W20" s="15" t="n">
        <f aca="false">MAX(0,SUM(M17:M20)+Parametri_v3!$C$55*4/12)*Ipotesi!$C$93</f>
        <v>0</v>
      </c>
      <c r="X20" s="15" t="n">
        <f aca="false">V20+W20-(V19+W19)</f>
        <v>0</v>
      </c>
      <c r="Y20" s="15" t="n">
        <f aca="false">P20-X20</f>
        <v>-37095.3265408243</v>
      </c>
      <c r="Z20" s="15" t="n">
        <f aca="false">R20-T20+IF(AND(Parametri_v3!$C$40=1,D20-YEAR(Parametri_v3!$C$50)&lt;Parametri_v3!$C$41),MAX(0,-Q20),0)</f>
        <v>380520.163402072</v>
      </c>
      <c r="AA20" s="15" t="n">
        <f aca="false">S20-U20+IF(AND(Parametri_v3!$C$40=1,D20-YEAR(Parametri_v3!$C$50)&lt;Parametri_v3!$C$41),0,MAX(0,-Q20))</f>
        <v>0</v>
      </c>
      <c r="AB20" s="15" t="n">
        <f aca="false">F20*(1+Parametri_v3!$C$26)</f>
        <v>22223.1923389899</v>
      </c>
      <c r="AC20" s="15" t="n">
        <f aca="false">(IF(16-(INT((Motore_Operativo!L20)/30))&lt;1,0,INDEX(Motore_Startup!$AB$5:$AB$64,MAX(1,16-(INT((Motore_Operativo!L20)/30)))))*(1-(MOD((Motore_Operativo!L20),30)/30))+IF(16-(INT((Motore_Operativo!L20)/30))-1&lt;1,0,INDEX(Motore_Startup!$AB$5:$AB$64,MAX(1,16-(INT((Motore_Operativo!L20)/30))-1)))*(MOD((Motore_Operativo!L20),30)/30))</f>
        <v>20964.5943148485</v>
      </c>
      <c r="AD20" s="15" t="n">
        <f aca="false">(AD19)+AB20-AC20</f>
        <v>65263.0608959458</v>
      </c>
      <c r="AE20" s="15" t="n">
        <f aca="false">Motore_Operativo!BH20*(1+Parametri_v3!$C$26)</f>
        <v>3583.75</v>
      </c>
      <c r="AF20" s="15" t="n">
        <f aca="false">(IF(16-(INT((Parametri_v3!$C$29)/30))&lt;1,0,INDEX(Motore_Operativo!$BH$5:$BH$64,MAX(1,16-(INT((Parametri_v3!$C$29)/30)))))*(1-(MOD((Parametri_v3!$C$29),30)/30))+IF(16-(INT((Parametri_v3!$C$29)/30))-1&lt;1,0,INDEX(Motore_Operativo!$BH$5:$BH$64,MAX(1,16-(INT((Parametri_v3!$C$29)/30))-1)))*(MOD((Parametri_v3!$C$29),30)/30))*(1+Parametri_v3!$C$26)</f>
        <v>3583.75</v>
      </c>
      <c r="AG20" s="15" t="n">
        <f aca="false">(AG19)+AE20-AF20</f>
        <v>3583.75</v>
      </c>
      <c r="AH20" s="15" t="n">
        <f aca="false">(Motore_Operativo!CJ20)*(1+Parametri_v3!$C$27*Parametri_v3!$C$26)</f>
        <v>20077.1087899399</v>
      </c>
      <c r="AI20" s="15" t="n">
        <f aca="false">(IF(16-(INT((Ipotesi!$C$91)/30))&lt;1,0,INDEX(Motore_Startup!$AH$5:$AH$64,MAX(1,16-(INT((Ipotesi!$C$91)/30)))))*(1-(MOD((Ipotesi!$C$91),30)/30))+IF(16-(INT((Ipotesi!$C$91)/30))-1&lt;1,0,INDEX(Motore_Startup!$AH$5:$AH$64,MAX(1,16-(INT((Ipotesi!$C$91)/30))-1)))*(MOD((Ipotesi!$C$91),30)/30))</f>
        <v>19956.2483320854</v>
      </c>
      <c r="AJ20" s="15" t="n">
        <f aca="false">(AJ19)+AH20-AI20</f>
        <v>40083.4920959378</v>
      </c>
      <c r="AK20" s="15" t="n">
        <f aca="false">(F20+ Motore_Operativo!BH20-(Motore_Operativo!CJ20)*Parametri_v3!$C$27-Motore_Operativo!CE20)*Parametri_v3!$C$26</f>
        <v>1032.42952320467</v>
      </c>
      <c r="AL20" s="15" t="n">
        <f aca="false">MAX(0,(AM19))</f>
        <v>0</v>
      </c>
      <c r="AM20" s="15" t="n">
        <f aca="false">(AM19)+AK20-AL20</f>
        <v>-3869.71553309605</v>
      </c>
      <c r="AN20" s="15" t="n">
        <f aca="false">SUM(X5:X16)</f>
        <v>0</v>
      </c>
      <c r="AO20" s="15" t="n">
        <f aca="false">SUM(AP5:AP16)</f>
        <v>0</v>
      </c>
      <c r="AP20" s="15" t="n">
        <f aca="false">MAX(0,AN20)*IF(4=Parametri_v3!$C$43,Parametri_v3!$C$45,IF(4=Parametri_v3!$C$44,1-Parametri_v3!$C$45,0))</f>
        <v>0</v>
      </c>
      <c r="AQ20" s="15" t="n">
        <f aca="false">MAX(0,AP20+IF(4=Parametri_v3!$C$43,MAX(0,AN20-AO20),0)-MAX(0,-(AR19)))</f>
        <v>0</v>
      </c>
      <c r="AR20" s="15" t="n">
        <f aca="false">(AR19)+X20-AQ20</f>
        <v>0</v>
      </c>
      <c r="AS20" s="15" t="n">
        <f aca="false">Motore_Operativo!AB20-AT20+AU20</f>
        <v>37774.375</v>
      </c>
      <c r="AT20" s="15" t="n">
        <f aca="false">Motore_Operativo!CH20</f>
        <v>1988.125</v>
      </c>
      <c r="AU20" s="15" t="n">
        <f aca="false">MIN(MAX(0,(AV19)+AT20),Parametri_v3!$C$60/12)</f>
        <v>0</v>
      </c>
      <c r="AV20" s="15" t="n">
        <f aca="false">(AV19)+AT20-AU20</f>
        <v>18702.5</v>
      </c>
      <c r="AW20" s="15" t="n">
        <f aca="false">IF(AND(Motore_Operativo!C20=Finanziamenti!$D$6,Finanziamenti!$F$6=1),Finanziamenti!$C$6,0)</f>
        <v>0</v>
      </c>
      <c r="AX20" s="15" t="n">
        <f aca="false">IF(AND(1&lt;&gt;7,1&lt;&gt;9,Finanziamenti!$F$8=1,OR(Parametri_v3!$C$6=0,Finanziamenti!$E$8=1),Motore_Operativo!C20=EDATE(Finanziamenti!$D$8,Ipotesi!C15*12)),Finanziamenti!$C$8*1,0)+IF(AND(1&lt;&gt;7,1&lt;&gt;9,Finanziamenti!$F$9=1,OR(Parametri_v3!$C$6=0,Finanziamenti!$E$9=1),Motore_Operativo!C20=EDATE(Finanziamenti!$D$9,Ipotesi!C15*12)),Finanziamenti!$C$9*Ipotesi!C16,0)</f>
        <v>0</v>
      </c>
      <c r="AY20" s="15" t="n">
        <f aca="false">0</f>
        <v>0</v>
      </c>
      <c r="AZ20" s="15" t="n">
        <f aca="false">Motore_Advisory!AY20*(1-Ipotesi!$C$95)*Ipotesi!$C$96</f>
        <v>0</v>
      </c>
      <c r="BA20" s="15" t="n">
        <f aca="false">MAX(0,MIN(CG20*MIN(1,IF(Motore_Operativo!C20&gt;=EDATE(Finanziamenti!$D$15,Ipotesi!C14*12),Finanziamenti!$C$15,0)+IF(Motore_Operativo!C20&gt;=EDATE(Finanziamenti!$D$16,Ipotesi!C14*12),Finanziamenti!$C$16,0)+IF(Motore_Operativo!C20&gt;=EDATE(Finanziamenti!$D$17,Ipotesi!C14*12),Finanziamenti!$C$17,0)),CA20*Ipotesi!$C$102)-(CC19))</f>
        <v>0</v>
      </c>
      <c r="BB20" s="15" t="n">
        <f aca="false">IF(AND(CF20&gt;0,Motore_Operativo!C20&gt;=IF(CF20=0,0,EDATE(CF20,Parametri_v3!$C$37)),MOD(((D20-YEAR(IF(CF20=0,0,EDATE(CF20,Parametri_v3!$C$37))))*12+E20-MONTH(IF(CF20=0,0,EDATE(CF20,Parametri_v3!$C$37)))),Parametri_v3!$C$38)=0),MIN(MAX(0,(BC19)+BA20-N20),(CC20-CD20)/(Ipotesi!$C$108*12/Parametri_v3!$C$38)),0)</f>
        <v>0</v>
      </c>
      <c r="BC20" s="15" t="n">
        <f aca="false">(BC19)+BA20-N20-BB20</f>
        <v>57942.4896226119</v>
      </c>
      <c r="BD20" s="15" t="n">
        <f aca="false">(BH19)+AC20+AF20-AI20-AS20-K20*(1+Parametri_v3!$C$26)-AL20-AQ20-O20+AW20+AX20+AZ20+BA20-BB20</f>
        <v>-78429.5044088603</v>
      </c>
      <c r="BE20" s="15" t="n">
        <f aca="false">MAX(0,MIN(MAX(0,CH20-(BG19)),Parametri_v3!$C$30-BD20))</f>
        <v>0</v>
      </c>
      <c r="BF20" s="15" t="n">
        <f aca="false">IF(Motore_Operativo!C20&gt;=Parametri_v3!$C$63,(BG19),MIN((BG19),MAX(0,BD20-Parametri_v3!$C$30)))</f>
        <v>0</v>
      </c>
      <c r="BG20" s="15" t="n">
        <f aca="false">(BG19)+BE20-BF20</f>
        <v>150000</v>
      </c>
      <c r="BH20" s="15" t="n">
        <f aca="false">BD20+BE20-BF20-AY20</f>
        <v>-78429.5044088603</v>
      </c>
      <c r="BI20" s="15" t="n">
        <f aca="false">MAX(0,Parametri_v3!$C$30-BH20)</f>
        <v>103429.50440886</v>
      </c>
      <c r="BJ20" s="15" t="n">
        <f aca="false">(BJ19)+K20</f>
        <v>28333.3333333333</v>
      </c>
      <c r="BK20" s="15" t="n">
        <f aca="false">(BK19)+L20</f>
        <v>6412.03703703704</v>
      </c>
      <c r="BL20" s="15" t="n">
        <f aca="false">BJ20-BK20</f>
        <v>21921.2962962963</v>
      </c>
      <c r="BM20" s="15" t="n">
        <f aca="false">(BM19)+Y20</f>
        <v>-380520.163402072</v>
      </c>
      <c r="BN20" s="15" t="n">
        <f aca="false">(BN19)+AW20+AX20+AZ20</f>
        <v>130000</v>
      </c>
      <c r="BO20" s="15" t="n">
        <f aca="false">(BO19)+AY20</f>
        <v>0</v>
      </c>
      <c r="BP20" s="15" t="n">
        <f aca="false">0</f>
        <v>0</v>
      </c>
      <c r="BQ20" s="15" t="n">
        <f aca="false">BN20+BM20-BO20</f>
        <v>-250520.163402072</v>
      </c>
      <c r="BR20" s="15" t="n">
        <f aca="false">BH20+AD20+BL20+MAX(0,-AM20)+MAX(0,-AR20)+AG20</f>
        <v>16208.3183164778</v>
      </c>
      <c r="BS20" s="15" t="n">
        <f aca="false">AJ20+AV20+MAX(0,AM20)+MAX(0,AR20)+BC20+BG20+BQ20</f>
        <v>16208.3183164779</v>
      </c>
      <c r="BT20" s="15" t="n">
        <f aca="false">BR20-BS20</f>
        <v>0</v>
      </c>
      <c r="BU20" s="15" t="n">
        <f aca="false">BH20-(BD20+BE20-BF20-AY20)</f>
        <v>0</v>
      </c>
      <c r="BV20" s="15" t="n">
        <f aca="false">MIN(Piano_SS!$C$6,(BV19)+IF(AND(Motore_Operativo!C20&gt;=EDATE(Parametri_v3!$C$24,Ipotesi!C14*12),Motore_Operativo!C20&lt;EDATE(Parametri_v3!$C$24,Parametri_v3!$C$25+Ipotesi!C14*12)),MAX(0,(Motore_Operativo!Y20+Motore_Operativo!X20*Parametri_v3!$C$14)*(1-Parametri_v3!$C$32))*Piano_SS!$D$6,0))</f>
        <v>77425</v>
      </c>
      <c r="BW20" s="15" t="n">
        <f aca="false">MIN(Piano_SS!$C$7,(BW19)+IF(AND(Motore_Operativo!C20&gt;=EDATE(Parametri_v3!$C$24,Ipotesi!C14*12),Motore_Operativo!C20&lt;EDATE(Parametri_v3!$C$24,Parametri_v3!$C$25+Ipotesi!C14*12)),MAX(0,(IF(16-(INT((Ipotesi!$C$91)/30))&lt;1,0,INDEX(Motore_Operativo!$BN$5:$BN$64,MAX(1,16-(INT((Ipotesi!$C$91)/30)))))*(1-(MOD((Ipotesi!$C$91),30)/30))+IF(16-(INT((Ipotesi!$C$91)/30))-1&lt;1,0,INDEX(Motore_Operativo!$BN$5:$BN$64,MAX(1,16-(INT((Ipotesi!$C$91)/30))-1)))*(MOD((Ipotesi!$C$91),30)/30)))*Piano_SS!$D$7,0))</f>
        <v>12886.5808739869</v>
      </c>
      <c r="BX20" s="15" t="n">
        <f aca="false">MIN(Piano_SS!$C$8,(BX19)+IF(AND(Motore_Operativo!C20&gt;=EDATE(Parametri_v3!$C$24,Ipotesi!C14*12),Motore_Operativo!C20&lt;EDATE(Parametri_v3!$C$24,Parametri_v3!$C$25+Ipotesi!C14*12)),MAX(0,Motore_Operativo!CE20)*Piano_SS!$D$8,0))</f>
        <v>18333.3333333333</v>
      </c>
      <c r="BY20" s="15" t="n">
        <f aca="false">MIN(Piano_SS!$C$9,(BY19)+IF(AND(Motore_Operativo!C20&gt;=EDATE(Parametri_v3!$C$24,Ipotesi!C14*12),Motore_Operativo!C20&lt;EDATE(Parametri_v3!$C$24,Parametri_v3!$C$25+Ipotesi!C14*12)),MAX(0,((IF(16-(INT((Ipotesi!$C$91)/30))&lt;1,0,INDEX(Motore_Operativo!$BQ$5:$BQ$64,MAX(1,16-(INT((Ipotesi!$C$91)/30)))))*(1-(MOD((Ipotesi!$C$91),30)/30))+IF(16-(INT((Ipotesi!$C$91)/30))-1&lt;1,0,INDEX(Motore_Operativo!$BQ$5:$BQ$64,MAX(1,16-(INT((Ipotesi!$C$91)/30))-1)))*(MOD((Ipotesi!$C$91),30)/30))+(IF(16-(INT((Ipotesi!$C$91)/30))&lt;1,0,INDEX(Motore_Operativo!$BR$5:$BR$64,MAX(1,16-(INT((Ipotesi!$C$91)/30)))))*(1-(MOD((Ipotesi!$C$91),30)/30))+IF(16-(INT((Ipotesi!$C$91)/30))-1&lt;1,0,INDEX(Motore_Operativo!$BR$5:$BR$64,MAX(1,16-(INT((Ipotesi!$C$91)/30))-1)))*(MOD((Ipotesi!$C$91),30)/30))))*Piano_SS!$D$9,0))</f>
        <v>23833.3333333333</v>
      </c>
      <c r="BZ20" s="15" t="n">
        <f aca="false">MIN(Piano_SS!$C$10,(BZ19)+IF(AND(Motore_Operativo!C20&gt;=EDATE(Parametri_v3!$C$24,Ipotesi!C14*12),Motore_Operativo!C20&lt;EDATE(Parametri_v3!$C$24,Parametri_v3!$C$25+Ipotesi!C14*12)),MAX(0,(IF(16-(INT((Ipotesi!$C$91)/30))&lt;1,0,INDEX(Motore_Operativo!$BO$5:$BO$64,MAX(1,16-(INT((Ipotesi!$C$91)/30)))))*(1-(MOD((Ipotesi!$C$91),30)/30))+IF(16-(INT((Ipotesi!$C$91)/30))-1&lt;1,0,INDEX(Motore_Operativo!$BO$5:$BO$64,MAX(1,16-(INT((Ipotesi!$C$91)/30))-1)))*(MOD((Ipotesi!$C$91),30)/30)))*Piano_SS!$D$10,0))</f>
        <v>11666.6666666667</v>
      </c>
      <c r="CA20" s="15" t="n">
        <f aca="false">SUM(BV20:BZ20)</f>
        <v>144144.91420732</v>
      </c>
      <c r="CB20" s="15" t="n">
        <f aca="false">BV20*(1-Piano_SS!$E$6)+BW20*(1-Piano_SS!$E$7)+BX20*(1-Piano_SS!$E$8)+BY20*(1-Piano_SS!$E$9)+BZ20*(1-Piano_SS!$E$10)</f>
        <v>132478.247540654</v>
      </c>
      <c r="CC20" s="15" t="n">
        <f aca="false">(CC19)+BA20</f>
        <v>80000</v>
      </c>
      <c r="CD20" s="15" t="n">
        <f aca="false">IF(CA20=0,0,CC20*CB20/CA20*Ipotesi!$C$103*Parametri_v3!$C$64)</f>
        <v>22057.5103773881</v>
      </c>
      <c r="CE20" s="18" t="n">
        <f aca="false">IF(BA20&gt;0,Motore_Operativo!C20,(CE19))</f>
        <v>46784</v>
      </c>
      <c r="CF20" s="18" t="n">
        <f aca="false">IF(AND(CC20&gt;0,OR(CC20&gt;=CG20-0.01,Motore_Operativo!C20&gt;=EDATE(MAX(Finanziamenti!$D$15:$D$17),Ipotesi!C14*12))),CE20,0)</f>
        <v>0</v>
      </c>
      <c r="CG20" s="15" t="n">
        <f aca="false">IF(AND(1&lt;&gt;6,1&lt;&gt;9,Finanziamenti!$F$11=1,OR(Parametri_v3!$C$6=0,Finanziamenti!$E$11=1)),MIN(Finanziamenti!$C$11,Piano_SS!$C$12*Ipotesi!$C$102),0)</f>
        <v>400000</v>
      </c>
      <c r="CH20" s="15" t="n">
        <f aca="false">IF(AND(AND(1&lt;&gt;8,1&lt;&gt;9,Finanziamenti!$F$10=1,OR(Parametri_v3!$C$6=0,Finanziamenti!$E$10=1)),Motore_Operativo!C20&gt;=Finanziamenti!$D$10,Motore_Operativo!C20&lt;Parametri_v3!$C$63),Finanziamenti!$C$10,0)</f>
        <v>150000</v>
      </c>
    </row>
    <row r="21" customFormat="false" ht="18" hidden="false" customHeight="true" outlineLevel="0" collapsed="false">
      <c r="A21" s="68" t="n">
        <f aca="false">1</f>
        <v>1</v>
      </c>
      <c r="B21" s="68" t="n">
        <f aca="false">17</f>
        <v>17</v>
      </c>
      <c r="C21" s="18" t="n">
        <f aca="false">Motore_Operativo!C21</f>
        <v>46874</v>
      </c>
      <c r="D21" s="68" t="n">
        <f aca="false">Motore_Operativo!D21</f>
        <v>2028</v>
      </c>
      <c r="E21" s="68" t="n">
        <f aca="false">Motore_Operativo!E21</f>
        <v>5</v>
      </c>
      <c r="F21" s="15" t="n">
        <f aca="false">Motore_Operativo!AQ21+Motore_Operativo!BF21</f>
        <v>18765.492767315</v>
      </c>
      <c r="G21" s="15" t="n">
        <f aca="false">Motore_Operativo!BH21</f>
        <v>2937.5</v>
      </c>
      <c r="H21" s="15" t="n">
        <f aca="false">Motore_Operativo!BI21</f>
        <v>21702.992767315</v>
      </c>
      <c r="I21" s="15" t="n">
        <f aca="false">Motore_Operativo!CA21</f>
        <v>56753.6273207574</v>
      </c>
      <c r="J21" s="15" t="n">
        <f aca="false">Motore_Operativo!CC21</f>
        <v>-35050.6345534425</v>
      </c>
      <c r="K21" s="15" t="n">
        <f aca="false">Motore_Operativo!CE21</f>
        <v>2083.33333333333</v>
      </c>
      <c r="L21" s="15" t="n">
        <f aca="false">SUM(INDEX($K$5:$K$64,MAX(1,17-Parametri_v3!$C$59+1)):K21)/Parametri_v3!$C$59</f>
        <v>844.907407407407</v>
      </c>
      <c r="M21" s="15" t="n">
        <f aca="false">J21-L21</f>
        <v>-35895.5419608499</v>
      </c>
      <c r="N21" s="15" t="n">
        <f aca="false">CD21-(CD20)</f>
        <v>-25.9161476058362</v>
      </c>
      <c r="O21" s="15" t="n">
        <f aca="false">(BG20)*Ipotesi!$C$110/12+CH21*Parametri_v3!$C$39/12</f>
        <v>750</v>
      </c>
      <c r="P21" s="15" t="n">
        <f aca="false">M21+N21-O21</f>
        <v>-36671.4581084557</v>
      </c>
      <c r="Q21" s="15" t="n">
        <f aca="false">SUM(P17:P21)+Parametri_v3!$C$54*5/12</f>
        <v>-178428.216362782</v>
      </c>
      <c r="R21" s="15" t="n">
        <f aca="false">Z16</f>
        <v>238763.405147745</v>
      </c>
      <c r="S21" s="15" t="n">
        <f aca="false">AA16</f>
        <v>0</v>
      </c>
      <c r="T21" s="15" t="n">
        <f aca="false">MIN(R21,MAX(0,Q21))</f>
        <v>0</v>
      </c>
      <c r="U21" s="15" t="n">
        <f aca="false">MIN(S21,MAX(0,Q21-T21)*Parametri_v3!$C$42)</f>
        <v>0</v>
      </c>
      <c r="V21" s="15" t="n">
        <f aca="false">MAX(0,Q21-T21-U21)*Ipotesi!$C$92</f>
        <v>0</v>
      </c>
      <c r="W21" s="15" t="n">
        <f aca="false">MAX(0,SUM(M17:M21)+Parametri_v3!$C$55*5/12)*Ipotesi!$C$93</f>
        <v>0</v>
      </c>
      <c r="X21" s="15" t="n">
        <f aca="false">V21+W21-(V20+W20)</f>
        <v>0</v>
      </c>
      <c r="Y21" s="15" t="n">
        <f aca="false">P21-X21</f>
        <v>-36671.4581084557</v>
      </c>
      <c r="Z21" s="15" t="n">
        <f aca="false">R21-T21+IF(AND(Parametri_v3!$C$40=1,D21-YEAR(Parametri_v3!$C$50)&lt;Parametri_v3!$C$41),MAX(0,-Q21),0)</f>
        <v>417191.621510528</v>
      </c>
      <c r="AA21" s="15" t="n">
        <f aca="false">S21-U21+IF(AND(Parametri_v3!$C$40=1,D21-YEAR(Parametri_v3!$C$50)&lt;Parametri_v3!$C$41),0,MAX(0,-Q21))</f>
        <v>0</v>
      </c>
      <c r="AB21" s="15" t="n">
        <f aca="false">F21*(1+Parametri_v3!$C$26)</f>
        <v>22893.9011761243</v>
      </c>
      <c r="AC21" s="15" t="n">
        <f aca="false">(IF(17-(INT((Motore_Operativo!L21)/30))&lt;1,0,INDEX(Motore_Startup!$AB$5:$AB$64,MAX(1,17-(INT((Motore_Operativo!L21)/30)))))*(1-(MOD((Motore_Operativo!L21),30)/30))+IF(17-(INT((Motore_Operativo!L21)/30))-1&lt;1,0,INDEX(Motore_Startup!$AB$5:$AB$64,MAX(1,17-(INT((Motore_Operativo!L21)/30))-1)))*(MOD((Motore_Operativo!L21),30)/30))</f>
        <v>21335.9029023401</v>
      </c>
      <c r="AD21" s="15" t="n">
        <f aca="false">(AD20)+AB21-AC21</f>
        <v>66821.0591697299</v>
      </c>
      <c r="AE21" s="15" t="n">
        <f aca="false">Motore_Operativo!BH21*(1+Parametri_v3!$C$26)</f>
        <v>3583.75</v>
      </c>
      <c r="AF21" s="15" t="n">
        <f aca="false">(IF(17-(INT((Parametri_v3!$C$29)/30))&lt;1,0,INDEX(Motore_Operativo!$BH$5:$BH$64,MAX(1,17-(INT((Parametri_v3!$C$29)/30)))))*(1-(MOD((Parametri_v3!$C$29),30)/30))+IF(17-(INT((Parametri_v3!$C$29)/30))-1&lt;1,0,INDEX(Motore_Operativo!$BH$5:$BH$64,MAX(1,17-(INT((Parametri_v3!$C$29)/30))-1)))*(MOD((Parametri_v3!$C$29),30)/30))*(1+Parametri_v3!$C$26)</f>
        <v>3583.75</v>
      </c>
      <c r="AG21" s="15" t="n">
        <f aca="false">(AG20)+AE21-AF21</f>
        <v>3583.75</v>
      </c>
      <c r="AH21" s="15" t="n">
        <f aca="false">(Motore_Operativo!CJ21)*(1+Parametri_v3!$C$27*Parametri_v3!$C$26)</f>
        <v>20168.4681297391</v>
      </c>
      <c r="AI21" s="15" t="n">
        <f aca="false">(IF(17-(INT((Ipotesi!$C$91)/30))&lt;1,0,INDEX(Motore_Startup!$AH$5:$AH$64,MAX(1,17-(INT((Ipotesi!$C$91)/30)))))*(1-(MOD((Ipotesi!$C$91),30)/30))+IF(17-(INT((Ipotesi!$C$91)/30))-1&lt;1,0,INDEX(Motore_Startup!$AH$5:$AH$64,MAX(1,17-(INT((Ipotesi!$C$91)/30))-1)))*(MOD((Ipotesi!$C$91),30)/30))</f>
        <v>20006.3833059979</v>
      </c>
      <c r="AJ21" s="15" t="n">
        <f aca="false">(AJ20)+AH21-AI21</f>
        <v>40245.576919679</v>
      </c>
      <c r="AK21" s="15" t="n">
        <f aca="false">(F21+ Motore_Operativo!BH21-(Motore_Operativo!CJ21)*Parametri_v3!$C$27-Motore_Operativo!CE21)*Parametri_v3!$C$26</f>
        <v>1138.98426649432</v>
      </c>
      <c r="AL21" s="15" t="n">
        <f aca="false">MAX(0,(AM20))</f>
        <v>0</v>
      </c>
      <c r="AM21" s="15" t="n">
        <f aca="false">(AM20)+AK21-AL21</f>
        <v>-2730.73126660173</v>
      </c>
      <c r="AN21" s="15" t="n">
        <f aca="false">SUM(X5:X16)</f>
        <v>0</v>
      </c>
      <c r="AO21" s="15" t="n">
        <f aca="false">SUM(AP5:AP16)</f>
        <v>0</v>
      </c>
      <c r="AP21" s="15" t="n">
        <f aca="false">MAX(0,AN21)*IF(5=Parametri_v3!$C$43,Parametri_v3!$C$45,IF(5=Parametri_v3!$C$44,1-Parametri_v3!$C$45,0))</f>
        <v>0</v>
      </c>
      <c r="AQ21" s="15" t="n">
        <f aca="false">MAX(0,AP21+IF(5=Parametri_v3!$C$43,MAX(0,AN21-AO21),0)-MAX(0,-(AR20)))</f>
        <v>0</v>
      </c>
      <c r="AR21" s="15" t="n">
        <f aca="false">(AR20)+X21-AQ21</f>
        <v>0</v>
      </c>
      <c r="AS21" s="15" t="n">
        <f aca="false">Motore_Operativo!AB21-AT21+AU21</f>
        <v>37774.375</v>
      </c>
      <c r="AT21" s="15" t="n">
        <f aca="false">Motore_Operativo!CH21</f>
        <v>1988.125</v>
      </c>
      <c r="AU21" s="15" t="n">
        <f aca="false">MIN(MAX(0,(AV20)+AT21),Parametri_v3!$C$60/12)</f>
        <v>0</v>
      </c>
      <c r="AV21" s="15" t="n">
        <f aca="false">(AV20)+AT21-AU21</f>
        <v>20690.625</v>
      </c>
      <c r="AW21" s="15" t="n">
        <f aca="false">IF(AND(Motore_Operativo!C21=Finanziamenti!$D$6,Finanziamenti!$F$6=1),Finanziamenti!$C$6,0)</f>
        <v>0</v>
      </c>
      <c r="AX21" s="15" t="n">
        <f aca="false">IF(AND(1&lt;&gt;7,1&lt;&gt;9,Finanziamenti!$F$8=1,OR(Parametri_v3!$C$6=0,Finanziamenti!$E$8=1),Motore_Operativo!C21=EDATE(Finanziamenti!$D$8,Ipotesi!C15*12)),Finanziamenti!$C$8*1,0)+IF(AND(1&lt;&gt;7,1&lt;&gt;9,Finanziamenti!$F$9=1,OR(Parametri_v3!$C$6=0,Finanziamenti!$E$9=1),Motore_Operativo!C21=EDATE(Finanziamenti!$D$9,Ipotesi!C15*12)),Finanziamenti!$C$9*Ipotesi!C16,0)</f>
        <v>0</v>
      </c>
      <c r="AY21" s="15" t="n">
        <f aca="false">0</f>
        <v>0</v>
      </c>
      <c r="AZ21" s="15" t="n">
        <f aca="false">Motore_Advisory!AY21*(1-Ipotesi!$C$95)*Ipotesi!$C$96</f>
        <v>0</v>
      </c>
      <c r="BA21" s="15" t="n">
        <f aca="false">MAX(0,MIN(CG21*MIN(1,IF(Motore_Operativo!C21&gt;=EDATE(Finanziamenti!$D$15,Ipotesi!C14*12),Finanziamenti!$C$15,0)+IF(Motore_Operativo!C21&gt;=EDATE(Finanziamenti!$D$16,Ipotesi!C14*12),Finanziamenti!$C$16,0)+IF(Motore_Operativo!C21&gt;=EDATE(Finanziamenti!$D$17,Ipotesi!C14*12),Finanziamenti!$C$17,0)),CA21*Ipotesi!$C$102)-(CC20))</f>
        <v>0</v>
      </c>
      <c r="BB21" s="15" t="n">
        <f aca="false">IF(AND(CF21&gt;0,Motore_Operativo!C21&gt;=IF(CF21=0,0,EDATE(CF21,Parametri_v3!$C$37)),MOD(((D21-YEAR(IF(CF21=0,0,EDATE(CF21,Parametri_v3!$C$37))))*12+E21-MONTH(IF(CF21=0,0,EDATE(CF21,Parametri_v3!$C$37)))),Parametri_v3!$C$38)=0),MIN(MAX(0,(BC20)+BA21-N21),(CC21-CD21)/(Ipotesi!$C$108*12/Parametri_v3!$C$38)),0)</f>
        <v>0</v>
      </c>
      <c r="BC21" s="15" t="n">
        <f aca="false">(BC20)+BA21-N21-BB21</f>
        <v>57968.4057702177</v>
      </c>
      <c r="BD21" s="15" t="n">
        <f aca="false">(BH20)+AC21+AF21-AI21-AS21-K21*(1+Parametri_v3!$C$26)-AL21-AQ21-O21+AW21+AX21+AZ21+BA21-BB21</f>
        <v>-114582.276479185</v>
      </c>
      <c r="BE21" s="15" t="n">
        <f aca="false">MAX(0,MIN(MAX(0,CH21-(BG20)),Parametri_v3!$C$30-BD21))</f>
        <v>0</v>
      </c>
      <c r="BF21" s="15" t="n">
        <f aca="false">IF(Motore_Operativo!C21&gt;=Parametri_v3!$C$63,(BG20),MIN((BG20),MAX(0,BD21-Parametri_v3!$C$30)))</f>
        <v>0</v>
      </c>
      <c r="BG21" s="15" t="n">
        <f aca="false">(BG20)+BE21-BF21</f>
        <v>150000</v>
      </c>
      <c r="BH21" s="15" t="n">
        <f aca="false">BD21+BE21-BF21-AY21</f>
        <v>-114582.276479185</v>
      </c>
      <c r="BI21" s="15" t="n">
        <f aca="false">MAX(0,Parametri_v3!$C$30-BH21)</f>
        <v>139582.276479185</v>
      </c>
      <c r="BJ21" s="15" t="n">
        <f aca="false">(BJ20)+K21</f>
        <v>30416.6666666667</v>
      </c>
      <c r="BK21" s="15" t="n">
        <f aca="false">(BK20)+L21</f>
        <v>7256.94444444445</v>
      </c>
      <c r="BL21" s="15" t="n">
        <f aca="false">BJ21-BK21</f>
        <v>23159.7222222222</v>
      </c>
      <c r="BM21" s="15" t="n">
        <f aca="false">(BM20)+Y21</f>
        <v>-417191.621510528</v>
      </c>
      <c r="BN21" s="15" t="n">
        <f aca="false">(BN20)+AW21+AX21+AZ21</f>
        <v>130000</v>
      </c>
      <c r="BO21" s="15" t="n">
        <f aca="false">(BO20)+AY21</f>
        <v>0</v>
      </c>
      <c r="BP21" s="15" t="n">
        <f aca="false">0</f>
        <v>0</v>
      </c>
      <c r="BQ21" s="15" t="n">
        <f aca="false">BN21+BM21-BO21</f>
        <v>-287191.621510528</v>
      </c>
      <c r="BR21" s="15" t="n">
        <f aca="false">BH21+AD21+BL21+MAX(0,-AM21)+MAX(0,-AR21)+AG21</f>
        <v>-18287.0138206308</v>
      </c>
      <c r="BS21" s="15" t="n">
        <f aca="false">AJ21+AV21+MAX(0,AM21)+MAX(0,AR21)+BC21+BG21+BQ21</f>
        <v>-18287.0138206308</v>
      </c>
      <c r="BT21" s="15" t="n">
        <f aca="false">BR21-BS21</f>
        <v>0</v>
      </c>
      <c r="BU21" s="15" t="n">
        <f aca="false">BH21-(BD21+BE21-BF21-AY21)</f>
        <v>0</v>
      </c>
      <c r="BV21" s="15" t="n">
        <f aca="false">MIN(Piano_SS!$C$6,(BV20)+IF(AND(Motore_Operativo!C21&gt;=EDATE(Parametri_v3!$C$24,Ipotesi!C14*12),Motore_Operativo!C21&lt;EDATE(Parametri_v3!$C$24,Parametri_v3!$C$25+Ipotesi!C14*12)),MAX(0,(Motore_Operativo!Y21+Motore_Operativo!X21*Parametri_v3!$C$14)*(1-Parametri_v3!$C$32))*Piano_SS!$D$6,0))</f>
        <v>89656.25</v>
      </c>
      <c r="BW21" s="15" t="n">
        <f aca="false">MIN(Piano_SS!$C$7,(BW20)+IF(AND(Motore_Operativo!C21&gt;=EDATE(Parametri_v3!$C$24,Ipotesi!C14*12),Motore_Operativo!C21&lt;EDATE(Parametri_v3!$C$24,Parametri_v3!$C$25+Ipotesi!C14*12)),MAX(0,(IF(17-(INT((Ipotesi!$C$91)/30))&lt;1,0,INDEX(Motore_Operativo!$BN$5:$BN$64,MAX(1,17-(INT((Ipotesi!$C$91)/30)))))*(1-(MOD((Ipotesi!$C$91),30)/30))+IF(17-(INT((Ipotesi!$C$91)/30))-1&lt;1,0,INDEX(Motore_Operativo!$BN$5:$BN$64,MAX(1,17-(INT((Ipotesi!$C$91)/30))-1)))*(MOD((Ipotesi!$C$91),30)/30)))*Piano_SS!$D$7,0))</f>
        <v>14277.2917365846</v>
      </c>
      <c r="BX21" s="15" t="n">
        <f aca="false">MIN(Piano_SS!$C$8,(BX20)+IF(AND(Motore_Operativo!C21&gt;=EDATE(Parametri_v3!$C$24,Ipotesi!C14*12),Motore_Operativo!C21&lt;EDATE(Parametri_v3!$C$24,Parametri_v3!$C$25+Ipotesi!C14*12)),MAX(0,Motore_Operativo!CE21)*Piano_SS!$D$8,0))</f>
        <v>20416.6666666667</v>
      </c>
      <c r="BY21" s="15" t="n">
        <f aca="false">MIN(Piano_SS!$C$9,(BY20)+IF(AND(Motore_Operativo!C21&gt;=EDATE(Parametri_v3!$C$24,Ipotesi!C14*12),Motore_Operativo!C21&lt;EDATE(Parametri_v3!$C$24,Parametri_v3!$C$25+Ipotesi!C14*12)),MAX(0,((IF(17-(INT((Ipotesi!$C$91)/30))&lt;1,0,INDEX(Motore_Operativo!$BQ$5:$BQ$64,MAX(1,17-(INT((Ipotesi!$C$91)/30)))))*(1-(MOD((Ipotesi!$C$91),30)/30))+IF(17-(INT((Ipotesi!$C$91)/30))-1&lt;1,0,INDEX(Motore_Operativo!$BQ$5:$BQ$64,MAX(1,17-(INT((Ipotesi!$C$91)/30))-1)))*(MOD((Ipotesi!$C$91),30)/30))+(IF(17-(INT((Ipotesi!$C$91)/30))&lt;1,0,INDEX(Motore_Operativo!$BR$5:$BR$64,MAX(1,17-(INT((Ipotesi!$C$91)/30)))))*(1-(MOD((Ipotesi!$C$91),30)/30))+IF(17-(INT((Ipotesi!$C$91)/30))-1&lt;1,0,INDEX(Motore_Operativo!$BR$5:$BR$64,MAX(1,17-(INT((Ipotesi!$C$91)/30))-1)))*(MOD((Ipotesi!$C$91),30)/30))))*Piano_SS!$D$9,0))</f>
        <v>26750</v>
      </c>
      <c r="BZ21" s="15" t="n">
        <f aca="false">MIN(Piano_SS!$C$10,(BZ20)+IF(AND(Motore_Operativo!C21&gt;=EDATE(Parametri_v3!$C$24,Ipotesi!C14*12),Motore_Operativo!C21&lt;EDATE(Parametri_v3!$C$24,Parametri_v3!$C$25+Ipotesi!C14*12)),MAX(0,(IF(17-(INT((Ipotesi!$C$91)/30))&lt;1,0,INDEX(Motore_Operativo!$BO$5:$BO$64,MAX(1,17-(INT((Ipotesi!$C$91)/30)))))*(1-(MOD((Ipotesi!$C$91),30)/30))+IF(17-(INT((Ipotesi!$C$91)/30))-1&lt;1,0,INDEX(Motore_Operativo!$BO$5:$BO$64,MAX(1,17-(INT((Ipotesi!$C$91)/30))-1)))*(MOD((Ipotesi!$C$91),30)/30)))*Piano_SS!$D$10,0))</f>
        <v>13500</v>
      </c>
      <c r="CA21" s="15" t="n">
        <f aca="false">SUM(BV21:BZ21)</f>
        <v>164600.208403251</v>
      </c>
      <c r="CB21" s="15" t="n">
        <f aca="false">BV21*(1-Piano_SS!$E$6)+BW21*(1-Piano_SS!$E$7)+BX21*(1-Piano_SS!$E$8)+BY21*(1-Piano_SS!$E$9)+BZ21*(1-Piano_SS!$E$10)</f>
        <v>151100.208403251</v>
      </c>
      <c r="CC21" s="15" t="n">
        <f aca="false">(CC20)+BA21</f>
        <v>80000</v>
      </c>
      <c r="CD21" s="15" t="n">
        <f aca="false">IF(CA21=0,0,CC21*CB21/CA21*Ipotesi!$C$103*Parametri_v3!$C$64)</f>
        <v>22031.5942297823</v>
      </c>
      <c r="CE21" s="18" t="n">
        <f aca="false">IF(BA21&gt;0,Motore_Operativo!C21,(CE20))</f>
        <v>46784</v>
      </c>
      <c r="CF21" s="18" t="n">
        <f aca="false">IF(AND(CC21&gt;0,OR(CC21&gt;=CG21-0.01,Motore_Operativo!C21&gt;=EDATE(MAX(Finanziamenti!$D$15:$D$17),Ipotesi!C14*12))),CE21,0)</f>
        <v>0</v>
      </c>
      <c r="CG21" s="15" t="n">
        <f aca="false">IF(AND(1&lt;&gt;6,1&lt;&gt;9,Finanziamenti!$F$11=1,OR(Parametri_v3!$C$6=0,Finanziamenti!$E$11=1)),MIN(Finanziamenti!$C$11,Piano_SS!$C$12*Ipotesi!$C$102),0)</f>
        <v>400000</v>
      </c>
      <c r="CH21" s="15" t="n">
        <f aca="false">IF(AND(AND(1&lt;&gt;8,1&lt;&gt;9,Finanziamenti!$F$10=1,OR(Parametri_v3!$C$6=0,Finanziamenti!$E$10=1)),Motore_Operativo!C21&gt;=Finanziamenti!$D$10,Motore_Operativo!C21&lt;Parametri_v3!$C$63),Finanziamenti!$C$10,0)</f>
        <v>150000</v>
      </c>
    </row>
    <row r="22" customFormat="false" ht="18" hidden="false" customHeight="true" outlineLevel="0" collapsed="false">
      <c r="A22" s="68" t="n">
        <f aca="false">1</f>
        <v>1</v>
      </c>
      <c r="B22" s="68" t="n">
        <f aca="false">18</f>
        <v>18</v>
      </c>
      <c r="C22" s="18" t="n">
        <f aca="false">Motore_Operativo!C22</f>
        <v>46905</v>
      </c>
      <c r="D22" s="68" t="n">
        <f aca="false">Motore_Operativo!D22</f>
        <v>2028</v>
      </c>
      <c r="E22" s="68" t="n">
        <f aca="false">Motore_Operativo!E22</f>
        <v>6</v>
      </c>
      <c r="F22" s="15" t="n">
        <f aca="false">Motore_Operativo!AQ22+Motore_Operativo!BF22</f>
        <v>19313.6708411476</v>
      </c>
      <c r="G22" s="15" t="n">
        <f aca="false">Motore_Operativo!BH22</f>
        <v>2937.5</v>
      </c>
      <c r="H22" s="15" t="n">
        <f aca="false">Motore_Operativo!BI22</f>
        <v>22251.1708411476</v>
      </c>
      <c r="I22" s="15" t="n">
        <f aca="false">Motore_Operativo!CA22</f>
        <v>56830.372251094</v>
      </c>
      <c r="J22" s="15" t="n">
        <f aca="false">Motore_Operativo!CC22</f>
        <v>-34579.2014099464</v>
      </c>
      <c r="K22" s="15" t="n">
        <f aca="false">Motore_Operativo!CE22</f>
        <v>2083.33333333333</v>
      </c>
      <c r="L22" s="15" t="n">
        <f aca="false">SUM(INDEX($K$5:$K$64,MAX(1,18-Parametri_v3!$C$59+1)):K22)/Parametri_v3!$C$59</f>
        <v>902.777777777778</v>
      </c>
      <c r="M22" s="15" t="n">
        <f aca="false">J22-L22</f>
        <v>-35481.9791877242</v>
      </c>
      <c r="N22" s="15" t="n">
        <f aca="false">CD22-(CD21)</f>
        <v>-19.8210070461355</v>
      </c>
      <c r="O22" s="15" t="n">
        <f aca="false">(BG21)*Ipotesi!$C$110/12+CH22*Parametri_v3!$C$39/12</f>
        <v>750</v>
      </c>
      <c r="P22" s="15" t="n">
        <f aca="false">M22+N22-O22</f>
        <v>-36251.8001947703</v>
      </c>
      <c r="Q22" s="15" t="n">
        <f aca="false">SUM(P17:P22)+Parametri_v3!$C$54*6/12</f>
        <v>-214680.016557552</v>
      </c>
      <c r="R22" s="15" t="n">
        <f aca="false">Z16</f>
        <v>238763.405147745</v>
      </c>
      <c r="S22" s="15" t="n">
        <f aca="false">AA16</f>
        <v>0</v>
      </c>
      <c r="T22" s="15" t="n">
        <f aca="false">MIN(R22,MAX(0,Q22))</f>
        <v>0</v>
      </c>
      <c r="U22" s="15" t="n">
        <f aca="false">MIN(S22,MAX(0,Q22-T22)*Parametri_v3!$C$42)</f>
        <v>0</v>
      </c>
      <c r="V22" s="15" t="n">
        <f aca="false">MAX(0,Q22-T22-U22)*Ipotesi!$C$92</f>
        <v>0</v>
      </c>
      <c r="W22" s="15" t="n">
        <f aca="false">MAX(0,SUM(M17:M22)+Parametri_v3!$C$55*6/12)*Ipotesi!$C$93</f>
        <v>0</v>
      </c>
      <c r="X22" s="15" t="n">
        <f aca="false">V22+W22-(V21+W21)</f>
        <v>0</v>
      </c>
      <c r="Y22" s="15" t="n">
        <f aca="false">P22-X22</f>
        <v>-36251.8001947703</v>
      </c>
      <c r="Z22" s="15" t="n">
        <f aca="false">R22-T22+IF(AND(Parametri_v3!$C$40=1,D22-YEAR(Parametri_v3!$C$50)&lt;Parametri_v3!$C$41),MAX(0,-Q22),0)</f>
        <v>453443.421705298</v>
      </c>
      <c r="AA22" s="15" t="n">
        <f aca="false">S22-U22+IF(AND(Parametri_v3!$C$40=1,D22-YEAR(Parametri_v3!$C$50)&lt;Parametri_v3!$C$41),0,MAX(0,-Q22))</f>
        <v>0</v>
      </c>
      <c r="AB22" s="15" t="n">
        <f aca="false">F22*(1+Parametri_v3!$C$26)</f>
        <v>23562.6784262001</v>
      </c>
      <c r="AC22" s="15" t="n">
        <f aca="false">(IF(18-(INT((Motore_Operativo!L22)/30))&lt;1,0,INDEX(Motore_Startup!$AB$5:$AB$64,MAX(1,18-(INT((Motore_Operativo!L22)/30)))))*(1-(MOD((Motore_Operativo!L22),30)/30))+IF(18-(INT((Motore_Operativo!L22)/30))-1&lt;1,0,INDEX(Motore_Startup!$AB$5:$AB$64,MAX(1,18-(INT((Motore_Operativo!L22)/30))-1)))*(MOD((Motore_Operativo!L22),30)/30))</f>
        <v>21703.9656546157</v>
      </c>
      <c r="AD22" s="15" t="n">
        <f aca="false">(AD21)+AB22-AC22</f>
        <v>68679.7719413143</v>
      </c>
      <c r="AE22" s="15" t="n">
        <f aca="false">Motore_Operativo!BH22*(1+Parametri_v3!$C$26)</f>
        <v>3583.75</v>
      </c>
      <c r="AF22" s="15" t="n">
        <f aca="false">(IF(18-(INT((Parametri_v3!$C$29)/30))&lt;1,0,INDEX(Motore_Operativo!$BH$5:$BH$64,MAX(1,18-(INT((Parametri_v3!$C$29)/30)))))*(1-(MOD((Parametri_v3!$C$29),30)/30))+IF(18-(INT((Parametri_v3!$C$29)/30))-1&lt;1,0,INDEX(Motore_Operativo!$BH$5:$BH$64,MAX(1,18-(INT((Parametri_v3!$C$29)/30))-1)))*(MOD((Parametri_v3!$C$29),30)/30))*(1+Parametri_v3!$C$26)</f>
        <v>3583.75</v>
      </c>
      <c r="AG22" s="15" t="n">
        <f aca="false">(AG21)+AE22-AF22</f>
        <v>3583.75</v>
      </c>
      <c r="AH22" s="15" t="n">
        <f aca="false">(Motore_Operativo!CJ22)*(1+Parametri_v3!$C$27*Parametri_v3!$C$26)</f>
        <v>20259.5643620486</v>
      </c>
      <c r="AI22" s="15" t="n">
        <f aca="false">(IF(18-(INT((Ipotesi!$C$91)/30))&lt;1,0,INDEX(Motore_Startup!$AH$5:$AH$64,MAX(1,18-(INT((Ipotesi!$C$91)/30)))))*(1-(MOD((Ipotesi!$C$91),30)/30))+IF(18-(INT((Ipotesi!$C$91)/30))-1&lt;1,0,INDEX(Motore_Startup!$AH$5:$AH$64,MAX(1,18-(INT((Ipotesi!$C$91)/30))-1)))*(MOD((Ipotesi!$C$91),30)/30))</f>
        <v>20077.1087899399</v>
      </c>
      <c r="AJ22" s="15" t="n">
        <f aca="false">(AJ21)+AH22-AI22</f>
        <v>40428.0324917877</v>
      </c>
      <c r="AK22" s="15" t="n">
        <f aca="false">(F22+ Motore_Operativo!BH22-(Motore_Operativo!CJ22)*Parametri_v3!$C$27-Motore_Operativo!CE22)*Parametri_v3!$C$26</f>
        <v>1245.23214076457</v>
      </c>
      <c r="AL22" s="15" t="n">
        <f aca="false">MAX(0,(AM21))</f>
        <v>0</v>
      </c>
      <c r="AM22" s="15" t="n">
        <f aca="false">(AM21)+AK22-AL22</f>
        <v>-1485.49912583716</v>
      </c>
      <c r="AN22" s="15" t="n">
        <f aca="false">SUM(X5:X16)</f>
        <v>0</v>
      </c>
      <c r="AO22" s="15" t="n">
        <f aca="false">SUM(AP5:AP16)</f>
        <v>0</v>
      </c>
      <c r="AP22" s="15" t="n">
        <f aca="false">MAX(0,AN22)*IF(6=Parametri_v3!$C$43,Parametri_v3!$C$45,IF(6=Parametri_v3!$C$44,1-Parametri_v3!$C$45,0))</f>
        <v>0</v>
      </c>
      <c r="AQ22" s="15" t="n">
        <f aca="false">MAX(0,AP22+IF(6=Parametri_v3!$C$43,MAX(0,AN22-AO22),0)-MAX(0,-(AR21)))</f>
        <v>0</v>
      </c>
      <c r="AR22" s="15" t="n">
        <f aca="false">(AR21)+X22-AQ22</f>
        <v>0</v>
      </c>
      <c r="AS22" s="15" t="n">
        <f aca="false">Motore_Operativo!AB22-AT22+AU22</f>
        <v>37774.375</v>
      </c>
      <c r="AT22" s="15" t="n">
        <f aca="false">Motore_Operativo!CH22</f>
        <v>1988.125</v>
      </c>
      <c r="AU22" s="15" t="n">
        <f aca="false">MIN(MAX(0,(AV21)+AT22),Parametri_v3!$C$60/12)</f>
        <v>0</v>
      </c>
      <c r="AV22" s="15" t="n">
        <f aca="false">(AV21)+AT22-AU22</f>
        <v>22678.75</v>
      </c>
      <c r="AW22" s="15" t="n">
        <f aca="false">IF(AND(Motore_Operativo!C22=Finanziamenti!$D$6,Finanziamenti!$F$6=1),Finanziamenti!$C$6,0)</f>
        <v>0</v>
      </c>
      <c r="AX22" s="15" t="n">
        <f aca="false">IF(AND(1&lt;&gt;7,1&lt;&gt;9,Finanziamenti!$F$8=1,OR(Parametri_v3!$C$6=0,Finanziamenti!$E$8=1),Motore_Operativo!C22=EDATE(Finanziamenti!$D$8,Ipotesi!C15*12)),Finanziamenti!$C$8*1,0)+IF(AND(1&lt;&gt;7,1&lt;&gt;9,Finanziamenti!$F$9=1,OR(Parametri_v3!$C$6=0,Finanziamenti!$E$9=1),Motore_Operativo!C22=EDATE(Finanziamenti!$D$9,Ipotesi!C15*12)),Finanziamenti!$C$9*Ipotesi!C16,0)</f>
        <v>300000</v>
      </c>
      <c r="AY22" s="15" t="n">
        <f aca="false">0</f>
        <v>0</v>
      </c>
      <c r="AZ22" s="15" t="n">
        <f aca="false">Motore_Advisory!AY22*(1-Ipotesi!$C$95)*Ipotesi!$C$96</f>
        <v>0</v>
      </c>
      <c r="BA22" s="15" t="n">
        <f aca="false">MAX(0,MIN(CG22*MIN(1,IF(Motore_Operativo!C22&gt;=EDATE(Finanziamenti!$D$15,Ipotesi!C14*12),Finanziamenti!$C$15,0)+IF(Motore_Operativo!C22&gt;=EDATE(Finanziamenti!$D$16,Ipotesi!C14*12),Finanziamenti!$C$16,0)+IF(Motore_Operativo!C22&gt;=EDATE(Finanziamenti!$D$17,Ipotesi!C14*12),Finanziamenti!$C$17,0)),CA22*Ipotesi!$C$102)-(CC21))</f>
        <v>0</v>
      </c>
      <c r="BB22" s="15" t="n">
        <f aca="false">IF(AND(CF22&gt;0,Motore_Operativo!C22&gt;=IF(CF22=0,0,EDATE(CF22,Parametri_v3!$C$37)),MOD(((D22-YEAR(IF(CF22=0,0,EDATE(CF22,Parametri_v3!$C$37))))*12+E22-MONTH(IF(CF22=0,0,EDATE(CF22,Parametri_v3!$C$37)))),Parametri_v3!$C$38)=0),MIN(MAX(0,(BC21)+BA22-N22),(CC22-CD22)/(Ipotesi!$C$108*12/Parametri_v3!$C$38)),0)</f>
        <v>0</v>
      </c>
      <c r="BC22" s="15" t="n">
        <f aca="false">(BC21)+BA22-N22-BB22</f>
        <v>57988.2267772639</v>
      </c>
      <c r="BD22" s="15" t="n">
        <f aca="false">(BH21)+AC22+AF22-AI22-AS22-K22*(1+Parametri_v3!$C$26)-AL22-AQ22-O22+AW22+AX22+AZ22+BA22-BB22</f>
        <v>149562.288718824</v>
      </c>
      <c r="BE22" s="15" t="n">
        <f aca="false">MAX(0,MIN(MAX(0,CH22-(BG21)),Parametri_v3!$C$30-BD22))</f>
        <v>0</v>
      </c>
      <c r="BF22" s="15" t="n">
        <f aca="false">IF(Motore_Operativo!C22&gt;=Parametri_v3!$C$63,(BG21),MIN((BG21),MAX(0,BD22-Parametri_v3!$C$30)))</f>
        <v>124562.288718824</v>
      </c>
      <c r="BG22" s="15" t="n">
        <f aca="false">(BG21)+BE22-BF22</f>
        <v>25437.7112811755</v>
      </c>
      <c r="BH22" s="15" t="n">
        <f aca="false">BD22+BE22-BF22-AY22</f>
        <v>25000</v>
      </c>
      <c r="BI22" s="15" t="n">
        <f aca="false">MAX(0,Parametri_v3!$C$30-BH22)</f>
        <v>0</v>
      </c>
      <c r="BJ22" s="15" t="n">
        <f aca="false">(BJ21)+K22</f>
        <v>32500</v>
      </c>
      <c r="BK22" s="15" t="n">
        <f aca="false">(BK21)+L22</f>
        <v>8159.72222222222</v>
      </c>
      <c r="BL22" s="15" t="n">
        <f aca="false">BJ22-BK22</f>
        <v>24340.2777777778</v>
      </c>
      <c r="BM22" s="15" t="n">
        <f aca="false">(BM21)+Y22</f>
        <v>-453443.421705298</v>
      </c>
      <c r="BN22" s="15" t="n">
        <f aca="false">(BN21)+AW22+AX22+AZ22</f>
        <v>430000</v>
      </c>
      <c r="BO22" s="15" t="n">
        <f aca="false">(BO21)+AY22</f>
        <v>0</v>
      </c>
      <c r="BP22" s="15" t="n">
        <f aca="false">0</f>
        <v>0</v>
      </c>
      <c r="BQ22" s="15" t="n">
        <f aca="false">BN22+BM22-BO22</f>
        <v>-23443.4217052978</v>
      </c>
      <c r="BR22" s="15" t="n">
        <f aca="false">BH22+AD22+BL22+MAX(0,-AM22)+MAX(0,-AR22)+AG22</f>
        <v>123089.298844929</v>
      </c>
      <c r="BS22" s="15" t="n">
        <f aca="false">AJ22+AV22+MAX(0,AM22)+MAX(0,AR22)+BC22+BG22+BQ22</f>
        <v>123089.298844929</v>
      </c>
      <c r="BT22" s="15" t="n">
        <f aca="false">BR22-BS22</f>
        <v>0</v>
      </c>
      <c r="BU22" s="15" t="n">
        <f aca="false">BH22-(BD22+BE22-BF22-AY22)</f>
        <v>0</v>
      </c>
      <c r="BV22" s="15" t="n">
        <f aca="false">MIN(Piano_SS!$C$6,(BV21)+IF(AND(Motore_Operativo!C22&gt;=EDATE(Parametri_v3!$C$24,Ipotesi!C14*12),Motore_Operativo!C22&lt;EDATE(Parametri_v3!$C$24,Parametri_v3!$C$25+Ipotesi!C14*12)),MAX(0,(Motore_Operativo!Y22+Motore_Operativo!X22*Parametri_v3!$C$14)*(1-Parametri_v3!$C$32))*Piano_SS!$D$6,0))</f>
        <v>101887.5</v>
      </c>
      <c r="BW22" s="15" t="n">
        <f aca="false">MIN(Piano_SS!$C$7,(BW21)+IF(AND(Motore_Operativo!C22&gt;=EDATE(Parametri_v3!$C$24,Ipotesi!C14*12),Motore_Operativo!C22&lt;EDATE(Parametri_v3!$C$24,Parametri_v3!$C$25+Ipotesi!C14*12)),MAX(0,(IF(18-(INT((Ipotesi!$C$91)/30))&lt;1,0,INDEX(Motore_Operativo!$BN$5:$BN$64,MAX(1,18-(INT((Ipotesi!$C$91)/30)))))*(1-(MOD((Ipotesi!$C$91),30)/30))+IF(18-(INT((Ipotesi!$C$91)/30))-1&lt;1,0,INDEX(Motore_Operativo!$BN$5:$BN$64,MAX(1,18-(INT((Ipotesi!$C$91)/30))-1)))*(MOD((Ipotesi!$C$91),30)/30)))*Piano_SS!$D$7,0))</f>
        <v>15702.0502506167</v>
      </c>
      <c r="BX22" s="15" t="n">
        <f aca="false">MIN(Piano_SS!$C$8,(BX21)+IF(AND(Motore_Operativo!C22&gt;=EDATE(Parametri_v3!$C$24,Ipotesi!C14*12),Motore_Operativo!C22&lt;EDATE(Parametri_v3!$C$24,Parametri_v3!$C$25+Ipotesi!C14*12)),MAX(0,Motore_Operativo!CE22)*Piano_SS!$D$8,0))</f>
        <v>22500</v>
      </c>
      <c r="BY22" s="15" t="n">
        <f aca="false">MIN(Piano_SS!$C$9,(BY21)+IF(AND(Motore_Operativo!C22&gt;=EDATE(Parametri_v3!$C$24,Ipotesi!C14*12),Motore_Operativo!C22&lt;EDATE(Parametri_v3!$C$24,Parametri_v3!$C$25+Ipotesi!C14*12)),MAX(0,((IF(18-(INT((Ipotesi!$C$91)/30))&lt;1,0,INDEX(Motore_Operativo!$BQ$5:$BQ$64,MAX(1,18-(INT((Ipotesi!$C$91)/30)))))*(1-(MOD((Ipotesi!$C$91),30)/30))+IF(18-(INT((Ipotesi!$C$91)/30))-1&lt;1,0,INDEX(Motore_Operativo!$BQ$5:$BQ$64,MAX(1,18-(INT((Ipotesi!$C$91)/30))-1)))*(MOD((Ipotesi!$C$91),30)/30))+(IF(18-(INT((Ipotesi!$C$91)/30))&lt;1,0,INDEX(Motore_Operativo!$BR$5:$BR$64,MAX(1,18-(INT((Ipotesi!$C$91)/30)))))*(1-(MOD((Ipotesi!$C$91),30)/30))+IF(18-(INT((Ipotesi!$C$91)/30))-1&lt;1,0,INDEX(Motore_Operativo!$BR$5:$BR$64,MAX(1,18-(INT((Ipotesi!$C$91)/30))-1)))*(MOD((Ipotesi!$C$91),30)/30))))*Piano_SS!$D$9,0))</f>
        <v>29666.6666666667</v>
      </c>
      <c r="BZ22" s="15" t="n">
        <f aca="false">MIN(Piano_SS!$C$10,(BZ21)+IF(AND(Motore_Operativo!C22&gt;=EDATE(Parametri_v3!$C$24,Ipotesi!C14*12),Motore_Operativo!C22&lt;EDATE(Parametri_v3!$C$24,Parametri_v3!$C$25+Ipotesi!C14*12)),MAX(0,(IF(18-(INT((Ipotesi!$C$91)/30))&lt;1,0,INDEX(Motore_Operativo!$BO$5:$BO$64,MAX(1,18-(INT((Ipotesi!$C$91)/30)))))*(1-(MOD((Ipotesi!$C$91),30)/30))+IF(18-(INT((Ipotesi!$C$91)/30))-1&lt;1,0,INDEX(Motore_Operativo!$BO$5:$BO$64,MAX(1,18-(INT((Ipotesi!$C$91)/30))-1)))*(MOD((Ipotesi!$C$91),30)/30)))*Piano_SS!$D$10,0))</f>
        <v>15333.3333333333</v>
      </c>
      <c r="CA22" s="15" t="n">
        <f aca="false">SUM(BV22:BZ22)</f>
        <v>185089.550250617</v>
      </c>
      <c r="CB22" s="15" t="n">
        <f aca="false">BV22*(1-Piano_SS!$E$6)+BW22*(1-Piano_SS!$E$7)+BX22*(1-Piano_SS!$E$8)+BY22*(1-Piano_SS!$E$9)+BZ22*(1-Piano_SS!$E$10)</f>
        <v>169756.216917283</v>
      </c>
      <c r="CC22" s="15" t="n">
        <f aca="false">(CC21)+BA22</f>
        <v>80000</v>
      </c>
      <c r="CD22" s="15" t="n">
        <f aca="false">IF(CA22=0,0,CC22*CB22/CA22*Ipotesi!$C$103*Parametri_v3!$C$64)</f>
        <v>22011.7732227361</v>
      </c>
      <c r="CE22" s="18" t="n">
        <f aca="false">IF(BA22&gt;0,Motore_Operativo!C22,(CE21))</f>
        <v>46784</v>
      </c>
      <c r="CF22" s="18" t="n">
        <f aca="false">IF(AND(CC22&gt;0,OR(CC22&gt;=CG22-0.01,Motore_Operativo!C22&gt;=EDATE(MAX(Finanziamenti!$D$15:$D$17),Ipotesi!C14*12))),CE22,0)</f>
        <v>0</v>
      </c>
      <c r="CG22" s="15" t="n">
        <f aca="false">IF(AND(1&lt;&gt;6,1&lt;&gt;9,Finanziamenti!$F$11=1,OR(Parametri_v3!$C$6=0,Finanziamenti!$E$11=1)),MIN(Finanziamenti!$C$11,Piano_SS!$C$12*Ipotesi!$C$102),0)</f>
        <v>400000</v>
      </c>
      <c r="CH22" s="15" t="n">
        <f aca="false">IF(AND(AND(1&lt;&gt;8,1&lt;&gt;9,Finanziamenti!$F$10=1,OR(Parametri_v3!$C$6=0,Finanziamenti!$E$10=1)),Motore_Operativo!C22&gt;=Finanziamenti!$D$10,Motore_Operativo!C22&lt;Parametri_v3!$C$63),Finanziamenti!$C$10,0)</f>
        <v>150000</v>
      </c>
    </row>
    <row r="23" customFormat="false" ht="18" hidden="false" customHeight="true" outlineLevel="0" collapsed="false">
      <c r="A23" s="68" t="n">
        <f aca="false">1</f>
        <v>1</v>
      </c>
      <c r="B23" s="68" t="n">
        <f aca="false">19</f>
        <v>19</v>
      </c>
      <c r="C23" s="18" t="n">
        <f aca="false">Motore_Operativo!C23</f>
        <v>46935</v>
      </c>
      <c r="D23" s="68" t="n">
        <f aca="false">Motore_Operativo!D23</f>
        <v>2028</v>
      </c>
      <c r="E23" s="68" t="n">
        <f aca="false">Motore_Operativo!E23</f>
        <v>7</v>
      </c>
      <c r="F23" s="15" t="n">
        <f aca="false">Motore_Operativo!AQ23+Motore_Operativo!BF23</f>
        <v>19861.5261353591</v>
      </c>
      <c r="G23" s="15" t="n">
        <f aca="false">Motore_Operativo!BH23</f>
        <v>2937.5</v>
      </c>
      <c r="H23" s="15" t="n">
        <f aca="false">Motore_Operativo!BI23</f>
        <v>22799.0261353591</v>
      </c>
      <c r="I23" s="15" t="n">
        <f aca="false">Motore_Operativo!CA23</f>
        <v>56907.0719922836</v>
      </c>
      <c r="J23" s="15" t="n">
        <f aca="false">Motore_Operativo!CC23</f>
        <v>-34108.0458569245</v>
      </c>
      <c r="K23" s="15" t="n">
        <f aca="false">Motore_Operativo!CE23</f>
        <v>2083.33333333333</v>
      </c>
      <c r="L23" s="15" t="n">
        <f aca="false">SUM(INDEX($K$5:$K$64,MAX(1,19-Parametri_v3!$C$59+1)):K23)/Parametri_v3!$C$59</f>
        <v>960.648148148148</v>
      </c>
      <c r="M23" s="15" t="n">
        <f aca="false">J23-L23</f>
        <v>-35068.6940050727</v>
      </c>
      <c r="N23" s="15" t="n">
        <f aca="false">CD23-(CD22)</f>
        <v>-15.4413651869581</v>
      </c>
      <c r="O23" s="15" t="n">
        <f aca="false">(BG22)*Ipotesi!$C$110/12+CH23*Parametri_v3!$C$39/12</f>
        <v>127.188556405878</v>
      </c>
      <c r="P23" s="15" t="n">
        <f aca="false">M23+N23-O23</f>
        <v>-35211.3239266655</v>
      </c>
      <c r="Q23" s="15" t="n">
        <f aca="false">SUM(P17:P23)+Parametri_v3!$C$54*7/12</f>
        <v>-249891.340484218</v>
      </c>
      <c r="R23" s="15" t="n">
        <f aca="false">Z16</f>
        <v>238763.405147745</v>
      </c>
      <c r="S23" s="15" t="n">
        <f aca="false">AA16</f>
        <v>0</v>
      </c>
      <c r="T23" s="15" t="n">
        <f aca="false">MIN(R23,MAX(0,Q23))</f>
        <v>0</v>
      </c>
      <c r="U23" s="15" t="n">
        <f aca="false">MIN(S23,MAX(0,Q23-T23)*Parametri_v3!$C$42)</f>
        <v>0</v>
      </c>
      <c r="V23" s="15" t="n">
        <f aca="false">MAX(0,Q23-T23-U23)*Ipotesi!$C$92</f>
        <v>0</v>
      </c>
      <c r="W23" s="15" t="n">
        <f aca="false">MAX(0,SUM(M17:M23)+Parametri_v3!$C$55*7/12)*Ipotesi!$C$93</f>
        <v>0</v>
      </c>
      <c r="X23" s="15" t="n">
        <f aca="false">V23+W23-(V22+W22)</f>
        <v>0</v>
      </c>
      <c r="Y23" s="15" t="n">
        <f aca="false">P23-X23</f>
        <v>-35211.3239266655</v>
      </c>
      <c r="Z23" s="15" t="n">
        <f aca="false">R23-T23+IF(AND(Parametri_v3!$C$40=1,D23-YEAR(Parametri_v3!$C$50)&lt;Parametri_v3!$C$41),MAX(0,-Q23),0)</f>
        <v>488654.745631963</v>
      </c>
      <c r="AA23" s="15" t="n">
        <f aca="false">S23-U23+IF(AND(Parametri_v3!$C$40=1,D23-YEAR(Parametri_v3!$C$50)&lt;Parametri_v3!$C$41),0,MAX(0,-Q23))</f>
        <v>0</v>
      </c>
      <c r="AB23" s="15" t="n">
        <f aca="false">F23*(1+Parametri_v3!$C$26)</f>
        <v>24231.0618851381</v>
      </c>
      <c r="AC23" s="15" t="n">
        <f aca="false">(IF(19-(INT((Motore_Operativo!L23)/30))&lt;1,0,INDEX(Motore_Startup!$AB$5:$AB$64,MAX(1,19-(INT((Motore_Operativo!L23)/30)))))*(1-(MOD((Motore_Operativo!L23),30)/30))+IF(19-(INT((Motore_Operativo!L23)/30))-1&lt;1,0,INDEX(Motore_Startup!$AB$5:$AB$64,MAX(1,19-(INT((Motore_Operativo!L23)/30))-1)))*(MOD((Motore_Operativo!L23),30)/30))</f>
        <v>22223.1923389899</v>
      </c>
      <c r="AD23" s="15" t="n">
        <f aca="false">(AD22)+AB23-AC23</f>
        <v>70687.6414874625</v>
      </c>
      <c r="AE23" s="15" t="n">
        <f aca="false">Motore_Operativo!BH23*(1+Parametri_v3!$C$26)</f>
        <v>3583.75</v>
      </c>
      <c r="AF23" s="15" t="n">
        <f aca="false">(IF(19-(INT((Parametri_v3!$C$29)/30))&lt;1,0,INDEX(Motore_Operativo!$BH$5:$BH$64,MAX(1,19-(INT((Parametri_v3!$C$29)/30)))))*(1-(MOD((Parametri_v3!$C$29),30)/30))+IF(19-(INT((Parametri_v3!$C$29)/30))-1&lt;1,0,INDEX(Motore_Operativo!$BH$5:$BH$64,MAX(1,19-(INT((Parametri_v3!$C$29)/30))-1)))*(MOD((Parametri_v3!$C$29),30)/30))*(1+Parametri_v3!$C$26)</f>
        <v>3583.75</v>
      </c>
      <c r="AG23" s="15" t="n">
        <f aca="false">(AG22)+AE23-AF23</f>
        <v>3583.75</v>
      </c>
      <c r="AH23" s="15" t="n">
        <f aca="false">(Motore_Operativo!CJ23)*(1+Parametri_v3!$C$27*Parametri_v3!$C$26)</f>
        <v>20350.6069548406</v>
      </c>
      <c r="AI23" s="15" t="n">
        <f aca="false">(IF(19-(INT((Ipotesi!$C$91)/30))&lt;1,0,INDEX(Motore_Startup!$AH$5:$AH$64,MAX(1,19-(INT((Ipotesi!$C$91)/30)))))*(1-(MOD((Ipotesi!$C$91),30)/30))+IF(19-(INT((Ipotesi!$C$91)/30))-1&lt;1,0,INDEX(Motore_Startup!$AH$5:$AH$64,MAX(1,19-(INT((Ipotesi!$C$91)/30))-1)))*(MOD((Ipotesi!$C$91),30)/30))</f>
        <v>20168.4681297391</v>
      </c>
      <c r="AJ23" s="15" t="n">
        <f aca="false">(AJ22)+AH23-AI23</f>
        <v>40610.1713168892</v>
      </c>
      <c r="AK23" s="15" t="n">
        <f aca="false">(F23+ Motore_Operativo!BH23-(Motore_Operativo!CJ23)*Parametri_v3!$C$27-Motore_Operativo!CE23)*Parametri_v3!$C$26</f>
        <v>1351.41745388863</v>
      </c>
      <c r="AL23" s="15" t="n">
        <f aca="false">MAX(0,(AM22))</f>
        <v>0</v>
      </c>
      <c r="AM23" s="15" t="n">
        <f aca="false">(AM22)+AK23-AL23</f>
        <v>-134.081671948535</v>
      </c>
      <c r="AN23" s="15" t="n">
        <f aca="false">SUM(X5:X16)</f>
        <v>0</v>
      </c>
      <c r="AO23" s="15" t="n">
        <f aca="false">SUM(AP5:AP16)</f>
        <v>0</v>
      </c>
      <c r="AP23" s="15" t="n">
        <f aca="false">MAX(0,AN23)*IF(7=Parametri_v3!$C$43,Parametri_v3!$C$45,IF(7=Parametri_v3!$C$44,1-Parametri_v3!$C$45,0))</f>
        <v>0</v>
      </c>
      <c r="AQ23" s="15" t="n">
        <f aca="false">MAX(0,AP23+IF(7=Parametri_v3!$C$43,MAX(0,AN23-AO23),0)-MAX(0,-(AR22)))</f>
        <v>0</v>
      </c>
      <c r="AR23" s="15" t="n">
        <f aca="false">(AR22)+X23-AQ23</f>
        <v>0</v>
      </c>
      <c r="AS23" s="15" t="n">
        <f aca="false">Motore_Operativo!AB23-AT23+AU23</f>
        <v>37774.375</v>
      </c>
      <c r="AT23" s="15" t="n">
        <f aca="false">Motore_Operativo!CH23</f>
        <v>1988.125</v>
      </c>
      <c r="AU23" s="15" t="n">
        <f aca="false">MIN(MAX(0,(AV22)+AT23),Parametri_v3!$C$60/12)</f>
        <v>0</v>
      </c>
      <c r="AV23" s="15" t="n">
        <f aca="false">(AV22)+AT23-AU23</f>
        <v>24666.875</v>
      </c>
      <c r="AW23" s="15" t="n">
        <f aca="false">IF(AND(Motore_Operativo!C23=Finanziamenti!$D$6,Finanziamenti!$F$6=1),Finanziamenti!$C$6,0)</f>
        <v>0</v>
      </c>
      <c r="AX23" s="15" t="n">
        <f aca="false">IF(AND(1&lt;&gt;7,1&lt;&gt;9,Finanziamenti!$F$8=1,OR(Parametri_v3!$C$6=0,Finanziamenti!$E$8=1),Motore_Operativo!C23=EDATE(Finanziamenti!$D$8,Ipotesi!C15*12)),Finanziamenti!$C$8*1,0)+IF(AND(1&lt;&gt;7,1&lt;&gt;9,Finanziamenti!$F$9=1,OR(Parametri_v3!$C$6=0,Finanziamenti!$E$9=1),Motore_Operativo!C23=EDATE(Finanziamenti!$D$9,Ipotesi!C15*12)),Finanziamenti!$C$9*Ipotesi!C16,0)</f>
        <v>0</v>
      </c>
      <c r="AY23" s="15" t="n">
        <f aca="false">0</f>
        <v>0</v>
      </c>
      <c r="AZ23" s="15" t="n">
        <f aca="false">Motore_Advisory!AY23*(1-Ipotesi!$C$95)*Ipotesi!$C$96</f>
        <v>0</v>
      </c>
      <c r="BA23" s="15" t="n">
        <f aca="false">MAX(0,MIN(CG23*MIN(1,IF(Motore_Operativo!C23&gt;=EDATE(Finanziamenti!$D$15,Ipotesi!C14*12),Finanziamenti!$C$15,0)+IF(Motore_Operativo!C23&gt;=EDATE(Finanziamenti!$D$16,Ipotesi!C14*12),Finanziamenti!$C$16,0)+IF(Motore_Operativo!C23&gt;=EDATE(Finanziamenti!$D$17,Ipotesi!C14*12),Finanziamenti!$C$17,0)),CA23*Ipotesi!$C$102)-(CC22))</f>
        <v>0</v>
      </c>
      <c r="BB23" s="15" t="n">
        <f aca="false">IF(AND(CF23&gt;0,Motore_Operativo!C23&gt;=IF(CF23=0,0,EDATE(CF23,Parametri_v3!$C$37)),MOD(((D23-YEAR(IF(CF23=0,0,EDATE(CF23,Parametri_v3!$C$37))))*12+E23-MONTH(IF(CF23=0,0,EDATE(CF23,Parametri_v3!$C$37)))),Parametri_v3!$C$38)=0),MIN(MAX(0,(BC22)+BA23-N23),(CC23-CD23)/(Ipotesi!$C$108*12/Parametri_v3!$C$38)),0)</f>
        <v>0</v>
      </c>
      <c r="BC23" s="15" t="n">
        <f aca="false">(BC22)+BA23-N23-BB23</f>
        <v>58003.6681424508</v>
      </c>
      <c r="BD23" s="15" t="n">
        <f aca="false">(BH22)+AC23+AF23-AI23-AS23-K23*(1+Parametri_v3!$C$26)-AL23-AQ23-O23+AW23+AX23+AZ23+BA23-BB23</f>
        <v>-9804.75601382169</v>
      </c>
      <c r="BE23" s="15" t="n">
        <f aca="false">MAX(0,MIN(MAX(0,CH23-(BG22)),Parametri_v3!$C$30-BD23))</f>
        <v>34804.7560138217</v>
      </c>
      <c r="BF23" s="15" t="n">
        <f aca="false">IF(Motore_Operativo!C23&gt;=Parametri_v3!$C$63,(BG22),MIN((BG22),MAX(0,BD23-Parametri_v3!$C$30)))</f>
        <v>0</v>
      </c>
      <c r="BG23" s="15" t="n">
        <f aca="false">(BG22)+BE23-BF23</f>
        <v>60242.4672949972</v>
      </c>
      <c r="BH23" s="15" t="n">
        <f aca="false">BD23+BE23-BF23-AY23</f>
        <v>25000</v>
      </c>
      <c r="BI23" s="15" t="n">
        <f aca="false">MAX(0,Parametri_v3!$C$30-BH23)</f>
        <v>0</v>
      </c>
      <c r="BJ23" s="15" t="n">
        <f aca="false">(BJ22)+K23</f>
        <v>34583.3333333333</v>
      </c>
      <c r="BK23" s="15" t="n">
        <f aca="false">(BK22)+L23</f>
        <v>9120.37037037037</v>
      </c>
      <c r="BL23" s="15" t="n">
        <f aca="false">BJ23-BK23</f>
        <v>25462.962962963</v>
      </c>
      <c r="BM23" s="15" t="n">
        <f aca="false">(BM22)+Y23</f>
        <v>-488654.745631963</v>
      </c>
      <c r="BN23" s="15" t="n">
        <f aca="false">(BN22)+AW23+AX23+AZ23</f>
        <v>430000</v>
      </c>
      <c r="BO23" s="15" t="n">
        <f aca="false">(BO22)+AY23</f>
        <v>0</v>
      </c>
      <c r="BP23" s="15" t="n">
        <f aca="false">0</f>
        <v>0</v>
      </c>
      <c r="BQ23" s="15" t="n">
        <f aca="false">BN23+BM23-BO23</f>
        <v>-58654.7456319633</v>
      </c>
      <c r="BR23" s="15" t="n">
        <f aca="false">BH23+AD23+BL23+MAX(0,-AM23)+MAX(0,-AR23)+AG23</f>
        <v>124868.436122374</v>
      </c>
      <c r="BS23" s="15" t="n">
        <f aca="false">AJ23+AV23+MAX(0,AM23)+MAX(0,AR23)+BC23+BG23+BQ23</f>
        <v>124868.436122374</v>
      </c>
      <c r="BT23" s="15" t="n">
        <f aca="false">BR23-BS23</f>
        <v>0</v>
      </c>
      <c r="BU23" s="15" t="n">
        <f aca="false">BH23-(BD23+BE23-BF23-AY23)</f>
        <v>0</v>
      </c>
      <c r="BV23" s="15" t="n">
        <f aca="false">MIN(Piano_SS!$C$6,(BV22)+IF(AND(Motore_Operativo!C23&gt;=EDATE(Parametri_v3!$C$24,Ipotesi!C14*12),Motore_Operativo!C23&lt;EDATE(Parametri_v3!$C$24,Parametri_v3!$C$25+Ipotesi!C14*12)),MAX(0,(Motore_Operativo!Y23+Motore_Operativo!X23*Parametri_v3!$C$14)*(1-Parametri_v3!$C$32))*Piano_SS!$D$6,0))</f>
        <v>114118.75</v>
      </c>
      <c r="BW23" s="15" t="n">
        <f aca="false">MIN(Piano_SS!$C$7,(BW22)+IF(AND(Motore_Operativo!C23&gt;=EDATE(Parametri_v3!$C$24,Ipotesi!C14*12),Motore_Operativo!C23&lt;EDATE(Parametri_v3!$C$24,Parametri_v3!$C$25+Ipotesi!C14*12)),MAX(0,(IF(19-(INT((Ipotesi!$C$91)/30))&lt;1,0,INDEX(Motore_Operativo!$BN$5:$BN$64,MAX(1,19-(INT((Ipotesi!$C$91)/30)))))*(1-(MOD((Ipotesi!$C$91),30)/30))+IF(19-(INT((Ipotesi!$C$91)/30))-1&lt;1,0,INDEX(Motore_Operativo!$BN$5:$BN$64,MAX(1,19-(INT((Ipotesi!$C$91)/30))-1)))*(MOD((Ipotesi!$C$91),30)/30)))*Piano_SS!$D$7,0))</f>
        <v>17170.7896720019</v>
      </c>
      <c r="BX23" s="15" t="n">
        <f aca="false">MIN(Piano_SS!$C$8,(BX22)+IF(AND(Motore_Operativo!C23&gt;=EDATE(Parametri_v3!$C$24,Ipotesi!C14*12),Motore_Operativo!C23&lt;EDATE(Parametri_v3!$C$24,Parametri_v3!$C$25+Ipotesi!C14*12)),MAX(0,Motore_Operativo!CE23)*Piano_SS!$D$8,0))</f>
        <v>24583.3333333333</v>
      </c>
      <c r="BY23" s="15" t="n">
        <f aca="false">MIN(Piano_SS!$C$9,(BY22)+IF(AND(Motore_Operativo!C23&gt;=EDATE(Parametri_v3!$C$24,Ipotesi!C14*12),Motore_Operativo!C23&lt;EDATE(Parametri_v3!$C$24,Parametri_v3!$C$25+Ipotesi!C14*12)),MAX(0,((IF(19-(INT((Ipotesi!$C$91)/30))&lt;1,0,INDEX(Motore_Operativo!$BQ$5:$BQ$64,MAX(1,19-(INT((Ipotesi!$C$91)/30)))))*(1-(MOD((Ipotesi!$C$91),30)/30))+IF(19-(INT((Ipotesi!$C$91)/30))-1&lt;1,0,INDEX(Motore_Operativo!$BQ$5:$BQ$64,MAX(1,19-(INT((Ipotesi!$C$91)/30))-1)))*(MOD((Ipotesi!$C$91),30)/30))+(IF(19-(INT((Ipotesi!$C$91)/30))&lt;1,0,INDEX(Motore_Operativo!$BR$5:$BR$64,MAX(1,19-(INT((Ipotesi!$C$91)/30)))))*(1-(MOD((Ipotesi!$C$91),30)/30))+IF(19-(INT((Ipotesi!$C$91)/30))-1&lt;1,0,INDEX(Motore_Operativo!$BR$5:$BR$64,MAX(1,19-(INT((Ipotesi!$C$91)/30))-1)))*(MOD((Ipotesi!$C$91),30)/30))))*Piano_SS!$D$9,0))</f>
        <v>32583.3333333333</v>
      </c>
      <c r="BZ23" s="15" t="n">
        <f aca="false">MIN(Piano_SS!$C$10,(BZ22)+IF(AND(Motore_Operativo!C23&gt;=EDATE(Parametri_v3!$C$24,Ipotesi!C14*12),Motore_Operativo!C23&lt;EDATE(Parametri_v3!$C$24,Parametri_v3!$C$25+Ipotesi!C14*12)),MAX(0,(IF(19-(INT((Ipotesi!$C$91)/30))&lt;1,0,INDEX(Motore_Operativo!$BO$5:$BO$64,MAX(1,19-(INT((Ipotesi!$C$91)/30)))))*(1-(MOD((Ipotesi!$C$91),30)/30))+IF(19-(INT((Ipotesi!$C$91)/30))-1&lt;1,0,INDEX(Motore_Operativo!$BO$5:$BO$64,MAX(1,19-(INT((Ipotesi!$C$91)/30))-1)))*(MOD((Ipotesi!$C$91),30)/30)))*Piano_SS!$D$10,0))</f>
        <v>17166.6666666667</v>
      </c>
      <c r="CA23" s="15" t="n">
        <f aca="false">SUM(BV23:BZ23)</f>
        <v>205622.873005335</v>
      </c>
      <c r="CB23" s="15" t="n">
        <f aca="false">BV23*(1-Piano_SS!$E$6)+BW23*(1-Piano_SS!$E$7)+BX23*(1-Piano_SS!$E$8)+BY23*(1-Piano_SS!$E$9)+BZ23*(1-Piano_SS!$E$10)</f>
        <v>188456.206338669</v>
      </c>
      <c r="CC23" s="15" t="n">
        <f aca="false">(CC22)+BA23</f>
        <v>80000</v>
      </c>
      <c r="CD23" s="15" t="n">
        <f aca="false">IF(CA23=0,0,CC23*CB23/CA23*Ipotesi!$C$103*Parametri_v3!$C$64)</f>
        <v>21996.3318575492</v>
      </c>
      <c r="CE23" s="18" t="n">
        <f aca="false">IF(BA23&gt;0,Motore_Operativo!C23,(CE22))</f>
        <v>46784</v>
      </c>
      <c r="CF23" s="18" t="n">
        <f aca="false">IF(AND(CC23&gt;0,OR(CC23&gt;=CG23-0.01,Motore_Operativo!C23&gt;=EDATE(MAX(Finanziamenti!$D$15:$D$17),Ipotesi!C14*12))),CE23,0)</f>
        <v>0</v>
      </c>
      <c r="CG23" s="15" t="n">
        <f aca="false">IF(AND(1&lt;&gt;6,1&lt;&gt;9,Finanziamenti!$F$11=1,OR(Parametri_v3!$C$6=0,Finanziamenti!$E$11=1)),MIN(Finanziamenti!$C$11,Piano_SS!$C$12*Ipotesi!$C$102),0)</f>
        <v>400000</v>
      </c>
      <c r="CH23" s="15" t="n">
        <f aca="false">IF(AND(AND(1&lt;&gt;8,1&lt;&gt;9,Finanziamenti!$F$10=1,OR(Parametri_v3!$C$6=0,Finanziamenti!$E$10=1)),Motore_Operativo!C23&gt;=Finanziamenti!$D$10,Motore_Operativo!C23&lt;Parametri_v3!$C$63),Finanziamenti!$C$10,0)</f>
        <v>150000</v>
      </c>
    </row>
    <row r="24" customFormat="false" ht="18" hidden="false" customHeight="true" outlineLevel="0" collapsed="false">
      <c r="A24" s="68" t="n">
        <f aca="false">1</f>
        <v>1</v>
      </c>
      <c r="B24" s="68" t="n">
        <f aca="false">20</f>
        <v>20</v>
      </c>
      <c r="C24" s="18" t="n">
        <f aca="false">Motore_Operativo!C24</f>
        <v>46966</v>
      </c>
      <c r="D24" s="68" t="n">
        <f aca="false">Motore_Operativo!D24</f>
        <v>2028</v>
      </c>
      <c r="E24" s="68" t="n">
        <f aca="false">Motore_Operativo!E24</f>
        <v>8</v>
      </c>
      <c r="F24" s="15" t="n">
        <f aca="false">Motore_Operativo!AQ24+Motore_Operativo!BF24</f>
        <v>20410.7707259227</v>
      </c>
      <c r="G24" s="15" t="n">
        <f aca="false">Motore_Operativo!BH24</f>
        <v>2937.5</v>
      </c>
      <c r="H24" s="15" t="n">
        <f aca="false">Motore_Operativo!BI24</f>
        <v>23348.2707259227</v>
      </c>
      <c r="I24" s="15" t="n">
        <f aca="false">Motore_Operativo!CA24</f>
        <v>56983.9662349625</v>
      </c>
      <c r="J24" s="15" t="n">
        <f aca="false">Motore_Operativo!CC24</f>
        <v>-33635.6955090398</v>
      </c>
      <c r="K24" s="15" t="n">
        <f aca="false">Motore_Operativo!CE24</f>
        <v>2083.33333333333</v>
      </c>
      <c r="L24" s="15" t="n">
        <f aca="false">SUM(INDEX($K$5:$K$64,MAX(1,20-Parametri_v3!$C$59+1)):K24)/Parametri_v3!$C$59</f>
        <v>1018.51851851852</v>
      </c>
      <c r="M24" s="15" t="n">
        <f aca="false">J24-L24</f>
        <v>-34654.2140275583</v>
      </c>
      <c r="N24" s="15" t="n">
        <f aca="false">CD24-(CD23)</f>
        <v>-12.246531254983</v>
      </c>
      <c r="O24" s="15" t="n">
        <f aca="false">(BG23)*Ipotesi!$C$110/12+CH24*Parametri_v3!$C$39/12</f>
        <v>301.212336474986</v>
      </c>
      <c r="P24" s="15" t="n">
        <f aca="false">M24+N24-O24</f>
        <v>-34967.6728952883</v>
      </c>
      <c r="Q24" s="15" t="n">
        <f aca="false">SUM(P17:P24)+Parametri_v3!$C$54*8/12</f>
        <v>-284859.013379506</v>
      </c>
      <c r="R24" s="15" t="n">
        <f aca="false">Z16</f>
        <v>238763.405147745</v>
      </c>
      <c r="S24" s="15" t="n">
        <f aca="false">AA16</f>
        <v>0</v>
      </c>
      <c r="T24" s="15" t="n">
        <f aca="false">MIN(R24,MAX(0,Q24))</f>
        <v>0</v>
      </c>
      <c r="U24" s="15" t="n">
        <f aca="false">MIN(S24,MAX(0,Q24-T24)*Parametri_v3!$C$42)</f>
        <v>0</v>
      </c>
      <c r="V24" s="15" t="n">
        <f aca="false">MAX(0,Q24-T24-U24)*Ipotesi!$C$92</f>
        <v>0</v>
      </c>
      <c r="W24" s="15" t="n">
        <f aca="false">MAX(0,SUM(M17:M24)+Parametri_v3!$C$55*8/12)*Ipotesi!$C$93</f>
        <v>0</v>
      </c>
      <c r="X24" s="15" t="n">
        <f aca="false">V24+W24-(V23+W23)</f>
        <v>0</v>
      </c>
      <c r="Y24" s="15" t="n">
        <f aca="false">P24-X24</f>
        <v>-34967.6728952883</v>
      </c>
      <c r="Z24" s="15" t="n">
        <f aca="false">R24-T24+IF(AND(Parametri_v3!$C$40=1,D24-YEAR(Parametri_v3!$C$50)&lt;Parametri_v3!$C$41),MAX(0,-Q24),0)</f>
        <v>523622.418527252</v>
      </c>
      <c r="AA24" s="15" t="n">
        <f aca="false">S24-U24+IF(AND(Parametri_v3!$C$40=1,D24-YEAR(Parametri_v3!$C$50)&lt;Parametri_v3!$C$41),0,MAX(0,-Q24))</f>
        <v>0</v>
      </c>
      <c r="AB24" s="15" t="n">
        <f aca="false">F24*(1+Parametri_v3!$C$26)</f>
        <v>24901.1402856257</v>
      </c>
      <c r="AC24" s="15" t="n">
        <f aca="false">(IF(20-(INT((Motore_Operativo!L24)/30))&lt;1,0,INDEX(Motore_Startup!$AB$5:$AB$64,MAX(1,20-(INT((Motore_Operativo!L24)/30)))))*(1-(MOD((Motore_Operativo!L24),30)/30))+IF(20-(INT((Motore_Operativo!L24)/30))-1&lt;1,0,INDEX(Motore_Startup!$AB$5:$AB$64,MAX(1,20-(INT((Motore_Operativo!L24)/30))-1)))*(MOD((Motore_Operativo!L24),30)/30))</f>
        <v>22893.9011761243</v>
      </c>
      <c r="AD24" s="15" t="n">
        <f aca="false">(AD23)+AB24-AC24</f>
        <v>72694.8805969639</v>
      </c>
      <c r="AE24" s="15" t="n">
        <f aca="false">Motore_Operativo!BH24*(1+Parametri_v3!$C$26)</f>
        <v>3583.75</v>
      </c>
      <c r="AF24" s="15" t="n">
        <f aca="false">(IF(20-(INT((Parametri_v3!$C$29)/30))&lt;1,0,INDEX(Motore_Operativo!$BH$5:$BH$64,MAX(1,20-(INT((Parametri_v3!$C$29)/30)))))*(1-(MOD((Parametri_v3!$C$29),30)/30))+IF(20-(INT((Parametri_v3!$C$29)/30))-1&lt;1,0,INDEX(Motore_Operativo!$BH$5:$BH$64,MAX(1,20-(INT((Parametri_v3!$C$29)/30))-1)))*(MOD((Parametri_v3!$C$29),30)/30))*(1+Parametri_v3!$C$26)</f>
        <v>3583.75</v>
      </c>
      <c r="AG24" s="15" t="n">
        <f aca="false">(AG23)+AE24-AF24</f>
        <v>3583.75</v>
      </c>
      <c r="AH24" s="15" t="n">
        <f aca="false">(Motore_Operativo!CJ24)*(1+Parametri_v3!$C$27*Parametri_v3!$C$26)</f>
        <v>20441.8804209005</v>
      </c>
      <c r="AI24" s="15" t="n">
        <f aca="false">(IF(20-(INT((Ipotesi!$C$91)/30))&lt;1,0,INDEX(Motore_Startup!$AH$5:$AH$64,MAX(1,20-(INT((Ipotesi!$C$91)/30)))))*(1-(MOD((Ipotesi!$C$91),30)/30))+IF(20-(INT((Ipotesi!$C$91)/30))-1&lt;1,0,INDEX(Motore_Startup!$AH$5:$AH$64,MAX(1,20-(INT((Ipotesi!$C$91)/30))-1)))*(MOD((Ipotesi!$C$91),30)/30))</f>
        <v>20259.5643620486</v>
      </c>
      <c r="AJ24" s="15" t="n">
        <f aca="false">(AJ23)+AH24-AI24</f>
        <v>40792.4873757412</v>
      </c>
      <c r="AK24" s="15" t="n">
        <f aca="false">(F24+ Motore_Operativo!BH24-(Motore_Operativo!CJ24)*Parametri_v3!$C$27-Motore_Operativo!CE24)*Parametri_v3!$C$26</f>
        <v>1457.87204043168</v>
      </c>
      <c r="AL24" s="15" t="n">
        <f aca="false">MAX(0,(AM23))</f>
        <v>0</v>
      </c>
      <c r="AM24" s="15" t="n">
        <f aca="false">(AM23)+AK24-AL24</f>
        <v>1323.79036848314</v>
      </c>
      <c r="AN24" s="15" t="n">
        <f aca="false">SUM(X5:X16)</f>
        <v>0</v>
      </c>
      <c r="AO24" s="15" t="n">
        <f aca="false">SUM(AP5:AP16)</f>
        <v>0</v>
      </c>
      <c r="AP24" s="15" t="n">
        <f aca="false">MAX(0,AN24)*IF(8=Parametri_v3!$C$43,Parametri_v3!$C$45,IF(8=Parametri_v3!$C$44,1-Parametri_v3!$C$45,0))</f>
        <v>0</v>
      </c>
      <c r="AQ24" s="15" t="n">
        <f aca="false">MAX(0,AP24+IF(8=Parametri_v3!$C$43,MAX(0,AN24-AO24),0)-MAX(0,-(AR23)))</f>
        <v>0</v>
      </c>
      <c r="AR24" s="15" t="n">
        <f aca="false">(AR23)+X24-AQ24</f>
        <v>0</v>
      </c>
      <c r="AS24" s="15" t="n">
        <f aca="false">Motore_Operativo!AB24-AT24+AU24</f>
        <v>37774.375</v>
      </c>
      <c r="AT24" s="15" t="n">
        <f aca="false">Motore_Operativo!CH24</f>
        <v>1988.125</v>
      </c>
      <c r="AU24" s="15" t="n">
        <f aca="false">MIN(MAX(0,(AV23)+AT24),Parametri_v3!$C$60/12)</f>
        <v>0</v>
      </c>
      <c r="AV24" s="15" t="n">
        <f aca="false">(AV23)+AT24-AU24</f>
        <v>26655</v>
      </c>
      <c r="AW24" s="15" t="n">
        <f aca="false">IF(AND(Motore_Operativo!C24=Finanziamenti!$D$6,Finanziamenti!$F$6=1),Finanziamenti!$C$6,0)</f>
        <v>0</v>
      </c>
      <c r="AX24" s="15" t="n">
        <f aca="false">IF(AND(1&lt;&gt;7,1&lt;&gt;9,Finanziamenti!$F$8=1,OR(Parametri_v3!$C$6=0,Finanziamenti!$E$8=1),Motore_Operativo!C24=EDATE(Finanziamenti!$D$8,Ipotesi!C15*12)),Finanziamenti!$C$8*1,0)+IF(AND(1&lt;&gt;7,1&lt;&gt;9,Finanziamenti!$F$9=1,OR(Parametri_v3!$C$6=0,Finanziamenti!$E$9=1),Motore_Operativo!C24=EDATE(Finanziamenti!$D$9,Ipotesi!C15*12)),Finanziamenti!$C$9*Ipotesi!C16,0)</f>
        <v>0</v>
      </c>
      <c r="AY24" s="15" t="n">
        <f aca="false">0</f>
        <v>0</v>
      </c>
      <c r="AZ24" s="15" t="n">
        <f aca="false">Motore_Advisory!AY24*(1-Ipotesi!$C$95)*Ipotesi!$C$96</f>
        <v>0</v>
      </c>
      <c r="BA24" s="15" t="n">
        <f aca="false">MAX(0,MIN(CG24*MIN(1,IF(Motore_Operativo!C24&gt;=EDATE(Finanziamenti!$D$15,Ipotesi!C14*12),Finanziamenti!$C$15,0)+IF(Motore_Operativo!C24&gt;=EDATE(Finanziamenti!$D$16,Ipotesi!C14*12),Finanziamenti!$C$16,0)+IF(Motore_Operativo!C24&gt;=EDATE(Finanziamenti!$D$17,Ipotesi!C14*12),Finanziamenti!$C$17,0)),CA24*Ipotesi!$C$102)-(CC23))</f>
        <v>0</v>
      </c>
      <c r="BB24" s="15" t="n">
        <f aca="false">IF(AND(CF24&gt;0,Motore_Operativo!C24&gt;=IF(CF24=0,0,EDATE(CF24,Parametri_v3!$C$37)),MOD(((D24-YEAR(IF(CF24=0,0,EDATE(CF24,Parametri_v3!$C$37))))*12+E24-MONTH(IF(CF24=0,0,EDATE(CF24,Parametri_v3!$C$37)))),Parametri_v3!$C$38)=0),MIN(MAX(0,(BC23)+BA24-N24),(CC24-CD24)/(Ipotesi!$C$108*12/Parametri_v3!$C$38)),0)</f>
        <v>0</v>
      </c>
      <c r="BC24" s="15" t="n">
        <f aca="false">(BC23)+BA24-N24-BB24</f>
        <v>58015.9146737058</v>
      </c>
      <c r="BD24" s="15" t="n">
        <f aca="false">(BH23)+AC24+AF24-AI24-AS24-K24*(1+Parametri_v3!$C$26)-AL24-AQ24-O24+AW24+AX24+AZ24+BA24-BB24</f>
        <v>-9399.16718906597</v>
      </c>
      <c r="BE24" s="15" t="n">
        <f aca="false">MAX(0,MIN(MAX(0,CH24-(BG23)),Parametri_v3!$C$30-BD24))</f>
        <v>34399.167189066</v>
      </c>
      <c r="BF24" s="15" t="n">
        <f aca="false">IF(Motore_Operativo!C24&gt;=Parametri_v3!$C$63,(BG23),MIN((BG23),MAX(0,BD24-Parametri_v3!$C$30)))</f>
        <v>0</v>
      </c>
      <c r="BG24" s="15" t="n">
        <f aca="false">(BG23)+BE24-BF24</f>
        <v>94641.6344840632</v>
      </c>
      <c r="BH24" s="15" t="n">
        <f aca="false">BD24+BE24-BF24-AY24</f>
        <v>25000</v>
      </c>
      <c r="BI24" s="15" t="n">
        <f aca="false">MAX(0,Parametri_v3!$C$30-BH24)</f>
        <v>0</v>
      </c>
      <c r="BJ24" s="15" t="n">
        <f aca="false">(BJ23)+K24</f>
        <v>36666.6666666667</v>
      </c>
      <c r="BK24" s="15" t="n">
        <f aca="false">(BK23)+L24</f>
        <v>10138.8888888889</v>
      </c>
      <c r="BL24" s="15" t="n">
        <f aca="false">BJ24-BK24</f>
        <v>26527.7777777778</v>
      </c>
      <c r="BM24" s="15" t="n">
        <f aca="false">(BM23)+Y24</f>
        <v>-523622.418527252</v>
      </c>
      <c r="BN24" s="15" t="n">
        <f aca="false">(BN23)+AW24+AX24+AZ24</f>
        <v>430000</v>
      </c>
      <c r="BO24" s="15" t="n">
        <f aca="false">(BO23)+AY24</f>
        <v>0</v>
      </c>
      <c r="BP24" s="15" t="n">
        <f aca="false">0</f>
        <v>0</v>
      </c>
      <c r="BQ24" s="15" t="n">
        <f aca="false">BN24+BM24-BO24</f>
        <v>-93622.4185272515</v>
      </c>
      <c r="BR24" s="15" t="n">
        <f aca="false">BH24+AD24+BL24+MAX(0,-AM24)+MAX(0,-AR24)+AG24</f>
        <v>127806.408374742</v>
      </c>
      <c r="BS24" s="15" t="n">
        <f aca="false">AJ24+AV24+MAX(0,AM24)+MAX(0,AR24)+BC24+BG24+BQ24</f>
        <v>127806.408374742</v>
      </c>
      <c r="BT24" s="15" t="n">
        <f aca="false">BR24-BS24</f>
        <v>0</v>
      </c>
      <c r="BU24" s="15" t="n">
        <f aca="false">BH24-(BD24+BE24-BF24-AY24)</f>
        <v>0</v>
      </c>
      <c r="BV24" s="15" t="n">
        <f aca="false">MIN(Piano_SS!$C$6,(BV23)+IF(AND(Motore_Operativo!C24&gt;=EDATE(Parametri_v3!$C$24,Ipotesi!C14*12),Motore_Operativo!C24&lt;EDATE(Parametri_v3!$C$24,Parametri_v3!$C$25+Ipotesi!C14*12)),MAX(0,(Motore_Operativo!Y24+Motore_Operativo!X24*Parametri_v3!$C$14)*(1-Parametri_v3!$C$32))*Piano_SS!$D$6,0))</f>
        <v>126350</v>
      </c>
      <c r="BW24" s="15" t="n">
        <f aca="false">MIN(Piano_SS!$C$7,(BW23)+IF(AND(Motore_Operativo!C24&gt;=EDATE(Parametri_v3!$C$24,Ipotesi!C14*12),Motore_Operativo!C24&lt;EDATE(Parametri_v3!$C$24,Parametri_v3!$C$25+Ipotesi!C14*12)),MAX(0,(IF(20-(INT((Ipotesi!$C$91)/30))&lt;1,0,INDEX(Motore_Operativo!$BN$5:$BN$64,MAX(1,20-(INT((Ipotesi!$C$91)/30)))))*(1-(MOD((Ipotesi!$C$91),30)/30))+IF(20-(INT((Ipotesi!$C$91)/30))-1&lt;1,0,INDEX(Motore_Operativo!$BN$5:$BN$64,MAX(1,20-(INT((Ipotesi!$C$91)/30))-1)))*(MOD((Ipotesi!$C$91),30)/30)))*Piano_SS!$D$7,0))</f>
        <v>18683.3833392938</v>
      </c>
      <c r="BX24" s="15" t="n">
        <f aca="false">MIN(Piano_SS!$C$8,(BX23)+IF(AND(Motore_Operativo!C24&gt;=EDATE(Parametri_v3!$C$24,Ipotesi!C14*12),Motore_Operativo!C24&lt;EDATE(Parametri_v3!$C$24,Parametri_v3!$C$25+Ipotesi!C14*12)),MAX(0,Motore_Operativo!CE24)*Piano_SS!$D$8,0))</f>
        <v>26666.6666666667</v>
      </c>
      <c r="BY24" s="15" t="n">
        <f aca="false">MIN(Piano_SS!$C$9,(BY23)+IF(AND(Motore_Operativo!C24&gt;=EDATE(Parametri_v3!$C$24,Ipotesi!C14*12),Motore_Operativo!C24&lt;EDATE(Parametri_v3!$C$24,Parametri_v3!$C$25+Ipotesi!C14*12)),MAX(0,((IF(20-(INT((Ipotesi!$C$91)/30))&lt;1,0,INDEX(Motore_Operativo!$BQ$5:$BQ$64,MAX(1,20-(INT((Ipotesi!$C$91)/30)))))*(1-(MOD((Ipotesi!$C$91),30)/30))+IF(20-(INT((Ipotesi!$C$91)/30))-1&lt;1,0,INDEX(Motore_Operativo!$BQ$5:$BQ$64,MAX(1,20-(INT((Ipotesi!$C$91)/30))-1)))*(MOD((Ipotesi!$C$91),30)/30))+(IF(20-(INT((Ipotesi!$C$91)/30))&lt;1,0,INDEX(Motore_Operativo!$BR$5:$BR$64,MAX(1,20-(INT((Ipotesi!$C$91)/30)))))*(1-(MOD((Ipotesi!$C$91),30)/30))+IF(20-(INT((Ipotesi!$C$91)/30))-1&lt;1,0,INDEX(Motore_Operativo!$BR$5:$BR$64,MAX(1,20-(INT((Ipotesi!$C$91)/30))-1)))*(MOD((Ipotesi!$C$91),30)/30))))*Piano_SS!$D$9,0))</f>
        <v>35500</v>
      </c>
      <c r="BZ24" s="15" t="n">
        <f aca="false">MIN(Piano_SS!$C$10,(BZ23)+IF(AND(Motore_Operativo!C24&gt;=EDATE(Parametri_v3!$C$24,Ipotesi!C14*12),Motore_Operativo!C24&lt;EDATE(Parametri_v3!$C$24,Parametri_v3!$C$25+Ipotesi!C14*12)),MAX(0,(IF(20-(INT((Ipotesi!$C$91)/30))&lt;1,0,INDEX(Motore_Operativo!$BO$5:$BO$64,MAX(1,20-(INT((Ipotesi!$C$91)/30)))))*(1-(MOD((Ipotesi!$C$91),30)/30))+IF(20-(INT((Ipotesi!$C$91)/30))-1&lt;1,0,INDEX(Motore_Operativo!$BO$5:$BO$64,MAX(1,20-(INT((Ipotesi!$C$91)/30))-1)))*(MOD((Ipotesi!$C$91),30)/30)))*Piano_SS!$D$10,0))</f>
        <v>19000</v>
      </c>
      <c r="CA24" s="15" t="n">
        <f aca="false">SUM(BV24:BZ24)</f>
        <v>226200.05000596</v>
      </c>
      <c r="CB24" s="15" t="n">
        <f aca="false">BV24*(1-Piano_SS!$E$6)+BW24*(1-Piano_SS!$E$7)+BX24*(1-Piano_SS!$E$8)+BY24*(1-Piano_SS!$E$9)+BZ24*(1-Piano_SS!$E$10)</f>
        <v>207200.05000596</v>
      </c>
      <c r="CC24" s="15" t="n">
        <f aca="false">(CC23)+BA24</f>
        <v>80000</v>
      </c>
      <c r="CD24" s="15" t="n">
        <f aca="false">IF(CA24=0,0,CC24*CB24/CA24*Ipotesi!$C$103*Parametri_v3!$C$64)</f>
        <v>21984.0853262942</v>
      </c>
      <c r="CE24" s="18" t="n">
        <f aca="false">IF(BA24&gt;0,Motore_Operativo!C24,(CE23))</f>
        <v>46784</v>
      </c>
      <c r="CF24" s="18" t="n">
        <f aca="false">IF(AND(CC24&gt;0,OR(CC24&gt;=CG24-0.01,Motore_Operativo!C24&gt;=EDATE(MAX(Finanziamenti!$D$15:$D$17),Ipotesi!C14*12))),CE24,0)</f>
        <v>0</v>
      </c>
      <c r="CG24" s="15" t="n">
        <f aca="false">IF(AND(1&lt;&gt;6,1&lt;&gt;9,Finanziamenti!$F$11=1,OR(Parametri_v3!$C$6=0,Finanziamenti!$E$11=1)),MIN(Finanziamenti!$C$11,Piano_SS!$C$12*Ipotesi!$C$102),0)</f>
        <v>400000</v>
      </c>
      <c r="CH24" s="15" t="n">
        <f aca="false">IF(AND(AND(1&lt;&gt;8,1&lt;&gt;9,Finanziamenti!$F$10=1,OR(Parametri_v3!$C$6=0,Finanziamenti!$E$10=1)),Motore_Operativo!C24&gt;=Finanziamenti!$D$10,Motore_Operativo!C24&lt;Parametri_v3!$C$63),Finanziamenti!$C$10,0)</f>
        <v>150000</v>
      </c>
    </row>
    <row r="25" customFormat="false" ht="18" hidden="false" customHeight="true" outlineLevel="0" collapsed="false">
      <c r="A25" s="68" t="n">
        <f aca="false">1</f>
        <v>1</v>
      </c>
      <c r="B25" s="68" t="n">
        <f aca="false">21</f>
        <v>21</v>
      </c>
      <c r="C25" s="18" t="n">
        <f aca="false">Motore_Operativo!C25</f>
        <v>46997</v>
      </c>
      <c r="D25" s="68" t="n">
        <f aca="false">Motore_Operativo!D25</f>
        <v>2028</v>
      </c>
      <c r="E25" s="68" t="n">
        <f aca="false">Motore_Operativo!E25</f>
        <v>9</v>
      </c>
      <c r="F25" s="15" t="n">
        <f aca="false">Motore_Operativo!AQ25+Motore_Operativo!BF25</f>
        <v>20963.8880952108</v>
      </c>
      <c r="G25" s="15" t="n">
        <f aca="false">Motore_Operativo!BH25</f>
        <v>2937.5</v>
      </c>
      <c r="H25" s="15" t="n">
        <f aca="false">Motore_Operativo!BI25</f>
        <v>23901.3880952108</v>
      </c>
      <c r="I25" s="15" t="n">
        <f aca="false">Motore_Operativo!CA25</f>
        <v>57061.4026666629</v>
      </c>
      <c r="J25" s="15" t="n">
        <f aca="false">Motore_Operativo!CC25</f>
        <v>-33160.0145714521</v>
      </c>
      <c r="K25" s="15" t="n">
        <f aca="false">Motore_Operativo!CE25</f>
        <v>2083.33333333333</v>
      </c>
      <c r="L25" s="15" t="n">
        <f aca="false">SUM(INDEX($K$5:$K$64,MAX(1,21-Parametri_v3!$C$59+1)):K25)/Parametri_v3!$C$59</f>
        <v>1076.38888888889</v>
      </c>
      <c r="M25" s="15" t="n">
        <f aca="false">J25-L25</f>
        <v>-34236.4034603409</v>
      </c>
      <c r="N25" s="15" t="n">
        <f aca="false">CD25-(CD24)</f>
        <v>-9.84442990339812</v>
      </c>
      <c r="O25" s="15" t="n">
        <f aca="false">(BG24)*Ipotesi!$C$110/12+CH25*Parametri_v3!$C$39/12</f>
        <v>473.208172420316</v>
      </c>
      <c r="P25" s="15" t="n">
        <f aca="false">M25+N25-O25</f>
        <v>-34719.4560626647</v>
      </c>
      <c r="Q25" s="15" t="n">
        <f aca="false">SUM(P17:P25)+Parametri_v3!$C$54*9/12</f>
        <v>-319578.469442171</v>
      </c>
      <c r="R25" s="15" t="n">
        <f aca="false">Z16</f>
        <v>238763.405147745</v>
      </c>
      <c r="S25" s="15" t="n">
        <f aca="false">AA16</f>
        <v>0</v>
      </c>
      <c r="T25" s="15" t="n">
        <f aca="false">MIN(R25,MAX(0,Q25))</f>
        <v>0</v>
      </c>
      <c r="U25" s="15" t="n">
        <f aca="false">MIN(S25,MAX(0,Q25-T25)*Parametri_v3!$C$42)</f>
        <v>0</v>
      </c>
      <c r="V25" s="15" t="n">
        <f aca="false">MAX(0,Q25-T25-U25)*Ipotesi!$C$92</f>
        <v>0</v>
      </c>
      <c r="W25" s="15" t="n">
        <f aca="false">MAX(0,SUM(M17:M25)+Parametri_v3!$C$55*9/12)*Ipotesi!$C$93</f>
        <v>0</v>
      </c>
      <c r="X25" s="15" t="n">
        <f aca="false">V25+W25-(V24+W24)</f>
        <v>0</v>
      </c>
      <c r="Y25" s="15" t="n">
        <f aca="false">P25-X25</f>
        <v>-34719.4560626647</v>
      </c>
      <c r="Z25" s="15" t="n">
        <f aca="false">R25-T25+IF(AND(Parametri_v3!$C$40=1,D25-YEAR(Parametri_v3!$C$50)&lt;Parametri_v3!$C$41),MAX(0,-Q25),0)</f>
        <v>558341.874589916</v>
      </c>
      <c r="AA25" s="15" t="n">
        <f aca="false">S25-U25+IF(AND(Parametri_v3!$C$40=1,D25-YEAR(Parametri_v3!$C$50)&lt;Parametri_v3!$C$41),0,MAX(0,-Q25))</f>
        <v>0</v>
      </c>
      <c r="AB25" s="15" t="n">
        <f aca="false">F25*(1+Parametri_v3!$C$26)</f>
        <v>25575.9434761572</v>
      </c>
      <c r="AC25" s="15" t="n">
        <f aca="false">(IF(21-(INT((Motore_Operativo!L25)/30))&lt;1,0,INDEX(Motore_Startup!$AB$5:$AB$64,MAX(1,21-(INT((Motore_Operativo!L25)/30)))))*(1-(MOD((Motore_Operativo!L25),30)/30))+IF(21-(INT((Motore_Operativo!L25)/30))-1&lt;1,0,INDEX(Motore_Startup!$AB$5:$AB$64,MAX(1,21-(INT((Motore_Operativo!L25)/30))-1)))*(MOD((Motore_Operativo!L25),30)/30))</f>
        <v>23562.6784262001</v>
      </c>
      <c r="AD25" s="15" t="n">
        <f aca="false">(AD24)+AB25-AC25</f>
        <v>74708.145646921</v>
      </c>
      <c r="AE25" s="15" t="n">
        <f aca="false">Motore_Operativo!BH25*(1+Parametri_v3!$C$26)</f>
        <v>3583.75</v>
      </c>
      <c r="AF25" s="15" t="n">
        <f aca="false">(IF(21-(INT((Parametri_v3!$C$29)/30))&lt;1,0,INDEX(Motore_Operativo!$BH$5:$BH$64,MAX(1,21-(INT((Parametri_v3!$C$29)/30)))))*(1-(MOD((Parametri_v3!$C$29),30)/30))+IF(21-(INT((Parametri_v3!$C$29)/30))-1&lt;1,0,INDEX(Motore_Operativo!$BH$5:$BH$64,MAX(1,21-(INT((Parametri_v3!$C$29)/30))-1)))*(MOD((Parametri_v3!$C$29),30)/30))*(1+Parametri_v3!$C$26)</f>
        <v>3583.75</v>
      </c>
      <c r="AG25" s="15" t="n">
        <f aca="false">(AG24)+AE25-AF25</f>
        <v>3583.75</v>
      </c>
      <c r="AH25" s="15" t="n">
        <f aca="false">(Motore_Operativo!CJ25)*(1+Parametri_v3!$C$27*Parametri_v3!$C$26)</f>
        <v>20533.7974653288</v>
      </c>
      <c r="AI25" s="15" t="n">
        <f aca="false">(IF(21-(INT((Ipotesi!$C$91)/30))&lt;1,0,INDEX(Motore_Startup!$AH$5:$AH$64,MAX(1,21-(INT((Ipotesi!$C$91)/30)))))*(1-(MOD((Ipotesi!$C$91),30)/30))+IF(21-(INT((Ipotesi!$C$91)/30))-1&lt;1,0,INDEX(Motore_Startup!$AH$5:$AH$64,MAX(1,21-(INT((Ipotesi!$C$91)/30))-1)))*(MOD((Ipotesi!$C$91),30)/30))</f>
        <v>20350.6069548406</v>
      </c>
      <c r="AJ25" s="15" t="n">
        <f aca="false">(AJ24)+AH25-AI25</f>
        <v>40975.6778862293</v>
      </c>
      <c r="AK25" s="15" t="n">
        <f aca="false">(F25+ Motore_Operativo!BH25-(Motore_Operativo!CJ25)*Parametri_v3!$C$27-Motore_Operativo!CE25)*Parametri_v3!$C$26</f>
        <v>1565.07724894709</v>
      </c>
      <c r="AL25" s="15" t="n">
        <f aca="false">MAX(0,(AM24))</f>
        <v>1323.79036848314</v>
      </c>
      <c r="AM25" s="15" t="n">
        <f aca="false">(AM24)+AK25-AL25</f>
        <v>1565.07724894709</v>
      </c>
      <c r="AN25" s="15" t="n">
        <f aca="false">SUM(X5:X16)</f>
        <v>0</v>
      </c>
      <c r="AO25" s="15" t="n">
        <f aca="false">SUM(AP5:AP16)</f>
        <v>0</v>
      </c>
      <c r="AP25" s="15" t="n">
        <f aca="false">MAX(0,AN25)*IF(9=Parametri_v3!$C$43,Parametri_v3!$C$45,IF(9=Parametri_v3!$C$44,1-Parametri_v3!$C$45,0))</f>
        <v>0</v>
      </c>
      <c r="AQ25" s="15" t="n">
        <f aca="false">MAX(0,AP25+IF(9=Parametri_v3!$C$43,MAX(0,AN25-AO25),0)-MAX(0,-(AR24)))</f>
        <v>0</v>
      </c>
      <c r="AR25" s="15" t="n">
        <f aca="false">(AR24)+X25-AQ25</f>
        <v>0</v>
      </c>
      <c r="AS25" s="15" t="n">
        <f aca="false">Motore_Operativo!AB25-AT25+AU25</f>
        <v>37774.375</v>
      </c>
      <c r="AT25" s="15" t="n">
        <f aca="false">Motore_Operativo!CH25</f>
        <v>1988.125</v>
      </c>
      <c r="AU25" s="15" t="n">
        <f aca="false">MIN(MAX(0,(AV24)+AT25),Parametri_v3!$C$60/12)</f>
        <v>0</v>
      </c>
      <c r="AV25" s="15" t="n">
        <f aca="false">(AV24)+AT25-AU25</f>
        <v>28643.125</v>
      </c>
      <c r="AW25" s="15" t="n">
        <f aca="false">IF(AND(Motore_Operativo!C25=Finanziamenti!$D$6,Finanziamenti!$F$6=1),Finanziamenti!$C$6,0)</f>
        <v>0</v>
      </c>
      <c r="AX25" s="15" t="n">
        <f aca="false">IF(AND(1&lt;&gt;7,1&lt;&gt;9,Finanziamenti!$F$8=1,OR(Parametri_v3!$C$6=0,Finanziamenti!$E$8=1),Motore_Operativo!C25=EDATE(Finanziamenti!$D$8,Ipotesi!C15*12)),Finanziamenti!$C$8*1,0)+IF(AND(1&lt;&gt;7,1&lt;&gt;9,Finanziamenti!$F$9=1,OR(Parametri_v3!$C$6=0,Finanziamenti!$E$9=1),Motore_Operativo!C25=EDATE(Finanziamenti!$D$9,Ipotesi!C15*12)),Finanziamenti!$C$9*Ipotesi!C16,0)</f>
        <v>0</v>
      </c>
      <c r="AY25" s="15" t="n">
        <f aca="false">0</f>
        <v>0</v>
      </c>
      <c r="AZ25" s="15" t="n">
        <f aca="false">Motore_Advisory!AY25*(1-Ipotesi!$C$95)*Ipotesi!$C$96</f>
        <v>0</v>
      </c>
      <c r="BA25" s="15" t="n">
        <f aca="false">MAX(0,MIN(CG25*MIN(1,IF(Motore_Operativo!C25&gt;=EDATE(Finanziamenti!$D$15,Ipotesi!C14*12),Finanziamenti!$C$15,0)+IF(Motore_Operativo!C25&gt;=EDATE(Finanziamenti!$D$16,Ipotesi!C14*12),Finanziamenti!$C$16,0)+IF(Motore_Operativo!C25&gt;=EDATE(Finanziamenti!$D$17,Ipotesi!C14*12),Finanziamenti!$C$17,0)),CA25*Ipotesi!$C$102)-(CC24))</f>
        <v>0</v>
      </c>
      <c r="BB25" s="15" t="n">
        <f aca="false">IF(AND(CF25&gt;0,Motore_Operativo!C25&gt;=IF(CF25=0,0,EDATE(CF25,Parametri_v3!$C$37)),MOD(((D25-YEAR(IF(CF25=0,0,EDATE(CF25,Parametri_v3!$C$37))))*12+E25-MONTH(IF(CF25=0,0,EDATE(CF25,Parametri_v3!$C$37)))),Parametri_v3!$C$38)=0),MIN(MAX(0,(BC24)+BA25-N25),(CC25-CD25)/(Ipotesi!$C$108*12/Parametri_v3!$C$38)),0)</f>
        <v>0</v>
      </c>
      <c r="BC25" s="15" t="n">
        <f aca="false">(BC24)+BA25-N25-BB25</f>
        <v>58025.7591036092</v>
      </c>
      <c r="BD25" s="15" t="n">
        <f aca="false">(BH24)+AC25+AF25-AI25-AS25-K25*(1+Parametri_v3!$C$26)-AL25-AQ25-O25+AW25+AX25+AZ25+BA25-BB25</f>
        <v>-10317.2187362107</v>
      </c>
      <c r="BE25" s="15" t="n">
        <f aca="false">MAX(0,MIN(MAX(0,CH25-(BG24)),Parametri_v3!$C$30-BD25))</f>
        <v>35317.2187362107</v>
      </c>
      <c r="BF25" s="15" t="n">
        <f aca="false">IF(Motore_Operativo!C25&gt;=Parametri_v3!$C$63,(BG24),MIN((BG24),MAX(0,BD25-Parametri_v3!$C$30)))</f>
        <v>0</v>
      </c>
      <c r="BG25" s="15" t="n">
        <f aca="false">(BG24)+BE25-BF25</f>
        <v>129958.853220274</v>
      </c>
      <c r="BH25" s="15" t="n">
        <f aca="false">BD25+BE25-BF25-AY25</f>
        <v>25000</v>
      </c>
      <c r="BI25" s="15" t="n">
        <f aca="false">MAX(0,Parametri_v3!$C$30-BH25)</f>
        <v>0</v>
      </c>
      <c r="BJ25" s="15" t="n">
        <f aca="false">(BJ24)+K25</f>
        <v>38750</v>
      </c>
      <c r="BK25" s="15" t="n">
        <f aca="false">(BK24)+L25</f>
        <v>11215.2777777778</v>
      </c>
      <c r="BL25" s="15" t="n">
        <f aca="false">BJ25-BK25</f>
        <v>27534.7222222222</v>
      </c>
      <c r="BM25" s="15" t="n">
        <f aca="false">(BM24)+Y25</f>
        <v>-558341.874589916</v>
      </c>
      <c r="BN25" s="15" t="n">
        <f aca="false">(BN24)+AW25+AX25+AZ25</f>
        <v>430000</v>
      </c>
      <c r="BO25" s="15" t="n">
        <f aca="false">(BO24)+AY25</f>
        <v>0</v>
      </c>
      <c r="BP25" s="15" t="n">
        <f aca="false">0</f>
        <v>0</v>
      </c>
      <c r="BQ25" s="15" t="n">
        <f aca="false">BN25+BM25-BO25</f>
        <v>-128341.874589916</v>
      </c>
      <c r="BR25" s="15" t="n">
        <f aca="false">BH25+AD25+BL25+MAX(0,-AM25)+MAX(0,-AR25)+AG25</f>
        <v>130826.617869143</v>
      </c>
      <c r="BS25" s="15" t="n">
        <f aca="false">AJ25+AV25+MAX(0,AM25)+MAX(0,AR25)+BC25+BG25+BQ25</f>
        <v>130826.617869143</v>
      </c>
      <c r="BT25" s="15" t="n">
        <f aca="false">BR25-BS25</f>
        <v>0</v>
      </c>
      <c r="BU25" s="15" t="n">
        <f aca="false">BH25-(BD25+BE25-BF25-AY25)</f>
        <v>0</v>
      </c>
      <c r="BV25" s="15" t="n">
        <f aca="false">MIN(Piano_SS!$C$6,(BV24)+IF(AND(Motore_Operativo!C25&gt;=EDATE(Parametri_v3!$C$24,Ipotesi!C14*12),Motore_Operativo!C25&lt;EDATE(Parametri_v3!$C$24,Parametri_v3!$C$25+Ipotesi!C14*12)),MAX(0,(Motore_Operativo!Y25+Motore_Operativo!X25*Parametri_v3!$C$14)*(1-Parametri_v3!$C$32))*Piano_SS!$D$6,0))</f>
        <v>138581.25</v>
      </c>
      <c r="BW25" s="15" t="n">
        <f aca="false">MIN(Piano_SS!$C$7,(BW24)+IF(AND(Motore_Operativo!C25&gt;=EDATE(Parametri_v3!$C$24,Ipotesi!C14*12),Motore_Operativo!C25&lt;EDATE(Parametri_v3!$C$24,Parametri_v3!$C$25+Ipotesi!C14*12)),MAX(0,(IF(21-(INT((Ipotesi!$C$91)/30))&lt;1,0,INDEX(Motore_Operativo!$BN$5:$BN$64,MAX(1,21-(INT((Ipotesi!$C$91)/30)))))*(1-(MOD((Ipotesi!$C$91),30)/30))+IF(21-(INT((Ipotesi!$C$91)/30))-1&lt;1,0,INDEX(Motore_Operativo!$BN$5:$BN$64,MAX(1,21-(INT((Ipotesi!$C$91)/30))-1)))*(MOD((Ipotesi!$C$91),30)/30)))*Piano_SS!$D$7,0))</f>
        <v>20239.8054301225</v>
      </c>
      <c r="BX25" s="15" t="n">
        <f aca="false">MIN(Piano_SS!$C$8,(BX24)+IF(AND(Motore_Operativo!C25&gt;=EDATE(Parametri_v3!$C$24,Ipotesi!C14*12),Motore_Operativo!C25&lt;EDATE(Parametri_v3!$C$24,Parametri_v3!$C$25+Ipotesi!C14*12)),MAX(0,Motore_Operativo!CE25)*Piano_SS!$D$8,0))</f>
        <v>28750</v>
      </c>
      <c r="BY25" s="15" t="n">
        <f aca="false">MIN(Piano_SS!$C$9,(BY24)+IF(AND(Motore_Operativo!C25&gt;=EDATE(Parametri_v3!$C$24,Ipotesi!C14*12),Motore_Operativo!C25&lt;EDATE(Parametri_v3!$C$24,Parametri_v3!$C$25+Ipotesi!C14*12)),MAX(0,((IF(21-(INT((Ipotesi!$C$91)/30))&lt;1,0,INDEX(Motore_Operativo!$BQ$5:$BQ$64,MAX(1,21-(INT((Ipotesi!$C$91)/30)))))*(1-(MOD((Ipotesi!$C$91),30)/30))+IF(21-(INT((Ipotesi!$C$91)/30))-1&lt;1,0,INDEX(Motore_Operativo!$BQ$5:$BQ$64,MAX(1,21-(INT((Ipotesi!$C$91)/30))-1)))*(MOD((Ipotesi!$C$91),30)/30))+(IF(21-(INT((Ipotesi!$C$91)/30))&lt;1,0,INDEX(Motore_Operativo!$BR$5:$BR$64,MAX(1,21-(INT((Ipotesi!$C$91)/30)))))*(1-(MOD((Ipotesi!$C$91),30)/30))+IF(21-(INT((Ipotesi!$C$91)/30))-1&lt;1,0,INDEX(Motore_Operativo!$BR$5:$BR$64,MAX(1,21-(INT((Ipotesi!$C$91)/30))-1)))*(MOD((Ipotesi!$C$91),30)/30))))*Piano_SS!$D$9,0))</f>
        <v>38416.6666666667</v>
      </c>
      <c r="BZ25" s="15" t="n">
        <f aca="false">MIN(Piano_SS!$C$10,(BZ24)+IF(AND(Motore_Operativo!C25&gt;=EDATE(Parametri_v3!$C$24,Ipotesi!C14*12),Motore_Operativo!C25&lt;EDATE(Parametri_v3!$C$24,Parametri_v3!$C$25+Ipotesi!C14*12)),MAX(0,(IF(21-(INT((Ipotesi!$C$91)/30))&lt;1,0,INDEX(Motore_Operativo!$BO$5:$BO$64,MAX(1,21-(INT((Ipotesi!$C$91)/30)))))*(1-(MOD((Ipotesi!$C$91),30)/30))+IF(21-(INT((Ipotesi!$C$91)/30))-1&lt;1,0,INDEX(Motore_Operativo!$BO$5:$BO$64,MAX(1,21-(INT((Ipotesi!$C$91)/30))-1)))*(MOD((Ipotesi!$C$91),30)/30)))*Piano_SS!$D$10,0))</f>
        <v>20833.3333333333</v>
      </c>
      <c r="CA25" s="15" t="n">
        <f aca="false">SUM(BV25:BZ25)</f>
        <v>246821.055430123</v>
      </c>
      <c r="CB25" s="15" t="n">
        <f aca="false">BV25*(1-Piano_SS!$E$6)+BW25*(1-Piano_SS!$E$7)+BX25*(1-Piano_SS!$E$8)+BY25*(1-Piano_SS!$E$9)+BZ25*(1-Piano_SS!$E$10)</f>
        <v>225987.722096789</v>
      </c>
      <c r="CC25" s="15" t="n">
        <f aca="false">(CC24)+BA25</f>
        <v>80000</v>
      </c>
      <c r="CD25" s="15" t="n">
        <f aca="false">IF(CA25=0,0,CC25*CB25/CA25*Ipotesi!$C$103*Parametri_v3!$C$64)</f>
        <v>21974.2408963908</v>
      </c>
      <c r="CE25" s="18" t="n">
        <f aca="false">IF(BA25&gt;0,Motore_Operativo!C25,(CE24))</f>
        <v>46784</v>
      </c>
      <c r="CF25" s="18" t="n">
        <f aca="false">IF(AND(CC25&gt;0,OR(CC25&gt;=CG25-0.01,Motore_Operativo!C25&gt;=EDATE(MAX(Finanziamenti!$D$15:$D$17),Ipotesi!C14*12))),CE25,0)</f>
        <v>0</v>
      </c>
      <c r="CG25" s="15" t="n">
        <f aca="false">IF(AND(1&lt;&gt;6,1&lt;&gt;9,Finanziamenti!$F$11=1,OR(Parametri_v3!$C$6=0,Finanziamenti!$E$11=1)),MIN(Finanziamenti!$C$11,Piano_SS!$C$12*Ipotesi!$C$102),0)</f>
        <v>400000</v>
      </c>
      <c r="CH25" s="15" t="n">
        <f aca="false">IF(AND(AND(1&lt;&gt;8,1&lt;&gt;9,Finanziamenti!$F$10=1,OR(Parametri_v3!$C$6=0,Finanziamenti!$E$10=1)),Motore_Operativo!C25&gt;=Finanziamenti!$D$10,Motore_Operativo!C25&lt;Parametri_v3!$C$63),Finanziamenti!$C$10,0)</f>
        <v>150000</v>
      </c>
    </row>
    <row r="26" customFormat="false" ht="18" hidden="false" customHeight="true" outlineLevel="0" collapsed="false">
      <c r="A26" s="68" t="n">
        <f aca="false">1</f>
        <v>1</v>
      </c>
      <c r="B26" s="68" t="n">
        <f aca="false">22</f>
        <v>22</v>
      </c>
      <c r="C26" s="18" t="n">
        <f aca="false">Motore_Operativo!C26</f>
        <v>47027</v>
      </c>
      <c r="D26" s="68" t="n">
        <f aca="false">Motore_Operativo!D26</f>
        <v>2028</v>
      </c>
      <c r="E26" s="68" t="n">
        <f aca="false">Motore_Operativo!E26</f>
        <v>10</v>
      </c>
      <c r="F26" s="15" t="n">
        <f aca="false">Motore_Operativo!AQ26+Motore_Operativo!BF26</f>
        <v>21524.847982075</v>
      </c>
      <c r="G26" s="15" t="n">
        <f aca="false">Motore_Operativo!BH26</f>
        <v>2937.5</v>
      </c>
      <c r="H26" s="15" t="n">
        <f aca="false">Motore_Operativo!BI26</f>
        <v>24462.347982075</v>
      </c>
      <c r="I26" s="15" t="n">
        <f aca="false">Motore_Operativo!CA26</f>
        <v>57139.9370508238</v>
      </c>
      <c r="J26" s="15" t="n">
        <f aca="false">Motore_Operativo!CC26</f>
        <v>-32677.5890687488</v>
      </c>
      <c r="K26" s="15" t="n">
        <f aca="false">Motore_Operativo!CE26</f>
        <v>2083.33333333333</v>
      </c>
      <c r="L26" s="15" t="n">
        <f aca="false">SUM(INDEX($K$5:$K$64,MAX(1,22-Parametri_v3!$C$59+1)):K26)/Parametri_v3!$C$59</f>
        <v>1134.25925925926</v>
      </c>
      <c r="M26" s="15" t="n">
        <f aca="false">J26-L26</f>
        <v>-33811.8483280081</v>
      </c>
      <c r="N26" s="15" t="n">
        <f aca="false">CD26-(CD25)</f>
        <v>-18.1805869133605</v>
      </c>
      <c r="O26" s="15" t="n">
        <f aca="false">(BG25)*Ipotesi!$C$110/12+CH26*Parametri_v3!$C$39/12</f>
        <v>649.794266101369</v>
      </c>
      <c r="P26" s="15" t="n">
        <f aca="false">M26+N26-O26</f>
        <v>-34479.8231810228</v>
      </c>
      <c r="Q26" s="15" t="n">
        <f aca="false">SUM(P17:P26)+Parametri_v3!$C$54*10/12</f>
        <v>-354058.292623194</v>
      </c>
      <c r="R26" s="15" t="n">
        <f aca="false">Z16</f>
        <v>238763.405147745</v>
      </c>
      <c r="S26" s="15" t="n">
        <f aca="false">AA16</f>
        <v>0</v>
      </c>
      <c r="T26" s="15" t="n">
        <f aca="false">MIN(R26,MAX(0,Q26))</f>
        <v>0</v>
      </c>
      <c r="U26" s="15" t="n">
        <f aca="false">MIN(S26,MAX(0,Q26-T26)*Parametri_v3!$C$42)</f>
        <v>0</v>
      </c>
      <c r="V26" s="15" t="n">
        <f aca="false">MAX(0,Q26-T26-U26)*Ipotesi!$C$92</f>
        <v>0</v>
      </c>
      <c r="W26" s="15" t="n">
        <f aca="false">MAX(0,SUM(M17:M26)+Parametri_v3!$C$55*10/12)*Ipotesi!$C$93</f>
        <v>0</v>
      </c>
      <c r="X26" s="15" t="n">
        <f aca="false">V26+W26-(V25+W25)</f>
        <v>0</v>
      </c>
      <c r="Y26" s="15" t="n">
        <f aca="false">P26-X26</f>
        <v>-34479.8231810228</v>
      </c>
      <c r="Z26" s="15" t="n">
        <f aca="false">R26-T26+IF(AND(Parametri_v3!$C$40=1,D26-YEAR(Parametri_v3!$C$50)&lt;Parametri_v3!$C$41),MAX(0,-Q26),0)</f>
        <v>592821.697770939</v>
      </c>
      <c r="AA26" s="15" t="n">
        <f aca="false">S26-U26+IF(AND(Parametri_v3!$C$40=1,D26-YEAR(Parametri_v3!$C$50)&lt;Parametri_v3!$C$41),0,MAX(0,-Q26))</f>
        <v>0</v>
      </c>
      <c r="AB26" s="15" t="n">
        <f aca="false">F26*(1+Parametri_v3!$C$26)</f>
        <v>26260.3145381315</v>
      </c>
      <c r="AC26" s="15" t="n">
        <f aca="false">(IF(22-(INT((Motore_Operativo!L26)/30))&lt;1,0,INDEX(Motore_Startup!$AB$5:$AB$64,MAX(1,22-(INT((Motore_Operativo!L26)/30)))))*(1-(MOD((Motore_Operativo!L26),30)/30))+IF(22-(INT((Motore_Operativo!L26)/30))-1&lt;1,0,INDEX(Motore_Startup!$AB$5:$AB$64,MAX(1,22-(INT((Motore_Operativo!L26)/30))-1)))*(MOD((Motore_Operativo!L26),30)/30))</f>
        <v>24231.0618851381</v>
      </c>
      <c r="AD26" s="15" t="n">
        <f aca="false">(AD25)+AB26-AC26</f>
        <v>76737.3982999144</v>
      </c>
      <c r="AE26" s="15" t="n">
        <f aca="false">Motore_Operativo!BH26*(1+Parametri_v3!$C$26)</f>
        <v>3583.75</v>
      </c>
      <c r="AF26" s="15" t="n">
        <f aca="false">(IF(22-(INT((Parametri_v3!$C$29)/30))&lt;1,0,INDEX(Motore_Operativo!$BH$5:$BH$64,MAX(1,22-(INT((Parametri_v3!$C$29)/30)))))*(1-(MOD((Parametri_v3!$C$29),30)/30))+IF(22-(INT((Parametri_v3!$C$29)/30))-1&lt;1,0,INDEX(Motore_Operativo!$BH$5:$BH$64,MAX(1,22-(INT((Parametri_v3!$C$29)/30))-1)))*(MOD((Parametri_v3!$C$29),30)/30))*(1+Parametri_v3!$C$26)</f>
        <v>3583.75</v>
      </c>
      <c r="AG26" s="15" t="n">
        <f aca="false">(AG25)+AE26-AF26</f>
        <v>3583.75</v>
      </c>
      <c r="AH26" s="15" t="n">
        <f aca="false">(Motore_Operativo!CJ26)*(1+Parametri_v3!$C$27*Parametri_v3!$C$26)</f>
        <v>20627.0177793279</v>
      </c>
      <c r="AI26" s="15" t="n">
        <f aca="false">(IF(22-(INT((Ipotesi!$C$91)/30))&lt;1,0,INDEX(Motore_Startup!$AH$5:$AH$64,MAX(1,22-(INT((Ipotesi!$C$91)/30)))))*(1-(MOD((Ipotesi!$C$91),30)/30))+IF(22-(INT((Ipotesi!$C$91)/30))-1&lt;1,0,INDEX(Motore_Startup!$AH$5:$AH$64,MAX(1,22-(INT((Ipotesi!$C$91)/30))-1)))*(MOD((Ipotesi!$C$91),30)/30))</f>
        <v>20441.8804209005</v>
      </c>
      <c r="AJ26" s="15" t="n">
        <f aca="false">(AJ25)+AH26-AI26</f>
        <v>41160.8152446567</v>
      </c>
      <c r="AK26" s="15" t="n">
        <f aca="false">(F26+ Motore_Operativo!BH26-(Motore_Operativo!CJ26)*Parametri_v3!$C$27-Motore_Operativo!CE26)*Parametri_v3!$C$26</f>
        <v>1673.80249421911</v>
      </c>
      <c r="AL26" s="15" t="n">
        <f aca="false">MAX(0,(AM25))</f>
        <v>1565.07724894709</v>
      </c>
      <c r="AM26" s="15" t="n">
        <f aca="false">(AM25)+AK26-AL26</f>
        <v>1673.80249421911</v>
      </c>
      <c r="AN26" s="15" t="n">
        <f aca="false">SUM(X5:X16)</f>
        <v>0</v>
      </c>
      <c r="AO26" s="15" t="n">
        <f aca="false">SUM(AP5:AP16)</f>
        <v>0</v>
      </c>
      <c r="AP26" s="15" t="n">
        <f aca="false">MAX(0,AN26)*IF(10=Parametri_v3!$C$43,Parametri_v3!$C$45,IF(10=Parametri_v3!$C$44,1-Parametri_v3!$C$45,0))</f>
        <v>0</v>
      </c>
      <c r="AQ26" s="15" t="n">
        <f aca="false">MAX(0,AP26+IF(10=Parametri_v3!$C$43,MAX(0,AN26-AO26),0)-MAX(0,-(AR25)))</f>
        <v>0</v>
      </c>
      <c r="AR26" s="15" t="n">
        <f aca="false">(AR25)+X26-AQ26</f>
        <v>0</v>
      </c>
      <c r="AS26" s="15" t="n">
        <f aca="false">Motore_Operativo!AB26-AT26+AU26</f>
        <v>37774.375</v>
      </c>
      <c r="AT26" s="15" t="n">
        <f aca="false">Motore_Operativo!CH26</f>
        <v>1988.125</v>
      </c>
      <c r="AU26" s="15" t="n">
        <f aca="false">MIN(MAX(0,(AV25)+AT26),Parametri_v3!$C$60/12)</f>
        <v>0</v>
      </c>
      <c r="AV26" s="15" t="n">
        <f aca="false">(AV25)+AT26-AU26</f>
        <v>30631.25</v>
      </c>
      <c r="AW26" s="15" t="n">
        <f aca="false">IF(AND(Motore_Operativo!C26=Finanziamenti!$D$6,Finanziamenti!$F$6=1),Finanziamenti!$C$6,0)</f>
        <v>0</v>
      </c>
      <c r="AX26" s="15" t="n">
        <f aca="false">IF(AND(1&lt;&gt;7,1&lt;&gt;9,Finanziamenti!$F$8=1,OR(Parametri_v3!$C$6=0,Finanziamenti!$E$8=1),Motore_Operativo!C26=EDATE(Finanziamenti!$D$8,Ipotesi!C15*12)),Finanziamenti!$C$8*1,0)+IF(AND(1&lt;&gt;7,1&lt;&gt;9,Finanziamenti!$F$9=1,OR(Parametri_v3!$C$6=0,Finanziamenti!$E$9=1),Motore_Operativo!C26=EDATE(Finanziamenti!$D$9,Ipotesi!C15*12)),Finanziamenti!$C$9*Ipotesi!C16,0)</f>
        <v>0</v>
      </c>
      <c r="AY26" s="15" t="n">
        <f aca="false">0</f>
        <v>0</v>
      </c>
      <c r="AZ26" s="15" t="n">
        <f aca="false">Motore_Advisory!AY26*(1-Ipotesi!$C$95)*Ipotesi!$C$96</f>
        <v>0</v>
      </c>
      <c r="BA26" s="15" t="n">
        <f aca="false">MAX(0,MIN(CG26*MIN(1,IF(Motore_Operativo!C26&gt;=EDATE(Finanziamenti!$D$15,Ipotesi!C14*12),Finanziamenti!$C$15,0)+IF(Motore_Operativo!C26&gt;=EDATE(Finanziamenti!$D$16,Ipotesi!C14*12),Finanziamenti!$C$16,0)+IF(Motore_Operativo!C26&gt;=EDATE(Finanziamenti!$D$17,Ipotesi!C14*12),Finanziamenti!$C$17,0)),CA26*Ipotesi!$C$102)-(CC25))</f>
        <v>0</v>
      </c>
      <c r="BB26" s="15" t="n">
        <f aca="false">IF(AND(CF26&gt;0,Motore_Operativo!C26&gt;=IF(CF26=0,0,EDATE(CF26,Parametri_v3!$C$37)),MOD(((D26-YEAR(IF(CF26=0,0,EDATE(CF26,Parametri_v3!$C$37))))*12+E26-MONTH(IF(CF26=0,0,EDATE(CF26,Parametri_v3!$C$37)))),Parametri_v3!$C$38)=0),MIN(MAX(0,(BC25)+BA26-N26),(CC26-CD26)/(Ipotesi!$C$108*12/Parametri_v3!$C$38)),0)</f>
        <v>0</v>
      </c>
      <c r="BC26" s="15" t="n">
        <f aca="false">(BC25)+BA26-N26-BB26</f>
        <v>58043.9396905226</v>
      </c>
      <c r="BD26" s="15" t="n">
        <f aca="false">(BH25)+AC26+AF26-AI26-AS26-K26*(1+Parametri_v3!$C$26)-AL26-AQ26-O26+AW26+AX26+AZ26+BA26-BB26</f>
        <v>-10157.9817174776</v>
      </c>
      <c r="BE26" s="15" t="n">
        <f aca="false">MAX(0,MIN(MAX(0,CH26-(BG25)),Parametri_v3!$C$30-BD26))</f>
        <v>20041.1467797262</v>
      </c>
      <c r="BF26" s="15" t="n">
        <f aca="false">IF(Motore_Operativo!C26&gt;=Parametri_v3!$C$63,(BG25),MIN((BG25),MAX(0,BD26-Parametri_v3!$C$30)))</f>
        <v>0</v>
      </c>
      <c r="BG26" s="15" t="n">
        <f aca="false">(BG25)+BE26-BF26</f>
        <v>150000</v>
      </c>
      <c r="BH26" s="15" t="n">
        <f aca="false">BD26+BE26-BF26-AY26</f>
        <v>9883.1650622486</v>
      </c>
      <c r="BI26" s="15" t="n">
        <f aca="false">MAX(0,Parametri_v3!$C$30-BH26)</f>
        <v>15116.8349377514</v>
      </c>
      <c r="BJ26" s="15" t="n">
        <f aca="false">(BJ25)+K26</f>
        <v>40833.3333333333</v>
      </c>
      <c r="BK26" s="15" t="n">
        <f aca="false">(BK25)+L26</f>
        <v>12349.537037037</v>
      </c>
      <c r="BL26" s="15" t="n">
        <f aca="false">BJ26-BK26</f>
        <v>28483.7962962963</v>
      </c>
      <c r="BM26" s="15" t="n">
        <f aca="false">(BM25)+Y26</f>
        <v>-592821.697770939</v>
      </c>
      <c r="BN26" s="15" t="n">
        <f aca="false">(BN25)+AW26+AX26+AZ26</f>
        <v>430000</v>
      </c>
      <c r="BO26" s="15" t="n">
        <f aca="false">(BO25)+AY26</f>
        <v>0</v>
      </c>
      <c r="BP26" s="15" t="n">
        <f aca="false">0</f>
        <v>0</v>
      </c>
      <c r="BQ26" s="15" t="n">
        <f aca="false">BN26+BM26-BO26</f>
        <v>-162821.697770939</v>
      </c>
      <c r="BR26" s="15" t="n">
        <f aca="false">BH26+AD26+BL26+MAX(0,-AM26)+MAX(0,-AR26)+AG26</f>
        <v>118688.109658459</v>
      </c>
      <c r="BS26" s="15" t="n">
        <f aca="false">AJ26+AV26+MAX(0,AM26)+MAX(0,AR26)+BC26+BG26+BQ26</f>
        <v>118688.109658459</v>
      </c>
      <c r="BT26" s="15" t="n">
        <f aca="false">BR26-BS26</f>
        <v>0</v>
      </c>
      <c r="BU26" s="15" t="n">
        <f aca="false">BH26-(BD26+BE26-BF26-AY26)</f>
        <v>0</v>
      </c>
      <c r="BV26" s="15" t="n">
        <f aca="false">MIN(Piano_SS!$C$6,(BV25)+IF(AND(Motore_Operativo!C26&gt;=EDATE(Parametri_v3!$C$24,Ipotesi!C14*12),Motore_Operativo!C26&lt;EDATE(Parametri_v3!$C$24,Parametri_v3!$C$25+Ipotesi!C14*12)),MAX(0,(Motore_Operativo!Y26+Motore_Operativo!X26*Parametri_v3!$C$14)*(1-Parametri_v3!$C$32))*Piano_SS!$D$6,0))</f>
        <v>150812.5</v>
      </c>
      <c r="BW26" s="15" t="n">
        <f aca="false">MIN(Piano_SS!$C$7,(BW25)+IF(AND(Motore_Operativo!C26&gt;=EDATE(Parametri_v3!$C$24,Ipotesi!C14*12),Motore_Operativo!C26&lt;EDATE(Parametri_v3!$C$24,Parametri_v3!$C$25+Ipotesi!C14*12)),MAX(0,(IF(22-(INT((Ipotesi!$C$91)/30))&lt;1,0,INDEX(Motore_Operativo!$BN$5:$BN$64,MAX(1,22-(INT((Ipotesi!$C$91)/30)))))*(1-(MOD((Ipotesi!$C$91),30)/30))+IF(22-(INT((Ipotesi!$C$91)/30))-1&lt;1,0,INDEX(Motore_Operativo!$BN$5:$BN$64,MAX(1,22-(INT((Ipotesi!$C$91)/30))-1)))*(MOD((Ipotesi!$C$91),30)/30)))*Piano_SS!$D$7,0))</f>
        <v>21840.1670881963</v>
      </c>
      <c r="BX26" s="15" t="n">
        <f aca="false">MIN(Piano_SS!$C$8,(BX25)+IF(AND(Motore_Operativo!C26&gt;=EDATE(Parametri_v3!$C$24,Ipotesi!C14*12),Motore_Operativo!C26&lt;EDATE(Parametri_v3!$C$24,Parametri_v3!$C$25+Ipotesi!C14*12)),MAX(0,Motore_Operativo!CE26)*Piano_SS!$D$8,0))</f>
        <v>30833.3333333333</v>
      </c>
      <c r="BY26" s="15" t="n">
        <f aca="false">MIN(Piano_SS!$C$9,(BY25)+IF(AND(Motore_Operativo!C26&gt;=EDATE(Parametri_v3!$C$24,Ipotesi!C14*12),Motore_Operativo!C26&lt;EDATE(Parametri_v3!$C$24,Parametri_v3!$C$25+Ipotesi!C14*12)),MAX(0,((IF(22-(INT((Ipotesi!$C$91)/30))&lt;1,0,INDEX(Motore_Operativo!$BQ$5:$BQ$64,MAX(1,22-(INT((Ipotesi!$C$91)/30)))))*(1-(MOD((Ipotesi!$C$91),30)/30))+IF(22-(INT((Ipotesi!$C$91)/30))-1&lt;1,0,INDEX(Motore_Operativo!$BQ$5:$BQ$64,MAX(1,22-(INT((Ipotesi!$C$91)/30))-1)))*(MOD((Ipotesi!$C$91),30)/30))+(IF(22-(INT((Ipotesi!$C$91)/30))&lt;1,0,INDEX(Motore_Operativo!$BR$5:$BR$64,MAX(1,22-(INT((Ipotesi!$C$91)/30)))))*(1-(MOD((Ipotesi!$C$91),30)/30))+IF(22-(INT((Ipotesi!$C$91)/30))-1&lt;1,0,INDEX(Motore_Operativo!$BR$5:$BR$64,MAX(1,22-(INT((Ipotesi!$C$91)/30))-1)))*(MOD((Ipotesi!$C$91),30)/30))))*Piano_SS!$D$9,0))</f>
        <v>40000</v>
      </c>
      <c r="BZ26" s="15" t="n">
        <f aca="false">MIN(Piano_SS!$C$10,(BZ25)+IF(AND(Motore_Operativo!C26&gt;=EDATE(Parametri_v3!$C$24,Ipotesi!C14*12),Motore_Operativo!C26&lt;EDATE(Parametri_v3!$C$24,Parametri_v3!$C$25+Ipotesi!C14*12)),MAX(0,(IF(22-(INT((Ipotesi!$C$91)/30))&lt;1,0,INDEX(Motore_Operativo!$BO$5:$BO$64,MAX(1,22-(INT((Ipotesi!$C$91)/30)))))*(1-(MOD((Ipotesi!$C$91),30)/30))+IF(22-(INT((Ipotesi!$C$91)/30))-1&lt;1,0,INDEX(Motore_Operativo!$BO$5:$BO$64,MAX(1,22-(INT((Ipotesi!$C$91)/30))-1)))*(MOD((Ipotesi!$C$91),30)/30)))*Piano_SS!$D$10,0))</f>
        <v>22666.6666666667</v>
      </c>
      <c r="CA26" s="15" t="n">
        <f aca="false">SUM(BV26:BZ26)</f>
        <v>266152.667088196</v>
      </c>
      <c r="CB26" s="15" t="n">
        <f aca="false">BV26*(1-Piano_SS!$E$6)+BW26*(1-Piano_SS!$E$7)+BX26*(1-Piano_SS!$E$8)+BY26*(1-Piano_SS!$E$9)+BZ26*(1-Piano_SS!$E$10)</f>
        <v>243486.00042153</v>
      </c>
      <c r="CC26" s="15" t="n">
        <f aca="false">(CC25)+BA26</f>
        <v>80000</v>
      </c>
      <c r="CD26" s="15" t="n">
        <f aca="false">IF(CA26=0,0,CC26*CB26/CA26*Ipotesi!$C$103*Parametri_v3!$C$64)</f>
        <v>21956.0603094774</v>
      </c>
      <c r="CE26" s="18" t="n">
        <f aca="false">IF(BA26&gt;0,Motore_Operativo!C26,(CE25))</f>
        <v>46784</v>
      </c>
      <c r="CF26" s="18" t="n">
        <f aca="false">IF(AND(CC26&gt;0,OR(CC26&gt;=CG26-0.01,Motore_Operativo!C26&gt;=EDATE(MAX(Finanziamenti!$D$15:$D$17),Ipotesi!C14*12))),CE26,0)</f>
        <v>0</v>
      </c>
      <c r="CG26" s="15" t="n">
        <f aca="false">IF(AND(1&lt;&gt;6,1&lt;&gt;9,Finanziamenti!$F$11=1,OR(Parametri_v3!$C$6=0,Finanziamenti!$E$11=1)),MIN(Finanziamenti!$C$11,Piano_SS!$C$12*Ipotesi!$C$102),0)</f>
        <v>400000</v>
      </c>
      <c r="CH26" s="15" t="n">
        <f aca="false">IF(AND(AND(1&lt;&gt;8,1&lt;&gt;9,Finanziamenti!$F$10=1,OR(Parametri_v3!$C$6=0,Finanziamenti!$E$10=1)),Motore_Operativo!C26&gt;=Finanziamenti!$D$10,Motore_Operativo!C26&lt;Parametri_v3!$C$63),Finanziamenti!$C$10,0)</f>
        <v>150000</v>
      </c>
    </row>
    <row r="27" customFormat="false" ht="18" hidden="false" customHeight="true" outlineLevel="0" collapsed="false">
      <c r="A27" s="68" t="n">
        <f aca="false">1</f>
        <v>1</v>
      </c>
      <c r="B27" s="68" t="n">
        <f aca="false">23</f>
        <v>23</v>
      </c>
      <c r="C27" s="18" t="n">
        <f aca="false">Motore_Operativo!C27</f>
        <v>47058</v>
      </c>
      <c r="D27" s="68" t="n">
        <f aca="false">Motore_Operativo!D27</f>
        <v>2028</v>
      </c>
      <c r="E27" s="68" t="n">
        <f aca="false">Motore_Operativo!E27</f>
        <v>11</v>
      </c>
      <c r="F27" s="15" t="n">
        <f aca="false">Motore_Operativo!AQ27+Motore_Operativo!BF27</f>
        <v>22101.1199167403</v>
      </c>
      <c r="G27" s="15" t="n">
        <f aca="false">Motore_Operativo!BH27</f>
        <v>2937.5</v>
      </c>
      <c r="H27" s="15" t="n">
        <f aca="false">Motore_Operativo!BI27</f>
        <v>25038.6199167403</v>
      </c>
      <c r="I27" s="15" t="n">
        <f aca="false">Motore_Operativo!CA27</f>
        <v>57220.615121677</v>
      </c>
      <c r="J27" s="15" t="n">
        <f aca="false">Motore_Operativo!CC27</f>
        <v>-32181.9952049367</v>
      </c>
      <c r="K27" s="15" t="n">
        <f aca="false">Motore_Operativo!CE27</f>
        <v>2083.33333333333</v>
      </c>
      <c r="L27" s="15" t="n">
        <f aca="false">SUM(INDEX($K$5:$K$64,MAX(1,23-Parametri_v3!$C$59+1)):K27)/Parametri_v3!$C$59</f>
        <v>1192.12962962963</v>
      </c>
      <c r="M27" s="15" t="n">
        <f aca="false">J27-L27</f>
        <v>-33374.1248345663</v>
      </c>
      <c r="N27" s="15" t="n">
        <f aca="false">CD27-(CD26)</f>
        <v>-26.8824637633406</v>
      </c>
      <c r="O27" s="15" t="n">
        <f aca="false">(BG26)*Ipotesi!$C$110/12+CH27*Parametri_v3!$C$39/12</f>
        <v>750</v>
      </c>
      <c r="P27" s="15" t="n">
        <f aca="false">M27+N27-O27</f>
        <v>-34151.0072983296</v>
      </c>
      <c r="Q27" s="15" t="n">
        <f aca="false">SUM(P17:P27)+Parametri_v3!$C$54*11/12</f>
        <v>-388209.299921523</v>
      </c>
      <c r="R27" s="15" t="n">
        <f aca="false">Z16</f>
        <v>238763.405147745</v>
      </c>
      <c r="S27" s="15" t="n">
        <f aca="false">AA16</f>
        <v>0</v>
      </c>
      <c r="T27" s="15" t="n">
        <f aca="false">MIN(R27,MAX(0,Q27))</f>
        <v>0</v>
      </c>
      <c r="U27" s="15" t="n">
        <f aca="false">MIN(S27,MAX(0,Q27-T27)*Parametri_v3!$C$42)</f>
        <v>0</v>
      </c>
      <c r="V27" s="15" t="n">
        <f aca="false">MAX(0,Q27-T27-U27)*Ipotesi!$C$92</f>
        <v>0</v>
      </c>
      <c r="W27" s="15" t="n">
        <f aca="false">MAX(0,SUM(M17:M27)+Parametri_v3!$C$55*11/12)*Ipotesi!$C$93</f>
        <v>0</v>
      </c>
      <c r="X27" s="15" t="n">
        <f aca="false">V27+W27-(V26+W26)</f>
        <v>0</v>
      </c>
      <c r="Y27" s="15" t="n">
        <f aca="false">P27-X27</f>
        <v>-34151.0072983296</v>
      </c>
      <c r="Z27" s="15" t="n">
        <f aca="false">R27-T27+IF(AND(Parametri_v3!$C$40=1,D27-YEAR(Parametri_v3!$C$50)&lt;Parametri_v3!$C$41),MAX(0,-Q27),0)</f>
        <v>626972.705069269</v>
      </c>
      <c r="AA27" s="15" t="n">
        <f aca="false">S27-U27+IF(AND(Parametri_v3!$C$40=1,D27-YEAR(Parametri_v3!$C$50)&lt;Parametri_v3!$C$41),0,MAX(0,-Q27))</f>
        <v>0</v>
      </c>
      <c r="AB27" s="15" t="n">
        <f aca="false">F27*(1+Parametri_v3!$C$26)</f>
        <v>26963.3662984232</v>
      </c>
      <c r="AC27" s="15" t="n">
        <f aca="false">(IF(23-(INT((Motore_Operativo!L27)/30))&lt;1,0,INDEX(Motore_Startup!$AB$5:$AB$64,MAX(1,23-(INT((Motore_Operativo!L27)/30)))))*(1-(MOD((Motore_Operativo!L27),30)/30))+IF(23-(INT((Motore_Operativo!L27)/30))-1&lt;1,0,INDEX(Motore_Startup!$AB$5:$AB$64,MAX(1,23-(INT((Motore_Operativo!L27)/30))-1)))*(MOD((Motore_Operativo!L27),30)/30))</f>
        <v>24901.1402856257</v>
      </c>
      <c r="AD27" s="15" t="n">
        <f aca="false">(AD26)+AB27-AC27</f>
        <v>78799.6243127119</v>
      </c>
      <c r="AE27" s="15" t="n">
        <f aca="false">Motore_Operativo!BH27*(1+Parametri_v3!$C$26)</f>
        <v>3583.75</v>
      </c>
      <c r="AF27" s="15" t="n">
        <f aca="false">(IF(23-(INT((Parametri_v3!$C$29)/30))&lt;1,0,INDEX(Motore_Operativo!$BH$5:$BH$64,MAX(1,23-(INT((Parametri_v3!$C$29)/30)))))*(1-(MOD((Parametri_v3!$C$29),30)/30))+IF(23-(INT((Parametri_v3!$C$29)/30))-1&lt;1,0,INDEX(Motore_Operativo!$BH$5:$BH$64,MAX(1,23-(INT((Parametri_v3!$C$29)/30))-1)))*(MOD((Parametri_v3!$C$29),30)/30))*(1+Parametri_v3!$C$26)</f>
        <v>3583.75</v>
      </c>
      <c r="AG27" s="15" t="n">
        <f aca="false">(AG26)+AE27-AF27</f>
        <v>3583.75</v>
      </c>
      <c r="AH27" s="15" t="n">
        <f aca="false">(Motore_Operativo!CJ27)*(1+Parametri_v3!$C$27*Parametri_v3!$C$26)</f>
        <v>20722.7826494306</v>
      </c>
      <c r="AI27" s="15" t="n">
        <f aca="false">(IF(23-(INT((Ipotesi!$C$91)/30))&lt;1,0,INDEX(Motore_Startup!$AH$5:$AH$64,MAX(1,23-(INT((Ipotesi!$C$91)/30)))))*(1-(MOD((Ipotesi!$C$91),30)/30))+IF(23-(INT((Ipotesi!$C$91)/30))-1&lt;1,0,INDEX(Motore_Startup!$AH$5:$AH$64,MAX(1,23-(INT((Ipotesi!$C$91)/30))-1)))*(MOD((Ipotesi!$C$91),30)/30))</f>
        <v>20533.7974653288</v>
      </c>
      <c r="AJ27" s="15" t="n">
        <f aca="false">(AJ26)+AH27-AI27</f>
        <v>41349.8004287585</v>
      </c>
      <c r="AK27" s="15" t="n">
        <f aca="false">(F27+ Motore_Operativo!BH27-(Motore_Operativo!CJ27)*Parametri_v3!$C$27-Motore_Operativo!CE27)*Parametri_v3!$C$26</f>
        <v>1785.49552059594</v>
      </c>
      <c r="AL27" s="15" t="n">
        <f aca="false">MAX(0,(AM26))</f>
        <v>1673.80249421911</v>
      </c>
      <c r="AM27" s="15" t="n">
        <f aca="false">(AM26)+AK27-AL27</f>
        <v>1785.49552059594</v>
      </c>
      <c r="AN27" s="15" t="n">
        <f aca="false">SUM(X5:X16)</f>
        <v>0</v>
      </c>
      <c r="AO27" s="15" t="n">
        <f aca="false">SUM(AP5:AP16)</f>
        <v>0</v>
      </c>
      <c r="AP27" s="15" t="n">
        <f aca="false">MAX(0,AN27)*IF(11=Parametri_v3!$C$43,Parametri_v3!$C$45,IF(11=Parametri_v3!$C$44,1-Parametri_v3!$C$45,0))</f>
        <v>0</v>
      </c>
      <c r="AQ27" s="15" t="n">
        <f aca="false">MAX(0,AP27+IF(11=Parametri_v3!$C$43,MAX(0,AN27-AO27),0)-MAX(0,-(AR26)))</f>
        <v>0</v>
      </c>
      <c r="AR27" s="15" t="n">
        <f aca="false">(AR26)+X27-AQ27</f>
        <v>0</v>
      </c>
      <c r="AS27" s="15" t="n">
        <f aca="false">Motore_Operativo!AB27-AT27+AU27</f>
        <v>37774.375</v>
      </c>
      <c r="AT27" s="15" t="n">
        <f aca="false">Motore_Operativo!CH27</f>
        <v>1988.125</v>
      </c>
      <c r="AU27" s="15" t="n">
        <f aca="false">MIN(MAX(0,(AV26)+AT27),Parametri_v3!$C$60/12)</f>
        <v>0</v>
      </c>
      <c r="AV27" s="15" t="n">
        <f aca="false">(AV26)+AT27-AU27</f>
        <v>32619.375</v>
      </c>
      <c r="AW27" s="15" t="n">
        <f aca="false">IF(AND(Motore_Operativo!C27=Finanziamenti!$D$6,Finanziamenti!$F$6=1),Finanziamenti!$C$6,0)</f>
        <v>0</v>
      </c>
      <c r="AX27" s="15" t="n">
        <f aca="false">IF(AND(1&lt;&gt;7,1&lt;&gt;9,Finanziamenti!$F$8=1,OR(Parametri_v3!$C$6=0,Finanziamenti!$E$8=1),Motore_Operativo!C27=EDATE(Finanziamenti!$D$8,Ipotesi!C15*12)),Finanziamenti!$C$8*1,0)+IF(AND(1&lt;&gt;7,1&lt;&gt;9,Finanziamenti!$F$9=1,OR(Parametri_v3!$C$6=0,Finanziamenti!$E$9=1),Motore_Operativo!C27=EDATE(Finanziamenti!$D$9,Ipotesi!C15*12)),Finanziamenti!$C$9*Ipotesi!C16,0)</f>
        <v>0</v>
      </c>
      <c r="AY27" s="15" t="n">
        <f aca="false">0</f>
        <v>0</v>
      </c>
      <c r="AZ27" s="15" t="n">
        <f aca="false">Motore_Advisory!AY27*(1-Ipotesi!$C$95)*Ipotesi!$C$96</f>
        <v>0</v>
      </c>
      <c r="BA27" s="15" t="n">
        <f aca="false">MAX(0,MIN(CG27*MIN(1,IF(Motore_Operativo!C27&gt;=EDATE(Finanziamenti!$D$15,Ipotesi!C14*12),Finanziamenti!$C$15,0)+IF(Motore_Operativo!C27&gt;=EDATE(Finanziamenti!$D$16,Ipotesi!C14*12),Finanziamenti!$C$16,0)+IF(Motore_Operativo!C27&gt;=EDATE(Finanziamenti!$D$17,Ipotesi!C14*12),Finanziamenti!$C$17,0)),CA27*Ipotesi!$C$102)-(CC26))</f>
        <v>0</v>
      </c>
      <c r="BB27" s="15" t="n">
        <f aca="false">IF(AND(CF27&gt;0,Motore_Operativo!C27&gt;=IF(CF27=0,0,EDATE(CF27,Parametri_v3!$C$37)),MOD(((D27-YEAR(IF(CF27=0,0,EDATE(CF27,Parametri_v3!$C$37))))*12+E27-MONTH(IF(CF27=0,0,EDATE(CF27,Parametri_v3!$C$37)))),Parametri_v3!$C$38)=0),MIN(MAX(0,(BC26)+BA27-N27),(CC27-CD27)/(Ipotesi!$C$108*12/Parametri_v3!$C$38)),0)</f>
        <v>0</v>
      </c>
      <c r="BC27" s="15" t="n">
        <f aca="false">(BC26)+BA27-N27-BB27</f>
        <v>58070.8221542859</v>
      </c>
      <c r="BD27" s="15" t="n">
        <f aca="false">(BH26)+AC27+AF27-AI27-AS27-K27*(1+Parametri_v3!$C$26)-AL27-AQ27-O27+AW27+AX27+AZ27+BA27-BB27</f>
        <v>-24905.5862783402</v>
      </c>
      <c r="BE27" s="15" t="n">
        <f aca="false">MAX(0,MIN(MAX(0,CH27-(BG26)),Parametri_v3!$C$30-BD27))</f>
        <v>0</v>
      </c>
      <c r="BF27" s="15" t="n">
        <f aca="false">IF(Motore_Operativo!C27&gt;=Parametri_v3!$C$63,(BG26),MIN((BG26),MAX(0,BD27-Parametri_v3!$C$30)))</f>
        <v>0</v>
      </c>
      <c r="BG27" s="15" t="n">
        <f aca="false">(BG26)+BE27-BF27</f>
        <v>150000</v>
      </c>
      <c r="BH27" s="15" t="n">
        <f aca="false">BD27+BE27-BF27-AY27</f>
        <v>-24905.5862783402</v>
      </c>
      <c r="BI27" s="15" t="n">
        <f aca="false">MAX(0,Parametri_v3!$C$30-BH27)</f>
        <v>49905.5862783402</v>
      </c>
      <c r="BJ27" s="15" t="n">
        <f aca="false">(BJ26)+K27</f>
        <v>42916.6666666667</v>
      </c>
      <c r="BK27" s="15" t="n">
        <f aca="false">(BK26)+L27</f>
        <v>13541.6666666667</v>
      </c>
      <c r="BL27" s="15" t="n">
        <f aca="false">BJ27-BK27</f>
        <v>29375</v>
      </c>
      <c r="BM27" s="15" t="n">
        <f aca="false">(BM26)+Y27</f>
        <v>-626972.705069269</v>
      </c>
      <c r="BN27" s="15" t="n">
        <f aca="false">(BN26)+AW27+AX27+AZ27</f>
        <v>430000</v>
      </c>
      <c r="BO27" s="15" t="n">
        <f aca="false">(BO26)+AY27</f>
        <v>0</v>
      </c>
      <c r="BP27" s="15" t="n">
        <f aca="false">0</f>
        <v>0</v>
      </c>
      <c r="BQ27" s="15" t="n">
        <f aca="false">BN27+BM27-BO27</f>
        <v>-196972.705069269</v>
      </c>
      <c r="BR27" s="15" t="n">
        <f aca="false">BH27+AD27+BL27+MAX(0,-AM27)+MAX(0,-AR27)+AG27</f>
        <v>86852.7880343716</v>
      </c>
      <c r="BS27" s="15" t="n">
        <f aca="false">AJ27+AV27+MAX(0,AM27)+MAX(0,AR27)+BC27+BG27+BQ27</f>
        <v>86852.7880343717</v>
      </c>
      <c r="BT27" s="15" t="n">
        <f aca="false">BR27-BS27</f>
        <v>0</v>
      </c>
      <c r="BU27" s="15" t="n">
        <f aca="false">BH27-(BD27+BE27-BF27-AY27)</f>
        <v>0</v>
      </c>
      <c r="BV27" s="15" t="n">
        <f aca="false">MIN(Piano_SS!$C$6,(BV26)+IF(AND(Motore_Operativo!C27&gt;=EDATE(Parametri_v3!$C$24,Ipotesi!C14*12),Motore_Operativo!C27&lt;EDATE(Parametri_v3!$C$24,Parametri_v3!$C$25+Ipotesi!C14*12)),MAX(0,(Motore_Operativo!Y27+Motore_Operativo!X27*Parametri_v3!$C$14)*(1-Parametri_v3!$C$32))*Piano_SS!$D$6,0))</f>
        <v>163043.75</v>
      </c>
      <c r="BW27" s="15" t="n">
        <f aca="false">MIN(Piano_SS!$C$7,(BW26)+IF(AND(Motore_Operativo!C27&gt;=EDATE(Parametri_v3!$C$24,Ipotesi!C14*12),Motore_Operativo!C27&lt;EDATE(Parametri_v3!$C$24,Parametri_v3!$C$25+Ipotesi!C14*12)),MAX(0,(IF(23-(INT((Ipotesi!$C$91)/30))&lt;1,0,INDEX(Motore_Operativo!$BN$5:$BN$64,MAX(1,23-(INT((Ipotesi!$C$91)/30)))))*(1-(MOD((Ipotesi!$C$91),30)/30))+IF(23-(INT((Ipotesi!$C$91)/30))-1&lt;1,0,INDEX(Motore_Operativo!$BN$5:$BN$64,MAX(1,23-(INT((Ipotesi!$C$91)/30))-1)))*(MOD((Ipotesi!$C$91),30)/30)))*Piano_SS!$D$7,0))</f>
        <v>23484.7781358132</v>
      </c>
      <c r="BX27" s="15" t="n">
        <f aca="false">MIN(Piano_SS!$C$8,(BX26)+IF(AND(Motore_Operativo!C27&gt;=EDATE(Parametri_v3!$C$24,Ipotesi!C14*12),Motore_Operativo!C27&lt;EDATE(Parametri_v3!$C$24,Parametri_v3!$C$25+Ipotesi!C14*12)),MAX(0,Motore_Operativo!CE27)*Piano_SS!$D$8,0))</f>
        <v>32916.6666666667</v>
      </c>
      <c r="BY27" s="15" t="n">
        <f aca="false">MIN(Piano_SS!$C$9,(BY26)+IF(AND(Motore_Operativo!C27&gt;=EDATE(Parametri_v3!$C$24,Ipotesi!C14*12),Motore_Operativo!C27&lt;EDATE(Parametri_v3!$C$24,Parametri_v3!$C$25+Ipotesi!C14*12)),MAX(0,((IF(23-(INT((Ipotesi!$C$91)/30))&lt;1,0,INDEX(Motore_Operativo!$BQ$5:$BQ$64,MAX(1,23-(INT((Ipotesi!$C$91)/30)))))*(1-(MOD((Ipotesi!$C$91),30)/30))+IF(23-(INT((Ipotesi!$C$91)/30))-1&lt;1,0,INDEX(Motore_Operativo!$BQ$5:$BQ$64,MAX(1,23-(INT((Ipotesi!$C$91)/30))-1)))*(MOD((Ipotesi!$C$91),30)/30))+(IF(23-(INT((Ipotesi!$C$91)/30))&lt;1,0,INDEX(Motore_Operativo!$BR$5:$BR$64,MAX(1,23-(INT((Ipotesi!$C$91)/30)))))*(1-(MOD((Ipotesi!$C$91),30)/30))+IF(23-(INT((Ipotesi!$C$91)/30))-1&lt;1,0,INDEX(Motore_Operativo!$BR$5:$BR$64,MAX(1,23-(INT((Ipotesi!$C$91)/30))-1)))*(MOD((Ipotesi!$C$91),30)/30))))*Piano_SS!$D$9,0))</f>
        <v>40000</v>
      </c>
      <c r="BZ27" s="15" t="n">
        <f aca="false">MIN(Piano_SS!$C$10,(BZ26)+IF(AND(Motore_Operativo!C27&gt;=EDATE(Parametri_v3!$C$24,Ipotesi!C14*12),Motore_Operativo!C27&lt;EDATE(Parametri_v3!$C$24,Parametri_v3!$C$25+Ipotesi!C14*12)),MAX(0,(IF(23-(INT((Ipotesi!$C$91)/30))&lt;1,0,INDEX(Motore_Operativo!$BO$5:$BO$64,MAX(1,23-(INT((Ipotesi!$C$91)/30)))))*(1-(MOD((Ipotesi!$C$91),30)/30))+IF(23-(INT((Ipotesi!$C$91)/30))-1&lt;1,0,INDEX(Motore_Operativo!$BO$5:$BO$64,MAX(1,23-(INT((Ipotesi!$C$91)/30))-1)))*(MOD((Ipotesi!$C$91),30)/30)))*Piano_SS!$D$10,0))</f>
        <v>24500</v>
      </c>
      <c r="CA27" s="15" t="n">
        <f aca="false">SUM(BV27:BZ27)</f>
        <v>283945.19480248</v>
      </c>
      <c r="CB27" s="15" t="n">
        <f aca="false">BV27*(1-Piano_SS!$E$6)+BW27*(1-Piano_SS!$E$7)+BX27*(1-Piano_SS!$E$8)+BY27*(1-Piano_SS!$E$9)+BZ27*(1-Piano_SS!$E$10)</f>
        <v>259445.19480248</v>
      </c>
      <c r="CC27" s="15" t="n">
        <f aca="false">(CC26)+BA27</f>
        <v>80000</v>
      </c>
      <c r="CD27" s="15" t="n">
        <f aca="false">IF(CA27=0,0,CC27*CB27/CA27*Ipotesi!$C$103*Parametri_v3!$C$64)</f>
        <v>21929.1778457141</v>
      </c>
      <c r="CE27" s="18" t="n">
        <f aca="false">IF(BA27&gt;0,Motore_Operativo!C27,(CE26))</f>
        <v>46784</v>
      </c>
      <c r="CF27" s="18" t="n">
        <f aca="false">IF(AND(CC27&gt;0,OR(CC27&gt;=CG27-0.01,Motore_Operativo!C27&gt;=EDATE(MAX(Finanziamenti!$D$15:$D$17),Ipotesi!C14*12))),CE27,0)</f>
        <v>0</v>
      </c>
      <c r="CG27" s="15" t="n">
        <f aca="false">IF(AND(1&lt;&gt;6,1&lt;&gt;9,Finanziamenti!$F$11=1,OR(Parametri_v3!$C$6=0,Finanziamenti!$E$11=1)),MIN(Finanziamenti!$C$11,Piano_SS!$C$12*Ipotesi!$C$102),0)</f>
        <v>400000</v>
      </c>
      <c r="CH27" s="15" t="n">
        <f aca="false">IF(AND(AND(1&lt;&gt;8,1&lt;&gt;9,Finanziamenti!$F$10=1,OR(Parametri_v3!$C$6=0,Finanziamenti!$E$10=1)),Motore_Operativo!C27&gt;=Finanziamenti!$D$10,Motore_Operativo!C27&lt;Parametri_v3!$C$63),Finanziamenti!$C$10,0)</f>
        <v>150000</v>
      </c>
    </row>
    <row r="28" customFormat="false" ht="18" hidden="false" customHeight="true" outlineLevel="0" collapsed="false">
      <c r="A28" s="68" t="n">
        <f aca="false">1</f>
        <v>1</v>
      </c>
      <c r="B28" s="68" t="n">
        <f aca="false">24</f>
        <v>24</v>
      </c>
      <c r="C28" s="18" t="n">
        <f aca="false">Motore_Operativo!C28</f>
        <v>47088</v>
      </c>
      <c r="D28" s="68" t="n">
        <f aca="false">Motore_Operativo!D28</f>
        <v>2028</v>
      </c>
      <c r="E28" s="68" t="n">
        <f aca="false">Motore_Operativo!E28</f>
        <v>12</v>
      </c>
      <c r="F28" s="15" t="n">
        <f aca="false">Motore_Operativo!AQ28+Motore_Operativo!BF28</f>
        <v>22712.7904213275</v>
      </c>
      <c r="G28" s="15" t="n">
        <f aca="false">Motore_Operativo!BH28</f>
        <v>2937.5</v>
      </c>
      <c r="H28" s="15" t="n">
        <f aca="false">Motore_Operativo!BI28</f>
        <v>25650.2904213275</v>
      </c>
      <c r="I28" s="15" t="n">
        <f aca="false">Motore_Operativo!CA28</f>
        <v>57306.2489923192</v>
      </c>
      <c r="J28" s="15" t="n">
        <f aca="false">Motore_Operativo!CC28</f>
        <v>-31655.9585709917</v>
      </c>
      <c r="K28" s="15" t="n">
        <f aca="false">Motore_Operativo!CE28</f>
        <v>2083.33333333333</v>
      </c>
      <c r="L28" s="15" t="n">
        <f aca="false">SUM(INDEX($K$5:$K$64,MAX(1,24-Parametri_v3!$C$59+1)):K28)/Parametri_v3!$C$59</f>
        <v>1250</v>
      </c>
      <c r="M28" s="15" t="n">
        <f aca="false">J28-L28</f>
        <v>-32905.9585709917</v>
      </c>
      <c r="N28" s="15" t="n">
        <f aca="false">CD28-(CD27)</f>
        <v>44178.6459881369</v>
      </c>
      <c r="O28" s="15" t="n">
        <f aca="false">(BG27)*Ipotesi!$C$110/12+CH28*Parametri_v3!$C$39/12</f>
        <v>750</v>
      </c>
      <c r="P28" s="15" t="n">
        <f aca="false">M28+N28-O28</f>
        <v>10522.6874171452</v>
      </c>
      <c r="Q28" s="15" t="n">
        <f aca="false">SUM(P17:P28)+Parametri_v3!$C$54*12/12</f>
        <v>-377686.612504378</v>
      </c>
      <c r="R28" s="15" t="n">
        <f aca="false">Z16</f>
        <v>238763.405147745</v>
      </c>
      <c r="S28" s="15" t="n">
        <f aca="false">AA16</f>
        <v>0</v>
      </c>
      <c r="T28" s="15" t="n">
        <f aca="false">MIN(R28,MAX(0,Q28))</f>
        <v>0</v>
      </c>
      <c r="U28" s="15" t="n">
        <f aca="false">MIN(S28,MAX(0,Q28-T28)*Parametri_v3!$C$42)</f>
        <v>0</v>
      </c>
      <c r="V28" s="15" t="n">
        <f aca="false">MAX(0,Q28-T28-U28)*Ipotesi!$C$92</f>
        <v>0</v>
      </c>
      <c r="W28" s="15" t="n">
        <f aca="false">MAX(0,SUM(M17:M28)+Parametri_v3!$C$55*12/12)*Ipotesi!$C$93</f>
        <v>0</v>
      </c>
      <c r="X28" s="15" t="n">
        <f aca="false">V28+W28-(V27+W27)</f>
        <v>0</v>
      </c>
      <c r="Y28" s="15" t="n">
        <f aca="false">P28-X28</f>
        <v>10522.6874171452</v>
      </c>
      <c r="Z28" s="15" t="n">
        <f aca="false">R28-T28+IF(AND(Parametri_v3!$C$40=1,D28-YEAR(Parametri_v3!$C$50)&lt;Parametri_v3!$C$41),MAX(0,-Q28),0)</f>
        <v>616450.017652124</v>
      </c>
      <c r="AA28" s="15" t="n">
        <f aca="false">S28-U28+IF(AND(Parametri_v3!$C$40=1,D28-YEAR(Parametri_v3!$C$50)&lt;Parametri_v3!$C$41),0,MAX(0,-Q28))</f>
        <v>0</v>
      </c>
      <c r="AB28" s="15" t="n">
        <f aca="false">F28*(1+Parametri_v3!$C$26)</f>
        <v>27709.6043140195</v>
      </c>
      <c r="AC28" s="15" t="n">
        <f aca="false">(IF(24-(INT((Motore_Operativo!L28)/30))&lt;1,0,INDEX(Motore_Startup!$AB$5:$AB$64,MAX(1,24-(INT((Motore_Operativo!L28)/30)))))*(1-(MOD((Motore_Operativo!L28),30)/30))+IF(24-(INT((Motore_Operativo!L28)/30))-1&lt;1,0,INDEX(Motore_Startup!$AB$5:$AB$64,MAX(1,24-(INT((Motore_Operativo!L28)/30))-1)))*(MOD((Motore_Operativo!L28),30)/30))</f>
        <v>25575.9434761572</v>
      </c>
      <c r="AD28" s="15" t="n">
        <f aca="false">(AD27)+AB28-AC28</f>
        <v>80933.2851505742</v>
      </c>
      <c r="AE28" s="15" t="n">
        <f aca="false">Motore_Operativo!BH28*(1+Parametri_v3!$C$26)</f>
        <v>3583.75</v>
      </c>
      <c r="AF28" s="15" t="n">
        <f aca="false">(IF(24-(INT((Parametri_v3!$C$29)/30))&lt;1,0,INDEX(Motore_Operativo!$BH$5:$BH$64,MAX(1,24-(INT((Parametri_v3!$C$29)/30)))))*(1-(MOD((Parametri_v3!$C$29),30)/30))+IF(24-(INT((Parametri_v3!$C$29)/30))-1&lt;1,0,INDEX(Motore_Operativo!$BH$5:$BH$64,MAX(1,24-(INT((Parametri_v3!$C$29)/30))-1)))*(MOD((Parametri_v3!$C$29),30)/30))*(1+Parametri_v3!$C$26)</f>
        <v>3583.75</v>
      </c>
      <c r="AG28" s="15" t="n">
        <f aca="false">(AG27)+AE28-AF28</f>
        <v>3583.75</v>
      </c>
      <c r="AH28" s="15" t="n">
        <f aca="false">(Motore_Operativo!CJ28)*(1+Parametri_v3!$C$27*Parametri_v3!$C$26)</f>
        <v>20824.4300538829</v>
      </c>
      <c r="AI28" s="15" t="n">
        <f aca="false">(IF(24-(INT((Ipotesi!$C$91)/30))&lt;1,0,INDEX(Motore_Startup!$AH$5:$AH$64,MAX(1,24-(INT((Ipotesi!$C$91)/30)))))*(1-(MOD((Ipotesi!$C$91),30)/30))+IF(24-(INT((Ipotesi!$C$91)/30))-1&lt;1,0,INDEX(Motore_Startup!$AH$5:$AH$64,MAX(1,24-(INT((Ipotesi!$C$91)/30))-1)))*(MOD((Ipotesi!$C$91),30)/30))</f>
        <v>20627.0177793279</v>
      </c>
      <c r="AJ28" s="15" t="n">
        <f aca="false">(AJ27)+AH28-AI28</f>
        <v>41547.2127033135</v>
      </c>
      <c r="AK28" s="15" t="n">
        <f aca="false">(F28+ Motore_Operativo!BH28-(Motore_Operativo!CJ28)*Parametri_v3!$C$27-Motore_Operativo!CE28)*Parametri_v3!$C$26</f>
        <v>1904.04949779503</v>
      </c>
      <c r="AL28" s="15" t="n">
        <f aca="false">MAX(0,(AM27))</f>
        <v>1785.49552059594</v>
      </c>
      <c r="AM28" s="15" t="n">
        <f aca="false">(AM27)+AK28-AL28</f>
        <v>1904.04949779503</v>
      </c>
      <c r="AN28" s="15" t="n">
        <f aca="false">SUM(X5:X16)</f>
        <v>0</v>
      </c>
      <c r="AO28" s="15" t="n">
        <f aca="false">SUM(AP5:AP16)</f>
        <v>0</v>
      </c>
      <c r="AP28" s="15" t="n">
        <f aca="false">MAX(0,AN28)*IF(12=Parametri_v3!$C$43,Parametri_v3!$C$45,IF(12=Parametri_v3!$C$44,1-Parametri_v3!$C$45,0))</f>
        <v>0</v>
      </c>
      <c r="AQ28" s="15" t="n">
        <f aca="false">MAX(0,AP28+IF(12=Parametri_v3!$C$43,MAX(0,AN28-AO28),0)-MAX(0,-(AR27)))</f>
        <v>0</v>
      </c>
      <c r="AR28" s="15" t="n">
        <f aca="false">(AR27)+X28-AQ28</f>
        <v>0</v>
      </c>
      <c r="AS28" s="15" t="n">
        <f aca="false">Motore_Operativo!AB28-AT28+AU28</f>
        <v>37774.375</v>
      </c>
      <c r="AT28" s="15" t="n">
        <f aca="false">Motore_Operativo!CH28</f>
        <v>1988.125</v>
      </c>
      <c r="AU28" s="15" t="n">
        <f aca="false">MIN(MAX(0,(AV27)+AT28),Parametri_v3!$C$60/12)</f>
        <v>0</v>
      </c>
      <c r="AV28" s="15" t="n">
        <f aca="false">(AV27)+AT28-AU28</f>
        <v>34607.5</v>
      </c>
      <c r="AW28" s="15" t="n">
        <f aca="false">IF(AND(Motore_Operativo!C28=Finanziamenti!$D$6,Finanziamenti!$F$6=1),Finanziamenti!$C$6,0)</f>
        <v>0</v>
      </c>
      <c r="AX28" s="15" t="n">
        <f aca="false">IF(AND(1&lt;&gt;7,1&lt;&gt;9,Finanziamenti!$F$8=1,OR(Parametri_v3!$C$6=0,Finanziamenti!$E$8=1),Motore_Operativo!C28=EDATE(Finanziamenti!$D$8,Ipotesi!C15*12)),Finanziamenti!$C$8*1,0)+IF(AND(1&lt;&gt;7,1&lt;&gt;9,Finanziamenti!$F$9=1,OR(Parametri_v3!$C$6=0,Finanziamenti!$E$9=1),Motore_Operativo!C28=EDATE(Finanziamenti!$D$9,Ipotesi!C15*12)),Finanziamenti!$C$9*Ipotesi!C16,0)</f>
        <v>0</v>
      </c>
      <c r="AY28" s="15" t="n">
        <f aca="false">0</f>
        <v>0</v>
      </c>
      <c r="AZ28" s="15" t="n">
        <f aca="false">Motore_Advisory!AY28*(1-Ipotesi!$C$95)*Ipotesi!$C$96</f>
        <v>0</v>
      </c>
      <c r="BA28" s="15" t="n">
        <f aca="false">MAX(0,MIN(CG28*MIN(1,IF(Motore_Operativo!C28&gt;=EDATE(Finanziamenti!$D$15,Ipotesi!C14*12),Finanziamenti!$C$15,0)+IF(Motore_Operativo!C28&gt;=EDATE(Finanziamenti!$D$16,Ipotesi!C14*12),Finanziamenti!$C$16,0)+IF(Motore_Operativo!C28&gt;=EDATE(Finanziamenti!$D$17,Ipotesi!C14*12),Finanziamenti!$C$17,0)),CA28*Ipotesi!$C$102)-(CC27))</f>
        <v>161426.07944617</v>
      </c>
      <c r="BB28" s="15" t="n">
        <f aca="false">IF(AND(CF28&gt;0,Motore_Operativo!C28&gt;=IF(CF28=0,0,EDATE(CF28,Parametri_v3!$C$37)),MOD(((D28-YEAR(IF(CF28=0,0,EDATE(CF28,Parametri_v3!$C$37))))*12+E28-MONTH(IF(CF28=0,0,EDATE(CF28,Parametri_v3!$C$37)))),Parametri_v3!$C$38)=0),MIN(MAX(0,(BC27)+BA28-N28),(CC28-CD28)/(Ipotesi!$C$108*12/Parametri_v3!$C$38)),0)</f>
        <v>0</v>
      </c>
      <c r="BC28" s="15" t="n">
        <f aca="false">(BC27)+BA28-N28-BB28</f>
        <v>175318.255612319</v>
      </c>
      <c r="BD28" s="15" t="n">
        <f aca="false">(BH27)+AC28+AF28-AI28-AS28-K28*(1+Parametri_v3!$C$26)-AL28-AQ28-O28+AW28+AX28+AZ28+BA28-BB28</f>
        <v>102201.631677396</v>
      </c>
      <c r="BE28" s="15" t="n">
        <f aca="false">MAX(0,MIN(MAX(0,CH28-(BG27)),Parametri_v3!$C$30-BD28))</f>
        <v>0</v>
      </c>
      <c r="BF28" s="15" t="n">
        <f aca="false">IF(Motore_Operativo!C28&gt;=Parametri_v3!$C$63,(BG27),MIN((BG27),MAX(0,BD28-Parametri_v3!$C$30)))</f>
        <v>77201.6316773964</v>
      </c>
      <c r="BG28" s="15" t="n">
        <f aca="false">(BG27)+BE28-BF28</f>
        <v>72798.3683226036</v>
      </c>
      <c r="BH28" s="15" t="n">
        <f aca="false">BD28+BE28-BF28-AY28</f>
        <v>25000</v>
      </c>
      <c r="BI28" s="15" t="n">
        <f aca="false">MAX(0,Parametri_v3!$C$30-BH28)</f>
        <v>0</v>
      </c>
      <c r="BJ28" s="15" t="n">
        <f aca="false">(BJ27)+K28</f>
        <v>45000</v>
      </c>
      <c r="BK28" s="15" t="n">
        <f aca="false">(BK27)+L28</f>
        <v>14791.6666666667</v>
      </c>
      <c r="BL28" s="15" t="n">
        <f aca="false">BJ28-BK28</f>
        <v>30208.3333333333</v>
      </c>
      <c r="BM28" s="15" t="n">
        <f aca="false">(BM27)+Y28</f>
        <v>-616450.017652123</v>
      </c>
      <c r="BN28" s="15" t="n">
        <f aca="false">(BN27)+AW28+AX28+AZ28</f>
        <v>430000</v>
      </c>
      <c r="BO28" s="15" t="n">
        <f aca="false">(BO27)+AY28</f>
        <v>0</v>
      </c>
      <c r="BP28" s="15" t="n">
        <f aca="false">0</f>
        <v>0</v>
      </c>
      <c r="BQ28" s="15" t="n">
        <f aca="false">BN28+BM28-BO28</f>
        <v>-186450.017652123</v>
      </c>
      <c r="BR28" s="15" t="n">
        <f aca="false">BH28+AD28+BL28+MAX(0,-AM28)+MAX(0,-AR28)+AG28</f>
        <v>139725.368483908</v>
      </c>
      <c r="BS28" s="15" t="n">
        <f aca="false">AJ28+AV28+MAX(0,AM28)+MAX(0,AR28)+BC28+BG28+BQ28</f>
        <v>139725.368483908</v>
      </c>
      <c r="BT28" s="15" t="n">
        <f aca="false">BR28-BS28</f>
        <v>0</v>
      </c>
      <c r="BU28" s="15" t="n">
        <f aca="false">BH28-(BD28+BE28-BF28-AY28)</f>
        <v>0</v>
      </c>
      <c r="BV28" s="15" t="n">
        <f aca="false">MIN(Piano_SS!$C$6,(BV27)+IF(AND(Motore_Operativo!C28&gt;=EDATE(Parametri_v3!$C$24,Ipotesi!C14*12),Motore_Operativo!C28&lt;EDATE(Parametri_v3!$C$24,Parametri_v3!$C$25+Ipotesi!C14*12)),MAX(0,(Motore_Operativo!Y28+Motore_Operativo!X28*Parametri_v3!$C$14)*(1-Parametri_v3!$C$32))*Piano_SS!$D$6,0))</f>
        <v>175275</v>
      </c>
      <c r="BW28" s="15" t="n">
        <f aca="false">MIN(Piano_SS!$C$7,(BW27)+IF(AND(Motore_Operativo!C28&gt;=EDATE(Parametri_v3!$C$24,Ipotesi!C14*12),Motore_Operativo!C28&lt;EDATE(Parametri_v3!$C$24,Parametri_v3!$C$25+Ipotesi!C14*12)),MAX(0,(IF(24-(INT((Ipotesi!$C$91)/30))&lt;1,0,INDEX(Motore_Operativo!$BN$5:$BN$64,MAX(1,24-(INT((Ipotesi!$C$91)/30)))))*(1-(MOD((Ipotesi!$C$91),30)/30))+IF(24-(INT((Ipotesi!$C$91)/30))-1&lt;1,0,INDEX(Motore_Operativo!$BN$5:$BN$64,MAX(1,24-(INT((Ipotesi!$C$91)/30))-1)))*(MOD((Ipotesi!$C$91),30)/30)))*Piano_SS!$D$7,0))</f>
        <v>25174.2659743792</v>
      </c>
      <c r="BX28" s="15" t="n">
        <f aca="false">MIN(Piano_SS!$C$8,(BX27)+IF(AND(Motore_Operativo!C28&gt;=EDATE(Parametri_v3!$C$24,Ipotesi!C14*12),Motore_Operativo!C28&lt;EDATE(Parametri_v3!$C$24,Parametri_v3!$C$25+Ipotesi!C14*12)),MAX(0,Motore_Operativo!CE28)*Piano_SS!$D$8,0))</f>
        <v>35000</v>
      </c>
      <c r="BY28" s="15" t="n">
        <f aca="false">MIN(Piano_SS!$C$9,(BY27)+IF(AND(Motore_Operativo!C28&gt;=EDATE(Parametri_v3!$C$24,Ipotesi!C14*12),Motore_Operativo!C28&lt;EDATE(Parametri_v3!$C$24,Parametri_v3!$C$25+Ipotesi!C14*12)),MAX(0,((IF(24-(INT((Ipotesi!$C$91)/30))&lt;1,0,INDEX(Motore_Operativo!$BQ$5:$BQ$64,MAX(1,24-(INT((Ipotesi!$C$91)/30)))))*(1-(MOD((Ipotesi!$C$91),30)/30))+IF(24-(INT((Ipotesi!$C$91)/30))-1&lt;1,0,INDEX(Motore_Operativo!$BQ$5:$BQ$64,MAX(1,24-(INT((Ipotesi!$C$91)/30))-1)))*(MOD((Ipotesi!$C$91),30)/30))+(IF(24-(INT((Ipotesi!$C$91)/30))&lt;1,0,INDEX(Motore_Operativo!$BR$5:$BR$64,MAX(1,24-(INT((Ipotesi!$C$91)/30)))))*(1-(MOD((Ipotesi!$C$91),30)/30))+IF(24-(INT((Ipotesi!$C$91)/30))-1&lt;1,0,INDEX(Motore_Operativo!$BR$5:$BR$64,MAX(1,24-(INT((Ipotesi!$C$91)/30))-1)))*(MOD((Ipotesi!$C$91),30)/30))))*Piano_SS!$D$9,0))</f>
        <v>40000</v>
      </c>
      <c r="BZ28" s="15" t="n">
        <f aca="false">MIN(Piano_SS!$C$10,(BZ27)+IF(AND(Motore_Operativo!C28&gt;=EDATE(Parametri_v3!$C$24,Ipotesi!C14*12),Motore_Operativo!C28&lt;EDATE(Parametri_v3!$C$24,Parametri_v3!$C$25+Ipotesi!C14*12)),MAX(0,(IF(24-(INT((Ipotesi!$C$91)/30))&lt;1,0,INDEX(Motore_Operativo!$BO$5:$BO$64,MAX(1,24-(INT((Ipotesi!$C$91)/30)))))*(1-(MOD((Ipotesi!$C$91),30)/30))+IF(24-(INT((Ipotesi!$C$91)/30))-1&lt;1,0,INDEX(Motore_Operativo!$BO$5:$BO$64,MAX(1,24-(INT((Ipotesi!$C$91)/30))-1)))*(MOD((Ipotesi!$C$91),30)/30)))*Piano_SS!$D$10,0))</f>
        <v>26333.3333333333</v>
      </c>
      <c r="CA28" s="15" t="n">
        <f aca="false">SUM(BV28:BZ28)</f>
        <v>301782.599307712</v>
      </c>
      <c r="CB28" s="15" t="n">
        <f aca="false">BV28*(1-Piano_SS!$E$6)+BW28*(1-Piano_SS!$E$7)+BX28*(1-Piano_SS!$E$8)+BY28*(1-Piano_SS!$E$9)+BZ28*(1-Piano_SS!$E$10)</f>
        <v>275449.265974379</v>
      </c>
      <c r="CC28" s="15" t="n">
        <f aca="false">(CC27)+BA28</f>
        <v>241426.07944617</v>
      </c>
      <c r="CD28" s="15" t="n">
        <f aca="false">IF(CA28=0,0,CC28*CB28/CA28*Ipotesi!$C$103*Parametri_v3!$C$64)</f>
        <v>66107.823833851</v>
      </c>
      <c r="CE28" s="18" t="n">
        <f aca="false">IF(BA28&gt;0,Motore_Operativo!C28,(CE27))</f>
        <v>47088</v>
      </c>
      <c r="CF28" s="18" t="n">
        <f aca="false">IF(AND(CC28&gt;0,OR(CC28&gt;=CG28-0.01,Motore_Operativo!C28&gt;=EDATE(MAX(Finanziamenti!$D$15:$D$17),Ipotesi!C14*12))),CE28,0)</f>
        <v>0</v>
      </c>
      <c r="CG28" s="15" t="n">
        <f aca="false">IF(AND(1&lt;&gt;6,1&lt;&gt;9,Finanziamenti!$F$11=1,OR(Parametri_v3!$C$6=0,Finanziamenti!$E$11=1)),MIN(Finanziamenti!$C$11,Piano_SS!$C$12*Ipotesi!$C$102),0)</f>
        <v>400000</v>
      </c>
      <c r="CH28" s="15" t="n">
        <f aca="false">IF(AND(AND(1&lt;&gt;8,1&lt;&gt;9,Finanziamenti!$F$10=1,OR(Parametri_v3!$C$6=0,Finanziamenti!$E$10=1)),Motore_Operativo!C28&gt;=Finanziamenti!$D$10,Motore_Operativo!C28&lt;Parametri_v3!$C$63),Finanziamenti!$C$10,0)</f>
        <v>150000</v>
      </c>
    </row>
    <row r="29" customFormat="false" ht="18" hidden="false" customHeight="true" outlineLevel="0" collapsed="false">
      <c r="A29" s="68" t="n">
        <f aca="false">1</f>
        <v>1</v>
      </c>
      <c r="B29" s="68" t="n">
        <f aca="false">25</f>
        <v>25</v>
      </c>
      <c r="C29" s="18" t="n">
        <f aca="false">Motore_Operativo!C29</f>
        <v>47119</v>
      </c>
      <c r="D29" s="68" t="n">
        <f aca="false">Motore_Operativo!D29</f>
        <v>2029</v>
      </c>
      <c r="E29" s="68" t="n">
        <f aca="false">Motore_Operativo!E29</f>
        <v>1</v>
      </c>
      <c r="F29" s="15" t="n">
        <f aca="false">Motore_Operativo!AQ29+Motore_Operativo!BF29</f>
        <v>41162.8912114009</v>
      </c>
      <c r="G29" s="15" t="n">
        <f aca="false">Motore_Operativo!BH29</f>
        <v>4950</v>
      </c>
      <c r="H29" s="15" t="n">
        <f aca="false">Motore_Operativo!BI29</f>
        <v>46112.8912114009</v>
      </c>
      <c r="I29" s="15" t="n">
        <f aca="false">Motore_Operativo!CA29</f>
        <v>113897.471436263</v>
      </c>
      <c r="J29" s="15" t="n">
        <f aca="false">Motore_Operativo!CC29</f>
        <v>-67784.5802248619</v>
      </c>
      <c r="K29" s="15" t="n">
        <f aca="false">Motore_Operativo!CE29</f>
        <v>2500</v>
      </c>
      <c r="L29" s="15" t="n">
        <f aca="false">SUM(INDEX($K$5:$K$64,MAX(1,25-Parametri_v3!$C$59+1)):K29)/Parametri_v3!$C$59</f>
        <v>1319.44444444444</v>
      </c>
      <c r="M29" s="15" t="n">
        <f aca="false">J29-L29</f>
        <v>-69104.0246693064</v>
      </c>
      <c r="N29" s="15" t="n">
        <f aca="false">CD29-(CD28)</f>
        <v>6962.88600240141</v>
      </c>
      <c r="O29" s="15" t="n">
        <f aca="false">(BG28)*Ipotesi!$C$110/12+CH29*Parametri_v3!$C$39/12</f>
        <v>363.991841613018</v>
      </c>
      <c r="P29" s="15" t="n">
        <f aca="false">M29+N29-O29</f>
        <v>-62505.130508518</v>
      </c>
      <c r="Q29" s="15" t="n">
        <f aca="false">SUM(P29)+Parametri_v3!$C$54*1/12</f>
        <v>-62505.130508518</v>
      </c>
      <c r="R29" s="15" t="n">
        <f aca="false">Z28</f>
        <v>616450.017652124</v>
      </c>
      <c r="S29" s="15" t="n">
        <f aca="false">AA28</f>
        <v>0</v>
      </c>
      <c r="T29" s="15" t="n">
        <f aca="false">MIN(R29,MAX(0,Q29))</f>
        <v>0</v>
      </c>
      <c r="U29" s="15" t="n">
        <f aca="false">MIN(S29,MAX(0,Q29-T29)*Parametri_v3!$C$42)</f>
        <v>0</v>
      </c>
      <c r="V29" s="15" t="n">
        <f aca="false">MAX(0,Q29-T29-U29)*Ipotesi!$C$92</f>
        <v>0</v>
      </c>
      <c r="W29" s="15" t="n">
        <f aca="false">MAX(0,SUM(M29)+Parametri_v3!$C$55*1/12)*Ipotesi!$C$93</f>
        <v>0</v>
      </c>
      <c r="X29" s="15" t="n">
        <f aca="false">V29+W29-(0)</f>
        <v>0</v>
      </c>
      <c r="Y29" s="15" t="n">
        <f aca="false">P29-X29</f>
        <v>-62505.130508518</v>
      </c>
      <c r="Z29" s="15" t="n">
        <f aca="false">R29-T29+IF(AND(Parametri_v3!$C$40=1,D29-YEAR(Parametri_v3!$C$50)&lt;Parametri_v3!$C$41),MAX(0,-Q29),0)</f>
        <v>678955.148160641</v>
      </c>
      <c r="AA29" s="15" t="n">
        <f aca="false">S29-U29+IF(AND(Parametri_v3!$C$40=1,D29-YEAR(Parametri_v3!$C$50)&lt;Parametri_v3!$C$41),0,MAX(0,-Q29))</f>
        <v>0</v>
      </c>
      <c r="AB29" s="15" t="n">
        <f aca="false">F29*(1+Parametri_v3!$C$26)</f>
        <v>50218.7272779091</v>
      </c>
      <c r="AC29" s="15" t="n">
        <f aca="false">(IF(25-(INT((Motore_Operativo!L29)/30))&lt;1,0,INDEX(Motore_Startup!$AB$5:$AB$64,MAX(1,25-(INT((Motore_Operativo!L29)/30)))))*(1-(MOD((Motore_Operativo!L29),30)/30))+IF(25-(INT((Motore_Operativo!L29)/30))-1&lt;1,0,INDEX(Motore_Startup!$AB$5:$AB$64,MAX(1,25-(INT((Motore_Operativo!L29)/30))-1)))*(MOD((Motore_Operativo!L29),30)/30))</f>
        <v>26260.3145381315</v>
      </c>
      <c r="AD29" s="15" t="n">
        <f aca="false">(AD28)+AB29-AC29</f>
        <v>104891.697890352</v>
      </c>
      <c r="AE29" s="15" t="n">
        <f aca="false">Motore_Operativo!BH29*(1+Parametri_v3!$C$26)</f>
        <v>6039</v>
      </c>
      <c r="AF29" s="15" t="n">
        <f aca="false">(IF(25-(INT((Parametri_v3!$C$29)/30))&lt;1,0,INDEX(Motore_Operativo!$BH$5:$BH$64,MAX(1,25-(INT((Parametri_v3!$C$29)/30)))))*(1-(MOD((Parametri_v3!$C$29),30)/30))+IF(25-(INT((Parametri_v3!$C$29)/30))-1&lt;1,0,INDEX(Motore_Operativo!$BH$5:$BH$64,MAX(1,25-(INT((Parametri_v3!$C$29)/30))-1)))*(MOD((Parametri_v3!$C$29),30)/30))*(1+Parametri_v3!$C$26)</f>
        <v>3583.75</v>
      </c>
      <c r="AG29" s="15" t="n">
        <f aca="false">(AG28)+AE29-AF29</f>
        <v>6039</v>
      </c>
      <c r="AH29" s="15" t="n">
        <f aca="false">(Motore_Operativo!CJ29)*(1+Parametri_v3!$C$27*Parametri_v3!$C$26)</f>
        <v>47033.4562615106</v>
      </c>
      <c r="AI29" s="15" t="n">
        <f aca="false">(IF(25-(INT((Ipotesi!$C$91)/30))&lt;1,0,INDEX(Motore_Startup!$AH$5:$AH$64,MAX(1,25-(INT((Ipotesi!$C$91)/30)))))*(1-(MOD((Ipotesi!$C$91),30)/30))+IF(25-(INT((Ipotesi!$C$91)/30))-1&lt;1,0,INDEX(Motore_Startup!$AH$5:$AH$64,MAX(1,25-(INT((Ipotesi!$C$91)/30))-1)))*(MOD((Ipotesi!$C$91),30)/30))</f>
        <v>20722.7826494306</v>
      </c>
      <c r="AJ29" s="15" t="n">
        <f aca="false">(AJ28)+AH29-AI29</f>
        <v>67857.8863153935</v>
      </c>
      <c r="AK29" s="15" t="n">
        <f aca="false">(F29+ Motore_Operativo!BH29-(Motore_Operativo!CJ29)*Parametri_v3!$C$27-Motore_Operativo!CE29)*Parametri_v3!$C$26</f>
        <v>2185.18457459372</v>
      </c>
      <c r="AL29" s="15" t="n">
        <f aca="false">MAX(0,(AM28))</f>
        <v>1904.04949779503</v>
      </c>
      <c r="AM29" s="15" t="n">
        <f aca="false">(AM28)+AK29-AL29</f>
        <v>2185.18457459372</v>
      </c>
      <c r="AN29" s="15" t="n">
        <f aca="false">SUM(X17:X28)</f>
        <v>0</v>
      </c>
      <c r="AO29" s="15" t="n">
        <f aca="false">SUM(AP17:AP28)</f>
        <v>0</v>
      </c>
      <c r="AP29" s="15" t="n">
        <f aca="false">MAX(0,AN29)*IF(1=Parametri_v3!$C$43,Parametri_v3!$C$45,IF(1=Parametri_v3!$C$44,1-Parametri_v3!$C$45,0))</f>
        <v>0</v>
      </c>
      <c r="AQ29" s="15" t="n">
        <f aca="false">MAX(0,AP29+IF(1=Parametri_v3!$C$43,MAX(0,AN29-AO29),0)-MAX(0,-(AR28)))</f>
        <v>0</v>
      </c>
      <c r="AR29" s="15" t="n">
        <f aca="false">(AR28)+X29-AQ29</f>
        <v>0</v>
      </c>
      <c r="AS29" s="15" t="n">
        <f aca="false">Motore_Operativo!AB29-AT29+AU29</f>
        <v>70559.9833333333</v>
      </c>
      <c r="AT29" s="15" t="n">
        <f aca="false">Motore_Operativo!CH29</f>
        <v>3713.68333333333</v>
      </c>
      <c r="AU29" s="15" t="n">
        <f aca="false">MIN(MAX(0,(AV28)+AT29),Parametri_v3!$C$60/12)</f>
        <v>0</v>
      </c>
      <c r="AV29" s="15" t="n">
        <f aca="false">(AV28)+AT29-AU29</f>
        <v>38321.1833333333</v>
      </c>
      <c r="AW29" s="15" t="n">
        <f aca="false">IF(AND(Motore_Operativo!C29=Finanziamenti!$D$6,Finanziamenti!$F$6=1),Finanziamenti!$C$6,0)</f>
        <v>0</v>
      </c>
      <c r="AX29" s="15" t="n">
        <f aca="false">IF(AND(1&lt;&gt;7,1&lt;&gt;9,Finanziamenti!$F$8=1,OR(Parametri_v3!$C$6=0,Finanziamenti!$E$8=1),Motore_Operativo!C29=EDATE(Finanziamenti!$D$8,Ipotesi!C15*12)),Finanziamenti!$C$8*1,0)+IF(AND(1&lt;&gt;7,1&lt;&gt;9,Finanziamenti!$F$9=1,OR(Parametri_v3!$C$6=0,Finanziamenti!$E$9=1),Motore_Operativo!C29=EDATE(Finanziamenti!$D$9,Ipotesi!C15*12)),Finanziamenti!$C$9*Ipotesi!C16,0)</f>
        <v>0</v>
      </c>
      <c r="AY29" s="15" t="n">
        <f aca="false">0</f>
        <v>0</v>
      </c>
      <c r="AZ29" s="15" t="n">
        <f aca="false">Motore_Advisory!AY29*(1-Ipotesi!$C$95)*Ipotesi!$C$96</f>
        <v>0</v>
      </c>
      <c r="BA29" s="15" t="n">
        <f aca="false">MAX(0,MIN(CG29*MIN(1,IF(Motore_Operativo!C29&gt;=EDATE(Finanziamenti!$D$15,Ipotesi!C14*12),Finanziamenti!$C$15,0)+IF(Motore_Operativo!C29&gt;=EDATE(Finanziamenti!$D$16,Ipotesi!C14*12),Finanziamenti!$C$16,0)+IF(Motore_Operativo!C29&gt;=EDATE(Finanziamenti!$D$17,Ipotesi!C14*12),Finanziamenti!$C$17,0)),CA29*Ipotesi!$C$102)-(CC28))</f>
        <v>24676.2866746714</v>
      </c>
      <c r="BB29" s="15" t="n">
        <f aca="false">IF(AND(CF29&gt;0,Motore_Operativo!C29&gt;=IF(CF29=0,0,EDATE(CF29,Parametri_v3!$C$37)),MOD(((D29-YEAR(IF(CF29=0,0,EDATE(CF29,Parametri_v3!$C$37))))*12+E29-MONTH(IF(CF29=0,0,EDATE(CF29,Parametri_v3!$C$37)))),Parametri_v3!$C$38)=0),MIN(MAX(0,(BC28)+BA29-N29),(CC29-CD29)/(Ipotesi!$C$108*12/Parametri_v3!$C$38)),0)</f>
        <v>0</v>
      </c>
      <c r="BC29" s="15" t="n">
        <f aca="false">(BC28)+BA29-N29-BB29</f>
        <v>193031.656284589</v>
      </c>
      <c r="BD29" s="15" t="n">
        <f aca="false">(BH28)+AC29+AF29-AI29-AS29-K29*(1+Parametri_v3!$C$26)-AL29-AQ29-O29+AW29+AX29+AZ29+BA29-BB29</f>
        <v>-17080.456109369</v>
      </c>
      <c r="BE29" s="15" t="n">
        <f aca="false">MAX(0,MIN(MAX(0,CH29-(BG28)),Parametri_v3!$C$30-BD29))</f>
        <v>42080.456109369</v>
      </c>
      <c r="BF29" s="15" t="n">
        <f aca="false">IF(Motore_Operativo!C29&gt;=Parametri_v3!$C$63,(BG28),MIN((BG28),MAX(0,BD29-Parametri_v3!$C$30)))</f>
        <v>0</v>
      </c>
      <c r="BG29" s="15" t="n">
        <f aca="false">(BG28)+BE29-BF29</f>
        <v>114878.824431973</v>
      </c>
      <c r="BH29" s="15" t="n">
        <f aca="false">BD29+BE29-BF29-AY29</f>
        <v>25000</v>
      </c>
      <c r="BI29" s="15" t="n">
        <f aca="false">MAX(0,Parametri_v3!$C$30-BH29)</f>
        <v>0</v>
      </c>
      <c r="BJ29" s="15" t="n">
        <f aca="false">(BJ28)+K29</f>
        <v>47500</v>
      </c>
      <c r="BK29" s="15" t="n">
        <f aca="false">(BK28)+L29</f>
        <v>16111.1111111111</v>
      </c>
      <c r="BL29" s="15" t="n">
        <f aca="false">BJ29-BK29</f>
        <v>31388.8888888889</v>
      </c>
      <c r="BM29" s="15" t="n">
        <f aca="false">(BM28)+Y29</f>
        <v>-678955.148160641</v>
      </c>
      <c r="BN29" s="15" t="n">
        <f aca="false">(BN28)+AW29+AX29+AZ29</f>
        <v>430000</v>
      </c>
      <c r="BO29" s="15" t="n">
        <f aca="false">(BO28)+AY29</f>
        <v>0</v>
      </c>
      <c r="BP29" s="15" t="n">
        <f aca="false">0</f>
        <v>0</v>
      </c>
      <c r="BQ29" s="15" t="n">
        <f aca="false">BN29+BM29-BO29</f>
        <v>-248955.148160641</v>
      </c>
      <c r="BR29" s="15" t="n">
        <f aca="false">BH29+AD29+BL29+MAX(0,-AM29)+MAX(0,-AR29)+AG29</f>
        <v>167319.586779241</v>
      </c>
      <c r="BS29" s="15" t="n">
        <f aca="false">AJ29+AV29+MAX(0,AM29)+MAX(0,AR29)+BC29+BG29+BQ29</f>
        <v>167319.586779241</v>
      </c>
      <c r="BT29" s="15" t="n">
        <f aca="false">BR29-BS29</f>
        <v>0</v>
      </c>
      <c r="BU29" s="15" t="n">
        <f aca="false">BH29-(BD29+BE29-BF29-AY29)</f>
        <v>0</v>
      </c>
      <c r="BV29" s="15" t="n">
        <f aca="false">MIN(Piano_SS!$C$6,(BV28)+IF(AND(Motore_Operativo!C29&gt;=EDATE(Parametri_v3!$C$24,Ipotesi!C14*12),Motore_Operativo!C29&lt;EDATE(Parametri_v3!$C$24,Parametri_v3!$C$25+Ipotesi!C14*12)),MAX(0,(Motore_Operativo!Y29+Motore_Operativo!X29*Parametri_v3!$C$14)*(1-Parametri_v3!$C$32))*Piano_SS!$D$6,0))</f>
        <v>200051.435416667</v>
      </c>
      <c r="BW29" s="15" t="n">
        <f aca="false">MIN(Piano_SS!$C$7,(BW28)+IF(AND(Motore_Operativo!C29&gt;=EDATE(Parametri_v3!$C$24,Ipotesi!C14*12),Motore_Operativo!C29&lt;EDATE(Parametri_v3!$C$24,Parametri_v3!$C$25+Ipotesi!C14*12)),MAX(0,(IF(25-(INT((Ipotesi!$C$91)/30))&lt;1,0,INDEX(Motore_Operativo!$BN$5:$BN$64,MAX(1,25-(INT((Ipotesi!$C$91)/30)))))*(1-(MOD((Ipotesi!$C$91),30)/30))+IF(25-(INT((Ipotesi!$C$91)/30))-1&lt;1,0,INDEX(Motore_Operativo!$BN$5:$BN$64,MAX(1,25-(INT((Ipotesi!$C$91)/30))-1)))*(MOD((Ipotesi!$C$91),30)/30)))*Piano_SS!$D$7,0))</f>
        <v>26909.8555677184</v>
      </c>
      <c r="BX29" s="15" t="n">
        <f aca="false">MIN(Piano_SS!$C$8,(BX28)+IF(AND(Motore_Operativo!C29&gt;=EDATE(Parametri_v3!$C$24,Ipotesi!C14*12),Motore_Operativo!C29&lt;EDATE(Parametri_v3!$C$24,Parametri_v3!$C$25+Ipotesi!C14*12)),MAX(0,Motore_Operativo!CE29)*Piano_SS!$D$8,0))</f>
        <v>37500</v>
      </c>
      <c r="BY29" s="15" t="n">
        <f aca="false">MIN(Piano_SS!$C$9,(BY28)+IF(AND(Motore_Operativo!C29&gt;=EDATE(Parametri_v3!$C$24,Ipotesi!C14*12),Motore_Operativo!C29&lt;EDATE(Parametri_v3!$C$24,Parametri_v3!$C$25+Ipotesi!C14*12)),MAX(0,((IF(25-(INT((Ipotesi!$C$91)/30))&lt;1,0,INDEX(Motore_Operativo!$BQ$5:$BQ$64,MAX(1,25-(INT((Ipotesi!$C$91)/30)))))*(1-(MOD((Ipotesi!$C$91),30)/30))+IF(25-(INT((Ipotesi!$C$91)/30))-1&lt;1,0,INDEX(Motore_Operativo!$BQ$5:$BQ$64,MAX(1,25-(INT((Ipotesi!$C$91)/30))-1)))*(MOD((Ipotesi!$C$91),30)/30))+(IF(25-(INT((Ipotesi!$C$91)/30))&lt;1,0,INDEX(Motore_Operativo!$BR$5:$BR$64,MAX(1,25-(INT((Ipotesi!$C$91)/30)))))*(1-(MOD((Ipotesi!$C$91),30)/30))+IF(25-(INT((Ipotesi!$C$91)/30))-1&lt;1,0,INDEX(Motore_Operativo!$BR$5:$BR$64,MAX(1,25-(INT((Ipotesi!$C$91)/30))-1)))*(MOD((Ipotesi!$C$91),30)/30))))*Piano_SS!$D$9,0))</f>
        <v>40000</v>
      </c>
      <c r="BZ29" s="15" t="n">
        <f aca="false">MIN(Piano_SS!$C$10,(BZ28)+IF(AND(Motore_Operativo!C29&gt;=EDATE(Parametri_v3!$C$24,Ipotesi!C14*12),Motore_Operativo!C29&lt;EDATE(Parametri_v3!$C$24,Parametri_v3!$C$25+Ipotesi!C14*12)),MAX(0,(IF(25-(INT((Ipotesi!$C$91)/30))&lt;1,0,INDEX(Motore_Operativo!$BO$5:$BO$64,MAX(1,25-(INT((Ipotesi!$C$91)/30)))))*(1-(MOD((Ipotesi!$C$91),30)/30))+IF(25-(INT((Ipotesi!$C$91)/30))-1&lt;1,0,INDEX(Motore_Operativo!$BO$5:$BO$64,MAX(1,25-(INT((Ipotesi!$C$91)/30))-1)))*(MOD((Ipotesi!$C$91),30)/30)))*Piano_SS!$D$10,0))</f>
        <v>28166.6666666667</v>
      </c>
      <c r="CA29" s="15" t="n">
        <f aca="false">SUM(BV29:BZ29)</f>
        <v>332627.957651052</v>
      </c>
      <c r="CB29" s="15" t="n">
        <f aca="false">BV29*(1-Piano_SS!$E$6)+BW29*(1-Piano_SS!$E$7)+BX29*(1-Piano_SS!$E$8)+BY29*(1-Piano_SS!$E$9)+BZ29*(1-Piano_SS!$E$10)</f>
        <v>304461.290984385</v>
      </c>
      <c r="CC29" s="15" t="n">
        <f aca="false">(CC28)+BA29</f>
        <v>266102.366120841</v>
      </c>
      <c r="CD29" s="15" t="n">
        <f aca="false">IF(CA29=0,0,CC29*CB29/CA29*Ipotesi!$C$103*Parametri_v3!$C$64)</f>
        <v>73070.7098362524</v>
      </c>
      <c r="CE29" s="18" t="n">
        <f aca="false">IF(BA29&gt;0,Motore_Operativo!C29,(CE28))</f>
        <v>47119</v>
      </c>
      <c r="CF29" s="18" t="n">
        <f aca="false">IF(AND(CC29&gt;0,OR(CC29&gt;=CG29-0.01,Motore_Operativo!C29&gt;=EDATE(MAX(Finanziamenti!$D$15:$D$17),Ipotesi!C14*12))),CE29,0)</f>
        <v>0</v>
      </c>
      <c r="CG29" s="15" t="n">
        <f aca="false">IF(AND(1&lt;&gt;6,1&lt;&gt;9,Finanziamenti!$F$11=1,OR(Parametri_v3!$C$6=0,Finanziamenti!$E$11=1)),MIN(Finanziamenti!$C$11,Piano_SS!$C$12*Ipotesi!$C$102),0)</f>
        <v>400000</v>
      </c>
      <c r="CH29" s="15" t="n">
        <f aca="false">IF(AND(AND(1&lt;&gt;8,1&lt;&gt;9,Finanziamenti!$F$10=1,OR(Parametri_v3!$C$6=0,Finanziamenti!$E$10=1)),Motore_Operativo!C29&gt;=Finanziamenti!$D$10,Motore_Operativo!C29&lt;Parametri_v3!$C$63),Finanziamenti!$C$10,0)</f>
        <v>150000</v>
      </c>
    </row>
    <row r="30" customFormat="false" ht="18" hidden="false" customHeight="true" outlineLevel="0" collapsed="false">
      <c r="A30" s="68" t="n">
        <f aca="false">1</f>
        <v>1</v>
      </c>
      <c r="B30" s="68" t="n">
        <f aca="false">26</f>
        <v>26</v>
      </c>
      <c r="C30" s="18" t="n">
        <f aca="false">Motore_Operativo!C30</f>
        <v>47150</v>
      </c>
      <c r="D30" s="68" t="n">
        <f aca="false">Motore_Operativo!D30</f>
        <v>2029</v>
      </c>
      <c r="E30" s="68" t="n">
        <f aca="false">Motore_Operativo!E30</f>
        <v>2</v>
      </c>
      <c r="F30" s="15" t="n">
        <f aca="false">Motore_Operativo!AQ30+Motore_Operativo!BF30</f>
        <v>41736.1570012353</v>
      </c>
      <c r="G30" s="15" t="n">
        <f aca="false">Motore_Operativo!BH30</f>
        <v>4950</v>
      </c>
      <c r="H30" s="15" t="n">
        <f aca="false">Motore_Operativo!BI30</f>
        <v>46686.1570012353</v>
      </c>
      <c r="I30" s="15" t="n">
        <f aca="false">Motore_Operativo!CA30</f>
        <v>113977.72864684</v>
      </c>
      <c r="J30" s="15" t="n">
        <f aca="false">Motore_Operativo!CC30</f>
        <v>-67291.5716456043</v>
      </c>
      <c r="K30" s="15" t="n">
        <f aca="false">Motore_Operativo!CE30</f>
        <v>2500</v>
      </c>
      <c r="L30" s="15" t="n">
        <f aca="false">SUM(INDEX($K$5:$K$64,MAX(1,26-Parametri_v3!$C$59+1)):K30)/Parametri_v3!$C$59</f>
        <v>1388.88888888889</v>
      </c>
      <c r="M30" s="15" t="n">
        <f aca="false">J30-L30</f>
        <v>-68680.4605344932</v>
      </c>
      <c r="N30" s="15" t="n">
        <f aca="false">CD30-(CD29)</f>
        <v>3997.11475348887</v>
      </c>
      <c r="O30" s="15" t="n">
        <f aca="false">(BG29)*Ipotesi!$C$110/12+CH30*Parametri_v3!$C$39/12</f>
        <v>574.394122159863</v>
      </c>
      <c r="P30" s="15" t="n">
        <f aca="false">M30+N30-O30</f>
        <v>-65257.7399031642</v>
      </c>
      <c r="Q30" s="15" t="n">
        <f aca="false">SUM(P29:P30)+Parametri_v3!$C$54*2/12</f>
        <v>-127762.870411682</v>
      </c>
      <c r="R30" s="15" t="n">
        <f aca="false">Z28</f>
        <v>616450.017652124</v>
      </c>
      <c r="S30" s="15" t="n">
        <f aca="false">AA28</f>
        <v>0</v>
      </c>
      <c r="T30" s="15" t="n">
        <f aca="false">MIN(R30,MAX(0,Q30))</f>
        <v>0</v>
      </c>
      <c r="U30" s="15" t="n">
        <f aca="false">MIN(S30,MAX(0,Q30-T30)*Parametri_v3!$C$42)</f>
        <v>0</v>
      </c>
      <c r="V30" s="15" t="n">
        <f aca="false">MAX(0,Q30-T30-U30)*Ipotesi!$C$92</f>
        <v>0</v>
      </c>
      <c r="W30" s="15" t="n">
        <f aca="false">MAX(0,SUM(M29:M30)+Parametri_v3!$C$55*2/12)*Ipotesi!$C$93</f>
        <v>0</v>
      </c>
      <c r="X30" s="15" t="n">
        <f aca="false">V30+W30-(V29+W29)</f>
        <v>0</v>
      </c>
      <c r="Y30" s="15" t="n">
        <f aca="false">P30-X30</f>
        <v>-65257.7399031642</v>
      </c>
      <c r="Z30" s="15" t="n">
        <f aca="false">R30-T30+IF(AND(Parametri_v3!$C$40=1,D30-YEAR(Parametri_v3!$C$50)&lt;Parametri_v3!$C$41),MAX(0,-Q30),0)</f>
        <v>744212.888063806</v>
      </c>
      <c r="AA30" s="15" t="n">
        <f aca="false">S30-U30+IF(AND(Parametri_v3!$C$40=1,D30-YEAR(Parametri_v3!$C$50)&lt;Parametri_v3!$C$41),0,MAX(0,-Q30))</f>
        <v>0</v>
      </c>
      <c r="AB30" s="15" t="n">
        <f aca="false">F30*(1+Parametri_v3!$C$26)</f>
        <v>50918.1115415071</v>
      </c>
      <c r="AC30" s="15" t="n">
        <f aca="false">(IF(26-(INT((Motore_Operativo!L30)/30))&lt;1,0,INDEX(Motore_Startup!$AB$5:$AB$64,MAX(1,26-(INT((Motore_Operativo!L30)/30)))))*(1-(MOD((Motore_Operativo!L30),30)/30))+IF(26-(INT((Motore_Operativo!L30)/30))-1&lt;1,0,INDEX(Motore_Startup!$AB$5:$AB$64,MAX(1,26-(INT((Motore_Operativo!L30)/30))-1)))*(MOD((Motore_Operativo!L30),30)/30))</f>
        <v>26963.3662984232</v>
      </c>
      <c r="AD30" s="15" t="n">
        <f aca="false">(AD29)+AB30-AC30</f>
        <v>128846.443133436</v>
      </c>
      <c r="AE30" s="15" t="n">
        <f aca="false">Motore_Operativo!BH30*(1+Parametri_v3!$C$26)</f>
        <v>6039</v>
      </c>
      <c r="AF30" s="15" t="n">
        <f aca="false">(IF(26-(INT((Parametri_v3!$C$29)/30))&lt;1,0,INDEX(Motore_Operativo!$BH$5:$BH$64,MAX(1,26-(INT((Parametri_v3!$C$29)/30)))))*(1-(MOD((Parametri_v3!$C$29),30)/30))+IF(26-(INT((Parametri_v3!$C$29)/30))-1&lt;1,0,INDEX(Motore_Operativo!$BH$5:$BH$64,MAX(1,26-(INT((Parametri_v3!$C$29)/30))-1)))*(MOD((Parametri_v3!$C$29),30)/30))*(1+Parametri_v3!$C$26)</f>
        <v>6039</v>
      </c>
      <c r="AG30" s="15" t="n">
        <f aca="false">(AG29)+AE30-AF30</f>
        <v>6039</v>
      </c>
      <c r="AH30" s="15" t="n">
        <f aca="false">(Motore_Operativo!CJ30)*(1+Parametri_v3!$C$27*Parametri_v3!$C$26)</f>
        <v>47128.7215704653</v>
      </c>
      <c r="AI30" s="15" t="n">
        <f aca="false">(IF(26-(INT((Ipotesi!$C$91)/30))&lt;1,0,INDEX(Motore_Startup!$AH$5:$AH$64,MAX(1,26-(INT((Ipotesi!$C$91)/30)))))*(1-(MOD((Ipotesi!$C$91),30)/30))+IF(26-(INT((Ipotesi!$C$91)/30))-1&lt;1,0,INDEX(Motore_Startup!$AH$5:$AH$64,MAX(1,26-(INT((Ipotesi!$C$91)/30))-1)))*(MOD((Ipotesi!$C$91),30)/30))</f>
        <v>20824.4300538829</v>
      </c>
      <c r="AJ30" s="15" t="n">
        <f aca="false">(AJ29)+AH30-AI30</f>
        <v>94162.1778319759</v>
      </c>
      <c r="AK30" s="15" t="n">
        <f aca="false">(F30+ Motore_Operativo!BH30-(Motore_Operativo!CJ30)*Parametri_v3!$C$27-Motore_Operativo!CE30)*Parametri_v3!$C$26</f>
        <v>2296.29494997943</v>
      </c>
      <c r="AL30" s="15" t="n">
        <f aca="false">MAX(0,(AM29))</f>
        <v>2185.18457459372</v>
      </c>
      <c r="AM30" s="15" t="n">
        <f aca="false">(AM29)+AK30-AL30</f>
        <v>2296.29494997943</v>
      </c>
      <c r="AN30" s="15" t="n">
        <f aca="false">SUM(X17:X28)</f>
        <v>0</v>
      </c>
      <c r="AO30" s="15" t="n">
        <f aca="false">SUM(AP17:AP28)</f>
        <v>0</v>
      </c>
      <c r="AP30" s="15" t="n">
        <f aca="false">MAX(0,AN30)*IF(2=Parametri_v3!$C$43,Parametri_v3!$C$45,IF(2=Parametri_v3!$C$44,1-Parametri_v3!$C$45,0))</f>
        <v>0</v>
      </c>
      <c r="AQ30" s="15" t="n">
        <f aca="false">MAX(0,AP30+IF(2=Parametri_v3!$C$43,MAX(0,AN30-AO30),0)-MAX(0,-(AR29)))</f>
        <v>0</v>
      </c>
      <c r="AR30" s="15" t="n">
        <f aca="false">(AR29)+X30-AQ30</f>
        <v>0</v>
      </c>
      <c r="AS30" s="15" t="n">
        <f aca="false">Motore_Operativo!AB30-AT30+AU30</f>
        <v>70559.9833333333</v>
      </c>
      <c r="AT30" s="15" t="n">
        <f aca="false">Motore_Operativo!CH30</f>
        <v>3713.68333333333</v>
      </c>
      <c r="AU30" s="15" t="n">
        <f aca="false">MIN(MAX(0,(AV29)+AT30),Parametri_v3!$C$60/12)</f>
        <v>0</v>
      </c>
      <c r="AV30" s="15" t="n">
        <f aca="false">(AV29)+AT30-AU30</f>
        <v>42034.8666666667</v>
      </c>
      <c r="AW30" s="15" t="n">
        <f aca="false">IF(AND(Motore_Operativo!C30=Finanziamenti!$D$6,Finanziamenti!$F$6=1),Finanziamenti!$C$6,0)</f>
        <v>0</v>
      </c>
      <c r="AX30" s="15" t="n">
        <f aca="false">IF(AND(1&lt;&gt;7,1&lt;&gt;9,Finanziamenti!$F$8=1,OR(Parametri_v3!$C$6=0,Finanziamenti!$E$8=1),Motore_Operativo!C30=EDATE(Finanziamenti!$D$8,Ipotesi!C15*12)),Finanziamenti!$C$8*1,0)+IF(AND(1&lt;&gt;7,1&lt;&gt;9,Finanziamenti!$F$9=1,OR(Parametri_v3!$C$6=0,Finanziamenti!$E$9=1),Motore_Operativo!C30=EDATE(Finanziamenti!$D$9,Ipotesi!C15*12)),Finanziamenti!$C$9*Ipotesi!C16,0)</f>
        <v>0</v>
      </c>
      <c r="AY30" s="15" t="n">
        <f aca="false">0</f>
        <v>0</v>
      </c>
      <c r="AZ30" s="15" t="n">
        <f aca="false">Motore_Advisory!AY30*(1-Ipotesi!$C$95)*Ipotesi!$C$96</f>
        <v>0</v>
      </c>
      <c r="BA30" s="15" t="n">
        <f aca="false">MAX(0,MIN(CG30*MIN(1,IF(Motore_Operativo!C30&gt;=EDATE(Finanziamenti!$D$15,Ipotesi!C14*12),Finanziamenti!$C$15,0)+IF(Motore_Operativo!C30&gt;=EDATE(Finanziamenti!$D$16,Ipotesi!C14*12),Finanziamenti!$C$16,0)+IF(Motore_Operativo!C30&gt;=EDATE(Finanziamenti!$D$17,Ipotesi!C14*12),Finanziamenti!$C$17,0)),CA30*Ipotesi!$C$102)-(CC29))</f>
        <v>13897.6338791586</v>
      </c>
      <c r="BB30" s="15" t="n">
        <f aca="false">IF(AND(CF30&gt;0,Motore_Operativo!C30&gt;=IF(CF30=0,0,EDATE(CF30,Parametri_v3!$C$37)),MOD(((D30-YEAR(IF(CF30=0,0,EDATE(CF30,Parametri_v3!$C$37))))*12+E30-MONTH(IF(CF30=0,0,EDATE(CF30,Parametri_v3!$C$37)))),Parametri_v3!$C$38)=0),MIN(MAX(0,(BC29)+BA30-N30),(CC30-CD30)/(Ipotesi!$C$108*12/Parametri_v3!$C$38)),0)</f>
        <v>0</v>
      </c>
      <c r="BC30" s="15" t="n">
        <f aca="false">(BC29)+BA30-N30-BB30</f>
        <v>202932.175410259</v>
      </c>
      <c r="BD30" s="15" t="n">
        <f aca="false">(BH29)+AC30+AF30-AI30-AS30-K30*(1+Parametri_v3!$C$26)-AL30-AQ30-O30+AW30+AX30+AZ30+BA30-BB30</f>
        <v>-25293.991906388</v>
      </c>
      <c r="BE30" s="15" t="n">
        <f aca="false">MAX(0,MIN(MAX(0,CH30-(BG29)),Parametri_v3!$C$30-BD30))</f>
        <v>35121.1755680274</v>
      </c>
      <c r="BF30" s="15" t="n">
        <f aca="false">IF(Motore_Operativo!C30&gt;=Parametri_v3!$C$63,(BG29),MIN((BG29),MAX(0,BD30-Parametri_v3!$C$30)))</f>
        <v>0</v>
      </c>
      <c r="BG30" s="15" t="n">
        <f aca="false">(BG29)+BE30-BF30</f>
        <v>150000</v>
      </c>
      <c r="BH30" s="15" t="n">
        <f aca="false">BD30+BE30-BF30-AY30</f>
        <v>9827.18366163937</v>
      </c>
      <c r="BI30" s="15" t="n">
        <f aca="false">MAX(0,Parametri_v3!$C$30-BH30)</f>
        <v>15172.8163383606</v>
      </c>
      <c r="BJ30" s="15" t="n">
        <f aca="false">(BJ29)+K30</f>
        <v>50000</v>
      </c>
      <c r="BK30" s="15" t="n">
        <f aca="false">(BK29)+L30</f>
        <v>17500</v>
      </c>
      <c r="BL30" s="15" t="n">
        <f aca="false">BJ30-BK30</f>
        <v>32500</v>
      </c>
      <c r="BM30" s="15" t="n">
        <f aca="false">(BM29)+Y30</f>
        <v>-744212.888063806</v>
      </c>
      <c r="BN30" s="15" t="n">
        <f aca="false">(BN29)+AW30+AX30+AZ30</f>
        <v>430000</v>
      </c>
      <c r="BO30" s="15" t="n">
        <f aca="false">(BO29)+AY30</f>
        <v>0</v>
      </c>
      <c r="BP30" s="15" t="n">
        <f aca="false">0</f>
        <v>0</v>
      </c>
      <c r="BQ30" s="15" t="n">
        <f aca="false">BN30+BM30-BO30</f>
        <v>-314212.888063806</v>
      </c>
      <c r="BR30" s="15" t="n">
        <f aca="false">BH30+AD30+BL30+MAX(0,-AM30)+MAX(0,-AR30)+AG30</f>
        <v>177212.626795075</v>
      </c>
      <c r="BS30" s="15" t="n">
        <f aca="false">AJ30+AV30+MAX(0,AM30)+MAX(0,AR30)+BC30+BG30+BQ30</f>
        <v>177212.626795075</v>
      </c>
      <c r="BT30" s="15" t="n">
        <f aca="false">BR30-BS30</f>
        <v>0</v>
      </c>
      <c r="BU30" s="15" t="n">
        <f aca="false">BH30-(BD30+BE30-BF30-AY30)</f>
        <v>0</v>
      </c>
      <c r="BV30" s="15" t="n">
        <f aca="false">MIN(Piano_SS!$C$6,(BV29)+IF(AND(Motore_Operativo!C30&gt;=EDATE(Parametri_v3!$C$24,Ipotesi!C14*12),Motore_Operativo!C30&lt;EDATE(Parametri_v3!$C$24,Parametri_v3!$C$25+Ipotesi!C14*12)),MAX(0,(Motore_Operativo!Y30+Motore_Operativo!X30*Parametri_v3!$C$14)*(1-Parametri_v3!$C$32))*Piano_SS!$D$6,0))</f>
        <v>224827.870833333</v>
      </c>
      <c r="BW30" s="15" t="n">
        <f aca="false">MIN(Piano_SS!$C$7,(BW29)+IF(AND(Motore_Operativo!C30&gt;=EDATE(Parametri_v3!$C$24,Ipotesi!C14*12),Motore_Operativo!C30&lt;EDATE(Parametri_v3!$C$24,Parametri_v3!$C$25+Ipotesi!C14*12)),MAX(0,(IF(26-(INT((Ipotesi!$C$91)/30))&lt;1,0,INDEX(Motore_Operativo!$BN$5:$BN$64,MAX(1,26-(INT((Ipotesi!$C$91)/30)))))*(1-(MOD((Ipotesi!$C$91),30)/30))+IF(26-(INT((Ipotesi!$C$91)/30))-1&lt;1,0,INDEX(Motore_Operativo!$BN$5:$BN$64,MAX(1,26-(INT((Ipotesi!$C$91)/30))-1)))*(MOD((Ipotesi!$C$91),30)/30)))*Piano_SS!$D$7,0))</f>
        <v>28694.3788014246</v>
      </c>
      <c r="BX30" s="15" t="n">
        <f aca="false">MIN(Piano_SS!$C$8,(BX29)+IF(AND(Motore_Operativo!C30&gt;=EDATE(Parametri_v3!$C$24,Ipotesi!C14*12),Motore_Operativo!C30&lt;EDATE(Parametri_v3!$C$24,Parametri_v3!$C$25+Ipotesi!C14*12)),MAX(0,Motore_Operativo!CE30)*Piano_SS!$D$8,0))</f>
        <v>40000</v>
      </c>
      <c r="BY30" s="15" t="n">
        <f aca="false">MIN(Piano_SS!$C$9,(BY29)+IF(AND(Motore_Operativo!C30&gt;=EDATE(Parametri_v3!$C$24,Ipotesi!C14*12),Motore_Operativo!C30&lt;EDATE(Parametri_v3!$C$24,Parametri_v3!$C$25+Ipotesi!C14*12)),MAX(0,((IF(26-(INT((Ipotesi!$C$91)/30))&lt;1,0,INDEX(Motore_Operativo!$BQ$5:$BQ$64,MAX(1,26-(INT((Ipotesi!$C$91)/30)))))*(1-(MOD((Ipotesi!$C$91),30)/30))+IF(26-(INT((Ipotesi!$C$91)/30))-1&lt;1,0,INDEX(Motore_Operativo!$BQ$5:$BQ$64,MAX(1,26-(INT((Ipotesi!$C$91)/30))-1)))*(MOD((Ipotesi!$C$91),30)/30))+(IF(26-(INT((Ipotesi!$C$91)/30))&lt;1,0,INDEX(Motore_Operativo!$BR$5:$BR$64,MAX(1,26-(INT((Ipotesi!$C$91)/30)))))*(1-(MOD((Ipotesi!$C$91),30)/30))+IF(26-(INT((Ipotesi!$C$91)/30))-1&lt;1,0,INDEX(Motore_Operativo!$BR$5:$BR$64,MAX(1,26-(INT((Ipotesi!$C$91)/30))-1)))*(MOD((Ipotesi!$C$91),30)/30))))*Piano_SS!$D$9,0))</f>
        <v>40000</v>
      </c>
      <c r="BZ30" s="15" t="n">
        <f aca="false">MIN(Piano_SS!$C$10,(BZ29)+IF(AND(Motore_Operativo!C30&gt;=EDATE(Parametri_v3!$C$24,Ipotesi!C14*12),Motore_Operativo!C30&lt;EDATE(Parametri_v3!$C$24,Parametri_v3!$C$25+Ipotesi!C14*12)),MAX(0,(IF(26-(INT((Ipotesi!$C$91)/30))&lt;1,0,INDEX(Motore_Operativo!$BO$5:$BO$64,MAX(1,26-(INT((Ipotesi!$C$91)/30)))))*(1-(MOD((Ipotesi!$C$91),30)/30))+IF(26-(INT((Ipotesi!$C$91)/30))-1&lt;1,0,INDEX(Motore_Operativo!$BO$5:$BO$64,MAX(1,26-(INT((Ipotesi!$C$91)/30))-1)))*(MOD((Ipotesi!$C$91),30)/30)))*Piano_SS!$D$10,0))</f>
        <v>30000</v>
      </c>
      <c r="CA30" s="15" t="n">
        <f aca="false">SUM(BV30:BZ30)</f>
        <v>363522.249634758</v>
      </c>
      <c r="CB30" s="15" t="n">
        <f aca="false">BV30*(1-Piano_SS!$E$6)+BW30*(1-Piano_SS!$E$7)+BX30*(1-Piano_SS!$E$8)+BY30*(1-Piano_SS!$E$9)+BZ30*(1-Piano_SS!$E$10)</f>
        <v>333522.249634758</v>
      </c>
      <c r="CC30" s="15" t="n">
        <f aca="false">(CC29)+BA30</f>
        <v>280000</v>
      </c>
      <c r="CD30" s="15" t="n">
        <f aca="false">IF(CA30=0,0,CC30*CB30/CA30*Ipotesi!$C$103*Parametri_v3!$C$64)</f>
        <v>77067.8245897413</v>
      </c>
      <c r="CE30" s="18" t="n">
        <f aca="false">IF(BA30&gt;0,Motore_Operativo!C30,(CE29))</f>
        <v>47150</v>
      </c>
      <c r="CF30" s="18" t="n">
        <f aca="false">IF(AND(CC30&gt;0,OR(CC30&gt;=CG30-0.01,Motore_Operativo!C30&gt;=EDATE(MAX(Finanziamenti!$D$15:$D$17),Ipotesi!C14*12))),CE30,0)</f>
        <v>0</v>
      </c>
      <c r="CG30" s="15" t="n">
        <f aca="false">IF(AND(1&lt;&gt;6,1&lt;&gt;9,Finanziamenti!$F$11=1,OR(Parametri_v3!$C$6=0,Finanziamenti!$E$11=1)),MIN(Finanziamenti!$C$11,Piano_SS!$C$12*Ipotesi!$C$102),0)</f>
        <v>400000</v>
      </c>
      <c r="CH30" s="15" t="n">
        <f aca="false">IF(AND(AND(1&lt;&gt;8,1&lt;&gt;9,Finanziamenti!$F$10=1,OR(Parametri_v3!$C$6=0,Finanziamenti!$E$10=1)),Motore_Operativo!C30&gt;=Finanziamenti!$D$10,Motore_Operativo!C30&lt;Parametri_v3!$C$63),Finanziamenti!$C$10,0)</f>
        <v>150000</v>
      </c>
    </row>
    <row r="31" customFormat="false" ht="18" hidden="false" customHeight="true" outlineLevel="0" collapsed="false">
      <c r="A31" s="68" t="n">
        <f aca="false">1</f>
        <v>1</v>
      </c>
      <c r="B31" s="68" t="n">
        <f aca="false">27</f>
        <v>27</v>
      </c>
      <c r="C31" s="18" t="n">
        <f aca="false">Motore_Operativo!C31</f>
        <v>47178</v>
      </c>
      <c r="D31" s="68" t="n">
        <f aca="false">Motore_Operativo!D31</f>
        <v>2029</v>
      </c>
      <c r="E31" s="68" t="n">
        <f aca="false">Motore_Operativo!E31</f>
        <v>3</v>
      </c>
      <c r="F31" s="15" t="n">
        <f aca="false">Motore_Operativo!AQ31+Motore_Operativo!BF31</f>
        <v>42304.4115245614</v>
      </c>
      <c r="G31" s="15" t="n">
        <f aca="false">Motore_Operativo!BH31</f>
        <v>4950</v>
      </c>
      <c r="H31" s="15" t="n">
        <f aca="false">Motore_Operativo!BI31</f>
        <v>47254.4115245614</v>
      </c>
      <c r="I31" s="15" t="n">
        <f aca="false">Motore_Operativo!CA31</f>
        <v>114057.284280105</v>
      </c>
      <c r="J31" s="15" t="n">
        <f aca="false">Motore_Operativo!CC31</f>
        <v>-66802.8727555439</v>
      </c>
      <c r="K31" s="15" t="n">
        <f aca="false">Motore_Operativo!CE31</f>
        <v>2500</v>
      </c>
      <c r="L31" s="15" t="n">
        <f aca="false">SUM(INDEX($K$5:$K$64,MAX(1,27-Parametri_v3!$C$59+1)):K31)/Parametri_v3!$C$59</f>
        <v>1458.33333333333</v>
      </c>
      <c r="M31" s="15" t="n">
        <f aca="false">J31-L31</f>
        <v>-68261.2060888772</v>
      </c>
      <c r="N31" s="15" t="n">
        <f aca="false">CD31-(CD30)</f>
        <v>517.378062806209</v>
      </c>
      <c r="O31" s="15" t="n">
        <f aca="false">(BG30)*Ipotesi!$C$110/12+CH31*Parametri_v3!$C$39/12</f>
        <v>750</v>
      </c>
      <c r="P31" s="15" t="n">
        <f aca="false">M31+N31-O31</f>
        <v>-68493.828026071</v>
      </c>
      <c r="Q31" s="15" t="n">
        <f aca="false">SUM(P29:P31)+Parametri_v3!$C$54*3/12</f>
        <v>-196256.698437753</v>
      </c>
      <c r="R31" s="15" t="n">
        <f aca="false">Z28</f>
        <v>616450.017652124</v>
      </c>
      <c r="S31" s="15" t="n">
        <f aca="false">AA28</f>
        <v>0</v>
      </c>
      <c r="T31" s="15" t="n">
        <f aca="false">MIN(R31,MAX(0,Q31))</f>
        <v>0</v>
      </c>
      <c r="U31" s="15" t="n">
        <f aca="false">MIN(S31,MAX(0,Q31-T31)*Parametri_v3!$C$42)</f>
        <v>0</v>
      </c>
      <c r="V31" s="15" t="n">
        <f aca="false">MAX(0,Q31-T31-U31)*Ipotesi!$C$92</f>
        <v>0</v>
      </c>
      <c r="W31" s="15" t="n">
        <f aca="false">MAX(0,SUM(M29:M31)+Parametri_v3!$C$55*3/12)*Ipotesi!$C$93</f>
        <v>0</v>
      </c>
      <c r="X31" s="15" t="n">
        <f aca="false">V31+W31-(V30+W30)</f>
        <v>0</v>
      </c>
      <c r="Y31" s="15" t="n">
        <f aca="false">P31-X31</f>
        <v>-68493.828026071</v>
      </c>
      <c r="Z31" s="15" t="n">
        <f aca="false">R31-T31+IF(AND(Parametri_v3!$C$40=1,D31-YEAR(Parametri_v3!$C$50)&lt;Parametri_v3!$C$41),MAX(0,-Q31),0)</f>
        <v>812706.716089877</v>
      </c>
      <c r="AA31" s="15" t="n">
        <f aca="false">S31-U31+IF(AND(Parametri_v3!$C$40=1,D31-YEAR(Parametri_v3!$C$50)&lt;Parametri_v3!$C$41),0,MAX(0,-Q31))</f>
        <v>0</v>
      </c>
      <c r="AB31" s="15" t="n">
        <f aca="false">F31*(1+Parametri_v3!$C$26)</f>
        <v>51611.3820599649</v>
      </c>
      <c r="AC31" s="15" t="n">
        <f aca="false">(IF(27-(INT((Motore_Operativo!L31)/30))&lt;1,0,INDEX(Motore_Startup!$AB$5:$AB$64,MAX(1,27-(INT((Motore_Operativo!L31)/30)))))*(1-(MOD((Motore_Operativo!L31),30)/30))+IF(27-(INT((Motore_Operativo!L31)/30))-1&lt;1,0,INDEX(Motore_Startup!$AB$5:$AB$64,MAX(1,27-(INT((Motore_Operativo!L31)/30))-1)))*(MOD((Motore_Operativo!L31),30)/30))</f>
        <v>27709.6043140195</v>
      </c>
      <c r="AD31" s="15" t="n">
        <f aca="false">(AD30)+AB31-AC31</f>
        <v>152748.220879381</v>
      </c>
      <c r="AE31" s="15" t="n">
        <f aca="false">Motore_Operativo!BH31*(1+Parametri_v3!$C$26)</f>
        <v>6039</v>
      </c>
      <c r="AF31" s="15" t="n">
        <f aca="false">(IF(27-(INT((Parametri_v3!$C$29)/30))&lt;1,0,INDEX(Motore_Operativo!$BH$5:$BH$64,MAX(1,27-(INT((Parametri_v3!$C$29)/30)))))*(1-(MOD((Parametri_v3!$C$29),30)/30))+IF(27-(INT((Parametri_v3!$C$29)/30))-1&lt;1,0,INDEX(Motore_Operativo!$BH$5:$BH$64,MAX(1,27-(INT((Parametri_v3!$C$29)/30))-1)))*(MOD((Parametri_v3!$C$29),30)/30))*(1+Parametri_v3!$C$26)</f>
        <v>6039</v>
      </c>
      <c r="AG31" s="15" t="n">
        <f aca="false">(AG30)+AE31-AF31</f>
        <v>6039</v>
      </c>
      <c r="AH31" s="15" t="n">
        <f aca="false">(Motore_Operativo!CJ31)*(1+Parametri_v3!$C$27*Parametri_v3!$C$26)</f>
        <v>47223.1541071516</v>
      </c>
      <c r="AI31" s="15" t="n">
        <f aca="false">(IF(27-(INT((Ipotesi!$C$91)/30))&lt;1,0,INDEX(Motore_Startup!$AH$5:$AH$64,MAX(1,27-(INT((Ipotesi!$C$91)/30)))))*(1-(MOD((Ipotesi!$C$91),30)/30))+IF(27-(INT((Ipotesi!$C$91)/30))-1&lt;1,0,INDEX(Motore_Startup!$AH$5:$AH$64,MAX(1,27-(INT((Ipotesi!$C$91)/30))-1)))*(MOD((Ipotesi!$C$91),30)/30))</f>
        <v>47033.4562615106</v>
      </c>
      <c r="AJ31" s="15" t="n">
        <f aca="false">(AJ30)+AH31-AI31</f>
        <v>94351.8756776169</v>
      </c>
      <c r="AK31" s="15" t="n">
        <f aca="false">(F31+ Motore_Operativo!BH31-(Motore_Operativo!CJ31)*Parametri_v3!$C$27-Motore_Operativo!CE31)*Parametri_v3!$C$26</f>
        <v>2406.43404169049</v>
      </c>
      <c r="AL31" s="15" t="n">
        <f aca="false">MAX(0,(AM30))</f>
        <v>2296.29494997943</v>
      </c>
      <c r="AM31" s="15" t="n">
        <f aca="false">(AM30)+AK31-AL31</f>
        <v>2406.43404169049</v>
      </c>
      <c r="AN31" s="15" t="n">
        <f aca="false">SUM(X17:X28)</f>
        <v>0</v>
      </c>
      <c r="AO31" s="15" t="n">
        <f aca="false">SUM(AP17:AP28)</f>
        <v>0</v>
      </c>
      <c r="AP31" s="15" t="n">
        <f aca="false">MAX(0,AN31)*IF(3=Parametri_v3!$C$43,Parametri_v3!$C$45,IF(3=Parametri_v3!$C$44,1-Parametri_v3!$C$45,0))</f>
        <v>0</v>
      </c>
      <c r="AQ31" s="15" t="n">
        <f aca="false">MAX(0,AP31+IF(3=Parametri_v3!$C$43,MAX(0,AN31-AO31),0)-MAX(0,-(AR30)))</f>
        <v>0</v>
      </c>
      <c r="AR31" s="15" t="n">
        <f aca="false">(AR30)+X31-AQ31</f>
        <v>0</v>
      </c>
      <c r="AS31" s="15" t="n">
        <f aca="false">Motore_Operativo!AB31-AT31+AU31</f>
        <v>70559.9833333333</v>
      </c>
      <c r="AT31" s="15" t="n">
        <f aca="false">Motore_Operativo!CH31</f>
        <v>3713.68333333333</v>
      </c>
      <c r="AU31" s="15" t="n">
        <f aca="false">MIN(MAX(0,(AV30)+AT31),Parametri_v3!$C$60/12)</f>
        <v>0</v>
      </c>
      <c r="AV31" s="15" t="n">
        <f aca="false">(AV30)+AT31-AU31</f>
        <v>45748.55</v>
      </c>
      <c r="AW31" s="15" t="n">
        <f aca="false">IF(AND(Motore_Operativo!C31=Finanziamenti!$D$6,Finanziamenti!$F$6=1),Finanziamenti!$C$6,0)</f>
        <v>0</v>
      </c>
      <c r="AX31" s="15" t="n">
        <f aca="false">IF(AND(1&lt;&gt;7,1&lt;&gt;9,Finanziamenti!$F$8=1,OR(Parametri_v3!$C$6=0,Finanziamenti!$E$8=1),Motore_Operativo!C31=EDATE(Finanziamenti!$D$8,Ipotesi!C15*12)),Finanziamenti!$C$8*1,0)+IF(AND(1&lt;&gt;7,1&lt;&gt;9,Finanziamenti!$F$9=1,OR(Parametri_v3!$C$6=0,Finanziamenti!$E$9=1),Motore_Operativo!C31=EDATE(Finanziamenti!$D$9,Ipotesi!C15*12)),Finanziamenti!$C$9*Ipotesi!C16,0)</f>
        <v>0</v>
      </c>
      <c r="AY31" s="15" t="n">
        <f aca="false">0</f>
        <v>0</v>
      </c>
      <c r="AZ31" s="15" t="n">
        <f aca="false">Motore_Advisory!AY31*(1-Ipotesi!$C$95)*Ipotesi!$C$96</f>
        <v>0</v>
      </c>
      <c r="BA31" s="15" t="n">
        <f aca="false">MAX(0,MIN(CG31*MIN(1,IF(Motore_Operativo!C31&gt;=EDATE(Finanziamenti!$D$15,Ipotesi!C14*12),Finanziamenti!$C$15,0)+IF(Motore_Operativo!C31&gt;=EDATE(Finanziamenti!$D$16,Ipotesi!C14*12),Finanziamenti!$C$16,0)+IF(Motore_Operativo!C31&gt;=EDATE(Finanziamenti!$D$17,Ipotesi!C14*12),Finanziamenti!$C$17,0)),CA31*Ipotesi!$C$102)-(CC30))</f>
        <v>0</v>
      </c>
      <c r="BB31" s="15" t="n">
        <f aca="false">IF(AND(CF31&gt;0,Motore_Operativo!C31&gt;=IF(CF31=0,0,EDATE(CF31,Parametri_v3!$C$37)),MOD(((D31-YEAR(IF(CF31=0,0,EDATE(CF31,Parametri_v3!$C$37))))*12+E31-MONTH(IF(CF31=0,0,EDATE(CF31,Parametri_v3!$C$37)))),Parametri_v3!$C$38)=0),MIN(MAX(0,(BC30)+BA31-N31),(CC31-CD31)/(Ipotesi!$C$108*12/Parametri_v3!$C$38)),0)</f>
        <v>0</v>
      </c>
      <c r="BC31" s="15" t="n">
        <f aca="false">(BC30)+BA31-N31-BB31</f>
        <v>202414.797347453</v>
      </c>
      <c r="BD31" s="15" t="n">
        <f aca="false">(BH30)+AC31+AF31-AI31-AS31-K31*(1+Parametri_v3!$C$26)-AL31-AQ31-O31+AW31+AX31+AZ31+BA31-BB31</f>
        <v>-80113.9465691645</v>
      </c>
      <c r="BE31" s="15" t="n">
        <f aca="false">MAX(0,MIN(MAX(0,CH31-(BG30)),Parametri_v3!$C$30-BD31))</f>
        <v>0</v>
      </c>
      <c r="BF31" s="15" t="n">
        <f aca="false">IF(Motore_Operativo!C31&gt;=Parametri_v3!$C$63,(BG30),MIN((BG30),MAX(0,BD31-Parametri_v3!$C$30)))</f>
        <v>0</v>
      </c>
      <c r="BG31" s="15" t="n">
        <f aca="false">(BG30)+BE31-BF31</f>
        <v>150000</v>
      </c>
      <c r="BH31" s="15" t="n">
        <f aca="false">BD31+BE31-BF31-AY31</f>
        <v>-80113.9465691645</v>
      </c>
      <c r="BI31" s="15" t="n">
        <f aca="false">MAX(0,Parametri_v3!$C$30-BH31)</f>
        <v>105113.946569164</v>
      </c>
      <c r="BJ31" s="15" t="n">
        <f aca="false">(BJ30)+K31</f>
        <v>52500</v>
      </c>
      <c r="BK31" s="15" t="n">
        <f aca="false">(BK30)+L31</f>
        <v>18958.3333333333</v>
      </c>
      <c r="BL31" s="15" t="n">
        <f aca="false">BJ31-BK31</f>
        <v>33541.6666666667</v>
      </c>
      <c r="BM31" s="15" t="n">
        <f aca="false">(BM30)+Y31</f>
        <v>-812706.716089877</v>
      </c>
      <c r="BN31" s="15" t="n">
        <f aca="false">(BN30)+AW31+AX31+AZ31</f>
        <v>430000</v>
      </c>
      <c r="BO31" s="15" t="n">
        <f aca="false">(BO30)+AY31</f>
        <v>0</v>
      </c>
      <c r="BP31" s="15" t="n">
        <f aca="false">0</f>
        <v>0</v>
      </c>
      <c r="BQ31" s="15" t="n">
        <f aca="false">BN31+BM31-BO31</f>
        <v>-382706.716089877</v>
      </c>
      <c r="BR31" s="15" t="n">
        <f aca="false">BH31+AD31+BL31+MAX(0,-AM31)+MAX(0,-AR31)+AG31</f>
        <v>112214.940976883</v>
      </c>
      <c r="BS31" s="15" t="n">
        <f aca="false">AJ31+AV31+MAX(0,AM31)+MAX(0,AR31)+BC31+BG31+BQ31</f>
        <v>112214.940976883</v>
      </c>
      <c r="BT31" s="15" t="n">
        <f aca="false">BR31-BS31</f>
        <v>0</v>
      </c>
      <c r="BU31" s="15" t="n">
        <f aca="false">BH31-(BD31+BE31-BF31-AY31)</f>
        <v>0</v>
      </c>
      <c r="BV31" s="15" t="n">
        <f aca="false">MIN(Piano_SS!$C$6,(BV30)+IF(AND(Motore_Operativo!C31&gt;=EDATE(Parametri_v3!$C$24,Ipotesi!C14*12),Motore_Operativo!C31&lt;EDATE(Parametri_v3!$C$24,Parametri_v3!$C$25+Ipotesi!C14*12)),MAX(0,(Motore_Operativo!Y31+Motore_Operativo!X31*Parametri_v3!$C$14)*(1-Parametri_v3!$C$32))*Piano_SS!$D$6,0))</f>
        <v>249604.30625</v>
      </c>
      <c r="BW31" s="15" t="n">
        <f aca="false">MIN(Piano_SS!$C$7,(BW30)+IF(AND(Motore_Operativo!C31&gt;=EDATE(Parametri_v3!$C$24,Ipotesi!C14*12),Motore_Operativo!C31&lt;EDATE(Parametri_v3!$C$24,Parametri_v3!$C$25+Ipotesi!C14*12)),MAX(0,(IF(27-(INT((Ipotesi!$C$91)/30))&lt;1,0,INDEX(Motore_Operativo!$BN$5:$BN$64,MAX(1,27-(INT((Ipotesi!$C$91)/30)))))*(1-(MOD((Ipotesi!$C$91),30)/30))+IF(27-(INT((Ipotesi!$C$91)/30))-1&lt;1,0,INDEX(Motore_Operativo!$BN$5:$BN$64,MAX(1,27-(INT((Ipotesi!$C$91)/30))-1)))*(MOD((Ipotesi!$C$91),30)/30)))*Piano_SS!$D$7,0))</f>
        <v>30737.4100983367</v>
      </c>
      <c r="BX31" s="15" t="n">
        <f aca="false">MIN(Piano_SS!$C$8,(BX30)+IF(AND(Motore_Operativo!C31&gt;=EDATE(Parametri_v3!$C$24,Ipotesi!C14*12),Motore_Operativo!C31&lt;EDATE(Parametri_v3!$C$24,Parametri_v3!$C$25+Ipotesi!C14*12)),MAX(0,Motore_Operativo!CE31)*Piano_SS!$D$8,0))</f>
        <v>42500</v>
      </c>
      <c r="BY31" s="15" t="n">
        <f aca="false">MIN(Piano_SS!$C$9,(BY30)+IF(AND(Motore_Operativo!C31&gt;=EDATE(Parametri_v3!$C$24,Ipotesi!C14*12),Motore_Operativo!C31&lt;EDATE(Parametri_v3!$C$24,Parametri_v3!$C$25+Ipotesi!C14*12)),MAX(0,((IF(27-(INT((Ipotesi!$C$91)/30))&lt;1,0,INDEX(Motore_Operativo!$BQ$5:$BQ$64,MAX(1,27-(INT((Ipotesi!$C$91)/30)))))*(1-(MOD((Ipotesi!$C$91),30)/30))+IF(27-(INT((Ipotesi!$C$91)/30))-1&lt;1,0,INDEX(Motore_Operativo!$BQ$5:$BQ$64,MAX(1,27-(INT((Ipotesi!$C$91)/30))-1)))*(MOD((Ipotesi!$C$91),30)/30))+(IF(27-(INT((Ipotesi!$C$91)/30))&lt;1,0,INDEX(Motore_Operativo!$BR$5:$BR$64,MAX(1,27-(INT((Ipotesi!$C$91)/30)))))*(1-(MOD((Ipotesi!$C$91),30)/30))+IF(27-(INT((Ipotesi!$C$91)/30))-1&lt;1,0,INDEX(Motore_Operativo!$BR$5:$BR$64,MAX(1,27-(INT((Ipotesi!$C$91)/30))-1)))*(MOD((Ipotesi!$C$91),30)/30))))*Piano_SS!$D$9,0))</f>
        <v>40000</v>
      </c>
      <c r="BZ31" s="15" t="n">
        <f aca="false">MIN(Piano_SS!$C$10,(BZ30)+IF(AND(Motore_Operativo!C31&gt;=EDATE(Parametri_v3!$C$24,Ipotesi!C14*12),Motore_Operativo!C31&lt;EDATE(Parametri_v3!$C$24,Parametri_v3!$C$25+Ipotesi!C14*12)),MAX(0,(IF(27-(INT((Ipotesi!$C$91)/30))&lt;1,0,INDEX(Motore_Operativo!$BO$5:$BO$64,MAX(1,27-(INT((Ipotesi!$C$91)/30)))))*(1-(MOD((Ipotesi!$C$91),30)/30))+IF(27-(INT((Ipotesi!$C$91)/30))-1&lt;1,0,INDEX(Motore_Operativo!$BO$5:$BO$64,MAX(1,27-(INT((Ipotesi!$C$91)/30))-1)))*(MOD((Ipotesi!$C$91),30)/30)))*Piano_SS!$D$10,0))</f>
        <v>30000</v>
      </c>
      <c r="CA31" s="15" t="n">
        <f aca="false">SUM(BV31:BZ31)</f>
        <v>392841.716348337</v>
      </c>
      <c r="CB31" s="15" t="n">
        <f aca="false">BV31*(1-Piano_SS!$E$6)+BW31*(1-Piano_SS!$E$7)+BX31*(1-Piano_SS!$E$8)+BY31*(1-Piano_SS!$E$9)+BZ31*(1-Piano_SS!$E$10)</f>
        <v>362841.716348337</v>
      </c>
      <c r="CC31" s="15" t="n">
        <f aca="false">(CC30)+BA31</f>
        <v>280000</v>
      </c>
      <c r="CD31" s="15" t="n">
        <f aca="false">IF(CA31=0,0,CC31*CB31/CA31*Ipotesi!$C$103*Parametri_v3!$C$64)</f>
        <v>77585.2026525475</v>
      </c>
      <c r="CE31" s="18" t="n">
        <f aca="false">IF(BA31&gt;0,Motore_Operativo!C31,(CE30))</f>
        <v>47150</v>
      </c>
      <c r="CF31" s="18" t="n">
        <f aca="false">IF(AND(CC31&gt;0,OR(CC31&gt;=CG31-0.01,Motore_Operativo!C31&gt;=EDATE(MAX(Finanziamenti!$D$15:$D$17),Ipotesi!C14*12))),CE31,0)</f>
        <v>0</v>
      </c>
      <c r="CG31" s="15" t="n">
        <f aca="false">IF(AND(1&lt;&gt;6,1&lt;&gt;9,Finanziamenti!$F$11=1,OR(Parametri_v3!$C$6=0,Finanziamenti!$E$11=1)),MIN(Finanziamenti!$C$11,Piano_SS!$C$12*Ipotesi!$C$102),0)</f>
        <v>400000</v>
      </c>
      <c r="CH31" s="15" t="n">
        <f aca="false">IF(AND(AND(1&lt;&gt;8,1&lt;&gt;9,Finanziamenti!$F$10=1,OR(Parametri_v3!$C$6=0,Finanziamenti!$E$10=1)),Motore_Operativo!C31&gt;=Finanziamenti!$D$10,Motore_Operativo!C31&lt;Parametri_v3!$C$63),Finanziamenti!$C$10,0)</f>
        <v>150000</v>
      </c>
    </row>
    <row r="32" customFormat="false" ht="18" hidden="false" customHeight="true" outlineLevel="0" collapsed="false">
      <c r="A32" s="68" t="n">
        <f aca="false">1</f>
        <v>1</v>
      </c>
      <c r="B32" s="68" t="n">
        <f aca="false">28</f>
        <v>28</v>
      </c>
      <c r="C32" s="18" t="n">
        <f aca="false">Motore_Operativo!C32</f>
        <v>47209</v>
      </c>
      <c r="D32" s="68" t="n">
        <f aca="false">Motore_Operativo!D32</f>
        <v>2029</v>
      </c>
      <c r="E32" s="68" t="n">
        <f aca="false">Motore_Operativo!E32</f>
        <v>4</v>
      </c>
      <c r="F32" s="15" t="n">
        <f aca="false">Motore_Operativo!AQ32+Motore_Operativo!BF32</f>
        <v>43727.0923668565</v>
      </c>
      <c r="G32" s="15" t="n">
        <f aca="false">Motore_Operativo!BH32</f>
        <v>4950</v>
      </c>
      <c r="H32" s="15" t="n">
        <f aca="false">Motore_Operativo!BI32</f>
        <v>48677.0923668565</v>
      </c>
      <c r="I32" s="15" t="n">
        <f aca="false">Motore_Operativo!CA32</f>
        <v>114256.459598027</v>
      </c>
      <c r="J32" s="15" t="n">
        <f aca="false">Motore_Operativo!CC32</f>
        <v>-65579.3672311701</v>
      </c>
      <c r="K32" s="15" t="n">
        <f aca="false">Motore_Operativo!CE32</f>
        <v>2500</v>
      </c>
      <c r="L32" s="15" t="n">
        <f aca="false">SUM(INDEX($K$5:$K$64,MAX(1,28-Parametri_v3!$C$59+1)):K32)/Parametri_v3!$C$59</f>
        <v>1527.77777777778</v>
      </c>
      <c r="M32" s="15" t="n">
        <f aca="false">J32-L32</f>
        <v>-67107.1450089479</v>
      </c>
      <c r="N32" s="15" t="n">
        <f aca="false">CD32-(CD31)</f>
        <v>446.161736390597</v>
      </c>
      <c r="O32" s="15" t="n">
        <f aca="false">(BG31)*Ipotesi!$C$110/12+CH32*Parametri_v3!$C$39/12</f>
        <v>750</v>
      </c>
      <c r="P32" s="15" t="n">
        <f aca="false">M32+N32-O32</f>
        <v>-67410.9832725573</v>
      </c>
      <c r="Q32" s="15" t="n">
        <f aca="false">SUM(P29:P32)+Parametri_v3!$C$54*4/12</f>
        <v>-263667.68171031</v>
      </c>
      <c r="R32" s="15" t="n">
        <f aca="false">Z28</f>
        <v>616450.017652124</v>
      </c>
      <c r="S32" s="15" t="n">
        <f aca="false">AA28</f>
        <v>0</v>
      </c>
      <c r="T32" s="15" t="n">
        <f aca="false">MIN(R32,MAX(0,Q32))</f>
        <v>0</v>
      </c>
      <c r="U32" s="15" t="n">
        <f aca="false">MIN(S32,MAX(0,Q32-T32)*Parametri_v3!$C$42)</f>
        <v>0</v>
      </c>
      <c r="V32" s="15" t="n">
        <f aca="false">MAX(0,Q32-T32-U32)*Ipotesi!$C$92</f>
        <v>0</v>
      </c>
      <c r="W32" s="15" t="n">
        <f aca="false">MAX(0,SUM(M29:M32)+Parametri_v3!$C$55*4/12)*Ipotesi!$C$93</f>
        <v>0</v>
      </c>
      <c r="X32" s="15" t="n">
        <f aca="false">V32+W32-(V31+W31)</f>
        <v>0</v>
      </c>
      <c r="Y32" s="15" t="n">
        <f aca="false">P32-X32</f>
        <v>-67410.9832725573</v>
      </c>
      <c r="Z32" s="15" t="n">
        <f aca="false">R32-T32+IF(AND(Parametri_v3!$C$40=1,D32-YEAR(Parametri_v3!$C$50)&lt;Parametri_v3!$C$41),MAX(0,-Q32),0)</f>
        <v>880117.699362434</v>
      </c>
      <c r="AA32" s="15" t="n">
        <f aca="false">S32-U32+IF(AND(Parametri_v3!$C$40=1,D32-YEAR(Parametri_v3!$C$50)&lt;Parametri_v3!$C$41),0,MAX(0,-Q32))</f>
        <v>0</v>
      </c>
      <c r="AB32" s="15" t="n">
        <f aca="false">F32*(1+Parametri_v3!$C$26)</f>
        <v>53347.0526875649</v>
      </c>
      <c r="AC32" s="15" t="n">
        <f aca="false">(IF(28-(INT((Motore_Operativo!L32)/30))&lt;1,0,INDEX(Motore_Startup!$AB$5:$AB$64,MAX(1,28-(INT((Motore_Operativo!L32)/30)))))*(1-(MOD((Motore_Operativo!L32),30)/30))+IF(28-(INT((Motore_Operativo!L32)/30))-1&lt;1,0,INDEX(Motore_Startup!$AB$5:$AB$64,MAX(1,28-(INT((Motore_Operativo!L32)/30))-1)))*(MOD((Motore_Operativo!L32),30)/30))</f>
        <v>50218.7272779091</v>
      </c>
      <c r="AD32" s="15" t="n">
        <f aca="false">(AD31)+AB32-AC32</f>
        <v>155876.546289037</v>
      </c>
      <c r="AE32" s="15" t="n">
        <f aca="false">Motore_Operativo!BH32*(1+Parametri_v3!$C$26)</f>
        <v>6039</v>
      </c>
      <c r="AF32" s="15" t="n">
        <f aca="false">(IF(28-(INT((Parametri_v3!$C$29)/30))&lt;1,0,INDEX(Motore_Operativo!$BH$5:$BH$64,MAX(1,28-(INT((Parametri_v3!$C$29)/30)))))*(1-(MOD((Parametri_v3!$C$29),30)/30))+IF(28-(INT((Parametri_v3!$C$29)/30))-1&lt;1,0,INDEX(Motore_Operativo!$BH$5:$BH$64,MAX(1,28-(INT((Parametri_v3!$C$29)/30))-1)))*(MOD((Parametri_v3!$C$29),30)/30))*(1+Parametri_v3!$C$26)</f>
        <v>6039</v>
      </c>
      <c r="AG32" s="15" t="n">
        <f aca="false">(AG31)+AE32-AF32</f>
        <v>6039</v>
      </c>
      <c r="AH32" s="15" t="n">
        <f aca="false">(Motore_Operativo!CJ32)*(1+Parametri_v3!$C$27*Parametri_v3!$C$26)</f>
        <v>47459.5752095242</v>
      </c>
      <c r="AI32" s="15" t="n">
        <f aca="false">(IF(28-(INT((Ipotesi!$C$91)/30))&lt;1,0,INDEX(Motore_Startup!$AH$5:$AH$64,MAX(1,28-(INT((Ipotesi!$C$91)/30)))))*(1-(MOD((Ipotesi!$C$91),30)/30))+IF(28-(INT((Ipotesi!$C$91)/30))-1&lt;1,0,INDEX(Motore_Startup!$AH$5:$AH$64,MAX(1,28-(INT((Ipotesi!$C$91)/30))-1)))*(MOD((Ipotesi!$C$91),30)/30))</f>
        <v>47128.7215704653</v>
      </c>
      <c r="AJ32" s="15" t="n">
        <f aca="false">(AJ31)+AH32-AI32</f>
        <v>94682.7293166759</v>
      </c>
      <c r="AK32" s="15" t="n">
        <f aca="false">(F32+ Motore_Operativo!BH32-(Motore_Operativo!CJ32)*Parametri_v3!$C$27-Motore_Operativo!CE32)*Parametri_v3!$C$26</f>
        <v>2682.17804254413</v>
      </c>
      <c r="AL32" s="15" t="n">
        <f aca="false">MAX(0,(AM31))</f>
        <v>2406.43404169049</v>
      </c>
      <c r="AM32" s="15" t="n">
        <f aca="false">(AM31)+AK32-AL32</f>
        <v>2682.17804254413</v>
      </c>
      <c r="AN32" s="15" t="n">
        <f aca="false">SUM(X17:X28)</f>
        <v>0</v>
      </c>
      <c r="AO32" s="15" t="n">
        <f aca="false">SUM(AP17:AP28)</f>
        <v>0</v>
      </c>
      <c r="AP32" s="15" t="n">
        <f aca="false">MAX(0,AN32)*IF(4=Parametri_v3!$C$43,Parametri_v3!$C$45,IF(4=Parametri_v3!$C$44,1-Parametri_v3!$C$45,0))</f>
        <v>0</v>
      </c>
      <c r="AQ32" s="15" t="n">
        <f aca="false">MAX(0,AP32+IF(4=Parametri_v3!$C$43,MAX(0,AN32-AO32),0)-MAX(0,-(AR31)))</f>
        <v>0</v>
      </c>
      <c r="AR32" s="15" t="n">
        <f aca="false">(AR31)+X32-AQ32</f>
        <v>0</v>
      </c>
      <c r="AS32" s="15" t="n">
        <f aca="false">Motore_Operativo!AB32-AT32+AU32</f>
        <v>70559.9833333333</v>
      </c>
      <c r="AT32" s="15" t="n">
        <f aca="false">Motore_Operativo!CH32</f>
        <v>3713.68333333333</v>
      </c>
      <c r="AU32" s="15" t="n">
        <f aca="false">MIN(MAX(0,(AV31)+AT32),Parametri_v3!$C$60/12)</f>
        <v>0</v>
      </c>
      <c r="AV32" s="15" t="n">
        <f aca="false">(AV31)+AT32-AU32</f>
        <v>49462.2333333333</v>
      </c>
      <c r="AW32" s="15" t="n">
        <f aca="false">IF(AND(Motore_Operativo!C32=Finanziamenti!$D$6,Finanziamenti!$F$6=1),Finanziamenti!$C$6,0)</f>
        <v>0</v>
      </c>
      <c r="AX32" s="15" t="n">
        <f aca="false">IF(AND(1&lt;&gt;7,1&lt;&gt;9,Finanziamenti!$F$8=1,OR(Parametri_v3!$C$6=0,Finanziamenti!$E$8=1),Motore_Operativo!C32=EDATE(Finanziamenti!$D$8,Ipotesi!C15*12)),Finanziamenti!$C$8*1,0)+IF(AND(1&lt;&gt;7,1&lt;&gt;9,Finanziamenti!$F$9=1,OR(Parametri_v3!$C$6=0,Finanziamenti!$E$9=1),Motore_Operativo!C32=EDATE(Finanziamenti!$D$9,Ipotesi!C15*12)),Finanziamenti!$C$9*Ipotesi!C16,0)</f>
        <v>0</v>
      </c>
      <c r="AY32" s="15" t="n">
        <f aca="false">0</f>
        <v>0</v>
      </c>
      <c r="AZ32" s="15" t="n">
        <f aca="false">Motore_Advisory!AY32*(1-Ipotesi!$C$95)*Ipotesi!$C$96</f>
        <v>0</v>
      </c>
      <c r="BA32" s="15" t="n">
        <f aca="false">MAX(0,MIN(CG32*MIN(1,IF(Motore_Operativo!C32&gt;=EDATE(Finanziamenti!$D$15,Ipotesi!C14*12),Finanziamenti!$C$15,0)+IF(Motore_Operativo!C32&gt;=EDATE(Finanziamenti!$D$16,Ipotesi!C14*12),Finanziamenti!$C$16,0)+IF(Motore_Operativo!C32&gt;=EDATE(Finanziamenti!$D$17,Ipotesi!C14*12),Finanziamenti!$C$17,0)),CA32*Ipotesi!$C$102)-(CC31))</f>
        <v>0</v>
      </c>
      <c r="BB32" s="15" t="n">
        <f aca="false">IF(AND(CF32&gt;0,Motore_Operativo!C32&gt;=IF(CF32=0,0,EDATE(CF32,Parametri_v3!$C$37)),MOD(((D32-YEAR(IF(CF32=0,0,EDATE(CF32,Parametri_v3!$C$37))))*12+E32-MONTH(IF(CF32=0,0,EDATE(CF32,Parametri_v3!$C$37)))),Parametri_v3!$C$38)=0),MIN(MAX(0,(BC31)+BA32-N32),(CC32-CD32)/(Ipotesi!$C$108*12/Parametri_v3!$C$38)),0)</f>
        <v>0</v>
      </c>
      <c r="BC32" s="15" t="n">
        <f aca="false">(BC31)+BA32-N32-BB32</f>
        <v>201968.635611062</v>
      </c>
      <c r="BD32" s="15" t="n">
        <f aca="false">(BH31)+AC32+AF32-AI32-AS32-K32*(1+Parametri_v3!$C$26)-AL32-AQ32-O32+AW32+AX32+AZ32+BA32-BB32</f>
        <v>-147751.358236745</v>
      </c>
      <c r="BE32" s="15" t="n">
        <f aca="false">MAX(0,MIN(MAX(0,CH32-(BG31)),Parametri_v3!$C$30-BD32))</f>
        <v>0</v>
      </c>
      <c r="BF32" s="15" t="n">
        <f aca="false">IF(Motore_Operativo!C32&gt;=Parametri_v3!$C$63,(BG31),MIN((BG31),MAX(0,BD32-Parametri_v3!$C$30)))</f>
        <v>0</v>
      </c>
      <c r="BG32" s="15" t="n">
        <f aca="false">(BG31)+BE32-BF32</f>
        <v>150000</v>
      </c>
      <c r="BH32" s="15" t="n">
        <f aca="false">BD32+BE32-BF32-AY32</f>
        <v>-147751.358236745</v>
      </c>
      <c r="BI32" s="15" t="n">
        <f aca="false">MAX(0,Parametri_v3!$C$30-BH32)</f>
        <v>172751.358236745</v>
      </c>
      <c r="BJ32" s="15" t="n">
        <f aca="false">(BJ31)+K32</f>
        <v>55000</v>
      </c>
      <c r="BK32" s="15" t="n">
        <f aca="false">(BK31)+L32</f>
        <v>20486.1111111111</v>
      </c>
      <c r="BL32" s="15" t="n">
        <f aca="false">BJ32-BK32</f>
        <v>34513.8888888889</v>
      </c>
      <c r="BM32" s="15" t="n">
        <f aca="false">(BM31)+Y32</f>
        <v>-880117.699362434</v>
      </c>
      <c r="BN32" s="15" t="n">
        <f aca="false">(BN31)+AW32+AX32+AZ32</f>
        <v>430000</v>
      </c>
      <c r="BO32" s="15" t="n">
        <f aca="false">(BO31)+AY32</f>
        <v>0</v>
      </c>
      <c r="BP32" s="15" t="n">
        <f aca="false">0</f>
        <v>0</v>
      </c>
      <c r="BQ32" s="15" t="n">
        <f aca="false">BN32+BM32-BO32</f>
        <v>-450117.699362434</v>
      </c>
      <c r="BR32" s="15" t="n">
        <f aca="false">BH32+AD32+BL32+MAX(0,-AM32)+MAX(0,-AR32)+AG32</f>
        <v>48678.0769411813</v>
      </c>
      <c r="BS32" s="15" t="n">
        <f aca="false">AJ32+AV32+MAX(0,AM32)+MAX(0,AR32)+BC32+BG32+BQ32</f>
        <v>48678.0769411814</v>
      </c>
      <c r="BT32" s="15" t="n">
        <f aca="false">BR32-BS32</f>
        <v>0</v>
      </c>
      <c r="BU32" s="15" t="n">
        <f aca="false">BH32-(BD32+BE32-BF32-AY32)</f>
        <v>0</v>
      </c>
      <c r="BV32" s="15" t="n">
        <f aca="false">MIN(Piano_SS!$C$6,(BV31)+IF(AND(Motore_Operativo!C32&gt;=EDATE(Parametri_v3!$C$24,Ipotesi!C14*12),Motore_Operativo!C32&lt;EDATE(Parametri_v3!$C$24,Parametri_v3!$C$25+Ipotesi!C14*12)),MAX(0,(Motore_Operativo!Y32+Motore_Operativo!X32*Parametri_v3!$C$14)*(1-Parametri_v3!$C$32))*Piano_SS!$D$6,0))</f>
        <v>274380.741666667</v>
      </c>
      <c r="BW32" s="15" t="n">
        <f aca="false">MIN(Piano_SS!$C$7,(BW31)+IF(AND(Motore_Operativo!C32&gt;=EDATE(Parametri_v3!$C$24,Ipotesi!C14*12),Motore_Operativo!C32&lt;EDATE(Parametri_v3!$C$24,Parametri_v3!$C$25+Ipotesi!C14*12)),MAX(0,(IF(28-(INT((Ipotesi!$C$91)/30))&lt;1,0,INDEX(Motore_Operativo!$BN$5:$BN$64,MAX(1,28-(INT((Ipotesi!$C$91)/30)))))*(1-(MOD((Ipotesi!$C$91),30)/30))+IF(28-(INT((Ipotesi!$C$91)/30))-1&lt;1,0,INDEX(Motore_Operativo!$BN$5:$BN$64,MAX(1,28-(INT((Ipotesi!$C$91)/30))-1)))*(MOD((Ipotesi!$C$91),30)/30)))*Piano_SS!$D$7,0))</f>
        <v>32826.3026584355</v>
      </c>
      <c r="BX32" s="15" t="n">
        <f aca="false">MIN(Piano_SS!$C$8,(BX31)+IF(AND(Motore_Operativo!C32&gt;=EDATE(Parametri_v3!$C$24,Ipotesi!C14*12),Motore_Operativo!C32&lt;EDATE(Parametri_v3!$C$24,Parametri_v3!$C$25+Ipotesi!C14*12)),MAX(0,Motore_Operativo!CE32)*Piano_SS!$D$8,0))</f>
        <v>45000</v>
      </c>
      <c r="BY32" s="15" t="n">
        <f aca="false">MIN(Piano_SS!$C$9,(BY31)+IF(AND(Motore_Operativo!C32&gt;=EDATE(Parametri_v3!$C$24,Ipotesi!C14*12),Motore_Operativo!C32&lt;EDATE(Parametri_v3!$C$24,Parametri_v3!$C$25+Ipotesi!C14*12)),MAX(0,((IF(28-(INT((Ipotesi!$C$91)/30))&lt;1,0,INDEX(Motore_Operativo!$BQ$5:$BQ$64,MAX(1,28-(INT((Ipotesi!$C$91)/30)))))*(1-(MOD((Ipotesi!$C$91),30)/30))+IF(28-(INT((Ipotesi!$C$91)/30))-1&lt;1,0,INDEX(Motore_Operativo!$BQ$5:$BQ$64,MAX(1,28-(INT((Ipotesi!$C$91)/30))-1)))*(MOD((Ipotesi!$C$91),30)/30))+(IF(28-(INT((Ipotesi!$C$91)/30))&lt;1,0,INDEX(Motore_Operativo!$BR$5:$BR$64,MAX(1,28-(INT((Ipotesi!$C$91)/30)))))*(1-(MOD((Ipotesi!$C$91),30)/30))+IF(28-(INT((Ipotesi!$C$91)/30))-1&lt;1,0,INDEX(Motore_Operativo!$BR$5:$BR$64,MAX(1,28-(INT((Ipotesi!$C$91)/30))-1)))*(MOD((Ipotesi!$C$91),30)/30))))*Piano_SS!$D$9,0))</f>
        <v>40000</v>
      </c>
      <c r="BZ32" s="15" t="n">
        <f aca="false">MIN(Piano_SS!$C$10,(BZ31)+IF(AND(Motore_Operativo!C32&gt;=EDATE(Parametri_v3!$C$24,Ipotesi!C14*12),Motore_Operativo!C32&lt;EDATE(Parametri_v3!$C$24,Parametri_v3!$C$25+Ipotesi!C14*12)),MAX(0,(IF(28-(INT((Ipotesi!$C$91)/30))&lt;1,0,INDEX(Motore_Operativo!$BO$5:$BO$64,MAX(1,28-(INT((Ipotesi!$C$91)/30)))))*(1-(MOD((Ipotesi!$C$91),30)/30))+IF(28-(INT((Ipotesi!$C$91)/30))-1&lt;1,0,INDEX(Motore_Operativo!$BO$5:$BO$64,MAX(1,28-(INT((Ipotesi!$C$91)/30))-1)))*(MOD((Ipotesi!$C$91),30)/30)))*Piano_SS!$D$10,0))</f>
        <v>30000</v>
      </c>
      <c r="CA32" s="15" t="n">
        <f aca="false">SUM(BV32:BZ32)</f>
        <v>422207.044325102</v>
      </c>
      <c r="CB32" s="15" t="n">
        <f aca="false">BV32*(1-Piano_SS!$E$6)+BW32*(1-Piano_SS!$E$7)+BX32*(1-Piano_SS!$E$8)+BY32*(1-Piano_SS!$E$9)+BZ32*(1-Piano_SS!$E$10)</f>
        <v>392207.044325102</v>
      </c>
      <c r="CC32" s="15" t="n">
        <f aca="false">(CC31)+BA32</f>
        <v>280000</v>
      </c>
      <c r="CD32" s="15" t="n">
        <f aca="false">IF(CA32=0,0,CC32*CB32/CA32*Ipotesi!$C$103*Parametri_v3!$C$64)</f>
        <v>78031.3643889381</v>
      </c>
      <c r="CE32" s="18" t="n">
        <f aca="false">IF(BA32&gt;0,Motore_Operativo!C32,(CE31))</f>
        <v>47150</v>
      </c>
      <c r="CF32" s="18" t="n">
        <f aca="false">IF(AND(CC32&gt;0,OR(CC32&gt;=CG32-0.01,Motore_Operativo!C32&gt;=EDATE(MAX(Finanziamenti!$D$15:$D$17),Ipotesi!C14*12))),CE32,0)</f>
        <v>0</v>
      </c>
      <c r="CG32" s="15" t="n">
        <f aca="false">IF(AND(1&lt;&gt;6,1&lt;&gt;9,Finanziamenti!$F$11=1,OR(Parametri_v3!$C$6=0,Finanziamenti!$E$11=1)),MIN(Finanziamenti!$C$11,Piano_SS!$C$12*Ipotesi!$C$102),0)</f>
        <v>400000</v>
      </c>
      <c r="CH32" s="15" t="n">
        <f aca="false">IF(AND(AND(1&lt;&gt;8,1&lt;&gt;9,Finanziamenti!$F$10=1,OR(Parametri_v3!$C$6=0,Finanziamenti!$E$10=1)),Motore_Operativo!C32&gt;=Finanziamenti!$D$10,Motore_Operativo!C32&lt;Parametri_v3!$C$63),Finanziamenti!$C$10,0)</f>
        <v>150000</v>
      </c>
    </row>
    <row r="33" customFormat="false" ht="18" hidden="false" customHeight="true" outlineLevel="0" collapsed="false">
      <c r="A33" s="68" t="n">
        <f aca="false">1</f>
        <v>1</v>
      </c>
      <c r="B33" s="68" t="n">
        <f aca="false">29</f>
        <v>29</v>
      </c>
      <c r="C33" s="18" t="n">
        <f aca="false">Motore_Operativo!C33</f>
        <v>47239</v>
      </c>
      <c r="D33" s="68" t="n">
        <f aca="false">Motore_Operativo!D33</f>
        <v>2029</v>
      </c>
      <c r="E33" s="68" t="n">
        <f aca="false">Motore_Operativo!E33</f>
        <v>5</v>
      </c>
      <c r="F33" s="15" t="n">
        <f aca="false">Motore_Operativo!AQ33+Motore_Operativo!BF33</f>
        <v>45996.7304656507</v>
      </c>
      <c r="G33" s="15" t="n">
        <f aca="false">Motore_Operativo!BH33</f>
        <v>4950</v>
      </c>
      <c r="H33" s="15" t="n">
        <f aca="false">Motore_Operativo!BI33</f>
        <v>50946.7304656507</v>
      </c>
      <c r="I33" s="15" t="n">
        <f aca="false">Motore_Operativo!CA33</f>
        <v>114574.208931858</v>
      </c>
      <c r="J33" s="15" t="n">
        <f aca="false">Motore_Operativo!CC33</f>
        <v>-63627.478466207</v>
      </c>
      <c r="K33" s="15" t="n">
        <f aca="false">Motore_Operativo!CE33</f>
        <v>2500</v>
      </c>
      <c r="L33" s="15" t="n">
        <f aca="false">SUM(INDEX($K$5:$K$64,MAX(1,29-Parametri_v3!$C$59+1)):K33)/Parametri_v3!$C$59</f>
        <v>1597.22222222222</v>
      </c>
      <c r="M33" s="15" t="n">
        <f aca="false">J33-L33</f>
        <v>-65224.7006884292</v>
      </c>
      <c r="N33" s="15" t="n">
        <f aca="false">CD33-(CD32)</f>
        <v>388.696517123724</v>
      </c>
      <c r="O33" s="15" t="n">
        <f aca="false">(BG32)*Ipotesi!$C$110/12+CH33*Parametri_v3!$C$39/12</f>
        <v>750</v>
      </c>
      <c r="P33" s="15" t="n">
        <f aca="false">M33+N33-O33</f>
        <v>-65586.0041713055</v>
      </c>
      <c r="Q33" s="15" t="n">
        <f aca="false">SUM(P29:P33)+Parametri_v3!$C$54*5/12</f>
        <v>-329253.685881616</v>
      </c>
      <c r="R33" s="15" t="n">
        <f aca="false">Z28</f>
        <v>616450.017652124</v>
      </c>
      <c r="S33" s="15" t="n">
        <f aca="false">AA28</f>
        <v>0</v>
      </c>
      <c r="T33" s="15" t="n">
        <f aca="false">MIN(R33,MAX(0,Q33))</f>
        <v>0</v>
      </c>
      <c r="U33" s="15" t="n">
        <f aca="false">MIN(S33,MAX(0,Q33-T33)*Parametri_v3!$C$42)</f>
        <v>0</v>
      </c>
      <c r="V33" s="15" t="n">
        <f aca="false">MAX(0,Q33-T33-U33)*Ipotesi!$C$92</f>
        <v>0</v>
      </c>
      <c r="W33" s="15" t="n">
        <f aca="false">MAX(0,SUM(M29:M33)+Parametri_v3!$C$55*5/12)*Ipotesi!$C$93</f>
        <v>0</v>
      </c>
      <c r="X33" s="15" t="n">
        <f aca="false">V33+W33-(V32+W32)</f>
        <v>0</v>
      </c>
      <c r="Y33" s="15" t="n">
        <f aca="false">P33-X33</f>
        <v>-65586.0041713055</v>
      </c>
      <c r="Z33" s="15" t="n">
        <f aca="false">R33-T33+IF(AND(Parametri_v3!$C$40=1,D33-YEAR(Parametri_v3!$C$50)&lt;Parametri_v3!$C$41),MAX(0,-Q33),0)</f>
        <v>945703.703533739</v>
      </c>
      <c r="AA33" s="15" t="n">
        <f aca="false">S33-U33+IF(AND(Parametri_v3!$C$40=1,D33-YEAR(Parametri_v3!$C$50)&lt;Parametri_v3!$C$41),0,MAX(0,-Q33))</f>
        <v>0</v>
      </c>
      <c r="AB33" s="15" t="n">
        <f aca="false">F33*(1+Parametri_v3!$C$26)</f>
        <v>56116.0111680939</v>
      </c>
      <c r="AC33" s="15" t="n">
        <f aca="false">(IF(29-(INT((Motore_Operativo!L33)/30))&lt;1,0,INDEX(Motore_Startup!$AB$5:$AB$64,MAX(1,29-(INT((Motore_Operativo!L33)/30)))))*(1-(MOD((Motore_Operativo!L33),30)/30))+IF(29-(INT((Motore_Operativo!L33)/30))-1&lt;1,0,INDEX(Motore_Startup!$AB$5:$AB$64,MAX(1,29-(INT((Motore_Operativo!L33)/30))-1)))*(MOD((Motore_Operativo!L33),30)/30))</f>
        <v>50918.1115415071</v>
      </c>
      <c r="AD33" s="15" t="n">
        <f aca="false">(AD32)+AB33-AC33</f>
        <v>161074.445915624</v>
      </c>
      <c r="AE33" s="15" t="n">
        <f aca="false">Motore_Operativo!BH33*(1+Parametri_v3!$C$26)</f>
        <v>6039</v>
      </c>
      <c r="AF33" s="15" t="n">
        <f aca="false">(IF(29-(INT((Parametri_v3!$C$29)/30))&lt;1,0,INDEX(Motore_Operativo!$BH$5:$BH$64,MAX(1,29-(INT((Parametri_v3!$C$29)/30)))))*(1-(MOD((Parametri_v3!$C$29),30)/30))+IF(29-(INT((Parametri_v3!$C$29)/30))-1&lt;1,0,INDEX(Motore_Operativo!$BH$5:$BH$64,MAX(1,29-(INT((Parametri_v3!$C$29)/30))-1)))*(MOD((Parametri_v3!$C$29),30)/30))*(1+Parametri_v3!$C$26)</f>
        <v>6039</v>
      </c>
      <c r="AG33" s="15" t="n">
        <f aca="false">(AG32)+AE33-AF33</f>
        <v>6039</v>
      </c>
      <c r="AH33" s="15" t="n">
        <f aca="false">(Motore_Operativo!CJ33)*(1+Parametri_v3!$C$27*Parametri_v3!$C$26)</f>
        <v>47836.7436687818</v>
      </c>
      <c r="AI33" s="15" t="n">
        <f aca="false">(IF(29-(INT((Ipotesi!$C$91)/30))&lt;1,0,INDEX(Motore_Startup!$AH$5:$AH$64,MAX(1,29-(INT((Ipotesi!$C$91)/30)))))*(1-(MOD((Ipotesi!$C$91),30)/30))+IF(29-(INT((Ipotesi!$C$91)/30))-1&lt;1,0,INDEX(Motore_Startup!$AH$5:$AH$64,MAX(1,29-(INT((Ipotesi!$C$91)/30))-1)))*(MOD((Ipotesi!$C$91),30)/30))</f>
        <v>47223.1541071516</v>
      </c>
      <c r="AJ33" s="15" t="n">
        <f aca="false">(AJ32)+AH33-AI33</f>
        <v>95296.3188783061</v>
      </c>
      <c r="AK33" s="15" t="n">
        <f aca="false">(F33+ Motore_Operativo!BH33-(Motore_Operativo!CJ33)*Parametri_v3!$C$27-Motore_Operativo!CE33)*Parametri_v3!$C$26</f>
        <v>3122.07929885243</v>
      </c>
      <c r="AL33" s="15" t="n">
        <f aca="false">MAX(0,(AM32))</f>
        <v>2682.17804254413</v>
      </c>
      <c r="AM33" s="15" t="n">
        <f aca="false">(AM32)+AK33-AL33</f>
        <v>3122.07929885243</v>
      </c>
      <c r="AN33" s="15" t="n">
        <f aca="false">SUM(X17:X28)</f>
        <v>0</v>
      </c>
      <c r="AO33" s="15" t="n">
        <f aca="false">SUM(AP17:AP28)</f>
        <v>0</v>
      </c>
      <c r="AP33" s="15" t="n">
        <f aca="false">MAX(0,AN33)*IF(5=Parametri_v3!$C$43,Parametri_v3!$C$45,IF(5=Parametri_v3!$C$44,1-Parametri_v3!$C$45,0))</f>
        <v>0</v>
      </c>
      <c r="AQ33" s="15" t="n">
        <f aca="false">MAX(0,AP33+IF(5=Parametri_v3!$C$43,MAX(0,AN33-AO33),0)-MAX(0,-(AR32)))</f>
        <v>0</v>
      </c>
      <c r="AR33" s="15" t="n">
        <f aca="false">(AR32)+X33-AQ33</f>
        <v>0</v>
      </c>
      <c r="AS33" s="15" t="n">
        <f aca="false">Motore_Operativo!AB33-AT33+AU33</f>
        <v>70559.9833333333</v>
      </c>
      <c r="AT33" s="15" t="n">
        <f aca="false">Motore_Operativo!CH33</f>
        <v>3713.68333333333</v>
      </c>
      <c r="AU33" s="15" t="n">
        <f aca="false">MIN(MAX(0,(AV32)+AT33),Parametri_v3!$C$60/12)</f>
        <v>0</v>
      </c>
      <c r="AV33" s="15" t="n">
        <f aca="false">(AV32)+AT33-AU33</f>
        <v>53175.9166666667</v>
      </c>
      <c r="AW33" s="15" t="n">
        <f aca="false">IF(AND(Motore_Operativo!C33=Finanziamenti!$D$6,Finanziamenti!$F$6=1),Finanziamenti!$C$6,0)</f>
        <v>0</v>
      </c>
      <c r="AX33" s="15" t="n">
        <f aca="false">IF(AND(1&lt;&gt;7,1&lt;&gt;9,Finanziamenti!$F$8=1,OR(Parametri_v3!$C$6=0,Finanziamenti!$E$8=1),Motore_Operativo!C33=EDATE(Finanziamenti!$D$8,Ipotesi!C15*12)),Finanziamenti!$C$8*1,0)+IF(AND(1&lt;&gt;7,1&lt;&gt;9,Finanziamenti!$F$9=1,OR(Parametri_v3!$C$6=0,Finanziamenti!$E$9=1),Motore_Operativo!C33=EDATE(Finanziamenti!$D$9,Ipotesi!C15*12)),Finanziamenti!$C$9*Ipotesi!C16,0)</f>
        <v>0</v>
      </c>
      <c r="AY33" s="15" t="n">
        <f aca="false">0</f>
        <v>0</v>
      </c>
      <c r="AZ33" s="15" t="n">
        <f aca="false">Motore_Advisory!AY33*(1-Ipotesi!$C$95)*Ipotesi!$C$96</f>
        <v>0</v>
      </c>
      <c r="BA33" s="15" t="n">
        <f aca="false">MAX(0,MIN(CG33*MIN(1,IF(Motore_Operativo!C33&gt;=EDATE(Finanziamenti!$D$15,Ipotesi!C14*12),Finanziamenti!$C$15,0)+IF(Motore_Operativo!C33&gt;=EDATE(Finanziamenti!$D$16,Ipotesi!C14*12),Finanziamenti!$C$16,0)+IF(Motore_Operativo!C33&gt;=EDATE(Finanziamenti!$D$17,Ipotesi!C14*12),Finanziamenti!$C$17,0)),CA33*Ipotesi!$C$102)-(CC32))</f>
        <v>0</v>
      </c>
      <c r="BB33" s="15" t="n">
        <f aca="false">IF(AND(CF33&gt;0,Motore_Operativo!C33&gt;=IF(CF33=0,0,EDATE(CF33,Parametri_v3!$C$37)),MOD(((D33-YEAR(IF(CF33=0,0,EDATE(CF33,Parametri_v3!$C$37))))*12+E33-MONTH(IF(CF33=0,0,EDATE(CF33,Parametri_v3!$C$37)))),Parametri_v3!$C$38)=0),MIN(MAX(0,(BC32)+BA33-N33),(CC33-CD33)/(Ipotesi!$C$108*12/Parametri_v3!$C$38)),0)</f>
        <v>0</v>
      </c>
      <c r="BC33" s="15" t="n">
        <f aca="false">(BC32)+BA33-N33-BB33</f>
        <v>201579.939093938</v>
      </c>
      <c r="BD33" s="15" t="n">
        <f aca="false">(BH32)+AC33+AF33-AI33-AS33-K33*(1+Parametri_v3!$C$26)-AL33-AQ33-O33+AW33+AX33+AZ33+BA33-BB33</f>
        <v>-215059.562178267</v>
      </c>
      <c r="BE33" s="15" t="n">
        <f aca="false">MAX(0,MIN(MAX(0,CH33-(BG32)),Parametri_v3!$C$30-BD33))</f>
        <v>0</v>
      </c>
      <c r="BF33" s="15" t="n">
        <f aca="false">IF(Motore_Operativo!C33&gt;=Parametri_v3!$C$63,(BG32),MIN((BG32),MAX(0,BD33-Parametri_v3!$C$30)))</f>
        <v>0</v>
      </c>
      <c r="BG33" s="15" t="n">
        <f aca="false">(BG32)+BE33-BF33</f>
        <v>150000</v>
      </c>
      <c r="BH33" s="15" t="n">
        <f aca="false">BD33+BE33-BF33-AY33</f>
        <v>-215059.562178267</v>
      </c>
      <c r="BI33" s="15" t="n">
        <f aca="false">MAX(0,Parametri_v3!$C$30-BH33)</f>
        <v>240059.562178267</v>
      </c>
      <c r="BJ33" s="15" t="n">
        <f aca="false">(BJ32)+K33</f>
        <v>57500</v>
      </c>
      <c r="BK33" s="15" t="n">
        <f aca="false">(BK32)+L33</f>
        <v>22083.3333333333</v>
      </c>
      <c r="BL33" s="15" t="n">
        <f aca="false">BJ33-BK33</f>
        <v>35416.6666666667</v>
      </c>
      <c r="BM33" s="15" t="n">
        <f aca="false">(BM32)+Y33</f>
        <v>-945703.703533739</v>
      </c>
      <c r="BN33" s="15" t="n">
        <f aca="false">(BN32)+AW33+AX33+AZ33</f>
        <v>430000</v>
      </c>
      <c r="BO33" s="15" t="n">
        <f aca="false">(BO32)+AY33</f>
        <v>0</v>
      </c>
      <c r="BP33" s="15" t="n">
        <f aca="false">0</f>
        <v>0</v>
      </c>
      <c r="BQ33" s="15" t="n">
        <f aca="false">BN33+BM33-BO33</f>
        <v>-515703.703533739</v>
      </c>
      <c r="BR33" s="15" t="n">
        <f aca="false">BH33+AD33+BL33+MAX(0,-AM33)+MAX(0,-AR33)+AG33</f>
        <v>-12529.4495959761</v>
      </c>
      <c r="BS33" s="15" t="n">
        <f aca="false">AJ33+AV33+MAX(0,AM33)+MAX(0,AR33)+BC33+BG33+BQ33</f>
        <v>-12529.449595976</v>
      </c>
      <c r="BT33" s="15" t="n">
        <f aca="false">BR33-BS33</f>
        <v>-1.60071067512035E-010</v>
      </c>
      <c r="BU33" s="15" t="n">
        <f aca="false">BH33-(BD33+BE33-BF33-AY33)</f>
        <v>0</v>
      </c>
      <c r="BV33" s="15" t="n">
        <f aca="false">MIN(Piano_SS!$C$6,(BV32)+IF(AND(Motore_Operativo!C33&gt;=EDATE(Parametri_v3!$C$24,Ipotesi!C14*12),Motore_Operativo!C33&lt;EDATE(Parametri_v3!$C$24,Parametri_v3!$C$25+Ipotesi!C14*12)),MAX(0,(Motore_Operativo!Y33+Motore_Operativo!X33*Parametri_v3!$C$14)*(1-Parametri_v3!$C$32))*Piano_SS!$D$6,0))</f>
        <v>299157.177083333</v>
      </c>
      <c r="BW33" s="15" t="n">
        <f aca="false">MIN(Piano_SS!$C$7,(BW32)+IF(AND(Motore_Operativo!C33&gt;=EDATE(Parametri_v3!$C$24,Ipotesi!C14*12),Motore_Operativo!C33&lt;EDATE(Parametri_v3!$C$24,Parametri_v3!$C$25+Ipotesi!C14*12)),MAX(0,(IF(29-(INT((Ipotesi!$C$91)/30))&lt;1,0,INDEX(Motore_Operativo!$BN$5:$BN$64,MAX(1,29-(INT((Ipotesi!$C$91)/30)))))*(1-(MOD((Ipotesi!$C$91),30)/30))+IF(29-(INT((Ipotesi!$C$91)/30))-1&lt;1,0,INDEX(Motore_Operativo!$BN$5:$BN$64,MAX(1,29-(INT((Ipotesi!$C$91)/30))-1)))*(MOD((Ipotesi!$C$91),30)/30)))*Piano_SS!$D$7,0))</f>
        <v>34960.6555804004</v>
      </c>
      <c r="BX33" s="15" t="n">
        <f aca="false">MIN(Piano_SS!$C$8,(BX32)+IF(AND(Motore_Operativo!C33&gt;=EDATE(Parametri_v3!$C$24,Ipotesi!C14*12),Motore_Operativo!C33&lt;EDATE(Parametri_v3!$C$24,Parametri_v3!$C$25+Ipotesi!C14*12)),MAX(0,Motore_Operativo!CE33)*Piano_SS!$D$8,0))</f>
        <v>47500</v>
      </c>
      <c r="BY33" s="15" t="n">
        <f aca="false">MIN(Piano_SS!$C$9,(BY32)+IF(AND(Motore_Operativo!C33&gt;=EDATE(Parametri_v3!$C$24,Ipotesi!C14*12),Motore_Operativo!C33&lt;EDATE(Parametri_v3!$C$24,Parametri_v3!$C$25+Ipotesi!C14*12)),MAX(0,((IF(29-(INT((Ipotesi!$C$91)/30))&lt;1,0,INDEX(Motore_Operativo!$BQ$5:$BQ$64,MAX(1,29-(INT((Ipotesi!$C$91)/30)))))*(1-(MOD((Ipotesi!$C$91),30)/30))+IF(29-(INT((Ipotesi!$C$91)/30))-1&lt;1,0,INDEX(Motore_Operativo!$BQ$5:$BQ$64,MAX(1,29-(INT((Ipotesi!$C$91)/30))-1)))*(MOD((Ipotesi!$C$91),30)/30))+(IF(29-(INT((Ipotesi!$C$91)/30))&lt;1,0,INDEX(Motore_Operativo!$BR$5:$BR$64,MAX(1,29-(INT((Ipotesi!$C$91)/30)))))*(1-(MOD((Ipotesi!$C$91),30)/30))+IF(29-(INT((Ipotesi!$C$91)/30))-1&lt;1,0,INDEX(Motore_Operativo!$BR$5:$BR$64,MAX(1,29-(INT((Ipotesi!$C$91)/30))-1)))*(MOD((Ipotesi!$C$91),30)/30))))*Piano_SS!$D$9,0))</f>
        <v>40000</v>
      </c>
      <c r="BZ33" s="15" t="n">
        <f aca="false">MIN(Piano_SS!$C$10,(BZ32)+IF(AND(Motore_Operativo!C33&gt;=EDATE(Parametri_v3!$C$24,Ipotesi!C14*12),Motore_Operativo!C33&lt;EDATE(Parametri_v3!$C$24,Parametri_v3!$C$25+Ipotesi!C14*12)),MAX(0,(IF(29-(INT((Ipotesi!$C$91)/30))&lt;1,0,INDEX(Motore_Operativo!$BO$5:$BO$64,MAX(1,29-(INT((Ipotesi!$C$91)/30)))))*(1-(MOD((Ipotesi!$C$91),30)/30))+IF(29-(INT((Ipotesi!$C$91)/30))-1&lt;1,0,INDEX(Motore_Operativo!$BO$5:$BO$64,MAX(1,29-(INT((Ipotesi!$C$91)/30))-1)))*(MOD((Ipotesi!$C$91),30)/30)))*Piano_SS!$D$10,0))</f>
        <v>30000</v>
      </c>
      <c r="CA33" s="15" t="n">
        <f aca="false">SUM(BV33:BZ33)</f>
        <v>451617.832663734</v>
      </c>
      <c r="CB33" s="15" t="n">
        <f aca="false">BV33*(1-Piano_SS!$E$6)+BW33*(1-Piano_SS!$E$7)+BX33*(1-Piano_SS!$E$8)+BY33*(1-Piano_SS!$E$9)+BZ33*(1-Piano_SS!$E$10)</f>
        <v>421617.832663734</v>
      </c>
      <c r="CC33" s="15" t="n">
        <f aca="false">(CC32)+BA33</f>
        <v>280000</v>
      </c>
      <c r="CD33" s="15" t="n">
        <f aca="false">IF(CA33=0,0,CC33*CB33/CA33*Ipotesi!$C$103*Parametri_v3!$C$64)</f>
        <v>78420.0609060618</v>
      </c>
      <c r="CE33" s="18" t="n">
        <f aca="false">IF(BA33&gt;0,Motore_Operativo!C33,(CE32))</f>
        <v>47150</v>
      </c>
      <c r="CF33" s="18" t="n">
        <f aca="false">IF(AND(CC33&gt;0,OR(CC33&gt;=CG33-0.01,Motore_Operativo!C33&gt;=EDATE(MAX(Finanziamenti!$D$15:$D$17),Ipotesi!C14*12))),CE33,0)</f>
        <v>0</v>
      </c>
      <c r="CG33" s="15" t="n">
        <f aca="false">IF(AND(1&lt;&gt;6,1&lt;&gt;9,Finanziamenti!$F$11=1,OR(Parametri_v3!$C$6=0,Finanziamenti!$E$11=1)),MIN(Finanziamenti!$C$11,Piano_SS!$C$12*Ipotesi!$C$102),0)</f>
        <v>400000</v>
      </c>
      <c r="CH33" s="15" t="n">
        <f aca="false">IF(AND(AND(1&lt;&gt;8,1&lt;&gt;9,Finanziamenti!$F$10=1,OR(Parametri_v3!$C$6=0,Finanziamenti!$E$10=1)),Motore_Operativo!C33&gt;=Finanziamenti!$D$10,Motore_Operativo!C33&lt;Parametri_v3!$C$63),Finanziamenti!$C$10,0)</f>
        <v>150000</v>
      </c>
    </row>
    <row r="34" customFormat="false" ht="18" hidden="false" customHeight="true" outlineLevel="0" collapsed="false">
      <c r="A34" s="68" t="n">
        <f aca="false">1</f>
        <v>1</v>
      </c>
      <c r="B34" s="68" t="n">
        <f aca="false">30</f>
        <v>30</v>
      </c>
      <c r="C34" s="18" t="n">
        <f aca="false">Motore_Operativo!C34</f>
        <v>47270</v>
      </c>
      <c r="D34" s="68" t="n">
        <f aca="false">Motore_Operativo!D34</f>
        <v>2029</v>
      </c>
      <c r="E34" s="68" t="n">
        <f aca="false">Motore_Operativo!E34</f>
        <v>6</v>
      </c>
      <c r="F34" s="15" t="n">
        <f aca="false">Motore_Operativo!AQ34+Motore_Operativo!BF34</f>
        <v>48246.5282711774</v>
      </c>
      <c r="G34" s="15" t="n">
        <f aca="false">Motore_Operativo!BH34</f>
        <v>4950</v>
      </c>
      <c r="H34" s="15" t="n">
        <f aca="false">Motore_Operativo!BI34</f>
        <v>53196.5282711774</v>
      </c>
      <c r="I34" s="15" t="n">
        <f aca="false">Motore_Operativo!CA34</f>
        <v>114889.180624632</v>
      </c>
      <c r="J34" s="15" t="n">
        <f aca="false">Motore_Operativo!CC34</f>
        <v>-61692.6523534541</v>
      </c>
      <c r="K34" s="15" t="n">
        <f aca="false">Motore_Operativo!CE34</f>
        <v>2500</v>
      </c>
      <c r="L34" s="15" t="n">
        <f aca="false">SUM(INDEX($K$5:$K$64,MAX(1,30-Parametri_v3!$C$59+1)):K34)/Parametri_v3!$C$59</f>
        <v>1666.66666666667</v>
      </c>
      <c r="M34" s="15" t="n">
        <f aca="false">J34-L34</f>
        <v>-63359.3190201208</v>
      </c>
      <c r="N34" s="15" t="n">
        <f aca="false">CD34-(CD33)</f>
        <v>24110.0566066779</v>
      </c>
      <c r="O34" s="15" t="n">
        <f aca="false">(BG33)*Ipotesi!$C$110/12+CH34*Parametri_v3!$C$39/12</f>
        <v>750</v>
      </c>
      <c r="P34" s="15" t="n">
        <f aca="false">M34+N34-O34</f>
        <v>-39999.2624134429</v>
      </c>
      <c r="Q34" s="15" t="n">
        <f aca="false">SUM(P29:P34)+Parametri_v3!$C$54*6/12</f>
        <v>-369252.948295059</v>
      </c>
      <c r="R34" s="15" t="n">
        <f aca="false">Z28</f>
        <v>616450.017652124</v>
      </c>
      <c r="S34" s="15" t="n">
        <f aca="false">AA28</f>
        <v>0</v>
      </c>
      <c r="T34" s="15" t="n">
        <f aca="false">MIN(R34,MAX(0,Q34))</f>
        <v>0</v>
      </c>
      <c r="U34" s="15" t="n">
        <f aca="false">MIN(S34,MAX(0,Q34-T34)*Parametri_v3!$C$42)</f>
        <v>0</v>
      </c>
      <c r="V34" s="15" t="n">
        <f aca="false">MAX(0,Q34-T34-U34)*Ipotesi!$C$92</f>
        <v>0</v>
      </c>
      <c r="W34" s="15" t="n">
        <f aca="false">MAX(0,SUM(M29:M34)+Parametri_v3!$C$55*6/12)*Ipotesi!$C$93</f>
        <v>0</v>
      </c>
      <c r="X34" s="15" t="n">
        <f aca="false">V34+W34-(V33+W33)</f>
        <v>0</v>
      </c>
      <c r="Y34" s="15" t="n">
        <f aca="false">P34-X34</f>
        <v>-39999.2624134429</v>
      </c>
      <c r="Z34" s="15" t="n">
        <f aca="false">R34-T34+IF(AND(Parametri_v3!$C$40=1,D34-YEAR(Parametri_v3!$C$50)&lt;Parametri_v3!$C$41),MAX(0,-Q34),0)</f>
        <v>985702.965947182</v>
      </c>
      <c r="AA34" s="15" t="n">
        <f aca="false">S34-U34+IF(AND(Parametri_v3!$C$40=1,D34-YEAR(Parametri_v3!$C$50)&lt;Parametri_v3!$C$41),0,MAX(0,-Q34))</f>
        <v>0</v>
      </c>
      <c r="AB34" s="15" t="n">
        <f aca="false">F34*(1+Parametri_v3!$C$26)</f>
        <v>58860.7644908364</v>
      </c>
      <c r="AC34" s="15" t="n">
        <f aca="false">(IF(30-(INT((Motore_Operativo!L34)/30))&lt;1,0,INDEX(Motore_Startup!$AB$5:$AB$64,MAX(1,30-(INT((Motore_Operativo!L34)/30)))))*(1-(MOD((Motore_Operativo!L34),30)/30))+IF(30-(INT((Motore_Operativo!L34)/30))-1&lt;1,0,INDEX(Motore_Startup!$AB$5:$AB$64,MAX(1,30-(INT((Motore_Operativo!L34)/30))-1)))*(MOD((Motore_Operativo!L34),30)/30))</f>
        <v>51611.3820599649</v>
      </c>
      <c r="AD34" s="15" t="n">
        <f aca="false">(AD33)+AB34-AC34</f>
        <v>168323.828346495</v>
      </c>
      <c r="AE34" s="15" t="n">
        <f aca="false">Motore_Operativo!BH34*(1+Parametri_v3!$C$26)</f>
        <v>6039</v>
      </c>
      <c r="AF34" s="15" t="n">
        <f aca="false">(IF(30-(INT((Parametri_v3!$C$29)/30))&lt;1,0,INDEX(Motore_Operativo!$BH$5:$BH$64,MAX(1,30-(INT((Parametri_v3!$C$29)/30)))))*(1-(MOD((Parametri_v3!$C$29),30)/30))+IF(30-(INT((Parametri_v3!$C$29)/30))-1&lt;1,0,INDEX(Motore_Operativo!$BH$5:$BH$64,MAX(1,30-(INT((Parametri_v3!$C$29)/30))-1)))*(MOD((Parametri_v3!$C$29),30)/30))*(1+Parametri_v3!$C$26)</f>
        <v>6039</v>
      </c>
      <c r="AG34" s="15" t="n">
        <f aca="false">(AG33)+AE34-AF34</f>
        <v>6039</v>
      </c>
      <c r="AH34" s="15" t="n">
        <f aca="false">(Motore_Operativo!CJ34)*(1+Parametri_v3!$C$27*Parametri_v3!$C$26)</f>
        <v>48210.6150681043</v>
      </c>
      <c r="AI34" s="15" t="n">
        <f aca="false">(IF(30-(INT((Ipotesi!$C$91)/30))&lt;1,0,INDEX(Motore_Startup!$AH$5:$AH$64,MAX(1,30-(INT((Ipotesi!$C$91)/30)))))*(1-(MOD((Ipotesi!$C$91),30)/30))+IF(30-(INT((Ipotesi!$C$91)/30))-1&lt;1,0,INDEX(Motore_Startup!$AH$5:$AH$64,MAX(1,30-(INT((Ipotesi!$C$91)/30))-1)))*(MOD((Ipotesi!$C$91),30)/30))</f>
        <v>47459.5752095242</v>
      </c>
      <c r="AJ34" s="15" t="n">
        <f aca="false">(AJ33)+AH34-AI34</f>
        <v>96047.3587368861</v>
      </c>
      <c r="AK34" s="15" t="n">
        <f aca="false">(F34+ Motore_Operativo!BH34-(Motore_Operativo!CJ34)*Parametri_v3!$C$27-Motore_Operativo!CE34)*Parametri_v3!$C$26</f>
        <v>3558.1351095196</v>
      </c>
      <c r="AL34" s="15" t="n">
        <f aca="false">MAX(0,(AM33))</f>
        <v>3122.07929885243</v>
      </c>
      <c r="AM34" s="15" t="n">
        <f aca="false">(AM33)+AK34-AL34</f>
        <v>3558.1351095196</v>
      </c>
      <c r="AN34" s="15" t="n">
        <f aca="false">SUM(X17:X28)</f>
        <v>0</v>
      </c>
      <c r="AO34" s="15" t="n">
        <f aca="false">SUM(AP17:AP28)</f>
        <v>0</v>
      </c>
      <c r="AP34" s="15" t="n">
        <f aca="false">MAX(0,AN34)*IF(6=Parametri_v3!$C$43,Parametri_v3!$C$45,IF(6=Parametri_v3!$C$44,1-Parametri_v3!$C$45,0))</f>
        <v>0</v>
      </c>
      <c r="AQ34" s="15" t="n">
        <f aca="false">MAX(0,AP34+IF(6=Parametri_v3!$C$43,MAX(0,AN34-AO34),0)-MAX(0,-(AR33)))</f>
        <v>0</v>
      </c>
      <c r="AR34" s="15" t="n">
        <f aca="false">(AR33)+X34-AQ34</f>
        <v>0</v>
      </c>
      <c r="AS34" s="15" t="n">
        <f aca="false">Motore_Operativo!AB34-AT34+AU34</f>
        <v>70559.9833333333</v>
      </c>
      <c r="AT34" s="15" t="n">
        <f aca="false">Motore_Operativo!CH34</f>
        <v>3713.68333333333</v>
      </c>
      <c r="AU34" s="15" t="n">
        <f aca="false">MIN(MAX(0,(AV33)+AT34),Parametri_v3!$C$60/12)</f>
        <v>0</v>
      </c>
      <c r="AV34" s="15" t="n">
        <f aca="false">(AV33)+AT34-AU34</f>
        <v>56889.6</v>
      </c>
      <c r="AW34" s="15" t="n">
        <f aca="false">IF(AND(Motore_Operativo!C34=Finanziamenti!$D$6,Finanziamenti!$F$6=1),Finanziamenti!$C$6,0)</f>
        <v>0</v>
      </c>
      <c r="AX34" s="15" t="n">
        <f aca="false">IF(AND(1&lt;&gt;7,1&lt;&gt;9,Finanziamenti!$F$8=1,OR(Parametri_v3!$C$6=0,Finanziamenti!$E$8=1),Motore_Operativo!C34=EDATE(Finanziamenti!$D$8,Ipotesi!C15*12)),Finanziamenti!$C$8*1,0)+IF(AND(1&lt;&gt;7,1&lt;&gt;9,Finanziamenti!$F$9=1,OR(Parametri_v3!$C$6=0,Finanziamenti!$E$9=1),Motore_Operativo!C34=EDATE(Finanziamenti!$D$9,Ipotesi!C15*12)),Finanziamenti!$C$9*Ipotesi!C16,0)</f>
        <v>900000</v>
      </c>
      <c r="AY34" s="15" t="n">
        <f aca="false">0</f>
        <v>0</v>
      </c>
      <c r="AZ34" s="15" t="n">
        <f aca="false">Motore_Advisory!AY34*(1-Ipotesi!$C$95)*Ipotesi!$C$96</f>
        <v>0</v>
      </c>
      <c r="BA34" s="15" t="n">
        <f aca="false">MAX(0,MIN(CG34*MIN(1,IF(Motore_Operativo!C34&gt;=EDATE(Finanziamenti!$D$15,Ipotesi!C14*12),Finanziamenti!$C$15,0)+IF(Motore_Operativo!C34&gt;=EDATE(Finanziamenti!$D$16,Ipotesi!C14*12),Finanziamenti!$C$16,0)+IF(Motore_Operativo!C34&gt;=EDATE(Finanziamenti!$D$17,Ipotesi!C14*12),Finanziamenti!$C$17,0)),CA34*Ipotesi!$C$102)-(CC33))</f>
        <v>85767.0583757992</v>
      </c>
      <c r="BB34" s="15" t="n">
        <f aca="false">IF(AND(CF34&gt;0,Motore_Operativo!C34&gt;=IF(CF34=0,0,EDATE(CF34,Parametri_v3!$C$37)),MOD(((D34-YEAR(IF(CF34=0,0,EDATE(CF34,Parametri_v3!$C$37))))*12+E34-MONTH(IF(CF34=0,0,EDATE(CF34,Parametri_v3!$C$37)))),Parametri_v3!$C$38)=0),MIN(MAX(0,(BC33)+BA34-N34),(CC34-CD34)/(Ipotesi!$C$108*12/Parametri_v3!$C$38)),0)</f>
        <v>0</v>
      </c>
      <c r="BC34" s="15" t="n">
        <f aca="false">(BC33)+BA34-N34-BB34</f>
        <v>263236.940863059</v>
      </c>
      <c r="BD34" s="15" t="n">
        <f aca="false">(BH33)+AC34+AF34-AI34-AS34-K34*(1+Parametri_v3!$C$26)-AL34-AQ34-O34+AW34+AX34+AZ34+BA34-BB34</f>
        <v>703416.240415788</v>
      </c>
      <c r="BE34" s="15" t="n">
        <f aca="false">MAX(0,MIN(MAX(0,CH34-(BG33)),Parametri_v3!$C$30-BD34))</f>
        <v>0</v>
      </c>
      <c r="BF34" s="15" t="n">
        <f aca="false">IF(Motore_Operativo!C34&gt;=Parametri_v3!$C$63,(BG33),MIN((BG33),MAX(0,BD34-Parametri_v3!$C$30)))</f>
        <v>150000</v>
      </c>
      <c r="BG34" s="15" t="n">
        <f aca="false">(BG33)+BE34-BF34</f>
        <v>0</v>
      </c>
      <c r="BH34" s="15" t="n">
        <f aca="false">BD34+BE34-BF34-AY34</f>
        <v>553416.240415788</v>
      </c>
      <c r="BI34" s="15" t="n">
        <f aca="false">MAX(0,Parametri_v3!$C$30-BH34)</f>
        <v>0</v>
      </c>
      <c r="BJ34" s="15" t="n">
        <f aca="false">(BJ33)+K34</f>
        <v>60000</v>
      </c>
      <c r="BK34" s="15" t="n">
        <f aca="false">(BK33)+L34</f>
        <v>23750</v>
      </c>
      <c r="BL34" s="15" t="n">
        <f aca="false">BJ34-BK34</f>
        <v>36250</v>
      </c>
      <c r="BM34" s="15" t="n">
        <f aca="false">(BM33)+Y34</f>
        <v>-985702.965947182</v>
      </c>
      <c r="BN34" s="15" t="n">
        <f aca="false">(BN33)+AW34+AX34+AZ34</f>
        <v>1330000</v>
      </c>
      <c r="BO34" s="15" t="n">
        <f aca="false">(BO33)+AY34</f>
        <v>0</v>
      </c>
      <c r="BP34" s="15" t="n">
        <f aca="false">0</f>
        <v>0</v>
      </c>
      <c r="BQ34" s="15" t="n">
        <f aca="false">BN34+BM34-BO34</f>
        <v>344297.034052818</v>
      </c>
      <c r="BR34" s="15" t="n">
        <f aca="false">BH34+AD34+BL34+MAX(0,-AM34)+MAX(0,-AR34)+AG34</f>
        <v>764029.068762283</v>
      </c>
      <c r="BS34" s="15" t="n">
        <f aca="false">AJ34+AV34+MAX(0,AM34)+MAX(0,AR34)+BC34+BG34+BQ34</f>
        <v>764029.068762283</v>
      </c>
      <c r="BT34" s="15" t="n">
        <f aca="false">BR34-BS34</f>
        <v>0</v>
      </c>
      <c r="BU34" s="15" t="n">
        <f aca="false">BH34-(BD34+BE34-BF34-AY34)</f>
        <v>0</v>
      </c>
      <c r="BV34" s="15" t="n">
        <f aca="false">MIN(Piano_SS!$C$6,(BV33)+IF(AND(Motore_Operativo!C34&gt;=EDATE(Parametri_v3!$C$24,Ipotesi!C14*12),Motore_Operativo!C34&lt;EDATE(Parametri_v3!$C$24,Parametri_v3!$C$25+Ipotesi!C14*12)),MAX(0,(Motore_Operativo!Y34+Motore_Operativo!X34*Parametri_v3!$C$14)*(1-Parametri_v3!$C$32))*Piano_SS!$D$6,0))</f>
        <v>300000</v>
      </c>
      <c r="BW34" s="15" t="n">
        <f aca="false">MIN(Piano_SS!$C$7,(BW33)+IF(AND(Motore_Operativo!C34&gt;=EDATE(Parametri_v3!$C$24,Ipotesi!C14*12),Motore_Operativo!C34&lt;EDATE(Parametri_v3!$C$24,Parametri_v3!$C$25+Ipotesi!C14*12)),MAX(0,(IF(30-(INT((Ipotesi!$C$91)/30))&lt;1,0,INDEX(Motore_Operativo!$BN$5:$BN$64,MAX(1,30-(INT((Ipotesi!$C$91)/30)))))*(1-(MOD((Ipotesi!$C$91),30)/30))+IF(30-(INT((Ipotesi!$C$91)/30))-1&lt;1,0,INDEX(Motore_Operativo!$BN$5:$BN$64,MAX(1,30-(INT((Ipotesi!$C$91)/30))-1)))*(MOD((Ipotesi!$C$91),30)/30)))*Piano_SS!$D$7,0))</f>
        <v>37208.8229697489</v>
      </c>
      <c r="BX34" s="15" t="n">
        <f aca="false">MIN(Piano_SS!$C$8,(BX33)+IF(AND(Motore_Operativo!C34&gt;=EDATE(Parametri_v3!$C$24,Ipotesi!C14*12),Motore_Operativo!C34&lt;EDATE(Parametri_v3!$C$24,Parametri_v3!$C$25+Ipotesi!C14*12)),MAX(0,Motore_Operativo!CE34)*Piano_SS!$D$8,0))</f>
        <v>50000</v>
      </c>
      <c r="BY34" s="15" t="n">
        <f aca="false">MIN(Piano_SS!$C$9,(BY33)+IF(AND(Motore_Operativo!C34&gt;=EDATE(Parametri_v3!$C$24,Ipotesi!C14*12),Motore_Operativo!C34&lt;EDATE(Parametri_v3!$C$24,Parametri_v3!$C$25+Ipotesi!C14*12)),MAX(0,((IF(30-(INT((Ipotesi!$C$91)/30))&lt;1,0,INDEX(Motore_Operativo!$BQ$5:$BQ$64,MAX(1,30-(INT((Ipotesi!$C$91)/30)))))*(1-(MOD((Ipotesi!$C$91),30)/30))+IF(30-(INT((Ipotesi!$C$91)/30))-1&lt;1,0,INDEX(Motore_Operativo!$BQ$5:$BQ$64,MAX(1,30-(INT((Ipotesi!$C$91)/30))-1)))*(MOD((Ipotesi!$C$91),30)/30))+(IF(30-(INT((Ipotesi!$C$91)/30))&lt;1,0,INDEX(Motore_Operativo!$BR$5:$BR$64,MAX(1,30-(INT((Ipotesi!$C$91)/30)))))*(1-(MOD((Ipotesi!$C$91),30)/30))+IF(30-(INT((Ipotesi!$C$91)/30))-1&lt;1,0,INDEX(Motore_Operativo!$BR$5:$BR$64,MAX(1,30-(INT((Ipotesi!$C$91)/30))-1)))*(MOD((Ipotesi!$C$91),30)/30))))*Piano_SS!$D$9,0))</f>
        <v>40000</v>
      </c>
      <c r="BZ34" s="15" t="n">
        <f aca="false">MIN(Piano_SS!$C$10,(BZ33)+IF(AND(Motore_Operativo!C34&gt;=EDATE(Parametri_v3!$C$24,Ipotesi!C14*12),Motore_Operativo!C34&lt;EDATE(Parametri_v3!$C$24,Parametri_v3!$C$25+Ipotesi!C14*12)),MAX(0,(IF(30-(INT((Ipotesi!$C$91)/30))&lt;1,0,INDEX(Motore_Operativo!$BO$5:$BO$64,MAX(1,30-(INT((Ipotesi!$C$91)/30)))))*(1-(MOD((Ipotesi!$C$91),30)/30))+IF(30-(INT((Ipotesi!$C$91)/30))-1&lt;1,0,INDEX(Motore_Operativo!$BO$5:$BO$64,MAX(1,30-(INT((Ipotesi!$C$91)/30))-1)))*(MOD((Ipotesi!$C$91),30)/30)))*Piano_SS!$D$10,0))</f>
        <v>30000</v>
      </c>
      <c r="CA34" s="15" t="n">
        <f aca="false">SUM(BV34:BZ34)</f>
        <v>457208.822969749</v>
      </c>
      <c r="CB34" s="15" t="n">
        <f aca="false">BV34*(1-Piano_SS!$E$6)+BW34*(1-Piano_SS!$E$7)+BX34*(1-Piano_SS!$E$8)+BY34*(1-Piano_SS!$E$9)+BZ34*(1-Piano_SS!$E$10)</f>
        <v>427208.822969749</v>
      </c>
      <c r="CC34" s="15" t="n">
        <f aca="false">(CC33)+BA34</f>
        <v>365767.058375799</v>
      </c>
      <c r="CD34" s="15" t="n">
        <f aca="false">IF(CA34=0,0,CC34*CB34/CA34*Ipotesi!$C$103*Parametri_v3!$C$64)</f>
        <v>102530.11751274</v>
      </c>
      <c r="CE34" s="18" t="n">
        <f aca="false">IF(BA34&gt;0,Motore_Operativo!C34,(CE33))</f>
        <v>47270</v>
      </c>
      <c r="CF34" s="18" t="n">
        <f aca="false">IF(AND(CC34&gt;0,OR(CC34&gt;=CG34-0.01,Motore_Operativo!C34&gt;=EDATE(MAX(Finanziamenti!$D$15:$D$17),Ipotesi!C14*12))),CE34,0)</f>
        <v>47270</v>
      </c>
      <c r="CG34" s="15" t="n">
        <f aca="false">IF(AND(1&lt;&gt;6,1&lt;&gt;9,Finanziamenti!$F$11=1,OR(Parametri_v3!$C$6=0,Finanziamenti!$E$11=1)),MIN(Finanziamenti!$C$11,Piano_SS!$C$12*Ipotesi!$C$102),0)</f>
        <v>400000</v>
      </c>
      <c r="CH34" s="15" t="n">
        <f aca="false">IF(AND(AND(1&lt;&gt;8,1&lt;&gt;9,Finanziamenti!$F$10=1,OR(Parametri_v3!$C$6=0,Finanziamenti!$E$10=1)),Motore_Operativo!C34&gt;=Finanziamenti!$D$10,Motore_Operativo!C34&lt;Parametri_v3!$C$63),Finanziamenti!$C$10,0)</f>
        <v>150000</v>
      </c>
    </row>
    <row r="35" customFormat="false" ht="18" hidden="false" customHeight="true" outlineLevel="0" collapsed="false">
      <c r="A35" s="68" t="n">
        <f aca="false">1</f>
        <v>1</v>
      </c>
      <c r="B35" s="68" t="n">
        <f aca="false">31</f>
        <v>31</v>
      </c>
      <c r="C35" s="18" t="n">
        <f aca="false">Motore_Operativo!C35</f>
        <v>47300</v>
      </c>
      <c r="D35" s="68" t="n">
        <f aca="false">Motore_Operativo!D35</f>
        <v>2029</v>
      </c>
      <c r="E35" s="68" t="n">
        <f aca="false">Motore_Operativo!E35</f>
        <v>7</v>
      </c>
      <c r="F35" s="15" t="n">
        <f aca="false">Motore_Operativo!AQ35+Motore_Operativo!BF35</f>
        <v>50476.6592195613</v>
      </c>
      <c r="G35" s="15" t="n">
        <f aca="false">Motore_Operativo!BH35</f>
        <v>4950</v>
      </c>
      <c r="H35" s="15" t="n">
        <f aca="false">Motore_Operativo!BI35</f>
        <v>55426.6592195613</v>
      </c>
      <c r="I35" s="15" t="n">
        <f aca="false">Motore_Operativo!CA35</f>
        <v>115201.398957405</v>
      </c>
      <c r="J35" s="15" t="n">
        <f aca="false">Motore_Operativo!CC35</f>
        <v>-59774.7397378439</v>
      </c>
      <c r="K35" s="15" t="n">
        <f aca="false">Motore_Operativo!CE35</f>
        <v>2500</v>
      </c>
      <c r="L35" s="15" t="n">
        <f aca="false">SUM(INDEX($K$5:$K$64,MAX(1,31-Parametri_v3!$C$59+1)):K35)/Parametri_v3!$C$59</f>
        <v>1736.11111111111</v>
      </c>
      <c r="M35" s="15" t="n">
        <f aca="false">J35-L35</f>
        <v>-61510.850848955</v>
      </c>
      <c r="N35" s="15" t="n">
        <f aca="false">CD35-(CD34)</f>
        <v>0</v>
      </c>
      <c r="O35" s="15" t="n">
        <f aca="false">(BG34)*Ipotesi!$C$110/12+CH35*Parametri_v3!$C$39/12</f>
        <v>0</v>
      </c>
      <c r="P35" s="15" t="n">
        <f aca="false">M35+N35-O35</f>
        <v>-61510.850848955</v>
      </c>
      <c r="Q35" s="15" t="n">
        <f aca="false">SUM(P29:P35)+Parametri_v3!$C$54*7/12</f>
        <v>-430763.799144014</v>
      </c>
      <c r="R35" s="15" t="n">
        <f aca="false">Z28</f>
        <v>616450.017652124</v>
      </c>
      <c r="S35" s="15" t="n">
        <f aca="false">AA28</f>
        <v>0</v>
      </c>
      <c r="T35" s="15" t="n">
        <f aca="false">MIN(R35,MAX(0,Q35))</f>
        <v>0</v>
      </c>
      <c r="U35" s="15" t="n">
        <f aca="false">MIN(S35,MAX(0,Q35-T35)*Parametri_v3!$C$42)</f>
        <v>0</v>
      </c>
      <c r="V35" s="15" t="n">
        <f aca="false">MAX(0,Q35-T35-U35)*Ipotesi!$C$92</f>
        <v>0</v>
      </c>
      <c r="W35" s="15" t="n">
        <f aca="false">MAX(0,SUM(M29:M35)+Parametri_v3!$C$55*7/12)*Ipotesi!$C$93</f>
        <v>0</v>
      </c>
      <c r="X35" s="15" t="n">
        <f aca="false">V35+W35-(V34+W34)</f>
        <v>0</v>
      </c>
      <c r="Y35" s="15" t="n">
        <f aca="false">P35-X35</f>
        <v>-61510.850848955</v>
      </c>
      <c r="Z35" s="15" t="n">
        <f aca="false">R35-T35+IF(AND(Parametri_v3!$C$40=1,D35-YEAR(Parametri_v3!$C$50)&lt;Parametri_v3!$C$41),MAX(0,-Q35),0)</f>
        <v>1047213.81679614</v>
      </c>
      <c r="AA35" s="15" t="n">
        <f aca="false">S35-U35+IF(AND(Parametri_v3!$C$40=1,D35-YEAR(Parametri_v3!$C$50)&lt;Parametri_v3!$C$41),0,MAX(0,-Q35))</f>
        <v>0</v>
      </c>
      <c r="AB35" s="15" t="n">
        <f aca="false">F35*(1+Parametri_v3!$C$26)</f>
        <v>61581.5242478648</v>
      </c>
      <c r="AC35" s="15" t="n">
        <f aca="false">(IF(31-(INT((Motore_Operativo!L35)/30))&lt;1,0,INDEX(Motore_Startup!$AB$5:$AB$64,MAX(1,31-(INT((Motore_Operativo!L35)/30)))))*(1-(MOD((Motore_Operativo!L35),30)/30))+IF(31-(INT((Motore_Operativo!L35)/30))-1&lt;1,0,INDEX(Motore_Startup!$AB$5:$AB$64,MAX(1,31-(INT((Motore_Operativo!L35)/30))-1)))*(MOD((Motore_Operativo!L35),30)/30))</f>
        <v>53347.0526875649</v>
      </c>
      <c r="AD35" s="15" t="n">
        <f aca="false">(AD34)+AB35-AC35</f>
        <v>176558.299906795</v>
      </c>
      <c r="AE35" s="15" t="n">
        <f aca="false">Motore_Operativo!BH35*(1+Parametri_v3!$C$26)</f>
        <v>6039</v>
      </c>
      <c r="AF35" s="15" t="n">
        <f aca="false">(IF(31-(INT((Parametri_v3!$C$29)/30))&lt;1,0,INDEX(Motore_Operativo!$BH$5:$BH$64,MAX(1,31-(INT((Parametri_v3!$C$29)/30)))))*(1-(MOD((Parametri_v3!$C$29),30)/30))+IF(31-(INT((Parametri_v3!$C$29)/30))-1&lt;1,0,INDEX(Motore_Operativo!$BH$5:$BH$64,MAX(1,31-(INT((Parametri_v3!$C$29)/30))-1)))*(MOD((Parametri_v3!$C$29),30)/30))*(1+Parametri_v3!$C$26)</f>
        <v>6039</v>
      </c>
      <c r="AG35" s="15" t="n">
        <f aca="false">(AG34)+AE35-AF35</f>
        <v>6039</v>
      </c>
      <c r="AH35" s="15" t="n">
        <f aca="false">(Motore_Operativo!CJ35)*(1+Parametri_v3!$C$27*Parametri_v3!$C$26)</f>
        <v>48581.2182291067</v>
      </c>
      <c r="AI35" s="15" t="n">
        <f aca="false">(IF(31-(INT((Ipotesi!$C$91)/30))&lt;1,0,INDEX(Motore_Startup!$AH$5:$AH$64,MAX(1,31-(INT((Ipotesi!$C$91)/30)))))*(1-(MOD((Ipotesi!$C$91),30)/30))+IF(31-(INT((Ipotesi!$C$91)/30))-1&lt;1,0,INDEX(Motore_Startup!$AH$5:$AH$64,MAX(1,31-(INT((Ipotesi!$C$91)/30))-1)))*(MOD((Ipotesi!$C$91),30)/30))</f>
        <v>47836.7436687818</v>
      </c>
      <c r="AJ35" s="15" t="n">
        <f aca="false">(AJ34)+AH35-AI35</f>
        <v>96791.833297211</v>
      </c>
      <c r="AK35" s="15" t="n">
        <f aca="false">(F35+ Motore_Operativo!BH35-(Motore_Operativo!CJ35)*Parametri_v3!$C$27-Motore_Operativo!CE35)*Parametri_v3!$C$26</f>
        <v>3990.37908993538</v>
      </c>
      <c r="AL35" s="15" t="n">
        <f aca="false">MAX(0,(AM34))</f>
        <v>3558.1351095196</v>
      </c>
      <c r="AM35" s="15" t="n">
        <f aca="false">(AM34)+AK35-AL35</f>
        <v>3990.37908993538</v>
      </c>
      <c r="AN35" s="15" t="n">
        <f aca="false">SUM(X17:X28)</f>
        <v>0</v>
      </c>
      <c r="AO35" s="15" t="n">
        <f aca="false">SUM(AP17:AP28)</f>
        <v>0</v>
      </c>
      <c r="AP35" s="15" t="n">
        <f aca="false">MAX(0,AN35)*IF(7=Parametri_v3!$C$43,Parametri_v3!$C$45,IF(7=Parametri_v3!$C$44,1-Parametri_v3!$C$45,0))</f>
        <v>0</v>
      </c>
      <c r="AQ35" s="15" t="n">
        <f aca="false">MAX(0,AP35+IF(7=Parametri_v3!$C$43,MAX(0,AN35-AO35),0)-MAX(0,-(AR34)))</f>
        <v>0</v>
      </c>
      <c r="AR35" s="15" t="n">
        <f aca="false">(AR34)+X35-AQ35</f>
        <v>0</v>
      </c>
      <c r="AS35" s="15" t="n">
        <f aca="false">Motore_Operativo!AB35-AT35+AU35</f>
        <v>70559.9833333333</v>
      </c>
      <c r="AT35" s="15" t="n">
        <f aca="false">Motore_Operativo!CH35</f>
        <v>3713.68333333333</v>
      </c>
      <c r="AU35" s="15" t="n">
        <f aca="false">MIN(MAX(0,(AV34)+AT35),Parametri_v3!$C$60/12)</f>
        <v>0</v>
      </c>
      <c r="AV35" s="15" t="n">
        <f aca="false">(AV34)+AT35-AU35</f>
        <v>60603.2833333334</v>
      </c>
      <c r="AW35" s="15" t="n">
        <f aca="false">IF(AND(Motore_Operativo!C35=Finanziamenti!$D$6,Finanziamenti!$F$6=1),Finanziamenti!$C$6,0)</f>
        <v>0</v>
      </c>
      <c r="AX35" s="15" t="n">
        <f aca="false">IF(AND(1&lt;&gt;7,1&lt;&gt;9,Finanziamenti!$F$8=1,OR(Parametri_v3!$C$6=0,Finanziamenti!$E$8=1),Motore_Operativo!C35=EDATE(Finanziamenti!$D$8,Ipotesi!C15*12)),Finanziamenti!$C$8*1,0)+IF(AND(1&lt;&gt;7,1&lt;&gt;9,Finanziamenti!$F$9=1,OR(Parametri_v3!$C$6=0,Finanziamenti!$E$9=1),Motore_Operativo!C35=EDATE(Finanziamenti!$D$9,Ipotesi!C15*12)),Finanziamenti!$C$9*Ipotesi!C16,0)</f>
        <v>0</v>
      </c>
      <c r="AY35" s="15" t="n">
        <f aca="false">0</f>
        <v>0</v>
      </c>
      <c r="AZ35" s="15" t="n">
        <f aca="false">Motore_Advisory!AY35*(1-Ipotesi!$C$95)*Ipotesi!$C$96</f>
        <v>0</v>
      </c>
      <c r="BA35" s="15" t="n">
        <f aca="false">MAX(0,MIN(CG35*MIN(1,IF(Motore_Operativo!C35&gt;=EDATE(Finanziamenti!$D$15,Ipotesi!C14*12),Finanziamenti!$C$15,0)+IF(Motore_Operativo!C35&gt;=EDATE(Finanziamenti!$D$16,Ipotesi!C14*12),Finanziamenti!$C$16,0)+IF(Motore_Operativo!C35&gt;=EDATE(Finanziamenti!$D$17,Ipotesi!C14*12),Finanziamenti!$C$17,0)),CA35*Ipotesi!$C$102)-(CC34))</f>
        <v>0</v>
      </c>
      <c r="BB35" s="15" t="n">
        <f aca="false">IF(AND(CF35&gt;0,Motore_Operativo!C35&gt;=IF(CF35=0,0,EDATE(CF35,Parametri_v3!$C$37)),MOD(((D35-YEAR(IF(CF35=0,0,EDATE(CF35,Parametri_v3!$C$37))))*12+E35-MONTH(IF(CF35=0,0,EDATE(CF35,Parametri_v3!$C$37)))),Parametri_v3!$C$38)=0),MIN(MAX(0,(BC34)+BA35-N35),(CC35-CD35)/(Ipotesi!$C$108*12/Parametri_v3!$C$38)),0)</f>
        <v>0</v>
      </c>
      <c r="BC35" s="15" t="n">
        <f aca="false">(BC34)+BA35-N35-BB35</f>
        <v>263236.940863059</v>
      </c>
      <c r="BD35" s="15" t="n">
        <f aca="false">(BH34)+AC35+AF35-AI35-AS35-K35*(1+Parametri_v3!$C$26)-AL35-AQ35-O35+AW35+AX35+AZ35+BA35-BB35</f>
        <v>487797.430991718</v>
      </c>
      <c r="BE35" s="15" t="n">
        <f aca="false">MAX(0,MIN(MAX(0,CH35-(BG34)),Parametri_v3!$C$30-BD35))</f>
        <v>0</v>
      </c>
      <c r="BF35" s="15" t="n">
        <f aca="false">IF(Motore_Operativo!C35&gt;=Parametri_v3!$C$63,(BG34),MIN((BG34),MAX(0,BD35-Parametri_v3!$C$30)))</f>
        <v>0</v>
      </c>
      <c r="BG35" s="15" t="n">
        <f aca="false">(BG34)+BE35-BF35</f>
        <v>0</v>
      </c>
      <c r="BH35" s="15" t="n">
        <f aca="false">BD35+BE35-BF35-AY35</f>
        <v>487797.430991718</v>
      </c>
      <c r="BI35" s="15" t="n">
        <f aca="false">MAX(0,Parametri_v3!$C$30-BH35)</f>
        <v>0</v>
      </c>
      <c r="BJ35" s="15" t="n">
        <f aca="false">(BJ34)+K35</f>
        <v>62500</v>
      </c>
      <c r="BK35" s="15" t="n">
        <f aca="false">(BK34)+L35</f>
        <v>25486.1111111111</v>
      </c>
      <c r="BL35" s="15" t="n">
        <f aca="false">BJ35-BK35</f>
        <v>37013.8888888889</v>
      </c>
      <c r="BM35" s="15" t="n">
        <f aca="false">(BM34)+Y35</f>
        <v>-1047213.81679614</v>
      </c>
      <c r="BN35" s="15" t="n">
        <f aca="false">(BN34)+AW35+AX35+AZ35</f>
        <v>1330000</v>
      </c>
      <c r="BO35" s="15" t="n">
        <f aca="false">(BO34)+AY35</f>
        <v>0</v>
      </c>
      <c r="BP35" s="15" t="n">
        <f aca="false">0</f>
        <v>0</v>
      </c>
      <c r="BQ35" s="15" t="n">
        <f aca="false">BN35+BM35-BO35</f>
        <v>282786.183203863</v>
      </c>
      <c r="BR35" s="15" t="n">
        <f aca="false">BH35+AD35+BL35+MAX(0,-AM35)+MAX(0,-AR35)+AG35</f>
        <v>707408.619787402</v>
      </c>
      <c r="BS35" s="15" t="n">
        <f aca="false">AJ35+AV35+MAX(0,AM35)+MAX(0,AR35)+BC35+BG35+BQ35</f>
        <v>707408.619787402</v>
      </c>
      <c r="BT35" s="15" t="n">
        <f aca="false">BR35-BS35</f>
        <v>0</v>
      </c>
      <c r="BU35" s="15" t="n">
        <f aca="false">BH35-(BD35+BE35-BF35-AY35)</f>
        <v>0</v>
      </c>
      <c r="BV35" s="15" t="n">
        <f aca="false">MIN(Piano_SS!$C$6,(BV34)+IF(AND(Motore_Operativo!C35&gt;=EDATE(Parametri_v3!$C$24,Ipotesi!C14*12),Motore_Operativo!C35&lt;EDATE(Parametri_v3!$C$24,Parametri_v3!$C$25+Ipotesi!C14*12)),MAX(0,(Motore_Operativo!Y35+Motore_Operativo!X35*Parametri_v3!$C$14)*(1-Parametri_v3!$C$32))*Piano_SS!$D$6,0))</f>
        <v>300000</v>
      </c>
      <c r="BW35" s="15" t="n">
        <f aca="false">MIN(Piano_SS!$C$7,(BW34)+IF(AND(Motore_Operativo!C35&gt;=EDATE(Parametri_v3!$C$24,Ipotesi!C14*12),Motore_Operativo!C35&lt;EDATE(Parametri_v3!$C$24,Parametri_v3!$C$25+Ipotesi!C14*12)),MAX(0,(IF(31-(INT((Ipotesi!$C$91)/30))&lt;1,0,INDEX(Motore_Operativo!$BN$5:$BN$64,MAX(1,31-(INT((Ipotesi!$C$91)/30)))))*(1-(MOD((Ipotesi!$C$91),30)/30))+IF(31-(INT((Ipotesi!$C$91)/30))-1&lt;1,0,INDEX(Motore_Operativo!$BN$5:$BN$64,MAX(1,31-(INT((Ipotesi!$C$91)/30))-1)))*(MOD((Ipotesi!$C$91),30)/30)))*Piano_SS!$D$7,0))</f>
        <v>37208.8229697489</v>
      </c>
      <c r="BX35" s="15" t="n">
        <f aca="false">MIN(Piano_SS!$C$8,(BX34)+IF(AND(Motore_Operativo!C35&gt;=EDATE(Parametri_v3!$C$24,Ipotesi!C14*12),Motore_Operativo!C35&lt;EDATE(Parametri_v3!$C$24,Parametri_v3!$C$25+Ipotesi!C14*12)),MAX(0,Motore_Operativo!CE35)*Piano_SS!$D$8,0))</f>
        <v>50000</v>
      </c>
      <c r="BY35" s="15" t="n">
        <f aca="false">MIN(Piano_SS!$C$9,(BY34)+IF(AND(Motore_Operativo!C35&gt;=EDATE(Parametri_v3!$C$24,Ipotesi!C14*12),Motore_Operativo!C35&lt;EDATE(Parametri_v3!$C$24,Parametri_v3!$C$25+Ipotesi!C14*12)),MAX(0,((IF(31-(INT((Ipotesi!$C$91)/30))&lt;1,0,INDEX(Motore_Operativo!$BQ$5:$BQ$64,MAX(1,31-(INT((Ipotesi!$C$91)/30)))))*(1-(MOD((Ipotesi!$C$91),30)/30))+IF(31-(INT((Ipotesi!$C$91)/30))-1&lt;1,0,INDEX(Motore_Operativo!$BQ$5:$BQ$64,MAX(1,31-(INT((Ipotesi!$C$91)/30))-1)))*(MOD((Ipotesi!$C$91),30)/30))+(IF(31-(INT((Ipotesi!$C$91)/30))&lt;1,0,INDEX(Motore_Operativo!$BR$5:$BR$64,MAX(1,31-(INT((Ipotesi!$C$91)/30)))))*(1-(MOD((Ipotesi!$C$91),30)/30))+IF(31-(INT((Ipotesi!$C$91)/30))-1&lt;1,0,INDEX(Motore_Operativo!$BR$5:$BR$64,MAX(1,31-(INT((Ipotesi!$C$91)/30))-1)))*(MOD((Ipotesi!$C$91),30)/30))))*Piano_SS!$D$9,0))</f>
        <v>40000</v>
      </c>
      <c r="BZ35" s="15" t="n">
        <f aca="false">MIN(Piano_SS!$C$10,(BZ34)+IF(AND(Motore_Operativo!C35&gt;=EDATE(Parametri_v3!$C$24,Ipotesi!C14*12),Motore_Operativo!C35&lt;EDATE(Parametri_v3!$C$24,Parametri_v3!$C$25+Ipotesi!C14*12)),MAX(0,(IF(31-(INT((Ipotesi!$C$91)/30))&lt;1,0,INDEX(Motore_Operativo!$BO$5:$BO$64,MAX(1,31-(INT((Ipotesi!$C$91)/30)))))*(1-(MOD((Ipotesi!$C$91),30)/30))+IF(31-(INT((Ipotesi!$C$91)/30))-1&lt;1,0,INDEX(Motore_Operativo!$BO$5:$BO$64,MAX(1,31-(INT((Ipotesi!$C$91)/30))-1)))*(MOD((Ipotesi!$C$91),30)/30)))*Piano_SS!$D$10,0))</f>
        <v>30000</v>
      </c>
      <c r="CA35" s="15" t="n">
        <f aca="false">SUM(BV35:BZ35)</f>
        <v>457208.822969749</v>
      </c>
      <c r="CB35" s="15" t="n">
        <f aca="false">BV35*(1-Piano_SS!$E$6)+BW35*(1-Piano_SS!$E$7)+BX35*(1-Piano_SS!$E$8)+BY35*(1-Piano_SS!$E$9)+BZ35*(1-Piano_SS!$E$10)</f>
        <v>427208.822969749</v>
      </c>
      <c r="CC35" s="15" t="n">
        <f aca="false">(CC34)+BA35</f>
        <v>365767.058375799</v>
      </c>
      <c r="CD35" s="15" t="n">
        <f aca="false">IF(CA35=0,0,CC35*CB35/CA35*Ipotesi!$C$103*Parametri_v3!$C$64)</f>
        <v>102530.11751274</v>
      </c>
      <c r="CE35" s="18" t="n">
        <f aca="false">IF(BA35&gt;0,Motore_Operativo!C35,(CE34))</f>
        <v>47270</v>
      </c>
      <c r="CF35" s="18" t="n">
        <f aca="false">IF(AND(CC35&gt;0,OR(CC35&gt;=CG35-0.01,Motore_Operativo!C35&gt;=EDATE(MAX(Finanziamenti!$D$15:$D$17),Ipotesi!C14*12))),CE35,0)</f>
        <v>47270</v>
      </c>
      <c r="CG35" s="15" t="n">
        <f aca="false">IF(AND(1&lt;&gt;6,1&lt;&gt;9,Finanziamenti!$F$11=1,OR(Parametri_v3!$C$6=0,Finanziamenti!$E$11=1)),MIN(Finanziamenti!$C$11,Piano_SS!$C$12*Ipotesi!$C$102),0)</f>
        <v>400000</v>
      </c>
      <c r="CH35" s="15" t="n">
        <f aca="false">IF(AND(AND(1&lt;&gt;8,1&lt;&gt;9,Finanziamenti!$F$10=1,OR(Parametri_v3!$C$6=0,Finanziamenti!$E$10=1)),Motore_Operativo!C35&gt;=Finanziamenti!$D$10,Motore_Operativo!C35&lt;Parametri_v3!$C$63),Finanziamenti!$C$10,0)</f>
        <v>150000</v>
      </c>
    </row>
    <row r="36" customFormat="false" ht="18" hidden="false" customHeight="true" outlineLevel="0" collapsed="false">
      <c r="A36" s="68" t="n">
        <f aca="false">1</f>
        <v>1</v>
      </c>
      <c r="B36" s="68" t="n">
        <f aca="false">32</f>
        <v>32</v>
      </c>
      <c r="C36" s="18" t="n">
        <f aca="false">Motore_Operativo!C36</f>
        <v>47331</v>
      </c>
      <c r="D36" s="68" t="n">
        <f aca="false">Motore_Operativo!D36</f>
        <v>2029</v>
      </c>
      <c r="E36" s="68" t="n">
        <f aca="false">Motore_Operativo!E36</f>
        <v>8</v>
      </c>
      <c r="F36" s="15" t="n">
        <f aca="false">Motore_Operativo!AQ36+Motore_Operativo!BF36</f>
        <v>52687.2952308165</v>
      </c>
      <c r="G36" s="15" t="n">
        <f aca="false">Motore_Operativo!BH36</f>
        <v>4950</v>
      </c>
      <c r="H36" s="15" t="n">
        <f aca="false">Motore_Operativo!BI36</f>
        <v>57637.2952308165</v>
      </c>
      <c r="I36" s="15" t="n">
        <f aca="false">Motore_Operativo!CA36</f>
        <v>115510.887998981</v>
      </c>
      <c r="J36" s="15" t="n">
        <f aca="false">Motore_Operativo!CC36</f>
        <v>-57873.5927681645</v>
      </c>
      <c r="K36" s="15" t="n">
        <f aca="false">Motore_Operativo!CE36</f>
        <v>2500</v>
      </c>
      <c r="L36" s="15" t="n">
        <f aca="false">SUM(INDEX($K$5:$K$64,MAX(1,32-Parametri_v3!$C$59+1)):K36)/Parametri_v3!$C$59</f>
        <v>1805.55555555556</v>
      </c>
      <c r="M36" s="15" t="n">
        <f aca="false">J36-L36</f>
        <v>-59679.14832372</v>
      </c>
      <c r="N36" s="15" t="n">
        <f aca="false">CD36-(CD35)</f>
        <v>0</v>
      </c>
      <c r="O36" s="15" t="n">
        <f aca="false">(BG35)*Ipotesi!$C$110/12+CH36*Parametri_v3!$C$39/12</f>
        <v>0</v>
      </c>
      <c r="P36" s="15" t="n">
        <f aca="false">M36+N36-O36</f>
        <v>-59679.14832372</v>
      </c>
      <c r="Q36" s="15" t="n">
        <f aca="false">SUM(P29:P36)+Parametri_v3!$C$54*8/12</f>
        <v>-490442.947467734</v>
      </c>
      <c r="R36" s="15" t="n">
        <f aca="false">Z28</f>
        <v>616450.017652124</v>
      </c>
      <c r="S36" s="15" t="n">
        <f aca="false">AA28</f>
        <v>0</v>
      </c>
      <c r="T36" s="15" t="n">
        <f aca="false">MIN(R36,MAX(0,Q36))</f>
        <v>0</v>
      </c>
      <c r="U36" s="15" t="n">
        <f aca="false">MIN(S36,MAX(0,Q36-T36)*Parametri_v3!$C$42)</f>
        <v>0</v>
      </c>
      <c r="V36" s="15" t="n">
        <f aca="false">MAX(0,Q36-T36-U36)*Ipotesi!$C$92</f>
        <v>0</v>
      </c>
      <c r="W36" s="15" t="n">
        <f aca="false">MAX(0,SUM(M29:M36)+Parametri_v3!$C$55*8/12)*Ipotesi!$C$93</f>
        <v>0</v>
      </c>
      <c r="X36" s="15" t="n">
        <f aca="false">V36+W36-(V35+W35)</f>
        <v>0</v>
      </c>
      <c r="Y36" s="15" t="n">
        <f aca="false">P36-X36</f>
        <v>-59679.14832372</v>
      </c>
      <c r="Z36" s="15" t="n">
        <f aca="false">R36-T36+IF(AND(Parametri_v3!$C$40=1,D36-YEAR(Parametri_v3!$C$50)&lt;Parametri_v3!$C$41),MAX(0,-Q36),0)</f>
        <v>1106892.96511986</v>
      </c>
      <c r="AA36" s="15" t="n">
        <f aca="false">S36-U36+IF(AND(Parametri_v3!$C$40=1,D36-YEAR(Parametri_v3!$C$50)&lt;Parametri_v3!$C$41),0,MAX(0,-Q36))</f>
        <v>0</v>
      </c>
      <c r="AB36" s="15" t="n">
        <f aca="false">F36*(1+Parametri_v3!$C$26)</f>
        <v>64278.5001815961</v>
      </c>
      <c r="AC36" s="15" t="n">
        <f aca="false">(IF(32-(INT((Motore_Operativo!L36)/30))&lt;1,0,INDEX(Motore_Startup!$AB$5:$AB$64,MAX(1,32-(INT((Motore_Operativo!L36)/30)))))*(1-(MOD((Motore_Operativo!L36),30)/30))+IF(32-(INT((Motore_Operativo!L36)/30))-1&lt;1,0,INDEX(Motore_Startup!$AB$5:$AB$64,MAX(1,32-(INT((Motore_Operativo!L36)/30))-1)))*(MOD((Motore_Operativo!L36),30)/30))</f>
        <v>56116.0111680939</v>
      </c>
      <c r="AD36" s="15" t="n">
        <f aca="false">(AD35)+AB36-AC36</f>
        <v>184720.788920297</v>
      </c>
      <c r="AE36" s="15" t="n">
        <f aca="false">Motore_Operativo!BH36*(1+Parametri_v3!$C$26)</f>
        <v>6039</v>
      </c>
      <c r="AF36" s="15" t="n">
        <f aca="false">(IF(32-(INT((Parametri_v3!$C$29)/30))&lt;1,0,INDEX(Motore_Operativo!$BH$5:$BH$64,MAX(1,32-(INT((Parametri_v3!$C$29)/30)))))*(1-(MOD((Parametri_v3!$C$29),30)/30))+IF(32-(INT((Parametri_v3!$C$29)/30))-1&lt;1,0,INDEX(Motore_Operativo!$BH$5:$BH$64,MAX(1,32-(INT((Parametri_v3!$C$29)/30))-1)))*(MOD((Parametri_v3!$C$29),30)/30))*(1+Parametri_v3!$C$26)</f>
        <v>6039</v>
      </c>
      <c r="AG36" s="15" t="n">
        <f aca="false">(AG35)+AE36-AF36</f>
        <v>6039</v>
      </c>
      <c r="AH36" s="15" t="n">
        <f aca="false">(Motore_Operativo!CJ36)*(1+Parametri_v3!$C$27*Parametri_v3!$C$26)</f>
        <v>48948.5817214571</v>
      </c>
      <c r="AI36" s="15" t="n">
        <f aca="false">(IF(32-(INT((Ipotesi!$C$91)/30))&lt;1,0,INDEX(Motore_Startup!$AH$5:$AH$64,MAX(1,32-(INT((Ipotesi!$C$91)/30)))))*(1-(MOD((Ipotesi!$C$91),30)/30))+IF(32-(INT((Ipotesi!$C$91)/30))-1&lt;1,0,INDEX(Motore_Startup!$AH$5:$AH$64,MAX(1,32-(INT((Ipotesi!$C$91)/30))-1)))*(MOD((Ipotesi!$C$91),30)/30))</f>
        <v>48210.6150681043</v>
      </c>
      <c r="AJ36" s="15" t="n">
        <f aca="false">(AJ35)+AH36-AI36</f>
        <v>97529.7999505638</v>
      </c>
      <c r="AK36" s="15" t="n">
        <f aca="false">(F36+ Motore_Operativo!BH36-(Motore_Operativo!CJ36)*Parametri_v3!$C$27-Motore_Operativo!CE36)*Parametri_v3!$C$26</f>
        <v>4418.84456163685</v>
      </c>
      <c r="AL36" s="15" t="n">
        <f aca="false">MAX(0,(AM35))</f>
        <v>3990.37908993538</v>
      </c>
      <c r="AM36" s="15" t="n">
        <f aca="false">(AM35)+AK36-AL36</f>
        <v>4418.84456163685</v>
      </c>
      <c r="AN36" s="15" t="n">
        <f aca="false">SUM(X17:X28)</f>
        <v>0</v>
      </c>
      <c r="AO36" s="15" t="n">
        <f aca="false">SUM(AP17:AP28)</f>
        <v>0</v>
      </c>
      <c r="AP36" s="15" t="n">
        <f aca="false">MAX(0,AN36)*IF(8=Parametri_v3!$C$43,Parametri_v3!$C$45,IF(8=Parametri_v3!$C$44,1-Parametri_v3!$C$45,0))</f>
        <v>0</v>
      </c>
      <c r="AQ36" s="15" t="n">
        <f aca="false">MAX(0,AP36+IF(8=Parametri_v3!$C$43,MAX(0,AN36-AO36),0)-MAX(0,-(AR35)))</f>
        <v>0</v>
      </c>
      <c r="AR36" s="15" t="n">
        <f aca="false">(AR35)+X36-AQ36</f>
        <v>0</v>
      </c>
      <c r="AS36" s="15" t="n">
        <f aca="false">Motore_Operativo!AB36-AT36+AU36</f>
        <v>70559.9833333333</v>
      </c>
      <c r="AT36" s="15" t="n">
        <f aca="false">Motore_Operativo!CH36</f>
        <v>3713.68333333333</v>
      </c>
      <c r="AU36" s="15" t="n">
        <f aca="false">MIN(MAX(0,(AV35)+AT36),Parametri_v3!$C$60/12)</f>
        <v>0</v>
      </c>
      <c r="AV36" s="15" t="n">
        <f aca="false">(AV35)+AT36-AU36</f>
        <v>64316.9666666667</v>
      </c>
      <c r="AW36" s="15" t="n">
        <f aca="false">IF(AND(Motore_Operativo!C36=Finanziamenti!$D$6,Finanziamenti!$F$6=1),Finanziamenti!$C$6,0)</f>
        <v>0</v>
      </c>
      <c r="AX36" s="15" t="n">
        <f aca="false">IF(AND(1&lt;&gt;7,1&lt;&gt;9,Finanziamenti!$F$8=1,OR(Parametri_v3!$C$6=0,Finanziamenti!$E$8=1),Motore_Operativo!C36=EDATE(Finanziamenti!$D$8,Ipotesi!C15*12)),Finanziamenti!$C$8*1,0)+IF(AND(1&lt;&gt;7,1&lt;&gt;9,Finanziamenti!$F$9=1,OR(Parametri_v3!$C$6=0,Finanziamenti!$E$9=1),Motore_Operativo!C36=EDATE(Finanziamenti!$D$9,Ipotesi!C15*12)),Finanziamenti!$C$9*Ipotesi!C16,0)</f>
        <v>0</v>
      </c>
      <c r="AY36" s="15" t="n">
        <f aca="false">0</f>
        <v>0</v>
      </c>
      <c r="AZ36" s="15" t="n">
        <f aca="false">Motore_Advisory!AY36*(1-Ipotesi!$C$95)*Ipotesi!$C$96</f>
        <v>0</v>
      </c>
      <c r="BA36" s="15" t="n">
        <f aca="false">MAX(0,MIN(CG36*MIN(1,IF(Motore_Operativo!C36&gt;=EDATE(Finanziamenti!$D$15,Ipotesi!C14*12),Finanziamenti!$C$15,0)+IF(Motore_Operativo!C36&gt;=EDATE(Finanziamenti!$D$16,Ipotesi!C14*12),Finanziamenti!$C$16,0)+IF(Motore_Operativo!C36&gt;=EDATE(Finanziamenti!$D$17,Ipotesi!C14*12),Finanziamenti!$C$17,0)),CA36*Ipotesi!$C$102)-(CC35))</f>
        <v>0</v>
      </c>
      <c r="BB36" s="15" t="n">
        <f aca="false">IF(AND(CF36&gt;0,Motore_Operativo!C36&gt;=IF(CF36=0,0,EDATE(CF36,Parametri_v3!$C$37)),MOD(((D36-YEAR(IF(CF36=0,0,EDATE(CF36,Parametri_v3!$C$37))))*12+E36-MONTH(IF(CF36=0,0,EDATE(CF36,Parametri_v3!$C$37)))),Parametri_v3!$C$38)=0),MIN(MAX(0,(BC35)+BA36-N36),(CC36-CD36)/(Ipotesi!$C$108*12/Parametri_v3!$C$38)),0)</f>
        <v>0</v>
      </c>
      <c r="BC36" s="15" t="n">
        <f aca="false">(BC35)+BA36-N36-BB36</f>
        <v>263236.940863059</v>
      </c>
      <c r="BD36" s="15" t="n">
        <f aca="false">(BH35)+AC36+AF36-AI36-AS36-K36*(1+Parametri_v3!$C$26)-AL36-AQ36-O36+AW36+AX36+AZ36+BA36-BB36</f>
        <v>424141.464668439</v>
      </c>
      <c r="BE36" s="15" t="n">
        <f aca="false">MAX(0,MIN(MAX(0,CH36-(BG35)),Parametri_v3!$C$30-BD36))</f>
        <v>0</v>
      </c>
      <c r="BF36" s="15" t="n">
        <f aca="false">IF(Motore_Operativo!C36&gt;=Parametri_v3!$C$63,(BG35),MIN((BG35),MAX(0,BD36-Parametri_v3!$C$30)))</f>
        <v>0</v>
      </c>
      <c r="BG36" s="15" t="n">
        <f aca="false">(BG35)+BE36-BF36</f>
        <v>0</v>
      </c>
      <c r="BH36" s="15" t="n">
        <f aca="false">BD36+BE36-BF36-AY36</f>
        <v>424141.464668439</v>
      </c>
      <c r="BI36" s="15" t="n">
        <f aca="false">MAX(0,Parametri_v3!$C$30-BH36)</f>
        <v>0</v>
      </c>
      <c r="BJ36" s="15" t="n">
        <f aca="false">(BJ35)+K36</f>
        <v>65000</v>
      </c>
      <c r="BK36" s="15" t="n">
        <f aca="false">(BK35)+L36</f>
        <v>27291.6666666667</v>
      </c>
      <c r="BL36" s="15" t="n">
        <f aca="false">BJ36-BK36</f>
        <v>37708.3333333333</v>
      </c>
      <c r="BM36" s="15" t="n">
        <f aca="false">(BM35)+Y36</f>
        <v>-1106892.96511986</v>
      </c>
      <c r="BN36" s="15" t="n">
        <f aca="false">(BN35)+AW36+AX36+AZ36</f>
        <v>1330000</v>
      </c>
      <c r="BO36" s="15" t="n">
        <f aca="false">(BO35)+AY36</f>
        <v>0</v>
      </c>
      <c r="BP36" s="15" t="n">
        <f aca="false">0</f>
        <v>0</v>
      </c>
      <c r="BQ36" s="15" t="n">
        <f aca="false">BN36+BM36-BO36</f>
        <v>223107.034880143</v>
      </c>
      <c r="BR36" s="15" t="n">
        <f aca="false">BH36+AD36+BL36+MAX(0,-AM36)+MAX(0,-AR36)+AG36</f>
        <v>652609.586922069</v>
      </c>
      <c r="BS36" s="15" t="n">
        <f aca="false">AJ36+AV36+MAX(0,AM36)+MAX(0,AR36)+BC36+BG36+BQ36</f>
        <v>652609.58692207</v>
      </c>
      <c r="BT36" s="15" t="n">
        <f aca="false">BR36-BS36</f>
        <v>0</v>
      </c>
      <c r="BU36" s="15" t="n">
        <f aca="false">BH36-(BD36+BE36-BF36-AY36)</f>
        <v>0</v>
      </c>
      <c r="BV36" s="15" t="n">
        <f aca="false">MIN(Piano_SS!$C$6,(BV35)+IF(AND(Motore_Operativo!C36&gt;=EDATE(Parametri_v3!$C$24,Ipotesi!C14*12),Motore_Operativo!C36&lt;EDATE(Parametri_v3!$C$24,Parametri_v3!$C$25+Ipotesi!C14*12)),MAX(0,(Motore_Operativo!Y36+Motore_Operativo!X36*Parametri_v3!$C$14)*(1-Parametri_v3!$C$32))*Piano_SS!$D$6,0))</f>
        <v>300000</v>
      </c>
      <c r="BW36" s="15" t="n">
        <f aca="false">MIN(Piano_SS!$C$7,(BW35)+IF(AND(Motore_Operativo!C36&gt;=EDATE(Parametri_v3!$C$24,Ipotesi!C14*12),Motore_Operativo!C36&lt;EDATE(Parametri_v3!$C$24,Parametri_v3!$C$25+Ipotesi!C14*12)),MAX(0,(IF(32-(INT((Ipotesi!$C$91)/30))&lt;1,0,INDEX(Motore_Operativo!$BN$5:$BN$64,MAX(1,32-(INT((Ipotesi!$C$91)/30)))))*(1-(MOD((Ipotesi!$C$91),30)/30))+IF(32-(INT((Ipotesi!$C$91)/30))-1&lt;1,0,INDEX(Motore_Operativo!$BN$5:$BN$64,MAX(1,32-(INT((Ipotesi!$C$91)/30))-1)))*(MOD((Ipotesi!$C$91),30)/30)))*Piano_SS!$D$7,0))</f>
        <v>37208.8229697489</v>
      </c>
      <c r="BX36" s="15" t="n">
        <f aca="false">MIN(Piano_SS!$C$8,(BX35)+IF(AND(Motore_Operativo!C36&gt;=EDATE(Parametri_v3!$C$24,Ipotesi!C14*12),Motore_Operativo!C36&lt;EDATE(Parametri_v3!$C$24,Parametri_v3!$C$25+Ipotesi!C14*12)),MAX(0,Motore_Operativo!CE36)*Piano_SS!$D$8,0))</f>
        <v>50000</v>
      </c>
      <c r="BY36" s="15" t="n">
        <f aca="false">MIN(Piano_SS!$C$9,(BY35)+IF(AND(Motore_Operativo!C36&gt;=EDATE(Parametri_v3!$C$24,Ipotesi!C14*12),Motore_Operativo!C36&lt;EDATE(Parametri_v3!$C$24,Parametri_v3!$C$25+Ipotesi!C14*12)),MAX(0,((IF(32-(INT((Ipotesi!$C$91)/30))&lt;1,0,INDEX(Motore_Operativo!$BQ$5:$BQ$64,MAX(1,32-(INT((Ipotesi!$C$91)/30)))))*(1-(MOD((Ipotesi!$C$91),30)/30))+IF(32-(INT((Ipotesi!$C$91)/30))-1&lt;1,0,INDEX(Motore_Operativo!$BQ$5:$BQ$64,MAX(1,32-(INT((Ipotesi!$C$91)/30))-1)))*(MOD((Ipotesi!$C$91),30)/30))+(IF(32-(INT((Ipotesi!$C$91)/30))&lt;1,0,INDEX(Motore_Operativo!$BR$5:$BR$64,MAX(1,32-(INT((Ipotesi!$C$91)/30)))))*(1-(MOD((Ipotesi!$C$91),30)/30))+IF(32-(INT((Ipotesi!$C$91)/30))-1&lt;1,0,INDEX(Motore_Operativo!$BR$5:$BR$64,MAX(1,32-(INT((Ipotesi!$C$91)/30))-1)))*(MOD((Ipotesi!$C$91),30)/30))))*Piano_SS!$D$9,0))</f>
        <v>40000</v>
      </c>
      <c r="BZ36" s="15" t="n">
        <f aca="false">MIN(Piano_SS!$C$10,(BZ35)+IF(AND(Motore_Operativo!C36&gt;=EDATE(Parametri_v3!$C$24,Ipotesi!C14*12),Motore_Operativo!C36&lt;EDATE(Parametri_v3!$C$24,Parametri_v3!$C$25+Ipotesi!C14*12)),MAX(0,(IF(32-(INT((Ipotesi!$C$91)/30))&lt;1,0,INDEX(Motore_Operativo!$BO$5:$BO$64,MAX(1,32-(INT((Ipotesi!$C$91)/30)))))*(1-(MOD((Ipotesi!$C$91),30)/30))+IF(32-(INT((Ipotesi!$C$91)/30))-1&lt;1,0,INDEX(Motore_Operativo!$BO$5:$BO$64,MAX(1,32-(INT((Ipotesi!$C$91)/30))-1)))*(MOD((Ipotesi!$C$91),30)/30)))*Piano_SS!$D$10,0))</f>
        <v>30000</v>
      </c>
      <c r="CA36" s="15" t="n">
        <f aca="false">SUM(BV36:BZ36)</f>
        <v>457208.822969749</v>
      </c>
      <c r="CB36" s="15" t="n">
        <f aca="false">BV36*(1-Piano_SS!$E$6)+BW36*(1-Piano_SS!$E$7)+BX36*(1-Piano_SS!$E$8)+BY36*(1-Piano_SS!$E$9)+BZ36*(1-Piano_SS!$E$10)</f>
        <v>427208.822969749</v>
      </c>
      <c r="CC36" s="15" t="n">
        <f aca="false">(CC35)+BA36</f>
        <v>365767.058375799</v>
      </c>
      <c r="CD36" s="15" t="n">
        <f aca="false">IF(CA36=0,0,CC36*CB36/CA36*Ipotesi!$C$103*Parametri_v3!$C$64)</f>
        <v>102530.11751274</v>
      </c>
      <c r="CE36" s="18" t="n">
        <f aca="false">IF(BA36&gt;0,Motore_Operativo!C36,(CE35))</f>
        <v>47270</v>
      </c>
      <c r="CF36" s="18" t="n">
        <f aca="false">IF(AND(CC36&gt;0,OR(CC36&gt;=CG36-0.01,Motore_Operativo!C36&gt;=EDATE(MAX(Finanziamenti!$D$15:$D$17),Ipotesi!C14*12))),CE36,0)</f>
        <v>47270</v>
      </c>
      <c r="CG36" s="15" t="n">
        <f aca="false">IF(AND(1&lt;&gt;6,1&lt;&gt;9,Finanziamenti!$F$11=1,OR(Parametri_v3!$C$6=0,Finanziamenti!$E$11=1)),MIN(Finanziamenti!$C$11,Piano_SS!$C$12*Ipotesi!$C$102),0)</f>
        <v>400000</v>
      </c>
      <c r="CH36" s="15" t="n">
        <f aca="false">IF(AND(AND(1&lt;&gt;8,1&lt;&gt;9,Finanziamenti!$F$10=1,OR(Parametri_v3!$C$6=0,Finanziamenti!$E$10=1)),Motore_Operativo!C36&gt;=Finanziamenti!$D$10,Motore_Operativo!C36&lt;Parametri_v3!$C$63),Finanziamenti!$C$10,0)</f>
        <v>150000</v>
      </c>
    </row>
    <row r="37" customFormat="false" ht="18" hidden="false" customHeight="true" outlineLevel="0" collapsed="false">
      <c r="A37" s="68" t="n">
        <f aca="false">1</f>
        <v>1</v>
      </c>
      <c r="B37" s="68" t="n">
        <f aca="false">33</f>
        <v>33</v>
      </c>
      <c r="C37" s="18" t="n">
        <f aca="false">Motore_Operativo!C37</f>
        <v>47362</v>
      </c>
      <c r="D37" s="68" t="n">
        <f aca="false">Motore_Operativo!D37</f>
        <v>2029</v>
      </c>
      <c r="E37" s="68" t="n">
        <f aca="false">Motore_Operativo!E37</f>
        <v>9</v>
      </c>
      <c r="F37" s="15" t="n">
        <f aca="false">Motore_Operativo!AQ37+Motore_Operativo!BF37</f>
        <v>54878.6067220989</v>
      </c>
      <c r="G37" s="15" t="n">
        <f aca="false">Motore_Operativo!BH37</f>
        <v>4950</v>
      </c>
      <c r="H37" s="15" t="n">
        <f aca="false">Motore_Operativo!BI37</f>
        <v>59828.6067220989</v>
      </c>
      <c r="I37" s="15" t="n">
        <f aca="false">Motore_Operativo!CA37</f>
        <v>115817.671607761</v>
      </c>
      <c r="J37" s="15" t="n">
        <f aca="false">Motore_Operativo!CC37</f>
        <v>-55989.0648856617</v>
      </c>
      <c r="K37" s="15" t="n">
        <f aca="false">Motore_Operativo!CE37</f>
        <v>2500</v>
      </c>
      <c r="L37" s="15" t="n">
        <f aca="false">SUM(INDEX($K$5:$K$64,MAX(1,33-Parametri_v3!$C$59+1)):K37)/Parametri_v3!$C$59</f>
        <v>1875</v>
      </c>
      <c r="M37" s="15" t="n">
        <f aca="false">J37-L37</f>
        <v>-57864.0648856617</v>
      </c>
      <c r="N37" s="15" t="n">
        <f aca="false">CD37-(CD36)</f>
        <v>0</v>
      </c>
      <c r="O37" s="15" t="n">
        <f aca="false">(BG36)*Ipotesi!$C$110/12+CH37*Parametri_v3!$C$39/12</f>
        <v>0</v>
      </c>
      <c r="P37" s="15" t="n">
        <f aca="false">M37+N37-O37</f>
        <v>-57864.0648856617</v>
      </c>
      <c r="Q37" s="15" t="n">
        <f aca="false">SUM(P29:P37)+Parametri_v3!$C$54*9/12</f>
        <v>-548307.012353396</v>
      </c>
      <c r="R37" s="15" t="n">
        <f aca="false">Z28</f>
        <v>616450.017652124</v>
      </c>
      <c r="S37" s="15" t="n">
        <f aca="false">AA28</f>
        <v>0</v>
      </c>
      <c r="T37" s="15" t="n">
        <f aca="false">MIN(R37,MAX(0,Q37))</f>
        <v>0</v>
      </c>
      <c r="U37" s="15" t="n">
        <f aca="false">MIN(S37,MAX(0,Q37-T37)*Parametri_v3!$C$42)</f>
        <v>0</v>
      </c>
      <c r="V37" s="15" t="n">
        <f aca="false">MAX(0,Q37-T37-U37)*Ipotesi!$C$92</f>
        <v>0</v>
      </c>
      <c r="W37" s="15" t="n">
        <f aca="false">MAX(0,SUM(M29:M37)+Parametri_v3!$C$55*9/12)*Ipotesi!$C$93</f>
        <v>0</v>
      </c>
      <c r="X37" s="15" t="n">
        <f aca="false">V37+W37-(V36+W36)</f>
        <v>0</v>
      </c>
      <c r="Y37" s="15" t="n">
        <f aca="false">P37-X37</f>
        <v>-57864.0648856617</v>
      </c>
      <c r="Z37" s="15" t="n">
        <f aca="false">R37-T37+IF(AND(Parametri_v3!$C$40=1,D37-YEAR(Parametri_v3!$C$50)&lt;Parametri_v3!$C$41),MAX(0,-Q37),0)</f>
        <v>1164757.03000552</v>
      </c>
      <c r="AA37" s="15" t="n">
        <f aca="false">S37-U37+IF(AND(Parametri_v3!$C$40=1,D37-YEAR(Parametri_v3!$C$50)&lt;Parametri_v3!$C$41),0,MAX(0,-Q37))</f>
        <v>0</v>
      </c>
      <c r="AB37" s="15" t="n">
        <f aca="false">F37*(1+Parametri_v3!$C$26)</f>
        <v>66951.9002009606</v>
      </c>
      <c r="AC37" s="15" t="n">
        <f aca="false">(IF(33-(INT((Motore_Operativo!L37)/30))&lt;1,0,INDEX(Motore_Startup!$AB$5:$AB$64,MAX(1,33-(INT((Motore_Operativo!L37)/30)))))*(1-(MOD((Motore_Operativo!L37),30)/30))+IF(33-(INT((Motore_Operativo!L37)/30))-1&lt;1,0,INDEX(Motore_Startup!$AB$5:$AB$64,MAX(1,33-(INT((Motore_Operativo!L37)/30))-1)))*(MOD((Motore_Operativo!L37),30)/30))</f>
        <v>58860.7644908364</v>
      </c>
      <c r="AD37" s="15" t="n">
        <f aca="false">(AD36)+AB37-AC37</f>
        <v>192811.924630422</v>
      </c>
      <c r="AE37" s="15" t="n">
        <f aca="false">Motore_Operativo!BH37*(1+Parametri_v3!$C$26)</f>
        <v>6039</v>
      </c>
      <c r="AF37" s="15" t="n">
        <f aca="false">(IF(33-(INT((Parametri_v3!$C$29)/30))&lt;1,0,INDEX(Motore_Operativo!$BH$5:$BH$64,MAX(1,33-(INT((Parametri_v3!$C$29)/30)))))*(1-(MOD((Parametri_v3!$C$29),30)/30))+IF(33-(INT((Parametri_v3!$C$29)/30))-1&lt;1,0,INDEX(Motore_Operativo!$BH$5:$BH$64,MAX(1,33-(INT((Parametri_v3!$C$29)/30))-1)))*(MOD((Parametri_v3!$C$29),30)/30))*(1+Parametri_v3!$C$26)</f>
        <v>6039</v>
      </c>
      <c r="AG37" s="15" t="n">
        <f aca="false">(AG36)+AE37-AF37</f>
        <v>6039</v>
      </c>
      <c r="AH37" s="15" t="n">
        <f aca="false">(Motore_Operativo!CJ37)*(1+Parametri_v3!$C$27*Parametri_v3!$C$26)</f>
        <v>49312.7338650784</v>
      </c>
      <c r="AI37" s="15" t="n">
        <f aca="false">(IF(33-(INT((Ipotesi!$C$91)/30))&lt;1,0,INDEX(Motore_Startup!$AH$5:$AH$64,MAX(1,33-(INT((Ipotesi!$C$91)/30)))))*(1-(MOD((Ipotesi!$C$91),30)/30))+IF(33-(INT((Ipotesi!$C$91)/30))-1&lt;1,0,INDEX(Motore_Startup!$AH$5:$AH$64,MAX(1,33-(INT((Ipotesi!$C$91)/30))-1)))*(MOD((Ipotesi!$C$91),30)/30))</f>
        <v>48581.2182291067</v>
      </c>
      <c r="AJ37" s="15" t="n">
        <f aca="false">(AJ36)+AH37-AI37</f>
        <v>98261.3155865355</v>
      </c>
      <c r="AK37" s="15" t="n">
        <f aca="false">(F37+ Motore_Operativo!BH37-(Motore_Operativo!CJ37)*Parametri_v3!$C$27-Motore_Operativo!CE37)*Parametri_v3!$C$26</f>
        <v>4843.5645548772</v>
      </c>
      <c r="AL37" s="15" t="n">
        <f aca="false">MAX(0,(AM36))</f>
        <v>4418.84456163685</v>
      </c>
      <c r="AM37" s="15" t="n">
        <f aca="false">(AM36)+AK37-AL37</f>
        <v>4843.5645548772</v>
      </c>
      <c r="AN37" s="15" t="n">
        <f aca="false">SUM(X17:X28)</f>
        <v>0</v>
      </c>
      <c r="AO37" s="15" t="n">
        <f aca="false">SUM(AP17:AP28)</f>
        <v>0</v>
      </c>
      <c r="AP37" s="15" t="n">
        <f aca="false">MAX(0,AN37)*IF(9=Parametri_v3!$C$43,Parametri_v3!$C$45,IF(9=Parametri_v3!$C$44,1-Parametri_v3!$C$45,0))</f>
        <v>0</v>
      </c>
      <c r="AQ37" s="15" t="n">
        <f aca="false">MAX(0,AP37+IF(9=Parametri_v3!$C$43,MAX(0,AN37-AO37),0)-MAX(0,-(AR36)))</f>
        <v>0</v>
      </c>
      <c r="AR37" s="15" t="n">
        <f aca="false">(AR36)+X37-AQ37</f>
        <v>0</v>
      </c>
      <c r="AS37" s="15" t="n">
        <f aca="false">Motore_Operativo!AB37-AT37+AU37</f>
        <v>70559.9833333333</v>
      </c>
      <c r="AT37" s="15" t="n">
        <f aca="false">Motore_Operativo!CH37</f>
        <v>3713.68333333333</v>
      </c>
      <c r="AU37" s="15" t="n">
        <f aca="false">MIN(MAX(0,(AV36)+AT37),Parametri_v3!$C$60/12)</f>
        <v>0</v>
      </c>
      <c r="AV37" s="15" t="n">
        <f aca="false">(AV36)+AT37-AU37</f>
        <v>68030.65</v>
      </c>
      <c r="AW37" s="15" t="n">
        <f aca="false">IF(AND(Motore_Operativo!C37=Finanziamenti!$D$6,Finanziamenti!$F$6=1),Finanziamenti!$C$6,0)</f>
        <v>0</v>
      </c>
      <c r="AX37" s="15" t="n">
        <f aca="false">IF(AND(1&lt;&gt;7,1&lt;&gt;9,Finanziamenti!$F$8=1,OR(Parametri_v3!$C$6=0,Finanziamenti!$E$8=1),Motore_Operativo!C37=EDATE(Finanziamenti!$D$8,Ipotesi!C15*12)),Finanziamenti!$C$8*1,0)+IF(AND(1&lt;&gt;7,1&lt;&gt;9,Finanziamenti!$F$9=1,OR(Parametri_v3!$C$6=0,Finanziamenti!$E$9=1),Motore_Operativo!C37=EDATE(Finanziamenti!$D$9,Ipotesi!C15*12)),Finanziamenti!$C$9*Ipotesi!C16,0)</f>
        <v>0</v>
      </c>
      <c r="AY37" s="15" t="n">
        <f aca="false">0</f>
        <v>0</v>
      </c>
      <c r="AZ37" s="15" t="n">
        <f aca="false">Motore_Advisory!AY37*(1-Ipotesi!$C$95)*Ipotesi!$C$96</f>
        <v>0</v>
      </c>
      <c r="BA37" s="15" t="n">
        <f aca="false">MAX(0,MIN(CG37*MIN(1,IF(Motore_Operativo!C37&gt;=EDATE(Finanziamenti!$D$15,Ipotesi!C14*12),Finanziamenti!$C$15,0)+IF(Motore_Operativo!C37&gt;=EDATE(Finanziamenti!$D$16,Ipotesi!C14*12),Finanziamenti!$C$16,0)+IF(Motore_Operativo!C37&gt;=EDATE(Finanziamenti!$D$17,Ipotesi!C14*12),Finanziamenti!$C$17,0)),CA37*Ipotesi!$C$102)-(CC36))</f>
        <v>0</v>
      </c>
      <c r="BB37" s="15" t="n">
        <f aca="false">IF(AND(CF37&gt;0,Motore_Operativo!C37&gt;=IF(CF37=0,0,EDATE(CF37,Parametri_v3!$C$37)),MOD(((D37-YEAR(IF(CF37=0,0,EDATE(CF37,Parametri_v3!$C$37))))*12+E37-MONTH(IF(CF37=0,0,EDATE(CF37,Parametri_v3!$C$37)))),Parametri_v3!$C$38)=0),MIN(MAX(0,(BC36)+BA37-N37),(CC37-CD37)/(Ipotesi!$C$108*12/Parametri_v3!$C$38)),0)</f>
        <v>0</v>
      </c>
      <c r="BC37" s="15" t="n">
        <f aca="false">(BC36)+BA37-N37-BB37</f>
        <v>263236.940863059</v>
      </c>
      <c r="BD37" s="15" t="n">
        <f aca="false">(BH36)+AC37+AF37-AI37-AS37-K37*(1+Parametri_v3!$C$26)-AL37-AQ37-O37+AW37+AX37+AZ37+BA37-BB37</f>
        <v>362431.183035198</v>
      </c>
      <c r="BE37" s="15" t="n">
        <f aca="false">MAX(0,MIN(MAX(0,CH37-(BG36)),Parametri_v3!$C$30-BD37))</f>
        <v>0</v>
      </c>
      <c r="BF37" s="15" t="n">
        <f aca="false">IF(Motore_Operativo!C37&gt;=Parametri_v3!$C$63,(BG36),MIN((BG36),MAX(0,BD37-Parametri_v3!$C$30)))</f>
        <v>0</v>
      </c>
      <c r="BG37" s="15" t="n">
        <f aca="false">(BG36)+BE37-BF37</f>
        <v>0</v>
      </c>
      <c r="BH37" s="15" t="n">
        <f aca="false">BD37+BE37-BF37-AY37</f>
        <v>362431.183035198</v>
      </c>
      <c r="BI37" s="15" t="n">
        <f aca="false">MAX(0,Parametri_v3!$C$30-BH37)</f>
        <v>0</v>
      </c>
      <c r="BJ37" s="15" t="n">
        <f aca="false">(BJ36)+K37</f>
        <v>67500</v>
      </c>
      <c r="BK37" s="15" t="n">
        <f aca="false">(BK36)+L37</f>
        <v>29166.6666666667</v>
      </c>
      <c r="BL37" s="15" t="n">
        <f aca="false">BJ37-BK37</f>
        <v>38333.3333333333</v>
      </c>
      <c r="BM37" s="15" t="n">
        <f aca="false">(BM36)+Y37</f>
        <v>-1164757.03000552</v>
      </c>
      <c r="BN37" s="15" t="n">
        <f aca="false">(BN36)+AW37+AX37+AZ37</f>
        <v>1330000</v>
      </c>
      <c r="BO37" s="15" t="n">
        <f aca="false">(BO36)+AY37</f>
        <v>0</v>
      </c>
      <c r="BP37" s="15" t="n">
        <f aca="false">0</f>
        <v>0</v>
      </c>
      <c r="BQ37" s="15" t="n">
        <f aca="false">BN37+BM37-BO37</f>
        <v>165242.969994481</v>
      </c>
      <c r="BR37" s="15" t="n">
        <f aca="false">BH37+AD37+BL37+MAX(0,-AM37)+MAX(0,-AR37)+AG37</f>
        <v>599615.440998953</v>
      </c>
      <c r="BS37" s="15" t="n">
        <f aca="false">AJ37+AV37+MAX(0,AM37)+MAX(0,AR37)+BC37+BG37+BQ37</f>
        <v>599615.440998953</v>
      </c>
      <c r="BT37" s="15" t="n">
        <f aca="false">BR37-BS37</f>
        <v>0</v>
      </c>
      <c r="BU37" s="15" t="n">
        <f aca="false">BH37-(BD37+BE37-BF37-AY37)</f>
        <v>0</v>
      </c>
      <c r="BV37" s="15" t="n">
        <f aca="false">MIN(Piano_SS!$C$6,(BV36)+IF(AND(Motore_Operativo!C37&gt;=EDATE(Parametri_v3!$C$24,Ipotesi!C14*12),Motore_Operativo!C37&lt;EDATE(Parametri_v3!$C$24,Parametri_v3!$C$25+Ipotesi!C14*12)),MAX(0,(Motore_Operativo!Y37+Motore_Operativo!X37*Parametri_v3!$C$14)*(1-Parametri_v3!$C$32))*Piano_SS!$D$6,0))</f>
        <v>300000</v>
      </c>
      <c r="BW37" s="15" t="n">
        <f aca="false">MIN(Piano_SS!$C$7,(BW36)+IF(AND(Motore_Operativo!C37&gt;=EDATE(Parametri_v3!$C$24,Ipotesi!C14*12),Motore_Operativo!C37&lt;EDATE(Parametri_v3!$C$24,Parametri_v3!$C$25+Ipotesi!C14*12)),MAX(0,(IF(33-(INT((Ipotesi!$C$91)/30))&lt;1,0,INDEX(Motore_Operativo!$BN$5:$BN$64,MAX(1,33-(INT((Ipotesi!$C$91)/30)))))*(1-(MOD((Ipotesi!$C$91),30)/30))+IF(33-(INT((Ipotesi!$C$91)/30))-1&lt;1,0,INDEX(Motore_Operativo!$BN$5:$BN$64,MAX(1,33-(INT((Ipotesi!$C$91)/30))-1)))*(MOD((Ipotesi!$C$91),30)/30)))*Piano_SS!$D$7,0))</f>
        <v>37208.8229697489</v>
      </c>
      <c r="BX37" s="15" t="n">
        <f aca="false">MIN(Piano_SS!$C$8,(BX36)+IF(AND(Motore_Operativo!C37&gt;=EDATE(Parametri_v3!$C$24,Ipotesi!C14*12),Motore_Operativo!C37&lt;EDATE(Parametri_v3!$C$24,Parametri_v3!$C$25+Ipotesi!C14*12)),MAX(0,Motore_Operativo!CE37)*Piano_SS!$D$8,0))</f>
        <v>50000</v>
      </c>
      <c r="BY37" s="15" t="n">
        <f aca="false">MIN(Piano_SS!$C$9,(BY36)+IF(AND(Motore_Operativo!C37&gt;=EDATE(Parametri_v3!$C$24,Ipotesi!C14*12),Motore_Operativo!C37&lt;EDATE(Parametri_v3!$C$24,Parametri_v3!$C$25+Ipotesi!C14*12)),MAX(0,((IF(33-(INT((Ipotesi!$C$91)/30))&lt;1,0,INDEX(Motore_Operativo!$BQ$5:$BQ$64,MAX(1,33-(INT((Ipotesi!$C$91)/30)))))*(1-(MOD((Ipotesi!$C$91),30)/30))+IF(33-(INT((Ipotesi!$C$91)/30))-1&lt;1,0,INDEX(Motore_Operativo!$BQ$5:$BQ$64,MAX(1,33-(INT((Ipotesi!$C$91)/30))-1)))*(MOD((Ipotesi!$C$91),30)/30))+(IF(33-(INT((Ipotesi!$C$91)/30))&lt;1,0,INDEX(Motore_Operativo!$BR$5:$BR$64,MAX(1,33-(INT((Ipotesi!$C$91)/30)))))*(1-(MOD((Ipotesi!$C$91),30)/30))+IF(33-(INT((Ipotesi!$C$91)/30))-1&lt;1,0,INDEX(Motore_Operativo!$BR$5:$BR$64,MAX(1,33-(INT((Ipotesi!$C$91)/30))-1)))*(MOD((Ipotesi!$C$91),30)/30))))*Piano_SS!$D$9,0))</f>
        <v>40000</v>
      </c>
      <c r="BZ37" s="15" t="n">
        <f aca="false">MIN(Piano_SS!$C$10,(BZ36)+IF(AND(Motore_Operativo!C37&gt;=EDATE(Parametri_v3!$C$24,Ipotesi!C14*12),Motore_Operativo!C37&lt;EDATE(Parametri_v3!$C$24,Parametri_v3!$C$25+Ipotesi!C14*12)),MAX(0,(IF(33-(INT((Ipotesi!$C$91)/30))&lt;1,0,INDEX(Motore_Operativo!$BO$5:$BO$64,MAX(1,33-(INT((Ipotesi!$C$91)/30)))))*(1-(MOD((Ipotesi!$C$91),30)/30))+IF(33-(INT((Ipotesi!$C$91)/30))-1&lt;1,0,INDEX(Motore_Operativo!$BO$5:$BO$64,MAX(1,33-(INT((Ipotesi!$C$91)/30))-1)))*(MOD((Ipotesi!$C$91),30)/30)))*Piano_SS!$D$10,0))</f>
        <v>30000</v>
      </c>
      <c r="CA37" s="15" t="n">
        <f aca="false">SUM(BV37:BZ37)</f>
        <v>457208.822969749</v>
      </c>
      <c r="CB37" s="15" t="n">
        <f aca="false">BV37*(1-Piano_SS!$E$6)+BW37*(1-Piano_SS!$E$7)+BX37*(1-Piano_SS!$E$8)+BY37*(1-Piano_SS!$E$9)+BZ37*(1-Piano_SS!$E$10)</f>
        <v>427208.822969749</v>
      </c>
      <c r="CC37" s="15" t="n">
        <f aca="false">(CC36)+BA37</f>
        <v>365767.058375799</v>
      </c>
      <c r="CD37" s="15" t="n">
        <f aca="false">IF(CA37=0,0,CC37*CB37/CA37*Ipotesi!$C$103*Parametri_v3!$C$64)</f>
        <v>102530.11751274</v>
      </c>
      <c r="CE37" s="18" t="n">
        <f aca="false">IF(BA37&gt;0,Motore_Operativo!C37,(CE36))</f>
        <v>47270</v>
      </c>
      <c r="CF37" s="18" t="n">
        <f aca="false">IF(AND(CC37&gt;0,OR(CC37&gt;=CG37-0.01,Motore_Operativo!C37&gt;=EDATE(MAX(Finanziamenti!$D$15:$D$17),Ipotesi!C14*12))),CE37,0)</f>
        <v>47270</v>
      </c>
      <c r="CG37" s="15" t="n">
        <f aca="false">IF(AND(1&lt;&gt;6,1&lt;&gt;9,Finanziamenti!$F$11=1,OR(Parametri_v3!$C$6=0,Finanziamenti!$E$11=1)),MIN(Finanziamenti!$C$11,Piano_SS!$C$12*Ipotesi!$C$102),0)</f>
        <v>400000</v>
      </c>
      <c r="CH37" s="15" t="n">
        <f aca="false">IF(AND(AND(1&lt;&gt;8,1&lt;&gt;9,Finanziamenti!$F$10=1,OR(Parametri_v3!$C$6=0,Finanziamenti!$E$10=1)),Motore_Operativo!C37&gt;=Finanziamenti!$D$10,Motore_Operativo!C37&lt;Parametri_v3!$C$63),Finanziamenti!$C$10,0)</f>
        <v>150000</v>
      </c>
    </row>
    <row r="38" customFormat="false" ht="18" hidden="false" customHeight="true" outlineLevel="0" collapsed="false">
      <c r="A38" s="68" t="n">
        <f aca="false">1</f>
        <v>1</v>
      </c>
      <c r="B38" s="68" t="n">
        <f aca="false">34</f>
        <v>34</v>
      </c>
      <c r="C38" s="18" t="n">
        <f aca="false">Motore_Operativo!C38</f>
        <v>47392</v>
      </c>
      <c r="D38" s="68" t="n">
        <f aca="false">Motore_Operativo!D38</f>
        <v>2029</v>
      </c>
      <c r="E38" s="68" t="n">
        <f aca="false">Motore_Operativo!E38</f>
        <v>10</v>
      </c>
      <c r="F38" s="15" t="n">
        <f aca="false">Motore_Operativo!AQ38+Motore_Operativo!BF38</f>
        <v>57050.7626208438</v>
      </c>
      <c r="G38" s="15" t="n">
        <f aca="false">Motore_Operativo!BH38</f>
        <v>4950</v>
      </c>
      <c r="H38" s="15" t="n">
        <f aca="false">Motore_Operativo!BI38</f>
        <v>62000.7626208438</v>
      </c>
      <c r="I38" s="15" t="n">
        <f aca="false">Motore_Operativo!CA38</f>
        <v>116121.773433585</v>
      </c>
      <c r="J38" s="15" t="n">
        <f aca="false">Motore_Operativo!CC38</f>
        <v>-54121.010812741</v>
      </c>
      <c r="K38" s="15" t="n">
        <f aca="false">Motore_Operativo!CE38</f>
        <v>2500</v>
      </c>
      <c r="L38" s="15" t="n">
        <f aca="false">SUM(INDEX($K$5:$K$64,MAX(1,34-Parametri_v3!$C$59+1)):K38)/Parametri_v3!$C$59</f>
        <v>1944.44444444444</v>
      </c>
      <c r="M38" s="15" t="n">
        <f aca="false">J38-L38</f>
        <v>-56065.4552571854</v>
      </c>
      <c r="N38" s="15" t="n">
        <f aca="false">CD38-(CD37)</f>
        <v>0</v>
      </c>
      <c r="O38" s="15" t="n">
        <f aca="false">(BG37)*Ipotesi!$C$110/12+CH38*Parametri_v3!$C$39/12</f>
        <v>0</v>
      </c>
      <c r="P38" s="15" t="n">
        <f aca="false">M38+N38-O38</f>
        <v>-56065.4552571854</v>
      </c>
      <c r="Q38" s="15" t="n">
        <f aca="false">SUM(P29:P38)+Parametri_v3!$C$54*10/12</f>
        <v>-604372.467610581</v>
      </c>
      <c r="R38" s="15" t="n">
        <f aca="false">Z28</f>
        <v>616450.017652124</v>
      </c>
      <c r="S38" s="15" t="n">
        <f aca="false">AA28</f>
        <v>0</v>
      </c>
      <c r="T38" s="15" t="n">
        <f aca="false">MIN(R38,MAX(0,Q38))</f>
        <v>0</v>
      </c>
      <c r="U38" s="15" t="n">
        <f aca="false">MIN(S38,MAX(0,Q38-T38)*Parametri_v3!$C$42)</f>
        <v>0</v>
      </c>
      <c r="V38" s="15" t="n">
        <f aca="false">MAX(0,Q38-T38-U38)*Ipotesi!$C$92</f>
        <v>0</v>
      </c>
      <c r="W38" s="15" t="n">
        <f aca="false">MAX(0,SUM(M29:M38)+Parametri_v3!$C$55*10/12)*Ipotesi!$C$93</f>
        <v>0</v>
      </c>
      <c r="X38" s="15" t="n">
        <f aca="false">V38+W38-(V37+W37)</f>
        <v>0</v>
      </c>
      <c r="Y38" s="15" t="n">
        <f aca="false">P38-X38</f>
        <v>-56065.4552571854</v>
      </c>
      <c r="Z38" s="15" t="n">
        <f aca="false">R38-T38+IF(AND(Parametri_v3!$C$40=1,D38-YEAR(Parametri_v3!$C$50)&lt;Parametri_v3!$C$41),MAX(0,-Q38),0)</f>
        <v>1220822.4852627</v>
      </c>
      <c r="AA38" s="15" t="n">
        <f aca="false">S38-U38+IF(AND(Parametri_v3!$C$40=1,D38-YEAR(Parametri_v3!$C$50)&lt;Parametri_v3!$C$41),0,MAX(0,-Q38))</f>
        <v>0</v>
      </c>
      <c r="AB38" s="15" t="n">
        <f aca="false">F38*(1+Parametri_v3!$C$26)</f>
        <v>69601.9303974295</v>
      </c>
      <c r="AC38" s="15" t="n">
        <f aca="false">(IF(34-(INT((Motore_Operativo!L38)/30))&lt;1,0,INDEX(Motore_Startup!$AB$5:$AB$64,MAX(1,34-(INT((Motore_Operativo!L38)/30)))))*(1-(MOD((Motore_Operativo!L38),30)/30))+IF(34-(INT((Motore_Operativo!L38)/30))-1&lt;1,0,INDEX(Motore_Startup!$AB$5:$AB$64,MAX(1,34-(INT((Motore_Operativo!L38)/30))-1)))*(MOD((Motore_Operativo!L38),30)/30))</f>
        <v>61581.5242478648</v>
      </c>
      <c r="AD38" s="15" t="n">
        <f aca="false">(AD37)+AB38-AC38</f>
        <v>200832.330779986</v>
      </c>
      <c r="AE38" s="15" t="n">
        <f aca="false">Motore_Operativo!BH38*(1+Parametri_v3!$C$26)</f>
        <v>6039</v>
      </c>
      <c r="AF38" s="15" t="n">
        <f aca="false">(IF(34-(INT((Parametri_v3!$C$29)/30))&lt;1,0,INDEX(Motore_Operativo!$BH$5:$BH$64,MAX(1,34-(INT((Parametri_v3!$C$29)/30)))))*(1-(MOD((Parametri_v3!$C$29),30)/30))+IF(34-(INT((Parametri_v3!$C$29)/30))-1&lt;1,0,INDEX(Motore_Operativo!$BH$5:$BH$64,MAX(1,34-(INT((Parametri_v3!$C$29)/30))-1)))*(MOD((Parametri_v3!$C$29),30)/30))*(1+Parametri_v3!$C$26)</f>
        <v>6039</v>
      </c>
      <c r="AG38" s="15" t="n">
        <f aca="false">(AG37)+AE38-AF38</f>
        <v>6039</v>
      </c>
      <c r="AH38" s="15" t="n">
        <f aca="false">(Motore_Operativo!CJ38)*(1+Parametri_v3!$C$27*Parametri_v3!$C$26)</f>
        <v>49673.7027323318</v>
      </c>
      <c r="AI38" s="15" t="n">
        <f aca="false">(IF(34-(INT((Ipotesi!$C$91)/30))&lt;1,0,INDEX(Motore_Startup!$AH$5:$AH$64,MAX(1,34-(INT((Ipotesi!$C$91)/30)))))*(1-(MOD((Ipotesi!$C$91),30)/30))+IF(34-(INT((Ipotesi!$C$91)/30))-1&lt;1,0,INDEX(Motore_Startup!$AH$5:$AH$64,MAX(1,34-(INT((Ipotesi!$C$91)/30))-1)))*(MOD((Ipotesi!$C$91),30)/30))</f>
        <v>48948.5817214571</v>
      </c>
      <c r="AJ38" s="15" t="n">
        <f aca="false">(AJ37)+AH38-AI38</f>
        <v>98986.4365974102</v>
      </c>
      <c r="AK38" s="15" t="n">
        <f aca="false">(F38+ Motore_Operativo!BH38-(Motore_Operativo!CJ38)*Parametri_v3!$C$27-Motore_Operativo!CE38)*Parametri_v3!$C$26</f>
        <v>5264.57181117196</v>
      </c>
      <c r="AL38" s="15" t="n">
        <f aca="false">MAX(0,(AM37))</f>
        <v>4843.5645548772</v>
      </c>
      <c r="AM38" s="15" t="n">
        <f aca="false">(AM37)+AK38-AL38</f>
        <v>5264.57181117196</v>
      </c>
      <c r="AN38" s="15" t="n">
        <f aca="false">SUM(X17:X28)</f>
        <v>0</v>
      </c>
      <c r="AO38" s="15" t="n">
        <f aca="false">SUM(AP17:AP28)</f>
        <v>0</v>
      </c>
      <c r="AP38" s="15" t="n">
        <f aca="false">MAX(0,AN38)*IF(10=Parametri_v3!$C$43,Parametri_v3!$C$45,IF(10=Parametri_v3!$C$44,1-Parametri_v3!$C$45,0))</f>
        <v>0</v>
      </c>
      <c r="AQ38" s="15" t="n">
        <f aca="false">MAX(0,AP38+IF(10=Parametri_v3!$C$43,MAX(0,AN38-AO38),0)-MAX(0,-(AR37)))</f>
        <v>0</v>
      </c>
      <c r="AR38" s="15" t="n">
        <f aca="false">(AR37)+X38-AQ38</f>
        <v>0</v>
      </c>
      <c r="AS38" s="15" t="n">
        <f aca="false">Motore_Operativo!AB38-AT38+AU38</f>
        <v>70559.9833333333</v>
      </c>
      <c r="AT38" s="15" t="n">
        <f aca="false">Motore_Operativo!CH38</f>
        <v>3713.68333333333</v>
      </c>
      <c r="AU38" s="15" t="n">
        <f aca="false">MIN(MAX(0,(AV37)+AT38),Parametri_v3!$C$60/12)</f>
        <v>0</v>
      </c>
      <c r="AV38" s="15" t="n">
        <f aca="false">(AV37)+AT38-AU38</f>
        <v>71744.3333333333</v>
      </c>
      <c r="AW38" s="15" t="n">
        <f aca="false">IF(AND(Motore_Operativo!C38=Finanziamenti!$D$6,Finanziamenti!$F$6=1),Finanziamenti!$C$6,0)</f>
        <v>0</v>
      </c>
      <c r="AX38" s="15" t="n">
        <f aca="false">IF(AND(1&lt;&gt;7,1&lt;&gt;9,Finanziamenti!$F$8=1,OR(Parametri_v3!$C$6=0,Finanziamenti!$E$8=1),Motore_Operativo!C38=EDATE(Finanziamenti!$D$8,Ipotesi!C15*12)),Finanziamenti!$C$8*1,0)+IF(AND(1&lt;&gt;7,1&lt;&gt;9,Finanziamenti!$F$9=1,OR(Parametri_v3!$C$6=0,Finanziamenti!$E$9=1),Motore_Operativo!C38=EDATE(Finanziamenti!$D$9,Ipotesi!C15*12)),Finanziamenti!$C$9*Ipotesi!C16,0)</f>
        <v>0</v>
      </c>
      <c r="AY38" s="15" t="n">
        <f aca="false">0</f>
        <v>0</v>
      </c>
      <c r="AZ38" s="15" t="n">
        <f aca="false">Motore_Advisory!AY38*(1-Ipotesi!$C$95)*Ipotesi!$C$96</f>
        <v>0</v>
      </c>
      <c r="BA38" s="15" t="n">
        <f aca="false">MAX(0,MIN(CG38*MIN(1,IF(Motore_Operativo!C38&gt;=EDATE(Finanziamenti!$D$15,Ipotesi!C14*12),Finanziamenti!$C$15,0)+IF(Motore_Operativo!C38&gt;=EDATE(Finanziamenti!$D$16,Ipotesi!C14*12),Finanziamenti!$C$16,0)+IF(Motore_Operativo!C38&gt;=EDATE(Finanziamenti!$D$17,Ipotesi!C14*12),Finanziamenti!$C$17,0)),CA38*Ipotesi!$C$102)-(CC37))</f>
        <v>0</v>
      </c>
      <c r="BB38" s="15" t="n">
        <f aca="false">IF(AND(CF38&gt;0,Motore_Operativo!C38&gt;=IF(CF38=0,0,EDATE(CF38,Parametri_v3!$C$37)),MOD(((D38-YEAR(IF(CF38=0,0,EDATE(CF38,Parametri_v3!$C$37))))*12+E38-MONTH(IF(CF38=0,0,EDATE(CF38,Parametri_v3!$C$37)))),Parametri_v3!$C$38)=0),MIN(MAX(0,(BC37)+BA38-N38),(CC38-CD38)/(Ipotesi!$C$108*12/Parametri_v3!$C$38)),0)</f>
        <v>0</v>
      </c>
      <c r="BC38" s="15" t="n">
        <f aca="false">(BC37)+BA38-N38-BB38</f>
        <v>263236.940863059</v>
      </c>
      <c r="BD38" s="15" t="n">
        <f aca="false">(BH37)+AC38+AF38-AI38-AS38-K38*(1+Parametri_v3!$C$26)-AL38-AQ38-O38+AW38+AX38+AZ38+BA38-BB38</f>
        <v>302649.577673396</v>
      </c>
      <c r="BE38" s="15" t="n">
        <f aca="false">MAX(0,MIN(MAX(0,CH38-(BG37)),Parametri_v3!$C$30-BD38))</f>
        <v>0</v>
      </c>
      <c r="BF38" s="15" t="n">
        <f aca="false">IF(Motore_Operativo!C38&gt;=Parametri_v3!$C$63,(BG37),MIN((BG37),MAX(0,BD38-Parametri_v3!$C$30)))</f>
        <v>0</v>
      </c>
      <c r="BG38" s="15" t="n">
        <f aca="false">(BG37)+BE38-BF38</f>
        <v>0</v>
      </c>
      <c r="BH38" s="15" t="n">
        <f aca="false">BD38+BE38-BF38-AY38</f>
        <v>302649.577673396</v>
      </c>
      <c r="BI38" s="15" t="n">
        <f aca="false">MAX(0,Parametri_v3!$C$30-BH38)</f>
        <v>0</v>
      </c>
      <c r="BJ38" s="15" t="n">
        <f aca="false">(BJ37)+K38</f>
        <v>70000</v>
      </c>
      <c r="BK38" s="15" t="n">
        <f aca="false">(BK37)+L38</f>
        <v>31111.1111111111</v>
      </c>
      <c r="BL38" s="15" t="n">
        <f aca="false">BJ38-BK38</f>
        <v>38888.8888888889</v>
      </c>
      <c r="BM38" s="15" t="n">
        <f aca="false">(BM37)+Y38</f>
        <v>-1220822.4852627</v>
      </c>
      <c r="BN38" s="15" t="n">
        <f aca="false">(BN37)+AW38+AX38+AZ38</f>
        <v>1330000</v>
      </c>
      <c r="BO38" s="15" t="n">
        <f aca="false">(BO37)+AY38</f>
        <v>0</v>
      </c>
      <c r="BP38" s="15" t="n">
        <f aca="false">0</f>
        <v>0</v>
      </c>
      <c r="BQ38" s="15" t="n">
        <f aca="false">BN38+BM38-BO38</f>
        <v>109177.514737296</v>
      </c>
      <c r="BR38" s="15" t="n">
        <f aca="false">BH38+AD38+BL38+MAX(0,-AM38)+MAX(0,-AR38)+AG38</f>
        <v>548409.797342271</v>
      </c>
      <c r="BS38" s="15" t="n">
        <f aca="false">AJ38+AV38+MAX(0,AM38)+MAX(0,AR38)+BC38+BG38+BQ38</f>
        <v>548409.797342271</v>
      </c>
      <c r="BT38" s="15" t="n">
        <f aca="false">BR38-BS38</f>
        <v>0</v>
      </c>
      <c r="BU38" s="15" t="n">
        <f aca="false">BH38-(BD38+BE38-BF38-AY38)</f>
        <v>0</v>
      </c>
      <c r="BV38" s="15" t="n">
        <f aca="false">MIN(Piano_SS!$C$6,(BV37)+IF(AND(Motore_Operativo!C38&gt;=EDATE(Parametri_v3!$C$24,Ipotesi!C14*12),Motore_Operativo!C38&lt;EDATE(Parametri_v3!$C$24,Parametri_v3!$C$25+Ipotesi!C14*12)),MAX(0,(Motore_Operativo!Y38+Motore_Operativo!X38*Parametri_v3!$C$14)*(1-Parametri_v3!$C$32))*Piano_SS!$D$6,0))</f>
        <v>300000</v>
      </c>
      <c r="BW38" s="15" t="n">
        <f aca="false">MIN(Piano_SS!$C$7,(BW37)+IF(AND(Motore_Operativo!C38&gt;=EDATE(Parametri_v3!$C$24,Ipotesi!C14*12),Motore_Operativo!C38&lt;EDATE(Parametri_v3!$C$24,Parametri_v3!$C$25+Ipotesi!C14*12)),MAX(0,(IF(34-(INT((Ipotesi!$C$91)/30))&lt;1,0,INDEX(Motore_Operativo!$BN$5:$BN$64,MAX(1,34-(INT((Ipotesi!$C$91)/30)))))*(1-(MOD((Ipotesi!$C$91),30)/30))+IF(34-(INT((Ipotesi!$C$91)/30))-1&lt;1,0,INDEX(Motore_Operativo!$BN$5:$BN$64,MAX(1,34-(INT((Ipotesi!$C$91)/30))-1)))*(MOD((Ipotesi!$C$91),30)/30)))*Piano_SS!$D$7,0))</f>
        <v>37208.8229697489</v>
      </c>
      <c r="BX38" s="15" t="n">
        <f aca="false">MIN(Piano_SS!$C$8,(BX37)+IF(AND(Motore_Operativo!C38&gt;=EDATE(Parametri_v3!$C$24,Ipotesi!C14*12),Motore_Operativo!C38&lt;EDATE(Parametri_v3!$C$24,Parametri_v3!$C$25+Ipotesi!C14*12)),MAX(0,Motore_Operativo!CE38)*Piano_SS!$D$8,0))</f>
        <v>50000</v>
      </c>
      <c r="BY38" s="15" t="n">
        <f aca="false">MIN(Piano_SS!$C$9,(BY37)+IF(AND(Motore_Operativo!C38&gt;=EDATE(Parametri_v3!$C$24,Ipotesi!C14*12),Motore_Operativo!C38&lt;EDATE(Parametri_v3!$C$24,Parametri_v3!$C$25+Ipotesi!C14*12)),MAX(0,((IF(34-(INT((Ipotesi!$C$91)/30))&lt;1,0,INDEX(Motore_Operativo!$BQ$5:$BQ$64,MAX(1,34-(INT((Ipotesi!$C$91)/30)))))*(1-(MOD((Ipotesi!$C$91),30)/30))+IF(34-(INT((Ipotesi!$C$91)/30))-1&lt;1,0,INDEX(Motore_Operativo!$BQ$5:$BQ$64,MAX(1,34-(INT((Ipotesi!$C$91)/30))-1)))*(MOD((Ipotesi!$C$91),30)/30))+(IF(34-(INT((Ipotesi!$C$91)/30))&lt;1,0,INDEX(Motore_Operativo!$BR$5:$BR$64,MAX(1,34-(INT((Ipotesi!$C$91)/30)))))*(1-(MOD((Ipotesi!$C$91),30)/30))+IF(34-(INT((Ipotesi!$C$91)/30))-1&lt;1,0,INDEX(Motore_Operativo!$BR$5:$BR$64,MAX(1,34-(INT((Ipotesi!$C$91)/30))-1)))*(MOD((Ipotesi!$C$91),30)/30))))*Piano_SS!$D$9,0))</f>
        <v>40000</v>
      </c>
      <c r="BZ38" s="15" t="n">
        <f aca="false">MIN(Piano_SS!$C$10,(BZ37)+IF(AND(Motore_Operativo!C38&gt;=EDATE(Parametri_v3!$C$24,Ipotesi!C14*12),Motore_Operativo!C38&lt;EDATE(Parametri_v3!$C$24,Parametri_v3!$C$25+Ipotesi!C14*12)),MAX(0,(IF(34-(INT((Ipotesi!$C$91)/30))&lt;1,0,INDEX(Motore_Operativo!$BO$5:$BO$64,MAX(1,34-(INT((Ipotesi!$C$91)/30)))))*(1-(MOD((Ipotesi!$C$91),30)/30))+IF(34-(INT((Ipotesi!$C$91)/30))-1&lt;1,0,INDEX(Motore_Operativo!$BO$5:$BO$64,MAX(1,34-(INT((Ipotesi!$C$91)/30))-1)))*(MOD((Ipotesi!$C$91),30)/30)))*Piano_SS!$D$10,0))</f>
        <v>30000</v>
      </c>
      <c r="CA38" s="15" t="n">
        <f aca="false">SUM(BV38:BZ38)</f>
        <v>457208.822969749</v>
      </c>
      <c r="CB38" s="15" t="n">
        <f aca="false">BV38*(1-Piano_SS!$E$6)+BW38*(1-Piano_SS!$E$7)+BX38*(1-Piano_SS!$E$8)+BY38*(1-Piano_SS!$E$9)+BZ38*(1-Piano_SS!$E$10)</f>
        <v>427208.822969749</v>
      </c>
      <c r="CC38" s="15" t="n">
        <f aca="false">(CC37)+BA38</f>
        <v>365767.058375799</v>
      </c>
      <c r="CD38" s="15" t="n">
        <f aca="false">IF(CA38=0,0,CC38*CB38/CA38*Ipotesi!$C$103*Parametri_v3!$C$64)</f>
        <v>102530.11751274</v>
      </c>
      <c r="CE38" s="18" t="n">
        <f aca="false">IF(BA38&gt;0,Motore_Operativo!C38,(CE37))</f>
        <v>47270</v>
      </c>
      <c r="CF38" s="18" t="n">
        <f aca="false">IF(AND(CC38&gt;0,OR(CC38&gt;=CG38-0.01,Motore_Operativo!C38&gt;=EDATE(MAX(Finanziamenti!$D$15:$D$17),Ipotesi!C14*12))),CE38,0)</f>
        <v>47270</v>
      </c>
      <c r="CG38" s="15" t="n">
        <f aca="false">IF(AND(1&lt;&gt;6,1&lt;&gt;9,Finanziamenti!$F$11=1,OR(Parametri_v3!$C$6=0,Finanziamenti!$E$11=1)),MIN(Finanziamenti!$C$11,Piano_SS!$C$12*Ipotesi!$C$102),0)</f>
        <v>400000</v>
      </c>
      <c r="CH38" s="15" t="n">
        <f aca="false">IF(AND(AND(1&lt;&gt;8,1&lt;&gt;9,Finanziamenti!$F$10=1,OR(Parametri_v3!$C$6=0,Finanziamenti!$E$10=1)),Motore_Operativo!C38&gt;=Finanziamenti!$D$10,Motore_Operativo!C38&lt;Parametri_v3!$C$63),Finanziamenti!$C$10,0)</f>
        <v>150000</v>
      </c>
    </row>
    <row r="39" customFormat="false" ht="18" hidden="false" customHeight="true" outlineLevel="0" collapsed="false">
      <c r="A39" s="68" t="n">
        <f aca="false">1</f>
        <v>1</v>
      </c>
      <c r="B39" s="68" t="n">
        <f aca="false">35</f>
        <v>35</v>
      </c>
      <c r="C39" s="18" t="n">
        <f aca="false">Motore_Operativo!C39</f>
        <v>47423</v>
      </c>
      <c r="D39" s="68" t="n">
        <f aca="false">Motore_Operativo!D39</f>
        <v>2029</v>
      </c>
      <c r="E39" s="68" t="n">
        <f aca="false">Motore_Operativo!E39</f>
        <v>11</v>
      </c>
      <c r="F39" s="15" t="n">
        <f aca="false">Motore_Operativo!AQ39+Motore_Operativo!BF39</f>
        <v>59203.9303777891</v>
      </c>
      <c r="G39" s="15" t="n">
        <f aca="false">Motore_Operativo!BH39</f>
        <v>4950</v>
      </c>
      <c r="H39" s="15" t="n">
        <f aca="false">Motore_Operativo!BI39</f>
        <v>64153.9303777891</v>
      </c>
      <c r="I39" s="15" t="n">
        <f aca="false">Motore_Operativo!CA39</f>
        <v>116423.216919557</v>
      </c>
      <c r="J39" s="15" t="n">
        <f aca="false">Motore_Operativo!CC39</f>
        <v>-52269.2865417681</v>
      </c>
      <c r="K39" s="15" t="n">
        <f aca="false">Motore_Operativo!CE39</f>
        <v>2500</v>
      </c>
      <c r="L39" s="15" t="n">
        <f aca="false">SUM(INDEX($K$5:$K$64,MAX(1,35-Parametri_v3!$C$59+1)):K39)/Parametri_v3!$C$59</f>
        <v>2013.88888888889</v>
      </c>
      <c r="M39" s="15" t="n">
        <f aca="false">J39-L39</f>
        <v>-54283.175430657</v>
      </c>
      <c r="N39" s="15" t="n">
        <f aca="false">CD39-(CD38)</f>
        <v>0</v>
      </c>
      <c r="O39" s="15" t="n">
        <f aca="false">(BG38)*Ipotesi!$C$110/12+CH39*Parametri_v3!$C$39/12</f>
        <v>0</v>
      </c>
      <c r="P39" s="15" t="n">
        <f aca="false">M39+N39-O39</f>
        <v>-54283.175430657</v>
      </c>
      <c r="Q39" s="15" t="n">
        <f aca="false">SUM(P29:P39)+Parametri_v3!$C$54*11/12</f>
        <v>-658655.643041238</v>
      </c>
      <c r="R39" s="15" t="n">
        <f aca="false">Z28</f>
        <v>616450.017652124</v>
      </c>
      <c r="S39" s="15" t="n">
        <f aca="false">AA28</f>
        <v>0</v>
      </c>
      <c r="T39" s="15" t="n">
        <f aca="false">MIN(R39,MAX(0,Q39))</f>
        <v>0</v>
      </c>
      <c r="U39" s="15" t="n">
        <f aca="false">MIN(S39,MAX(0,Q39-T39)*Parametri_v3!$C$42)</f>
        <v>0</v>
      </c>
      <c r="V39" s="15" t="n">
        <f aca="false">MAX(0,Q39-T39-U39)*Ipotesi!$C$92</f>
        <v>0</v>
      </c>
      <c r="W39" s="15" t="n">
        <f aca="false">MAX(0,SUM(M29:M39)+Parametri_v3!$C$55*11/12)*Ipotesi!$C$93</f>
        <v>0</v>
      </c>
      <c r="X39" s="15" t="n">
        <f aca="false">V39+W39-(V38+W38)</f>
        <v>0</v>
      </c>
      <c r="Y39" s="15" t="n">
        <f aca="false">P39-X39</f>
        <v>-54283.175430657</v>
      </c>
      <c r="Z39" s="15" t="n">
        <f aca="false">R39-T39+IF(AND(Parametri_v3!$C$40=1,D39-YEAR(Parametri_v3!$C$50)&lt;Parametri_v3!$C$41),MAX(0,-Q39),0)</f>
        <v>1275105.66069336</v>
      </c>
      <c r="AA39" s="15" t="n">
        <f aca="false">S39-U39+IF(AND(Parametri_v3!$C$40=1,D39-YEAR(Parametri_v3!$C$50)&lt;Parametri_v3!$C$41),0,MAX(0,-Q39))</f>
        <v>0</v>
      </c>
      <c r="AB39" s="15" t="n">
        <f aca="false">F39*(1+Parametri_v3!$C$26)</f>
        <v>72228.7950609026</v>
      </c>
      <c r="AC39" s="15" t="n">
        <f aca="false">(IF(35-(INT((Motore_Operativo!L39)/30))&lt;1,0,INDEX(Motore_Startup!$AB$5:$AB$64,MAX(1,35-(INT((Motore_Operativo!L39)/30)))))*(1-(MOD((Motore_Operativo!L39),30)/30))+IF(35-(INT((Motore_Operativo!L39)/30))-1&lt;1,0,INDEX(Motore_Startup!$AB$5:$AB$64,MAX(1,35-(INT((Motore_Operativo!L39)/30))-1)))*(MOD((Motore_Operativo!L39),30)/30))</f>
        <v>64278.5001815961</v>
      </c>
      <c r="AD39" s="15" t="n">
        <f aca="false">(AD38)+AB39-AC39</f>
        <v>208782.625659293</v>
      </c>
      <c r="AE39" s="15" t="n">
        <f aca="false">Motore_Operativo!BH39*(1+Parametri_v3!$C$26)</f>
        <v>6039</v>
      </c>
      <c r="AF39" s="15" t="n">
        <f aca="false">(IF(35-(INT((Parametri_v3!$C$29)/30))&lt;1,0,INDEX(Motore_Operativo!$BH$5:$BH$64,MAX(1,35-(INT((Parametri_v3!$C$29)/30)))))*(1-(MOD((Parametri_v3!$C$29),30)/30))+IF(35-(INT((Parametri_v3!$C$29)/30))-1&lt;1,0,INDEX(Motore_Operativo!$BH$5:$BH$64,MAX(1,35-(INT((Parametri_v3!$C$29)/30))-1)))*(MOD((Parametri_v3!$C$29),30)/30))*(1+Parametri_v3!$C$26)</f>
        <v>6039</v>
      </c>
      <c r="AG39" s="15" t="n">
        <f aca="false">(AG38)+AE39-AF39</f>
        <v>6039</v>
      </c>
      <c r="AH39" s="15" t="n">
        <f aca="false">(Motore_Operativo!CJ39)*(1+Parametri_v3!$C$27*Parametri_v3!$C$26)</f>
        <v>50031.516150181</v>
      </c>
      <c r="AI39" s="15" t="n">
        <f aca="false">(IF(35-(INT((Ipotesi!$C$91)/30))&lt;1,0,INDEX(Motore_Startup!$AH$5:$AH$64,MAX(1,35-(INT((Ipotesi!$C$91)/30)))))*(1-(MOD((Ipotesi!$C$91),30)/30))+IF(35-(INT((Ipotesi!$C$91)/30))-1&lt;1,0,INDEX(Motore_Startup!$AH$5:$AH$64,MAX(1,35-(INT((Ipotesi!$C$91)/30))-1)))*(MOD((Ipotesi!$C$91),30)/30))</f>
        <v>49312.7338650784</v>
      </c>
      <c r="AJ39" s="15" t="n">
        <f aca="false">(AJ38)+AH39-AI39</f>
        <v>99705.2188825128</v>
      </c>
      <c r="AK39" s="15" t="n">
        <f aca="false">(F39+ Motore_Operativo!BH39-(Motore_Operativo!CJ39)*Parametri_v3!$C$27-Motore_Operativo!CE39)*Parametri_v3!$C$26</f>
        <v>5681.89878582308</v>
      </c>
      <c r="AL39" s="15" t="n">
        <f aca="false">MAX(0,(AM38))</f>
        <v>5264.57181117196</v>
      </c>
      <c r="AM39" s="15" t="n">
        <f aca="false">(AM38)+AK39-AL39</f>
        <v>5681.89878582308</v>
      </c>
      <c r="AN39" s="15" t="n">
        <f aca="false">SUM(X17:X28)</f>
        <v>0</v>
      </c>
      <c r="AO39" s="15" t="n">
        <f aca="false">SUM(AP17:AP28)</f>
        <v>0</v>
      </c>
      <c r="AP39" s="15" t="n">
        <f aca="false">MAX(0,AN39)*IF(11=Parametri_v3!$C$43,Parametri_v3!$C$45,IF(11=Parametri_v3!$C$44,1-Parametri_v3!$C$45,0))</f>
        <v>0</v>
      </c>
      <c r="AQ39" s="15" t="n">
        <f aca="false">MAX(0,AP39+IF(11=Parametri_v3!$C$43,MAX(0,AN39-AO39),0)-MAX(0,-(AR38)))</f>
        <v>0</v>
      </c>
      <c r="AR39" s="15" t="n">
        <f aca="false">(AR38)+X39-AQ39</f>
        <v>0</v>
      </c>
      <c r="AS39" s="15" t="n">
        <f aca="false">Motore_Operativo!AB39-AT39+AU39</f>
        <v>70559.9833333333</v>
      </c>
      <c r="AT39" s="15" t="n">
        <f aca="false">Motore_Operativo!CH39</f>
        <v>3713.68333333333</v>
      </c>
      <c r="AU39" s="15" t="n">
        <f aca="false">MIN(MAX(0,(AV38)+AT39),Parametri_v3!$C$60/12)</f>
        <v>0</v>
      </c>
      <c r="AV39" s="15" t="n">
        <f aca="false">(AV38)+AT39-AU39</f>
        <v>75458.0166666667</v>
      </c>
      <c r="AW39" s="15" t="n">
        <f aca="false">IF(AND(Motore_Operativo!C39=Finanziamenti!$D$6,Finanziamenti!$F$6=1),Finanziamenti!$C$6,0)</f>
        <v>0</v>
      </c>
      <c r="AX39" s="15" t="n">
        <f aca="false">IF(AND(1&lt;&gt;7,1&lt;&gt;9,Finanziamenti!$F$8=1,OR(Parametri_v3!$C$6=0,Finanziamenti!$E$8=1),Motore_Operativo!C39=EDATE(Finanziamenti!$D$8,Ipotesi!C15*12)),Finanziamenti!$C$8*1,0)+IF(AND(1&lt;&gt;7,1&lt;&gt;9,Finanziamenti!$F$9=1,OR(Parametri_v3!$C$6=0,Finanziamenti!$E$9=1),Motore_Operativo!C39=EDATE(Finanziamenti!$D$9,Ipotesi!C15*12)),Finanziamenti!$C$9*Ipotesi!C16,0)</f>
        <v>0</v>
      </c>
      <c r="AY39" s="15" t="n">
        <f aca="false">0</f>
        <v>0</v>
      </c>
      <c r="AZ39" s="15" t="n">
        <f aca="false">Motore_Advisory!AY39*(1-Ipotesi!$C$95)*Ipotesi!$C$96</f>
        <v>0</v>
      </c>
      <c r="BA39" s="15" t="n">
        <f aca="false">MAX(0,MIN(CG39*MIN(1,IF(Motore_Operativo!C39&gt;=EDATE(Finanziamenti!$D$15,Ipotesi!C14*12),Finanziamenti!$C$15,0)+IF(Motore_Operativo!C39&gt;=EDATE(Finanziamenti!$D$16,Ipotesi!C14*12),Finanziamenti!$C$16,0)+IF(Motore_Operativo!C39&gt;=EDATE(Finanziamenti!$D$17,Ipotesi!C14*12),Finanziamenti!$C$17,0)),CA39*Ipotesi!$C$102)-(CC38))</f>
        <v>0</v>
      </c>
      <c r="BB39" s="15" t="n">
        <f aca="false">IF(AND(CF39&gt;0,Motore_Operativo!C39&gt;=IF(CF39=0,0,EDATE(CF39,Parametri_v3!$C$37)),MOD(((D39-YEAR(IF(CF39=0,0,EDATE(CF39,Parametri_v3!$C$37))))*12+E39-MONTH(IF(CF39=0,0,EDATE(CF39,Parametri_v3!$C$37)))),Parametri_v3!$C$38)=0),MIN(MAX(0,(BC38)+BA39-N39),(CC39-CD39)/(Ipotesi!$C$108*12/Parametri_v3!$C$38)),0)</f>
        <v>0</v>
      </c>
      <c r="BC39" s="15" t="n">
        <f aca="false">(BC38)+BA39-N39-BB39</f>
        <v>263236.940863059</v>
      </c>
      <c r="BD39" s="15" t="n">
        <f aca="false">(BH38)+AC39+AF39-AI39-AS39-K39*(1+Parametri_v3!$C$26)-AL39-AQ39-O39+AW39+AX39+AZ39+BA39-BB39</f>
        <v>244779.788845408</v>
      </c>
      <c r="BE39" s="15" t="n">
        <f aca="false">MAX(0,MIN(MAX(0,CH39-(BG38)),Parametri_v3!$C$30-BD39))</f>
        <v>0</v>
      </c>
      <c r="BF39" s="15" t="n">
        <f aca="false">IF(Motore_Operativo!C39&gt;=Parametri_v3!$C$63,(BG38),MIN((BG38),MAX(0,BD39-Parametri_v3!$C$30)))</f>
        <v>0</v>
      </c>
      <c r="BG39" s="15" t="n">
        <f aca="false">(BG38)+BE39-BF39</f>
        <v>0</v>
      </c>
      <c r="BH39" s="15" t="n">
        <f aca="false">BD39+BE39-BF39-AY39</f>
        <v>244779.788845408</v>
      </c>
      <c r="BI39" s="15" t="n">
        <f aca="false">MAX(0,Parametri_v3!$C$30-BH39)</f>
        <v>0</v>
      </c>
      <c r="BJ39" s="15" t="n">
        <f aca="false">(BJ38)+K39</f>
        <v>72500</v>
      </c>
      <c r="BK39" s="15" t="n">
        <f aca="false">(BK38)+L39</f>
        <v>33125</v>
      </c>
      <c r="BL39" s="15" t="n">
        <f aca="false">BJ39-BK39</f>
        <v>39375</v>
      </c>
      <c r="BM39" s="15" t="n">
        <f aca="false">(BM38)+Y39</f>
        <v>-1275105.66069336</v>
      </c>
      <c r="BN39" s="15" t="n">
        <f aca="false">(BN38)+AW39+AX39+AZ39</f>
        <v>1330000</v>
      </c>
      <c r="BO39" s="15" t="n">
        <f aca="false">(BO38)+AY39</f>
        <v>0</v>
      </c>
      <c r="BP39" s="15" t="n">
        <f aca="false">0</f>
        <v>0</v>
      </c>
      <c r="BQ39" s="15" t="n">
        <f aca="false">BN39+BM39-BO39</f>
        <v>54894.3393066388</v>
      </c>
      <c r="BR39" s="15" t="n">
        <f aca="false">BH39+AD39+BL39+MAX(0,-AM39)+MAX(0,-AR39)+AG39</f>
        <v>498976.414504701</v>
      </c>
      <c r="BS39" s="15" t="n">
        <f aca="false">AJ39+AV39+MAX(0,AM39)+MAX(0,AR39)+BC39+BG39+BQ39</f>
        <v>498976.414504701</v>
      </c>
      <c r="BT39" s="15" t="n">
        <f aca="false">BR39-BS39</f>
        <v>0</v>
      </c>
      <c r="BU39" s="15" t="n">
        <f aca="false">BH39-(BD39+BE39-BF39-AY39)</f>
        <v>0</v>
      </c>
      <c r="BV39" s="15" t="n">
        <f aca="false">MIN(Piano_SS!$C$6,(BV38)+IF(AND(Motore_Operativo!C39&gt;=EDATE(Parametri_v3!$C$24,Ipotesi!C14*12),Motore_Operativo!C39&lt;EDATE(Parametri_v3!$C$24,Parametri_v3!$C$25+Ipotesi!C14*12)),MAX(0,(Motore_Operativo!Y39+Motore_Operativo!X39*Parametri_v3!$C$14)*(1-Parametri_v3!$C$32))*Piano_SS!$D$6,0))</f>
        <v>300000</v>
      </c>
      <c r="BW39" s="15" t="n">
        <f aca="false">MIN(Piano_SS!$C$7,(BW38)+IF(AND(Motore_Operativo!C39&gt;=EDATE(Parametri_v3!$C$24,Ipotesi!C14*12),Motore_Operativo!C39&lt;EDATE(Parametri_v3!$C$24,Parametri_v3!$C$25+Ipotesi!C14*12)),MAX(0,(IF(35-(INT((Ipotesi!$C$91)/30))&lt;1,0,INDEX(Motore_Operativo!$BN$5:$BN$64,MAX(1,35-(INT((Ipotesi!$C$91)/30)))))*(1-(MOD((Ipotesi!$C$91),30)/30))+IF(35-(INT((Ipotesi!$C$91)/30))-1&lt;1,0,INDEX(Motore_Operativo!$BN$5:$BN$64,MAX(1,35-(INT((Ipotesi!$C$91)/30))-1)))*(MOD((Ipotesi!$C$91),30)/30)))*Piano_SS!$D$7,0))</f>
        <v>37208.8229697489</v>
      </c>
      <c r="BX39" s="15" t="n">
        <f aca="false">MIN(Piano_SS!$C$8,(BX38)+IF(AND(Motore_Operativo!C39&gt;=EDATE(Parametri_v3!$C$24,Ipotesi!C14*12),Motore_Operativo!C39&lt;EDATE(Parametri_v3!$C$24,Parametri_v3!$C$25+Ipotesi!C14*12)),MAX(0,Motore_Operativo!CE39)*Piano_SS!$D$8,0))</f>
        <v>50000</v>
      </c>
      <c r="BY39" s="15" t="n">
        <f aca="false">MIN(Piano_SS!$C$9,(BY38)+IF(AND(Motore_Operativo!C39&gt;=EDATE(Parametri_v3!$C$24,Ipotesi!C14*12),Motore_Operativo!C39&lt;EDATE(Parametri_v3!$C$24,Parametri_v3!$C$25+Ipotesi!C14*12)),MAX(0,((IF(35-(INT((Ipotesi!$C$91)/30))&lt;1,0,INDEX(Motore_Operativo!$BQ$5:$BQ$64,MAX(1,35-(INT((Ipotesi!$C$91)/30)))))*(1-(MOD((Ipotesi!$C$91),30)/30))+IF(35-(INT((Ipotesi!$C$91)/30))-1&lt;1,0,INDEX(Motore_Operativo!$BQ$5:$BQ$64,MAX(1,35-(INT((Ipotesi!$C$91)/30))-1)))*(MOD((Ipotesi!$C$91),30)/30))+(IF(35-(INT((Ipotesi!$C$91)/30))&lt;1,0,INDEX(Motore_Operativo!$BR$5:$BR$64,MAX(1,35-(INT((Ipotesi!$C$91)/30)))))*(1-(MOD((Ipotesi!$C$91),30)/30))+IF(35-(INT((Ipotesi!$C$91)/30))-1&lt;1,0,INDEX(Motore_Operativo!$BR$5:$BR$64,MAX(1,35-(INT((Ipotesi!$C$91)/30))-1)))*(MOD((Ipotesi!$C$91),30)/30))))*Piano_SS!$D$9,0))</f>
        <v>40000</v>
      </c>
      <c r="BZ39" s="15" t="n">
        <f aca="false">MIN(Piano_SS!$C$10,(BZ38)+IF(AND(Motore_Operativo!C39&gt;=EDATE(Parametri_v3!$C$24,Ipotesi!C14*12),Motore_Operativo!C39&lt;EDATE(Parametri_v3!$C$24,Parametri_v3!$C$25+Ipotesi!C14*12)),MAX(0,(IF(35-(INT((Ipotesi!$C$91)/30))&lt;1,0,INDEX(Motore_Operativo!$BO$5:$BO$64,MAX(1,35-(INT((Ipotesi!$C$91)/30)))))*(1-(MOD((Ipotesi!$C$91),30)/30))+IF(35-(INT((Ipotesi!$C$91)/30))-1&lt;1,0,INDEX(Motore_Operativo!$BO$5:$BO$64,MAX(1,35-(INT((Ipotesi!$C$91)/30))-1)))*(MOD((Ipotesi!$C$91),30)/30)))*Piano_SS!$D$10,0))</f>
        <v>30000</v>
      </c>
      <c r="CA39" s="15" t="n">
        <f aca="false">SUM(BV39:BZ39)</f>
        <v>457208.822969749</v>
      </c>
      <c r="CB39" s="15" t="n">
        <f aca="false">BV39*(1-Piano_SS!$E$6)+BW39*(1-Piano_SS!$E$7)+BX39*(1-Piano_SS!$E$8)+BY39*(1-Piano_SS!$E$9)+BZ39*(1-Piano_SS!$E$10)</f>
        <v>427208.822969749</v>
      </c>
      <c r="CC39" s="15" t="n">
        <f aca="false">(CC38)+BA39</f>
        <v>365767.058375799</v>
      </c>
      <c r="CD39" s="15" t="n">
        <f aca="false">IF(CA39=0,0,CC39*CB39/CA39*Ipotesi!$C$103*Parametri_v3!$C$64)</f>
        <v>102530.11751274</v>
      </c>
      <c r="CE39" s="18" t="n">
        <f aca="false">IF(BA39&gt;0,Motore_Operativo!C39,(CE38))</f>
        <v>47270</v>
      </c>
      <c r="CF39" s="18" t="n">
        <f aca="false">IF(AND(CC39&gt;0,OR(CC39&gt;=CG39-0.01,Motore_Operativo!C39&gt;=EDATE(MAX(Finanziamenti!$D$15:$D$17),Ipotesi!C14*12))),CE39,0)</f>
        <v>47270</v>
      </c>
      <c r="CG39" s="15" t="n">
        <f aca="false">IF(AND(1&lt;&gt;6,1&lt;&gt;9,Finanziamenti!$F$11=1,OR(Parametri_v3!$C$6=0,Finanziamenti!$E$11=1)),MIN(Finanziamenti!$C$11,Piano_SS!$C$12*Ipotesi!$C$102),0)</f>
        <v>400000</v>
      </c>
      <c r="CH39" s="15" t="n">
        <f aca="false">IF(AND(AND(1&lt;&gt;8,1&lt;&gt;9,Finanziamenti!$F$10=1,OR(Parametri_v3!$C$6=0,Finanziamenti!$E$10=1)),Motore_Operativo!C39&gt;=Finanziamenti!$D$10,Motore_Operativo!C39&lt;Parametri_v3!$C$63),Finanziamenti!$C$10,0)</f>
        <v>150000</v>
      </c>
    </row>
    <row r="40" customFormat="false" ht="18" hidden="false" customHeight="true" outlineLevel="0" collapsed="false">
      <c r="A40" s="68" t="n">
        <f aca="false">1</f>
        <v>1</v>
      </c>
      <c r="B40" s="68" t="n">
        <f aca="false">36</f>
        <v>36</v>
      </c>
      <c r="C40" s="18" t="n">
        <f aca="false">Motore_Operativo!C40</f>
        <v>47453</v>
      </c>
      <c r="D40" s="68" t="n">
        <f aca="false">Motore_Operativo!D40</f>
        <v>2029</v>
      </c>
      <c r="E40" s="68" t="n">
        <f aca="false">Motore_Operativo!E40</f>
        <v>12</v>
      </c>
      <c r="F40" s="15" t="n">
        <f aca="false">Motore_Operativo!AQ40+Motore_Operativo!BF40</f>
        <v>61338.2759798829</v>
      </c>
      <c r="G40" s="15" t="n">
        <f aca="false">Motore_Operativo!BH40</f>
        <v>4950</v>
      </c>
      <c r="H40" s="15" t="n">
        <f aca="false">Motore_Operativo!BI40</f>
        <v>66288.2759798829</v>
      </c>
      <c r="I40" s="15" t="n">
        <f aca="false">Motore_Operativo!CA40</f>
        <v>116722.02530385</v>
      </c>
      <c r="J40" s="15" t="n">
        <f aca="false">Motore_Operativo!CC40</f>
        <v>-50433.7493239674</v>
      </c>
      <c r="K40" s="15" t="n">
        <f aca="false">Motore_Operativo!CE40</f>
        <v>2500</v>
      </c>
      <c r="L40" s="15" t="n">
        <f aca="false">SUM(INDEX($K$5:$K$64,MAX(1,36-Parametri_v3!$C$59+1)):K40)/Parametri_v3!$C$59</f>
        <v>2083.33333333333</v>
      </c>
      <c r="M40" s="15" t="n">
        <f aca="false">J40-L40</f>
        <v>-52517.0826573008</v>
      </c>
      <c r="N40" s="15" t="n">
        <f aca="false">CD40-(CD39)</f>
        <v>0</v>
      </c>
      <c r="O40" s="15" t="n">
        <f aca="false">(BG39)*Ipotesi!$C$110/12+CH40*Parametri_v3!$C$39/12</f>
        <v>0</v>
      </c>
      <c r="P40" s="15" t="n">
        <f aca="false">M40+N40-O40</f>
        <v>-52517.0826573008</v>
      </c>
      <c r="Q40" s="15" t="n">
        <f aca="false">SUM(P29:P40)+Parametri_v3!$C$54*12/12</f>
        <v>-711172.725698539</v>
      </c>
      <c r="R40" s="15" t="n">
        <f aca="false">Z28</f>
        <v>616450.017652124</v>
      </c>
      <c r="S40" s="15" t="n">
        <f aca="false">AA28</f>
        <v>0</v>
      </c>
      <c r="T40" s="15" t="n">
        <f aca="false">MIN(R40,MAX(0,Q40))</f>
        <v>0</v>
      </c>
      <c r="U40" s="15" t="n">
        <f aca="false">MIN(S40,MAX(0,Q40-T40)*Parametri_v3!$C$42)</f>
        <v>0</v>
      </c>
      <c r="V40" s="15" t="n">
        <f aca="false">MAX(0,Q40-T40-U40)*Ipotesi!$C$92</f>
        <v>0</v>
      </c>
      <c r="W40" s="15" t="n">
        <f aca="false">MAX(0,SUM(M29:M40)+Parametri_v3!$C$55*12/12)*Ipotesi!$C$93</f>
        <v>0</v>
      </c>
      <c r="X40" s="15" t="n">
        <f aca="false">V40+W40-(V39+W39)</f>
        <v>0</v>
      </c>
      <c r="Y40" s="15" t="n">
        <f aca="false">P40-X40</f>
        <v>-52517.0826573008</v>
      </c>
      <c r="Z40" s="15" t="n">
        <f aca="false">R40-T40+IF(AND(Parametri_v3!$C$40=1,D40-YEAR(Parametri_v3!$C$50)&lt;Parametri_v3!$C$41),MAX(0,-Q40),0)</f>
        <v>1327622.74335066</v>
      </c>
      <c r="AA40" s="15" t="n">
        <f aca="false">S40-U40+IF(AND(Parametri_v3!$C$40=1,D40-YEAR(Parametri_v3!$C$50)&lt;Parametri_v3!$C$41),0,MAX(0,-Q40))</f>
        <v>0</v>
      </c>
      <c r="AB40" s="15" t="n">
        <f aca="false">F40*(1+Parametri_v3!$C$26)</f>
        <v>74832.6966954571</v>
      </c>
      <c r="AC40" s="15" t="n">
        <f aca="false">(IF(36-(INT((Motore_Operativo!L40)/30))&lt;1,0,INDEX(Motore_Startup!$AB$5:$AB$64,MAX(1,36-(INT((Motore_Operativo!L40)/30)))))*(1-(MOD((Motore_Operativo!L40),30)/30))+IF(36-(INT((Motore_Operativo!L40)/30))-1&lt;1,0,INDEX(Motore_Startup!$AB$5:$AB$64,MAX(1,36-(INT((Motore_Operativo!L40)/30))-1)))*(MOD((Motore_Operativo!L40),30)/30))</f>
        <v>66951.9002009606</v>
      </c>
      <c r="AD40" s="15" t="n">
        <f aca="false">(AD39)+AB40-AC40</f>
        <v>216663.422153789</v>
      </c>
      <c r="AE40" s="15" t="n">
        <f aca="false">Motore_Operativo!BH40*(1+Parametri_v3!$C$26)</f>
        <v>6039</v>
      </c>
      <c r="AF40" s="15" t="n">
        <f aca="false">(IF(36-(INT((Parametri_v3!$C$29)/30))&lt;1,0,INDEX(Motore_Operativo!$BH$5:$BH$64,MAX(1,36-(INT((Parametri_v3!$C$29)/30)))))*(1-(MOD((Parametri_v3!$C$29),30)/30))+IF(36-(INT((Parametri_v3!$C$29)/30))-1&lt;1,0,INDEX(Motore_Operativo!$BH$5:$BH$64,MAX(1,36-(INT((Parametri_v3!$C$29)/30))-1)))*(MOD((Parametri_v3!$C$29),30)/30))*(1+Parametri_v3!$C$26)</f>
        <v>6039</v>
      </c>
      <c r="AG40" s="15" t="n">
        <f aca="false">(AG39)+AE40-AF40</f>
        <v>6039</v>
      </c>
      <c r="AH40" s="15" t="n">
        <f aca="false">(Motore_Operativo!CJ40)*(1+Parametri_v3!$C$27*Parametri_v3!$C$26)</f>
        <v>50386.2017023369</v>
      </c>
      <c r="AI40" s="15" t="n">
        <f aca="false">(IF(36-(INT((Ipotesi!$C$91)/30))&lt;1,0,INDEX(Motore_Startup!$AH$5:$AH$64,MAX(1,36-(INT((Ipotesi!$C$91)/30)))))*(1-(MOD((Ipotesi!$C$91),30)/30))+IF(36-(INT((Ipotesi!$C$91)/30))-1&lt;1,0,INDEX(Motore_Startup!$AH$5:$AH$64,MAX(1,36-(INT((Ipotesi!$C$91)/30))-1)))*(MOD((Ipotesi!$C$91),30)/30))</f>
        <v>49673.7027323318</v>
      </c>
      <c r="AJ40" s="15" t="n">
        <f aca="false">(AJ39)+AH40-AI40</f>
        <v>100417.717852518</v>
      </c>
      <c r="AK40" s="15" t="n">
        <f aca="false">(F40+ Motore_Operativo!BH40-(Motore_Operativo!CJ40)*Parametri_v3!$C$27-Motore_Operativo!CE40)*Parametri_v3!$C$26</f>
        <v>6095.57765042089</v>
      </c>
      <c r="AL40" s="15" t="n">
        <f aca="false">MAX(0,(AM39))</f>
        <v>5681.89878582308</v>
      </c>
      <c r="AM40" s="15" t="n">
        <f aca="false">(AM39)+AK40-AL40</f>
        <v>6095.57765042089</v>
      </c>
      <c r="AN40" s="15" t="n">
        <f aca="false">SUM(X17:X28)</f>
        <v>0</v>
      </c>
      <c r="AO40" s="15" t="n">
        <f aca="false">SUM(AP17:AP28)</f>
        <v>0</v>
      </c>
      <c r="AP40" s="15" t="n">
        <f aca="false">MAX(0,AN40)*IF(12=Parametri_v3!$C$43,Parametri_v3!$C$45,IF(12=Parametri_v3!$C$44,1-Parametri_v3!$C$45,0))</f>
        <v>0</v>
      </c>
      <c r="AQ40" s="15" t="n">
        <f aca="false">MAX(0,AP40+IF(12=Parametri_v3!$C$43,MAX(0,AN40-AO40),0)-MAX(0,-(AR39)))</f>
        <v>0</v>
      </c>
      <c r="AR40" s="15" t="n">
        <f aca="false">(AR39)+X40-AQ40</f>
        <v>0</v>
      </c>
      <c r="AS40" s="15" t="n">
        <f aca="false">Motore_Operativo!AB40-AT40+AU40</f>
        <v>70559.9833333333</v>
      </c>
      <c r="AT40" s="15" t="n">
        <f aca="false">Motore_Operativo!CH40</f>
        <v>3713.68333333333</v>
      </c>
      <c r="AU40" s="15" t="n">
        <f aca="false">MIN(MAX(0,(AV39)+AT40),Parametri_v3!$C$60/12)</f>
        <v>0</v>
      </c>
      <c r="AV40" s="15" t="n">
        <f aca="false">(AV39)+AT40-AU40</f>
        <v>79171.7</v>
      </c>
      <c r="AW40" s="15" t="n">
        <f aca="false">IF(AND(Motore_Operativo!C40=Finanziamenti!$D$6,Finanziamenti!$F$6=1),Finanziamenti!$C$6,0)</f>
        <v>0</v>
      </c>
      <c r="AX40" s="15" t="n">
        <f aca="false">IF(AND(1&lt;&gt;7,1&lt;&gt;9,Finanziamenti!$F$8=1,OR(Parametri_v3!$C$6=0,Finanziamenti!$E$8=1),Motore_Operativo!C40=EDATE(Finanziamenti!$D$8,Ipotesi!C15*12)),Finanziamenti!$C$8*1,0)+IF(AND(1&lt;&gt;7,1&lt;&gt;9,Finanziamenti!$F$9=1,OR(Parametri_v3!$C$6=0,Finanziamenti!$E$9=1),Motore_Operativo!C40=EDATE(Finanziamenti!$D$9,Ipotesi!C15*12)),Finanziamenti!$C$9*Ipotesi!C16,0)</f>
        <v>0</v>
      </c>
      <c r="AY40" s="15" t="n">
        <f aca="false">0</f>
        <v>0</v>
      </c>
      <c r="AZ40" s="15" t="n">
        <f aca="false">Motore_Advisory!AY40*(1-Ipotesi!$C$95)*Ipotesi!$C$96</f>
        <v>0</v>
      </c>
      <c r="BA40" s="15" t="n">
        <f aca="false">MAX(0,MIN(CG40*MIN(1,IF(Motore_Operativo!C40&gt;=EDATE(Finanziamenti!$D$15,Ipotesi!C14*12),Finanziamenti!$C$15,0)+IF(Motore_Operativo!C40&gt;=EDATE(Finanziamenti!$D$16,Ipotesi!C14*12),Finanziamenti!$C$16,0)+IF(Motore_Operativo!C40&gt;=EDATE(Finanziamenti!$D$17,Ipotesi!C14*12),Finanziamenti!$C$17,0)),CA40*Ipotesi!$C$102)-(CC39))</f>
        <v>0</v>
      </c>
      <c r="BB40" s="15" t="n">
        <f aca="false">IF(AND(CF40&gt;0,Motore_Operativo!C40&gt;=IF(CF40=0,0,EDATE(CF40,Parametri_v3!$C$37)),MOD(((D40-YEAR(IF(CF40=0,0,EDATE(CF40,Parametri_v3!$C$37))))*12+E40-MONTH(IF(CF40=0,0,EDATE(CF40,Parametri_v3!$C$37)))),Parametri_v3!$C$38)=0),MIN(MAX(0,(BC39)+BA40-N40),(CC40-CD40)/(Ipotesi!$C$108*12/Parametri_v3!$C$38)),0)</f>
        <v>0</v>
      </c>
      <c r="BC40" s="15" t="n">
        <f aca="false">(BC39)+BA40-N40-BB40</f>
        <v>263236.940863059</v>
      </c>
      <c r="BD40" s="15" t="n">
        <f aca="false">(BH39)+AC40+AF40-AI40-AS40-K40*(1+Parametri_v3!$C$26)-AL40-AQ40-O40+AW40+AX40+AZ40+BA40-BB40</f>
        <v>188805.10419488</v>
      </c>
      <c r="BE40" s="15" t="n">
        <f aca="false">MAX(0,MIN(MAX(0,CH40-(BG39)),Parametri_v3!$C$30-BD40))</f>
        <v>0</v>
      </c>
      <c r="BF40" s="15" t="n">
        <f aca="false">IF(Motore_Operativo!C40&gt;=Parametri_v3!$C$63,(BG39),MIN((BG39),MAX(0,BD40-Parametri_v3!$C$30)))</f>
        <v>0</v>
      </c>
      <c r="BG40" s="15" t="n">
        <f aca="false">(BG39)+BE40-BF40</f>
        <v>0</v>
      </c>
      <c r="BH40" s="15" t="n">
        <f aca="false">BD40+BE40-BF40-AY40</f>
        <v>188805.10419488</v>
      </c>
      <c r="BI40" s="15" t="n">
        <f aca="false">MAX(0,Parametri_v3!$C$30-BH40)</f>
        <v>0</v>
      </c>
      <c r="BJ40" s="15" t="n">
        <f aca="false">(BJ39)+K40</f>
        <v>75000</v>
      </c>
      <c r="BK40" s="15" t="n">
        <f aca="false">(BK39)+L40</f>
        <v>35208.3333333333</v>
      </c>
      <c r="BL40" s="15" t="n">
        <f aca="false">BJ40-BK40</f>
        <v>39791.6666666667</v>
      </c>
      <c r="BM40" s="15" t="n">
        <f aca="false">(BM39)+Y40</f>
        <v>-1327622.74335066</v>
      </c>
      <c r="BN40" s="15" t="n">
        <f aca="false">(BN39)+AW40+AX40+AZ40</f>
        <v>1330000</v>
      </c>
      <c r="BO40" s="15" t="n">
        <f aca="false">(BO39)+AY40</f>
        <v>0</v>
      </c>
      <c r="BP40" s="15" t="n">
        <f aca="false">0</f>
        <v>0</v>
      </c>
      <c r="BQ40" s="15" t="n">
        <f aca="false">BN40+BM40-BO40</f>
        <v>2377.25664933794</v>
      </c>
      <c r="BR40" s="15" t="n">
        <f aca="false">BH40+AD40+BL40+MAX(0,-AM40)+MAX(0,-AR40)+AG40</f>
        <v>451299.193015336</v>
      </c>
      <c r="BS40" s="15" t="n">
        <f aca="false">AJ40+AV40+MAX(0,AM40)+MAX(0,AR40)+BC40+BG40+BQ40</f>
        <v>451299.193015336</v>
      </c>
      <c r="BT40" s="15" t="n">
        <f aca="false">BR40-BS40</f>
        <v>0</v>
      </c>
      <c r="BU40" s="15" t="n">
        <f aca="false">BH40-(BD40+BE40-BF40-AY40)</f>
        <v>0</v>
      </c>
      <c r="BV40" s="15" t="n">
        <f aca="false">MIN(Piano_SS!$C$6,(BV39)+IF(AND(Motore_Operativo!C40&gt;=EDATE(Parametri_v3!$C$24,Ipotesi!C14*12),Motore_Operativo!C40&lt;EDATE(Parametri_v3!$C$24,Parametri_v3!$C$25+Ipotesi!C14*12)),MAX(0,(Motore_Operativo!Y40+Motore_Operativo!X40*Parametri_v3!$C$14)*(1-Parametri_v3!$C$32))*Piano_SS!$D$6,0))</f>
        <v>300000</v>
      </c>
      <c r="BW40" s="15" t="n">
        <f aca="false">MIN(Piano_SS!$C$7,(BW39)+IF(AND(Motore_Operativo!C40&gt;=EDATE(Parametri_v3!$C$24,Ipotesi!C14*12),Motore_Operativo!C40&lt;EDATE(Parametri_v3!$C$24,Parametri_v3!$C$25+Ipotesi!C14*12)),MAX(0,(IF(36-(INT((Ipotesi!$C$91)/30))&lt;1,0,INDEX(Motore_Operativo!$BN$5:$BN$64,MAX(1,36-(INT((Ipotesi!$C$91)/30)))))*(1-(MOD((Ipotesi!$C$91),30)/30))+IF(36-(INT((Ipotesi!$C$91)/30))-1&lt;1,0,INDEX(Motore_Operativo!$BN$5:$BN$64,MAX(1,36-(INT((Ipotesi!$C$91)/30))-1)))*(MOD((Ipotesi!$C$91),30)/30)))*Piano_SS!$D$7,0))</f>
        <v>37208.8229697489</v>
      </c>
      <c r="BX40" s="15" t="n">
        <f aca="false">MIN(Piano_SS!$C$8,(BX39)+IF(AND(Motore_Operativo!C40&gt;=EDATE(Parametri_v3!$C$24,Ipotesi!C14*12),Motore_Operativo!C40&lt;EDATE(Parametri_v3!$C$24,Parametri_v3!$C$25+Ipotesi!C14*12)),MAX(0,Motore_Operativo!CE40)*Piano_SS!$D$8,0))</f>
        <v>50000</v>
      </c>
      <c r="BY40" s="15" t="n">
        <f aca="false">MIN(Piano_SS!$C$9,(BY39)+IF(AND(Motore_Operativo!C40&gt;=EDATE(Parametri_v3!$C$24,Ipotesi!C14*12),Motore_Operativo!C40&lt;EDATE(Parametri_v3!$C$24,Parametri_v3!$C$25+Ipotesi!C14*12)),MAX(0,((IF(36-(INT((Ipotesi!$C$91)/30))&lt;1,0,INDEX(Motore_Operativo!$BQ$5:$BQ$64,MAX(1,36-(INT((Ipotesi!$C$91)/30)))))*(1-(MOD((Ipotesi!$C$91),30)/30))+IF(36-(INT((Ipotesi!$C$91)/30))-1&lt;1,0,INDEX(Motore_Operativo!$BQ$5:$BQ$64,MAX(1,36-(INT((Ipotesi!$C$91)/30))-1)))*(MOD((Ipotesi!$C$91),30)/30))+(IF(36-(INT((Ipotesi!$C$91)/30))&lt;1,0,INDEX(Motore_Operativo!$BR$5:$BR$64,MAX(1,36-(INT((Ipotesi!$C$91)/30)))))*(1-(MOD((Ipotesi!$C$91),30)/30))+IF(36-(INT((Ipotesi!$C$91)/30))-1&lt;1,0,INDEX(Motore_Operativo!$BR$5:$BR$64,MAX(1,36-(INT((Ipotesi!$C$91)/30))-1)))*(MOD((Ipotesi!$C$91),30)/30))))*Piano_SS!$D$9,0))</f>
        <v>40000</v>
      </c>
      <c r="BZ40" s="15" t="n">
        <f aca="false">MIN(Piano_SS!$C$10,(BZ39)+IF(AND(Motore_Operativo!C40&gt;=EDATE(Parametri_v3!$C$24,Ipotesi!C14*12),Motore_Operativo!C40&lt;EDATE(Parametri_v3!$C$24,Parametri_v3!$C$25+Ipotesi!C14*12)),MAX(0,(IF(36-(INT((Ipotesi!$C$91)/30))&lt;1,0,INDEX(Motore_Operativo!$BO$5:$BO$64,MAX(1,36-(INT((Ipotesi!$C$91)/30)))))*(1-(MOD((Ipotesi!$C$91),30)/30))+IF(36-(INT((Ipotesi!$C$91)/30))-1&lt;1,0,INDEX(Motore_Operativo!$BO$5:$BO$64,MAX(1,36-(INT((Ipotesi!$C$91)/30))-1)))*(MOD((Ipotesi!$C$91),30)/30)))*Piano_SS!$D$10,0))</f>
        <v>30000</v>
      </c>
      <c r="CA40" s="15" t="n">
        <f aca="false">SUM(BV40:BZ40)</f>
        <v>457208.822969749</v>
      </c>
      <c r="CB40" s="15" t="n">
        <f aca="false">BV40*(1-Piano_SS!$E$6)+BW40*(1-Piano_SS!$E$7)+BX40*(1-Piano_SS!$E$8)+BY40*(1-Piano_SS!$E$9)+BZ40*(1-Piano_SS!$E$10)</f>
        <v>427208.822969749</v>
      </c>
      <c r="CC40" s="15" t="n">
        <f aca="false">(CC39)+BA40</f>
        <v>365767.058375799</v>
      </c>
      <c r="CD40" s="15" t="n">
        <f aca="false">IF(CA40=0,0,CC40*CB40/CA40*Ipotesi!$C$103*Parametri_v3!$C$64)</f>
        <v>102530.11751274</v>
      </c>
      <c r="CE40" s="18" t="n">
        <f aca="false">IF(BA40&gt;0,Motore_Operativo!C40,(CE39))</f>
        <v>47270</v>
      </c>
      <c r="CF40" s="18" t="n">
        <f aca="false">IF(AND(CC40&gt;0,OR(CC40&gt;=CG40-0.01,Motore_Operativo!C40&gt;=EDATE(MAX(Finanziamenti!$D$15:$D$17),Ipotesi!C14*12))),CE40,0)</f>
        <v>47270</v>
      </c>
      <c r="CG40" s="15" t="n">
        <f aca="false">IF(AND(1&lt;&gt;6,1&lt;&gt;9,Finanziamenti!$F$11=1,OR(Parametri_v3!$C$6=0,Finanziamenti!$E$11=1)),MIN(Finanziamenti!$C$11,Piano_SS!$C$12*Ipotesi!$C$102),0)</f>
        <v>400000</v>
      </c>
      <c r="CH40" s="15" t="n">
        <f aca="false">IF(AND(AND(1&lt;&gt;8,1&lt;&gt;9,Finanziamenti!$F$10=1,OR(Parametri_v3!$C$6=0,Finanziamenti!$E$10=1)),Motore_Operativo!C40&gt;=Finanziamenti!$D$10,Motore_Operativo!C40&lt;Parametri_v3!$C$63),Finanziamenti!$C$10,0)</f>
        <v>150000</v>
      </c>
    </row>
    <row r="41" customFormat="false" ht="18" hidden="false" customHeight="true" outlineLevel="0" collapsed="false">
      <c r="A41" s="68" t="n">
        <f aca="false">1</f>
        <v>1</v>
      </c>
      <c r="B41" s="68" t="n">
        <f aca="false">37</f>
        <v>37</v>
      </c>
      <c r="C41" s="18" t="n">
        <f aca="false">Motore_Operativo!C41</f>
        <v>47484</v>
      </c>
      <c r="D41" s="68" t="n">
        <f aca="false">Motore_Operativo!D41</f>
        <v>2030</v>
      </c>
      <c r="E41" s="68" t="n">
        <f aca="false">Motore_Operativo!E41</f>
        <v>1</v>
      </c>
      <c r="F41" s="15" t="n">
        <f aca="false">Motore_Operativo!AQ41+Motore_Operativo!BF41</f>
        <v>83477.8508700775</v>
      </c>
      <c r="G41" s="15" t="n">
        <f aca="false">Motore_Operativo!BH41</f>
        <v>6906.25</v>
      </c>
      <c r="H41" s="15" t="n">
        <f aca="false">Motore_Operativo!BI41</f>
        <v>90384.1008700775</v>
      </c>
      <c r="I41" s="15" t="n">
        <f aca="false">Motore_Operativo!CA41</f>
        <v>152523.837246811</v>
      </c>
      <c r="J41" s="15" t="n">
        <f aca="false">Motore_Operativo!CC41</f>
        <v>-62139.7363767334</v>
      </c>
      <c r="K41" s="15" t="n">
        <f aca="false">Motore_Operativo!CE41</f>
        <v>3333.33333333333</v>
      </c>
      <c r="L41" s="15" t="n">
        <f aca="false">SUM(INDEX($K$5:$K$64,MAX(1,37-Parametri_v3!$C$59+1)):K41)/Parametri_v3!$C$59</f>
        <v>2129.62962962963</v>
      </c>
      <c r="M41" s="15" t="n">
        <f aca="false">J41-L41</f>
        <v>-64269.366006363</v>
      </c>
      <c r="N41" s="15" t="n">
        <f aca="false">CD41-(CD40)</f>
        <v>0</v>
      </c>
      <c r="O41" s="15" t="n">
        <f aca="false">(BG40)*Ipotesi!$C$110/12+CH41*Parametri_v3!$C$39/12</f>
        <v>0</v>
      </c>
      <c r="P41" s="15" t="n">
        <f aca="false">M41+N41-O41</f>
        <v>-64269.366006363</v>
      </c>
      <c r="Q41" s="15" t="n">
        <f aca="false">SUM(P41)+Parametri_v3!$C$54*1/12</f>
        <v>-64269.366006363</v>
      </c>
      <c r="R41" s="15" t="n">
        <f aca="false">Z40</f>
        <v>1327622.74335066</v>
      </c>
      <c r="S41" s="15" t="n">
        <f aca="false">AA40</f>
        <v>0</v>
      </c>
      <c r="T41" s="15" t="n">
        <f aca="false">MIN(R41,MAX(0,Q41))</f>
        <v>0</v>
      </c>
      <c r="U41" s="15" t="n">
        <f aca="false">MIN(S41,MAX(0,Q41-T41)*Parametri_v3!$C$42)</f>
        <v>0</v>
      </c>
      <c r="V41" s="15" t="n">
        <f aca="false">MAX(0,Q41-T41-U41)*Ipotesi!$C$92</f>
        <v>0</v>
      </c>
      <c r="W41" s="15" t="n">
        <f aca="false">MAX(0,SUM(M41)+Parametri_v3!$C$55*1/12)*Ipotesi!$C$93</f>
        <v>0</v>
      </c>
      <c r="X41" s="15" t="n">
        <f aca="false">V41+W41-(0)</f>
        <v>0</v>
      </c>
      <c r="Y41" s="15" t="n">
        <f aca="false">P41-X41</f>
        <v>-64269.366006363</v>
      </c>
      <c r="Z41" s="15" t="n">
        <f aca="false">R41-T41+IF(AND(Parametri_v3!$C$40=1,D41-YEAR(Parametri_v3!$C$50)&lt;Parametri_v3!$C$41),MAX(0,-Q41),0)</f>
        <v>1327622.74335066</v>
      </c>
      <c r="AA41" s="15" t="n">
        <f aca="false">S41-U41+IF(AND(Parametri_v3!$C$40=1,D41-YEAR(Parametri_v3!$C$50)&lt;Parametri_v3!$C$41),0,MAX(0,-Q41))</f>
        <v>64269.366006363</v>
      </c>
      <c r="AB41" s="15" t="n">
        <f aca="false">F41*(1+Parametri_v3!$C$26)</f>
        <v>101842.978061495</v>
      </c>
      <c r="AC41" s="15" t="n">
        <f aca="false">(IF(37-(INT((Motore_Operativo!L41)/30))&lt;1,0,INDEX(Motore_Startup!$AB$5:$AB$64,MAX(1,37-(INT((Motore_Operativo!L41)/30)))))*(1-(MOD((Motore_Operativo!L41),30)/30))+IF(37-(INT((Motore_Operativo!L41)/30))-1&lt;1,0,INDEX(Motore_Startup!$AB$5:$AB$64,MAX(1,37-(INT((Motore_Operativo!L41)/30))-1)))*(MOD((Motore_Operativo!L41),30)/30))</f>
        <v>69601.9303974295</v>
      </c>
      <c r="AD41" s="15" t="n">
        <f aca="false">(AD40)+AB41-AC41</f>
        <v>248904.469817854</v>
      </c>
      <c r="AE41" s="15" t="n">
        <f aca="false">Motore_Operativo!BH41*(1+Parametri_v3!$C$26)</f>
        <v>8425.625</v>
      </c>
      <c r="AF41" s="15" t="n">
        <f aca="false">(IF(37-(INT((Parametri_v3!$C$29)/30))&lt;1,0,INDEX(Motore_Operativo!$BH$5:$BH$64,MAX(1,37-(INT((Parametri_v3!$C$29)/30)))))*(1-(MOD((Parametri_v3!$C$29),30)/30))+IF(37-(INT((Parametri_v3!$C$29)/30))-1&lt;1,0,INDEX(Motore_Operativo!$BH$5:$BH$64,MAX(1,37-(INT((Parametri_v3!$C$29)/30))-1)))*(MOD((Parametri_v3!$C$29),30)/30))*(1+Parametri_v3!$C$26)</f>
        <v>6039</v>
      </c>
      <c r="AG41" s="15" t="n">
        <f aca="false">(AG40)+AE41-AF41</f>
        <v>8425.625</v>
      </c>
      <c r="AH41" s="15" t="n">
        <f aca="false">(Motore_Operativo!CJ41)*(1+Parametri_v3!$C$27*Parametri_v3!$C$26)</f>
        <v>66532.2441534228</v>
      </c>
      <c r="AI41" s="15" t="n">
        <f aca="false">(IF(37-(INT((Ipotesi!$C$91)/30))&lt;1,0,INDEX(Motore_Startup!$AH$5:$AH$64,MAX(1,37-(INT((Ipotesi!$C$91)/30)))))*(1-(MOD((Ipotesi!$C$91),30)/30))+IF(37-(INT((Ipotesi!$C$91)/30))-1&lt;1,0,INDEX(Motore_Startup!$AH$5:$AH$64,MAX(1,37-(INT((Ipotesi!$C$91)/30))-1)))*(MOD((Ipotesi!$C$91),30)/30))</f>
        <v>50031.516150181</v>
      </c>
      <c r="AJ41" s="15" t="n">
        <f aca="false">(AJ40)+AH41-AI41</f>
        <v>116918.44585576</v>
      </c>
      <c r="AK41" s="15" t="n">
        <f aca="false">(F41+ Motore_Operativo!BH41-(Motore_Operativo!CJ41)*Parametri_v3!$C$27-Motore_Operativo!CE41)*Parametri_v3!$C$26</f>
        <v>8669.67799313842</v>
      </c>
      <c r="AL41" s="15" t="n">
        <f aca="false">MAX(0,(AM40))</f>
        <v>6095.57765042089</v>
      </c>
      <c r="AM41" s="15" t="n">
        <f aca="false">(AM40)+AK41-AL41</f>
        <v>8669.67799313842</v>
      </c>
      <c r="AN41" s="15" t="n">
        <f aca="false">SUM(X29:X40)</f>
        <v>0</v>
      </c>
      <c r="AO41" s="15" t="n">
        <f aca="false">SUM(AP29:AP40)</f>
        <v>0</v>
      </c>
      <c r="AP41" s="15" t="n">
        <f aca="false">MAX(0,AN41)*IF(1=Parametri_v3!$C$43,Parametri_v3!$C$45,IF(1=Parametri_v3!$C$44,1-Parametri_v3!$C$45,0))</f>
        <v>0</v>
      </c>
      <c r="AQ41" s="15" t="n">
        <f aca="false">MAX(0,AP41+IF(1=Parametri_v3!$C$43,MAX(0,AN41-AO41),0)-MAX(0,-(AR40)))</f>
        <v>0</v>
      </c>
      <c r="AR41" s="15" t="n">
        <f aca="false">(AR40)+X41-AQ41</f>
        <v>0</v>
      </c>
      <c r="AS41" s="15" t="n">
        <f aca="false">Motore_Operativo!AB41-AT41+AU41</f>
        <v>91649.4297604167</v>
      </c>
      <c r="AT41" s="15" t="n">
        <f aca="false">Motore_Operativo!CH41</f>
        <v>4823.65419791667</v>
      </c>
      <c r="AU41" s="15" t="n">
        <f aca="false">MIN(MAX(0,(AV40)+AT41),Parametri_v3!$C$60/12)</f>
        <v>0</v>
      </c>
      <c r="AV41" s="15" t="n">
        <f aca="false">(AV40)+AT41-AU41</f>
        <v>83995.3541979167</v>
      </c>
      <c r="AW41" s="15" t="n">
        <f aca="false">IF(AND(Motore_Operativo!C41=Finanziamenti!$D$6,Finanziamenti!$F$6=1),Finanziamenti!$C$6,0)</f>
        <v>0</v>
      </c>
      <c r="AX41" s="15" t="n">
        <f aca="false">IF(AND(1&lt;&gt;7,1&lt;&gt;9,Finanziamenti!$F$8=1,OR(Parametri_v3!$C$6=0,Finanziamenti!$E$8=1),Motore_Operativo!C41=EDATE(Finanziamenti!$D$8,Ipotesi!C15*12)),Finanziamenti!$C$8*1,0)+IF(AND(1&lt;&gt;7,1&lt;&gt;9,Finanziamenti!$F$9=1,OR(Parametri_v3!$C$6=0,Finanziamenti!$E$9=1),Motore_Operativo!C41=EDATE(Finanziamenti!$D$9,Ipotesi!C15*12)),Finanziamenti!$C$9*Ipotesi!C16,0)</f>
        <v>0</v>
      </c>
      <c r="AY41" s="15" t="n">
        <f aca="false">0</f>
        <v>0</v>
      </c>
      <c r="AZ41" s="15" t="n">
        <f aca="false">Motore_Advisory!AY41*(1-Ipotesi!$C$95)*Ipotesi!$C$96</f>
        <v>0</v>
      </c>
      <c r="BA41" s="15" t="n">
        <f aca="false">MAX(0,MIN(CG41*MIN(1,IF(Motore_Operativo!C41&gt;=EDATE(Finanziamenti!$D$15,Ipotesi!C14*12),Finanziamenti!$C$15,0)+IF(Motore_Operativo!C41&gt;=EDATE(Finanziamenti!$D$16,Ipotesi!C14*12),Finanziamenti!$C$16,0)+IF(Motore_Operativo!C41&gt;=EDATE(Finanziamenti!$D$17,Ipotesi!C14*12),Finanziamenti!$C$17,0)),CA41*Ipotesi!$C$102)-(CC40))</f>
        <v>0</v>
      </c>
      <c r="BB41" s="15" t="n">
        <f aca="false">IF(AND(CF41&gt;0,Motore_Operativo!C41&gt;=IF(CF41=0,0,EDATE(CF41,Parametri_v3!$C$37)),MOD(((D41-YEAR(IF(CF41=0,0,EDATE(CF41,Parametri_v3!$C$37))))*12+E41-MONTH(IF(CF41=0,0,EDATE(CF41,Parametri_v3!$C$37)))),Parametri_v3!$C$38)=0),MIN(MAX(0,(BC40)+BA41-N41),(CC41-CD41)/(Ipotesi!$C$108*12/Parametri_v3!$C$38)),0)</f>
        <v>0</v>
      </c>
      <c r="BC41" s="15" t="n">
        <f aca="false">(BC40)+BA41-N41-BB41</f>
        <v>263236.940863059</v>
      </c>
      <c r="BD41" s="15" t="n">
        <f aca="false">(BH40)+AC41+AF41-AI41-AS41-K41*(1+Parametri_v3!$C$26)-AL41-AQ41-O41+AW41+AX41+AZ41+BA41-BB41</f>
        <v>112602.844364625</v>
      </c>
      <c r="BE41" s="15" t="n">
        <f aca="false">MAX(0,MIN(MAX(0,CH41-(BG40)),Parametri_v3!$C$30-BD41))</f>
        <v>0</v>
      </c>
      <c r="BF41" s="15" t="n">
        <f aca="false">IF(Motore_Operativo!C41&gt;=Parametri_v3!$C$63,(BG40),MIN((BG40),MAX(0,BD41-Parametri_v3!$C$30)))</f>
        <v>0</v>
      </c>
      <c r="BG41" s="15" t="n">
        <f aca="false">(BG40)+BE41-BF41</f>
        <v>0</v>
      </c>
      <c r="BH41" s="15" t="n">
        <f aca="false">BD41+BE41-BF41-AY41</f>
        <v>112602.844364625</v>
      </c>
      <c r="BI41" s="15" t="n">
        <f aca="false">MAX(0,Parametri_v3!$C$30-BH41)</f>
        <v>0</v>
      </c>
      <c r="BJ41" s="15" t="n">
        <f aca="false">(BJ40)+K41</f>
        <v>78333.3333333333</v>
      </c>
      <c r="BK41" s="15" t="n">
        <f aca="false">(BK40)+L41</f>
        <v>37337.962962963</v>
      </c>
      <c r="BL41" s="15" t="n">
        <f aca="false">BJ41-BK41</f>
        <v>40995.3703703704</v>
      </c>
      <c r="BM41" s="15" t="n">
        <f aca="false">(BM40)+Y41</f>
        <v>-1391892.10935703</v>
      </c>
      <c r="BN41" s="15" t="n">
        <f aca="false">(BN40)+AW41+AX41+AZ41</f>
        <v>1330000</v>
      </c>
      <c r="BO41" s="15" t="n">
        <f aca="false">(BO40)+AY41</f>
        <v>0</v>
      </c>
      <c r="BP41" s="15" t="n">
        <f aca="false">0</f>
        <v>0</v>
      </c>
      <c r="BQ41" s="15" t="n">
        <f aca="false">BN41+BM41-BO41</f>
        <v>-61892.109357025</v>
      </c>
      <c r="BR41" s="15" t="n">
        <f aca="false">BH41+AD41+BL41+MAX(0,-AM41)+MAX(0,-AR41)+AG41</f>
        <v>410928.309552849</v>
      </c>
      <c r="BS41" s="15" t="n">
        <f aca="false">AJ41+AV41+MAX(0,AM41)+MAX(0,AR41)+BC41+BG41+BQ41</f>
        <v>410928.309552849</v>
      </c>
      <c r="BT41" s="15" t="n">
        <f aca="false">BR41-BS41</f>
        <v>0</v>
      </c>
      <c r="BU41" s="15" t="n">
        <f aca="false">BH41-(BD41+BE41-BF41-AY41)</f>
        <v>0</v>
      </c>
      <c r="BV41" s="15" t="n">
        <f aca="false">MIN(Piano_SS!$C$6,(BV40)+IF(AND(Motore_Operativo!C41&gt;=EDATE(Parametri_v3!$C$24,Ipotesi!C14*12),Motore_Operativo!C41&lt;EDATE(Parametri_v3!$C$24,Parametri_v3!$C$25+Ipotesi!C14*12)),MAX(0,(Motore_Operativo!Y41+Motore_Operativo!X41*Parametri_v3!$C$14)*(1-Parametri_v3!$C$32))*Piano_SS!$D$6,0))</f>
        <v>300000</v>
      </c>
      <c r="BW41" s="15" t="n">
        <f aca="false">MIN(Piano_SS!$C$7,(BW40)+IF(AND(Motore_Operativo!C41&gt;=EDATE(Parametri_v3!$C$24,Ipotesi!C14*12),Motore_Operativo!C41&lt;EDATE(Parametri_v3!$C$24,Parametri_v3!$C$25+Ipotesi!C14*12)),MAX(0,(IF(37-(INT((Ipotesi!$C$91)/30))&lt;1,0,INDEX(Motore_Operativo!$BN$5:$BN$64,MAX(1,37-(INT((Ipotesi!$C$91)/30)))))*(1-(MOD((Ipotesi!$C$91),30)/30))+IF(37-(INT((Ipotesi!$C$91)/30))-1&lt;1,0,INDEX(Motore_Operativo!$BN$5:$BN$64,MAX(1,37-(INT((Ipotesi!$C$91)/30))-1)))*(MOD((Ipotesi!$C$91),30)/30)))*Piano_SS!$D$7,0))</f>
        <v>37208.8229697489</v>
      </c>
      <c r="BX41" s="15" t="n">
        <f aca="false">MIN(Piano_SS!$C$8,(BX40)+IF(AND(Motore_Operativo!C41&gt;=EDATE(Parametri_v3!$C$24,Ipotesi!C14*12),Motore_Operativo!C41&lt;EDATE(Parametri_v3!$C$24,Parametri_v3!$C$25+Ipotesi!C14*12)),MAX(0,Motore_Operativo!CE41)*Piano_SS!$D$8,0))</f>
        <v>50000</v>
      </c>
      <c r="BY41" s="15" t="n">
        <f aca="false">MIN(Piano_SS!$C$9,(BY40)+IF(AND(Motore_Operativo!C41&gt;=EDATE(Parametri_v3!$C$24,Ipotesi!C14*12),Motore_Operativo!C41&lt;EDATE(Parametri_v3!$C$24,Parametri_v3!$C$25+Ipotesi!C14*12)),MAX(0,((IF(37-(INT((Ipotesi!$C$91)/30))&lt;1,0,INDEX(Motore_Operativo!$BQ$5:$BQ$64,MAX(1,37-(INT((Ipotesi!$C$91)/30)))))*(1-(MOD((Ipotesi!$C$91),30)/30))+IF(37-(INT((Ipotesi!$C$91)/30))-1&lt;1,0,INDEX(Motore_Operativo!$BQ$5:$BQ$64,MAX(1,37-(INT((Ipotesi!$C$91)/30))-1)))*(MOD((Ipotesi!$C$91),30)/30))+(IF(37-(INT((Ipotesi!$C$91)/30))&lt;1,0,INDEX(Motore_Operativo!$BR$5:$BR$64,MAX(1,37-(INT((Ipotesi!$C$91)/30)))))*(1-(MOD((Ipotesi!$C$91),30)/30))+IF(37-(INT((Ipotesi!$C$91)/30))-1&lt;1,0,INDEX(Motore_Operativo!$BR$5:$BR$64,MAX(1,37-(INT((Ipotesi!$C$91)/30))-1)))*(MOD((Ipotesi!$C$91),30)/30))))*Piano_SS!$D$9,0))</f>
        <v>40000</v>
      </c>
      <c r="BZ41" s="15" t="n">
        <f aca="false">MIN(Piano_SS!$C$10,(BZ40)+IF(AND(Motore_Operativo!C41&gt;=EDATE(Parametri_v3!$C$24,Ipotesi!C14*12),Motore_Operativo!C41&lt;EDATE(Parametri_v3!$C$24,Parametri_v3!$C$25+Ipotesi!C14*12)),MAX(0,(IF(37-(INT((Ipotesi!$C$91)/30))&lt;1,0,INDEX(Motore_Operativo!$BO$5:$BO$64,MAX(1,37-(INT((Ipotesi!$C$91)/30)))))*(1-(MOD((Ipotesi!$C$91),30)/30))+IF(37-(INT((Ipotesi!$C$91)/30))-1&lt;1,0,INDEX(Motore_Operativo!$BO$5:$BO$64,MAX(1,37-(INT((Ipotesi!$C$91)/30))-1)))*(MOD((Ipotesi!$C$91),30)/30)))*Piano_SS!$D$10,0))</f>
        <v>30000</v>
      </c>
      <c r="CA41" s="15" t="n">
        <f aca="false">SUM(BV41:BZ41)</f>
        <v>457208.822969749</v>
      </c>
      <c r="CB41" s="15" t="n">
        <f aca="false">BV41*(1-Piano_SS!$E$6)+BW41*(1-Piano_SS!$E$7)+BX41*(1-Piano_SS!$E$8)+BY41*(1-Piano_SS!$E$9)+BZ41*(1-Piano_SS!$E$10)</f>
        <v>427208.822969749</v>
      </c>
      <c r="CC41" s="15" t="n">
        <f aca="false">(CC40)+BA41</f>
        <v>365767.058375799</v>
      </c>
      <c r="CD41" s="15" t="n">
        <f aca="false">IF(CA41=0,0,CC41*CB41/CA41*Ipotesi!$C$103*Parametri_v3!$C$64)</f>
        <v>102530.11751274</v>
      </c>
      <c r="CE41" s="18" t="n">
        <f aca="false">IF(BA41&gt;0,Motore_Operativo!C41,(CE40))</f>
        <v>47270</v>
      </c>
      <c r="CF41" s="18" t="n">
        <f aca="false">IF(AND(CC41&gt;0,OR(CC41&gt;=CG41-0.01,Motore_Operativo!C41&gt;=EDATE(MAX(Finanziamenti!$D$15:$D$17),Ipotesi!C14*12))),CE41,0)</f>
        <v>47270</v>
      </c>
      <c r="CG41" s="15" t="n">
        <f aca="false">IF(AND(1&lt;&gt;6,1&lt;&gt;9,Finanziamenti!$F$11=1,OR(Parametri_v3!$C$6=0,Finanziamenti!$E$11=1)),MIN(Finanziamenti!$C$11,Piano_SS!$C$12*Ipotesi!$C$102),0)</f>
        <v>400000</v>
      </c>
      <c r="CH41" s="15" t="n">
        <f aca="false">IF(AND(AND(1&lt;&gt;8,1&lt;&gt;9,Finanziamenti!$F$10=1,OR(Parametri_v3!$C$6=0,Finanziamenti!$E$10=1)),Motore_Operativo!C41&gt;=Finanziamenti!$D$10,Motore_Operativo!C41&lt;Parametri_v3!$C$63),Finanziamenti!$C$10,0)</f>
        <v>150000</v>
      </c>
    </row>
    <row r="42" customFormat="false" ht="18" hidden="false" customHeight="true" outlineLevel="0" collapsed="false">
      <c r="A42" s="68" t="n">
        <f aca="false">1</f>
        <v>1</v>
      </c>
      <c r="B42" s="68" t="n">
        <f aca="false">38</f>
        <v>38</v>
      </c>
      <c r="C42" s="18" t="n">
        <f aca="false">Motore_Operativo!C42</f>
        <v>47515</v>
      </c>
      <c r="D42" s="68" t="n">
        <f aca="false">Motore_Operativo!D42</f>
        <v>2030</v>
      </c>
      <c r="E42" s="68" t="n">
        <f aca="false">Motore_Operativo!E42</f>
        <v>2</v>
      </c>
      <c r="F42" s="15" t="n">
        <f aca="false">Motore_Operativo!AQ42+Motore_Operativo!BF42</f>
        <v>85335.0962619801</v>
      </c>
      <c r="G42" s="15" t="n">
        <f aca="false">Motore_Operativo!BH42</f>
        <v>6906.25</v>
      </c>
      <c r="H42" s="15" t="n">
        <f aca="false">Motore_Operativo!BI42</f>
        <v>92241.3462619801</v>
      </c>
      <c r="I42" s="15" t="n">
        <f aca="false">Motore_Operativo!CA42</f>
        <v>152783.851601677</v>
      </c>
      <c r="J42" s="15" t="n">
        <f aca="false">Motore_Operativo!CC42</f>
        <v>-60542.5053396971</v>
      </c>
      <c r="K42" s="15" t="n">
        <f aca="false">Motore_Operativo!CE42</f>
        <v>3333.33333333333</v>
      </c>
      <c r="L42" s="15" t="n">
        <f aca="false">SUM(INDEX($K$5:$K$64,MAX(1,38-Parametri_v3!$C$59+1)):K42)/Parametri_v3!$C$59</f>
        <v>2175.92592592593</v>
      </c>
      <c r="M42" s="15" t="n">
        <f aca="false">J42-L42</f>
        <v>-62718.4312656231</v>
      </c>
      <c r="N42" s="15" t="n">
        <f aca="false">CD42-(CD41)</f>
        <v>0</v>
      </c>
      <c r="O42" s="15" t="n">
        <f aca="false">(BG41)*Ipotesi!$C$110/12+CH42*Parametri_v3!$C$39/12</f>
        <v>0</v>
      </c>
      <c r="P42" s="15" t="n">
        <f aca="false">M42+N42-O42</f>
        <v>-62718.4312656231</v>
      </c>
      <c r="Q42" s="15" t="n">
        <f aca="false">SUM(P41:P42)+Parametri_v3!$C$54*2/12</f>
        <v>-126987.797271986</v>
      </c>
      <c r="R42" s="15" t="n">
        <f aca="false">Z40</f>
        <v>1327622.74335066</v>
      </c>
      <c r="S42" s="15" t="n">
        <f aca="false">AA40</f>
        <v>0</v>
      </c>
      <c r="T42" s="15" t="n">
        <f aca="false">MIN(R42,MAX(0,Q42))</f>
        <v>0</v>
      </c>
      <c r="U42" s="15" t="n">
        <f aca="false">MIN(S42,MAX(0,Q42-T42)*Parametri_v3!$C$42)</f>
        <v>0</v>
      </c>
      <c r="V42" s="15" t="n">
        <f aca="false">MAX(0,Q42-T42-U42)*Ipotesi!$C$92</f>
        <v>0</v>
      </c>
      <c r="W42" s="15" t="n">
        <f aca="false">MAX(0,SUM(M41:M42)+Parametri_v3!$C$55*2/12)*Ipotesi!$C$93</f>
        <v>0</v>
      </c>
      <c r="X42" s="15" t="n">
        <f aca="false">V42+W42-(V41+W41)</f>
        <v>0</v>
      </c>
      <c r="Y42" s="15" t="n">
        <f aca="false">P42-X42</f>
        <v>-62718.4312656231</v>
      </c>
      <c r="Z42" s="15" t="n">
        <f aca="false">R42-T42+IF(AND(Parametri_v3!$C$40=1,D42-YEAR(Parametri_v3!$C$50)&lt;Parametri_v3!$C$41),MAX(0,-Q42),0)</f>
        <v>1327622.74335066</v>
      </c>
      <c r="AA42" s="15" t="n">
        <f aca="false">S42-U42+IF(AND(Parametri_v3!$C$40=1,D42-YEAR(Parametri_v3!$C$50)&lt;Parametri_v3!$C$41),0,MAX(0,-Q42))</f>
        <v>126987.797271986</v>
      </c>
      <c r="AB42" s="15" t="n">
        <f aca="false">F42*(1+Parametri_v3!$C$26)</f>
        <v>104108.817439616</v>
      </c>
      <c r="AC42" s="15" t="n">
        <f aca="false">(IF(38-(INT((Motore_Operativo!L42)/30))&lt;1,0,INDEX(Motore_Startup!$AB$5:$AB$64,MAX(1,38-(INT((Motore_Operativo!L42)/30)))))*(1-(MOD((Motore_Operativo!L42),30)/30))+IF(38-(INT((Motore_Operativo!L42)/30))-1&lt;1,0,INDEX(Motore_Startup!$AB$5:$AB$64,MAX(1,38-(INT((Motore_Operativo!L42)/30))-1)))*(MOD((Motore_Operativo!L42),30)/30))</f>
        <v>72228.7950609026</v>
      </c>
      <c r="AD42" s="15" t="n">
        <f aca="false">(AD41)+AB42-AC42</f>
        <v>280784.492196567</v>
      </c>
      <c r="AE42" s="15" t="n">
        <f aca="false">Motore_Operativo!BH42*(1+Parametri_v3!$C$26)</f>
        <v>8425.625</v>
      </c>
      <c r="AF42" s="15" t="n">
        <f aca="false">(IF(38-(INT((Parametri_v3!$C$29)/30))&lt;1,0,INDEX(Motore_Operativo!$BH$5:$BH$64,MAX(1,38-(INT((Parametri_v3!$C$29)/30)))))*(1-(MOD((Parametri_v3!$C$29),30)/30))+IF(38-(INT((Parametri_v3!$C$29)/30))-1&lt;1,0,INDEX(Motore_Operativo!$BH$5:$BH$64,MAX(1,38-(INT((Parametri_v3!$C$29)/30))-1)))*(MOD((Parametri_v3!$C$29),30)/30))*(1+Parametri_v3!$C$26)</f>
        <v>8425.625</v>
      </c>
      <c r="AG42" s="15" t="n">
        <f aca="false">(AG41)+AE42-AF42</f>
        <v>8425.625</v>
      </c>
      <c r="AH42" s="15" t="n">
        <f aca="false">(Motore_Operativo!CJ42)*(1+Parametri_v3!$C$27*Parametri_v3!$C$26)</f>
        <v>66840.8811926492</v>
      </c>
      <c r="AI42" s="15" t="n">
        <f aca="false">(IF(38-(INT((Ipotesi!$C$91)/30))&lt;1,0,INDEX(Motore_Startup!$AH$5:$AH$64,MAX(1,38-(INT((Ipotesi!$C$91)/30)))))*(1-(MOD((Ipotesi!$C$91),30)/30))+IF(38-(INT((Ipotesi!$C$91)/30))-1&lt;1,0,INDEX(Motore_Startup!$AH$5:$AH$64,MAX(1,38-(INT((Ipotesi!$C$91)/30))-1)))*(MOD((Ipotesi!$C$91),30)/30))</f>
        <v>50386.2017023369</v>
      </c>
      <c r="AJ42" s="15" t="n">
        <f aca="false">(AJ41)+AH42-AI42</f>
        <v>133373.125346072</v>
      </c>
      <c r="AK42" s="15" t="n">
        <f aca="false">(F42+ Motore_Operativo!BH42-(Motore_Operativo!CJ42)*Parametri_v3!$C$27-Motore_Operativo!CE42)*Parametri_v3!$C$26</f>
        <v>9029.64929499698</v>
      </c>
      <c r="AL42" s="15" t="n">
        <f aca="false">MAX(0,(AM41))</f>
        <v>8669.67799313842</v>
      </c>
      <c r="AM42" s="15" t="n">
        <f aca="false">(AM41)+AK42-AL42</f>
        <v>9029.64929499698</v>
      </c>
      <c r="AN42" s="15" t="n">
        <f aca="false">SUM(X29:X40)</f>
        <v>0</v>
      </c>
      <c r="AO42" s="15" t="n">
        <f aca="false">SUM(AP29:AP40)</f>
        <v>0</v>
      </c>
      <c r="AP42" s="15" t="n">
        <f aca="false">MAX(0,AN42)*IF(2=Parametri_v3!$C$43,Parametri_v3!$C$45,IF(2=Parametri_v3!$C$44,1-Parametri_v3!$C$45,0))</f>
        <v>0</v>
      </c>
      <c r="AQ42" s="15" t="n">
        <f aca="false">MAX(0,AP42+IF(2=Parametri_v3!$C$43,MAX(0,AN42-AO42),0)-MAX(0,-(AR41)))</f>
        <v>0</v>
      </c>
      <c r="AR42" s="15" t="n">
        <f aca="false">(AR41)+X42-AQ42</f>
        <v>0</v>
      </c>
      <c r="AS42" s="15" t="n">
        <f aca="false">Motore_Operativo!AB42-AT42+AU42</f>
        <v>91649.4297604167</v>
      </c>
      <c r="AT42" s="15" t="n">
        <f aca="false">Motore_Operativo!CH42</f>
        <v>4823.65419791667</v>
      </c>
      <c r="AU42" s="15" t="n">
        <f aca="false">MIN(MAX(0,(AV41)+AT42),Parametri_v3!$C$60/12)</f>
        <v>0</v>
      </c>
      <c r="AV42" s="15" t="n">
        <f aca="false">(AV41)+AT42-AU42</f>
        <v>88819.0083958333</v>
      </c>
      <c r="AW42" s="15" t="n">
        <f aca="false">IF(AND(Motore_Operativo!C42=Finanziamenti!$D$6,Finanziamenti!$F$6=1),Finanziamenti!$C$6,0)</f>
        <v>0</v>
      </c>
      <c r="AX42" s="15" t="n">
        <f aca="false">IF(AND(1&lt;&gt;7,1&lt;&gt;9,Finanziamenti!$F$8=1,OR(Parametri_v3!$C$6=0,Finanziamenti!$E$8=1),Motore_Operativo!C42=EDATE(Finanziamenti!$D$8,Ipotesi!C15*12)),Finanziamenti!$C$8*1,0)+IF(AND(1&lt;&gt;7,1&lt;&gt;9,Finanziamenti!$F$9=1,OR(Parametri_v3!$C$6=0,Finanziamenti!$E$9=1),Motore_Operativo!C42=EDATE(Finanziamenti!$D$9,Ipotesi!C15*12)),Finanziamenti!$C$9*Ipotesi!C16,0)</f>
        <v>0</v>
      </c>
      <c r="AY42" s="15" t="n">
        <f aca="false">0</f>
        <v>0</v>
      </c>
      <c r="AZ42" s="15" t="n">
        <f aca="false">Motore_Advisory!AY42*(1-Ipotesi!$C$95)*Ipotesi!$C$96</f>
        <v>0</v>
      </c>
      <c r="BA42" s="15" t="n">
        <f aca="false">MAX(0,MIN(CG42*MIN(1,IF(Motore_Operativo!C42&gt;=EDATE(Finanziamenti!$D$15,Ipotesi!C14*12),Finanziamenti!$C$15,0)+IF(Motore_Operativo!C42&gt;=EDATE(Finanziamenti!$D$16,Ipotesi!C14*12),Finanziamenti!$C$16,0)+IF(Motore_Operativo!C42&gt;=EDATE(Finanziamenti!$D$17,Ipotesi!C14*12),Finanziamenti!$C$17,0)),CA42*Ipotesi!$C$102)-(CC41))</f>
        <v>0</v>
      </c>
      <c r="BB42" s="15" t="n">
        <f aca="false">IF(AND(CF42&gt;0,Motore_Operativo!C42&gt;=IF(CF42=0,0,EDATE(CF42,Parametri_v3!$C$37)),MOD(((D42-YEAR(IF(CF42=0,0,EDATE(CF42,Parametri_v3!$C$37))))*12+E42-MONTH(IF(CF42=0,0,EDATE(CF42,Parametri_v3!$C$37)))),Parametri_v3!$C$38)=0),MIN(MAX(0,(BC41)+BA42-N42),(CC42-CD42)/(Ipotesi!$C$108*12/Parametri_v3!$C$38)),0)</f>
        <v>0</v>
      </c>
      <c r="BC42" s="15" t="n">
        <f aca="false">(BC41)+BA42-N42-BB42</f>
        <v>263236.940863059</v>
      </c>
      <c r="BD42" s="15" t="n">
        <f aca="false">(BH41)+AC42+AF42-AI42-AS42-K42*(1+Parametri_v3!$C$26)-AL42-AQ42-O42+AW42+AX42+AZ42+BA42-BB42</f>
        <v>38485.2883029686</v>
      </c>
      <c r="BE42" s="15" t="n">
        <f aca="false">MAX(0,MIN(MAX(0,CH42-(BG41)),Parametri_v3!$C$30-BD42))</f>
        <v>0</v>
      </c>
      <c r="BF42" s="15" t="n">
        <f aca="false">IF(Motore_Operativo!C42&gt;=Parametri_v3!$C$63,(BG41),MIN((BG41),MAX(0,BD42-Parametri_v3!$C$30)))</f>
        <v>0</v>
      </c>
      <c r="BG42" s="15" t="n">
        <f aca="false">(BG41)+BE42-BF42</f>
        <v>0</v>
      </c>
      <c r="BH42" s="15" t="n">
        <f aca="false">BD42+BE42-BF42-AY42</f>
        <v>38485.2883029686</v>
      </c>
      <c r="BI42" s="15" t="n">
        <f aca="false">MAX(0,Parametri_v3!$C$30-BH42)</f>
        <v>0</v>
      </c>
      <c r="BJ42" s="15" t="n">
        <f aca="false">(BJ41)+K42</f>
        <v>81666.6666666667</v>
      </c>
      <c r="BK42" s="15" t="n">
        <f aca="false">(BK41)+L42</f>
        <v>39513.8888888889</v>
      </c>
      <c r="BL42" s="15" t="n">
        <f aca="false">BJ42-BK42</f>
        <v>42152.7777777778</v>
      </c>
      <c r="BM42" s="15" t="n">
        <f aca="false">(BM41)+Y42</f>
        <v>-1454610.54062265</v>
      </c>
      <c r="BN42" s="15" t="n">
        <f aca="false">(BN41)+AW42+AX42+AZ42</f>
        <v>1330000</v>
      </c>
      <c r="BO42" s="15" t="n">
        <f aca="false">(BO41)+AY42</f>
        <v>0</v>
      </c>
      <c r="BP42" s="15" t="n">
        <f aca="false">0</f>
        <v>0</v>
      </c>
      <c r="BQ42" s="15" t="n">
        <f aca="false">BN42+BM42-BO42</f>
        <v>-124610.540622648</v>
      </c>
      <c r="BR42" s="15" t="n">
        <f aca="false">BH42+AD42+BL42+MAX(0,-AM42)+MAX(0,-AR42)+AG42</f>
        <v>369848.183277314</v>
      </c>
      <c r="BS42" s="15" t="n">
        <f aca="false">AJ42+AV42+MAX(0,AM42)+MAX(0,AR42)+BC42+BG42+BQ42</f>
        <v>369848.183277314</v>
      </c>
      <c r="BT42" s="15" t="n">
        <f aca="false">BR42-BS42</f>
        <v>0</v>
      </c>
      <c r="BU42" s="15" t="n">
        <f aca="false">BH42-(BD42+BE42-BF42-AY42)</f>
        <v>0</v>
      </c>
      <c r="BV42" s="15" t="n">
        <f aca="false">MIN(Piano_SS!$C$6,(BV41)+IF(AND(Motore_Operativo!C42&gt;=EDATE(Parametri_v3!$C$24,Ipotesi!C14*12),Motore_Operativo!C42&lt;EDATE(Parametri_v3!$C$24,Parametri_v3!$C$25+Ipotesi!C14*12)),MAX(0,(Motore_Operativo!Y42+Motore_Operativo!X42*Parametri_v3!$C$14)*(1-Parametri_v3!$C$32))*Piano_SS!$D$6,0))</f>
        <v>300000</v>
      </c>
      <c r="BW42" s="15" t="n">
        <f aca="false">MIN(Piano_SS!$C$7,(BW41)+IF(AND(Motore_Operativo!C42&gt;=EDATE(Parametri_v3!$C$24,Ipotesi!C14*12),Motore_Operativo!C42&lt;EDATE(Parametri_v3!$C$24,Parametri_v3!$C$25+Ipotesi!C14*12)),MAX(0,(IF(38-(INT((Ipotesi!$C$91)/30))&lt;1,0,INDEX(Motore_Operativo!$BN$5:$BN$64,MAX(1,38-(INT((Ipotesi!$C$91)/30)))))*(1-(MOD((Ipotesi!$C$91),30)/30))+IF(38-(INT((Ipotesi!$C$91)/30))-1&lt;1,0,INDEX(Motore_Operativo!$BN$5:$BN$64,MAX(1,38-(INT((Ipotesi!$C$91)/30))-1)))*(MOD((Ipotesi!$C$91),30)/30)))*Piano_SS!$D$7,0))</f>
        <v>37208.8229697489</v>
      </c>
      <c r="BX42" s="15" t="n">
        <f aca="false">MIN(Piano_SS!$C$8,(BX41)+IF(AND(Motore_Operativo!C42&gt;=EDATE(Parametri_v3!$C$24,Ipotesi!C14*12),Motore_Operativo!C42&lt;EDATE(Parametri_v3!$C$24,Parametri_v3!$C$25+Ipotesi!C14*12)),MAX(0,Motore_Operativo!CE42)*Piano_SS!$D$8,0))</f>
        <v>50000</v>
      </c>
      <c r="BY42" s="15" t="n">
        <f aca="false">MIN(Piano_SS!$C$9,(BY41)+IF(AND(Motore_Operativo!C42&gt;=EDATE(Parametri_v3!$C$24,Ipotesi!C14*12),Motore_Operativo!C42&lt;EDATE(Parametri_v3!$C$24,Parametri_v3!$C$25+Ipotesi!C14*12)),MAX(0,((IF(38-(INT((Ipotesi!$C$91)/30))&lt;1,0,INDEX(Motore_Operativo!$BQ$5:$BQ$64,MAX(1,38-(INT((Ipotesi!$C$91)/30)))))*(1-(MOD((Ipotesi!$C$91),30)/30))+IF(38-(INT((Ipotesi!$C$91)/30))-1&lt;1,0,INDEX(Motore_Operativo!$BQ$5:$BQ$64,MAX(1,38-(INT((Ipotesi!$C$91)/30))-1)))*(MOD((Ipotesi!$C$91),30)/30))+(IF(38-(INT((Ipotesi!$C$91)/30))&lt;1,0,INDEX(Motore_Operativo!$BR$5:$BR$64,MAX(1,38-(INT((Ipotesi!$C$91)/30)))))*(1-(MOD((Ipotesi!$C$91),30)/30))+IF(38-(INT((Ipotesi!$C$91)/30))-1&lt;1,0,INDEX(Motore_Operativo!$BR$5:$BR$64,MAX(1,38-(INT((Ipotesi!$C$91)/30))-1)))*(MOD((Ipotesi!$C$91),30)/30))))*Piano_SS!$D$9,0))</f>
        <v>40000</v>
      </c>
      <c r="BZ42" s="15" t="n">
        <f aca="false">MIN(Piano_SS!$C$10,(BZ41)+IF(AND(Motore_Operativo!C42&gt;=EDATE(Parametri_v3!$C$24,Ipotesi!C14*12),Motore_Operativo!C42&lt;EDATE(Parametri_v3!$C$24,Parametri_v3!$C$25+Ipotesi!C14*12)),MAX(0,(IF(38-(INT((Ipotesi!$C$91)/30))&lt;1,0,INDEX(Motore_Operativo!$BO$5:$BO$64,MAX(1,38-(INT((Ipotesi!$C$91)/30)))))*(1-(MOD((Ipotesi!$C$91),30)/30))+IF(38-(INT((Ipotesi!$C$91)/30))-1&lt;1,0,INDEX(Motore_Operativo!$BO$5:$BO$64,MAX(1,38-(INT((Ipotesi!$C$91)/30))-1)))*(MOD((Ipotesi!$C$91),30)/30)))*Piano_SS!$D$10,0))</f>
        <v>30000</v>
      </c>
      <c r="CA42" s="15" t="n">
        <f aca="false">SUM(BV42:BZ42)</f>
        <v>457208.822969749</v>
      </c>
      <c r="CB42" s="15" t="n">
        <f aca="false">BV42*(1-Piano_SS!$E$6)+BW42*(1-Piano_SS!$E$7)+BX42*(1-Piano_SS!$E$8)+BY42*(1-Piano_SS!$E$9)+BZ42*(1-Piano_SS!$E$10)</f>
        <v>427208.822969749</v>
      </c>
      <c r="CC42" s="15" t="n">
        <f aca="false">(CC41)+BA42</f>
        <v>365767.058375799</v>
      </c>
      <c r="CD42" s="15" t="n">
        <f aca="false">IF(CA42=0,0,CC42*CB42/CA42*Ipotesi!$C$103*Parametri_v3!$C$64)</f>
        <v>102530.11751274</v>
      </c>
      <c r="CE42" s="18" t="n">
        <f aca="false">IF(BA42&gt;0,Motore_Operativo!C42,(CE41))</f>
        <v>47270</v>
      </c>
      <c r="CF42" s="18" t="n">
        <f aca="false">IF(AND(CC42&gt;0,OR(CC42&gt;=CG42-0.01,Motore_Operativo!C42&gt;=EDATE(MAX(Finanziamenti!$D$15:$D$17),Ipotesi!C14*12))),CE42,0)</f>
        <v>47270</v>
      </c>
      <c r="CG42" s="15" t="n">
        <f aca="false">IF(AND(1&lt;&gt;6,1&lt;&gt;9,Finanziamenti!$F$11=1,OR(Parametri_v3!$C$6=0,Finanziamenti!$E$11=1)),MIN(Finanziamenti!$C$11,Piano_SS!$C$12*Ipotesi!$C$102),0)</f>
        <v>400000</v>
      </c>
      <c r="CH42" s="15" t="n">
        <f aca="false">IF(AND(AND(1&lt;&gt;8,1&lt;&gt;9,Finanziamenti!$F$10=1,OR(Parametri_v3!$C$6=0,Finanziamenti!$E$10=1)),Motore_Operativo!C42&gt;=Finanziamenti!$D$10,Motore_Operativo!C42&lt;Parametri_v3!$C$63),Finanziamenti!$C$10,0)</f>
        <v>150000</v>
      </c>
    </row>
    <row r="43" customFormat="false" ht="18" hidden="false" customHeight="true" outlineLevel="0" collapsed="false">
      <c r="A43" s="68" t="n">
        <f aca="false">1</f>
        <v>1</v>
      </c>
      <c r="B43" s="68" t="n">
        <f aca="false">39</f>
        <v>39</v>
      </c>
      <c r="C43" s="18" t="n">
        <f aca="false">Motore_Operativo!C43</f>
        <v>47543</v>
      </c>
      <c r="D43" s="68" t="n">
        <f aca="false">Motore_Operativo!D43</f>
        <v>2030</v>
      </c>
      <c r="E43" s="68" t="n">
        <f aca="false">Motore_Operativo!E43</f>
        <v>3</v>
      </c>
      <c r="F43" s="15" t="n">
        <f aca="false">Motore_Operativo!AQ43+Motore_Operativo!BF43</f>
        <v>87176.1063372193</v>
      </c>
      <c r="G43" s="15" t="n">
        <f aca="false">Motore_Operativo!BH43</f>
        <v>6906.25</v>
      </c>
      <c r="H43" s="15" t="n">
        <f aca="false">Motore_Operativo!BI43</f>
        <v>94082.3563372193</v>
      </c>
      <c r="I43" s="15" t="n">
        <f aca="false">Motore_Operativo!CA43</f>
        <v>153041.593012211</v>
      </c>
      <c r="J43" s="15" t="n">
        <f aca="false">Motore_Operativo!CC43</f>
        <v>-58959.2366749914</v>
      </c>
      <c r="K43" s="15" t="n">
        <f aca="false">Motore_Operativo!CE43</f>
        <v>3333.33333333333</v>
      </c>
      <c r="L43" s="15" t="n">
        <f aca="false">SUM(INDEX($K$5:$K$64,MAX(1,39-Parametri_v3!$C$59+1)):K43)/Parametri_v3!$C$59</f>
        <v>2222.22222222222</v>
      </c>
      <c r="M43" s="15" t="n">
        <f aca="false">J43-L43</f>
        <v>-61181.4588972137</v>
      </c>
      <c r="N43" s="15" t="n">
        <f aca="false">CD43-(CD42)</f>
        <v>0</v>
      </c>
      <c r="O43" s="15" t="n">
        <f aca="false">(BG42)*Ipotesi!$C$110/12+CH43*Parametri_v3!$C$39/12</f>
        <v>0</v>
      </c>
      <c r="P43" s="15" t="n">
        <f aca="false">M43+N43-O43</f>
        <v>-61181.4588972137</v>
      </c>
      <c r="Q43" s="15" t="n">
        <f aca="false">SUM(P41:P43)+Parametri_v3!$C$54*3/12</f>
        <v>-188169.2561692</v>
      </c>
      <c r="R43" s="15" t="n">
        <f aca="false">Z40</f>
        <v>1327622.74335066</v>
      </c>
      <c r="S43" s="15" t="n">
        <f aca="false">AA40</f>
        <v>0</v>
      </c>
      <c r="T43" s="15" t="n">
        <f aca="false">MIN(R43,MAX(0,Q43))</f>
        <v>0</v>
      </c>
      <c r="U43" s="15" t="n">
        <f aca="false">MIN(S43,MAX(0,Q43-T43)*Parametri_v3!$C$42)</f>
        <v>0</v>
      </c>
      <c r="V43" s="15" t="n">
        <f aca="false">MAX(0,Q43-T43-U43)*Ipotesi!$C$92</f>
        <v>0</v>
      </c>
      <c r="W43" s="15" t="n">
        <f aca="false">MAX(0,SUM(M41:M43)+Parametri_v3!$C$55*3/12)*Ipotesi!$C$93</f>
        <v>0</v>
      </c>
      <c r="X43" s="15" t="n">
        <f aca="false">V43+W43-(V42+W42)</f>
        <v>0</v>
      </c>
      <c r="Y43" s="15" t="n">
        <f aca="false">P43-X43</f>
        <v>-61181.4588972137</v>
      </c>
      <c r="Z43" s="15" t="n">
        <f aca="false">R43-T43+IF(AND(Parametri_v3!$C$40=1,D43-YEAR(Parametri_v3!$C$50)&lt;Parametri_v3!$C$41),MAX(0,-Q43),0)</f>
        <v>1327622.74335066</v>
      </c>
      <c r="AA43" s="15" t="n">
        <f aca="false">S43-U43+IF(AND(Parametri_v3!$C$40=1,D43-YEAR(Parametri_v3!$C$50)&lt;Parametri_v3!$C$41),0,MAX(0,-Q43))</f>
        <v>188169.2561692</v>
      </c>
      <c r="AB43" s="15" t="n">
        <f aca="false">F43*(1+Parametri_v3!$C$26)</f>
        <v>106354.849731408</v>
      </c>
      <c r="AC43" s="15" t="n">
        <f aca="false">(IF(39-(INT((Motore_Operativo!L43)/30))&lt;1,0,INDEX(Motore_Startup!$AB$5:$AB$64,MAX(1,39-(INT((Motore_Operativo!L43)/30)))))*(1-(MOD((Motore_Operativo!L43),30)/30))+IF(39-(INT((Motore_Operativo!L43)/30))-1&lt;1,0,INDEX(Motore_Startup!$AB$5:$AB$64,MAX(1,39-(INT((Motore_Operativo!L43)/30))-1)))*(MOD((Motore_Operativo!L43),30)/30))</f>
        <v>74832.6966954571</v>
      </c>
      <c r="AD43" s="15" t="n">
        <f aca="false">(AD42)+AB43-AC43</f>
        <v>312306.645232518</v>
      </c>
      <c r="AE43" s="15" t="n">
        <f aca="false">Motore_Operativo!BH43*(1+Parametri_v3!$C$26)</f>
        <v>8425.625</v>
      </c>
      <c r="AF43" s="15" t="n">
        <f aca="false">(IF(39-(INT((Parametri_v3!$C$29)/30))&lt;1,0,INDEX(Motore_Operativo!$BH$5:$BH$64,MAX(1,39-(INT((Parametri_v3!$C$29)/30)))))*(1-(MOD((Parametri_v3!$C$29),30)/30))+IF(39-(INT((Parametri_v3!$C$29)/30))-1&lt;1,0,INDEX(Motore_Operativo!$BH$5:$BH$64,MAX(1,39-(INT((Parametri_v3!$C$29)/30))-1)))*(MOD((Parametri_v3!$C$29),30)/30))*(1+Parametri_v3!$C$26)</f>
        <v>8425.625</v>
      </c>
      <c r="AG43" s="15" t="n">
        <f aca="false">(AG42)+AE43-AF43</f>
        <v>8425.625</v>
      </c>
      <c r="AH43" s="15" t="n">
        <f aca="false">(Motore_Operativo!CJ43)*(1+Parametri_v3!$C$27*Parametri_v3!$C$26)</f>
        <v>67146.8202469525</v>
      </c>
      <c r="AI43" s="15" t="n">
        <f aca="false">(IF(39-(INT((Ipotesi!$C$91)/30))&lt;1,0,INDEX(Motore_Startup!$AH$5:$AH$64,MAX(1,39-(INT((Ipotesi!$C$91)/30)))))*(1-(MOD((Ipotesi!$C$91),30)/30))+IF(39-(INT((Ipotesi!$C$91)/30))-1&lt;1,0,INDEX(Motore_Startup!$AH$5:$AH$64,MAX(1,39-(INT((Ipotesi!$C$91)/30))-1)))*(MOD((Ipotesi!$C$91),30)/30))</f>
        <v>66532.2441534228</v>
      </c>
      <c r="AJ43" s="15" t="n">
        <f aca="false">(AJ42)+AH43-AI43</f>
        <v>133987.701439602</v>
      </c>
      <c r="AK43" s="15" t="n">
        <f aca="false">(F43+ Motore_Operativo!BH43-(Motore_Operativo!CJ43)*Parametri_v3!$C$27-Motore_Operativo!CE43)*Parametri_v3!$C$26</f>
        <v>9386.47386777984</v>
      </c>
      <c r="AL43" s="15" t="n">
        <f aca="false">MAX(0,(AM42))</f>
        <v>9029.64929499698</v>
      </c>
      <c r="AM43" s="15" t="n">
        <f aca="false">(AM42)+AK43-AL43</f>
        <v>9386.47386777984</v>
      </c>
      <c r="AN43" s="15" t="n">
        <f aca="false">SUM(X29:X40)</f>
        <v>0</v>
      </c>
      <c r="AO43" s="15" t="n">
        <f aca="false">SUM(AP29:AP40)</f>
        <v>0</v>
      </c>
      <c r="AP43" s="15" t="n">
        <f aca="false">MAX(0,AN43)*IF(3=Parametri_v3!$C$43,Parametri_v3!$C$45,IF(3=Parametri_v3!$C$44,1-Parametri_v3!$C$45,0))</f>
        <v>0</v>
      </c>
      <c r="AQ43" s="15" t="n">
        <f aca="false">MAX(0,AP43+IF(3=Parametri_v3!$C$43,MAX(0,AN43-AO43),0)-MAX(0,-(AR42)))</f>
        <v>0</v>
      </c>
      <c r="AR43" s="15" t="n">
        <f aca="false">(AR42)+X43-AQ43</f>
        <v>0</v>
      </c>
      <c r="AS43" s="15" t="n">
        <f aca="false">Motore_Operativo!AB43-AT43+AU43</f>
        <v>91649.4297604167</v>
      </c>
      <c r="AT43" s="15" t="n">
        <f aca="false">Motore_Operativo!CH43</f>
        <v>4823.65419791667</v>
      </c>
      <c r="AU43" s="15" t="n">
        <f aca="false">MIN(MAX(0,(AV42)+AT43),Parametri_v3!$C$60/12)</f>
        <v>0</v>
      </c>
      <c r="AV43" s="15" t="n">
        <f aca="false">(AV42)+AT43-AU43</f>
        <v>93642.66259375</v>
      </c>
      <c r="AW43" s="15" t="n">
        <f aca="false">IF(AND(Motore_Operativo!C43=Finanziamenti!$D$6,Finanziamenti!$F$6=1),Finanziamenti!$C$6,0)</f>
        <v>0</v>
      </c>
      <c r="AX43" s="15" t="n">
        <f aca="false">IF(AND(1&lt;&gt;7,1&lt;&gt;9,Finanziamenti!$F$8=1,OR(Parametri_v3!$C$6=0,Finanziamenti!$E$8=1),Motore_Operativo!C43=EDATE(Finanziamenti!$D$8,Ipotesi!C15*12)),Finanziamenti!$C$8*1,0)+IF(AND(1&lt;&gt;7,1&lt;&gt;9,Finanziamenti!$F$9=1,OR(Parametri_v3!$C$6=0,Finanziamenti!$E$9=1),Motore_Operativo!C43=EDATE(Finanziamenti!$D$9,Ipotesi!C15*12)),Finanziamenti!$C$9*Ipotesi!C16,0)</f>
        <v>0</v>
      </c>
      <c r="AY43" s="15" t="n">
        <f aca="false">0</f>
        <v>0</v>
      </c>
      <c r="AZ43" s="15" t="n">
        <f aca="false">Motore_Advisory!AY43*(1-Ipotesi!$C$95)*Ipotesi!$C$96</f>
        <v>0</v>
      </c>
      <c r="BA43" s="15" t="n">
        <f aca="false">MAX(0,MIN(CG43*MIN(1,IF(Motore_Operativo!C43&gt;=EDATE(Finanziamenti!$D$15,Ipotesi!C14*12),Finanziamenti!$C$15,0)+IF(Motore_Operativo!C43&gt;=EDATE(Finanziamenti!$D$16,Ipotesi!C14*12),Finanziamenti!$C$16,0)+IF(Motore_Operativo!C43&gt;=EDATE(Finanziamenti!$D$17,Ipotesi!C14*12),Finanziamenti!$C$17,0)),CA43*Ipotesi!$C$102)-(CC42))</f>
        <v>0</v>
      </c>
      <c r="BB43" s="15" t="n">
        <f aca="false">IF(AND(CF43&gt;0,Motore_Operativo!C43&gt;=IF(CF43=0,0,EDATE(CF43,Parametri_v3!$C$37)),MOD(((D43-YEAR(IF(CF43=0,0,EDATE(CF43,Parametri_v3!$C$37))))*12+E43-MONTH(IF(CF43=0,0,EDATE(CF43,Parametri_v3!$C$37)))),Parametri_v3!$C$38)=0),MIN(MAX(0,(BC42)+BA43-N43),(CC43-CD43)/(Ipotesi!$C$108*12/Parametri_v3!$C$38)),0)</f>
        <v>0</v>
      </c>
      <c r="BC43" s="15" t="n">
        <f aca="false">(BC42)+BA43-N43-BB43</f>
        <v>263236.940863059</v>
      </c>
      <c r="BD43" s="15" t="n">
        <f aca="false">(BH42)+AC43+AF43-AI43-AS43-K43*(1+Parametri_v3!$C$26)-AL43-AQ43-O43+AW43+AX43+AZ43+BA43-BB43</f>
        <v>-49534.3798770774</v>
      </c>
      <c r="BE43" s="15" t="n">
        <f aca="false">MAX(0,MIN(MAX(0,CH43-(BG42)),Parametri_v3!$C$30-BD43))</f>
        <v>74534.3798770774</v>
      </c>
      <c r="BF43" s="15" t="n">
        <f aca="false">IF(Motore_Operativo!C43&gt;=Parametri_v3!$C$63,(BG42),MIN((BG42),MAX(0,BD43-Parametri_v3!$C$30)))</f>
        <v>0</v>
      </c>
      <c r="BG43" s="15" t="n">
        <f aca="false">(BG42)+BE43-BF43</f>
        <v>74534.3798770774</v>
      </c>
      <c r="BH43" s="15" t="n">
        <f aca="false">BD43+BE43-BF43-AY43</f>
        <v>25000</v>
      </c>
      <c r="BI43" s="15" t="n">
        <f aca="false">MAX(0,Parametri_v3!$C$30-BH43)</f>
        <v>0</v>
      </c>
      <c r="BJ43" s="15" t="n">
        <f aca="false">(BJ42)+K43</f>
        <v>85000</v>
      </c>
      <c r="BK43" s="15" t="n">
        <f aca="false">(BK42)+L43</f>
        <v>41736.1111111111</v>
      </c>
      <c r="BL43" s="15" t="n">
        <f aca="false">BJ43-BK43</f>
        <v>43263.8888888889</v>
      </c>
      <c r="BM43" s="15" t="n">
        <f aca="false">(BM42)+Y43</f>
        <v>-1515791.99951986</v>
      </c>
      <c r="BN43" s="15" t="n">
        <f aca="false">(BN42)+AW43+AX43+AZ43</f>
        <v>1330000</v>
      </c>
      <c r="BO43" s="15" t="n">
        <f aca="false">(BO42)+AY43</f>
        <v>0</v>
      </c>
      <c r="BP43" s="15" t="n">
        <f aca="false">0</f>
        <v>0</v>
      </c>
      <c r="BQ43" s="15" t="n">
        <f aca="false">BN43+BM43-BO43</f>
        <v>-185791.999519862</v>
      </c>
      <c r="BR43" s="15" t="n">
        <f aca="false">BH43+AD43+BL43+MAX(0,-AM43)+MAX(0,-AR43)+AG43</f>
        <v>388996.159121407</v>
      </c>
      <c r="BS43" s="15" t="n">
        <f aca="false">AJ43+AV43+MAX(0,AM43)+MAX(0,AR43)+BC43+BG43+BQ43</f>
        <v>388996.159121407</v>
      </c>
      <c r="BT43" s="15" t="n">
        <f aca="false">BR43-BS43</f>
        <v>0</v>
      </c>
      <c r="BU43" s="15" t="n">
        <f aca="false">BH43-(BD43+BE43-BF43-AY43)</f>
        <v>0</v>
      </c>
      <c r="BV43" s="15" t="n">
        <f aca="false">MIN(Piano_SS!$C$6,(BV42)+IF(AND(Motore_Operativo!C43&gt;=EDATE(Parametri_v3!$C$24,Ipotesi!C14*12),Motore_Operativo!C43&lt;EDATE(Parametri_v3!$C$24,Parametri_v3!$C$25+Ipotesi!C14*12)),MAX(0,(Motore_Operativo!Y43+Motore_Operativo!X43*Parametri_v3!$C$14)*(1-Parametri_v3!$C$32))*Piano_SS!$D$6,0))</f>
        <v>300000</v>
      </c>
      <c r="BW43" s="15" t="n">
        <f aca="false">MIN(Piano_SS!$C$7,(BW42)+IF(AND(Motore_Operativo!C43&gt;=EDATE(Parametri_v3!$C$24,Ipotesi!C14*12),Motore_Operativo!C43&lt;EDATE(Parametri_v3!$C$24,Parametri_v3!$C$25+Ipotesi!C14*12)),MAX(0,(IF(39-(INT((Ipotesi!$C$91)/30))&lt;1,0,INDEX(Motore_Operativo!$BN$5:$BN$64,MAX(1,39-(INT((Ipotesi!$C$91)/30)))))*(1-(MOD((Ipotesi!$C$91),30)/30))+IF(39-(INT((Ipotesi!$C$91)/30))-1&lt;1,0,INDEX(Motore_Operativo!$BN$5:$BN$64,MAX(1,39-(INT((Ipotesi!$C$91)/30))-1)))*(MOD((Ipotesi!$C$91),30)/30)))*Piano_SS!$D$7,0))</f>
        <v>37208.8229697489</v>
      </c>
      <c r="BX43" s="15" t="n">
        <f aca="false">MIN(Piano_SS!$C$8,(BX42)+IF(AND(Motore_Operativo!C43&gt;=EDATE(Parametri_v3!$C$24,Ipotesi!C14*12),Motore_Operativo!C43&lt;EDATE(Parametri_v3!$C$24,Parametri_v3!$C$25+Ipotesi!C14*12)),MAX(0,Motore_Operativo!CE43)*Piano_SS!$D$8,0))</f>
        <v>50000</v>
      </c>
      <c r="BY43" s="15" t="n">
        <f aca="false">MIN(Piano_SS!$C$9,(BY42)+IF(AND(Motore_Operativo!C43&gt;=EDATE(Parametri_v3!$C$24,Ipotesi!C14*12),Motore_Operativo!C43&lt;EDATE(Parametri_v3!$C$24,Parametri_v3!$C$25+Ipotesi!C14*12)),MAX(0,((IF(39-(INT((Ipotesi!$C$91)/30))&lt;1,0,INDEX(Motore_Operativo!$BQ$5:$BQ$64,MAX(1,39-(INT((Ipotesi!$C$91)/30)))))*(1-(MOD((Ipotesi!$C$91),30)/30))+IF(39-(INT((Ipotesi!$C$91)/30))-1&lt;1,0,INDEX(Motore_Operativo!$BQ$5:$BQ$64,MAX(1,39-(INT((Ipotesi!$C$91)/30))-1)))*(MOD((Ipotesi!$C$91),30)/30))+(IF(39-(INT((Ipotesi!$C$91)/30))&lt;1,0,INDEX(Motore_Operativo!$BR$5:$BR$64,MAX(1,39-(INT((Ipotesi!$C$91)/30)))))*(1-(MOD((Ipotesi!$C$91),30)/30))+IF(39-(INT((Ipotesi!$C$91)/30))-1&lt;1,0,INDEX(Motore_Operativo!$BR$5:$BR$64,MAX(1,39-(INT((Ipotesi!$C$91)/30))-1)))*(MOD((Ipotesi!$C$91),30)/30))))*Piano_SS!$D$9,0))</f>
        <v>40000</v>
      </c>
      <c r="BZ43" s="15" t="n">
        <f aca="false">MIN(Piano_SS!$C$10,(BZ42)+IF(AND(Motore_Operativo!C43&gt;=EDATE(Parametri_v3!$C$24,Ipotesi!C14*12),Motore_Operativo!C43&lt;EDATE(Parametri_v3!$C$24,Parametri_v3!$C$25+Ipotesi!C14*12)),MAX(0,(IF(39-(INT((Ipotesi!$C$91)/30))&lt;1,0,INDEX(Motore_Operativo!$BO$5:$BO$64,MAX(1,39-(INT((Ipotesi!$C$91)/30)))))*(1-(MOD((Ipotesi!$C$91),30)/30))+IF(39-(INT((Ipotesi!$C$91)/30))-1&lt;1,0,INDEX(Motore_Operativo!$BO$5:$BO$64,MAX(1,39-(INT((Ipotesi!$C$91)/30))-1)))*(MOD((Ipotesi!$C$91),30)/30)))*Piano_SS!$D$10,0))</f>
        <v>30000</v>
      </c>
      <c r="CA43" s="15" t="n">
        <f aca="false">SUM(BV43:BZ43)</f>
        <v>457208.822969749</v>
      </c>
      <c r="CB43" s="15" t="n">
        <f aca="false">BV43*(1-Piano_SS!$E$6)+BW43*(1-Piano_SS!$E$7)+BX43*(1-Piano_SS!$E$8)+BY43*(1-Piano_SS!$E$9)+BZ43*(1-Piano_SS!$E$10)</f>
        <v>427208.822969749</v>
      </c>
      <c r="CC43" s="15" t="n">
        <f aca="false">(CC42)+BA43</f>
        <v>365767.058375799</v>
      </c>
      <c r="CD43" s="15" t="n">
        <f aca="false">IF(CA43=0,0,CC43*CB43/CA43*Ipotesi!$C$103*Parametri_v3!$C$64)</f>
        <v>102530.11751274</v>
      </c>
      <c r="CE43" s="18" t="n">
        <f aca="false">IF(BA43&gt;0,Motore_Operativo!C43,(CE42))</f>
        <v>47270</v>
      </c>
      <c r="CF43" s="18" t="n">
        <f aca="false">IF(AND(CC43&gt;0,OR(CC43&gt;=CG43-0.01,Motore_Operativo!C43&gt;=EDATE(MAX(Finanziamenti!$D$15:$D$17),Ipotesi!C14*12))),CE43,0)</f>
        <v>47270</v>
      </c>
      <c r="CG43" s="15" t="n">
        <f aca="false">IF(AND(1&lt;&gt;6,1&lt;&gt;9,Finanziamenti!$F$11=1,OR(Parametri_v3!$C$6=0,Finanziamenti!$E$11=1)),MIN(Finanziamenti!$C$11,Piano_SS!$C$12*Ipotesi!$C$102),0)</f>
        <v>400000</v>
      </c>
      <c r="CH43" s="15" t="n">
        <f aca="false">IF(AND(AND(1&lt;&gt;8,1&lt;&gt;9,Finanziamenti!$F$10=1,OR(Parametri_v3!$C$6=0,Finanziamenti!$E$10=1)),Motore_Operativo!C43&gt;=Finanziamenti!$D$10,Motore_Operativo!C43&lt;Parametri_v3!$C$63),Finanziamenti!$C$10,0)</f>
        <v>150000</v>
      </c>
    </row>
    <row r="44" customFormat="false" ht="18" hidden="false" customHeight="true" outlineLevel="0" collapsed="false">
      <c r="A44" s="68" t="n">
        <f aca="false">1</f>
        <v>1</v>
      </c>
      <c r="B44" s="68" t="n">
        <f aca="false">40</f>
        <v>40</v>
      </c>
      <c r="C44" s="18" t="n">
        <f aca="false">Motore_Operativo!C44</f>
        <v>47574</v>
      </c>
      <c r="D44" s="68" t="n">
        <f aca="false">Motore_Operativo!D44</f>
        <v>2030</v>
      </c>
      <c r="E44" s="68" t="n">
        <f aca="false">Motore_Operativo!E44</f>
        <v>4</v>
      </c>
      <c r="F44" s="15" t="n">
        <f aca="false">Motore_Operativo!AQ44+Motore_Operativo!BF44</f>
        <v>89387.1083846471</v>
      </c>
      <c r="G44" s="15" t="n">
        <f aca="false">Motore_Operativo!BH44</f>
        <v>6906.25</v>
      </c>
      <c r="H44" s="15" t="n">
        <f aca="false">Motore_Operativo!BI44</f>
        <v>96293.3583846471</v>
      </c>
      <c r="I44" s="15" t="n">
        <f aca="false">Motore_Operativo!CA44</f>
        <v>153351.133298851</v>
      </c>
      <c r="J44" s="15" t="n">
        <f aca="false">Motore_Operativo!CC44</f>
        <v>-57057.7749142035</v>
      </c>
      <c r="K44" s="15" t="n">
        <f aca="false">Motore_Operativo!CE44</f>
        <v>3333.33333333333</v>
      </c>
      <c r="L44" s="15" t="n">
        <f aca="false">SUM(INDEX($K$5:$K$64,MAX(1,40-Parametri_v3!$C$59+1)):K44)/Parametri_v3!$C$59</f>
        <v>2268.51851851852</v>
      </c>
      <c r="M44" s="15" t="n">
        <f aca="false">J44-L44</f>
        <v>-59326.293432722</v>
      </c>
      <c r="N44" s="15" t="n">
        <f aca="false">CD44-(CD43)</f>
        <v>0</v>
      </c>
      <c r="O44" s="15" t="n">
        <f aca="false">(BG43)*Ipotesi!$C$110/12+CH44*Parametri_v3!$C$39/12</f>
        <v>372.671899385387</v>
      </c>
      <c r="P44" s="15" t="n">
        <f aca="false">M44+N44-O44</f>
        <v>-59698.9653321074</v>
      </c>
      <c r="Q44" s="15" t="n">
        <f aca="false">SUM(P41:P44)+Parametri_v3!$C$54*4/12</f>
        <v>-247868.221501307</v>
      </c>
      <c r="R44" s="15" t="n">
        <f aca="false">Z40</f>
        <v>1327622.74335066</v>
      </c>
      <c r="S44" s="15" t="n">
        <f aca="false">AA40</f>
        <v>0</v>
      </c>
      <c r="T44" s="15" t="n">
        <f aca="false">MIN(R44,MAX(0,Q44))</f>
        <v>0</v>
      </c>
      <c r="U44" s="15" t="n">
        <f aca="false">MIN(S44,MAX(0,Q44-T44)*Parametri_v3!$C$42)</f>
        <v>0</v>
      </c>
      <c r="V44" s="15" t="n">
        <f aca="false">MAX(0,Q44-T44-U44)*Ipotesi!$C$92</f>
        <v>0</v>
      </c>
      <c r="W44" s="15" t="n">
        <f aca="false">MAX(0,SUM(M41:M44)+Parametri_v3!$C$55*4/12)*Ipotesi!$C$93</f>
        <v>0</v>
      </c>
      <c r="X44" s="15" t="n">
        <f aca="false">V44+W44-(V43+W43)</f>
        <v>0</v>
      </c>
      <c r="Y44" s="15" t="n">
        <f aca="false">P44-X44</f>
        <v>-59698.9653321074</v>
      </c>
      <c r="Z44" s="15" t="n">
        <f aca="false">R44-T44+IF(AND(Parametri_v3!$C$40=1,D44-YEAR(Parametri_v3!$C$50)&lt;Parametri_v3!$C$41),MAX(0,-Q44),0)</f>
        <v>1327622.74335066</v>
      </c>
      <c r="AA44" s="15" t="n">
        <f aca="false">S44-U44+IF(AND(Parametri_v3!$C$40=1,D44-YEAR(Parametri_v3!$C$50)&lt;Parametri_v3!$C$41),0,MAX(0,-Q44))</f>
        <v>247868.221501307</v>
      </c>
      <c r="AB44" s="15" t="n">
        <f aca="false">F44*(1+Parametri_v3!$C$26)</f>
        <v>109052.27222927</v>
      </c>
      <c r="AC44" s="15" t="n">
        <f aca="false">(IF(40-(INT((Motore_Operativo!L44)/30))&lt;1,0,INDEX(Motore_Startup!$AB$5:$AB$64,MAX(1,40-(INT((Motore_Operativo!L44)/30)))))*(1-(MOD((Motore_Operativo!L44),30)/30))+IF(40-(INT((Motore_Operativo!L44)/30))-1&lt;1,0,INDEX(Motore_Startup!$AB$5:$AB$64,MAX(1,40-(INT((Motore_Operativo!L44)/30))-1)))*(MOD((Motore_Operativo!L44),30)/30))</f>
        <v>101842.978061495</v>
      </c>
      <c r="AD44" s="15" t="n">
        <f aca="false">(AD43)+AB44-AC44</f>
        <v>319515.939400293</v>
      </c>
      <c r="AE44" s="15" t="n">
        <f aca="false">Motore_Operativo!BH44*(1+Parametri_v3!$C$26)</f>
        <v>8425.625</v>
      </c>
      <c r="AF44" s="15" t="n">
        <f aca="false">(IF(40-(INT((Parametri_v3!$C$29)/30))&lt;1,0,INDEX(Motore_Operativo!$BH$5:$BH$64,MAX(1,40-(INT((Parametri_v3!$C$29)/30)))))*(1-(MOD((Parametri_v3!$C$29),30)/30))+IF(40-(INT((Parametri_v3!$C$29)/30))-1&lt;1,0,INDEX(Motore_Operativo!$BH$5:$BH$64,MAX(1,40-(INT((Parametri_v3!$C$29)/30))-1)))*(MOD((Parametri_v3!$C$29),30)/30))*(1+Parametri_v3!$C$26)</f>
        <v>8425.625</v>
      </c>
      <c r="AG44" s="15" t="n">
        <f aca="false">(AG43)+AE44-AF44</f>
        <v>8425.625</v>
      </c>
      <c r="AH44" s="15" t="n">
        <f aca="false">(Motore_Operativo!CJ44)*(1+Parametri_v3!$C$27*Parametri_v3!$C$26)</f>
        <v>67514.244567194</v>
      </c>
      <c r="AI44" s="15" t="n">
        <f aca="false">(IF(40-(INT((Ipotesi!$C$91)/30))&lt;1,0,INDEX(Motore_Startup!$AH$5:$AH$64,MAX(1,40-(INT((Ipotesi!$C$91)/30)))))*(1-(MOD((Ipotesi!$C$91),30)/30))+IF(40-(INT((Ipotesi!$C$91)/30))-1&lt;1,0,INDEX(Motore_Startup!$AH$5:$AH$64,MAX(1,40-(INT((Ipotesi!$C$91)/30))-1)))*(MOD((Ipotesi!$C$91),30)/30))</f>
        <v>66840.8811926492</v>
      </c>
      <c r="AJ44" s="15" t="n">
        <f aca="false">(AJ43)+AH44-AI44</f>
        <v>134661.064814147</v>
      </c>
      <c r="AK44" s="15" t="n">
        <f aca="false">(F44+ Motore_Operativo!BH44-(Motore_Operativo!CJ44)*Parametri_v3!$C$27-Motore_Operativo!CE44)*Parametri_v3!$C$26</f>
        <v>9815.01028461231</v>
      </c>
      <c r="AL44" s="15" t="n">
        <f aca="false">MAX(0,(AM43))</f>
        <v>9386.47386777984</v>
      </c>
      <c r="AM44" s="15" t="n">
        <f aca="false">(AM43)+AK44-AL44</f>
        <v>9815.01028461231</v>
      </c>
      <c r="AN44" s="15" t="n">
        <f aca="false">SUM(X29:X40)</f>
        <v>0</v>
      </c>
      <c r="AO44" s="15" t="n">
        <f aca="false">SUM(AP29:AP40)</f>
        <v>0</v>
      </c>
      <c r="AP44" s="15" t="n">
        <f aca="false">MAX(0,AN44)*IF(4=Parametri_v3!$C$43,Parametri_v3!$C$45,IF(4=Parametri_v3!$C$44,1-Parametri_v3!$C$45,0))</f>
        <v>0</v>
      </c>
      <c r="AQ44" s="15" t="n">
        <f aca="false">MAX(0,AP44+IF(4=Parametri_v3!$C$43,MAX(0,AN44-AO44),0)-MAX(0,-(AR43)))</f>
        <v>0</v>
      </c>
      <c r="AR44" s="15" t="n">
        <f aca="false">(AR43)+X44-AQ44</f>
        <v>0</v>
      </c>
      <c r="AS44" s="15" t="n">
        <f aca="false">Motore_Operativo!AB44-AT44+AU44</f>
        <v>91649.4297604167</v>
      </c>
      <c r="AT44" s="15" t="n">
        <f aca="false">Motore_Operativo!CH44</f>
        <v>4823.65419791667</v>
      </c>
      <c r="AU44" s="15" t="n">
        <f aca="false">MIN(MAX(0,(AV43)+AT44),Parametri_v3!$C$60/12)</f>
        <v>0</v>
      </c>
      <c r="AV44" s="15" t="n">
        <f aca="false">(AV43)+AT44-AU44</f>
        <v>98466.3167916667</v>
      </c>
      <c r="AW44" s="15" t="n">
        <f aca="false">IF(AND(Motore_Operativo!C44=Finanziamenti!$D$6,Finanziamenti!$F$6=1),Finanziamenti!$C$6,0)</f>
        <v>0</v>
      </c>
      <c r="AX44" s="15" t="n">
        <f aca="false">IF(AND(1&lt;&gt;7,1&lt;&gt;9,Finanziamenti!$F$8=1,OR(Parametri_v3!$C$6=0,Finanziamenti!$E$8=1),Motore_Operativo!C44=EDATE(Finanziamenti!$D$8,Ipotesi!C15*12)),Finanziamenti!$C$8*1,0)+IF(AND(1&lt;&gt;7,1&lt;&gt;9,Finanziamenti!$F$9=1,OR(Parametri_v3!$C$6=0,Finanziamenti!$E$9=1),Motore_Operativo!C44=EDATE(Finanziamenti!$D$9,Ipotesi!C15*12)),Finanziamenti!$C$9*Ipotesi!C16,0)</f>
        <v>0</v>
      </c>
      <c r="AY44" s="15" t="n">
        <f aca="false">0</f>
        <v>0</v>
      </c>
      <c r="AZ44" s="15" t="n">
        <f aca="false">Motore_Advisory!AY44*(1-Ipotesi!$C$95)*Ipotesi!$C$96</f>
        <v>0</v>
      </c>
      <c r="BA44" s="15" t="n">
        <f aca="false">MAX(0,MIN(CG44*MIN(1,IF(Motore_Operativo!C44&gt;=EDATE(Finanziamenti!$D$15,Ipotesi!C14*12),Finanziamenti!$C$15,0)+IF(Motore_Operativo!C44&gt;=EDATE(Finanziamenti!$D$16,Ipotesi!C14*12),Finanziamenti!$C$16,0)+IF(Motore_Operativo!C44&gt;=EDATE(Finanziamenti!$D$17,Ipotesi!C14*12),Finanziamenti!$C$17,0)),CA44*Ipotesi!$C$102)-(CC43))</f>
        <v>0</v>
      </c>
      <c r="BB44" s="15" t="n">
        <f aca="false">IF(AND(CF44&gt;0,Motore_Operativo!C44&gt;=IF(CF44=0,0,EDATE(CF44,Parametri_v3!$C$37)),MOD(((D44-YEAR(IF(CF44=0,0,EDATE(CF44,Parametri_v3!$C$37))))*12+E44-MONTH(IF(CF44=0,0,EDATE(CF44,Parametri_v3!$C$37)))),Parametri_v3!$C$38)=0),MIN(MAX(0,(BC43)+BA44-N44),(CC44-CD44)/(Ipotesi!$C$108*12/Parametri_v3!$C$38)),0)</f>
        <v>0</v>
      </c>
      <c r="BC44" s="15" t="n">
        <f aca="false">(BC43)+BA44-N44-BB44</f>
        <v>263236.940863059</v>
      </c>
      <c r="BD44" s="15" t="n">
        <f aca="false">(BH43)+AC44+AF44-AI44-AS44-K44*(1+Parametri_v3!$C$26)-AL44-AQ44-O44+AW44+AX44+AZ44+BA44-BB44</f>
        <v>-37047.5203254032</v>
      </c>
      <c r="BE44" s="15" t="n">
        <f aca="false">MAX(0,MIN(MAX(0,CH44-(BG43)),Parametri_v3!$C$30-BD44))</f>
        <v>62047.5203254032</v>
      </c>
      <c r="BF44" s="15" t="n">
        <f aca="false">IF(Motore_Operativo!C44&gt;=Parametri_v3!$C$63,(BG43),MIN((BG43),MAX(0,BD44-Parametri_v3!$C$30)))</f>
        <v>0</v>
      </c>
      <c r="BG44" s="15" t="n">
        <f aca="false">(BG43)+BE44-BF44</f>
        <v>136581.900202481</v>
      </c>
      <c r="BH44" s="15" t="n">
        <f aca="false">BD44+BE44-BF44-AY44</f>
        <v>25000</v>
      </c>
      <c r="BI44" s="15" t="n">
        <f aca="false">MAX(0,Parametri_v3!$C$30-BH44)</f>
        <v>0</v>
      </c>
      <c r="BJ44" s="15" t="n">
        <f aca="false">(BJ43)+K44</f>
        <v>88333.3333333333</v>
      </c>
      <c r="BK44" s="15" t="n">
        <f aca="false">(BK43)+L44</f>
        <v>44004.6296296296</v>
      </c>
      <c r="BL44" s="15" t="n">
        <f aca="false">BJ44-BK44</f>
        <v>44328.7037037037</v>
      </c>
      <c r="BM44" s="15" t="n">
        <f aca="false">(BM43)+Y44</f>
        <v>-1575490.96485197</v>
      </c>
      <c r="BN44" s="15" t="n">
        <f aca="false">(BN43)+AW44+AX44+AZ44</f>
        <v>1330000</v>
      </c>
      <c r="BO44" s="15" t="n">
        <f aca="false">(BO43)+AY44</f>
        <v>0</v>
      </c>
      <c r="BP44" s="15" t="n">
        <f aca="false">0</f>
        <v>0</v>
      </c>
      <c r="BQ44" s="15" t="n">
        <f aca="false">BN44+BM44-BO44</f>
        <v>-245490.964851969</v>
      </c>
      <c r="BR44" s="15" t="n">
        <f aca="false">BH44+AD44+BL44+MAX(0,-AM44)+MAX(0,-AR44)+AG44</f>
        <v>397270.268103996</v>
      </c>
      <c r="BS44" s="15" t="n">
        <f aca="false">AJ44+AV44+MAX(0,AM44)+MAX(0,AR44)+BC44+BG44+BQ44</f>
        <v>397270.268103996</v>
      </c>
      <c r="BT44" s="15" t="n">
        <f aca="false">BR44-BS44</f>
        <v>0</v>
      </c>
      <c r="BU44" s="15" t="n">
        <f aca="false">BH44-(BD44+BE44-BF44-AY44)</f>
        <v>0</v>
      </c>
      <c r="BV44" s="15" t="n">
        <f aca="false">MIN(Piano_SS!$C$6,(BV43)+IF(AND(Motore_Operativo!C44&gt;=EDATE(Parametri_v3!$C$24,Ipotesi!C14*12),Motore_Operativo!C44&lt;EDATE(Parametri_v3!$C$24,Parametri_v3!$C$25+Ipotesi!C14*12)),MAX(0,(Motore_Operativo!Y44+Motore_Operativo!X44*Parametri_v3!$C$14)*(1-Parametri_v3!$C$32))*Piano_SS!$D$6,0))</f>
        <v>300000</v>
      </c>
      <c r="BW44" s="15" t="n">
        <f aca="false">MIN(Piano_SS!$C$7,(BW43)+IF(AND(Motore_Operativo!C44&gt;=EDATE(Parametri_v3!$C$24,Ipotesi!C14*12),Motore_Operativo!C44&lt;EDATE(Parametri_v3!$C$24,Parametri_v3!$C$25+Ipotesi!C14*12)),MAX(0,(IF(40-(INT((Ipotesi!$C$91)/30))&lt;1,0,INDEX(Motore_Operativo!$BN$5:$BN$64,MAX(1,40-(INT((Ipotesi!$C$91)/30)))))*(1-(MOD((Ipotesi!$C$91),30)/30))+IF(40-(INT((Ipotesi!$C$91)/30))-1&lt;1,0,INDEX(Motore_Operativo!$BN$5:$BN$64,MAX(1,40-(INT((Ipotesi!$C$91)/30))-1)))*(MOD((Ipotesi!$C$91),30)/30)))*Piano_SS!$D$7,0))</f>
        <v>37208.8229697489</v>
      </c>
      <c r="BX44" s="15" t="n">
        <f aca="false">MIN(Piano_SS!$C$8,(BX43)+IF(AND(Motore_Operativo!C44&gt;=EDATE(Parametri_v3!$C$24,Ipotesi!C14*12),Motore_Operativo!C44&lt;EDATE(Parametri_v3!$C$24,Parametri_v3!$C$25+Ipotesi!C14*12)),MAX(0,Motore_Operativo!CE44)*Piano_SS!$D$8,0))</f>
        <v>50000</v>
      </c>
      <c r="BY44" s="15" t="n">
        <f aca="false">MIN(Piano_SS!$C$9,(BY43)+IF(AND(Motore_Operativo!C44&gt;=EDATE(Parametri_v3!$C$24,Ipotesi!C14*12),Motore_Operativo!C44&lt;EDATE(Parametri_v3!$C$24,Parametri_v3!$C$25+Ipotesi!C14*12)),MAX(0,((IF(40-(INT((Ipotesi!$C$91)/30))&lt;1,0,INDEX(Motore_Operativo!$BQ$5:$BQ$64,MAX(1,40-(INT((Ipotesi!$C$91)/30)))))*(1-(MOD((Ipotesi!$C$91),30)/30))+IF(40-(INT((Ipotesi!$C$91)/30))-1&lt;1,0,INDEX(Motore_Operativo!$BQ$5:$BQ$64,MAX(1,40-(INT((Ipotesi!$C$91)/30))-1)))*(MOD((Ipotesi!$C$91),30)/30))+(IF(40-(INT((Ipotesi!$C$91)/30))&lt;1,0,INDEX(Motore_Operativo!$BR$5:$BR$64,MAX(1,40-(INT((Ipotesi!$C$91)/30)))))*(1-(MOD((Ipotesi!$C$91),30)/30))+IF(40-(INT((Ipotesi!$C$91)/30))-1&lt;1,0,INDEX(Motore_Operativo!$BR$5:$BR$64,MAX(1,40-(INT((Ipotesi!$C$91)/30))-1)))*(MOD((Ipotesi!$C$91),30)/30))))*Piano_SS!$D$9,0))</f>
        <v>40000</v>
      </c>
      <c r="BZ44" s="15" t="n">
        <f aca="false">MIN(Piano_SS!$C$10,(BZ43)+IF(AND(Motore_Operativo!C44&gt;=EDATE(Parametri_v3!$C$24,Ipotesi!C14*12),Motore_Operativo!C44&lt;EDATE(Parametri_v3!$C$24,Parametri_v3!$C$25+Ipotesi!C14*12)),MAX(0,(IF(40-(INT((Ipotesi!$C$91)/30))&lt;1,0,INDEX(Motore_Operativo!$BO$5:$BO$64,MAX(1,40-(INT((Ipotesi!$C$91)/30)))))*(1-(MOD((Ipotesi!$C$91),30)/30))+IF(40-(INT((Ipotesi!$C$91)/30))-1&lt;1,0,INDEX(Motore_Operativo!$BO$5:$BO$64,MAX(1,40-(INT((Ipotesi!$C$91)/30))-1)))*(MOD((Ipotesi!$C$91),30)/30)))*Piano_SS!$D$10,0))</f>
        <v>30000</v>
      </c>
      <c r="CA44" s="15" t="n">
        <f aca="false">SUM(BV44:BZ44)</f>
        <v>457208.822969749</v>
      </c>
      <c r="CB44" s="15" t="n">
        <f aca="false">BV44*(1-Piano_SS!$E$6)+BW44*(1-Piano_SS!$E$7)+BX44*(1-Piano_SS!$E$8)+BY44*(1-Piano_SS!$E$9)+BZ44*(1-Piano_SS!$E$10)</f>
        <v>427208.822969749</v>
      </c>
      <c r="CC44" s="15" t="n">
        <f aca="false">(CC43)+BA44</f>
        <v>365767.058375799</v>
      </c>
      <c r="CD44" s="15" t="n">
        <f aca="false">IF(CA44=0,0,CC44*CB44/CA44*Ipotesi!$C$103*Parametri_v3!$C$64)</f>
        <v>102530.11751274</v>
      </c>
      <c r="CE44" s="18" t="n">
        <f aca="false">IF(BA44&gt;0,Motore_Operativo!C44,(CE43))</f>
        <v>47270</v>
      </c>
      <c r="CF44" s="18" t="n">
        <f aca="false">IF(AND(CC44&gt;0,OR(CC44&gt;=CG44-0.01,Motore_Operativo!C44&gt;=EDATE(MAX(Finanziamenti!$D$15:$D$17),Ipotesi!C14*12))),CE44,0)</f>
        <v>47270</v>
      </c>
      <c r="CG44" s="15" t="n">
        <f aca="false">IF(AND(1&lt;&gt;6,1&lt;&gt;9,Finanziamenti!$F$11=1,OR(Parametri_v3!$C$6=0,Finanziamenti!$E$11=1)),MIN(Finanziamenti!$C$11,Piano_SS!$C$12*Ipotesi!$C$102),0)</f>
        <v>400000</v>
      </c>
      <c r="CH44" s="15" t="n">
        <f aca="false">IF(AND(AND(1&lt;&gt;8,1&lt;&gt;9,Finanziamenti!$F$10=1,OR(Parametri_v3!$C$6=0,Finanziamenti!$E$10=1)),Motore_Operativo!C44&gt;=Finanziamenti!$D$10,Motore_Operativo!C44&lt;Parametri_v3!$C$63),Finanziamenti!$C$10,0)</f>
        <v>150000</v>
      </c>
    </row>
    <row r="45" customFormat="false" ht="18" hidden="false" customHeight="true" outlineLevel="0" collapsed="false">
      <c r="A45" s="68" t="n">
        <f aca="false">1</f>
        <v>1</v>
      </c>
      <c r="B45" s="68" t="n">
        <f aca="false">41</f>
        <v>41</v>
      </c>
      <c r="C45" s="18" t="n">
        <f aca="false">Motore_Operativo!C45</f>
        <v>47604</v>
      </c>
      <c r="D45" s="68" t="n">
        <f aca="false">Motore_Operativo!D45</f>
        <v>2030</v>
      </c>
      <c r="E45" s="68" t="n">
        <f aca="false">Motore_Operativo!E45</f>
        <v>5</v>
      </c>
      <c r="F45" s="15" t="n">
        <f aca="false">Motore_Operativo!AQ45+Motore_Operativo!BF45</f>
        <v>91964.8680783865</v>
      </c>
      <c r="G45" s="15" t="n">
        <f aca="false">Motore_Operativo!BH45</f>
        <v>6906.25</v>
      </c>
      <c r="H45" s="15" t="n">
        <f aca="false">Motore_Operativo!BI45</f>
        <v>98871.1180783865</v>
      </c>
      <c r="I45" s="15" t="n">
        <f aca="false">Motore_Operativo!CA45</f>
        <v>153712.019655974</v>
      </c>
      <c r="J45" s="15" t="n">
        <f aca="false">Motore_Operativo!CC45</f>
        <v>-54840.9015775877</v>
      </c>
      <c r="K45" s="15" t="n">
        <f aca="false">Motore_Operativo!CE45</f>
        <v>3333.33333333333</v>
      </c>
      <c r="L45" s="15" t="n">
        <f aca="false">SUM(INDEX($K$5:$K$64,MAX(1,41-Parametri_v3!$C$59+1)):K45)/Parametri_v3!$C$59</f>
        <v>2314.81481481482</v>
      </c>
      <c r="M45" s="15" t="n">
        <f aca="false">J45-L45</f>
        <v>-57155.7163924025</v>
      </c>
      <c r="N45" s="15" t="n">
        <f aca="false">CD45-(CD44)</f>
        <v>0</v>
      </c>
      <c r="O45" s="15" t="n">
        <f aca="false">(BG44)*Ipotesi!$C$110/12+CH45*Parametri_v3!$C$39/12</f>
        <v>682.909501012403</v>
      </c>
      <c r="P45" s="15" t="n">
        <f aca="false">M45+N45-O45</f>
        <v>-57838.6258934149</v>
      </c>
      <c r="Q45" s="15" t="n">
        <f aca="false">SUM(P41:P45)+Parametri_v3!$C$54*5/12</f>
        <v>-305706.847394722</v>
      </c>
      <c r="R45" s="15" t="n">
        <f aca="false">Z40</f>
        <v>1327622.74335066</v>
      </c>
      <c r="S45" s="15" t="n">
        <f aca="false">AA40</f>
        <v>0</v>
      </c>
      <c r="T45" s="15" t="n">
        <f aca="false">MIN(R45,MAX(0,Q45))</f>
        <v>0</v>
      </c>
      <c r="U45" s="15" t="n">
        <f aca="false">MIN(S45,MAX(0,Q45-T45)*Parametri_v3!$C$42)</f>
        <v>0</v>
      </c>
      <c r="V45" s="15" t="n">
        <f aca="false">MAX(0,Q45-T45-U45)*Ipotesi!$C$92</f>
        <v>0</v>
      </c>
      <c r="W45" s="15" t="n">
        <f aca="false">MAX(0,SUM(M41:M45)+Parametri_v3!$C$55*5/12)*Ipotesi!$C$93</f>
        <v>0</v>
      </c>
      <c r="X45" s="15" t="n">
        <f aca="false">V45+W45-(V44+W44)</f>
        <v>0</v>
      </c>
      <c r="Y45" s="15" t="n">
        <f aca="false">P45-X45</f>
        <v>-57838.6258934149</v>
      </c>
      <c r="Z45" s="15" t="n">
        <f aca="false">R45-T45+IF(AND(Parametri_v3!$C$40=1,D45-YEAR(Parametri_v3!$C$50)&lt;Parametri_v3!$C$41),MAX(0,-Q45),0)</f>
        <v>1327622.74335066</v>
      </c>
      <c r="AA45" s="15" t="n">
        <f aca="false">S45-U45+IF(AND(Parametri_v3!$C$40=1,D45-YEAR(Parametri_v3!$C$50)&lt;Parametri_v3!$C$41),0,MAX(0,-Q45))</f>
        <v>305706.847394722</v>
      </c>
      <c r="AB45" s="15" t="n">
        <f aca="false">F45*(1+Parametri_v3!$C$26)</f>
        <v>112197.139055631</v>
      </c>
      <c r="AC45" s="15" t="n">
        <f aca="false">(IF(41-(INT((Motore_Operativo!L45)/30))&lt;1,0,INDEX(Motore_Startup!$AB$5:$AB$64,MAX(1,41-(INT((Motore_Operativo!L45)/30)))))*(1-(MOD((Motore_Operativo!L45),30)/30))+IF(41-(INT((Motore_Operativo!L45)/30))-1&lt;1,0,INDEX(Motore_Startup!$AB$5:$AB$64,MAX(1,41-(INT((Motore_Operativo!L45)/30))-1)))*(MOD((Motore_Operativo!L45),30)/30))</f>
        <v>104108.817439616</v>
      </c>
      <c r="AD45" s="15" t="n">
        <f aca="false">(AD44)+AB45-AC45</f>
        <v>327604.261016308</v>
      </c>
      <c r="AE45" s="15" t="n">
        <f aca="false">Motore_Operativo!BH45*(1+Parametri_v3!$C$26)</f>
        <v>8425.625</v>
      </c>
      <c r="AF45" s="15" t="n">
        <f aca="false">(IF(41-(INT((Parametri_v3!$C$29)/30))&lt;1,0,INDEX(Motore_Operativo!$BH$5:$BH$64,MAX(1,41-(INT((Parametri_v3!$C$29)/30)))))*(1-(MOD((Parametri_v3!$C$29),30)/30))+IF(41-(INT((Parametri_v3!$C$29)/30))-1&lt;1,0,INDEX(Motore_Operativo!$BH$5:$BH$64,MAX(1,41-(INT((Parametri_v3!$C$29)/30))-1)))*(MOD((Parametri_v3!$C$29),30)/30))*(1+Parametri_v3!$C$26)</f>
        <v>8425.625</v>
      </c>
      <c r="AG45" s="15" t="n">
        <f aca="false">(AG44)+AE45-AF45</f>
        <v>8425.625</v>
      </c>
      <c r="AH45" s="15" t="n">
        <f aca="false">(Motore_Operativo!CJ45)*(1+Parametri_v3!$C$27*Parametri_v3!$C$26)</f>
        <v>67942.6166730996</v>
      </c>
      <c r="AI45" s="15" t="n">
        <f aca="false">(IF(41-(INT((Ipotesi!$C$91)/30))&lt;1,0,INDEX(Motore_Startup!$AH$5:$AH$64,MAX(1,41-(INT((Ipotesi!$C$91)/30)))))*(1-(MOD((Ipotesi!$C$91),30)/30))+IF(41-(INT((Ipotesi!$C$91)/30))-1&lt;1,0,INDEX(Motore_Startup!$AH$5:$AH$64,MAX(1,41-(INT((Ipotesi!$C$91)/30))-1)))*(MOD((Ipotesi!$C$91),30)/30))</f>
        <v>67146.8202469525</v>
      </c>
      <c r="AJ45" s="15" t="n">
        <f aca="false">(AJ44)+AH45-AI45</f>
        <v>135456.861240294</v>
      </c>
      <c r="AK45" s="15" t="n">
        <f aca="false">(F45+ Motore_Operativo!BH45-(Motore_Operativo!CJ45)*Parametri_v3!$C$27-Motore_Operativo!CE45)*Parametri_v3!$C$26</f>
        <v>10314.6316684529</v>
      </c>
      <c r="AL45" s="15" t="n">
        <f aca="false">MAX(0,(AM44))</f>
        <v>9815.01028461231</v>
      </c>
      <c r="AM45" s="15" t="n">
        <f aca="false">(AM44)+AK45-AL45</f>
        <v>10314.6316684529</v>
      </c>
      <c r="AN45" s="15" t="n">
        <f aca="false">SUM(X29:X40)</f>
        <v>0</v>
      </c>
      <c r="AO45" s="15" t="n">
        <f aca="false">SUM(AP29:AP40)</f>
        <v>0</v>
      </c>
      <c r="AP45" s="15" t="n">
        <f aca="false">MAX(0,AN45)*IF(5=Parametri_v3!$C$43,Parametri_v3!$C$45,IF(5=Parametri_v3!$C$44,1-Parametri_v3!$C$45,0))</f>
        <v>0</v>
      </c>
      <c r="AQ45" s="15" t="n">
        <f aca="false">MAX(0,AP45+IF(5=Parametri_v3!$C$43,MAX(0,AN45-AO45),0)-MAX(0,-(AR44)))</f>
        <v>0</v>
      </c>
      <c r="AR45" s="15" t="n">
        <f aca="false">(AR44)+X45-AQ45</f>
        <v>0</v>
      </c>
      <c r="AS45" s="15" t="n">
        <f aca="false">Motore_Operativo!AB45-AT45+AU45</f>
        <v>91649.4297604167</v>
      </c>
      <c r="AT45" s="15" t="n">
        <f aca="false">Motore_Operativo!CH45</f>
        <v>4823.65419791667</v>
      </c>
      <c r="AU45" s="15" t="n">
        <f aca="false">MIN(MAX(0,(AV44)+AT45),Parametri_v3!$C$60/12)</f>
        <v>0</v>
      </c>
      <c r="AV45" s="15" t="n">
        <f aca="false">(AV44)+AT45-AU45</f>
        <v>103289.970989583</v>
      </c>
      <c r="AW45" s="15" t="n">
        <f aca="false">IF(AND(Motore_Operativo!C45=Finanziamenti!$D$6,Finanziamenti!$F$6=1),Finanziamenti!$C$6,0)</f>
        <v>0</v>
      </c>
      <c r="AX45" s="15" t="n">
        <f aca="false">IF(AND(1&lt;&gt;7,1&lt;&gt;9,Finanziamenti!$F$8=1,OR(Parametri_v3!$C$6=0,Finanziamenti!$E$8=1),Motore_Operativo!C45=EDATE(Finanziamenti!$D$8,Ipotesi!C15*12)),Finanziamenti!$C$8*1,0)+IF(AND(1&lt;&gt;7,1&lt;&gt;9,Finanziamenti!$F$9=1,OR(Parametri_v3!$C$6=0,Finanziamenti!$E$9=1),Motore_Operativo!C45=EDATE(Finanziamenti!$D$9,Ipotesi!C15*12)),Finanziamenti!$C$9*Ipotesi!C16,0)</f>
        <v>0</v>
      </c>
      <c r="AY45" s="15" t="n">
        <f aca="false">0</f>
        <v>0</v>
      </c>
      <c r="AZ45" s="15" t="n">
        <f aca="false">Motore_Advisory!AY45*(1-Ipotesi!$C$95)*Ipotesi!$C$96</f>
        <v>0</v>
      </c>
      <c r="BA45" s="15" t="n">
        <f aca="false">MAX(0,MIN(CG45*MIN(1,IF(Motore_Operativo!C45&gt;=EDATE(Finanziamenti!$D$15,Ipotesi!C14*12),Finanziamenti!$C$15,0)+IF(Motore_Operativo!C45&gt;=EDATE(Finanziamenti!$D$16,Ipotesi!C14*12),Finanziamenti!$C$16,0)+IF(Motore_Operativo!C45&gt;=EDATE(Finanziamenti!$D$17,Ipotesi!C14*12),Finanziamenti!$C$17,0)),CA45*Ipotesi!$C$102)-(CC44))</f>
        <v>0</v>
      </c>
      <c r="BB45" s="15" t="n">
        <f aca="false">IF(AND(CF45&gt;0,Motore_Operativo!C45&gt;=IF(CF45=0,0,EDATE(CF45,Parametri_v3!$C$37)),MOD(((D45-YEAR(IF(CF45=0,0,EDATE(CF45,Parametri_v3!$C$37))))*12+E45-MONTH(IF(CF45=0,0,EDATE(CF45,Parametri_v3!$C$37)))),Parametri_v3!$C$38)=0),MIN(MAX(0,(BC44)+BA45-N45),(CC45-CD45)/(Ipotesi!$C$108*12/Parametri_v3!$C$38)),0)</f>
        <v>0</v>
      </c>
      <c r="BC45" s="15" t="n">
        <f aca="false">(BC44)+BA45-N45-BB45</f>
        <v>263236.940863059</v>
      </c>
      <c r="BD45" s="15" t="n">
        <f aca="false">(BH44)+AC45+AF45-AI45-AS45-K45*(1+Parametri_v3!$C$26)-AL45-AQ45-O45+AW45+AX45+AZ45+BA45-BB45</f>
        <v>-35826.3940200448</v>
      </c>
      <c r="BE45" s="15" t="n">
        <f aca="false">MAX(0,MIN(MAX(0,CH45-(BG44)),Parametri_v3!$C$30-BD45))</f>
        <v>13418.0997975194</v>
      </c>
      <c r="BF45" s="15" t="n">
        <f aca="false">IF(Motore_Operativo!C45&gt;=Parametri_v3!$C$63,(BG44),MIN((BG44),MAX(0,BD45-Parametri_v3!$C$30)))</f>
        <v>0</v>
      </c>
      <c r="BG45" s="15" t="n">
        <f aca="false">(BG44)+BE45-BF45</f>
        <v>150000</v>
      </c>
      <c r="BH45" s="15" t="n">
        <f aca="false">BD45+BE45-BF45-AY45</f>
        <v>-22408.2942225254</v>
      </c>
      <c r="BI45" s="15" t="n">
        <f aca="false">MAX(0,Parametri_v3!$C$30-BH45)</f>
        <v>47408.2942225254</v>
      </c>
      <c r="BJ45" s="15" t="n">
        <f aca="false">(BJ44)+K45</f>
        <v>91666.6666666666</v>
      </c>
      <c r="BK45" s="15" t="n">
        <f aca="false">(BK44)+L45</f>
        <v>46319.4444444444</v>
      </c>
      <c r="BL45" s="15" t="n">
        <f aca="false">BJ45-BK45</f>
        <v>45347.2222222222</v>
      </c>
      <c r="BM45" s="15" t="n">
        <f aca="false">(BM44)+Y45</f>
        <v>-1633329.59074538</v>
      </c>
      <c r="BN45" s="15" t="n">
        <f aca="false">(BN44)+AW45+AX45+AZ45</f>
        <v>1330000</v>
      </c>
      <c r="BO45" s="15" t="n">
        <f aca="false">(BO44)+AY45</f>
        <v>0</v>
      </c>
      <c r="BP45" s="15" t="n">
        <f aca="false">0</f>
        <v>0</v>
      </c>
      <c r="BQ45" s="15" t="n">
        <f aca="false">BN45+BM45-BO45</f>
        <v>-303329.590745384</v>
      </c>
      <c r="BR45" s="15" t="n">
        <f aca="false">BH45+AD45+BL45+MAX(0,-AM45)+MAX(0,-AR45)+AG45</f>
        <v>358968.814016005</v>
      </c>
      <c r="BS45" s="15" t="n">
        <f aca="false">AJ45+AV45+MAX(0,AM45)+MAX(0,AR45)+BC45+BG45+BQ45</f>
        <v>358968.814016005</v>
      </c>
      <c r="BT45" s="15" t="n">
        <f aca="false">BR45-BS45</f>
        <v>0</v>
      </c>
      <c r="BU45" s="15" t="n">
        <f aca="false">BH45-(BD45+BE45-BF45-AY45)</f>
        <v>0</v>
      </c>
      <c r="BV45" s="15" t="n">
        <f aca="false">MIN(Piano_SS!$C$6,(BV44)+IF(AND(Motore_Operativo!C45&gt;=EDATE(Parametri_v3!$C$24,Ipotesi!C14*12),Motore_Operativo!C45&lt;EDATE(Parametri_v3!$C$24,Parametri_v3!$C$25+Ipotesi!C14*12)),MAX(0,(Motore_Operativo!Y45+Motore_Operativo!X45*Parametri_v3!$C$14)*(1-Parametri_v3!$C$32))*Piano_SS!$D$6,0))</f>
        <v>300000</v>
      </c>
      <c r="BW45" s="15" t="n">
        <f aca="false">MIN(Piano_SS!$C$7,(BW44)+IF(AND(Motore_Operativo!C45&gt;=EDATE(Parametri_v3!$C$24,Ipotesi!C14*12),Motore_Operativo!C45&lt;EDATE(Parametri_v3!$C$24,Parametri_v3!$C$25+Ipotesi!C14*12)),MAX(0,(IF(41-(INT((Ipotesi!$C$91)/30))&lt;1,0,INDEX(Motore_Operativo!$BN$5:$BN$64,MAX(1,41-(INT((Ipotesi!$C$91)/30)))))*(1-(MOD((Ipotesi!$C$91),30)/30))+IF(41-(INT((Ipotesi!$C$91)/30))-1&lt;1,0,INDEX(Motore_Operativo!$BN$5:$BN$64,MAX(1,41-(INT((Ipotesi!$C$91)/30))-1)))*(MOD((Ipotesi!$C$91),30)/30)))*Piano_SS!$D$7,0))</f>
        <v>37208.8229697489</v>
      </c>
      <c r="BX45" s="15" t="n">
        <f aca="false">MIN(Piano_SS!$C$8,(BX44)+IF(AND(Motore_Operativo!C45&gt;=EDATE(Parametri_v3!$C$24,Ipotesi!C14*12),Motore_Operativo!C45&lt;EDATE(Parametri_v3!$C$24,Parametri_v3!$C$25+Ipotesi!C14*12)),MAX(0,Motore_Operativo!CE45)*Piano_SS!$D$8,0))</f>
        <v>50000</v>
      </c>
      <c r="BY45" s="15" t="n">
        <f aca="false">MIN(Piano_SS!$C$9,(BY44)+IF(AND(Motore_Operativo!C45&gt;=EDATE(Parametri_v3!$C$24,Ipotesi!C14*12),Motore_Operativo!C45&lt;EDATE(Parametri_v3!$C$24,Parametri_v3!$C$25+Ipotesi!C14*12)),MAX(0,((IF(41-(INT((Ipotesi!$C$91)/30))&lt;1,0,INDEX(Motore_Operativo!$BQ$5:$BQ$64,MAX(1,41-(INT((Ipotesi!$C$91)/30)))))*(1-(MOD((Ipotesi!$C$91),30)/30))+IF(41-(INT((Ipotesi!$C$91)/30))-1&lt;1,0,INDEX(Motore_Operativo!$BQ$5:$BQ$64,MAX(1,41-(INT((Ipotesi!$C$91)/30))-1)))*(MOD((Ipotesi!$C$91),30)/30))+(IF(41-(INT((Ipotesi!$C$91)/30))&lt;1,0,INDEX(Motore_Operativo!$BR$5:$BR$64,MAX(1,41-(INT((Ipotesi!$C$91)/30)))))*(1-(MOD((Ipotesi!$C$91),30)/30))+IF(41-(INT((Ipotesi!$C$91)/30))-1&lt;1,0,INDEX(Motore_Operativo!$BR$5:$BR$64,MAX(1,41-(INT((Ipotesi!$C$91)/30))-1)))*(MOD((Ipotesi!$C$91),30)/30))))*Piano_SS!$D$9,0))</f>
        <v>40000</v>
      </c>
      <c r="BZ45" s="15" t="n">
        <f aca="false">MIN(Piano_SS!$C$10,(BZ44)+IF(AND(Motore_Operativo!C45&gt;=EDATE(Parametri_v3!$C$24,Ipotesi!C14*12),Motore_Operativo!C45&lt;EDATE(Parametri_v3!$C$24,Parametri_v3!$C$25+Ipotesi!C14*12)),MAX(0,(IF(41-(INT((Ipotesi!$C$91)/30))&lt;1,0,INDEX(Motore_Operativo!$BO$5:$BO$64,MAX(1,41-(INT((Ipotesi!$C$91)/30)))))*(1-(MOD((Ipotesi!$C$91),30)/30))+IF(41-(INT((Ipotesi!$C$91)/30))-1&lt;1,0,INDEX(Motore_Operativo!$BO$5:$BO$64,MAX(1,41-(INT((Ipotesi!$C$91)/30))-1)))*(MOD((Ipotesi!$C$91),30)/30)))*Piano_SS!$D$10,0))</f>
        <v>30000</v>
      </c>
      <c r="CA45" s="15" t="n">
        <f aca="false">SUM(BV45:BZ45)</f>
        <v>457208.822969749</v>
      </c>
      <c r="CB45" s="15" t="n">
        <f aca="false">BV45*(1-Piano_SS!$E$6)+BW45*(1-Piano_SS!$E$7)+BX45*(1-Piano_SS!$E$8)+BY45*(1-Piano_SS!$E$9)+BZ45*(1-Piano_SS!$E$10)</f>
        <v>427208.822969749</v>
      </c>
      <c r="CC45" s="15" t="n">
        <f aca="false">(CC44)+BA45</f>
        <v>365767.058375799</v>
      </c>
      <c r="CD45" s="15" t="n">
        <f aca="false">IF(CA45=0,0,CC45*CB45/CA45*Ipotesi!$C$103*Parametri_v3!$C$64)</f>
        <v>102530.11751274</v>
      </c>
      <c r="CE45" s="18" t="n">
        <f aca="false">IF(BA45&gt;0,Motore_Operativo!C45,(CE44))</f>
        <v>47270</v>
      </c>
      <c r="CF45" s="18" t="n">
        <f aca="false">IF(AND(CC45&gt;0,OR(CC45&gt;=CG45-0.01,Motore_Operativo!C45&gt;=EDATE(MAX(Finanziamenti!$D$15:$D$17),Ipotesi!C14*12))),CE45,0)</f>
        <v>47270</v>
      </c>
      <c r="CG45" s="15" t="n">
        <f aca="false">IF(AND(1&lt;&gt;6,1&lt;&gt;9,Finanziamenti!$F$11=1,OR(Parametri_v3!$C$6=0,Finanziamenti!$E$11=1)),MIN(Finanziamenti!$C$11,Piano_SS!$C$12*Ipotesi!$C$102),0)</f>
        <v>400000</v>
      </c>
      <c r="CH45" s="15" t="n">
        <f aca="false">IF(AND(AND(1&lt;&gt;8,1&lt;&gt;9,Finanziamenti!$F$10=1,OR(Parametri_v3!$C$6=0,Finanziamenti!$E$10=1)),Motore_Operativo!C45&gt;=Finanziamenti!$D$10,Motore_Operativo!C45&lt;Parametri_v3!$C$63),Finanziamenti!$C$10,0)</f>
        <v>150000</v>
      </c>
    </row>
    <row r="46" customFormat="false" ht="18" hidden="false" customHeight="true" outlineLevel="0" collapsed="false">
      <c r="A46" s="68" t="n">
        <f aca="false">1</f>
        <v>1</v>
      </c>
      <c r="B46" s="68" t="n">
        <f aca="false">42</f>
        <v>42</v>
      </c>
      <c r="C46" s="18" t="n">
        <f aca="false">Motore_Operativo!C46</f>
        <v>47635</v>
      </c>
      <c r="D46" s="68" t="n">
        <f aca="false">Motore_Operativo!D46</f>
        <v>2030</v>
      </c>
      <c r="E46" s="68" t="n">
        <f aca="false">Motore_Operativo!E46</f>
        <v>6</v>
      </c>
      <c r="F46" s="15" t="n">
        <f aca="false">Motore_Operativo!AQ46+Motore_Operativo!BF46</f>
        <v>94520.0939997484</v>
      </c>
      <c r="G46" s="15" t="n">
        <f aca="false">Motore_Operativo!BH46</f>
        <v>6906.25</v>
      </c>
      <c r="H46" s="15" t="n">
        <f aca="false">Motore_Operativo!BI46</f>
        <v>101426.343999748</v>
      </c>
      <c r="I46" s="15" t="n">
        <f aca="false">Motore_Operativo!CA46</f>
        <v>154069.751284965</v>
      </c>
      <c r="J46" s="15" t="n">
        <f aca="false">Motore_Operativo!CC46</f>
        <v>-52643.4072852164</v>
      </c>
      <c r="K46" s="15" t="n">
        <f aca="false">Motore_Operativo!CE46</f>
        <v>3333.33333333333</v>
      </c>
      <c r="L46" s="15" t="n">
        <f aca="false">SUM(INDEX($K$5:$K$64,MAX(1,42-Parametri_v3!$C$59+1)):K46)/Parametri_v3!$C$59</f>
        <v>2361.11111111111</v>
      </c>
      <c r="M46" s="15" t="n">
        <f aca="false">J46-L46</f>
        <v>-55004.5183963275</v>
      </c>
      <c r="N46" s="15" t="n">
        <f aca="false">CD46-(CD45)</f>
        <v>0</v>
      </c>
      <c r="O46" s="15" t="n">
        <f aca="false">(BG45)*Ipotesi!$C$110/12+CH46*Parametri_v3!$C$39/12</f>
        <v>750</v>
      </c>
      <c r="P46" s="15" t="n">
        <f aca="false">M46+N46-O46</f>
        <v>-55754.5183963275</v>
      </c>
      <c r="Q46" s="15" t="n">
        <f aca="false">SUM(P41:P46)+Parametri_v3!$C$54*6/12</f>
        <v>-361461.365791049</v>
      </c>
      <c r="R46" s="15" t="n">
        <f aca="false">Z40</f>
        <v>1327622.74335066</v>
      </c>
      <c r="S46" s="15" t="n">
        <f aca="false">AA40</f>
        <v>0</v>
      </c>
      <c r="T46" s="15" t="n">
        <f aca="false">MIN(R46,MAX(0,Q46))</f>
        <v>0</v>
      </c>
      <c r="U46" s="15" t="n">
        <f aca="false">MIN(S46,MAX(0,Q46-T46)*Parametri_v3!$C$42)</f>
        <v>0</v>
      </c>
      <c r="V46" s="15" t="n">
        <f aca="false">MAX(0,Q46-T46-U46)*Ipotesi!$C$92</f>
        <v>0</v>
      </c>
      <c r="W46" s="15" t="n">
        <f aca="false">MAX(0,SUM(M41:M46)+Parametri_v3!$C$55*6/12)*Ipotesi!$C$93</f>
        <v>0</v>
      </c>
      <c r="X46" s="15" t="n">
        <f aca="false">V46+W46-(V45+W45)</f>
        <v>0</v>
      </c>
      <c r="Y46" s="15" t="n">
        <f aca="false">P46-X46</f>
        <v>-55754.5183963275</v>
      </c>
      <c r="Z46" s="15" t="n">
        <f aca="false">R46-T46+IF(AND(Parametri_v3!$C$40=1,D46-YEAR(Parametri_v3!$C$50)&lt;Parametri_v3!$C$41),MAX(0,-Q46),0)</f>
        <v>1327622.74335066</v>
      </c>
      <c r="AA46" s="15" t="n">
        <f aca="false">S46-U46+IF(AND(Parametri_v3!$C$40=1,D46-YEAR(Parametri_v3!$C$50)&lt;Parametri_v3!$C$41),0,MAX(0,-Q46))</f>
        <v>361461.365791049</v>
      </c>
      <c r="AB46" s="15" t="n">
        <f aca="false">F46*(1+Parametri_v3!$C$26)</f>
        <v>115314.514679693</v>
      </c>
      <c r="AC46" s="15" t="n">
        <f aca="false">(IF(42-(INT((Motore_Operativo!L46)/30))&lt;1,0,INDEX(Motore_Startup!$AB$5:$AB$64,MAX(1,42-(INT((Motore_Operativo!L46)/30)))))*(1-(MOD((Motore_Operativo!L46),30)/30))+IF(42-(INT((Motore_Operativo!L46)/30))-1&lt;1,0,INDEX(Motore_Startup!$AB$5:$AB$64,MAX(1,42-(INT((Motore_Operativo!L46)/30))-1)))*(MOD((Motore_Operativo!L46),30)/30))</f>
        <v>106354.849731408</v>
      </c>
      <c r="AD46" s="15" t="n">
        <f aca="false">(AD45)+AB46-AC46</f>
        <v>336563.925964594</v>
      </c>
      <c r="AE46" s="15" t="n">
        <f aca="false">Motore_Operativo!BH46*(1+Parametri_v3!$C$26)</f>
        <v>8425.625</v>
      </c>
      <c r="AF46" s="15" t="n">
        <f aca="false">(IF(42-(INT((Parametri_v3!$C$29)/30))&lt;1,0,INDEX(Motore_Operativo!$BH$5:$BH$64,MAX(1,42-(INT((Parametri_v3!$C$29)/30)))))*(1-(MOD((Parametri_v3!$C$29),30)/30))+IF(42-(INT((Parametri_v3!$C$29)/30))-1&lt;1,0,INDEX(Motore_Operativo!$BH$5:$BH$64,MAX(1,42-(INT((Parametri_v3!$C$29)/30))-1)))*(MOD((Parametri_v3!$C$29),30)/30))*(1+Parametri_v3!$C$26)</f>
        <v>8425.625</v>
      </c>
      <c r="AG46" s="15" t="n">
        <f aca="false">(AG45)+AE46-AF46</f>
        <v>8425.625</v>
      </c>
      <c r="AH46" s="15" t="n">
        <f aca="false">(Motore_Operativo!CJ46)*(1+Parametri_v3!$C$27*Parametri_v3!$C$26)</f>
        <v>68367.2441167116</v>
      </c>
      <c r="AI46" s="15" t="n">
        <f aca="false">(IF(42-(INT((Ipotesi!$C$91)/30))&lt;1,0,INDEX(Motore_Startup!$AH$5:$AH$64,MAX(1,42-(INT((Ipotesi!$C$91)/30)))))*(1-(MOD((Ipotesi!$C$91),30)/30))+IF(42-(INT((Ipotesi!$C$91)/30))-1&lt;1,0,INDEX(Motore_Startup!$AH$5:$AH$64,MAX(1,42-(INT((Ipotesi!$C$91)/30))-1)))*(MOD((Ipotesi!$C$91),30)/30))</f>
        <v>67514.244567194</v>
      </c>
      <c r="AJ46" s="15" t="n">
        <f aca="false">(AJ45)+AH46-AI46</f>
        <v>136309.860789811</v>
      </c>
      <c r="AK46" s="15" t="n">
        <f aca="false">(F46+ Motore_Operativo!BH46-(Motore_Operativo!CJ46)*Parametri_v3!$C$27-Motore_Operativo!CE46)*Parametri_v3!$C$26</f>
        <v>10809.8855565312</v>
      </c>
      <c r="AL46" s="15" t="n">
        <f aca="false">MAX(0,(AM45))</f>
        <v>10314.6316684529</v>
      </c>
      <c r="AM46" s="15" t="n">
        <f aca="false">(AM45)+AK46-AL46</f>
        <v>10809.8855565312</v>
      </c>
      <c r="AN46" s="15" t="n">
        <f aca="false">SUM(X29:X40)</f>
        <v>0</v>
      </c>
      <c r="AO46" s="15" t="n">
        <f aca="false">SUM(AP29:AP40)</f>
        <v>0</v>
      </c>
      <c r="AP46" s="15" t="n">
        <f aca="false">MAX(0,AN46)*IF(6=Parametri_v3!$C$43,Parametri_v3!$C$45,IF(6=Parametri_v3!$C$44,1-Parametri_v3!$C$45,0))</f>
        <v>0</v>
      </c>
      <c r="AQ46" s="15" t="n">
        <f aca="false">MAX(0,AP46+IF(6=Parametri_v3!$C$43,MAX(0,AN46-AO46),0)-MAX(0,-(AR45)))</f>
        <v>0</v>
      </c>
      <c r="AR46" s="15" t="n">
        <f aca="false">(AR45)+X46-AQ46</f>
        <v>0</v>
      </c>
      <c r="AS46" s="15" t="n">
        <f aca="false">Motore_Operativo!AB46-AT46+AU46</f>
        <v>91649.4297604167</v>
      </c>
      <c r="AT46" s="15" t="n">
        <f aca="false">Motore_Operativo!CH46</f>
        <v>4823.65419791667</v>
      </c>
      <c r="AU46" s="15" t="n">
        <f aca="false">MIN(MAX(0,(AV45)+AT46),Parametri_v3!$C$60/12)</f>
        <v>0</v>
      </c>
      <c r="AV46" s="15" t="n">
        <f aca="false">(AV45)+AT46-AU46</f>
        <v>108113.6251875</v>
      </c>
      <c r="AW46" s="15" t="n">
        <f aca="false">IF(AND(Motore_Operativo!C46=Finanziamenti!$D$6,Finanziamenti!$F$6=1),Finanziamenti!$C$6,0)</f>
        <v>0</v>
      </c>
      <c r="AX46" s="15" t="n">
        <f aca="false">IF(AND(1&lt;&gt;7,1&lt;&gt;9,Finanziamenti!$F$8=1,OR(Parametri_v3!$C$6=0,Finanziamenti!$E$8=1),Motore_Operativo!C46=EDATE(Finanziamenti!$D$8,Ipotesi!C15*12)),Finanziamenti!$C$8*1,0)+IF(AND(1&lt;&gt;7,1&lt;&gt;9,Finanziamenti!$F$9=1,OR(Parametri_v3!$C$6=0,Finanziamenti!$E$9=1),Motore_Operativo!C46=EDATE(Finanziamenti!$D$9,Ipotesi!C15*12)),Finanziamenti!$C$9*Ipotesi!C16,0)</f>
        <v>0</v>
      </c>
      <c r="AY46" s="15" t="n">
        <f aca="false">0</f>
        <v>0</v>
      </c>
      <c r="AZ46" s="15" t="n">
        <f aca="false">Motore_Advisory!AY46*(1-Ipotesi!$C$95)*Ipotesi!$C$96</f>
        <v>0</v>
      </c>
      <c r="BA46" s="15" t="n">
        <f aca="false">MAX(0,MIN(CG46*MIN(1,IF(Motore_Operativo!C46&gt;=EDATE(Finanziamenti!$D$15,Ipotesi!C14*12),Finanziamenti!$C$15,0)+IF(Motore_Operativo!C46&gt;=EDATE(Finanziamenti!$D$16,Ipotesi!C14*12),Finanziamenti!$C$16,0)+IF(Motore_Operativo!C46&gt;=EDATE(Finanziamenti!$D$17,Ipotesi!C14*12),Finanziamenti!$C$17,0)),CA46*Ipotesi!$C$102)-(CC45))</f>
        <v>0</v>
      </c>
      <c r="BB46" s="15" t="n">
        <f aca="false">IF(AND(CF46&gt;0,Motore_Operativo!C46&gt;=IF(CF46=0,0,EDATE(CF46,Parametri_v3!$C$37)),MOD(((D46-YEAR(IF(CF46=0,0,EDATE(CF46,Parametri_v3!$C$37))))*12+E46-MONTH(IF(CF46=0,0,EDATE(CF46,Parametri_v3!$C$37)))),Parametri_v3!$C$38)=0),MIN(MAX(0,(BC45)+BA46-N46),(CC46-CD46)/(Ipotesi!$C$108*12/Parametri_v3!$C$38)),0)</f>
        <v>13161.847043153</v>
      </c>
      <c r="BC46" s="15" t="n">
        <f aca="false">(BC45)+BA46-N46-BB46</f>
        <v>250075.093819906</v>
      </c>
      <c r="BD46" s="15" t="n">
        <f aca="false">(BH45)+AC46+AF46-AI46-AS46-K46*(1+Parametri_v3!$C$26)-AL46-AQ46-O46+AW46+AX46+AZ46+BA46-BB46</f>
        <v>-95084.6391970011</v>
      </c>
      <c r="BE46" s="15" t="n">
        <f aca="false">MAX(0,MIN(MAX(0,CH46-(BG45)),Parametri_v3!$C$30-BD46))</f>
        <v>0</v>
      </c>
      <c r="BF46" s="15" t="n">
        <f aca="false">IF(Motore_Operativo!C46&gt;=Parametri_v3!$C$63,(BG45),MIN((BG45),MAX(0,BD46-Parametri_v3!$C$30)))</f>
        <v>0</v>
      </c>
      <c r="BG46" s="15" t="n">
        <f aca="false">(BG45)+BE46-BF46</f>
        <v>150000</v>
      </c>
      <c r="BH46" s="15" t="n">
        <f aca="false">BD46+BE46-BF46-AY46</f>
        <v>-95084.6391970011</v>
      </c>
      <c r="BI46" s="15" t="n">
        <f aca="false">MAX(0,Parametri_v3!$C$30-BH46)</f>
        <v>120084.639197001</v>
      </c>
      <c r="BJ46" s="15" t="n">
        <f aca="false">(BJ45)+K46</f>
        <v>95000</v>
      </c>
      <c r="BK46" s="15" t="n">
        <f aca="false">(BK45)+L46</f>
        <v>48680.5555555556</v>
      </c>
      <c r="BL46" s="15" t="n">
        <f aca="false">BJ46-BK46</f>
        <v>46319.4444444444</v>
      </c>
      <c r="BM46" s="15" t="n">
        <f aca="false">(BM45)+Y46</f>
        <v>-1689084.10914171</v>
      </c>
      <c r="BN46" s="15" t="n">
        <f aca="false">(BN45)+AW46+AX46+AZ46</f>
        <v>1330000</v>
      </c>
      <c r="BO46" s="15" t="n">
        <f aca="false">(BO45)+AY46</f>
        <v>0</v>
      </c>
      <c r="BP46" s="15" t="n">
        <f aca="false">0</f>
        <v>0</v>
      </c>
      <c r="BQ46" s="15" t="n">
        <f aca="false">BN46+BM46-BO46</f>
        <v>-359084.109141712</v>
      </c>
      <c r="BR46" s="15" t="n">
        <f aca="false">BH46+AD46+BL46+MAX(0,-AM46)+MAX(0,-AR46)+AG46</f>
        <v>296224.356212037</v>
      </c>
      <c r="BS46" s="15" t="n">
        <f aca="false">AJ46+AV46+MAX(0,AM46)+MAX(0,AR46)+BC46+BG46+BQ46</f>
        <v>296224.356212037</v>
      </c>
      <c r="BT46" s="15" t="n">
        <f aca="false">BR46-BS46</f>
        <v>0</v>
      </c>
      <c r="BU46" s="15" t="n">
        <f aca="false">BH46-(BD46+BE46-BF46-AY46)</f>
        <v>0</v>
      </c>
      <c r="BV46" s="15" t="n">
        <f aca="false">MIN(Piano_SS!$C$6,(BV45)+IF(AND(Motore_Operativo!C46&gt;=EDATE(Parametri_v3!$C$24,Ipotesi!C14*12),Motore_Operativo!C46&lt;EDATE(Parametri_v3!$C$24,Parametri_v3!$C$25+Ipotesi!C14*12)),MAX(0,(Motore_Operativo!Y46+Motore_Operativo!X46*Parametri_v3!$C$14)*(1-Parametri_v3!$C$32))*Piano_SS!$D$6,0))</f>
        <v>300000</v>
      </c>
      <c r="BW46" s="15" t="n">
        <f aca="false">MIN(Piano_SS!$C$7,(BW45)+IF(AND(Motore_Operativo!C46&gt;=EDATE(Parametri_v3!$C$24,Ipotesi!C14*12),Motore_Operativo!C46&lt;EDATE(Parametri_v3!$C$24,Parametri_v3!$C$25+Ipotesi!C14*12)),MAX(0,(IF(42-(INT((Ipotesi!$C$91)/30))&lt;1,0,INDEX(Motore_Operativo!$BN$5:$BN$64,MAX(1,42-(INT((Ipotesi!$C$91)/30)))))*(1-(MOD((Ipotesi!$C$91),30)/30))+IF(42-(INT((Ipotesi!$C$91)/30))-1&lt;1,0,INDEX(Motore_Operativo!$BN$5:$BN$64,MAX(1,42-(INT((Ipotesi!$C$91)/30))-1)))*(MOD((Ipotesi!$C$91),30)/30)))*Piano_SS!$D$7,0))</f>
        <v>37208.8229697489</v>
      </c>
      <c r="BX46" s="15" t="n">
        <f aca="false">MIN(Piano_SS!$C$8,(BX45)+IF(AND(Motore_Operativo!C46&gt;=EDATE(Parametri_v3!$C$24,Ipotesi!C14*12),Motore_Operativo!C46&lt;EDATE(Parametri_v3!$C$24,Parametri_v3!$C$25+Ipotesi!C14*12)),MAX(0,Motore_Operativo!CE46)*Piano_SS!$D$8,0))</f>
        <v>50000</v>
      </c>
      <c r="BY46" s="15" t="n">
        <f aca="false">MIN(Piano_SS!$C$9,(BY45)+IF(AND(Motore_Operativo!C46&gt;=EDATE(Parametri_v3!$C$24,Ipotesi!C14*12),Motore_Operativo!C46&lt;EDATE(Parametri_v3!$C$24,Parametri_v3!$C$25+Ipotesi!C14*12)),MAX(0,((IF(42-(INT((Ipotesi!$C$91)/30))&lt;1,0,INDEX(Motore_Operativo!$BQ$5:$BQ$64,MAX(1,42-(INT((Ipotesi!$C$91)/30)))))*(1-(MOD((Ipotesi!$C$91),30)/30))+IF(42-(INT((Ipotesi!$C$91)/30))-1&lt;1,0,INDEX(Motore_Operativo!$BQ$5:$BQ$64,MAX(1,42-(INT((Ipotesi!$C$91)/30))-1)))*(MOD((Ipotesi!$C$91),30)/30))+(IF(42-(INT((Ipotesi!$C$91)/30))&lt;1,0,INDEX(Motore_Operativo!$BR$5:$BR$64,MAX(1,42-(INT((Ipotesi!$C$91)/30)))))*(1-(MOD((Ipotesi!$C$91),30)/30))+IF(42-(INT((Ipotesi!$C$91)/30))-1&lt;1,0,INDEX(Motore_Operativo!$BR$5:$BR$64,MAX(1,42-(INT((Ipotesi!$C$91)/30))-1)))*(MOD((Ipotesi!$C$91),30)/30))))*Piano_SS!$D$9,0))</f>
        <v>40000</v>
      </c>
      <c r="BZ46" s="15" t="n">
        <f aca="false">MIN(Piano_SS!$C$10,(BZ45)+IF(AND(Motore_Operativo!C46&gt;=EDATE(Parametri_v3!$C$24,Ipotesi!C14*12),Motore_Operativo!C46&lt;EDATE(Parametri_v3!$C$24,Parametri_v3!$C$25+Ipotesi!C14*12)),MAX(0,(IF(42-(INT((Ipotesi!$C$91)/30))&lt;1,0,INDEX(Motore_Operativo!$BO$5:$BO$64,MAX(1,42-(INT((Ipotesi!$C$91)/30)))))*(1-(MOD((Ipotesi!$C$91),30)/30))+IF(42-(INT((Ipotesi!$C$91)/30))-1&lt;1,0,INDEX(Motore_Operativo!$BO$5:$BO$64,MAX(1,42-(INT((Ipotesi!$C$91)/30))-1)))*(MOD((Ipotesi!$C$91),30)/30)))*Piano_SS!$D$10,0))</f>
        <v>30000</v>
      </c>
      <c r="CA46" s="15" t="n">
        <f aca="false">SUM(BV46:BZ46)</f>
        <v>457208.822969749</v>
      </c>
      <c r="CB46" s="15" t="n">
        <f aca="false">BV46*(1-Piano_SS!$E$6)+BW46*(1-Piano_SS!$E$7)+BX46*(1-Piano_SS!$E$8)+BY46*(1-Piano_SS!$E$9)+BZ46*(1-Piano_SS!$E$10)</f>
        <v>427208.822969749</v>
      </c>
      <c r="CC46" s="15" t="n">
        <f aca="false">(CC45)+BA46</f>
        <v>365767.058375799</v>
      </c>
      <c r="CD46" s="15" t="n">
        <f aca="false">IF(CA46=0,0,CC46*CB46/CA46*Ipotesi!$C$103*Parametri_v3!$C$64)</f>
        <v>102530.11751274</v>
      </c>
      <c r="CE46" s="18" t="n">
        <f aca="false">IF(BA46&gt;0,Motore_Operativo!C46,(CE45))</f>
        <v>47270</v>
      </c>
      <c r="CF46" s="18" t="n">
        <f aca="false">IF(AND(CC46&gt;0,OR(CC46&gt;=CG46-0.01,Motore_Operativo!C46&gt;=EDATE(MAX(Finanziamenti!$D$15:$D$17),Ipotesi!C14*12))),CE46,0)</f>
        <v>47270</v>
      </c>
      <c r="CG46" s="15" t="n">
        <f aca="false">IF(AND(1&lt;&gt;6,1&lt;&gt;9,Finanziamenti!$F$11=1,OR(Parametri_v3!$C$6=0,Finanziamenti!$E$11=1)),MIN(Finanziamenti!$C$11,Piano_SS!$C$12*Ipotesi!$C$102),0)</f>
        <v>400000</v>
      </c>
      <c r="CH46" s="15" t="n">
        <f aca="false">IF(AND(AND(1&lt;&gt;8,1&lt;&gt;9,Finanziamenti!$F$10=1,OR(Parametri_v3!$C$6=0,Finanziamenti!$E$10=1)),Motore_Operativo!C46&gt;=Finanziamenti!$D$10,Motore_Operativo!C46&lt;Parametri_v3!$C$63),Finanziamenti!$C$10,0)</f>
        <v>150000</v>
      </c>
    </row>
    <row r="47" customFormat="false" ht="18" hidden="false" customHeight="true" outlineLevel="0" collapsed="false">
      <c r="A47" s="68" t="n">
        <f aca="false">1</f>
        <v>1</v>
      </c>
      <c r="B47" s="68" t="n">
        <f aca="false">43</f>
        <v>43</v>
      </c>
      <c r="C47" s="18" t="n">
        <f aca="false">Motore_Operativo!C47</f>
        <v>47665</v>
      </c>
      <c r="D47" s="68" t="n">
        <f aca="false">Motore_Operativo!D47</f>
        <v>2030</v>
      </c>
      <c r="E47" s="68" t="n">
        <f aca="false">Motore_Operativo!E47</f>
        <v>7</v>
      </c>
      <c r="F47" s="15" t="n">
        <f aca="false">Motore_Operativo!AQ47+Motore_Operativo!BF47</f>
        <v>97052.9831302044</v>
      </c>
      <c r="G47" s="15" t="n">
        <f aca="false">Motore_Operativo!BH47</f>
        <v>6906.25</v>
      </c>
      <c r="H47" s="15" t="n">
        <f aca="false">Motore_Operativo!BI47</f>
        <v>103959.233130204</v>
      </c>
      <c r="I47" s="15" t="n">
        <f aca="false">Motore_Operativo!CA47</f>
        <v>154424.355763229</v>
      </c>
      <c r="J47" s="15" t="n">
        <f aca="false">Motore_Operativo!CC47</f>
        <v>-50465.1226330242</v>
      </c>
      <c r="K47" s="15" t="n">
        <f aca="false">Motore_Operativo!CE47</f>
        <v>3333.33333333333</v>
      </c>
      <c r="L47" s="15" t="n">
        <f aca="false">SUM(INDEX($K$5:$K$64,MAX(1,43-Parametri_v3!$C$59+1)):K47)/Parametri_v3!$C$59</f>
        <v>2407.40740740741</v>
      </c>
      <c r="M47" s="15" t="n">
        <f aca="false">J47-L47</f>
        <v>-52872.5300404316</v>
      </c>
      <c r="N47" s="15" t="n">
        <f aca="false">CD47-(CD46)</f>
        <v>0</v>
      </c>
      <c r="O47" s="15" t="n">
        <f aca="false">(BG46)*Ipotesi!$C$110/12+CH47*Parametri_v3!$C$39/12</f>
        <v>750</v>
      </c>
      <c r="P47" s="15" t="n">
        <f aca="false">M47+N47-O47</f>
        <v>-53622.5300404316</v>
      </c>
      <c r="Q47" s="15" t="n">
        <f aca="false">SUM(P41:P47)+Parametri_v3!$C$54*7/12</f>
        <v>-415083.895831481</v>
      </c>
      <c r="R47" s="15" t="n">
        <f aca="false">Z40</f>
        <v>1327622.74335066</v>
      </c>
      <c r="S47" s="15" t="n">
        <f aca="false">AA40</f>
        <v>0</v>
      </c>
      <c r="T47" s="15" t="n">
        <f aca="false">MIN(R47,MAX(0,Q47))</f>
        <v>0</v>
      </c>
      <c r="U47" s="15" t="n">
        <f aca="false">MIN(S47,MAX(0,Q47-T47)*Parametri_v3!$C$42)</f>
        <v>0</v>
      </c>
      <c r="V47" s="15" t="n">
        <f aca="false">MAX(0,Q47-T47-U47)*Ipotesi!$C$92</f>
        <v>0</v>
      </c>
      <c r="W47" s="15" t="n">
        <f aca="false">MAX(0,SUM(M41:M47)+Parametri_v3!$C$55*7/12)*Ipotesi!$C$93</f>
        <v>0</v>
      </c>
      <c r="X47" s="15" t="n">
        <f aca="false">V47+W47-(V46+W46)</f>
        <v>0</v>
      </c>
      <c r="Y47" s="15" t="n">
        <f aca="false">P47-X47</f>
        <v>-53622.5300404316</v>
      </c>
      <c r="Z47" s="15" t="n">
        <f aca="false">R47-T47+IF(AND(Parametri_v3!$C$40=1,D47-YEAR(Parametri_v3!$C$50)&lt;Parametri_v3!$C$41),MAX(0,-Q47),0)</f>
        <v>1327622.74335066</v>
      </c>
      <c r="AA47" s="15" t="n">
        <f aca="false">S47-U47+IF(AND(Parametri_v3!$C$40=1,D47-YEAR(Parametri_v3!$C$50)&lt;Parametri_v3!$C$41),0,MAX(0,-Q47))</f>
        <v>415083.895831481</v>
      </c>
      <c r="AB47" s="15" t="n">
        <f aca="false">F47*(1+Parametri_v3!$C$26)</f>
        <v>118404.639418849</v>
      </c>
      <c r="AC47" s="15" t="n">
        <f aca="false">(IF(43-(INT((Motore_Operativo!L47)/30))&lt;1,0,INDEX(Motore_Startup!$AB$5:$AB$64,MAX(1,43-(INT((Motore_Operativo!L47)/30)))))*(1-(MOD((Motore_Operativo!L47),30)/30))+IF(43-(INT((Motore_Operativo!L47)/30))-1&lt;1,0,INDEX(Motore_Startup!$AB$5:$AB$64,MAX(1,43-(INT((Motore_Operativo!L47)/30))-1)))*(MOD((Motore_Operativo!L47),30)/30))</f>
        <v>109052.27222927</v>
      </c>
      <c r="AD47" s="15" t="n">
        <f aca="false">(AD46)+AB47-AC47</f>
        <v>345916.293154174</v>
      </c>
      <c r="AE47" s="15" t="n">
        <f aca="false">Motore_Operativo!BH47*(1+Parametri_v3!$C$26)</f>
        <v>8425.625</v>
      </c>
      <c r="AF47" s="15" t="n">
        <f aca="false">(IF(43-(INT((Parametri_v3!$C$29)/30))&lt;1,0,INDEX(Motore_Operativo!$BH$5:$BH$64,MAX(1,43-(INT((Parametri_v3!$C$29)/30)))))*(1-(MOD((Parametri_v3!$C$29),30)/30))+IF(43-(INT((Parametri_v3!$C$29)/30))-1&lt;1,0,INDEX(Motore_Operativo!$BH$5:$BH$64,MAX(1,43-(INT((Parametri_v3!$C$29)/30))-1)))*(MOD((Parametri_v3!$C$29),30)/30))*(1+Parametri_v3!$C$26)</f>
        <v>8425.625</v>
      </c>
      <c r="AG47" s="15" t="n">
        <f aca="false">(AG46)+AE47-AF47</f>
        <v>8425.625</v>
      </c>
      <c r="AH47" s="15" t="n">
        <f aca="false">(Motore_Operativo!CJ47)*(1+Parametri_v3!$C$27*Parametri_v3!$C$26)</f>
        <v>68788.1596324107</v>
      </c>
      <c r="AI47" s="15" t="n">
        <f aca="false">(IF(43-(INT((Ipotesi!$C$91)/30))&lt;1,0,INDEX(Motore_Startup!$AH$5:$AH$64,MAX(1,43-(INT((Ipotesi!$C$91)/30)))))*(1-(MOD((Ipotesi!$C$91),30)/30))+IF(43-(INT((Ipotesi!$C$91)/30))-1&lt;1,0,INDEX(Motore_Startup!$AH$5:$AH$64,MAX(1,43-(INT((Ipotesi!$C$91)/30))-1)))*(MOD((Ipotesi!$C$91),30)/30))</f>
        <v>67942.6166730996</v>
      </c>
      <c r="AJ47" s="15" t="n">
        <f aca="false">(AJ46)+AH47-AI47</f>
        <v>137155.403749122</v>
      </c>
      <c r="AK47" s="15" t="n">
        <f aca="false">(F47+ Motore_Operativo!BH47-(Motore_Operativo!CJ47)*Parametri_v3!$C$27-Motore_Operativo!CE47)*Parametri_v3!$C$26</f>
        <v>11300.8101277962</v>
      </c>
      <c r="AL47" s="15" t="n">
        <f aca="false">MAX(0,(AM46))</f>
        <v>10809.8855565312</v>
      </c>
      <c r="AM47" s="15" t="n">
        <f aca="false">(AM46)+AK47-AL47</f>
        <v>11300.8101277962</v>
      </c>
      <c r="AN47" s="15" t="n">
        <f aca="false">SUM(X29:X40)</f>
        <v>0</v>
      </c>
      <c r="AO47" s="15" t="n">
        <f aca="false">SUM(AP29:AP40)</f>
        <v>0</v>
      </c>
      <c r="AP47" s="15" t="n">
        <f aca="false">MAX(0,AN47)*IF(7=Parametri_v3!$C$43,Parametri_v3!$C$45,IF(7=Parametri_v3!$C$44,1-Parametri_v3!$C$45,0))</f>
        <v>0</v>
      </c>
      <c r="AQ47" s="15" t="n">
        <f aca="false">MAX(0,AP47+IF(7=Parametri_v3!$C$43,MAX(0,AN47-AO47),0)-MAX(0,-(AR46)))</f>
        <v>0</v>
      </c>
      <c r="AR47" s="15" t="n">
        <f aca="false">(AR46)+X47-AQ47</f>
        <v>0</v>
      </c>
      <c r="AS47" s="15" t="n">
        <f aca="false">Motore_Operativo!AB47-AT47+AU47</f>
        <v>91649.4297604167</v>
      </c>
      <c r="AT47" s="15" t="n">
        <f aca="false">Motore_Operativo!CH47</f>
        <v>4823.65419791667</v>
      </c>
      <c r="AU47" s="15" t="n">
        <f aca="false">MIN(MAX(0,(AV46)+AT47),Parametri_v3!$C$60/12)</f>
        <v>0</v>
      </c>
      <c r="AV47" s="15" t="n">
        <f aca="false">(AV46)+AT47-AU47</f>
        <v>112937.279385417</v>
      </c>
      <c r="AW47" s="15" t="n">
        <f aca="false">IF(AND(Motore_Operativo!C47=Finanziamenti!$D$6,Finanziamenti!$F$6=1),Finanziamenti!$C$6,0)</f>
        <v>0</v>
      </c>
      <c r="AX47" s="15" t="n">
        <f aca="false">IF(AND(1&lt;&gt;7,1&lt;&gt;9,Finanziamenti!$F$8=1,OR(Parametri_v3!$C$6=0,Finanziamenti!$E$8=1),Motore_Operativo!C47=EDATE(Finanziamenti!$D$8,Ipotesi!C15*12)),Finanziamenti!$C$8*1,0)+IF(AND(1&lt;&gt;7,1&lt;&gt;9,Finanziamenti!$F$9=1,OR(Parametri_v3!$C$6=0,Finanziamenti!$E$9=1),Motore_Operativo!C47=EDATE(Finanziamenti!$D$9,Ipotesi!C15*12)),Finanziamenti!$C$9*Ipotesi!C16,0)</f>
        <v>0</v>
      </c>
      <c r="AY47" s="15" t="n">
        <f aca="false">0</f>
        <v>0</v>
      </c>
      <c r="AZ47" s="15" t="n">
        <f aca="false">Motore_Advisory!AY47*(1-Ipotesi!$C$95)*Ipotesi!$C$96</f>
        <v>0</v>
      </c>
      <c r="BA47" s="15" t="n">
        <f aca="false">MAX(0,MIN(CG47*MIN(1,IF(Motore_Operativo!C47&gt;=EDATE(Finanziamenti!$D$15,Ipotesi!C14*12),Finanziamenti!$C$15,0)+IF(Motore_Operativo!C47&gt;=EDATE(Finanziamenti!$D$16,Ipotesi!C14*12),Finanziamenti!$C$16,0)+IF(Motore_Operativo!C47&gt;=EDATE(Finanziamenti!$D$17,Ipotesi!C14*12),Finanziamenti!$C$17,0)),CA47*Ipotesi!$C$102)-(CC46))</f>
        <v>0</v>
      </c>
      <c r="BB47" s="15" t="n">
        <f aca="false">IF(AND(CF47&gt;0,Motore_Operativo!C47&gt;=IF(CF47=0,0,EDATE(CF47,Parametri_v3!$C$37)),MOD(((D47-YEAR(IF(CF47=0,0,EDATE(CF47,Parametri_v3!$C$37))))*12+E47-MONTH(IF(CF47=0,0,EDATE(CF47,Parametri_v3!$C$37)))),Parametri_v3!$C$38)=0),MIN(MAX(0,(BC46)+BA47-N47),(CC47-CD47)/(Ipotesi!$C$108*12/Parametri_v3!$C$38)),0)</f>
        <v>0</v>
      </c>
      <c r="BC47" s="15" t="n">
        <f aca="false">(BC46)+BA47-N47-BB47</f>
        <v>250075.093819906</v>
      </c>
      <c r="BD47" s="15" t="n">
        <f aca="false">(BH46)+AC47+AF47-AI47-AS47-K47*(1+Parametri_v3!$C$26)-AL47-AQ47-O47+AW47+AX47+AZ47+BA47-BB47</f>
        <v>-152825.340624446</v>
      </c>
      <c r="BE47" s="15" t="n">
        <f aca="false">MAX(0,MIN(MAX(0,CH47-(BG46)),Parametri_v3!$C$30-BD47))</f>
        <v>0</v>
      </c>
      <c r="BF47" s="15" t="n">
        <f aca="false">IF(Motore_Operativo!C47&gt;=Parametri_v3!$C$63,(BG46),MIN((BG46),MAX(0,BD47-Parametri_v3!$C$30)))</f>
        <v>0</v>
      </c>
      <c r="BG47" s="15" t="n">
        <f aca="false">(BG46)+BE47-BF47</f>
        <v>150000</v>
      </c>
      <c r="BH47" s="15" t="n">
        <f aca="false">BD47+BE47-BF47-AY47</f>
        <v>-152825.340624446</v>
      </c>
      <c r="BI47" s="15" t="n">
        <f aca="false">MAX(0,Parametri_v3!$C$30-BH47)</f>
        <v>177825.340624446</v>
      </c>
      <c r="BJ47" s="15" t="n">
        <f aca="false">(BJ46)+K47</f>
        <v>98333.3333333333</v>
      </c>
      <c r="BK47" s="15" t="n">
        <f aca="false">(BK46)+L47</f>
        <v>51087.962962963</v>
      </c>
      <c r="BL47" s="15" t="n">
        <f aca="false">BJ47-BK47</f>
        <v>47245.3703703703</v>
      </c>
      <c r="BM47" s="15" t="n">
        <f aca="false">(BM46)+Y47</f>
        <v>-1742706.63918214</v>
      </c>
      <c r="BN47" s="15" t="n">
        <f aca="false">(BN46)+AW47+AX47+AZ47</f>
        <v>1330000</v>
      </c>
      <c r="BO47" s="15" t="n">
        <f aca="false">(BO46)+AY47</f>
        <v>0</v>
      </c>
      <c r="BP47" s="15" t="n">
        <f aca="false">0</f>
        <v>0</v>
      </c>
      <c r="BQ47" s="15" t="n">
        <f aca="false">BN47+BM47-BO47</f>
        <v>-412706.639182143</v>
      </c>
      <c r="BR47" s="15" t="n">
        <f aca="false">BH47+AD47+BL47+MAX(0,-AM47)+MAX(0,-AR47)+AG47</f>
        <v>248761.947900098</v>
      </c>
      <c r="BS47" s="15" t="n">
        <f aca="false">AJ47+AV47+MAX(0,AM47)+MAX(0,AR47)+BC47+BG47+BQ47</f>
        <v>248761.947900098</v>
      </c>
      <c r="BT47" s="15" t="n">
        <f aca="false">BR47-BS47</f>
        <v>0</v>
      </c>
      <c r="BU47" s="15" t="n">
        <f aca="false">BH47-(BD47+BE47-BF47-AY47)</f>
        <v>0</v>
      </c>
      <c r="BV47" s="15" t="n">
        <f aca="false">MIN(Piano_SS!$C$6,(BV46)+IF(AND(Motore_Operativo!C47&gt;=EDATE(Parametri_v3!$C$24,Ipotesi!C14*12),Motore_Operativo!C47&lt;EDATE(Parametri_v3!$C$24,Parametri_v3!$C$25+Ipotesi!C14*12)),MAX(0,(Motore_Operativo!Y47+Motore_Operativo!X47*Parametri_v3!$C$14)*(1-Parametri_v3!$C$32))*Piano_SS!$D$6,0))</f>
        <v>300000</v>
      </c>
      <c r="BW47" s="15" t="n">
        <f aca="false">MIN(Piano_SS!$C$7,(BW46)+IF(AND(Motore_Operativo!C47&gt;=EDATE(Parametri_v3!$C$24,Ipotesi!C14*12),Motore_Operativo!C47&lt;EDATE(Parametri_v3!$C$24,Parametri_v3!$C$25+Ipotesi!C14*12)),MAX(0,(IF(43-(INT((Ipotesi!$C$91)/30))&lt;1,0,INDEX(Motore_Operativo!$BN$5:$BN$64,MAX(1,43-(INT((Ipotesi!$C$91)/30)))))*(1-(MOD((Ipotesi!$C$91),30)/30))+IF(43-(INT((Ipotesi!$C$91)/30))-1&lt;1,0,INDEX(Motore_Operativo!$BN$5:$BN$64,MAX(1,43-(INT((Ipotesi!$C$91)/30))-1)))*(MOD((Ipotesi!$C$91),30)/30)))*Piano_SS!$D$7,0))</f>
        <v>37208.8229697489</v>
      </c>
      <c r="BX47" s="15" t="n">
        <f aca="false">MIN(Piano_SS!$C$8,(BX46)+IF(AND(Motore_Operativo!C47&gt;=EDATE(Parametri_v3!$C$24,Ipotesi!C14*12),Motore_Operativo!C47&lt;EDATE(Parametri_v3!$C$24,Parametri_v3!$C$25+Ipotesi!C14*12)),MAX(0,Motore_Operativo!CE47)*Piano_SS!$D$8,0))</f>
        <v>50000</v>
      </c>
      <c r="BY47" s="15" t="n">
        <f aca="false">MIN(Piano_SS!$C$9,(BY46)+IF(AND(Motore_Operativo!C47&gt;=EDATE(Parametri_v3!$C$24,Ipotesi!C14*12),Motore_Operativo!C47&lt;EDATE(Parametri_v3!$C$24,Parametri_v3!$C$25+Ipotesi!C14*12)),MAX(0,((IF(43-(INT((Ipotesi!$C$91)/30))&lt;1,0,INDEX(Motore_Operativo!$BQ$5:$BQ$64,MAX(1,43-(INT((Ipotesi!$C$91)/30)))))*(1-(MOD((Ipotesi!$C$91),30)/30))+IF(43-(INT((Ipotesi!$C$91)/30))-1&lt;1,0,INDEX(Motore_Operativo!$BQ$5:$BQ$64,MAX(1,43-(INT((Ipotesi!$C$91)/30))-1)))*(MOD((Ipotesi!$C$91),30)/30))+(IF(43-(INT((Ipotesi!$C$91)/30))&lt;1,0,INDEX(Motore_Operativo!$BR$5:$BR$64,MAX(1,43-(INT((Ipotesi!$C$91)/30)))))*(1-(MOD((Ipotesi!$C$91),30)/30))+IF(43-(INT((Ipotesi!$C$91)/30))-1&lt;1,0,INDEX(Motore_Operativo!$BR$5:$BR$64,MAX(1,43-(INT((Ipotesi!$C$91)/30))-1)))*(MOD((Ipotesi!$C$91),30)/30))))*Piano_SS!$D$9,0))</f>
        <v>40000</v>
      </c>
      <c r="BZ47" s="15" t="n">
        <f aca="false">MIN(Piano_SS!$C$10,(BZ46)+IF(AND(Motore_Operativo!C47&gt;=EDATE(Parametri_v3!$C$24,Ipotesi!C14*12),Motore_Operativo!C47&lt;EDATE(Parametri_v3!$C$24,Parametri_v3!$C$25+Ipotesi!C14*12)),MAX(0,(IF(43-(INT((Ipotesi!$C$91)/30))&lt;1,0,INDEX(Motore_Operativo!$BO$5:$BO$64,MAX(1,43-(INT((Ipotesi!$C$91)/30)))))*(1-(MOD((Ipotesi!$C$91),30)/30))+IF(43-(INT((Ipotesi!$C$91)/30))-1&lt;1,0,INDEX(Motore_Operativo!$BO$5:$BO$64,MAX(1,43-(INT((Ipotesi!$C$91)/30))-1)))*(MOD((Ipotesi!$C$91),30)/30)))*Piano_SS!$D$10,0))</f>
        <v>30000</v>
      </c>
      <c r="CA47" s="15" t="n">
        <f aca="false">SUM(BV47:BZ47)</f>
        <v>457208.822969749</v>
      </c>
      <c r="CB47" s="15" t="n">
        <f aca="false">BV47*(1-Piano_SS!$E$6)+BW47*(1-Piano_SS!$E$7)+BX47*(1-Piano_SS!$E$8)+BY47*(1-Piano_SS!$E$9)+BZ47*(1-Piano_SS!$E$10)</f>
        <v>427208.822969749</v>
      </c>
      <c r="CC47" s="15" t="n">
        <f aca="false">(CC46)+BA47</f>
        <v>365767.058375799</v>
      </c>
      <c r="CD47" s="15" t="n">
        <f aca="false">IF(CA47=0,0,CC47*CB47/CA47*Ipotesi!$C$103*Parametri_v3!$C$64)</f>
        <v>102530.11751274</v>
      </c>
      <c r="CE47" s="18" t="n">
        <f aca="false">IF(BA47&gt;0,Motore_Operativo!C47,(CE46))</f>
        <v>47270</v>
      </c>
      <c r="CF47" s="18" t="n">
        <f aca="false">IF(AND(CC47&gt;0,OR(CC47&gt;=CG47-0.01,Motore_Operativo!C47&gt;=EDATE(MAX(Finanziamenti!$D$15:$D$17),Ipotesi!C14*12))),CE47,0)</f>
        <v>47270</v>
      </c>
      <c r="CG47" s="15" t="n">
        <f aca="false">IF(AND(1&lt;&gt;6,1&lt;&gt;9,Finanziamenti!$F$11=1,OR(Parametri_v3!$C$6=0,Finanziamenti!$E$11=1)),MIN(Finanziamenti!$C$11,Piano_SS!$C$12*Ipotesi!$C$102),0)</f>
        <v>400000</v>
      </c>
      <c r="CH47" s="15" t="n">
        <f aca="false">IF(AND(AND(1&lt;&gt;8,1&lt;&gt;9,Finanziamenti!$F$10=1,OR(Parametri_v3!$C$6=0,Finanziamenti!$E$10=1)),Motore_Operativo!C47&gt;=Finanziamenti!$D$10,Motore_Operativo!C47&lt;Parametri_v3!$C$63),Finanziamenti!$C$10,0)</f>
        <v>150000</v>
      </c>
    </row>
    <row r="48" customFormat="false" ht="18" hidden="false" customHeight="true" outlineLevel="0" collapsed="false">
      <c r="A48" s="68" t="n">
        <f aca="false">1</f>
        <v>1</v>
      </c>
      <c r="B48" s="68" t="n">
        <f aca="false">44</f>
        <v>44</v>
      </c>
      <c r="C48" s="18" t="n">
        <f aca="false">Motore_Operativo!C48</f>
        <v>47696</v>
      </c>
      <c r="D48" s="68" t="n">
        <f aca="false">Motore_Operativo!D48</f>
        <v>2030</v>
      </c>
      <c r="E48" s="68" t="n">
        <f aca="false">Motore_Operativo!E48</f>
        <v>8</v>
      </c>
      <c r="F48" s="15" t="n">
        <f aca="false">Motore_Operativo!AQ48+Motore_Operativo!BF48</f>
        <v>99563.7307292906</v>
      </c>
      <c r="G48" s="15" t="n">
        <f aca="false">Motore_Operativo!BH48</f>
        <v>6906.25</v>
      </c>
      <c r="H48" s="15" t="n">
        <f aca="false">Motore_Operativo!BI48</f>
        <v>106469.980729291</v>
      </c>
      <c r="I48" s="15" t="n">
        <f aca="false">Motore_Operativo!CA48</f>
        <v>154775.860427101</v>
      </c>
      <c r="J48" s="15" t="n">
        <f aca="false">Motore_Operativo!CC48</f>
        <v>-48305.8796978101</v>
      </c>
      <c r="K48" s="15" t="n">
        <f aca="false">Motore_Operativo!CE48</f>
        <v>3333.33333333333</v>
      </c>
      <c r="L48" s="15" t="n">
        <f aca="false">SUM(INDEX($K$5:$K$64,MAX(1,44-Parametri_v3!$C$59+1)):K48)/Parametri_v3!$C$59</f>
        <v>2453.7037037037</v>
      </c>
      <c r="M48" s="15" t="n">
        <f aca="false">J48-L48</f>
        <v>-50759.5834015138</v>
      </c>
      <c r="N48" s="15" t="n">
        <f aca="false">CD48-(CD47)</f>
        <v>0</v>
      </c>
      <c r="O48" s="15" t="n">
        <f aca="false">(BG47)*Ipotesi!$C$110/12+CH48*Parametri_v3!$C$39/12</f>
        <v>750</v>
      </c>
      <c r="P48" s="15" t="n">
        <f aca="false">M48+N48-O48</f>
        <v>-51509.5834015138</v>
      </c>
      <c r="Q48" s="15" t="n">
        <f aca="false">SUM(P41:P48)+Parametri_v3!$C$54*8/12</f>
        <v>-466593.479232995</v>
      </c>
      <c r="R48" s="15" t="n">
        <f aca="false">Z40</f>
        <v>1327622.74335066</v>
      </c>
      <c r="S48" s="15" t="n">
        <f aca="false">AA40</f>
        <v>0</v>
      </c>
      <c r="T48" s="15" t="n">
        <f aca="false">MIN(R48,MAX(0,Q48))</f>
        <v>0</v>
      </c>
      <c r="U48" s="15" t="n">
        <f aca="false">MIN(S48,MAX(0,Q48-T48)*Parametri_v3!$C$42)</f>
        <v>0</v>
      </c>
      <c r="V48" s="15" t="n">
        <f aca="false">MAX(0,Q48-T48-U48)*Ipotesi!$C$92</f>
        <v>0</v>
      </c>
      <c r="W48" s="15" t="n">
        <f aca="false">MAX(0,SUM(M41:M48)+Parametri_v3!$C$55*8/12)*Ipotesi!$C$93</f>
        <v>0</v>
      </c>
      <c r="X48" s="15" t="n">
        <f aca="false">V48+W48-(V47+W47)</f>
        <v>0</v>
      </c>
      <c r="Y48" s="15" t="n">
        <f aca="false">P48-X48</f>
        <v>-51509.5834015138</v>
      </c>
      <c r="Z48" s="15" t="n">
        <f aca="false">R48-T48+IF(AND(Parametri_v3!$C$40=1,D48-YEAR(Parametri_v3!$C$50)&lt;Parametri_v3!$C$41),MAX(0,-Q48),0)</f>
        <v>1327622.74335066</v>
      </c>
      <c r="AA48" s="15" t="n">
        <f aca="false">S48-U48+IF(AND(Parametri_v3!$C$40=1,D48-YEAR(Parametri_v3!$C$50)&lt;Parametri_v3!$C$41),0,MAX(0,-Q48))</f>
        <v>466593.479232995</v>
      </c>
      <c r="AB48" s="15" t="n">
        <f aca="false">F48*(1+Parametri_v3!$C$26)</f>
        <v>121467.751489735</v>
      </c>
      <c r="AC48" s="15" t="n">
        <f aca="false">(IF(44-(INT((Motore_Operativo!L48)/30))&lt;1,0,INDEX(Motore_Startup!$AB$5:$AB$64,MAX(1,44-(INT((Motore_Operativo!L48)/30)))))*(1-(MOD((Motore_Operativo!L48),30)/30))+IF(44-(INT((Motore_Operativo!L48)/30))-1&lt;1,0,INDEX(Motore_Startup!$AB$5:$AB$64,MAX(1,44-(INT((Motore_Operativo!L48)/30))-1)))*(MOD((Motore_Operativo!L48),30)/30))</f>
        <v>112197.139055631</v>
      </c>
      <c r="AD48" s="15" t="n">
        <f aca="false">(AD47)+AB48-AC48</f>
        <v>355186.905588277</v>
      </c>
      <c r="AE48" s="15" t="n">
        <f aca="false">Motore_Operativo!BH48*(1+Parametri_v3!$C$26)</f>
        <v>8425.625</v>
      </c>
      <c r="AF48" s="15" t="n">
        <f aca="false">(IF(44-(INT((Parametri_v3!$C$29)/30))&lt;1,0,INDEX(Motore_Operativo!$BH$5:$BH$64,MAX(1,44-(INT((Parametri_v3!$C$29)/30)))))*(1-(MOD((Parametri_v3!$C$29),30)/30))+IF(44-(INT((Parametri_v3!$C$29)/30))-1&lt;1,0,INDEX(Motore_Operativo!$BH$5:$BH$64,MAX(1,44-(INT((Parametri_v3!$C$29)/30))-1)))*(MOD((Parametri_v3!$C$29),30)/30))*(1+Parametri_v3!$C$26)</f>
        <v>8425.625</v>
      </c>
      <c r="AG48" s="15" t="n">
        <f aca="false">(AG47)+AE48-AF48</f>
        <v>8425.625</v>
      </c>
      <c r="AH48" s="15" t="n">
        <f aca="false">(Motore_Operativo!CJ48)*(1+Parametri_v3!$C$27*Parametri_v3!$C$26)</f>
        <v>69205.3956684269</v>
      </c>
      <c r="AI48" s="15" t="n">
        <f aca="false">(IF(44-(INT((Ipotesi!$C$91)/30))&lt;1,0,INDEX(Motore_Startup!$AH$5:$AH$64,MAX(1,44-(INT((Ipotesi!$C$91)/30)))))*(1-(MOD((Ipotesi!$C$91),30)/30))+IF(44-(INT((Ipotesi!$C$91)/30))-1&lt;1,0,INDEX(Motore_Startup!$AH$5:$AH$64,MAX(1,44-(INT((Ipotesi!$C$91)/30))-1)))*(MOD((Ipotesi!$C$91),30)/30))</f>
        <v>68367.2441167116</v>
      </c>
      <c r="AJ48" s="15" t="n">
        <f aca="false">(AJ47)+AH48-AI48</f>
        <v>137993.555300838</v>
      </c>
      <c r="AK48" s="15" t="n">
        <f aca="false">(F48+ Motore_Operativo!BH48-(Motore_Operativo!CJ48)*Parametri_v3!$C$27-Motore_Operativo!CE48)*Parametri_v3!$C$26</f>
        <v>11787.4432274511</v>
      </c>
      <c r="AL48" s="15" t="n">
        <f aca="false">MAX(0,(AM47))</f>
        <v>11300.8101277962</v>
      </c>
      <c r="AM48" s="15" t="n">
        <f aca="false">(AM47)+AK48-AL48</f>
        <v>11787.4432274511</v>
      </c>
      <c r="AN48" s="15" t="n">
        <f aca="false">SUM(X29:X40)</f>
        <v>0</v>
      </c>
      <c r="AO48" s="15" t="n">
        <f aca="false">SUM(AP29:AP40)</f>
        <v>0</v>
      </c>
      <c r="AP48" s="15" t="n">
        <f aca="false">MAX(0,AN48)*IF(8=Parametri_v3!$C$43,Parametri_v3!$C$45,IF(8=Parametri_v3!$C$44,1-Parametri_v3!$C$45,0))</f>
        <v>0</v>
      </c>
      <c r="AQ48" s="15" t="n">
        <f aca="false">MAX(0,AP48+IF(8=Parametri_v3!$C$43,MAX(0,AN48-AO48),0)-MAX(0,-(AR47)))</f>
        <v>0</v>
      </c>
      <c r="AR48" s="15" t="n">
        <f aca="false">(AR47)+X48-AQ48</f>
        <v>0</v>
      </c>
      <c r="AS48" s="15" t="n">
        <f aca="false">Motore_Operativo!AB48-AT48+AU48</f>
        <v>91649.4297604167</v>
      </c>
      <c r="AT48" s="15" t="n">
        <f aca="false">Motore_Operativo!CH48</f>
        <v>4823.65419791667</v>
      </c>
      <c r="AU48" s="15" t="n">
        <f aca="false">MIN(MAX(0,(AV47)+AT48),Parametri_v3!$C$60/12)</f>
        <v>0</v>
      </c>
      <c r="AV48" s="15" t="n">
        <f aca="false">(AV47)+AT48-AU48</f>
        <v>117760.933583333</v>
      </c>
      <c r="AW48" s="15" t="n">
        <f aca="false">IF(AND(Motore_Operativo!C48=Finanziamenti!$D$6,Finanziamenti!$F$6=1),Finanziamenti!$C$6,0)</f>
        <v>0</v>
      </c>
      <c r="AX48" s="15" t="n">
        <f aca="false">IF(AND(1&lt;&gt;7,1&lt;&gt;9,Finanziamenti!$F$8=1,OR(Parametri_v3!$C$6=0,Finanziamenti!$E$8=1),Motore_Operativo!C48=EDATE(Finanziamenti!$D$8,Ipotesi!C15*12)),Finanziamenti!$C$8*1,0)+IF(AND(1&lt;&gt;7,1&lt;&gt;9,Finanziamenti!$F$9=1,OR(Parametri_v3!$C$6=0,Finanziamenti!$E$9=1),Motore_Operativo!C48=EDATE(Finanziamenti!$D$9,Ipotesi!C15*12)),Finanziamenti!$C$9*Ipotesi!C16,0)</f>
        <v>0</v>
      </c>
      <c r="AY48" s="15" t="n">
        <f aca="false">0</f>
        <v>0</v>
      </c>
      <c r="AZ48" s="15" t="n">
        <f aca="false">Motore_Advisory!AY48*(1-Ipotesi!$C$95)*Ipotesi!$C$96</f>
        <v>0</v>
      </c>
      <c r="BA48" s="15" t="n">
        <f aca="false">MAX(0,MIN(CG48*MIN(1,IF(Motore_Operativo!C48&gt;=EDATE(Finanziamenti!$D$15,Ipotesi!C14*12),Finanziamenti!$C$15,0)+IF(Motore_Operativo!C48&gt;=EDATE(Finanziamenti!$D$16,Ipotesi!C14*12),Finanziamenti!$C$16,0)+IF(Motore_Operativo!C48&gt;=EDATE(Finanziamenti!$D$17,Ipotesi!C14*12),Finanziamenti!$C$17,0)),CA48*Ipotesi!$C$102)-(CC47))</f>
        <v>0</v>
      </c>
      <c r="BB48" s="15" t="n">
        <f aca="false">IF(AND(CF48&gt;0,Motore_Operativo!C48&gt;=IF(CF48=0,0,EDATE(CF48,Parametri_v3!$C$37)),MOD(((D48-YEAR(IF(CF48=0,0,EDATE(CF48,Parametri_v3!$C$37))))*12+E48-MONTH(IF(CF48=0,0,EDATE(CF48,Parametri_v3!$C$37)))),Parametri_v3!$C$38)=0),MIN(MAX(0,(BC47)+BA48-N48),(CC48-CD48)/(Ipotesi!$C$108*12/Parametri_v3!$C$38)),0)</f>
        <v>0</v>
      </c>
      <c r="BC48" s="15" t="n">
        <f aca="false">(BC47)+BA48-N48-BB48</f>
        <v>250075.093819906</v>
      </c>
      <c r="BD48" s="15" t="n">
        <f aca="false">(BH47)+AC48+AF48-AI48-AS48-K48*(1+Parametri_v3!$C$26)-AL48-AQ48-O48+AW48+AX48+AZ48+BA48-BB48</f>
        <v>-208336.727240405</v>
      </c>
      <c r="BE48" s="15" t="n">
        <f aca="false">MAX(0,MIN(MAX(0,CH48-(BG47)),Parametri_v3!$C$30-BD48))</f>
        <v>0</v>
      </c>
      <c r="BF48" s="15" t="n">
        <f aca="false">IF(Motore_Operativo!C48&gt;=Parametri_v3!$C$63,(BG47),MIN((BG47),MAX(0,BD48-Parametri_v3!$C$30)))</f>
        <v>0</v>
      </c>
      <c r="BG48" s="15" t="n">
        <f aca="false">(BG47)+BE48-BF48</f>
        <v>150000</v>
      </c>
      <c r="BH48" s="15" t="n">
        <f aca="false">BD48+BE48-BF48-AY48</f>
        <v>-208336.727240405</v>
      </c>
      <c r="BI48" s="15" t="n">
        <f aca="false">MAX(0,Parametri_v3!$C$30-BH48)</f>
        <v>233336.727240405</v>
      </c>
      <c r="BJ48" s="15" t="n">
        <f aca="false">(BJ47)+K48</f>
        <v>101666.666666667</v>
      </c>
      <c r="BK48" s="15" t="n">
        <f aca="false">(BK47)+L48</f>
        <v>53541.6666666667</v>
      </c>
      <c r="BL48" s="15" t="n">
        <f aca="false">BJ48-BK48</f>
        <v>48125</v>
      </c>
      <c r="BM48" s="15" t="n">
        <f aca="false">(BM47)+Y48</f>
        <v>-1794216.22258366</v>
      </c>
      <c r="BN48" s="15" t="n">
        <f aca="false">(BN47)+AW48+AX48+AZ48</f>
        <v>1330000</v>
      </c>
      <c r="BO48" s="15" t="n">
        <f aca="false">(BO47)+AY48</f>
        <v>0</v>
      </c>
      <c r="BP48" s="15" t="n">
        <f aca="false">0</f>
        <v>0</v>
      </c>
      <c r="BQ48" s="15" t="n">
        <f aca="false">BN48+BM48-BO48</f>
        <v>-464216.222583657</v>
      </c>
      <c r="BR48" s="15" t="n">
        <f aca="false">BH48+AD48+BL48+MAX(0,-AM48)+MAX(0,-AR48)+AG48</f>
        <v>203400.803347872</v>
      </c>
      <c r="BS48" s="15" t="n">
        <f aca="false">AJ48+AV48+MAX(0,AM48)+MAX(0,AR48)+BC48+BG48+BQ48</f>
        <v>203400.803347872</v>
      </c>
      <c r="BT48" s="15" t="n">
        <f aca="false">BR48-BS48</f>
        <v>0</v>
      </c>
      <c r="BU48" s="15" t="n">
        <f aca="false">BH48-(BD48+BE48-BF48-AY48)</f>
        <v>0</v>
      </c>
      <c r="BV48" s="15" t="n">
        <f aca="false">MIN(Piano_SS!$C$6,(BV47)+IF(AND(Motore_Operativo!C48&gt;=EDATE(Parametri_v3!$C$24,Ipotesi!C14*12),Motore_Operativo!C48&lt;EDATE(Parametri_v3!$C$24,Parametri_v3!$C$25+Ipotesi!C14*12)),MAX(0,(Motore_Operativo!Y48+Motore_Operativo!X48*Parametri_v3!$C$14)*(1-Parametri_v3!$C$32))*Piano_SS!$D$6,0))</f>
        <v>300000</v>
      </c>
      <c r="BW48" s="15" t="n">
        <f aca="false">MIN(Piano_SS!$C$7,(BW47)+IF(AND(Motore_Operativo!C48&gt;=EDATE(Parametri_v3!$C$24,Ipotesi!C14*12),Motore_Operativo!C48&lt;EDATE(Parametri_v3!$C$24,Parametri_v3!$C$25+Ipotesi!C14*12)),MAX(0,(IF(44-(INT((Ipotesi!$C$91)/30))&lt;1,0,INDEX(Motore_Operativo!$BN$5:$BN$64,MAX(1,44-(INT((Ipotesi!$C$91)/30)))))*(1-(MOD((Ipotesi!$C$91),30)/30))+IF(44-(INT((Ipotesi!$C$91)/30))-1&lt;1,0,INDEX(Motore_Operativo!$BN$5:$BN$64,MAX(1,44-(INT((Ipotesi!$C$91)/30))-1)))*(MOD((Ipotesi!$C$91),30)/30)))*Piano_SS!$D$7,0))</f>
        <v>37208.8229697489</v>
      </c>
      <c r="BX48" s="15" t="n">
        <f aca="false">MIN(Piano_SS!$C$8,(BX47)+IF(AND(Motore_Operativo!C48&gt;=EDATE(Parametri_v3!$C$24,Ipotesi!C14*12),Motore_Operativo!C48&lt;EDATE(Parametri_v3!$C$24,Parametri_v3!$C$25+Ipotesi!C14*12)),MAX(0,Motore_Operativo!CE48)*Piano_SS!$D$8,0))</f>
        <v>50000</v>
      </c>
      <c r="BY48" s="15" t="n">
        <f aca="false">MIN(Piano_SS!$C$9,(BY47)+IF(AND(Motore_Operativo!C48&gt;=EDATE(Parametri_v3!$C$24,Ipotesi!C14*12),Motore_Operativo!C48&lt;EDATE(Parametri_v3!$C$24,Parametri_v3!$C$25+Ipotesi!C14*12)),MAX(0,((IF(44-(INT((Ipotesi!$C$91)/30))&lt;1,0,INDEX(Motore_Operativo!$BQ$5:$BQ$64,MAX(1,44-(INT((Ipotesi!$C$91)/30)))))*(1-(MOD((Ipotesi!$C$91),30)/30))+IF(44-(INT((Ipotesi!$C$91)/30))-1&lt;1,0,INDEX(Motore_Operativo!$BQ$5:$BQ$64,MAX(1,44-(INT((Ipotesi!$C$91)/30))-1)))*(MOD((Ipotesi!$C$91),30)/30))+(IF(44-(INT((Ipotesi!$C$91)/30))&lt;1,0,INDEX(Motore_Operativo!$BR$5:$BR$64,MAX(1,44-(INT((Ipotesi!$C$91)/30)))))*(1-(MOD((Ipotesi!$C$91),30)/30))+IF(44-(INT((Ipotesi!$C$91)/30))-1&lt;1,0,INDEX(Motore_Operativo!$BR$5:$BR$64,MAX(1,44-(INT((Ipotesi!$C$91)/30))-1)))*(MOD((Ipotesi!$C$91),30)/30))))*Piano_SS!$D$9,0))</f>
        <v>40000</v>
      </c>
      <c r="BZ48" s="15" t="n">
        <f aca="false">MIN(Piano_SS!$C$10,(BZ47)+IF(AND(Motore_Operativo!C48&gt;=EDATE(Parametri_v3!$C$24,Ipotesi!C14*12),Motore_Operativo!C48&lt;EDATE(Parametri_v3!$C$24,Parametri_v3!$C$25+Ipotesi!C14*12)),MAX(0,(IF(44-(INT((Ipotesi!$C$91)/30))&lt;1,0,INDEX(Motore_Operativo!$BO$5:$BO$64,MAX(1,44-(INT((Ipotesi!$C$91)/30)))))*(1-(MOD((Ipotesi!$C$91),30)/30))+IF(44-(INT((Ipotesi!$C$91)/30))-1&lt;1,0,INDEX(Motore_Operativo!$BO$5:$BO$64,MAX(1,44-(INT((Ipotesi!$C$91)/30))-1)))*(MOD((Ipotesi!$C$91),30)/30)))*Piano_SS!$D$10,0))</f>
        <v>30000</v>
      </c>
      <c r="CA48" s="15" t="n">
        <f aca="false">SUM(BV48:BZ48)</f>
        <v>457208.822969749</v>
      </c>
      <c r="CB48" s="15" t="n">
        <f aca="false">BV48*(1-Piano_SS!$E$6)+BW48*(1-Piano_SS!$E$7)+BX48*(1-Piano_SS!$E$8)+BY48*(1-Piano_SS!$E$9)+BZ48*(1-Piano_SS!$E$10)</f>
        <v>427208.822969749</v>
      </c>
      <c r="CC48" s="15" t="n">
        <f aca="false">(CC47)+BA48</f>
        <v>365767.058375799</v>
      </c>
      <c r="CD48" s="15" t="n">
        <f aca="false">IF(CA48=0,0,CC48*CB48/CA48*Ipotesi!$C$103*Parametri_v3!$C$64)</f>
        <v>102530.11751274</v>
      </c>
      <c r="CE48" s="18" t="n">
        <f aca="false">IF(BA48&gt;0,Motore_Operativo!C48,(CE47))</f>
        <v>47270</v>
      </c>
      <c r="CF48" s="18" t="n">
        <f aca="false">IF(AND(CC48&gt;0,OR(CC48&gt;=CG48-0.01,Motore_Operativo!C48&gt;=EDATE(MAX(Finanziamenti!$D$15:$D$17),Ipotesi!C14*12))),CE48,0)</f>
        <v>47270</v>
      </c>
      <c r="CG48" s="15" t="n">
        <f aca="false">IF(AND(1&lt;&gt;6,1&lt;&gt;9,Finanziamenti!$F$11=1,OR(Parametri_v3!$C$6=0,Finanziamenti!$E$11=1)),MIN(Finanziamenti!$C$11,Piano_SS!$C$12*Ipotesi!$C$102),0)</f>
        <v>400000</v>
      </c>
      <c r="CH48" s="15" t="n">
        <f aca="false">IF(AND(AND(1&lt;&gt;8,1&lt;&gt;9,Finanziamenti!$F$10=1,OR(Parametri_v3!$C$6=0,Finanziamenti!$E$10=1)),Motore_Operativo!C48&gt;=Finanziamenti!$D$10,Motore_Operativo!C48&lt;Parametri_v3!$C$63),Finanziamenti!$C$10,0)</f>
        <v>150000</v>
      </c>
    </row>
    <row r="49" customFormat="false" ht="18" hidden="false" customHeight="true" outlineLevel="0" collapsed="false">
      <c r="A49" s="68" t="n">
        <f aca="false">1</f>
        <v>1</v>
      </c>
      <c r="B49" s="68" t="n">
        <f aca="false">45</f>
        <v>45</v>
      </c>
      <c r="C49" s="18" t="n">
        <f aca="false">Motore_Operativo!C49</f>
        <v>47727</v>
      </c>
      <c r="D49" s="68" t="n">
        <f aca="false">Motore_Operativo!D49</f>
        <v>2030</v>
      </c>
      <c r="E49" s="68" t="n">
        <f aca="false">Motore_Operativo!E49</f>
        <v>9</v>
      </c>
      <c r="F49" s="15" t="n">
        <f aca="false">Motore_Operativo!AQ49+Motore_Operativo!BF49</f>
        <v>102052.53034966</v>
      </c>
      <c r="G49" s="15" t="n">
        <f aca="false">Motore_Operativo!BH49</f>
        <v>6906.25</v>
      </c>
      <c r="H49" s="15" t="n">
        <f aca="false">Motore_Operativo!BI49</f>
        <v>108958.78034966</v>
      </c>
      <c r="I49" s="15" t="n">
        <f aca="false">Motore_Operativo!CA49</f>
        <v>155124.292373952</v>
      </c>
      <c r="J49" s="15" t="n">
        <f aca="false">Motore_Operativo!CC49</f>
        <v>-46165.5120242922</v>
      </c>
      <c r="K49" s="15" t="n">
        <f aca="false">Motore_Operativo!CE49</f>
        <v>3333.33333333333</v>
      </c>
      <c r="L49" s="15" t="n">
        <f aca="false">SUM(INDEX($K$5:$K$64,MAX(1,45-Parametri_v3!$C$59+1)):K49)/Parametri_v3!$C$59</f>
        <v>2500</v>
      </c>
      <c r="M49" s="15" t="n">
        <f aca="false">J49-L49</f>
        <v>-48665.5120242922</v>
      </c>
      <c r="N49" s="15" t="n">
        <f aca="false">CD49-(CD48)</f>
        <v>0</v>
      </c>
      <c r="O49" s="15" t="n">
        <f aca="false">(BG48)*Ipotesi!$C$110/12+CH49*Parametri_v3!$C$39/12</f>
        <v>750</v>
      </c>
      <c r="P49" s="15" t="n">
        <f aca="false">M49+N49-O49</f>
        <v>-49415.5120242922</v>
      </c>
      <c r="Q49" s="15" t="n">
        <f aca="false">SUM(P41:P49)+Parametri_v3!$C$54*9/12</f>
        <v>-516008.991257287</v>
      </c>
      <c r="R49" s="15" t="n">
        <f aca="false">Z40</f>
        <v>1327622.74335066</v>
      </c>
      <c r="S49" s="15" t="n">
        <f aca="false">AA40</f>
        <v>0</v>
      </c>
      <c r="T49" s="15" t="n">
        <f aca="false">MIN(R49,MAX(0,Q49))</f>
        <v>0</v>
      </c>
      <c r="U49" s="15" t="n">
        <f aca="false">MIN(S49,MAX(0,Q49-T49)*Parametri_v3!$C$42)</f>
        <v>0</v>
      </c>
      <c r="V49" s="15" t="n">
        <f aca="false">MAX(0,Q49-T49-U49)*Ipotesi!$C$92</f>
        <v>0</v>
      </c>
      <c r="W49" s="15" t="n">
        <f aca="false">MAX(0,SUM(M41:M49)+Parametri_v3!$C$55*9/12)*Ipotesi!$C$93</f>
        <v>0</v>
      </c>
      <c r="X49" s="15" t="n">
        <f aca="false">V49+W49-(V48+W48)</f>
        <v>0</v>
      </c>
      <c r="Y49" s="15" t="n">
        <f aca="false">P49-X49</f>
        <v>-49415.5120242922</v>
      </c>
      <c r="Z49" s="15" t="n">
        <f aca="false">R49-T49+IF(AND(Parametri_v3!$C$40=1,D49-YEAR(Parametri_v3!$C$50)&lt;Parametri_v3!$C$41),MAX(0,-Q49),0)</f>
        <v>1327622.74335066</v>
      </c>
      <c r="AA49" s="15" t="n">
        <f aca="false">S49-U49+IF(AND(Parametri_v3!$C$40=1,D49-YEAR(Parametri_v3!$C$50)&lt;Parametri_v3!$C$41),0,MAX(0,-Q49))</f>
        <v>516008.991257287</v>
      </c>
      <c r="AB49" s="15" t="n">
        <f aca="false">F49*(1+Parametri_v3!$C$26)</f>
        <v>124504.087026585</v>
      </c>
      <c r="AC49" s="15" t="n">
        <f aca="false">(IF(45-(INT((Motore_Operativo!L49)/30))&lt;1,0,INDEX(Motore_Startup!$AB$5:$AB$64,MAX(1,45-(INT((Motore_Operativo!L49)/30)))))*(1-(MOD((Motore_Operativo!L49),30)/30))+IF(45-(INT((Motore_Operativo!L49)/30))-1&lt;1,0,INDEX(Motore_Startup!$AB$5:$AB$64,MAX(1,45-(INT((Motore_Operativo!L49)/30))-1)))*(MOD((Motore_Operativo!L49),30)/30))</f>
        <v>115314.514679693</v>
      </c>
      <c r="AD49" s="15" t="n">
        <f aca="false">(AD48)+AB49-AC49</f>
        <v>364376.477935169</v>
      </c>
      <c r="AE49" s="15" t="n">
        <f aca="false">Motore_Operativo!BH49*(1+Parametri_v3!$C$26)</f>
        <v>8425.625</v>
      </c>
      <c r="AF49" s="15" t="n">
        <f aca="false">(IF(45-(INT((Parametri_v3!$C$29)/30))&lt;1,0,INDEX(Motore_Operativo!$BH$5:$BH$64,MAX(1,45-(INT((Parametri_v3!$C$29)/30)))))*(1-(MOD((Parametri_v3!$C$29),30)/30))+IF(45-(INT((Parametri_v3!$C$29)/30))-1&lt;1,0,INDEX(Motore_Operativo!$BH$5:$BH$64,MAX(1,45-(INT((Parametri_v3!$C$29)/30))-1)))*(MOD((Parametri_v3!$C$29),30)/30))*(1+Parametri_v3!$C$26)</f>
        <v>8425.625</v>
      </c>
      <c r="AG49" s="15" t="n">
        <f aca="false">(AG48)+AE49-AF49</f>
        <v>8425.625</v>
      </c>
      <c r="AH49" s="15" t="n">
        <f aca="false">(Motore_Operativo!CJ49)*(1+Parametri_v3!$C$27*Parametri_v3!$C$26)</f>
        <v>69618.9843893399</v>
      </c>
      <c r="AI49" s="15" t="n">
        <f aca="false">(IF(45-(INT((Ipotesi!$C$91)/30))&lt;1,0,INDEX(Motore_Startup!$AH$5:$AH$64,MAX(1,45-(INT((Ipotesi!$C$91)/30)))))*(1-(MOD((Ipotesi!$C$91),30)/30))+IF(45-(INT((Ipotesi!$C$91)/30))-1&lt;1,0,INDEX(Motore_Startup!$AH$5:$AH$64,MAX(1,45-(INT((Ipotesi!$C$91)/30))-1)))*(MOD((Ipotesi!$C$91),30)/30))</f>
        <v>68788.1596324107</v>
      </c>
      <c r="AJ49" s="15" t="n">
        <f aca="false">(AJ48)+AH49-AI49</f>
        <v>138824.380057767</v>
      </c>
      <c r="AK49" s="15" t="n">
        <f aca="false">(F49+ Motore_Operativo!BH49-(Motore_Operativo!CJ49)*Parametri_v3!$C$27-Motore_Operativo!CE49)*Parametri_v3!$C$26</f>
        <v>12269.8223698711</v>
      </c>
      <c r="AL49" s="15" t="n">
        <f aca="false">MAX(0,(AM48))</f>
        <v>11787.4432274511</v>
      </c>
      <c r="AM49" s="15" t="n">
        <f aca="false">(AM48)+AK49-AL49</f>
        <v>12269.8223698711</v>
      </c>
      <c r="AN49" s="15" t="n">
        <f aca="false">SUM(X29:X40)</f>
        <v>0</v>
      </c>
      <c r="AO49" s="15" t="n">
        <f aca="false">SUM(AP29:AP40)</f>
        <v>0</v>
      </c>
      <c r="AP49" s="15" t="n">
        <f aca="false">MAX(0,AN49)*IF(9=Parametri_v3!$C$43,Parametri_v3!$C$45,IF(9=Parametri_v3!$C$44,1-Parametri_v3!$C$45,0))</f>
        <v>0</v>
      </c>
      <c r="AQ49" s="15" t="n">
        <f aca="false">MAX(0,AP49+IF(9=Parametri_v3!$C$43,MAX(0,AN49-AO49),0)-MAX(0,-(AR48)))</f>
        <v>0</v>
      </c>
      <c r="AR49" s="15" t="n">
        <f aca="false">(AR48)+X49-AQ49</f>
        <v>0</v>
      </c>
      <c r="AS49" s="15" t="n">
        <f aca="false">Motore_Operativo!AB49-AT49+AU49</f>
        <v>91649.4297604167</v>
      </c>
      <c r="AT49" s="15" t="n">
        <f aca="false">Motore_Operativo!CH49</f>
        <v>4823.65419791667</v>
      </c>
      <c r="AU49" s="15" t="n">
        <f aca="false">MIN(MAX(0,(AV48)+AT49),Parametri_v3!$C$60/12)</f>
        <v>0</v>
      </c>
      <c r="AV49" s="15" t="n">
        <f aca="false">(AV48)+AT49-AU49</f>
        <v>122584.58778125</v>
      </c>
      <c r="AW49" s="15" t="n">
        <f aca="false">IF(AND(Motore_Operativo!C49=Finanziamenti!$D$6,Finanziamenti!$F$6=1),Finanziamenti!$C$6,0)</f>
        <v>0</v>
      </c>
      <c r="AX49" s="15" t="n">
        <f aca="false">IF(AND(1&lt;&gt;7,1&lt;&gt;9,Finanziamenti!$F$8=1,OR(Parametri_v3!$C$6=0,Finanziamenti!$E$8=1),Motore_Operativo!C49=EDATE(Finanziamenti!$D$8,Ipotesi!C15*12)),Finanziamenti!$C$8*1,0)+IF(AND(1&lt;&gt;7,1&lt;&gt;9,Finanziamenti!$F$9=1,OR(Parametri_v3!$C$6=0,Finanziamenti!$E$9=1),Motore_Operativo!C49=EDATE(Finanziamenti!$D$9,Ipotesi!C15*12)),Finanziamenti!$C$9*Ipotesi!C16,0)</f>
        <v>0</v>
      </c>
      <c r="AY49" s="15" t="n">
        <f aca="false">0</f>
        <v>0</v>
      </c>
      <c r="AZ49" s="15" t="n">
        <f aca="false">Motore_Advisory!AY49*(1-Ipotesi!$C$95)*Ipotesi!$C$96</f>
        <v>0</v>
      </c>
      <c r="BA49" s="15" t="n">
        <f aca="false">MAX(0,MIN(CG49*MIN(1,IF(Motore_Operativo!C49&gt;=EDATE(Finanziamenti!$D$15,Ipotesi!C14*12),Finanziamenti!$C$15,0)+IF(Motore_Operativo!C49&gt;=EDATE(Finanziamenti!$D$16,Ipotesi!C14*12),Finanziamenti!$C$16,0)+IF(Motore_Operativo!C49&gt;=EDATE(Finanziamenti!$D$17,Ipotesi!C14*12),Finanziamenti!$C$17,0)),CA49*Ipotesi!$C$102)-(CC48))</f>
        <v>0</v>
      </c>
      <c r="BB49" s="15" t="n">
        <f aca="false">IF(AND(CF49&gt;0,Motore_Operativo!C49&gt;=IF(CF49=0,0,EDATE(CF49,Parametri_v3!$C$37)),MOD(((D49-YEAR(IF(CF49=0,0,EDATE(CF49,Parametri_v3!$C$37))))*12+E49-MONTH(IF(CF49=0,0,EDATE(CF49,Parametri_v3!$C$37)))),Parametri_v3!$C$38)=0),MIN(MAX(0,(BC48)+BA49-N49),(CC49-CD49)/(Ipotesi!$C$108*12/Parametri_v3!$C$38)),0)</f>
        <v>0</v>
      </c>
      <c r="BC49" s="15" t="n">
        <f aca="false">(BC48)+BA49-N49-BB49</f>
        <v>250075.093819906</v>
      </c>
      <c r="BD49" s="15" t="n">
        <f aca="false">(BH48)+AC49+AF49-AI49-AS49-K49*(1+Parametri_v3!$C$26)-AL49-AQ49-O49+AW49+AX49+AZ49+BA49-BB49</f>
        <v>-261638.286847657</v>
      </c>
      <c r="BE49" s="15" t="n">
        <f aca="false">MAX(0,MIN(MAX(0,CH49-(BG48)),Parametri_v3!$C$30-BD49))</f>
        <v>0</v>
      </c>
      <c r="BF49" s="15" t="n">
        <f aca="false">IF(Motore_Operativo!C49&gt;=Parametri_v3!$C$63,(BG48),MIN((BG48),MAX(0,BD49-Parametri_v3!$C$30)))</f>
        <v>0</v>
      </c>
      <c r="BG49" s="15" t="n">
        <f aca="false">(BG48)+BE49-BF49</f>
        <v>150000</v>
      </c>
      <c r="BH49" s="15" t="n">
        <f aca="false">BD49+BE49-BF49-AY49</f>
        <v>-261638.286847657</v>
      </c>
      <c r="BI49" s="15" t="n">
        <f aca="false">MAX(0,Parametri_v3!$C$30-BH49)</f>
        <v>286638.286847657</v>
      </c>
      <c r="BJ49" s="15" t="n">
        <f aca="false">(BJ48)+K49</f>
        <v>105000</v>
      </c>
      <c r="BK49" s="15" t="n">
        <f aca="false">(BK48)+L49</f>
        <v>56041.6666666667</v>
      </c>
      <c r="BL49" s="15" t="n">
        <f aca="false">BJ49-BK49</f>
        <v>48958.3333333333</v>
      </c>
      <c r="BM49" s="15" t="n">
        <f aca="false">(BM48)+Y49</f>
        <v>-1843631.73460795</v>
      </c>
      <c r="BN49" s="15" t="n">
        <f aca="false">(BN48)+AW49+AX49+AZ49</f>
        <v>1330000</v>
      </c>
      <c r="BO49" s="15" t="n">
        <f aca="false">(BO48)+AY49</f>
        <v>0</v>
      </c>
      <c r="BP49" s="15" t="n">
        <f aca="false">0</f>
        <v>0</v>
      </c>
      <c r="BQ49" s="15" t="n">
        <f aca="false">BN49+BM49-BO49</f>
        <v>-513631.734607949</v>
      </c>
      <c r="BR49" s="15" t="n">
        <f aca="false">BH49+AD49+BL49+MAX(0,-AM49)+MAX(0,-AR49)+AG49</f>
        <v>160122.149420845</v>
      </c>
      <c r="BS49" s="15" t="n">
        <f aca="false">AJ49+AV49+MAX(0,AM49)+MAX(0,AR49)+BC49+BG49+BQ49</f>
        <v>160122.149420845</v>
      </c>
      <c r="BT49" s="15" t="n">
        <f aca="false">BR49-BS49</f>
        <v>0</v>
      </c>
      <c r="BU49" s="15" t="n">
        <f aca="false">BH49-(BD49+BE49-BF49-AY49)</f>
        <v>0</v>
      </c>
      <c r="BV49" s="15" t="n">
        <f aca="false">MIN(Piano_SS!$C$6,(BV48)+IF(AND(Motore_Operativo!C49&gt;=EDATE(Parametri_v3!$C$24,Ipotesi!C14*12),Motore_Operativo!C49&lt;EDATE(Parametri_v3!$C$24,Parametri_v3!$C$25+Ipotesi!C14*12)),MAX(0,(Motore_Operativo!Y49+Motore_Operativo!X49*Parametri_v3!$C$14)*(1-Parametri_v3!$C$32))*Piano_SS!$D$6,0))</f>
        <v>300000</v>
      </c>
      <c r="BW49" s="15" t="n">
        <f aca="false">MIN(Piano_SS!$C$7,(BW48)+IF(AND(Motore_Operativo!C49&gt;=EDATE(Parametri_v3!$C$24,Ipotesi!C14*12),Motore_Operativo!C49&lt;EDATE(Parametri_v3!$C$24,Parametri_v3!$C$25+Ipotesi!C14*12)),MAX(0,(IF(45-(INT((Ipotesi!$C$91)/30))&lt;1,0,INDEX(Motore_Operativo!$BN$5:$BN$64,MAX(1,45-(INT((Ipotesi!$C$91)/30)))))*(1-(MOD((Ipotesi!$C$91),30)/30))+IF(45-(INT((Ipotesi!$C$91)/30))-1&lt;1,0,INDEX(Motore_Operativo!$BN$5:$BN$64,MAX(1,45-(INT((Ipotesi!$C$91)/30))-1)))*(MOD((Ipotesi!$C$91),30)/30)))*Piano_SS!$D$7,0))</f>
        <v>37208.8229697489</v>
      </c>
      <c r="BX49" s="15" t="n">
        <f aca="false">MIN(Piano_SS!$C$8,(BX48)+IF(AND(Motore_Operativo!C49&gt;=EDATE(Parametri_v3!$C$24,Ipotesi!C14*12),Motore_Operativo!C49&lt;EDATE(Parametri_v3!$C$24,Parametri_v3!$C$25+Ipotesi!C14*12)),MAX(0,Motore_Operativo!CE49)*Piano_SS!$D$8,0))</f>
        <v>50000</v>
      </c>
      <c r="BY49" s="15" t="n">
        <f aca="false">MIN(Piano_SS!$C$9,(BY48)+IF(AND(Motore_Operativo!C49&gt;=EDATE(Parametri_v3!$C$24,Ipotesi!C14*12),Motore_Operativo!C49&lt;EDATE(Parametri_v3!$C$24,Parametri_v3!$C$25+Ipotesi!C14*12)),MAX(0,((IF(45-(INT((Ipotesi!$C$91)/30))&lt;1,0,INDEX(Motore_Operativo!$BQ$5:$BQ$64,MAX(1,45-(INT((Ipotesi!$C$91)/30)))))*(1-(MOD((Ipotesi!$C$91),30)/30))+IF(45-(INT((Ipotesi!$C$91)/30))-1&lt;1,0,INDEX(Motore_Operativo!$BQ$5:$BQ$64,MAX(1,45-(INT((Ipotesi!$C$91)/30))-1)))*(MOD((Ipotesi!$C$91),30)/30))+(IF(45-(INT((Ipotesi!$C$91)/30))&lt;1,0,INDEX(Motore_Operativo!$BR$5:$BR$64,MAX(1,45-(INT((Ipotesi!$C$91)/30)))))*(1-(MOD((Ipotesi!$C$91),30)/30))+IF(45-(INT((Ipotesi!$C$91)/30))-1&lt;1,0,INDEX(Motore_Operativo!$BR$5:$BR$64,MAX(1,45-(INT((Ipotesi!$C$91)/30))-1)))*(MOD((Ipotesi!$C$91),30)/30))))*Piano_SS!$D$9,0))</f>
        <v>40000</v>
      </c>
      <c r="BZ49" s="15" t="n">
        <f aca="false">MIN(Piano_SS!$C$10,(BZ48)+IF(AND(Motore_Operativo!C49&gt;=EDATE(Parametri_v3!$C$24,Ipotesi!C14*12),Motore_Operativo!C49&lt;EDATE(Parametri_v3!$C$24,Parametri_v3!$C$25+Ipotesi!C14*12)),MAX(0,(IF(45-(INT((Ipotesi!$C$91)/30))&lt;1,0,INDEX(Motore_Operativo!$BO$5:$BO$64,MAX(1,45-(INT((Ipotesi!$C$91)/30)))))*(1-(MOD((Ipotesi!$C$91),30)/30))+IF(45-(INT((Ipotesi!$C$91)/30))-1&lt;1,0,INDEX(Motore_Operativo!$BO$5:$BO$64,MAX(1,45-(INT((Ipotesi!$C$91)/30))-1)))*(MOD((Ipotesi!$C$91),30)/30)))*Piano_SS!$D$10,0))</f>
        <v>30000</v>
      </c>
      <c r="CA49" s="15" t="n">
        <f aca="false">SUM(BV49:BZ49)</f>
        <v>457208.822969749</v>
      </c>
      <c r="CB49" s="15" t="n">
        <f aca="false">BV49*(1-Piano_SS!$E$6)+BW49*(1-Piano_SS!$E$7)+BX49*(1-Piano_SS!$E$8)+BY49*(1-Piano_SS!$E$9)+BZ49*(1-Piano_SS!$E$10)</f>
        <v>427208.822969749</v>
      </c>
      <c r="CC49" s="15" t="n">
        <f aca="false">(CC48)+BA49</f>
        <v>365767.058375799</v>
      </c>
      <c r="CD49" s="15" t="n">
        <f aca="false">IF(CA49=0,0,CC49*CB49/CA49*Ipotesi!$C$103*Parametri_v3!$C$64)</f>
        <v>102530.11751274</v>
      </c>
      <c r="CE49" s="18" t="n">
        <f aca="false">IF(BA49&gt;0,Motore_Operativo!C49,(CE48))</f>
        <v>47270</v>
      </c>
      <c r="CF49" s="18" t="n">
        <f aca="false">IF(AND(CC49&gt;0,OR(CC49&gt;=CG49-0.01,Motore_Operativo!C49&gt;=EDATE(MAX(Finanziamenti!$D$15:$D$17),Ipotesi!C14*12))),CE49,0)</f>
        <v>47270</v>
      </c>
      <c r="CG49" s="15" t="n">
        <f aca="false">IF(AND(1&lt;&gt;6,1&lt;&gt;9,Finanziamenti!$F$11=1,OR(Parametri_v3!$C$6=0,Finanziamenti!$E$11=1)),MIN(Finanziamenti!$C$11,Piano_SS!$C$12*Ipotesi!$C$102),0)</f>
        <v>400000</v>
      </c>
      <c r="CH49" s="15" t="n">
        <f aca="false">IF(AND(AND(1&lt;&gt;8,1&lt;&gt;9,Finanziamenti!$F$10=1,OR(Parametri_v3!$C$6=0,Finanziamenti!$E$10=1)),Motore_Operativo!C49&gt;=Finanziamenti!$D$10,Motore_Operativo!C49&lt;Parametri_v3!$C$63),Finanziamenti!$C$10,0)</f>
        <v>150000</v>
      </c>
    </row>
    <row r="50" customFormat="false" ht="18" hidden="false" customHeight="true" outlineLevel="0" collapsed="false">
      <c r="A50" s="68" t="n">
        <f aca="false">1</f>
        <v>1</v>
      </c>
      <c r="B50" s="68" t="n">
        <f aca="false">46</f>
        <v>46</v>
      </c>
      <c r="C50" s="18" t="n">
        <f aca="false">Motore_Operativo!C50</f>
        <v>47757</v>
      </c>
      <c r="D50" s="68" t="n">
        <f aca="false">Motore_Operativo!D50</f>
        <v>2030</v>
      </c>
      <c r="E50" s="68" t="n">
        <f aca="false">Motore_Operativo!E50</f>
        <v>10</v>
      </c>
      <c r="F50" s="15" t="n">
        <f aca="false">Motore_Operativo!AQ50+Motore_Operativo!BF50</f>
        <v>104519.573852004</v>
      </c>
      <c r="G50" s="15" t="n">
        <f aca="false">Motore_Operativo!BH50</f>
        <v>6906.25</v>
      </c>
      <c r="H50" s="15" t="n">
        <f aca="false">Motore_Operativo!BI50</f>
        <v>111425.823852004</v>
      </c>
      <c r="I50" s="15" t="n">
        <f aca="false">Motore_Operativo!CA50</f>
        <v>155469.678464281</v>
      </c>
      <c r="J50" s="15" t="n">
        <f aca="false">Motore_Operativo!CC50</f>
        <v>-44043.8546122763</v>
      </c>
      <c r="K50" s="15" t="n">
        <f aca="false">Motore_Operativo!CE50</f>
        <v>3333.33333333333</v>
      </c>
      <c r="L50" s="15" t="n">
        <f aca="false">SUM(INDEX($K$5:$K$64,MAX(1,46-Parametri_v3!$C$59+1)):K50)/Parametri_v3!$C$59</f>
        <v>2546.2962962963</v>
      </c>
      <c r="M50" s="15" t="n">
        <f aca="false">J50-L50</f>
        <v>-46590.1509085726</v>
      </c>
      <c r="N50" s="15" t="n">
        <f aca="false">CD50-(CD49)</f>
        <v>0</v>
      </c>
      <c r="O50" s="15" t="n">
        <f aca="false">(BG49)*Ipotesi!$C$110/12+CH50*Parametri_v3!$C$39/12</f>
        <v>750</v>
      </c>
      <c r="P50" s="15" t="n">
        <f aca="false">M50+N50-O50</f>
        <v>-47340.1509085726</v>
      </c>
      <c r="Q50" s="15" t="n">
        <f aca="false">SUM(P41:P50)+Parametri_v3!$C$54*10/12</f>
        <v>-563349.14216586</v>
      </c>
      <c r="R50" s="15" t="n">
        <f aca="false">Z40</f>
        <v>1327622.74335066</v>
      </c>
      <c r="S50" s="15" t="n">
        <f aca="false">AA40</f>
        <v>0</v>
      </c>
      <c r="T50" s="15" t="n">
        <f aca="false">MIN(R50,MAX(0,Q50))</f>
        <v>0</v>
      </c>
      <c r="U50" s="15" t="n">
        <f aca="false">MIN(S50,MAX(0,Q50-T50)*Parametri_v3!$C$42)</f>
        <v>0</v>
      </c>
      <c r="V50" s="15" t="n">
        <f aca="false">MAX(0,Q50-T50-U50)*Ipotesi!$C$92</f>
        <v>0</v>
      </c>
      <c r="W50" s="15" t="n">
        <f aca="false">MAX(0,SUM(M41:M50)+Parametri_v3!$C$55*10/12)*Ipotesi!$C$93</f>
        <v>0</v>
      </c>
      <c r="X50" s="15" t="n">
        <f aca="false">V50+W50-(V49+W49)</f>
        <v>0</v>
      </c>
      <c r="Y50" s="15" t="n">
        <f aca="false">P50-X50</f>
        <v>-47340.1509085726</v>
      </c>
      <c r="Z50" s="15" t="n">
        <f aca="false">R50-T50+IF(AND(Parametri_v3!$C$40=1,D50-YEAR(Parametri_v3!$C$50)&lt;Parametri_v3!$C$41),MAX(0,-Q50),0)</f>
        <v>1327622.74335066</v>
      </c>
      <c r="AA50" s="15" t="n">
        <f aca="false">S50-U50+IF(AND(Parametri_v3!$C$40=1,D50-YEAR(Parametri_v3!$C$50)&lt;Parametri_v3!$C$41),0,MAX(0,-Q50))</f>
        <v>563349.14216586</v>
      </c>
      <c r="AB50" s="15" t="n">
        <f aca="false">F50*(1+Parametri_v3!$C$26)</f>
        <v>127513.880099445</v>
      </c>
      <c r="AC50" s="15" t="n">
        <f aca="false">(IF(46-(INT((Motore_Operativo!L50)/30))&lt;1,0,INDEX(Motore_Startup!$AB$5:$AB$64,MAX(1,46-(INT((Motore_Operativo!L50)/30)))))*(1-(MOD((Motore_Operativo!L50),30)/30))+IF(46-(INT((Motore_Operativo!L50)/30))-1&lt;1,0,INDEX(Motore_Startup!$AB$5:$AB$64,MAX(1,46-(INT((Motore_Operativo!L50)/30))-1)))*(MOD((Motore_Operativo!L50),30)/30))</f>
        <v>118404.639418849</v>
      </c>
      <c r="AD50" s="15" t="n">
        <f aca="false">(AD49)+AB50-AC50</f>
        <v>373485.718615765</v>
      </c>
      <c r="AE50" s="15" t="n">
        <f aca="false">Motore_Operativo!BH50*(1+Parametri_v3!$C$26)</f>
        <v>8425.625</v>
      </c>
      <c r="AF50" s="15" t="n">
        <f aca="false">(IF(46-(INT((Parametri_v3!$C$29)/30))&lt;1,0,INDEX(Motore_Operativo!$BH$5:$BH$64,MAX(1,46-(INT((Parametri_v3!$C$29)/30)))))*(1-(MOD((Parametri_v3!$C$29),30)/30))+IF(46-(INT((Parametri_v3!$C$29)/30))-1&lt;1,0,INDEX(Motore_Operativo!$BH$5:$BH$64,MAX(1,46-(INT((Parametri_v3!$C$29)/30))-1)))*(MOD((Parametri_v3!$C$29),30)/30))*(1+Parametri_v3!$C$26)</f>
        <v>8425.625</v>
      </c>
      <c r="AG50" s="15" t="n">
        <f aca="false">(AG49)+AE50-AF50</f>
        <v>8425.625</v>
      </c>
      <c r="AH50" s="15" t="n">
        <f aca="false">(Motore_Operativo!CJ50)*(1+Parametri_v3!$C$27*Parametri_v3!$C$26)</f>
        <v>70028.9576785594</v>
      </c>
      <c r="AI50" s="15" t="n">
        <f aca="false">(IF(46-(INT((Ipotesi!$C$91)/30))&lt;1,0,INDEX(Motore_Startup!$AH$5:$AH$64,MAX(1,46-(INT((Ipotesi!$C$91)/30)))))*(1-(MOD((Ipotesi!$C$91),30)/30))+IF(46-(INT((Ipotesi!$C$91)/30))-1&lt;1,0,INDEX(Motore_Startup!$AH$5:$AH$64,MAX(1,46-(INT((Ipotesi!$C$91)/30))-1)))*(MOD((Ipotesi!$C$91),30)/30))</f>
        <v>69205.3956684269</v>
      </c>
      <c r="AJ50" s="15" t="n">
        <f aca="false">(AJ49)+AH50-AI50</f>
        <v>139647.942067899</v>
      </c>
      <c r="AK50" s="15" t="n">
        <f aca="false">(F50+ Motore_Operativo!BH50-(Motore_Operativo!CJ50)*Parametri_v3!$C$27-Motore_Operativo!CE50)*Parametri_v3!$C$26</f>
        <v>12747.9847414955</v>
      </c>
      <c r="AL50" s="15" t="n">
        <f aca="false">MAX(0,(AM49))</f>
        <v>12269.8223698711</v>
      </c>
      <c r="AM50" s="15" t="n">
        <f aca="false">(AM49)+AK50-AL50</f>
        <v>12747.9847414955</v>
      </c>
      <c r="AN50" s="15" t="n">
        <f aca="false">SUM(X29:X40)</f>
        <v>0</v>
      </c>
      <c r="AO50" s="15" t="n">
        <f aca="false">SUM(AP29:AP40)</f>
        <v>0</v>
      </c>
      <c r="AP50" s="15" t="n">
        <f aca="false">MAX(0,AN50)*IF(10=Parametri_v3!$C$43,Parametri_v3!$C$45,IF(10=Parametri_v3!$C$44,1-Parametri_v3!$C$45,0))</f>
        <v>0</v>
      </c>
      <c r="AQ50" s="15" t="n">
        <f aca="false">MAX(0,AP50+IF(10=Parametri_v3!$C$43,MAX(0,AN50-AO50),0)-MAX(0,-(AR49)))</f>
        <v>0</v>
      </c>
      <c r="AR50" s="15" t="n">
        <f aca="false">(AR49)+X50-AQ50</f>
        <v>0</v>
      </c>
      <c r="AS50" s="15" t="n">
        <f aca="false">Motore_Operativo!AB50-AT50+AU50</f>
        <v>91649.4297604167</v>
      </c>
      <c r="AT50" s="15" t="n">
        <f aca="false">Motore_Operativo!CH50</f>
        <v>4823.65419791667</v>
      </c>
      <c r="AU50" s="15" t="n">
        <f aca="false">MIN(MAX(0,(AV49)+AT50),Parametri_v3!$C$60/12)</f>
        <v>0</v>
      </c>
      <c r="AV50" s="15" t="n">
        <f aca="false">(AV49)+AT50-AU50</f>
        <v>127408.241979167</v>
      </c>
      <c r="AW50" s="15" t="n">
        <f aca="false">IF(AND(Motore_Operativo!C50=Finanziamenti!$D$6,Finanziamenti!$F$6=1),Finanziamenti!$C$6,0)</f>
        <v>0</v>
      </c>
      <c r="AX50" s="15" t="n">
        <f aca="false">IF(AND(1&lt;&gt;7,1&lt;&gt;9,Finanziamenti!$F$8=1,OR(Parametri_v3!$C$6=0,Finanziamenti!$E$8=1),Motore_Operativo!C50=EDATE(Finanziamenti!$D$8,Ipotesi!C15*12)),Finanziamenti!$C$8*1,0)+IF(AND(1&lt;&gt;7,1&lt;&gt;9,Finanziamenti!$F$9=1,OR(Parametri_v3!$C$6=0,Finanziamenti!$E$9=1),Motore_Operativo!C50=EDATE(Finanziamenti!$D$9,Ipotesi!C15*12)),Finanziamenti!$C$9*Ipotesi!C16,0)</f>
        <v>0</v>
      </c>
      <c r="AY50" s="15" t="n">
        <f aca="false">0</f>
        <v>0</v>
      </c>
      <c r="AZ50" s="15" t="n">
        <f aca="false">Motore_Advisory!AY50*(1-Ipotesi!$C$95)*Ipotesi!$C$96</f>
        <v>0</v>
      </c>
      <c r="BA50" s="15" t="n">
        <f aca="false">MAX(0,MIN(CG50*MIN(1,IF(Motore_Operativo!C50&gt;=EDATE(Finanziamenti!$D$15,Ipotesi!C14*12),Finanziamenti!$C$15,0)+IF(Motore_Operativo!C50&gt;=EDATE(Finanziamenti!$D$16,Ipotesi!C14*12),Finanziamenti!$C$16,0)+IF(Motore_Operativo!C50&gt;=EDATE(Finanziamenti!$D$17,Ipotesi!C14*12),Finanziamenti!$C$17,0)),CA50*Ipotesi!$C$102)-(CC49))</f>
        <v>0</v>
      </c>
      <c r="BB50" s="15" t="n">
        <f aca="false">IF(AND(CF50&gt;0,Motore_Operativo!C50&gt;=IF(CF50=0,0,EDATE(CF50,Parametri_v3!$C$37)),MOD(((D50-YEAR(IF(CF50=0,0,EDATE(CF50,Parametri_v3!$C$37))))*12+E50-MONTH(IF(CF50=0,0,EDATE(CF50,Parametri_v3!$C$37)))),Parametri_v3!$C$38)=0),MIN(MAX(0,(BC49)+BA50-N50),(CC50-CD50)/(Ipotesi!$C$108*12/Parametri_v3!$C$38)),0)</f>
        <v>0</v>
      </c>
      <c r="BC50" s="15" t="n">
        <f aca="false">(BC49)+BA50-N50-BB50</f>
        <v>250075.093819906</v>
      </c>
      <c r="BD50" s="15" t="n">
        <f aca="false">(BH49)+AC50+AF50-AI50-AS50-K50*(1+Parametri_v3!$C$26)-AL50-AQ50-O50+AW50+AX50+AZ50+BA50-BB50</f>
        <v>-312749.336894189</v>
      </c>
      <c r="BE50" s="15" t="n">
        <f aca="false">MAX(0,MIN(MAX(0,CH50-(BG49)),Parametri_v3!$C$30-BD50))</f>
        <v>0</v>
      </c>
      <c r="BF50" s="15" t="n">
        <f aca="false">IF(Motore_Operativo!C50&gt;=Parametri_v3!$C$63,(BG49),MIN((BG49),MAX(0,BD50-Parametri_v3!$C$30)))</f>
        <v>0</v>
      </c>
      <c r="BG50" s="15" t="n">
        <f aca="false">(BG49)+BE50-BF50</f>
        <v>150000</v>
      </c>
      <c r="BH50" s="15" t="n">
        <f aca="false">BD50+BE50-BF50-AY50</f>
        <v>-312749.336894189</v>
      </c>
      <c r="BI50" s="15" t="n">
        <f aca="false">MAX(0,Parametri_v3!$C$30-BH50)</f>
        <v>337749.336894189</v>
      </c>
      <c r="BJ50" s="15" t="n">
        <f aca="false">(BJ49)+K50</f>
        <v>108333.333333333</v>
      </c>
      <c r="BK50" s="15" t="n">
        <f aca="false">(BK49)+L50</f>
        <v>58587.962962963</v>
      </c>
      <c r="BL50" s="15" t="n">
        <f aca="false">BJ50-BK50</f>
        <v>49745.3703703703</v>
      </c>
      <c r="BM50" s="15" t="n">
        <f aca="false">(BM49)+Y50</f>
        <v>-1890971.88551652</v>
      </c>
      <c r="BN50" s="15" t="n">
        <f aca="false">(BN49)+AW50+AX50+AZ50</f>
        <v>1330000</v>
      </c>
      <c r="BO50" s="15" t="n">
        <f aca="false">(BO49)+AY50</f>
        <v>0</v>
      </c>
      <c r="BP50" s="15" t="n">
        <f aca="false">0</f>
        <v>0</v>
      </c>
      <c r="BQ50" s="15" t="n">
        <f aca="false">BN50+BM50-BO50</f>
        <v>-560971.885516522</v>
      </c>
      <c r="BR50" s="15" t="n">
        <f aca="false">BH50+AD50+BL50+MAX(0,-AM50)+MAX(0,-AR50)+AG50</f>
        <v>118907.377091946</v>
      </c>
      <c r="BS50" s="15" t="n">
        <f aca="false">AJ50+AV50+MAX(0,AM50)+MAX(0,AR50)+BC50+BG50+BQ50</f>
        <v>118907.377091946</v>
      </c>
      <c r="BT50" s="15" t="n">
        <f aca="false">BR50-BS50</f>
        <v>0</v>
      </c>
      <c r="BU50" s="15" t="n">
        <f aca="false">BH50-(BD50+BE50-BF50-AY50)</f>
        <v>0</v>
      </c>
      <c r="BV50" s="15" t="n">
        <f aca="false">MIN(Piano_SS!$C$6,(BV49)+IF(AND(Motore_Operativo!C50&gt;=EDATE(Parametri_v3!$C$24,Ipotesi!C14*12),Motore_Operativo!C50&lt;EDATE(Parametri_v3!$C$24,Parametri_v3!$C$25+Ipotesi!C14*12)),MAX(0,(Motore_Operativo!Y50+Motore_Operativo!X50*Parametri_v3!$C$14)*(1-Parametri_v3!$C$32))*Piano_SS!$D$6,0))</f>
        <v>300000</v>
      </c>
      <c r="BW50" s="15" t="n">
        <f aca="false">MIN(Piano_SS!$C$7,(BW49)+IF(AND(Motore_Operativo!C50&gt;=EDATE(Parametri_v3!$C$24,Ipotesi!C14*12),Motore_Operativo!C50&lt;EDATE(Parametri_v3!$C$24,Parametri_v3!$C$25+Ipotesi!C14*12)),MAX(0,(IF(46-(INT((Ipotesi!$C$91)/30))&lt;1,0,INDEX(Motore_Operativo!$BN$5:$BN$64,MAX(1,46-(INT((Ipotesi!$C$91)/30)))))*(1-(MOD((Ipotesi!$C$91),30)/30))+IF(46-(INT((Ipotesi!$C$91)/30))-1&lt;1,0,INDEX(Motore_Operativo!$BN$5:$BN$64,MAX(1,46-(INT((Ipotesi!$C$91)/30))-1)))*(MOD((Ipotesi!$C$91),30)/30)))*Piano_SS!$D$7,0))</f>
        <v>37208.8229697489</v>
      </c>
      <c r="BX50" s="15" t="n">
        <f aca="false">MIN(Piano_SS!$C$8,(BX49)+IF(AND(Motore_Operativo!C50&gt;=EDATE(Parametri_v3!$C$24,Ipotesi!C14*12),Motore_Operativo!C50&lt;EDATE(Parametri_v3!$C$24,Parametri_v3!$C$25+Ipotesi!C14*12)),MAX(0,Motore_Operativo!CE50)*Piano_SS!$D$8,0))</f>
        <v>50000</v>
      </c>
      <c r="BY50" s="15" t="n">
        <f aca="false">MIN(Piano_SS!$C$9,(BY49)+IF(AND(Motore_Operativo!C50&gt;=EDATE(Parametri_v3!$C$24,Ipotesi!C14*12),Motore_Operativo!C50&lt;EDATE(Parametri_v3!$C$24,Parametri_v3!$C$25+Ipotesi!C14*12)),MAX(0,((IF(46-(INT((Ipotesi!$C$91)/30))&lt;1,0,INDEX(Motore_Operativo!$BQ$5:$BQ$64,MAX(1,46-(INT((Ipotesi!$C$91)/30)))))*(1-(MOD((Ipotesi!$C$91),30)/30))+IF(46-(INT((Ipotesi!$C$91)/30))-1&lt;1,0,INDEX(Motore_Operativo!$BQ$5:$BQ$64,MAX(1,46-(INT((Ipotesi!$C$91)/30))-1)))*(MOD((Ipotesi!$C$91),30)/30))+(IF(46-(INT((Ipotesi!$C$91)/30))&lt;1,0,INDEX(Motore_Operativo!$BR$5:$BR$64,MAX(1,46-(INT((Ipotesi!$C$91)/30)))))*(1-(MOD((Ipotesi!$C$91),30)/30))+IF(46-(INT((Ipotesi!$C$91)/30))-1&lt;1,0,INDEX(Motore_Operativo!$BR$5:$BR$64,MAX(1,46-(INT((Ipotesi!$C$91)/30))-1)))*(MOD((Ipotesi!$C$91),30)/30))))*Piano_SS!$D$9,0))</f>
        <v>40000</v>
      </c>
      <c r="BZ50" s="15" t="n">
        <f aca="false">MIN(Piano_SS!$C$10,(BZ49)+IF(AND(Motore_Operativo!C50&gt;=EDATE(Parametri_v3!$C$24,Ipotesi!C14*12),Motore_Operativo!C50&lt;EDATE(Parametri_v3!$C$24,Parametri_v3!$C$25+Ipotesi!C14*12)),MAX(0,(IF(46-(INT((Ipotesi!$C$91)/30))&lt;1,0,INDEX(Motore_Operativo!$BO$5:$BO$64,MAX(1,46-(INT((Ipotesi!$C$91)/30)))))*(1-(MOD((Ipotesi!$C$91),30)/30))+IF(46-(INT((Ipotesi!$C$91)/30))-1&lt;1,0,INDEX(Motore_Operativo!$BO$5:$BO$64,MAX(1,46-(INT((Ipotesi!$C$91)/30))-1)))*(MOD((Ipotesi!$C$91),30)/30)))*Piano_SS!$D$10,0))</f>
        <v>30000</v>
      </c>
      <c r="CA50" s="15" t="n">
        <f aca="false">SUM(BV50:BZ50)</f>
        <v>457208.822969749</v>
      </c>
      <c r="CB50" s="15" t="n">
        <f aca="false">BV50*(1-Piano_SS!$E$6)+BW50*(1-Piano_SS!$E$7)+BX50*(1-Piano_SS!$E$8)+BY50*(1-Piano_SS!$E$9)+BZ50*(1-Piano_SS!$E$10)</f>
        <v>427208.822969749</v>
      </c>
      <c r="CC50" s="15" t="n">
        <f aca="false">(CC49)+BA50</f>
        <v>365767.058375799</v>
      </c>
      <c r="CD50" s="15" t="n">
        <f aca="false">IF(CA50=0,0,CC50*CB50/CA50*Ipotesi!$C$103*Parametri_v3!$C$64)</f>
        <v>102530.11751274</v>
      </c>
      <c r="CE50" s="18" t="n">
        <f aca="false">IF(BA50&gt;0,Motore_Operativo!C50,(CE49))</f>
        <v>47270</v>
      </c>
      <c r="CF50" s="18" t="n">
        <f aca="false">IF(AND(CC50&gt;0,OR(CC50&gt;=CG50-0.01,Motore_Operativo!C50&gt;=EDATE(MAX(Finanziamenti!$D$15:$D$17),Ipotesi!C14*12))),CE50,0)</f>
        <v>47270</v>
      </c>
      <c r="CG50" s="15" t="n">
        <f aca="false">IF(AND(1&lt;&gt;6,1&lt;&gt;9,Finanziamenti!$F$11=1,OR(Parametri_v3!$C$6=0,Finanziamenti!$E$11=1)),MIN(Finanziamenti!$C$11,Piano_SS!$C$12*Ipotesi!$C$102),0)</f>
        <v>400000</v>
      </c>
      <c r="CH50" s="15" t="n">
        <f aca="false">IF(AND(AND(1&lt;&gt;8,1&lt;&gt;9,Finanziamenti!$F$10=1,OR(Parametri_v3!$C$6=0,Finanziamenti!$E$10=1)),Motore_Operativo!C50&gt;=Finanziamenti!$D$10,Motore_Operativo!C50&lt;Parametri_v3!$C$63),Finanziamenti!$C$10,0)</f>
        <v>150000</v>
      </c>
    </row>
    <row r="51" customFormat="false" ht="18" hidden="false" customHeight="true" outlineLevel="0" collapsed="false">
      <c r="A51" s="68" t="n">
        <f aca="false">1</f>
        <v>1</v>
      </c>
      <c r="B51" s="68" t="n">
        <f aca="false">47</f>
        <v>47</v>
      </c>
      <c r="C51" s="18" t="n">
        <f aca="false">Motore_Operativo!C51</f>
        <v>47788</v>
      </c>
      <c r="D51" s="68" t="n">
        <f aca="false">Motore_Operativo!D51</f>
        <v>2030</v>
      </c>
      <c r="E51" s="68" t="n">
        <f aca="false">Motore_Operativo!E51</f>
        <v>11</v>
      </c>
      <c r="F51" s="15" t="n">
        <f aca="false">Motore_Operativo!AQ51+Motore_Operativo!BF51</f>
        <v>106965.051419843</v>
      </c>
      <c r="G51" s="15" t="n">
        <f aca="false">Motore_Operativo!BH51</f>
        <v>6906.25</v>
      </c>
      <c r="H51" s="15" t="n">
        <f aca="false">Motore_Operativo!BI51</f>
        <v>113871.301419843</v>
      </c>
      <c r="I51" s="15" t="n">
        <f aca="false">Motore_Operativo!CA51</f>
        <v>155812.045323778</v>
      </c>
      <c r="J51" s="15" t="n">
        <f aca="false">Motore_Operativo!CC51</f>
        <v>-41940.7439039354</v>
      </c>
      <c r="K51" s="15" t="n">
        <f aca="false">Motore_Operativo!CE51</f>
        <v>3333.33333333333</v>
      </c>
      <c r="L51" s="15" t="n">
        <f aca="false">SUM(INDEX($K$5:$K$64,MAX(1,47-Parametri_v3!$C$59+1)):K51)/Parametri_v3!$C$59</f>
        <v>2592.59259259259</v>
      </c>
      <c r="M51" s="15" t="n">
        <f aca="false">J51-L51</f>
        <v>-44533.336496528</v>
      </c>
      <c r="N51" s="15" t="n">
        <f aca="false">CD51-(CD50)</f>
        <v>0</v>
      </c>
      <c r="O51" s="15" t="n">
        <f aca="false">(BG50)*Ipotesi!$C$110/12+CH51*Parametri_v3!$C$39/12</f>
        <v>750</v>
      </c>
      <c r="P51" s="15" t="n">
        <f aca="false">M51+N51-O51</f>
        <v>-45283.336496528</v>
      </c>
      <c r="Q51" s="15" t="n">
        <f aca="false">SUM(P41:P51)+Parametri_v3!$C$54*11/12</f>
        <v>-608632.478662388</v>
      </c>
      <c r="R51" s="15" t="n">
        <f aca="false">Z40</f>
        <v>1327622.74335066</v>
      </c>
      <c r="S51" s="15" t="n">
        <f aca="false">AA40</f>
        <v>0</v>
      </c>
      <c r="T51" s="15" t="n">
        <f aca="false">MIN(R51,MAX(0,Q51))</f>
        <v>0</v>
      </c>
      <c r="U51" s="15" t="n">
        <f aca="false">MIN(S51,MAX(0,Q51-T51)*Parametri_v3!$C$42)</f>
        <v>0</v>
      </c>
      <c r="V51" s="15" t="n">
        <f aca="false">MAX(0,Q51-T51-U51)*Ipotesi!$C$92</f>
        <v>0</v>
      </c>
      <c r="W51" s="15" t="n">
        <f aca="false">MAX(0,SUM(M41:M51)+Parametri_v3!$C$55*11/12)*Ipotesi!$C$93</f>
        <v>0</v>
      </c>
      <c r="X51" s="15" t="n">
        <f aca="false">V51+W51-(V50+W50)</f>
        <v>0</v>
      </c>
      <c r="Y51" s="15" t="n">
        <f aca="false">P51-X51</f>
        <v>-45283.336496528</v>
      </c>
      <c r="Z51" s="15" t="n">
        <f aca="false">R51-T51+IF(AND(Parametri_v3!$C$40=1,D51-YEAR(Parametri_v3!$C$50)&lt;Parametri_v3!$C$41),MAX(0,-Q51),0)</f>
        <v>1327622.74335066</v>
      </c>
      <c r="AA51" s="15" t="n">
        <f aca="false">S51-U51+IF(AND(Parametri_v3!$C$40=1,D51-YEAR(Parametri_v3!$C$50)&lt;Parametri_v3!$C$41),0,MAX(0,-Q51))</f>
        <v>608632.478662388</v>
      </c>
      <c r="AB51" s="15" t="n">
        <f aca="false">F51*(1+Parametri_v3!$C$26)</f>
        <v>130497.362732208</v>
      </c>
      <c r="AC51" s="15" t="n">
        <f aca="false">(IF(47-(INT((Motore_Operativo!L51)/30))&lt;1,0,INDEX(Motore_Startup!$AB$5:$AB$64,MAX(1,47-(INT((Motore_Operativo!L51)/30)))))*(1-(MOD((Motore_Operativo!L51),30)/30))+IF(47-(INT((Motore_Operativo!L51)/30))-1&lt;1,0,INDEX(Motore_Startup!$AB$5:$AB$64,MAX(1,47-(INT((Motore_Operativo!L51)/30))-1)))*(MOD((Motore_Operativo!L51),30)/30))</f>
        <v>121467.751489735</v>
      </c>
      <c r="AD51" s="15" t="n">
        <f aca="false">(AD50)+AB51-AC51</f>
        <v>382515.329858239</v>
      </c>
      <c r="AE51" s="15" t="n">
        <f aca="false">Motore_Operativo!BH51*(1+Parametri_v3!$C$26)</f>
        <v>8425.625</v>
      </c>
      <c r="AF51" s="15" t="n">
        <f aca="false">(IF(47-(INT((Parametri_v3!$C$29)/30))&lt;1,0,INDEX(Motore_Operativo!$BH$5:$BH$64,MAX(1,47-(INT((Parametri_v3!$C$29)/30)))))*(1-(MOD((Parametri_v3!$C$29),30)/30))+IF(47-(INT((Parametri_v3!$C$29)/30))-1&lt;1,0,INDEX(Motore_Operativo!$BH$5:$BH$64,MAX(1,47-(INT((Parametri_v3!$C$29)/30))-1)))*(MOD((Parametri_v3!$C$29),30)/30))*(1+Parametri_v3!$C$26)</f>
        <v>8425.625</v>
      </c>
      <c r="AG51" s="15" t="n">
        <f aca="false">(AG50)+AE51-AF51</f>
        <v>8425.625</v>
      </c>
      <c r="AH51" s="15" t="n">
        <f aca="false">(Motore_Operativo!CJ51)*(1+Parametri_v3!$C$27*Parametri_v3!$C$26)</f>
        <v>70435.3471407828</v>
      </c>
      <c r="AI51" s="15" t="n">
        <f aca="false">(IF(47-(INT((Ipotesi!$C$91)/30))&lt;1,0,INDEX(Motore_Startup!$AH$5:$AH$64,MAX(1,47-(INT((Ipotesi!$C$91)/30)))))*(1-(MOD((Ipotesi!$C$91),30)/30))+IF(47-(INT((Ipotesi!$C$91)/30))-1&lt;1,0,INDEX(Motore_Startup!$AH$5:$AH$64,MAX(1,47-(INT((Ipotesi!$C$91)/30))-1)))*(MOD((Ipotesi!$C$91),30)/30))</f>
        <v>69618.9843893399</v>
      </c>
      <c r="AJ51" s="15" t="n">
        <f aca="false">(AJ50)+AH51-AI51</f>
        <v>140464.304819342</v>
      </c>
      <c r="AK51" s="15" t="n">
        <f aca="false">(F51+ Motore_Operativo!BH51-(Motore_Operativo!CJ51)*Parametri_v3!$C$27-Motore_Operativo!CE51)*Parametri_v3!$C$26</f>
        <v>13221.9672036939</v>
      </c>
      <c r="AL51" s="15" t="n">
        <f aca="false">MAX(0,(AM50))</f>
        <v>12747.9847414955</v>
      </c>
      <c r="AM51" s="15" t="n">
        <f aca="false">(AM50)+AK51-AL51</f>
        <v>13221.9672036939</v>
      </c>
      <c r="AN51" s="15" t="n">
        <f aca="false">SUM(X29:X40)</f>
        <v>0</v>
      </c>
      <c r="AO51" s="15" t="n">
        <f aca="false">SUM(AP29:AP40)</f>
        <v>0</v>
      </c>
      <c r="AP51" s="15" t="n">
        <f aca="false">MAX(0,AN51)*IF(11=Parametri_v3!$C$43,Parametri_v3!$C$45,IF(11=Parametri_v3!$C$44,1-Parametri_v3!$C$45,0))</f>
        <v>0</v>
      </c>
      <c r="AQ51" s="15" t="n">
        <f aca="false">MAX(0,AP51+IF(11=Parametri_v3!$C$43,MAX(0,AN51-AO51),0)-MAX(0,-(AR50)))</f>
        <v>0</v>
      </c>
      <c r="AR51" s="15" t="n">
        <f aca="false">(AR50)+X51-AQ51</f>
        <v>0</v>
      </c>
      <c r="AS51" s="15" t="n">
        <f aca="false">Motore_Operativo!AB51-AT51+AU51</f>
        <v>91649.4297604167</v>
      </c>
      <c r="AT51" s="15" t="n">
        <f aca="false">Motore_Operativo!CH51</f>
        <v>4823.65419791667</v>
      </c>
      <c r="AU51" s="15" t="n">
        <f aca="false">MIN(MAX(0,(AV50)+AT51),Parametri_v3!$C$60/12)</f>
        <v>0</v>
      </c>
      <c r="AV51" s="15" t="n">
        <f aca="false">(AV50)+AT51-AU51</f>
        <v>132231.896177083</v>
      </c>
      <c r="AW51" s="15" t="n">
        <f aca="false">IF(AND(Motore_Operativo!C51=Finanziamenti!$D$6,Finanziamenti!$F$6=1),Finanziamenti!$C$6,0)</f>
        <v>0</v>
      </c>
      <c r="AX51" s="15" t="n">
        <f aca="false">IF(AND(1&lt;&gt;7,1&lt;&gt;9,Finanziamenti!$F$8=1,OR(Parametri_v3!$C$6=0,Finanziamenti!$E$8=1),Motore_Operativo!C51=EDATE(Finanziamenti!$D$8,Ipotesi!C15*12)),Finanziamenti!$C$8*1,0)+IF(AND(1&lt;&gt;7,1&lt;&gt;9,Finanziamenti!$F$9=1,OR(Parametri_v3!$C$6=0,Finanziamenti!$E$9=1),Motore_Operativo!C51=EDATE(Finanziamenti!$D$9,Ipotesi!C15*12)),Finanziamenti!$C$9*Ipotesi!C16,0)</f>
        <v>0</v>
      </c>
      <c r="AY51" s="15" t="n">
        <f aca="false">0</f>
        <v>0</v>
      </c>
      <c r="AZ51" s="15" t="n">
        <f aca="false">Motore_Advisory!AY51*(1-Ipotesi!$C$95)*Ipotesi!$C$96</f>
        <v>0</v>
      </c>
      <c r="BA51" s="15" t="n">
        <f aca="false">MAX(0,MIN(CG51*MIN(1,IF(Motore_Operativo!C51&gt;=EDATE(Finanziamenti!$D$15,Ipotesi!C14*12),Finanziamenti!$C$15,0)+IF(Motore_Operativo!C51&gt;=EDATE(Finanziamenti!$D$16,Ipotesi!C14*12),Finanziamenti!$C$16,0)+IF(Motore_Operativo!C51&gt;=EDATE(Finanziamenti!$D$17,Ipotesi!C14*12),Finanziamenti!$C$17,0)),CA51*Ipotesi!$C$102)-(CC50))</f>
        <v>0</v>
      </c>
      <c r="BB51" s="15" t="n">
        <f aca="false">IF(AND(CF51&gt;0,Motore_Operativo!C51&gt;=IF(CF51=0,0,EDATE(CF51,Parametri_v3!$C$37)),MOD(((D51-YEAR(IF(CF51=0,0,EDATE(CF51,Parametri_v3!$C$37))))*12+E51-MONTH(IF(CF51=0,0,EDATE(CF51,Parametri_v3!$C$37)))),Parametri_v3!$C$38)=0),MIN(MAX(0,(BC50)+BA51-N51),(CC51-CD51)/(Ipotesi!$C$108*12/Parametri_v3!$C$38)),0)</f>
        <v>0</v>
      </c>
      <c r="BC51" s="15" t="n">
        <f aca="false">(BC50)+BA51-N51-BB51</f>
        <v>250075.093819906</v>
      </c>
      <c r="BD51" s="15" t="n">
        <f aca="false">(BH50)+AC51+AF51-AI51-AS51-K51*(1+Parametri_v3!$C$26)-AL51-AQ51-O51+AW51+AX51+AZ51+BA51-BB51</f>
        <v>-361689.025962374</v>
      </c>
      <c r="BE51" s="15" t="n">
        <f aca="false">MAX(0,MIN(MAX(0,CH51-(BG50)),Parametri_v3!$C$30-BD51))</f>
        <v>0</v>
      </c>
      <c r="BF51" s="15" t="n">
        <f aca="false">IF(Motore_Operativo!C51&gt;=Parametri_v3!$C$63,(BG50),MIN((BG50),MAX(0,BD51-Parametri_v3!$C$30)))</f>
        <v>0</v>
      </c>
      <c r="BG51" s="15" t="n">
        <f aca="false">(BG50)+BE51-BF51</f>
        <v>150000</v>
      </c>
      <c r="BH51" s="15" t="n">
        <f aca="false">BD51+BE51-BF51-AY51</f>
        <v>-361689.025962374</v>
      </c>
      <c r="BI51" s="15" t="n">
        <f aca="false">MAX(0,Parametri_v3!$C$30-BH51)</f>
        <v>386689.025962374</v>
      </c>
      <c r="BJ51" s="15" t="n">
        <f aca="false">(BJ50)+K51</f>
        <v>111666.666666667</v>
      </c>
      <c r="BK51" s="15" t="n">
        <f aca="false">(BK50)+L51</f>
        <v>61180.5555555556</v>
      </c>
      <c r="BL51" s="15" t="n">
        <f aca="false">BJ51-BK51</f>
        <v>50486.1111111111</v>
      </c>
      <c r="BM51" s="15" t="n">
        <f aca="false">(BM50)+Y51</f>
        <v>-1936255.22201305</v>
      </c>
      <c r="BN51" s="15" t="n">
        <f aca="false">(BN50)+AW51+AX51+AZ51</f>
        <v>1330000</v>
      </c>
      <c r="BO51" s="15" t="n">
        <f aca="false">(BO50)+AY51</f>
        <v>0</v>
      </c>
      <c r="BP51" s="15" t="n">
        <f aca="false">0</f>
        <v>0</v>
      </c>
      <c r="BQ51" s="15" t="n">
        <f aca="false">BN51+BM51-BO51</f>
        <v>-606255.22201305</v>
      </c>
      <c r="BR51" s="15" t="n">
        <f aca="false">BH51+AD51+BL51+MAX(0,-AM51)+MAX(0,-AR51)+AG51</f>
        <v>79738.0400069761</v>
      </c>
      <c r="BS51" s="15" t="n">
        <f aca="false">AJ51+AV51+MAX(0,AM51)+MAX(0,AR51)+BC51+BG51+BQ51</f>
        <v>79738.0400069761</v>
      </c>
      <c r="BT51" s="15" t="n">
        <f aca="false">BR51-BS51</f>
        <v>0</v>
      </c>
      <c r="BU51" s="15" t="n">
        <f aca="false">BH51-(BD51+BE51-BF51-AY51)</f>
        <v>0</v>
      </c>
      <c r="BV51" s="15" t="n">
        <f aca="false">MIN(Piano_SS!$C$6,(BV50)+IF(AND(Motore_Operativo!C51&gt;=EDATE(Parametri_v3!$C$24,Ipotesi!C14*12),Motore_Operativo!C51&lt;EDATE(Parametri_v3!$C$24,Parametri_v3!$C$25+Ipotesi!C14*12)),MAX(0,(Motore_Operativo!Y51+Motore_Operativo!X51*Parametri_v3!$C$14)*(1-Parametri_v3!$C$32))*Piano_SS!$D$6,0))</f>
        <v>300000</v>
      </c>
      <c r="BW51" s="15" t="n">
        <f aca="false">MIN(Piano_SS!$C$7,(BW50)+IF(AND(Motore_Operativo!C51&gt;=EDATE(Parametri_v3!$C$24,Ipotesi!C14*12),Motore_Operativo!C51&lt;EDATE(Parametri_v3!$C$24,Parametri_v3!$C$25+Ipotesi!C14*12)),MAX(0,(IF(47-(INT((Ipotesi!$C$91)/30))&lt;1,0,INDEX(Motore_Operativo!$BN$5:$BN$64,MAX(1,47-(INT((Ipotesi!$C$91)/30)))))*(1-(MOD((Ipotesi!$C$91),30)/30))+IF(47-(INT((Ipotesi!$C$91)/30))-1&lt;1,0,INDEX(Motore_Operativo!$BN$5:$BN$64,MAX(1,47-(INT((Ipotesi!$C$91)/30))-1)))*(MOD((Ipotesi!$C$91),30)/30)))*Piano_SS!$D$7,0))</f>
        <v>37208.8229697489</v>
      </c>
      <c r="BX51" s="15" t="n">
        <f aca="false">MIN(Piano_SS!$C$8,(BX50)+IF(AND(Motore_Operativo!C51&gt;=EDATE(Parametri_v3!$C$24,Ipotesi!C14*12),Motore_Operativo!C51&lt;EDATE(Parametri_v3!$C$24,Parametri_v3!$C$25+Ipotesi!C14*12)),MAX(0,Motore_Operativo!CE51)*Piano_SS!$D$8,0))</f>
        <v>50000</v>
      </c>
      <c r="BY51" s="15" t="n">
        <f aca="false">MIN(Piano_SS!$C$9,(BY50)+IF(AND(Motore_Operativo!C51&gt;=EDATE(Parametri_v3!$C$24,Ipotesi!C14*12),Motore_Operativo!C51&lt;EDATE(Parametri_v3!$C$24,Parametri_v3!$C$25+Ipotesi!C14*12)),MAX(0,((IF(47-(INT((Ipotesi!$C$91)/30))&lt;1,0,INDEX(Motore_Operativo!$BQ$5:$BQ$64,MAX(1,47-(INT((Ipotesi!$C$91)/30)))))*(1-(MOD((Ipotesi!$C$91),30)/30))+IF(47-(INT((Ipotesi!$C$91)/30))-1&lt;1,0,INDEX(Motore_Operativo!$BQ$5:$BQ$64,MAX(1,47-(INT((Ipotesi!$C$91)/30))-1)))*(MOD((Ipotesi!$C$91),30)/30))+(IF(47-(INT((Ipotesi!$C$91)/30))&lt;1,0,INDEX(Motore_Operativo!$BR$5:$BR$64,MAX(1,47-(INT((Ipotesi!$C$91)/30)))))*(1-(MOD((Ipotesi!$C$91),30)/30))+IF(47-(INT((Ipotesi!$C$91)/30))-1&lt;1,0,INDEX(Motore_Operativo!$BR$5:$BR$64,MAX(1,47-(INT((Ipotesi!$C$91)/30))-1)))*(MOD((Ipotesi!$C$91),30)/30))))*Piano_SS!$D$9,0))</f>
        <v>40000</v>
      </c>
      <c r="BZ51" s="15" t="n">
        <f aca="false">MIN(Piano_SS!$C$10,(BZ50)+IF(AND(Motore_Operativo!C51&gt;=EDATE(Parametri_v3!$C$24,Ipotesi!C14*12),Motore_Operativo!C51&lt;EDATE(Parametri_v3!$C$24,Parametri_v3!$C$25+Ipotesi!C14*12)),MAX(0,(IF(47-(INT((Ipotesi!$C$91)/30))&lt;1,0,INDEX(Motore_Operativo!$BO$5:$BO$64,MAX(1,47-(INT((Ipotesi!$C$91)/30)))))*(1-(MOD((Ipotesi!$C$91),30)/30))+IF(47-(INT((Ipotesi!$C$91)/30))-1&lt;1,0,INDEX(Motore_Operativo!$BO$5:$BO$64,MAX(1,47-(INT((Ipotesi!$C$91)/30))-1)))*(MOD((Ipotesi!$C$91),30)/30)))*Piano_SS!$D$10,0))</f>
        <v>30000</v>
      </c>
      <c r="CA51" s="15" t="n">
        <f aca="false">SUM(BV51:BZ51)</f>
        <v>457208.822969749</v>
      </c>
      <c r="CB51" s="15" t="n">
        <f aca="false">BV51*(1-Piano_SS!$E$6)+BW51*(1-Piano_SS!$E$7)+BX51*(1-Piano_SS!$E$8)+BY51*(1-Piano_SS!$E$9)+BZ51*(1-Piano_SS!$E$10)</f>
        <v>427208.822969749</v>
      </c>
      <c r="CC51" s="15" t="n">
        <f aca="false">(CC50)+BA51</f>
        <v>365767.058375799</v>
      </c>
      <c r="CD51" s="15" t="n">
        <f aca="false">IF(CA51=0,0,CC51*CB51/CA51*Ipotesi!$C$103*Parametri_v3!$C$64)</f>
        <v>102530.11751274</v>
      </c>
      <c r="CE51" s="18" t="n">
        <f aca="false">IF(BA51&gt;0,Motore_Operativo!C51,(CE50))</f>
        <v>47270</v>
      </c>
      <c r="CF51" s="18" t="n">
        <f aca="false">IF(AND(CC51&gt;0,OR(CC51&gt;=CG51-0.01,Motore_Operativo!C51&gt;=EDATE(MAX(Finanziamenti!$D$15:$D$17),Ipotesi!C14*12))),CE51,0)</f>
        <v>47270</v>
      </c>
      <c r="CG51" s="15" t="n">
        <f aca="false">IF(AND(1&lt;&gt;6,1&lt;&gt;9,Finanziamenti!$F$11=1,OR(Parametri_v3!$C$6=0,Finanziamenti!$E$11=1)),MIN(Finanziamenti!$C$11,Piano_SS!$C$12*Ipotesi!$C$102),0)</f>
        <v>400000</v>
      </c>
      <c r="CH51" s="15" t="n">
        <f aca="false">IF(AND(AND(1&lt;&gt;8,1&lt;&gt;9,Finanziamenti!$F$10=1,OR(Parametri_v3!$C$6=0,Finanziamenti!$E$10=1)),Motore_Operativo!C51&gt;=Finanziamenti!$D$10,Motore_Operativo!C51&lt;Parametri_v3!$C$63),Finanziamenti!$C$10,0)</f>
        <v>150000</v>
      </c>
    </row>
    <row r="52" customFormat="false" ht="18" hidden="false" customHeight="true" outlineLevel="0" collapsed="false">
      <c r="A52" s="68" t="n">
        <f aca="false">1</f>
        <v>1</v>
      </c>
      <c r="B52" s="68" t="n">
        <f aca="false">48</f>
        <v>48</v>
      </c>
      <c r="C52" s="18" t="n">
        <f aca="false">Motore_Operativo!C52</f>
        <v>47818</v>
      </c>
      <c r="D52" s="68" t="n">
        <f aca="false">Motore_Operativo!D52</f>
        <v>2030</v>
      </c>
      <c r="E52" s="68" t="n">
        <f aca="false">Motore_Operativo!E52</f>
        <v>12</v>
      </c>
      <c r="F52" s="15" t="n">
        <f aca="false">Motore_Operativo!AQ52+Motore_Operativo!BF52</f>
        <v>109389.151574184</v>
      </c>
      <c r="G52" s="15" t="n">
        <f aca="false">Motore_Operativo!BH52</f>
        <v>6906.25</v>
      </c>
      <c r="H52" s="15" t="n">
        <f aca="false">Motore_Operativo!BI52</f>
        <v>116295.401574184</v>
      </c>
      <c r="I52" s="15" t="n">
        <f aca="false">Motore_Operativo!CA52</f>
        <v>156151.419345386</v>
      </c>
      <c r="J52" s="15" t="n">
        <f aca="false">Motore_Operativo!CC52</f>
        <v>-39856.0177712014</v>
      </c>
      <c r="K52" s="15" t="n">
        <f aca="false">Motore_Operativo!CE52</f>
        <v>3333.33333333333</v>
      </c>
      <c r="L52" s="15" t="n">
        <f aca="false">SUM(INDEX($K$5:$K$64,MAX(1,48-Parametri_v3!$C$59+1)):K52)/Parametri_v3!$C$59</f>
        <v>2638.88888888889</v>
      </c>
      <c r="M52" s="15" t="n">
        <f aca="false">J52-L52</f>
        <v>-42494.9066600903</v>
      </c>
      <c r="N52" s="15" t="n">
        <f aca="false">CD52-(CD51)</f>
        <v>0</v>
      </c>
      <c r="O52" s="15" t="n">
        <f aca="false">(BG51)*Ipotesi!$C$110/12+CH52*Parametri_v3!$C$39/12</f>
        <v>750</v>
      </c>
      <c r="P52" s="15" t="n">
        <f aca="false">M52+N52-O52</f>
        <v>-43244.9066600903</v>
      </c>
      <c r="Q52" s="15" t="n">
        <f aca="false">SUM(P41:P52)+Parametri_v3!$C$54*12/12</f>
        <v>-651877.385322478</v>
      </c>
      <c r="R52" s="15" t="n">
        <f aca="false">Z40</f>
        <v>1327622.74335066</v>
      </c>
      <c r="S52" s="15" t="n">
        <f aca="false">AA40</f>
        <v>0</v>
      </c>
      <c r="T52" s="15" t="n">
        <f aca="false">MIN(R52,MAX(0,Q52))</f>
        <v>0</v>
      </c>
      <c r="U52" s="15" t="n">
        <f aca="false">MIN(S52,MAX(0,Q52-T52)*Parametri_v3!$C$42)</f>
        <v>0</v>
      </c>
      <c r="V52" s="15" t="n">
        <f aca="false">MAX(0,Q52-T52-U52)*Ipotesi!$C$92</f>
        <v>0</v>
      </c>
      <c r="W52" s="15" t="n">
        <f aca="false">MAX(0,SUM(M41:M52)+Parametri_v3!$C$55*12/12)*Ipotesi!$C$93</f>
        <v>0</v>
      </c>
      <c r="X52" s="15" t="n">
        <f aca="false">V52+W52-(V51+W51)</f>
        <v>0</v>
      </c>
      <c r="Y52" s="15" t="n">
        <f aca="false">P52-X52</f>
        <v>-43244.9066600903</v>
      </c>
      <c r="Z52" s="15" t="n">
        <f aca="false">R52-T52+IF(AND(Parametri_v3!$C$40=1,D52-YEAR(Parametri_v3!$C$50)&lt;Parametri_v3!$C$41),MAX(0,-Q52),0)</f>
        <v>1327622.74335066</v>
      </c>
      <c r="AA52" s="15" t="n">
        <f aca="false">S52-U52+IF(AND(Parametri_v3!$C$40=1,D52-YEAR(Parametri_v3!$C$50)&lt;Parametri_v3!$C$41),0,MAX(0,-Q52))</f>
        <v>651877.385322478</v>
      </c>
      <c r="AB52" s="15" t="n">
        <f aca="false">F52*(1+Parametri_v3!$C$26)</f>
        <v>133454.764920505</v>
      </c>
      <c r="AC52" s="15" t="n">
        <f aca="false">(IF(48-(INT((Motore_Operativo!L52)/30))&lt;1,0,INDEX(Motore_Startup!$AB$5:$AB$64,MAX(1,48-(INT((Motore_Operativo!L52)/30)))))*(1-(MOD((Motore_Operativo!L52),30)/30))+IF(48-(INT((Motore_Operativo!L52)/30))-1&lt;1,0,INDEX(Motore_Startup!$AB$5:$AB$64,MAX(1,48-(INT((Motore_Operativo!L52)/30))-1)))*(MOD((Motore_Operativo!L52),30)/30))</f>
        <v>124504.087026585</v>
      </c>
      <c r="AD52" s="15" t="n">
        <f aca="false">(AD51)+AB52-AC52</f>
        <v>391466.007752158</v>
      </c>
      <c r="AE52" s="15" t="n">
        <f aca="false">Motore_Operativo!BH52*(1+Parametri_v3!$C$26)</f>
        <v>8425.625</v>
      </c>
      <c r="AF52" s="15" t="n">
        <f aca="false">(IF(48-(INT((Parametri_v3!$C$29)/30))&lt;1,0,INDEX(Motore_Operativo!$BH$5:$BH$64,MAX(1,48-(INT((Parametri_v3!$C$29)/30)))))*(1-(MOD((Parametri_v3!$C$29),30)/30))+IF(48-(INT((Parametri_v3!$C$29)/30))-1&lt;1,0,INDEX(Motore_Operativo!$BH$5:$BH$64,MAX(1,48-(INT((Parametri_v3!$C$29)/30))-1)))*(MOD((Parametri_v3!$C$29),30)/30))*(1+Parametri_v3!$C$26)</f>
        <v>8425.625</v>
      </c>
      <c r="AG52" s="15" t="n">
        <f aca="false">(AG51)+AE52-AF52</f>
        <v>8425.625</v>
      </c>
      <c r="AH52" s="15" t="n">
        <f aca="false">(Motore_Operativo!CJ52)*(1+Parametri_v3!$C$27*Parametri_v3!$C$26)</f>
        <v>70838.1841044313</v>
      </c>
      <c r="AI52" s="15" t="n">
        <f aca="false">(IF(48-(INT((Ipotesi!$C$91)/30))&lt;1,0,INDEX(Motore_Startup!$AH$5:$AH$64,MAX(1,48-(INT((Ipotesi!$C$91)/30)))))*(1-(MOD((Ipotesi!$C$91),30)/30))+IF(48-(INT((Ipotesi!$C$91)/30))-1&lt;1,0,INDEX(Motore_Startup!$AH$5:$AH$64,MAX(1,48-(INT((Ipotesi!$C$91)/30))-1)))*(MOD((Ipotesi!$C$91),30)/30))</f>
        <v>70028.9576785594</v>
      </c>
      <c r="AJ52" s="15" t="n">
        <f aca="false">(AJ51)+AH52-AI52</f>
        <v>141273.531245214</v>
      </c>
      <c r="AK52" s="15" t="n">
        <f aca="false">(F52+ Motore_Operativo!BH52-(Motore_Operativo!CJ52)*Parametri_v3!$C$27-Motore_Operativo!CE52)*Parametri_v3!$C$26</f>
        <v>13691.8062956084</v>
      </c>
      <c r="AL52" s="15" t="n">
        <f aca="false">MAX(0,(AM51))</f>
        <v>13221.9672036939</v>
      </c>
      <c r="AM52" s="15" t="n">
        <f aca="false">(AM51)+AK52-AL52</f>
        <v>13691.8062956084</v>
      </c>
      <c r="AN52" s="15" t="n">
        <f aca="false">SUM(X29:X40)</f>
        <v>0</v>
      </c>
      <c r="AO52" s="15" t="n">
        <f aca="false">SUM(AP29:AP40)</f>
        <v>0</v>
      </c>
      <c r="AP52" s="15" t="n">
        <f aca="false">MAX(0,AN52)*IF(12=Parametri_v3!$C$43,Parametri_v3!$C$45,IF(12=Parametri_v3!$C$44,1-Parametri_v3!$C$45,0))</f>
        <v>0</v>
      </c>
      <c r="AQ52" s="15" t="n">
        <f aca="false">MAX(0,AP52+IF(12=Parametri_v3!$C$43,MAX(0,AN52-AO52),0)-MAX(0,-(AR51)))</f>
        <v>0</v>
      </c>
      <c r="AR52" s="15" t="n">
        <f aca="false">(AR51)+X52-AQ52</f>
        <v>0</v>
      </c>
      <c r="AS52" s="15" t="n">
        <f aca="false">Motore_Operativo!AB52-AT52+AU52</f>
        <v>91649.4297604167</v>
      </c>
      <c r="AT52" s="15" t="n">
        <f aca="false">Motore_Operativo!CH52</f>
        <v>4823.65419791667</v>
      </c>
      <c r="AU52" s="15" t="n">
        <f aca="false">MIN(MAX(0,(AV51)+AT52),Parametri_v3!$C$60/12)</f>
        <v>0</v>
      </c>
      <c r="AV52" s="15" t="n">
        <f aca="false">(AV51)+AT52-AU52</f>
        <v>137055.550375</v>
      </c>
      <c r="AW52" s="15" t="n">
        <f aca="false">IF(AND(Motore_Operativo!C52=Finanziamenti!$D$6,Finanziamenti!$F$6=1),Finanziamenti!$C$6,0)</f>
        <v>0</v>
      </c>
      <c r="AX52" s="15" t="n">
        <f aca="false">IF(AND(1&lt;&gt;7,1&lt;&gt;9,Finanziamenti!$F$8=1,OR(Parametri_v3!$C$6=0,Finanziamenti!$E$8=1),Motore_Operativo!C52=EDATE(Finanziamenti!$D$8,Ipotesi!C15*12)),Finanziamenti!$C$8*1,0)+IF(AND(1&lt;&gt;7,1&lt;&gt;9,Finanziamenti!$F$9=1,OR(Parametri_v3!$C$6=0,Finanziamenti!$E$9=1),Motore_Operativo!C52=EDATE(Finanziamenti!$D$9,Ipotesi!C15*12)),Finanziamenti!$C$9*Ipotesi!C16,0)</f>
        <v>0</v>
      </c>
      <c r="AY52" s="15" t="n">
        <f aca="false">0</f>
        <v>0</v>
      </c>
      <c r="AZ52" s="15" t="n">
        <f aca="false">Motore_Advisory!AY52*(1-Ipotesi!$C$95)*Ipotesi!$C$96</f>
        <v>0</v>
      </c>
      <c r="BA52" s="15" t="n">
        <f aca="false">MAX(0,MIN(CG52*MIN(1,IF(Motore_Operativo!C52&gt;=EDATE(Finanziamenti!$D$15,Ipotesi!C14*12),Finanziamenti!$C$15,0)+IF(Motore_Operativo!C52&gt;=EDATE(Finanziamenti!$D$16,Ipotesi!C14*12),Finanziamenti!$C$16,0)+IF(Motore_Operativo!C52&gt;=EDATE(Finanziamenti!$D$17,Ipotesi!C14*12),Finanziamenti!$C$17,0)),CA52*Ipotesi!$C$102)-(CC51))</f>
        <v>0</v>
      </c>
      <c r="BB52" s="15" t="n">
        <f aca="false">IF(AND(CF52&gt;0,Motore_Operativo!C52&gt;=IF(CF52=0,0,EDATE(CF52,Parametri_v3!$C$37)),MOD(((D52-YEAR(IF(CF52=0,0,EDATE(CF52,Parametri_v3!$C$37))))*12+E52-MONTH(IF(CF52=0,0,EDATE(CF52,Parametri_v3!$C$37)))),Parametri_v3!$C$38)=0),MIN(MAX(0,(BC51)+BA52-N52),(CC52-CD52)/(Ipotesi!$C$108*12/Parametri_v3!$C$38)),0)</f>
        <v>13161.847043153</v>
      </c>
      <c r="BC52" s="15" t="n">
        <f aca="false">(BC51)+BA52-N52-BB52</f>
        <v>236913.246776753</v>
      </c>
      <c r="BD52" s="15" t="n">
        <f aca="false">(BH51)+AC52+AF52-AI52-AS52-K52*(1+Parametri_v3!$C$26)-AL52-AQ52-O52+AW52+AX52+AZ52+BA52-BB52</f>
        <v>-421638.182288278</v>
      </c>
      <c r="BE52" s="15" t="n">
        <f aca="false">MAX(0,MIN(MAX(0,CH52-(BG51)),Parametri_v3!$C$30-BD52))</f>
        <v>0</v>
      </c>
      <c r="BF52" s="15" t="n">
        <f aca="false">IF(Motore_Operativo!C52&gt;=Parametri_v3!$C$63,(BG51),MIN((BG51),MAX(0,BD52-Parametri_v3!$C$30)))</f>
        <v>0</v>
      </c>
      <c r="BG52" s="15" t="n">
        <f aca="false">(BG51)+BE52-BF52</f>
        <v>150000</v>
      </c>
      <c r="BH52" s="15" t="n">
        <f aca="false">BD52+BE52-BF52-AY52</f>
        <v>-421638.182288278</v>
      </c>
      <c r="BI52" s="15" t="n">
        <f aca="false">MAX(0,Parametri_v3!$C$30-BH52)</f>
        <v>446638.182288278</v>
      </c>
      <c r="BJ52" s="15" t="n">
        <f aca="false">(BJ51)+K52</f>
        <v>115000</v>
      </c>
      <c r="BK52" s="15" t="n">
        <f aca="false">(BK51)+L52</f>
        <v>63819.4444444444</v>
      </c>
      <c r="BL52" s="15" t="n">
        <f aca="false">BJ52-BK52</f>
        <v>51180.5555555555</v>
      </c>
      <c r="BM52" s="15" t="n">
        <f aca="false">(BM51)+Y52</f>
        <v>-1979500.12867314</v>
      </c>
      <c r="BN52" s="15" t="n">
        <f aca="false">(BN51)+AW52+AX52+AZ52</f>
        <v>1330000</v>
      </c>
      <c r="BO52" s="15" t="n">
        <f aca="false">(BO51)+AY52</f>
        <v>0</v>
      </c>
      <c r="BP52" s="15" t="n">
        <f aca="false">0</f>
        <v>0</v>
      </c>
      <c r="BQ52" s="15" t="n">
        <f aca="false">BN52+BM52-BO52</f>
        <v>-649500.12867314</v>
      </c>
      <c r="BR52" s="15" t="n">
        <f aca="false">BH52+AD52+BL52+MAX(0,-AM52)+MAX(0,-AR52)+AG52</f>
        <v>29434.0060194359</v>
      </c>
      <c r="BS52" s="15" t="n">
        <f aca="false">AJ52+AV52+MAX(0,AM52)+MAX(0,AR52)+BC52+BG52+BQ52</f>
        <v>29434.0060194361</v>
      </c>
      <c r="BT52" s="15" t="n">
        <f aca="false">BR52-BS52</f>
        <v>-1.81898940354586E-010</v>
      </c>
      <c r="BU52" s="15" t="n">
        <f aca="false">BH52-(BD52+BE52-BF52-AY52)</f>
        <v>0</v>
      </c>
      <c r="BV52" s="15" t="n">
        <f aca="false">MIN(Piano_SS!$C$6,(BV51)+IF(AND(Motore_Operativo!C52&gt;=EDATE(Parametri_v3!$C$24,Ipotesi!C14*12),Motore_Operativo!C52&lt;EDATE(Parametri_v3!$C$24,Parametri_v3!$C$25+Ipotesi!C14*12)),MAX(0,(Motore_Operativo!Y52+Motore_Operativo!X52*Parametri_v3!$C$14)*(1-Parametri_v3!$C$32))*Piano_SS!$D$6,0))</f>
        <v>300000</v>
      </c>
      <c r="BW52" s="15" t="n">
        <f aca="false">MIN(Piano_SS!$C$7,(BW51)+IF(AND(Motore_Operativo!C52&gt;=EDATE(Parametri_v3!$C$24,Ipotesi!C14*12),Motore_Operativo!C52&lt;EDATE(Parametri_v3!$C$24,Parametri_v3!$C$25+Ipotesi!C14*12)),MAX(0,(IF(48-(INT((Ipotesi!$C$91)/30))&lt;1,0,INDEX(Motore_Operativo!$BN$5:$BN$64,MAX(1,48-(INT((Ipotesi!$C$91)/30)))))*(1-(MOD((Ipotesi!$C$91),30)/30))+IF(48-(INT((Ipotesi!$C$91)/30))-1&lt;1,0,INDEX(Motore_Operativo!$BN$5:$BN$64,MAX(1,48-(INT((Ipotesi!$C$91)/30))-1)))*(MOD((Ipotesi!$C$91),30)/30)))*Piano_SS!$D$7,0))</f>
        <v>37208.8229697489</v>
      </c>
      <c r="BX52" s="15" t="n">
        <f aca="false">MIN(Piano_SS!$C$8,(BX51)+IF(AND(Motore_Operativo!C52&gt;=EDATE(Parametri_v3!$C$24,Ipotesi!C14*12),Motore_Operativo!C52&lt;EDATE(Parametri_v3!$C$24,Parametri_v3!$C$25+Ipotesi!C14*12)),MAX(0,Motore_Operativo!CE52)*Piano_SS!$D$8,0))</f>
        <v>50000</v>
      </c>
      <c r="BY52" s="15" t="n">
        <f aca="false">MIN(Piano_SS!$C$9,(BY51)+IF(AND(Motore_Operativo!C52&gt;=EDATE(Parametri_v3!$C$24,Ipotesi!C14*12),Motore_Operativo!C52&lt;EDATE(Parametri_v3!$C$24,Parametri_v3!$C$25+Ipotesi!C14*12)),MAX(0,((IF(48-(INT((Ipotesi!$C$91)/30))&lt;1,0,INDEX(Motore_Operativo!$BQ$5:$BQ$64,MAX(1,48-(INT((Ipotesi!$C$91)/30)))))*(1-(MOD((Ipotesi!$C$91),30)/30))+IF(48-(INT((Ipotesi!$C$91)/30))-1&lt;1,0,INDEX(Motore_Operativo!$BQ$5:$BQ$64,MAX(1,48-(INT((Ipotesi!$C$91)/30))-1)))*(MOD((Ipotesi!$C$91),30)/30))+(IF(48-(INT((Ipotesi!$C$91)/30))&lt;1,0,INDEX(Motore_Operativo!$BR$5:$BR$64,MAX(1,48-(INT((Ipotesi!$C$91)/30)))))*(1-(MOD((Ipotesi!$C$91),30)/30))+IF(48-(INT((Ipotesi!$C$91)/30))-1&lt;1,0,INDEX(Motore_Operativo!$BR$5:$BR$64,MAX(1,48-(INT((Ipotesi!$C$91)/30))-1)))*(MOD((Ipotesi!$C$91),30)/30))))*Piano_SS!$D$9,0))</f>
        <v>40000</v>
      </c>
      <c r="BZ52" s="15" t="n">
        <f aca="false">MIN(Piano_SS!$C$10,(BZ51)+IF(AND(Motore_Operativo!C52&gt;=EDATE(Parametri_v3!$C$24,Ipotesi!C14*12),Motore_Operativo!C52&lt;EDATE(Parametri_v3!$C$24,Parametri_v3!$C$25+Ipotesi!C14*12)),MAX(0,(IF(48-(INT((Ipotesi!$C$91)/30))&lt;1,0,INDEX(Motore_Operativo!$BO$5:$BO$64,MAX(1,48-(INT((Ipotesi!$C$91)/30)))))*(1-(MOD((Ipotesi!$C$91),30)/30))+IF(48-(INT((Ipotesi!$C$91)/30))-1&lt;1,0,INDEX(Motore_Operativo!$BO$5:$BO$64,MAX(1,48-(INT((Ipotesi!$C$91)/30))-1)))*(MOD((Ipotesi!$C$91),30)/30)))*Piano_SS!$D$10,0))</f>
        <v>30000</v>
      </c>
      <c r="CA52" s="15" t="n">
        <f aca="false">SUM(BV52:BZ52)</f>
        <v>457208.822969749</v>
      </c>
      <c r="CB52" s="15" t="n">
        <f aca="false">BV52*(1-Piano_SS!$E$6)+BW52*(1-Piano_SS!$E$7)+BX52*(1-Piano_SS!$E$8)+BY52*(1-Piano_SS!$E$9)+BZ52*(1-Piano_SS!$E$10)</f>
        <v>427208.822969749</v>
      </c>
      <c r="CC52" s="15" t="n">
        <f aca="false">(CC51)+BA52</f>
        <v>365767.058375799</v>
      </c>
      <c r="CD52" s="15" t="n">
        <f aca="false">IF(CA52=0,0,CC52*CB52/CA52*Ipotesi!$C$103*Parametri_v3!$C$64)</f>
        <v>102530.11751274</v>
      </c>
      <c r="CE52" s="18" t="n">
        <f aca="false">IF(BA52&gt;0,Motore_Operativo!C52,(CE51))</f>
        <v>47270</v>
      </c>
      <c r="CF52" s="18" t="n">
        <f aca="false">IF(AND(CC52&gt;0,OR(CC52&gt;=CG52-0.01,Motore_Operativo!C52&gt;=EDATE(MAX(Finanziamenti!$D$15:$D$17),Ipotesi!C14*12))),CE52,0)</f>
        <v>47270</v>
      </c>
      <c r="CG52" s="15" t="n">
        <f aca="false">IF(AND(1&lt;&gt;6,1&lt;&gt;9,Finanziamenti!$F$11=1,OR(Parametri_v3!$C$6=0,Finanziamenti!$E$11=1)),MIN(Finanziamenti!$C$11,Piano_SS!$C$12*Ipotesi!$C$102),0)</f>
        <v>400000</v>
      </c>
      <c r="CH52" s="15" t="n">
        <f aca="false">IF(AND(AND(1&lt;&gt;8,1&lt;&gt;9,Finanziamenti!$F$10=1,OR(Parametri_v3!$C$6=0,Finanziamenti!$E$10=1)),Motore_Operativo!C52&gt;=Finanziamenti!$D$10,Motore_Operativo!C52&lt;Parametri_v3!$C$63),Finanziamenti!$C$10,0)</f>
        <v>150000</v>
      </c>
    </row>
    <row r="53" customFormat="false" ht="18" hidden="false" customHeight="true" outlineLevel="0" collapsed="false">
      <c r="A53" s="68" t="n">
        <f aca="false">1</f>
        <v>1</v>
      </c>
      <c r="B53" s="68" t="n">
        <f aca="false">49</f>
        <v>49</v>
      </c>
      <c r="C53" s="18" t="n">
        <f aca="false">Motore_Operativo!C53</f>
        <v>47849</v>
      </c>
      <c r="D53" s="68" t="n">
        <f aca="false">Motore_Operativo!D53</f>
        <v>2031</v>
      </c>
      <c r="E53" s="68" t="n">
        <f aca="false">Motore_Operativo!E53</f>
        <v>1</v>
      </c>
      <c r="F53" s="15" t="n">
        <f aca="false">Motore_Operativo!AQ53+Motore_Operativo!BF53</f>
        <v>132595.580396041</v>
      </c>
      <c r="G53" s="15" t="n">
        <f aca="false">Motore_Operativo!BH53</f>
        <v>8696.875</v>
      </c>
      <c r="H53" s="15" t="n">
        <f aca="false">Motore_Operativo!BI53</f>
        <v>141292.455396041</v>
      </c>
      <c r="I53" s="15" t="n">
        <f aca="false">Motore_Operativo!CA53</f>
        <v>192932.449159612</v>
      </c>
      <c r="J53" s="15" t="n">
        <f aca="false">Motore_Operativo!CC53</f>
        <v>-51639.9937635718</v>
      </c>
      <c r="K53" s="15" t="n">
        <f aca="false">Motore_Operativo!CE53</f>
        <v>4166.66666666667</v>
      </c>
      <c r="L53" s="15" t="n">
        <f aca="false">SUM(INDEX($K$5:$K$64,MAX(1,49-Parametri_v3!$C$59+1)):K53)/Parametri_v3!$C$59</f>
        <v>2696.75925925926</v>
      </c>
      <c r="M53" s="15" t="n">
        <f aca="false">J53-L53</f>
        <v>-54336.7530228311</v>
      </c>
      <c r="N53" s="15" t="n">
        <f aca="false">CD53-(CD52)</f>
        <v>0</v>
      </c>
      <c r="O53" s="15" t="n">
        <f aca="false">(BG52)*Ipotesi!$C$110/12+CH53*Parametri_v3!$C$39/12</f>
        <v>750</v>
      </c>
      <c r="P53" s="15" t="n">
        <f aca="false">M53+N53-O53</f>
        <v>-55086.7530228311</v>
      </c>
      <c r="Q53" s="15" t="n">
        <f aca="false">SUM(P53)+Parametri_v3!$C$54*1/12</f>
        <v>-55086.7530228311</v>
      </c>
      <c r="R53" s="15" t="n">
        <f aca="false">Z52</f>
        <v>1327622.74335066</v>
      </c>
      <c r="S53" s="15" t="n">
        <f aca="false">AA52</f>
        <v>651877.385322478</v>
      </c>
      <c r="T53" s="15" t="n">
        <f aca="false">MIN(R53,MAX(0,Q53))</f>
        <v>0</v>
      </c>
      <c r="U53" s="15" t="n">
        <f aca="false">MIN(S53,MAX(0,Q53-T53)*Parametri_v3!$C$42)</f>
        <v>0</v>
      </c>
      <c r="V53" s="15" t="n">
        <f aca="false">MAX(0,Q53-T53-U53)*Ipotesi!$C$92</f>
        <v>0</v>
      </c>
      <c r="W53" s="15" t="n">
        <f aca="false">MAX(0,SUM(M53)+Parametri_v3!$C$55*1/12)*Ipotesi!$C$93</f>
        <v>0</v>
      </c>
      <c r="X53" s="15" t="n">
        <f aca="false">V53+W53-(0)</f>
        <v>0</v>
      </c>
      <c r="Y53" s="15" t="n">
        <f aca="false">P53-X53</f>
        <v>-55086.7530228311</v>
      </c>
      <c r="Z53" s="15" t="n">
        <f aca="false">R53-T53+IF(AND(Parametri_v3!$C$40=1,D53-YEAR(Parametri_v3!$C$50)&lt;Parametri_v3!$C$41),MAX(0,-Q53),0)</f>
        <v>1327622.74335066</v>
      </c>
      <c r="AA53" s="15" t="n">
        <f aca="false">S53-U53+IF(AND(Parametri_v3!$C$40=1,D53-YEAR(Parametri_v3!$C$50)&lt;Parametri_v3!$C$41),0,MAX(0,-Q53))</f>
        <v>706964.138345309</v>
      </c>
      <c r="AB53" s="15" t="n">
        <f aca="false">F53*(1+Parametri_v3!$C$26)</f>
        <v>161766.60808317</v>
      </c>
      <c r="AC53" s="15" t="n">
        <f aca="false">(IF(49-(INT((Motore_Operativo!L53)/30))&lt;1,0,INDEX(Motore_Startup!$AB$5:$AB$64,MAX(1,49-(INT((Motore_Operativo!L53)/30)))))*(1-(MOD((Motore_Operativo!L53),30)/30))+IF(49-(INT((Motore_Operativo!L53)/30))-1&lt;1,0,INDEX(Motore_Startup!$AB$5:$AB$64,MAX(1,49-(INT((Motore_Operativo!L53)/30))-1)))*(MOD((Motore_Operativo!L53),30)/30))</f>
        <v>127513.880099445</v>
      </c>
      <c r="AD53" s="15" t="n">
        <f aca="false">(AD52)+AB53-AC53</f>
        <v>425718.735735882</v>
      </c>
      <c r="AE53" s="15" t="n">
        <f aca="false">Motore_Operativo!BH53*(1+Parametri_v3!$C$26)</f>
        <v>10610.1875</v>
      </c>
      <c r="AF53" s="15" t="n">
        <f aca="false">(IF(49-(INT((Parametri_v3!$C$29)/30))&lt;1,0,INDEX(Motore_Operativo!$BH$5:$BH$64,MAX(1,49-(INT((Parametri_v3!$C$29)/30)))))*(1-(MOD((Parametri_v3!$C$29),30)/30))+IF(49-(INT((Parametri_v3!$C$29)/30))-1&lt;1,0,INDEX(Motore_Operativo!$BH$5:$BH$64,MAX(1,49-(INT((Parametri_v3!$C$29)/30))-1)))*(MOD((Parametri_v3!$C$29),30)/30))*(1+Parametri_v3!$C$26)</f>
        <v>8425.625</v>
      </c>
      <c r="AG53" s="15" t="n">
        <f aca="false">(AG52)+AE53-AF53</f>
        <v>10610.1875</v>
      </c>
      <c r="AH53" s="15" t="n">
        <f aca="false">(Motore_Operativo!CJ53)*(1+Parametri_v3!$C$27*Parametri_v3!$C$26)</f>
        <v>87191.2284356307</v>
      </c>
      <c r="AI53" s="15" t="n">
        <f aca="false">(IF(49-(INT((Ipotesi!$C$91)/30))&lt;1,0,INDEX(Motore_Startup!$AH$5:$AH$64,MAX(1,49-(INT((Ipotesi!$C$91)/30)))))*(1-(MOD((Ipotesi!$C$91),30)/30))+IF(49-(INT((Ipotesi!$C$91)/30))-1&lt;1,0,INDEX(Motore_Startup!$AH$5:$AH$64,MAX(1,49-(INT((Ipotesi!$C$91)/30))-1)))*(MOD((Ipotesi!$C$91),30)/30))</f>
        <v>70435.3471407828</v>
      </c>
      <c r="AJ53" s="15" t="n">
        <f aca="false">(AJ52)+AH53-AI53</f>
        <v>158029.412540062</v>
      </c>
      <c r="AK53" s="15" t="n">
        <f aca="false">(F53+ Motore_Operativo!BH53-(Motore_Operativo!CJ53)*Parametri_v3!$C$27-Motore_Operativo!CE53)*Parametri_v3!$C$26</f>
        <v>16431.5659236106</v>
      </c>
      <c r="AL53" s="15" t="n">
        <f aca="false">MAX(0,(AM52))</f>
        <v>13691.8062956084</v>
      </c>
      <c r="AM53" s="15" t="n">
        <f aca="false">(AM52)+AK53-AL53</f>
        <v>16431.5659236106</v>
      </c>
      <c r="AN53" s="15" t="n">
        <f aca="false">SUM(X41:X52)</f>
        <v>0</v>
      </c>
      <c r="AO53" s="15" t="n">
        <f aca="false">SUM(AP41:AP52)</f>
        <v>0</v>
      </c>
      <c r="AP53" s="15" t="n">
        <f aca="false">MAX(0,AN53)*IF(1=Parametri_v3!$C$43,Parametri_v3!$C$45,IF(1=Parametri_v3!$C$44,1-Parametri_v3!$C$45,0))</f>
        <v>0</v>
      </c>
      <c r="AQ53" s="15" t="n">
        <f aca="false">MAX(0,AP53+IF(1=Parametri_v3!$C$43,MAX(0,AN53-AO53),0)-MAX(0,-(AR52)))</f>
        <v>0</v>
      </c>
      <c r="AR53" s="15" t="n">
        <f aca="false">(AR52)+X53-AQ53</f>
        <v>0</v>
      </c>
      <c r="AS53" s="15" t="n">
        <f aca="false">Motore_Operativo!AB53-AT53+AU53</f>
        <v>113503.461904792</v>
      </c>
      <c r="AT53" s="15" t="n">
        <f aca="false">Motore_Operativo!CH53</f>
        <v>5973.86641604167</v>
      </c>
      <c r="AU53" s="15" t="n">
        <f aca="false">MIN(MAX(0,(AV52)+AT53),Parametri_v3!$C$60/12)</f>
        <v>0</v>
      </c>
      <c r="AV53" s="15" t="n">
        <f aca="false">(AV52)+AT53-AU53</f>
        <v>143029.416791042</v>
      </c>
      <c r="AW53" s="15" t="n">
        <f aca="false">IF(AND(Motore_Operativo!C53=Finanziamenti!$D$6,Finanziamenti!$F$6=1),Finanziamenti!$C$6,0)</f>
        <v>0</v>
      </c>
      <c r="AX53" s="15" t="n">
        <f aca="false">IF(AND(1&lt;&gt;7,1&lt;&gt;9,Finanziamenti!$F$8=1,OR(Parametri_v3!$C$6=0,Finanziamenti!$E$8=1),Motore_Operativo!C53=EDATE(Finanziamenti!$D$8,Ipotesi!C15*12)),Finanziamenti!$C$8*1,0)+IF(AND(1&lt;&gt;7,1&lt;&gt;9,Finanziamenti!$F$9=1,OR(Parametri_v3!$C$6=0,Finanziamenti!$E$9=1),Motore_Operativo!C53=EDATE(Finanziamenti!$D$9,Ipotesi!C15*12)),Finanziamenti!$C$9*Ipotesi!C16,0)</f>
        <v>0</v>
      </c>
      <c r="AY53" s="15" t="n">
        <f aca="false">0</f>
        <v>0</v>
      </c>
      <c r="AZ53" s="15" t="n">
        <f aca="false">Motore_Advisory!AY53*(1-Ipotesi!$C$95)*Ipotesi!$C$96</f>
        <v>0</v>
      </c>
      <c r="BA53" s="15" t="n">
        <f aca="false">MAX(0,MIN(CG53*MIN(1,IF(Motore_Operativo!C53&gt;=EDATE(Finanziamenti!$D$15,Ipotesi!C14*12),Finanziamenti!$C$15,0)+IF(Motore_Operativo!C53&gt;=EDATE(Finanziamenti!$D$16,Ipotesi!C14*12),Finanziamenti!$C$16,0)+IF(Motore_Operativo!C53&gt;=EDATE(Finanziamenti!$D$17,Ipotesi!C14*12),Finanziamenti!$C$17,0)),CA53*Ipotesi!$C$102)-(CC52))</f>
        <v>0</v>
      </c>
      <c r="BB53" s="15" t="n">
        <f aca="false">IF(AND(CF53&gt;0,Motore_Operativo!C53&gt;=IF(CF53=0,0,EDATE(CF53,Parametri_v3!$C$37)),MOD(((D53-YEAR(IF(CF53=0,0,EDATE(CF53,Parametri_v3!$C$37))))*12+E53-MONTH(IF(CF53=0,0,EDATE(CF53,Parametri_v3!$C$37)))),Parametri_v3!$C$38)=0),MIN(MAX(0,(BC52)+BA53-N53),(CC53-CD53)/(Ipotesi!$C$108*12/Parametri_v3!$C$38)),0)</f>
        <v>0</v>
      </c>
      <c r="BC53" s="15" t="n">
        <f aca="false">(BC52)+BA53-N53-BB53</f>
        <v>236913.246776753</v>
      </c>
      <c r="BD53" s="15" t="n">
        <f aca="false">(BH52)+AC53+AF53-AI53-AS53-K53*(1+Parametri_v3!$C$26)-AL53-AQ53-O53+AW53+AX53+AZ53+BA53-BB53</f>
        <v>-489162.625863349</v>
      </c>
      <c r="BE53" s="15" t="n">
        <f aca="false">MAX(0,MIN(MAX(0,CH53-(BG52)),Parametri_v3!$C$30-BD53))</f>
        <v>0</v>
      </c>
      <c r="BF53" s="15" t="n">
        <f aca="false">IF(Motore_Operativo!C53&gt;=Parametri_v3!$C$63,(BG52),MIN((BG52),MAX(0,BD53-Parametri_v3!$C$30)))</f>
        <v>0</v>
      </c>
      <c r="BG53" s="15" t="n">
        <f aca="false">(BG52)+BE53-BF53</f>
        <v>150000</v>
      </c>
      <c r="BH53" s="15" t="n">
        <f aca="false">BD53+BE53-BF53-AY53</f>
        <v>-489162.625863349</v>
      </c>
      <c r="BI53" s="15" t="n">
        <f aca="false">MAX(0,Parametri_v3!$C$30-BH53)</f>
        <v>514162.625863349</v>
      </c>
      <c r="BJ53" s="15" t="n">
        <f aca="false">(BJ52)+K53</f>
        <v>119166.666666667</v>
      </c>
      <c r="BK53" s="15" t="n">
        <f aca="false">(BK52)+L53</f>
        <v>66516.2037037037</v>
      </c>
      <c r="BL53" s="15" t="n">
        <f aca="false">BJ53-BK53</f>
        <v>52650.4629629629</v>
      </c>
      <c r="BM53" s="15" t="n">
        <f aca="false">(BM52)+Y53</f>
        <v>-2034586.88169597</v>
      </c>
      <c r="BN53" s="15" t="n">
        <f aca="false">(BN52)+AW53+AX53+AZ53</f>
        <v>1330000</v>
      </c>
      <c r="BO53" s="15" t="n">
        <f aca="false">(BO52)+AY53</f>
        <v>0</v>
      </c>
      <c r="BP53" s="15" t="n">
        <f aca="false">0</f>
        <v>0</v>
      </c>
      <c r="BQ53" s="15" t="n">
        <f aca="false">BN53+BM53-BO53</f>
        <v>-704586.881695971</v>
      </c>
      <c r="BR53" s="15" t="n">
        <f aca="false">BH53+AD53+BL53+MAX(0,-AM53)+MAX(0,-AR53)+AG53</f>
        <v>-183.239664503388</v>
      </c>
      <c r="BS53" s="15" t="n">
        <f aca="false">AJ53+AV53+MAX(0,AM53)+MAX(0,AR53)+BC53+BG53+BQ53</f>
        <v>-183.239664503373</v>
      </c>
      <c r="BT53" s="15" t="n">
        <f aca="false">BR53-BS53</f>
        <v>-1.45519152283669E-011</v>
      </c>
      <c r="BU53" s="15" t="n">
        <f aca="false">BH53-(BD53+BE53-BF53-AY53)</f>
        <v>0</v>
      </c>
      <c r="BV53" s="15" t="n">
        <f aca="false">MIN(Piano_SS!$C$6,(BV52)+IF(AND(Motore_Operativo!C53&gt;=EDATE(Parametri_v3!$C$24,Ipotesi!C14*12),Motore_Operativo!C53&lt;EDATE(Parametri_v3!$C$24,Parametri_v3!$C$25+Ipotesi!C14*12)),MAX(0,(Motore_Operativo!Y53+Motore_Operativo!X53*Parametri_v3!$C$14)*(1-Parametri_v3!$C$32))*Piano_SS!$D$6,0))</f>
        <v>300000</v>
      </c>
      <c r="BW53" s="15" t="n">
        <f aca="false">MIN(Piano_SS!$C$7,(BW52)+IF(AND(Motore_Operativo!C53&gt;=EDATE(Parametri_v3!$C$24,Ipotesi!C14*12),Motore_Operativo!C53&lt;EDATE(Parametri_v3!$C$24,Parametri_v3!$C$25+Ipotesi!C14*12)),MAX(0,(IF(49-(INT((Ipotesi!$C$91)/30))&lt;1,0,INDEX(Motore_Operativo!$BN$5:$BN$64,MAX(1,49-(INT((Ipotesi!$C$91)/30)))))*(1-(MOD((Ipotesi!$C$91),30)/30))+IF(49-(INT((Ipotesi!$C$91)/30))-1&lt;1,0,INDEX(Motore_Operativo!$BN$5:$BN$64,MAX(1,49-(INT((Ipotesi!$C$91)/30))-1)))*(MOD((Ipotesi!$C$91),30)/30)))*Piano_SS!$D$7,0))</f>
        <v>37208.8229697489</v>
      </c>
      <c r="BX53" s="15" t="n">
        <f aca="false">MIN(Piano_SS!$C$8,(BX52)+IF(AND(Motore_Operativo!C53&gt;=EDATE(Parametri_v3!$C$24,Ipotesi!C14*12),Motore_Operativo!C53&lt;EDATE(Parametri_v3!$C$24,Parametri_v3!$C$25+Ipotesi!C14*12)),MAX(0,Motore_Operativo!CE53)*Piano_SS!$D$8,0))</f>
        <v>50000</v>
      </c>
      <c r="BY53" s="15" t="n">
        <f aca="false">MIN(Piano_SS!$C$9,(BY52)+IF(AND(Motore_Operativo!C53&gt;=EDATE(Parametri_v3!$C$24,Ipotesi!C14*12),Motore_Operativo!C53&lt;EDATE(Parametri_v3!$C$24,Parametri_v3!$C$25+Ipotesi!C14*12)),MAX(0,((IF(49-(INT((Ipotesi!$C$91)/30))&lt;1,0,INDEX(Motore_Operativo!$BQ$5:$BQ$64,MAX(1,49-(INT((Ipotesi!$C$91)/30)))))*(1-(MOD((Ipotesi!$C$91),30)/30))+IF(49-(INT((Ipotesi!$C$91)/30))-1&lt;1,0,INDEX(Motore_Operativo!$BQ$5:$BQ$64,MAX(1,49-(INT((Ipotesi!$C$91)/30))-1)))*(MOD((Ipotesi!$C$91),30)/30))+(IF(49-(INT((Ipotesi!$C$91)/30))&lt;1,0,INDEX(Motore_Operativo!$BR$5:$BR$64,MAX(1,49-(INT((Ipotesi!$C$91)/30)))))*(1-(MOD((Ipotesi!$C$91),30)/30))+IF(49-(INT((Ipotesi!$C$91)/30))-1&lt;1,0,INDEX(Motore_Operativo!$BR$5:$BR$64,MAX(1,49-(INT((Ipotesi!$C$91)/30))-1)))*(MOD((Ipotesi!$C$91),30)/30))))*Piano_SS!$D$9,0))</f>
        <v>40000</v>
      </c>
      <c r="BZ53" s="15" t="n">
        <f aca="false">MIN(Piano_SS!$C$10,(BZ52)+IF(AND(Motore_Operativo!C53&gt;=EDATE(Parametri_v3!$C$24,Ipotesi!C14*12),Motore_Operativo!C53&lt;EDATE(Parametri_v3!$C$24,Parametri_v3!$C$25+Ipotesi!C14*12)),MAX(0,(IF(49-(INT((Ipotesi!$C$91)/30))&lt;1,0,INDEX(Motore_Operativo!$BO$5:$BO$64,MAX(1,49-(INT((Ipotesi!$C$91)/30)))))*(1-(MOD((Ipotesi!$C$91),30)/30))+IF(49-(INT((Ipotesi!$C$91)/30))-1&lt;1,0,INDEX(Motore_Operativo!$BO$5:$BO$64,MAX(1,49-(INT((Ipotesi!$C$91)/30))-1)))*(MOD((Ipotesi!$C$91),30)/30)))*Piano_SS!$D$10,0))</f>
        <v>30000</v>
      </c>
      <c r="CA53" s="15" t="n">
        <f aca="false">SUM(BV53:BZ53)</f>
        <v>457208.822969749</v>
      </c>
      <c r="CB53" s="15" t="n">
        <f aca="false">BV53*(1-Piano_SS!$E$6)+BW53*(1-Piano_SS!$E$7)+BX53*(1-Piano_SS!$E$8)+BY53*(1-Piano_SS!$E$9)+BZ53*(1-Piano_SS!$E$10)</f>
        <v>427208.822969749</v>
      </c>
      <c r="CC53" s="15" t="n">
        <f aca="false">(CC52)+BA53</f>
        <v>365767.058375799</v>
      </c>
      <c r="CD53" s="15" t="n">
        <f aca="false">IF(CA53=0,0,CC53*CB53/CA53*Ipotesi!$C$103*Parametri_v3!$C$64)</f>
        <v>102530.11751274</v>
      </c>
      <c r="CE53" s="18" t="n">
        <f aca="false">IF(BA53&gt;0,Motore_Operativo!C53,(CE52))</f>
        <v>47270</v>
      </c>
      <c r="CF53" s="18" t="n">
        <f aca="false">IF(AND(CC53&gt;0,OR(CC53&gt;=CG53-0.01,Motore_Operativo!C53&gt;=EDATE(MAX(Finanziamenti!$D$15:$D$17),Ipotesi!C14*12))),CE53,0)</f>
        <v>47270</v>
      </c>
      <c r="CG53" s="15" t="n">
        <f aca="false">IF(AND(1&lt;&gt;6,1&lt;&gt;9,Finanziamenti!$F$11=1,OR(Parametri_v3!$C$6=0,Finanziamenti!$E$11=1)),MIN(Finanziamenti!$C$11,Piano_SS!$C$12*Ipotesi!$C$102),0)</f>
        <v>400000</v>
      </c>
      <c r="CH53" s="15" t="n">
        <f aca="false">IF(AND(AND(1&lt;&gt;8,1&lt;&gt;9,Finanziamenti!$F$10=1,OR(Parametri_v3!$C$6=0,Finanziamenti!$E$10=1)),Motore_Operativo!C53&gt;=Finanziamenti!$D$10,Motore_Operativo!C53&lt;Parametri_v3!$C$63),Finanziamenti!$C$10,0)</f>
        <v>150000</v>
      </c>
    </row>
    <row r="54" customFormat="false" ht="18" hidden="false" customHeight="true" outlineLevel="0" collapsed="false">
      <c r="A54" s="68" t="n">
        <f aca="false">1</f>
        <v>1</v>
      </c>
      <c r="B54" s="68" t="n">
        <f aca="false">50</f>
        <v>50</v>
      </c>
      <c r="C54" s="18" t="n">
        <f aca="false">Motore_Operativo!C54</f>
        <v>47880</v>
      </c>
      <c r="D54" s="68" t="n">
        <f aca="false">Motore_Operativo!D54</f>
        <v>2031</v>
      </c>
      <c r="E54" s="68" t="n">
        <f aca="false">Motore_Operativo!E54</f>
        <v>2</v>
      </c>
      <c r="F54" s="15" t="n">
        <f aca="false">Motore_Operativo!AQ54+Motore_Operativo!BF54</f>
        <v>134824.635414935</v>
      </c>
      <c r="G54" s="15" t="n">
        <f aca="false">Motore_Operativo!BH54</f>
        <v>8696.875</v>
      </c>
      <c r="H54" s="15" t="n">
        <f aca="false">Motore_Operativo!BI54</f>
        <v>143521.510414935</v>
      </c>
      <c r="I54" s="15" t="n">
        <f aca="false">Motore_Operativo!CA54</f>
        <v>193244.516862258</v>
      </c>
      <c r="J54" s="15" t="n">
        <f aca="false">Motore_Operativo!CC54</f>
        <v>-49723.0064473222</v>
      </c>
      <c r="K54" s="15" t="n">
        <f aca="false">Motore_Operativo!CE54</f>
        <v>4166.66666666667</v>
      </c>
      <c r="L54" s="15" t="n">
        <f aca="false">SUM(INDEX($K$5:$K$64,MAX(1,50-Parametri_v3!$C$59+1)):K54)/Parametri_v3!$C$59</f>
        <v>2754.62962962963</v>
      </c>
      <c r="M54" s="15" t="n">
        <f aca="false">J54-L54</f>
        <v>-52477.6360769519</v>
      </c>
      <c r="N54" s="15" t="n">
        <f aca="false">CD54-(CD53)</f>
        <v>0</v>
      </c>
      <c r="O54" s="15" t="n">
        <f aca="false">(BG53)*Ipotesi!$C$110/12+CH54*Parametri_v3!$C$39/12</f>
        <v>750</v>
      </c>
      <c r="P54" s="15" t="n">
        <f aca="false">M54+N54-O54</f>
        <v>-53227.6360769519</v>
      </c>
      <c r="Q54" s="15" t="n">
        <f aca="false">SUM(P53:P54)+Parametri_v3!$C$54*2/12</f>
        <v>-108314.389099783</v>
      </c>
      <c r="R54" s="15" t="n">
        <f aca="false">Z52</f>
        <v>1327622.74335066</v>
      </c>
      <c r="S54" s="15" t="n">
        <f aca="false">AA52</f>
        <v>651877.385322478</v>
      </c>
      <c r="T54" s="15" t="n">
        <f aca="false">MIN(R54,MAX(0,Q54))</f>
        <v>0</v>
      </c>
      <c r="U54" s="15" t="n">
        <f aca="false">MIN(S54,MAX(0,Q54-T54)*Parametri_v3!$C$42)</f>
        <v>0</v>
      </c>
      <c r="V54" s="15" t="n">
        <f aca="false">MAX(0,Q54-T54-U54)*Ipotesi!$C$92</f>
        <v>0</v>
      </c>
      <c r="W54" s="15" t="n">
        <f aca="false">MAX(0,SUM(M53:M54)+Parametri_v3!$C$55*2/12)*Ipotesi!$C$93</f>
        <v>0</v>
      </c>
      <c r="X54" s="15" t="n">
        <f aca="false">V54+W54-(V53+W53)</f>
        <v>0</v>
      </c>
      <c r="Y54" s="15" t="n">
        <f aca="false">P54-X54</f>
        <v>-53227.6360769519</v>
      </c>
      <c r="Z54" s="15" t="n">
        <f aca="false">R54-T54+IF(AND(Parametri_v3!$C$40=1,D54-YEAR(Parametri_v3!$C$50)&lt;Parametri_v3!$C$41),MAX(0,-Q54),0)</f>
        <v>1327622.74335066</v>
      </c>
      <c r="AA54" s="15" t="n">
        <f aca="false">S54-U54+IF(AND(Parametri_v3!$C$40=1,D54-YEAR(Parametri_v3!$C$50)&lt;Parametri_v3!$C$41),0,MAX(0,-Q54))</f>
        <v>760191.774422261</v>
      </c>
      <c r="AB54" s="15" t="n">
        <f aca="false">F54*(1+Parametri_v3!$C$26)</f>
        <v>164486.055206221</v>
      </c>
      <c r="AC54" s="15" t="n">
        <f aca="false">(IF(50-(INT((Motore_Operativo!L54)/30))&lt;1,0,INDEX(Motore_Startup!$AB$5:$AB$64,MAX(1,50-(INT((Motore_Operativo!L54)/30)))))*(1-(MOD((Motore_Operativo!L54),30)/30))+IF(50-(INT((Motore_Operativo!L54)/30))-1&lt;1,0,INDEX(Motore_Startup!$AB$5:$AB$64,MAX(1,50-(INT((Motore_Operativo!L54)/30))-1)))*(MOD((Motore_Operativo!L54),30)/30))</f>
        <v>130497.362732208</v>
      </c>
      <c r="AD54" s="15" t="n">
        <f aca="false">(AD53)+AB54-AC54</f>
        <v>459707.428209896</v>
      </c>
      <c r="AE54" s="15" t="n">
        <f aca="false">Motore_Operativo!BH54*(1+Parametri_v3!$C$26)</f>
        <v>10610.1875</v>
      </c>
      <c r="AF54" s="15" t="n">
        <f aca="false">(IF(50-(INT((Parametri_v3!$C$29)/30))&lt;1,0,INDEX(Motore_Operativo!$BH$5:$BH$64,MAX(1,50-(INT((Parametri_v3!$C$29)/30)))))*(1-(MOD((Parametri_v3!$C$29),30)/30))+IF(50-(INT((Parametri_v3!$C$29)/30))-1&lt;1,0,INDEX(Motore_Operativo!$BH$5:$BH$64,MAX(1,50-(INT((Parametri_v3!$C$29)/30))-1)))*(MOD((Parametri_v3!$C$29),30)/30))*(1+Parametri_v3!$C$26)</f>
        <v>10610.1875</v>
      </c>
      <c r="AG54" s="15" t="n">
        <f aca="false">(AG53)+AE54-AF54</f>
        <v>10610.1875</v>
      </c>
      <c r="AH54" s="15" t="n">
        <f aca="false">(Motore_Operativo!CJ54)*(1+Parametri_v3!$C$27*Parametri_v3!$C$26)</f>
        <v>87561.6527986706</v>
      </c>
      <c r="AI54" s="15" t="n">
        <f aca="false">(IF(50-(INT((Ipotesi!$C$91)/30))&lt;1,0,INDEX(Motore_Startup!$AH$5:$AH$64,MAX(1,50-(INT((Ipotesi!$C$91)/30)))))*(1-(MOD((Ipotesi!$C$91),30)/30))+IF(50-(INT((Ipotesi!$C$91)/30))-1&lt;1,0,INDEX(Motore_Startup!$AH$5:$AH$64,MAX(1,50-(INT((Ipotesi!$C$91)/30))-1)))*(MOD((Ipotesi!$C$91),30)/30))</f>
        <v>70838.1841044313</v>
      </c>
      <c r="AJ54" s="15" t="n">
        <f aca="false">(AJ53)+AH54-AI54</f>
        <v>174752.881234301</v>
      </c>
      <c r="AK54" s="15" t="n">
        <f aca="false">(F54+ Motore_Operativo!BH54-(Motore_Operativo!CJ54)*Parametri_v3!$C$27-Motore_Operativo!CE54)*Parametri_v3!$C$26</f>
        <v>16863.6013673728</v>
      </c>
      <c r="AL54" s="15" t="n">
        <f aca="false">MAX(0,(AM53))</f>
        <v>16431.5659236106</v>
      </c>
      <c r="AM54" s="15" t="n">
        <f aca="false">(AM53)+AK54-AL54</f>
        <v>16863.6013673728</v>
      </c>
      <c r="AN54" s="15" t="n">
        <f aca="false">SUM(X41:X52)</f>
        <v>0</v>
      </c>
      <c r="AO54" s="15" t="n">
        <f aca="false">SUM(AP41:AP52)</f>
        <v>0</v>
      </c>
      <c r="AP54" s="15" t="n">
        <f aca="false">MAX(0,AN54)*IF(2=Parametri_v3!$C$43,Parametri_v3!$C$45,IF(2=Parametri_v3!$C$44,1-Parametri_v3!$C$45,0))</f>
        <v>0</v>
      </c>
      <c r="AQ54" s="15" t="n">
        <f aca="false">MAX(0,AP54+IF(2=Parametri_v3!$C$43,MAX(0,AN54-AO54),0)-MAX(0,-(AR53)))</f>
        <v>0</v>
      </c>
      <c r="AR54" s="15" t="n">
        <f aca="false">(AR53)+X54-AQ54</f>
        <v>0</v>
      </c>
      <c r="AS54" s="15" t="n">
        <f aca="false">Motore_Operativo!AB54-AT54+AU54</f>
        <v>113503.461904792</v>
      </c>
      <c r="AT54" s="15" t="n">
        <f aca="false">Motore_Operativo!CH54</f>
        <v>5973.86641604167</v>
      </c>
      <c r="AU54" s="15" t="n">
        <f aca="false">MIN(MAX(0,(AV53)+AT54),Parametri_v3!$C$60/12)</f>
        <v>0</v>
      </c>
      <c r="AV54" s="15" t="n">
        <f aca="false">(AV53)+AT54-AU54</f>
        <v>149003.283207083</v>
      </c>
      <c r="AW54" s="15" t="n">
        <f aca="false">IF(AND(Motore_Operativo!C54=Finanziamenti!$D$6,Finanziamenti!$F$6=1),Finanziamenti!$C$6,0)</f>
        <v>0</v>
      </c>
      <c r="AX54" s="15" t="n">
        <f aca="false">IF(AND(1&lt;&gt;7,1&lt;&gt;9,Finanziamenti!$F$8=1,OR(Parametri_v3!$C$6=0,Finanziamenti!$E$8=1),Motore_Operativo!C54=EDATE(Finanziamenti!$D$8,Ipotesi!C15*12)),Finanziamenti!$C$8*1,0)+IF(AND(1&lt;&gt;7,1&lt;&gt;9,Finanziamenti!$F$9=1,OR(Parametri_v3!$C$6=0,Finanziamenti!$E$9=1),Motore_Operativo!C54=EDATE(Finanziamenti!$D$9,Ipotesi!C15*12)),Finanziamenti!$C$9*Ipotesi!C16,0)</f>
        <v>0</v>
      </c>
      <c r="AY54" s="15" t="n">
        <f aca="false">0</f>
        <v>0</v>
      </c>
      <c r="AZ54" s="15" t="n">
        <f aca="false">Motore_Advisory!AY54*(1-Ipotesi!$C$95)*Ipotesi!$C$96</f>
        <v>0</v>
      </c>
      <c r="BA54" s="15" t="n">
        <f aca="false">MAX(0,MIN(CG54*MIN(1,IF(Motore_Operativo!C54&gt;=EDATE(Finanziamenti!$D$15,Ipotesi!C14*12),Finanziamenti!$C$15,0)+IF(Motore_Operativo!C54&gt;=EDATE(Finanziamenti!$D$16,Ipotesi!C14*12),Finanziamenti!$C$16,0)+IF(Motore_Operativo!C54&gt;=EDATE(Finanziamenti!$D$17,Ipotesi!C14*12),Finanziamenti!$C$17,0)),CA54*Ipotesi!$C$102)-(CC53))</f>
        <v>0</v>
      </c>
      <c r="BB54" s="15" t="n">
        <f aca="false">IF(AND(CF54&gt;0,Motore_Operativo!C54&gt;=IF(CF54=0,0,EDATE(CF54,Parametri_v3!$C$37)),MOD(((D54-YEAR(IF(CF54=0,0,EDATE(CF54,Parametri_v3!$C$37))))*12+E54-MONTH(IF(CF54=0,0,EDATE(CF54,Parametri_v3!$C$37)))),Parametri_v3!$C$38)=0),MIN(MAX(0,(BC53)+BA54-N54),(CC54-CD54)/(Ipotesi!$C$108*12/Parametri_v3!$C$38)),0)</f>
        <v>0</v>
      </c>
      <c r="BC54" s="15" t="n">
        <f aca="false">(BC53)+BA54-N54-BB54</f>
        <v>236913.246776753</v>
      </c>
      <c r="BD54" s="15" t="n">
        <f aca="false">(BH53)+AC54+AF54-AI54-AS54-K54*(1+Parametri_v3!$C$26)-AL54-AQ54-O54+AW54+AX54+AZ54+BA54-BB54</f>
        <v>-554661.620897308</v>
      </c>
      <c r="BE54" s="15" t="n">
        <f aca="false">MAX(0,MIN(MAX(0,CH54-(BG53)),Parametri_v3!$C$30-BD54))</f>
        <v>0</v>
      </c>
      <c r="BF54" s="15" t="n">
        <f aca="false">IF(Motore_Operativo!C54&gt;=Parametri_v3!$C$63,(BG53),MIN((BG53),MAX(0,BD54-Parametri_v3!$C$30)))</f>
        <v>0</v>
      </c>
      <c r="BG54" s="15" t="n">
        <f aca="false">(BG53)+BE54-BF54</f>
        <v>150000</v>
      </c>
      <c r="BH54" s="15" t="n">
        <f aca="false">BD54+BE54-BF54-AY54</f>
        <v>-554661.620897308</v>
      </c>
      <c r="BI54" s="15" t="n">
        <f aca="false">MAX(0,Parametri_v3!$C$30-BH54)</f>
        <v>579661.620897308</v>
      </c>
      <c r="BJ54" s="15" t="n">
        <f aca="false">(BJ53)+K54</f>
        <v>123333.333333333</v>
      </c>
      <c r="BK54" s="15" t="n">
        <f aca="false">(BK53)+L54</f>
        <v>69270.8333333333</v>
      </c>
      <c r="BL54" s="15" t="n">
        <f aca="false">BJ54-BK54</f>
        <v>54062.4999999999</v>
      </c>
      <c r="BM54" s="15" t="n">
        <f aca="false">(BM53)+Y54</f>
        <v>-2087814.51777292</v>
      </c>
      <c r="BN54" s="15" t="n">
        <f aca="false">(BN53)+AW54+AX54+AZ54</f>
        <v>1330000</v>
      </c>
      <c r="BO54" s="15" t="n">
        <f aca="false">(BO53)+AY54</f>
        <v>0</v>
      </c>
      <c r="BP54" s="15" t="n">
        <f aca="false">0</f>
        <v>0</v>
      </c>
      <c r="BQ54" s="15" t="n">
        <f aca="false">BN54+BM54-BO54</f>
        <v>-757814.517772923</v>
      </c>
      <c r="BR54" s="15" t="n">
        <f aca="false">BH54+AD54+BL54+MAX(0,-AM54)+MAX(0,-AR54)+AG54</f>
        <v>-30281.5051874121</v>
      </c>
      <c r="BS54" s="15" t="n">
        <f aca="false">AJ54+AV54+MAX(0,AM54)+MAX(0,AR54)+BC54+BG54+BQ54</f>
        <v>-30281.505187412</v>
      </c>
      <c r="BT54" s="15" t="n">
        <f aca="false">BR54-BS54</f>
        <v>-1.16415321826935E-010</v>
      </c>
      <c r="BU54" s="15" t="n">
        <f aca="false">BH54-(BD54+BE54-BF54-AY54)</f>
        <v>0</v>
      </c>
      <c r="BV54" s="15" t="n">
        <f aca="false">MIN(Piano_SS!$C$6,(BV53)+IF(AND(Motore_Operativo!C54&gt;=EDATE(Parametri_v3!$C$24,Ipotesi!C14*12),Motore_Operativo!C54&lt;EDATE(Parametri_v3!$C$24,Parametri_v3!$C$25+Ipotesi!C14*12)),MAX(0,(Motore_Operativo!Y54+Motore_Operativo!X54*Parametri_v3!$C$14)*(1-Parametri_v3!$C$32))*Piano_SS!$D$6,0))</f>
        <v>300000</v>
      </c>
      <c r="BW54" s="15" t="n">
        <f aca="false">MIN(Piano_SS!$C$7,(BW53)+IF(AND(Motore_Operativo!C54&gt;=EDATE(Parametri_v3!$C$24,Ipotesi!C14*12),Motore_Operativo!C54&lt;EDATE(Parametri_v3!$C$24,Parametri_v3!$C$25+Ipotesi!C14*12)),MAX(0,(IF(50-(INT((Ipotesi!$C$91)/30))&lt;1,0,INDEX(Motore_Operativo!$BN$5:$BN$64,MAX(1,50-(INT((Ipotesi!$C$91)/30)))))*(1-(MOD((Ipotesi!$C$91),30)/30))+IF(50-(INT((Ipotesi!$C$91)/30))-1&lt;1,0,INDEX(Motore_Operativo!$BN$5:$BN$64,MAX(1,50-(INT((Ipotesi!$C$91)/30))-1)))*(MOD((Ipotesi!$C$91),30)/30)))*Piano_SS!$D$7,0))</f>
        <v>37208.8229697489</v>
      </c>
      <c r="BX54" s="15" t="n">
        <f aca="false">MIN(Piano_SS!$C$8,(BX53)+IF(AND(Motore_Operativo!C54&gt;=EDATE(Parametri_v3!$C$24,Ipotesi!C14*12),Motore_Operativo!C54&lt;EDATE(Parametri_v3!$C$24,Parametri_v3!$C$25+Ipotesi!C14*12)),MAX(0,Motore_Operativo!CE54)*Piano_SS!$D$8,0))</f>
        <v>50000</v>
      </c>
      <c r="BY54" s="15" t="n">
        <f aca="false">MIN(Piano_SS!$C$9,(BY53)+IF(AND(Motore_Operativo!C54&gt;=EDATE(Parametri_v3!$C$24,Ipotesi!C14*12),Motore_Operativo!C54&lt;EDATE(Parametri_v3!$C$24,Parametri_v3!$C$25+Ipotesi!C14*12)),MAX(0,((IF(50-(INT((Ipotesi!$C$91)/30))&lt;1,0,INDEX(Motore_Operativo!$BQ$5:$BQ$64,MAX(1,50-(INT((Ipotesi!$C$91)/30)))))*(1-(MOD((Ipotesi!$C$91),30)/30))+IF(50-(INT((Ipotesi!$C$91)/30))-1&lt;1,0,INDEX(Motore_Operativo!$BQ$5:$BQ$64,MAX(1,50-(INT((Ipotesi!$C$91)/30))-1)))*(MOD((Ipotesi!$C$91),30)/30))+(IF(50-(INT((Ipotesi!$C$91)/30))&lt;1,0,INDEX(Motore_Operativo!$BR$5:$BR$64,MAX(1,50-(INT((Ipotesi!$C$91)/30)))))*(1-(MOD((Ipotesi!$C$91),30)/30))+IF(50-(INT((Ipotesi!$C$91)/30))-1&lt;1,0,INDEX(Motore_Operativo!$BR$5:$BR$64,MAX(1,50-(INT((Ipotesi!$C$91)/30))-1)))*(MOD((Ipotesi!$C$91),30)/30))))*Piano_SS!$D$9,0))</f>
        <v>40000</v>
      </c>
      <c r="BZ54" s="15" t="n">
        <f aca="false">MIN(Piano_SS!$C$10,(BZ53)+IF(AND(Motore_Operativo!C54&gt;=EDATE(Parametri_v3!$C$24,Ipotesi!C14*12),Motore_Operativo!C54&lt;EDATE(Parametri_v3!$C$24,Parametri_v3!$C$25+Ipotesi!C14*12)),MAX(0,(IF(50-(INT((Ipotesi!$C$91)/30))&lt;1,0,INDEX(Motore_Operativo!$BO$5:$BO$64,MAX(1,50-(INT((Ipotesi!$C$91)/30)))))*(1-(MOD((Ipotesi!$C$91),30)/30))+IF(50-(INT((Ipotesi!$C$91)/30))-1&lt;1,0,INDEX(Motore_Operativo!$BO$5:$BO$64,MAX(1,50-(INT((Ipotesi!$C$91)/30))-1)))*(MOD((Ipotesi!$C$91),30)/30)))*Piano_SS!$D$10,0))</f>
        <v>30000</v>
      </c>
      <c r="CA54" s="15" t="n">
        <f aca="false">SUM(BV54:BZ54)</f>
        <v>457208.822969749</v>
      </c>
      <c r="CB54" s="15" t="n">
        <f aca="false">BV54*(1-Piano_SS!$E$6)+BW54*(1-Piano_SS!$E$7)+BX54*(1-Piano_SS!$E$8)+BY54*(1-Piano_SS!$E$9)+BZ54*(1-Piano_SS!$E$10)</f>
        <v>427208.822969749</v>
      </c>
      <c r="CC54" s="15" t="n">
        <f aca="false">(CC53)+BA54</f>
        <v>365767.058375799</v>
      </c>
      <c r="CD54" s="15" t="n">
        <f aca="false">IF(CA54=0,0,CC54*CB54/CA54*Ipotesi!$C$103*Parametri_v3!$C$64)</f>
        <v>102530.11751274</v>
      </c>
      <c r="CE54" s="18" t="n">
        <f aca="false">IF(BA54&gt;0,Motore_Operativo!C54,(CE53))</f>
        <v>47270</v>
      </c>
      <c r="CF54" s="18" t="n">
        <f aca="false">IF(AND(CC54&gt;0,OR(CC54&gt;=CG54-0.01,Motore_Operativo!C54&gt;=EDATE(MAX(Finanziamenti!$D$15:$D$17),Ipotesi!C14*12))),CE54,0)</f>
        <v>47270</v>
      </c>
      <c r="CG54" s="15" t="n">
        <f aca="false">IF(AND(1&lt;&gt;6,1&lt;&gt;9,Finanziamenti!$F$11=1,OR(Parametri_v3!$C$6=0,Finanziamenti!$E$11=1)),MIN(Finanziamenti!$C$11,Piano_SS!$C$12*Ipotesi!$C$102),0)</f>
        <v>400000</v>
      </c>
      <c r="CH54" s="15" t="n">
        <f aca="false">IF(AND(AND(1&lt;&gt;8,1&lt;&gt;9,Finanziamenti!$F$10=1,OR(Parametri_v3!$C$6=0,Finanziamenti!$E$10=1)),Motore_Operativo!C54&gt;=Finanziamenti!$D$10,Motore_Operativo!C54&lt;Parametri_v3!$C$63),Finanziamenti!$C$10,0)</f>
        <v>150000</v>
      </c>
    </row>
    <row r="55" customFormat="false" ht="18" hidden="false" customHeight="true" outlineLevel="0" collapsed="false">
      <c r="A55" s="68" t="n">
        <f aca="false">1</f>
        <v>1</v>
      </c>
      <c r="B55" s="68" t="n">
        <f aca="false">51</f>
        <v>51</v>
      </c>
      <c r="C55" s="18" t="n">
        <f aca="false">Motore_Operativo!C55</f>
        <v>47908</v>
      </c>
      <c r="D55" s="68" t="n">
        <f aca="false">Motore_Operativo!D55</f>
        <v>2031</v>
      </c>
      <c r="E55" s="68" t="n">
        <f aca="false">Motore_Operativo!E55</f>
        <v>3</v>
      </c>
      <c r="F55" s="15" t="n">
        <f aca="false">Motore_Operativo!AQ55+Motore_Operativo!BF55</f>
        <v>137034.204902058</v>
      </c>
      <c r="G55" s="15" t="n">
        <f aca="false">Motore_Operativo!BH55</f>
        <v>8696.875</v>
      </c>
      <c r="H55" s="15" t="n">
        <f aca="false">Motore_Operativo!BI55</f>
        <v>145731.079902058</v>
      </c>
      <c r="I55" s="15" t="n">
        <f aca="false">Motore_Operativo!CA55</f>
        <v>193553.856590455</v>
      </c>
      <c r="J55" s="15" t="n">
        <f aca="false">Motore_Operativo!CC55</f>
        <v>-47822.7766883964</v>
      </c>
      <c r="K55" s="15" t="n">
        <f aca="false">Motore_Operativo!CE55</f>
        <v>4166.66666666667</v>
      </c>
      <c r="L55" s="15" t="n">
        <f aca="false">SUM(INDEX($K$5:$K$64,MAX(1,51-Parametri_v3!$C$59+1)):K55)/Parametri_v3!$C$59</f>
        <v>2812.5</v>
      </c>
      <c r="M55" s="15" t="n">
        <f aca="false">J55-L55</f>
        <v>-50635.2766883964</v>
      </c>
      <c r="N55" s="15" t="n">
        <f aca="false">CD55-(CD54)</f>
        <v>0</v>
      </c>
      <c r="O55" s="15" t="n">
        <f aca="false">(BG54)*Ipotesi!$C$110/12+CH55*Parametri_v3!$C$39/12</f>
        <v>750</v>
      </c>
      <c r="P55" s="15" t="n">
        <f aca="false">M55+N55-O55</f>
        <v>-51385.2766883964</v>
      </c>
      <c r="Q55" s="15" t="n">
        <f aca="false">SUM(P53:P55)+Parametri_v3!$C$54*3/12</f>
        <v>-159699.665788179</v>
      </c>
      <c r="R55" s="15" t="n">
        <f aca="false">Z52</f>
        <v>1327622.74335066</v>
      </c>
      <c r="S55" s="15" t="n">
        <f aca="false">AA52</f>
        <v>651877.385322478</v>
      </c>
      <c r="T55" s="15" t="n">
        <f aca="false">MIN(R55,MAX(0,Q55))</f>
        <v>0</v>
      </c>
      <c r="U55" s="15" t="n">
        <f aca="false">MIN(S55,MAX(0,Q55-T55)*Parametri_v3!$C$42)</f>
        <v>0</v>
      </c>
      <c r="V55" s="15" t="n">
        <f aca="false">MAX(0,Q55-T55-U55)*Ipotesi!$C$92</f>
        <v>0</v>
      </c>
      <c r="W55" s="15" t="n">
        <f aca="false">MAX(0,SUM(M53:M55)+Parametri_v3!$C$55*3/12)*Ipotesi!$C$93</f>
        <v>0</v>
      </c>
      <c r="X55" s="15" t="n">
        <f aca="false">V55+W55-(V54+W54)</f>
        <v>0</v>
      </c>
      <c r="Y55" s="15" t="n">
        <f aca="false">P55-X55</f>
        <v>-51385.2766883964</v>
      </c>
      <c r="Z55" s="15" t="n">
        <f aca="false">R55-T55+IF(AND(Parametri_v3!$C$40=1,D55-YEAR(Parametri_v3!$C$50)&lt;Parametri_v3!$C$41),MAX(0,-Q55),0)</f>
        <v>1327622.74335066</v>
      </c>
      <c r="AA55" s="15" t="n">
        <f aca="false">S55-U55+IF(AND(Parametri_v3!$C$40=1,D55-YEAR(Parametri_v3!$C$50)&lt;Parametri_v3!$C$41),0,MAX(0,-Q55))</f>
        <v>811577.051110657</v>
      </c>
      <c r="AB55" s="15" t="n">
        <f aca="false">F55*(1+Parametri_v3!$C$26)</f>
        <v>167181.729980511</v>
      </c>
      <c r="AC55" s="15" t="n">
        <f aca="false">(IF(51-(INT((Motore_Operativo!L55)/30))&lt;1,0,INDEX(Motore_Startup!$AB$5:$AB$64,MAX(1,51-(INT((Motore_Operativo!L55)/30)))))*(1-(MOD((Motore_Operativo!L55),30)/30))+IF(51-(INT((Motore_Operativo!L55)/30))-1&lt;1,0,INDEX(Motore_Startup!$AB$5:$AB$64,MAX(1,51-(INT((Motore_Operativo!L55)/30))-1)))*(MOD((Motore_Operativo!L55),30)/30))</f>
        <v>133454.764920505</v>
      </c>
      <c r="AD55" s="15" t="n">
        <f aca="false">(AD54)+AB55-AC55</f>
        <v>493434.393269902</v>
      </c>
      <c r="AE55" s="15" t="n">
        <f aca="false">Motore_Operativo!BH55*(1+Parametri_v3!$C$26)</f>
        <v>10610.1875</v>
      </c>
      <c r="AF55" s="15" t="n">
        <f aca="false">(IF(51-(INT((Parametri_v3!$C$29)/30))&lt;1,0,INDEX(Motore_Operativo!$BH$5:$BH$64,MAX(1,51-(INT((Parametri_v3!$C$29)/30)))))*(1-(MOD((Parametri_v3!$C$29),30)/30))+IF(51-(INT((Parametri_v3!$C$29)/30))-1&lt;1,0,INDEX(Motore_Operativo!$BH$5:$BH$64,MAX(1,51-(INT((Parametri_v3!$C$29)/30))-1)))*(MOD((Parametri_v3!$C$29),30)/30))*(1+Parametri_v3!$C$26)</f>
        <v>10610.1875</v>
      </c>
      <c r="AG55" s="15" t="n">
        <f aca="false">(AG54)+AE55-AF55</f>
        <v>10610.1875</v>
      </c>
      <c r="AH55" s="15" t="n">
        <f aca="false">(Motore_Operativo!CJ55)*(1+Parametri_v3!$C$27*Parametri_v3!$C$26)</f>
        <v>87928.8390560407</v>
      </c>
      <c r="AI55" s="15" t="n">
        <f aca="false">(IF(51-(INT((Ipotesi!$C$91)/30))&lt;1,0,INDEX(Motore_Startup!$AH$5:$AH$64,MAX(1,51-(INT((Ipotesi!$C$91)/30)))))*(1-(MOD((Ipotesi!$C$91),30)/30))+IF(51-(INT((Ipotesi!$C$91)/30))-1&lt;1,0,INDEX(Motore_Startup!$AH$5:$AH$64,MAX(1,51-(INT((Ipotesi!$C$91)/30))-1)))*(MOD((Ipotesi!$C$91),30)/30))</f>
        <v>87191.2284356307</v>
      </c>
      <c r="AJ55" s="15" t="n">
        <f aca="false">(AJ54)+AH55-AI55</f>
        <v>175490.491854711</v>
      </c>
      <c r="AK55" s="15" t="n">
        <f aca="false">(F55+ Motore_Operativo!BH55-(Motore_Operativo!CJ55)*Parametri_v3!$C$27-Motore_Operativo!CE55)*Parametri_v3!$C$26</f>
        <v>17291.860125367</v>
      </c>
      <c r="AL55" s="15" t="n">
        <f aca="false">MAX(0,(AM54))</f>
        <v>16863.6013673728</v>
      </c>
      <c r="AM55" s="15" t="n">
        <f aca="false">(AM54)+AK55-AL55</f>
        <v>17291.860125367</v>
      </c>
      <c r="AN55" s="15" t="n">
        <f aca="false">SUM(X41:X52)</f>
        <v>0</v>
      </c>
      <c r="AO55" s="15" t="n">
        <f aca="false">SUM(AP41:AP52)</f>
        <v>0</v>
      </c>
      <c r="AP55" s="15" t="n">
        <f aca="false">MAX(0,AN55)*IF(3=Parametri_v3!$C$43,Parametri_v3!$C$45,IF(3=Parametri_v3!$C$44,1-Parametri_v3!$C$45,0))</f>
        <v>0</v>
      </c>
      <c r="AQ55" s="15" t="n">
        <f aca="false">MAX(0,AP55+IF(3=Parametri_v3!$C$43,MAX(0,AN55-AO55),0)-MAX(0,-(AR54)))</f>
        <v>0</v>
      </c>
      <c r="AR55" s="15" t="n">
        <f aca="false">(AR54)+X55-AQ55</f>
        <v>0</v>
      </c>
      <c r="AS55" s="15" t="n">
        <f aca="false">Motore_Operativo!AB55-AT55+AU55</f>
        <v>113503.461904792</v>
      </c>
      <c r="AT55" s="15" t="n">
        <f aca="false">Motore_Operativo!CH55</f>
        <v>5973.86641604167</v>
      </c>
      <c r="AU55" s="15" t="n">
        <f aca="false">MIN(MAX(0,(AV54)+AT55),Parametri_v3!$C$60/12)</f>
        <v>0</v>
      </c>
      <c r="AV55" s="15" t="n">
        <f aca="false">(AV54)+AT55-AU55</f>
        <v>154977.149623125</v>
      </c>
      <c r="AW55" s="15" t="n">
        <f aca="false">IF(AND(Motore_Operativo!C55=Finanziamenti!$D$6,Finanziamenti!$F$6=1),Finanziamenti!$C$6,0)</f>
        <v>0</v>
      </c>
      <c r="AX55" s="15" t="n">
        <f aca="false">IF(AND(1&lt;&gt;7,1&lt;&gt;9,Finanziamenti!$F$8=1,OR(Parametri_v3!$C$6=0,Finanziamenti!$E$8=1),Motore_Operativo!C55=EDATE(Finanziamenti!$D$8,Ipotesi!C15*12)),Finanziamenti!$C$8*1,0)+IF(AND(1&lt;&gt;7,1&lt;&gt;9,Finanziamenti!$F$9=1,OR(Parametri_v3!$C$6=0,Finanziamenti!$E$9=1),Motore_Operativo!C55=EDATE(Finanziamenti!$D$9,Ipotesi!C15*12)),Finanziamenti!$C$9*Ipotesi!C16,0)</f>
        <v>0</v>
      </c>
      <c r="AY55" s="15" t="n">
        <f aca="false">0</f>
        <v>0</v>
      </c>
      <c r="AZ55" s="15" t="n">
        <f aca="false">Motore_Advisory!AY55*(1-Ipotesi!$C$95)*Ipotesi!$C$96</f>
        <v>0</v>
      </c>
      <c r="BA55" s="15" t="n">
        <f aca="false">MAX(0,MIN(CG55*MIN(1,IF(Motore_Operativo!C55&gt;=EDATE(Finanziamenti!$D$15,Ipotesi!C14*12),Finanziamenti!$C$15,0)+IF(Motore_Operativo!C55&gt;=EDATE(Finanziamenti!$D$16,Ipotesi!C14*12),Finanziamenti!$C$16,0)+IF(Motore_Operativo!C55&gt;=EDATE(Finanziamenti!$D$17,Ipotesi!C14*12),Finanziamenti!$C$17,0)),CA55*Ipotesi!$C$102)-(CC54))</f>
        <v>0</v>
      </c>
      <c r="BB55" s="15" t="n">
        <f aca="false">IF(AND(CF55&gt;0,Motore_Operativo!C55&gt;=IF(CF55=0,0,EDATE(CF55,Parametri_v3!$C$37)),MOD(((D55-YEAR(IF(CF55=0,0,EDATE(CF55,Parametri_v3!$C$37))))*12+E55-MONTH(IF(CF55=0,0,EDATE(CF55,Parametri_v3!$C$37)))),Parametri_v3!$C$38)=0),MIN(MAX(0,(BC54)+BA55-N55),(CC55-CD55)/(Ipotesi!$C$108*12/Parametri_v3!$C$38)),0)</f>
        <v>0</v>
      </c>
      <c r="BC55" s="15" t="n">
        <f aca="false">(BC54)+BA55-N55-BB55</f>
        <v>236913.246776753</v>
      </c>
      <c r="BD55" s="15" t="n">
        <f aca="false">(BH54)+AC55+AF55-AI55-AS55-K55*(1+Parametri_v3!$C$26)-AL55-AQ55-O55+AW55+AX55+AZ55+BA55-BB55</f>
        <v>-633988.293517931</v>
      </c>
      <c r="BE55" s="15" t="n">
        <f aca="false">MAX(0,MIN(MAX(0,CH55-(BG54)),Parametri_v3!$C$30-BD55))</f>
        <v>0</v>
      </c>
      <c r="BF55" s="15" t="n">
        <f aca="false">IF(Motore_Operativo!C55&gt;=Parametri_v3!$C$63,(BG54),MIN((BG54),MAX(0,BD55-Parametri_v3!$C$30)))</f>
        <v>0</v>
      </c>
      <c r="BG55" s="15" t="n">
        <f aca="false">(BG54)+BE55-BF55</f>
        <v>150000</v>
      </c>
      <c r="BH55" s="15" t="n">
        <f aca="false">BD55+BE55-BF55-AY55</f>
        <v>-633988.293517931</v>
      </c>
      <c r="BI55" s="15" t="n">
        <f aca="false">MAX(0,Parametri_v3!$C$30-BH55)</f>
        <v>658988.293517931</v>
      </c>
      <c r="BJ55" s="15" t="n">
        <f aca="false">(BJ54)+K55</f>
        <v>127500</v>
      </c>
      <c r="BK55" s="15" t="n">
        <f aca="false">(BK54)+L55</f>
        <v>72083.3333333333</v>
      </c>
      <c r="BL55" s="15" t="n">
        <f aca="false">BJ55-BK55</f>
        <v>55416.6666666666</v>
      </c>
      <c r="BM55" s="15" t="n">
        <f aca="false">(BM54)+Y55</f>
        <v>-2139199.79446132</v>
      </c>
      <c r="BN55" s="15" t="n">
        <f aca="false">(BN54)+AW55+AX55+AZ55</f>
        <v>1330000</v>
      </c>
      <c r="BO55" s="15" t="n">
        <f aca="false">(BO54)+AY55</f>
        <v>0</v>
      </c>
      <c r="BP55" s="15" t="n">
        <f aca="false">0</f>
        <v>0</v>
      </c>
      <c r="BQ55" s="15" t="n">
        <f aca="false">BN55+BM55-BO55</f>
        <v>-809199.794461319</v>
      </c>
      <c r="BR55" s="15" t="n">
        <f aca="false">BH55+AD55+BL55+MAX(0,-AM55)+MAX(0,-AR55)+AG55</f>
        <v>-74527.0460813627</v>
      </c>
      <c r="BS55" s="15" t="n">
        <f aca="false">AJ55+AV55+MAX(0,AM55)+MAX(0,AR55)+BC55+BG55+BQ55</f>
        <v>-74527.0460813623</v>
      </c>
      <c r="BT55" s="15" t="n">
        <f aca="false">BR55-BS55</f>
        <v>-3.63797880709171E-010</v>
      </c>
      <c r="BU55" s="15" t="n">
        <f aca="false">BH55-(BD55+BE55-BF55-AY55)</f>
        <v>0</v>
      </c>
      <c r="BV55" s="15" t="n">
        <f aca="false">MIN(Piano_SS!$C$6,(BV54)+IF(AND(Motore_Operativo!C55&gt;=EDATE(Parametri_v3!$C$24,Ipotesi!C14*12),Motore_Operativo!C55&lt;EDATE(Parametri_v3!$C$24,Parametri_v3!$C$25+Ipotesi!C14*12)),MAX(0,(Motore_Operativo!Y55+Motore_Operativo!X55*Parametri_v3!$C$14)*(1-Parametri_v3!$C$32))*Piano_SS!$D$6,0))</f>
        <v>300000</v>
      </c>
      <c r="BW55" s="15" t="n">
        <f aca="false">MIN(Piano_SS!$C$7,(BW54)+IF(AND(Motore_Operativo!C55&gt;=EDATE(Parametri_v3!$C$24,Ipotesi!C14*12),Motore_Operativo!C55&lt;EDATE(Parametri_v3!$C$24,Parametri_v3!$C$25+Ipotesi!C14*12)),MAX(0,(IF(51-(INT((Ipotesi!$C$91)/30))&lt;1,0,INDEX(Motore_Operativo!$BN$5:$BN$64,MAX(1,51-(INT((Ipotesi!$C$91)/30)))))*(1-(MOD((Ipotesi!$C$91),30)/30))+IF(51-(INT((Ipotesi!$C$91)/30))-1&lt;1,0,INDEX(Motore_Operativo!$BN$5:$BN$64,MAX(1,51-(INT((Ipotesi!$C$91)/30))-1)))*(MOD((Ipotesi!$C$91),30)/30)))*Piano_SS!$D$7,0))</f>
        <v>37208.8229697489</v>
      </c>
      <c r="BX55" s="15" t="n">
        <f aca="false">MIN(Piano_SS!$C$8,(BX54)+IF(AND(Motore_Operativo!C55&gt;=EDATE(Parametri_v3!$C$24,Ipotesi!C14*12),Motore_Operativo!C55&lt;EDATE(Parametri_v3!$C$24,Parametri_v3!$C$25+Ipotesi!C14*12)),MAX(0,Motore_Operativo!CE55)*Piano_SS!$D$8,0))</f>
        <v>50000</v>
      </c>
      <c r="BY55" s="15" t="n">
        <f aca="false">MIN(Piano_SS!$C$9,(BY54)+IF(AND(Motore_Operativo!C55&gt;=EDATE(Parametri_v3!$C$24,Ipotesi!C14*12),Motore_Operativo!C55&lt;EDATE(Parametri_v3!$C$24,Parametri_v3!$C$25+Ipotesi!C14*12)),MAX(0,((IF(51-(INT((Ipotesi!$C$91)/30))&lt;1,0,INDEX(Motore_Operativo!$BQ$5:$BQ$64,MAX(1,51-(INT((Ipotesi!$C$91)/30)))))*(1-(MOD((Ipotesi!$C$91),30)/30))+IF(51-(INT((Ipotesi!$C$91)/30))-1&lt;1,0,INDEX(Motore_Operativo!$BQ$5:$BQ$64,MAX(1,51-(INT((Ipotesi!$C$91)/30))-1)))*(MOD((Ipotesi!$C$91),30)/30))+(IF(51-(INT((Ipotesi!$C$91)/30))&lt;1,0,INDEX(Motore_Operativo!$BR$5:$BR$64,MAX(1,51-(INT((Ipotesi!$C$91)/30)))))*(1-(MOD((Ipotesi!$C$91),30)/30))+IF(51-(INT((Ipotesi!$C$91)/30))-1&lt;1,0,INDEX(Motore_Operativo!$BR$5:$BR$64,MAX(1,51-(INT((Ipotesi!$C$91)/30))-1)))*(MOD((Ipotesi!$C$91),30)/30))))*Piano_SS!$D$9,0))</f>
        <v>40000</v>
      </c>
      <c r="BZ55" s="15" t="n">
        <f aca="false">MIN(Piano_SS!$C$10,(BZ54)+IF(AND(Motore_Operativo!C55&gt;=EDATE(Parametri_v3!$C$24,Ipotesi!C14*12),Motore_Operativo!C55&lt;EDATE(Parametri_v3!$C$24,Parametri_v3!$C$25+Ipotesi!C14*12)),MAX(0,(IF(51-(INT((Ipotesi!$C$91)/30))&lt;1,0,INDEX(Motore_Operativo!$BO$5:$BO$64,MAX(1,51-(INT((Ipotesi!$C$91)/30)))))*(1-(MOD((Ipotesi!$C$91),30)/30))+IF(51-(INT((Ipotesi!$C$91)/30))-1&lt;1,0,INDEX(Motore_Operativo!$BO$5:$BO$64,MAX(1,51-(INT((Ipotesi!$C$91)/30))-1)))*(MOD((Ipotesi!$C$91),30)/30)))*Piano_SS!$D$10,0))</f>
        <v>30000</v>
      </c>
      <c r="CA55" s="15" t="n">
        <f aca="false">SUM(BV55:BZ55)</f>
        <v>457208.822969749</v>
      </c>
      <c r="CB55" s="15" t="n">
        <f aca="false">BV55*(1-Piano_SS!$E$6)+BW55*(1-Piano_SS!$E$7)+BX55*(1-Piano_SS!$E$8)+BY55*(1-Piano_SS!$E$9)+BZ55*(1-Piano_SS!$E$10)</f>
        <v>427208.822969749</v>
      </c>
      <c r="CC55" s="15" t="n">
        <f aca="false">(CC54)+BA55</f>
        <v>365767.058375799</v>
      </c>
      <c r="CD55" s="15" t="n">
        <f aca="false">IF(CA55=0,0,CC55*CB55/CA55*Ipotesi!$C$103*Parametri_v3!$C$64)</f>
        <v>102530.11751274</v>
      </c>
      <c r="CE55" s="18" t="n">
        <f aca="false">IF(BA55&gt;0,Motore_Operativo!C55,(CE54))</f>
        <v>47270</v>
      </c>
      <c r="CF55" s="18" t="n">
        <f aca="false">IF(AND(CC55&gt;0,OR(CC55&gt;=CG55-0.01,Motore_Operativo!C55&gt;=EDATE(MAX(Finanziamenti!$D$15:$D$17),Ipotesi!C14*12))),CE55,0)</f>
        <v>47270</v>
      </c>
      <c r="CG55" s="15" t="n">
        <f aca="false">IF(AND(1&lt;&gt;6,1&lt;&gt;9,Finanziamenti!$F$11=1,OR(Parametri_v3!$C$6=0,Finanziamenti!$E$11=1)),MIN(Finanziamenti!$C$11,Piano_SS!$C$12*Ipotesi!$C$102),0)</f>
        <v>400000</v>
      </c>
      <c r="CH55" s="15" t="n">
        <f aca="false">IF(AND(AND(1&lt;&gt;8,1&lt;&gt;9,Finanziamenti!$F$10=1,OR(Parametri_v3!$C$6=0,Finanziamenti!$E$10=1)),Motore_Operativo!C55&gt;=Finanziamenti!$D$10,Motore_Operativo!C55&lt;Parametri_v3!$C$63),Finanziamenti!$C$10,0)</f>
        <v>150000</v>
      </c>
    </row>
    <row r="56" customFormat="false" ht="18" hidden="false" customHeight="true" outlineLevel="0" collapsed="false">
      <c r="A56" s="68" t="n">
        <f aca="false">1</f>
        <v>1</v>
      </c>
      <c r="B56" s="68" t="n">
        <f aca="false">52</f>
        <v>52</v>
      </c>
      <c r="C56" s="18" t="n">
        <f aca="false">Motore_Operativo!C56</f>
        <v>47939</v>
      </c>
      <c r="D56" s="68" t="n">
        <f aca="false">Motore_Operativo!D56</f>
        <v>2031</v>
      </c>
      <c r="E56" s="68" t="n">
        <f aca="false">Motore_Operativo!E56</f>
        <v>4</v>
      </c>
      <c r="F56" s="15" t="n">
        <f aca="false">Motore_Operativo!AQ56+Motore_Operativo!BF56</f>
        <v>139598.757317374</v>
      </c>
      <c r="G56" s="15" t="n">
        <f aca="false">Motore_Operativo!BH56</f>
        <v>8696.875</v>
      </c>
      <c r="H56" s="15" t="n">
        <f aca="false">Motore_Operativo!BI56</f>
        <v>148295.632317374</v>
      </c>
      <c r="I56" s="15" t="n">
        <f aca="false">Motore_Operativo!CA56</f>
        <v>193912.893928599</v>
      </c>
      <c r="J56" s="15" t="n">
        <f aca="false">Motore_Operativo!CC56</f>
        <v>-45617.2616112254</v>
      </c>
      <c r="K56" s="15" t="n">
        <f aca="false">Motore_Operativo!CE56</f>
        <v>4166.66666666667</v>
      </c>
      <c r="L56" s="15" t="n">
        <f aca="false">SUM(INDEX($K$5:$K$64,MAX(1,52-Parametri_v3!$C$59+1)):K56)/Parametri_v3!$C$59</f>
        <v>2870.37037037037</v>
      </c>
      <c r="M56" s="15" t="n">
        <f aca="false">J56-L56</f>
        <v>-48487.6319815958</v>
      </c>
      <c r="N56" s="15" t="n">
        <f aca="false">CD56-(CD55)</f>
        <v>0</v>
      </c>
      <c r="O56" s="15" t="n">
        <f aca="false">(BG55)*Ipotesi!$C$110/12+CH56*Parametri_v3!$C$39/12</f>
        <v>750</v>
      </c>
      <c r="P56" s="15" t="n">
        <f aca="false">M56+N56-O56</f>
        <v>-49237.6319815958</v>
      </c>
      <c r="Q56" s="15" t="n">
        <f aca="false">SUM(P53:P56)+Parametri_v3!$C$54*4/12</f>
        <v>-208937.297769775</v>
      </c>
      <c r="R56" s="15" t="n">
        <f aca="false">Z52</f>
        <v>1327622.74335066</v>
      </c>
      <c r="S56" s="15" t="n">
        <f aca="false">AA52</f>
        <v>651877.385322478</v>
      </c>
      <c r="T56" s="15" t="n">
        <f aca="false">MIN(R56,MAX(0,Q56))</f>
        <v>0</v>
      </c>
      <c r="U56" s="15" t="n">
        <f aca="false">MIN(S56,MAX(0,Q56-T56)*Parametri_v3!$C$42)</f>
        <v>0</v>
      </c>
      <c r="V56" s="15" t="n">
        <f aca="false">MAX(0,Q56-T56-U56)*Ipotesi!$C$92</f>
        <v>0</v>
      </c>
      <c r="W56" s="15" t="n">
        <f aca="false">MAX(0,SUM(M53:M56)+Parametri_v3!$C$55*4/12)*Ipotesi!$C$93</f>
        <v>0</v>
      </c>
      <c r="X56" s="15" t="n">
        <f aca="false">V56+W56-(V55+W55)</f>
        <v>0</v>
      </c>
      <c r="Y56" s="15" t="n">
        <f aca="false">P56-X56</f>
        <v>-49237.6319815958</v>
      </c>
      <c r="Z56" s="15" t="n">
        <f aca="false">R56-T56+IF(AND(Parametri_v3!$C$40=1,D56-YEAR(Parametri_v3!$C$50)&lt;Parametri_v3!$C$41),MAX(0,-Q56),0)</f>
        <v>1327622.74335066</v>
      </c>
      <c r="AA56" s="15" t="n">
        <f aca="false">S56-U56+IF(AND(Parametri_v3!$C$40=1,D56-YEAR(Parametri_v3!$C$50)&lt;Parametri_v3!$C$41),0,MAX(0,-Q56))</f>
        <v>860814.683092253</v>
      </c>
      <c r="AB56" s="15" t="n">
        <f aca="false">F56*(1+Parametri_v3!$C$26)</f>
        <v>170310.483927196</v>
      </c>
      <c r="AC56" s="15" t="n">
        <f aca="false">(IF(52-(INT((Motore_Operativo!L56)/30))&lt;1,0,INDEX(Motore_Startup!$AB$5:$AB$64,MAX(1,52-(INT((Motore_Operativo!L56)/30)))))*(1-(MOD((Motore_Operativo!L56),30)/30))+IF(52-(INT((Motore_Operativo!L56)/30))-1&lt;1,0,INDEX(Motore_Startup!$AB$5:$AB$64,MAX(1,52-(INT((Motore_Operativo!L56)/30))-1)))*(MOD((Motore_Operativo!L56),30)/30))</f>
        <v>161766.60808317</v>
      </c>
      <c r="AD56" s="15" t="n">
        <f aca="false">(AD55)+AB56-AC56</f>
        <v>501978.269113928</v>
      </c>
      <c r="AE56" s="15" t="n">
        <f aca="false">Motore_Operativo!BH56*(1+Parametri_v3!$C$26)</f>
        <v>10610.1875</v>
      </c>
      <c r="AF56" s="15" t="n">
        <f aca="false">(IF(52-(INT((Parametri_v3!$C$29)/30))&lt;1,0,INDEX(Motore_Operativo!$BH$5:$BH$64,MAX(1,52-(INT((Parametri_v3!$C$29)/30)))))*(1-(MOD((Parametri_v3!$C$29),30)/30))+IF(52-(INT((Parametri_v3!$C$29)/30))-1&lt;1,0,INDEX(Motore_Operativo!$BH$5:$BH$64,MAX(1,52-(INT((Parametri_v3!$C$29)/30))-1)))*(MOD((Parametri_v3!$C$29),30)/30))*(1+Parametri_v3!$C$26)</f>
        <v>10610.1875</v>
      </c>
      <c r="AG56" s="15" t="n">
        <f aca="false">(AG55)+AE56-AF56</f>
        <v>10610.1875</v>
      </c>
      <c r="AH56" s="15" t="n">
        <f aca="false">(Motore_Operativo!CJ56)*(1+Parametri_v3!$C$27*Parametri_v3!$C$26)</f>
        <v>88355.0163764178</v>
      </c>
      <c r="AI56" s="15" t="n">
        <f aca="false">(IF(52-(INT((Ipotesi!$C$91)/30))&lt;1,0,INDEX(Motore_Startup!$AH$5:$AH$64,MAX(1,52-(INT((Ipotesi!$C$91)/30)))))*(1-(MOD((Ipotesi!$C$91),30)/30))+IF(52-(INT((Ipotesi!$C$91)/30))-1&lt;1,0,INDEX(Motore_Startup!$AH$5:$AH$64,MAX(1,52-(INT((Ipotesi!$C$91)/30))-1)))*(MOD((Ipotesi!$C$91),30)/30))</f>
        <v>87561.6527986706</v>
      </c>
      <c r="AJ56" s="15" t="n">
        <f aca="false">(AJ55)+AH56-AI56</f>
        <v>176283.855432459</v>
      </c>
      <c r="AK56" s="15" t="n">
        <f aca="false">(F56+ Motore_Operativo!BH56-(Motore_Operativo!CJ56)*Parametri_v3!$C$27-Motore_Operativo!CE56)*Parametri_v3!$C$26</f>
        <v>17788.9216745033</v>
      </c>
      <c r="AL56" s="15" t="n">
        <f aca="false">MAX(0,(AM55))</f>
        <v>17291.860125367</v>
      </c>
      <c r="AM56" s="15" t="n">
        <f aca="false">(AM55)+AK56-AL56</f>
        <v>17788.9216745034</v>
      </c>
      <c r="AN56" s="15" t="n">
        <f aca="false">SUM(X41:X52)</f>
        <v>0</v>
      </c>
      <c r="AO56" s="15" t="n">
        <f aca="false">SUM(AP41:AP52)</f>
        <v>0</v>
      </c>
      <c r="AP56" s="15" t="n">
        <f aca="false">MAX(0,AN56)*IF(4=Parametri_v3!$C$43,Parametri_v3!$C$45,IF(4=Parametri_v3!$C$44,1-Parametri_v3!$C$45,0))</f>
        <v>0</v>
      </c>
      <c r="AQ56" s="15" t="n">
        <f aca="false">MAX(0,AP56+IF(4=Parametri_v3!$C$43,MAX(0,AN56-AO56),0)-MAX(0,-(AR55)))</f>
        <v>0</v>
      </c>
      <c r="AR56" s="15" t="n">
        <f aca="false">(AR55)+X56-AQ56</f>
        <v>0</v>
      </c>
      <c r="AS56" s="15" t="n">
        <f aca="false">Motore_Operativo!AB56-AT56+AU56</f>
        <v>113503.461904792</v>
      </c>
      <c r="AT56" s="15" t="n">
        <f aca="false">Motore_Operativo!CH56</f>
        <v>5973.86641604167</v>
      </c>
      <c r="AU56" s="15" t="n">
        <f aca="false">MIN(MAX(0,(AV55)+AT56),Parametri_v3!$C$60/12)</f>
        <v>0</v>
      </c>
      <c r="AV56" s="15" t="n">
        <f aca="false">(AV55)+AT56-AU56</f>
        <v>160951.016039167</v>
      </c>
      <c r="AW56" s="15" t="n">
        <f aca="false">IF(AND(Motore_Operativo!C56=Finanziamenti!$D$6,Finanziamenti!$F$6=1),Finanziamenti!$C$6,0)</f>
        <v>0</v>
      </c>
      <c r="AX56" s="15" t="n">
        <f aca="false">IF(AND(1&lt;&gt;7,1&lt;&gt;9,Finanziamenti!$F$8=1,OR(Parametri_v3!$C$6=0,Finanziamenti!$E$8=1),Motore_Operativo!C56=EDATE(Finanziamenti!$D$8,Ipotesi!C15*12)),Finanziamenti!$C$8*1,0)+IF(AND(1&lt;&gt;7,1&lt;&gt;9,Finanziamenti!$F$9=1,OR(Parametri_v3!$C$6=0,Finanziamenti!$E$9=1),Motore_Operativo!C56=EDATE(Finanziamenti!$D$9,Ipotesi!C15*12)),Finanziamenti!$C$9*Ipotesi!C16,0)</f>
        <v>0</v>
      </c>
      <c r="AY56" s="15" t="n">
        <f aca="false">0</f>
        <v>0</v>
      </c>
      <c r="AZ56" s="15" t="n">
        <f aca="false">Motore_Advisory!AY56*(1-Ipotesi!$C$95)*Ipotesi!$C$96</f>
        <v>0</v>
      </c>
      <c r="BA56" s="15" t="n">
        <f aca="false">MAX(0,MIN(CG56*MIN(1,IF(Motore_Operativo!C56&gt;=EDATE(Finanziamenti!$D$15,Ipotesi!C14*12),Finanziamenti!$C$15,0)+IF(Motore_Operativo!C56&gt;=EDATE(Finanziamenti!$D$16,Ipotesi!C14*12),Finanziamenti!$C$16,0)+IF(Motore_Operativo!C56&gt;=EDATE(Finanziamenti!$D$17,Ipotesi!C14*12),Finanziamenti!$C$17,0)),CA56*Ipotesi!$C$102)-(CC55))</f>
        <v>0</v>
      </c>
      <c r="BB56" s="15" t="n">
        <f aca="false">IF(AND(CF56&gt;0,Motore_Operativo!C56&gt;=IF(CF56=0,0,EDATE(CF56,Parametri_v3!$C$37)),MOD(((D56-YEAR(IF(CF56=0,0,EDATE(CF56,Parametri_v3!$C$37))))*12+E56-MONTH(IF(CF56=0,0,EDATE(CF56,Parametri_v3!$C$37)))),Parametri_v3!$C$38)=0),MIN(MAX(0,(BC55)+BA56-N56),(CC56-CD56)/(Ipotesi!$C$108*12/Parametri_v3!$C$38)),0)</f>
        <v>0</v>
      </c>
      <c r="BC56" s="15" t="n">
        <f aca="false">(BC55)+BA56-N56-BB56</f>
        <v>236913.246776753</v>
      </c>
      <c r="BD56" s="15" t="n">
        <f aca="false">(BH55)+AC56+AF56-AI56-AS56-K56*(1+Parametri_v3!$C$26)-AL56-AQ56-O56+AW56+AX56+AZ56+BA56-BB56</f>
        <v>-685801.806096924</v>
      </c>
      <c r="BE56" s="15" t="n">
        <f aca="false">MAX(0,MIN(MAX(0,CH56-(BG55)),Parametri_v3!$C$30-BD56))</f>
        <v>0</v>
      </c>
      <c r="BF56" s="15" t="n">
        <f aca="false">IF(Motore_Operativo!C56&gt;=Parametri_v3!$C$63,(BG55),MIN((BG55),MAX(0,BD56-Parametri_v3!$C$30)))</f>
        <v>0</v>
      </c>
      <c r="BG56" s="15" t="n">
        <f aca="false">(BG55)+BE56-BF56</f>
        <v>150000</v>
      </c>
      <c r="BH56" s="15" t="n">
        <f aca="false">BD56+BE56-BF56-AY56</f>
        <v>-685801.806096924</v>
      </c>
      <c r="BI56" s="15" t="n">
        <f aca="false">MAX(0,Parametri_v3!$C$30-BH56)</f>
        <v>710801.806096924</v>
      </c>
      <c r="BJ56" s="15" t="n">
        <f aca="false">(BJ55)+K56</f>
        <v>131666.666666667</v>
      </c>
      <c r="BK56" s="15" t="n">
        <f aca="false">(BK55)+L56</f>
        <v>74953.7037037037</v>
      </c>
      <c r="BL56" s="15" t="n">
        <f aca="false">BJ56-BK56</f>
        <v>56712.9629629629</v>
      </c>
      <c r="BM56" s="15" t="n">
        <f aca="false">(BM55)+Y56</f>
        <v>-2188437.42644292</v>
      </c>
      <c r="BN56" s="15" t="n">
        <f aca="false">(BN55)+AW56+AX56+AZ56</f>
        <v>1330000</v>
      </c>
      <c r="BO56" s="15" t="n">
        <f aca="false">(BO55)+AY56</f>
        <v>0</v>
      </c>
      <c r="BP56" s="15" t="n">
        <f aca="false">0</f>
        <v>0</v>
      </c>
      <c r="BQ56" s="15" t="n">
        <f aca="false">BN56+BM56-BO56</f>
        <v>-858437.426442915</v>
      </c>
      <c r="BR56" s="15" t="n">
        <f aca="false">BH56+AD56+BL56+MAX(0,-AM56)+MAX(0,-AR56)+AG56</f>
        <v>-116500.386520033</v>
      </c>
      <c r="BS56" s="15" t="n">
        <f aca="false">AJ56+AV56+MAX(0,AM56)+MAX(0,AR56)+BC56+BG56+BQ56</f>
        <v>-116500.386520033</v>
      </c>
      <c r="BT56" s="15" t="n">
        <f aca="false">BR56-BS56</f>
        <v>0</v>
      </c>
      <c r="BU56" s="15" t="n">
        <f aca="false">BH56-(BD56+BE56-BF56-AY56)</f>
        <v>0</v>
      </c>
      <c r="BV56" s="15" t="n">
        <f aca="false">MIN(Piano_SS!$C$6,(BV55)+IF(AND(Motore_Operativo!C56&gt;=EDATE(Parametri_v3!$C$24,Ipotesi!C14*12),Motore_Operativo!C56&lt;EDATE(Parametri_v3!$C$24,Parametri_v3!$C$25+Ipotesi!C14*12)),MAX(0,(Motore_Operativo!Y56+Motore_Operativo!X56*Parametri_v3!$C$14)*(1-Parametri_v3!$C$32))*Piano_SS!$D$6,0))</f>
        <v>300000</v>
      </c>
      <c r="BW56" s="15" t="n">
        <f aca="false">MIN(Piano_SS!$C$7,(BW55)+IF(AND(Motore_Operativo!C56&gt;=EDATE(Parametri_v3!$C$24,Ipotesi!C14*12),Motore_Operativo!C56&lt;EDATE(Parametri_v3!$C$24,Parametri_v3!$C$25+Ipotesi!C14*12)),MAX(0,(IF(52-(INT((Ipotesi!$C$91)/30))&lt;1,0,INDEX(Motore_Operativo!$BN$5:$BN$64,MAX(1,52-(INT((Ipotesi!$C$91)/30)))))*(1-(MOD((Ipotesi!$C$91),30)/30))+IF(52-(INT((Ipotesi!$C$91)/30))-1&lt;1,0,INDEX(Motore_Operativo!$BN$5:$BN$64,MAX(1,52-(INT((Ipotesi!$C$91)/30))-1)))*(MOD((Ipotesi!$C$91),30)/30)))*Piano_SS!$D$7,0))</f>
        <v>37208.8229697489</v>
      </c>
      <c r="BX56" s="15" t="n">
        <f aca="false">MIN(Piano_SS!$C$8,(BX55)+IF(AND(Motore_Operativo!C56&gt;=EDATE(Parametri_v3!$C$24,Ipotesi!C14*12),Motore_Operativo!C56&lt;EDATE(Parametri_v3!$C$24,Parametri_v3!$C$25+Ipotesi!C14*12)),MAX(0,Motore_Operativo!CE56)*Piano_SS!$D$8,0))</f>
        <v>50000</v>
      </c>
      <c r="BY56" s="15" t="n">
        <f aca="false">MIN(Piano_SS!$C$9,(BY55)+IF(AND(Motore_Operativo!C56&gt;=EDATE(Parametri_v3!$C$24,Ipotesi!C14*12),Motore_Operativo!C56&lt;EDATE(Parametri_v3!$C$24,Parametri_v3!$C$25+Ipotesi!C14*12)),MAX(0,((IF(52-(INT((Ipotesi!$C$91)/30))&lt;1,0,INDEX(Motore_Operativo!$BQ$5:$BQ$64,MAX(1,52-(INT((Ipotesi!$C$91)/30)))))*(1-(MOD((Ipotesi!$C$91),30)/30))+IF(52-(INT((Ipotesi!$C$91)/30))-1&lt;1,0,INDEX(Motore_Operativo!$BQ$5:$BQ$64,MAX(1,52-(INT((Ipotesi!$C$91)/30))-1)))*(MOD((Ipotesi!$C$91),30)/30))+(IF(52-(INT((Ipotesi!$C$91)/30))&lt;1,0,INDEX(Motore_Operativo!$BR$5:$BR$64,MAX(1,52-(INT((Ipotesi!$C$91)/30)))))*(1-(MOD((Ipotesi!$C$91),30)/30))+IF(52-(INT((Ipotesi!$C$91)/30))-1&lt;1,0,INDEX(Motore_Operativo!$BR$5:$BR$64,MAX(1,52-(INT((Ipotesi!$C$91)/30))-1)))*(MOD((Ipotesi!$C$91),30)/30))))*Piano_SS!$D$9,0))</f>
        <v>40000</v>
      </c>
      <c r="BZ56" s="15" t="n">
        <f aca="false">MIN(Piano_SS!$C$10,(BZ55)+IF(AND(Motore_Operativo!C56&gt;=EDATE(Parametri_v3!$C$24,Ipotesi!C14*12),Motore_Operativo!C56&lt;EDATE(Parametri_v3!$C$24,Parametri_v3!$C$25+Ipotesi!C14*12)),MAX(0,(IF(52-(INT((Ipotesi!$C$91)/30))&lt;1,0,INDEX(Motore_Operativo!$BO$5:$BO$64,MAX(1,52-(INT((Ipotesi!$C$91)/30)))))*(1-(MOD((Ipotesi!$C$91),30)/30))+IF(52-(INT((Ipotesi!$C$91)/30))-1&lt;1,0,INDEX(Motore_Operativo!$BO$5:$BO$64,MAX(1,52-(INT((Ipotesi!$C$91)/30))-1)))*(MOD((Ipotesi!$C$91),30)/30)))*Piano_SS!$D$10,0))</f>
        <v>30000</v>
      </c>
      <c r="CA56" s="15" t="n">
        <f aca="false">SUM(BV56:BZ56)</f>
        <v>457208.822969749</v>
      </c>
      <c r="CB56" s="15" t="n">
        <f aca="false">BV56*(1-Piano_SS!$E$6)+BW56*(1-Piano_SS!$E$7)+BX56*(1-Piano_SS!$E$8)+BY56*(1-Piano_SS!$E$9)+BZ56*(1-Piano_SS!$E$10)</f>
        <v>427208.822969749</v>
      </c>
      <c r="CC56" s="15" t="n">
        <f aca="false">(CC55)+BA56</f>
        <v>365767.058375799</v>
      </c>
      <c r="CD56" s="15" t="n">
        <f aca="false">IF(CA56=0,0,CC56*CB56/CA56*Ipotesi!$C$103*Parametri_v3!$C$64)</f>
        <v>102530.11751274</v>
      </c>
      <c r="CE56" s="18" t="n">
        <f aca="false">IF(BA56&gt;0,Motore_Operativo!C56,(CE55))</f>
        <v>47270</v>
      </c>
      <c r="CF56" s="18" t="n">
        <f aca="false">IF(AND(CC56&gt;0,OR(CC56&gt;=CG56-0.01,Motore_Operativo!C56&gt;=EDATE(MAX(Finanziamenti!$D$15:$D$17),Ipotesi!C14*12))),CE56,0)</f>
        <v>47270</v>
      </c>
      <c r="CG56" s="15" t="n">
        <f aca="false">IF(AND(1&lt;&gt;6,1&lt;&gt;9,Finanziamenti!$F$11=1,OR(Parametri_v3!$C$6=0,Finanziamenti!$E$11=1)),MIN(Finanziamenti!$C$11,Piano_SS!$C$12*Ipotesi!$C$102),0)</f>
        <v>400000</v>
      </c>
      <c r="CH56" s="15" t="n">
        <f aca="false">IF(AND(AND(1&lt;&gt;8,1&lt;&gt;9,Finanziamenti!$F$10=1,OR(Parametri_v3!$C$6=0,Finanziamenti!$E$10=1)),Motore_Operativo!C56&gt;=Finanziamenti!$D$10,Motore_Operativo!C56&lt;Parametri_v3!$C$63),Finanziamenti!$C$10,0)</f>
        <v>150000</v>
      </c>
    </row>
    <row r="57" customFormat="false" ht="18" hidden="false" customHeight="true" outlineLevel="0" collapsed="false">
      <c r="A57" s="68" t="n">
        <f aca="false">1</f>
        <v>1</v>
      </c>
      <c r="B57" s="68" t="n">
        <f aca="false">53</f>
        <v>53</v>
      </c>
      <c r="C57" s="18" t="n">
        <f aca="false">Motore_Operativo!C57</f>
        <v>47969</v>
      </c>
      <c r="D57" s="68" t="n">
        <f aca="false">Motore_Operativo!D57</f>
        <v>2031</v>
      </c>
      <c r="E57" s="68" t="n">
        <f aca="false">Motore_Operativo!E57</f>
        <v>5</v>
      </c>
      <c r="F57" s="15" t="n">
        <f aca="false">Motore_Operativo!AQ57+Motore_Operativo!BF57</f>
        <v>142515.189538227</v>
      </c>
      <c r="G57" s="15" t="n">
        <f aca="false">Motore_Operativo!BH57</f>
        <v>8696.875</v>
      </c>
      <c r="H57" s="15" t="n">
        <f aca="false">Motore_Operativo!BI57</f>
        <v>151212.064538227</v>
      </c>
      <c r="I57" s="15" t="n">
        <f aca="false">Motore_Operativo!CA57</f>
        <v>194321.194439518</v>
      </c>
      <c r="J57" s="15" t="n">
        <f aca="false">Motore_Operativo!CC57</f>
        <v>-43109.1299012916</v>
      </c>
      <c r="K57" s="15" t="n">
        <f aca="false">Motore_Operativo!CE57</f>
        <v>4166.66666666667</v>
      </c>
      <c r="L57" s="15" t="n">
        <f aca="false">SUM(INDEX($K$5:$K$64,MAX(1,53-Parametri_v3!$C$59+1)):K57)/Parametri_v3!$C$59</f>
        <v>2928.24074074074</v>
      </c>
      <c r="M57" s="15" t="n">
        <f aca="false">J57-L57</f>
        <v>-46037.3706420324</v>
      </c>
      <c r="N57" s="15" t="n">
        <f aca="false">CD57-(CD56)</f>
        <v>0</v>
      </c>
      <c r="O57" s="15" t="n">
        <f aca="false">(BG56)*Ipotesi!$C$110/12+CH57*Parametri_v3!$C$39/12</f>
        <v>750</v>
      </c>
      <c r="P57" s="15" t="n">
        <f aca="false">M57+N57-O57</f>
        <v>-46787.3706420324</v>
      </c>
      <c r="Q57" s="15" t="n">
        <f aca="false">SUM(P53:P57)+Parametri_v3!$C$54*5/12</f>
        <v>-255724.668411808</v>
      </c>
      <c r="R57" s="15" t="n">
        <f aca="false">Z52</f>
        <v>1327622.74335066</v>
      </c>
      <c r="S57" s="15" t="n">
        <f aca="false">AA52</f>
        <v>651877.385322478</v>
      </c>
      <c r="T57" s="15" t="n">
        <f aca="false">MIN(R57,MAX(0,Q57))</f>
        <v>0</v>
      </c>
      <c r="U57" s="15" t="n">
        <f aca="false">MIN(S57,MAX(0,Q57-T57)*Parametri_v3!$C$42)</f>
        <v>0</v>
      </c>
      <c r="V57" s="15" t="n">
        <f aca="false">MAX(0,Q57-T57-U57)*Ipotesi!$C$92</f>
        <v>0</v>
      </c>
      <c r="W57" s="15" t="n">
        <f aca="false">MAX(0,SUM(M53:M57)+Parametri_v3!$C$55*5/12)*Ipotesi!$C$93</f>
        <v>0</v>
      </c>
      <c r="X57" s="15" t="n">
        <f aca="false">V57+W57-(V56+W56)</f>
        <v>0</v>
      </c>
      <c r="Y57" s="15" t="n">
        <f aca="false">P57-X57</f>
        <v>-46787.3706420324</v>
      </c>
      <c r="Z57" s="15" t="n">
        <f aca="false">R57-T57+IF(AND(Parametri_v3!$C$40=1,D57-YEAR(Parametri_v3!$C$50)&lt;Parametri_v3!$C$41),MAX(0,-Q57),0)</f>
        <v>1327622.74335066</v>
      </c>
      <c r="AA57" s="15" t="n">
        <f aca="false">S57-U57+IF(AND(Parametri_v3!$C$40=1,D57-YEAR(Parametri_v3!$C$50)&lt;Parametri_v3!$C$41),0,MAX(0,-Q57))</f>
        <v>907602.053734285</v>
      </c>
      <c r="AB57" s="15" t="n">
        <f aca="false">F57*(1+Parametri_v3!$C$26)</f>
        <v>173868.531236637</v>
      </c>
      <c r="AC57" s="15" t="n">
        <f aca="false">(IF(53-(INT((Motore_Operativo!L57)/30))&lt;1,0,INDEX(Motore_Startup!$AB$5:$AB$64,MAX(1,53-(INT((Motore_Operativo!L57)/30)))))*(1-(MOD((Motore_Operativo!L57),30)/30))+IF(53-(INT((Motore_Operativo!L57)/30))-1&lt;1,0,INDEX(Motore_Startup!$AB$5:$AB$64,MAX(1,53-(INT((Motore_Operativo!L57)/30))-1)))*(MOD((Motore_Operativo!L57),30)/30))</f>
        <v>164486.055206221</v>
      </c>
      <c r="AD57" s="15" t="n">
        <f aca="false">(AD56)+AB57-AC57</f>
        <v>511360.745144344</v>
      </c>
      <c r="AE57" s="15" t="n">
        <f aca="false">Motore_Operativo!BH57*(1+Parametri_v3!$C$26)</f>
        <v>10610.1875</v>
      </c>
      <c r="AF57" s="15" t="n">
        <f aca="false">(IF(53-(INT((Parametri_v3!$C$29)/30))&lt;1,0,INDEX(Motore_Operativo!$BH$5:$BH$64,MAX(1,53-(INT((Parametri_v3!$C$29)/30)))))*(1-(MOD((Parametri_v3!$C$29),30)/30))+IF(53-(INT((Parametri_v3!$C$29)/30))-1&lt;1,0,INDEX(Motore_Operativo!$BH$5:$BH$64,MAX(1,53-(INT((Parametri_v3!$C$29)/30))-1)))*(MOD((Parametri_v3!$C$29),30)/30))*(1+Parametri_v3!$C$26)</f>
        <v>10610.1875</v>
      </c>
      <c r="AG57" s="15" t="n">
        <f aca="false">(AG56)+AE57-AF57</f>
        <v>10610.1875</v>
      </c>
      <c r="AH57" s="15" t="n">
        <f aca="false">(Motore_Operativo!CJ57)*(1+Parametri_v3!$C$27*Parametri_v3!$C$26)</f>
        <v>88839.6690828792</v>
      </c>
      <c r="AI57" s="15" t="n">
        <f aca="false">(IF(53-(INT((Ipotesi!$C$91)/30))&lt;1,0,INDEX(Motore_Startup!$AH$5:$AH$64,MAX(1,53-(INT((Ipotesi!$C$91)/30)))))*(1-(MOD((Ipotesi!$C$91),30)/30))+IF(53-(INT((Ipotesi!$C$91)/30))-1&lt;1,0,INDEX(Motore_Startup!$AH$5:$AH$64,MAX(1,53-(INT((Ipotesi!$C$91)/30))-1)))*(MOD((Ipotesi!$C$91),30)/30))</f>
        <v>87928.8390560407</v>
      </c>
      <c r="AJ57" s="15" t="n">
        <f aca="false">(AJ56)+AH57-AI57</f>
        <v>177194.685459297</v>
      </c>
      <c r="AK57" s="15" t="n">
        <f aca="false">(F57+ Motore_Operativo!BH57-(Motore_Operativo!CJ57)*Parametri_v3!$C$27-Motore_Operativo!CE57)*Parametri_v3!$C$26</f>
        <v>18354.1845675491</v>
      </c>
      <c r="AL57" s="15" t="n">
        <f aca="false">MAX(0,(AM56))</f>
        <v>17788.9216745034</v>
      </c>
      <c r="AM57" s="15" t="n">
        <f aca="false">(AM56)+AK57-AL57</f>
        <v>18354.1845675491</v>
      </c>
      <c r="AN57" s="15" t="n">
        <f aca="false">SUM(X41:X52)</f>
        <v>0</v>
      </c>
      <c r="AO57" s="15" t="n">
        <f aca="false">SUM(AP41:AP52)</f>
        <v>0</v>
      </c>
      <c r="AP57" s="15" t="n">
        <f aca="false">MAX(0,AN57)*IF(5=Parametri_v3!$C$43,Parametri_v3!$C$45,IF(5=Parametri_v3!$C$44,1-Parametri_v3!$C$45,0))</f>
        <v>0</v>
      </c>
      <c r="AQ57" s="15" t="n">
        <f aca="false">MAX(0,AP57+IF(5=Parametri_v3!$C$43,MAX(0,AN57-AO57),0)-MAX(0,-(AR56)))</f>
        <v>0</v>
      </c>
      <c r="AR57" s="15" t="n">
        <f aca="false">(AR56)+X57-AQ57</f>
        <v>0</v>
      </c>
      <c r="AS57" s="15" t="n">
        <f aca="false">Motore_Operativo!AB57-AT57+AU57</f>
        <v>113503.461904792</v>
      </c>
      <c r="AT57" s="15" t="n">
        <f aca="false">Motore_Operativo!CH57</f>
        <v>5973.86641604167</v>
      </c>
      <c r="AU57" s="15" t="n">
        <f aca="false">MIN(MAX(0,(AV56)+AT57),Parametri_v3!$C$60/12)</f>
        <v>0</v>
      </c>
      <c r="AV57" s="15" t="n">
        <f aca="false">(AV56)+AT57-AU57</f>
        <v>166924.882455208</v>
      </c>
      <c r="AW57" s="15" t="n">
        <f aca="false">IF(AND(Motore_Operativo!C57=Finanziamenti!$D$6,Finanziamenti!$F$6=1),Finanziamenti!$C$6,0)</f>
        <v>0</v>
      </c>
      <c r="AX57" s="15" t="n">
        <f aca="false">IF(AND(1&lt;&gt;7,1&lt;&gt;9,Finanziamenti!$F$8=1,OR(Parametri_v3!$C$6=0,Finanziamenti!$E$8=1),Motore_Operativo!C57=EDATE(Finanziamenti!$D$8,Ipotesi!C15*12)),Finanziamenti!$C$8*1,0)+IF(AND(1&lt;&gt;7,1&lt;&gt;9,Finanziamenti!$F$9=1,OR(Parametri_v3!$C$6=0,Finanziamenti!$E$9=1),Motore_Operativo!C57=EDATE(Finanziamenti!$D$9,Ipotesi!C15*12)),Finanziamenti!$C$9*Ipotesi!C16,0)</f>
        <v>0</v>
      </c>
      <c r="AY57" s="15" t="n">
        <f aca="false">0</f>
        <v>0</v>
      </c>
      <c r="AZ57" s="15" t="n">
        <f aca="false">Motore_Advisory!AY57*(1-Ipotesi!$C$95)*Ipotesi!$C$96</f>
        <v>0</v>
      </c>
      <c r="BA57" s="15" t="n">
        <f aca="false">MAX(0,MIN(CG57*MIN(1,IF(Motore_Operativo!C57&gt;=EDATE(Finanziamenti!$D$15,Ipotesi!C14*12),Finanziamenti!$C$15,0)+IF(Motore_Operativo!C57&gt;=EDATE(Finanziamenti!$D$16,Ipotesi!C14*12),Finanziamenti!$C$16,0)+IF(Motore_Operativo!C57&gt;=EDATE(Finanziamenti!$D$17,Ipotesi!C14*12),Finanziamenti!$C$17,0)),CA57*Ipotesi!$C$102)-(CC56))</f>
        <v>0</v>
      </c>
      <c r="BB57" s="15" t="n">
        <f aca="false">IF(AND(CF57&gt;0,Motore_Operativo!C57&gt;=IF(CF57=0,0,EDATE(CF57,Parametri_v3!$C$37)),MOD(((D57-YEAR(IF(CF57=0,0,EDATE(CF57,Parametri_v3!$C$37))))*12+E57-MONTH(IF(CF57=0,0,EDATE(CF57,Parametri_v3!$C$37)))),Parametri_v3!$C$38)=0),MIN(MAX(0,(BC56)+BA57-N57),(CC57-CD57)/(Ipotesi!$C$108*12/Parametri_v3!$C$38)),0)</f>
        <v>0</v>
      </c>
      <c r="BC57" s="15" t="n">
        <f aca="false">(BC56)+BA57-N57-BB57</f>
        <v>236913.246776753</v>
      </c>
      <c r="BD57" s="15" t="n">
        <f aca="false">(BH56)+AC57+AF57-AI57-AS57-K57*(1+Parametri_v3!$C$26)-AL57-AQ57-O57+AW57+AX57+AZ57+BA57-BB57</f>
        <v>-735760.119359372</v>
      </c>
      <c r="BE57" s="15" t="n">
        <f aca="false">MAX(0,MIN(MAX(0,CH57-(BG56)),Parametri_v3!$C$30-BD57))</f>
        <v>0</v>
      </c>
      <c r="BF57" s="15" t="n">
        <f aca="false">IF(Motore_Operativo!C57&gt;=Parametri_v3!$C$63,(BG56),MIN((BG56),MAX(0,BD57-Parametri_v3!$C$30)))</f>
        <v>0</v>
      </c>
      <c r="BG57" s="15" t="n">
        <f aca="false">(BG56)+BE57-BF57</f>
        <v>150000</v>
      </c>
      <c r="BH57" s="15" t="n">
        <f aca="false">BD57+BE57-BF57-AY57</f>
        <v>-735760.119359372</v>
      </c>
      <c r="BI57" s="15" t="n">
        <f aca="false">MAX(0,Parametri_v3!$C$30-BH57)</f>
        <v>760760.119359372</v>
      </c>
      <c r="BJ57" s="15" t="n">
        <f aca="false">(BJ56)+K57</f>
        <v>135833.333333333</v>
      </c>
      <c r="BK57" s="15" t="n">
        <f aca="false">(BK56)+L57</f>
        <v>77881.9444444445</v>
      </c>
      <c r="BL57" s="15" t="n">
        <f aca="false">BJ57-BK57</f>
        <v>57951.3888888888</v>
      </c>
      <c r="BM57" s="15" t="n">
        <f aca="false">(BM56)+Y57</f>
        <v>-2235224.79708495</v>
      </c>
      <c r="BN57" s="15" t="n">
        <f aca="false">(BN56)+AW57+AX57+AZ57</f>
        <v>1330000</v>
      </c>
      <c r="BO57" s="15" t="n">
        <f aca="false">(BO56)+AY57</f>
        <v>0</v>
      </c>
      <c r="BP57" s="15" t="n">
        <f aca="false">0</f>
        <v>0</v>
      </c>
      <c r="BQ57" s="15" t="n">
        <f aca="false">BN57+BM57-BO57</f>
        <v>-905224.797084948</v>
      </c>
      <c r="BR57" s="15" t="n">
        <f aca="false">BH57+AD57+BL57+MAX(0,-AM57)+MAX(0,-AR57)+AG57</f>
        <v>-155837.79782614</v>
      </c>
      <c r="BS57" s="15" t="n">
        <f aca="false">AJ57+AV57+MAX(0,AM57)+MAX(0,AR57)+BC57+BG57+BQ57</f>
        <v>-155837.79782614</v>
      </c>
      <c r="BT57" s="15" t="n">
        <f aca="false">BR57-BS57</f>
        <v>0</v>
      </c>
      <c r="BU57" s="15" t="n">
        <f aca="false">BH57-(BD57+BE57-BF57-AY57)</f>
        <v>0</v>
      </c>
      <c r="BV57" s="15" t="n">
        <f aca="false">MIN(Piano_SS!$C$6,(BV56)+IF(AND(Motore_Operativo!C57&gt;=EDATE(Parametri_v3!$C$24,Ipotesi!C14*12),Motore_Operativo!C57&lt;EDATE(Parametri_v3!$C$24,Parametri_v3!$C$25+Ipotesi!C14*12)),MAX(0,(Motore_Operativo!Y57+Motore_Operativo!X57*Parametri_v3!$C$14)*(1-Parametri_v3!$C$32))*Piano_SS!$D$6,0))</f>
        <v>300000</v>
      </c>
      <c r="BW57" s="15" t="n">
        <f aca="false">MIN(Piano_SS!$C$7,(BW56)+IF(AND(Motore_Operativo!C57&gt;=EDATE(Parametri_v3!$C$24,Ipotesi!C14*12),Motore_Operativo!C57&lt;EDATE(Parametri_v3!$C$24,Parametri_v3!$C$25+Ipotesi!C14*12)),MAX(0,(IF(53-(INT((Ipotesi!$C$91)/30))&lt;1,0,INDEX(Motore_Operativo!$BN$5:$BN$64,MAX(1,53-(INT((Ipotesi!$C$91)/30)))))*(1-(MOD((Ipotesi!$C$91),30)/30))+IF(53-(INT((Ipotesi!$C$91)/30))-1&lt;1,0,INDEX(Motore_Operativo!$BN$5:$BN$64,MAX(1,53-(INT((Ipotesi!$C$91)/30))-1)))*(MOD((Ipotesi!$C$91),30)/30)))*Piano_SS!$D$7,0))</f>
        <v>37208.8229697489</v>
      </c>
      <c r="BX57" s="15" t="n">
        <f aca="false">MIN(Piano_SS!$C$8,(BX56)+IF(AND(Motore_Operativo!C57&gt;=EDATE(Parametri_v3!$C$24,Ipotesi!C14*12),Motore_Operativo!C57&lt;EDATE(Parametri_v3!$C$24,Parametri_v3!$C$25+Ipotesi!C14*12)),MAX(0,Motore_Operativo!CE57)*Piano_SS!$D$8,0))</f>
        <v>50000</v>
      </c>
      <c r="BY57" s="15" t="n">
        <f aca="false">MIN(Piano_SS!$C$9,(BY56)+IF(AND(Motore_Operativo!C57&gt;=EDATE(Parametri_v3!$C$24,Ipotesi!C14*12),Motore_Operativo!C57&lt;EDATE(Parametri_v3!$C$24,Parametri_v3!$C$25+Ipotesi!C14*12)),MAX(0,((IF(53-(INT((Ipotesi!$C$91)/30))&lt;1,0,INDEX(Motore_Operativo!$BQ$5:$BQ$64,MAX(1,53-(INT((Ipotesi!$C$91)/30)))))*(1-(MOD((Ipotesi!$C$91),30)/30))+IF(53-(INT((Ipotesi!$C$91)/30))-1&lt;1,0,INDEX(Motore_Operativo!$BQ$5:$BQ$64,MAX(1,53-(INT((Ipotesi!$C$91)/30))-1)))*(MOD((Ipotesi!$C$91),30)/30))+(IF(53-(INT((Ipotesi!$C$91)/30))&lt;1,0,INDEX(Motore_Operativo!$BR$5:$BR$64,MAX(1,53-(INT((Ipotesi!$C$91)/30)))))*(1-(MOD((Ipotesi!$C$91),30)/30))+IF(53-(INT((Ipotesi!$C$91)/30))-1&lt;1,0,INDEX(Motore_Operativo!$BR$5:$BR$64,MAX(1,53-(INT((Ipotesi!$C$91)/30))-1)))*(MOD((Ipotesi!$C$91),30)/30))))*Piano_SS!$D$9,0))</f>
        <v>40000</v>
      </c>
      <c r="BZ57" s="15" t="n">
        <f aca="false">MIN(Piano_SS!$C$10,(BZ56)+IF(AND(Motore_Operativo!C57&gt;=EDATE(Parametri_v3!$C$24,Ipotesi!C14*12),Motore_Operativo!C57&lt;EDATE(Parametri_v3!$C$24,Parametri_v3!$C$25+Ipotesi!C14*12)),MAX(0,(IF(53-(INT((Ipotesi!$C$91)/30))&lt;1,0,INDEX(Motore_Operativo!$BO$5:$BO$64,MAX(1,53-(INT((Ipotesi!$C$91)/30)))))*(1-(MOD((Ipotesi!$C$91),30)/30))+IF(53-(INT((Ipotesi!$C$91)/30))-1&lt;1,0,INDEX(Motore_Operativo!$BO$5:$BO$64,MAX(1,53-(INT((Ipotesi!$C$91)/30))-1)))*(MOD((Ipotesi!$C$91),30)/30)))*Piano_SS!$D$10,0))</f>
        <v>30000</v>
      </c>
      <c r="CA57" s="15" t="n">
        <f aca="false">SUM(BV57:BZ57)</f>
        <v>457208.822969749</v>
      </c>
      <c r="CB57" s="15" t="n">
        <f aca="false">BV57*(1-Piano_SS!$E$6)+BW57*(1-Piano_SS!$E$7)+BX57*(1-Piano_SS!$E$8)+BY57*(1-Piano_SS!$E$9)+BZ57*(1-Piano_SS!$E$10)</f>
        <v>427208.822969749</v>
      </c>
      <c r="CC57" s="15" t="n">
        <f aca="false">(CC56)+BA57</f>
        <v>365767.058375799</v>
      </c>
      <c r="CD57" s="15" t="n">
        <f aca="false">IF(CA57=0,0,CC57*CB57/CA57*Ipotesi!$C$103*Parametri_v3!$C$64)</f>
        <v>102530.11751274</v>
      </c>
      <c r="CE57" s="18" t="n">
        <f aca="false">IF(BA57&gt;0,Motore_Operativo!C57,(CE56))</f>
        <v>47270</v>
      </c>
      <c r="CF57" s="18" t="n">
        <f aca="false">IF(AND(CC57&gt;0,OR(CC57&gt;=CG57-0.01,Motore_Operativo!C57&gt;=EDATE(MAX(Finanziamenti!$D$15:$D$17),Ipotesi!C14*12))),CE57,0)</f>
        <v>47270</v>
      </c>
      <c r="CG57" s="15" t="n">
        <f aca="false">IF(AND(1&lt;&gt;6,1&lt;&gt;9,Finanziamenti!$F$11=1,OR(Parametri_v3!$C$6=0,Finanziamenti!$E$11=1)),MIN(Finanziamenti!$C$11,Piano_SS!$C$12*Ipotesi!$C$102),0)</f>
        <v>400000</v>
      </c>
      <c r="CH57" s="15" t="n">
        <f aca="false">IF(AND(AND(1&lt;&gt;8,1&lt;&gt;9,Finanziamenti!$F$10=1,OR(Parametri_v3!$C$6=0,Finanziamenti!$E$10=1)),Motore_Operativo!C57&gt;=Finanziamenti!$D$10,Motore_Operativo!C57&lt;Parametri_v3!$C$63),Finanziamenti!$C$10,0)</f>
        <v>150000</v>
      </c>
    </row>
    <row r="58" customFormat="false" ht="18" hidden="false" customHeight="true" outlineLevel="0" collapsed="false">
      <c r="A58" s="68" t="n">
        <f aca="false">1</f>
        <v>1</v>
      </c>
      <c r="B58" s="68" t="n">
        <f aca="false">54</f>
        <v>54</v>
      </c>
      <c r="C58" s="18" t="n">
        <f aca="false">Motore_Operativo!C58</f>
        <v>48000</v>
      </c>
      <c r="D58" s="68" t="n">
        <f aca="false">Motore_Operativo!D58</f>
        <v>2031</v>
      </c>
      <c r="E58" s="68" t="n">
        <f aca="false">Motore_Operativo!E58</f>
        <v>6</v>
      </c>
      <c r="F58" s="15" t="n">
        <f aca="false">Motore_Operativo!AQ58+Motore_Operativo!BF58</f>
        <v>145406.12744323</v>
      </c>
      <c r="G58" s="15" t="n">
        <f aca="false">Motore_Operativo!BH58</f>
        <v>8696.875</v>
      </c>
      <c r="H58" s="15" t="n">
        <f aca="false">Motore_Operativo!BI58</f>
        <v>154103.00244323</v>
      </c>
      <c r="I58" s="15" t="n">
        <f aca="false">Motore_Operativo!CA58</f>
        <v>194725.925746219</v>
      </c>
      <c r="J58" s="15" t="n">
        <f aca="false">Motore_Operativo!CC58</f>
        <v>-40622.9233029892</v>
      </c>
      <c r="K58" s="15" t="n">
        <f aca="false">Motore_Operativo!CE58</f>
        <v>4166.66666666667</v>
      </c>
      <c r="L58" s="15" t="n">
        <f aca="false">SUM(INDEX($K$5:$K$64,MAX(1,54-Parametri_v3!$C$59+1)):K58)/Parametri_v3!$C$59</f>
        <v>2986.11111111111</v>
      </c>
      <c r="M58" s="15" t="n">
        <f aca="false">J58-L58</f>
        <v>-43609.0344141003</v>
      </c>
      <c r="N58" s="15" t="n">
        <f aca="false">CD58-(CD57)</f>
        <v>0</v>
      </c>
      <c r="O58" s="15" t="n">
        <f aca="false">(BG57)*Ipotesi!$C$110/12+CH58*Parametri_v3!$C$39/12</f>
        <v>750</v>
      </c>
      <c r="P58" s="15" t="n">
        <f aca="false">M58+N58-O58</f>
        <v>-44359.0344141003</v>
      </c>
      <c r="Q58" s="15" t="n">
        <f aca="false">SUM(P53:P58)+Parametri_v3!$C$54*6/12</f>
        <v>-300083.702825908</v>
      </c>
      <c r="R58" s="15" t="n">
        <f aca="false">Z52</f>
        <v>1327622.74335066</v>
      </c>
      <c r="S58" s="15" t="n">
        <f aca="false">AA52</f>
        <v>651877.385322478</v>
      </c>
      <c r="T58" s="15" t="n">
        <f aca="false">MIN(R58,MAX(0,Q58))</f>
        <v>0</v>
      </c>
      <c r="U58" s="15" t="n">
        <f aca="false">MIN(S58,MAX(0,Q58-T58)*Parametri_v3!$C$42)</f>
        <v>0</v>
      </c>
      <c r="V58" s="15" t="n">
        <f aca="false">MAX(0,Q58-T58-U58)*Ipotesi!$C$92</f>
        <v>0</v>
      </c>
      <c r="W58" s="15" t="n">
        <f aca="false">MAX(0,SUM(M53:M58)+Parametri_v3!$C$55*6/12)*Ipotesi!$C$93</f>
        <v>0</v>
      </c>
      <c r="X58" s="15" t="n">
        <f aca="false">V58+W58-(V57+W57)</f>
        <v>0</v>
      </c>
      <c r="Y58" s="15" t="n">
        <f aca="false">P58-X58</f>
        <v>-44359.0344141003</v>
      </c>
      <c r="Z58" s="15" t="n">
        <f aca="false">R58-T58+IF(AND(Parametri_v3!$C$40=1,D58-YEAR(Parametri_v3!$C$50)&lt;Parametri_v3!$C$41),MAX(0,-Q58),0)</f>
        <v>1327622.74335066</v>
      </c>
      <c r="AA58" s="15" t="n">
        <f aca="false">S58-U58+IF(AND(Parametri_v3!$C$40=1,D58-YEAR(Parametri_v3!$C$50)&lt;Parametri_v3!$C$41),0,MAX(0,-Q58))</f>
        <v>951961.088148386</v>
      </c>
      <c r="AB58" s="15" t="n">
        <f aca="false">F58*(1+Parametri_v3!$C$26)</f>
        <v>177395.47548074</v>
      </c>
      <c r="AC58" s="15" t="n">
        <f aca="false">(IF(54-(INT((Motore_Operativo!L58)/30))&lt;1,0,INDEX(Motore_Startup!$AB$5:$AB$64,MAX(1,54-(INT((Motore_Operativo!L58)/30)))))*(1-(MOD((Motore_Operativo!L58),30)/30))+IF(54-(INT((Motore_Operativo!L58)/30))-1&lt;1,0,INDEX(Motore_Startup!$AB$5:$AB$64,MAX(1,54-(INT((Motore_Operativo!L58)/30))-1)))*(MOD((Motore_Operativo!L58),30)/30))</f>
        <v>167181.729980511</v>
      </c>
      <c r="AD58" s="15" t="n">
        <f aca="false">(AD57)+AB58-AC58</f>
        <v>521574.490644573</v>
      </c>
      <c r="AE58" s="15" t="n">
        <f aca="false">Motore_Operativo!BH58*(1+Parametri_v3!$C$26)</f>
        <v>10610.1875</v>
      </c>
      <c r="AF58" s="15" t="n">
        <f aca="false">(IF(54-(INT((Parametri_v3!$C$29)/30))&lt;1,0,INDEX(Motore_Operativo!$BH$5:$BH$64,MAX(1,54-(INT((Parametri_v3!$C$29)/30)))))*(1-(MOD((Parametri_v3!$C$29),30)/30))+IF(54-(INT((Parametri_v3!$C$29)/30))-1&lt;1,0,INDEX(Motore_Operativo!$BH$5:$BH$64,MAX(1,54-(INT((Parametri_v3!$C$29)/30))-1)))*(MOD((Parametri_v3!$C$29),30)/30))*(1+Parametri_v3!$C$26)</f>
        <v>10610.1875</v>
      </c>
      <c r="AG58" s="15" t="n">
        <f aca="false">(AG57)+AE58-AF58</f>
        <v>10610.1875</v>
      </c>
      <c r="AH58" s="15" t="n">
        <f aca="false">(Motore_Operativo!CJ58)*(1+Parametri_v3!$C$27*Parametri_v3!$C$26)</f>
        <v>89320.0851439326</v>
      </c>
      <c r="AI58" s="15" t="n">
        <f aca="false">(IF(54-(INT((Ipotesi!$C$91)/30))&lt;1,0,INDEX(Motore_Startup!$AH$5:$AH$64,MAX(1,54-(INT((Ipotesi!$C$91)/30)))))*(1-(MOD((Ipotesi!$C$91),30)/30))+IF(54-(INT((Ipotesi!$C$91)/30))-1&lt;1,0,INDEX(Motore_Startup!$AH$5:$AH$64,MAX(1,54-(INT((Ipotesi!$C$91)/30))-1)))*(MOD((Ipotesi!$C$91),30)/30))</f>
        <v>88355.0163764178</v>
      </c>
      <c r="AJ58" s="15" t="n">
        <f aca="false">(AJ57)+AH58-AI58</f>
        <v>178159.754226812</v>
      </c>
      <c r="AK58" s="15" t="n">
        <f aca="false">(F58+ Motore_Operativo!BH58-(Motore_Operativo!CJ58)*Parametri_v3!$C$27-Motore_Operativo!CE58)*Parametri_v3!$C$26</f>
        <v>18914.5061522968</v>
      </c>
      <c r="AL58" s="15" t="n">
        <f aca="false">MAX(0,(AM57))</f>
        <v>18354.1845675491</v>
      </c>
      <c r="AM58" s="15" t="n">
        <f aca="false">(AM57)+AK58-AL58</f>
        <v>18914.5061522968</v>
      </c>
      <c r="AN58" s="15" t="n">
        <f aca="false">SUM(X41:X52)</f>
        <v>0</v>
      </c>
      <c r="AO58" s="15" t="n">
        <f aca="false">SUM(AP41:AP52)</f>
        <v>0</v>
      </c>
      <c r="AP58" s="15" t="n">
        <f aca="false">MAX(0,AN58)*IF(6=Parametri_v3!$C$43,Parametri_v3!$C$45,IF(6=Parametri_v3!$C$44,1-Parametri_v3!$C$45,0))</f>
        <v>0</v>
      </c>
      <c r="AQ58" s="15" t="n">
        <f aca="false">MAX(0,AP58+IF(6=Parametri_v3!$C$43,MAX(0,AN58-AO58),0)-MAX(0,-(AR57)))</f>
        <v>0</v>
      </c>
      <c r="AR58" s="15" t="n">
        <f aca="false">(AR57)+X58-AQ58</f>
        <v>0</v>
      </c>
      <c r="AS58" s="15" t="n">
        <f aca="false">Motore_Operativo!AB58-AT58+AU58</f>
        <v>113503.461904792</v>
      </c>
      <c r="AT58" s="15" t="n">
        <f aca="false">Motore_Operativo!CH58</f>
        <v>5973.86641604167</v>
      </c>
      <c r="AU58" s="15" t="n">
        <f aca="false">MIN(MAX(0,(AV57)+AT58),Parametri_v3!$C$60/12)</f>
        <v>0</v>
      </c>
      <c r="AV58" s="15" t="n">
        <f aca="false">(AV57)+AT58-AU58</f>
        <v>172898.74887125</v>
      </c>
      <c r="AW58" s="15" t="n">
        <f aca="false">IF(AND(Motore_Operativo!C58=Finanziamenti!$D$6,Finanziamenti!$F$6=1),Finanziamenti!$C$6,0)</f>
        <v>0</v>
      </c>
      <c r="AX58" s="15" t="n">
        <f aca="false">IF(AND(1&lt;&gt;7,1&lt;&gt;9,Finanziamenti!$F$8=1,OR(Parametri_v3!$C$6=0,Finanziamenti!$E$8=1),Motore_Operativo!C58=EDATE(Finanziamenti!$D$8,Ipotesi!C15*12)),Finanziamenti!$C$8*1,0)+IF(AND(1&lt;&gt;7,1&lt;&gt;9,Finanziamenti!$F$9=1,OR(Parametri_v3!$C$6=0,Finanziamenti!$E$9=1),Motore_Operativo!C58=EDATE(Finanziamenti!$D$9,Ipotesi!C15*12)),Finanziamenti!$C$9*Ipotesi!C16,0)</f>
        <v>0</v>
      </c>
      <c r="AY58" s="15" t="n">
        <f aca="false">0</f>
        <v>0</v>
      </c>
      <c r="AZ58" s="15" t="n">
        <f aca="false">Motore_Advisory!AY58*(1-Ipotesi!$C$95)*Ipotesi!$C$96</f>
        <v>0</v>
      </c>
      <c r="BA58" s="15" t="n">
        <f aca="false">MAX(0,MIN(CG58*MIN(1,IF(Motore_Operativo!C58&gt;=EDATE(Finanziamenti!$D$15,Ipotesi!C14*12),Finanziamenti!$C$15,0)+IF(Motore_Operativo!C58&gt;=EDATE(Finanziamenti!$D$16,Ipotesi!C14*12),Finanziamenti!$C$16,0)+IF(Motore_Operativo!C58&gt;=EDATE(Finanziamenti!$D$17,Ipotesi!C14*12),Finanziamenti!$C$17,0)),CA58*Ipotesi!$C$102)-(CC57))</f>
        <v>0</v>
      </c>
      <c r="BB58" s="15" t="n">
        <f aca="false">IF(AND(CF58&gt;0,Motore_Operativo!C58&gt;=IF(CF58=0,0,EDATE(CF58,Parametri_v3!$C$37)),MOD(((D58-YEAR(IF(CF58=0,0,EDATE(CF58,Parametri_v3!$C$37))))*12+E58-MONTH(IF(CF58=0,0,EDATE(CF58,Parametri_v3!$C$37)))),Parametri_v3!$C$38)=0),MIN(MAX(0,(BC57)+BA58-N58),(CC58-CD58)/(Ipotesi!$C$108*12/Parametri_v3!$C$38)),0)</f>
        <v>13161.847043153</v>
      </c>
      <c r="BC58" s="15" t="n">
        <f aca="false">(BC57)+BA58-N58-BB58</f>
        <v>223751.399733601</v>
      </c>
      <c r="BD58" s="15" t="n">
        <f aca="false">(BH57)+AC58+AF58-AI58-AS58-K58*(1+Parametri_v3!$C$26)-AL58-AQ58-O58+AW58+AX58+AZ58+BA58-BB58</f>
        <v>-797176.045104106</v>
      </c>
      <c r="BE58" s="15" t="n">
        <f aca="false">MAX(0,MIN(MAX(0,CH58-(BG57)),Parametri_v3!$C$30-BD58))</f>
        <v>0</v>
      </c>
      <c r="BF58" s="15" t="n">
        <f aca="false">IF(Motore_Operativo!C58&gt;=Parametri_v3!$C$63,(BG57),MIN((BG57),MAX(0,BD58-Parametri_v3!$C$30)))</f>
        <v>0</v>
      </c>
      <c r="BG58" s="15" t="n">
        <f aca="false">(BG57)+BE58-BF58</f>
        <v>150000</v>
      </c>
      <c r="BH58" s="15" t="n">
        <f aca="false">BD58+BE58-BF58-AY58</f>
        <v>-797176.045104106</v>
      </c>
      <c r="BI58" s="15" t="n">
        <f aca="false">MAX(0,Parametri_v3!$C$30-BH58)</f>
        <v>822176.045104106</v>
      </c>
      <c r="BJ58" s="15" t="n">
        <f aca="false">(BJ57)+K58</f>
        <v>140000</v>
      </c>
      <c r="BK58" s="15" t="n">
        <f aca="false">(BK57)+L58</f>
        <v>80868.0555555556</v>
      </c>
      <c r="BL58" s="15" t="n">
        <f aca="false">BJ58-BK58</f>
        <v>59131.9444444444</v>
      </c>
      <c r="BM58" s="15" t="n">
        <f aca="false">(BM57)+Y58</f>
        <v>-2279583.83149905</v>
      </c>
      <c r="BN58" s="15" t="n">
        <f aca="false">(BN57)+AW58+AX58+AZ58</f>
        <v>1330000</v>
      </c>
      <c r="BO58" s="15" t="n">
        <f aca="false">(BO57)+AY58</f>
        <v>0</v>
      </c>
      <c r="BP58" s="15" t="n">
        <f aca="false">0</f>
        <v>0</v>
      </c>
      <c r="BQ58" s="15" t="n">
        <f aca="false">BN58+BM58-BO58</f>
        <v>-949583.831499048</v>
      </c>
      <c r="BR58" s="15" t="n">
        <f aca="false">BH58+AD58+BL58+MAX(0,-AM58)+MAX(0,-AR58)+AG58</f>
        <v>-205859.422515089</v>
      </c>
      <c r="BS58" s="15" t="n">
        <f aca="false">AJ58+AV58+MAX(0,AM58)+MAX(0,AR58)+BC58+BG58+BQ58</f>
        <v>-205859.422515089</v>
      </c>
      <c r="BT58" s="15" t="n">
        <f aca="false">BR58-BS58</f>
        <v>0</v>
      </c>
      <c r="BU58" s="15" t="n">
        <f aca="false">BH58-(BD58+BE58-BF58-AY58)</f>
        <v>0</v>
      </c>
      <c r="BV58" s="15" t="n">
        <f aca="false">MIN(Piano_SS!$C$6,(BV57)+IF(AND(Motore_Operativo!C58&gt;=EDATE(Parametri_v3!$C$24,Ipotesi!C14*12),Motore_Operativo!C58&lt;EDATE(Parametri_v3!$C$24,Parametri_v3!$C$25+Ipotesi!C14*12)),MAX(0,(Motore_Operativo!Y58+Motore_Operativo!X58*Parametri_v3!$C$14)*(1-Parametri_v3!$C$32))*Piano_SS!$D$6,0))</f>
        <v>300000</v>
      </c>
      <c r="BW58" s="15" t="n">
        <f aca="false">MIN(Piano_SS!$C$7,(BW57)+IF(AND(Motore_Operativo!C58&gt;=EDATE(Parametri_v3!$C$24,Ipotesi!C14*12),Motore_Operativo!C58&lt;EDATE(Parametri_v3!$C$24,Parametri_v3!$C$25+Ipotesi!C14*12)),MAX(0,(IF(54-(INT((Ipotesi!$C$91)/30))&lt;1,0,INDEX(Motore_Operativo!$BN$5:$BN$64,MAX(1,54-(INT((Ipotesi!$C$91)/30)))))*(1-(MOD((Ipotesi!$C$91),30)/30))+IF(54-(INT((Ipotesi!$C$91)/30))-1&lt;1,0,INDEX(Motore_Operativo!$BN$5:$BN$64,MAX(1,54-(INT((Ipotesi!$C$91)/30))-1)))*(MOD((Ipotesi!$C$91),30)/30)))*Piano_SS!$D$7,0))</f>
        <v>37208.8229697489</v>
      </c>
      <c r="BX58" s="15" t="n">
        <f aca="false">MIN(Piano_SS!$C$8,(BX57)+IF(AND(Motore_Operativo!C58&gt;=EDATE(Parametri_v3!$C$24,Ipotesi!C14*12),Motore_Operativo!C58&lt;EDATE(Parametri_v3!$C$24,Parametri_v3!$C$25+Ipotesi!C14*12)),MAX(0,Motore_Operativo!CE58)*Piano_SS!$D$8,0))</f>
        <v>50000</v>
      </c>
      <c r="BY58" s="15" t="n">
        <f aca="false">MIN(Piano_SS!$C$9,(BY57)+IF(AND(Motore_Operativo!C58&gt;=EDATE(Parametri_v3!$C$24,Ipotesi!C14*12),Motore_Operativo!C58&lt;EDATE(Parametri_v3!$C$24,Parametri_v3!$C$25+Ipotesi!C14*12)),MAX(0,((IF(54-(INT((Ipotesi!$C$91)/30))&lt;1,0,INDEX(Motore_Operativo!$BQ$5:$BQ$64,MAX(1,54-(INT((Ipotesi!$C$91)/30)))))*(1-(MOD((Ipotesi!$C$91),30)/30))+IF(54-(INT((Ipotesi!$C$91)/30))-1&lt;1,0,INDEX(Motore_Operativo!$BQ$5:$BQ$64,MAX(1,54-(INT((Ipotesi!$C$91)/30))-1)))*(MOD((Ipotesi!$C$91),30)/30))+(IF(54-(INT((Ipotesi!$C$91)/30))&lt;1,0,INDEX(Motore_Operativo!$BR$5:$BR$64,MAX(1,54-(INT((Ipotesi!$C$91)/30)))))*(1-(MOD((Ipotesi!$C$91),30)/30))+IF(54-(INT((Ipotesi!$C$91)/30))-1&lt;1,0,INDEX(Motore_Operativo!$BR$5:$BR$64,MAX(1,54-(INT((Ipotesi!$C$91)/30))-1)))*(MOD((Ipotesi!$C$91),30)/30))))*Piano_SS!$D$9,0))</f>
        <v>40000</v>
      </c>
      <c r="BZ58" s="15" t="n">
        <f aca="false">MIN(Piano_SS!$C$10,(BZ57)+IF(AND(Motore_Operativo!C58&gt;=EDATE(Parametri_v3!$C$24,Ipotesi!C14*12),Motore_Operativo!C58&lt;EDATE(Parametri_v3!$C$24,Parametri_v3!$C$25+Ipotesi!C14*12)),MAX(0,(IF(54-(INT((Ipotesi!$C$91)/30))&lt;1,0,INDEX(Motore_Operativo!$BO$5:$BO$64,MAX(1,54-(INT((Ipotesi!$C$91)/30)))))*(1-(MOD((Ipotesi!$C$91),30)/30))+IF(54-(INT((Ipotesi!$C$91)/30))-1&lt;1,0,INDEX(Motore_Operativo!$BO$5:$BO$64,MAX(1,54-(INT((Ipotesi!$C$91)/30))-1)))*(MOD((Ipotesi!$C$91),30)/30)))*Piano_SS!$D$10,0))</f>
        <v>30000</v>
      </c>
      <c r="CA58" s="15" t="n">
        <f aca="false">SUM(BV58:BZ58)</f>
        <v>457208.822969749</v>
      </c>
      <c r="CB58" s="15" t="n">
        <f aca="false">BV58*(1-Piano_SS!$E$6)+BW58*(1-Piano_SS!$E$7)+BX58*(1-Piano_SS!$E$8)+BY58*(1-Piano_SS!$E$9)+BZ58*(1-Piano_SS!$E$10)</f>
        <v>427208.822969749</v>
      </c>
      <c r="CC58" s="15" t="n">
        <f aca="false">(CC57)+BA58</f>
        <v>365767.058375799</v>
      </c>
      <c r="CD58" s="15" t="n">
        <f aca="false">IF(CA58=0,0,CC58*CB58/CA58*Ipotesi!$C$103*Parametri_v3!$C$64)</f>
        <v>102530.11751274</v>
      </c>
      <c r="CE58" s="18" t="n">
        <f aca="false">IF(BA58&gt;0,Motore_Operativo!C58,(CE57))</f>
        <v>47270</v>
      </c>
      <c r="CF58" s="18" t="n">
        <f aca="false">IF(AND(CC58&gt;0,OR(CC58&gt;=CG58-0.01,Motore_Operativo!C58&gt;=EDATE(MAX(Finanziamenti!$D$15:$D$17),Ipotesi!C14*12))),CE58,0)</f>
        <v>47270</v>
      </c>
      <c r="CG58" s="15" t="n">
        <f aca="false">IF(AND(1&lt;&gt;6,1&lt;&gt;9,Finanziamenti!$F$11=1,OR(Parametri_v3!$C$6=0,Finanziamenti!$E$11=1)),MIN(Finanziamenti!$C$11,Piano_SS!$C$12*Ipotesi!$C$102),0)</f>
        <v>400000</v>
      </c>
      <c r="CH58" s="15" t="n">
        <f aca="false">IF(AND(AND(1&lt;&gt;8,1&lt;&gt;9,Finanziamenti!$F$10=1,OR(Parametri_v3!$C$6=0,Finanziamenti!$E$10=1)),Motore_Operativo!C58&gt;=Finanziamenti!$D$10,Motore_Operativo!C58&lt;Parametri_v3!$C$63),Finanziamenti!$C$10,0)</f>
        <v>150000</v>
      </c>
    </row>
    <row r="59" customFormat="false" ht="18" hidden="false" customHeight="true" outlineLevel="0" collapsed="false">
      <c r="A59" s="68" t="n">
        <f aca="false">1</f>
        <v>1</v>
      </c>
      <c r="B59" s="68" t="n">
        <f aca="false">55</f>
        <v>55</v>
      </c>
      <c r="C59" s="18" t="n">
        <f aca="false">Motore_Operativo!C59</f>
        <v>48030</v>
      </c>
      <c r="D59" s="68" t="n">
        <f aca="false">Motore_Operativo!D59</f>
        <v>2031</v>
      </c>
      <c r="E59" s="68" t="n">
        <f aca="false">Motore_Operativo!E59</f>
        <v>7</v>
      </c>
      <c r="F59" s="15" t="n">
        <f aca="false">Motore_Operativo!AQ59+Motore_Operativo!BF59</f>
        <v>148271.793893773</v>
      </c>
      <c r="G59" s="15" t="n">
        <f aca="false">Motore_Operativo!BH59</f>
        <v>8696.875</v>
      </c>
      <c r="H59" s="15" t="n">
        <f aca="false">Motore_Operativo!BI59</f>
        <v>156968.668893773</v>
      </c>
      <c r="I59" s="15" t="n">
        <f aca="false">Motore_Operativo!CA59</f>
        <v>195127.119049295</v>
      </c>
      <c r="J59" s="15" t="n">
        <f aca="false">Motore_Operativo!CC59</f>
        <v>-38158.4501555221</v>
      </c>
      <c r="K59" s="15" t="n">
        <f aca="false">Motore_Operativo!CE59</f>
        <v>4166.66666666667</v>
      </c>
      <c r="L59" s="15" t="n">
        <f aca="false">SUM(INDEX($K$5:$K$64,MAX(1,55-Parametri_v3!$C$59+1)):K59)/Parametri_v3!$C$59</f>
        <v>3043.98148148148</v>
      </c>
      <c r="M59" s="15" t="n">
        <f aca="false">J59-L59</f>
        <v>-41202.4316370036</v>
      </c>
      <c r="N59" s="15" t="n">
        <f aca="false">CD59-(CD58)</f>
        <v>0</v>
      </c>
      <c r="O59" s="15" t="n">
        <f aca="false">(BG58)*Ipotesi!$C$110/12+CH59*Parametri_v3!$C$39/12</f>
        <v>750</v>
      </c>
      <c r="P59" s="15" t="n">
        <f aca="false">M59+N59-O59</f>
        <v>-41952.4316370036</v>
      </c>
      <c r="Q59" s="15" t="n">
        <f aca="false">SUM(P53:P59)+Parametri_v3!$C$54*7/12</f>
        <v>-342036.134462911</v>
      </c>
      <c r="R59" s="15" t="n">
        <f aca="false">Z52</f>
        <v>1327622.74335066</v>
      </c>
      <c r="S59" s="15" t="n">
        <f aca="false">AA52</f>
        <v>651877.385322478</v>
      </c>
      <c r="T59" s="15" t="n">
        <f aca="false">MIN(R59,MAX(0,Q59))</f>
        <v>0</v>
      </c>
      <c r="U59" s="15" t="n">
        <f aca="false">MIN(S59,MAX(0,Q59-T59)*Parametri_v3!$C$42)</f>
        <v>0</v>
      </c>
      <c r="V59" s="15" t="n">
        <f aca="false">MAX(0,Q59-T59-U59)*Ipotesi!$C$92</f>
        <v>0</v>
      </c>
      <c r="W59" s="15" t="n">
        <f aca="false">MAX(0,SUM(M53:M59)+Parametri_v3!$C$55*7/12)*Ipotesi!$C$93</f>
        <v>0</v>
      </c>
      <c r="X59" s="15" t="n">
        <f aca="false">V59+W59-(V58+W58)</f>
        <v>0</v>
      </c>
      <c r="Y59" s="15" t="n">
        <f aca="false">P59-X59</f>
        <v>-41952.4316370036</v>
      </c>
      <c r="Z59" s="15" t="n">
        <f aca="false">R59-T59+IF(AND(Parametri_v3!$C$40=1,D59-YEAR(Parametri_v3!$C$50)&lt;Parametri_v3!$C$41),MAX(0,-Q59),0)</f>
        <v>1327622.74335066</v>
      </c>
      <c r="AA59" s="15" t="n">
        <f aca="false">S59-U59+IF(AND(Parametri_v3!$C$40=1,D59-YEAR(Parametri_v3!$C$50)&lt;Parametri_v3!$C$41),0,MAX(0,-Q59))</f>
        <v>993913.519785389</v>
      </c>
      <c r="AB59" s="15" t="n">
        <f aca="false">F59*(1+Parametri_v3!$C$26)</f>
        <v>180891.588550403</v>
      </c>
      <c r="AC59" s="15" t="n">
        <f aca="false">(IF(55-(INT((Motore_Operativo!L59)/30))&lt;1,0,INDEX(Motore_Startup!$AB$5:$AB$64,MAX(1,55-(INT((Motore_Operativo!L59)/30)))))*(1-(MOD((Motore_Operativo!L59),30)/30))+IF(55-(INT((Motore_Operativo!L59)/30))-1&lt;1,0,INDEX(Motore_Startup!$AB$5:$AB$64,MAX(1,55-(INT((Motore_Operativo!L59)/30))-1)))*(MOD((Motore_Operativo!L59),30)/30))</f>
        <v>170310.483927196</v>
      </c>
      <c r="AD59" s="15" t="n">
        <f aca="false">(AD58)+AB59-AC59</f>
        <v>532155.59526778</v>
      </c>
      <c r="AE59" s="15" t="n">
        <f aca="false">Motore_Operativo!BH59*(1+Parametri_v3!$C$26)</f>
        <v>10610.1875</v>
      </c>
      <c r="AF59" s="15" t="n">
        <f aca="false">(IF(55-(INT((Parametri_v3!$C$29)/30))&lt;1,0,INDEX(Motore_Operativo!$BH$5:$BH$64,MAX(1,55-(INT((Parametri_v3!$C$29)/30)))))*(1-(MOD((Parametri_v3!$C$29),30)/30))+IF(55-(INT((Parametri_v3!$C$29)/30))-1&lt;1,0,INDEX(Motore_Operativo!$BH$5:$BH$64,MAX(1,55-(INT((Parametri_v3!$C$29)/30))-1)))*(MOD((Parametri_v3!$C$29),30)/30))*(1+Parametri_v3!$C$26)</f>
        <v>10610.1875</v>
      </c>
      <c r="AG59" s="15" t="n">
        <f aca="false">(AG58)+AE59-AF59</f>
        <v>10610.1875</v>
      </c>
      <c r="AH59" s="15" t="n">
        <f aca="false">(Motore_Operativo!CJ59)*(1+Parametri_v3!$C$27*Parametri_v3!$C$26)</f>
        <v>89796.3015946838</v>
      </c>
      <c r="AI59" s="15" t="n">
        <f aca="false">(IF(55-(INT((Ipotesi!$C$91)/30))&lt;1,0,INDEX(Motore_Startup!$AH$5:$AH$64,MAX(1,55-(INT((Ipotesi!$C$91)/30)))))*(1-(MOD((Ipotesi!$C$91),30)/30))+IF(55-(INT((Ipotesi!$C$91)/30))-1&lt;1,0,INDEX(Motore_Startup!$AH$5:$AH$64,MAX(1,55-(INT((Ipotesi!$C$91)/30))-1)))*(MOD((Ipotesi!$C$91),30)/30))</f>
        <v>88839.6690828792</v>
      </c>
      <c r="AJ59" s="15" t="n">
        <f aca="false">(AJ58)+AH59-AI59</f>
        <v>179116.386738616</v>
      </c>
      <c r="AK59" s="15" t="n">
        <f aca="false">(F59+ Motore_Operativo!BH59-(Motore_Operativo!CJ59)*Parametri_v3!$C$27-Motore_Operativo!CE59)*Parametri_v3!$C$26</f>
        <v>19469.929623741</v>
      </c>
      <c r="AL59" s="15" t="n">
        <f aca="false">MAX(0,(AM58))</f>
        <v>18914.5061522968</v>
      </c>
      <c r="AM59" s="15" t="n">
        <f aca="false">(AM58)+AK59-AL59</f>
        <v>19469.929623741</v>
      </c>
      <c r="AN59" s="15" t="n">
        <f aca="false">SUM(X41:X52)</f>
        <v>0</v>
      </c>
      <c r="AO59" s="15" t="n">
        <f aca="false">SUM(AP41:AP52)</f>
        <v>0</v>
      </c>
      <c r="AP59" s="15" t="n">
        <f aca="false">MAX(0,AN59)*IF(7=Parametri_v3!$C$43,Parametri_v3!$C$45,IF(7=Parametri_v3!$C$44,1-Parametri_v3!$C$45,0))</f>
        <v>0</v>
      </c>
      <c r="AQ59" s="15" t="n">
        <f aca="false">MAX(0,AP59+IF(7=Parametri_v3!$C$43,MAX(0,AN59-AO59),0)-MAX(0,-(AR58)))</f>
        <v>0</v>
      </c>
      <c r="AR59" s="15" t="n">
        <f aca="false">(AR58)+X59-AQ59</f>
        <v>0</v>
      </c>
      <c r="AS59" s="15" t="n">
        <f aca="false">Motore_Operativo!AB59-AT59+AU59</f>
        <v>113503.461904792</v>
      </c>
      <c r="AT59" s="15" t="n">
        <f aca="false">Motore_Operativo!CH59</f>
        <v>5973.86641604167</v>
      </c>
      <c r="AU59" s="15" t="n">
        <f aca="false">MIN(MAX(0,(AV58)+AT59),Parametri_v3!$C$60/12)</f>
        <v>0</v>
      </c>
      <c r="AV59" s="15" t="n">
        <f aca="false">(AV58)+AT59-AU59</f>
        <v>178872.615287292</v>
      </c>
      <c r="AW59" s="15" t="n">
        <f aca="false">IF(AND(Motore_Operativo!C59=Finanziamenti!$D$6,Finanziamenti!$F$6=1),Finanziamenti!$C$6,0)</f>
        <v>0</v>
      </c>
      <c r="AX59" s="15" t="n">
        <f aca="false">IF(AND(1&lt;&gt;7,1&lt;&gt;9,Finanziamenti!$F$8=1,OR(Parametri_v3!$C$6=0,Finanziamenti!$E$8=1),Motore_Operativo!C59=EDATE(Finanziamenti!$D$8,Ipotesi!C15*12)),Finanziamenti!$C$8*1,0)+IF(AND(1&lt;&gt;7,1&lt;&gt;9,Finanziamenti!$F$9=1,OR(Parametri_v3!$C$6=0,Finanziamenti!$E$9=1),Motore_Operativo!C59=EDATE(Finanziamenti!$D$9,Ipotesi!C15*12)),Finanziamenti!$C$9*Ipotesi!C16,0)</f>
        <v>0</v>
      </c>
      <c r="AY59" s="15" t="n">
        <f aca="false">0</f>
        <v>0</v>
      </c>
      <c r="AZ59" s="15" t="n">
        <f aca="false">Motore_Advisory!AY59*(1-Ipotesi!$C$95)*Ipotesi!$C$96</f>
        <v>0</v>
      </c>
      <c r="BA59" s="15" t="n">
        <f aca="false">MAX(0,MIN(CG59*MIN(1,IF(Motore_Operativo!C59&gt;=EDATE(Finanziamenti!$D$15,Ipotesi!C14*12),Finanziamenti!$C$15,0)+IF(Motore_Operativo!C59&gt;=EDATE(Finanziamenti!$D$16,Ipotesi!C14*12),Finanziamenti!$C$16,0)+IF(Motore_Operativo!C59&gt;=EDATE(Finanziamenti!$D$17,Ipotesi!C14*12),Finanziamenti!$C$17,0)),CA59*Ipotesi!$C$102)-(CC58))</f>
        <v>0</v>
      </c>
      <c r="BB59" s="15" t="n">
        <f aca="false">IF(AND(CF59&gt;0,Motore_Operativo!C59&gt;=IF(CF59=0,0,EDATE(CF59,Parametri_v3!$C$37)),MOD(((D59-YEAR(IF(CF59=0,0,EDATE(CF59,Parametri_v3!$C$37))))*12+E59-MONTH(IF(CF59=0,0,EDATE(CF59,Parametri_v3!$C$37)))),Parametri_v3!$C$38)=0),MIN(MAX(0,(BC58)+BA59-N59),(CC59-CD59)/(Ipotesi!$C$108*12/Parametri_v3!$C$38)),0)</f>
        <v>0</v>
      </c>
      <c r="BC59" s="15" t="n">
        <f aca="false">(BC58)+BA59-N59-BB59</f>
        <v>223751.399733601</v>
      </c>
      <c r="BD59" s="15" t="n">
        <f aca="false">(BH58)+AC59+AF59-AI59-AS59-K59*(1+Parametri_v3!$C$26)-AL59-AQ59-O59+AW59+AX59+AZ59+BA59-BB59</f>
        <v>-843346.344150211</v>
      </c>
      <c r="BE59" s="15" t="n">
        <f aca="false">MAX(0,MIN(MAX(0,CH59-(BG58)),Parametri_v3!$C$30-BD59))</f>
        <v>0</v>
      </c>
      <c r="BF59" s="15" t="n">
        <f aca="false">IF(Motore_Operativo!C59&gt;=Parametri_v3!$C$63,(BG58),MIN((BG58),MAX(0,BD59-Parametri_v3!$C$30)))</f>
        <v>0</v>
      </c>
      <c r="BG59" s="15" t="n">
        <f aca="false">(BG58)+BE59-BF59</f>
        <v>150000</v>
      </c>
      <c r="BH59" s="15" t="n">
        <f aca="false">BD59+BE59-BF59-AY59</f>
        <v>-843346.344150211</v>
      </c>
      <c r="BI59" s="15" t="n">
        <f aca="false">MAX(0,Parametri_v3!$C$30-BH59)</f>
        <v>868346.344150211</v>
      </c>
      <c r="BJ59" s="15" t="n">
        <f aca="false">(BJ58)+K59</f>
        <v>144166.666666667</v>
      </c>
      <c r="BK59" s="15" t="n">
        <f aca="false">(BK58)+L59</f>
        <v>83912.0370370371</v>
      </c>
      <c r="BL59" s="15" t="n">
        <f aca="false">BJ59-BK59</f>
        <v>60254.6296296296</v>
      </c>
      <c r="BM59" s="15" t="n">
        <f aca="false">(BM58)+Y59</f>
        <v>-2321536.26313605</v>
      </c>
      <c r="BN59" s="15" t="n">
        <f aca="false">(BN58)+AW59+AX59+AZ59</f>
        <v>1330000</v>
      </c>
      <c r="BO59" s="15" t="n">
        <f aca="false">(BO58)+AY59</f>
        <v>0</v>
      </c>
      <c r="BP59" s="15" t="n">
        <f aca="false">0</f>
        <v>0</v>
      </c>
      <c r="BQ59" s="15" t="n">
        <f aca="false">BN59+BM59-BO59</f>
        <v>-991536.263136052</v>
      </c>
      <c r="BR59" s="15" t="n">
        <f aca="false">BH59+AD59+BL59+MAX(0,-AM59)+MAX(0,-AR59)+AG59</f>
        <v>-240325.931752802</v>
      </c>
      <c r="BS59" s="15" t="n">
        <f aca="false">AJ59+AV59+MAX(0,AM59)+MAX(0,AR59)+BC59+BG59+BQ59</f>
        <v>-240325.931752802</v>
      </c>
      <c r="BT59" s="15" t="n">
        <f aca="false">BR59-BS59</f>
        <v>0</v>
      </c>
      <c r="BU59" s="15" t="n">
        <f aca="false">BH59-(BD59+BE59-BF59-AY59)</f>
        <v>0</v>
      </c>
      <c r="BV59" s="15" t="n">
        <f aca="false">MIN(Piano_SS!$C$6,(BV58)+IF(AND(Motore_Operativo!C59&gt;=EDATE(Parametri_v3!$C$24,Ipotesi!C14*12),Motore_Operativo!C59&lt;EDATE(Parametri_v3!$C$24,Parametri_v3!$C$25+Ipotesi!C14*12)),MAX(0,(Motore_Operativo!Y59+Motore_Operativo!X59*Parametri_v3!$C$14)*(1-Parametri_v3!$C$32))*Piano_SS!$D$6,0))</f>
        <v>300000</v>
      </c>
      <c r="BW59" s="15" t="n">
        <f aca="false">MIN(Piano_SS!$C$7,(BW58)+IF(AND(Motore_Operativo!C59&gt;=EDATE(Parametri_v3!$C$24,Ipotesi!C14*12),Motore_Operativo!C59&lt;EDATE(Parametri_v3!$C$24,Parametri_v3!$C$25+Ipotesi!C14*12)),MAX(0,(IF(55-(INT((Ipotesi!$C$91)/30))&lt;1,0,INDEX(Motore_Operativo!$BN$5:$BN$64,MAX(1,55-(INT((Ipotesi!$C$91)/30)))))*(1-(MOD((Ipotesi!$C$91),30)/30))+IF(55-(INT((Ipotesi!$C$91)/30))-1&lt;1,0,INDEX(Motore_Operativo!$BN$5:$BN$64,MAX(1,55-(INT((Ipotesi!$C$91)/30))-1)))*(MOD((Ipotesi!$C$91),30)/30)))*Piano_SS!$D$7,0))</f>
        <v>37208.8229697489</v>
      </c>
      <c r="BX59" s="15" t="n">
        <f aca="false">MIN(Piano_SS!$C$8,(BX58)+IF(AND(Motore_Operativo!C59&gt;=EDATE(Parametri_v3!$C$24,Ipotesi!C14*12),Motore_Operativo!C59&lt;EDATE(Parametri_v3!$C$24,Parametri_v3!$C$25+Ipotesi!C14*12)),MAX(0,Motore_Operativo!CE59)*Piano_SS!$D$8,0))</f>
        <v>50000</v>
      </c>
      <c r="BY59" s="15" t="n">
        <f aca="false">MIN(Piano_SS!$C$9,(BY58)+IF(AND(Motore_Operativo!C59&gt;=EDATE(Parametri_v3!$C$24,Ipotesi!C14*12),Motore_Operativo!C59&lt;EDATE(Parametri_v3!$C$24,Parametri_v3!$C$25+Ipotesi!C14*12)),MAX(0,((IF(55-(INT((Ipotesi!$C$91)/30))&lt;1,0,INDEX(Motore_Operativo!$BQ$5:$BQ$64,MAX(1,55-(INT((Ipotesi!$C$91)/30)))))*(1-(MOD((Ipotesi!$C$91),30)/30))+IF(55-(INT((Ipotesi!$C$91)/30))-1&lt;1,0,INDEX(Motore_Operativo!$BQ$5:$BQ$64,MAX(1,55-(INT((Ipotesi!$C$91)/30))-1)))*(MOD((Ipotesi!$C$91),30)/30))+(IF(55-(INT((Ipotesi!$C$91)/30))&lt;1,0,INDEX(Motore_Operativo!$BR$5:$BR$64,MAX(1,55-(INT((Ipotesi!$C$91)/30)))))*(1-(MOD((Ipotesi!$C$91),30)/30))+IF(55-(INT((Ipotesi!$C$91)/30))-1&lt;1,0,INDEX(Motore_Operativo!$BR$5:$BR$64,MAX(1,55-(INT((Ipotesi!$C$91)/30))-1)))*(MOD((Ipotesi!$C$91),30)/30))))*Piano_SS!$D$9,0))</f>
        <v>40000</v>
      </c>
      <c r="BZ59" s="15" t="n">
        <f aca="false">MIN(Piano_SS!$C$10,(BZ58)+IF(AND(Motore_Operativo!C59&gt;=EDATE(Parametri_v3!$C$24,Ipotesi!C14*12),Motore_Operativo!C59&lt;EDATE(Parametri_v3!$C$24,Parametri_v3!$C$25+Ipotesi!C14*12)),MAX(0,(IF(55-(INT((Ipotesi!$C$91)/30))&lt;1,0,INDEX(Motore_Operativo!$BO$5:$BO$64,MAX(1,55-(INT((Ipotesi!$C$91)/30)))))*(1-(MOD((Ipotesi!$C$91),30)/30))+IF(55-(INT((Ipotesi!$C$91)/30))-1&lt;1,0,INDEX(Motore_Operativo!$BO$5:$BO$64,MAX(1,55-(INT((Ipotesi!$C$91)/30))-1)))*(MOD((Ipotesi!$C$91),30)/30)))*Piano_SS!$D$10,0))</f>
        <v>30000</v>
      </c>
      <c r="CA59" s="15" t="n">
        <f aca="false">SUM(BV59:BZ59)</f>
        <v>457208.822969749</v>
      </c>
      <c r="CB59" s="15" t="n">
        <f aca="false">BV59*(1-Piano_SS!$E$6)+BW59*(1-Piano_SS!$E$7)+BX59*(1-Piano_SS!$E$8)+BY59*(1-Piano_SS!$E$9)+BZ59*(1-Piano_SS!$E$10)</f>
        <v>427208.822969749</v>
      </c>
      <c r="CC59" s="15" t="n">
        <f aca="false">(CC58)+BA59</f>
        <v>365767.058375799</v>
      </c>
      <c r="CD59" s="15" t="n">
        <f aca="false">IF(CA59=0,0,CC59*CB59/CA59*Ipotesi!$C$103*Parametri_v3!$C$64)</f>
        <v>102530.11751274</v>
      </c>
      <c r="CE59" s="18" t="n">
        <f aca="false">IF(BA59&gt;0,Motore_Operativo!C59,(CE58))</f>
        <v>47270</v>
      </c>
      <c r="CF59" s="18" t="n">
        <f aca="false">IF(AND(CC59&gt;0,OR(CC59&gt;=CG59-0.01,Motore_Operativo!C59&gt;=EDATE(MAX(Finanziamenti!$D$15:$D$17),Ipotesi!C14*12))),CE59,0)</f>
        <v>47270</v>
      </c>
      <c r="CG59" s="15" t="n">
        <f aca="false">IF(AND(1&lt;&gt;6,1&lt;&gt;9,Finanziamenti!$F$11=1,OR(Parametri_v3!$C$6=0,Finanziamenti!$E$11=1)),MIN(Finanziamenti!$C$11,Piano_SS!$C$12*Ipotesi!$C$102),0)</f>
        <v>400000</v>
      </c>
      <c r="CH59" s="15" t="n">
        <f aca="false">IF(AND(AND(1&lt;&gt;8,1&lt;&gt;9,Finanziamenti!$F$10=1,OR(Parametri_v3!$C$6=0,Finanziamenti!$E$10=1)),Motore_Operativo!C59&gt;=Finanziamenti!$D$10,Motore_Operativo!C59&lt;Parametri_v3!$C$63),Finanziamenti!$C$10,0)</f>
        <v>150000</v>
      </c>
    </row>
    <row r="60" customFormat="false" ht="18" hidden="false" customHeight="true" outlineLevel="0" collapsed="false">
      <c r="A60" s="68" t="n">
        <f aca="false">1</f>
        <v>1</v>
      </c>
      <c r="B60" s="68" t="n">
        <f aca="false">56</f>
        <v>56</v>
      </c>
      <c r="C60" s="18" t="n">
        <f aca="false">Motore_Operativo!C60</f>
        <v>48061</v>
      </c>
      <c r="D60" s="68" t="n">
        <f aca="false">Motore_Operativo!D60</f>
        <v>2031</v>
      </c>
      <c r="E60" s="68" t="n">
        <f aca="false">Motore_Operativo!E60</f>
        <v>8</v>
      </c>
      <c r="F60" s="15" t="n">
        <f aca="false">Motore_Operativo!AQ60+Motore_Operativo!BF60</f>
        <v>151112.409803079</v>
      </c>
      <c r="G60" s="15" t="n">
        <f aca="false">Motore_Operativo!BH60</f>
        <v>8696.875</v>
      </c>
      <c r="H60" s="15" t="n">
        <f aca="false">Motore_Operativo!BI60</f>
        <v>159809.284803079</v>
      </c>
      <c r="I60" s="15" t="n">
        <f aca="false">Motore_Operativo!CA60</f>
        <v>195524.805276598</v>
      </c>
      <c r="J60" s="15" t="n">
        <f aca="false">Motore_Operativo!CC60</f>
        <v>-35715.5204735185</v>
      </c>
      <c r="K60" s="15" t="n">
        <f aca="false">Motore_Operativo!CE60</f>
        <v>4166.66666666667</v>
      </c>
      <c r="L60" s="15" t="n">
        <f aca="false">SUM(INDEX($K$5:$K$64,MAX(1,56-Parametri_v3!$C$59+1)):K60)/Parametri_v3!$C$59</f>
        <v>3101.85185185185</v>
      </c>
      <c r="M60" s="15" t="n">
        <f aca="false">J60-L60</f>
        <v>-38817.3723253703</v>
      </c>
      <c r="N60" s="15" t="n">
        <f aca="false">CD60-(CD59)</f>
        <v>0</v>
      </c>
      <c r="O60" s="15" t="n">
        <f aca="false">(BG59)*Ipotesi!$C$110/12+CH60*Parametri_v3!$C$39/12</f>
        <v>750</v>
      </c>
      <c r="P60" s="15" t="n">
        <f aca="false">M60+N60-O60</f>
        <v>-39567.3723253703</v>
      </c>
      <c r="Q60" s="15" t="n">
        <f aca="false">SUM(P53:P60)+Parametri_v3!$C$54*8/12</f>
        <v>-381603.506788282</v>
      </c>
      <c r="R60" s="15" t="n">
        <f aca="false">Z52</f>
        <v>1327622.74335066</v>
      </c>
      <c r="S60" s="15" t="n">
        <f aca="false">AA52</f>
        <v>651877.385322478</v>
      </c>
      <c r="T60" s="15" t="n">
        <f aca="false">MIN(R60,MAX(0,Q60))</f>
        <v>0</v>
      </c>
      <c r="U60" s="15" t="n">
        <f aca="false">MIN(S60,MAX(0,Q60-T60)*Parametri_v3!$C$42)</f>
        <v>0</v>
      </c>
      <c r="V60" s="15" t="n">
        <f aca="false">MAX(0,Q60-T60-U60)*Ipotesi!$C$92</f>
        <v>0</v>
      </c>
      <c r="W60" s="15" t="n">
        <f aca="false">MAX(0,SUM(M53:M60)+Parametri_v3!$C$55*8/12)*Ipotesi!$C$93</f>
        <v>0</v>
      </c>
      <c r="X60" s="15" t="n">
        <f aca="false">V60+W60-(V59+W59)</f>
        <v>0</v>
      </c>
      <c r="Y60" s="15" t="n">
        <f aca="false">P60-X60</f>
        <v>-39567.3723253703</v>
      </c>
      <c r="Z60" s="15" t="n">
        <f aca="false">R60-T60+IF(AND(Parametri_v3!$C$40=1,D60-YEAR(Parametri_v3!$C$50)&lt;Parametri_v3!$C$41),MAX(0,-Q60),0)</f>
        <v>1327622.74335066</v>
      </c>
      <c r="AA60" s="15" t="n">
        <f aca="false">S60-U60+IF(AND(Parametri_v3!$C$40=1,D60-YEAR(Parametri_v3!$C$50)&lt;Parametri_v3!$C$41),0,MAX(0,-Q60))</f>
        <v>1033480.89211076</v>
      </c>
      <c r="AB60" s="15" t="n">
        <f aca="false">F60*(1+Parametri_v3!$C$26)</f>
        <v>184357.139959757</v>
      </c>
      <c r="AC60" s="15" t="n">
        <f aca="false">(IF(56-(INT((Motore_Operativo!L60)/30))&lt;1,0,INDEX(Motore_Startup!$AB$5:$AB$64,MAX(1,56-(INT((Motore_Operativo!L60)/30)))))*(1-(MOD((Motore_Operativo!L60),30)/30))+IF(56-(INT((Motore_Operativo!L60)/30))-1&lt;1,0,INDEX(Motore_Startup!$AB$5:$AB$64,MAX(1,56-(INT((Motore_Operativo!L60)/30))-1)))*(MOD((Motore_Operativo!L60),30)/30))</f>
        <v>173868.531236637</v>
      </c>
      <c r="AD60" s="15" t="n">
        <f aca="false">(AD59)+AB60-AC60</f>
        <v>542644.2039909</v>
      </c>
      <c r="AE60" s="15" t="n">
        <f aca="false">Motore_Operativo!BH60*(1+Parametri_v3!$C$26)</f>
        <v>10610.1875</v>
      </c>
      <c r="AF60" s="15" t="n">
        <f aca="false">(IF(56-(INT((Parametri_v3!$C$29)/30))&lt;1,0,INDEX(Motore_Operativo!$BH$5:$BH$64,MAX(1,56-(INT((Parametri_v3!$C$29)/30)))))*(1-(MOD((Parametri_v3!$C$29),30)/30))+IF(56-(INT((Parametri_v3!$C$29)/30))-1&lt;1,0,INDEX(Motore_Operativo!$BH$5:$BH$64,MAX(1,56-(INT((Parametri_v3!$C$29)/30))-1)))*(MOD((Parametri_v3!$C$29),30)/30))*(1+Parametri_v3!$C$26)</f>
        <v>10610.1875</v>
      </c>
      <c r="AG60" s="15" t="n">
        <f aca="false">(AG59)+AE60-AF60</f>
        <v>10610.1875</v>
      </c>
      <c r="AH60" s="15" t="n">
        <f aca="false">(Motore_Operativo!CJ60)*(1+Parametri_v3!$C$27*Parametri_v3!$C$26)</f>
        <v>90268.3551464924</v>
      </c>
      <c r="AI60" s="15" t="n">
        <f aca="false">(IF(56-(INT((Ipotesi!$C$91)/30))&lt;1,0,INDEX(Motore_Startup!$AH$5:$AH$64,MAX(1,56-(INT((Ipotesi!$C$91)/30)))))*(1-(MOD((Ipotesi!$C$91),30)/30))+IF(56-(INT((Ipotesi!$C$91)/30))-1&lt;1,0,INDEX(Motore_Startup!$AH$5:$AH$64,MAX(1,56-(INT((Ipotesi!$C$91)/30))-1)))*(MOD((Ipotesi!$C$91),30)/30))</f>
        <v>89320.0851439326</v>
      </c>
      <c r="AJ60" s="15" t="n">
        <f aca="false">(AJ59)+AH60-AI60</f>
        <v>180064.656741176</v>
      </c>
      <c r="AK60" s="15" t="n">
        <f aca="false">(F60+ Motore_Operativo!BH60-(Motore_Operativo!CJ60)*Parametri_v3!$C$27-Motore_Operativo!CE60)*Parametri_v3!$C$26</f>
        <v>20020.4977992828</v>
      </c>
      <c r="AL60" s="15" t="n">
        <f aca="false">MAX(0,(AM59))</f>
        <v>19469.929623741</v>
      </c>
      <c r="AM60" s="15" t="n">
        <f aca="false">(AM59)+AK60-AL60</f>
        <v>20020.4977992828</v>
      </c>
      <c r="AN60" s="15" t="n">
        <f aca="false">SUM(X41:X52)</f>
        <v>0</v>
      </c>
      <c r="AO60" s="15" t="n">
        <f aca="false">SUM(AP41:AP52)</f>
        <v>0</v>
      </c>
      <c r="AP60" s="15" t="n">
        <f aca="false">MAX(0,AN60)*IF(8=Parametri_v3!$C$43,Parametri_v3!$C$45,IF(8=Parametri_v3!$C$44,1-Parametri_v3!$C$45,0))</f>
        <v>0</v>
      </c>
      <c r="AQ60" s="15" t="n">
        <f aca="false">MAX(0,AP60+IF(8=Parametri_v3!$C$43,MAX(0,AN60-AO60),0)-MAX(0,-(AR59)))</f>
        <v>0</v>
      </c>
      <c r="AR60" s="15" t="n">
        <f aca="false">(AR59)+X60-AQ60</f>
        <v>0</v>
      </c>
      <c r="AS60" s="15" t="n">
        <f aca="false">Motore_Operativo!AB60-AT60+AU60</f>
        <v>113503.461904792</v>
      </c>
      <c r="AT60" s="15" t="n">
        <f aca="false">Motore_Operativo!CH60</f>
        <v>5973.86641604167</v>
      </c>
      <c r="AU60" s="15" t="n">
        <f aca="false">MIN(MAX(0,(AV59)+AT60),Parametri_v3!$C$60/12)</f>
        <v>0</v>
      </c>
      <c r="AV60" s="15" t="n">
        <f aca="false">(AV59)+AT60-AU60</f>
        <v>184846.481703333</v>
      </c>
      <c r="AW60" s="15" t="n">
        <f aca="false">IF(AND(Motore_Operativo!C60=Finanziamenti!$D$6,Finanziamenti!$F$6=1),Finanziamenti!$C$6,0)</f>
        <v>0</v>
      </c>
      <c r="AX60" s="15" t="n">
        <f aca="false">IF(AND(1&lt;&gt;7,1&lt;&gt;9,Finanziamenti!$F$8=1,OR(Parametri_v3!$C$6=0,Finanziamenti!$E$8=1),Motore_Operativo!C60=EDATE(Finanziamenti!$D$8,Ipotesi!C15*12)),Finanziamenti!$C$8*1,0)+IF(AND(1&lt;&gt;7,1&lt;&gt;9,Finanziamenti!$F$9=1,OR(Parametri_v3!$C$6=0,Finanziamenti!$E$9=1),Motore_Operativo!C60=EDATE(Finanziamenti!$D$9,Ipotesi!C15*12)),Finanziamenti!$C$9*Ipotesi!C16,0)</f>
        <v>0</v>
      </c>
      <c r="AY60" s="15" t="n">
        <f aca="false">0</f>
        <v>0</v>
      </c>
      <c r="AZ60" s="15" t="n">
        <f aca="false">Motore_Advisory!AY60*(1-Ipotesi!$C$95)*Ipotesi!$C$96</f>
        <v>0</v>
      </c>
      <c r="BA60" s="15" t="n">
        <f aca="false">MAX(0,MIN(CG60*MIN(1,IF(Motore_Operativo!C60&gt;=EDATE(Finanziamenti!$D$15,Ipotesi!C14*12),Finanziamenti!$C$15,0)+IF(Motore_Operativo!C60&gt;=EDATE(Finanziamenti!$D$16,Ipotesi!C14*12),Finanziamenti!$C$16,0)+IF(Motore_Operativo!C60&gt;=EDATE(Finanziamenti!$D$17,Ipotesi!C14*12),Finanziamenti!$C$17,0)),CA60*Ipotesi!$C$102)-(CC59))</f>
        <v>0</v>
      </c>
      <c r="BB60" s="15" t="n">
        <f aca="false">IF(AND(CF60&gt;0,Motore_Operativo!C60&gt;=IF(CF60=0,0,EDATE(CF60,Parametri_v3!$C$37)),MOD(((D60-YEAR(IF(CF60=0,0,EDATE(CF60,Parametri_v3!$C$37))))*12+E60-MONTH(IF(CF60=0,0,EDATE(CF60,Parametri_v3!$C$37)))),Parametri_v3!$C$38)=0),MIN(MAX(0,(BC59)+BA60-N60),(CC60-CD60)/(Ipotesi!$C$108*12/Parametri_v3!$C$38)),0)</f>
        <v>0</v>
      </c>
      <c r="BC60" s="15" t="n">
        <f aca="false">(BC59)+BA60-N60-BB60</f>
        <v>223751.399733601</v>
      </c>
      <c r="BD60" s="15" t="n">
        <f aca="false">(BH59)+AC60+AF60-AI60-AS60-K60*(1+Parametri_v3!$C$26)-AL60-AQ60-O60+AW60+AX60+AZ60+BA60-BB60</f>
        <v>-886994.435419373</v>
      </c>
      <c r="BE60" s="15" t="n">
        <f aca="false">MAX(0,MIN(MAX(0,CH60-(BG59)),Parametri_v3!$C$30-BD60))</f>
        <v>0</v>
      </c>
      <c r="BF60" s="15" t="n">
        <f aca="false">IF(Motore_Operativo!C60&gt;=Parametri_v3!$C$63,(BG59),MIN((BG59),MAX(0,BD60-Parametri_v3!$C$30)))</f>
        <v>0</v>
      </c>
      <c r="BG60" s="15" t="n">
        <f aca="false">(BG59)+BE60-BF60</f>
        <v>150000</v>
      </c>
      <c r="BH60" s="15" t="n">
        <f aca="false">BD60+BE60-BF60-AY60</f>
        <v>-886994.435419373</v>
      </c>
      <c r="BI60" s="15" t="n">
        <f aca="false">MAX(0,Parametri_v3!$C$30-BH60)</f>
        <v>911994.435419373</v>
      </c>
      <c r="BJ60" s="15" t="n">
        <f aca="false">(BJ59)+K60</f>
        <v>148333.333333333</v>
      </c>
      <c r="BK60" s="15" t="n">
        <f aca="false">(BK59)+L60</f>
        <v>87013.8888888889</v>
      </c>
      <c r="BL60" s="15" t="n">
        <f aca="false">BJ60-BK60</f>
        <v>61319.4444444444</v>
      </c>
      <c r="BM60" s="15" t="n">
        <f aca="false">(BM59)+Y60</f>
        <v>-2361103.63546142</v>
      </c>
      <c r="BN60" s="15" t="n">
        <f aca="false">(BN59)+AW60+AX60+AZ60</f>
        <v>1330000</v>
      </c>
      <c r="BO60" s="15" t="n">
        <f aca="false">(BO59)+AY60</f>
        <v>0</v>
      </c>
      <c r="BP60" s="15" t="n">
        <f aca="false">0</f>
        <v>0</v>
      </c>
      <c r="BQ60" s="15" t="n">
        <f aca="false">BN60+BM60-BO60</f>
        <v>-1031103.63546142</v>
      </c>
      <c r="BR60" s="15" t="n">
        <f aca="false">BH60+AD60+BL60+MAX(0,-AM60)+MAX(0,-AR60)+AG60</f>
        <v>-272420.599484029</v>
      </c>
      <c r="BS60" s="15" t="n">
        <f aca="false">AJ60+AV60+MAX(0,AM60)+MAX(0,AR60)+BC60+BG60+BQ60</f>
        <v>-272420.599484029</v>
      </c>
      <c r="BT60" s="15" t="n">
        <f aca="false">BR60-BS60</f>
        <v>0</v>
      </c>
      <c r="BU60" s="15" t="n">
        <f aca="false">BH60-(BD60+BE60-BF60-AY60)</f>
        <v>0</v>
      </c>
      <c r="BV60" s="15" t="n">
        <f aca="false">MIN(Piano_SS!$C$6,(BV59)+IF(AND(Motore_Operativo!C60&gt;=EDATE(Parametri_v3!$C$24,Ipotesi!C14*12),Motore_Operativo!C60&lt;EDATE(Parametri_v3!$C$24,Parametri_v3!$C$25+Ipotesi!C14*12)),MAX(0,(Motore_Operativo!Y60+Motore_Operativo!X60*Parametri_v3!$C$14)*(1-Parametri_v3!$C$32))*Piano_SS!$D$6,0))</f>
        <v>300000</v>
      </c>
      <c r="BW60" s="15" t="n">
        <f aca="false">MIN(Piano_SS!$C$7,(BW59)+IF(AND(Motore_Operativo!C60&gt;=EDATE(Parametri_v3!$C$24,Ipotesi!C14*12),Motore_Operativo!C60&lt;EDATE(Parametri_v3!$C$24,Parametri_v3!$C$25+Ipotesi!C14*12)),MAX(0,(IF(56-(INT((Ipotesi!$C$91)/30))&lt;1,0,INDEX(Motore_Operativo!$BN$5:$BN$64,MAX(1,56-(INT((Ipotesi!$C$91)/30)))))*(1-(MOD((Ipotesi!$C$91),30)/30))+IF(56-(INT((Ipotesi!$C$91)/30))-1&lt;1,0,INDEX(Motore_Operativo!$BN$5:$BN$64,MAX(1,56-(INT((Ipotesi!$C$91)/30))-1)))*(MOD((Ipotesi!$C$91),30)/30)))*Piano_SS!$D$7,0))</f>
        <v>37208.8229697489</v>
      </c>
      <c r="BX60" s="15" t="n">
        <f aca="false">MIN(Piano_SS!$C$8,(BX59)+IF(AND(Motore_Operativo!C60&gt;=EDATE(Parametri_v3!$C$24,Ipotesi!C14*12),Motore_Operativo!C60&lt;EDATE(Parametri_v3!$C$24,Parametri_v3!$C$25+Ipotesi!C14*12)),MAX(0,Motore_Operativo!CE60)*Piano_SS!$D$8,0))</f>
        <v>50000</v>
      </c>
      <c r="BY60" s="15" t="n">
        <f aca="false">MIN(Piano_SS!$C$9,(BY59)+IF(AND(Motore_Operativo!C60&gt;=EDATE(Parametri_v3!$C$24,Ipotesi!C14*12),Motore_Operativo!C60&lt;EDATE(Parametri_v3!$C$24,Parametri_v3!$C$25+Ipotesi!C14*12)),MAX(0,((IF(56-(INT((Ipotesi!$C$91)/30))&lt;1,0,INDEX(Motore_Operativo!$BQ$5:$BQ$64,MAX(1,56-(INT((Ipotesi!$C$91)/30)))))*(1-(MOD((Ipotesi!$C$91),30)/30))+IF(56-(INT((Ipotesi!$C$91)/30))-1&lt;1,0,INDEX(Motore_Operativo!$BQ$5:$BQ$64,MAX(1,56-(INT((Ipotesi!$C$91)/30))-1)))*(MOD((Ipotesi!$C$91),30)/30))+(IF(56-(INT((Ipotesi!$C$91)/30))&lt;1,0,INDEX(Motore_Operativo!$BR$5:$BR$64,MAX(1,56-(INT((Ipotesi!$C$91)/30)))))*(1-(MOD((Ipotesi!$C$91),30)/30))+IF(56-(INT((Ipotesi!$C$91)/30))-1&lt;1,0,INDEX(Motore_Operativo!$BR$5:$BR$64,MAX(1,56-(INT((Ipotesi!$C$91)/30))-1)))*(MOD((Ipotesi!$C$91),30)/30))))*Piano_SS!$D$9,0))</f>
        <v>40000</v>
      </c>
      <c r="BZ60" s="15" t="n">
        <f aca="false">MIN(Piano_SS!$C$10,(BZ59)+IF(AND(Motore_Operativo!C60&gt;=EDATE(Parametri_v3!$C$24,Ipotesi!C14*12),Motore_Operativo!C60&lt;EDATE(Parametri_v3!$C$24,Parametri_v3!$C$25+Ipotesi!C14*12)),MAX(0,(IF(56-(INT((Ipotesi!$C$91)/30))&lt;1,0,INDEX(Motore_Operativo!$BO$5:$BO$64,MAX(1,56-(INT((Ipotesi!$C$91)/30)))))*(1-(MOD((Ipotesi!$C$91),30)/30))+IF(56-(INT((Ipotesi!$C$91)/30))-1&lt;1,0,INDEX(Motore_Operativo!$BO$5:$BO$64,MAX(1,56-(INT((Ipotesi!$C$91)/30))-1)))*(MOD((Ipotesi!$C$91),30)/30)))*Piano_SS!$D$10,0))</f>
        <v>30000</v>
      </c>
      <c r="CA60" s="15" t="n">
        <f aca="false">SUM(BV60:BZ60)</f>
        <v>457208.822969749</v>
      </c>
      <c r="CB60" s="15" t="n">
        <f aca="false">BV60*(1-Piano_SS!$E$6)+BW60*(1-Piano_SS!$E$7)+BX60*(1-Piano_SS!$E$8)+BY60*(1-Piano_SS!$E$9)+BZ60*(1-Piano_SS!$E$10)</f>
        <v>427208.822969749</v>
      </c>
      <c r="CC60" s="15" t="n">
        <f aca="false">(CC59)+BA60</f>
        <v>365767.058375799</v>
      </c>
      <c r="CD60" s="15" t="n">
        <f aca="false">IF(CA60=0,0,CC60*CB60/CA60*Ipotesi!$C$103*Parametri_v3!$C$64)</f>
        <v>102530.11751274</v>
      </c>
      <c r="CE60" s="18" t="n">
        <f aca="false">IF(BA60&gt;0,Motore_Operativo!C60,(CE59))</f>
        <v>47270</v>
      </c>
      <c r="CF60" s="18" t="n">
        <f aca="false">IF(AND(CC60&gt;0,OR(CC60&gt;=CG60-0.01,Motore_Operativo!C60&gt;=EDATE(MAX(Finanziamenti!$D$15:$D$17),Ipotesi!C14*12))),CE60,0)</f>
        <v>47270</v>
      </c>
      <c r="CG60" s="15" t="n">
        <f aca="false">IF(AND(1&lt;&gt;6,1&lt;&gt;9,Finanziamenti!$F$11=1,OR(Parametri_v3!$C$6=0,Finanziamenti!$E$11=1)),MIN(Finanziamenti!$C$11,Piano_SS!$C$12*Ipotesi!$C$102),0)</f>
        <v>400000</v>
      </c>
      <c r="CH60" s="15" t="n">
        <f aca="false">IF(AND(AND(1&lt;&gt;8,1&lt;&gt;9,Finanziamenti!$F$10=1,OR(Parametri_v3!$C$6=0,Finanziamenti!$E$10=1)),Motore_Operativo!C60&gt;=Finanziamenti!$D$10,Motore_Operativo!C60&lt;Parametri_v3!$C$63),Finanziamenti!$C$10,0)</f>
        <v>150000</v>
      </c>
    </row>
    <row r="61" customFormat="false" ht="18" hidden="false" customHeight="true" outlineLevel="0" collapsed="false">
      <c r="A61" s="68" t="n">
        <f aca="false">1</f>
        <v>1</v>
      </c>
      <c r="B61" s="68" t="n">
        <f aca="false">57</f>
        <v>57</v>
      </c>
      <c r="C61" s="18" t="n">
        <f aca="false">Motore_Operativo!C61</f>
        <v>48092</v>
      </c>
      <c r="D61" s="68" t="n">
        <f aca="false">Motore_Operativo!D61</f>
        <v>2031</v>
      </c>
      <c r="E61" s="68" t="n">
        <f aca="false">Motore_Operativo!E61</f>
        <v>9</v>
      </c>
      <c r="F61" s="15" t="n">
        <f aca="false">Motore_Operativo!AQ61+Motore_Operativo!BF61</f>
        <v>153928.194153235</v>
      </c>
      <c r="G61" s="15" t="n">
        <f aca="false">Motore_Operativo!BH61</f>
        <v>8696.875</v>
      </c>
      <c r="H61" s="15" t="n">
        <f aca="false">Motore_Operativo!BI61</f>
        <v>162625.069153235</v>
      </c>
      <c r="I61" s="15" t="n">
        <f aca="false">Motore_Operativo!CA61</f>
        <v>195919.01508562</v>
      </c>
      <c r="J61" s="15" t="n">
        <f aca="false">Motore_Operativo!CC61</f>
        <v>-33293.9459323846</v>
      </c>
      <c r="K61" s="15" t="n">
        <f aca="false">Motore_Operativo!CE61</f>
        <v>4166.66666666667</v>
      </c>
      <c r="L61" s="15" t="n">
        <f aca="false">SUM(INDEX($K$5:$K$64,MAX(1,57-Parametri_v3!$C$59+1)):K61)/Parametri_v3!$C$59</f>
        <v>3159.72222222222</v>
      </c>
      <c r="M61" s="15" t="n">
        <f aca="false">J61-L61</f>
        <v>-36453.6681546068</v>
      </c>
      <c r="N61" s="15" t="n">
        <f aca="false">CD61-(CD60)</f>
        <v>0</v>
      </c>
      <c r="O61" s="15" t="n">
        <f aca="false">(BG60)*Ipotesi!$C$110/12+CH61*Parametri_v3!$C$39/12</f>
        <v>750</v>
      </c>
      <c r="P61" s="15" t="n">
        <f aca="false">M61+N61-O61</f>
        <v>-37203.6681546068</v>
      </c>
      <c r="Q61" s="15" t="n">
        <f aca="false">SUM(P53:P61)+Parametri_v3!$C$54*9/12</f>
        <v>-418807.174942889</v>
      </c>
      <c r="R61" s="15" t="n">
        <f aca="false">Z52</f>
        <v>1327622.74335066</v>
      </c>
      <c r="S61" s="15" t="n">
        <f aca="false">AA52</f>
        <v>651877.385322478</v>
      </c>
      <c r="T61" s="15" t="n">
        <f aca="false">MIN(R61,MAX(0,Q61))</f>
        <v>0</v>
      </c>
      <c r="U61" s="15" t="n">
        <f aca="false">MIN(S61,MAX(0,Q61-T61)*Parametri_v3!$C$42)</f>
        <v>0</v>
      </c>
      <c r="V61" s="15" t="n">
        <f aca="false">MAX(0,Q61-T61-U61)*Ipotesi!$C$92</f>
        <v>0</v>
      </c>
      <c r="W61" s="15" t="n">
        <f aca="false">MAX(0,SUM(M53:M61)+Parametri_v3!$C$55*9/12)*Ipotesi!$C$93</f>
        <v>0</v>
      </c>
      <c r="X61" s="15" t="n">
        <f aca="false">V61+W61-(V60+W60)</f>
        <v>0</v>
      </c>
      <c r="Y61" s="15" t="n">
        <f aca="false">P61-X61</f>
        <v>-37203.6681546068</v>
      </c>
      <c r="Z61" s="15" t="n">
        <f aca="false">R61-T61+IF(AND(Parametri_v3!$C$40=1,D61-YEAR(Parametri_v3!$C$50)&lt;Parametri_v3!$C$41),MAX(0,-Q61),0)</f>
        <v>1327622.74335066</v>
      </c>
      <c r="AA61" s="15" t="n">
        <f aca="false">S61-U61+IF(AND(Parametri_v3!$C$40=1,D61-YEAR(Parametri_v3!$C$50)&lt;Parametri_v3!$C$41),0,MAX(0,-Q61))</f>
        <v>1070684.56026537</v>
      </c>
      <c r="AB61" s="15" t="n">
        <f aca="false">F61*(1+Parametri_v3!$C$26)</f>
        <v>187792.396866947</v>
      </c>
      <c r="AC61" s="15" t="n">
        <f aca="false">(IF(57-(INT((Motore_Operativo!L61)/30))&lt;1,0,INDEX(Motore_Startup!$AB$5:$AB$64,MAX(1,57-(INT((Motore_Operativo!L61)/30)))))*(1-(MOD((Motore_Operativo!L61),30)/30))+IF(57-(INT((Motore_Operativo!L61)/30))-1&lt;1,0,INDEX(Motore_Startup!$AB$5:$AB$64,MAX(1,57-(INT((Motore_Operativo!L61)/30))-1)))*(MOD((Motore_Operativo!L61),30)/30))</f>
        <v>177395.47548074</v>
      </c>
      <c r="AD61" s="15" t="n">
        <f aca="false">(AD60)+AB61-AC61</f>
        <v>553041.125377106</v>
      </c>
      <c r="AE61" s="15" t="n">
        <f aca="false">Motore_Operativo!BH61*(1+Parametri_v3!$C$26)</f>
        <v>10610.1875</v>
      </c>
      <c r="AF61" s="15" t="n">
        <f aca="false">(IF(57-(INT((Parametri_v3!$C$29)/30))&lt;1,0,INDEX(Motore_Operativo!$BH$5:$BH$64,MAX(1,57-(INT((Parametri_v3!$C$29)/30)))))*(1-(MOD((Parametri_v3!$C$29),30)/30))+IF(57-(INT((Parametri_v3!$C$29)/30))-1&lt;1,0,INDEX(Motore_Operativo!$BH$5:$BH$64,MAX(1,57-(INT((Parametri_v3!$C$29)/30))-1)))*(MOD((Parametri_v3!$C$29),30)/30))*(1+Parametri_v3!$C$26)</f>
        <v>10610.1875</v>
      </c>
      <c r="AG61" s="15" t="n">
        <f aca="false">(AG60)+AE61-AF61</f>
        <v>10610.1875</v>
      </c>
      <c r="AH61" s="15" t="n">
        <f aca="false">(Motore_Operativo!CJ61)*(1+Parametri_v3!$C$27*Parametri_v3!$C$26)</f>
        <v>90736.2821898013</v>
      </c>
      <c r="AI61" s="15" t="n">
        <f aca="false">(IF(57-(INT((Ipotesi!$C$91)/30))&lt;1,0,INDEX(Motore_Startup!$AH$5:$AH$64,MAX(1,57-(INT((Ipotesi!$C$91)/30)))))*(1-(MOD((Ipotesi!$C$91),30)/30))+IF(57-(INT((Ipotesi!$C$91)/30))-1&lt;1,0,INDEX(Motore_Startup!$AH$5:$AH$64,MAX(1,57-(INT((Ipotesi!$C$91)/30))-1)))*(MOD((Ipotesi!$C$91),30)/30))</f>
        <v>89796.3015946838</v>
      </c>
      <c r="AJ61" s="15" t="n">
        <f aca="false">(AJ60)+AH61-AI61</f>
        <v>181004.637336294</v>
      </c>
      <c r="AK61" s="15" t="n">
        <f aca="false">(F61+ Motore_Operativo!BH61-(Motore_Operativo!CJ61)*Parametri_v3!$C$27-Motore_Operativo!CE61)*Parametri_v3!$C$26</f>
        <v>20566.25312203</v>
      </c>
      <c r="AL61" s="15" t="n">
        <f aca="false">MAX(0,(AM60))</f>
        <v>20020.4977992828</v>
      </c>
      <c r="AM61" s="15" t="n">
        <f aca="false">(AM60)+AK61-AL61</f>
        <v>20566.25312203</v>
      </c>
      <c r="AN61" s="15" t="n">
        <f aca="false">SUM(X41:X52)</f>
        <v>0</v>
      </c>
      <c r="AO61" s="15" t="n">
        <f aca="false">SUM(AP41:AP52)</f>
        <v>0</v>
      </c>
      <c r="AP61" s="15" t="n">
        <f aca="false">MAX(0,AN61)*IF(9=Parametri_v3!$C$43,Parametri_v3!$C$45,IF(9=Parametri_v3!$C$44,1-Parametri_v3!$C$45,0))</f>
        <v>0</v>
      </c>
      <c r="AQ61" s="15" t="n">
        <f aca="false">MAX(0,AP61+IF(9=Parametri_v3!$C$43,MAX(0,AN61-AO61),0)-MAX(0,-(AR60)))</f>
        <v>0</v>
      </c>
      <c r="AR61" s="15" t="n">
        <f aca="false">(AR60)+X61-AQ61</f>
        <v>0</v>
      </c>
      <c r="AS61" s="15" t="n">
        <f aca="false">Motore_Operativo!AB61-AT61+AU61</f>
        <v>113503.461904792</v>
      </c>
      <c r="AT61" s="15" t="n">
        <f aca="false">Motore_Operativo!CH61</f>
        <v>5973.86641604167</v>
      </c>
      <c r="AU61" s="15" t="n">
        <f aca="false">MIN(MAX(0,(AV60)+AT61),Parametri_v3!$C$60/12)</f>
        <v>0</v>
      </c>
      <c r="AV61" s="15" t="n">
        <f aca="false">(AV60)+AT61-AU61</f>
        <v>190820.348119375</v>
      </c>
      <c r="AW61" s="15" t="n">
        <f aca="false">IF(AND(Motore_Operativo!C61=Finanziamenti!$D$6,Finanziamenti!$F$6=1),Finanziamenti!$C$6,0)</f>
        <v>0</v>
      </c>
      <c r="AX61" s="15" t="n">
        <f aca="false">IF(AND(1&lt;&gt;7,1&lt;&gt;9,Finanziamenti!$F$8=1,OR(Parametri_v3!$C$6=0,Finanziamenti!$E$8=1),Motore_Operativo!C61=EDATE(Finanziamenti!$D$8,Ipotesi!C15*12)),Finanziamenti!$C$8*1,0)+IF(AND(1&lt;&gt;7,1&lt;&gt;9,Finanziamenti!$F$9=1,OR(Parametri_v3!$C$6=0,Finanziamenti!$E$9=1),Motore_Operativo!C61=EDATE(Finanziamenti!$D$9,Ipotesi!C15*12)),Finanziamenti!$C$9*Ipotesi!C16,0)</f>
        <v>0</v>
      </c>
      <c r="AY61" s="15" t="n">
        <f aca="false">0</f>
        <v>0</v>
      </c>
      <c r="AZ61" s="15" t="n">
        <f aca="false">Motore_Advisory!AY61*(1-Ipotesi!$C$95)*Ipotesi!$C$96</f>
        <v>0</v>
      </c>
      <c r="BA61" s="15" t="n">
        <f aca="false">MAX(0,MIN(CG61*MIN(1,IF(Motore_Operativo!C61&gt;=EDATE(Finanziamenti!$D$15,Ipotesi!C14*12),Finanziamenti!$C$15,0)+IF(Motore_Operativo!C61&gt;=EDATE(Finanziamenti!$D$16,Ipotesi!C14*12),Finanziamenti!$C$16,0)+IF(Motore_Operativo!C61&gt;=EDATE(Finanziamenti!$D$17,Ipotesi!C14*12),Finanziamenti!$C$17,0)),CA61*Ipotesi!$C$102)-(CC60))</f>
        <v>0</v>
      </c>
      <c r="BB61" s="15" t="n">
        <f aca="false">IF(AND(CF61&gt;0,Motore_Operativo!C61&gt;=IF(CF61=0,0,EDATE(CF61,Parametri_v3!$C$37)),MOD(((D61-YEAR(IF(CF61=0,0,EDATE(CF61,Parametri_v3!$C$37))))*12+E61-MONTH(IF(CF61=0,0,EDATE(CF61,Parametri_v3!$C$37)))),Parametri_v3!$C$38)=0),MIN(MAX(0,(BC60)+BA61-N61),(CC61-CD61)/(Ipotesi!$C$108*12/Parametri_v3!$C$38)),0)</f>
        <v>0</v>
      </c>
      <c r="BC61" s="15" t="n">
        <f aca="false">(BC60)+BA61-N61-BB61</f>
        <v>223751.399733601</v>
      </c>
      <c r="BD61" s="15" t="n">
        <f aca="false">(BH60)+AC61+AF61-AI61-AS61-K61*(1+Parametri_v3!$C$26)-AL61-AQ61-O61+AW61+AX61+AZ61+BA61-BB61</f>
        <v>-928142.367070725</v>
      </c>
      <c r="BE61" s="15" t="n">
        <f aca="false">MAX(0,MIN(MAX(0,CH61-(BG60)),Parametri_v3!$C$30-BD61))</f>
        <v>0</v>
      </c>
      <c r="BF61" s="15" t="n">
        <f aca="false">IF(Motore_Operativo!C61&gt;=Parametri_v3!$C$63,(BG60),MIN((BG60),MAX(0,BD61-Parametri_v3!$C$30)))</f>
        <v>0</v>
      </c>
      <c r="BG61" s="15" t="n">
        <f aca="false">(BG60)+BE61-BF61</f>
        <v>150000</v>
      </c>
      <c r="BH61" s="15" t="n">
        <f aca="false">BD61+BE61-BF61-AY61</f>
        <v>-928142.367070725</v>
      </c>
      <c r="BI61" s="15" t="n">
        <f aca="false">MAX(0,Parametri_v3!$C$30-BH61)</f>
        <v>953142.367070725</v>
      </c>
      <c r="BJ61" s="15" t="n">
        <f aca="false">(BJ60)+K61</f>
        <v>152500</v>
      </c>
      <c r="BK61" s="15" t="n">
        <f aca="false">(BK60)+L61</f>
        <v>90173.6111111111</v>
      </c>
      <c r="BL61" s="15" t="n">
        <f aca="false">BJ61-BK61</f>
        <v>62326.3888888888</v>
      </c>
      <c r="BM61" s="15" t="n">
        <f aca="false">(BM60)+Y61</f>
        <v>-2398307.30361603</v>
      </c>
      <c r="BN61" s="15" t="n">
        <f aca="false">(BN60)+AW61+AX61+AZ61</f>
        <v>1330000</v>
      </c>
      <c r="BO61" s="15" t="n">
        <f aca="false">(BO60)+AY61</f>
        <v>0</v>
      </c>
      <c r="BP61" s="15" t="n">
        <f aca="false">0</f>
        <v>0</v>
      </c>
      <c r="BQ61" s="15" t="n">
        <f aca="false">BN61+BM61-BO61</f>
        <v>-1068307.30361603</v>
      </c>
      <c r="BR61" s="15" t="n">
        <f aca="false">BH61+AD61+BL61+MAX(0,-AM61)+MAX(0,-AR61)+AG61</f>
        <v>-302164.66530473</v>
      </c>
      <c r="BS61" s="15" t="n">
        <f aca="false">AJ61+AV61+MAX(0,AM61)+MAX(0,AR61)+BC61+BG61+BQ61</f>
        <v>-302164.665304729</v>
      </c>
      <c r="BT61" s="15" t="n">
        <f aca="false">BR61-BS61</f>
        <v>0</v>
      </c>
      <c r="BU61" s="15" t="n">
        <f aca="false">BH61-(BD61+BE61-BF61-AY61)</f>
        <v>0</v>
      </c>
      <c r="BV61" s="15" t="n">
        <f aca="false">MIN(Piano_SS!$C$6,(BV60)+IF(AND(Motore_Operativo!C61&gt;=EDATE(Parametri_v3!$C$24,Ipotesi!C14*12),Motore_Operativo!C61&lt;EDATE(Parametri_v3!$C$24,Parametri_v3!$C$25+Ipotesi!C14*12)),MAX(0,(Motore_Operativo!Y61+Motore_Operativo!X61*Parametri_v3!$C$14)*(1-Parametri_v3!$C$32))*Piano_SS!$D$6,0))</f>
        <v>300000</v>
      </c>
      <c r="BW61" s="15" t="n">
        <f aca="false">MIN(Piano_SS!$C$7,(BW60)+IF(AND(Motore_Operativo!C61&gt;=EDATE(Parametri_v3!$C$24,Ipotesi!C14*12),Motore_Operativo!C61&lt;EDATE(Parametri_v3!$C$24,Parametri_v3!$C$25+Ipotesi!C14*12)),MAX(0,(IF(57-(INT((Ipotesi!$C$91)/30))&lt;1,0,INDEX(Motore_Operativo!$BN$5:$BN$64,MAX(1,57-(INT((Ipotesi!$C$91)/30)))))*(1-(MOD((Ipotesi!$C$91),30)/30))+IF(57-(INT((Ipotesi!$C$91)/30))-1&lt;1,0,INDEX(Motore_Operativo!$BN$5:$BN$64,MAX(1,57-(INT((Ipotesi!$C$91)/30))-1)))*(MOD((Ipotesi!$C$91),30)/30)))*Piano_SS!$D$7,0))</f>
        <v>37208.8229697489</v>
      </c>
      <c r="BX61" s="15" t="n">
        <f aca="false">MIN(Piano_SS!$C$8,(BX60)+IF(AND(Motore_Operativo!C61&gt;=EDATE(Parametri_v3!$C$24,Ipotesi!C14*12),Motore_Operativo!C61&lt;EDATE(Parametri_v3!$C$24,Parametri_v3!$C$25+Ipotesi!C14*12)),MAX(0,Motore_Operativo!CE61)*Piano_SS!$D$8,0))</f>
        <v>50000</v>
      </c>
      <c r="BY61" s="15" t="n">
        <f aca="false">MIN(Piano_SS!$C$9,(BY60)+IF(AND(Motore_Operativo!C61&gt;=EDATE(Parametri_v3!$C$24,Ipotesi!C14*12),Motore_Operativo!C61&lt;EDATE(Parametri_v3!$C$24,Parametri_v3!$C$25+Ipotesi!C14*12)),MAX(0,((IF(57-(INT((Ipotesi!$C$91)/30))&lt;1,0,INDEX(Motore_Operativo!$BQ$5:$BQ$64,MAX(1,57-(INT((Ipotesi!$C$91)/30)))))*(1-(MOD((Ipotesi!$C$91),30)/30))+IF(57-(INT((Ipotesi!$C$91)/30))-1&lt;1,0,INDEX(Motore_Operativo!$BQ$5:$BQ$64,MAX(1,57-(INT((Ipotesi!$C$91)/30))-1)))*(MOD((Ipotesi!$C$91),30)/30))+(IF(57-(INT((Ipotesi!$C$91)/30))&lt;1,0,INDEX(Motore_Operativo!$BR$5:$BR$64,MAX(1,57-(INT((Ipotesi!$C$91)/30)))))*(1-(MOD((Ipotesi!$C$91),30)/30))+IF(57-(INT((Ipotesi!$C$91)/30))-1&lt;1,0,INDEX(Motore_Operativo!$BR$5:$BR$64,MAX(1,57-(INT((Ipotesi!$C$91)/30))-1)))*(MOD((Ipotesi!$C$91),30)/30))))*Piano_SS!$D$9,0))</f>
        <v>40000</v>
      </c>
      <c r="BZ61" s="15" t="n">
        <f aca="false">MIN(Piano_SS!$C$10,(BZ60)+IF(AND(Motore_Operativo!C61&gt;=EDATE(Parametri_v3!$C$24,Ipotesi!C14*12),Motore_Operativo!C61&lt;EDATE(Parametri_v3!$C$24,Parametri_v3!$C$25+Ipotesi!C14*12)),MAX(0,(IF(57-(INT((Ipotesi!$C$91)/30))&lt;1,0,INDEX(Motore_Operativo!$BO$5:$BO$64,MAX(1,57-(INT((Ipotesi!$C$91)/30)))))*(1-(MOD((Ipotesi!$C$91),30)/30))+IF(57-(INT((Ipotesi!$C$91)/30))-1&lt;1,0,INDEX(Motore_Operativo!$BO$5:$BO$64,MAX(1,57-(INT((Ipotesi!$C$91)/30))-1)))*(MOD((Ipotesi!$C$91),30)/30)))*Piano_SS!$D$10,0))</f>
        <v>30000</v>
      </c>
      <c r="CA61" s="15" t="n">
        <f aca="false">SUM(BV61:BZ61)</f>
        <v>457208.822969749</v>
      </c>
      <c r="CB61" s="15" t="n">
        <f aca="false">BV61*(1-Piano_SS!$E$6)+BW61*(1-Piano_SS!$E$7)+BX61*(1-Piano_SS!$E$8)+BY61*(1-Piano_SS!$E$9)+BZ61*(1-Piano_SS!$E$10)</f>
        <v>427208.822969749</v>
      </c>
      <c r="CC61" s="15" t="n">
        <f aca="false">(CC60)+BA61</f>
        <v>365767.058375799</v>
      </c>
      <c r="CD61" s="15" t="n">
        <f aca="false">IF(CA61=0,0,CC61*CB61/CA61*Ipotesi!$C$103*Parametri_v3!$C$64)</f>
        <v>102530.11751274</v>
      </c>
      <c r="CE61" s="18" t="n">
        <f aca="false">IF(BA61&gt;0,Motore_Operativo!C61,(CE60))</f>
        <v>47270</v>
      </c>
      <c r="CF61" s="18" t="n">
        <f aca="false">IF(AND(CC61&gt;0,OR(CC61&gt;=CG61-0.01,Motore_Operativo!C61&gt;=EDATE(MAX(Finanziamenti!$D$15:$D$17),Ipotesi!C14*12))),CE61,0)</f>
        <v>47270</v>
      </c>
      <c r="CG61" s="15" t="n">
        <f aca="false">IF(AND(1&lt;&gt;6,1&lt;&gt;9,Finanziamenti!$F$11=1,OR(Parametri_v3!$C$6=0,Finanziamenti!$E$11=1)),MIN(Finanziamenti!$C$11,Piano_SS!$C$12*Ipotesi!$C$102),0)</f>
        <v>400000</v>
      </c>
      <c r="CH61" s="15" t="n">
        <f aca="false">IF(AND(AND(1&lt;&gt;8,1&lt;&gt;9,Finanziamenti!$F$10=1,OR(Parametri_v3!$C$6=0,Finanziamenti!$E$10=1)),Motore_Operativo!C61&gt;=Finanziamenti!$D$10,Motore_Operativo!C61&lt;Parametri_v3!$C$63),Finanziamenti!$C$10,0)</f>
        <v>150000</v>
      </c>
    </row>
    <row r="62" customFormat="false" ht="18" hidden="false" customHeight="true" outlineLevel="0" collapsed="false">
      <c r="A62" s="68" t="n">
        <f aca="false">1</f>
        <v>1</v>
      </c>
      <c r="B62" s="68" t="n">
        <f aca="false">58</f>
        <v>58</v>
      </c>
      <c r="C62" s="18" t="n">
        <f aca="false">Motore_Operativo!C62</f>
        <v>48122</v>
      </c>
      <c r="D62" s="68" t="n">
        <f aca="false">Motore_Operativo!D62</f>
        <v>2031</v>
      </c>
      <c r="E62" s="68" t="n">
        <f aca="false">Motore_Operativo!E62</f>
        <v>10</v>
      </c>
      <c r="F62" s="15" t="n">
        <f aca="false">Motore_Operativo!AQ62+Motore_Operativo!BF62</f>
        <v>156719.364012069</v>
      </c>
      <c r="G62" s="15" t="n">
        <f aca="false">Motore_Operativo!BH62</f>
        <v>8696.875</v>
      </c>
      <c r="H62" s="15" t="n">
        <f aca="false">Motore_Operativo!BI62</f>
        <v>165416.239012069</v>
      </c>
      <c r="I62" s="15" t="n">
        <f aca="false">Motore_Operativo!CA62</f>
        <v>196309.778865856</v>
      </c>
      <c r="J62" s="15" t="n">
        <f aca="false">Motore_Operativo!CC62</f>
        <v>-30893.5398537871</v>
      </c>
      <c r="K62" s="15" t="n">
        <f aca="false">Motore_Operativo!CE62</f>
        <v>4166.66666666667</v>
      </c>
      <c r="L62" s="15" t="n">
        <f aca="false">SUM(INDEX($K$5:$K$64,MAX(1,58-Parametri_v3!$C$59+1)):K62)/Parametri_v3!$C$59</f>
        <v>3217.59259259259</v>
      </c>
      <c r="M62" s="15" t="n">
        <f aca="false">J62-L62</f>
        <v>-34111.1324463797</v>
      </c>
      <c r="N62" s="15" t="n">
        <f aca="false">CD62-(CD61)</f>
        <v>0</v>
      </c>
      <c r="O62" s="15" t="n">
        <f aca="false">(BG61)*Ipotesi!$C$110/12+CH62*Parametri_v3!$C$39/12</f>
        <v>750</v>
      </c>
      <c r="P62" s="15" t="n">
        <f aca="false">M62+N62-O62</f>
        <v>-34861.1324463797</v>
      </c>
      <c r="Q62" s="15" t="n">
        <f aca="false">SUM(P53:P62)+Parametri_v3!$C$54*10/12</f>
        <v>-453668.307389268</v>
      </c>
      <c r="R62" s="15" t="n">
        <f aca="false">Z52</f>
        <v>1327622.74335066</v>
      </c>
      <c r="S62" s="15" t="n">
        <f aca="false">AA52</f>
        <v>651877.385322478</v>
      </c>
      <c r="T62" s="15" t="n">
        <f aca="false">MIN(R62,MAX(0,Q62))</f>
        <v>0</v>
      </c>
      <c r="U62" s="15" t="n">
        <f aca="false">MIN(S62,MAX(0,Q62-T62)*Parametri_v3!$C$42)</f>
        <v>0</v>
      </c>
      <c r="V62" s="15" t="n">
        <f aca="false">MAX(0,Q62-T62-U62)*Ipotesi!$C$92</f>
        <v>0</v>
      </c>
      <c r="W62" s="15" t="n">
        <f aca="false">MAX(0,SUM(M53:M62)+Parametri_v3!$C$55*10/12)*Ipotesi!$C$93</f>
        <v>0</v>
      </c>
      <c r="X62" s="15" t="n">
        <f aca="false">V62+W62-(V61+W61)</f>
        <v>0</v>
      </c>
      <c r="Y62" s="15" t="n">
        <f aca="false">P62-X62</f>
        <v>-34861.1324463797</v>
      </c>
      <c r="Z62" s="15" t="n">
        <f aca="false">R62-T62+IF(AND(Parametri_v3!$C$40=1,D62-YEAR(Parametri_v3!$C$50)&lt;Parametri_v3!$C$41),MAX(0,-Q62),0)</f>
        <v>1327622.74335066</v>
      </c>
      <c r="AA62" s="15" t="n">
        <f aca="false">S62-U62+IF(AND(Parametri_v3!$C$40=1,D62-YEAR(Parametri_v3!$C$50)&lt;Parametri_v3!$C$41),0,MAX(0,-Q62))</f>
        <v>1105545.69271175</v>
      </c>
      <c r="AB62" s="15" t="n">
        <f aca="false">F62*(1+Parametri_v3!$C$26)</f>
        <v>191197.624094725</v>
      </c>
      <c r="AC62" s="15" t="n">
        <f aca="false">(IF(58-(INT((Motore_Operativo!L62)/30))&lt;1,0,INDEX(Motore_Startup!$AB$5:$AB$64,MAX(1,58-(INT((Motore_Operativo!L62)/30)))))*(1-(MOD((Motore_Operativo!L62),30)/30))+IF(58-(INT((Motore_Operativo!L62)/30))-1&lt;1,0,INDEX(Motore_Startup!$AB$5:$AB$64,MAX(1,58-(INT((Motore_Operativo!L62)/30))-1)))*(MOD((Motore_Operativo!L62),30)/30))</f>
        <v>180891.588550403</v>
      </c>
      <c r="AD62" s="15" t="n">
        <f aca="false">(AD61)+AB62-AC62</f>
        <v>563347.160921428</v>
      </c>
      <c r="AE62" s="15" t="n">
        <f aca="false">Motore_Operativo!BH62*(1+Parametri_v3!$C$26)</f>
        <v>10610.1875</v>
      </c>
      <c r="AF62" s="15" t="n">
        <f aca="false">(IF(58-(INT((Parametri_v3!$C$29)/30))&lt;1,0,INDEX(Motore_Operativo!$BH$5:$BH$64,MAX(1,58-(INT((Parametri_v3!$C$29)/30)))))*(1-(MOD((Parametri_v3!$C$29),30)/30))+IF(58-(INT((Parametri_v3!$C$29)/30))-1&lt;1,0,INDEX(Motore_Operativo!$BH$5:$BH$64,MAX(1,58-(INT((Parametri_v3!$C$29)/30))-1)))*(MOD((Parametri_v3!$C$29),30)/30))*(1+Parametri_v3!$C$26)</f>
        <v>10610.1875</v>
      </c>
      <c r="AG62" s="15" t="n">
        <f aca="false">(AG61)+AE62-AF62</f>
        <v>10610.1875</v>
      </c>
      <c r="AH62" s="15" t="n">
        <f aca="false">(Motore_Operativo!CJ62)*(1+Parametri_v3!$C$27*Parametri_v3!$C$26)</f>
        <v>91200.1187969423</v>
      </c>
      <c r="AI62" s="15" t="n">
        <f aca="false">(IF(58-(INT((Ipotesi!$C$91)/30))&lt;1,0,INDEX(Motore_Startup!$AH$5:$AH$64,MAX(1,58-(INT((Ipotesi!$C$91)/30)))))*(1-(MOD((Ipotesi!$C$91),30)/30))+IF(58-(INT((Ipotesi!$C$91)/30))-1&lt;1,0,INDEX(Motore_Startup!$AH$5:$AH$64,MAX(1,58-(INT((Ipotesi!$C$91)/30))-1)))*(MOD((Ipotesi!$C$91),30)/30))</f>
        <v>90268.3551464924</v>
      </c>
      <c r="AJ62" s="15" t="n">
        <f aca="false">(AJ61)+AH62-AI62</f>
        <v>181936.400986744</v>
      </c>
      <c r="AK62" s="15" t="n">
        <f aca="false">(F62+ Motore_Operativo!BH62-(Motore_Operativo!CJ62)*Parametri_v3!$C$27-Motore_Operativo!CE62)*Parametri_v3!$C$26</f>
        <v>21107.2376640693</v>
      </c>
      <c r="AL62" s="15" t="n">
        <f aca="false">MAX(0,(AM61))</f>
        <v>20566.25312203</v>
      </c>
      <c r="AM62" s="15" t="n">
        <f aca="false">(AM61)+AK62-AL62</f>
        <v>21107.2376640693</v>
      </c>
      <c r="AN62" s="15" t="n">
        <f aca="false">SUM(X41:X52)</f>
        <v>0</v>
      </c>
      <c r="AO62" s="15" t="n">
        <f aca="false">SUM(AP41:AP52)</f>
        <v>0</v>
      </c>
      <c r="AP62" s="15" t="n">
        <f aca="false">MAX(0,AN62)*IF(10=Parametri_v3!$C$43,Parametri_v3!$C$45,IF(10=Parametri_v3!$C$44,1-Parametri_v3!$C$45,0))</f>
        <v>0</v>
      </c>
      <c r="AQ62" s="15" t="n">
        <f aca="false">MAX(0,AP62+IF(10=Parametri_v3!$C$43,MAX(0,AN62-AO62),0)-MAX(0,-(AR61)))</f>
        <v>0</v>
      </c>
      <c r="AR62" s="15" t="n">
        <f aca="false">(AR61)+X62-AQ62</f>
        <v>0</v>
      </c>
      <c r="AS62" s="15" t="n">
        <f aca="false">Motore_Operativo!AB62-AT62+AU62</f>
        <v>113503.461904792</v>
      </c>
      <c r="AT62" s="15" t="n">
        <f aca="false">Motore_Operativo!CH62</f>
        <v>5973.86641604167</v>
      </c>
      <c r="AU62" s="15" t="n">
        <f aca="false">MIN(MAX(0,(AV61)+AT62),Parametri_v3!$C$60/12)</f>
        <v>0</v>
      </c>
      <c r="AV62" s="15" t="n">
        <f aca="false">(AV61)+AT62-AU62</f>
        <v>196794.214535417</v>
      </c>
      <c r="AW62" s="15" t="n">
        <f aca="false">IF(AND(Motore_Operativo!C62=Finanziamenti!$D$6,Finanziamenti!$F$6=1),Finanziamenti!$C$6,0)</f>
        <v>0</v>
      </c>
      <c r="AX62" s="15" t="n">
        <f aca="false">IF(AND(1&lt;&gt;7,1&lt;&gt;9,Finanziamenti!$F$8=1,OR(Parametri_v3!$C$6=0,Finanziamenti!$E$8=1),Motore_Operativo!C62=EDATE(Finanziamenti!$D$8,Ipotesi!C15*12)),Finanziamenti!$C$8*1,0)+IF(AND(1&lt;&gt;7,1&lt;&gt;9,Finanziamenti!$F$9=1,OR(Parametri_v3!$C$6=0,Finanziamenti!$E$9=1),Motore_Operativo!C62=EDATE(Finanziamenti!$D$9,Ipotesi!C15*12)),Finanziamenti!$C$9*Ipotesi!C16,0)</f>
        <v>0</v>
      </c>
      <c r="AY62" s="15" t="n">
        <f aca="false">0</f>
        <v>0</v>
      </c>
      <c r="AZ62" s="15" t="n">
        <f aca="false">Motore_Advisory!AY62*(1-Ipotesi!$C$95)*Ipotesi!$C$96</f>
        <v>0</v>
      </c>
      <c r="BA62" s="15" t="n">
        <f aca="false">MAX(0,MIN(CG62*MIN(1,IF(Motore_Operativo!C62&gt;=EDATE(Finanziamenti!$D$15,Ipotesi!C14*12),Finanziamenti!$C$15,0)+IF(Motore_Operativo!C62&gt;=EDATE(Finanziamenti!$D$16,Ipotesi!C14*12),Finanziamenti!$C$16,0)+IF(Motore_Operativo!C62&gt;=EDATE(Finanziamenti!$D$17,Ipotesi!C14*12),Finanziamenti!$C$17,0)),CA62*Ipotesi!$C$102)-(CC61))</f>
        <v>0</v>
      </c>
      <c r="BB62" s="15" t="n">
        <f aca="false">IF(AND(CF62&gt;0,Motore_Operativo!C62&gt;=IF(CF62=0,0,EDATE(CF62,Parametri_v3!$C$37)),MOD(((D62-YEAR(IF(CF62=0,0,EDATE(CF62,Parametri_v3!$C$37))))*12+E62-MONTH(IF(CF62=0,0,EDATE(CF62,Parametri_v3!$C$37)))),Parametri_v3!$C$38)=0),MIN(MAX(0,(BC61)+BA62-N62),(CC62-CD62)/(Ipotesi!$C$108*12/Parametri_v3!$C$38)),0)</f>
        <v>0</v>
      </c>
      <c r="BC62" s="15" t="n">
        <f aca="false">(BC61)+BA62-N62-BB62</f>
        <v>223751.399733601</v>
      </c>
      <c r="BD62" s="15" t="n">
        <f aca="false">(BH61)+AC62+AF62-AI62-AS62-K62*(1+Parametri_v3!$C$26)-AL62-AQ62-O62+AW62+AX62+AZ62+BA62-BB62</f>
        <v>-966811.994526969</v>
      </c>
      <c r="BE62" s="15" t="n">
        <f aca="false">MAX(0,MIN(MAX(0,CH62-(BG61)),Parametri_v3!$C$30-BD62))</f>
        <v>0</v>
      </c>
      <c r="BF62" s="15" t="n">
        <f aca="false">IF(Motore_Operativo!C62&gt;=Parametri_v3!$C$63,(BG61),MIN((BG61),MAX(0,BD62-Parametri_v3!$C$30)))</f>
        <v>0</v>
      </c>
      <c r="BG62" s="15" t="n">
        <f aca="false">(BG61)+BE62-BF62</f>
        <v>150000</v>
      </c>
      <c r="BH62" s="15" t="n">
        <f aca="false">BD62+BE62-BF62-AY62</f>
        <v>-966811.994526969</v>
      </c>
      <c r="BI62" s="15" t="n">
        <f aca="false">MAX(0,Parametri_v3!$C$30-BH62)</f>
        <v>991811.994526969</v>
      </c>
      <c r="BJ62" s="15" t="n">
        <f aca="false">(BJ61)+K62</f>
        <v>156666.666666667</v>
      </c>
      <c r="BK62" s="15" t="n">
        <f aca="false">(BK61)+L62</f>
        <v>93391.2037037037</v>
      </c>
      <c r="BL62" s="15" t="n">
        <f aca="false">BJ62-BK62</f>
        <v>63275.4629629629</v>
      </c>
      <c r="BM62" s="15" t="n">
        <f aca="false">(BM61)+Y62</f>
        <v>-2433168.43606241</v>
      </c>
      <c r="BN62" s="15" t="n">
        <f aca="false">(BN61)+AW62+AX62+AZ62</f>
        <v>1330000</v>
      </c>
      <c r="BO62" s="15" t="n">
        <f aca="false">(BO61)+AY62</f>
        <v>0</v>
      </c>
      <c r="BP62" s="15" t="n">
        <f aca="false">0</f>
        <v>0</v>
      </c>
      <c r="BQ62" s="15" t="n">
        <f aca="false">BN62+BM62-BO62</f>
        <v>-1103168.43606241</v>
      </c>
      <c r="BR62" s="15" t="n">
        <f aca="false">BH62+AD62+BL62+MAX(0,-AM62)+MAX(0,-AR62)+AG62</f>
        <v>-329579.183142579</v>
      </c>
      <c r="BS62" s="15" t="n">
        <f aca="false">AJ62+AV62+MAX(0,AM62)+MAX(0,AR62)+BC62+BG62+BQ62</f>
        <v>-329579.183142578</v>
      </c>
      <c r="BT62" s="15" t="n">
        <f aca="false">BR62-BS62</f>
        <v>0</v>
      </c>
      <c r="BU62" s="15" t="n">
        <f aca="false">BH62-(BD62+BE62-BF62-AY62)</f>
        <v>0</v>
      </c>
      <c r="BV62" s="15" t="n">
        <f aca="false">MIN(Piano_SS!$C$6,(BV61)+IF(AND(Motore_Operativo!C62&gt;=EDATE(Parametri_v3!$C$24,Ipotesi!C14*12),Motore_Operativo!C62&lt;EDATE(Parametri_v3!$C$24,Parametri_v3!$C$25+Ipotesi!C14*12)),MAX(0,(Motore_Operativo!Y62+Motore_Operativo!X62*Parametri_v3!$C$14)*(1-Parametri_v3!$C$32))*Piano_SS!$D$6,0))</f>
        <v>300000</v>
      </c>
      <c r="BW62" s="15" t="n">
        <f aca="false">MIN(Piano_SS!$C$7,(BW61)+IF(AND(Motore_Operativo!C62&gt;=EDATE(Parametri_v3!$C$24,Ipotesi!C14*12),Motore_Operativo!C62&lt;EDATE(Parametri_v3!$C$24,Parametri_v3!$C$25+Ipotesi!C14*12)),MAX(0,(IF(58-(INT((Ipotesi!$C$91)/30))&lt;1,0,INDEX(Motore_Operativo!$BN$5:$BN$64,MAX(1,58-(INT((Ipotesi!$C$91)/30)))))*(1-(MOD((Ipotesi!$C$91),30)/30))+IF(58-(INT((Ipotesi!$C$91)/30))-1&lt;1,0,INDEX(Motore_Operativo!$BN$5:$BN$64,MAX(1,58-(INT((Ipotesi!$C$91)/30))-1)))*(MOD((Ipotesi!$C$91),30)/30)))*Piano_SS!$D$7,0))</f>
        <v>37208.8229697489</v>
      </c>
      <c r="BX62" s="15" t="n">
        <f aca="false">MIN(Piano_SS!$C$8,(BX61)+IF(AND(Motore_Operativo!C62&gt;=EDATE(Parametri_v3!$C$24,Ipotesi!C14*12),Motore_Operativo!C62&lt;EDATE(Parametri_v3!$C$24,Parametri_v3!$C$25+Ipotesi!C14*12)),MAX(0,Motore_Operativo!CE62)*Piano_SS!$D$8,0))</f>
        <v>50000</v>
      </c>
      <c r="BY62" s="15" t="n">
        <f aca="false">MIN(Piano_SS!$C$9,(BY61)+IF(AND(Motore_Operativo!C62&gt;=EDATE(Parametri_v3!$C$24,Ipotesi!C14*12),Motore_Operativo!C62&lt;EDATE(Parametri_v3!$C$24,Parametri_v3!$C$25+Ipotesi!C14*12)),MAX(0,((IF(58-(INT((Ipotesi!$C$91)/30))&lt;1,0,INDEX(Motore_Operativo!$BQ$5:$BQ$64,MAX(1,58-(INT((Ipotesi!$C$91)/30)))))*(1-(MOD((Ipotesi!$C$91),30)/30))+IF(58-(INT((Ipotesi!$C$91)/30))-1&lt;1,0,INDEX(Motore_Operativo!$BQ$5:$BQ$64,MAX(1,58-(INT((Ipotesi!$C$91)/30))-1)))*(MOD((Ipotesi!$C$91),30)/30))+(IF(58-(INT((Ipotesi!$C$91)/30))&lt;1,0,INDEX(Motore_Operativo!$BR$5:$BR$64,MAX(1,58-(INT((Ipotesi!$C$91)/30)))))*(1-(MOD((Ipotesi!$C$91),30)/30))+IF(58-(INT((Ipotesi!$C$91)/30))-1&lt;1,0,INDEX(Motore_Operativo!$BR$5:$BR$64,MAX(1,58-(INT((Ipotesi!$C$91)/30))-1)))*(MOD((Ipotesi!$C$91),30)/30))))*Piano_SS!$D$9,0))</f>
        <v>40000</v>
      </c>
      <c r="BZ62" s="15" t="n">
        <f aca="false">MIN(Piano_SS!$C$10,(BZ61)+IF(AND(Motore_Operativo!C62&gt;=EDATE(Parametri_v3!$C$24,Ipotesi!C14*12),Motore_Operativo!C62&lt;EDATE(Parametri_v3!$C$24,Parametri_v3!$C$25+Ipotesi!C14*12)),MAX(0,(IF(58-(INT((Ipotesi!$C$91)/30))&lt;1,0,INDEX(Motore_Operativo!$BO$5:$BO$64,MAX(1,58-(INT((Ipotesi!$C$91)/30)))))*(1-(MOD((Ipotesi!$C$91),30)/30))+IF(58-(INT((Ipotesi!$C$91)/30))-1&lt;1,0,INDEX(Motore_Operativo!$BO$5:$BO$64,MAX(1,58-(INT((Ipotesi!$C$91)/30))-1)))*(MOD((Ipotesi!$C$91),30)/30)))*Piano_SS!$D$10,0))</f>
        <v>30000</v>
      </c>
      <c r="CA62" s="15" t="n">
        <f aca="false">SUM(BV62:BZ62)</f>
        <v>457208.822969749</v>
      </c>
      <c r="CB62" s="15" t="n">
        <f aca="false">BV62*(1-Piano_SS!$E$6)+BW62*(1-Piano_SS!$E$7)+BX62*(1-Piano_SS!$E$8)+BY62*(1-Piano_SS!$E$9)+BZ62*(1-Piano_SS!$E$10)</f>
        <v>427208.822969749</v>
      </c>
      <c r="CC62" s="15" t="n">
        <f aca="false">(CC61)+BA62</f>
        <v>365767.058375799</v>
      </c>
      <c r="CD62" s="15" t="n">
        <f aca="false">IF(CA62=0,0,CC62*CB62/CA62*Ipotesi!$C$103*Parametri_v3!$C$64)</f>
        <v>102530.11751274</v>
      </c>
      <c r="CE62" s="18" t="n">
        <f aca="false">IF(BA62&gt;0,Motore_Operativo!C62,(CE61))</f>
        <v>47270</v>
      </c>
      <c r="CF62" s="18" t="n">
        <f aca="false">IF(AND(CC62&gt;0,OR(CC62&gt;=CG62-0.01,Motore_Operativo!C62&gt;=EDATE(MAX(Finanziamenti!$D$15:$D$17),Ipotesi!C14*12))),CE62,0)</f>
        <v>47270</v>
      </c>
      <c r="CG62" s="15" t="n">
        <f aca="false">IF(AND(1&lt;&gt;6,1&lt;&gt;9,Finanziamenti!$F$11=1,OR(Parametri_v3!$C$6=0,Finanziamenti!$E$11=1)),MIN(Finanziamenti!$C$11,Piano_SS!$C$12*Ipotesi!$C$102),0)</f>
        <v>400000</v>
      </c>
      <c r="CH62" s="15" t="n">
        <f aca="false">IF(AND(AND(1&lt;&gt;8,1&lt;&gt;9,Finanziamenti!$F$10=1,OR(Parametri_v3!$C$6=0,Finanziamenti!$E$10=1)),Motore_Operativo!C62&gt;=Finanziamenti!$D$10,Motore_Operativo!C62&lt;Parametri_v3!$C$63),Finanziamenti!$C$10,0)</f>
        <v>150000</v>
      </c>
    </row>
    <row r="63" customFormat="false" ht="18" hidden="false" customHeight="true" outlineLevel="0" collapsed="false">
      <c r="A63" s="68" t="n">
        <f aca="false">1</f>
        <v>1</v>
      </c>
      <c r="B63" s="68" t="n">
        <f aca="false">59</f>
        <v>59</v>
      </c>
      <c r="C63" s="18" t="n">
        <f aca="false">Motore_Operativo!C63</f>
        <v>48153</v>
      </c>
      <c r="D63" s="68" t="n">
        <f aca="false">Motore_Operativo!D63</f>
        <v>2031</v>
      </c>
      <c r="E63" s="68" t="n">
        <f aca="false">Motore_Operativo!E63</f>
        <v>11</v>
      </c>
      <c r="F63" s="15" t="n">
        <f aca="false">Motore_Operativo!AQ63+Motore_Operativo!BF63</f>
        <v>159486.134549889</v>
      </c>
      <c r="G63" s="15" t="n">
        <f aca="false">Motore_Operativo!BH63</f>
        <v>8696.875</v>
      </c>
      <c r="H63" s="15" t="n">
        <f aca="false">Motore_Operativo!BI63</f>
        <v>168183.009549889</v>
      </c>
      <c r="I63" s="15" t="n">
        <f aca="false">Motore_Operativo!CA63</f>
        <v>196697.126741151</v>
      </c>
      <c r="J63" s="15" t="n">
        <f aca="false">Motore_Operativo!CC63</f>
        <v>-28514.117191262</v>
      </c>
      <c r="K63" s="15" t="n">
        <f aca="false">Motore_Operativo!CE63</f>
        <v>4166.66666666667</v>
      </c>
      <c r="L63" s="15" t="n">
        <f aca="false">SUM(INDEX($K$5:$K$64,MAX(1,59-Parametri_v3!$C$59+1)):K63)/Parametri_v3!$C$59</f>
        <v>3275.46296296296</v>
      </c>
      <c r="M63" s="15" t="n">
        <f aca="false">J63-L63</f>
        <v>-31789.580154225</v>
      </c>
      <c r="N63" s="15" t="n">
        <f aca="false">CD63-(CD62)</f>
        <v>0</v>
      </c>
      <c r="O63" s="15" t="n">
        <f aca="false">(BG62)*Ipotesi!$C$110/12+CH63*Parametri_v3!$C$39/12</f>
        <v>750</v>
      </c>
      <c r="P63" s="15" t="n">
        <f aca="false">M63+N63-O63</f>
        <v>-32539.580154225</v>
      </c>
      <c r="Q63" s="15" t="n">
        <f aca="false">SUM(P53:P63)+Parametri_v3!$C$54*11/12</f>
        <v>-486207.887543493</v>
      </c>
      <c r="R63" s="15" t="n">
        <f aca="false">Z52</f>
        <v>1327622.74335066</v>
      </c>
      <c r="S63" s="15" t="n">
        <f aca="false">AA52</f>
        <v>651877.385322478</v>
      </c>
      <c r="T63" s="15" t="n">
        <f aca="false">MIN(R63,MAX(0,Q63))</f>
        <v>0</v>
      </c>
      <c r="U63" s="15" t="n">
        <f aca="false">MIN(S63,MAX(0,Q63-T63)*Parametri_v3!$C$42)</f>
        <v>0</v>
      </c>
      <c r="V63" s="15" t="n">
        <f aca="false">MAX(0,Q63-T63-U63)*Ipotesi!$C$92</f>
        <v>0</v>
      </c>
      <c r="W63" s="15" t="n">
        <f aca="false">MAX(0,SUM(M53:M63)+Parametri_v3!$C$55*11/12)*Ipotesi!$C$93</f>
        <v>0</v>
      </c>
      <c r="X63" s="15" t="n">
        <f aca="false">V63+W63-(V62+W62)</f>
        <v>0</v>
      </c>
      <c r="Y63" s="15" t="n">
        <f aca="false">P63-X63</f>
        <v>-32539.580154225</v>
      </c>
      <c r="Z63" s="15" t="n">
        <f aca="false">R63-T63+IF(AND(Parametri_v3!$C$40=1,D63-YEAR(Parametri_v3!$C$50)&lt;Parametri_v3!$C$41),MAX(0,-Q63),0)</f>
        <v>1327622.74335066</v>
      </c>
      <c r="AA63" s="15" t="n">
        <f aca="false">S63-U63+IF(AND(Parametri_v3!$C$40=1,D63-YEAR(Parametri_v3!$C$50)&lt;Parametri_v3!$C$41),0,MAX(0,-Q63))</f>
        <v>1138085.27286597</v>
      </c>
      <c r="AB63" s="15" t="n">
        <f aca="false">F63*(1+Parametri_v3!$C$26)</f>
        <v>194573.084150865</v>
      </c>
      <c r="AC63" s="15" t="n">
        <f aca="false">(IF(59-(INT((Motore_Operativo!L63)/30))&lt;1,0,INDEX(Motore_Startup!$AB$5:$AB$64,MAX(1,59-(INT((Motore_Operativo!L63)/30)))))*(1-(MOD((Motore_Operativo!L63),30)/30))+IF(59-(INT((Motore_Operativo!L63)/30))-1&lt;1,0,INDEX(Motore_Startup!$AB$5:$AB$64,MAX(1,59-(INT((Motore_Operativo!L63)/30))-1)))*(MOD((Motore_Operativo!L63),30)/30))</f>
        <v>184357.139959757</v>
      </c>
      <c r="AD63" s="15" t="n">
        <f aca="false">(AD62)+AB63-AC63</f>
        <v>573563.105112536</v>
      </c>
      <c r="AE63" s="15" t="n">
        <f aca="false">Motore_Operativo!BH63*(1+Parametri_v3!$C$26)</f>
        <v>10610.1875</v>
      </c>
      <c r="AF63" s="15" t="n">
        <f aca="false">(IF(59-(INT((Parametri_v3!$C$29)/30))&lt;1,0,INDEX(Motore_Operativo!$BH$5:$BH$64,MAX(1,59-(INT((Parametri_v3!$C$29)/30)))))*(1-(MOD((Parametri_v3!$C$29),30)/30))+IF(59-(INT((Parametri_v3!$C$29)/30))-1&lt;1,0,INDEX(Motore_Operativo!$BH$5:$BH$64,MAX(1,59-(INT((Parametri_v3!$C$29)/30))-1)))*(MOD((Parametri_v3!$C$29),30)/30))*(1+Parametri_v3!$C$26)</f>
        <v>10610.1875</v>
      </c>
      <c r="AG63" s="15" t="n">
        <f aca="false">(AG62)+AE63-AF63</f>
        <v>10610.1875</v>
      </c>
      <c r="AH63" s="15" t="n">
        <f aca="false">(Motore_Operativo!CJ63)*(1+Parametri_v3!$C$27*Parametri_v3!$C$26)</f>
        <v>91659.9007249173</v>
      </c>
      <c r="AI63" s="15" t="n">
        <f aca="false">(IF(59-(INT((Ipotesi!$C$91)/30))&lt;1,0,INDEX(Motore_Startup!$AH$5:$AH$64,MAX(1,59-(INT((Ipotesi!$C$91)/30)))))*(1-(MOD((Ipotesi!$C$91),30)/30))+IF(59-(INT((Ipotesi!$C$91)/30))-1&lt;1,0,INDEX(Motore_Startup!$AH$5:$AH$64,MAX(1,59-(INT((Ipotesi!$C$91)/30))-1)))*(MOD((Ipotesi!$C$91),30)/30))</f>
        <v>90736.2821898013</v>
      </c>
      <c r="AJ63" s="15" t="n">
        <f aca="false">(AJ62)+AH63-AI63</f>
        <v>182860.01952186</v>
      </c>
      <c r="AK63" s="15" t="n">
        <f aca="false">(F63+ Motore_Operativo!BH63-(Motore_Operativo!CJ63)*Parametri_v3!$C$27-Motore_Operativo!CE63)*Parametri_v3!$C$26</f>
        <v>21643.4931297095</v>
      </c>
      <c r="AL63" s="15" t="n">
        <f aca="false">MAX(0,(AM62))</f>
        <v>21107.2376640693</v>
      </c>
      <c r="AM63" s="15" t="n">
        <f aca="false">(AM62)+AK63-AL63</f>
        <v>21643.4931297095</v>
      </c>
      <c r="AN63" s="15" t="n">
        <f aca="false">SUM(X41:X52)</f>
        <v>0</v>
      </c>
      <c r="AO63" s="15" t="n">
        <f aca="false">SUM(AP41:AP52)</f>
        <v>0</v>
      </c>
      <c r="AP63" s="15" t="n">
        <f aca="false">MAX(0,AN63)*IF(11=Parametri_v3!$C$43,Parametri_v3!$C$45,IF(11=Parametri_v3!$C$44,1-Parametri_v3!$C$45,0))</f>
        <v>0</v>
      </c>
      <c r="AQ63" s="15" t="n">
        <f aca="false">MAX(0,AP63+IF(11=Parametri_v3!$C$43,MAX(0,AN63-AO63),0)-MAX(0,-(AR62)))</f>
        <v>0</v>
      </c>
      <c r="AR63" s="15" t="n">
        <f aca="false">(AR62)+X63-AQ63</f>
        <v>0</v>
      </c>
      <c r="AS63" s="15" t="n">
        <f aca="false">Motore_Operativo!AB63-AT63+AU63</f>
        <v>113503.461904792</v>
      </c>
      <c r="AT63" s="15" t="n">
        <f aca="false">Motore_Operativo!CH63</f>
        <v>5973.86641604167</v>
      </c>
      <c r="AU63" s="15" t="n">
        <f aca="false">MIN(MAX(0,(AV62)+AT63),Parametri_v3!$C$60/12)</f>
        <v>0</v>
      </c>
      <c r="AV63" s="15" t="n">
        <f aca="false">(AV62)+AT63-AU63</f>
        <v>202768.080951459</v>
      </c>
      <c r="AW63" s="15" t="n">
        <f aca="false">IF(AND(Motore_Operativo!C63=Finanziamenti!$D$6,Finanziamenti!$F$6=1),Finanziamenti!$C$6,0)</f>
        <v>0</v>
      </c>
      <c r="AX63" s="15" t="n">
        <f aca="false">IF(AND(1&lt;&gt;7,1&lt;&gt;9,Finanziamenti!$F$8=1,OR(Parametri_v3!$C$6=0,Finanziamenti!$E$8=1),Motore_Operativo!C63=EDATE(Finanziamenti!$D$8,Ipotesi!C15*12)),Finanziamenti!$C$8*1,0)+IF(AND(1&lt;&gt;7,1&lt;&gt;9,Finanziamenti!$F$9=1,OR(Parametri_v3!$C$6=0,Finanziamenti!$E$9=1),Motore_Operativo!C63=EDATE(Finanziamenti!$D$9,Ipotesi!C15*12)),Finanziamenti!$C$9*Ipotesi!C16,0)</f>
        <v>0</v>
      </c>
      <c r="AY63" s="15" t="n">
        <f aca="false">0</f>
        <v>0</v>
      </c>
      <c r="AZ63" s="15" t="n">
        <f aca="false">Motore_Advisory!AY63*(1-Ipotesi!$C$95)*Ipotesi!$C$96</f>
        <v>0</v>
      </c>
      <c r="BA63" s="15" t="n">
        <f aca="false">MAX(0,MIN(CG63*MIN(1,IF(Motore_Operativo!C63&gt;=EDATE(Finanziamenti!$D$15,Ipotesi!C14*12),Finanziamenti!$C$15,0)+IF(Motore_Operativo!C63&gt;=EDATE(Finanziamenti!$D$16,Ipotesi!C14*12),Finanziamenti!$C$16,0)+IF(Motore_Operativo!C63&gt;=EDATE(Finanziamenti!$D$17,Ipotesi!C14*12),Finanziamenti!$C$17,0)),CA63*Ipotesi!$C$102)-(CC62))</f>
        <v>0</v>
      </c>
      <c r="BB63" s="15" t="n">
        <f aca="false">IF(AND(CF63&gt;0,Motore_Operativo!C63&gt;=IF(CF63=0,0,EDATE(CF63,Parametri_v3!$C$37)),MOD(((D63-YEAR(IF(CF63=0,0,EDATE(CF63,Parametri_v3!$C$37))))*12+E63-MONTH(IF(CF63=0,0,EDATE(CF63,Parametri_v3!$C$37)))),Parametri_v3!$C$38)=0),MIN(MAX(0,(BC62)+BA63-N63),(CC63-CD63)/(Ipotesi!$C$108*12/Parametri_v3!$C$38)),0)</f>
        <v>0</v>
      </c>
      <c r="BC63" s="15" t="n">
        <f aca="false">(BC62)+BA63-N63-BB63</f>
        <v>223751.399733601</v>
      </c>
      <c r="BD63" s="15" t="n">
        <f aca="false">(BH62)+AC63+AF63-AI63-AS63-K63*(1+Parametri_v3!$C$26)-AL63-AQ63-O63+AW63+AX63+AZ63+BA63-BB63</f>
        <v>-1003024.98215921</v>
      </c>
      <c r="BE63" s="15" t="n">
        <f aca="false">MAX(0,MIN(MAX(0,CH63-(BG62)),Parametri_v3!$C$30-BD63))</f>
        <v>0</v>
      </c>
      <c r="BF63" s="15" t="n">
        <f aca="false">IF(Motore_Operativo!C63&gt;=Parametri_v3!$C$63,(BG62),MIN((BG62),MAX(0,BD63-Parametri_v3!$C$30)))</f>
        <v>0</v>
      </c>
      <c r="BG63" s="15" t="n">
        <f aca="false">(BG62)+BE63-BF63</f>
        <v>150000</v>
      </c>
      <c r="BH63" s="15" t="n">
        <f aca="false">BD63+BE63-BF63-AY63</f>
        <v>-1003024.98215921</v>
      </c>
      <c r="BI63" s="15" t="n">
        <f aca="false">MAX(0,Parametri_v3!$C$30-BH63)</f>
        <v>1028024.98215921</v>
      </c>
      <c r="BJ63" s="15" t="n">
        <f aca="false">(BJ62)+K63</f>
        <v>160833.333333333</v>
      </c>
      <c r="BK63" s="15" t="n">
        <f aca="false">(BK62)+L63</f>
        <v>96666.6666666667</v>
      </c>
      <c r="BL63" s="15" t="n">
        <f aca="false">BJ63-BK63</f>
        <v>64166.6666666665</v>
      </c>
      <c r="BM63" s="15" t="n">
        <f aca="false">(BM62)+Y63</f>
        <v>-2465708.01621663</v>
      </c>
      <c r="BN63" s="15" t="n">
        <f aca="false">(BN62)+AW63+AX63+AZ63</f>
        <v>1330000</v>
      </c>
      <c r="BO63" s="15" t="n">
        <f aca="false">(BO62)+AY63</f>
        <v>0</v>
      </c>
      <c r="BP63" s="15" t="n">
        <f aca="false">0</f>
        <v>0</v>
      </c>
      <c r="BQ63" s="15" t="n">
        <f aca="false">BN63+BM63-BO63</f>
        <v>-1135708.01621663</v>
      </c>
      <c r="BR63" s="15" t="n">
        <f aca="false">BH63+AD63+BL63+MAX(0,-AM63)+MAX(0,-AR63)+AG63</f>
        <v>-354685.022880006</v>
      </c>
      <c r="BS63" s="15" t="n">
        <f aca="false">AJ63+AV63+MAX(0,AM63)+MAX(0,AR63)+BC63+BG63+BQ63</f>
        <v>-354685.022880005</v>
      </c>
      <c r="BT63" s="15" t="n">
        <f aca="false">BR63-BS63</f>
        <v>0</v>
      </c>
      <c r="BU63" s="15" t="n">
        <f aca="false">BH63-(BD63+BE63-BF63-AY63)</f>
        <v>0</v>
      </c>
      <c r="BV63" s="15" t="n">
        <f aca="false">MIN(Piano_SS!$C$6,(BV62)+IF(AND(Motore_Operativo!C63&gt;=EDATE(Parametri_v3!$C$24,Ipotesi!C14*12),Motore_Operativo!C63&lt;EDATE(Parametri_v3!$C$24,Parametri_v3!$C$25+Ipotesi!C14*12)),MAX(0,(Motore_Operativo!Y63+Motore_Operativo!X63*Parametri_v3!$C$14)*(1-Parametri_v3!$C$32))*Piano_SS!$D$6,0))</f>
        <v>300000</v>
      </c>
      <c r="BW63" s="15" t="n">
        <f aca="false">MIN(Piano_SS!$C$7,(BW62)+IF(AND(Motore_Operativo!C63&gt;=EDATE(Parametri_v3!$C$24,Ipotesi!C14*12),Motore_Operativo!C63&lt;EDATE(Parametri_v3!$C$24,Parametri_v3!$C$25+Ipotesi!C14*12)),MAX(0,(IF(59-(INT((Ipotesi!$C$91)/30))&lt;1,0,INDEX(Motore_Operativo!$BN$5:$BN$64,MAX(1,59-(INT((Ipotesi!$C$91)/30)))))*(1-(MOD((Ipotesi!$C$91),30)/30))+IF(59-(INT((Ipotesi!$C$91)/30))-1&lt;1,0,INDEX(Motore_Operativo!$BN$5:$BN$64,MAX(1,59-(INT((Ipotesi!$C$91)/30))-1)))*(MOD((Ipotesi!$C$91),30)/30)))*Piano_SS!$D$7,0))</f>
        <v>37208.8229697489</v>
      </c>
      <c r="BX63" s="15" t="n">
        <f aca="false">MIN(Piano_SS!$C$8,(BX62)+IF(AND(Motore_Operativo!C63&gt;=EDATE(Parametri_v3!$C$24,Ipotesi!C14*12),Motore_Operativo!C63&lt;EDATE(Parametri_v3!$C$24,Parametri_v3!$C$25+Ipotesi!C14*12)),MAX(0,Motore_Operativo!CE63)*Piano_SS!$D$8,0))</f>
        <v>50000</v>
      </c>
      <c r="BY63" s="15" t="n">
        <f aca="false">MIN(Piano_SS!$C$9,(BY62)+IF(AND(Motore_Operativo!C63&gt;=EDATE(Parametri_v3!$C$24,Ipotesi!C14*12),Motore_Operativo!C63&lt;EDATE(Parametri_v3!$C$24,Parametri_v3!$C$25+Ipotesi!C14*12)),MAX(0,((IF(59-(INT((Ipotesi!$C$91)/30))&lt;1,0,INDEX(Motore_Operativo!$BQ$5:$BQ$64,MAX(1,59-(INT((Ipotesi!$C$91)/30)))))*(1-(MOD((Ipotesi!$C$91),30)/30))+IF(59-(INT((Ipotesi!$C$91)/30))-1&lt;1,0,INDEX(Motore_Operativo!$BQ$5:$BQ$64,MAX(1,59-(INT((Ipotesi!$C$91)/30))-1)))*(MOD((Ipotesi!$C$91),30)/30))+(IF(59-(INT((Ipotesi!$C$91)/30))&lt;1,0,INDEX(Motore_Operativo!$BR$5:$BR$64,MAX(1,59-(INT((Ipotesi!$C$91)/30)))))*(1-(MOD((Ipotesi!$C$91),30)/30))+IF(59-(INT((Ipotesi!$C$91)/30))-1&lt;1,0,INDEX(Motore_Operativo!$BR$5:$BR$64,MAX(1,59-(INT((Ipotesi!$C$91)/30))-1)))*(MOD((Ipotesi!$C$91),30)/30))))*Piano_SS!$D$9,0))</f>
        <v>40000</v>
      </c>
      <c r="BZ63" s="15" t="n">
        <f aca="false">MIN(Piano_SS!$C$10,(BZ62)+IF(AND(Motore_Operativo!C63&gt;=EDATE(Parametri_v3!$C$24,Ipotesi!C14*12),Motore_Operativo!C63&lt;EDATE(Parametri_v3!$C$24,Parametri_v3!$C$25+Ipotesi!C14*12)),MAX(0,(IF(59-(INT((Ipotesi!$C$91)/30))&lt;1,0,INDEX(Motore_Operativo!$BO$5:$BO$64,MAX(1,59-(INT((Ipotesi!$C$91)/30)))))*(1-(MOD((Ipotesi!$C$91),30)/30))+IF(59-(INT((Ipotesi!$C$91)/30))-1&lt;1,0,INDEX(Motore_Operativo!$BO$5:$BO$64,MAX(1,59-(INT((Ipotesi!$C$91)/30))-1)))*(MOD((Ipotesi!$C$91),30)/30)))*Piano_SS!$D$10,0))</f>
        <v>30000</v>
      </c>
      <c r="CA63" s="15" t="n">
        <f aca="false">SUM(BV63:BZ63)</f>
        <v>457208.822969749</v>
      </c>
      <c r="CB63" s="15" t="n">
        <f aca="false">BV63*(1-Piano_SS!$E$6)+BW63*(1-Piano_SS!$E$7)+BX63*(1-Piano_SS!$E$8)+BY63*(1-Piano_SS!$E$9)+BZ63*(1-Piano_SS!$E$10)</f>
        <v>427208.822969749</v>
      </c>
      <c r="CC63" s="15" t="n">
        <f aca="false">(CC62)+BA63</f>
        <v>365767.058375799</v>
      </c>
      <c r="CD63" s="15" t="n">
        <f aca="false">IF(CA63=0,0,CC63*CB63/CA63*Ipotesi!$C$103*Parametri_v3!$C$64)</f>
        <v>102530.11751274</v>
      </c>
      <c r="CE63" s="18" t="n">
        <f aca="false">IF(BA63&gt;0,Motore_Operativo!C63,(CE62))</f>
        <v>47270</v>
      </c>
      <c r="CF63" s="18" t="n">
        <f aca="false">IF(AND(CC63&gt;0,OR(CC63&gt;=CG63-0.01,Motore_Operativo!C63&gt;=EDATE(MAX(Finanziamenti!$D$15:$D$17),Ipotesi!C14*12))),CE63,0)</f>
        <v>47270</v>
      </c>
      <c r="CG63" s="15" t="n">
        <f aca="false">IF(AND(1&lt;&gt;6,1&lt;&gt;9,Finanziamenti!$F$11=1,OR(Parametri_v3!$C$6=0,Finanziamenti!$E$11=1)),MIN(Finanziamenti!$C$11,Piano_SS!$C$12*Ipotesi!$C$102),0)</f>
        <v>400000</v>
      </c>
      <c r="CH63" s="15" t="n">
        <f aca="false">IF(AND(AND(1&lt;&gt;8,1&lt;&gt;9,Finanziamenti!$F$10=1,OR(Parametri_v3!$C$6=0,Finanziamenti!$E$10=1)),Motore_Operativo!C63&gt;=Finanziamenti!$D$10,Motore_Operativo!C63&lt;Parametri_v3!$C$63),Finanziamenti!$C$10,0)</f>
        <v>150000</v>
      </c>
    </row>
    <row r="64" customFormat="false" ht="18" hidden="false" customHeight="true" outlineLevel="0" collapsed="false">
      <c r="A64" s="68" t="n">
        <f aca="false">1</f>
        <v>1</v>
      </c>
      <c r="B64" s="68" t="n">
        <f aca="false">60</f>
        <v>60</v>
      </c>
      <c r="C64" s="18" t="n">
        <f aca="false">Motore_Operativo!C64</f>
        <v>48183</v>
      </c>
      <c r="D64" s="68" t="n">
        <f aca="false">Motore_Operativo!D64</f>
        <v>2031</v>
      </c>
      <c r="E64" s="68" t="n">
        <f aca="false">Motore_Operativo!E64</f>
        <v>12</v>
      </c>
      <c r="F64" s="15" t="n">
        <f aca="false">Motore_Operativo!AQ64+Motore_Operativo!BF64</f>
        <v>162228.719056066</v>
      </c>
      <c r="G64" s="15" t="n">
        <f aca="false">Motore_Operativo!BH64</f>
        <v>8696.875</v>
      </c>
      <c r="H64" s="15" t="n">
        <f aca="false">Motore_Operativo!BI64</f>
        <v>170925.594056066</v>
      </c>
      <c r="I64" s="15" t="n">
        <f aca="false">Motore_Operativo!CA64</f>
        <v>197081.088572016</v>
      </c>
      <c r="J64" s="15" t="n">
        <f aca="false">Motore_Operativo!CC64</f>
        <v>-26155.4945159495</v>
      </c>
      <c r="K64" s="15" t="n">
        <f aca="false">Motore_Operativo!CE64</f>
        <v>4166.66666666667</v>
      </c>
      <c r="L64" s="15" t="n">
        <f aca="false">SUM(INDEX($K$5:$K$64,MAX(1,60-Parametri_v3!$C$59+1)):K64)/Parametri_v3!$C$59</f>
        <v>3333.33333333333</v>
      </c>
      <c r="M64" s="15" t="n">
        <f aca="false">J64-L64</f>
        <v>-29488.8278492829</v>
      </c>
      <c r="N64" s="15" t="n">
        <f aca="false">CD64-(CD63)</f>
        <v>0</v>
      </c>
      <c r="O64" s="15" t="n">
        <f aca="false">(BG63)*Ipotesi!$C$110/12+CH64*Parametri_v3!$C$39/12</f>
        <v>750</v>
      </c>
      <c r="P64" s="15" t="n">
        <f aca="false">M64+N64-O64</f>
        <v>-30238.8278492829</v>
      </c>
      <c r="Q64" s="15" t="n">
        <f aca="false">SUM(P53:P64)+Parametri_v3!$C$54*12/12</f>
        <v>-516446.715392776</v>
      </c>
      <c r="R64" s="15" t="n">
        <f aca="false">Z52</f>
        <v>1327622.74335066</v>
      </c>
      <c r="S64" s="15" t="n">
        <f aca="false">AA52</f>
        <v>651877.385322478</v>
      </c>
      <c r="T64" s="15" t="n">
        <f aca="false">MIN(R64,MAX(0,Q64))</f>
        <v>0</v>
      </c>
      <c r="U64" s="15" t="n">
        <f aca="false">MIN(S64,MAX(0,Q64-T64)*Parametri_v3!$C$42)</f>
        <v>0</v>
      </c>
      <c r="V64" s="15" t="n">
        <f aca="false">MAX(0,Q64-T64-U64)*Ipotesi!$C$92</f>
        <v>0</v>
      </c>
      <c r="W64" s="15" t="n">
        <f aca="false">MAX(0,SUM(M53:M64)+Parametri_v3!$C$55*12/12)*Ipotesi!$C$93</f>
        <v>0</v>
      </c>
      <c r="X64" s="15" t="n">
        <f aca="false">V64+W64-(V63+W63)</f>
        <v>0</v>
      </c>
      <c r="Y64" s="15" t="n">
        <f aca="false">P64-X64</f>
        <v>-30238.8278492829</v>
      </c>
      <c r="Z64" s="15" t="n">
        <f aca="false">R64-T64+IF(AND(Parametri_v3!$C$40=1,D64-YEAR(Parametri_v3!$C$50)&lt;Parametri_v3!$C$41),MAX(0,-Q64),0)</f>
        <v>1327622.74335066</v>
      </c>
      <c r="AA64" s="15" t="n">
        <f aca="false">S64-U64+IF(AND(Parametri_v3!$C$40=1,D64-YEAR(Parametri_v3!$C$50)&lt;Parametri_v3!$C$41),0,MAX(0,-Q64))</f>
        <v>1168324.10071525</v>
      </c>
      <c r="AB64" s="15" t="n">
        <f aca="false">F64*(1+Parametri_v3!$C$26)</f>
        <v>197919.037248401</v>
      </c>
      <c r="AC64" s="15" t="n">
        <f aca="false">(IF(60-(INT((Motore_Operativo!L64)/30))&lt;1,0,INDEX(Motore_Startup!$AB$5:$AB$64,MAX(1,60-(INT((Motore_Operativo!L64)/30)))))*(1-(MOD((Motore_Operativo!L64),30)/30))+IF(60-(INT((Motore_Operativo!L64)/30))-1&lt;1,0,INDEX(Motore_Startup!$AB$5:$AB$64,MAX(1,60-(INT((Motore_Operativo!L64)/30))-1)))*(MOD((Motore_Operativo!L64),30)/30))</f>
        <v>187792.396866947</v>
      </c>
      <c r="AD64" s="15" t="n">
        <f aca="false">(AD63)+AB64-AC64</f>
        <v>583689.745493991</v>
      </c>
      <c r="AE64" s="15" t="n">
        <f aca="false">Motore_Operativo!BH64*(1+Parametri_v3!$C$26)</f>
        <v>10610.1875</v>
      </c>
      <c r="AF64" s="15" t="n">
        <f aca="false">(IF(60-(INT((Parametri_v3!$C$29)/30))&lt;1,0,INDEX(Motore_Operativo!$BH$5:$BH$64,MAX(1,60-(INT((Parametri_v3!$C$29)/30)))))*(1-(MOD((Parametri_v3!$C$29),30)/30))+IF(60-(INT((Parametri_v3!$C$29)/30))-1&lt;1,0,INDEX(Motore_Operativo!$BH$5:$BH$64,MAX(1,60-(INT((Parametri_v3!$C$29)/30))-1)))*(MOD((Parametri_v3!$C$29),30)/30))*(1+Parametri_v3!$C$26)</f>
        <v>10610.1875</v>
      </c>
      <c r="AG64" s="15" t="n">
        <f aca="false">(AG63)+AE64-AF64</f>
        <v>10610.1875</v>
      </c>
      <c r="AH64" s="15" t="n">
        <f aca="false">(Motore_Operativo!CJ64)*(1+Parametri_v3!$C$27*Parametri_v3!$C$26)</f>
        <v>92115.6634181538</v>
      </c>
      <c r="AI64" s="15" t="n">
        <f aca="false">(IF(60-(INT((Ipotesi!$C$91)/30))&lt;1,0,INDEX(Motore_Startup!$AH$5:$AH$64,MAX(1,60-(INT((Ipotesi!$C$91)/30)))))*(1-(MOD((Ipotesi!$C$91),30)/30))+IF(60-(INT((Ipotesi!$C$91)/30))-1&lt;1,0,INDEX(Motore_Startup!$AH$5:$AH$64,MAX(1,60-(INT((Ipotesi!$C$91)/30))-1)))*(MOD((Ipotesi!$C$91),30)/30))</f>
        <v>91200.1187969423</v>
      </c>
      <c r="AJ64" s="15" t="n">
        <f aca="false">(AJ63)+AH64-AI64</f>
        <v>183775.564143071</v>
      </c>
      <c r="AK64" s="15" t="n">
        <f aca="false">(F64+ Motore_Operativo!BH64-(Motore_Operativo!CJ64)*Parametri_v3!$C$27-Motore_Operativo!CE64)*Parametri_v3!$C$26</f>
        <v>22175.0608586968</v>
      </c>
      <c r="AL64" s="15" t="n">
        <f aca="false">MAX(0,(AM63))</f>
        <v>21643.4931297095</v>
      </c>
      <c r="AM64" s="15" t="n">
        <f aca="false">(AM63)+AK64-AL64</f>
        <v>22175.0608586968</v>
      </c>
      <c r="AN64" s="15" t="n">
        <f aca="false">SUM(X41:X52)</f>
        <v>0</v>
      </c>
      <c r="AO64" s="15" t="n">
        <f aca="false">SUM(AP41:AP52)</f>
        <v>0</v>
      </c>
      <c r="AP64" s="15" t="n">
        <f aca="false">MAX(0,AN64)*IF(12=Parametri_v3!$C$43,Parametri_v3!$C$45,IF(12=Parametri_v3!$C$44,1-Parametri_v3!$C$45,0))</f>
        <v>0</v>
      </c>
      <c r="AQ64" s="15" t="n">
        <f aca="false">MAX(0,AP64+IF(12=Parametri_v3!$C$43,MAX(0,AN64-AO64),0)-MAX(0,-(AR63)))</f>
        <v>0</v>
      </c>
      <c r="AR64" s="15" t="n">
        <f aca="false">(AR63)+X64-AQ64</f>
        <v>0</v>
      </c>
      <c r="AS64" s="15" t="n">
        <f aca="false">Motore_Operativo!AB64-AT64+AU64</f>
        <v>113503.461904792</v>
      </c>
      <c r="AT64" s="15" t="n">
        <f aca="false">Motore_Operativo!CH64</f>
        <v>5973.86641604167</v>
      </c>
      <c r="AU64" s="15" t="n">
        <f aca="false">MIN(MAX(0,(AV63)+AT64),Parametri_v3!$C$60/12)</f>
        <v>0</v>
      </c>
      <c r="AV64" s="15" t="n">
        <f aca="false">(AV63)+AT64-AU64</f>
        <v>208741.9473675</v>
      </c>
      <c r="AW64" s="15" t="n">
        <f aca="false">IF(AND(Motore_Operativo!C64=Finanziamenti!$D$6,Finanziamenti!$F$6=1),Finanziamenti!$C$6,0)</f>
        <v>0</v>
      </c>
      <c r="AX64" s="15" t="n">
        <f aca="false">IF(AND(1&lt;&gt;7,1&lt;&gt;9,Finanziamenti!$F$8=1,OR(Parametri_v3!$C$6=0,Finanziamenti!$E$8=1),Motore_Operativo!C64=EDATE(Finanziamenti!$D$8,Ipotesi!C15*12)),Finanziamenti!$C$8*1,0)+IF(AND(1&lt;&gt;7,1&lt;&gt;9,Finanziamenti!$F$9=1,OR(Parametri_v3!$C$6=0,Finanziamenti!$E$9=1),Motore_Operativo!C64=EDATE(Finanziamenti!$D$9,Ipotesi!C15*12)),Finanziamenti!$C$9*Ipotesi!C16,0)</f>
        <v>0</v>
      </c>
      <c r="AY64" s="15" t="n">
        <f aca="false">0</f>
        <v>0</v>
      </c>
      <c r="AZ64" s="15" t="n">
        <f aca="false">Motore_Advisory!AY64*(1-Ipotesi!$C$95)*Ipotesi!$C$96</f>
        <v>0</v>
      </c>
      <c r="BA64" s="15" t="n">
        <f aca="false">MAX(0,MIN(CG64*MIN(1,IF(Motore_Operativo!C64&gt;=EDATE(Finanziamenti!$D$15,Ipotesi!C14*12),Finanziamenti!$C$15,0)+IF(Motore_Operativo!C64&gt;=EDATE(Finanziamenti!$D$16,Ipotesi!C14*12),Finanziamenti!$C$16,0)+IF(Motore_Operativo!C64&gt;=EDATE(Finanziamenti!$D$17,Ipotesi!C14*12),Finanziamenti!$C$17,0)),CA64*Ipotesi!$C$102)-(CC63))</f>
        <v>0</v>
      </c>
      <c r="BB64" s="15" t="n">
        <f aca="false">IF(AND(CF64&gt;0,Motore_Operativo!C64&gt;=IF(CF64=0,0,EDATE(CF64,Parametri_v3!$C$37)),MOD(((D64-YEAR(IF(CF64=0,0,EDATE(CF64,Parametri_v3!$C$37))))*12+E64-MONTH(IF(CF64=0,0,EDATE(CF64,Parametri_v3!$C$37)))),Parametri_v3!$C$38)=0),MIN(MAX(0,(BC63)+BA64-N64),(CC64-CD64)/(Ipotesi!$C$108*12/Parametri_v3!$C$38)),0)</f>
        <v>13161.847043153</v>
      </c>
      <c r="BC64" s="15" t="n">
        <f aca="false">(BC63)+BA64-N64-BB64</f>
        <v>210589.552690448</v>
      </c>
      <c r="BD64" s="15" t="n">
        <f aca="false">(BH63)+AC64+AF64-AI64-AS64-K64*(1+Parametri_v3!$C$26)-AL64-AQ64-O64+AW64+AX64+AZ64+BA64-BB64</f>
        <v>-1049964.65200019</v>
      </c>
      <c r="BE64" s="15" t="n">
        <f aca="false">MAX(0,MIN(MAX(0,CH64-(BG63)),Parametri_v3!$C$30-BD64))</f>
        <v>0</v>
      </c>
      <c r="BF64" s="15" t="n">
        <f aca="false">IF(Motore_Operativo!C64&gt;=Parametri_v3!$C$63,(BG63),MIN((BG63),MAX(0,BD64-Parametri_v3!$C$30)))</f>
        <v>0</v>
      </c>
      <c r="BG64" s="15" t="n">
        <f aca="false">(BG63)+BE64-BF64</f>
        <v>150000</v>
      </c>
      <c r="BH64" s="15" t="n">
        <f aca="false">BD64+BE64-BF64-AY64</f>
        <v>-1049964.65200019</v>
      </c>
      <c r="BI64" s="15" t="n">
        <f aca="false">MAX(0,Parametri_v3!$C$30-BH64)</f>
        <v>1074964.65200019</v>
      </c>
      <c r="BJ64" s="15" t="n">
        <f aca="false">(BJ63)+K64</f>
        <v>165000</v>
      </c>
      <c r="BK64" s="15" t="n">
        <f aca="false">(BK63)+L64</f>
        <v>100000</v>
      </c>
      <c r="BL64" s="15" t="n">
        <f aca="false">BJ64-BK64</f>
        <v>64999.9999999999</v>
      </c>
      <c r="BM64" s="15" t="n">
        <f aca="false">(BM63)+Y64</f>
        <v>-2495946.84406592</v>
      </c>
      <c r="BN64" s="15" t="n">
        <f aca="false">(BN63)+AW64+AX64+AZ64</f>
        <v>1330000</v>
      </c>
      <c r="BO64" s="15" t="n">
        <f aca="false">(BO63)+AY64</f>
        <v>0</v>
      </c>
      <c r="BP64" s="15" t="n">
        <f aca="false">0</f>
        <v>0</v>
      </c>
      <c r="BQ64" s="15" t="n">
        <f aca="false">BN64+BM64-BO64</f>
        <v>-1165946.84406592</v>
      </c>
      <c r="BR64" s="15" t="n">
        <f aca="false">BH64+AD64+BL64+MAX(0,-AM64)+MAX(0,-AR64)+AG64</f>
        <v>-390664.719006201</v>
      </c>
      <c r="BS64" s="15" t="n">
        <f aca="false">AJ64+AV64+MAX(0,AM64)+MAX(0,AR64)+BC64+BG64+BQ64</f>
        <v>-390664.7190062</v>
      </c>
      <c r="BT64" s="15" t="n">
        <f aca="false">BR64-BS64</f>
        <v>0</v>
      </c>
      <c r="BU64" s="15" t="n">
        <f aca="false">BH64-(BD64+BE64-BF64-AY64)</f>
        <v>0</v>
      </c>
      <c r="BV64" s="15" t="n">
        <f aca="false">MIN(Piano_SS!$C$6,(BV63)+IF(AND(Motore_Operativo!C64&gt;=EDATE(Parametri_v3!$C$24,Ipotesi!C14*12),Motore_Operativo!C64&lt;EDATE(Parametri_v3!$C$24,Parametri_v3!$C$25+Ipotesi!C14*12)),MAX(0,(Motore_Operativo!Y64+Motore_Operativo!X64*Parametri_v3!$C$14)*(1-Parametri_v3!$C$32))*Piano_SS!$D$6,0))</f>
        <v>300000</v>
      </c>
      <c r="BW64" s="15" t="n">
        <f aca="false">MIN(Piano_SS!$C$7,(BW63)+IF(AND(Motore_Operativo!C64&gt;=EDATE(Parametri_v3!$C$24,Ipotesi!C14*12),Motore_Operativo!C64&lt;EDATE(Parametri_v3!$C$24,Parametri_v3!$C$25+Ipotesi!C14*12)),MAX(0,(IF(60-(INT((Ipotesi!$C$91)/30))&lt;1,0,INDEX(Motore_Operativo!$BN$5:$BN$64,MAX(1,60-(INT((Ipotesi!$C$91)/30)))))*(1-(MOD((Ipotesi!$C$91),30)/30))+IF(60-(INT((Ipotesi!$C$91)/30))-1&lt;1,0,INDEX(Motore_Operativo!$BN$5:$BN$64,MAX(1,60-(INT((Ipotesi!$C$91)/30))-1)))*(MOD((Ipotesi!$C$91),30)/30)))*Piano_SS!$D$7,0))</f>
        <v>37208.8229697489</v>
      </c>
      <c r="BX64" s="15" t="n">
        <f aca="false">MIN(Piano_SS!$C$8,(BX63)+IF(AND(Motore_Operativo!C64&gt;=EDATE(Parametri_v3!$C$24,Ipotesi!C14*12),Motore_Operativo!C64&lt;EDATE(Parametri_v3!$C$24,Parametri_v3!$C$25+Ipotesi!C14*12)),MAX(0,Motore_Operativo!CE64)*Piano_SS!$D$8,0))</f>
        <v>50000</v>
      </c>
      <c r="BY64" s="15" t="n">
        <f aca="false">MIN(Piano_SS!$C$9,(BY63)+IF(AND(Motore_Operativo!C64&gt;=EDATE(Parametri_v3!$C$24,Ipotesi!C14*12),Motore_Operativo!C64&lt;EDATE(Parametri_v3!$C$24,Parametri_v3!$C$25+Ipotesi!C14*12)),MAX(0,((IF(60-(INT((Ipotesi!$C$91)/30))&lt;1,0,INDEX(Motore_Operativo!$BQ$5:$BQ$64,MAX(1,60-(INT((Ipotesi!$C$91)/30)))))*(1-(MOD((Ipotesi!$C$91),30)/30))+IF(60-(INT((Ipotesi!$C$91)/30))-1&lt;1,0,INDEX(Motore_Operativo!$BQ$5:$BQ$64,MAX(1,60-(INT((Ipotesi!$C$91)/30))-1)))*(MOD((Ipotesi!$C$91),30)/30))+(IF(60-(INT((Ipotesi!$C$91)/30))&lt;1,0,INDEX(Motore_Operativo!$BR$5:$BR$64,MAX(1,60-(INT((Ipotesi!$C$91)/30)))))*(1-(MOD((Ipotesi!$C$91),30)/30))+IF(60-(INT((Ipotesi!$C$91)/30))-1&lt;1,0,INDEX(Motore_Operativo!$BR$5:$BR$64,MAX(1,60-(INT((Ipotesi!$C$91)/30))-1)))*(MOD((Ipotesi!$C$91),30)/30))))*Piano_SS!$D$9,0))</f>
        <v>40000</v>
      </c>
      <c r="BZ64" s="15" t="n">
        <f aca="false">MIN(Piano_SS!$C$10,(BZ63)+IF(AND(Motore_Operativo!C64&gt;=EDATE(Parametri_v3!$C$24,Ipotesi!C14*12),Motore_Operativo!C64&lt;EDATE(Parametri_v3!$C$24,Parametri_v3!$C$25+Ipotesi!C14*12)),MAX(0,(IF(60-(INT((Ipotesi!$C$91)/30))&lt;1,0,INDEX(Motore_Operativo!$BO$5:$BO$64,MAX(1,60-(INT((Ipotesi!$C$91)/30)))))*(1-(MOD((Ipotesi!$C$91),30)/30))+IF(60-(INT((Ipotesi!$C$91)/30))-1&lt;1,0,INDEX(Motore_Operativo!$BO$5:$BO$64,MAX(1,60-(INT((Ipotesi!$C$91)/30))-1)))*(MOD((Ipotesi!$C$91),30)/30)))*Piano_SS!$D$10,0))</f>
        <v>30000</v>
      </c>
      <c r="CA64" s="15" t="n">
        <f aca="false">SUM(BV64:BZ64)</f>
        <v>457208.822969749</v>
      </c>
      <c r="CB64" s="15" t="n">
        <f aca="false">BV64*(1-Piano_SS!$E$6)+BW64*(1-Piano_SS!$E$7)+BX64*(1-Piano_SS!$E$8)+BY64*(1-Piano_SS!$E$9)+BZ64*(1-Piano_SS!$E$10)</f>
        <v>427208.822969749</v>
      </c>
      <c r="CC64" s="15" t="n">
        <f aca="false">(CC63)+BA64</f>
        <v>365767.058375799</v>
      </c>
      <c r="CD64" s="15" t="n">
        <f aca="false">IF(CA64=0,0,CC64*CB64/CA64*Ipotesi!$C$103*Parametri_v3!$C$64)</f>
        <v>102530.11751274</v>
      </c>
      <c r="CE64" s="18" t="n">
        <f aca="false">IF(BA64&gt;0,Motore_Operativo!C64,(CE63))</f>
        <v>47270</v>
      </c>
      <c r="CF64" s="18" t="n">
        <f aca="false">IF(AND(CC64&gt;0,OR(CC64&gt;=CG64-0.01,Motore_Operativo!C64&gt;=EDATE(MAX(Finanziamenti!$D$15:$D$17),Ipotesi!C14*12))),CE64,0)</f>
        <v>47270</v>
      </c>
      <c r="CG64" s="15" t="n">
        <f aca="false">IF(AND(1&lt;&gt;6,1&lt;&gt;9,Finanziamenti!$F$11=1,OR(Parametri_v3!$C$6=0,Finanziamenti!$E$11=1)),MIN(Finanziamenti!$C$11,Piano_SS!$C$12*Ipotesi!$C$102),0)</f>
        <v>400000</v>
      </c>
      <c r="CH64" s="15" t="n">
        <f aca="false">IF(AND(AND(1&lt;&gt;8,1&lt;&gt;9,Finanziamenti!$F$10=1,OR(Parametri_v3!$C$6=0,Finanziamenti!$E$10=1)),Motore_Operativo!C64&gt;=Finanziamenti!$D$10,Motore_Operativo!C64&lt;Parametri_v3!$C$63),Finanziamenti!$C$10,0)</f>
        <v>150000</v>
      </c>
    </row>
    <row r="65" customFormat="false" ht="18" hidden="false" customHeight="true" outlineLevel="0" collapsed="false">
      <c r="A65" s="68" t="n">
        <f aca="false">2</f>
        <v>2</v>
      </c>
      <c r="B65" s="68" t="n">
        <f aca="false">1</f>
        <v>1</v>
      </c>
      <c r="C65" s="18" t="n">
        <f aca="false">Motore_Operativo!C65</f>
        <v>46388</v>
      </c>
      <c r="D65" s="68" t="n">
        <f aca="false">Motore_Operativo!D65</f>
        <v>2027</v>
      </c>
      <c r="E65" s="68" t="n">
        <f aca="false">Motore_Operativo!E65</f>
        <v>1</v>
      </c>
      <c r="F65" s="15" t="n">
        <f aca="false">Motore_Operativo!AQ65+Motore_Operativo!BF65</f>
        <v>7500</v>
      </c>
      <c r="G65" s="15" t="n">
        <f aca="false">Motore_Operativo!BH65</f>
        <v>1621.05263157895</v>
      </c>
      <c r="H65" s="15" t="n">
        <f aca="false">Motore_Operativo!BI65</f>
        <v>9121.05263157895</v>
      </c>
      <c r="I65" s="15" t="n">
        <f aca="false">Motore_Operativo!CA65</f>
        <v>27738.2149122807</v>
      </c>
      <c r="J65" s="15" t="n">
        <f aca="false">Motore_Operativo!CC65</f>
        <v>-18617.1622807018</v>
      </c>
      <c r="K65" s="15" t="n">
        <f aca="false">Motore_Operativo!CE65</f>
        <v>1666.66666666667</v>
      </c>
      <c r="L65" s="15" t="n">
        <f aca="false">SUM(INDEX($K$65:$K$124,MAX(1,1-Parametri_v3!$C$59+1)):K65)/Parametri_v3!$C$59</f>
        <v>46.2962962962963</v>
      </c>
      <c r="M65" s="15" t="n">
        <f aca="false">J65-L65</f>
        <v>-18663.4585769981</v>
      </c>
      <c r="N65" s="15" t="n">
        <f aca="false">CD65-(0)</f>
        <v>0</v>
      </c>
      <c r="O65" s="15" t="n">
        <f aca="false">(0)*Ipotesi!$C$110/12+CH65*Parametri_v3!$C$39/12</f>
        <v>0</v>
      </c>
      <c r="P65" s="15" t="n">
        <f aca="false">M65+N65-O65</f>
        <v>-18663.4585769981</v>
      </c>
      <c r="Q65" s="15" t="n">
        <f aca="false">SUM(P65)+Parametri_v3!$C$54*1/12</f>
        <v>-18663.4585769981</v>
      </c>
      <c r="R65" s="15" t="n">
        <f aca="false">0</f>
        <v>0</v>
      </c>
      <c r="S65" s="15" t="n">
        <f aca="false">0</f>
        <v>0</v>
      </c>
      <c r="T65" s="15" t="n">
        <f aca="false">MIN(R65,MAX(0,Q65))</f>
        <v>0</v>
      </c>
      <c r="U65" s="15" t="n">
        <f aca="false">MIN(S65,MAX(0,Q65-T65)*Parametri_v3!$C$42)</f>
        <v>0</v>
      </c>
      <c r="V65" s="15" t="n">
        <f aca="false">MAX(0,Q65-T65-U65)*Ipotesi!$C$92</f>
        <v>0</v>
      </c>
      <c r="W65" s="15" t="n">
        <f aca="false">MAX(0,SUM(M65)+Parametri_v3!$C$55*1/12)*Ipotesi!$C$93</f>
        <v>0</v>
      </c>
      <c r="X65" s="15" t="n">
        <f aca="false">V65+W65-(0)</f>
        <v>0</v>
      </c>
      <c r="Y65" s="15" t="n">
        <f aca="false">P65-X65</f>
        <v>-18663.4585769981</v>
      </c>
      <c r="Z65" s="15" t="n">
        <f aca="false">R65-T65+IF(AND(Parametri_v3!$C$40=1,D65-YEAR(Parametri_v3!$C$50)&lt;Parametri_v3!$C$41),MAX(0,-Q65),0)</f>
        <v>18663.4585769981</v>
      </c>
      <c r="AA65" s="15" t="n">
        <f aca="false">S65-U65+IF(AND(Parametri_v3!$C$40=1,D65-YEAR(Parametri_v3!$C$50)&lt;Parametri_v3!$C$41),0,MAX(0,-Q65))</f>
        <v>0</v>
      </c>
      <c r="AB65" s="15" t="n">
        <f aca="false">F65*(1+Parametri_v3!$C$26)</f>
        <v>9150</v>
      </c>
      <c r="AC65" s="15" t="n">
        <f aca="false">(IF(1-(INT((Motore_Operativo!L65)/30))&lt;1,0,INDEX(Motore_Startup!$AB$65:$AB$124,MAX(1,1-(INT((Motore_Operativo!L65)/30)))))*(1-(MOD((Motore_Operativo!L65),30)/30))+IF(1-(INT((Motore_Operativo!L65)/30))-1&lt;1,0,INDEX(Motore_Startup!$AB$65:$AB$124,MAX(1,1-(INT((Motore_Operativo!L65)/30))-1)))*(MOD((Motore_Operativo!L65),30)/30))</f>
        <v>0</v>
      </c>
      <c r="AD65" s="15" t="n">
        <f aca="false">(0)+AB65-AC65</f>
        <v>9150</v>
      </c>
      <c r="AE65" s="15" t="n">
        <f aca="false">Motore_Operativo!BH65*(1+Parametri_v3!$C$26)</f>
        <v>1977.68421052632</v>
      </c>
      <c r="AF65" s="15" t="n">
        <f aca="false">(IF(1-(INT((Parametri_v3!$C$29)/30))&lt;1,0,INDEX(Motore_Operativo!$BH$65:$BH$124,MAX(1,1-(INT((Parametri_v3!$C$29)/30)))))*(1-(MOD((Parametri_v3!$C$29),30)/30))+IF(1-(INT((Parametri_v3!$C$29)/30))-1&lt;1,0,INDEX(Motore_Operativo!$BH$65:$BH$124,MAX(1,1-(INT((Parametri_v3!$C$29)/30))-1)))*(MOD((Parametri_v3!$C$29),30)/30))*(1+Parametri_v3!$C$26)</f>
        <v>0</v>
      </c>
      <c r="AG65" s="15" t="n">
        <f aca="false">(0)+AE65-AF65</f>
        <v>1977.68421052632</v>
      </c>
      <c r="AH65" s="15" t="n">
        <f aca="false">(Motore_Operativo!CJ65)*(1+Parametri_v3!$C$27*Parametri_v3!$C$26)</f>
        <v>11658.1777675439</v>
      </c>
      <c r="AI65" s="15" t="n">
        <f aca="false">(IF(1-(INT((Ipotesi!$C$91)/30))&lt;1,0,INDEX(Motore_Startup!$AH$65:$AH$124,MAX(1,1-(INT((Ipotesi!$C$91)/30)))))*(1-(MOD((Ipotesi!$C$91),30)/30))+IF(1-(INT((Ipotesi!$C$91)/30))-1&lt;1,0,INDEX(Motore_Startup!$AH$65:$AH$124,MAX(1,1-(INT((Ipotesi!$C$91)/30))-1)))*(MOD((Ipotesi!$C$91),30)/30))</f>
        <v>0</v>
      </c>
      <c r="AJ65" s="15" t="n">
        <f aca="false">(0)+AH65-AI65</f>
        <v>11658.1777675439</v>
      </c>
      <c r="AK65" s="15" t="n">
        <f aca="false">(F65+ Motore_Operativo!BH65-(Motore_Operativo!CJ65)*Parametri_v3!$C$27-Motore_Operativo!CE65)*Parametri_v3!$C$26</f>
        <v>-196.664609649123</v>
      </c>
      <c r="AL65" s="15" t="n">
        <f aca="false">MAX(0,(0))</f>
        <v>0</v>
      </c>
      <c r="AM65" s="15" t="n">
        <f aca="false">(0)+AK65-AL65</f>
        <v>-196.664609649123</v>
      </c>
      <c r="AN65" s="15" t="n">
        <f aca="false">0</f>
        <v>0</v>
      </c>
      <c r="AO65" s="15" t="n">
        <f aca="false">0</f>
        <v>0</v>
      </c>
      <c r="AP65" s="15" t="n">
        <f aca="false">MAX(0,AN65)*IF(1=Parametri_v3!$C$43,Parametri_v3!$C$45,IF(1=Parametri_v3!$C$44,1-Parametri_v3!$C$45,0))</f>
        <v>0</v>
      </c>
      <c r="AQ65" s="15" t="n">
        <f aca="false">MAX(0,AP65+IF(1=Parametri_v3!$C$43,MAX(0,AN65-AO65),0)-MAX(0,-(0)))</f>
        <v>0</v>
      </c>
      <c r="AR65" s="15" t="n">
        <f aca="false">(0)+X65-AQ65</f>
        <v>0</v>
      </c>
      <c r="AS65" s="15" t="n">
        <f aca="false">Motore_Operativo!AB65-AT65+AU65</f>
        <v>17020.8333333333</v>
      </c>
      <c r="AT65" s="15" t="n">
        <f aca="false">Motore_Operativo!CH65</f>
        <v>895.833333333334</v>
      </c>
      <c r="AU65" s="15" t="n">
        <f aca="false">MIN(MAX(0,(0)+AT65),Parametri_v3!$C$60/12)</f>
        <v>0</v>
      </c>
      <c r="AV65" s="15" t="n">
        <f aca="false">(0)+AT65-AU65</f>
        <v>895.833333333334</v>
      </c>
      <c r="AW65" s="15" t="n">
        <f aca="false">IF(AND(Motore_Operativo!C65=Finanziamenti!$D$6,Finanziamenti!$F$6=1),Finanziamenti!$C$6,0)</f>
        <v>130000</v>
      </c>
      <c r="AX65" s="15" t="n">
        <f aca="false">IF(AND(2&lt;&gt;7,2&lt;&gt;9,Finanziamenti!$F$8=1,OR(Parametri_v3!$C$6=0,Finanziamenti!$E$8=1),Motore_Operativo!C65=EDATE(Finanziamenti!$D$8,Ipotesi!D15*12)),Finanziamenti!$C$8*1,0)+IF(AND(2&lt;&gt;7,2&lt;&gt;9,Finanziamenti!$F$9=1,OR(Parametri_v3!$C$6=0,Finanziamenti!$E$9=1),Motore_Operativo!C65=EDATE(Finanziamenti!$D$9,Ipotesi!D15*12)),Finanziamenti!$C$9*Ipotesi!D16,0)</f>
        <v>0</v>
      </c>
      <c r="AY65" s="15" t="n">
        <f aca="false">0</f>
        <v>0</v>
      </c>
      <c r="AZ65" s="15" t="n">
        <f aca="false">Motore_Advisory!AY65*(1-Ipotesi!$C$95)*Ipotesi!$C$96</f>
        <v>0</v>
      </c>
      <c r="BA65" s="15" t="n">
        <f aca="false">MAX(0,MIN(CG65*MIN(1,IF(Motore_Operativo!C65&gt;=EDATE(Finanziamenti!$D$15,Ipotesi!D14*12),Finanziamenti!$C$15,0)+IF(Motore_Operativo!C65&gt;=EDATE(Finanziamenti!$D$16,Ipotesi!D14*12),Finanziamenti!$C$16,0)+IF(Motore_Operativo!C65&gt;=EDATE(Finanziamenti!$D$17,Ipotesi!D14*12),Finanziamenti!$C$17,0)),CA65*Ipotesi!$C$102)-(0))</f>
        <v>0</v>
      </c>
      <c r="BB65" s="15" t="n">
        <f aca="false">IF(AND(CF65&gt;0,Motore_Operativo!C65&gt;=IF(CF65=0,0,EDATE(CF65,Parametri_v3!$C$37)),MOD(((D65-YEAR(IF(CF65=0,0,EDATE(CF65,Parametri_v3!$C$37))))*12+E65-MONTH(IF(CF65=0,0,EDATE(CF65,Parametri_v3!$C$37)))),Parametri_v3!$C$38)=0),MIN(MAX(0,(0)+BA65-N65),(CC65-CD65)/(Ipotesi!$C$108*12/Parametri_v3!$C$38)),0)</f>
        <v>0</v>
      </c>
      <c r="BC65" s="15" t="n">
        <f aca="false">(0)+BA65-N65-BB65</f>
        <v>0</v>
      </c>
      <c r="BD65" s="15" t="n">
        <f aca="false">(0)+AC65+AF65-AI65-AS65-K65*(1+Parametri_v3!$C$26)-AL65-AQ65-O65+AW65+AX65+AZ65+BA65-BB65</f>
        <v>110945.833333333</v>
      </c>
      <c r="BE65" s="15" t="n">
        <f aca="false">MAX(0,MIN(MAX(0,CH65-(0)),Parametri_v3!$C$30-BD65))</f>
        <v>0</v>
      </c>
      <c r="BF65" s="15" t="n">
        <f aca="false">IF(Motore_Operativo!C65&gt;=Parametri_v3!$C$63,(0),MIN((0),MAX(0,BD65-Parametri_v3!$C$30)))</f>
        <v>0</v>
      </c>
      <c r="BG65" s="15" t="n">
        <f aca="false">(0)+BE65-BF65</f>
        <v>0</v>
      </c>
      <c r="BH65" s="15" t="n">
        <f aca="false">BD65+BE65-BF65-AY65</f>
        <v>110945.833333333</v>
      </c>
      <c r="BI65" s="15" t="n">
        <f aca="false">MAX(0,Parametri_v3!$C$30-BH65)</f>
        <v>0</v>
      </c>
      <c r="BJ65" s="15" t="n">
        <f aca="false">(0)+K65</f>
        <v>1666.66666666667</v>
      </c>
      <c r="BK65" s="15" t="n">
        <f aca="false">(0)+L65</f>
        <v>46.2962962962963</v>
      </c>
      <c r="BL65" s="15" t="n">
        <f aca="false">BJ65-BK65</f>
        <v>1620.37037037037</v>
      </c>
      <c r="BM65" s="15" t="n">
        <f aca="false">(0)+Y65</f>
        <v>-18663.4585769981</v>
      </c>
      <c r="BN65" s="15" t="n">
        <f aca="false">(0)+AW65+AX65+AZ65</f>
        <v>130000</v>
      </c>
      <c r="BO65" s="15" t="n">
        <f aca="false">(0)+AY65</f>
        <v>0</v>
      </c>
      <c r="BP65" s="15" t="n">
        <f aca="false">0</f>
        <v>0</v>
      </c>
      <c r="BQ65" s="15" t="n">
        <f aca="false">BN65+BM65-BO65</f>
        <v>111336.541423002</v>
      </c>
      <c r="BR65" s="15" t="n">
        <f aca="false">BH65+AD65+BL65+MAX(0,-AM65)+MAX(0,-AR65)+AG65</f>
        <v>123890.552523879</v>
      </c>
      <c r="BS65" s="15" t="n">
        <f aca="false">AJ65+AV65+MAX(0,AM65)+MAX(0,AR65)+BC65+BG65+BQ65</f>
        <v>123890.552523879</v>
      </c>
      <c r="BT65" s="15" t="n">
        <f aca="false">BR65-BS65</f>
        <v>0</v>
      </c>
      <c r="BU65" s="15" t="n">
        <f aca="false">BH65-(BD65+BE65-BF65-AY65)</f>
        <v>0</v>
      </c>
      <c r="BV65" s="15" t="n">
        <f aca="false">MIN(Piano_SS!$C$6,(0)+IF(AND(Motore_Operativo!C65&gt;=EDATE(Parametri_v3!$C$24,Ipotesi!D14*12),Motore_Operativo!C65&lt;EDATE(Parametri_v3!$C$24,Parametri_v3!$C$25+Ipotesi!D14*12)),MAX(0,(Motore_Operativo!Y65+Motore_Operativo!X65*Parametri_v3!$C$14)*(1-Parametri_v3!$C$32))*Piano_SS!$D$6,0))</f>
        <v>0</v>
      </c>
      <c r="BW65" s="15" t="n">
        <f aca="false">MIN(Piano_SS!$C$7,(0)+IF(AND(Motore_Operativo!C65&gt;=EDATE(Parametri_v3!$C$24,Ipotesi!D14*12),Motore_Operativo!C65&lt;EDATE(Parametri_v3!$C$24,Parametri_v3!$C$25+Ipotesi!D14*12)),MAX(0,(IF(1-(INT((Ipotesi!$C$91)/30))&lt;1,0,INDEX(Motore_Operativo!$BN$65:$BN$124,MAX(1,1-(INT((Ipotesi!$C$91)/30)))))*(1-(MOD((Ipotesi!$C$91),30)/30))+IF(1-(INT((Ipotesi!$C$91)/30))-1&lt;1,0,INDEX(Motore_Operativo!$BN$65:$BN$124,MAX(1,1-(INT((Ipotesi!$C$91)/30))-1)))*(MOD((Ipotesi!$C$91),30)/30)))*Piano_SS!$D$7,0))</f>
        <v>0</v>
      </c>
      <c r="BX65" s="15" t="n">
        <f aca="false">MIN(Piano_SS!$C$8,(0)+IF(AND(Motore_Operativo!C65&gt;=EDATE(Parametri_v3!$C$24,Ipotesi!D14*12),Motore_Operativo!C65&lt;EDATE(Parametri_v3!$C$24,Parametri_v3!$C$25+Ipotesi!D14*12)),MAX(0,Motore_Operativo!CE65)*Piano_SS!$D$8,0))</f>
        <v>0</v>
      </c>
      <c r="BY65" s="15" t="n">
        <f aca="false">MIN(Piano_SS!$C$9,(0)+IF(AND(Motore_Operativo!C65&gt;=EDATE(Parametri_v3!$C$24,Ipotesi!D14*12),Motore_Operativo!C65&lt;EDATE(Parametri_v3!$C$24,Parametri_v3!$C$25+Ipotesi!D14*12)),MAX(0,((IF(1-(INT((Ipotesi!$C$91)/30))&lt;1,0,INDEX(Motore_Operativo!$BQ$65:$BQ$124,MAX(1,1-(INT((Ipotesi!$C$91)/30)))))*(1-(MOD((Ipotesi!$C$91),30)/30))+IF(1-(INT((Ipotesi!$C$91)/30))-1&lt;1,0,INDEX(Motore_Operativo!$BQ$65:$BQ$124,MAX(1,1-(INT((Ipotesi!$C$91)/30))-1)))*(MOD((Ipotesi!$C$91),30)/30))+(IF(1-(INT((Ipotesi!$C$91)/30))&lt;1,0,INDEX(Motore_Operativo!$BR$65:$BR$124,MAX(1,1-(INT((Ipotesi!$C$91)/30)))))*(1-(MOD((Ipotesi!$C$91),30)/30))+IF(1-(INT((Ipotesi!$C$91)/30))-1&lt;1,0,INDEX(Motore_Operativo!$BR$65:$BR$124,MAX(1,1-(INT((Ipotesi!$C$91)/30))-1)))*(MOD((Ipotesi!$C$91),30)/30))))*Piano_SS!$D$9,0))</f>
        <v>0</v>
      </c>
      <c r="BZ65" s="15" t="n">
        <f aca="false">MIN(Piano_SS!$C$10,(0)+IF(AND(Motore_Operativo!C65&gt;=EDATE(Parametri_v3!$C$24,Ipotesi!D14*12),Motore_Operativo!C65&lt;EDATE(Parametri_v3!$C$24,Parametri_v3!$C$25+Ipotesi!D14*12)),MAX(0,(IF(1-(INT((Ipotesi!$C$91)/30))&lt;1,0,INDEX(Motore_Operativo!$BO$65:$BO$124,MAX(1,1-(INT((Ipotesi!$C$91)/30)))))*(1-(MOD((Ipotesi!$C$91),30)/30))+IF(1-(INT((Ipotesi!$C$91)/30))-1&lt;1,0,INDEX(Motore_Operativo!$BO$65:$BO$124,MAX(1,1-(INT((Ipotesi!$C$91)/30))-1)))*(MOD((Ipotesi!$C$91),30)/30)))*Piano_SS!$D$10,0))</f>
        <v>0</v>
      </c>
      <c r="CA65" s="15" t="n">
        <f aca="false">SUM(BV65:BZ65)</f>
        <v>0</v>
      </c>
      <c r="CB65" s="15" t="n">
        <f aca="false">BV65*(1-Piano_SS!$E$6)+BW65*(1-Piano_SS!$E$7)+BX65*(1-Piano_SS!$E$8)+BY65*(1-Piano_SS!$E$9)+BZ65*(1-Piano_SS!$E$10)</f>
        <v>0</v>
      </c>
      <c r="CC65" s="15" t="n">
        <f aca="false">(0)+BA65</f>
        <v>0</v>
      </c>
      <c r="CD65" s="15" t="n">
        <f aca="false">IF(CA65=0,0,CC65*CB65/CA65*Ipotesi!$C$103*Parametri_v3!$C$64)</f>
        <v>0</v>
      </c>
      <c r="CE65" s="18" t="n">
        <f aca="false">IF(BA65&gt;0,Motore_Operativo!C65,(0))</f>
        <v>0</v>
      </c>
      <c r="CF65" s="18" t="n">
        <f aca="false">IF(AND(CC65&gt;0,OR(CC65&gt;=CG65-0.01,Motore_Operativo!C65&gt;=EDATE(MAX(Finanziamenti!$D$15:$D$17),Ipotesi!D14*12))),CE65,0)</f>
        <v>0</v>
      </c>
      <c r="CG65" s="15" t="n">
        <f aca="false">IF(AND(2&lt;&gt;6,2&lt;&gt;9,Finanziamenti!$F$11=1,OR(Parametri_v3!$C$6=0,Finanziamenti!$E$11=1)),MIN(Finanziamenti!$C$11,Piano_SS!$C$12*Ipotesi!$C$102),0)</f>
        <v>400000</v>
      </c>
      <c r="CH65" s="15" t="n">
        <f aca="false">IF(AND(AND(2&lt;&gt;8,2&lt;&gt;9,Finanziamenti!$F$10=1,OR(Parametri_v3!$C$6=0,Finanziamenti!$E$10=1)),Motore_Operativo!C65&gt;=Finanziamenti!$D$10,Motore_Operativo!C65&lt;Parametri_v3!$C$63),Finanziamenti!$C$10,0)</f>
        <v>150000</v>
      </c>
    </row>
    <row r="66" customFormat="false" ht="18" hidden="false" customHeight="true" outlineLevel="0" collapsed="false">
      <c r="A66" s="68" t="n">
        <f aca="false">2</f>
        <v>2</v>
      </c>
      <c r="B66" s="68" t="n">
        <f aca="false">2</f>
        <v>2</v>
      </c>
      <c r="C66" s="18" t="n">
        <f aca="false">Motore_Operativo!C66</f>
        <v>46419</v>
      </c>
      <c r="D66" s="68" t="n">
        <f aca="false">Motore_Operativo!D66</f>
        <v>2027</v>
      </c>
      <c r="E66" s="68" t="n">
        <f aca="false">Motore_Operativo!E66</f>
        <v>2</v>
      </c>
      <c r="F66" s="15" t="n">
        <f aca="false">Motore_Operativo!AQ66+Motore_Operativo!BF66</f>
        <v>7500</v>
      </c>
      <c r="G66" s="15" t="n">
        <f aca="false">Motore_Operativo!BH66</f>
        <v>1621.05263157895</v>
      </c>
      <c r="H66" s="15" t="n">
        <f aca="false">Motore_Operativo!BI66</f>
        <v>9121.05263157895</v>
      </c>
      <c r="I66" s="15" t="n">
        <f aca="false">Motore_Operativo!CA66</f>
        <v>27738.2149122807</v>
      </c>
      <c r="J66" s="15" t="n">
        <f aca="false">Motore_Operativo!CC66</f>
        <v>-18617.1622807018</v>
      </c>
      <c r="K66" s="15" t="n">
        <f aca="false">Motore_Operativo!CE66</f>
        <v>1666.66666666667</v>
      </c>
      <c r="L66" s="15" t="n">
        <f aca="false">SUM(INDEX($K$65:$K$124,MAX(1,2-Parametri_v3!$C$59+1)):K66)/Parametri_v3!$C$59</f>
        <v>92.5925925925926</v>
      </c>
      <c r="M66" s="15" t="n">
        <f aca="false">J66-L66</f>
        <v>-18709.7548732943</v>
      </c>
      <c r="N66" s="15" t="n">
        <f aca="false">CD66-(CD65)</f>
        <v>0</v>
      </c>
      <c r="O66" s="15" t="n">
        <f aca="false">(BG65)*Ipotesi!$C$110/12+CH66*Parametri_v3!$C$39/12</f>
        <v>0</v>
      </c>
      <c r="P66" s="15" t="n">
        <f aca="false">M66+N66-O66</f>
        <v>-18709.7548732943</v>
      </c>
      <c r="Q66" s="15" t="n">
        <f aca="false">SUM(P65:P66)+Parametri_v3!$C$54*2/12</f>
        <v>-37373.2134502924</v>
      </c>
      <c r="R66" s="15" t="n">
        <f aca="false">0</f>
        <v>0</v>
      </c>
      <c r="S66" s="15" t="n">
        <f aca="false">0</f>
        <v>0</v>
      </c>
      <c r="T66" s="15" t="n">
        <f aca="false">MIN(R66,MAX(0,Q66))</f>
        <v>0</v>
      </c>
      <c r="U66" s="15" t="n">
        <f aca="false">MIN(S66,MAX(0,Q66-T66)*Parametri_v3!$C$42)</f>
        <v>0</v>
      </c>
      <c r="V66" s="15" t="n">
        <f aca="false">MAX(0,Q66-T66-U66)*Ipotesi!$C$92</f>
        <v>0</v>
      </c>
      <c r="W66" s="15" t="n">
        <f aca="false">MAX(0,SUM(M65:M66)+Parametri_v3!$C$55*2/12)*Ipotesi!$C$93</f>
        <v>0</v>
      </c>
      <c r="X66" s="15" t="n">
        <f aca="false">V66+W66-(V65+W65)</f>
        <v>0</v>
      </c>
      <c r="Y66" s="15" t="n">
        <f aca="false">P66-X66</f>
        <v>-18709.7548732943</v>
      </c>
      <c r="Z66" s="15" t="n">
        <f aca="false">R66-T66+IF(AND(Parametri_v3!$C$40=1,D66-YEAR(Parametri_v3!$C$50)&lt;Parametri_v3!$C$41),MAX(0,-Q66),0)</f>
        <v>37373.2134502924</v>
      </c>
      <c r="AA66" s="15" t="n">
        <f aca="false">S66-U66+IF(AND(Parametri_v3!$C$40=1,D66-YEAR(Parametri_v3!$C$50)&lt;Parametri_v3!$C$41),0,MAX(0,-Q66))</f>
        <v>0</v>
      </c>
      <c r="AB66" s="15" t="n">
        <f aca="false">F66*(1+Parametri_v3!$C$26)</f>
        <v>9150</v>
      </c>
      <c r="AC66" s="15" t="n">
        <f aca="false">(IF(2-(INT((Motore_Operativo!L66)/30))&lt;1,0,INDEX(Motore_Startup!$AB$65:$AB$124,MAX(1,2-(INT((Motore_Operativo!L66)/30)))))*(1-(MOD((Motore_Operativo!L66),30)/30))+IF(2-(INT((Motore_Operativo!L66)/30))-1&lt;1,0,INDEX(Motore_Startup!$AB$65:$AB$124,MAX(1,2-(INT((Motore_Operativo!L66)/30))-1)))*(MOD((Motore_Operativo!L66),30)/30))</f>
        <v>0</v>
      </c>
      <c r="AD66" s="15" t="n">
        <f aca="false">(AD65)+AB66-AC66</f>
        <v>18300</v>
      </c>
      <c r="AE66" s="15" t="n">
        <f aca="false">Motore_Operativo!BH66*(1+Parametri_v3!$C$26)</f>
        <v>1977.68421052632</v>
      </c>
      <c r="AF66" s="15" t="n">
        <f aca="false">(IF(2-(INT((Parametri_v3!$C$29)/30))&lt;1,0,INDEX(Motore_Operativo!$BH$65:$BH$124,MAX(1,2-(INT((Parametri_v3!$C$29)/30)))))*(1-(MOD((Parametri_v3!$C$29),30)/30))+IF(2-(INT((Parametri_v3!$C$29)/30))-1&lt;1,0,INDEX(Motore_Operativo!$BH$65:$BH$124,MAX(1,2-(INT((Parametri_v3!$C$29)/30))-1)))*(MOD((Parametri_v3!$C$29),30)/30))*(1+Parametri_v3!$C$26)</f>
        <v>1977.68421052632</v>
      </c>
      <c r="AG66" s="15" t="n">
        <f aca="false">(AG65)+AE66-AF66</f>
        <v>1977.68421052632</v>
      </c>
      <c r="AH66" s="15" t="n">
        <f aca="false">(Motore_Operativo!CJ66)*(1+Parametri_v3!$C$27*Parametri_v3!$C$26)</f>
        <v>11658.1777675439</v>
      </c>
      <c r="AI66" s="15" t="n">
        <f aca="false">(IF(2-(INT((Ipotesi!$C$91)/30))&lt;1,0,INDEX(Motore_Startup!$AH$65:$AH$124,MAX(1,2-(INT((Ipotesi!$C$91)/30)))))*(1-(MOD((Ipotesi!$C$91),30)/30))+IF(2-(INT((Ipotesi!$C$91)/30))-1&lt;1,0,INDEX(Motore_Startup!$AH$65:$AH$124,MAX(1,2-(INT((Ipotesi!$C$91)/30))-1)))*(MOD((Ipotesi!$C$91),30)/30))</f>
        <v>0</v>
      </c>
      <c r="AJ66" s="15" t="n">
        <f aca="false">(AJ65)+AH66-AI66</f>
        <v>23316.3555350877</v>
      </c>
      <c r="AK66" s="15" t="n">
        <f aca="false">(F66+ Motore_Operativo!BH66-(Motore_Operativo!CJ66)*Parametri_v3!$C$27-Motore_Operativo!CE66)*Parametri_v3!$C$26</f>
        <v>-196.664609649123</v>
      </c>
      <c r="AL66" s="15" t="n">
        <f aca="false">MAX(0,(AM65))</f>
        <v>0</v>
      </c>
      <c r="AM66" s="15" t="n">
        <f aca="false">(AM65)+AK66-AL66</f>
        <v>-393.329219298245</v>
      </c>
      <c r="AN66" s="15" t="n">
        <f aca="false">0</f>
        <v>0</v>
      </c>
      <c r="AO66" s="15" t="n">
        <f aca="false">0</f>
        <v>0</v>
      </c>
      <c r="AP66" s="15" t="n">
        <f aca="false">MAX(0,AN66)*IF(2=Parametri_v3!$C$43,Parametri_v3!$C$45,IF(2=Parametri_v3!$C$44,1-Parametri_v3!$C$45,0))</f>
        <v>0</v>
      </c>
      <c r="AQ66" s="15" t="n">
        <f aca="false">MAX(0,AP66+IF(2=Parametri_v3!$C$43,MAX(0,AN66-AO66),0)-MAX(0,-(AR65)))</f>
        <v>0</v>
      </c>
      <c r="AR66" s="15" t="n">
        <f aca="false">(AR65)+X66-AQ66</f>
        <v>0</v>
      </c>
      <c r="AS66" s="15" t="n">
        <f aca="false">Motore_Operativo!AB66-AT66+AU66</f>
        <v>17020.8333333333</v>
      </c>
      <c r="AT66" s="15" t="n">
        <f aca="false">Motore_Operativo!CH66</f>
        <v>895.833333333334</v>
      </c>
      <c r="AU66" s="15" t="n">
        <f aca="false">MIN(MAX(0,(AV65)+AT66),Parametri_v3!$C$60/12)</f>
        <v>0</v>
      </c>
      <c r="AV66" s="15" t="n">
        <f aca="false">(AV65)+AT66-AU66</f>
        <v>1791.66666666667</v>
      </c>
      <c r="AW66" s="15" t="n">
        <f aca="false">IF(AND(Motore_Operativo!C66=Finanziamenti!$D$6,Finanziamenti!$F$6=1),Finanziamenti!$C$6,0)</f>
        <v>0</v>
      </c>
      <c r="AX66" s="15" t="n">
        <f aca="false">IF(AND(2&lt;&gt;7,2&lt;&gt;9,Finanziamenti!$F$8=1,OR(Parametri_v3!$C$6=0,Finanziamenti!$E$8=1),Motore_Operativo!C66=EDATE(Finanziamenti!$D$8,Ipotesi!D15*12)),Finanziamenti!$C$8*1,0)+IF(AND(2&lt;&gt;7,2&lt;&gt;9,Finanziamenti!$F$9=1,OR(Parametri_v3!$C$6=0,Finanziamenti!$E$9=1),Motore_Operativo!C66=EDATE(Finanziamenti!$D$9,Ipotesi!D15*12)),Finanziamenti!$C$9*Ipotesi!D16,0)</f>
        <v>0</v>
      </c>
      <c r="AY66" s="15" t="n">
        <f aca="false">0</f>
        <v>0</v>
      </c>
      <c r="AZ66" s="15" t="n">
        <f aca="false">Motore_Advisory!AY66*(1-Ipotesi!$C$95)*Ipotesi!$C$96</f>
        <v>0</v>
      </c>
      <c r="BA66" s="15" t="n">
        <f aca="false">MAX(0,MIN(CG66*MIN(1,IF(Motore_Operativo!C66&gt;=EDATE(Finanziamenti!$D$15,Ipotesi!D14*12),Finanziamenti!$C$15,0)+IF(Motore_Operativo!C66&gt;=EDATE(Finanziamenti!$D$16,Ipotesi!D14*12),Finanziamenti!$C$16,0)+IF(Motore_Operativo!C66&gt;=EDATE(Finanziamenti!$D$17,Ipotesi!D14*12),Finanziamenti!$C$17,0)),CA66*Ipotesi!$C$102)-(CC65))</f>
        <v>0</v>
      </c>
      <c r="BB66" s="15" t="n">
        <f aca="false">IF(AND(CF66&gt;0,Motore_Operativo!C66&gt;=IF(CF66=0,0,EDATE(CF66,Parametri_v3!$C$37)),MOD(((D66-YEAR(IF(CF66=0,0,EDATE(CF66,Parametri_v3!$C$37))))*12+E66-MONTH(IF(CF66=0,0,EDATE(CF66,Parametri_v3!$C$37)))),Parametri_v3!$C$38)=0),MIN(MAX(0,(BC65)+BA66-N66),(CC66-CD66)/(Ipotesi!$C$108*12/Parametri_v3!$C$38)),0)</f>
        <v>0</v>
      </c>
      <c r="BC66" s="15" t="n">
        <f aca="false">(BC65)+BA66-N66-BB66</f>
        <v>0</v>
      </c>
      <c r="BD66" s="15" t="n">
        <f aca="false">(BH65)+AC66+AF66-AI66-AS66-K66*(1+Parametri_v3!$C$26)-AL66-AQ66-O66+AW66+AX66+AZ66+BA66-BB66</f>
        <v>93869.350877193</v>
      </c>
      <c r="BE66" s="15" t="n">
        <f aca="false">MAX(0,MIN(MAX(0,CH66-(BG65)),Parametri_v3!$C$30-BD66))</f>
        <v>0</v>
      </c>
      <c r="BF66" s="15" t="n">
        <f aca="false">IF(Motore_Operativo!C66&gt;=Parametri_v3!$C$63,(BG65),MIN((BG65),MAX(0,BD66-Parametri_v3!$C$30)))</f>
        <v>0</v>
      </c>
      <c r="BG66" s="15" t="n">
        <f aca="false">(BG65)+BE66-BF66</f>
        <v>0</v>
      </c>
      <c r="BH66" s="15" t="n">
        <f aca="false">BD66+BE66-BF66-AY66</f>
        <v>93869.350877193</v>
      </c>
      <c r="BI66" s="15" t="n">
        <f aca="false">MAX(0,Parametri_v3!$C$30-BH66)</f>
        <v>0</v>
      </c>
      <c r="BJ66" s="15" t="n">
        <f aca="false">(BJ65)+K66</f>
        <v>3333.33333333333</v>
      </c>
      <c r="BK66" s="15" t="n">
        <f aca="false">(BK65)+L66</f>
        <v>138.888888888889</v>
      </c>
      <c r="BL66" s="15" t="n">
        <f aca="false">BJ66-BK66</f>
        <v>3194.44444444445</v>
      </c>
      <c r="BM66" s="15" t="n">
        <f aca="false">(BM65)+Y66</f>
        <v>-37373.2134502924</v>
      </c>
      <c r="BN66" s="15" t="n">
        <f aca="false">(BN65)+AW66+AX66+AZ66</f>
        <v>130000</v>
      </c>
      <c r="BO66" s="15" t="n">
        <f aca="false">(BO65)+AY66</f>
        <v>0</v>
      </c>
      <c r="BP66" s="15" t="n">
        <f aca="false">0</f>
        <v>0</v>
      </c>
      <c r="BQ66" s="15" t="n">
        <f aca="false">BN66+BM66-BO66</f>
        <v>92626.7865497076</v>
      </c>
      <c r="BR66" s="15" t="n">
        <f aca="false">BH66+AD66+BL66+MAX(0,-AM66)+MAX(0,-AR66)+AG66</f>
        <v>117734.808751462</v>
      </c>
      <c r="BS66" s="15" t="n">
        <f aca="false">AJ66+AV66+MAX(0,AM66)+MAX(0,AR66)+BC66+BG66+BQ66</f>
        <v>117734.808751462</v>
      </c>
      <c r="BT66" s="15" t="n">
        <f aca="false">BR66-BS66</f>
        <v>0</v>
      </c>
      <c r="BU66" s="15" t="n">
        <f aca="false">BH66-(BD66+BE66-BF66-AY66)</f>
        <v>0</v>
      </c>
      <c r="BV66" s="15" t="n">
        <f aca="false">MIN(Piano_SS!$C$6,(BV65)+IF(AND(Motore_Operativo!C66&gt;=EDATE(Parametri_v3!$C$24,Ipotesi!D14*12),Motore_Operativo!C66&lt;EDATE(Parametri_v3!$C$24,Parametri_v3!$C$25+Ipotesi!D14*12)),MAX(0,(Motore_Operativo!Y66+Motore_Operativo!X66*Parametri_v3!$C$14)*(1-Parametri_v3!$C$32))*Piano_SS!$D$6,0))</f>
        <v>0</v>
      </c>
      <c r="BW66" s="15" t="n">
        <f aca="false">MIN(Piano_SS!$C$7,(BW65)+IF(AND(Motore_Operativo!C66&gt;=EDATE(Parametri_v3!$C$24,Ipotesi!D14*12),Motore_Operativo!C66&lt;EDATE(Parametri_v3!$C$24,Parametri_v3!$C$25+Ipotesi!D14*12)),MAX(0,(IF(2-(INT((Ipotesi!$C$91)/30))&lt;1,0,INDEX(Motore_Operativo!$BN$65:$BN$124,MAX(1,2-(INT((Ipotesi!$C$91)/30)))))*(1-(MOD((Ipotesi!$C$91),30)/30))+IF(2-(INT((Ipotesi!$C$91)/30))-1&lt;1,0,INDEX(Motore_Operativo!$BN$65:$BN$124,MAX(1,2-(INT((Ipotesi!$C$91)/30))-1)))*(MOD((Ipotesi!$C$91),30)/30)))*Piano_SS!$D$7,0))</f>
        <v>0</v>
      </c>
      <c r="BX66" s="15" t="n">
        <f aca="false">MIN(Piano_SS!$C$8,(BX65)+IF(AND(Motore_Operativo!C66&gt;=EDATE(Parametri_v3!$C$24,Ipotesi!D14*12),Motore_Operativo!C66&lt;EDATE(Parametri_v3!$C$24,Parametri_v3!$C$25+Ipotesi!D14*12)),MAX(0,Motore_Operativo!CE66)*Piano_SS!$D$8,0))</f>
        <v>0</v>
      </c>
      <c r="BY66" s="15" t="n">
        <f aca="false">MIN(Piano_SS!$C$9,(BY65)+IF(AND(Motore_Operativo!C66&gt;=EDATE(Parametri_v3!$C$24,Ipotesi!D14*12),Motore_Operativo!C66&lt;EDATE(Parametri_v3!$C$24,Parametri_v3!$C$25+Ipotesi!D14*12)),MAX(0,((IF(2-(INT((Ipotesi!$C$91)/30))&lt;1,0,INDEX(Motore_Operativo!$BQ$65:$BQ$124,MAX(1,2-(INT((Ipotesi!$C$91)/30)))))*(1-(MOD((Ipotesi!$C$91),30)/30))+IF(2-(INT((Ipotesi!$C$91)/30))-1&lt;1,0,INDEX(Motore_Operativo!$BQ$65:$BQ$124,MAX(1,2-(INT((Ipotesi!$C$91)/30))-1)))*(MOD((Ipotesi!$C$91),30)/30))+(IF(2-(INT((Ipotesi!$C$91)/30))&lt;1,0,INDEX(Motore_Operativo!$BR$65:$BR$124,MAX(1,2-(INT((Ipotesi!$C$91)/30)))))*(1-(MOD((Ipotesi!$C$91),30)/30))+IF(2-(INT((Ipotesi!$C$91)/30))-1&lt;1,0,INDEX(Motore_Operativo!$BR$65:$BR$124,MAX(1,2-(INT((Ipotesi!$C$91)/30))-1)))*(MOD((Ipotesi!$C$91),30)/30))))*Piano_SS!$D$9,0))</f>
        <v>0</v>
      </c>
      <c r="BZ66" s="15" t="n">
        <f aca="false">MIN(Piano_SS!$C$10,(BZ65)+IF(AND(Motore_Operativo!C66&gt;=EDATE(Parametri_v3!$C$24,Ipotesi!D14*12),Motore_Operativo!C66&lt;EDATE(Parametri_v3!$C$24,Parametri_v3!$C$25+Ipotesi!D14*12)),MAX(0,(IF(2-(INT((Ipotesi!$C$91)/30))&lt;1,0,INDEX(Motore_Operativo!$BO$65:$BO$124,MAX(1,2-(INT((Ipotesi!$C$91)/30)))))*(1-(MOD((Ipotesi!$C$91),30)/30))+IF(2-(INT((Ipotesi!$C$91)/30))-1&lt;1,0,INDEX(Motore_Operativo!$BO$65:$BO$124,MAX(1,2-(INT((Ipotesi!$C$91)/30))-1)))*(MOD((Ipotesi!$C$91),30)/30)))*Piano_SS!$D$10,0))</f>
        <v>0</v>
      </c>
      <c r="CA66" s="15" t="n">
        <f aca="false">SUM(BV66:BZ66)</f>
        <v>0</v>
      </c>
      <c r="CB66" s="15" t="n">
        <f aca="false">BV66*(1-Piano_SS!$E$6)+BW66*(1-Piano_SS!$E$7)+BX66*(1-Piano_SS!$E$8)+BY66*(1-Piano_SS!$E$9)+BZ66*(1-Piano_SS!$E$10)</f>
        <v>0</v>
      </c>
      <c r="CC66" s="15" t="n">
        <f aca="false">(CC65)+BA66</f>
        <v>0</v>
      </c>
      <c r="CD66" s="15" t="n">
        <f aca="false">IF(CA66=0,0,CC66*CB66/CA66*Ipotesi!$C$103*Parametri_v3!$C$64)</f>
        <v>0</v>
      </c>
      <c r="CE66" s="18" t="n">
        <f aca="false">IF(BA66&gt;0,Motore_Operativo!C66,(CE65))</f>
        <v>0</v>
      </c>
      <c r="CF66" s="18" t="n">
        <f aca="false">IF(AND(CC66&gt;0,OR(CC66&gt;=CG66-0.01,Motore_Operativo!C66&gt;=EDATE(MAX(Finanziamenti!$D$15:$D$17),Ipotesi!D14*12))),CE66,0)</f>
        <v>0</v>
      </c>
      <c r="CG66" s="15" t="n">
        <f aca="false">IF(AND(2&lt;&gt;6,2&lt;&gt;9,Finanziamenti!$F$11=1,OR(Parametri_v3!$C$6=0,Finanziamenti!$E$11=1)),MIN(Finanziamenti!$C$11,Piano_SS!$C$12*Ipotesi!$C$102),0)</f>
        <v>400000</v>
      </c>
      <c r="CH66" s="15" t="n">
        <f aca="false">IF(AND(AND(2&lt;&gt;8,2&lt;&gt;9,Finanziamenti!$F$10=1,OR(Parametri_v3!$C$6=0,Finanziamenti!$E$10=1)),Motore_Operativo!C66&gt;=Finanziamenti!$D$10,Motore_Operativo!C66&lt;Parametri_v3!$C$63),Finanziamenti!$C$10,0)</f>
        <v>150000</v>
      </c>
    </row>
    <row r="67" customFormat="false" ht="18" hidden="false" customHeight="true" outlineLevel="0" collapsed="false">
      <c r="A67" s="68" t="n">
        <f aca="false">2</f>
        <v>2</v>
      </c>
      <c r="B67" s="68" t="n">
        <f aca="false">3</f>
        <v>3</v>
      </c>
      <c r="C67" s="18" t="n">
        <f aca="false">Motore_Operativo!C67</f>
        <v>46447</v>
      </c>
      <c r="D67" s="68" t="n">
        <f aca="false">Motore_Operativo!D67</f>
        <v>2027</v>
      </c>
      <c r="E67" s="68" t="n">
        <f aca="false">Motore_Operativo!E67</f>
        <v>3</v>
      </c>
      <c r="F67" s="15" t="n">
        <f aca="false">Motore_Operativo!AQ67+Motore_Operativo!BF67</f>
        <v>7500</v>
      </c>
      <c r="G67" s="15" t="n">
        <f aca="false">Motore_Operativo!BH67</f>
        <v>1621.05263157895</v>
      </c>
      <c r="H67" s="15" t="n">
        <f aca="false">Motore_Operativo!BI67</f>
        <v>9121.05263157895</v>
      </c>
      <c r="I67" s="15" t="n">
        <f aca="false">Motore_Operativo!CA67</f>
        <v>27738.2149122807</v>
      </c>
      <c r="J67" s="15" t="n">
        <f aca="false">Motore_Operativo!CC67</f>
        <v>-18617.1622807018</v>
      </c>
      <c r="K67" s="15" t="n">
        <f aca="false">Motore_Operativo!CE67</f>
        <v>1666.66666666667</v>
      </c>
      <c r="L67" s="15" t="n">
        <f aca="false">SUM(INDEX($K$65:$K$124,MAX(1,3-Parametri_v3!$C$59+1)):K67)/Parametri_v3!$C$59</f>
        <v>138.888888888889</v>
      </c>
      <c r="M67" s="15" t="n">
        <f aca="false">J67-L67</f>
        <v>-18756.0511695906</v>
      </c>
      <c r="N67" s="15" t="n">
        <f aca="false">CD67-(CD66)</f>
        <v>0</v>
      </c>
      <c r="O67" s="15" t="n">
        <f aca="false">(BG66)*Ipotesi!$C$110/12+CH67*Parametri_v3!$C$39/12</f>
        <v>0</v>
      </c>
      <c r="P67" s="15" t="n">
        <f aca="false">M67+N67-O67</f>
        <v>-18756.0511695906</v>
      </c>
      <c r="Q67" s="15" t="n">
        <f aca="false">SUM(P65:P67)+Parametri_v3!$C$54*3/12</f>
        <v>-56129.2646198831</v>
      </c>
      <c r="R67" s="15" t="n">
        <f aca="false">0</f>
        <v>0</v>
      </c>
      <c r="S67" s="15" t="n">
        <f aca="false">0</f>
        <v>0</v>
      </c>
      <c r="T67" s="15" t="n">
        <f aca="false">MIN(R67,MAX(0,Q67))</f>
        <v>0</v>
      </c>
      <c r="U67" s="15" t="n">
        <f aca="false">MIN(S67,MAX(0,Q67-T67)*Parametri_v3!$C$42)</f>
        <v>0</v>
      </c>
      <c r="V67" s="15" t="n">
        <f aca="false">MAX(0,Q67-T67-U67)*Ipotesi!$C$92</f>
        <v>0</v>
      </c>
      <c r="W67" s="15" t="n">
        <f aca="false">MAX(0,SUM(M65:M67)+Parametri_v3!$C$55*3/12)*Ipotesi!$C$93</f>
        <v>0</v>
      </c>
      <c r="X67" s="15" t="n">
        <f aca="false">V67+W67-(V66+W66)</f>
        <v>0</v>
      </c>
      <c r="Y67" s="15" t="n">
        <f aca="false">P67-X67</f>
        <v>-18756.0511695906</v>
      </c>
      <c r="Z67" s="15" t="n">
        <f aca="false">R67-T67+IF(AND(Parametri_v3!$C$40=1,D67-YEAR(Parametri_v3!$C$50)&lt;Parametri_v3!$C$41),MAX(0,-Q67),0)</f>
        <v>56129.2646198831</v>
      </c>
      <c r="AA67" s="15" t="n">
        <f aca="false">S67-U67+IF(AND(Parametri_v3!$C$40=1,D67-YEAR(Parametri_v3!$C$50)&lt;Parametri_v3!$C$41),0,MAX(0,-Q67))</f>
        <v>0</v>
      </c>
      <c r="AB67" s="15" t="n">
        <f aca="false">F67*(1+Parametri_v3!$C$26)</f>
        <v>9150</v>
      </c>
      <c r="AC67" s="15" t="n">
        <f aca="false">(IF(3-(INT((Motore_Operativo!L67)/30))&lt;1,0,INDEX(Motore_Startup!$AB$65:$AB$124,MAX(1,3-(INT((Motore_Operativo!L67)/30)))))*(1-(MOD((Motore_Operativo!L67),30)/30))+IF(3-(INT((Motore_Operativo!L67)/30))-1&lt;1,0,INDEX(Motore_Startup!$AB$65:$AB$124,MAX(1,3-(INT((Motore_Operativo!L67)/30))-1)))*(MOD((Motore_Operativo!L67),30)/30))</f>
        <v>0</v>
      </c>
      <c r="AD67" s="15" t="n">
        <f aca="false">(AD66)+AB67-AC67</f>
        <v>27450</v>
      </c>
      <c r="AE67" s="15" t="n">
        <f aca="false">Motore_Operativo!BH67*(1+Parametri_v3!$C$26)</f>
        <v>1977.68421052632</v>
      </c>
      <c r="AF67" s="15" t="n">
        <f aca="false">(IF(3-(INT((Parametri_v3!$C$29)/30))&lt;1,0,INDEX(Motore_Operativo!$BH$65:$BH$124,MAX(1,3-(INT((Parametri_v3!$C$29)/30)))))*(1-(MOD((Parametri_v3!$C$29),30)/30))+IF(3-(INT((Parametri_v3!$C$29)/30))-1&lt;1,0,INDEX(Motore_Operativo!$BH$65:$BH$124,MAX(1,3-(INT((Parametri_v3!$C$29)/30))-1)))*(MOD((Parametri_v3!$C$29),30)/30))*(1+Parametri_v3!$C$26)</f>
        <v>1977.68421052632</v>
      </c>
      <c r="AG67" s="15" t="n">
        <f aca="false">(AG66)+AE67-AF67</f>
        <v>1977.68421052632</v>
      </c>
      <c r="AH67" s="15" t="n">
        <f aca="false">(Motore_Operativo!CJ67)*(1+Parametri_v3!$C$27*Parametri_v3!$C$26)</f>
        <v>11658.1777675439</v>
      </c>
      <c r="AI67" s="15" t="n">
        <f aca="false">(IF(3-(INT((Ipotesi!$C$91)/30))&lt;1,0,INDEX(Motore_Startup!$AH$65:$AH$124,MAX(1,3-(INT((Ipotesi!$C$91)/30)))))*(1-(MOD((Ipotesi!$C$91),30)/30))+IF(3-(INT((Ipotesi!$C$91)/30))-1&lt;1,0,INDEX(Motore_Startup!$AH$65:$AH$124,MAX(1,3-(INT((Ipotesi!$C$91)/30))-1)))*(MOD((Ipotesi!$C$91),30)/30))</f>
        <v>11658.1777675439</v>
      </c>
      <c r="AJ67" s="15" t="n">
        <f aca="false">(AJ66)+AH67-AI67</f>
        <v>23316.3555350877</v>
      </c>
      <c r="AK67" s="15" t="n">
        <f aca="false">(F67+ Motore_Operativo!BH67-(Motore_Operativo!CJ67)*Parametri_v3!$C$27-Motore_Operativo!CE67)*Parametri_v3!$C$26</f>
        <v>-196.664609649123</v>
      </c>
      <c r="AL67" s="15" t="n">
        <f aca="false">MAX(0,(AM66))</f>
        <v>0</v>
      </c>
      <c r="AM67" s="15" t="n">
        <f aca="false">(AM66)+AK67-AL67</f>
        <v>-589.993828947368</v>
      </c>
      <c r="AN67" s="15" t="n">
        <f aca="false">0</f>
        <v>0</v>
      </c>
      <c r="AO67" s="15" t="n">
        <f aca="false">0</f>
        <v>0</v>
      </c>
      <c r="AP67" s="15" t="n">
        <f aca="false">MAX(0,AN67)*IF(3=Parametri_v3!$C$43,Parametri_v3!$C$45,IF(3=Parametri_v3!$C$44,1-Parametri_v3!$C$45,0))</f>
        <v>0</v>
      </c>
      <c r="AQ67" s="15" t="n">
        <f aca="false">MAX(0,AP67+IF(3=Parametri_v3!$C$43,MAX(0,AN67-AO67),0)-MAX(0,-(AR66)))</f>
        <v>0</v>
      </c>
      <c r="AR67" s="15" t="n">
        <f aca="false">(AR66)+X67-AQ67</f>
        <v>0</v>
      </c>
      <c r="AS67" s="15" t="n">
        <f aca="false">Motore_Operativo!AB67-AT67+AU67</f>
        <v>17020.8333333333</v>
      </c>
      <c r="AT67" s="15" t="n">
        <f aca="false">Motore_Operativo!CH67</f>
        <v>895.833333333334</v>
      </c>
      <c r="AU67" s="15" t="n">
        <f aca="false">MIN(MAX(0,(AV66)+AT67),Parametri_v3!$C$60/12)</f>
        <v>0</v>
      </c>
      <c r="AV67" s="15" t="n">
        <f aca="false">(AV66)+AT67-AU67</f>
        <v>2687.5</v>
      </c>
      <c r="AW67" s="15" t="n">
        <f aca="false">IF(AND(Motore_Operativo!C67=Finanziamenti!$D$6,Finanziamenti!$F$6=1),Finanziamenti!$C$6,0)</f>
        <v>0</v>
      </c>
      <c r="AX67" s="15" t="n">
        <f aca="false">IF(AND(2&lt;&gt;7,2&lt;&gt;9,Finanziamenti!$F$8=1,OR(Parametri_v3!$C$6=0,Finanziamenti!$E$8=1),Motore_Operativo!C67=EDATE(Finanziamenti!$D$8,Ipotesi!D15*12)),Finanziamenti!$C$8*1,0)+IF(AND(2&lt;&gt;7,2&lt;&gt;9,Finanziamenti!$F$9=1,OR(Parametri_v3!$C$6=0,Finanziamenti!$E$9=1),Motore_Operativo!C67=EDATE(Finanziamenti!$D$9,Ipotesi!D15*12)),Finanziamenti!$C$9*Ipotesi!D16,0)</f>
        <v>0</v>
      </c>
      <c r="AY67" s="15" t="n">
        <f aca="false">0</f>
        <v>0</v>
      </c>
      <c r="AZ67" s="15" t="n">
        <f aca="false">Motore_Advisory!AY67*(1-Ipotesi!$C$95)*Ipotesi!$C$96</f>
        <v>0</v>
      </c>
      <c r="BA67" s="15" t="n">
        <f aca="false">MAX(0,MIN(CG67*MIN(1,IF(Motore_Operativo!C67&gt;=EDATE(Finanziamenti!$D$15,Ipotesi!D14*12),Finanziamenti!$C$15,0)+IF(Motore_Operativo!C67&gt;=EDATE(Finanziamenti!$D$16,Ipotesi!D14*12),Finanziamenti!$C$16,0)+IF(Motore_Operativo!C67&gt;=EDATE(Finanziamenti!$D$17,Ipotesi!D14*12),Finanziamenti!$C$17,0)),CA67*Ipotesi!$C$102)-(CC66))</f>
        <v>0</v>
      </c>
      <c r="BB67" s="15" t="n">
        <f aca="false">IF(AND(CF67&gt;0,Motore_Operativo!C67&gt;=IF(CF67=0,0,EDATE(CF67,Parametri_v3!$C$37)),MOD(((D67-YEAR(IF(CF67=0,0,EDATE(CF67,Parametri_v3!$C$37))))*12+E67-MONTH(IF(CF67=0,0,EDATE(CF67,Parametri_v3!$C$37)))),Parametri_v3!$C$38)=0),MIN(MAX(0,(BC66)+BA67-N67),(CC67-CD67)/(Ipotesi!$C$108*12/Parametri_v3!$C$38)),0)</f>
        <v>0</v>
      </c>
      <c r="BC67" s="15" t="n">
        <f aca="false">(BC66)+BA67-N67-BB67</f>
        <v>0</v>
      </c>
      <c r="BD67" s="15" t="n">
        <f aca="false">(BH66)+AC67+AF67-AI67-AS67-K67*(1+Parametri_v3!$C$26)-AL67-AQ67-O67+AW67+AX67+AZ67+BA67-BB67</f>
        <v>65134.6906535088</v>
      </c>
      <c r="BE67" s="15" t="n">
        <f aca="false">MAX(0,MIN(MAX(0,CH67-(BG66)),Parametri_v3!$C$30-BD67))</f>
        <v>0</v>
      </c>
      <c r="BF67" s="15" t="n">
        <f aca="false">IF(Motore_Operativo!C67&gt;=Parametri_v3!$C$63,(BG66),MIN((BG66),MAX(0,BD67-Parametri_v3!$C$30)))</f>
        <v>0</v>
      </c>
      <c r="BG67" s="15" t="n">
        <f aca="false">(BG66)+BE67-BF67</f>
        <v>0</v>
      </c>
      <c r="BH67" s="15" t="n">
        <f aca="false">BD67+BE67-BF67-AY67</f>
        <v>65134.6906535088</v>
      </c>
      <c r="BI67" s="15" t="n">
        <f aca="false">MAX(0,Parametri_v3!$C$30-BH67)</f>
        <v>0</v>
      </c>
      <c r="BJ67" s="15" t="n">
        <f aca="false">(BJ66)+K67</f>
        <v>5000</v>
      </c>
      <c r="BK67" s="15" t="n">
        <f aca="false">(BK66)+L67</f>
        <v>277.777777777778</v>
      </c>
      <c r="BL67" s="15" t="n">
        <f aca="false">BJ67-BK67</f>
        <v>4722.22222222222</v>
      </c>
      <c r="BM67" s="15" t="n">
        <f aca="false">(BM66)+Y67</f>
        <v>-56129.2646198831</v>
      </c>
      <c r="BN67" s="15" t="n">
        <f aca="false">(BN66)+AW67+AX67+AZ67</f>
        <v>130000</v>
      </c>
      <c r="BO67" s="15" t="n">
        <f aca="false">(BO66)+AY67</f>
        <v>0</v>
      </c>
      <c r="BP67" s="15" t="n">
        <f aca="false">0</f>
        <v>0</v>
      </c>
      <c r="BQ67" s="15" t="n">
        <f aca="false">BN67+BM67-BO67</f>
        <v>73870.735380117</v>
      </c>
      <c r="BR67" s="15" t="n">
        <f aca="false">BH67+AD67+BL67+MAX(0,-AM67)+MAX(0,-AR67)+AG67</f>
        <v>99874.5909152047</v>
      </c>
      <c r="BS67" s="15" t="n">
        <f aca="false">AJ67+AV67+MAX(0,AM67)+MAX(0,AR67)+BC67+BG67+BQ67</f>
        <v>99874.5909152047</v>
      </c>
      <c r="BT67" s="15" t="n">
        <f aca="false">BR67-BS67</f>
        <v>0</v>
      </c>
      <c r="BU67" s="15" t="n">
        <f aca="false">BH67-(BD67+BE67-BF67-AY67)</f>
        <v>0</v>
      </c>
      <c r="BV67" s="15" t="n">
        <f aca="false">MIN(Piano_SS!$C$6,(BV66)+IF(AND(Motore_Operativo!C67&gt;=EDATE(Parametri_v3!$C$24,Ipotesi!D14*12),Motore_Operativo!C67&lt;EDATE(Parametri_v3!$C$24,Parametri_v3!$C$25+Ipotesi!D14*12)),MAX(0,(Motore_Operativo!Y67+Motore_Operativo!X67*Parametri_v3!$C$14)*(1-Parametri_v3!$C$32))*Piano_SS!$D$6,0))</f>
        <v>0</v>
      </c>
      <c r="BW67" s="15" t="n">
        <f aca="false">MIN(Piano_SS!$C$7,(BW66)+IF(AND(Motore_Operativo!C67&gt;=EDATE(Parametri_v3!$C$24,Ipotesi!D14*12),Motore_Operativo!C67&lt;EDATE(Parametri_v3!$C$24,Parametri_v3!$C$25+Ipotesi!D14*12)),MAX(0,(IF(3-(INT((Ipotesi!$C$91)/30))&lt;1,0,INDEX(Motore_Operativo!$BN$65:$BN$124,MAX(1,3-(INT((Ipotesi!$C$91)/30)))))*(1-(MOD((Ipotesi!$C$91),30)/30))+IF(3-(INT((Ipotesi!$C$91)/30))-1&lt;1,0,INDEX(Motore_Operativo!$BN$65:$BN$124,MAX(1,3-(INT((Ipotesi!$C$91)/30))-1)))*(MOD((Ipotesi!$C$91),30)/30)))*Piano_SS!$D$7,0))</f>
        <v>0</v>
      </c>
      <c r="BX67" s="15" t="n">
        <f aca="false">MIN(Piano_SS!$C$8,(BX66)+IF(AND(Motore_Operativo!C67&gt;=EDATE(Parametri_v3!$C$24,Ipotesi!D14*12),Motore_Operativo!C67&lt;EDATE(Parametri_v3!$C$24,Parametri_v3!$C$25+Ipotesi!D14*12)),MAX(0,Motore_Operativo!CE67)*Piano_SS!$D$8,0))</f>
        <v>0</v>
      </c>
      <c r="BY67" s="15" t="n">
        <f aca="false">MIN(Piano_SS!$C$9,(BY66)+IF(AND(Motore_Operativo!C67&gt;=EDATE(Parametri_v3!$C$24,Ipotesi!D14*12),Motore_Operativo!C67&lt;EDATE(Parametri_v3!$C$24,Parametri_v3!$C$25+Ipotesi!D14*12)),MAX(0,((IF(3-(INT((Ipotesi!$C$91)/30))&lt;1,0,INDEX(Motore_Operativo!$BQ$65:$BQ$124,MAX(1,3-(INT((Ipotesi!$C$91)/30)))))*(1-(MOD((Ipotesi!$C$91),30)/30))+IF(3-(INT((Ipotesi!$C$91)/30))-1&lt;1,0,INDEX(Motore_Operativo!$BQ$65:$BQ$124,MAX(1,3-(INT((Ipotesi!$C$91)/30))-1)))*(MOD((Ipotesi!$C$91),30)/30))+(IF(3-(INT((Ipotesi!$C$91)/30))&lt;1,0,INDEX(Motore_Operativo!$BR$65:$BR$124,MAX(1,3-(INT((Ipotesi!$C$91)/30)))))*(1-(MOD((Ipotesi!$C$91),30)/30))+IF(3-(INT((Ipotesi!$C$91)/30))-1&lt;1,0,INDEX(Motore_Operativo!$BR$65:$BR$124,MAX(1,3-(INT((Ipotesi!$C$91)/30))-1)))*(MOD((Ipotesi!$C$91),30)/30))))*Piano_SS!$D$9,0))</f>
        <v>0</v>
      </c>
      <c r="BZ67" s="15" t="n">
        <f aca="false">MIN(Piano_SS!$C$10,(BZ66)+IF(AND(Motore_Operativo!C67&gt;=EDATE(Parametri_v3!$C$24,Ipotesi!D14*12),Motore_Operativo!C67&lt;EDATE(Parametri_v3!$C$24,Parametri_v3!$C$25+Ipotesi!D14*12)),MAX(0,(IF(3-(INT((Ipotesi!$C$91)/30))&lt;1,0,INDEX(Motore_Operativo!$BO$65:$BO$124,MAX(1,3-(INT((Ipotesi!$C$91)/30)))))*(1-(MOD((Ipotesi!$C$91),30)/30))+IF(3-(INT((Ipotesi!$C$91)/30))-1&lt;1,0,INDEX(Motore_Operativo!$BO$65:$BO$124,MAX(1,3-(INT((Ipotesi!$C$91)/30))-1)))*(MOD((Ipotesi!$C$91),30)/30)))*Piano_SS!$D$10,0))</f>
        <v>0</v>
      </c>
      <c r="CA67" s="15" t="n">
        <f aca="false">SUM(BV67:BZ67)</f>
        <v>0</v>
      </c>
      <c r="CB67" s="15" t="n">
        <f aca="false">BV67*(1-Piano_SS!$E$6)+BW67*(1-Piano_SS!$E$7)+BX67*(1-Piano_SS!$E$8)+BY67*(1-Piano_SS!$E$9)+BZ67*(1-Piano_SS!$E$10)</f>
        <v>0</v>
      </c>
      <c r="CC67" s="15" t="n">
        <f aca="false">(CC66)+BA67</f>
        <v>0</v>
      </c>
      <c r="CD67" s="15" t="n">
        <f aca="false">IF(CA67=0,0,CC67*CB67/CA67*Ipotesi!$C$103*Parametri_v3!$C$64)</f>
        <v>0</v>
      </c>
      <c r="CE67" s="18" t="n">
        <f aca="false">IF(BA67&gt;0,Motore_Operativo!C67,(CE66))</f>
        <v>0</v>
      </c>
      <c r="CF67" s="18" t="n">
        <f aca="false">IF(AND(CC67&gt;0,OR(CC67&gt;=CG67-0.01,Motore_Operativo!C67&gt;=EDATE(MAX(Finanziamenti!$D$15:$D$17),Ipotesi!D14*12))),CE67,0)</f>
        <v>0</v>
      </c>
      <c r="CG67" s="15" t="n">
        <f aca="false">IF(AND(2&lt;&gt;6,2&lt;&gt;9,Finanziamenti!$F$11=1,OR(Parametri_v3!$C$6=0,Finanziamenti!$E$11=1)),MIN(Finanziamenti!$C$11,Piano_SS!$C$12*Ipotesi!$C$102),0)</f>
        <v>400000</v>
      </c>
      <c r="CH67" s="15" t="n">
        <f aca="false">IF(AND(AND(2&lt;&gt;8,2&lt;&gt;9,Finanziamenti!$F$10=1,OR(Parametri_v3!$C$6=0,Finanziamenti!$E$10=1)),Motore_Operativo!C67&gt;=Finanziamenti!$D$10,Motore_Operativo!C67&lt;Parametri_v3!$C$63),Finanziamenti!$C$10,0)</f>
        <v>150000</v>
      </c>
    </row>
    <row r="68" customFormat="false" ht="18" hidden="false" customHeight="true" outlineLevel="0" collapsed="false">
      <c r="A68" s="68" t="n">
        <f aca="false">2</f>
        <v>2</v>
      </c>
      <c r="B68" s="68" t="n">
        <f aca="false">4</f>
        <v>4</v>
      </c>
      <c r="C68" s="18" t="n">
        <f aca="false">Motore_Operativo!C68</f>
        <v>46478</v>
      </c>
      <c r="D68" s="68" t="n">
        <f aca="false">Motore_Operativo!D68</f>
        <v>2027</v>
      </c>
      <c r="E68" s="68" t="n">
        <f aca="false">Motore_Operativo!E68</f>
        <v>4</v>
      </c>
      <c r="F68" s="15" t="n">
        <f aca="false">Motore_Operativo!AQ68+Motore_Operativo!BF68</f>
        <v>7546.2962962963</v>
      </c>
      <c r="G68" s="15" t="n">
        <f aca="false">Motore_Operativo!BH68</f>
        <v>1621.05263157895</v>
      </c>
      <c r="H68" s="15" t="n">
        <f aca="false">Motore_Operativo!BI68</f>
        <v>9167.34892787525</v>
      </c>
      <c r="I68" s="15" t="n">
        <f aca="false">Motore_Operativo!CA68</f>
        <v>27744.6963937622</v>
      </c>
      <c r="J68" s="15" t="n">
        <f aca="false">Motore_Operativo!CC68</f>
        <v>-18577.3474658869</v>
      </c>
      <c r="K68" s="15" t="n">
        <f aca="false">Motore_Operativo!CE68</f>
        <v>1666.66666666667</v>
      </c>
      <c r="L68" s="15" t="n">
        <f aca="false">SUM(INDEX($K$65:$K$124,MAX(1,4-Parametri_v3!$C$59+1)):K68)/Parametri_v3!$C$59</f>
        <v>185.185185185185</v>
      </c>
      <c r="M68" s="15" t="n">
        <f aca="false">J68-L68</f>
        <v>-18762.5326510721</v>
      </c>
      <c r="N68" s="15" t="n">
        <f aca="false">CD68-(CD67)</f>
        <v>0</v>
      </c>
      <c r="O68" s="15" t="n">
        <f aca="false">(BG67)*Ipotesi!$C$110/12+CH68*Parametri_v3!$C$39/12</f>
        <v>0</v>
      </c>
      <c r="P68" s="15" t="n">
        <f aca="false">M68+N68-O68</f>
        <v>-18762.5326510721</v>
      </c>
      <c r="Q68" s="15" t="n">
        <f aca="false">SUM(P65:P68)+Parametri_v3!$C$54*4/12</f>
        <v>-74891.7972709552</v>
      </c>
      <c r="R68" s="15" t="n">
        <f aca="false">0</f>
        <v>0</v>
      </c>
      <c r="S68" s="15" t="n">
        <f aca="false">0</f>
        <v>0</v>
      </c>
      <c r="T68" s="15" t="n">
        <f aca="false">MIN(R68,MAX(0,Q68))</f>
        <v>0</v>
      </c>
      <c r="U68" s="15" t="n">
        <f aca="false">MIN(S68,MAX(0,Q68-T68)*Parametri_v3!$C$42)</f>
        <v>0</v>
      </c>
      <c r="V68" s="15" t="n">
        <f aca="false">MAX(0,Q68-T68-U68)*Ipotesi!$C$92</f>
        <v>0</v>
      </c>
      <c r="W68" s="15" t="n">
        <f aca="false">MAX(0,SUM(M65:M68)+Parametri_v3!$C$55*4/12)*Ipotesi!$C$93</f>
        <v>0</v>
      </c>
      <c r="X68" s="15" t="n">
        <f aca="false">V68+W68-(V67+W67)</f>
        <v>0</v>
      </c>
      <c r="Y68" s="15" t="n">
        <f aca="false">P68-X68</f>
        <v>-18762.5326510721</v>
      </c>
      <c r="Z68" s="15" t="n">
        <f aca="false">R68-T68+IF(AND(Parametri_v3!$C$40=1,D68-YEAR(Parametri_v3!$C$50)&lt;Parametri_v3!$C$41),MAX(0,-Q68),0)</f>
        <v>74891.7972709552</v>
      </c>
      <c r="AA68" s="15" t="n">
        <f aca="false">S68-U68+IF(AND(Parametri_v3!$C$40=1,D68-YEAR(Parametri_v3!$C$50)&lt;Parametri_v3!$C$41),0,MAX(0,-Q68))</f>
        <v>0</v>
      </c>
      <c r="AB68" s="15" t="n">
        <f aca="false">F68*(1+Parametri_v3!$C$26)</f>
        <v>9206.48148148148</v>
      </c>
      <c r="AC68" s="15" t="n">
        <f aca="false">(IF(4-(INT((Motore_Operativo!L68)/30))&lt;1,0,INDEX(Motore_Startup!$AB$65:$AB$124,MAX(1,4-(INT((Motore_Operativo!L68)/30)))))*(1-(MOD((Motore_Operativo!L68),30)/30))+IF(4-(INT((Motore_Operativo!L68)/30))-1&lt;1,0,INDEX(Motore_Startup!$AB$65:$AB$124,MAX(1,4-(INT((Motore_Operativo!L68)/30))-1)))*(MOD((Motore_Operativo!L68),30)/30))</f>
        <v>9150</v>
      </c>
      <c r="AD68" s="15" t="n">
        <f aca="false">(AD67)+AB68-AC68</f>
        <v>27506.4814814815</v>
      </c>
      <c r="AE68" s="15" t="n">
        <f aca="false">Motore_Operativo!BH68*(1+Parametri_v3!$C$26)</f>
        <v>1977.68421052632</v>
      </c>
      <c r="AF68" s="15" t="n">
        <f aca="false">(IF(4-(INT((Parametri_v3!$C$29)/30))&lt;1,0,INDEX(Motore_Operativo!$BH$65:$BH$124,MAX(1,4-(INT((Parametri_v3!$C$29)/30)))))*(1-(MOD((Parametri_v3!$C$29),30)/30))+IF(4-(INT((Parametri_v3!$C$29)/30))-1&lt;1,0,INDEX(Motore_Operativo!$BH$65:$BH$124,MAX(1,4-(INT((Parametri_v3!$C$29)/30))-1)))*(MOD((Parametri_v3!$C$29),30)/30))*(1+Parametri_v3!$C$26)</f>
        <v>1977.68421052632</v>
      </c>
      <c r="AG68" s="15" t="n">
        <f aca="false">(AG67)+AE68-AF68</f>
        <v>1977.68421052632</v>
      </c>
      <c r="AH68" s="15" t="n">
        <f aca="false">(Motore_Operativo!CJ68)*(1+Parametri_v3!$C$27*Parametri_v3!$C$26)</f>
        <v>11665.8712860624</v>
      </c>
      <c r="AI68" s="15" t="n">
        <f aca="false">(IF(4-(INT((Ipotesi!$C$91)/30))&lt;1,0,INDEX(Motore_Startup!$AH$65:$AH$124,MAX(1,4-(INT((Ipotesi!$C$91)/30)))))*(1-(MOD((Ipotesi!$C$91),30)/30))+IF(4-(INT((Ipotesi!$C$91)/30))-1&lt;1,0,INDEX(Motore_Startup!$AH$65:$AH$124,MAX(1,4-(INT((Ipotesi!$C$91)/30))-1)))*(MOD((Ipotesi!$C$91),30)/30))</f>
        <v>11658.1777675439</v>
      </c>
      <c r="AJ68" s="15" t="n">
        <f aca="false">(AJ67)+AH68-AI68</f>
        <v>23324.0490536062</v>
      </c>
      <c r="AK68" s="15" t="n">
        <f aca="false">(F68+ Motore_Operativo!BH68-(Motore_Operativo!CJ68)*Parametri_v3!$C$27-Motore_Operativo!CE68)*Parametri_v3!$C$26</f>
        <v>-187.691461500974</v>
      </c>
      <c r="AL68" s="15" t="n">
        <f aca="false">MAX(0,(AM67))</f>
        <v>0</v>
      </c>
      <c r="AM68" s="15" t="n">
        <f aca="false">(AM67)+AK68-AL68</f>
        <v>-777.685290448342</v>
      </c>
      <c r="AN68" s="15" t="n">
        <f aca="false">0</f>
        <v>0</v>
      </c>
      <c r="AO68" s="15" t="n">
        <f aca="false">0</f>
        <v>0</v>
      </c>
      <c r="AP68" s="15" t="n">
        <f aca="false">MAX(0,AN68)*IF(4=Parametri_v3!$C$43,Parametri_v3!$C$45,IF(4=Parametri_v3!$C$44,1-Parametri_v3!$C$45,0))</f>
        <v>0</v>
      </c>
      <c r="AQ68" s="15" t="n">
        <f aca="false">MAX(0,AP68+IF(4=Parametri_v3!$C$43,MAX(0,AN68-AO68),0)-MAX(0,-(AR67)))</f>
        <v>0</v>
      </c>
      <c r="AR68" s="15" t="n">
        <f aca="false">(AR67)+X68-AQ68</f>
        <v>0</v>
      </c>
      <c r="AS68" s="15" t="n">
        <f aca="false">Motore_Operativo!AB68-AT68+AU68</f>
        <v>17020.8333333333</v>
      </c>
      <c r="AT68" s="15" t="n">
        <f aca="false">Motore_Operativo!CH68</f>
        <v>895.833333333334</v>
      </c>
      <c r="AU68" s="15" t="n">
        <f aca="false">MIN(MAX(0,(AV67)+AT68),Parametri_v3!$C$60/12)</f>
        <v>0</v>
      </c>
      <c r="AV68" s="15" t="n">
        <f aca="false">(AV67)+AT68-AU68</f>
        <v>3583.33333333333</v>
      </c>
      <c r="AW68" s="15" t="n">
        <f aca="false">IF(AND(Motore_Operativo!C68=Finanziamenti!$D$6,Finanziamenti!$F$6=1),Finanziamenti!$C$6,0)</f>
        <v>0</v>
      </c>
      <c r="AX68" s="15" t="n">
        <f aca="false">IF(AND(2&lt;&gt;7,2&lt;&gt;9,Finanziamenti!$F$8=1,OR(Parametri_v3!$C$6=0,Finanziamenti!$E$8=1),Motore_Operativo!C68=EDATE(Finanziamenti!$D$8,Ipotesi!D15*12)),Finanziamenti!$C$8*1,0)+IF(AND(2&lt;&gt;7,2&lt;&gt;9,Finanziamenti!$F$9=1,OR(Parametri_v3!$C$6=0,Finanziamenti!$E$9=1),Motore_Operativo!C68=EDATE(Finanziamenti!$D$9,Ipotesi!D15*12)),Finanziamenti!$C$9*Ipotesi!D16,0)</f>
        <v>0</v>
      </c>
      <c r="AY68" s="15" t="n">
        <f aca="false">0</f>
        <v>0</v>
      </c>
      <c r="AZ68" s="15" t="n">
        <f aca="false">Motore_Advisory!AY68*(1-Ipotesi!$C$95)*Ipotesi!$C$96</f>
        <v>0</v>
      </c>
      <c r="BA68" s="15" t="n">
        <f aca="false">MAX(0,MIN(CG68*MIN(1,IF(Motore_Operativo!C68&gt;=EDATE(Finanziamenti!$D$15,Ipotesi!D14*12),Finanziamenti!$C$15,0)+IF(Motore_Operativo!C68&gt;=EDATE(Finanziamenti!$D$16,Ipotesi!D14*12),Finanziamenti!$C$16,0)+IF(Motore_Operativo!C68&gt;=EDATE(Finanziamenti!$D$17,Ipotesi!D14*12),Finanziamenti!$C$17,0)),CA68*Ipotesi!$C$102)-(CC67))</f>
        <v>0</v>
      </c>
      <c r="BB68" s="15" t="n">
        <f aca="false">IF(AND(CF68&gt;0,Motore_Operativo!C68&gt;=IF(CF68=0,0,EDATE(CF68,Parametri_v3!$C$37)),MOD(((D68-YEAR(IF(CF68=0,0,EDATE(CF68,Parametri_v3!$C$37))))*12+E68-MONTH(IF(CF68=0,0,EDATE(CF68,Parametri_v3!$C$37)))),Parametri_v3!$C$38)=0),MIN(MAX(0,(BC67)+BA68-N68),(CC68-CD68)/(Ipotesi!$C$108*12/Parametri_v3!$C$38)),0)</f>
        <v>0</v>
      </c>
      <c r="BC68" s="15" t="n">
        <f aca="false">(BC67)+BA68-N68-BB68</f>
        <v>0</v>
      </c>
      <c r="BD68" s="15" t="n">
        <f aca="false">(BH67)+AC68+AF68-AI68-AS68-K68*(1+Parametri_v3!$C$26)-AL68-AQ68-O68+AW68+AX68+AZ68+BA68-BB68</f>
        <v>45550.0304298246</v>
      </c>
      <c r="BE68" s="15" t="n">
        <f aca="false">MAX(0,MIN(MAX(0,CH68-(BG67)),Parametri_v3!$C$30-BD68))</f>
        <v>0</v>
      </c>
      <c r="BF68" s="15" t="n">
        <f aca="false">IF(Motore_Operativo!C68&gt;=Parametri_v3!$C$63,(BG67),MIN((BG67),MAX(0,BD68-Parametri_v3!$C$30)))</f>
        <v>0</v>
      </c>
      <c r="BG68" s="15" t="n">
        <f aca="false">(BG67)+BE68-BF68</f>
        <v>0</v>
      </c>
      <c r="BH68" s="15" t="n">
        <f aca="false">BD68+BE68-BF68-AY68</f>
        <v>45550.0304298246</v>
      </c>
      <c r="BI68" s="15" t="n">
        <f aca="false">MAX(0,Parametri_v3!$C$30-BH68)</f>
        <v>0</v>
      </c>
      <c r="BJ68" s="15" t="n">
        <f aca="false">(BJ67)+K68</f>
        <v>6666.66666666667</v>
      </c>
      <c r="BK68" s="15" t="n">
        <f aca="false">(BK67)+L68</f>
        <v>462.962962962963</v>
      </c>
      <c r="BL68" s="15" t="n">
        <f aca="false">BJ68-BK68</f>
        <v>6203.7037037037</v>
      </c>
      <c r="BM68" s="15" t="n">
        <f aca="false">(BM67)+Y68</f>
        <v>-74891.7972709552</v>
      </c>
      <c r="BN68" s="15" t="n">
        <f aca="false">(BN67)+AW68+AX68+AZ68</f>
        <v>130000</v>
      </c>
      <c r="BO68" s="15" t="n">
        <f aca="false">(BO67)+AY68</f>
        <v>0</v>
      </c>
      <c r="BP68" s="15" t="n">
        <f aca="false">0</f>
        <v>0</v>
      </c>
      <c r="BQ68" s="15" t="n">
        <f aca="false">BN68+BM68-BO68</f>
        <v>55108.2027290448</v>
      </c>
      <c r="BR68" s="15" t="n">
        <f aca="false">BH68+AD68+BL68+MAX(0,-AM68)+MAX(0,-AR68)+AG68</f>
        <v>82015.5851159844</v>
      </c>
      <c r="BS68" s="15" t="n">
        <f aca="false">AJ68+AV68+MAX(0,AM68)+MAX(0,AR68)+BC68+BG68+BQ68</f>
        <v>82015.5851159844</v>
      </c>
      <c r="BT68" s="15" t="n">
        <f aca="false">BR68-BS68</f>
        <v>0</v>
      </c>
      <c r="BU68" s="15" t="n">
        <f aca="false">BH68-(BD68+BE68-BF68-AY68)</f>
        <v>0</v>
      </c>
      <c r="BV68" s="15" t="n">
        <f aca="false">MIN(Piano_SS!$C$6,(BV67)+IF(AND(Motore_Operativo!C68&gt;=EDATE(Parametri_v3!$C$24,Ipotesi!D14*12),Motore_Operativo!C68&lt;EDATE(Parametri_v3!$C$24,Parametri_v3!$C$25+Ipotesi!D14*12)),MAX(0,(Motore_Operativo!Y68+Motore_Operativo!X68*Parametri_v3!$C$14)*(1-Parametri_v3!$C$32))*Piano_SS!$D$6,0))</f>
        <v>0</v>
      </c>
      <c r="BW68" s="15" t="n">
        <f aca="false">MIN(Piano_SS!$C$7,(BW67)+IF(AND(Motore_Operativo!C68&gt;=EDATE(Parametri_v3!$C$24,Ipotesi!D14*12),Motore_Operativo!C68&lt;EDATE(Parametri_v3!$C$24,Parametri_v3!$C$25+Ipotesi!D14*12)),MAX(0,(IF(4-(INT((Ipotesi!$C$91)/30))&lt;1,0,INDEX(Motore_Operativo!$BN$65:$BN$124,MAX(1,4-(INT((Ipotesi!$C$91)/30)))))*(1-(MOD((Ipotesi!$C$91),30)/30))+IF(4-(INT((Ipotesi!$C$91)/30))-1&lt;1,0,INDEX(Motore_Operativo!$BN$65:$BN$124,MAX(1,4-(INT((Ipotesi!$C$91)/30))-1)))*(MOD((Ipotesi!$C$91),30)/30)))*Piano_SS!$D$7,0))</f>
        <v>0</v>
      </c>
      <c r="BX68" s="15" t="n">
        <f aca="false">MIN(Piano_SS!$C$8,(BX67)+IF(AND(Motore_Operativo!C68&gt;=EDATE(Parametri_v3!$C$24,Ipotesi!D14*12),Motore_Operativo!C68&lt;EDATE(Parametri_v3!$C$24,Parametri_v3!$C$25+Ipotesi!D14*12)),MAX(0,Motore_Operativo!CE68)*Piano_SS!$D$8,0))</f>
        <v>0</v>
      </c>
      <c r="BY68" s="15" t="n">
        <f aca="false">MIN(Piano_SS!$C$9,(BY67)+IF(AND(Motore_Operativo!C68&gt;=EDATE(Parametri_v3!$C$24,Ipotesi!D14*12),Motore_Operativo!C68&lt;EDATE(Parametri_v3!$C$24,Parametri_v3!$C$25+Ipotesi!D14*12)),MAX(0,((IF(4-(INT((Ipotesi!$C$91)/30))&lt;1,0,INDEX(Motore_Operativo!$BQ$65:$BQ$124,MAX(1,4-(INT((Ipotesi!$C$91)/30)))))*(1-(MOD((Ipotesi!$C$91),30)/30))+IF(4-(INT((Ipotesi!$C$91)/30))-1&lt;1,0,INDEX(Motore_Operativo!$BQ$65:$BQ$124,MAX(1,4-(INT((Ipotesi!$C$91)/30))-1)))*(MOD((Ipotesi!$C$91),30)/30))+(IF(4-(INT((Ipotesi!$C$91)/30))&lt;1,0,INDEX(Motore_Operativo!$BR$65:$BR$124,MAX(1,4-(INT((Ipotesi!$C$91)/30)))))*(1-(MOD((Ipotesi!$C$91),30)/30))+IF(4-(INT((Ipotesi!$C$91)/30))-1&lt;1,0,INDEX(Motore_Operativo!$BR$65:$BR$124,MAX(1,4-(INT((Ipotesi!$C$91)/30))-1)))*(MOD((Ipotesi!$C$91),30)/30))))*Piano_SS!$D$9,0))</f>
        <v>0</v>
      </c>
      <c r="BZ68" s="15" t="n">
        <f aca="false">MIN(Piano_SS!$C$10,(BZ67)+IF(AND(Motore_Operativo!C68&gt;=EDATE(Parametri_v3!$C$24,Ipotesi!D14*12),Motore_Operativo!C68&lt;EDATE(Parametri_v3!$C$24,Parametri_v3!$C$25+Ipotesi!D14*12)),MAX(0,(IF(4-(INT((Ipotesi!$C$91)/30))&lt;1,0,INDEX(Motore_Operativo!$BO$65:$BO$124,MAX(1,4-(INT((Ipotesi!$C$91)/30)))))*(1-(MOD((Ipotesi!$C$91),30)/30))+IF(4-(INT((Ipotesi!$C$91)/30))-1&lt;1,0,INDEX(Motore_Operativo!$BO$65:$BO$124,MAX(1,4-(INT((Ipotesi!$C$91)/30))-1)))*(MOD((Ipotesi!$C$91),30)/30)))*Piano_SS!$D$10,0))</f>
        <v>0</v>
      </c>
      <c r="CA68" s="15" t="n">
        <f aca="false">SUM(BV68:BZ68)</f>
        <v>0</v>
      </c>
      <c r="CB68" s="15" t="n">
        <f aca="false">BV68*(1-Piano_SS!$E$6)+BW68*(1-Piano_SS!$E$7)+BX68*(1-Piano_SS!$E$8)+BY68*(1-Piano_SS!$E$9)+BZ68*(1-Piano_SS!$E$10)</f>
        <v>0</v>
      </c>
      <c r="CC68" s="15" t="n">
        <f aca="false">(CC67)+BA68</f>
        <v>0</v>
      </c>
      <c r="CD68" s="15" t="n">
        <f aca="false">IF(CA68=0,0,CC68*CB68/CA68*Ipotesi!$C$103*Parametri_v3!$C$64)</f>
        <v>0</v>
      </c>
      <c r="CE68" s="18" t="n">
        <f aca="false">IF(BA68&gt;0,Motore_Operativo!C68,(CE67))</f>
        <v>0</v>
      </c>
      <c r="CF68" s="18" t="n">
        <f aca="false">IF(AND(CC68&gt;0,OR(CC68&gt;=CG68-0.01,Motore_Operativo!C68&gt;=EDATE(MAX(Finanziamenti!$D$15:$D$17),Ipotesi!D14*12))),CE68,0)</f>
        <v>0</v>
      </c>
      <c r="CG68" s="15" t="n">
        <f aca="false">IF(AND(2&lt;&gt;6,2&lt;&gt;9,Finanziamenti!$F$11=1,OR(Parametri_v3!$C$6=0,Finanziamenti!$E$11=1)),MIN(Finanziamenti!$C$11,Piano_SS!$C$12*Ipotesi!$C$102),0)</f>
        <v>400000</v>
      </c>
      <c r="CH68" s="15" t="n">
        <f aca="false">IF(AND(AND(2&lt;&gt;8,2&lt;&gt;9,Finanziamenti!$F$10=1,OR(Parametri_v3!$C$6=0,Finanziamenti!$E$10=1)),Motore_Operativo!C68&gt;=Finanziamenti!$D$10,Motore_Operativo!C68&lt;Parametri_v3!$C$63),Finanziamenti!$C$10,0)</f>
        <v>150000</v>
      </c>
    </row>
    <row r="69" customFormat="false" ht="18" hidden="false" customHeight="true" outlineLevel="0" collapsed="false">
      <c r="A69" s="68" t="n">
        <f aca="false">2</f>
        <v>2</v>
      </c>
      <c r="B69" s="68" t="n">
        <f aca="false">5</f>
        <v>5</v>
      </c>
      <c r="C69" s="18" t="n">
        <f aca="false">Motore_Operativo!C69</f>
        <v>46508</v>
      </c>
      <c r="D69" s="68" t="n">
        <f aca="false">Motore_Operativo!D69</f>
        <v>2027</v>
      </c>
      <c r="E69" s="68" t="n">
        <f aca="false">Motore_Operativo!E69</f>
        <v>5</v>
      </c>
      <c r="F69" s="15" t="n">
        <f aca="false">Motore_Operativo!AQ69+Motore_Operativo!BF69</f>
        <v>7638.88888888889</v>
      </c>
      <c r="G69" s="15" t="n">
        <f aca="false">Motore_Operativo!BH69</f>
        <v>1621.05263157895</v>
      </c>
      <c r="H69" s="15" t="n">
        <f aca="false">Motore_Operativo!BI69</f>
        <v>9259.94152046784</v>
      </c>
      <c r="I69" s="15" t="n">
        <f aca="false">Motore_Operativo!CA69</f>
        <v>27757.6593567251</v>
      </c>
      <c r="J69" s="15" t="n">
        <f aca="false">Motore_Operativo!CC69</f>
        <v>-18497.7178362573</v>
      </c>
      <c r="K69" s="15" t="n">
        <f aca="false">Motore_Operativo!CE69</f>
        <v>1666.66666666667</v>
      </c>
      <c r="L69" s="15" t="n">
        <f aca="false">SUM(INDEX($K$65:$K$124,MAX(1,5-Parametri_v3!$C$59+1)):K69)/Parametri_v3!$C$59</f>
        <v>231.481481481482</v>
      </c>
      <c r="M69" s="15" t="n">
        <f aca="false">J69-L69</f>
        <v>-18729.1993177388</v>
      </c>
      <c r="N69" s="15" t="n">
        <f aca="false">CD69-(CD68)</f>
        <v>0</v>
      </c>
      <c r="O69" s="15" t="n">
        <f aca="false">(BG68)*Ipotesi!$C$110/12+CH69*Parametri_v3!$C$39/12</f>
        <v>0</v>
      </c>
      <c r="P69" s="15" t="n">
        <f aca="false">M69+N69-O69</f>
        <v>-18729.1993177388</v>
      </c>
      <c r="Q69" s="15" t="n">
        <f aca="false">SUM(P65:P69)+Parametri_v3!$C$54*5/12</f>
        <v>-93620.996588694</v>
      </c>
      <c r="R69" s="15" t="n">
        <f aca="false">0</f>
        <v>0</v>
      </c>
      <c r="S69" s="15" t="n">
        <f aca="false">0</f>
        <v>0</v>
      </c>
      <c r="T69" s="15" t="n">
        <f aca="false">MIN(R69,MAX(0,Q69))</f>
        <v>0</v>
      </c>
      <c r="U69" s="15" t="n">
        <f aca="false">MIN(S69,MAX(0,Q69-T69)*Parametri_v3!$C$42)</f>
        <v>0</v>
      </c>
      <c r="V69" s="15" t="n">
        <f aca="false">MAX(0,Q69-T69-U69)*Ipotesi!$C$92</f>
        <v>0</v>
      </c>
      <c r="W69" s="15" t="n">
        <f aca="false">MAX(0,SUM(M65:M69)+Parametri_v3!$C$55*5/12)*Ipotesi!$C$93</f>
        <v>0</v>
      </c>
      <c r="X69" s="15" t="n">
        <f aca="false">V69+W69-(V68+W68)</f>
        <v>0</v>
      </c>
      <c r="Y69" s="15" t="n">
        <f aca="false">P69-X69</f>
        <v>-18729.1993177388</v>
      </c>
      <c r="Z69" s="15" t="n">
        <f aca="false">R69-T69+IF(AND(Parametri_v3!$C$40=1,D69-YEAR(Parametri_v3!$C$50)&lt;Parametri_v3!$C$41),MAX(0,-Q69),0)</f>
        <v>93620.996588694</v>
      </c>
      <c r="AA69" s="15" t="n">
        <f aca="false">S69-U69+IF(AND(Parametri_v3!$C$40=1,D69-YEAR(Parametri_v3!$C$50)&lt;Parametri_v3!$C$41),0,MAX(0,-Q69))</f>
        <v>0</v>
      </c>
      <c r="AB69" s="15" t="n">
        <f aca="false">F69*(1+Parametri_v3!$C$26)</f>
        <v>9319.44444444445</v>
      </c>
      <c r="AC69" s="15" t="n">
        <f aca="false">(IF(5-(INT((Motore_Operativo!L69)/30))&lt;1,0,INDEX(Motore_Startup!$AB$65:$AB$124,MAX(1,5-(INT((Motore_Operativo!L69)/30)))))*(1-(MOD((Motore_Operativo!L69),30)/30))+IF(5-(INT((Motore_Operativo!L69)/30))-1&lt;1,0,INDEX(Motore_Startup!$AB$65:$AB$124,MAX(1,5-(INT((Motore_Operativo!L69)/30))-1)))*(MOD((Motore_Operativo!L69),30)/30))</f>
        <v>9150</v>
      </c>
      <c r="AD69" s="15" t="n">
        <f aca="false">(AD68)+AB69-AC69</f>
        <v>27675.9259259259</v>
      </c>
      <c r="AE69" s="15" t="n">
        <f aca="false">Motore_Operativo!BH69*(1+Parametri_v3!$C$26)</f>
        <v>1977.68421052632</v>
      </c>
      <c r="AF69" s="15" t="n">
        <f aca="false">(IF(5-(INT((Parametri_v3!$C$29)/30))&lt;1,0,INDEX(Motore_Operativo!$BH$65:$BH$124,MAX(1,5-(INT((Parametri_v3!$C$29)/30)))))*(1-(MOD((Parametri_v3!$C$29),30)/30))+IF(5-(INT((Parametri_v3!$C$29)/30))-1&lt;1,0,INDEX(Motore_Operativo!$BH$65:$BH$124,MAX(1,5-(INT((Parametri_v3!$C$29)/30))-1)))*(MOD((Parametri_v3!$C$29),30)/30))*(1+Parametri_v3!$C$26)</f>
        <v>1977.68421052632</v>
      </c>
      <c r="AG69" s="15" t="n">
        <f aca="false">(AG68)+AE69-AF69</f>
        <v>1977.68421052632</v>
      </c>
      <c r="AH69" s="15" t="n">
        <f aca="false">(Motore_Operativo!CJ69)*(1+Parametri_v3!$C$27*Parametri_v3!$C$26)</f>
        <v>11681.2583230994</v>
      </c>
      <c r="AI69" s="15" t="n">
        <f aca="false">(IF(5-(INT((Ipotesi!$C$91)/30))&lt;1,0,INDEX(Motore_Startup!$AH$65:$AH$124,MAX(1,5-(INT((Ipotesi!$C$91)/30)))))*(1-(MOD((Ipotesi!$C$91),30)/30))+IF(5-(INT((Ipotesi!$C$91)/30))-1&lt;1,0,INDEX(Motore_Startup!$AH$65:$AH$124,MAX(1,5-(INT((Ipotesi!$C$91)/30))-1)))*(MOD((Ipotesi!$C$91),30)/30))</f>
        <v>11658.1777675439</v>
      </c>
      <c r="AJ69" s="15" t="n">
        <f aca="false">(AJ68)+AH69-AI69</f>
        <v>23347.1296091618</v>
      </c>
      <c r="AK69" s="15" t="n">
        <f aca="false">(F69+ Motore_Operativo!BH69-(Motore_Operativo!CJ69)*Parametri_v3!$C$27-Motore_Operativo!CE69)*Parametri_v3!$C$26</f>
        <v>-169.745165204677</v>
      </c>
      <c r="AL69" s="15" t="n">
        <f aca="false">MAX(0,(AM68))</f>
        <v>0</v>
      </c>
      <c r="AM69" s="15" t="n">
        <f aca="false">(AM68)+AK69-AL69</f>
        <v>-947.430455653019</v>
      </c>
      <c r="AN69" s="15" t="n">
        <f aca="false">0</f>
        <v>0</v>
      </c>
      <c r="AO69" s="15" t="n">
        <f aca="false">0</f>
        <v>0</v>
      </c>
      <c r="AP69" s="15" t="n">
        <f aca="false">MAX(0,AN69)*IF(5=Parametri_v3!$C$43,Parametri_v3!$C$45,IF(5=Parametri_v3!$C$44,1-Parametri_v3!$C$45,0))</f>
        <v>0</v>
      </c>
      <c r="AQ69" s="15" t="n">
        <f aca="false">MAX(0,AP69+IF(5=Parametri_v3!$C$43,MAX(0,AN69-AO69),0)-MAX(0,-(AR68)))</f>
        <v>0</v>
      </c>
      <c r="AR69" s="15" t="n">
        <f aca="false">(AR68)+X69-AQ69</f>
        <v>0</v>
      </c>
      <c r="AS69" s="15" t="n">
        <f aca="false">Motore_Operativo!AB69-AT69+AU69</f>
        <v>17020.8333333333</v>
      </c>
      <c r="AT69" s="15" t="n">
        <f aca="false">Motore_Operativo!CH69</f>
        <v>895.833333333334</v>
      </c>
      <c r="AU69" s="15" t="n">
        <f aca="false">MIN(MAX(0,(AV68)+AT69),Parametri_v3!$C$60/12)</f>
        <v>0</v>
      </c>
      <c r="AV69" s="15" t="n">
        <f aca="false">(AV68)+AT69-AU69</f>
        <v>4479.16666666667</v>
      </c>
      <c r="AW69" s="15" t="n">
        <f aca="false">IF(AND(Motore_Operativo!C69=Finanziamenti!$D$6,Finanziamenti!$F$6=1),Finanziamenti!$C$6,0)</f>
        <v>0</v>
      </c>
      <c r="AX69" s="15" t="n">
        <f aca="false">IF(AND(2&lt;&gt;7,2&lt;&gt;9,Finanziamenti!$F$8=1,OR(Parametri_v3!$C$6=0,Finanziamenti!$E$8=1),Motore_Operativo!C69=EDATE(Finanziamenti!$D$8,Ipotesi!D15*12)),Finanziamenti!$C$8*1,0)+IF(AND(2&lt;&gt;7,2&lt;&gt;9,Finanziamenti!$F$9=1,OR(Parametri_v3!$C$6=0,Finanziamenti!$E$9=1),Motore_Operativo!C69=EDATE(Finanziamenti!$D$9,Ipotesi!D15*12)),Finanziamenti!$C$9*Ipotesi!D16,0)</f>
        <v>0</v>
      </c>
      <c r="AY69" s="15" t="n">
        <f aca="false">0</f>
        <v>0</v>
      </c>
      <c r="AZ69" s="15" t="n">
        <f aca="false">Motore_Advisory!AY69*(1-Ipotesi!$C$95)*Ipotesi!$C$96</f>
        <v>0</v>
      </c>
      <c r="BA69" s="15" t="n">
        <f aca="false">MAX(0,MIN(CG69*MIN(1,IF(Motore_Operativo!C69&gt;=EDATE(Finanziamenti!$D$15,Ipotesi!D14*12),Finanziamenti!$C$15,0)+IF(Motore_Operativo!C69&gt;=EDATE(Finanziamenti!$D$16,Ipotesi!D14*12),Finanziamenti!$C$16,0)+IF(Motore_Operativo!C69&gt;=EDATE(Finanziamenti!$D$17,Ipotesi!D14*12),Finanziamenti!$C$17,0)),CA69*Ipotesi!$C$102)-(CC68))</f>
        <v>0</v>
      </c>
      <c r="BB69" s="15" t="n">
        <f aca="false">IF(AND(CF69&gt;0,Motore_Operativo!C69&gt;=IF(CF69=0,0,EDATE(CF69,Parametri_v3!$C$37)),MOD(((D69-YEAR(IF(CF69=0,0,EDATE(CF69,Parametri_v3!$C$37))))*12+E69-MONTH(IF(CF69=0,0,EDATE(CF69,Parametri_v3!$C$37)))),Parametri_v3!$C$38)=0),MIN(MAX(0,(BC68)+BA69-N69),(CC69-CD69)/(Ipotesi!$C$108*12/Parametri_v3!$C$38)),0)</f>
        <v>0</v>
      </c>
      <c r="BC69" s="15" t="n">
        <f aca="false">(BC68)+BA69-N69-BB69</f>
        <v>0</v>
      </c>
      <c r="BD69" s="15" t="n">
        <f aca="false">(BH68)+AC69+AF69-AI69-AS69-K69*(1+Parametri_v3!$C$26)-AL69-AQ69-O69+AW69+AX69+AZ69+BA69-BB69</f>
        <v>25965.3702061404</v>
      </c>
      <c r="BE69" s="15" t="n">
        <f aca="false">MAX(0,MIN(MAX(0,CH69-(BG68)),Parametri_v3!$C$30-BD69))</f>
        <v>0</v>
      </c>
      <c r="BF69" s="15" t="n">
        <f aca="false">IF(Motore_Operativo!C69&gt;=Parametri_v3!$C$63,(BG68),MIN((BG68),MAX(0,BD69-Parametri_v3!$C$30)))</f>
        <v>0</v>
      </c>
      <c r="BG69" s="15" t="n">
        <f aca="false">(BG68)+BE69-BF69</f>
        <v>0</v>
      </c>
      <c r="BH69" s="15" t="n">
        <f aca="false">BD69+BE69-BF69-AY69</f>
        <v>25965.3702061404</v>
      </c>
      <c r="BI69" s="15" t="n">
        <f aca="false">MAX(0,Parametri_v3!$C$30-BH69)</f>
        <v>0</v>
      </c>
      <c r="BJ69" s="15" t="n">
        <f aca="false">(BJ68)+K69</f>
        <v>8333.33333333333</v>
      </c>
      <c r="BK69" s="15" t="n">
        <f aca="false">(BK68)+L69</f>
        <v>694.444444444445</v>
      </c>
      <c r="BL69" s="15" t="n">
        <f aca="false">BJ69-BK69</f>
        <v>7638.88888888889</v>
      </c>
      <c r="BM69" s="15" t="n">
        <f aca="false">(BM68)+Y69</f>
        <v>-93620.996588694</v>
      </c>
      <c r="BN69" s="15" t="n">
        <f aca="false">(BN68)+AW69+AX69+AZ69</f>
        <v>130000</v>
      </c>
      <c r="BO69" s="15" t="n">
        <f aca="false">(BO68)+AY69</f>
        <v>0</v>
      </c>
      <c r="BP69" s="15" t="n">
        <f aca="false">0</f>
        <v>0</v>
      </c>
      <c r="BQ69" s="15" t="n">
        <f aca="false">BN69+BM69-BO69</f>
        <v>36379.003411306</v>
      </c>
      <c r="BR69" s="15" t="n">
        <f aca="false">BH69+AD69+BL69+MAX(0,-AM69)+MAX(0,-AR69)+AG69</f>
        <v>64205.2996871345</v>
      </c>
      <c r="BS69" s="15" t="n">
        <f aca="false">AJ69+AV69+MAX(0,AM69)+MAX(0,AR69)+BC69+BG69+BQ69</f>
        <v>64205.2996871345</v>
      </c>
      <c r="BT69" s="15" t="n">
        <f aca="false">BR69-BS69</f>
        <v>0</v>
      </c>
      <c r="BU69" s="15" t="n">
        <f aca="false">BH69-(BD69+BE69-BF69-AY69)</f>
        <v>0</v>
      </c>
      <c r="BV69" s="15" t="n">
        <f aca="false">MIN(Piano_SS!$C$6,(BV68)+IF(AND(Motore_Operativo!C69&gt;=EDATE(Parametri_v3!$C$24,Ipotesi!D14*12),Motore_Operativo!C69&lt;EDATE(Parametri_v3!$C$24,Parametri_v3!$C$25+Ipotesi!D14*12)),MAX(0,(Motore_Operativo!Y69+Motore_Operativo!X69*Parametri_v3!$C$14)*(1-Parametri_v3!$C$32))*Piano_SS!$D$6,0))</f>
        <v>0</v>
      </c>
      <c r="BW69" s="15" t="n">
        <f aca="false">MIN(Piano_SS!$C$7,(BW68)+IF(AND(Motore_Operativo!C69&gt;=EDATE(Parametri_v3!$C$24,Ipotesi!D14*12),Motore_Operativo!C69&lt;EDATE(Parametri_v3!$C$24,Parametri_v3!$C$25+Ipotesi!D14*12)),MAX(0,(IF(5-(INT((Ipotesi!$C$91)/30))&lt;1,0,INDEX(Motore_Operativo!$BN$65:$BN$124,MAX(1,5-(INT((Ipotesi!$C$91)/30)))))*(1-(MOD((Ipotesi!$C$91),30)/30))+IF(5-(INT((Ipotesi!$C$91)/30))-1&lt;1,0,INDEX(Motore_Operativo!$BN$65:$BN$124,MAX(1,5-(INT((Ipotesi!$C$91)/30))-1)))*(MOD((Ipotesi!$C$91),30)/30)))*Piano_SS!$D$7,0))</f>
        <v>0</v>
      </c>
      <c r="BX69" s="15" t="n">
        <f aca="false">MIN(Piano_SS!$C$8,(BX68)+IF(AND(Motore_Operativo!C69&gt;=EDATE(Parametri_v3!$C$24,Ipotesi!D14*12),Motore_Operativo!C69&lt;EDATE(Parametri_v3!$C$24,Parametri_v3!$C$25+Ipotesi!D14*12)),MAX(0,Motore_Operativo!CE69)*Piano_SS!$D$8,0))</f>
        <v>0</v>
      </c>
      <c r="BY69" s="15" t="n">
        <f aca="false">MIN(Piano_SS!$C$9,(BY68)+IF(AND(Motore_Operativo!C69&gt;=EDATE(Parametri_v3!$C$24,Ipotesi!D14*12),Motore_Operativo!C69&lt;EDATE(Parametri_v3!$C$24,Parametri_v3!$C$25+Ipotesi!D14*12)),MAX(0,((IF(5-(INT((Ipotesi!$C$91)/30))&lt;1,0,INDEX(Motore_Operativo!$BQ$65:$BQ$124,MAX(1,5-(INT((Ipotesi!$C$91)/30)))))*(1-(MOD((Ipotesi!$C$91),30)/30))+IF(5-(INT((Ipotesi!$C$91)/30))-1&lt;1,0,INDEX(Motore_Operativo!$BQ$65:$BQ$124,MAX(1,5-(INT((Ipotesi!$C$91)/30))-1)))*(MOD((Ipotesi!$C$91),30)/30))+(IF(5-(INT((Ipotesi!$C$91)/30))&lt;1,0,INDEX(Motore_Operativo!$BR$65:$BR$124,MAX(1,5-(INT((Ipotesi!$C$91)/30)))))*(1-(MOD((Ipotesi!$C$91),30)/30))+IF(5-(INT((Ipotesi!$C$91)/30))-1&lt;1,0,INDEX(Motore_Operativo!$BR$65:$BR$124,MAX(1,5-(INT((Ipotesi!$C$91)/30))-1)))*(MOD((Ipotesi!$C$91),30)/30))))*Piano_SS!$D$9,0))</f>
        <v>0</v>
      </c>
      <c r="BZ69" s="15" t="n">
        <f aca="false">MIN(Piano_SS!$C$10,(BZ68)+IF(AND(Motore_Operativo!C69&gt;=EDATE(Parametri_v3!$C$24,Ipotesi!D14*12),Motore_Operativo!C69&lt;EDATE(Parametri_v3!$C$24,Parametri_v3!$C$25+Ipotesi!D14*12)),MAX(0,(IF(5-(INT((Ipotesi!$C$91)/30))&lt;1,0,INDEX(Motore_Operativo!$BO$65:$BO$124,MAX(1,5-(INT((Ipotesi!$C$91)/30)))))*(1-(MOD((Ipotesi!$C$91),30)/30))+IF(5-(INT((Ipotesi!$C$91)/30))-1&lt;1,0,INDEX(Motore_Operativo!$BO$65:$BO$124,MAX(1,5-(INT((Ipotesi!$C$91)/30))-1)))*(MOD((Ipotesi!$C$91),30)/30)))*Piano_SS!$D$10,0))</f>
        <v>0</v>
      </c>
      <c r="CA69" s="15" t="n">
        <f aca="false">SUM(BV69:BZ69)</f>
        <v>0</v>
      </c>
      <c r="CB69" s="15" t="n">
        <f aca="false">BV69*(1-Piano_SS!$E$6)+BW69*(1-Piano_SS!$E$7)+BX69*(1-Piano_SS!$E$8)+BY69*(1-Piano_SS!$E$9)+BZ69*(1-Piano_SS!$E$10)</f>
        <v>0</v>
      </c>
      <c r="CC69" s="15" t="n">
        <f aca="false">(CC68)+BA69</f>
        <v>0</v>
      </c>
      <c r="CD69" s="15" t="n">
        <f aca="false">IF(CA69=0,0,CC69*CB69/CA69*Ipotesi!$C$103*Parametri_v3!$C$64)</f>
        <v>0</v>
      </c>
      <c r="CE69" s="18" t="n">
        <f aca="false">IF(BA69&gt;0,Motore_Operativo!C69,(CE68))</f>
        <v>0</v>
      </c>
      <c r="CF69" s="18" t="n">
        <f aca="false">IF(AND(CC69&gt;0,OR(CC69&gt;=CG69-0.01,Motore_Operativo!C69&gt;=EDATE(MAX(Finanziamenti!$D$15:$D$17),Ipotesi!D14*12))),CE69,0)</f>
        <v>0</v>
      </c>
      <c r="CG69" s="15" t="n">
        <f aca="false">IF(AND(2&lt;&gt;6,2&lt;&gt;9,Finanziamenti!$F$11=1,OR(Parametri_v3!$C$6=0,Finanziamenti!$E$11=1)),MIN(Finanziamenti!$C$11,Piano_SS!$C$12*Ipotesi!$C$102),0)</f>
        <v>400000</v>
      </c>
      <c r="CH69" s="15" t="n">
        <f aca="false">IF(AND(AND(2&lt;&gt;8,2&lt;&gt;9,Finanziamenti!$F$10=1,OR(Parametri_v3!$C$6=0,Finanziamenti!$E$10=1)),Motore_Operativo!C69&gt;=Finanziamenti!$D$10,Motore_Operativo!C69&lt;Parametri_v3!$C$63),Finanziamenti!$C$10,0)</f>
        <v>150000</v>
      </c>
    </row>
    <row r="70" customFormat="false" ht="18" hidden="false" customHeight="true" outlineLevel="0" collapsed="false">
      <c r="A70" s="68" t="n">
        <f aca="false">2</f>
        <v>2</v>
      </c>
      <c r="B70" s="68" t="n">
        <f aca="false">6</f>
        <v>6</v>
      </c>
      <c r="C70" s="18" t="n">
        <f aca="false">Motore_Operativo!C70</f>
        <v>46539</v>
      </c>
      <c r="D70" s="68" t="n">
        <f aca="false">Motore_Operativo!D70</f>
        <v>2027</v>
      </c>
      <c r="E70" s="68" t="n">
        <f aca="false">Motore_Operativo!E70</f>
        <v>6</v>
      </c>
      <c r="F70" s="15" t="n">
        <f aca="false">Motore_Operativo!AQ70+Motore_Operativo!BF70</f>
        <v>7731.48148148148</v>
      </c>
      <c r="G70" s="15" t="n">
        <f aca="false">Motore_Operativo!BH70</f>
        <v>1621.05263157895</v>
      </c>
      <c r="H70" s="15" t="n">
        <f aca="false">Motore_Operativo!BI70</f>
        <v>9352.53411306043</v>
      </c>
      <c r="I70" s="15" t="n">
        <f aca="false">Motore_Operativo!CA70</f>
        <v>27770.6223196881</v>
      </c>
      <c r="J70" s="15" t="n">
        <f aca="false">Motore_Operativo!CC70</f>
        <v>-18418.0882066277</v>
      </c>
      <c r="K70" s="15" t="n">
        <f aca="false">Motore_Operativo!CE70</f>
        <v>1666.66666666667</v>
      </c>
      <c r="L70" s="15" t="n">
        <f aca="false">SUM(INDEX($K$65:$K$124,MAX(1,6-Parametri_v3!$C$59+1)):K70)/Parametri_v3!$C$59</f>
        <v>277.777777777778</v>
      </c>
      <c r="M70" s="15" t="n">
        <f aca="false">J70-L70</f>
        <v>-18695.8659844055</v>
      </c>
      <c r="N70" s="15" t="n">
        <f aca="false">CD70-(CD69)</f>
        <v>0</v>
      </c>
      <c r="O70" s="15" t="n">
        <f aca="false">(BG69)*Ipotesi!$C$110/12+CH70*Parametri_v3!$C$39/12</f>
        <v>0</v>
      </c>
      <c r="P70" s="15" t="n">
        <f aca="false">M70+N70-O70</f>
        <v>-18695.8659844055</v>
      </c>
      <c r="Q70" s="15" t="n">
        <f aca="false">SUM(P65:P70)+Parametri_v3!$C$54*6/12</f>
        <v>-112316.862573099</v>
      </c>
      <c r="R70" s="15" t="n">
        <f aca="false">0</f>
        <v>0</v>
      </c>
      <c r="S70" s="15" t="n">
        <f aca="false">0</f>
        <v>0</v>
      </c>
      <c r="T70" s="15" t="n">
        <f aca="false">MIN(R70,MAX(0,Q70))</f>
        <v>0</v>
      </c>
      <c r="U70" s="15" t="n">
        <f aca="false">MIN(S70,MAX(0,Q70-T70)*Parametri_v3!$C$42)</f>
        <v>0</v>
      </c>
      <c r="V70" s="15" t="n">
        <f aca="false">MAX(0,Q70-T70-U70)*Ipotesi!$C$92</f>
        <v>0</v>
      </c>
      <c r="W70" s="15" t="n">
        <f aca="false">MAX(0,SUM(M65:M70)+Parametri_v3!$C$55*6/12)*Ipotesi!$C$93</f>
        <v>0</v>
      </c>
      <c r="X70" s="15" t="n">
        <f aca="false">V70+W70-(V69+W69)</f>
        <v>0</v>
      </c>
      <c r="Y70" s="15" t="n">
        <f aca="false">P70-X70</f>
        <v>-18695.8659844055</v>
      </c>
      <c r="Z70" s="15" t="n">
        <f aca="false">R70-T70+IF(AND(Parametri_v3!$C$40=1,D70-YEAR(Parametri_v3!$C$50)&lt;Parametri_v3!$C$41),MAX(0,-Q70),0)</f>
        <v>112316.862573099</v>
      </c>
      <c r="AA70" s="15" t="n">
        <f aca="false">S70-U70+IF(AND(Parametri_v3!$C$40=1,D70-YEAR(Parametri_v3!$C$50)&lt;Parametri_v3!$C$41),0,MAX(0,-Q70))</f>
        <v>0</v>
      </c>
      <c r="AB70" s="15" t="n">
        <f aca="false">F70*(1+Parametri_v3!$C$26)</f>
        <v>9432.40740740741</v>
      </c>
      <c r="AC70" s="15" t="n">
        <f aca="false">(IF(6-(INT((Motore_Operativo!L70)/30))&lt;1,0,INDEX(Motore_Startup!$AB$65:$AB$124,MAX(1,6-(INT((Motore_Operativo!L70)/30)))))*(1-(MOD((Motore_Operativo!L70),30)/30))+IF(6-(INT((Motore_Operativo!L70)/30))-1&lt;1,0,INDEX(Motore_Startup!$AB$65:$AB$124,MAX(1,6-(INT((Motore_Operativo!L70)/30))-1)))*(MOD((Motore_Operativo!L70),30)/30))</f>
        <v>9150</v>
      </c>
      <c r="AD70" s="15" t="n">
        <f aca="false">(AD69)+AB70-AC70</f>
        <v>27958.3333333333</v>
      </c>
      <c r="AE70" s="15" t="n">
        <f aca="false">Motore_Operativo!BH70*(1+Parametri_v3!$C$26)</f>
        <v>1977.68421052632</v>
      </c>
      <c r="AF70" s="15" t="n">
        <f aca="false">(IF(6-(INT((Parametri_v3!$C$29)/30))&lt;1,0,INDEX(Motore_Operativo!$BH$65:$BH$124,MAX(1,6-(INT((Parametri_v3!$C$29)/30)))))*(1-(MOD((Parametri_v3!$C$29),30)/30))+IF(6-(INT((Parametri_v3!$C$29)/30))-1&lt;1,0,INDEX(Motore_Operativo!$BH$65:$BH$124,MAX(1,6-(INT((Parametri_v3!$C$29)/30))-1)))*(MOD((Parametri_v3!$C$29),30)/30))*(1+Parametri_v3!$C$26)</f>
        <v>1977.68421052632</v>
      </c>
      <c r="AG70" s="15" t="n">
        <f aca="false">(AG69)+AE70-AF70</f>
        <v>1977.68421052632</v>
      </c>
      <c r="AH70" s="15" t="n">
        <f aca="false">(Motore_Operativo!CJ70)*(1+Parametri_v3!$C$27*Parametri_v3!$C$26)</f>
        <v>11696.6453601365</v>
      </c>
      <c r="AI70" s="15" t="n">
        <f aca="false">(IF(6-(INT((Ipotesi!$C$91)/30))&lt;1,0,INDEX(Motore_Startup!$AH$65:$AH$124,MAX(1,6-(INT((Ipotesi!$C$91)/30)))))*(1-(MOD((Ipotesi!$C$91),30)/30))+IF(6-(INT((Ipotesi!$C$91)/30))-1&lt;1,0,INDEX(Motore_Startup!$AH$65:$AH$124,MAX(1,6-(INT((Ipotesi!$C$91)/30))-1)))*(MOD((Ipotesi!$C$91),30)/30))</f>
        <v>11665.8712860624</v>
      </c>
      <c r="AJ70" s="15" t="n">
        <f aca="false">(AJ69)+AH70-AI70</f>
        <v>23377.9036832359</v>
      </c>
      <c r="AK70" s="15" t="n">
        <f aca="false">(F70+ Motore_Operativo!BH70-(Motore_Operativo!CJ70)*Parametri_v3!$C$27-Motore_Operativo!CE70)*Parametri_v3!$C$26</f>
        <v>-151.798868908381</v>
      </c>
      <c r="AL70" s="15" t="n">
        <f aca="false">MAX(0,(AM69))</f>
        <v>0</v>
      </c>
      <c r="AM70" s="15" t="n">
        <f aca="false">(AM69)+AK70-AL70</f>
        <v>-1099.2293245614</v>
      </c>
      <c r="AN70" s="15" t="n">
        <f aca="false">0</f>
        <v>0</v>
      </c>
      <c r="AO70" s="15" t="n">
        <f aca="false">0</f>
        <v>0</v>
      </c>
      <c r="AP70" s="15" t="n">
        <f aca="false">MAX(0,AN70)*IF(6=Parametri_v3!$C$43,Parametri_v3!$C$45,IF(6=Parametri_v3!$C$44,1-Parametri_v3!$C$45,0))</f>
        <v>0</v>
      </c>
      <c r="AQ70" s="15" t="n">
        <f aca="false">MAX(0,AP70+IF(6=Parametri_v3!$C$43,MAX(0,AN70-AO70),0)-MAX(0,-(AR69)))</f>
        <v>0</v>
      </c>
      <c r="AR70" s="15" t="n">
        <f aca="false">(AR69)+X70-AQ70</f>
        <v>0</v>
      </c>
      <c r="AS70" s="15" t="n">
        <f aca="false">Motore_Operativo!AB70-AT70+AU70</f>
        <v>17020.8333333333</v>
      </c>
      <c r="AT70" s="15" t="n">
        <f aca="false">Motore_Operativo!CH70</f>
        <v>895.833333333334</v>
      </c>
      <c r="AU70" s="15" t="n">
        <f aca="false">MIN(MAX(0,(AV69)+AT70),Parametri_v3!$C$60/12)</f>
        <v>0</v>
      </c>
      <c r="AV70" s="15" t="n">
        <f aca="false">(AV69)+AT70-AU70</f>
        <v>5375</v>
      </c>
      <c r="AW70" s="15" t="n">
        <f aca="false">IF(AND(Motore_Operativo!C70=Finanziamenti!$D$6,Finanziamenti!$F$6=1),Finanziamenti!$C$6,0)</f>
        <v>0</v>
      </c>
      <c r="AX70" s="15" t="n">
        <f aca="false">IF(AND(2&lt;&gt;7,2&lt;&gt;9,Finanziamenti!$F$8=1,OR(Parametri_v3!$C$6=0,Finanziamenti!$E$8=1),Motore_Operativo!C70=EDATE(Finanziamenti!$D$8,Ipotesi!D15*12)),Finanziamenti!$C$8*1,0)+IF(AND(2&lt;&gt;7,2&lt;&gt;9,Finanziamenti!$F$9=1,OR(Parametri_v3!$C$6=0,Finanziamenti!$E$9=1),Motore_Operativo!C70=EDATE(Finanziamenti!$D$9,Ipotesi!D15*12)),Finanziamenti!$C$9*Ipotesi!D16,0)</f>
        <v>0</v>
      </c>
      <c r="AY70" s="15" t="n">
        <f aca="false">0</f>
        <v>0</v>
      </c>
      <c r="AZ70" s="15" t="n">
        <f aca="false">Motore_Advisory!AY70*(1-Ipotesi!$C$95)*Ipotesi!$C$96</f>
        <v>0</v>
      </c>
      <c r="BA70" s="15" t="n">
        <f aca="false">MAX(0,MIN(CG70*MIN(1,IF(Motore_Operativo!C70&gt;=EDATE(Finanziamenti!$D$15,Ipotesi!D14*12),Finanziamenti!$C$15,0)+IF(Motore_Operativo!C70&gt;=EDATE(Finanziamenti!$D$16,Ipotesi!D14*12),Finanziamenti!$C$16,0)+IF(Motore_Operativo!C70&gt;=EDATE(Finanziamenti!$D$17,Ipotesi!D14*12),Finanziamenti!$C$17,0)),CA70*Ipotesi!$C$102)-(CC69))</f>
        <v>0</v>
      </c>
      <c r="BB70" s="15" t="n">
        <f aca="false">IF(AND(CF70&gt;0,Motore_Operativo!C70&gt;=IF(CF70=0,0,EDATE(CF70,Parametri_v3!$C$37)),MOD(((D70-YEAR(IF(CF70=0,0,EDATE(CF70,Parametri_v3!$C$37))))*12+E70-MONTH(IF(CF70=0,0,EDATE(CF70,Parametri_v3!$C$37)))),Parametri_v3!$C$38)=0),MIN(MAX(0,(BC69)+BA70-N70),(CC70-CD70)/(Ipotesi!$C$108*12/Parametri_v3!$C$38)),0)</f>
        <v>0</v>
      </c>
      <c r="BC70" s="15" t="n">
        <f aca="false">(BC69)+BA70-N70-BB70</f>
        <v>0</v>
      </c>
      <c r="BD70" s="15" t="n">
        <f aca="false">(BH69)+AC70+AF70-AI70-AS70-K70*(1+Parametri_v3!$C$26)-AL70-AQ70-O70+AW70+AX70+AZ70+BA70-BB70</f>
        <v>6373.01646393763</v>
      </c>
      <c r="BE70" s="15" t="n">
        <f aca="false">MAX(0,MIN(MAX(0,CH70-(BG69)),Parametri_v3!$C$30-BD70))</f>
        <v>18626.9835360624</v>
      </c>
      <c r="BF70" s="15" t="n">
        <f aca="false">IF(Motore_Operativo!C70&gt;=Parametri_v3!$C$63,(BG69),MIN((BG69),MAX(0,BD70-Parametri_v3!$C$30)))</f>
        <v>0</v>
      </c>
      <c r="BG70" s="15" t="n">
        <f aca="false">(BG69)+BE70-BF70</f>
        <v>18626.9835360624</v>
      </c>
      <c r="BH70" s="15" t="n">
        <f aca="false">BD70+BE70-BF70-AY70</f>
        <v>25000</v>
      </c>
      <c r="BI70" s="15" t="n">
        <f aca="false">MAX(0,Parametri_v3!$C$30-BH70)</f>
        <v>0</v>
      </c>
      <c r="BJ70" s="15" t="n">
        <f aca="false">(BJ69)+K70</f>
        <v>10000</v>
      </c>
      <c r="BK70" s="15" t="n">
        <f aca="false">(BK69)+L70</f>
        <v>972.222222222222</v>
      </c>
      <c r="BL70" s="15" t="n">
        <f aca="false">BJ70-BK70</f>
        <v>9027.77777777778</v>
      </c>
      <c r="BM70" s="15" t="n">
        <f aca="false">(BM69)+Y70</f>
        <v>-112316.862573099</v>
      </c>
      <c r="BN70" s="15" t="n">
        <f aca="false">(BN69)+AW70+AX70+AZ70</f>
        <v>130000</v>
      </c>
      <c r="BO70" s="15" t="n">
        <f aca="false">(BO69)+AY70</f>
        <v>0</v>
      </c>
      <c r="BP70" s="15" t="n">
        <f aca="false">0</f>
        <v>0</v>
      </c>
      <c r="BQ70" s="15" t="n">
        <f aca="false">BN70+BM70-BO70</f>
        <v>17683.1374269006</v>
      </c>
      <c r="BR70" s="15" t="n">
        <f aca="false">BH70+AD70+BL70+MAX(0,-AM70)+MAX(0,-AR70)+AG70</f>
        <v>65063.0246461988</v>
      </c>
      <c r="BS70" s="15" t="n">
        <f aca="false">AJ70+AV70+MAX(0,AM70)+MAX(0,AR70)+BC70+BG70+BQ70</f>
        <v>65063.0246461988</v>
      </c>
      <c r="BT70" s="15" t="n">
        <f aca="false">BR70-BS70</f>
        <v>0</v>
      </c>
      <c r="BU70" s="15" t="n">
        <f aca="false">BH70-(BD70+BE70-BF70-AY70)</f>
        <v>0</v>
      </c>
      <c r="BV70" s="15" t="n">
        <f aca="false">MIN(Piano_SS!$C$6,(BV69)+IF(AND(Motore_Operativo!C70&gt;=EDATE(Parametri_v3!$C$24,Ipotesi!D14*12),Motore_Operativo!C70&lt;EDATE(Parametri_v3!$C$24,Parametri_v3!$C$25+Ipotesi!D14*12)),MAX(0,(Motore_Operativo!Y70+Motore_Operativo!X70*Parametri_v3!$C$14)*(1-Parametri_v3!$C$32))*Piano_SS!$D$6,0))</f>
        <v>0</v>
      </c>
      <c r="BW70" s="15" t="n">
        <f aca="false">MIN(Piano_SS!$C$7,(BW69)+IF(AND(Motore_Operativo!C70&gt;=EDATE(Parametri_v3!$C$24,Ipotesi!D14*12),Motore_Operativo!C70&lt;EDATE(Parametri_v3!$C$24,Parametri_v3!$C$25+Ipotesi!D14*12)),MAX(0,(IF(6-(INT((Ipotesi!$C$91)/30))&lt;1,0,INDEX(Motore_Operativo!$BN$65:$BN$124,MAX(1,6-(INT((Ipotesi!$C$91)/30)))))*(1-(MOD((Ipotesi!$C$91),30)/30))+IF(6-(INT((Ipotesi!$C$91)/30))-1&lt;1,0,INDEX(Motore_Operativo!$BN$65:$BN$124,MAX(1,6-(INT((Ipotesi!$C$91)/30))-1)))*(MOD((Ipotesi!$C$91),30)/30)))*Piano_SS!$D$7,0))</f>
        <v>0</v>
      </c>
      <c r="BX70" s="15" t="n">
        <f aca="false">MIN(Piano_SS!$C$8,(BX69)+IF(AND(Motore_Operativo!C70&gt;=EDATE(Parametri_v3!$C$24,Ipotesi!D14*12),Motore_Operativo!C70&lt;EDATE(Parametri_v3!$C$24,Parametri_v3!$C$25+Ipotesi!D14*12)),MAX(0,Motore_Operativo!CE70)*Piano_SS!$D$8,0))</f>
        <v>0</v>
      </c>
      <c r="BY70" s="15" t="n">
        <f aca="false">MIN(Piano_SS!$C$9,(BY69)+IF(AND(Motore_Operativo!C70&gt;=EDATE(Parametri_v3!$C$24,Ipotesi!D14*12),Motore_Operativo!C70&lt;EDATE(Parametri_v3!$C$24,Parametri_v3!$C$25+Ipotesi!D14*12)),MAX(0,((IF(6-(INT((Ipotesi!$C$91)/30))&lt;1,0,INDEX(Motore_Operativo!$BQ$65:$BQ$124,MAX(1,6-(INT((Ipotesi!$C$91)/30)))))*(1-(MOD((Ipotesi!$C$91),30)/30))+IF(6-(INT((Ipotesi!$C$91)/30))-1&lt;1,0,INDEX(Motore_Operativo!$BQ$65:$BQ$124,MAX(1,6-(INT((Ipotesi!$C$91)/30))-1)))*(MOD((Ipotesi!$C$91),30)/30))+(IF(6-(INT((Ipotesi!$C$91)/30))&lt;1,0,INDEX(Motore_Operativo!$BR$65:$BR$124,MAX(1,6-(INT((Ipotesi!$C$91)/30)))))*(1-(MOD((Ipotesi!$C$91),30)/30))+IF(6-(INT((Ipotesi!$C$91)/30))-1&lt;1,0,INDEX(Motore_Operativo!$BR$65:$BR$124,MAX(1,6-(INT((Ipotesi!$C$91)/30))-1)))*(MOD((Ipotesi!$C$91),30)/30))))*Piano_SS!$D$9,0))</f>
        <v>0</v>
      </c>
      <c r="BZ70" s="15" t="n">
        <f aca="false">MIN(Piano_SS!$C$10,(BZ69)+IF(AND(Motore_Operativo!C70&gt;=EDATE(Parametri_v3!$C$24,Ipotesi!D14*12),Motore_Operativo!C70&lt;EDATE(Parametri_v3!$C$24,Parametri_v3!$C$25+Ipotesi!D14*12)),MAX(0,(IF(6-(INT((Ipotesi!$C$91)/30))&lt;1,0,INDEX(Motore_Operativo!$BO$65:$BO$124,MAX(1,6-(INT((Ipotesi!$C$91)/30)))))*(1-(MOD((Ipotesi!$C$91),30)/30))+IF(6-(INT((Ipotesi!$C$91)/30))-1&lt;1,0,INDEX(Motore_Operativo!$BO$65:$BO$124,MAX(1,6-(INT((Ipotesi!$C$91)/30))-1)))*(MOD((Ipotesi!$C$91),30)/30)))*Piano_SS!$D$10,0))</f>
        <v>0</v>
      </c>
      <c r="CA70" s="15" t="n">
        <f aca="false">SUM(BV70:BZ70)</f>
        <v>0</v>
      </c>
      <c r="CB70" s="15" t="n">
        <f aca="false">BV70*(1-Piano_SS!$E$6)+BW70*(1-Piano_SS!$E$7)+BX70*(1-Piano_SS!$E$8)+BY70*(1-Piano_SS!$E$9)+BZ70*(1-Piano_SS!$E$10)</f>
        <v>0</v>
      </c>
      <c r="CC70" s="15" t="n">
        <f aca="false">(CC69)+BA70</f>
        <v>0</v>
      </c>
      <c r="CD70" s="15" t="n">
        <f aca="false">IF(CA70=0,0,CC70*CB70/CA70*Ipotesi!$C$103*Parametri_v3!$C$64)</f>
        <v>0</v>
      </c>
      <c r="CE70" s="18" t="n">
        <f aca="false">IF(BA70&gt;0,Motore_Operativo!C70,(CE69))</f>
        <v>0</v>
      </c>
      <c r="CF70" s="18" t="n">
        <f aca="false">IF(AND(CC70&gt;0,OR(CC70&gt;=CG70-0.01,Motore_Operativo!C70&gt;=EDATE(MAX(Finanziamenti!$D$15:$D$17),Ipotesi!D14*12))),CE70,0)</f>
        <v>0</v>
      </c>
      <c r="CG70" s="15" t="n">
        <f aca="false">IF(AND(2&lt;&gt;6,2&lt;&gt;9,Finanziamenti!$F$11=1,OR(Parametri_v3!$C$6=0,Finanziamenti!$E$11=1)),MIN(Finanziamenti!$C$11,Piano_SS!$C$12*Ipotesi!$C$102),0)</f>
        <v>400000</v>
      </c>
      <c r="CH70" s="15" t="n">
        <f aca="false">IF(AND(AND(2&lt;&gt;8,2&lt;&gt;9,Finanziamenti!$F$10=1,OR(Parametri_v3!$C$6=0,Finanziamenti!$E$10=1)),Motore_Operativo!C70&gt;=Finanziamenti!$D$10,Motore_Operativo!C70&lt;Parametri_v3!$C$63),Finanziamenti!$C$10,0)</f>
        <v>150000</v>
      </c>
    </row>
    <row r="71" customFormat="false" ht="18" hidden="false" customHeight="true" outlineLevel="0" collapsed="false">
      <c r="A71" s="68" t="n">
        <f aca="false">2</f>
        <v>2</v>
      </c>
      <c r="B71" s="68" t="n">
        <f aca="false">7</f>
        <v>7</v>
      </c>
      <c r="C71" s="18" t="n">
        <f aca="false">Motore_Operativo!C71</f>
        <v>46569</v>
      </c>
      <c r="D71" s="68" t="n">
        <f aca="false">Motore_Operativo!D71</f>
        <v>2027</v>
      </c>
      <c r="E71" s="68" t="n">
        <f aca="false">Motore_Operativo!E71</f>
        <v>7</v>
      </c>
      <c r="F71" s="15" t="n">
        <f aca="false">Motore_Operativo!AQ71+Motore_Operativo!BF71</f>
        <v>7824.07407407408</v>
      </c>
      <c r="G71" s="15" t="n">
        <f aca="false">Motore_Operativo!BH71</f>
        <v>1621.05263157895</v>
      </c>
      <c r="H71" s="15" t="n">
        <f aca="false">Motore_Operativo!BI71</f>
        <v>9445.12670565302</v>
      </c>
      <c r="I71" s="15" t="n">
        <f aca="false">Motore_Operativo!CA71</f>
        <v>27783.5852826511</v>
      </c>
      <c r="J71" s="15" t="n">
        <f aca="false">Motore_Operativo!CC71</f>
        <v>-18338.458576998</v>
      </c>
      <c r="K71" s="15" t="n">
        <f aca="false">Motore_Operativo!CE71</f>
        <v>1666.66666666667</v>
      </c>
      <c r="L71" s="15" t="n">
        <f aca="false">SUM(INDEX($K$65:$K$124,MAX(1,7-Parametri_v3!$C$59+1)):K71)/Parametri_v3!$C$59</f>
        <v>324.074074074074</v>
      </c>
      <c r="M71" s="15" t="n">
        <f aca="false">J71-L71</f>
        <v>-18662.5326510721</v>
      </c>
      <c r="N71" s="15" t="n">
        <f aca="false">CD71-(CD70)</f>
        <v>0</v>
      </c>
      <c r="O71" s="15" t="n">
        <f aca="false">(BG70)*Ipotesi!$C$110/12+CH71*Parametri_v3!$C$39/12</f>
        <v>93.1349176803119</v>
      </c>
      <c r="P71" s="15" t="n">
        <f aca="false">M71+N71-O71</f>
        <v>-18755.6675687524</v>
      </c>
      <c r="Q71" s="15" t="n">
        <f aca="false">SUM(P65:P71)+Parametri_v3!$C$54*7/12</f>
        <v>-131072.530141852</v>
      </c>
      <c r="R71" s="15" t="n">
        <f aca="false">0</f>
        <v>0</v>
      </c>
      <c r="S71" s="15" t="n">
        <f aca="false">0</f>
        <v>0</v>
      </c>
      <c r="T71" s="15" t="n">
        <f aca="false">MIN(R71,MAX(0,Q71))</f>
        <v>0</v>
      </c>
      <c r="U71" s="15" t="n">
        <f aca="false">MIN(S71,MAX(0,Q71-T71)*Parametri_v3!$C$42)</f>
        <v>0</v>
      </c>
      <c r="V71" s="15" t="n">
        <f aca="false">MAX(0,Q71-T71-U71)*Ipotesi!$C$92</f>
        <v>0</v>
      </c>
      <c r="W71" s="15" t="n">
        <f aca="false">MAX(0,SUM(M65:M71)+Parametri_v3!$C$55*7/12)*Ipotesi!$C$93</f>
        <v>0</v>
      </c>
      <c r="X71" s="15" t="n">
        <f aca="false">V71+W71-(V70+W70)</f>
        <v>0</v>
      </c>
      <c r="Y71" s="15" t="n">
        <f aca="false">P71-X71</f>
        <v>-18755.6675687524</v>
      </c>
      <c r="Z71" s="15" t="n">
        <f aca="false">R71-T71+IF(AND(Parametri_v3!$C$40=1,D71-YEAR(Parametri_v3!$C$50)&lt;Parametri_v3!$C$41),MAX(0,-Q71),0)</f>
        <v>131072.530141852</v>
      </c>
      <c r="AA71" s="15" t="n">
        <f aca="false">S71-U71+IF(AND(Parametri_v3!$C$40=1,D71-YEAR(Parametri_v3!$C$50)&lt;Parametri_v3!$C$41),0,MAX(0,-Q71))</f>
        <v>0</v>
      </c>
      <c r="AB71" s="15" t="n">
        <f aca="false">F71*(1+Parametri_v3!$C$26)</f>
        <v>9545.37037037037</v>
      </c>
      <c r="AC71" s="15" t="n">
        <f aca="false">(IF(7-(INT((Motore_Operativo!L71)/30))&lt;1,0,INDEX(Motore_Startup!$AB$65:$AB$124,MAX(1,7-(INT((Motore_Operativo!L71)/30)))))*(1-(MOD((Motore_Operativo!L71),30)/30))+IF(7-(INT((Motore_Operativo!L71)/30))-1&lt;1,0,INDEX(Motore_Startup!$AB$65:$AB$124,MAX(1,7-(INT((Motore_Operativo!L71)/30))-1)))*(MOD((Motore_Operativo!L71),30)/30))</f>
        <v>9206.48148148148</v>
      </c>
      <c r="AD71" s="15" t="n">
        <f aca="false">(AD70)+AB71-AC71</f>
        <v>28297.2222222222</v>
      </c>
      <c r="AE71" s="15" t="n">
        <f aca="false">Motore_Operativo!BH71*(1+Parametri_v3!$C$26)</f>
        <v>1977.68421052632</v>
      </c>
      <c r="AF71" s="15" t="n">
        <f aca="false">(IF(7-(INT((Parametri_v3!$C$29)/30))&lt;1,0,INDEX(Motore_Operativo!$BH$65:$BH$124,MAX(1,7-(INT((Parametri_v3!$C$29)/30)))))*(1-(MOD((Parametri_v3!$C$29),30)/30))+IF(7-(INT((Parametri_v3!$C$29)/30))-1&lt;1,0,INDEX(Motore_Operativo!$BH$65:$BH$124,MAX(1,7-(INT((Parametri_v3!$C$29)/30))-1)))*(MOD((Parametri_v3!$C$29),30)/30))*(1+Parametri_v3!$C$26)</f>
        <v>1977.68421052632</v>
      </c>
      <c r="AG71" s="15" t="n">
        <f aca="false">(AG70)+AE71-AF71</f>
        <v>1977.68421052632</v>
      </c>
      <c r="AH71" s="15" t="n">
        <f aca="false">(Motore_Operativo!CJ71)*(1+Parametri_v3!$C$27*Parametri_v3!$C$26)</f>
        <v>11712.0323971735</v>
      </c>
      <c r="AI71" s="15" t="n">
        <f aca="false">(IF(7-(INT((Ipotesi!$C$91)/30))&lt;1,0,INDEX(Motore_Startup!$AH$65:$AH$124,MAX(1,7-(INT((Ipotesi!$C$91)/30)))))*(1-(MOD((Ipotesi!$C$91),30)/30))+IF(7-(INT((Ipotesi!$C$91)/30))-1&lt;1,0,INDEX(Motore_Startup!$AH$65:$AH$124,MAX(1,7-(INT((Ipotesi!$C$91)/30))-1)))*(MOD((Ipotesi!$C$91),30)/30))</f>
        <v>11681.2583230994</v>
      </c>
      <c r="AJ71" s="15" t="n">
        <f aca="false">(AJ70)+AH71-AI71</f>
        <v>23408.6777573099</v>
      </c>
      <c r="AK71" s="15" t="n">
        <f aca="false">(F71+ Motore_Operativo!BH71-(Motore_Operativo!CJ71)*Parametri_v3!$C$27-Motore_Operativo!CE71)*Parametri_v3!$C$26</f>
        <v>-133.852572612085</v>
      </c>
      <c r="AL71" s="15" t="n">
        <f aca="false">MAX(0,(AM70))</f>
        <v>0</v>
      </c>
      <c r="AM71" s="15" t="n">
        <f aca="false">(AM70)+AK71-AL71</f>
        <v>-1233.08189717349</v>
      </c>
      <c r="AN71" s="15" t="n">
        <f aca="false">0</f>
        <v>0</v>
      </c>
      <c r="AO71" s="15" t="n">
        <f aca="false">0</f>
        <v>0</v>
      </c>
      <c r="AP71" s="15" t="n">
        <f aca="false">MAX(0,AN71)*IF(7=Parametri_v3!$C$43,Parametri_v3!$C$45,IF(7=Parametri_v3!$C$44,1-Parametri_v3!$C$45,0))</f>
        <v>0</v>
      </c>
      <c r="AQ71" s="15" t="n">
        <f aca="false">MAX(0,AP71+IF(7=Parametri_v3!$C$43,MAX(0,AN71-AO71),0)-MAX(0,-(AR70)))</f>
        <v>0</v>
      </c>
      <c r="AR71" s="15" t="n">
        <f aca="false">(AR70)+X71-AQ71</f>
        <v>0</v>
      </c>
      <c r="AS71" s="15" t="n">
        <f aca="false">Motore_Operativo!AB71-AT71+AU71</f>
        <v>17020.8333333333</v>
      </c>
      <c r="AT71" s="15" t="n">
        <f aca="false">Motore_Operativo!CH71</f>
        <v>895.833333333334</v>
      </c>
      <c r="AU71" s="15" t="n">
        <f aca="false">MIN(MAX(0,(AV70)+AT71),Parametri_v3!$C$60/12)</f>
        <v>0</v>
      </c>
      <c r="AV71" s="15" t="n">
        <f aca="false">(AV70)+AT71-AU71</f>
        <v>6270.83333333334</v>
      </c>
      <c r="AW71" s="15" t="n">
        <f aca="false">IF(AND(Motore_Operativo!C71=Finanziamenti!$D$6,Finanziamenti!$F$6=1),Finanziamenti!$C$6,0)</f>
        <v>0</v>
      </c>
      <c r="AX71" s="15" t="n">
        <f aca="false">IF(AND(2&lt;&gt;7,2&lt;&gt;9,Finanziamenti!$F$8=1,OR(Parametri_v3!$C$6=0,Finanziamenti!$E$8=1),Motore_Operativo!C71=EDATE(Finanziamenti!$D$8,Ipotesi!D15*12)),Finanziamenti!$C$8*1,0)+IF(AND(2&lt;&gt;7,2&lt;&gt;9,Finanziamenti!$F$9=1,OR(Parametri_v3!$C$6=0,Finanziamenti!$E$9=1),Motore_Operativo!C71=EDATE(Finanziamenti!$D$9,Ipotesi!D15*12)),Finanziamenti!$C$9*Ipotesi!D16,0)</f>
        <v>0</v>
      </c>
      <c r="AY71" s="15" t="n">
        <f aca="false">0</f>
        <v>0</v>
      </c>
      <c r="AZ71" s="15" t="n">
        <f aca="false">Motore_Advisory!AY71*(1-Ipotesi!$C$95)*Ipotesi!$C$96</f>
        <v>0</v>
      </c>
      <c r="BA71" s="15" t="n">
        <f aca="false">MAX(0,MIN(CG71*MIN(1,IF(Motore_Operativo!C71&gt;=EDATE(Finanziamenti!$D$15,Ipotesi!D14*12),Finanziamenti!$C$15,0)+IF(Motore_Operativo!C71&gt;=EDATE(Finanziamenti!$D$16,Ipotesi!D14*12),Finanziamenti!$C$16,0)+IF(Motore_Operativo!C71&gt;=EDATE(Finanziamenti!$D$17,Ipotesi!D14*12),Finanziamenti!$C$17,0)),CA71*Ipotesi!$C$102)-(CC70))</f>
        <v>0</v>
      </c>
      <c r="BB71" s="15" t="n">
        <f aca="false">IF(AND(CF71&gt;0,Motore_Operativo!C71&gt;=IF(CF71=0,0,EDATE(CF71,Parametri_v3!$C$37)),MOD(((D71-YEAR(IF(CF71=0,0,EDATE(CF71,Parametri_v3!$C$37))))*12+E71-MONTH(IF(CF71=0,0,EDATE(CF71,Parametri_v3!$C$37)))),Parametri_v3!$C$38)=0),MIN(MAX(0,(BC70)+BA71-N71),(CC71-CD71)/(Ipotesi!$C$108*12/Parametri_v3!$C$38)),0)</f>
        <v>0</v>
      </c>
      <c r="BC71" s="15" t="n">
        <f aca="false">(BC70)+BA71-N71-BB71</f>
        <v>0</v>
      </c>
      <c r="BD71" s="15" t="n">
        <f aca="false">(BH70)+AC71+AF71-AI71-AS71-K71*(1+Parametri_v3!$C$26)-AL71-AQ71-O71+AW71+AX71+AZ71+BA71-BB71</f>
        <v>5355.6057845614</v>
      </c>
      <c r="BE71" s="15" t="n">
        <f aca="false">MAX(0,MIN(MAX(0,CH71-(BG70)),Parametri_v3!$C$30-BD71))</f>
        <v>19644.3942154386</v>
      </c>
      <c r="BF71" s="15" t="n">
        <f aca="false">IF(Motore_Operativo!C71&gt;=Parametri_v3!$C$63,(BG70),MIN((BG70),MAX(0,BD71-Parametri_v3!$C$30)))</f>
        <v>0</v>
      </c>
      <c r="BG71" s="15" t="n">
        <f aca="false">(BG70)+BE71-BF71</f>
        <v>38271.377751501</v>
      </c>
      <c r="BH71" s="15" t="n">
        <f aca="false">BD71+BE71-BF71-AY71</f>
        <v>25000</v>
      </c>
      <c r="BI71" s="15" t="n">
        <f aca="false">MAX(0,Parametri_v3!$C$30-BH71)</f>
        <v>0</v>
      </c>
      <c r="BJ71" s="15" t="n">
        <f aca="false">(BJ70)+K71</f>
        <v>11666.6666666667</v>
      </c>
      <c r="BK71" s="15" t="n">
        <f aca="false">(BK70)+L71</f>
        <v>1296.2962962963</v>
      </c>
      <c r="BL71" s="15" t="n">
        <f aca="false">BJ71-BK71</f>
        <v>10370.3703703704</v>
      </c>
      <c r="BM71" s="15" t="n">
        <f aca="false">(BM70)+Y71</f>
        <v>-131072.530141852</v>
      </c>
      <c r="BN71" s="15" t="n">
        <f aca="false">(BN70)+AW71+AX71+AZ71</f>
        <v>130000</v>
      </c>
      <c r="BO71" s="15" t="n">
        <f aca="false">(BO70)+AY71</f>
        <v>0</v>
      </c>
      <c r="BP71" s="15" t="n">
        <f aca="false">0</f>
        <v>0</v>
      </c>
      <c r="BQ71" s="15" t="n">
        <f aca="false">BN71+BM71-BO71</f>
        <v>-1072.53014185184</v>
      </c>
      <c r="BR71" s="15" t="n">
        <f aca="false">BH71+AD71+BL71+MAX(0,-AM71)+MAX(0,-AR71)+AG71</f>
        <v>66878.3587002924</v>
      </c>
      <c r="BS71" s="15" t="n">
        <f aca="false">AJ71+AV71+MAX(0,AM71)+MAX(0,AR71)+BC71+BG71+BQ71</f>
        <v>66878.3587002924</v>
      </c>
      <c r="BT71" s="15" t="n">
        <f aca="false">BR71-BS71</f>
        <v>0</v>
      </c>
      <c r="BU71" s="15" t="n">
        <f aca="false">BH71-(BD71+BE71-BF71-AY71)</f>
        <v>0</v>
      </c>
      <c r="BV71" s="15" t="n">
        <f aca="false">MIN(Piano_SS!$C$6,(BV70)+IF(AND(Motore_Operativo!C71&gt;=EDATE(Parametri_v3!$C$24,Ipotesi!D14*12),Motore_Operativo!C71&lt;EDATE(Parametri_v3!$C$24,Parametri_v3!$C$25+Ipotesi!D14*12)),MAX(0,(Motore_Operativo!Y71+Motore_Operativo!X71*Parametri_v3!$C$14)*(1-Parametri_v3!$C$32))*Piano_SS!$D$6,0))</f>
        <v>4750</v>
      </c>
      <c r="BW71" s="15" t="n">
        <f aca="false">MIN(Piano_SS!$C$7,(BW70)+IF(AND(Motore_Operativo!C71&gt;=EDATE(Parametri_v3!$C$24,Ipotesi!D14*12),Motore_Operativo!C71&lt;EDATE(Parametri_v3!$C$24,Parametri_v3!$C$25+Ipotesi!D14*12)),MAX(0,(IF(7-(INT((Ipotesi!$C$91)/30))&lt;1,0,INDEX(Motore_Operativo!$BN$65:$BN$124,MAX(1,7-(INT((Ipotesi!$C$91)/30)))))*(1-(MOD((Ipotesi!$C$91),30)/30))+IF(7-(INT((Ipotesi!$C$91)/30))-1&lt;1,0,INDEX(Motore_Operativo!$BN$65:$BN$124,MAX(1,7-(INT((Ipotesi!$C$91)/30))-1)))*(MOD((Ipotesi!$C$91),30)/30)))*Piano_SS!$D$7,0))</f>
        <v>1261.11111111111</v>
      </c>
      <c r="BX71" s="15" t="n">
        <f aca="false">MIN(Piano_SS!$C$8,(BX70)+IF(AND(Motore_Operativo!C71&gt;=EDATE(Parametri_v3!$C$24,Ipotesi!D14*12),Motore_Operativo!C71&lt;EDATE(Parametri_v3!$C$24,Parametri_v3!$C$25+Ipotesi!D14*12)),MAX(0,Motore_Operativo!CE71)*Piano_SS!$D$8,0))</f>
        <v>1666.66666666667</v>
      </c>
      <c r="BY71" s="15" t="n">
        <f aca="false">MIN(Piano_SS!$C$9,(BY70)+IF(AND(Motore_Operativo!C71&gt;=EDATE(Parametri_v3!$C$24,Ipotesi!D14*12),Motore_Operativo!C71&lt;EDATE(Parametri_v3!$C$24,Parametri_v3!$C$25+Ipotesi!D14*12)),MAX(0,((IF(7-(INT((Ipotesi!$C$91)/30))&lt;1,0,INDEX(Motore_Operativo!$BQ$65:$BQ$124,MAX(1,7-(INT((Ipotesi!$C$91)/30)))))*(1-(MOD((Ipotesi!$C$91),30)/30))+IF(7-(INT((Ipotesi!$C$91)/30))-1&lt;1,0,INDEX(Motore_Operativo!$BQ$65:$BQ$124,MAX(1,7-(INT((Ipotesi!$C$91)/30))-1)))*(MOD((Ipotesi!$C$91),30)/30))+(IF(7-(INT((Ipotesi!$C$91)/30))&lt;1,0,INDEX(Motore_Operativo!$BR$65:$BR$124,MAX(1,7-(INT((Ipotesi!$C$91)/30)))))*(1-(MOD((Ipotesi!$C$91),30)/30))+IF(7-(INT((Ipotesi!$C$91)/30))-1&lt;1,0,INDEX(Motore_Operativo!$BR$65:$BR$124,MAX(1,7-(INT((Ipotesi!$C$91)/30))-1)))*(MOD((Ipotesi!$C$91),30)/30))))*Piano_SS!$D$9,0))</f>
        <v>2250</v>
      </c>
      <c r="BZ71" s="15" t="n">
        <f aca="false">MIN(Piano_SS!$C$10,(BZ70)+IF(AND(Motore_Operativo!C71&gt;=EDATE(Parametri_v3!$C$24,Ipotesi!D14*12),Motore_Operativo!C71&lt;EDATE(Parametri_v3!$C$24,Parametri_v3!$C$25+Ipotesi!D14*12)),MAX(0,(IF(7-(INT((Ipotesi!$C$91)/30))&lt;1,0,INDEX(Motore_Operativo!$BO$65:$BO$124,MAX(1,7-(INT((Ipotesi!$C$91)/30)))))*(1-(MOD((Ipotesi!$C$91),30)/30))+IF(7-(INT((Ipotesi!$C$91)/30))-1&lt;1,0,INDEX(Motore_Operativo!$BO$65:$BO$124,MAX(1,7-(INT((Ipotesi!$C$91)/30))-1)))*(MOD((Ipotesi!$C$91),30)/30)))*Piano_SS!$D$10,0))</f>
        <v>1000</v>
      </c>
      <c r="CA71" s="15" t="n">
        <f aca="false">SUM(BV71:BZ71)</f>
        <v>10927.7777777778</v>
      </c>
      <c r="CB71" s="15" t="n">
        <f aca="false">BV71*(1-Piano_SS!$E$6)+BW71*(1-Piano_SS!$E$7)+BX71*(1-Piano_SS!$E$8)+BY71*(1-Piano_SS!$E$9)+BZ71*(1-Piano_SS!$E$10)</f>
        <v>9927.77777777778</v>
      </c>
      <c r="CC71" s="15" t="n">
        <f aca="false">(CC70)+BA71</f>
        <v>0</v>
      </c>
      <c r="CD71" s="15" t="n">
        <f aca="false">IF(CA71=0,0,CC71*CB71/CA71*Ipotesi!$C$103*Parametri_v3!$C$64)</f>
        <v>0</v>
      </c>
      <c r="CE71" s="18" t="n">
        <f aca="false">IF(BA71&gt;0,Motore_Operativo!C71,(CE70))</f>
        <v>0</v>
      </c>
      <c r="CF71" s="18" t="n">
        <f aca="false">IF(AND(CC71&gt;0,OR(CC71&gt;=CG71-0.01,Motore_Operativo!C71&gt;=EDATE(MAX(Finanziamenti!$D$15:$D$17),Ipotesi!D14*12))),CE71,0)</f>
        <v>0</v>
      </c>
      <c r="CG71" s="15" t="n">
        <f aca="false">IF(AND(2&lt;&gt;6,2&lt;&gt;9,Finanziamenti!$F$11=1,OR(Parametri_v3!$C$6=0,Finanziamenti!$E$11=1)),MIN(Finanziamenti!$C$11,Piano_SS!$C$12*Ipotesi!$C$102),0)</f>
        <v>400000</v>
      </c>
      <c r="CH71" s="15" t="n">
        <f aca="false">IF(AND(AND(2&lt;&gt;8,2&lt;&gt;9,Finanziamenti!$F$10=1,OR(Parametri_v3!$C$6=0,Finanziamenti!$E$10=1)),Motore_Operativo!C71&gt;=Finanziamenti!$D$10,Motore_Operativo!C71&lt;Parametri_v3!$C$63),Finanziamenti!$C$10,0)</f>
        <v>150000</v>
      </c>
    </row>
    <row r="72" customFormat="false" ht="18" hidden="false" customHeight="true" outlineLevel="0" collapsed="false">
      <c r="A72" s="68" t="n">
        <f aca="false">2</f>
        <v>2</v>
      </c>
      <c r="B72" s="68" t="n">
        <f aca="false">8</f>
        <v>8</v>
      </c>
      <c r="C72" s="18" t="n">
        <f aca="false">Motore_Operativo!C72</f>
        <v>46600</v>
      </c>
      <c r="D72" s="68" t="n">
        <f aca="false">Motore_Operativo!D72</f>
        <v>2027</v>
      </c>
      <c r="E72" s="68" t="n">
        <f aca="false">Motore_Operativo!E72</f>
        <v>8</v>
      </c>
      <c r="F72" s="15" t="n">
        <f aca="false">Motore_Operativo!AQ72+Motore_Operativo!BF72</f>
        <v>7916.66666666667</v>
      </c>
      <c r="G72" s="15" t="n">
        <f aca="false">Motore_Operativo!BH72</f>
        <v>1621.05263157895</v>
      </c>
      <c r="H72" s="15" t="n">
        <f aca="false">Motore_Operativo!BI72</f>
        <v>9537.71929824561</v>
      </c>
      <c r="I72" s="15" t="n">
        <f aca="false">Motore_Operativo!CA72</f>
        <v>27796.548245614</v>
      </c>
      <c r="J72" s="15" t="n">
        <f aca="false">Motore_Operativo!CC72</f>
        <v>-18258.8289473684</v>
      </c>
      <c r="K72" s="15" t="n">
        <f aca="false">Motore_Operativo!CE72</f>
        <v>1666.66666666667</v>
      </c>
      <c r="L72" s="15" t="n">
        <f aca="false">SUM(INDEX($K$65:$K$124,MAX(1,8-Parametri_v3!$C$59+1)):K72)/Parametri_v3!$C$59</f>
        <v>370.37037037037</v>
      </c>
      <c r="M72" s="15" t="n">
        <f aca="false">J72-L72</f>
        <v>-18629.1993177388</v>
      </c>
      <c r="N72" s="15" t="n">
        <f aca="false">CD72-(CD71)</f>
        <v>0</v>
      </c>
      <c r="O72" s="15" t="n">
        <f aca="false">(BG71)*Ipotesi!$C$110/12+CH72*Parametri_v3!$C$39/12</f>
        <v>191.356888757505</v>
      </c>
      <c r="P72" s="15" t="n">
        <f aca="false">M72+N72-O72</f>
        <v>-18820.5562064963</v>
      </c>
      <c r="Q72" s="15" t="n">
        <f aca="false">SUM(P65:P72)+Parametri_v3!$C$54*8/12</f>
        <v>-149893.086348348</v>
      </c>
      <c r="R72" s="15" t="n">
        <f aca="false">0</f>
        <v>0</v>
      </c>
      <c r="S72" s="15" t="n">
        <f aca="false">0</f>
        <v>0</v>
      </c>
      <c r="T72" s="15" t="n">
        <f aca="false">MIN(R72,MAX(0,Q72))</f>
        <v>0</v>
      </c>
      <c r="U72" s="15" t="n">
        <f aca="false">MIN(S72,MAX(0,Q72-T72)*Parametri_v3!$C$42)</f>
        <v>0</v>
      </c>
      <c r="V72" s="15" t="n">
        <f aca="false">MAX(0,Q72-T72-U72)*Ipotesi!$C$92</f>
        <v>0</v>
      </c>
      <c r="W72" s="15" t="n">
        <f aca="false">MAX(0,SUM(M65:M72)+Parametri_v3!$C$55*8/12)*Ipotesi!$C$93</f>
        <v>0</v>
      </c>
      <c r="X72" s="15" t="n">
        <f aca="false">V72+W72-(V71+W71)</f>
        <v>0</v>
      </c>
      <c r="Y72" s="15" t="n">
        <f aca="false">P72-X72</f>
        <v>-18820.5562064963</v>
      </c>
      <c r="Z72" s="15" t="n">
        <f aca="false">R72-T72+IF(AND(Parametri_v3!$C$40=1,D72-YEAR(Parametri_v3!$C$50)&lt;Parametri_v3!$C$41),MAX(0,-Q72),0)</f>
        <v>149893.086348348</v>
      </c>
      <c r="AA72" s="15" t="n">
        <f aca="false">S72-U72+IF(AND(Parametri_v3!$C$40=1,D72-YEAR(Parametri_v3!$C$50)&lt;Parametri_v3!$C$41),0,MAX(0,-Q72))</f>
        <v>0</v>
      </c>
      <c r="AB72" s="15" t="n">
        <f aca="false">F72*(1+Parametri_v3!$C$26)</f>
        <v>9658.33333333333</v>
      </c>
      <c r="AC72" s="15" t="n">
        <f aca="false">(IF(8-(INT((Motore_Operativo!L72)/30))&lt;1,0,INDEX(Motore_Startup!$AB$65:$AB$124,MAX(1,8-(INT((Motore_Operativo!L72)/30)))))*(1-(MOD((Motore_Operativo!L72),30)/30))+IF(8-(INT((Motore_Operativo!L72)/30))-1&lt;1,0,INDEX(Motore_Startup!$AB$65:$AB$124,MAX(1,8-(INT((Motore_Operativo!L72)/30))-1)))*(MOD((Motore_Operativo!L72),30)/30))</f>
        <v>9319.44444444445</v>
      </c>
      <c r="AD72" s="15" t="n">
        <f aca="false">(AD71)+AB72-AC72</f>
        <v>28636.1111111111</v>
      </c>
      <c r="AE72" s="15" t="n">
        <f aca="false">Motore_Operativo!BH72*(1+Parametri_v3!$C$26)</f>
        <v>1977.68421052632</v>
      </c>
      <c r="AF72" s="15" t="n">
        <f aca="false">(IF(8-(INT((Parametri_v3!$C$29)/30))&lt;1,0,INDEX(Motore_Operativo!$BH$65:$BH$124,MAX(1,8-(INT((Parametri_v3!$C$29)/30)))))*(1-(MOD((Parametri_v3!$C$29),30)/30))+IF(8-(INT((Parametri_v3!$C$29)/30))-1&lt;1,0,INDEX(Motore_Operativo!$BH$65:$BH$124,MAX(1,8-(INT((Parametri_v3!$C$29)/30))-1)))*(MOD((Parametri_v3!$C$29),30)/30))*(1+Parametri_v3!$C$26)</f>
        <v>1977.68421052632</v>
      </c>
      <c r="AG72" s="15" t="n">
        <f aca="false">(AG71)+AE72-AF72</f>
        <v>1977.68421052632</v>
      </c>
      <c r="AH72" s="15" t="n">
        <f aca="false">(Motore_Operativo!CJ72)*(1+Parametri_v3!$C$27*Parametri_v3!$C$26)</f>
        <v>11727.4194342105</v>
      </c>
      <c r="AI72" s="15" t="n">
        <f aca="false">(IF(8-(INT((Ipotesi!$C$91)/30))&lt;1,0,INDEX(Motore_Startup!$AH$65:$AH$124,MAX(1,8-(INT((Ipotesi!$C$91)/30)))))*(1-(MOD((Ipotesi!$C$91),30)/30))+IF(8-(INT((Ipotesi!$C$91)/30))-1&lt;1,0,INDEX(Motore_Startup!$AH$65:$AH$124,MAX(1,8-(INT((Ipotesi!$C$91)/30))-1)))*(MOD((Ipotesi!$C$91),30)/30))</f>
        <v>11696.6453601365</v>
      </c>
      <c r="AJ72" s="15" t="n">
        <f aca="false">(AJ71)+AH72-AI72</f>
        <v>23439.451831384</v>
      </c>
      <c r="AK72" s="15" t="n">
        <f aca="false">(F72+ Motore_Operativo!BH72-(Motore_Operativo!CJ72)*Parametri_v3!$C$27-Motore_Operativo!CE72)*Parametri_v3!$C$26</f>
        <v>-115.906276315789</v>
      </c>
      <c r="AL72" s="15" t="n">
        <f aca="false">MAX(0,(AM71))</f>
        <v>0</v>
      </c>
      <c r="AM72" s="15" t="n">
        <f aca="false">(AM71)+AK72-AL72</f>
        <v>-1348.98817348927</v>
      </c>
      <c r="AN72" s="15" t="n">
        <f aca="false">0</f>
        <v>0</v>
      </c>
      <c r="AO72" s="15" t="n">
        <f aca="false">0</f>
        <v>0</v>
      </c>
      <c r="AP72" s="15" t="n">
        <f aca="false">MAX(0,AN72)*IF(8=Parametri_v3!$C$43,Parametri_v3!$C$45,IF(8=Parametri_v3!$C$44,1-Parametri_v3!$C$45,0))</f>
        <v>0</v>
      </c>
      <c r="AQ72" s="15" t="n">
        <f aca="false">MAX(0,AP72+IF(8=Parametri_v3!$C$43,MAX(0,AN72-AO72),0)-MAX(0,-(AR71)))</f>
        <v>0</v>
      </c>
      <c r="AR72" s="15" t="n">
        <f aca="false">(AR71)+X72-AQ72</f>
        <v>0</v>
      </c>
      <c r="AS72" s="15" t="n">
        <f aca="false">Motore_Operativo!AB72-AT72+AU72</f>
        <v>17020.8333333333</v>
      </c>
      <c r="AT72" s="15" t="n">
        <f aca="false">Motore_Operativo!CH72</f>
        <v>895.833333333334</v>
      </c>
      <c r="AU72" s="15" t="n">
        <f aca="false">MIN(MAX(0,(AV71)+AT72),Parametri_v3!$C$60/12)</f>
        <v>0</v>
      </c>
      <c r="AV72" s="15" t="n">
        <f aca="false">(AV71)+AT72-AU72</f>
        <v>7166.66666666667</v>
      </c>
      <c r="AW72" s="15" t="n">
        <f aca="false">IF(AND(Motore_Operativo!C72=Finanziamenti!$D$6,Finanziamenti!$F$6=1),Finanziamenti!$C$6,0)</f>
        <v>0</v>
      </c>
      <c r="AX72" s="15" t="n">
        <f aca="false">IF(AND(2&lt;&gt;7,2&lt;&gt;9,Finanziamenti!$F$8=1,OR(Parametri_v3!$C$6=0,Finanziamenti!$E$8=1),Motore_Operativo!C72=EDATE(Finanziamenti!$D$8,Ipotesi!D15*12)),Finanziamenti!$C$8*1,0)+IF(AND(2&lt;&gt;7,2&lt;&gt;9,Finanziamenti!$F$9=1,OR(Parametri_v3!$C$6=0,Finanziamenti!$E$9=1),Motore_Operativo!C72=EDATE(Finanziamenti!$D$9,Ipotesi!D15*12)),Finanziamenti!$C$9*Ipotesi!D16,0)</f>
        <v>0</v>
      </c>
      <c r="AY72" s="15" t="n">
        <f aca="false">0</f>
        <v>0</v>
      </c>
      <c r="AZ72" s="15" t="n">
        <f aca="false">Motore_Advisory!AY72*(1-Ipotesi!$C$95)*Ipotesi!$C$96</f>
        <v>0</v>
      </c>
      <c r="BA72" s="15" t="n">
        <f aca="false">MAX(0,MIN(CG72*MIN(1,IF(Motore_Operativo!C72&gt;=EDATE(Finanziamenti!$D$15,Ipotesi!D14*12),Finanziamenti!$C$15,0)+IF(Motore_Operativo!C72&gt;=EDATE(Finanziamenti!$D$16,Ipotesi!D14*12),Finanziamenti!$C$16,0)+IF(Motore_Operativo!C72&gt;=EDATE(Finanziamenti!$D$17,Ipotesi!D14*12),Finanziamenti!$C$17,0)),CA72*Ipotesi!$C$102)-(CC71))</f>
        <v>0</v>
      </c>
      <c r="BB72" s="15" t="n">
        <f aca="false">IF(AND(CF72&gt;0,Motore_Operativo!C72&gt;=IF(CF72=0,0,EDATE(CF72,Parametri_v3!$C$37)),MOD(((D72-YEAR(IF(CF72=0,0,EDATE(CF72,Parametri_v3!$C$37))))*12+E72-MONTH(IF(CF72=0,0,EDATE(CF72,Parametri_v3!$C$37)))),Parametri_v3!$C$38)=0),MIN(MAX(0,(BC71)+BA72-N72),(CC72-CD72)/(Ipotesi!$C$108*12/Parametri_v3!$C$38)),0)</f>
        <v>0</v>
      </c>
      <c r="BC72" s="15" t="n">
        <f aca="false">(BC71)+BA72-N72-BB72</f>
        <v>0</v>
      </c>
      <c r="BD72" s="15" t="n">
        <f aca="false">(BH71)+AC72+AF72-AI72-AS72-K72*(1+Parametri_v3!$C$26)-AL72-AQ72-O72+AW72+AX72+AZ72+BA72-BB72</f>
        <v>5354.95973941014</v>
      </c>
      <c r="BE72" s="15" t="n">
        <f aca="false">MAX(0,MIN(MAX(0,CH72-(BG71)),Parametri_v3!$C$30-BD72))</f>
        <v>19645.0402605899</v>
      </c>
      <c r="BF72" s="15" t="n">
        <f aca="false">IF(Motore_Operativo!C72&gt;=Parametri_v3!$C$63,(BG71),MIN((BG71),MAX(0,BD72-Parametri_v3!$C$30)))</f>
        <v>0</v>
      </c>
      <c r="BG72" s="15" t="n">
        <f aca="false">(BG71)+BE72-BF72</f>
        <v>57916.4180120908</v>
      </c>
      <c r="BH72" s="15" t="n">
        <f aca="false">BD72+BE72-BF72-AY72</f>
        <v>25000</v>
      </c>
      <c r="BI72" s="15" t="n">
        <f aca="false">MAX(0,Parametri_v3!$C$30-BH72)</f>
        <v>0</v>
      </c>
      <c r="BJ72" s="15" t="n">
        <f aca="false">(BJ71)+K72</f>
        <v>13333.3333333333</v>
      </c>
      <c r="BK72" s="15" t="n">
        <f aca="false">(BK71)+L72</f>
        <v>1666.66666666667</v>
      </c>
      <c r="BL72" s="15" t="n">
        <f aca="false">BJ72-BK72</f>
        <v>11666.6666666667</v>
      </c>
      <c r="BM72" s="15" t="n">
        <f aca="false">(BM71)+Y72</f>
        <v>-149893.086348348</v>
      </c>
      <c r="BN72" s="15" t="n">
        <f aca="false">(BN71)+AW72+AX72+AZ72</f>
        <v>130000</v>
      </c>
      <c r="BO72" s="15" t="n">
        <f aca="false">(BO71)+AY72</f>
        <v>0</v>
      </c>
      <c r="BP72" s="15" t="n">
        <f aca="false">0</f>
        <v>0</v>
      </c>
      <c r="BQ72" s="15" t="n">
        <f aca="false">BN72+BM72-BO72</f>
        <v>-19893.0863483481</v>
      </c>
      <c r="BR72" s="15" t="n">
        <f aca="false">BH72+AD72+BL72+MAX(0,-AM72)+MAX(0,-AR72)+AG72</f>
        <v>68629.4501617934</v>
      </c>
      <c r="BS72" s="15" t="n">
        <f aca="false">AJ72+AV72+MAX(0,AM72)+MAX(0,AR72)+BC72+BG72+BQ72</f>
        <v>68629.4501617934</v>
      </c>
      <c r="BT72" s="15" t="n">
        <f aca="false">BR72-BS72</f>
        <v>0</v>
      </c>
      <c r="BU72" s="15" t="n">
        <f aca="false">BH72-(BD72+BE72-BF72-AY72)</f>
        <v>0</v>
      </c>
      <c r="BV72" s="15" t="n">
        <f aca="false">MIN(Piano_SS!$C$6,(BV71)+IF(AND(Motore_Operativo!C72&gt;=EDATE(Parametri_v3!$C$24,Ipotesi!D14*12),Motore_Operativo!C72&lt;EDATE(Parametri_v3!$C$24,Parametri_v3!$C$25+Ipotesi!D14*12)),MAX(0,(Motore_Operativo!Y72+Motore_Operativo!X72*Parametri_v3!$C$14)*(1-Parametri_v3!$C$32))*Piano_SS!$D$6,0))</f>
        <v>9500</v>
      </c>
      <c r="BW72" s="15" t="n">
        <f aca="false">MIN(Piano_SS!$C$7,(BW71)+IF(AND(Motore_Operativo!C72&gt;=EDATE(Parametri_v3!$C$24,Ipotesi!D14*12),Motore_Operativo!C72&lt;EDATE(Parametri_v3!$C$24,Parametri_v3!$C$25+Ipotesi!D14*12)),MAX(0,(IF(8-(INT((Ipotesi!$C$91)/30))&lt;1,0,INDEX(Motore_Operativo!$BN$65:$BN$124,MAX(1,8-(INT((Ipotesi!$C$91)/30)))))*(1-(MOD((Ipotesi!$C$91),30)/30))+IF(8-(INT((Ipotesi!$C$91)/30))-1&lt;1,0,INDEX(Motore_Operativo!$BN$65:$BN$124,MAX(1,8-(INT((Ipotesi!$C$91)/30))-1)))*(MOD((Ipotesi!$C$91),30)/30)))*Piano_SS!$D$7,0))</f>
        <v>2529.62962962963</v>
      </c>
      <c r="BX72" s="15" t="n">
        <f aca="false">MIN(Piano_SS!$C$8,(BX71)+IF(AND(Motore_Operativo!C72&gt;=EDATE(Parametri_v3!$C$24,Ipotesi!D14*12),Motore_Operativo!C72&lt;EDATE(Parametri_v3!$C$24,Parametri_v3!$C$25+Ipotesi!D14*12)),MAX(0,Motore_Operativo!CE72)*Piano_SS!$D$8,0))</f>
        <v>3333.33333333333</v>
      </c>
      <c r="BY72" s="15" t="n">
        <f aca="false">MIN(Piano_SS!$C$9,(BY71)+IF(AND(Motore_Operativo!C72&gt;=EDATE(Parametri_v3!$C$24,Ipotesi!D14*12),Motore_Operativo!C72&lt;EDATE(Parametri_v3!$C$24,Parametri_v3!$C$25+Ipotesi!D14*12)),MAX(0,((IF(8-(INT((Ipotesi!$C$91)/30))&lt;1,0,INDEX(Motore_Operativo!$BQ$65:$BQ$124,MAX(1,8-(INT((Ipotesi!$C$91)/30)))))*(1-(MOD((Ipotesi!$C$91),30)/30))+IF(8-(INT((Ipotesi!$C$91)/30))-1&lt;1,0,INDEX(Motore_Operativo!$BQ$65:$BQ$124,MAX(1,8-(INT((Ipotesi!$C$91)/30))-1)))*(MOD((Ipotesi!$C$91),30)/30))+(IF(8-(INT((Ipotesi!$C$91)/30))&lt;1,0,INDEX(Motore_Operativo!$BR$65:$BR$124,MAX(1,8-(INT((Ipotesi!$C$91)/30)))))*(1-(MOD((Ipotesi!$C$91),30)/30))+IF(8-(INT((Ipotesi!$C$91)/30))-1&lt;1,0,INDEX(Motore_Operativo!$BR$65:$BR$124,MAX(1,8-(INT((Ipotesi!$C$91)/30))-1)))*(MOD((Ipotesi!$C$91),30)/30))))*Piano_SS!$D$9,0))</f>
        <v>4500</v>
      </c>
      <c r="BZ72" s="15" t="n">
        <f aca="false">MIN(Piano_SS!$C$10,(BZ71)+IF(AND(Motore_Operativo!C72&gt;=EDATE(Parametri_v3!$C$24,Ipotesi!D14*12),Motore_Operativo!C72&lt;EDATE(Parametri_v3!$C$24,Parametri_v3!$C$25+Ipotesi!D14*12)),MAX(0,(IF(8-(INT((Ipotesi!$C$91)/30))&lt;1,0,INDEX(Motore_Operativo!$BO$65:$BO$124,MAX(1,8-(INT((Ipotesi!$C$91)/30)))))*(1-(MOD((Ipotesi!$C$91),30)/30))+IF(8-(INT((Ipotesi!$C$91)/30))-1&lt;1,0,INDEX(Motore_Operativo!$BO$65:$BO$124,MAX(1,8-(INT((Ipotesi!$C$91)/30))-1)))*(MOD((Ipotesi!$C$91),30)/30)))*Piano_SS!$D$10,0))</f>
        <v>2000</v>
      </c>
      <c r="CA72" s="15" t="n">
        <f aca="false">SUM(BV72:BZ72)</f>
        <v>21862.962962963</v>
      </c>
      <c r="CB72" s="15" t="n">
        <f aca="false">BV72*(1-Piano_SS!$E$6)+BW72*(1-Piano_SS!$E$7)+BX72*(1-Piano_SS!$E$8)+BY72*(1-Piano_SS!$E$9)+BZ72*(1-Piano_SS!$E$10)</f>
        <v>19862.962962963</v>
      </c>
      <c r="CC72" s="15" t="n">
        <f aca="false">(CC71)+BA72</f>
        <v>0</v>
      </c>
      <c r="CD72" s="15" t="n">
        <f aca="false">IF(CA72=0,0,CC72*CB72/CA72*Ipotesi!$C$103*Parametri_v3!$C$64)</f>
        <v>0</v>
      </c>
      <c r="CE72" s="18" t="n">
        <f aca="false">IF(BA72&gt;0,Motore_Operativo!C72,(CE71))</f>
        <v>0</v>
      </c>
      <c r="CF72" s="18" t="n">
        <f aca="false">IF(AND(CC72&gt;0,OR(CC72&gt;=CG72-0.01,Motore_Operativo!C72&gt;=EDATE(MAX(Finanziamenti!$D$15:$D$17),Ipotesi!D14*12))),CE72,0)</f>
        <v>0</v>
      </c>
      <c r="CG72" s="15" t="n">
        <f aca="false">IF(AND(2&lt;&gt;6,2&lt;&gt;9,Finanziamenti!$F$11=1,OR(Parametri_v3!$C$6=0,Finanziamenti!$E$11=1)),MIN(Finanziamenti!$C$11,Piano_SS!$C$12*Ipotesi!$C$102),0)</f>
        <v>400000</v>
      </c>
      <c r="CH72" s="15" t="n">
        <f aca="false">IF(AND(AND(2&lt;&gt;8,2&lt;&gt;9,Finanziamenti!$F$10=1,OR(Parametri_v3!$C$6=0,Finanziamenti!$E$10=1)),Motore_Operativo!C72&gt;=Finanziamenti!$D$10,Motore_Operativo!C72&lt;Parametri_v3!$C$63),Finanziamenti!$C$10,0)</f>
        <v>150000</v>
      </c>
    </row>
    <row r="73" customFormat="false" ht="18" hidden="false" customHeight="true" outlineLevel="0" collapsed="false">
      <c r="A73" s="68" t="n">
        <f aca="false">2</f>
        <v>2</v>
      </c>
      <c r="B73" s="68" t="n">
        <f aca="false">9</f>
        <v>9</v>
      </c>
      <c r="C73" s="18" t="n">
        <f aca="false">Motore_Operativo!C73</f>
        <v>46631</v>
      </c>
      <c r="D73" s="68" t="n">
        <f aca="false">Motore_Operativo!D73</f>
        <v>2027</v>
      </c>
      <c r="E73" s="68" t="n">
        <f aca="false">Motore_Operativo!E73</f>
        <v>9</v>
      </c>
      <c r="F73" s="15" t="n">
        <f aca="false">Motore_Operativo!AQ73+Motore_Operativo!BF73</f>
        <v>8009.25925925926</v>
      </c>
      <c r="G73" s="15" t="n">
        <f aca="false">Motore_Operativo!BH73</f>
        <v>1621.05263157895</v>
      </c>
      <c r="H73" s="15" t="n">
        <f aca="false">Motore_Operativo!BI73</f>
        <v>9630.31189083821</v>
      </c>
      <c r="I73" s="15" t="n">
        <f aca="false">Motore_Operativo!CA73</f>
        <v>27809.511208577</v>
      </c>
      <c r="J73" s="15" t="n">
        <f aca="false">Motore_Operativo!CC73</f>
        <v>-18179.1993177388</v>
      </c>
      <c r="K73" s="15" t="n">
        <f aca="false">Motore_Operativo!CE73</f>
        <v>1666.66666666667</v>
      </c>
      <c r="L73" s="15" t="n">
        <f aca="false">SUM(INDEX($K$65:$K$124,MAX(1,9-Parametri_v3!$C$59+1)):K73)/Parametri_v3!$C$59</f>
        <v>416.666666666667</v>
      </c>
      <c r="M73" s="15" t="n">
        <f aca="false">J73-L73</f>
        <v>-18595.8659844055</v>
      </c>
      <c r="N73" s="15" t="n">
        <f aca="false">CD73-(CD72)</f>
        <v>0</v>
      </c>
      <c r="O73" s="15" t="n">
        <f aca="false">(BG72)*Ipotesi!$C$110/12+CH73*Parametri_v3!$C$39/12</f>
        <v>289.582090060454</v>
      </c>
      <c r="P73" s="15" t="n">
        <f aca="false">M73+N73-O73</f>
        <v>-18885.4480744659</v>
      </c>
      <c r="Q73" s="15" t="n">
        <f aca="false">SUM(P65:P73)+Parametri_v3!$C$54*9/12</f>
        <v>-168778.534422814</v>
      </c>
      <c r="R73" s="15" t="n">
        <f aca="false">0</f>
        <v>0</v>
      </c>
      <c r="S73" s="15" t="n">
        <f aca="false">0</f>
        <v>0</v>
      </c>
      <c r="T73" s="15" t="n">
        <f aca="false">MIN(R73,MAX(0,Q73))</f>
        <v>0</v>
      </c>
      <c r="U73" s="15" t="n">
        <f aca="false">MIN(S73,MAX(0,Q73-T73)*Parametri_v3!$C$42)</f>
        <v>0</v>
      </c>
      <c r="V73" s="15" t="n">
        <f aca="false">MAX(0,Q73-T73-U73)*Ipotesi!$C$92</f>
        <v>0</v>
      </c>
      <c r="W73" s="15" t="n">
        <f aca="false">MAX(0,SUM(M65:M73)+Parametri_v3!$C$55*9/12)*Ipotesi!$C$93</f>
        <v>0</v>
      </c>
      <c r="X73" s="15" t="n">
        <f aca="false">V73+W73-(V72+W72)</f>
        <v>0</v>
      </c>
      <c r="Y73" s="15" t="n">
        <f aca="false">P73-X73</f>
        <v>-18885.4480744659</v>
      </c>
      <c r="Z73" s="15" t="n">
        <f aca="false">R73-T73+IF(AND(Parametri_v3!$C$40=1,D73-YEAR(Parametri_v3!$C$50)&lt;Parametri_v3!$C$41),MAX(0,-Q73),0)</f>
        <v>168778.534422814</v>
      </c>
      <c r="AA73" s="15" t="n">
        <f aca="false">S73-U73+IF(AND(Parametri_v3!$C$40=1,D73-YEAR(Parametri_v3!$C$50)&lt;Parametri_v3!$C$41),0,MAX(0,-Q73))</f>
        <v>0</v>
      </c>
      <c r="AB73" s="15" t="n">
        <f aca="false">F73*(1+Parametri_v3!$C$26)</f>
        <v>9771.2962962963</v>
      </c>
      <c r="AC73" s="15" t="n">
        <f aca="false">(IF(9-(INT((Motore_Operativo!L73)/30))&lt;1,0,INDEX(Motore_Startup!$AB$65:$AB$124,MAX(1,9-(INT((Motore_Operativo!L73)/30)))))*(1-(MOD((Motore_Operativo!L73),30)/30))+IF(9-(INT((Motore_Operativo!L73)/30))-1&lt;1,0,INDEX(Motore_Startup!$AB$65:$AB$124,MAX(1,9-(INT((Motore_Operativo!L73)/30))-1)))*(MOD((Motore_Operativo!L73),30)/30))</f>
        <v>9432.40740740741</v>
      </c>
      <c r="AD73" s="15" t="n">
        <f aca="false">(AD72)+AB73-AC73</f>
        <v>28975</v>
      </c>
      <c r="AE73" s="15" t="n">
        <f aca="false">Motore_Operativo!BH73*(1+Parametri_v3!$C$26)</f>
        <v>1977.68421052632</v>
      </c>
      <c r="AF73" s="15" t="n">
        <f aca="false">(IF(9-(INT((Parametri_v3!$C$29)/30))&lt;1,0,INDEX(Motore_Operativo!$BH$65:$BH$124,MAX(1,9-(INT((Parametri_v3!$C$29)/30)))))*(1-(MOD((Parametri_v3!$C$29),30)/30))+IF(9-(INT((Parametri_v3!$C$29)/30))-1&lt;1,0,INDEX(Motore_Operativo!$BH$65:$BH$124,MAX(1,9-(INT((Parametri_v3!$C$29)/30))-1)))*(MOD((Parametri_v3!$C$29),30)/30))*(1+Parametri_v3!$C$26)</f>
        <v>1977.68421052632</v>
      </c>
      <c r="AG73" s="15" t="n">
        <f aca="false">(AG72)+AE73-AF73</f>
        <v>1977.68421052632</v>
      </c>
      <c r="AH73" s="15" t="n">
        <f aca="false">(Motore_Operativo!CJ73)*(1+Parametri_v3!$C$27*Parametri_v3!$C$26)</f>
        <v>11742.8064712476</v>
      </c>
      <c r="AI73" s="15" t="n">
        <f aca="false">(IF(9-(INT((Ipotesi!$C$91)/30))&lt;1,0,INDEX(Motore_Startup!$AH$65:$AH$124,MAX(1,9-(INT((Ipotesi!$C$91)/30)))))*(1-(MOD((Ipotesi!$C$91),30)/30))+IF(9-(INT((Ipotesi!$C$91)/30))-1&lt;1,0,INDEX(Motore_Startup!$AH$65:$AH$124,MAX(1,9-(INT((Ipotesi!$C$91)/30))-1)))*(MOD((Ipotesi!$C$91),30)/30))</f>
        <v>11712.0323971735</v>
      </c>
      <c r="AJ73" s="15" t="n">
        <f aca="false">(AJ72)+AH73-AI73</f>
        <v>23470.2259054581</v>
      </c>
      <c r="AK73" s="15" t="n">
        <f aca="false">(F73+ Motore_Operativo!BH73-(Motore_Operativo!CJ73)*Parametri_v3!$C$27-Motore_Operativo!CE73)*Parametri_v3!$C$26</f>
        <v>-97.9599800194927</v>
      </c>
      <c r="AL73" s="15" t="n">
        <f aca="false">MAX(0,(AM72))</f>
        <v>0</v>
      </c>
      <c r="AM73" s="15" t="n">
        <f aca="false">(AM72)+AK73-AL73</f>
        <v>-1446.94815350877</v>
      </c>
      <c r="AN73" s="15" t="n">
        <f aca="false">0</f>
        <v>0</v>
      </c>
      <c r="AO73" s="15" t="n">
        <f aca="false">0</f>
        <v>0</v>
      </c>
      <c r="AP73" s="15" t="n">
        <f aca="false">MAX(0,AN73)*IF(9=Parametri_v3!$C$43,Parametri_v3!$C$45,IF(9=Parametri_v3!$C$44,1-Parametri_v3!$C$45,0))</f>
        <v>0</v>
      </c>
      <c r="AQ73" s="15" t="n">
        <f aca="false">MAX(0,AP73+IF(9=Parametri_v3!$C$43,MAX(0,AN73-AO73),0)-MAX(0,-(AR72)))</f>
        <v>0</v>
      </c>
      <c r="AR73" s="15" t="n">
        <f aca="false">(AR72)+X73-AQ73</f>
        <v>0</v>
      </c>
      <c r="AS73" s="15" t="n">
        <f aca="false">Motore_Operativo!AB73-AT73+AU73</f>
        <v>17020.8333333333</v>
      </c>
      <c r="AT73" s="15" t="n">
        <f aca="false">Motore_Operativo!CH73</f>
        <v>895.833333333334</v>
      </c>
      <c r="AU73" s="15" t="n">
        <f aca="false">MIN(MAX(0,(AV72)+AT73),Parametri_v3!$C$60/12)</f>
        <v>0</v>
      </c>
      <c r="AV73" s="15" t="n">
        <f aca="false">(AV72)+AT73-AU73</f>
        <v>8062.5</v>
      </c>
      <c r="AW73" s="15" t="n">
        <f aca="false">IF(AND(Motore_Operativo!C73=Finanziamenti!$D$6,Finanziamenti!$F$6=1),Finanziamenti!$C$6,0)</f>
        <v>0</v>
      </c>
      <c r="AX73" s="15" t="n">
        <f aca="false">IF(AND(2&lt;&gt;7,2&lt;&gt;9,Finanziamenti!$F$8=1,OR(Parametri_v3!$C$6=0,Finanziamenti!$E$8=1),Motore_Operativo!C73=EDATE(Finanziamenti!$D$8,Ipotesi!D15*12)),Finanziamenti!$C$8*1,0)+IF(AND(2&lt;&gt;7,2&lt;&gt;9,Finanziamenti!$F$9=1,OR(Parametri_v3!$C$6=0,Finanziamenti!$E$9=1),Motore_Operativo!C73=EDATE(Finanziamenti!$D$9,Ipotesi!D15*12)),Finanziamenti!$C$9*Ipotesi!D16,0)</f>
        <v>0</v>
      </c>
      <c r="AY73" s="15" t="n">
        <f aca="false">0</f>
        <v>0</v>
      </c>
      <c r="AZ73" s="15" t="n">
        <f aca="false">Motore_Advisory!AY73*(1-Ipotesi!$C$95)*Ipotesi!$C$96</f>
        <v>0</v>
      </c>
      <c r="BA73" s="15" t="n">
        <f aca="false">MAX(0,MIN(CG73*MIN(1,IF(Motore_Operativo!C73&gt;=EDATE(Finanziamenti!$D$15,Ipotesi!D14*12),Finanziamenti!$C$15,0)+IF(Motore_Operativo!C73&gt;=EDATE(Finanziamenti!$D$16,Ipotesi!D14*12),Finanziamenti!$C$16,0)+IF(Motore_Operativo!C73&gt;=EDATE(Finanziamenti!$D$17,Ipotesi!D14*12),Finanziamenti!$C$17,0)),CA73*Ipotesi!$C$102)-(CC72))</f>
        <v>0</v>
      </c>
      <c r="BB73" s="15" t="n">
        <f aca="false">IF(AND(CF73&gt;0,Motore_Operativo!C73&gt;=IF(CF73=0,0,EDATE(CF73,Parametri_v3!$C$37)),MOD(((D73-YEAR(IF(CF73=0,0,EDATE(CF73,Parametri_v3!$C$37))))*12+E73-MONTH(IF(CF73=0,0,EDATE(CF73,Parametri_v3!$C$37)))),Parametri_v3!$C$38)=0),MIN(MAX(0,(BC72)+BA73-N73),(CC73-CD73)/(Ipotesi!$C$108*12/Parametri_v3!$C$38)),0)</f>
        <v>0</v>
      </c>
      <c r="BC73" s="15" t="n">
        <f aca="false">(BC72)+BA73-N73-BB73</f>
        <v>0</v>
      </c>
      <c r="BD73" s="15" t="n">
        <f aca="false">(BH72)+AC73+AF73-AI73-AS73-K73*(1+Parametri_v3!$C$26)-AL73-AQ73-O73+AW73+AX73+AZ73+BA73-BB73</f>
        <v>5354.31046403311</v>
      </c>
      <c r="BE73" s="15" t="n">
        <f aca="false">MAX(0,MIN(MAX(0,CH73-(BG72)),Parametri_v3!$C$30-BD73))</f>
        <v>19645.6895359669</v>
      </c>
      <c r="BF73" s="15" t="n">
        <f aca="false">IF(Motore_Operativo!C73&gt;=Parametri_v3!$C$63,(BG72),MIN((BG72),MAX(0,BD73-Parametri_v3!$C$30)))</f>
        <v>0</v>
      </c>
      <c r="BG73" s="15" t="n">
        <f aca="false">(BG72)+BE73-BF73</f>
        <v>77562.1075480577</v>
      </c>
      <c r="BH73" s="15" t="n">
        <f aca="false">BD73+BE73-BF73-AY73</f>
        <v>25000</v>
      </c>
      <c r="BI73" s="15" t="n">
        <f aca="false">MAX(0,Parametri_v3!$C$30-BH73)</f>
        <v>0</v>
      </c>
      <c r="BJ73" s="15" t="n">
        <f aca="false">(BJ72)+K73</f>
        <v>15000</v>
      </c>
      <c r="BK73" s="15" t="n">
        <f aca="false">(BK72)+L73</f>
        <v>2083.33333333333</v>
      </c>
      <c r="BL73" s="15" t="n">
        <f aca="false">BJ73-BK73</f>
        <v>12916.6666666667</v>
      </c>
      <c r="BM73" s="15" t="n">
        <f aca="false">(BM72)+Y73</f>
        <v>-168778.534422814</v>
      </c>
      <c r="BN73" s="15" t="n">
        <f aca="false">(BN72)+AW73+AX73+AZ73</f>
        <v>130000</v>
      </c>
      <c r="BO73" s="15" t="n">
        <f aca="false">(BO72)+AY73</f>
        <v>0</v>
      </c>
      <c r="BP73" s="15" t="n">
        <f aca="false">0</f>
        <v>0</v>
      </c>
      <c r="BQ73" s="15" t="n">
        <f aca="false">BN73+BM73-BO73</f>
        <v>-38778.534422814</v>
      </c>
      <c r="BR73" s="15" t="n">
        <f aca="false">BH73+AD73+BL73+MAX(0,-AM73)+MAX(0,-AR73)+AG73</f>
        <v>70316.2990307018</v>
      </c>
      <c r="BS73" s="15" t="n">
        <f aca="false">AJ73+AV73+MAX(0,AM73)+MAX(0,AR73)+BC73+BG73+BQ73</f>
        <v>70316.2990307018</v>
      </c>
      <c r="BT73" s="15" t="n">
        <f aca="false">BR73-BS73</f>
        <v>0</v>
      </c>
      <c r="BU73" s="15" t="n">
        <f aca="false">BH73-(BD73+BE73-BF73-AY73)</f>
        <v>0</v>
      </c>
      <c r="BV73" s="15" t="n">
        <f aca="false">MIN(Piano_SS!$C$6,(BV72)+IF(AND(Motore_Operativo!C73&gt;=EDATE(Parametri_v3!$C$24,Ipotesi!D14*12),Motore_Operativo!C73&lt;EDATE(Parametri_v3!$C$24,Parametri_v3!$C$25+Ipotesi!D14*12)),MAX(0,(Motore_Operativo!Y73+Motore_Operativo!X73*Parametri_v3!$C$14)*(1-Parametri_v3!$C$32))*Piano_SS!$D$6,0))</f>
        <v>14250</v>
      </c>
      <c r="BW73" s="15" t="n">
        <f aca="false">MIN(Piano_SS!$C$7,(BW72)+IF(AND(Motore_Operativo!C73&gt;=EDATE(Parametri_v3!$C$24,Ipotesi!D14*12),Motore_Operativo!C73&lt;EDATE(Parametri_v3!$C$24,Parametri_v3!$C$25+Ipotesi!D14*12)),MAX(0,(IF(9-(INT((Ipotesi!$C$91)/30))&lt;1,0,INDEX(Motore_Operativo!$BN$65:$BN$124,MAX(1,9-(INT((Ipotesi!$C$91)/30)))))*(1-(MOD((Ipotesi!$C$91),30)/30))+IF(9-(INT((Ipotesi!$C$91)/30))-1&lt;1,0,INDEX(Motore_Operativo!$BN$65:$BN$124,MAX(1,9-(INT((Ipotesi!$C$91)/30))-1)))*(MOD((Ipotesi!$C$91),30)/30)))*Piano_SS!$D$7,0))</f>
        <v>3805.55555555556</v>
      </c>
      <c r="BX73" s="15" t="n">
        <f aca="false">MIN(Piano_SS!$C$8,(BX72)+IF(AND(Motore_Operativo!C73&gt;=EDATE(Parametri_v3!$C$24,Ipotesi!D14*12),Motore_Operativo!C73&lt;EDATE(Parametri_v3!$C$24,Parametri_v3!$C$25+Ipotesi!D14*12)),MAX(0,Motore_Operativo!CE73)*Piano_SS!$D$8,0))</f>
        <v>5000</v>
      </c>
      <c r="BY73" s="15" t="n">
        <f aca="false">MIN(Piano_SS!$C$9,(BY72)+IF(AND(Motore_Operativo!C73&gt;=EDATE(Parametri_v3!$C$24,Ipotesi!D14*12),Motore_Operativo!C73&lt;EDATE(Parametri_v3!$C$24,Parametri_v3!$C$25+Ipotesi!D14*12)),MAX(0,((IF(9-(INT((Ipotesi!$C$91)/30))&lt;1,0,INDEX(Motore_Operativo!$BQ$65:$BQ$124,MAX(1,9-(INT((Ipotesi!$C$91)/30)))))*(1-(MOD((Ipotesi!$C$91),30)/30))+IF(9-(INT((Ipotesi!$C$91)/30))-1&lt;1,0,INDEX(Motore_Operativo!$BQ$65:$BQ$124,MAX(1,9-(INT((Ipotesi!$C$91)/30))-1)))*(MOD((Ipotesi!$C$91),30)/30))+(IF(9-(INT((Ipotesi!$C$91)/30))&lt;1,0,INDEX(Motore_Operativo!$BR$65:$BR$124,MAX(1,9-(INT((Ipotesi!$C$91)/30)))))*(1-(MOD((Ipotesi!$C$91),30)/30))+IF(9-(INT((Ipotesi!$C$91)/30))-1&lt;1,0,INDEX(Motore_Operativo!$BR$65:$BR$124,MAX(1,9-(INT((Ipotesi!$C$91)/30))-1)))*(MOD((Ipotesi!$C$91),30)/30))))*Piano_SS!$D$9,0))</f>
        <v>6750</v>
      </c>
      <c r="BZ73" s="15" t="n">
        <f aca="false">MIN(Piano_SS!$C$10,(BZ72)+IF(AND(Motore_Operativo!C73&gt;=EDATE(Parametri_v3!$C$24,Ipotesi!D14*12),Motore_Operativo!C73&lt;EDATE(Parametri_v3!$C$24,Parametri_v3!$C$25+Ipotesi!D14*12)),MAX(0,(IF(9-(INT((Ipotesi!$C$91)/30))&lt;1,0,INDEX(Motore_Operativo!$BO$65:$BO$124,MAX(1,9-(INT((Ipotesi!$C$91)/30)))))*(1-(MOD((Ipotesi!$C$91),30)/30))+IF(9-(INT((Ipotesi!$C$91)/30))-1&lt;1,0,INDEX(Motore_Operativo!$BO$65:$BO$124,MAX(1,9-(INT((Ipotesi!$C$91)/30))-1)))*(MOD((Ipotesi!$C$91),30)/30)))*Piano_SS!$D$10,0))</f>
        <v>3000</v>
      </c>
      <c r="CA73" s="15" t="n">
        <f aca="false">SUM(BV73:BZ73)</f>
        <v>32805.5555555556</v>
      </c>
      <c r="CB73" s="15" t="n">
        <f aca="false">BV73*(1-Piano_SS!$E$6)+BW73*(1-Piano_SS!$E$7)+BX73*(1-Piano_SS!$E$8)+BY73*(1-Piano_SS!$E$9)+BZ73*(1-Piano_SS!$E$10)</f>
        <v>29805.5555555556</v>
      </c>
      <c r="CC73" s="15" t="n">
        <f aca="false">(CC72)+BA73</f>
        <v>0</v>
      </c>
      <c r="CD73" s="15" t="n">
        <f aca="false">IF(CA73=0,0,CC73*CB73/CA73*Ipotesi!$C$103*Parametri_v3!$C$64)</f>
        <v>0</v>
      </c>
      <c r="CE73" s="18" t="n">
        <f aca="false">IF(BA73&gt;0,Motore_Operativo!C73,(CE72))</f>
        <v>0</v>
      </c>
      <c r="CF73" s="18" t="n">
        <f aca="false">IF(AND(CC73&gt;0,OR(CC73&gt;=CG73-0.01,Motore_Operativo!C73&gt;=EDATE(MAX(Finanziamenti!$D$15:$D$17),Ipotesi!D14*12))),CE73,0)</f>
        <v>0</v>
      </c>
      <c r="CG73" s="15" t="n">
        <f aca="false">IF(AND(2&lt;&gt;6,2&lt;&gt;9,Finanziamenti!$F$11=1,OR(Parametri_v3!$C$6=0,Finanziamenti!$E$11=1)),MIN(Finanziamenti!$C$11,Piano_SS!$C$12*Ipotesi!$C$102),0)</f>
        <v>400000</v>
      </c>
      <c r="CH73" s="15" t="n">
        <f aca="false">IF(AND(AND(2&lt;&gt;8,2&lt;&gt;9,Finanziamenti!$F$10=1,OR(Parametri_v3!$C$6=0,Finanziamenti!$E$10=1)),Motore_Operativo!C73&gt;=Finanziamenti!$D$10,Motore_Operativo!C73&lt;Parametri_v3!$C$63),Finanziamenti!$C$10,0)</f>
        <v>150000</v>
      </c>
    </row>
    <row r="74" customFormat="false" ht="18" hidden="false" customHeight="true" outlineLevel="0" collapsed="false">
      <c r="A74" s="68" t="n">
        <f aca="false">2</f>
        <v>2</v>
      </c>
      <c r="B74" s="68" t="n">
        <f aca="false">10</f>
        <v>10</v>
      </c>
      <c r="C74" s="18" t="n">
        <f aca="false">Motore_Operativo!C74</f>
        <v>46661</v>
      </c>
      <c r="D74" s="68" t="n">
        <f aca="false">Motore_Operativo!D74</f>
        <v>2027</v>
      </c>
      <c r="E74" s="68" t="n">
        <f aca="false">Motore_Operativo!E74</f>
        <v>10</v>
      </c>
      <c r="F74" s="15" t="n">
        <f aca="false">Motore_Operativo!AQ74+Motore_Operativo!BF74</f>
        <v>8101.85185185185</v>
      </c>
      <c r="G74" s="15" t="n">
        <f aca="false">Motore_Operativo!BH74</f>
        <v>1621.05263157895</v>
      </c>
      <c r="H74" s="15" t="n">
        <f aca="false">Motore_Operativo!BI74</f>
        <v>9722.9044834308</v>
      </c>
      <c r="I74" s="15" t="n">
        <f aca="false">Motore_Operativo!CA74</f>
        <v>27822.47417154</v>
      </c>
      <c r="J74" s="15" t="n">
        <f aca="false">Motore_Operativo!CC74</f>
        <v>-18099.5696881092</v>
      </c>
      <c r="K74" s="15" t="n">
        <f aca="false">Motore_Operativo!CE74</f>
        <v>1666.66666666667</v>
      </c>
      <c r="L74" s="15" t="n">
        <f aca="false">SUM(INDEX($K$65:$K$124,MAX(1,10-Parametri_v3!$C$59+1)):K74)/Parametri_v3!$C$59</f>
        <v>462.962962962963</v>
      </c>
      <c r="M74" s="15" t="n">
        <f aca="false">J74-L74</f>
        <v>-18562.5326510721</v>
      </c>
      <c r="N74" s="15" t="n">
        <f aca="false">CD74-(CD73)</f>
        <v>0</v>
      </c>
      <c r="O74" s="15" t="n">
        <f aca="false">(BG73)*Ipotesi!$C$110/12+CH74*Parametri_v3!$C$39/12</f>
        <v>387.810537740289</v>
      </c>
      <c r="P74" s="15" t="n">
        <f aca="false">M74+N74-O74</f>
        <v>-18950.3431888124</v>
      </c>
      <c r="Q74" s="15" t="n">
        <f aca="false">SUM(P65:P74)+Parametri_v3!$C$54*10/12</f>
        <v>-187728.877611626</v>
      </c>
      <c r="R74" s="15" t="n">
        <f aca="false">0</f>
        <v>0</v>
      </c>
      <c r="S74" s="15" t="n">
        <f aca="false">0</f>
        <v>0</v>
      </c>
      <c r="T74" s="15" t="n">
        <f aca="false">MIN(R74,MAX(0,Q74))</f>
        <v>0</v>
      </c>
      <c r="U74" s="15" t="n">
        <f aca="false">MIN(S74,MAX(0,Q74-T74)*Parametri_v3!$C$42)</f>
        <v>0</v>
      </c>
      <c r="V74" s="15" t="n">
        <f aca="false">MAX(0,Q74-T74-U74)*Ipotesi!$C$92</f>
        <v>0</v>
      </c>
      <c r="W74" s="15" t="n">
        <f aca="false">MAX(0,SUM(M65:M74)+Parametri_v3!$C$55*10/12)*Ipotesi!$C$93</f>
        <v>0</v>
      </c>
      <c r="X74" s="15" t="n">
        <f aca="false">V74+W74-(V73+W73)</f>
        <v>0</v>
      </c>
      <c r="Y74" s="15" t="n">
        <f aca="false">P74-X74</f>
        <v>-18950.3431888124</v>
      </c>
      <c r="Z74" s="15" t="n">
        <f aca="false">R74-T74+IF(AND(Parametri_v3!$C$40=1,D74-YEAR(Parametri_v3!$C$50)&lt;Parametri_v3!$C$41),MAX(0,-Q74),0)</f>
        <v>187728.877611626</v>
      </c>
      <c r="AA74" s="15" t="n">
        <f aca="false">S74-U74+IF(AND(Parametri_v3!$C$40=1,D74-YEAR(Parametri_v3!$C$50)&lt;Parametri_v3!$C$41),0,MAX(0,-Q74))</f>
        <v>0</v>
      </c>
      <c r="AB74" s="15" t="n">
        <f aca="false">F74*(1+Parametri_v3!$C$26)</f>
        <v>9884.25925925926</v>
      </c>
      <c r="AC74" s="15" t="n">
        <f aca="false">(IF(10-(INT((Motore_Operativo!L74)/30))&lt;1,0,INDEX(Motore_Startup!$AB$65:$AB$124,MAX(1,10-(INT((Motore_Operativo!L74)/30)))))*(1-(MOD((Motore_Operativo!L74),30)/30))+IF(10-(INT((Motore_Operativo!L74)/30))-1&lt;1,0,INDEX(Motore_Startup!$AB$65:$AB$124,MAX(1,10-(INT((Motore_Operativo!L74)/30))-1)))*(MOD((Motore_Operativo!L74),30)/30))</f>
        <v>9545.37037037037</v>
      </c>
      <c r="AD74" s="15" t="n">
        <f aca="false">(AD73)+AB74-AC74</f>
        <v>29313.8888888889</v>
      </c>
      <c r="AE74" s="15" t="n">
        <f aca="false">Motore_Operativo!BH74*(1+Parametri_v3!$C$26)</f>
        <v>1977.68421052632</v>
      </c>
      <c r="AF74" s="15" t="n">
        <f aca="false">(IF(10-(INT((Parametri_v3!$C$29)/30))&lt;1,0,INDEX(Motore_Operativo!$BH$65:$BH$124,MAX(1,10-(INT((Parametri_v3!$C$29)/30)))))*(1-(MOD((Parametri_v3!$C$29),30)/30))+IF(10-(INT((Parametri_v3!$C$29)/30))-1&lt;1,0,INDEX(Motore_Operativo!$BH$65:$BH$124,MAX(1,10-(INT((Parametri_v3!$C$29)/30))-1)))*(MOD((Parametri_v3!$C$29),30)/30))*(1+Parametri_v3!$C$26)</f>
        <v>1977.68421052632</v>
      </c>
      <c r="AG74" s="15" t="n">
        <f aca="false">(AG73)+AE74-AF74</f>
        <v>1977.68421052632</v>
      </c>
      <c r="AH74" s="15" t="n">
        <f aca="false">(Motore_Operativo!CJ74)*(1+Parametri_v3!$C$27*Parametri_v3!$C$26)</f>
        <v>11758.1935082846</v>
      </c>
      <c r="AI74" s="15" t="n">
        <f aca="false">(IF(10-(INT((Ipotesi!$C$91)/30))&lt;1,0,INDEX(Motore_Startup!$AH$65:$AH$124,MAX(1,10-(INT((Ipotesi!$C$91)/30)))))*(1-(MOD((Ipotesi!$C$91),30)/30))+IF(10-(INT((Ipotesi!$C$91)/30))-1&lt;1,0,INDEX(Motore_Startup!$AH$65:$AH$124,MAX(1,10-(INT((Ipotesi!$C$91)/30))-1)))*(MOD((Ipotesi!$C$91),30)/30))</f>
        <v>11727.4194342105</v>
      </c>
      <c r="AJ74" s="15" t="n">
        <f aca="false">(AJ73)+AH74-AI74</f>
        <v>23500.9999795322</v>
      </c>
      <c r="AK74" s="15" t="n">
        <f aca="false">(F74+ Motore_Operativo!BH74-(Motore_Operativo!CJ74)*Parametri_v3!$C$27-Motore_Operativo!CE74)*Parametri_v3!$C$26</f>
        <v>-80.0136837231962</v>
      </c>
      <c r="AL74" s="15" t="n">
        <f aca="false">MAX(0,(AM73))</f>
        <v>0</v>
      </c>
      <c r="AM74" s="15" t="n">
        <f aca="false">(AM73)+AK74-AL74</f>
        <v>-1526.96183723196</v>
      </c>
      <c r="AN74" s="15" t="n">
        <f aca="false">0</f>
        <v>0</v>
      </c>
      <c r="AO74" s="15" t="n">
        <f aca="false">0</f>
        <v>0</v>
      </c>
      <c r="AP74" s="15" t="n">
        <f aca="false">MAX(0,AN74)*IF(10=Parametri_v3!$C$43,Parametri_v3!$C$45,IF(10=Parametri_v3!$C$44,1-Parametri_v3!$C$45,0))</f>
        <v>0</v>
      </c>
      <c r="AQ74" s="15" t="n">
        <f aca="false">MAX(0,AP74+IF(10=Parametri_v3!$C$43,MAX(0,AN74-AO74),0)-MAX(0,-(AR73)))</f>
        <v>0</v>
      </c>
      <c r="AR74" s="15" t="n">
        <f aca="false">(AR73)+X74-AQ74</f>
        <v>0</v>
      </c>
      <c r="AS74" s="15" t="n">
        <f aca="false">Motore_Operativo!AB74-AT74+AU74</f>
        <v>17020.8333333333</v>
      </c>
      <c r="AT74" s="15" t="n">
        <f aca="false">Motore_Operativo!CH74</f>
        <v>895.833333333334</v>
      </c>
      <c r="AU74" s="15" t="n">
        <f aca="false">MIN(MAX(0,(AV73)+AT74),Parametri_v3!$C$60/12)</f>
        <v>0</v>
      </c>
      <c r="AV74" s="15" t="n">
        <f aca="false">(AV73)+AT74-AU74</f>
        <v>8958.33333333334</v>
      </c>
      <c r="AW74" s="15" t="n">
        <f aca="false">IF(AND(Motore_Operativo!C74=Finanziamenti!$D$6,Finanziamenti!$F$6=1),Finanziamenti!$C$6,0)</f>
        <v>0</v>
      </c>
      <c r="AX74" s="15" t="n">
        <f aca="false">IF(AND(2&lt;&gt;7,2&lt;&gt;9,Finanziamenti!$F$8=1,OR(Parametri_v3!$C$6=0,Finanziamenti!$E$8=1),Motore_Operativo!C74=EDATE(Finanziamenti!$D$8,Ipotesi!D15*12)),Finanziamenti!$C$8*1,0)+IF(AND(2&lt;&gt;7,2&lt;&gt;9,Finanziamenti!$F$9=1,OR(Parametri_v3!$C$6=0,Finanziamenti!$E$9=1),Motore_Operativo!C74=EDATE(Finanziamenti!$D$9,Ipotesi!D15*12)),Finanziamenti!$C$9*Ipotesi!D16,0)</f>
        <v>0</v>
      </c>
      <c r="AY74" s="15" t="n">
        <f aca="false">0</f>
        <v>0</v>
      </c>
      <c r="AZ74" s="15" t="n">
        <f aca="false">Motore_Advisory!AY74*(1-Ipotesi!$C$95)*Ipotesi!$C$96</f>
        <v>0</v>
      </c>
      <c r="BA74" s="15" t="n">
        <f aca="false">MAX(0,MIN(CG74*MIN(1,IF(Motore_Operativo!C74&gt;=EDATE(Finanziamenti!$D$15,Ipotesi!D14*12),Finanziamenti!$C$15,0)+IF(Motore_Operativo!C74&gt;=EDATE(Finanziamenti!$D$16,Ipotesi!D14*12),Finanziamenti!$C$16,0)+IF(Motore_Operativo!C74&gt;=EDATE(Finanziamenti!$D$17,Ipotesi!D14*12),Finanziamenti!$C$17,0)),CA74*Ipotesi!$C$102)-(CC73))</f>
        <v>0</v>
      </c>
      <c r="BB74" s="15" t="n">
        <f aca="false">IF(AND(CF74&gt;0,Motore_Operativo!C74&gt;=IF(CF74=0,0,EDATE(CF74,Parametri_v3!$C$37)),MOD(((D74-YEAR(IF(CF74=0,0,EDATE(CF74,Parametri_v3!$C$37))))*12+E74-MONTH(IF(CF74=0,0,EDATE(CF74,Parametri_v3!$C$37)))),Parametri_v3!$C$38)=0),MIN(MAX(0,(BC73)+BA74-N74),(CC74-CD74)/(Ipotesi!$C$108*12/Parametri_v3!$C$38)),0)</f>
        <v>0</v>
      </c>
      <c r="BC74" s="15" t="n">
        <f aca="false">(BC73)+BA74-N74-BB74</f>
        <v>0</v>
      </c>
      <c r="BD74" s="15" t="n">
        <f aca="false">(BH73)+AC74+AF74-AI74-AS74-K74*(1+Parametri_v3!$C$26)-AL74-AQ74-O74+AW74+AX74+AZ74+BA74-BB74</f>
        <v>5353.6579422792</v>
      </c>
      <c r="BE74" s="15" t="n">
        <f aca="false">MAX(0,MIN(MAX(0,CH74-(BG73)),Parametri_v3!$C$30-BD74))</f>
        <v>19646.3420577208</v>
      </c>
      <c r="BF74" s="15" t="n">
        <f aca="false">IF(Motore_Operativo!C74&gt;=Parametri_v3!$C$63,(BG73),MIN((BG73),MAX(0,BD74-Parametri_v3!$C$30)))</f>
        <v>0</v>
      </c>
      <c r="BG74" s="15" t="n">
        <f aca="false">(BG73)+BE74-BF74</f>
        <v>97208.4496057785</v>
      </c>
      <c r="BH74" s="15" t="n">
        <f aca="false">BD74+BE74-BF74-AY74</f>
        <v>25000</v>
      </c>
      <c r="BI74" s="15" t="n">
        <f aca="false">MAX(0,Parametri_v3!$C$30-BH74)</f>
        <v>0</v>
      </c>
      <c r="BJ74" s="15" t="n">
        <f aca="false">(BJ73)+K74</f>
        <v>16666.6666666667</v>
      </c>
      <c r="BK74" s="15" t="n">
        <f aca="false">(BK73)+L74</f>
        <v>2546.2962962963</v>
      </c>
      <c r="BL74" s="15" t="n">
        <f aca="false">BJ74-BK74</f>
        <v>14120.3703703704</v>
      </c>
      <c r="BM74" s="15" t="n">
        <f aca="false">(BM73)+Y74</f>
        <v>-187728.877611626</v>
      </c>
      <c r="BN74" s="15" t="n">
        <f aca="false">(BN73)+AW74+AX74+AZ74</f>
        <v>130000</v>
      </c>
      <c r="BO74" s="15" t="n">
        <f aca="false">(BO73)+AY74</f>
        <v>0</v>
      </c>
      <c r="BP74" s="15" t="n">
        <f aca="false">0</f>
        <v>0</v>
      </c>
      <c r="BQ74" s="15" t="n">
        <f aca="false">BN74+BM74-BO74</f>
        <v>-57728.8776116264</v>
      </c>
      <c r="BR74" s="15" t="n">
        <f aca="false">BH74+AD74+BL74+MAX(0,-AM74)+MAX(0,-AR74)+AG74</f>
        <v>71938.9053070176</v>
      </c>
      <c r="BS74" s="15" t="n">
        <f aca="false">AJ74+AV74+MAX(0,AM74)+MAX(0,AR74)+BC74+BG74+BQ74</f>
        <v>71938.9053070176</v>
      </c>
      <c r="BT74" s="15" t="n">
        <f aca="false">BR74-BS74</f>
        <v>0</v>
      </c>
      <c r="BU74" s="15" t="n">
        <f aca="false">BH74-(BD74+BE74-BF74-AY74)</f>
        <v>0</v>
      </c>
      <c r="BV74" s="15" t="n">
        <f aca="false">MIN(Piano_SS!$C$6,(BV73)+IF(AND(Motore_Operativo!C74&gt;=EDATE(Parametri_v3!$C$24,Ipotesi!D14*12),Motore_Operativo!C74&lt;EDATE(Parametri_v3!$C$24,Parametri_v3!$C$25+Ipotesi!D14*12)),MAX(0,(Motore_Operativo!Y74+Motore_Operativo!X74*Parametri_v3!$C$14)*(1-Parametri_v3!$C$32))*Piano_SS!$D$6,0))</f>
        <v>19000</v>
      </c>
      <c r="BW74" s="15" t="n">
        <f aca="false">MIN(Piano_SS!$C$7,(BW73)+IF(AND(Motore_Operativo!C74&gt;=EDATE(Parametri_v3!$C$24,Ipotesi!D14*12),Motore_Operativo!C74&lt;EDATE(Parametri_v3!$C$24,Parametri_v3!$C$25+Ipotesi!D14*12)),MAX(0,(IF(10-(INT((Ipotesi!$C$91)/30))&lt;1,0,INDEX(Motore_Operativo!$BN$65:$BN$124,MAX(1,10-(INT((Ipotesi!$C$91)/30)))))*(1-(MOD((Ipotesi!$C$91),30)/30))+IF(10-(INT((Ipotesi!$C$91)/30))-1&lt;1,0,INDEX(Motore_Operativo!$BN$65:$BN$124,MAX(1,10-(INT((Ipotesi!$C$91)/30))-1)))*(MOD((Ipotesi!$C$91),30)/30)))*Piano_SS!$D$7,0))</f>
        <v>5088.88888888889</v>
      </c>
      <c r="BX74" s="15" t="n">
        <f aca="false">MIN(Piano_SS!$C$8,(BX73)+IF(AND(Motore_Operativo!C74&gt;=EDATE(Parametri_v3!$C$24,Ipotesi!D14*12),Motore_Operativo!C74&lt;EDATE(Parametri_v3!$C$24,Parametri_v3!$C$25+Ipotesi!D14*12)),MAX(0,Motore_Operativo!CE74)*Piano_SS!$D$8,0))</f>
        <v>6666.66666666667</v>
      </c>
      <c r="BY74" s="15" t="n">
        <f aca="false">MIN(Piano_SS!$C$9,(BY73)+IF(AND(Motore_Operativo!C74&gt;=EDATE(Parametri_v3!$C$24,Ipotesi!D14*12),Motore_Operativo!C74&lt;EDATE(Parametri_v3!$C$24,Parametri_v3!$C$25+Ipotesi!D14*12)),MAX(0,((IF(10-(INT((Ipotesi!$C$91)/30))&lt;1,0,INDEX(Motore_Operativo!$BQ$65:$BQ$124,MAX(1,10-(INT((Ipotesi!$C$91)/30)))))*(1-(MOD((Ipotesi!$C$91),30)/30))+IF(10-(INT((Ipotesi!$C$91)/30))-1&lt;1,0,INDEX(Motore_Operativo!$BQ$65:$BQ$124,MAX(1,10-(INT((Ipotesi!$C$91)/30))-1)))*(MOD((Ipotesi!$C$91),30)/30))+(IF(10-(INT((Ipotesi!$C$91)/30))&lt;1,0,INDEX(Motore_Operativo!$BR$65:$BR$124,MAX(1,10-(INT((Ipotesi!$C$91)/30)))))*(1-(MOD((Ipotesi!$C$91),30)/30))+IF(10-(INT((Ipotesi!$C$91)/30))-1&lt;1,0,INDEX(Motore_Operativo!$BR$65:$BR$124,MAX(1,10-(INT((Ipotesi!$C$91)/30))-1)))*(MOD((Ipotesi!$C$91),30)/30))))*Piano_SS!$D$9,0))</f>
        <v>9000</v>
      </c>
      <c r="BZ74" s="15" t="n">
        <f aca="false">MIN(Piano_SS!$C$10,(BZ73)+IF(AND(Motore_Operativo!C74&gt;=EDATE(Parametri_v3!$C$24,Ipotesi!D14*12),Motore_Operativo!C74&lt;EDATE(Parametri_v3!$C$24,Parametri_v3!$C$25+Ipotesi!D14*12)),MAX(0,(IF(10-(INT((Ipotesi!$C$91)/30))&lt;1,0,INDEX(Motore_Operativo!$BO$65:$BO$124,MAX(1,10-(INT((Ipotesi!$C$91)/30)))))*(1-(MOD((Ipotesi!$C$91),30)/30))+IF(10-(INT((Ipotesi!$C$91)/30))-1&lt;1,0,INDEX(Motore_Operativo!$BO$65:$BO$124,MAX(1,10-(INT((Ipotesi!$C$91)/30))-1)))*(MOD((Ipotesi!$C$91),30)/30)))*Piano_SS!$D$10,0))</f>
        <v>4000</v>
      </c>
      <c r="CA74" s="15" t="n">
        <f aca="false">SUM(BV74:BZ74)</f>
        <v>43755.5555555556</v>
      </c>
      <c r="CB74" s="15" t="n">
        <f aca="false">BV74*(1-Piano_SS!$E$6)+BW74*(1-Piano_SS!$E$7)+BX74*(1-Piano_SS!$E$8)+BY74*(1-Piano_SS!$E$9)+BZ74*(1-Piano_SS!$E$10)</f>
        <v>39755.5555555556</v>
      </c>
      <c r="CC74" s="15" t="n">
        <f aca="false">(CC73)+BA74</f>
        <v>0</v>
      </c>
      <c r="CD74" s="15" t="n">
        <f aca="false">IF(CA74=0,0,CC74*CB74/CA74*Ipotesi!$C$103*Parametri_v3!$C$64)</f>
        <v>0</v>
      </c>
      <c r="CE74" s="18" t="n">
        <f aca="false">IF(BA74&gt;0,Motore_Operativo!C74,(CE73))</f>
        <v>0</v>
      </c>
      <c r="CF74" s="18" t="n">
        <f aca="false">IF(AND(CC74&gt;0,OR(CC74&gt;=CG74-0.01,Motore_Operativo!C74&gt;=EDATE(MAX(Finanziamenti!$D$15:$D$17),Ipotesi!D14*12))),CE74,0)</f>
        <v>0</v>
      </c>
      <c r="CG74" s="15" t="n">
        <f aca="false">IF(AND(2&lt;&gt;6,2&lt;&gt;9,Finanziamenti!$F$11=1,OR(Parametri_v3!$C$6=0,Finanziamenti!$E$11=1)),MIN(Finanziamenti!$C$11,Piano_SS!$C$12*Ipotesi!$C$102),0)</f>
        <v>400000</v>
      </c>
      <c r="CH74" s="15" t="n">
        <f aca="false">IF(AND(AND(2&lt;&gt;8,2&lt;&gt;9,Finanziamenti!$F$10=1,OR(Parametri_v3!$C$6=0,Finanziamenti!$E$10=1)),Motore_Operativo!C74&gt;=Finanziamenti!$D$10,Motore_Operativo!C74&lt;Parametri_v3!$C$63),Finanziamenti!$C$10,0)</f>
        <v>150000</v>
      </c>
    </row>
    <row r="75" customFormat="false" ht="18" hidden="false" customHeight="true" outlineLevel="0" collapsed="false">
      <c r="A75" s="68" t="n">
        <f aca="false">2</f>
        <v>2</v>
      </c>
      <c r="B75" s="68" t="n">
        <f aca="false">11</f>
        <v>11</v>
      </c>
      <c r="C75" s="18" t="n">
        <f aca="false">Motore_Operativo!C75</f>
        <v>46692</v>
      </c>
      <c r="D75" s="68" t="n">
        <f aca="false">Motore_Operativo!D75</f>
        <v>2027</v>
      </c>
      <c r="E75" s="68" t="n">
        <f aca="false">Motore_Operativo!E75</f>
        <v>11</v>
      </c>
      <c r="F75" s="15" t="n">
        <f aca="false">Motore_Operativo!AQ75+Motore_Operativo!BF75</f>
        <v>8194.44444444445</v>
      </c>
      <c r="G75" s="15" t="n">
        <f aca="false">Motore_Operativo!BH75</f>
        <v>1621.05263157895</v>
      </c>
      <c r="H75" s="15" t="n">
        <f aca="false">Motore_Operativo!BI75</f>
        <v>9815.49707602339</v>
      </c>
      <c r="I75" s="15" t="n">
        <f aca="false">Motore_Operativo!CA75</f>
        <v>27835.4371345029</v>
      </c>
      <c r="J75" s="15" t="n">
        <f aca="false">Motore_Operativo!CC75</f>
        <v>-18019.9400584795</v>
      </c>
      <c r="K75" s="15" t="n">
        <f aca="false">Motore_Operativo!CE75</f>
        <v>1666.66666666667</v>
      </c>
      <c r="L75" s="15" t="n">
        <f aca="false">SUM(INDEX($K$65:$K$124,MAX(1,11-Parametri_v3!$C$59+1)):K75)/Parametri_v3!$C$59</f>
        <v>509.259259259259</v>
      </c>
      <c r="M75" s="15" t="n">
        <f aca="false">J75-L75</f>
        <v>-18529.1993177388</v>
      </c>
      <c r="N75" s="15" t="n">
        <f aca="false">CD75-(CD74)</f>
        <v>0</v>
      </c>
      <c r="O75" s="15" t="n">
        <f aca="false">(BG74)*Ipotesi!$C$110/12+CH75*Parametri_v3!$C$39/12</f>
        <v>486.042248028893</v>
      </c>
      <c r="P75" s="15" t="n">
        <f aca="false">M75+N75-O75</f>
        <v>-19015.2415657677</v>
      </c>
      <c r="Q75" s="15" t="n">
        <f aca="false">SUM(P65:P75)+Parametri_v3!$C$54*11/12</f>
        <v>-206744.119177394</v>
      </c>
      <c r="R75" s="15" t="n">
        <f aca="false">0</f>
        <v>0</v>
      </c>
      <c r="S75" s="15" t="n">
        <f aca="false">0</f>
        <v>0</v>
      </c>
      <c r="T75" s="15" t="n">
        <f aca="false">MIN(R75,MAX(0,Q75))</f>
        <v>0</v>
      </c>
      <c r="U75" s="15" t="n">
        <f aca="false">MIN(S75,MAX(0,Q75-T75)*Parametri_v3!$C$42)</f>
        <v>0</v>
      </c>
      <c r="V75" s="15" t="n">
        <f aca="false">MAX(0,Q75-T75-U75)*Ipotesi!$C$92</f>
        <v>0</v>
      </c>
      <c r="W75" s="15" t="n">
        <f aca="false">MAX(0,SUM(M65:M75)+Parametri_v3!$C$55*11/12)*Ipotesi!$C$93</f>
        <v>0</v>
      </c>
      <c r="X75" s="15" t="n">
        <f aca="false">V75+W75-(V74+W74)</f>
        <v>0</v>
      </c>
      <c r="Y75" s="15" t="n">
        <f aca="false">P75-X75</f>
        <v>-19015.2415657677</v>
      </c>
      <c r="Z75" s="15" t="n">
        <f aca="false">R75-T75+IF(AND(Parametri_v3!$C$40=1,D75-YEAR(Parametri_v3!$C$50)&lt;Parametri_v3!$C$41),MAX(0,-Q75),0)</f>
        <v>206744.119177394</v>
      </c>
      <c r="AA75" s="15" t="n">
        <f aca="false">S75-U75+IF(AND(Parametri_v3!$C$40=1,D75-YEAR(Parametri_v3!$C$50)&lt;Parametri_v3!$C$41),0,MAX(0,-Q75))</f>
        <v>0</v>
      </c>
      <c r="AB75" s="15" t="n">
        <f aca="false">F75*(1+Parametri_v3!$C$26)</f>
        <v>9997.22222222222</v>
      </c>
      <c r="AC75" s="15" t="n">
        <f aca="false">(IF(11-(INT((Motore_Operativo!L75)/30))&lt;1,0,INDEX(Motore_Startup!$AB$65:$AB$124,MAX(1,11-(INT((Motore_Operativo!L75)/30)))))*(1-(MOD((Motore_Operativo!L75),30)/30))+IF(11-(INT((Motore_Operativo!L75)/30))-1&lt;1,0,INDEX(Motore_Startup!$AB$65:$AB$124,MAX(1,11-(INT((Motore_Operativo!L75)/30))-1)))*(MOD((Motore_Operativo!L75),30)/30))</f>
        <v>9658.33333333333</v>
      </c>
      <c r="AD75" s="15" t="n">
        <f aca="false">(AD74)+AB75-AC75</f>
        <v>29652.7777777778</v>
      </c>
      <c r="AE75" s="15" t="n">
        <f aca="false">Motore_Operativo!BH75*(1+Parametri_v3!$C$26)</f>
        <v>1977.68421052632</v>
      </c>
      <c r="AF75" s="15" t="n">
        <f aca="false">(IF(11-(INT((Parametri_v3!$C$29)/30))&lt;1,0,INDEX(Motore_Operativo!$BH$65:$BH$124,MAX(1,11-(INT((Parametri_v3!$C$29)/30)))))*(1-(MOD((Parametri_v3!$C$29),30)/30))+IF(11-(INT((Parametri_v3!$C$29)/30))-1&lt;1,0,INDEX(Motore_Operativo!$BH$65:$BH$124,MAX(1,11-(INT((Parametri_v3!$C$29)/30))-1)))*(MOD((Parametri_v3!$C$29),30)/30))*(1+Parametri_v3!$C$26)</f>
        <v>1977.68421052632</v>
      </c>
      <c r="AG75" s="15" t="n">
        <f aca="false">(AG74)+AE75-AF75</f>
        <v>1977.68421052632</v>
      </c>
      <c r="AH75" s="15" t="n">
        <f aca="false">(Motore_Operativo!CJ75)*(1+Parametri_v3!$C$27*Parametri_v3!$C$26)</f>
        <v>11773.5805453216</v>
      </c>
      <c r="AI75" s="15" t="n">
        <f aca="false">(IF(11-(INT((Ipotesi!$C$91)/30))&lt;1,0,INDEX(Motore_Startup!$AH$65:$AH$124,MAX(1,11-(INT((Ipotesi!$C$91)/30)))))*(1-(MOD((Ipotesi!$C$91),30)/30))+IF(11-(INT((Ipotesi!$C$91)/30))-1&lt;1,0,INDEX(Motore_Startup!$AH$65:$AH$124,MAX(1,11-(INT((Ipotesi!$C$91)/30))-1)))*(MOD((Ipotesi!$C$91),30)/30))</f>
        <v>11742.8064712476</v>
      </c>
      <c r="AJ75" s="15" t="n">
        <f aca="false">(AJ74)+AH75-AI75</f>
        <v>23531.7740536062</v>
      </c>
      <c r="AK75" s="15" t="n">
        <f aca="false">(F75+ Motore_Operativo!BH75-(Motore_Operativo!CJ75)*Parametri_v3!$C$27-Motore_Operativo!CE75)*Parametri_v3!$C$26</f>
        <v>-62.0673874268997</v>
      </c>
      <c r="AL75" s="15" t="n">
        <f aca="false">MAX(0,(AM74))</f>
        <v>0</v>
      </c>
      <c r="AM75" s="15" t="n">
        <f aca="false">(AM74)+AK75-AL75</f>
        <v>-1589.02922465886</v>
      </c>
      <c r="AN75" s="15" t="n">
        <f aca="false">0</f>
        <v>0</v>
      </c>
      <c r="AO75" s="15" t="n">
        <f aca="false">0</f>
        <v>0</v>
      </c>
      <c r="AP75" s="15" t="n">
        <f aca="false">MAX(0,AN75)*IF(11=Parametri_v3!$C$43,Parametri_v3!$C$45,IF(11=Parametri_v3!$C$44,1-Parametri_v3!$C$45,0))</f>
        <v>0</v>
      </c>
      <c r="AQ75" s="15" t="n">
        <f aca="false">MAX(0,AP75+IF(11=Parametri_v3!$C$43,MAX(0,AN75-AO75),0)-MAX(0,-(AR74)))</f>
        <v>0</v>
      </c>
      <c r="AR75" s="15" t="n">
        <f aca="false">(AR74)+X75-AQ75</f>
        <v>0</v>
      </c>
      <c r="AS75" s="15" t="n">
        <f aca="false">Motore_Operativo!AB75-AT75+AU75</f>
        <v>17020.8333333333</v>
      </c>
      <c r="AT75" s="15" t="n">
        <f aca="false">Motore_Operativo!CH75</f>
        <v>895.833333333334</v>
      </c>
      <c r="AU75" s="15" t="n">
        <f aca="false">MIN(MAX(0,(AV74)+AT75),Parametri_v3!$C$60/12)</f>
        <v>0</v>
      </c>
      <c r="AV75" s="15" t="n">
        <f aca="false">(AV74)+AT75-AU75</f>
        <v>9854.16666666667</v>
      </c>
      <c r="AW75" s="15" t="n">
        <f aca="false">IF(AND(Motore_Operativo!C75=Finanziamenti!$D$6,Finanziamenti!$F$6=1),Finanziamenti!$C$6,0)</f>
        <v>0</v>
      </c>
      <c r="AX75" s="15" t="n">
        <f aca="false">IF(AND(2&lt;&gt;7,2&lt;&gt;9,Finanziamenti!$F$8=1,OR(Parametri_v3!$C$6=0,Finanziamenti!$E$8=1),Motore_Operativo!C75=EDATE(Finanziamenti!$D$8,Ipotesi!D15*12)),Finanziamenti!$C$8*1,0)+IF(AND(2&lt;&gt;7,2&lt;&gt;9,Finanziamenti!$F$9=1,OR(Parametri_v3!$C$6=0,Finanziamenti!$E$9=1),Motore_Operativo!C75=EDATE(Finanziamenti!$D$9,Ipotesi!D15*12)),Finanziamenti!$C$9*Ipotesi!D16,0)</f>
        <v>0</v>
      </c>
      <c r="AY75" s="15" t="n">
        <f aca="false">0</f>
        <v>0</v>
      </c>
      <c r="AZ75" s="15" t="n">
        <f aca="false">Motore_Advisory!AY75*(1-Ipotesi!$C$95)*Ipotesi!$C$96</f>
        <v>0</v>
      </c>
      <c r="BA75" s="15" t="n">
        <f aca="false">MAX(0,MIN(CG75*MIN(1,IF(Motore_Operativo!C75&gt;=EDATE(Finanziamenti!$D$15,Ipotesi!D14*12),Finanziamenti!$C$15,0)+IF(Motore_Operativo!C75&gt;=EDATE(Finanziamenti!$D$16,Ipotesi!D14*12),Finanziamenti!$C$16,0)+IF(Motore_Operativo!C75&gt;=EDATE(Finanziamenti!$D$17,Ipotesi!D14*12),Finanziamenti!$C$17,0)),CA75*Ipotesi!$C$102)-(CC74))</f>
        <v>0</v>
      </c>
      <c r="BB75" s="15" t="n">
        <f aca="false">IF(AND(CF75&gt;0,Motore_Operativo!C75&gt;=IF(CF75=0,0,EDATE(CF75,Parametri_v3!$C$37)),MOD(((D75-YEAR(IF(CF75=0,0,EDATE(CF75,Parametri_v3!$C$37))))*12+E75-MONTH(IF(CF75=0,0,EDATE(CF75,Parametri_v3!$C$37)))),Parametri_v3!$C$38)=0),MIN(MAX(0,(BC74)+BA75-N75),(CC75-CD75)/(Ipotesi!$C$108*12/Parametri_v3!$C$38)),0)</f>
        <v>0</v>
      </c>
      <c r="BC75" s="15" t="n">
        <f aca="false">(BC74)+BA75-N75-BB75</f>
        <v>0</v>
      </c>
      <c r="BD75" s="15" t="n">
        <f aca="false">(BH74)+AC75+AF75-AI75-AS75-K75*(1+Parametri_v3!$C$26)-AL75-AQ75-O75+AW75+AX75+AZ75+BA75-BB75</f>
        <v>5353.00215791653</v>
      </c>
      <c r="BE75" s="15" t="n">
        <f aca="false">MAX(0,MIN(MAX(0,CH75-(BG74)),Parametri_v3!$C$30-BD75))</f>
        <v>19646.9978420835</v>
      </c>
      <c r="BF75" s="15" t="n">
        <f aca="false">IF(Motore_Operativo!C75&gt;=Parametri_v3!$C$63,(BG74),MIN((BG74),MAX(0,BD75-Parametri_v3!$C$30)))</f>
        <v>0</v>
      </c>
      <c r="BG75" s="15" t="n">
        <f aca="false">(BG74)+BE75-BF75</f>
        <v>116855.447447862</v>
      </c>
      <c r="BH75" s="15" t="n">
        <f aca="false">BD75+BE75-BF75-AY75</f>
        <v>25000</v>
      </c>
      <c r="BI75" s="15" t="n">
        <f aca="false">MAX(0,Parametri_v3!$C$30-BH75)</f>
        <v>0</v>
      </c>
      <c r="BJ75" s="15" t="n">
        <f aca="false">(BJ74)+K75</f>
        <v>18333.3333333333</v>
      </c>
      <c r="BK75" s="15" t="n">
        <f aca="false">(BK74)+L75</f>
        <v>3055.55555555556</v>
      </c>
      <c r="BL75" s="15" t="n">
        <f aca="false">BJ75-BK75</f>
        <v>15277.7777777778</v>
      </c>
      <c r="BM75" s="15" t="n">
        <f aca="false">(BM74)+Y75</f>
        <v>-206744.119177394</v>
      </c>
      <c r="BN75" s="15" t="n">
        <f aca="false">(BN74)+AW75+AX75+AZ75</f>
        <v>130000</v>
      </c>
      <c r="BO75" s="15" t="n">
        <f aca="false">(BO74)+AY75</f>
        <v>0</v>
      </c>
      <c r="BP75" s="15" t="n">
        <f aca="false">0</f>
        <v>0</v>
      </c>
      <c r="BQ75" s="15" t="n">
        <f aca="false">BN75+BM75-BO75</f>
        <v>-76744.1191773941</v>
      </c>
      <c r="BR75" s="15" t="n">
        <f aca="false">BH75+AD75+BL75+MAX(0,-AM75)+MAX(0,-AR75)+AG75</f>
        <v>73497.2689907408</v>
      </c>
      <c r="BS75" s="15" t="n">
        <f aca="false">AJ75+AV75+MAX(0,AM75)+MAX(0,AR75)+BC75+BG75+BQ75</f>
        <v>73497.2689907408</v>
      </c>
      <c r="BT75" s="15" t="n">
        <f aca="false">BR75-BS75</f>
        <v>0</v>
      </c>
      <c r="BU75" s="15" t="n">
        <f aca="false">BH75-(BD75+BE75-BF75-AY75)</f>
        <v>0</v>
      </c>
      <c r="BV75" s="15" t="n">
        <f aca="false">MIN(Piano_SS!$C$6,(BV74)+IF(AND(Motore_Operativo!C75&gt;=EDATE(Parametri_v3!$C$24,Ipotesi!D14*12),Motore_Operativo!C75&lt;EDATE(Parametri_v3!$C$24,Parametri_v3!$C$25+Ipotesi!D14*12)),MAX(0,(Motore_Operativo!Y75+Motore_Operativo!X75*Parametri_v3!$C$14)*(1-Parametri_v3!$C$32))*Piano_SS!$D$6,0))</f>
        <v>23750</v>
      </c>
      <c r="BW75" s="15" t="n">
        <f aca="false">MIN(Piano_SS!$C$7,(BW74)+IF(AND(Motore_Operativo!C75&gt;=EDATE(Parametri_v3!$C$24,Ipotesi!D14*12),Motore_Operativo!C75&lt;EDATE(Parametri_v3!$C$24,Parametri_v3!$C$25+Ipotesi!D14*12)),MAX(0,(IF(11-(INT((Ipotesi!$C$91)/30))&lt;1,0,INDEX(Motore_Operativo!$BN$65:$BN$124,MAX(1,11-(INT((Ipotesi!$C$91)/30)))))*(1-(MOD((Ipotesi!$C$91),30)/30))+IF(11-(INT((Ipotesi!$C$91)/30))-1&lt;1,0,INDEX(Motore_Operativo!$BN$65:$BN$124,MAX(1,11-(INT((Ipotesi!$C$91)/30))-1)))*(MOD((Ipotesi!$C$91),30)/30)))*Piano_SS!$D$7,0))</f>
        <v>6379.62962962963</v>
      </c>
      <c r="BX75" s="15" t="n">
        <f aca="false">MIN(Piano_SS!$C$8,(BX74)+IF(AND(Motore_Operativo!C75&gt;=EDATE(Parametri_v3!$C$24,Ipotesi!D14*12),Motore_Operativo!C75&lt;EDATE(Parametri_v3!$C$24,Parametri_v3!$C$25+Ipotesi!D14*12)),MAX(0,Motore_Operativo!CE75)*Piano_SS!$D$8,0))</f>
        <v>8333.33333333333</v>
      </c>
      <c r="BY75" s="15" t="n">
        <f aca="false">MIN(Piano_SS!$C$9,(BY74)+IF(AND(Motore_Operativo!C75&gt;=EDATE(Parametri_v3!$C$24,Ipotesi!D14*12),Motore_Operativo!C75&lt;EDATE(Parametri_v3!$C$24,Parametri_v3!$C$25+Ipotesi!D14*12)),MAX(0,((IF(11-(INT((Ipotesi!$C$91)/30))&lt;1,0,INDEX(Motore_Operativo!$BQ$65:$BQ$124,MAX(1,11-(INT((Ipotesi!$C$91)/30)))))*(1-(MOD((Ipotesi!$C$91),30)/30))+IF(11-(INT((Ipotesi!$C$91)/30))-1&lt;1,0,INDEX(Motore_Operativo!$BQ$65:$BQ$124,MAX(1,11-(INT((Ipotesi!$C$91)/30))-1)))*(MOD((Ipotesi!$C$91),30)/30))+(IF(11-(INT((Ipotesi!$C$91)/30))&lt;1,0,INDEX(Motore_Operativo!$BR$65:$BR$124,MAX(1,11-(INT((Ipotesi!$C$91)/30)))))*(1-(MOD((Ipotesi!$C$91),30)/30))+IF(11-(INT((Ipotesi!$C$91)/30))-1&lt;1,0,INDEX(Motore_Operativo!$BR$65:$BR$124,MAX(1,11-(INT((Ipotesi!$C$91)/30))-1)))*(MOD((Ipotesi!$C$91),30)/30))))*Piano_SS!$D$9,0))</f>
        <v>11250</v>
      </c>
      <c r="BZ75" s="15" t="n">
        <f aca="false">MIN(Piano_SS!$C$10,(BZ74)+IF(AND(Motore_Operativo!C75&gt;=EDATE(Parametri_v3!$C$24,Ipotesi!D14*12),Motore_Operativo!C75&lt;EDATE(Parametri_v3!$C$24,Parametri_v3!$C$25+Ipotesi!D14*12)),MAX(0,(IF(11-(INT((Ipotesi!$C$91)/30))&lt;1,0,INDEX(Motore_Operativo!$BO$65:$BO$124,MAX(1,11-(INT((Ipotesi!$C$91)/30)))))*(1-(MOD((Ipotesi!$C$91),30)/30))+IF(11-(INT((Ipotesi!$C$91)/30))-1&lt;1,0,INDEX(Motore_Operativo!$BO$65:$BO$124,MAX(1,11-(INT((Ipotesi!$C$91)/30))-1)))*(MOD((Ipotesi!$C$91),30)/30)))*Piano_SS!$D$10,0))</f>
        <v>5000</v>
      </c>
      <c r="CA75" s="15" t="n">
        <f aca="false">SUM(BV75:BZ75)</f>
        <v>54712.962962963</v>
      </c>
      <c r="CB75" s="15" t="n">
        <f aca="false">BV75*(1-Piano_SS!$E$6)+BW75*(1-Piano_SS!$E$7)+BX75*(1-Piano_SS!$E$8)+BY75*(1-Piano_SS!$E$9)+BZ75*(1-Piano_SS!$E$10)</f>
        <v>49712.962962963</v>
      </c>
      <c r="CC75" s="15" t="n">
        <f aca="false">(CC74)+BA75</f>
        <v>0</v>
      </c>
      <c r="CD75" s="15" t="n">
        <f aca="false">IF(CA75=0,0,CC75*CB75/CA75*Ipotesi!$C$103*Parametri_v3!$C$64)</f>
        <v>0</v>
      </c>
      <c r="CE75" s="18" t="n">
        <f aca="false">IF(BA75&gt;0,Motore_Operativo!C75,(CE74))</f>
        <v>0</v>
      </c>
      <c r="CF75" s="18" t="n">
        <f aca="false">IF(AND(CC75&gt;0,OR(CC75&gt;=CG75-0.01,Motore_Operativo!C75&gt;=EDATE(MAX(Finanziamenti!$D$15:$D$17),Ipotesi!D14*12))),CE75,0)</f>
        <v>0</v>
      </c>
      <c r="CG75" s="15" t="n">
        <f aca="false">IF(AND(2&lt;&gt;6,2&lt;&gt;9,Finanziamenti!$F$11=1,OR(Parametri_v3!$C$6=0,Finanziamenti!$E$11=1)),MIN(Finanziamenti!$C$11,Piano_SS!$C$12*Ipotesi!$C$102),0)</f>
        <v>400000</v>
      </c>
      <c r="CH75" s="15" t="n">
        <f aca="false">IF(AND(AND(2&lt;&gt;8,2&lt;&gt;9,Finanziamenti!$F$10=1,OR(Parametri_v3!$C$6=0,Finanziamenti!$E$10=1)),Motore_Operativo!C75&gt;=Finanziamenti!$D$10,Motore_Operativo!C75&lt;Parametri_v3!$C$63),Finanziamenti!$C$10,0)</f>
        <v>150000</v>
      </c>
    </row>
    <row r="76" customFormat="false" ht="18" hidden="false" customHeight="true" outlineLevel="0" collapsed="false">
      <c r="A76" s="68" t="n">
        <f aca="false">2</f>
        <v>2</v>
      </c>
      <c r="B76" s="68" t="n">
        <f aca="false">12</f>
        <v>12</v>
      </c>
      <c r="C76" s="18" t="n">
        <f aca="false">Motore_Operativo!C76</f>
        <v>46722</v>
      </c>
      <c r="D76" s="68" t="n">
        <f aca="false">Motore_Operativo!D76</f>
        <v>2027</v>
      </c>
      <c r="E76" s="68" t="n">
        <f aca="false">Motore_Operativo!E76</f>
        <v>12</v>
      </c>
      <c r="F76" s="15" t="n">
        <f aca="false">Motore_Operativo!AQ76+Motore_Operativo!BF76</f>
        <v>8287.03703703704</v>
      </c>
      <c r="G76" s="15" t="n">
        <f aca="false">Motore_Operativo!BH76</f>
        <v>1621.05263157895</v>
      </c>
      <c r="H76" s="15" t="n">
        <f aca="false">Motore_Operativo!BI76</f>
        <v>9908.08966861599</v>
      </c>
      <c r="I76" s="15" t="n">
        <f aca="false">Motore_Operativo!CA76</f>
        <v>27848.4000974659</v>
      </c>
      <c r="J76" s="15" t="n">
        <f aca="false">Motore_Operativo!CC76</f>
        <v>-17940.3104288499</v>
      </c>
      <c r="K76" s="15" t="n">
        <f aca="false">Motore_Operativo!CE76</f>
        <v>1666.66666666667</v>
      </c>
      <c r="L76" s="15" t="n">
        <f aca="false">SUM(INDEX($K$65:$K$124,MAX(1,12-Parametri_v3!$C$59+1)):K76)/Parametri_v3!$C$59</f>
        <v>555.555555555556</v>
      </c>
      <c r="M76" s="15" t="n">
        <f aca="false">J76-L76</f>
        <v>-18495.8659844055</v>
      </c>
      <c r="N76" s="15" t="n">
        <f aca="false">CD76-(CD75)</f>
        <v>14322.6666666667</v>
      </c>
      <c r="O76" s="15" t="n">
        <f aca="false">(BG75)*Ipotesi!$C$110/12+CH76*Parametri_v3!$C$39/12</f>
        <v>584.27723723931</v>
      </c>
      <c r="P76" s="15" t="n">
        <f aca="false">M76+N76-O76</f>
        <v>-4757.4765549781</v>
      </c>
      <c r="Q76" s="15" t="n">
        <f aca="false">SUM(P65:P76)+Parametri_v3!$C$54*12/12</f>
        <v>-211501.595732372</v>
      </c>
      <c r="R76" s="15" t="n">
        <f aca="false">0</f>
        <v>0</v>
      </c>
      <c r="S76" s="15" t="n">
        <f aca="false">0</f>
        <v>0</v>
      </c>
      <c r="T76" s="15" t="n">
        <f aca="false">MIN(R76,MAX(0,Q76))</f>
        <v>0</v>
      </c>
      <c r="U76" s="15" t="n">
        <f aca="false">MIN(S76,MAX(0,Q76-T76)*Parametri_v3!$C$42)</f>
        <v>0</v>
      </c>
      <c r="V76" s="15" t="n">
        <f aca="false">MAX(0,Q76-T76-U76)*Ipotesi!$C$92</f>
        <v>0</v>
      </c>
      <c r="W76" s="15" t="n">
        <f aca="false">MAX(0,SUM(M65:M76)+Parametri_v3!$C$55*12/12)*Ipotesi!$C$93</f>
        <v>0</v>
      </c>
      <c r="X76" s="15" t="n">
        <f aca="false">V76+W76-(V75+W75)</f>
        <v>0</v>
      </c>
      <c r="Y76" s="15" t="n">
        <f aca="false">P76-X76</f>
        <v>-4757.4765549781</v>
      </c>
      <c r="Z76" s="15" t="n">
        <f aca="false">R76-T76+IF(AND(Parametri_v3!$C$40=1,D76-YEAR(Parametri_v3!$C$50)&lt;Parametri_v3!$C$41),MAX(0,-Q76),0)</f>
        <v>211501.595732372</v>
      </c>
      <c r="AA76" s="15" t="n">
        <f aca="false">S76-U76+IF(AND(Parametri_v3!$C$40=1,D76-YEAR(Parametri_v3!$C$50)&lt;Parametri_v3!$C$41),0,MAX(0,-Q76))</f>
        <v>0</v>
      </c>
      <c r="AB76" s="15" t="n">
        <f aca="false">F76*(1+Parametri_v3!$C$26)</f>
        <v>10110.1851851852</v>
      </c>
      <c r="AC76" s="15" t="n">
        <f aca="false">(IF(12-(INT((Motore_Operativo!L76)/30))&lt;1,0,INDEX(Motore_Startup!$AB$65:$AB$124,MAX(1,12-(INT((Motore_Operativo!L76)/30)))))*(1-(MOD((Motore_Operativo!L76),30)/30))+IF(12-(INT((Motore_Operativo!L76)/30))-1&lt;1,0,INDEX(Motore_Startup!$AB$65:$AB$124,MAX(1,12-(INT((Motore_Operativo!L76)/30))-1)))*(MOD((Motore_Operativo!L76),30)/30))</f>
        <v>9771.2962962963</v>
      </c>
      <c r="AD76" s="15" t="n">
        <f aca="false">(AD75)+AB76-AC76</f>
        <v>29991.6666666667</v>
      </c>
      <c r="AE76" s="15" t="n">
        <f aca="false">Motore_Operativo!BH76*(1+Parametri_v3!$C$26)</f>
        <v>1977.68421052632</v>
      </c>
      <c r="AF76" s="15" t="n">
        <f aca="false">(IF(12-(INT((Parametri_v3!$C$29)/30))&lt;1,0,INDEX(Motore_Operativo!$BH$65:$BH$124,MAX(1,12-(INT((Parametri_v3!$C$29)/30)))))*(1-(MOD((Parametri_v3!$C$29),30)/30))+IF(12-(INT((Parametri_v3!$C$29)/30))-1&lt;1,0,INDEX(Motore_Operativo!$BH$65:$BH$124,MAX(1,12-(INT((Parametri_v3!$C$29)/30))-1)))*(MOD((Parametri_v3!$C$29),30)/30))*(1+Parametri_v3!$C$26)</f>
        <v>1977.68421052632</v>
      </c>
      <c r="AG76" s="15" t="n">
        <f aca="false">(AG75)+AE76-AF76</f>
        <v>1977.68421052632</v>
      </c>
      <c r="AH76" s="15" t="n">
        <f aca="false">(Motore_Operativo!CJ76)*(1+Parametri_v3!$C$27*Parametri_v3!$C$26)</f>
        <v>11788.9675823587</v>
      </c>
      <c r="AI76" s="15" t="n">
        <f aca="false">(IF(12-(INT((Ipotesi!$C$91)/30))&lt;1,0,INDEX(Motore_Startup!$AH$65:$AH$124,MAX(1,12-(INT((Ipotesi!$C$91)/30)))))*(1-(MOD((Ipotesi!$C$91),30)/30))+IF(12-(INT((Ipotesi!$C$91)/30))-1&lt;1,0,INDEX(Motore_Startup!$AH$65:$AH$124,MAX(1,12-(INT((Ipotesi!$C$91)/30))-1)))*(MOD((Ipotesi!$C$91),30)/30))</f>
        <v>11758.1935082846</v>
      </c>
      <c r="AJ76" s="15" t="n">
        <f aca="false">(AJ75)+AH76-AI76</f>
        <v>23562.5481276803</v>
      </c>
      <c r="AK76" s="15" t="n">
        <f aca="false">(F76+ Motore_Operativo!BH76-(Motore_Operativo!CJ76)*Parametri_v3!$C$27-Motore_Operativo!CE76)*Parametri_v3!$C$26</f>
        <v>-44.1210911306033</v>
      </c>
      <c r="AL76" s="15" t="n">
        <f aca="false">MAX(0,(AM75))</f>
        <v>0</v>
      </c>
      <c r="AM76" s="15" t="n">
        <f aca="false">(AM75)+AK76-AL76</f>
        <v>-1633.15031578947</v>
      </c>
      <c r="AN76" s="15" t="n">
        <f aca="false">0</f>
        <v>0</v>
      </c>
      <c r="AO76" s="15" t="n">
        <f aca="false">0</f>
        <v>0</v>
      </c>
      <c r="AP76" s="15" t="n">
        <f aca="false">MAX(0,AN76)*IF(12=Parametri_v3!$C$43,Parametri_v3!$C$45,IF(12=Parametri_v3!$C$44,1-Parametri_v3!$C$45,0))</f>
        <v>0</v>
      </c>
      <c r="AQ76" s="15" t="n">
        <f aca="false">MAX(0,AP76+IF(12=Parametri_v3!$C$43,MAX(0,AN76-AO76),0)-MAX(0,-(AR75)))</f>
        <v>0</v>
      </c>
      <c r="AR76" s="15" t="n">
        <f aca="false">(AR75)+X76-AQ76</f>
        <v>0</v>
      </c>
      <c r="AS76" s="15" t="n">
        <f aca="false">Motore_Operativo!AB76-AT76+AU76</f>
        <v>17020.8333333333</v>
      </c>
      <c r="AT76" s="15" t="n">
        <f aca="false">Motore_Operativo!CH76</f>
        <v>895.833333333334</v>
      </c>
      <c r="AU76" s="15" t="n">
        <f aca="false">MIN(MAX(0,(AV75)+AT76),Parametri_v3!$C$60/12)</f>
        <v>0</v>
      </c>
      <c r="AV76" s="15" t="n">
        <f aca="false">(AV75)+AT76-AU76</f>
        <v>10750</v>
      </c>
      <c r="AW76" s="15" t="n">
        <f aca="false">IF(AND(Motore_Operativo!C76=Finanziamenti!$D$6,Finanziamenti!$F$6=1),Finanziamenti!$C$6,0)</f>
        <v>0</v>
      </c>
      <c r="AX76" s="15" t="n">
        <f aca="false">IF(AND(2&lt;&gt;7,2&lt;&gt;9,Finanziamenti!$F$8=1,OR(Parametri_v3!$C$6=0,Finanziamenti!$E$8=1),Motore_Operativo!C76=EDATE(Finanziamenti!$D$8,Ipotesi!D15*12)),Finanziamenti!$C$8*1,0)+IF(AND(2&lt;&gt;7,2&lt;&gt;9,Finanziamenti!$F$9=1,OR(Parametri_v3!$C$6=0,Finanziamenti!$E$9=1),Motore_Operativo!C76=EDATE(Finanziamenti!$D$9,Ipotesi!D15*12)),Finanziamenti!$C$9*Ipotesi!D16,0)</f>
        <v>0</v>
      </c>
      <c r="AY76" s="15" t="n">
        <f aca="false">0</f>
        <v>0</v>
      </c>
      <c r="AZ76" s="15" t="n">
        <f aca="false">Motore_Advisory!AY76*(1-Ipotesi!$C$95)*Ipotesi!$C$96</f>
        <v>0</v>
      </c>
      <c r="BA76" s="15" t="n">
        <f aca="false">MAX(0,MIN(CG76*MIN(1,IF(Motore_Operativo!C76&gt;=EDATE(Finanziamenti!$D$15,Ipotesi!D14*12),Finanziamenti!$C$15,0)+IF(Motore_Operativo!C76&gt;=EDATE(Finanziamenti!$D$16,Ipotesi!D14*12),Finanziamenti!$C$16,0)+IF(Motore_Operativo!C76&gt;=EDATE(Finanziamenti!$D$17,Ipotesi!D14*12),Finanziamenti!$C$17,0)),CA76*Ipotesi!$C$102)-(CC75))</f>
        <v>52542.2222222222</v>
      </c>
      <c r="BB76" s="15" t="n">
        <f aca="false">IF(AND(CF76&gt;0,Motore_Operativo!C76&gt;=IF(CF76=0,0,EDATE(CF76,Parametri_v3!$C$37)),MOD(((D76-YEAR(IF(CF76=0,0,EDATE(CF76,Parametri_v3!$C$37))))*12+E76-MONTH(IF(CF76=0,0,EDATE(CF76,Parametri_v3!$C$37)))),Parametri_v3!$C$38)=0),MIN(MAX(0,(BC75)+BA76-N76),(CC76-CD76)/(Ipotesi!$C$108*12/Parametri_v3!$C$38)),0)</f>
        <v>0</v>
      </c>
      <c r="BC76" s="15" t="n">
        <f aca="false">(BC75)+BA76-N76-BB76</f>
        <v>38219.5555555556</v>
      </c>
      <c r="BD76" s="15" t="n">
        <f aca="false">(BH75)+AC76+AF76-AI76-AS76-K76*(1+Parametri_v3!$C$26)-AL76-AQ76-O76+AW76+AX76+AZ76+BA76-BB76</f>
        <v>57894.5653168543</v>
      </c>
      <c r="BE76" s="15" t="n">
        <f aca="false">MAX(0,MIN(MAX(0,CH76-(BG75)),Parametri_v3!$C$30-BD76))</f>
        <v>0</v>
      </c>
      <c r="BF76" s="15" t="n">
        <f aca="false">IF(Motore_Operativo!C76&gt;=Parametri_v3!$C$63,(BG75),MIN((BG75),MAX(0,BD76-Parametri_v3!$C$30)))</f>
        <v>32894.5653168543</v>
      </c>
      <c r="BG76" s="15" t="n">
        <f aca="false">(BG75)+BE76-BF76</f>
        <v>83960.8821310078</v>
      </c>
      <c r="BH76" s="15" t="n">
        <f aca="false">BD76+BE76-BF76-AY76</f>
        <v>25000</v>
      </c>
      <c r="BI76" s="15" t="n">
        <f aca="false">MAX(0,Parametri_v3!$C$30-BH76)</f>
        <v>0</v>
      </c>
      <c r="BJ76" s="15" t="n">
        <f aca="false">(BJ75)+K76</f>
        <v>20000</v>
      </c>
      <c r="BK76" s="15" t="n">
        <f aca="false">(BK75)+L76</f>
        <v>3611.11111111111</v>
      </c>
      <c r="BL76" s="15" t="n">
        <f aca="false">BJ76-BK76</f>
        <v>16388.8888888889</v>
      </c>
      <c r="BM76" s="15" t="n">
        <f aca="false">(BM75)+Y76</f>
        <v>-211501.595732372</v>
      </c>
      <c r="BN76" s="15" t="n">
        <f aca="false">(BN75)+AW76+AX76+AZ76</f>
        <v>130000</v>
      </c>
      <c r="BO76" s="15" t="n">
        <f aca="false">(BO75)+AY76</f>
        <v>0</v>
      </c>
      <c r="BP76" s="15" t="n">
        <f aca="false">0</f>
        <v>0</v>
      </c>
      <c r="BQ76" s="15" t="n">
        <f aca="false">BN76+BM76-BO76</f>
        <v>-81501.5957323722</v>
      </c>
      <c r="BR76" s="15" t="n">
        <f aca="false">BH76+AD76+BL76+MAX(0,-AM76)+MAX(0,-AR76)+AG76</f>
        <v>74991.3900818713</v>
      </c>
      <c r="BS76" s="15" t="n">
        <f aca="false">AJ76+AV76+MAX(0,AM76)+MAX(0,AR76)+BC76+BG76+BQ76</f>
        <v>74991.3900818714</v>
      </c>
      <c r="BT76" s="15" t="n">
        <f aca="false">BR76-BS76</f>
        <v>0</v>
      </c>
      <c r="BU76" s="15" t="n">
        <f aca="false">BH76-(BD76+BE76-BF76-AY76)</f>
        <v>0</v>
      </c>
      <c r="BV76" s="15" t="n">
        <f aca="false">MIN(Piano_SS!$C$6,(BV75)+IF(AND(Motore_Operativo!C76&gt;=EDATE(Parametri_v3!$C$24,Ipotesi!D14*12),Motore_Operativo!C76&lt;EDATE(Parametri_v3!$C$24,Parametri_v3!$C$25+Ipotesi!D14*12)),MAX(0,(Motore_Operativo!Y76+Motore_Operativo!X76*Parametri_v3!$C$14)*(1-Parametri_v3!$C$32))*Piano_SS!$D$6,0))</f>
        <v>28500</v>
      </c>
      <c r="BW76" s="15" t="n">
        <f aca="false">MIN(Piano_SS!$C$7,(BW75)+IF(AND(Motore_Operativo!C76&gt;=EDATE(Parametri_v3!$C$24,Ipotesi!D14*12),Motore_Operativo!C76&lt;EDATE(Parametri_v3!$C$24,Parametri_v3!$C$25+Ipotesi!D14*12)),MAX(0,(IF(12-(INT((Ipotesi!$C$91)/30))&lt;1,0,INDEX(Motore_Operativo!$BN$65:$BN$124,MAX(1,12-(INT((Ipotesi!$C$91)/30)))))*(1-(MOD((Ipotesi!$C$91),30)/30))+IF(12-(INT((Ipotesi!$C$91)/30))-1&lt;1,0,INDEX(Motore_Operativo!$BN$65:$BN$124,MAX(1,12-(INT((Ipotesi!$C$91)/30))-1)))*(MOD((Ipotesi!$C$91),30)/30)))*Piano_SS!$D$7,0))</f>
        <v>7677.77777777778</v>
      </c>
      <c r="BX76" s="15" t="n">
        <f aca="false">MIN(Piano_SS!$C$8,(BX75)+IF(AND(Motore_Operativo!C76&gt;=EDATE(Parametri_v3!$C$24,Ipotesi!D14*12),Motore_Operativo!C76&lt;EDATE(Parametri_v3!$C$24,Parametri_v3!$C$25+Ipotesi!D14*12)),MAX(0,Motore_Operativo!CE76)*Piano_SS!$D$8,0))</f>
        <v>10000</v>
      </c>
      <c r="BY76" s="15" t="n">
        <f aca="false">MIN(Piano_SS!$C$9,(BY75)+IF(AND(Motore_Operativo!C76&gt;=EDATE(Parametri_v3!$C$24,Ipotesi!D14*12),Motore_Operativo!C76&lt;EDATE(Parametri_v3!$C$24,Parametri_v3!$C$25+Ipotesi!D14*12)),MAX(0,((IF(12-(INT((Ipotesi!$C$91)/30))&lt;1,0,INDEX(Motore_Operativo!$BQ$65:$BQ$124,MAX(1,12-(INT((Ipotesi!$C$91)/30)))))*(1-(MOD((Ipotesi!$C$91),30)/30))+IF(12-(INT((Ipotesi!$C$91)/30))-1&lt;1,0,INDEX(Motore_Operativo!$BQ$65:$BQ$124,MAX(1,12-(INT((Ipotesi!$C$91)/30))-1)))*(MOD((Ipotesi!$C$91),30)/30))+(IF(12-(INT((Ipotesi!$C$91)/30))&lt;1,0,INDEX(Motore_Operativo!$BR$65:$BR$124,MAX(1,12-(INT((Ipotesi!$C$91)/30)))))*(1-(MOD((Ipotesi!$C$91),30)/30))+IF(12-(INT((Ipotesi!$C$91)/30))-1&lt;1,0,INDEX(Motore_Operativo!$BR$65:$BR$124,MAX(1,12-(INT((Ipotesi!$C$91)/30))-1)))*(MOD((Ipotesi!$C$91),30)/30))))*Piano_SS!$D$9,0))</f>
        <v>13500</v>
      </c>
      <c r="BZ76" s="15" t="n">
        <f aca="false">MIN(Piano_SS!$C$10,(BZ75)+IF(AND(Motore_Operativo!C76&gt;=EDATE(Parametri_v3!$C$24,Ipotesi!D14*12),Motore_Operativo!C76&lt;EDATE(Parametri_v3!$C$24,Parametri_v3!$C$25+Ipotesi!D14*12)),MAX(0,(IF(12-(INT((Ipotesi!$C$91)/30))&lt;1,0,INDEX(Motore_Operativo!$BO$65:$BO$124,MAX(1,12-(INT((Ipotesi!$C$91)/30)))))*(1-(MOD((Ipotesi!$C$91),30)/30))+IF(12-(INT((Ipotesi!$C$91)/30))-1&lt;1,0,INDEX(Motore_Operativo!$BO$65:$BO$124,MAX(1,12-(INT((Ipotesi!$C$91)/30))-1)))*(MOD((Ipotesi!$C$91),30)/30)))*Piano_SS!$D$10,0))</f>
        <v>6000</v>
      </c>
      <c r="CA76" s="15" t="n">
        <f aca="false">SUM(BV76:BZ76)</f>
        <v>65677.7777777778</v>
      </c>
      <c r="CB76" s="15" t="n">
        <f aca="false">BV76*(1-Piano_SS!$E$6)+BW76*(1-Piano_SS!$E$7)+BX76*(1-Piano_SS!$E$8)+BY76*(1-Piano_SS!$E$9)+BZ76*(1-Piano_SS!$E$10)</f>
        <v>59677.7777777778</v>
      </c>
      <c r="CC76" s="15" t="n">
        <f aca="false">(CC75)+BA76</f>
        <v>52542.2222222222</v>
      </c>
      <c r="CD76" s="15" t="n">
        <f aca="false">IF(CA76=0,0,CC76*CB76/CA76*Ipotesi!$C$103*Parametri_v3!$C$64)</f>
        <v>14322.6666666667</v>
      </c>
      <c r="CE76" s="18" t="n">
        <f aca="false">IF(BA76&gt;0,Motore_Operativo!C76,(CE75))</f>
        <v>46722</v>
      </c>
      <c r="CF76" s="18" t="n">
        <f aca="false">IF(AND(CC76&gt;0,OR(CC76&gt;=CG76-0.01,Motore_Operativo!C76&gt;=EDATE(MAX(Finanziamenti!$D$15:$D$17),Ipotesi!D14*12))),CE76,0)</f>
        <v>0</v>
      </c>
      <c r="CG76" s="15" t="n">
        <f aca="false">IF(AND(2&lt;&gt;6,2&lt;&gt;9,Finanziamenti!$F$11=1,OR(Parametri_v3!$C$6=0,Finanziamenti!$E$11=1)),MIN(Finanziamenti!$C$11,Piano_SS!$C$12*Ipotesi!$C$102),0)</f>
        <v>400000</v>
      </c>
      <c r="CH76" s="15" t="n">
        <f aca="false">IF(AND(AND(2&lt;&gt;8,2&lt;&gt;9,Finanziamenti!$F$10=1,OR(Parametri_v3!$C$6=0,Finanziamenti!$E$10=1)),Motore_Operativo!C76&gt;=Finanziamenti!$D$10,Motore_Operativo!C76&lt;Parametri_v3!$C$63),Finanziamenti!$C$10,0)</f>
        <v>150000</v>
      </c>
    </row>
    <row r="77" customFormat="false" ht="18" hidden="false" customHeight="true" outlineLevel="0" collapsed="false">
      <c r="A77" s="68" t="n">
        <f aca="false">2</f>
        <v>2</v>
      </c>
      <c r="B77" s="68" t="n">
        <f aca="false">13</f>
        <v>13</v>
      </c>
      <c r="C77" s="18" t="n">
        <f aca="false">Motore_Operativo!C77</f>
        <v>46753</v>
      </c>
      <c r="D77" s="68" t="n">
        <f aca="false">Motore_Operativo!D77</f>
        <v>2028</v>
      </c>
      <c r="E77" s="68" t="n">
        <f aca="false">Motore_Operativo!E77</f>
        <v>1</v>
      </c>
      <c r="F77" s="15" t="n">
        <f aca="false">Motore_Operativo!AQ77+Motore_Operativo!BF77</f>
        <v>23223.0393982785</v>
      </c>
      <c r="G77" s="15" t="n">
        <f aca="false">Motore_Operativo!BH77</f>
        <v>3398.1220657277</v>
      </c>
      <c r="H77" s="15" t="n">
        <f aca="false">Motore_Operativo!BI77</f>
        <v>26621.1614640062</v>
      </c>
      <c r="I77" s="15" t="n">
        <f aca="false">Motore_Operativo!CA77</f>
        <v>56964.0025110642</v>
      </c>
      <c r="J77" s="15" t="n">
        <f aca="false">Motore_Operativo!CC77</f>
        <v>-30342.841047058</v>
      </c>
      <c r="K77" s="15" t="n">
        <f aca="false">Motore_Operativo!CE77</f>
        <v>2083.33333333333</v>
      </c>
      <c r="L77" s="15" t="n">
        <f aca="false">SUM(INDEX($K$65:$K$124,MAX(1,13-Parametri_v3!$C$59+1)):K77)/Parametri_v3!$C$59</f>
        <v>613.425925925926</v>
      </c>
      <c r="M77" s="15" t="n">
        <f aca="false">J77-L77</f>
        <v>-30956.2669729839</v>
      </c>
      <c r="N77" s="15" t="n">
        <f aca="false">CD77-(CD76)</f>
        <v>4288.83333333333</v>
      </c>
      <c r="O77" s="15" t="n">
        <f aca="false">(BG76)*Ipotesi!$C$110/12+CH77*Parametri_v3!$C$39/12</f>
        <v>419.804410655039</v>
      </c>
      <c r="P77" s="15" t="n">
        <f aca="false">M77+N77-O77</f>
        <v>-27087.2380503056</v>
      </c>
      <c r="Q77" s="15" t="n">
        <f aca="false">SUM(P77)+Parametri_v3!$C$54*1/12</f>
        <v>-27087.2380503056</v>
      </c>
      <c r="R77" s="15" t="n">
        <f aca="false">Z76</f>
        <v>211501.595732372</v>
      </c>
      <c r="S77" s="15" t="n">
        <f aca="false">AA76</f>
        <v>0</v>
      </c>
      <c r="T77" s="15" t="n">
        <f aca="false">MIN(R77,MAX(0,Q77))</f>
        <v>0</v>
      </c>
      <c r="U77" s="15" t="n">
        <f aca="false">MIN(S77,MAX(0,Q77-T77)*Parametri_v3!$C$42)</f>
        <v>0</v>
      </c>
      <c r="V77" s="15" t="n">
        <f aca="false">MAX(0,Q77-T77-U77)*Ipotesi!$C$92</f>
        <v>0</v>
      </c>
      <c r="W77" s="15" t="n">
        <f aca="false">MAX(0,SUM(M77)+Parametri_v3!$C$55*1/12)*Ipotesi!$C$93</f>
        <v>0</v>
      </c>
      <c r="X77" s="15" t="n">
        <f aca="false">V77+W77-(0)</f>
        <v>0</v>
      </c>
      <c r="Y77" s="15" t="n">
        <f aca="false">P77-X77</f>
        <v>-27087.2380503056</v>
      </c>
      <c r="Z77" s="15" t="n">
        <f aca="false">R77-T77+IF(AND(Parametri_v3!$C$40=1,D77-YEAR(Parametri_v3!$C$50)&lt;Parametri_v3!$C$41),MAX(0,-Q77),0)</f>
        <v>238588.833782678</v>
      </c>
      <c r="AA77" s="15" t="n">
        <f aca="false">S77-U77+IF(AND(Parametri_v3!$C$40=1,D77-YEAR(Parametri_v3!$C$50)&lt;Parametri_v3!$C$41),0,MAX(0,-Q77))</f>
        <v>0</v>
      </c>
      <c r="AB77" s="15" t="n">
        <f aca="false">F77*(1+Parametri_v3!$C$26)</f>
        <v>28332.1080658998</v>
      </c>
      <c r="AC77" s="15" t="n">
        <f aca="false">(IF(13-(INT((Motore_Operativo!L77)/30))&lt;1,0,INDEX(Motore_Startup!$AB$65:$AB$124,MAX(1,13-(INT((Motore_Operativo!L77)/30)))))*(1-(MOD((Motore_Operativo!L77),30)/30))+IF(13-(INT((Motore_Operativo!L77)/30))-1&lt;1,0,INDEX(Motore_Startup!$AB$65:$AB$124,MAX(1,13-(INT((Motore_Operativo!L77)/30))-1)))*(MOD((Motore_Operativo!L77),30)/30))</f>
        <v>9884.25925925926</v>
      </c>
      <c r="AD77" s="15" t="n">
        <f aca="false">(AD76)+AB77-AC77</f>
        <v>48439.5154733072</v>
      </c>
      <c r="AE77" s="15" t="n">
        <f aca="false">Motore_Operativo!BH77*(1+Parametri_v3!$C$26)</f>
        <v>4145.70892018779</v>
      </c>
      <c r="AF77" s="15" t="n">
        <f aca="false">(IF(13-(INT((Parametri_v3!$C$29)/30))&lt;1,0,INDEX(Motore_Operativo!$BH$65:$BH$124,MAX(1,13-(INT((Parametri_v3!$C$29)/30)))))*(1-(MOD((Parametri_v3!$C$29),30)/30))+IF(13-(INT((Parametri_v3!$C$29)/30))-1&lt;1,0,INDEX(Motore_Operativo!$BH$65:$BH$124,MAX(1,13-(INT((Parametri_v3!$C$29)/30))-1)))*(MOD((Parametri_v3!$C$29),30)/30))*(1+Parametri_v3!$C$26)</f>
        <v>1977.68421052632</v>
      </c>
      <c r="AG77" s="15" t="n">
        <f aca="false">(AG76)+AE77-AF77</f>
        <v>4145.70892018779</v>
      </c>
      <c r="AH77" s="15" t="n">
        <f aca="false">(Motore_Operativo!CJ77)*(1+Parametri_v3!$C$27*Parametri_v3!$C$26)</f>
        <v>20418.1834806332</v>
      </c>
      <c r="AI77" s="15" t="n">
        <f aca="false">(IF(13-(INT((Ipotesi!$C$91)/30))&lt;1,0,INDEX(Motore_Startup!$AH$65:$AH$124,MAX(1,13-(INT((Ipotesi!$C$91)/30)))))*(1-(MOD((Ipotesi!$C$91),30)/30))+IF(13-(INT((Ipotesi!$C$91)/30))-1&lt;1,0,INDEX(Motore_Startup!$AH$65:$AH$124,MAX(1,13-(INT((Ipotesi!$C$91)/30))-1)))*(MOD((Ipotesi!$C$91),30)/30))</f>
        <v>11773.5805453216</v>
      </c>
      <c r="AJ77" s="15" t="n">
        <f aca="false">(AJ76)+AH77-AI77</f>
        <v>32207.1510629918</v>
      </c>
      <c r="AK77" s="15" t="n">
        <f aca="false">(F77+ Motore_Operativo!BH77-(Motore_Operativo!CJ77)*Parametri_v3!$C$27-Motore_Operativo!CE77)*Parametri_v3!$C$26</f>
        <v>2181.64121917903</v>
      </c>
      <c r="AL77" s="15" t="n">
        <f aca="false">MAX(0,(AM76))</f>
        <v>0</v>
      </c>
      <c r="AM77" s="15" t="n">
        <f aca="false">(AM76)+AK77-AL77</f>
        <v>548.490903389566</v>
      </c>
      <c r="AN77" s="15" t="n">
        <f aca="false">SUM(X65:X76)</f>
        <v>0</v>
      </c>
      <c r="AO77" s="15" t="n">
        <f aca="false">SUM(AP65:AP76)</f>
        <v>0</v>
      </c>
      <c r="AP77" s="15" t="n">
        <f aca="false">MAX(0,AN77)*IF(1=Parametri_v3!$C$43,Parametri_v3!$C$45,IF(1=Parametri_v3!$C$44,1-Parametri_v3!$C$45,0))</f>
        <v>0</v>
      </c>
      <c r="AQ77" s="15" t="n">
        <f aca="false">MAX(0,AP77+IF(1=Parametri_v3!$C$43,MAX(0,AN77-AO77),0)-MAX(0,-(AR76)))</f>
        <v>0</v>
      </c>
      <c r="AR77" s="15" t="n">
        <f aca="false">(AR76)+X77-AQ77</f>
        <v>0</v>
      </c>
      <c r="AS77" s="15" t="n">
        <f aca="false">Motore_Operativo!AB77-AT77+AU77</f>
        <v>37774.375</v>
      </c>
      <c r="AT77" s="15" t="n">
        <f aca="false">Motore_Operativo!CH77</f>
        <v>1988.125</v>
      </c>
      <c r="AU77" s="15" t="n">
        <f aca="false">MIN(MAX(0,(AV76)+AT77),Parametri_v3!$C$60/12)</f>
        <v>0</v>
      </c>
      <c r="AV77" s="15" t="n">
        <f aca="false">(AV76)+AT77-AU77</f>
        <v>12738.125</v>
      </c>
      <c r="AW77" s="15" t="n">
        <f aca="false">IF(AND(Motore_Operativo!C77=Finanziamenti!$D$6,Finanziamenti!$F$6=1),Finanziamenti!$C$6,0)</f>
        <v>0</v>
      </c>
      <c r="AX77" s="15" t="n">
        <f aca="false">IF(AND(2&lt;&gt;7,2&lt;&gt;9,Finanziamenti!$F$8=1,OR(Parametri_v3!$C$6=0,Finanziamenti!$E$8=1),Motore_Operativo!C77=EDATE(Finanziamenti!$D$8,Ipotesi!D15*12)),Finanziamenti!$C$8*1,0)+IF(AND(2&lt;&gt;7,2&lt;&gt;9,Finanziamenti!$F$9=1,OR(Parametri_v3!$C$6=0,Finanziamenti!$E$9=1),Motore_Operativo!C77=EDATE(Finanziamenti!$D$9,Ipotesi!D15*12)),Finanziamenti!$C$9*Ipotesi!D16,0)</f>
        <v>0</v>
      </c>
      <c r="AY77" s="15" t="n">
        <f aca="false">0</f>
        <v>0</v>
      </c>
      <c r="AZ77" s="15" t="n">
        <f aca="false">Motore_Advisory!AY77*(1-Ipotesi!$C$95)*Ipotesi!$C$96</f>
        <v>0</v>
      </c>
      <c r="BA77" s="15" t="n">
        <f aca="false">MAX(0,MIN(CG77*MIN(1,IF(Motore_Operativo!C77&gt;=EDATE(Finanziamenti!$D$15,Ipotesi!D14*12),Finanziamenti!$C$15,0)+IF(Motore_Operativo!C77&gt;=EDATE(Finanziamenti!$D$16,Ipotesi!D14*12),Finanziamenti!$C$16,0)+IF(Motore_Operativo!C77&gt;=EDATE(Finanziamenti!$D$17,Ipotesi!D14*12),Finanziamenti!$C$17,0)),CA77*Ipotesi!$C$102)-(CC76))</f>
        <v>15096.1111111111</v>
      </c>
      <c r="BB77" s="15" t="n">
        <f aca="false">IF(AND(CF77&gt;0,Motore_Operativo!C77&gt;=IF(CF77=0,0,EDATE(CF77,Parametri_v3!$C$37)),MOD(((D77-YEAR(IF(CF77=0,0,EDATE(CF77,Parametri_v3!$C$37))))*12+E77-MONTH(IF(CF77=0,0,EDATE(CF77,Parametri_v3!$C$37)))),Parametri_v3!$C$38)=0),MIN(MAX(0,(BC76)+BA77-N77),(CC77-CD77)/(Ipotesi!$C$108*12/Parametri_v3!$C$38)),0)</f>
        <v>0</v>
      </c>
      <c r="BC77" s="15" t="n">
        <f aca="false">(BC76)+BA77-N77-BB77</f>
        <v>49026.8333333334</v>
      </c>
      <c r="BD77" s="15" t="n">
        <f aca="false">(BH76)+AC77+AF77-AI77-AS77-K77*(1+Parametri_v3!$C$26)-AL77-AQ77-O77+AW77+AX77+AZ77+BA77-BB77</f>
        <v>-551.372041746645</v>
      </c>
      <c r="BE77" s="15" t="n">
        <f aca="false">MAX(0,MIN(MAX(0,CH77-(BG76)),Parametri_v3!$C$30-BD77))</f>
        <v>25551.3720417466</v>
      </c>
      <c r="BF77" s="15" t="n">
        <f aca="false">IF(Motore_Operativo!C77&gt;=Parametri_v3!$C$63,(BG76),MIN((BG76),MAX(0,BD77-Parametri_v3!$C$30)))</f>
        <v>0</v>
      </c>
      <c r="BG77" s="15" t="n">
        <f aca="false">(BG76)+BE77-BF77</f>
        <v>109512.254172754</v>
      </c>
      <c r="BH77" s="15" t="n">
        <f aca="false">BD77+BE77-BF77-AY77</f>
        <v>25000</v>
      </c>
      <c r="BI77" s="15" t="n">
        <f aca="false">MAX(0,Parametri_v3!$C$30-BH77)</f>
        <v>0</v>
      </c>
      <c r="BJ77" s="15" t="n">
        <f aca="false">(BJ76)+K77</f>
        <v>22083.3333333333</v>
      </c>
      <c r="BK77" s="15" t="n">
        <f aca="false">(BK76)+L77</f>
        <v>4224.53703703704</v>
      </c>
      <c r="BL77" s="15" t="n">
        <f aca="false">BJ77-BK77</f>
        <v>17858.7962962963</v>
      </c>
      <c r="BM77" s="15" t="n">
        <f aca="false">(BM76)+Y77</f>
        <v>-238588.833782678</v>
      </c>
      <c r="BN77" s="15" t="n">
        <f aca="false">(BN76)+AW77+AX77+AZ77</f>
        <v>130000</v>
      </c>
      <c r="BO77" s="15" t="n">
        <f aca="false">(BO76)+AY77</f>
        <v>0</v>
      </c>
      <c r="BP77" s="15" t="n">
        <f aca="false">0</f>
        <v>0</v>
      </c>
      <c r="BQ77" s="15" t="n">
        <f aca="false">BN77+BM77-BO77</f>
        <v>-108588.833782678</v>
      </c>
      <c r="BR77" s="15" t="n">
        <f aca="false">BH77+AD77+BL77+MAX(0,-AM77)+MAX(0,-AR77)+AG77</f>
        <v>95444.0206897913</v>
      </c>
      <c r="BS77" s="15" t="n">
        <f aca="false">AJ77+AV77+MAX(0,AM77)+MAX(0,AR77)+BC77+BG77+BQ77</f>
        <v>95444.0206897914</v>
      </c>
      <c r="BT77" s="15" t="n">
        <f aca="false">BR77-BS77</f>
        <v>0</v>
      </c>
      <c r="BU77" s="15" t="n">
        <f aca="false">BH77-(BD77+BE77-BF77-AY77)</f>
        <v>0</v>
      </c>
      <c r="BV77" s="15" t="n">
        <f aca="false">MIN(Piano_SS!$C$6,(BV76)+IF(AND(Motore_Operativo!C77&gt;=EDATE(Parametri_v3!$C$24,Ipotesi!D14*12),Motore_Operativo!C77&lt;EDATE(Parametri_v3!$C$24,Parametri_v3!$C$25+Ipotesi!D14*12)),MAX(0,(Motore_Operativo!Y77+Motore_Operativo!X77*Parametri_v3!$C$14)*(1-Parametri_v3!$C$32))*Piano_SS!$D$6,0))</f>
        <v>40731.25</v>
      </c>
      <c r="BW77" s="15" t="n">
        <f aca="false">MIN(Piano_SS!$C$7,(BW76)+IF(AND(Motore_Operativo!C77&gt;=EDATE(Parametri_v3!$C$24,Ipotesi!D14*12),Motore_Operativo!C77&lt;EDATE(Parametri_v3!$C$24,Parametri_v3!$C$25+Ipotesi!D14*12)),MAX(0,(IF(13-(INT((Ipotesi!$C$91)/30))&lt;1,0,INDEX(Motore_Operativo!$BN$65:$BN$124,MAX(1,13-(INT((Ipotesi!$C$91)/30)))))*(1-(MOD((Ipotesi!$C$91),30)/30))+IF(13-(INT((Ipotesi!$C$91)/30))-1&lt;1,0,INDEX(Motore_Operativo!$BN$65:$BN$124,MAX(1,13-(INT((Ipotesi!$C$91)/30))-1)))*(MOD((Ipotesi!$C$91),30)/30)))*Piano_SS!$D$7,0))</f>
        <v>8983.33333333333</v>
      </c>
      <c r="BX77" s="15" t="n">
        <f aca="false">MIN(Piano_SS!$C$8,(BX76)+IF(AND(Motore_Operativo!C77&gt;=EDATE(Parametri_v3!$C$24,Ipotesi!D14*12),Motore_Operativo!C77&lt;EDATE(Parametri_v3!$C$24,Parametri_v3!$C$25+Ipotesi!D14*12)),MAX(0,Motore_Operativo!CE77)*Piano_SS!$D$8,0))</f>
        <v>12083.3333333333</v>
      </c>
      <c r="BY77" s="15" t="n">
        <f aca="false">MIN(Piano_SS!$C$9,(BY76)+IF(AND(Motore_Operativo!C77&gt;=EDATE(Parametri_v3!$C$24,Ipotesi!D14*12),Motore_Operativo!C77&lt;EDATE(Parametri_v3!$C$24,Parametri_v3!$C$25+Ipotesi!D14*12)),MAX(0,((IF(13-(INT((Ipotesi!$C$91)/30))&lt;1,0,INDEX(Motore_Operativo!$BQ$65:$BQ$124,MAX(1,13-(INT((Ipotesi!$C$91)/30)))))*(1-(MOD((Ipotesi!$C$91),30)/30))+IF(13-(INT((Ipotesi!$C$91)/30))-1&lt;1,0,INDEX(Motore_Operativo!$BQ$65:$BQ$124,MAX(1,13-(INT((Ipotesi!$C$91)/30))-1)))*(MOD((Ipotesi!$C$91),30)/30))+(IF(13-(INT((Ipotesi!$C$91)/30))&lt;1,0,INDEX(Motore_Operativo!$BR$65:$BR$124,MAX(1,13-(INT((Ipotesi!$C$91)/30)))))*(1-(MOD((Ipotesi!$C$91),30)/30))+IF(13-(INT((Ipotesi!$C$91)/30))-1&lt;1,0,INDEX(Motore_Operativo!$BR$65:$BR$124,MAX(1,13-(INT((Ipotesi!$C$91)/30))-1)))*(MOD((Ipotesi!$C$91),30)/30))))*Piano_SS!$D$9,0))</f>
        <v>15750</v>
      </c>
      <c r="BZ77" s="15" t="n">
        <f aca="false">MIN(Piano_SS!$C$10,(BZ76)+IF(AND(Motore_Operativo!C77&gt;=EDATE(Parametri_v3!$C$24,Ipotesi!D14*12),Motore_Operativo!C77&lt;EDATE(Parametri_v3!$C$24,Parametri_v3!$C$25+Ipotesi!D14*12)),MAX(0,(IF(13-(INT((Ipotesi!$C$91)/30))&lt;1,0,INDEX(Motore_Operativo!$BO$65:$BO$124,MAX(1,13-(INT((Ipotesi!$C$91)/30)))))*(1-(MOD((Ipotesi!$C$91),30)/30))+IF(13-(INT((Ipotesi!$C$91)/30))-1&lt;1,0,INDEX(Motore_Operativo!$BO$65:$BO$124,MAX(1,13-(INT((Ipotesi!$C$91)/30))-1)))*(MOD((Ipotesi!$C$91),30)/30)))*Piano_SS!$D$10,0))</f>
        <v>7000</v>
      </c>
      <c r="CA77" s="15" t="n">
        <f aca="false">SUM(BV77:BZ77)</f>
        <v>84547.9166666667</v>
      </c>
      <c r="CB77" s="15" t="n">
        <f aca="false">BV77*(1-Piano_SS!$E$6)+BW77*(1-Piano_SS!$E$7)+BX77*(1-Piano_SS!$E$8)+BY77*(1-Piano_SS!$E$9)+BZ77*(1-Piano_SS!$E$10)</f>
        <v>77547.9166666667</v>
      </c>
      <c r="CC77" s="15" t="n">
        <f aca="false">(CC76)+BA77</f>
        <v>67638.3333333333</v>
      </c>
      <c r="CD77" s="15" t="n">
        <f aca="false">IF(CA77=0,0,CC77*CB77/CA77*Ipotesi!$C$103*Parametri_v3!$C$64)</f>
        <v>18611.5</v>
      </c>
      <c r="CE77" s="18" t="n">
        <f aca="false">IF(BA77&gt;0,Motore_Operativo!C77,(CE76))</f>
        <v>46753</v>
      </c>
      <c r="CF77" s="18" t="n">
        <f aca="false">IF(AND(CC77&gt;0,OR(CC77&gt;=CG77-0.01,Motore_Operativo!C77&gt;=EDATE(MAX(Finanziamenti!$D$15:$D$17),Ipotesi!D14*12))),CE77,0)</f>
        <v>0</v>
      </c>
      <c r="CG77" s="15" t="n">
        <f aca="false">IF(AND(2&lt;&gt;6,2&lt;&gt;9,Finanziamenti!$F$11=1,OR(Parametri_v3!$C$6=0,Finanziamenti!$E$11=1)),MIN(Finanziamenti!$C$11,Piano_SS!$C$12*Ipotesi!$C$102),0)</f>
        <v>400000</v>
      </c>
      <c r="CH77" s="15" t="n">
        <f aca="false">IF(AND(AND(2&lt;&gt;8,2&lt;&gt;9,Finanziamenti!$F$10=1,OR(Parametri_v3!$C$6=0,Finanziamenti!$E$10=1)),Motore_Operativo!C77&gt;=Finanziamenti!$D$10,Motore_Operativo!C77&lt;Parametri_v3!$C$63),Finanziamenti!$C$10,0)</f>
        <v>150000</v>
      </c>
    </row>
    <row r="78" customFormat="false" ht="18" hidden="false" customHeight="true" outlineLevel="0" collapsed="false">
      <c r="A78" s="68" t="n">
        <f aca="false">2</f>
        <v>2</v>
      </c>
      <c r="B78" s="68" t="n">
        <f aca="false">14</f>
        <v>14</v>
      </c>
      <c r="C78" s="18" t="n">
        <f aca="false">Motore_Operativo!C78</f>
        <v>46784</v>
      </c>
      <c r="D78" s="68" t="n">
        <f aca="false">Motore_Operativo!D78</f>
        <v>2028</v>
      </c>
      <c r="E78" s="68" t="n">
        <f aca="false">Motore_Operativo!E78</f>
        <v>2</v>
      </c>
      <c r="F78" s="15" t="n">
        <f aca="false">Motore_Operativo!AQ78+Motore_Operativo!BF78</f>
        <v>23584.1993716446</v>
      </c>
      <c r="G78" s="15" t="n">
        <f aca="false">Motore_Operativo!BH78</f>
        <v>3398.1220657277</v>
      </c>
      <c r="H78" s="15" t="n">
        <f aca="false">Motore_Operativo!BI78</f>
        <v>26982.3214373723</v>
      </c>
      <c r="I78" s="15" t="n">
        <f aca="false">Motore_Operativo!CA78</f>
        <v>57014.5649073354</v>
      </c>
      <c r="J78" s="15" t="n">
        <f aca="false">Motore_Operativo!CC78</f>
        <v>-30032.2434699631</v>
      </c>
      <c r="K78" s="15" t="n">
        <f aca="false">Motore_Operativo!CE78</f>
        <v>2083.33333333333</v>
      </c>
      <c r="L78" s="15" t="n">
        <f aca="false">SUM(INDEX($K$65:$K$124,MAX(1,14-Parametri_v3!$C$59+1)):K78)/Parametri_v3!$C$59</f>
        <v>671.296296296296</v>
      </c>
      <c r="M78" s="15" t="n">
        <f aca="false">J78-L78</f>
        <v>-30703.5397662594</v>
      </c>
      <c r="N78" s="15" t="n">
        <f aca="false">CD78-(CD77)</f>
        <v>3532.09061589354</v>
      </c>
      <c r="O78" s="15" t="n">
        <f aca="false">(BG77)*Ipotesi!$C$110/12+CH78*Parametri_v3!$C$39/12</f>
        <v>547.561270863772</v>
      </c>
      <c r="P78" s="15" t="n">
        <f aca="false">M78+N78-O78</f>
        <v>-27719.0104212296</v>
      </c>
      <c r="Q78" s="15" t="n">
        <f aca="false">SUM(P77:P78)+Parametri_v3!$C$54*2/12</f>
        <v>-54806.2484715352</v>
      </c>
      <c r="R78" s="15" t="n">
        <f aca="false">Z76</f>
        <v>211501.595732372</v>
      </c>
      <c r="S78" s="15" t="n">
        <f aca="false">AA76</f>
        <v>0</v>
      </c>
      <c r="T78" s="15" t="n">
        <f aca="false">MIN(R78,MAX(0,Q78))</f>
        <v>0</v>
      </c>
      <c r="U78" s="15" t="n">
        <f aca="false">MIN(S78,MAX(0,Q78-T78)*Parametri_v3!$C$42)</f>
        <v>0</v>
      </c>
      <c r="V78" s="15" t="n">
        <f aca="false">MAX(0,Q78-T78-U78)*Ipotesi!$C$92</f>
        <v>0</v>
      </c>
      <c r="W78" s="15" t="n">
        <f aca="false">MAX(0,SUM(M77:M78)+Parametri_v3!$C$55*2/12)*Ipotesi!$C$93</f>
        <v>0</v>
      </c>
      <c r="X78" s="15" t="n">
        <f aca="false">V78+W78-(V77+W77)</f>
        <v>0</v>
      </c>
      <c r="Y78" s="15" t="n">
        <f aca="false">P78-X78</f>
        <v>-27719.0104212296</v>
      </c>
      <c r="Z78" s="15" t="n">
        <f aca="false">R78-T78+IF(AND(Parametri_v3!$C$40=1,D78-YEAR(Parametri_v3!$C$50)&lt;Parametri_v3!$C$41),MAX(0,-Q78),0)</f>
        <v>266307.844203908</v>
      </c>
      <c r="AA78" s="15" t="n">
        <f aca="false">S78-U78+IF(AND(Parametri_v3!$C$40=1,D78-YEAR(Parametri_v3!$C$50)&lt;Parametri_v3!$C$41),0,MAX(0,-Q78))</f>
        <v>0</v>
      </c>
      <c r="AB78" s="15" t="n">
        <f aca="false">F78*(1+Parametri_v3!$C$26)</f>
        <v>28772.7232334064</v>
      </c>
      <c r="AC78" s="15" t="n">
        <f aca="false">(IF(14-(INT((Motore_Operativo!L78)/30))&lt;1,0,INDEX(Motore_Startup!$AB$65:$AB$124,MAX(1,14-(INT((Motore_Operativo!L78)/30)))))*(1-(MOD((Motore_Operativo!L78),30)/30))+IF(14-(INT((Motore_Operativo!L78)/30))-1&lt;1,0,INDEX(Motore_Startup!$AB$65:$AB$124,MAX(1,14-(INT((Motore_Operativo!L78)/30))-1)))*(MOD((Motore_Operativo!L78),30)/30))</f>
        <v>9997.22222222222</v>
      </c>
      <c r="AD78" s="15" t="n">
        <f aca="false">(AD77)+AB78-AC78</f>
        <v>67215.0164844914</v>
      </c>
      <c r="AE78" s="15" t="n">
        <f aca="false">Motore_Operativo!BH78*(1+Parametri_v3!$C$26)</f>
        <v>4145.70892018779</v>
      </c>
      <c r="AF78" s="15" t="n">
        <f aca="false">(IF(14-(INT((Parametri_v3!$C$29)/30))&lt;1,0,INDEX(Motore_Operativo!$BH$65:$BH$124,MAX(1,14-(INT((Parametri_v3!$C$29)/30)))))*(1-(MOD((Parametri_v3!$C$29),30)/30))+IF(14-(INT((Parametri_v3!$C$29)/30))-1&lt;1,0,INDEX(Motore_Operativo!$BH$65:$BH$124,MAX(1,14-(INT((Parametri_v3!$C$29)/30))-1)))*(MOD((Parametri_v3!$C$29),30)/30))*(1+Parametri_v3!$C$26)</f>
        <v>4145.70892018779</v>
      </c>
      <c r="AG78" s="15" t="n">
        <f aca="false">(AG77)+AE78-AF78</f>
        <v>4145.70892018779</v>
      </c>
      <c r="AH78" s="15" t="n">
        <f aca="false">(Motore_Operativo!CJ78)*(1+Parametri_v3!$C$27*Parametri_v3!$C$26)</f>
        <v>20478.2010450071</v>
      </c>
      <c r="AI78" s="15" t="n">
        <f aca="false">(IF(14-(INT((Ipotesi!$C$91)/30))&lt;1,0,INDEX(Motore_Startup!$AH$65:$AH$124,MAX(1,14-(INT((Ipotesi!$C$91)/30)))))*(1-(MOD((Ipotesi!$C$91),30)/30))+IF(14-(INT((Ipotesi!$C$91)/30))-1&lt;1,0,INDEX(Motore_Startup!$AH$65:$AH$124,MAX(1,14-(INT((Ipotesi!$C$91)/30))-1)))*(MOD((Ipotesi!$C$91),30)/30))</f>
        <v>11788.9675823587</v>
      </c>
      <c r="AJ78" s="15" t="n">
        <f aca="false">(AJ77)+AH78-AI78</f>
        <v>40896.3845256403</v>
      </c>
      <c r="AK78" s="15" t="n">
        <f aca="false">(F78+ Motore_Operativo!BH78-(Motore_Operativo!CJ78)*Parametri_v3!$C$27-Motore_Operativo!CE78)*Parametri_v3!$C$26</f>
        <v>2251.64124521685</v>
      </c>
      <c r="AL78" s="15" t="n">
        <f aca="false">MAX(0,(AM77))</f>
        <v>548.490903389566</v>
      </c>
      <c r="AM78" s="15" t="n">
        <f aca="false">(AM77)+AK78-AL78</f>
        <v>2251.64124521685</v>
      </c>
      <c r="AN78" s="15" t="n">
        <f aca="false">SUM(X65:X76)</f>
        <v>0</v>
      </c>
      <c r="AO78" s="15" t="n">
        <f aca="false">SUM(AP65:AP76)</f>
        <v>0</v>
      </c>
      <c r="AP78" s="15" t="n">
        <f aca="false">MAX(0,AN78)*IF(2=Parametri_v3!$C$43,Parametri_v3!$C$45,IF(2=Parametri_v3!$C$44,1-Parametri_v3!$C$45,0))</f>
        <v>0</v>
      </c>
      <c r="AQ78" s="15" t="n">
        <f aca="false">MAX(0,AP78+IF(2=Parametri_v3!$C$43,MAX(0,AN78-AO78),0)-MAX(0,-(AR77)))</f>
        <v>0</v>
      </c>
      <c r="AR78" s="15" t="n">
        <f aca="false">(AR77)+X78-AQ78</f>
        <v>0</v>
      </c>
      <c r="AS78" s="15" t="n">
        <f aca="false">Motore_Operativo!AB78-AT78+AU78</f>
        <v>37774.375</v>
      </c>
      <c r="AT78" s="15" t="n">
        <f aca="false">Motore_Operativo!CH78</f>
        <v>1988.125</v>
      </c>
      <c r="AU78" s="15" t="n">
        <f aca="false">MIN(MAX(0,(AV77)+AT78),Parametri_v3!$C$60/12)</f>
        <v>0</v>
      </c>
      <c r="AV78" s="15" t="n">
        <f aca="false">(AV77)+AT78-AU78</f>
        <v>14726.25</v>
      </c>
      <c r="AW78" s="15" t="n">
        <f aca="false">IF(AND(Motore_Operativo!C78=Finanziamenti!$D$6,Finanziamenti!$F$6=1),Finanziamenti!$C$6,0)</f>
        <v>0</v>
      </c>
      <c r="AX78" s="15" t="n">
        <f aca="false">IF(AND(2&lt;&gt;7,2&lt;&gt;9,Finanziamenti!$F$8=1,OR(Parametri_v3!$C$6=0,Finanziamenti!$E$8=1),Motore_Operativo!C78=EDATE(Finanziamenti!$D$8,Ipotesi!D15*12)),Finanziamenti!$C$8*1,0)+IF(AND(2&lt;&gt;7,2&lt;&gt;9,Finanziamenti!$F$9=1,OR(Parametri_v3!$C$6=0,Finanziamenti!$E$9=1),Motore_Operativo!C78=EDATE(Finanziamenti!$D$9,Ipotesi!D15*12)),Finanziamenti!$C$9*Ipotesi!D16,0)</f>
        <v>0</v>
      </c>
      <c r="AY78" s="15" t="n">
        <f aca="false">0</f>
        <v>0</v>
      </c>
      <c r="AZ78" s="15" t="n">
        <f aca="false">Motore_Advisory!AY78*(1-Ipotesi!$C$95)*Ipotesi!$C$96</f>
        <v>0</v>
      </c>
      <c r="BA78" s="15" t="n">
        <f aca="false">MAX(0,MIN(CG78*MIN(1,IF(Motore_Operativo!C78&gt;=EDATE(Finanziamenti!$D$15,Ipotesi!D14*12),Finanziamenti!$C$15,0)+IF(Motore_Operativo!C78&gt;=EDATE(Finanziamenti!$D$16,Ipotesi!D14*12),Finanziamenti!$C$16,0)+IF(Motore_Operativo!C78&gt;=EDATE(Finanziamenti!$D$17,Ipotesi!D14*12),Finanziamenti!$C$17,0)),CA78*Ipotesi!$C$102)-(CC77))</f>
        <v>12361.6666666667</v>
      </c>
      <c r="BB78" s="15" t="n">
        <f aca="false">IF(AND(CF78&gt;0,Motore_Operativo!C78&gt;=IF(CF78=0,0,EDATE(CF78,Parametri_v3!$C$37)),MOD(((D78-YEAR(IF(CF78=0,0,EDATE(CF78,Parametri_v3!$C$37))))*12+E78-MONTH(IF(CF78=0,0,EDATE(CF78,Parametri_v3!$C$37)))),Parametri_v3!$C$38)=0),MIN(MAX(0,(BC77)+BA78-N78),(CC78-CD78)/(Ipotesi!$C$108*12/Parametri_v3!$C$38)),0)</f>
        <v>0</v>
      </c>
      <c r="BC78" s="15" t="n">
        <f aca="false">(BC77)+BA78-N78-BB78</f>
        <v>57856.4093841065</v>
      </c>
      <c r="BD78" s="15" t="n">
        <f aca="false">(BH77)+AC78+AF78-AI78-AS78-K78*(1+Parametri_v3!$C$26)-AL78-AQ78-O78+AW78+AX78+AZ78+BA78-BB78</f>
        <v>-1696.46361420201</v>
      </c>
      <c r="BE78" s="15" t="n">
        <f aca="false">MAX(0,MIN(MAX(0,CH78-(BG77)),Parametri_v3!$C$30-BD78))</f>
        <v>26696.463614202</v>
      </c>
      <c r="BF78" s="15" t="n">
        <f aca="false">IF(Motore_Operativo!C78&gt;=Parametri_v3!$C$63,(BG77),MIN((BG77),MAX(0,BD78-Parametri_v3!$C$30)))</f>
        <v>0</v>
      </c>
      <c r="BG78" s="15" t="n">
        <f aca="false">(BG77)+BE78-BF78</f>
        <v>136208.717786956</v>
      </c>
      <c r="BH78" s="15" t="n">
        <f aca="false">BD78+BE78-BF78-AY78</f>
        <v>25000</v>
      </c>
      <c r="BI78" s="15" t="n">
        <f aca="false">MAX(0,Parametri_v3!$C$30-BH78)</f>
        <v>0</v>
      </c>
      <c r="BJ78" s="15" t="n">
        <f aca="false">(BJ77)+K78</f>
        <v>24166.6666666667</v>
      </c>
      <c r="BK78" s="15" t="n">
        <f aca="false">(BK77)+L78</f>
        <v>4895.83333333333</v>
      </c>
      <c r="BL78" s="15" t="n">
        <f aca="false">BJ78-BK78</f>
        <v>19270.8333333333</v>
      </c>
      <c r="BM78" s="15" t="n">
        <f aca="false">(BM77)+Y78</f>
        <v>-266307.844203907</v>
      </c>
      <c r="BN78" s="15" t="n">
        <f aca="false">(BN77)+AW78+AX78+AZ78</f>
        <v>130000</v>
      </c>
      <c r="BO78" s="15" t="n">
        <f aca="false">(BO77)+AY78</f>
        <v>0</v>
      </c>
      <c r="BP78" s="15" t="n">
        <f aca="false">0</f>
        <v>0</v>
      </c>
      <c r="BQ78" s="15" t="n">
        <f aca="false">BN78+BM78-BO78</f>
        <v>-136307.844203907</v>
      </c>
      <c r="BR78" s="15" t="n">
        <f aca="false">BH78+AD78+BL78+MAX(0,-AM78)+MAX(0,-AR78)+AG78</f>
        <v>115631.558738013</v>
      </c>
      <c r="BS78" s="15" t="n">
        <f aca="false">AJ78+AV78+MAX(0,AM78)+MAX(0,AR78)+BC78+BG78+BQ78</f>
        <v>115631.558738013</v>
      </c>
      <c r="BT78" s="15" t="n">
        <f aca="false">BR78-BS78</f>
        <v>0</v>
      </c>
      <c r="BU78" s="15" t="n">
        <f aca="false">BH78-(BD78+BE78-BF78-AY78)</f>
        <v>0</v>
      </c>
      <c r="BV78" s="15" t="n">
        <f aca="false">MIN(Piano_SS!$C$6,(BV77)+IF(AND(Motore_Operativo!C78&gt;=EDATE(Parametri_v3!$C$24,Ipotesi!D14*12),Motore_Operativo!C78&lt;EDATE(Parametri_v3!$C$24,Parametri_v3!$C$25+Ipotesi!D14*12)),MAX(0,(Motore_Operativo!Y78+Motore_Operativo!X78*Parametri_v3!$C$14)*(1-Parametri_v3!$C$32))*Piano_SS!$D$6,0))</f>
        <v>52962.5</v>
      </c>
      <c r="BW78" s="15" t="n">
        <f aca="false">MIN(Piano_SS!$C$7,(BW77)+IF(AND(Motore_Operativo!C78&gt;=EDATE(Parametri_v3!$C$24,Ipotesi!D14*12),Motore_Operativo!C78&lt;EDATE(Parametri_v3!$C$24,Parametri_v3!$C$25+Ipotesi!D14*12)),MAX(0,(IF(14-(INT((Ipotesi!$C$91)/30))&lt;1,0,INDEX(Motore_Operativo!$BN$65:$BN$124,MAX(1,14-(INT((Ipotesi!$C$91)/30)))))*(1-(MOD((Ipotesi!$C$91),30)/30))+IF(14-(INT((Ipotesi!$C$91)/30))-1&lt;1,0,INDEX(Motore_Operativo!$BN$65:$BN$124,MAX(1,14-(INT((Ipotesi!$C$91)/30))-1)))*(MOD((Ipotesi!$C$91),30)/30)))*Piano_SS!$D$7,0))</f>
        <v>10296.2962962963</v>
      </c>
      <c r="BX78" s="15" t="n">
        <f aca="false">MIN(Piano_SS!$C$8,(BX77)+IF(AND(Motore_Operativo!C78&gt;=EDATE(Parametri_v3!$C$24,Ipotesi!D14*12),Motore_Operativo!C78&lt;EDATE(Parametri_v3!$C$24,Parametri_v3!$C$25+Ipotesi!D14*12)),MAX(0,Motore_Operativo!CE78)*Piano_SS!$D$8,0))</f>
        <v>14166.6666666667</v>
      </c>
      <c r="BY78" s="15" t="n">
        <f aca="false">MIN(Piano_SS!$C$9,(BY77)+IF(AND(Motore_Operativo!C78&gt;=EDATE(Parametri_v3!$C$24,Ipotesi!D14*12),Motore_Operativo!C78&lt;EDATE(Parametri_v3!$C$24,Parametri_v3!$C$25+Ipotesi!D14*12)),MAX(0,((IF(14-(INT((Ipotesi!$C$91)/30))&lt;1,0,INDEX(Motore_Operativo!$BQ$65:$BQ$124,MAX(1,14-(INT((Ipotesi!$C$91)/30)))))*(1-(MOD((Ipotesi!$C$91),30)/30))+IF(14-(INT((Ipotesi!$C$91)/30))-1&lt;1,0,INDEX(Motore_Operativo!$BQ$65:$BQ$124,MAX(1,14-(INT((Ipotesi!$C$91)/30))-1)))*(MOD((Ipotesi!$C$91),30)/30))+(IF(14-(INT((Ipotesi!$C$91)/30))&lt;1,0,INDEX(Motore_Operativo!$BR$65:$BR$124,MAX(1,14-(INT((Ipotesi!$C$91)/30)))))*(1-(MOD((Ipotesi!$C$91),30)/30))+IF(14-(INT((Ipotesi!$C$91)/30))-1&lt;1,0,INDEX(Motore_Operativo!$BR$65:$BR$124,MAX(1,14-(INT((Ipotesi!$C$91)/30))-1)))*(MOD((Ipotesi!$C$91),30)/30))))*Piano_SS!$D$9,0))</f>
        <v>18000</v>
      </c>
      <c r="BZ78" s="15" t="n">
        <f aca="false">MIN(Piano_SS!$C$10,(BZ77)+IF(AND(Motore_Operativo!C78&gt;=EDATE(Parametri_v3!$C$24,Ipotesi!D14*12),Motore_Operativo!C78&lt;EDATE(Parametri_v3!$C$24,Parametri_v3!$C$25+Ipotesi!D14*12)),MAX(0,(IF(14-(INT((Ipotesi!$C$91)/30))&lt;1,0,INDEX(Motore_Operativo!$BO$65:$BO$124,MAX(1,14-(INT((Ipotesi!$C$91)/30)))))*(1-(MOD((Ipotesi!$C$91),30)/30))+IF(14-(INT((Ipotesi!$C$91)/30))-1&lt;1,0,INDEX(Motore_Operativo!$BO$65:$BO$124,MAX(1,14-(INT((Ipotesi!$C$91)/30))-1)))*(MOD((Ipotesi!$C$91),30)/30)))*Piano_SS!$D$10,0))</f>
        <v>8000</v>
      </c>
      <c r="CA78" s="15" t="n">
        <f aca="false">SUM(BV78:BZ78)</f>
        <v>103425.462962963</v>
      </c>
      <c r="CB78" s="15" t="n">
        <f aca="false">BV78*(1-Piano_SS!$E$6)+BW78*(1-Piano_SS!$E$7)+BX78*(1-Piano_SS!$E$8)+BY78*(1-Piano_SS!$E$9)+BZ78*(1-Piano_SS!$E$10)</f>
        <v>95425.462962963</v>
      </c>
      <c r="CC78" s="15" t="n">
        <f aca="false">(CC77)+BA78</f>
        <v>80000</v>
      </c>
      <c r="CD78" s="15" t="n">
        <f aca="false">IF(CA78=0,0,CC78*CB78/CA78*Ipotesi!$C$103*Parametri_v3!$C$64)</f>
        <v>22143.5906158935</v>
      </c>
      <c r="CE78" s="18" t="n">
        <f aca="false">IF(BA78&gt;0,Motore_Operativo!C78,(CE77))</f>
        <v>46784</v>
      </c>
      <c r="CF78" s="18" t="n">
        <f aca="false">IF(AND(CC78&gt;0,OR(CC78&gt;=CG78-0.01,Motore_Operativo!C78&gt;=EDATE(MAX(Finanziamenti!$D$15:$D$17),Ipotesi!D14*12))),CE78,0)</f>
        <v>0</v>
      </c>
      <c r="CG78" s="15" t="n">
        <f aca="false">IF(AND(2&lt;&gt;6,2&lt;&gt;9,Finanziamenti!$F$11=1,OR(Parametri_v3!$C$6=0,Finanziamenti!$E$11=1)),MIN(Finanziamenti!$C$11,Piano_SS!$C$12*Ipotesi!$C$102),0)</f>
        <v>400000</v>
      </c>
      <c r="CH78" s="15" t="n">
        <f aca="false">IF(AND(AND(2&lt;&gt;8,2&lt;&gt;9,Finanziamenti!$F$10=1,OR(Parametri_v3!$C$6=0,Finanziamenti!$E$10=1)),Motore_Operativo!C78&gt;=Finanziamenti!$D$10,Motore_Operativo!C78&lt;Parametri_v3!$C$63),Finanziamenti!$C$10,0)</f>
        <v>150000</v>
      </c>
    </row>
    <row r="79" customFormat="false" ht="18" hidden="false" customHeight="true" outlineLevel="0" collapsed="false">
      <c r="A79" s="68" t="n">
        <f aca="false">2</f>
        <v>2</v>
      </c>
      <c r="B79" s="68" t="n">
        <f aca="false">15</f>
        <v>15</v>
      </c>
      <c r="C79" s="18" t="n">
        <f aca="false">Motore_Operativo!C79</f>
        <v>46813</v>
      </c>
      <c r="D79" s="68" t="n">
        <f aca="false">Motore_Operativo!D79</f>
        <v>2028</v>
      </c>
      <c r="E79" s="68" t="n">
        <f aca="false">Motore_Operativo!E79</f>
        <v>3</v>
      </c>
      <c r="F79" s="15" t="n">
        <f aca="false">Motore_Operativo!AQ79+Motore_Operativo!BF79</f>
        <v>23942.2022250311</v>
      </c>
      <c r="G79" s="15" t="n">
        <f aca="false">Motore_Operativo!BH79</f>
        <v>3398.1220657277</v>
      </c>
      <c r="H79" s="15" t="n">
        <f aca="false">Motore_Operativo!BI79</f>
        <v>27340.3242907588</v>
      </c>
      <c r="I79" s="15" t="n">
        <f aca="false">Motore_Operativo!CA79</f>
        <v>57064.6853068095</v>
      </c>
      <c r="J79" s="15" t="n">
        <f aca="false">Motore_Operativo!CC79</f>
        <v>-29724.3610160507</v>
      </c>
      <c r="K79" s="15" t="n">
        <f aca="false">Motore_Operativo!CE79</f>
        <v>2083.33333333333</v>
      </c>
      <c r="L79" s="15" t="n">
        <f aca="false">SUM(INDEX($K$65:$K$124,MAX(1,15-Parametri_v3!$C$59+1)):K79)/Parametri_v3!$C$59</f>
        <v>729.166666666667</v>
      </c>
      <c r="M79" s="15" t="n">
        <f aca="false">J79-L79</f>
        <v>-30453.5276827174</v>
      </c>
      <c r="N79" s="15" t="n">
        <f aca="false">CD79-(CD78)</f>
        <v>-48.5387189827779</v>
      </c>
      <c r="O79" s="15" t="n">
        <f aca="false">(BG78)*Ipotesi!$C$110/12+CH79*Parametri_v3!$C$39/12</f>
        <v>681.043588934782</v>
      </c>
      <c r="P79" s="15" t="n">
        <f aca="false">M79+N79-O79</f>
        <v>-31183.1099906349</v>
      </c>
      <c r="Q79" s="15" t="n">
        <f aca="false">SUM(P77:P79)+Parametri_v3!$C$54*3/12</f>
        <v>-85989.3584621702</v>
      </c>
      <c r="R79" s="15" t="n">
        <f aca="false">Z76</f>
        <v>211501.595732372</v>
      </c>
      <c r="S79" s="15" t="n">
        <f aca="false">AA76</f>
        <v>0</v>
      </c>
      <c r="T79" s="15" t="n">
        <f aca="false">MIN(R79,MAX(0,Q79))</f>
        <v>0</v>
      </c>
      <c r="U79" s="15" t="n">
        <f aca="false">MIN(S79,MAX(0,Q79-T79)*Parametri_v3!$C$42)</f>
        <v>0</v>
      </c>
      <c r="V79" s="15" t="n">
        <f aca="false">MAX(0,Q79-T79-U79)*Ipotesi!$C$92</f>
        <v>0</v>
      </c>
      <c r="W79" s="15" t="n">
        <f aca="false">MAX(0,SUM(M77:M79)+Parametri_v3!$C$55*3/12)*Ipotesi!$C$93</f>
        <v>0</v>
      </c>
      <c r="X79" s="15" t="n">
        <f aca="false">V79+W79-(V78+W78)</f>
        <v>0</v>
      </c>
      <c r="Y79" s="15" t="n">
        <f aca="false">P79-X79</f>
        <v>-31183.1099906349</v>
      </c>
      <c r="Z79" s="15" t="n">
        <f aca="false">R79-T79+IF(AND(Parametri_v3!$C$40=1,D79-YEAR(Parametri_v3!$C$50)&lt;Parametri_v3!$C$41),MAX(0,-Q79),0)</f>
        <v>297490.954194542</v>
      </c>
      <c r="AA79" s="15" t="n">
        <f aca="false">S79-U79+IF(AND(Parametri_v3!$C$40=1,D79-YEAR(Parametri_v3!$C$50)&lt;Parametri_v3!$C$41),0,MAX(0,-Q79))</f>
        <v>0</v>
      </c>
      <c r="AB79" s="15" t="n">
        <f aca="false">F79*(1+Parametri_v3!$C$26)</f>
        <v>29209.486714538</v>
      </c>
      <c r="AC79" s="15" t="n">
        <f aca="false">(IF(15-(INT((Motore_Operativo!L79)/30))&lt;1,0,INDEX(Motore_Startup!$AB$65:$AB$124,MAX(1,15-(INT((Motore_Operativo!L79)/30)))))*(1-(MOD((Motore_Operativo!L79),30)/30))+IF(15-(INT((Motore_Operativo!L79)/30))-1&lt;1,0,INDEX(Motore_Startup!$AB$65:$AB$124,MAX(1,15-(INT((Motore_Operativo!L79)/30))-1)))*(MOD((Motore_Operativo!L79),30)/30))</f>
        <v>10110.1851851852</v>
      </c>
      <c r="AD79" s="15" t="n">
        <f aca="false">(AD78)+AB79-AC79</f>
        <v>86314.3180138442</v>
      </c>
      <c r="AE79" s="15" t="n">
        <f aca="false">Motore_Operativo!BH79*(1+Parametri_v3!$C$26)</f>
        <v>4145.70892018779</v>
      </c>
      <c r="AF79" s="15" t="n">
        <f aca="false">(IF(15-(INT((Parametri_v3!$C$29)/30))&lt;1,0,INDEX(Motore_Operativo!$BH$65:$BH$124,MAX(1,15-(INT((Parametri_v3!$C$29)/30)))))*(1-(MOD((Parametri_v3!$C$29),30)/30))+IF(15-(INT((Parametri_v3!$C$29)/30))-1&lt;1,0,INDEX(Motore_Operativo!$BH$65:$BH$124,MAX(1,15-(INT((Parametri_v3!$C$29)/30))-1)))*(MOD((Parametri_v3!$C$29),30)/30))*(1+Parametri_v3!$C$26)</f>
        <v>4145.70892018779</v>
      </c>
      <c r="AG79" s="15" t="n">
        <f aca="false">(AG78)+AE79-AF79</f>
        <v>4145.70892018779</v>
      </c>
      <c r="AH79" s="15" t="n">
        <f aca="false">(Motore_Operativo!CJ79)*(1+Parametri_v3!$C$27*Parametri_v3!$C$26)</f>
        <v>20537.6939591829</v>
      </c>
      <c r="AI79" s="15" t="n">
        <f aca="false">(IF(15-(INT((Ipotesi!$C$91)/30))&lt;1,0,INDEX(Motore_Startup!$AH$65:$AH$124,MAX(1,15-(INT((Ipotesi!$C$91)/30)))))*(1-(MOD((Ipotesi!$C$91),30)/30))+IF(15-(INT((Ipotesi!$C$91)/30))-1&lt;1,0,INDEX(Motore_Startup!$AH$65:$AH$124,MAX(1,15-(INT((Ipotesi!$C$91)/30))-1)))*(MOD((Ipotesi!$C$91),30)/30))</f>
        <v>20418.1834806332</v>
      </c>
      <c r="AJ79" s="15" t="n">
        <f aca="false">(AJ78)+AH79-AI79</f>
        <v>41015.8950041901</v>
      </c>
      <c r="AK79" s="15" t="n">
        <f aca="false">(F79+ Motore_Operativo!BH79-(Motore_Operativo!CJ79)*Parametri_v3!$C$27-Motore_Operativo!CE79)*Parametri_v3!$C$26</f>
        <v>2321.02935826023</v>
      </c>
      <c r="AL79" s="15" t="n">
        <f aca="false">MAX(0,(AM78))</f>
        <v>2251.64124521685</v>
      </c>
      <c r="AM79" s="15" t="n">
        <f aca="false">(AM78)+AK79-AL79</f>
        <v>2321.02935826023</v>
      </c>
      <c r="AN79" s="15" t="n">
        <f aca="false">SUM(X65:X76)</f>
        <v>0</v>
      </c>
      <c r="AO79" s="15" t="n">
        <f aca="false">SUM(AP65:AP76)</f>
        <v>0</v>
      </c>
      <c r="AP79" s="15" t="n">
        <f aca="false">MAX(0,AN79)*IF(3=Parametri_v3!$C$43,Parametri_v3!$C$45,IF(3=Parametri_v3!$C$44,1-Parametri_v3!$C$45,0))</f>
        <v>0</v>
      </c>
      <c r="AQ79" s="15" t="n">
        <f aca="false">MAX(0,AP79+IF(3=Parametri_v3!$C$43,MAX(0,AN79-AO79),0)-MAX(0,-(AR78)))</f>
        <v>0</v>
      </c>
      <c r="AR79" s="15" t="n">
        <f aca="false">(AR78)+X79-AQ79</f>
        <v>0</v>
      </c>
      <c r="AS79" s="15" t="n">
        <f aca="false">Motore_Operativo!AB79-AT79+AU79</f>
        <v>37774.375</v>
      </c>
      <c r="AT79" s="15" t="n">
        <f aca="false">Motore_Operativo!CH79</f>
        <v>1988.125</v>
      </c>
      <c r="AU79" s="15" t="n">
        <f aca="false">MIN(MAX(0,(AV78)+AT79),Parametri_v3!$C$60/12)</f>
        <v>0</v>
      </c>
      <c r="AV79" s="15" t="n">
        <f aca="false">(AV78)+AT79-AU79</f>
        <v>16714.375</v>
      </c>
      <c r="AW79" s="15" t="n">
        <f aca="false">IF(AND(Motore_Operativo!C79=Finanziamenti!$D$6,Finanziamenti!$F$6=1),Finanziamenti!$C$6,0)</f>
        <v>0</v>
      </c>
      <c r="AX79" s="15" t="n">
        <f aca="false">IF(AND(2&lt;&gt;7,2&lt;&gt;9,Finanziamenti!$F$8=1,OR(Parametri_v3!$C$6=0,Finanziamenti!$E$8=1),Motore_Operativo!C79=EDATE(Finanziamenti!$D$8,Ipotesi!D15*12)),Finanziamenti!$C$8*1,0)+IF(AND(2&lt;&gt;7,2&lt;&gt;9,Finanziamenti!$F$9=1,OR(Parametri_v3!$C$6=0,Finanziamenti!$E$9=1),Motore_Operativo!C79=EDATE(Finanziamenti!$D$9,Ipotesi!D15*12)),Finanziamenti!$C$9*Ipotesi!D16,0)</f>
        <v>0</v>
      </c>
      <c r="AY79" s="15" t="n">
        <f aca="false">0</f>
        <v>0</v>
      </c>
      <c r="AZ79" s="15" t="n">
        <f aca="false">Motore_Advisory!AY79*(1-Ipotesi!$C$95)*Ipotesi!$C$96</f>
        <v>0</v>
      </c>
      <c r="BA79" s="15" t="n">
        <f aca="false">MAX(0,MIN(CG79*MIN(1,IF(Motore_Operativo!C79&gt;=EDATE(Finanziamenti!$D$15,Ipotesi!D14*12),Finanziamenti!$C$15,0)+IF(Motore_Operativo!C79&gt;=EDATE(Finanziamenti!$D$16,Ipotesi!D14*12),Finanziamenti!$C$16,0)+IF(Motore_Operativo!C79&gt;=EDATE(Finanziamenti!$D$17,Ipotesi!D14*12),Finanziamenti!$C$17,0)),CA79*Ipotesi!$C$102)-(CC78))</f>
        <v>0</v>
      </c>
      <c r="BB79" s="15" t="n">
        <f aca="false">IF(AND(CF79&gt;0,Motore_Operativo!C79&gt;=IF(CF79=0,0,EDATE(CF79,Parametri_v3!$C$37)),MOD(((D79-YEAR(IF(CF79=0,0,EDATE(CF79,Parametri_v3!$C$37))))*12+E79-MONTH(IF(CF79=0,0,EDATE(CF79,Parametri_v3!$C$37)))),Parametri_v3!$C$38)=0),MIN(MAX(0,(BC78)+BA79-N79),(CC79-CD79)/(Ipotesi!$C$108*12/Parametri_v3!$C$38)),0)</f>
        <v>0</v>
      </c>
      <c r="BC79" s="15" t="n">
        <f aca="false">(BC78)+BA79-N79-BB79</f>
        <v>57904.9481030893</v>
      </c>
      <c r="BD79" s="15" t="n">
        <f aca="false">(BH78)+AC79+AF79-AI79-AS79-K79*(1+Parametri_v3!$C$26)-AL79-AQ79-O79+AW79+AX79+AZ79+BA79-BB79</f>
        <v>-24411.0158760785</v>
      </c>
      <c r="BE79" s="15" t="n">
        <f aca="false">MAX(0,MIN(MAX(0,CH79-(BG78)),Parametri_v3!$C$30-BD79))</f>
        <v>13791.2822130436</v>
      </c>
      <c r="BF79" s="15" t="n">
        <f aca="false">IF(Motore_Operativo!C79&gt;=Parametri_v3!$C$63,(BG78),MIN((BG78),MAX(0,BD79-Parametri_v3!$C$30)))</f>
        <v>0</v>
      </c>
      <c r="BG79" s="15" t="n">
        <f aca="false">(BG78)+BE79-BF79</f>
        <v>150000</v>
      </c>
      <c r="BH79" s="15" t="n">
        <f aca="false">BD79+BE79-BF79-AY79</f>
        <v>-10619.7336630349</v>
      </c>
      <c r="BI79" s="15" t="n">
        <f aca="false">MAX(0,Parametri_v3!$C$30-BH79)</f>
        <v>35619.7336630349</v>
      </c>
      <c r="BJ79" s="15" t="n">
        <f aca="false">(BJ78)+K79</f>
        <v>26250</v>
      </c>
      <c r="BK79" s="15" t="n">
        <f aca="false">(BK78)+L79</f>
        <v>5625</v>
      </c>
      <c r="BL79" s="15" t="n">
        <f aca="false">BJ79-BK79</f>
        <v>20625</v>
      </c>
      <c r="BM79" s="15" t="n">
        <f aca="false">(BM78)+Y79</f>
        <v>-297490.954194542</v>
      </c>
      <c r="BN79" s="15" t="n">
        <f aca="false">(BN78)+AW79+AX79+AZ79</f>
        <v>130000</v>
      </c>
      <c r="BO79" s="15" t="n">
        <f aca="false">(BO78)+AY79</f>
        <v>0</v>
      </c>
      <c r="BP79" s="15" t="n">
        <f aca="false">0</f>
        <v>0</v>
      </c>
      <c r="BQ79" s="15" t="n">
        <f aca="false">BN79+BM79-BO79</f>
        <v>-167490.954194542</v>
      </c>
      <c r="BR79" s="15" t="n">
        <f aca="false">BH79+AD79+BL79+MAX(0,-AM79)+MAX(0,-AR79)+AG79</f>
        <v>100465.293270997</v>
      </c>
      <c r="BS79" s="15" t="n">
        <f aca="false">AJ79+AV79+MAX(0,AM79)+MAX(0,AR79)+BC79+BG79+BQ79</f>
        <v>100465.293270997</v>
      </c>
      <c r="BT79" s="15" t="n">
        <f aca="false">BR79-BS79</f>
        <v>0</v>
      </c>
      <c r="BU79" s="15" t="n">
        <f aca="false">BH79-(BD79+BE79-BF79-AY79)</f>
        <v>0</v>
      </c>
      <c r="BV79" s="15" t="n">
        <f aca="false">MIN(Piano_SS!$C$6,(BV78)+IF(AND(Motore_Operativo!C79&gt;=EDATE(Parametri_v3!$C$24,Ipotesi!D14*12),Motore_Operativo!C79&lt;EDATE(Parametri_v3!$C$24,Parametri_v3!$C$25+Ipotesi!D14*12)),MAX(0,(Motore_Operativo!Y79+Motore_Operativo!X79*Parametri_v3!$C$14)*(1-Parametri_v3!$C$32))*Piano_SS!$D$6,0))</f>
        <v>65193.75</v>
      </c>
      <c r="BW79" s="15" t="n">
        <f aca="false">MIN(Piano_SS!$C$7,(BW78)+IF(AND(Motore_Operativo!C79&gt;=EDATE(Parametri_v3!$C$24,Ipotesi!D14*12),Motore_Operativo!C79&lt;EDATE(Parametri_v3!$C$24,Parametri_v3!$C$25+Ipotesi!D14*12)),MAX(0,(IF(15-(INT((Ipotesi!$C$91)/30))&lt;1,0,INDEX(Motore_Operativo!$BN$65:$BN$124,MAX(1,15-(INT((Ipotesi!$C$91)/30)))))*(1-(MOD((Ipotesi!$C$91),30)/30))+IF(15-(INT((Ipotesi!$C$91)/30))-1&lt;1,0,INDEX(Motore_Operativo!$BN$65:$BN$124,MAX(1,15-(INT((Ipotesi!$C$91)/30))-1)))*(MOD((Ipotesi!$C$91),30)/30)))*Piano_SS!$D$7,0))</f>
        <v>11694.1394481586</v>
      </c>
      <c r="BX79" s="15" t="n">
        <f aca="false">MIN(Piano_SS!$C$8,(BX78)+IF(AND(Motore_Operativo!C79&gt;=EDATE(Parametri_v3!$C$24,Ipotesi!D14*12),Motore_Operativo!C79&lt;EDATE(Parametri_v3!$C$24,Parametri_v3!$C$25+Ipotesi!D14*12)),MAX(0,Motore_Operativo!CE79)*Piano_SS!$D$8,0))</f>
        <v>16250</v>
      </c>
      <c r="BY79" s="15" t="n">
        <f aca="false">MIN(Piano_SS!$C$9,(BY78)+IF(AND(Motore_Operativo!C79&gt;=EDATE(Parametri_v3!$C$24,Ipotesi!D14*12),Motore_Operativo!C79&lt;EDATE(Parametri_v3!$C$24,Parametri_v3!$C$25+Ipotesi!D14*12)),MAX(0,((IF(15-(INT((Ipotesi!$C$91)/30))&lt;1,0,INDEX(Motore_Operativo!$BQ$65:$BQ$124,MAX(1,15-(INT((Ipotesi!$C$91)/30)))))*(1-(MOD((Ipotesi!$C$91),30)/30))+IF(15-(INT((Ipotesi!$C$91)/30))-1&lt;1,0,INDEX(Motore_Operativo!$BQ$65:$BQ$124,MAX(1,15-(INT((Ipotesi!$C$91)/30))-1)))*(MOD((Ipotesi!$C$91),30)/30))+(IF(15-(INT((Ipotesi!$C$91)/30))&lt;1,0,INDEX(Motore_Operativo!$BR$65:$BR$124,MAX(1,15-(INT((Ipotesi!$C$91)/30)))))*(1-(MOD((Ipotesi!$C$91),30)/30))+IF(15-(INT((Ipotesi!$C$91)/30))-1&lt;1,0,INDEX(Motore_Operativo!$BR$65:$BR$124,MAX(1,15-(INT((Ipotesi!$C$91)/30))-1)))*(MOD((Ipotesi!$C$91),30)/30))))*Piano_SS!$D$9,0))</f>
        <v>20916.6666666667</v>
      </c>
      <c r="BZ79" s="15" t="n">
        <f aca="false">MIN(Piano_SS!$C$10,(BZ78)+IF(AND(Motore_Operativo!C79&gt;=EDATE(Parametri_v3!$C$24,Ipotesi!D14*12),Motore_Operativo!C79&lt;EDATE(Parametri_v3!$C$24,Parametri_v3!$C$25+Ipotesi!D14*12)),MAX(0,(IF(15-(INT((Ipotesi!$C$91)/30))&lt;1,0,INDEX(Motore_Operativo!$BO$65:$BO$124,MAX(1,15-(INT((Ipotesi!$C$91)/30)))))*(1-(MOD((Ipotesi!$C$91),30)/30))+IF(15-(INT((Ipotesi!$C$91)/30))-1&lt;1,0,INDEX(Motore_Operativo!$BO$65:$BO$124,MAX(1,15-(INT((Ipotesi!$C$91)/30))-1)))*(MOD((Ipotesi!$C$91),30)/30)))*Piano_SS!$D$10,0))</f>
        <v>9833.33333333333</v>
      </c>
      <c r="CA79" s="15" t="n">
        <f aca="false">SUM(BV79:BZ79)</f>
        <v>123887.889448159</v>
      </c>
      <c r="CB79" s="15" t="n">
        <f aca="false">BV79*(1-Piano_SS!$E$6)+BW79*(1-Piano_SS!$E$7)+BX79*(1-Piano_SS!$E$8)+BY79*(1-Piano_SS!$E$9)+BZ79*(1-Piano_SS!$E$10)</f>
        <v>114054.556114825</v>
      </c>
      <c r="CC79" s="15" t="n">
        <f aca="false">(CC78)+BA79</f>
        <v>80000</v>
      </c>
      <c r="CD79" s="15" t="n">
        <f aca="false">IF(CA79=0,0,CC79*CB79/CA79*Ipotesi!$C$103*Parametri_v3!$C$64)</f>
        <v>22095.0518969108</v>
      </c>
      <c r="CE79" s="18" t="n">
        <f aca="false">IF(BA79&gt;0,Motore_Operativo!C79,(CE78))</f>
        <v>46784</v>
      </c>
      <c r="CF79" s="18" t="n">
        <f aca="false">IF(AND(CC79&gt;0,OR(CC79&gt;=CG79-0.01,Motore_Operativo!C79&gt;=EDATE(MAX(Finanziamenti!$D$15:$D$17),Ipotesi!D14*12))),CE79,0)</f>
        <v>0</v>
      </c>
      <c r="CG79" s="15" t="n">
        <f aca="false">IF(AND(2&lt;&gt;6,2&lt;&gt;9,Finanziamenti!$F$11=1,OR(Parametri_v3!$C$6=0,Finanziamenti!$E$11=1)),MIN(Finanziamenti!$C$11,Piano_SS!$C$12*Ipotesi!$C$102),0)</f>
        <v>400000</v>
      </c>
      <c r="CH79" s="15" t="n">
        <f aca="false">IF(AND(AND(2&lt;&gt;8,2&lt;&gt;9,Finanziamenti!$F$10=1,OR(Parametri_v3!$C$6=0,Finanziamenti!$E$10=1)),Motore_Operativo!C79&gt;=Finanziamenti!$D$10,Motore_Operativo!C79&lt;Parametri_v3!$C$63),Finanziamenti!$C$10,0)</f>
        <v>150000</v>
      </c>
    </row>
    <row r="80" customFormat="false" ht="18" hidden="false" customHeight="true" outlineLevel="0" collapsed="false">
      <c r="A80" s="68" t="n">
        <f aca="false">2</f>
        <v>2</v>
      </c>
      <c r="B80" s="68" t="n">
        <f aca="false">16</f>
        <v>16</v>
      </c>
      <c r="C80" s="18" t="n">
        <f aca="false">Motore_Operativo!C80</f>
        <v>46844</v>
      </c>
      <c r="D80" s="68" t="n">
        <f aca="false">Motore_Operativo!D80</f>
        <v>2028</v>
      </c>
      <c r="E80" s="68" t="n">
        <f aca="false">Motore_Operativo!E80</f>
        <v>4</v>
      </c>
      <c r="F80" s="15" t="n">
        <f aca="false">Motore_Operativo!AQ80+Motore_Operativo!BF80</f>
        <v>24588.3602789749</v>
      </c>
      <c r="G80" s="15" t="n">
        <f aca="false">Motore_Operativo!BH80</f>
        <v>3398.1220657277</v>
      </c>
      <c r="H80" s="15" t="n">
        <f aca="false">Motore_Operativo!BI80</f>
        <v>27986.4823447026</v>
      </c>
      <c r="I80" s="15" t="n">
        <f aca="false">Motore_Operativo!CA80</f>
        <v>57155.1474343617</v>
      </c>
      <c r="J80" s="15" t="n">
        <f aca="false">Motore_Operativo!CC80</f>
        <v>-29168.665089659</v>
      </c>
      <c r="K80" s="15" t="n">
        <f aca="false">Motore_Operativo!CE80</f>
        <v>2083.33333333333</v>
      </c>
      <c r="L80" s="15" t="n">
        <f aca="false">SUM(INDEX($K$65:$K$124,MAX(1,16-Parametri_v3!$C$59+1)):K80)/Parametri_v3!$C$59</f>
        <v>787.037037037037</v>
      </c>
      <c r="M80" s="15" t="n">
        <f aca="false">J80-L80</f>
        <v>-29955.7021266961</v>
      </c>
      <c r="N80" s="15" t="n">
        <f aca="false">CD80-(CD79)</f>
        <v>-34.3893019331663</v>
      </c>
      <c r="O80" s="15" t="n">
        <f aca="false">(BG79)*Ipotesi!$C$110/12+CH80*Parametri_v3!$C$39/12</f>
        <v>750</v>
      </c>
      <c r="P80" s="15" t="n">
        <f aca="false">M80+N80-O80</f>
        <v>-30740.0914286292</v>
      </c>
      <c r="Q80" s="15" t="n">
        <f aca="false">SUM(P77:P80)+Parametri_v3!$C$54*4/12</f>
        <v>-116729.449890799</v>
      </c>
      <c r="R80" s="15" t="n">
        <f aca="false">Z76</f>
        <v>211501.595732372</v>
      </c>
      <c r="S80" s="15" t="n">
        <f aca="false">AA76</f>
        <v>0</v>
      </c>
      <c r="T80" s="15" t="n">
        <f aca="false">MIN(R80,MAX(0,Q80))</f>
        <v>0</v>
      </c>
      <c r="U80" s="15" t="n">
        <f aca="false">MIN(S80,MAX(0,Q80-T80)*Parametri_v3!$C$42)</f>
        <v>0</v>
      </c>
      <c r="V80" s="15" t="n">
        <f aca="false">MAX(0,Q80-T80-U80)*Ipotesi!$C$92</f>
        <v>0</v>
      </c>
      <c r="W80" s="15" t="n">
        <f aca="false">MAX(0,SUM(M77:M80)+Parametri_v3!$C$55*4/12)*Ipotesi!$C$93</f>
        <v>0</v>
      </c>
      <c r="X80" s="15" t="n">
        <f aca="false">V80+W80-(V79+W79)</f>
        <v>0</v>
      </c>
      <c r="Y80" s="15" t="n">
        <f aca="false">P80-X80</f>
        <v>-30740.0914286292</v>
      </c>
      <c r="Z80" s="15" t="n">
        <f aca="false">R80-T80+IF(AND(Parametri_v3!$C$40=1,D80-YEAR(Parametri_v3!$C$50)&lt;Parametri_v3!$C$41),MAX(0,-Q80),0)</f>
        <v>328231.045623172</v>
      </c>
      <c r="AA80" s="15" t="n">
        <f aca="false">S80-U80+IF(AND(Parametri_v3!$C$40=1,D80-YEAR(Parametri_v3!$C$50)&lt;Parametri_v3!$C$41),0,MAX(0,-Q80))</f>
        <v>0</v>
      </c>
      <c r="AB80" s="15" t="n">
        <f aca="false">F80*(1+Parametri_v3!$C$26)</f>
        <v>29997.7995403494</v>
      </c>
      <c r="AC80" s="15" t="n">
        <f aca="false">(IF(16-(INT((Motore_Operativo!L80)/30))&lt;1,0,INDEX(Motore_Startup!$AB$65:$AB$124,MAX(1,16-(INT((Motore_Operativo!L80)/30)))))*(1-(MOD((Motore_Operativo!L80),30)/30))+IF(16-(INT((Motore_Operativo!L80)/30))-1&lt;1,0,INDEX(Motore_Startup!$AB$65:$AB$124,MAX(1,16-(INT((Motore_Operativo!L80)/30))-1)))*(MOD((Motore_Operativo!L80),30)/30))</f>
        <v>28332.1080658998</v>
      </c>
      <c r="AD80" s="15" t="n">
        <f aca="false">(AD79)+AB80-AC80</f>
        <v>87980.0094882938</v>
      </c>
      <c r="AE80" s="15" t="n">
        <f aca="false">Motore_Operativo!BH80*(1+Parametri_v3!$C$26)</f>
        <v>4145.70892018779</v>
      </c>
      <c r="AF80" s="15" t="n">
        <f aca="false">(IF(16-(INT((Parametri_v3!$C$29)/30))&lt;1,0,INDEX(Motore_Operativo!$BH$65:$BH$124,MAX(1,16-(INT((Parametri_v3!$C$29)/30)))))*(1-(MOD((Parametri_v3!$C$29),30)/30))+IF(16-(INT((Parametri_v3!$C$29)/30))-1&lt;1,0,INDEX(Motore_Operativo!$BH$65:$BH$124,MAX(1,16-(INT((Parametri_v3!$C$29)/30))-1)))*(MOD((Parametri_v3!$C$29),30)/30))*(1+Parametri_v3!$C$26)</f>
        <v>4145.70892018779</v>
      </c>
      <c r="AG80" s="15" t="n">
        <f aca="false">(AG79)+AE80-AF80</f>
        <v>4145.70892018779</v>
      </c>
      <c r="AH80" s="15" t="n">
        <f aca="false">(Motore_Operativo!CJ80)*(1+Parametri_v3!$C$27*Parametri_v3!$C$26)</f>
        <v>20645.0725045873</v>
      </c>
      <c r="AI80" s="15" t="n">
        <f aca="false">(IF(16-(INT((Ipotesi!$C$91)/30))&lt;1,0,INDEX(Motore_Startup!$AH$65:$AH$124,MAX(1,16-(INT((Ipotesi!$C$91)/30)))))*(1-(MOD((Ipotesi!$C$91),30)/30))+IF(16-(INT((Ipotesi!$C$91)/30))-1&lt;1,0,INDEX(Motore_Startup!$AH$65:$AH$124,MAX(1,16-(INT((Ipotesi!$C$91)/30))-1)))*(MOD((Ipotesi!$C$91),30)/30))</f>
        <v>20478.2010450071</v>
      </c>
      <c r="AJ80" s="15" t="n">
        <f aca="false">(AJ79)+AH80-AI80</f>
        <v>41182.7664637702</v>
      </c>
      <c r="AK80" s="15" t="n">
        <f aca="false">(F80+ Motore_Operativo!BH80-(Motore_Operativo!CJ80)*Parametri_v3!$C$27-Motore_Operativo!CE80)*Parametri_v3!$C$26</f>
        <v>2446.26771227562</v>
      </c>
      <c r="AL80" s="15" t="n">
        <f aca="false">MAX(0,(AM79))</f>
        <v>2321.02935826023</v>
      </c>
      <c r="AM80" s="15" t="n">
        <f aca="false">(AM79)+AK80-AL80</f>
        <v>2446.26771227562</v>
      </c>
      <c r="AN80" s="15" t="n">
        <f aca="false">SUM(X65:X76)</f>
        <v>0</v>
      </c>
      <c r="AO80" s="15" t="n">
        <f aca="false">SUM(AP65:AP76)</f>
        <v>0</v>
      </c>
      <c r="AP80" s="15" t="n">
        <f aca="false">MAX(0,AN80)*IF(4=Parametri_v3!$C$43,Parametri_v3!$C$45,IF(4=Parametri_v3!$C$44,1-Parametri_v3!$C$45,0))</f>
        <v>0</v>
      </c>
      <c r="AQ80" s="15" t="n">
        <f aca="false">MAX(0,AP80+IF(4=Parametri_v3!$C$43,MAX(0,AN80-AO80),0)-MAX(0,-(AR79)))</f>
        <v>0</v>
      </c>
      <c r="AR80" s="15" t="n">
        <f aca="false">(AR79)+X80-AQ80</f>
        <v>0</v>
      </c>
      <c r="AS80" s="15" t="n">
        <f aca="false">Motore_Operativo!AB80-AT80+AU80</f>
        <v>37774.375</v>
      </c>
      <c r="AT80" s="15" t="n">
        <f aca="false">Motore_Operativo!CH80</f>
        <v>1988.125</v>
      </c>
      <c r="AU80" s="15" t="n">
        <f aca="false">MIN(MAX(0,(AV79)+AT80),Parametri_v3!$C$60/12)</f>
        <v>0</v>
      </c>
      <c r="AV80" s="15" t="n">
        <f aca="false">(AV79)+AT80-AU80</f>
        <v>18702.5</v>
      </c>
      <c r="AW80" s="15" t="n">
        <f aca="false">IF(AND(Motore_Operativo!C80=Finanziamenti!$D$6,Finanziamenti!$F$6=1),Finanziamenti!$C$6,0)</f>
        <v>0</v>
      </c>
      <c r="AX80" s="15" t="n">
        <f aca="false">IF(AND(2&lt;&gt;7,2&lt;&gt;9,Finanziamenti!$F$8=1,OR(Parametri_v3!$C$6=0,Finanziamenti!$E$8=1),Motore_Operativo!C80=EDATE(Finanziamenti!$D$8,Ipotesi!D15*12)),Finanziamenti!$C$8*1,0)+IF(AND(2&lt;&gt;7,2&lt;&gt;9,Finanziamenti!$F$9=1,OR(Parametri_v3!$C$6=0,Finanziamenti!$E$9=1),Motore_Operativo!C80=EDATE(Finanziamenti!$D$9,Ipotesi!D15*12)),Finanziamenti!$C$9*Ipotesi!D16,0)</f>
        <v>0</v>
      </c>
      <c r="AY80" s="15" t="n">
        <f aca="false">0</f>
        <v>0</v>
      </c>
      <c r="AZ80" s="15" t="n">
        <f aca="false">Motore_Advisory!AY80*(1-Ipotesi!$C$95)*Ipotesi!$C$96</f>
        <v>0</v>
      </c>
      <c r="BA80" s="15" t="n">
        <f aca="false">MAX(0,MIN(CG80*MIN(1,IF(Motore_Operativo!C80&gt;=EDATE(Finanziamenti!$D$15,Ipotesi!D14*12),Finanziamenti!$C$15,0)+IF(Motore_Operativo!C80&gt;=EDATE(Finanziamenti!$D$16,Ipotesi!D14*12),Finanziamenti!$C$16,0)+IF(Motore_Operativo!C80&gt;=EDATE(Finanziamenti!$D$17,Ipotesi!D14*12),Finanziamenti!$C$17,0)),CA80*Ipotesi!$C$102)-(CC79))</f>
        <v>0</v>
      </c>
      <c r="BB80" s="15" t="n">
        <f aca="false">IF(AND(CF80&gt;0,Motore_Operativo!C80&gt;=IF(CF80=0,0,EDATE(CF80,Parametri_v3!$C$37)),MOD(((D80-YEAR(IF(CF80=0,0,EDATE(CF80,Parametri_v3!$C$37))))*12+E80-MONTH(IF(CF80=0,0,EDATE(CF80,Parametri_v3!$C$37)))),Parametri_v3!$C$38)=0),MIN(MAX(0,(BC79)+BA80-N80),(CC80-CD80)/(Ipotesi!$C$108*12/Parametri_v3!$C$38)),0)</f>
        <v>0</v>
      </c>
      <c r="BC80" s="15" t="n">
        <f aca="false">(BC79)+BA80-N80-BB80</f>
        <v>57939.3374050224</v>
      </c>
      <c r="BD80" s="15" t="n">
        <f aca="false">(BH79)+AC80+AF80-AI80-AS80-K80*(1+Parametri_v3!$C$26)-AL80-AQ80-O80+AW80+AX80+AZ80+BA80-BB80</f>
        <v>-42007.1887468814</v>
      </c>
      <c r="BE80" s="15" t="n">
        <f aca="false">MAX(0,MIN(MAX(0,CH80-(BG79)),Parametri_v3!$C$30-BD80))</f>
        <v>0</v>
      </c>
      <c r="BF80" s="15" t="n">
        <f aca="false">IF(Motore_Operativo!C80&gt;=Parametri_v3!$C$63,(BG79),MIN((BG79),MAX(0,BD80-Parametri_v3!$C$30)))</f>
        <v>0</v>
      </c>
      <c r="BG80" s="15" t="n">
        <f aca="false">(BG79)+BE80-BF80</f>
        <v>150000</v>
      </c>
      <c r="BH80" s="15" t="n">
        <f aca="false">BD80+BE80-BF80-AY80</f>
        <v>-42007.1887468814</v>
      </c>
      <c r="BI80" s="15" t="n">
        <f aca="false">MAX(0,Parametri_v3!$C$30-BH80)</f>
        <v>67007.1887468814</v>
      </c>
      <c r="BJ80" s="15" t="n">
        <f aca="false">(BJ79)+K80</f>
        <v>28333.3333333333</v>
      </c>
      <c r="BK80" s="15" t="n">
        <f aca="false">(BK79)+L80</f>
        <v>6412.03703703704</v>
      </c>
      <c r="BL80" s="15" t="n">
        <f aca="false">BJ80-BK80</f>
        <v>21921.2962962963</v>
      </c>
      <c r="BM80" s="15" t="n">
        <f aca="false">(BM79)+Y80</f>
        <v>-328231.045623172</v>
      </c>
      <c r="BN80" s="15" t="n">
        <f aca="false">(BN79)+AW80+AX80+AZ80</f>
        <v>130000</v>
      </c>
      <c r="BO80" s="15" t="n">
        <f aca="false">(BO79)+AY80</f>
        <v>0</v>
      </c>
      <c r="BP80" s="15" t="n">
        <f aca="false">0</f>
        <v>0</v>
      </c>
      <c r="BQ80" s="15" t="n">
        <f aca="false">BN80+BM80-BO80</f>
        <v>-198231.045623172</v>
      </c>
      <c r="BR80" s="15" t="n">
        <f aca="false">BH80+AD80+BL80+MAX(0,-AM80)+MAX(0,-AR80)+AG80</f>
        <v>72039.8259578966</v>
      </c>
      <c r="BS80" s="15" t="n">
        <f aca="false">AJ80+AV80+MAX(0,AM80)+MAX(0,AR80)+BC80+BG80+BQ80</f>
        <v>72039.8259578967</v>
      </c>
      <c r="BT80" s="15" t="n">
        <f aca="false">BR80-BS80</f>
        <v>0</v>
      </c>
      <c r="BU80" s="15" t="n">
        <f aca="false">BH80-(BD80+BE80-BF80-AY80)</f>
        <v>0</v>
      </c>
      <c r="BV80" s="15" t="n">
        <f aca="false">MIN(Piano_SS!$C$6,(BV79)+IF(AND(Motore_Operativo!C80&gt;=EDATE(Parametri_v3!$C$24,Ipotesi!D14*12),Motore_Operativo!C80&lt;EDATE(Parametri_v3!$C$24,Parametri_v3!$C$25+Ipotesi!D14*12)),MAX(0,(Motore_Operativo!Y80+Motore_Operativo!X80*Parametri_v3!$C$14)*(1-Parametri_v3!$C$32))*Piano_SS!$D$6,0))</f>
        <v>77425</v>
      </c>
      <c r="BW80" s="15" t="n">
        <f aca="false">MIN(Piano_SS!$C$7,(BW79)+IF(AND(Motore_Operativo!C80&gt;=EDATE(Parametri_v3!$C$24,Ipotesi!D14*12),Motore_Operativo!C80&lt;EDATE(Parametri_v3!$C$24,Parametri_v3!$C$25+Ipotesi!D14*12)),MAX(0,(IF(16-(INT((Ipotesi!$C$91)/30))&lt;1,0,INDEX(Motore_Operativo!$BN$65:$BN$124,MAX(1,16-(INT((Ipotesi!$C$91)/30)))))*(1-(MOD((Ipotesi!$C$91),30)/30))+IF(16-(INT((Ipotesi!$C$91)/30))-1&lt;1,0,INDEX(Motore_Operativo!$BN$65:$BN$124,MAX(1,16-(INT((Ipotesi!$C$91)/30))-1)))*(MOD((Ipotesi!$C$91),30)/30)))*Piano_SS!$D$7,0))</f>
        <v>13120.8753978901</v>
      </c>
      <c r="BX80" s="15" t="n">
        <f aca="false">MIN(Piano_SS!$C$8,(BX79)+IF(AND(Motore_Operativo!C80&gt;=EDATE(Parametri_v3!$C$24,Ipotesi!D14*12),Motore_Operativo!C80&lt;EDATE(Parametri_v3!$C$24,Parametri_v3!$C$25+Ipotesi!D14*12)),MAX(0,Motore_Operativo!CE80)*Piano_SS!$D$8,0))</f>
        <v>18333.3333333333</v>
      </c>
      <c r="BY80" s="15" t="n">
        <f aca="false">MIN(Piano_SS!$C$9,(BY79)+IF(AND(Motore_Operativo!C80&gt;=EDATE(Parametri_v3!$C$24,Ipotesi!D14*12),Motore_Operativo!C80&lt;EDATE(Parametri_v3!$C$24,Parametri_v3!$C$25+Ipotesi!D14*12)),MAX(0,((IF(16-(INT((Ipotesi!$C$91)/30))&lt;1,0,INDEX(Motore_Operativo!$BQ$65:$BQ$124,MAX(1,16-(INT((Ipotesi!$C$91)/30)))))*(1-(MOD((Ipotesi!$C$91),30)/30))+IF(16-(INT((Ipotesi!$C$91)/30))-1&lt;1,0,INDEX(Motore_Operativo!$BQ$65:$BQ$124,MAX(1,16-(INT((Ipotesi!$C$91)/30))-1)))*(MOD((Ipotesi!$C$91),30)/30))+(IF(16-(INT((Ipotesi!$C$91)/30))&lt;1,0,INDEX(Motore_Operativo!$BR$65:$BR$124,MAX(1,16-(INT((Ipotesi!$C$91)/30)))))*(1-(MOD((Ipotesi!$C$91),30)/30))+IF(16-(INT((Ipotesi!$C$91)/30))-1&lt;1,0,INDEX(Motore_Operativo!$BR$65:$BR$124,MAX(1,16-(INT((Ipotesi!$C$91)/30))-1)))*(MOD((Ipotesi!$C$91),30)/30))))*Piano_SS!$D$9,0))</f>
        <v>23833.3333333333</v>
      </c>
      <c r="BZ80" s="15" t="n">
        <f aca="false">MIN(Piano_SS!$C$10,(BZ79)+IF(AND(Motore_Operativo!C80&gt;=EDATE(Parametri_v3!$C$24,Ipotesi!D14*12),Motore_Operativo!C80&lt;EDATE(Parametri_v3!$C$24,Parametri_v3!$C$25+Ipotesi!D14*12)),MAX(0,(IF(16-(INT((Ipotesi!$C$91)/30))&lt;1,0,INDEX(Motore_Operativo!$BO$65:$BO$124,MAX(1,16-(INT((Ipotesi!$C$91)/30)))))*(1-(MOD((Ipotesi!$C$91),30)/30))+IF(16-(INT((Ipotesi!$C$91)/30))-1&lt;1,0,INDEX(Motore_Operativo!$BO$65:$BO$124,MAX(1,16-(INT((Ipotesi!$C$91)/30))-1)))*(MOD((Ipotesi!$C$91),30)/30)))*Piano_SS!$D$10,0))</f>
        <v>11666.6666666667</v>
      </c>
      <c r="CA80" s="15" t="n">
        <f aca="false">SUM(BV80:BZ80)</f>
        <v>144379.208731223</v>
      </c>
      <c r="CB80" s="15" t="n">
        <f aca="false">BV80*(1-Piano_SS!$E$6)+BW80*(1-Piano_SS!$E$7)+BX80*(1-Piano_SS!$E$8)+BY80*(1-Piano_SS!$E$9)+BZ80*(1-Piano_SS!$E$10)</f>
        <v>132712.542064557</v>
      </c>
      <c r="CC80" s="15" t="n">
        <f aca="false">(CC79)+BA80</f>
        <v>80000</v>
      </c>
      <c r="CD80" s="15" t="n">
        <f aca="false">IF(CA80=0,0,CC80*CB80/CA80*Ipotesi!$C$103*Parametri_v3!$C$64)</f>
        <v>22060.6625949776</v>
      </c>
      <c r="CE80" s="18" t="n">
        <f aca="false">IF(BA80&gt;0,Motore_Operativo!C80,(CE79))</f>
        <v>46784</v>
      </c>
      <c r="CF80" s="18" t="n">
        <f aca="false">IF(AND(CC80&gt;0,OR(CC80&gt;=CG80-0.01,Motore_Operativo!C80&gt;=EDATE(MAX(Finanziamenti!$D$15:$D$17),Ipotesi!D14*12))),CE80,0)</f>
        <v>0</v>
      </c>
      <c r="CG80" s="15" t="n">
        <f aca="false">IF(AND(2&lt;&gt;6,2&lt;&gt;9,Finanziamenti!$F$11=1,OR(Parametri_v3!$C$6=0,Finanziamenti!$E$11=1)),MIN(Finanziamenti!$C$11,Piano_SS!$C$12*Ipotesi!$C$102),0)</f>
        <v>400000</v>
      </c>
      <c r="CH80" s="15" t="n">
        <f aca="false">IF(AND(AND(2&lt;&gt;8,2&lt;&gt;9,Finanziamenti!$F$10=1,OR(Parametri_v3!$C$6=0,Finanziamenti!$E$10=1)),Motore_Operativo!C80&gt;=Finanziamenti!$D$10,Motore_Operativo!C80&lt;Parametri_v3!$C$63),Finanziamenti!$C$10,0)</f>
        <v>150000</v>
      </c>
    </row>
    <row r="81" customFormat="false" ht="18" hidden="false" customHeight="true" outlineLevel="0" collapsed="false">
      <c r="A81" s="68" t="n">
        <f aca="false">2</f>
        <v>2</v>
      </c>
      <c r="B81" s="68" t="n">
        <f aca="false">17</f>
        <v>17</v>
      </c>
      <c r="C81" s="18" t="n">
        <f aca="false">Motore_Operativo!C81</f>
        <v>46874</v>
      </c>
      <c r="D81" s="68" t="n">
        <f aca="false">Motore_Operativo!D81</f>
        <v>2028</v>
      </c>
      <c r="E81" s="68" t="n">
        <f aca="false">Motore_Operativo!E81</f>
        <v>5</v>
      </c>
      <c r="F81" s="15" t="n">
        <f aca="false">Motore_Operativo!AQ81+Motore_Operativo!BF81</f>
        <v>25520.1545928181</v>
      </c>
      <c r="G81" s="15" t="n">
        <f aca="false">Motore_Operativo!BH81</f>
        <v>3398.1220657277</v>
      </c>
      <c r="H81" s="15" t="n">
        <f aca="false">Motore_Operativo!BI81</f>
        <v>28918.2766585458</v>
      </c>
      <c r="I81" s="15" t="n">
        <f aca="false">Motore_Operativo!CA81</f>
        <v>57285.5986382997</v>
      </c>
      <c r="J81" s="15" t="n">
        <f aca="false">Motore_Operativo!CC81</f>
        <v>-28367.3219797539</v>
      </c>
      <c r="K81" s="15" t="n">
        <f aca="false">Motore_Operativo!CE81</f>
        <v>2083.33333333333</v>
      </c>
      <c r="L81" s="15" t="n">
        <f aca="false">SUM(INDEX($K$65:$K$124,MAX(1,17-Parametri_v3!$C$59+1)):K81)/Parametri_v3!$C$59</f>
        <v>844.907407407407</v>
      </c>
      <c r="M81" s="15" t="n">
        <f aca="false">J81-L81</f>
        <v>-29212.2293871613</v>
      </c>
      <c r="N81" s="15" t="n">
        <f aca="false">CD81-(CD80)</f>
        <v>-25.4996736183384</v>
      </c>
      <c r="O81" s="15" t="n">
        <f aca="false">(BG80)*Ipotesi!$C$110/12+CH81*Parametri_v3!$C$39/12</f>
        <v>750</v>
      </c>
      <c r="P81" s="15" t="n">
        <f aca="false">M81+N81-O81</f>
        <v>-29987.7290607796</v>
      </c>
      <c r="Q81" s="15" t="n">
        <f aca="false">SUM(P77:P81)+Parametri_v3!$C$54*5/12</f>
        <v>-146717.178951579</v>
      </c>
      <c r="R81" s="15" t="n">
        <f aca="false">Z76</f>
        <v>211501.595732372</v>
      </c>
      <c r="S81" s="15" t="n">
        <f aca="false">AA76</f>
        <v>0</v>
      </c>
      <c r="T81" s="15" t="n">
        <f aca="false">MIN(R81,MAX(0,Q81))</f>
        <v>0</v>
      </c>
      <c r="U81" s="15" t="n">
        <f aca="false">MIN(S81,MAX(0,Q81-T81)*Parametri_v3!$C$42)</f>
        <v>0</v>
      </c>
      <c r="V81" s="15" t="n">
        <f aca="false">MAX(0,Q81-T81-U81)*Ipotesi!$C$92</f>
        <v>0</v>
      </c>
      <c r="W81" s="15" t="n">
        <f aca="false">MAX(0,SUM(M77:M81)+Parametri_v3!$C$55*5/12)*Ipotesi!$C$93</f>
        <v>0</v>
      </c>
      <c r="X81" s="15" t="n">
        <f aca="false">V81+W81-(V80+W80)</f>
        <v>0</v>
      </c>
      <c r="Y81" s="15" t="n">
        <f aca="false">P81-X81</f>
        <v>-29987.7290607796</v>
      </c>
      <c r="Z81" s="15" t="n">
        <f aca="false">R81-T81+IF(AND(Parametri_v3!$C$40=1,D81-YEAR(Parametri_v3!$C$50)&lt;Parametri_v3!$C$41),MAX(0,-Q81),0)</f>
        <v>358218.774683951</v>
      </c>
      <c r="AA81" s="15" t="n">
        <f aca="false">S81-U81+IF(AND(Parametri_v3!$C$40=1,D81-YEAR(Parametri_v3!$C$50)&lt;Parametri_v3!$C$41),0,MAX(0,-Q81))</f>
        <v>0</v>
      </c>
      <c r="AB81" s="15" t="n">
        <f aca="false">F81*(1+Parametri_v3!$C$26)</f>
        <v>31134.5886032381</v>
      </c>
      <c r="AC81" s="15" t="n">
        <f aca="false">(IF(17-(INT((Motore_Operativo!L81)/30))&lt;1,0,INDEX(Motore_Startup!$AB$65:$AB$124,MAX(1,17-(INT((Motore_Operativo!L81)/30)))))*(1-(MOD((Motore_Operativo!L81),30)/30))+IF(17-(INT((Motore_Operativo!L81)/30))-1&lt;1,0,INDEX(Motore_Startup!$AB$65:$AB$124,MAX(1,17-(INT((Motore_Operativo!L81)/30))-1)))*(MOD((Motore_Operativo!L81),30)/30))</f>
        <v>28772.7232334064</v>
      </c>
      <c r="AD81" s="15" t="n">
        <f aca="false">(AD80)+AB81-AC81</f>
        <v>90341.8748581255</v>
      </c>
      <c r="AE81" s="15" t="n">
        <f aca="false">Motore_Operativo!BH81*(1+Parametri_v3!$C$26)</f>
        <v>4145.70892018779</v>
      </c>
      <c r="AF81" s="15" t="n">
        <f aca="false">(IF(17-(INT((Parametri_v3!$C$29)/30))&lt;1,0,INDEX(Motore_Operativo!$BH$65:$BH$124,MAX(1,17-(INT((Parametri_v3!$C$29)/30)))))*(1-(MOD((Parametri_v3!$C$29),30)/30))+IF(17-(INT((Parametri_v3!$C$29)/30))-1&lt;1,0,INDEX(Motore_Operativo!$BH$65:$BH$124,MAX(1,17-(INT((Parametri_v3!$C$29)/30))-1)))*(MOD((Parametri_v3!$C$29),30)/30))*(1+Parametri_v3!$C$26)</f>
        <v>4145.70892018779</v>
      </c>
      <c r="AG81" s="15" t="n">
        <f aca="false">(AG80)+AE81-AF81</f>
        <v>4145.70892018779</v>
      </c>
      <c r="AH81" s="15" t="n">
        <f aca="false">(Motore_Operativo!CJ81)*(1+Parametri_v3!$C$27*Parametri_v3!$C$26)</f>
        <v>20799.9180836617</v>
      </c>
      <c r="AI81" s="15" t="n">
        <f aca="false">(IF(17-(INT((Ipotesi!$C$91)/30))&lt;1,0,INDEX(Motore_Startup!$AH$65:$AH$124,MAX(1,17-(INT((Ipotesi!$C$91)/30)))))*(1-(MOD((Ipotesi!$C$91),30)/30))+IF(17-(INT((Ipotesi!$C$91)/30))-1&lt;1,0,INDEX(Motore_Startup!$AH$65:$AH$124,MAX(1,17-(INT((Ipotesi!$C$91)/30))-1)))*(MOD((Ipotesi!$C$91),30)/30))</f>
        <v>20537.6939591829</v>
      </c>
      <c r="AJ81" s="15" t="n">
        <f aca="false">(AJ80)+AH81-AI81</f>
        <v>41444.9905882491</v>
      </c>
      <c r="AK81" s="15" t="n">
        <f aca="false">(F81+ Motore_Operativo!BH81-(Motore_Operativo!CJ81)*Parametri_v3!$C$27-Motore_Operativo!CE81)*Parametri_v3!$C$26</f>
        <v>2626.8680861847</v>
      </c>
      <c r="AL81" s="15" t="n">
        <f aca="false">MAX(0,(AM80))</f>
        <v>2446.26771227562</v>
      </c>
      <c r="AM81" s="15" t="n">
        <f aca="false">(AM80)+AK81-AL81</f>
        <v>2626.8680861847</v>
      </c>
      <c r="AN81" s="15" t="n">
        <f aca="false">SUM(X65:X76)</f>
        <v>0</v>
      </c>
      <c r="AO81" s="15" t="n">
        <f aca="false">SUM(AP65:AP76)</f>
        <v>0</v>
      </c>
      <c r="AP81" s="15" t="n">
        <f aca="false">MAX(0,AN81)*IF(5=Parametri_v3!$C$43,Parametri_v3!$C$45,IF(5=Parametri_v3!$C$44,1-Parametri_v3!$C$45,0))</f>
        <v>0</v>
      </c>
      <c r="AQ81" s="15" t="n">
        <f aca="false">MAX(0,AP81+IF(5=Parametri_v3!$C$43,MAX(0,AN81-AO81),0)-MAX(0,-(AR80)))</f>
        <v>0</v>
      </c>
      <c r="AR81" s="15" t="n">
        <f aca="false">(AR80)+X81-AQ81</f>
        <v>0</v>
      </c>
      <c r="AS81" s="15" t="n">
        <f aca="false">Motore_Operativo!AB81-AT81+AU81</f>
        <v>37774.375</v>
      </c>
      <c r="AT81" s="15" t="n">
        <f aca="false">Motore_Operativo!CH81</f>
        <v>1988.125</v>
      </c>
      <c r="AU81" s="15" t="n">
        <f aca="false">MIN(MAX(0,(AV80)+AT81),Parametri_v3!$C$60/12)</f>
        <v>0</v>
      </c>
      <c r="AV81" s="15" t="n">
        <f aca="false">(AV80)+AT81-AU81</f>
        <v>20690.625</v>
      </c>
      <c r="AW81" s="15" t="n">
        <f aca="false">IF(AND(Motore_Operativo!C81=Finanziamenti!$D$6,Finanziamenti!$F$6=1),Finanziamenti!$C$6,0)</f>
        <v>0</v>
      </c>
      <c r="AX81" s="15" t="n">
        <f aca="false">IF(AND(2&lt;&gt;7,2&lt;&gt;9,Finanziamenti!$F$8=1,OR(Parametri_v3!$C$6=0,Finanziamenti!$E$8=1),Motore_Operativo!C81=EDATE(Finanziamenti!$D$8,Ipotesi!D15*12)),Finanziamenti!$C$8*1,0)+IF(AND(2&lt;&gt;7,2&lt;&gt;9,Finanziamenti!$F$9=1,OR(Parametri_v3!$C$6=0,Finanziamenti!$E$9=1),Motore_Operativo!C81=EDATE(Finanziamenti!$D$9,Ipotesi!D15*12)),Finanziamenti!$C$9*Ipotesi!D16,0)</f>
        <v>0</v>
      </c>
      <c r="AY81" s="15" t="n">
        <f aca="false">0</f>
        <v>0</v>
      </c>
      <c r="AZ81" s="15" t="n">
        <f aca="false">Motore_Advisory!AY81*(1-Ipotesi!$C$95)*Ipotesi!$C$96</f>
        <v>0</v>
      </c>
      <c r="BA81" s="15" t="n">
        <f aca="false">MAX(0,MIN(CG81*MIN(1,IF(Motore_Operativo!C81&gt;=EDATE(Finanziamenti!$D$15,Ipotesi!D14*12),Finanziamenti!$C$15,0)+IF(Motore_Operativo!C81&gt;=EDATE(Finanziamenti!$D$16,Ipotesi!D14*12),Finanziamenti!$C$16,0)+IF(Motore_Operativo!C81&gt;=EDATE(Finanziamenti!$D$17,Ipotesi!D14*12),Finanziamenti!$C$17,0)),CA81*Ipotesi!$C$102)-(CC80))</f>
        <v>0</v>
      </c>
      <c r="BB81" s="15" t="n">
        <f aca="false">IF(AND(CF81&gt;0,Motore_Operativo!C81&gt;=IF(CF81=0,0,EDATE(CF81,Parametri_v3!$C$37)),MOD(((D81-YEAR(IF(CF81=0,0,EDATE(CF81,Parametri_v3!$C$37))))*12+E81-MONTH(IF(CF81=0,0,EDATE(CF81,Parametri_v3!$C$37)))),Parametri_v3!$C$38)=0),MIN(MAX(0,(BC80)+BA81-N81),(CC81-CD81)/(Ipotesi!$C$108*12/Parametri_v3!$C$38)),0)</f>
        <v>0</v>
      </c>
      <c r="BC81" s="15" t="n">
        <f aca="false">(BC80)+BA81-N81-BB81</f>
        <v>57964.8370786408</v>
      </c>
      <c r="BD81" s="15" t="n">
        <f aca="false">(BH80)+AC81+AF81-AI81-AS81-K81*(1+Parametri_v3!$C$26)-AL81-AQ81-O81+AW81+AX81+AZ81+BA81-BB81</f>
        <v>-73138.7599314124</v>
      </c>
      <c r="BE81" s="15" t="n">
        <f aca="false">MAX(0,MIN(MAX(0,CH81-(BG80)),Parametri_v3!$C$30-BD81))</f>
        <v>0</v>
      </c>
      <c r="BF81" s="15" t="n">
        <f aca="false">IF(Motore_Operativo!C81&gt;=Parametri_v3!$C$63,(BG80),MIN((BG80),MAX(0,BD81-Parametri_v3!$C$30)))</f>
        <v>0</v>
      </c>
      <c r="BG81" s="15" t="n">
        <f aca="false">(BG80)+BE81-BF81</f>
        <v>150000</v>
      </c>
      <c r="BH81" s="15" t="n">
        <f aca="false">BD81+BE81-BF81-AY81</f>
        <v>-73138.7599314124</v>
      </c>
      <c r="BI81" s="15" t="n">
        <f aca="false">MAX(0,Parametri_v3!$C$30-BH81)</f>
        <v>98138.7599314124</v>
      </c>
      <c r="BJ81" s="15" t="n">
        <f aca="false">(BJ80)+K81</f>
        <v>30416.6666666667</v>
      </c>
      <c r="BK81" s="15" t="n">
        <f aca="false">(BK80)+L81</f>
        <v>7256.94444444445</v>
      </c>
      <c r="BL81" s="15" t="n">
        <f aca="false">BJ81-BK81</f>
        <v>23159.7222222222</v>
      </c>
      <c r="BM81" s="15" t="n">
        <f aca="false">(BM80)+Y81</f>
        <v>-358218.774683951</v>
      </c>
      <c r="BN81" s="15" t="n">
        <f aca="false">(BN80)+AW81+AX81+AZ81</f>
        <v>130000</v>
      </c>
      <c r="BO81" s="15" t="n">
        <f aca="false">(BO80)+AY81</f>
        <v>0</v>
      </c>
      <c r="BP81" s="15" t="n">
        <f aca="false">0</f>
        <v>0</v>
      </c>
      <c r="BQ81" s="15" t="n">
        <f aca="false">BN81+BM81-BO81</f>
        <v>-228218.774683951</v>
      </c>
      <c r="BR81" s="15" t="n">
        <f aca="false">BH81+AD81+BL81+MAX(0,-AM81)+MAX(0,-AR81)+AG81</f>
        <v>44508.5460691232</v>
      </c>
      <c r="BS81" s="15" t="n">
        <f aca="false">AJ81+AV81+MAX(0,AM81)+MAX(0,AR81)+BC81+BG81+BQ81</f>
        <v>44508.5460691233</v>
      </c>
      <c r="BT81" s="15" t="n">
        <f aca="false">BR81-BS81</f>
        <v>0</v>
      </c>
      <c r="BU81" s="15" t="n">
        <f aca="false">BH81-(BD81+BE81-BF81-AY81)</f>
        <v>0</v>
      </c>
      <c r="BV81" s="15" t="n">
        <f aca="false">MIN(Piano_SS!$C$6,(BV80)+IF(AND(Motore_Operativo!C81&gt;=EDATE(Parametri_v3!$C$24,Ipotesi!D14*12),Motore_Operativo!C81&lt;EDATE(Parametri_v3!$C$24,Parametri_v3!$C$25+Ipotesi!D14*12)),MAX(0,(Motore_Operativo!Y81+Motore_Operativo!X81*Parametri_v3!$C$14)*(1-Parametri_v3!$C$32))*Piano_SS!$D$6,0))</f>
        <v>89656.25</v>
      </c>
      <c r="BW81" s="15" t="n">
        <f aca="false">MIN(Piano_SS!$C$7,(BW80)+IF(AND(Motore_Operativo!C81&gt;=EDATE(Parametri_v3!$C$24,Ipotesi!D14*12),Motore_Operativo!C81&lt;EDATE(Parametri_v3!$C$24,Parametri_v3!$C$25+Ipotesi!D14*12)),MAX(0,(IF(17-(INT((Ipotesi!$C$91)/30))&lt;1,0,INDEX(Motore_Operativo!$BN$65:$BN$124,MAX(1,17-(INT((Ipotesi!$C$91)/30)))))*(1-(MOD((Ipotesi!$C$91),30)/30))+IF(17-(INT((Ipotesi!$C$91)/30))-1&lt;1,0,INDEX(Motore_Operativo!$BN$65:$BN$124,MAX(1,17-(INT((Ipotesi!$C$91)/30))-1)))*(MOD((Ipotesi!$C$91),30)/30)))*Piano_SS!$D$7,0))</f>
        <v>14576.2515758926</v>
      </c>
      <c r="BX81" s="15" t="n">
        <f aca="false">MIN(Piano_SS!$C$8,(BX80)+IF(AND(Motore_Operativo!C81&gt;=EDATE(Parametri_v3!$C$24,Ipotesi!D14*12),Motore_Operativo!C81&lt;EDATE(Parametri_v3!$C$24,Parametri_v3!$C$25+Ipotesi!D14*12)),MAX(0,Motore_Operativo!CE81)*Piano_SS!$D$8,0))</f>
        <v>20416.6666666667</v>
      </c>
      <c r="BY81" s="15" t="n">
        <f aca="false">MIN(Piano_SS!$C$9,(BY80)+IF(AND(Motore_Operativo!C81&gt;=EDATE(Parametri_v3!$C$24,Ipotesi!D14*12),Motore_Operativo!C81&lt;EDATE(Parametri_v3!$C$24,Parametri_v3!$C$25+Ipotesi!D14*12)),MAX(0,((IF(17-(INT((Ipotesi!$C$91)/30))&lt;1,0,INDEX(Motore_Operativo!$BQ$65:$BQ$124,MAX(1,17-(INT((Ipotesi!$C$91)/30)))))*(1-(MOD((Ipotesi!$C$91),30)/30))+IF(17-(INT((Ipotesi!$C$91)/30))-1&lt;1,0,INDEX(Motore_Operativo!$BQ$65:$BQ$124,MAX(1,17-(INT((Ipotesi!$C$91)/30))-1)))*(MOD((Ipotesi!$C$91),30)/30))+(IF(17-(INT((Ipotesi!$C$91)/30))&lt;1,0,INDEX(Motore_Operativo!$BR$65:$BR$124,MAX(1,17-(INT((Ipotesi!$C$91)/30)))))*(1-(MOD((Ipotesi!$C$91),30)/30))+IF(17-(INT((Ipotesi!$C$91)/30))-1&lt;1,0,INDEX(Motore_Operativo!$BR$65:$BR$124,MAX(1,17-(INT((Ipotesi!$C$91)/30))-1)))*(MOD((Ipotesi!$C$91),30)/30))))*Piano_SS!$D$9,0))</f>
        <v>26750</v>
      </c>
      <c r="BZ81" s="15" t="n">
        <f aca="false">MIN(Piano_SS!$C$10,(BZ80)+IF(AND(Motore_Operativo!C81&gt;=EDATE(Parametri_v3!$C$24,Ipotesi!D14*12),Motore_Operativo!C81&lt;EDATE(Parametri_v3!$C$24,Parametri_v3!$C$25+Ipotesi!D14*12)),MAX(0,(IF(17-(INT((Ipotesi!$C$91)/30))&lt;1,0,INDEX(Motore_Operativo!$BO$65:$BO$124,MAX(1,17-(INT((Ipotesi!$C$91)/30)))))*(1-(MOD((Ipotesi!$C$91),30)/30))+IF(17-(INT((Ipotesi!$C$91)/30))-1&lt;1,0,INDEX(Motore_Operativo!$BO$65:$BO$124,MAX(1,17-(INT((Ipotesi!$C$91)/30))-1)))*(MOD((Ipotesi!$C$91),30)/30)))*Piano_SS!$D$10,0))</f>
        <v>13500</v>
      </c>
      <c r="CA81" s="15" t="n">
        <f aca="false">SUM(BV81:BZ81)</f>
        <v>164899.168242559</v>
      </c>
      <c r="CB81" s="15" t="n">
        <f aca="false">BV81*(1-Piano_SS!$E$6)+BW81*(1-Piano_SS!$E$7)+BX81*(1-Piano_SS!$E$8)+BY81*(1-Piano_SS!$E$9)+BZ81*(1-Piano_SS!$E$10)</f>
        <v>151399.168242559</v>
      </c>
      <c r="CC81" s="15" t="n">
        <f aca="false">(CC80)+BA81</f>
        <v>80000</v>
      </c>
      <c r="CD81" s="15" t="n">
        <f aca="false">IF(CA81=0,0,CC81*CB81/CA81*Ipotesi!$C$103*Parametri_v3!$C$64)</f>
        <v>22035.1629213593</v>
      </c>
      <c r="CE81" s="18" t="n">
        <f aca="false">IF(BA81&gt;0,Motore_Operativo!C81,(CE80))</f>
        <v>46784</v>
      </c>
      <c r="CF81" s="18" t="n">
        <f aca="false">IF(AND(CC81&gt;0,OR(CC81&gt;=CG81-0.01,Motore_Operativo!C81&gt;=EDATE(MAX(Finanziamenti!$D$15:$D$17),Ipotesi!D14*12))),CE81,0)</f>
        <v>0</v>
      </c>
      <c r="CG81" s="15" t="n">
        <f aca="false">IF(AND(2&lt;&gt;6,2&lt;&gt;9,Finanziamenti!$F$11=1,OR(Parametri_v3!$C$6=0,Finanziamenti!$E$11=1)),MIN(Finanziamenti!$C$11,Piano_SS!$C$12*Ipotesi!$C$102),0)</f>
        <v>400000</v>
      </c>
      <c r="CH81" s="15" t="n">
        <f aca="false">IF(AND(AND(2&lt;&gt;8,2&lt;&gt;9,Finanziamenti!$F$10=1,OR(Parametri_v3!$C$6=0,Finanziamenti!$E$10=1)),Motore_Operativo!C81&gt;=Finanziamenti!$D$10,Motore_Operativo!C81&lt;Parametri_v3!$C$63),Finanziamenti!$C$10,0)</f>
        <v>150000</v>
      </c>
    </row>
    <row r="82" customFormat="false" ht="18" hidden="false" customHeight="true" outlineLevel="0" collapsed="false">
      <c r="A82" s="68" t="n">
        <f aca="false">2</f>
        <v>2</v>
      </c>
      <c r="B82" s="68" t="n">
        <f aca="false">18</f>
        <v>18</v>
      </c>
      <c r="C82" s="18" t="n">
        <f aca="false">Motore_Operativo!C82</f>
        <v>46905</v>
      </c>
      <c r="D82" s="68" t="n">
        <f aca="false">Motore_Operativo!D82</f>
        <v>2028</v>
      </c>
      <c r="E82" s="68" t="n">
        <f aca="false">Motore_Operativo!E82</f>
        <v>6</v>
      </c>
      <c r="F82" s="15" t="n">
        <f aca="false">Motore_Operativo!AQ82+Motore_Operativo!BF82</f>
        <v>26443.8035232799</v>
      </c>
      <c r="G82" s="15" t="n">
        <f aca="false">Motore_Operativo!BH82</f>
        <v>3398.1220657277</v>
      </c>
      <c r="H82" s="15" t="n">
        <f aca="false">Motore_Operativo!BI82</f>
        <v>29841.9255890076</v>
      </c>
      <c r="I82" s="15" t="n">
        <f aca="false">Motore_Operativo!CA82</f>
        <v>57414.9094885644</v>
      </c>
      <c r="J82" s="15" t="n">
        <f aca="false">Motore_Operativo!CC82</f>
        <v>-27572.9838995568</v>
      </c>
      <c r="K82" s="15" t="n">
        <f aca="false">Motore_Operativo!CE82</f>
        <v>2083.33333333333</v>
      </c>
      <c r="L82" s="15" t="n">
        <f aca="false">SUM(INDEX($K$65:$K$124,MAX(1,18-Parametri_v3!$C$59+1)):K82)/Parametri_v3!$C$59</f>
        <v>902.777777777778</v>
      </c>
      <c r="M82" s="15" t="n">
        <f aca="false">J82-L82</f>
        <v>-28475.7616773345</v>
      </c>
      <c r="N82" s="15" t="n">
        <f aca="false">CD82-(CD81)</f>
        <v>-19.3025246127145</v>
      </c>
      <c r="O82" s="15" t="n">
        <f aca="false">(BG81)*Ipotesi!$C$110/12+CH82*Parametri_v3!$C$39/12</f>
        <v>750</v>
      </c>
      <c r="P82" s="15" t="n">
        <f aca="false">M82+N82-O82</f>
        <v>-29245.0642019473</v>
      </c>
      <c r="Q82" s="15" t="n">
        <f aca="false">SUM(P77:P82)+Parametri_v3!$C$54*6/12</f>
        <v>-175962.243153526</v>
      </c>
      <c r="R82" s="15" t="n">
        <f aca="false">Z76</f>
        <v>211501.595732372</v>
      </c>
      <c r="S82" s="15" t="n">
        <f aca="false">AA76</f>
        <v>0</v>
      </c>
      <c r="T82" s="15" t="n">
        <f aca="false">MIN(R82,MAX(0,Q82))</f>
        <v>0</v>
      </c>
      <c r="U82" s="15" t="n">
        <f aca="false">MIN(S82,MAX(0,Q82-T82)*Parametri_v3!$C$42)</f>
        <v>0</v>
      </c>
      <c r="V82" s="15" t="n">
        <f aca="false">MAX(0,Q82-T82-U82)*Ipotesi!$C$92</f>
        <v>0</v>
      </c>
      <c r="W82" s="15" t="n">
        <f aca="false">MAX(0,SUM(M77:M82)+Parametri_v3!$C$55*6/12)*Ipotesi!$C$93</f>
        <v>0</v>
      </c>
      <c r="X82" s="15" t="n">
        <f aca="false">V82+W82-(V81+W81)</f>
        <v>0</v>
      </c>
      <c r="Y82" s="15" t="n">
        <f aca="false">P82-X82</f>
        <v>-29245.0642019473</v>
      </c>
      <c r="Z82" s="15" t="n">
        <f aca="false">R82-T82+IF(AND(Parametri_v3!$C$40=1,D82-YEAR(Parametri_v3!$C$50)&lt;Parametri_v3!$C$41),MAX(0,-Q82),0)</f>
        <v>387463.838885899</v>
      </c>
      <c r="AA82" s="15" t="n">
        <f aca="false">S82-U82+IF(AND(Parametri_v3!$C$40=1,D82-YEAR(Parametri_v3!$C$50)&lt;Parametri_v3!$C$41),0,MAX(0,-Q82))</f>
        <v>0</v>
      </c>
      <c r="AB82" s="15" t="n">
        <f aca="false">F82*(1+Parametri_v3!$C$26)</f>
        <v>32261.4402984015</v>
      </c>
      <c r="AC82" s="15" t="n">
        <f aca="false">(IF(18-(INT((Motore_Operativo!L82)/30))&lt;1,0,INDEX(Motore_Startup!$AB$65:$AB$124,MAX(1,18-(INT((Motore_Operativo!L82)/30)))))*(1-(MOD((Motore_Operativo!L82),30)/30))+IF(18-(INT((Motore_Operativo!L82)/30))-1&lt;1,0,INDEX(Motore_Startup!$AB$65:$AB$124,MAX(1,18-(INT((Motore_Operativo!L82)/30))-1)))*(MOD((Motore_Operativo!L82),30)/30))</f>
        <v>29209.486714538</v>
      </c>
      <c r="AD82" s="15" t="n">
        <f aca="false">(AD81)+AB82-AC82</f>
        <v>93393.828441989</v>
      </c>
      <c r="AE82" s="15" t="n">
        <f aca="false">Motore_Operativo!BH82*(1+Parametri_v3!$C$26)</f>
        <v>4145.70892018779</v>
      </c>
      <c r="AF82" s="15" t="n">
        <f aca="false">(IF(18-(INT((Parametri_v3!$C$29)/30))&lt;1,0,INDEX(Motore_Operativo!$BH$65:$BH$124,MAX(1,18-(INT((Parametri_v3!$C$29)/30)))))*(1-(MOD((Parametri_v3!$C$29),30)/30))+IF(18-(INT((Parametri_v3!$C$29)/30))-1&lt;1,0,INDEX(Motore_Operativo!$BH$65:$BH$124,MAX(1,18-(INT((Parametri_v3!$C$29)/30))-1)))*(MOD((Parametri_v3!$C$29),30)/30))*(1+Parametri_v3!$C$26)</f>
        <v>4145.70892018779</v>
      </c>
      <c r="AG82" s="15" t="n">
        <f aca="false">(AG81)+AE82-AF82</f>
        <v>4145.70892018779</v>
      </c>
      <c r="AH82" s="15" t="n">
        <f aca="false">(Motore_Operativo!CJ82)*(1+Parametri_v3!$C$27*Parametri_v3!$C$26)</f>
        <v>20953.4100629259</v>
      </c>
      <c r="AI82" s="15" t="n">
        <f aca="false">(IF(18-(INT((Ipotesi!$C$91)/30))&lt;1,0,INDEX(Motore_Startup!$AH$65:$AH$124,MAX(1,18-(INT((Ipotesi!$C$91)/30)))))*(1-(MOD((Ipotesi!$C$91),30)/30))+IF(18-(INT((Ipotesi!$C$91)/30))-1&lt;1,0,INDEX(Motore_Startup!$AH$65:$AH$124,MAX(1,18-(INT((Ipotesi!$C$91)/30))-1)))*(MOD((Ipotesi!$C$91),30)/30))</f>
        <v>20645.0725045873</v>
      </c>
      <c r="AJ82" s="15" t="n">
        <f aca="false">(AJ81)+AH82-AI82</f>
        <v>41753.3281465876</v>
      </c>
      <c r="AK82" s="15" t="n">
        <f aca="false">(F82+ Motore_Operativo!BH82-(Motore_Operativo!CJ82)*Parametri_v3!$C$27-Motore_Operativo!CE82)*Parametri_v3!$C$26</f>
        <v>2805.8897218868</v>
      </c>
      <c r="AL82" s="15" t="n">
        <f aca="false">MAX(0,(AM81))</f>
        <v>2626.8680861847</v>
      </c>
      <c r="AM82" s="15" t="n">
        <f aca="false">(AM81)+AK82-AL82</f>
        <v>2805.8897218868</v>
      </c>
      <c r="AN82" s="15" t="n">
        <f aca="false">SUM(X65:X76)</f>
        <v>0</v>
      </c>
      <c r="AO82" s="15" t="n">
        <f aca="false">SUM(AP65:AP76)</f>
        <v>0</v>
      </c>
      <c r="AP82" s="15" t="n">
        <f aca="false">MAX(0,AN82)*IF(6=Parametri_v3!$C$43,Parametri_v3!$C$45,IF(6=Parametri_v3!$C$44,1-Parametri_v3!$C$45,0))</f>
        <v>0</v>
      </c>
      <c r="AQ82" s="15" t="n">
        <f aca="false">MAX(0,AP82+IF(6=Parametri_v3!$C$43,MAX(0,AN82-AO82),0)-MAX(0,-(AR81)))</f>
        <v>0</v>
      </c>
      <c r="AR82" s="15" t="n">
        <f aca="false">(AR81)+X82-AQ82</f>
        <v>0</v>
      </c>
      <c r="AS82" s="15" t="n">
        <f aca="false">Motore_Operativo!AB82-AT82+AU82</f>
        <v>37774.375</v>
      </c>
      <c r="AT82" s="15" t="n">
        <f aca="false">Motore_Operativo!CH82</f>
        <v>1988.125</v>
      </c>
      <c r="AU82" s="15" t="n">
        <f aca="false">MIN(MAX(0,(AV81)+AT82),Parametri_v3!$C$60/12)</f>
        <v>0</v>
      </c>
      <c r="AV82" s="15" t="n">
        <f aca="false">(AV81)+AT82-AU82</f>
        <v>22678.75</v>
      </c>
      <c r="AW82" s="15" t="n">
        <f aca="false">IF(AND(Motore_Operativo!C82=Finanziamenti!$D$6,Finanziamenti!$F$6=1),Finanziamenti!$C$6,0)</f>
        <v>0</v>
      </c>
      <c r="AX82" s="15" t="n">
        <f aca="false">IF(AND(2&lt;&gt;7,2&lt;&gt;9,Finanziamenti!$F$8=1,OR(Parametri_v3!$C$6=0,Finanziamenti!$E$8=1),Motore_Operativo!C82=EDATE(Finanziamenti!$D$8,Ipotesi!D15*12)),Finanziamenti!$C$8*1,0)+IF(AND(2&lt;&gt;7,2&lt;&gt;9,Finanziamenti!$F$9=1,OR(Parametri_v3!$C$6=0,Finanziamenti!$E$9=1),Motore_Operativo!C82=EDATE(Finanziamenti!$D$9,Ipotesi!D15*12)),Finanziamenti!$C$9*Ipotesi!D16,0)</f>
        <v>300000</v>
      </c>
      <c r="AY82" s="15" t="n">
        <f aca="false">0</f>
        <v>0</v>
      </c>
      <c r="AZ82" s="15" t="n">
        <f aca="false">Motore_Advisory!AY82*(1-Ipotesi!$C$95)*Ipotesi!$C$96</f>
        <v>0</v>
      </c>
      <c r="BA82" s="15" t="n">
        <f aca="false">MAX(0,MIN(CG82*MIN(1,IF(Motore_Operativo!C82&gt;=EDATE(Finanziamenti!$D$15,Ipotesi!D14*12),Finanziamenti!$C$15,0)+IF(Motore_Operativo!C82&gt;=EDATE(Finanziamenti!$D$16,Ipotesi!D14*12),Finanziamenti!$C$16,0)+IF(Motore_Operativo!C82&gt;=EDATE(Finanziamenti!$D$17,Ipotesi!D14*12),Finanziamenti!$C$17,0)),CA82*Ipotesi!$C$102)-(CC81))</f>
        <v>0</v>
      </c>
      <c r="BB82" s="15" t="n">
        <f aca="false">IF(AND(CF82&gt;0,Motore_Operativo!C82&gt;=IF(CF82=0,0,EDATE(CF82,Parametri_v3!$C$37)),MOD(((D82-YEAR(IF(CF82=0,0,EDATE(CF82,Parametri_v3!$C$37))))*12+E82-MONTH(IF(CF82=0,0,EDATE(CF82,Parametri_v3!$C$37)))),Parametri_v3!$C$38)=0),MIN(MAX(0,(BC81)+BA82-N82),(CC82-CD82)/(Ipotesi!$C$108*12/Parametri_v3!$C$38)),0)</f>
        <v>0</v>
      </c>
      <c r="BC82" s="15" t="n">
        <f aca="false">(BC81)+BA82-N82-BB82</f>
        <v>57984.1396032535</v>
      </c>
      <c r="BD82" s="15" t="n">
        <f aca="false">(BH81)+AC82+AF82-AI82-AS82-K82*(1+Parametri_v3!$C$26)-AL82-AQ82-O82+AW82+AX82+AZ82+BA82-BB82</f>
        <v>195878.453445875</v>
      </c>
      <c r="BE82" s="15" t="n">
        <f aca="false">MAX(0,MIN(MAX(0,CH82-(BG81)),Parametri_v3!$C$30-BD82))</f>
        <v>0</v>
      </c>
      <c r="BF82" s="15" t="n">
        <f aca="false">IF(Motore_Operativo!C82&gt;=Parametri_v3!$C$63,(BG81),MIN((BG81),MAX(0,BD82-Parametri_v3!$C$30)))</f>
        <v>150000</v>
      </c>
      <c r="BG82" s="15" t="n">
        <f aca="false">(BG81)+BE82-BF82</f>
        <v>0</v>
      </c>
      <c r="BH82" s="15" t="n">
        <f aca="false">BD82+BE82-BF82-AY82</f>
        <v>45878.4534458748</v>
      </c>
      <c r="BI82" s="15" t="n">
        <f aca="false">MAX(0,Parametri_v3!$C$30-BH82)</f>
        <v>0</v>
      </c>
      <c r="BJ82" s="15" t="n">
        <f aca="false">(BJ81)+K82</f>
        <v>32500</v>
      </c>
      <c r="BK82" s="15" t="n">
        <f aca="false">(BK81)+L82</f>
        <v>8159.72222222222</v>
      </c>
      <c r="BL82" s="15" t="n">
        <f aca="false">BJ82-BK82</f>
        <v>24340.2777777778</v>
      </c>
      <c r="BM82" s="15" t="n">
        <f aca="false">(BM81)+Y82</f>
        <v>-387463.838885898</v>
      </c>
      <c r="BN82" s="15" t="n">
        <f aca="false">(BN81)+AW82+AX82+AZ82</f>
        <v>430000</v>
      </c>
      <c r="BO82" s="15" t="n">
        <f aca="false">(BO81)+AY82</f>
        <v>0</v>
      </c>
      <c r="BP82" s="15" t="n">
        <f aca="false">0</f>
        <v>0</v>
      </c>
      <c r="BQ82" s="15" t="n">
        <f aca="false">BN82+BM82-BO82</f>
        <v>42536.1611141016</v>
      </c>
      <c r="BR82" s="15" t="n">
        <f aca="false">BH82+AD82+BL82+MAX(0,-AM82)+MAX(0,-AR82)+AG82</f>
        <v>167758.268585829</v>
      </c>
      <c r="BS82" s="15" t="n">
        <f aca="false">AJ82+AV82+MAX(0,AM82)+MAX(0,AR82)+BC82+BG82+BQ82</f>
        <v>167758.26858583</v>
      </c>
      <c r="BT82" s="15" t="n">
        <f aca="false">BR82-BS82</f>
        <v>0</v>
      </c>
      <c r="BU82" s="15" t="n">
        <f aca="false">BH82-(BD82+BE82-BF82-AY82)</f>
        <v>0</v>
      </c>
      <c r="BV82" s="15" t="n">
        <f aca="false">MIN(Piano_SS!$C$6,(BV81)+IF(AND(Motore_Operativo!C82&gt;=EDATE(Parametri_v3!$C$24,Ipotesi!D14*12),Motore_Operativo!C82&lt;EDATE(Parametri_v3!$C$24,Parametri_v3!$C$25+Ipotesi!D14*12)),MAX(0,(Motore_Operativo!Y82+Motore_Operativo!X82*Parametri_v3!$C$14)*(1-Parametri_v3!$C$32))*Piano_SS!$D$6,0))</f>
        <v>101887.5</v>
      </c>
      <c r="BW82" s="15" t="n">
        <f aca="false">MIN(Piano_SS!$C$7,(BW81)+IF(AND(Motore_Operativo!C82&gt;=EDATE(Parametri_v3!$C$24,Ipotesi!D14*12),Motore_Operativo!C82&lt;EDATE(Parametri_v3!$C$24,Parametri_v3!$C$25+Ipotesi!D14*12)),MAX(0,(IF(18-(INT((Ipotesi!$C$91)/30))&lt;1,0,INDEX(Motore_Operativo!$BN$65:$BN$124,MAX(1,18-(INT((Ipotesi!$C$91)/30)))))*(1-(MOD((Ipotesi!$C$91),30)/30))+IF(18-(INT((Ipotesi!$C$91)/30))-1&lt;1,0,INDEX(Motore_Operativo!$BN$65:$BN$124,MAX(1,18-(INT((Ipotesi!$C$91)/30))-1)))*(MOD((Ipotesi!$C$91),30)/30)))*Piano_SS!$D$7,0))</f>
        <v>16083.3203982106</v>
      </c>
      <c r="BX82" s="15" t="n">
        <f aca="false">MIN(Piano_SS!$C$8,(BX81)+IF(AND(Motore_Operativo!C82&gt;=EDATE(Parametri_v3!$C$24,Ipotesi!D14*12),Motore_Operativo!C82&lt;EDATE(Parametri_v3!$C$24,Parametri_v3!$C$25+Ipotesi!D14*12)),MAX(0,Motore_Operativo!CE82)*Piano_SS!$D$8,0))</f>
        <v>22500</v>
      </c>
      <c r="BY82" s="15" t="n">
        <f aca="false">MIN(Piano_SS!$C$9,(BY81)+IF(AND(Motore_Operativo!C82&gt;=EDATE(Parametri_v3!$C$24,Ipotesi!D14*12),Motore_Operativo!C82&lt;EDATE(Parametri_v3!$C$24,Parametri_v3!$C$25+Ipotesi!D14*12)),MAX(0,((IF(18-(INT((Ipotesi!$C$91)/30))&lt;1,0,INDEX(Motore_Operativo!$BQ$65:$BQ$124,MAX(1,18-(INT((Ipotesi!$C$91)/30)))))*(1-(MOD((Ipotesi!$C$91),30)/30))+IF(18-(INT((Ipotesi!$C$91)/30))-1&lt;1,0,INDEX(Motore_Operativo!$BQ$65:$BQ$124,MAX(1,18-(INT((Ipotesi!$C$91)/30))-1)))*(MOD((Ipotesi!$C$91),30)/30))+(IF(18-(INT((Ipotesi!$C$91)/30))&lt;1,0,INDEX(Motore_Operativo!$BR$65:$BR$124,MAX(1,18-(INT((Ipotesi!$C$91)/30)))))*(1-(MOD((Ipotesi!$C$91),30)/30))+IF(18-(INT((Ipotesi!$C$91)/30))-1&lt;1,0,INDEX(Motore_Operativo!$BR$65:$BR$124,MAX(1,18-(INT((Ipotesi!$C$91)/30))-1)))*(MOD((Ipotesi!$C$91),30)/30))))*Piano_SS!$D$9,0))</f>
        <v>29666.6666666667</v>
      </c>
      <c r="BZ82" s="15" t="n">
        <f aca="false">MIN(Piano_SS!$C$10,(BZ81)+IF(AND(Motore_Operativo!C82&gt;=EDATE(Parametri_v3!$C$24,Ipotesi!D14*12),Motore_Operativo!C82&lt;EDATE(Parametri_v3!$C$24,Parametri_v3!$C$25+Ipotesi!D14*12)),MAX(0,(IF(18-(INT((Ipotesi!$C$91)/30))&lt;1,0,INDEX(Motore_Operativo!$BO$65:$BO$124,MAX(1,18-(INT((Ipotesi!$C$91)/30)))))*(1-(MOD((Ipotesi!$C$91),30)/30))+IF(18-(INT((Ipotesi!$C$91)/30))-1&lt;1,0,INDEX(Motore_Operativo!$BO$65:$BO$124,MAX(1,18-(INT((Ipotesi!$C$91)/30))-1)))*(MOD((Ipotesi!$C$91),30)/30)))*Piano_SS!$D$10,0))</f>
        <v>15333.3333333333</v>
      </c>
      <c r="CA82" s="15" t="n">
        <f aca="false">SUM(BV82:BZ82)</f>
        <v>185470.820398211</v>
      </c>
      <c r="CB82" s="15" t="n">
        <f aca="false">BV82*(1-Piano_SS!$E$6)+BW82*(1-Piano_SS!$E$7)+BX82*(1-Piano_SS!$E$8)+BY82*(1-Piano_SS!$E$9)+BZ82*(1-Piano_SS!$E$10)</f>
        <v>170137.487064877</v>
      </c>
      <c r="CC82" s="15" t="n">
        <f aca="false">(CC81)+BA82</f>
        <v>80000</v>
      </c>
      <c r="CD82" s="15" t="n">
        <f aca="false">IF(CA82=0,0,CC82*CB82/CA82*Ipotesi!$C$103*Parametri_v3!$C$64)</f>
        <v>22015.8603967465</v>
      </c>
      <c r="CE82" s="18" t="n">
        <f aca="false">IF(BA82&gt;0,Motore_Operativo!C82,(CE81))</f>
        <v>46784</v>
      </c>
      <c r="CF82" s="18" t="n">
        <f aca="false">IF(AND(CC82&gt;0,OR(CC82&gt;=CG82-0.01,Motore_Operativo!C82&gt;=EDATE(MAX(Finanziamenti!$D$15:$D$17),Ipotesi!D14*12))),CE82,0)</f>
        <v>0</v>
      </c>
      <c r="CG82" s="15" t="n">
        <f aca="false">IF(AND(2&lt;&gt;6,2&lt;&gt;9,Finanziamenti!$F$11=1,OR(Parametri_v3!$C$6=0,Finanziamenti!$E$11=1)),MIN(Finanziamenti!$C$11,Piano_SS!$C$12*Ipotesi!$C$102),0)</f>
        <v>400000</v>
      </c>
      <c r="CH82" s="15" t="n">
        <f aca="false">IF(AND(AND(2&lt;&gt;8,2&lt;&gt;9,Finanziamenti!$F$10=1,OR(Parametri_v3!$C$6=0,Finanziamenti!$E$10=1)),Motore_Operativo!C82&gt;=Finanziamenti!$D$10,Motore_Operativo!C82&lt;Parametri_v3!$C$63),Finanziamenti!$C$10,0)</f>
        <v>150000</v>
      </c>
    </row>
    <row r="83" customFormat="false" ht="18" hidden="false" customHeight="true" outlineLevel="0" collapsed="false">
      <c r="A83" s="68" t="n">
        <f aca="false">2</f>
        <v>2</v>
      </c>
      <c r="B83" s="68" t="n">
        <f aca="false">19</f>
        <v>19</v>
      </c>
      <c r="C83" s="18" t="n">
        <f aca="false">Motore_Operativo!C83</f>
        <v>46935</v>
      </c>
      <c r="D83" s="68" t="n">
        <f aca="false">Motore_Operativo!D83</f>
        <v>2028</v>
      </c>
      <c r="E83" s="68" t="n">
        <f aca="false">Motore_Operativo!E83</f>
        <v>7</v>
      </c>
      <c r="F83" s="15" t="n">
        <f aca="false">Motore_Operativo!AQ83+Motore_Operativo!BF83</f>
        <v>27359.3782741328</v>
      </c>
      <c r="G83" s="15" t="n">
        <f aca="false">Motore_Operativo!BH83</f>
        <v>3398.1220657277</v>
      </c>
      <c r="H83" s="15" t="n">
        <f aca="false">Motore_Operativo!BI83</f>
        <v>30757.5003398605</v>
      </c>
      <c r="I83" s="15" t="n">
        <f aca="false">Motore_Operativo!CA83</f>
        <v>57543.0899536838</v>
      </c>
      <c r="J83" s="15" t="n">
        <f aca="false">Motore_Operativo!CC83</f>
        <v>-26785.5896138232</v>
      </c>
      <c r="K83" s="15" t="n">
        <f aca="false">Motore_Operativo!CE83</f>
        <v>2083.33333333333</v>
      </c>
      <c r="L83" s="15" t="n">
        <f aca="false">SUM(INDEX($K$65:$K$124,MAX(1,19-Parametri_v3!$C$59+1)):K83)/Parametri_v3!$C$59</f>
        <v>960.648148148148</v>
      </c>
      <c r="M83" s="15" t="n">
        <f aca="false">J83-L83</f>
        <v>-27746.2377619714</v>
      </c>
      <c r="N83" s="15" t="n">
        <f aca="false">CD83-(CD82)</f>
        <v>-14.7249630867191</v>
      </c>
      <c r="O83" s="15" t="n">
        <f aca="false">(BG82)*Ipotesi!$C$110/12+CH83*Parametri_v3!$C$39/12</f>
        <v>0</v>
      </c>
      <c r="P83" s="15" t="n">
        <f aca="false">M83+N83-O83</f>
        <v>-27760.9627250581</v>
      </c>
      <c r="Q83" s="15" t="n">
        <f aca="false">SUM(P77:P83)+Parametri_v3!$C$54*7/12</f>
        <v>-203723.205878584</v>
      </c>
      <c r="R83" s="15" t="n">
        <f aca="false">Z76</f>
        <v>211501.595732372</v>
      </c>
      <c r="S83" s="15" t="n">
        <f aca="false">AA76</f>
        <v>0</v>
      </c>
      <c r="T83" s="15" t="n">
        <f aca="false">MIN(R83,MAX(0,Q83))</f>
        <v>0</v>
      </c>
      <c r="U83" s="15" t="n">
        <f aca="false">MIN(S83,MAX(0,Q83-T83)*Parametri_v3!$C$42)</f>
        <v>0</v>
      </c>
      <c r="V83" s="15" t="n">
        <f aca="false">MAX(0,Q83-T83-U83)*Ipotesi!$C$92</f>
        <v>0</v>
      </c>
      <c r="W83" s="15" t="n">
        <f aca="false">MAX(0,SUM(M77:M83)+Parametri_v3!$C$55*7/12)*Ipotesi!$C$93</f>
        <v>0</v>
      </c>
      <c r="X83" s="15" t="n">
        <f aca="false">V83+W83-(V82+W82)</f>
        <v>0</v>
      </c>
      <c r="Y83" s="15" t="n">
        <f aca="false">P83-X83</f>
        <v>-27760.9627250581</v>
      </c>
      <c r="Z83" s="15" t="n">
        <f aca="false">R83-T83+IF(AND(Parametri_v3!$C$40=1,D83-YEAR(Parametri_v3!$C$50)&lt;Parametri_v3!$C$41),MAX(0,-Q83),0)</f>
        <v>415224.801610957</v>
      </c>
      <c r="AA83" s="15" t="n">
        <f aca="false">S83-U83+IF(AND(Parametri_v3!$C$40=1,D83-YEAR(Parametri_v3!$C$50)&lt;Parametri_v3!$C$41),0,MAX(0,-Q83))</f>
        <v>0</v>
      </c>
      <c r="AB83" s="15" t="n">
        <f aca="false">F83*(1+Parametri_v3!$C$26)</f>
        <v>33378.4414944421</v>
      </c>
      <c r="AC83" s="15" t="n">
        <f aca="false">(IF(19-(INT((Motore_Operativo!L83)/30))&lt;1,0,INDEX(Motore_Startup!$AB$65:$AB$124,MAX(1,19-(INT((Motore_Operativo!L83)/30)))))*(1-(MOD((Motore_Operativo!L83),30)/30))+IF(19-(INT((Motore_Operativo!L83)/30))-1&lt;1,0,INDEX(Motore_Startup!$AB$65:$AB$124,MAX(1,19-(INT((Motore_Operativo!L83)/30))-1)))*(MOD((Motore_Operativo!L83),30)/30))</f>
        <v>29997.7995403494</v>
      </c>
      <c r="AD83" s="15" t="n">
        <f aca="false">(AD82)+AB83-AC83</f>
        <v>96774.4703960816</v>
      </c>
      <c r="AE83" s="15" t="n">
        <f aca="false">Motore_Operativo!BH83*(1+Parametri_v3!$C$26)</f>
        <v>4145.70892018779</v>
      </c>
      <c r="AF83" s="15" t="n">
        <f aca="false">(IF(19-(INT((Parametri_v3!$C$29)/30))&lt;1,0,INDEX(Motore_Operativo!$BH$65:$BH$124,MAX(1,19-(INT((Parametri_v3!$C$29)/30)))))*(1-(MOD((Parametri_v3!$C$29),30)/30))+IF(19-(INT((Parametri_v3!$C$29)/30))-1&lt;1,0,INDEX(Motore_Operativo!$BH$65:$BH$124,MAX(1,19-(INT((Parametri_v3!$C$29)/30))-1)))*(MOD((Parametri_v3!$C$29),30)/30))*(1+Parametri_v3!$C$26)</f>
        <v>4145.70892018779</v>
      </c>
      <c r="AG83" s="15" t="n">
        <f aca="false">(AG82)+AE83-AF83</f>
        <v>4145.70892018779</v>
      </c>
      <c r="AH83" s="15" t="n">
        <f aca="false">(Motore_Operativo!CJ83)*(1+Parametri_v3!$C$27*Parametri_v3!$C$26)</f>
        <v>21105.5602750226</v>
      </c>
      <c r="AI83" s="15" t="n">
        <f aca="false">(IF(19-(INT((Ipotesi!$C$91)/30))&lt;1,0,INDEX(Motore_Startup!$AH$65:$AH$124,MAX(1,19-(INT((Ipotesi!$C$91)/30)))))*(1-(MOD((Ipotesi!$C$91),30)/30))+IF(19-(INT((Ipotesi!$C$91)/30))-1&lt;1,0,INDEX(Motore_Startup!$AH$65:$AH$124,MAX(1,19-(INT((Ipotesi!$C$91)/30))-1)))*(MOD((Ipotesi!$C$91),30)/30))</f>
        <v>20799.9180836617</v>
      </c>
      <c r="AJ83" s="15" t="n">
        <f aca="false">(AJ82)+AH83-AI83</f>
        <v>42058.9703379485</v>
      </c>
      <c r="AK83" s="15" t="n">
        <f aca="false">(F83+ Motore_Operativo!BH83-(Motore_Operativo!CJ83)*Parametri_v3!$C$27-Motore_Operativo!CE83)*Parametri_v3!$C$26</f>
        <v>2983.34642009712</v>
      </c>
      <c r="AL83" s="15" t="n">
        <f aca="false">MAX(0,(AM82))</f>
        <v>2805.8897218868</v>
      </c>
      <c r="AM83" s="15" t="n">
        <f aca="false">(AM82)+AK83-AL83</f>
        <v>2983.34642009712</v>
      </c>
      <c r="AN83" s="15" t="n">
        <f aca="false">SUM(X65:X76)</f>
        <v>0</v>
      </c>
      <c r="AO83" s="15" t="n">
        <f aca="false">SUM(AP65:AP76)</f>
        <v>0</v>
      </c>
      <c r="AP83" s="15" t="n">
        <f aca="false">MAX(0,AN83)*IF(7=Parametri_v3!$C$43,Parametri_v3!$C$45,IF(7=Parametri_v3!$C$44,1-Parametri_v3!$C$45,0))</f>
        <v>0</v>
      </c>
      <c r="AQ83" s="15" t="n">
        <f aca="false">MAX(0,AP83+IF(7=Parametri_v3!$C$43,MAX(0,AN83-AO83),0)-MAX(0,-(AR82)))</f>
        <v>0</v>
      </c>
      <c r="AR83" s="15" t="n">
        <f aca="false">(AR82)+X83-AQ83</f>
        <v>0</v>
      </c>
      <c r="AS83" s="15" t="n">
        <f aca="false">Motore_Operativo!AB83-AT83+AU83</f>
        <v>37774.375</v>
      </c>
      <c r="AT83" s="15" t="n">
        <f aca="false">Motore_Operativo!CH83</f>
        <v>1988.125</v>
      </c>
      <c r="AU83" s="15" t="n">
        <f aca="false">MIN(MAX(0,(AV82)+AT83),Parametri_v3!$C$60/12)</f>
        <v>0</v>
      </c>
      <c r="AV83" s="15" t="n">
        <f aca="false">(AV82)+AT83-AU83</f>
        <v>24666.875</v>
      </c>
      <c r="AW83" s="15" t="n">
        <f aca="false">IF(AND(Motore_Operativo!C83=Finanziamenti!$D$6,Finanziamenti!$F$6=1),Finanziamenti!$C$6,0)</f>
        <v>0</v>
      </c>
      <c r="AX83" s="15" t="n">
        <f aca="false">IF(AND(2&lt;&gt;7,2&lt;&gt;9,Finanziamenti!$F$8=1,OR(Parametri_v3!$C$6=0,Finanziamenti!$E$8=1),Motore_Operativo!C83=EDATE(Finanziamenti!$D$8,Ipotesi!D15*12)),Finanziamenti!$C$8*1,0)+IF(AND(2&lt;&gt;7,2&lt;&gt;9,Finanziamenti!$F$9=1,OR(Parametri_v3!$C$6=0,Finanziamenti!$E$9=1),Motore_Operativo!C83=EDATE(Finanziamenti!$D$9,Ipotesi!D15*12)),Finanziamenti!$C$9*Ipotesi!D16,0)</f>
        <v>0</v>
      </c>
      <c r="AY83" s="15" t="n">
        <f aca="false">0</f>
        <v>0</v>
      </c>
      <c r="AZ83" s="15" t="n">
        <f aca="false">Motore_Advisory!AY83*(1-Ipotesi!$C$95)*Ipotesi!$C$96</f>
        <v>0</v>
      </c>
      <c r="BA83" s="15" t="n">
        <f aca="false">MAX(0,MIN(CG83*MIN(1,IF(Motore_Operativo!C83&gt;=EDATE(Finanziamenti!$D$15,Ipotesi!D14*12),Finanziamenti!$C$15,0)+IF(Motore_Operativo!C83&gt;=EDATE(Finanziamenti!$D$16,Ipotesi!D14*12),Finanziamenti!$C$16,0)+IF(Motore_Operativo!C83&gt;=EDATE(Finanziamenti!$D$17,Ipotesi!D14*12),Finanziamenti!$C$17,0)),CA83*Ipotesi!$C$102)-(CC82))</f>
        <v>0</v>
      </c>
      <c r="BB83" s="15" t="n">
        <f aca="false">IF(AND(CF83&gt;0,Motore_Operativo!C83&gt;=IF(CF83=0,0,EDATE(CF83,Parametri_v3!$C$37)),MOD(((D83-YEAR(IF(CF83=0,0,EDATE(CF83,Parametri_v3!$C$37))))*12+E83-MONTH(IF(CF83=0,0,EDATE(CF83,Parametri_v3!$C$37)))),Parametri_v3!$C$38)=0),MIN(MAX(0,(BC82)+BA83-N83),(CC83-CD83)/(Ipotesi!$C$108*12/Parametri_v3!$C$38)),0)</f>
        <v>0</v>
      </c>
      <c r="BC83" s="15" t="n">
        <f aca="false">(BC82)+BA83-N83-BB83</f>
        <v>57998.8645663402</v>
      </c>
      <c r="BD83" s="15" t="n">
        <f aca="false">(BH82)+AC83+AF83-AI83-AS83-K83*(1+Parametri_v3!$C$26)-AL83-AQ83-O83+AW83+AX83+AZ83+BA83-BB83</f>
        <v>16100.1124341968</v>
      </c>
      <c r="BE83" s="15" t="n">
        <f aca="false">MAX(0,MIN(MAX(0,CH83-(BG82)),Parametri_v3!$C$30-BD83))</f>
        <v>8899.88756580324</v>
      </c>
      <c r="BF83" s="15" t="n">
        <f aca="false">IF(Motore_Operativo!C83&gt;=Parametri_v3!$C$63,(BG82),MIN((BG82),MAX(0,BD83-Parametri_v3!$C$30)))</f>
        <v>0</v>
      </c>
      <c r="BG83" s="15" t="n">
        <f aca="false">(BG82)+BE83-BF83</f>
        <v>8899.88756580324</v>
      </c>
      <c r="BH83" s="15" t="n">
        <f aca="false">BD83+BE83-BF83-AY83</f>
        <v>25000</v>
      </c>
      <c r="BI83" s="15" t="n">
        <f aca="false">MAX(0,Parametri_v3!$C$30-BH83)</f>
        <v>0</v>
      </c>
      <c r="BJ83" s="15" t="n">
        <f aca="false">(BJ82)+K83</f>
        <v>34583.3333333333</v>
      </c>
      <c r="BK83" s="15" t="n">
        <f aca="false">(BK82)+L83</f>
        <v>9120.37037037037</v>
      </c>
      <c r="BL83" s="15" t="n">
        <f aca="false">BJ83-BK83</f>
        <v>25462.962962963</v>
      </c>
      <c r="BM83" s="15" t="n">
        <f aca="false">(BM82)+Y83</f>
        <v>-415224.801610957</v>
      </c>
      <c r="BN83" s="15" t="n">
        <f aca="false">(BN82)+AW83+AX83+AZ83</f>
        <v>430000</v>
      </c>
      <c r="BO83" s="15" t="n">
        <f aca="false">(BO82)+AY83</f>
        <v>0</v>
      </c>
      <c r="BP83" s="15" t="n">
        <f aca="false">0</f>
        <v>0</v>
      </c>
      <c r="BQ83" s="15" t="n">
        <f aca="false">BN83+BM83-BO83</f>
        <v>14775.1983890435</v>
      </c>
      <c r="BR83" s="15" t="n">
        <f aca="false">BH83+AD83+BL83+MAX(0,-AM83)+MAX(0,-AR83)+AG83</f>
        <v>151383.142279232</v>
      </c>
      <c r="BS83" s="15" t="n">
        <f aca="false">AJ83+AV83+MAX(0,AM83)+MAX(0,AR83)+BC83+BG83+BQ83</f>
        <v>151383.142279233</v>
      </c>
      <c r="BT83" s="15" t="n">
        <f aca="false">BR83-BS83</f>
        <v>0</v>
      </c>
      <c r="BU83" s="15" t="n">
        <f aca="false">BH83-(BD83+BE83-BF83-AY83)</f>
        <v>0</v>
      </c>
      <c r="BV83" s="15" t="n">
        <f aca="false">MIN(Piano_SS!$C$6,(BV82)+IF(AND(Motore_Operativo!C83&gt;=EDATE(Parametri_v3!$C$24,Ipotesi!D14*12),Motore_Operativo!C83&lt;EDATE(Parametri_v3!$C$24,Parametri_v3!$C$25+Ipotesi!D14*12)),MAX(0,(Motore_Operativo!Y83+Motore_Operativo!X83*Parametri_v3!$C$14)*(1-Parametri_v3!$C$32))*Piano_SS!$D$6,0))</f>
        <v>114118.75</v>
      </c>
      <c r="BW83" s="15" t="n">
        <f aca="false">MIN(Piano_SS!$C$7,(BW82)+IF(AND(Motore_Operativo!C83&gt;=EDATE(Parametri_v3!$C$24,Ipotesi!D14*12),Motore_Operativo!C83&lt;EDATE(Parametri_v3!$C$24,Parametri_v3!$C$25+Ipotesi!D14*12)),MAX(0,(IF(19-(INT((Ipotesi!$C$91)/30))&lt;1,0,INDEX(Motore_Operativo!$BN$65:$BN$124,MAX(1,19-(INT((Ipotesi!$C$91)/30)))))*(1-(MOD((Ipotesi!$C$91),30)/30))+IF(19-(INT((Ipotesi!$C$91)/30))-1&lt;1,0,INDEX(Motore_Operativo!$BN$65:$BN$124,MAX(1,19-(INT((Ipotesi!$C$91)/30))-1)))*(MOD((Ipotesi!$C$91),30)/30)))*Piano_SS!$D$7,0))</f>
        <v>17664.9327656361</v>
      </c>
      <c r="BX83" s="15" t="n">
        <f aca="false">MIN(Piano_SS!$C$8,(BX82)+IF(AND(Motore_Operativo!C83&gt;=EDATE(Parametri_v3!$C$24,Ipotesi!D14*12),Motore_Operativo!C83&lt;EDATE(Parametri_v3!$C$24,Parametri_v3!$C$25+Ipotesi!D14*12)),MAX(0,Motore_Operativo!CE83)*Piano_SS!$D$8,0))</f>
        <v>24583.3333333333</v>
      </c>
      <c r="BY83" s="15" t="n">
        <f aca="false">MIN(Piano_SS!$C$9,(BY82)+IF(AND(Motore_Operativo!C83&gt;=EDATE(Parametri_v3!$C$24,Ipotesi!D14*12),Motore_Operativo!C83&lt;EDATE(Parametri_v3!$C$24,Parametri_v3!$C$25+Ipotesi!D14*12)),MAX(0,((IF(19-(INT((Ipotesi!$C$91)/30))&lt;1,0,INDEX(Motore_Operativo!$BQ$65:$BQ$124,MAX(1,19-(INT((Ipotesi!$C$91)/30)))))*(1-(MOD((Ipotesi!$C$91),30)/30))+IF(19-(INT((Ipotesi!$C$91)/30))-1&lt;1,0,INDEX(Motore_Operativo!$BQ$65:$BQ$124,MAX(1,19-(INT((Ipotesi!$C$91)/30))-1)))*(MOD((Ipotesi!$C$91),30)/30))+(IF(19-(INT((Ipotesi!$C$91)/30))&lt;1,0,INDEX(Motore_Operativo!$BR$65:$BR$124,MAX(1,19-(INT((Ipotesi!$C$91)/30)))))*(1-(MOD((Ipotesi!$C$91),30)/30))+IF(19-(INT((Ipotesi!$C$91)/30))-1&lt;1,0,INDEX(Motore_Operativo!$BR$65:$BR$124,MAX(1,19-(INT((Ipotesi!$C$91)/30))-1)))*(MOD((Ipotesi!$C$91),30)/30))))*Piano_SS!$D$9,0))</f>
        <v>32583.3333333333</v>
      </c>
      <c r="BZ83" s="15" t="n">
        <f aca="false">MIN(Piano_SS!$C$10,(BZ82)+IF(AND(Motore_Operativo!C83&gt;=EDATE(Parametri_v3!$C$24,Ipotesi!D14*12),Motore_Operativo!C83&lt;EDATE(Parametri_v3!$C$24,Parametri_v3!$C$25+Ipotesi!D14*12)),MAX(0,(IF(19-(INT((Ipotesi!$C$91)/30))&lt;1,0,INDEX(Motore_Operativo!$BO$65:$BO$124,MAX(1,19-(INT((Ipotesi!$C$91)/30)))))*(1-(MOD((Ipotesi!$C$91),30)/30))+IF(19-(INT((Ipotesi!$C$91)/30))-1&lt;1,0,INDEX(Motore_Operativo!$BO$65:$BO$124,MAX(1,19-(INT((Ipotesi!$C$91)/30))-1)))*(MOD((Ipotesi!$C$91),30)/30)))*Piano_SS!$D$10,0))</f>
        <v>17166.6666666667</v>
      </c>
      <c r="CA83" s="15" t="n">
        <f aca="false">SUM(BV83:BZ83)</f>
        <v>206117.016098969</v>
      </c>
      <c r="CB83" s="15" t="n">
        <f aca="false">BV83*(1-Piano_SS!$E$6)+BW83*(1-Piano_SS!$E$7)+BX83*(1-Piano_SS!$E$8)+BY83*(1-Piano_SS!$E$9)+BZ83*(1-Piano_SS!$E$10)</f>
        <v>188950.349432303</v>
      </c>
      <c r="CC83" s="15" t="n">
        <f aca="false">(CC82)+BA83</f>
        <v>80000</v>
      </c>
      <c r="CD83" s="15" t="n">
        <f aca="false">IF(CA83=0,0,CC83*CB83/CA83*Ipotesi!$C$103*Parametri_v3!$C$64)</f>
        <v>22001.1354336598</v>
      </c>
      <c r="CE83" s="18" t="n">
        <f aca="false">IF(BA83&gt;0,Motore_Operativo!C83,(CE82))</f>
        <v>46784</v>
      </c>
      <c r="CF83" s="18" t="n">
        <f aca="false">IF(AND(CC83&gt;0,OR(CC83&gt;=CG83-0.01,Motore_Operativo!C83&gt;=EDATE(MAX(Finanziamenti!$D$15:$D$17),Ipotesi!D14*12))),CE83,0)</f>
        <v>0</v>
      </c>
      <c r="CG83" s="15" t="n">
        <f aca="false">IF(AND(2&lt;&gt;6,2&lt;&gt;9,Finanziamenti!$F$11=1,OR(Parametri_v3!$C$6=0,Finanziamenti!$E$11=1)),MIN(Finanziamenti!$C$11,Piano_SS!$C$12*Ipotesi!$C$102),0)</f>
        <v>400000</v>
      </c>
      <c r="CH83" s="15" t="n">
        <f aca="false">IF(AND(AND(2&lt;&gt;8,2&lt;&gt;9,Finanziamenti!$F$10=1,OR(Parametri_v3!$C$6=0,Finanziamenti!$E$10=1)),Motore_Operativo!C83&gt;=Finanziamenti!$D$10,Motore_Operativo!C83&lt;Parametri_v3!$C$63),Finanziamenti!$C$10,0)</f>
        <v>150000</v>
      </c>
    </row>
    <row r="84" customFormat="false" ht="18" hidden="false" customHeight="true" outlineLevel="0" collapsed="false">
      <c r="A84" s="68" t="n">
        <f aca="false">2</f>
        <v>2</v>
      </c>
      <c r="B84" s="68" t="n">
        <f aca="false">20</f>
        <v>20</v>
      </c>
      <c r="C84" s="18" t="n">
        <f aca="false">Motore_Operativo!C84</f>
        <v>46966</v>
      </c>
      <c r="D84" s="68" t="n">
        <f aca="false">Motore_Operativo!D84</f>
        <v>2028</v>
      </c>
      <c r="E84" s="68" t="n">
        <f aca="false">Motore_Operativo!E84</f>
        <v>8</v>
      </c>
      <c r="F84" s="15" t="n">
        <f aca="false">Motore_Operativo!AQ84+Motore_Operativo!BF84</f>
        <v>28266.9494267139</v>
      </c>
      <c r="G84" s="15" t="n">
        <f aca="false">Motore_Operativo!BH84</f>
        <v>3398.1220657277</v>
      </c>
      <c r="H84" s="15" t="n">
        <f aca="false">Motore_Operativo!BI84</f>
        <v>31665.0714924416</v>
      </c>
      <c r="I84" s="15" t="n">
        <f aca="false">Motore_Operativo!CA84</f>
        <v>57670.1499150451</v>
      </c>
      <c r="J84" s="15" t="n">
        <f aca="false">Motore_Operativo!CC84</f>
        <v>-26005.0784226035</v>
      </c>
      <c r="K84" s="15" t="n">
        <f aca="false">Motore_Operativo!CE84</f>
        <v>2083.33333333333</v>
      </c>
      <c r="L84" s="15" t="n">
        <f aca="false">SUM(INDEX($K$65:$K$124,MAX(1,20-Parametri_v3!$C$59+1)):K84)/Parametri_v3!$C$59</f>
        <v>1018.51851851852</v>
      </c>
      <c r="M84" s="15" t="n">
        <f aca="false">J84-L84</f>
        <v>-27023.5969411221</v>
      </c>
      <c r="N84" s="15" t="n">
        <f aca="false">CD84-(CD83)</f>
        <v>-11.3885736161428</v>
      </c>
      <c r="O84" s="15" t="n">
        <f aca="false">(BG83)*Ipotesi!$C$110/12+CH84*Parametri_v3!$C$39/12</f>
        <v>44.4994378290162</v>
      </c>
      <c r="P84" s="15" t="n">
        <f aca="false">M84+N84-O84</f>
        <v>-27079.4849525672</v>
      </c>
      <c r="Q84" s="15" t="n">
        <f aca="false">SUM(P77:P84)+Parametri_v3!$C$54*8/12</f>
        <v>-230802.690831152</v>
      </c>
      <c r="R84" s="15" t="n">
        <f aca="false">Z76</f>
        <v>211501.595732372</v>
      </c>
      <c r="S84" s="15" t="n">
        <f aca="false">AA76</f>
        <v>0</v>
      </c>
      <c r="T84" s="15" t="n">
        <f aca="false">MIN(R84,MAX(0,Q84))</f>
        <v>0</v>
      </c>
      <c r="U84" s="15" t="n">
        <f aca="false">MIN(S84,MAX(0,Q84-T84)*Parametri_v3!$C$42)</f>
        <v>0</v>
      </c>
      <c r="V84" s="15" t="n">
        <f aca="false">MAX(0,Q84-T84-U84)*Ipotesi!$C$92</f>
        <v>0</v>
      </c>
      <c r="W84" s="15" t="n">
        <f aca="false">MAX(0,SUM(M77:M84)+Parametri_v3!$C$55*8/12)*Ipotesi!$C$93</f>
        <v>0</v>
      </c>
      <c r="X84" s="15" t="n">
        <f aca="false">V84+W84-(V83+W83)</f>
        <v>0</v>
      </c>
      <c r="Y84" s="15" t="n">
        <f aca="false">P84-X84</f>
        <v>-27079.4849525672</v>
      </c>
      <c r="Z84" s="15" t="n">
        <f aca="false">R84-T84+IF(AND(Parametri_v3!$C$40=1,D84-YEAR(Parametri_v3!$C$50)&lt;Parametri_v3!$C$41),MAX(0,-Q84),0)</f>
        <v>442304.286563524</v>
      </c>
      <c r="AA84" s="15" t="n">
        <f aca="false">S84-U84+IF(AND(Parametri_v3!$C$40=1,D84-YEAR(Parametri_v3!$C$50)&lt;Parametri_v3!$C$41),0,MAX(0,-Q84))</f>
        <v>0</v>
      </c>
      <c r="AB84" s="15" t="n">
        <f aca="false">F84*(1+Parametri_v3!$C$26)</f>
        <v>34485.6783005909</v>
      </c>
      <c r="AC84" s="15" t="n">
        <f aca="false">(IF(20-(INT((Motore_Operativo!L84)/30))&lt;1,0,INDEX(Motore_Startup!$AB$65:$AB$124,MAX(1,20-(INT((Motore_Operativo!L84)/30)))))*(1-(MOD((Motore_Operativo!L84),30)/30))+IF(20-(INT((Motore_Operativo!L84)/30))-1&lt;1,0,INDEX(Motore_Startup!$AB$65:$AB$124,MAX(1,20-(INT((Motore_Operativo!L84)/30))-1)))*(MOD((Motore_Operativo!L84),30)/30))</f>
        <v>31134.5886032381</v>
      </c>
      <c r="AD84" s="15" t="n">
        <f aca="false">(AD83)+AB84-AC84</f>
        <v>100125.560093434</v>
      </c>
      <c r="AE84" s="15" t="n">
        <f aca="false">Motore_Operativo!BH84*(1+Parametri_v3!$C$26)</f>
        <v>4145.70892018779</v>
      </c>
      <c r="AF84" s="15" t="n">
        <f aca="false">(IF(20-(INT((Parametri_v3!$C$29)/30))&lt;1,0,INDEX(Motore_Operativo!$BH$65:$BH$124,MAX(1,20-(INT((Parametri_v3!$C$29)/30)))))*(1-(MOD((Parametri_v3!$C$29),30)/30))+IF(20-(INT((Parametri_v3!$C$29)/30))-1&lt;1,0,INDEX(Motore_Operativo!$BH$65:$BH$124,MAX(1,20-(INT((Parametri_v3!$C$29)/30))-1)))*(MOD((Parametri_v3!$C$29),30)/30))*(1+Parametri_v3!$C$26)</f>
        <v>4145.70892018779</v>
      </c>
      <c r="AG84" s="15" t="n">
        <f aca="false">(AG83)+AE84-AF84</f>
        <v>4145.70892018779</v>
      </c>
      <c r="AH84" s="15" t="n">
        <f aca="false">(Motore_Operativo!CJ84)*(1+Parametri_v3!$C$27*Parametri_v3!$C$26)</f>
        <v>21256.3804491586</v>
      </c>
      <c r="AI84" s="15" t="n">
        <f aca="false">(IF(20-(INT((Ipotesi!$C$91)/30))&lt;1,0,INDEX(Motore_Startup!$AH$65:$AH$124,MAX(1,20-(INT((Ipotesi!$C$91)/30)))))*(1-(MOD((Ipotesi!$C$91),30)/30))+IF(20-(INT((Ipotesi!$C$91)/30))-1&lt;1,0,INDEX(Motore_Startup!$AH$65:$AH$124,MAX(1,20-(INT((Ipotesi!$C$91)/30))-1)))*(MOD((Ipotesi!$C$91),30)/30))</f>
        <v>20953.4100629259</v>
      </c>
      <c r="AJ84" s="15" t="n">
        <f aca="false">(AJ83)+AH84-AI84</f>
        <v>42361.9407241812</v>
      </c>
      <c r="AK84" s="15" t="n">
        <f aca="false">(F84+ Motore_Operativo!BH84-(Motore_Operativo!CJ84)*Parametri_v3!$C$27-Motore_Operativo!CE84)*Parametri_v3!$C$26</f>
        <v>3159.25186089038</v>
      </c>
      <c r="AL84" s="15" t="n">
        <f aca="false">MAX(0,(AM83))</f>
        <v>2983.34642009712</v>
      </c>
      <c r="AM84" s="15" t="n">
        <f aca="false">(AM83)+AK84-AL84</f>
        <v>3159.25186089038</v>
      </c>
      <c r="AN84" s="15" t="n">
        <f aca="false">SUM(X65:X76)</f>
        <v>0</v>
      </c>
      <c r="AO84" s="15" t="n">
        <f aca="false">SUM(AP65:AP76)</f>
        <v>0</v>
      </c>
      <c r="AP84" s="15" t="n">
        <f aca="false">MAX(0,AN84)*IF(8=Parametri_v3!$C$43,Parametri_v3!$C$45,IF(8=Parametri_v3!$C$44,1-Parametri_v3!$C$45,0))</f>
        <v>0</v>
      </c>
      <c r="AQ84" s="15" t="n">
        <f aca="false">MAX(0,AP84+IF(8=Parametri_v3!$C$43,MAX(0,AN84-AO84),0)-MAX(0,-(AR83)))</f>
        <v>0</v>
      </c>
      <c r="AR84" s="15" t="n">
        <f aca="false">(AR83)+X84-AQ84</f>
        <v>0</v>
      </c>
      <c r="AS84" s="15" t="n">
        <f aca="false">Motore_Operativo!AB84-AT84+AU84</f>
        <v>37774.375</v>
      </c>
      <c r="AT84" s="15" t="n">
        <f aca="false">Motore_Operativo!CH84</f>
        <v>1988.125</v>
      </c>
      <c r="AU84" s="15" t="n">
        <f aca="false">MIN(MAX(0,(AV83)+AT84),Parametri_v3!$C$60/12)</f>
        <v>0</v>
      </c>
      <c r="AV84" s="15" t="n">
        <f aca="false">(AV83)+AT84-AU84</f>
        <v>26655</v>
      </c>
      <c r="AW84" s="15" t="n">
        <f aca="false">IF(AND(Motore_Operativo!C84=Finanziamenti!$D$6,Finanziamenti!$F$6=1),Finanziamenti!$C$6,0)</f>
        <v>0</v>
      </c>
      <c r="AX84" s="15" t="n">
        <f aca="false">IF(AND(2&lt;&gt;7,2&lt;&gt;9,Finanziamenti!$F$8=1,OR(Parametri_v3!$C$6=0,Finanziamenti!$E$8=1),Motore_Operativo!C84=EDATE(Finanziamenti!$D$8,Ipotesi!D15*12)),Finanziamenti!$C$8*1,0)+IF(AND(2&lt;&gt;7,2&lt;&gt;9,Finanziamenti!$F$9=1,OR(Parametri_v3!$C$6=0,Finanziamenti!$E$9=1),Motore_Operativo!C84=EDATE(Finanziamenti!$D$9,Ipotesi!D15*12)),Finanziamenti!$C$9*Ipotesi!D16,0)</f>
        <v>0</v>
      </c>
      <c r="AY84" s="15" t="n">
        <f aca="false">0</f>
        <v>0</v>
      </c>
      <c r="AZ84" s="15" t="n">
        <f aca="false">Motore_Advisory!AY84*(1-Ipotesi!$C$95)*Ipotesi!$C$96</f>
        <v>0</v>
      </c>
      <c r="BA84" s="15" t="n">
        <f aca="false">MAX(0,MIN(CG84*MIN(1,IF(Motore_Operativo!C84&gt;=EDATE(Finanziamenti!$D$15,Ipotesi!D14*12),Finanziamenti!$C$15,0)+IF(Motore_Operativo!C84&gt;=EDATE(Finanziamenti!$D$16,Ipotesi!D14*12),Finanziamenti!$C$16,0)+IF(Motore_Operativo!C84&gt;=EDATE(Finanziamenti!$D$17,Ipotesi!D14*12),Finanziamenti!$C$17,0)),CA84*Ipotesi!$C$102)-(CC83))</f>
        <v>0</v>
      </c>
      <c r="BB84" s="15" t="n">
        <f aca="false">IF(AND(CF84&gt;0,Motore_Operativo!C84&gt;=IF(CF84=0,0,EDATE(CF84,Parametri_v3!$C$37)),MOD(((D84-YEAR(IF(CF84=0,0,EDATE(CF84,Parametri_v3!$C$37))))*12+E84-MONTH(IF(CF84=0,0,EDATE(CF84,Parametri_v3!$C$37)))),Parametri_v3!$C$38)=0),MIN(MAX(0,(BC83)+BA84-N84),(CC84-CD84)/(Ipotesi!$C$108*12/Parametri_v3!$C$38)),0)</f>
        <v>0</v>
      </c>
      <c r="BC84" s="15" t="n">
        <f aca="false">(BC83)+BA84-N84-BB84</f>
        <v>58010.2531399563</v>
      </c>
      <c r="BD84" s="15" t="n">
        <f aca="false">(BH83)+AC84+AF84-AI84-AS84-K84*(1+Parametri_v3!$C$26)-AL84-AQ84-O84+AW84+AX84+AZ84+BA84-BB84</f>
        <v>-4017.0000640928</v>
      </c>
      <c r="BE84" s="15" t="n">
        <f aca="false">MAX(0,MIN(MAX(0,CH84-(BG83)),Parametri_v3!$C$30-BD84))</f>
        <v>29017.0000640928</v>
      </c>
      <c r="BF84" s="15" t="n">
        <f aca="false">IF(Motore_Operativo!C84&gt;=Parametri_v3!$C$63,(BG83),MIN((BG83),MAX(0,BD84-Parametri_v3!$C$30)))</f>
        <v>0</v>
      </c>
      <c r="BG84" s="15" t="n">
        <f aca="false">(BG83)+BE84-BF84</f>
        <v>37916.887629896</v>
      </c>
      <c r="BH84" s="15" t="n">
        <f aca="false">BD84+BE84-BF84-AY84</f>
        <v>25000</v>
      </c>
      <c r="BI84" s="15" t="n">
        <f aca="false">MAX(0,Parametri_v3!$C$30-BH84)</f>
        <v>0</v>
      </c>
      <c r="BJ84" s="15" t="n">
        <f aca="false">(BJ83)+K84</f>
        <v>36666.6666666667</v>
      </c>
      <c r="BK84" s="15" t="n">
        <f aca="false">(BK83)+L84</f>
        <v>10138.8888888889</v>
      </c>
      <c r="BL84" s="15" t="n">
        <f aca="false">BJ84-BK84</f>
        <v>26527.7777777778</v>
      </c>
      <c r="BM84" s="15" t="n">
        <f aca="false">(BM83)+Y84</f>
        <v>-442304.286563524</v>
      </c>
      <c r="BN84" s="15" t="n">
        <f aca="false">(BN83)+AW84+AX84+AZ84</f>
        <v>430000</v>
      </c>
      <c r="BO84" s="15" t="n">
        <f aca="false">(BO83)+AY84</f>
        <v>0</v>
      </c>
      <c r="BP84" s="15" t="n">
        <f aca="false">0</f>
        <v>0</v>
      </c>
      <c r="BQ84" s="15" t="n">
        <f aca="false">BN84+BM84-BO84</f>
        <v>-12304.2865635237</v>
      </c>
      <c r="BR84" s="15" t="n">
        <f aca="false">BH84+AD84+BL84+MAX(0,-AM84)+MAX(0,-AR84)+AG84</f>
        <v>155799.0467914</v>
      </c>
      <c r="BS84" s="15" t="n">
        <f aca="false">AJ84+AV84+MAX(0,AM84)+MAX(0,AR84)+BC84+BG84+BQ84</f>
        <v>155799.0467914</v>
      </c>
      <c r="BT84" s="15" t="n">
        <f aca="false">BR84-BS84</f>
        <v>0</v>
      </c>
      <c r="BU84" s="15" t="n">
        <f aca="false">BH84-(BD84+BE84-BF84-AY84)</f>
        <v>0</v>
      </c>
      <c r="BV84" s="15" t="n">
        <f aca="false">MIN(Piano_SS!$C$6,(BV83)+IF(AND(Motore_Operativo!C84&gt;=EDATE(Parametri_v3!$C$24,Ipotesi!D14*12),Motore_Operativo!C84&lt;EDATE(Parametri_v3!$C$24,Parametri_v3!$C$25+Ipotesi!D14*12)),MAX(0,(Motore_Operativo!Y84+Motore_Operativo!X84*Parametri_v3!$C$14)*(1-Parametri_v3!$C$32))*Piano_SS!$D$6,0))</f>
        <v>126350</v>
      </c>
      <c r="BW84" s="15" t="n">
        <f aca="false">MIN(Piano_SS!$C$7,(BW83)+IF(AND(Motore_Operativo!C84&gt;=EDATE(Parametri_v3!$C$24,Ipotesi!D14*12),Motore_Operativo!C84&lt;EDATE(Parametri_v3!$C$24,Parametri_v3!$C$25+Ipotesi!D14*12)),MAX(0,(IF(20-(INT((Ipotesi!$C$91)/30))&lt;1,0,INDEX(Motore_Operativo!$BN$65:$BN$124,MAX(1,20-(INT((Ipotesi!$C$91)/30)))))*(1-(MOD((Ipotesi!$C$91),30)/30))+IF(20-(INT((Ipotesi!$C$91)/30))-1&lt;1,0,INDEX(Motore_Operativo!$BN$65:$BN$124,MAX(1,20-(INT((Ipotesi!$C$91)/30))-1)))*(MOD((Ipotesi!$C$91),30)/30)))*Piano_SS!$D$7,0))</f>
        <v>19320.4370474985</v>
      </c>
      <c r="BX84" s="15" t="n">
        <f aca="false">MIN(Piano_SS!$C$8,(BX83)+IF(AND(Motore_Operativo!C84&gt;=EDATE(Parametri_v3!$C$24,Ipotesi!D14*12),Motore_Operativo!C84&lt;EDATE(Parametri_v3!$C$24,Parametri_v3!$C$25+Ipotesi!D14*12)),MAX(0,Motore_Operativo!CE84)*Piano_SS!$D$8,0))</f>
        <v>26666.6666666667</v>
      </c>
      <c r="BY84" s="15" t="n">
        <f aca="false">MIN(Piano_SS!$C$9,(BY83)+IF(AND(Motore_Operativo!C84&gt;=EDATE(Parametri_v3!$C$24,Ipotesi!D14*12),Motore_Operativo!C84&lt;EDATE(Parametri_v3!$C$24,Parametri_v3!$C$25+Ipotesi!D14*12)),MAX(0,((IF(20-(INT((Ipotesi!$C$91)/30))&lt;1,0,INDEX(Motore_Operativo!$BQ$65:$BQ$124,MAX(1,20-(INT((Ipotesi!$C$91)/30)))))*(1-(MOD((Ipotesi!$C$91),30)/30))+IF(20-(INT((Ipotesi!$C$91)/30))-1&lt;1,0,INDEX(Motore_Operativo!$BQ$65:$BQ$124,MAX(1,20-(INT((Ipotesi!$C$91)/30))-1)))*(MOD((Ipotesi!$C$91),30)/30))+(IF(20-(INT((Ipotesi!$C$91)/30))&lt;1,0,INDEX(Motore_Operativo!$BR$65:$BR$124,MAX(1,20-(INT((Ipotesi!$C$91)/30)))))*(1-(MOD((Ipotesi!$C$91),30)/30))+IF(20-(INT((Ipotesi!$C$91)/30))-1&lt;1,0,INDEX(Motore_Operativo!$BR$65:$BR$124,MAX(1,20-(INT((Ipotesi!$C$91)/30))-1)))*(MOD((Ipotesi!$C$91),30)/30))))*Piano_SS!$D$9,0))</f>
        <v>35500</v>
      </c>
      <c r="BZ84" s="15" t="n">
        <f aca="false">MIN(Piano_SS!$C$10,(BZ83)+IF(AND(Motore_Operativo!C84&gt;=EDATE(Parametri_v3!$C$24,Ipotesi!D14*12),Motore_Operativo!C84&lt;EDATE(Parametri_v3!$C$24,Parametri_v3!$C$25+Ipotesi!D14*12)),MAX(0,(IF(20-(INT((Ipotesi!$C$91)/30))&lt;1,0,INDEX(Motore_Operativo!$BO$65:$BO$124,MAX(1,20-(INT((Ipotesi!$C$91)/30)))))*(1-(MOD((Ipotesi!$C$91),30)/30))+IF(20-(INT((Ipotesi!$C$91)/30))-1&lt;1,0,INDEX(Motore_Operativo!$BO$65:$BO$124,MAX(1,20-(INT((Ipotesi!$C$91)/30))-1)))*(MOD((Ipotesi!$C$91),30)/30)))*Piano_SS!$D$10,0))</f>
        <v>19000</v>
      </c>
      <c r="CA84" s="15" t="n">
        <f aca="false">SUM(BV84:BZ84)</f>
        <v>226837.103714165</v>
      </c>
      <c r="CB84" s="15" t="n">
        <f aca="false">BV84*(1-Piano_SS!$E$6)+BW84*(1-Piano_SS!$E$7)+BX84*(1-Piano_SS!$E$8)+BY84*(1-Piano_SS!$E$9)+BZ84*(1-Piano_SS!$E$10)</f>
        <v>207837.103714165</v>
      </c>
      <c r="CC84" s="15" t="n">
        <f aca="false">(CC83)+BA84</f>
        <v>80000</v>
      </c>
      <c r="CD84" s="15" t="n">
        <f aca="false">IF(CA84=0,0,CC84*CB84/CA84*Ipotesi!$C$103*Parametri_v3!$C$64)</f>
        <v>21989.7468600437</v>
      </c>
      <c r="CE84" s="18" t="n">
        <f aca="false">IF(BA84&gt;0,Motore_Operativo!C84,(CE83))</f>
        <v>46784</v>
      </c>
      <c r="CF84" s="18" t="n">
        <f aca="false">IF(AND(CC84&gt;0,OR(CC84&gt;=CG84-0.01,Motore_Operativo!C84&gt;=EDATE(MAX(Finanziamenti!$D$15:$D$17),Ipotesi!D14*12))),CE84,0)</f>
        <v>0</v>
      </c>
      <c r="CG84" s="15" t="n">
        <f aca="false">IF(AND(2&lt;&gt;6,2&lt;&gt;9,Finanziamenti!$F$11=1,OR(Parametri_v3!$C$6=0,Finanziamenti!$E$11=1)),MIN(Finanziamenti!$C$11,Piano_SS!$C$12*Ipotesi!$C$102),0)</f>
        <v>400000</v>
      </c>
      <c r="CH84" s="15" t="n">
        <f aca="false">IF(AND(AND(2&lt;&gt;8,2&lt;&gt;9,Finanziamenti!$F$10=1,OR(Parametri_v3!$C$6=0,Finanziamenti!$E$10=1)),Motore_Operativo!C84&gt;=Finanziamenti!$D$10,Motore_Operativo!C84&lt;Parametri_v3!$C$63),Finanziamenti!$C$10,0)</f>
        <v>150000</v>
      </c>
    </row>
    <row r="85" customFormat="false" ht="18" hidden="false" customHeight="true" outlineLevel="0" collapsed="false">
      <c r="A85" s="68" t="n">
        <f aca="false">2</f>
        <v>2</v>
      </c>
      <c r="B85" s="68" t="n">
        <f aca="false">21</f>
        <v>21</v>
      </c>
      <c r="C85" s="18" t="n">
        <f aca="false">Motore_Operativo!C85</f>
        <v>46997</v>
      </c>
      <c r="D85" s="68" t="n">
        <f aca="false">Motore_Operativo!D85</f>
        <v>2028</v>
      </c>
      <c r="E85" s="68" t="n">
        <f aca="false">Motore_Operativo!E85</f>
        <v>9</v>
      </c>
      <c r="F85" s="15" t="n">
        <f aca="false">Motore_Operativo!AQ85+Motore_Operativo!BF85</f>
        <v>29166.5869453654</v>
      </c>
      <c r="G85" s="15" t="n">
        <f aca="false">Motore_Operativo!BH85</f>
        <v>3398.1220657277</v>
      </c>
      <c r="H85" s="15" t="n">
        <f aca="false">Motore_Operativo!BI85</f>
        <v>32564.7090110931</v>
      </c>
      <c r="I85" s="15" t="n">
        <f aca="false">Motore_Operativo!CA85</f>
        <v>57796.0991676563</v>
      </c>
      <c r="J85" s="15" t="n">
        <f aca="false">Motore_Operativo!CC85</f>
        <v>-25231.3901565633</v>
      </c>
      <c r="K85" s="15" t="n">
        <f aca="false">Motore_Operativo!CE85</f>
        <v>2083.33333333333</v>
      </c>
      <c r="L85" s="15" t="n">
        <f aca="false">SUM(INDEX($K$65:$K$124,MAX(1,21-Parametri_v3!$C$59+1)):K85)/Parametri_v3!$C$59</f>
        <v>1076.38888888889</v>
      </c>
      <c r="M85" s="15" t="n">
        <f aca="false">J85-L85</f>
        <v>-26307.7790454521</v>
      </c>
      <c r="N85" s="15" t="n">
        <f aca="false">CD85-(CD84)</f>
        <v>-8.8847553389096</v>
      </c>
      <c r="O85" s="15" t="n">
        <f aca="false">(BG84)*Ipotesi!$C$110/12+CH85*Parametri_v3!$C$39/12</f>
        <v>189.58443814948</v>
      </c>
      <c r="P85" s="15" t="n">
        <f aca="false">M85+N85-O85</f>
        <v>-26506.2482389405</v>
      </c>
      <c r="Q85" s="15" t="n">
        <f aca="false">SUM(P77:P85)+Parametri_v3!$C$54*9/12</f>
        <v>-257308.939070092</v>
      </c>
      <c r="R85" s="15" t="n">
        <f aca="false">Z76</f>
        <v>211501.595732372</v>
      </c>
      <c r="S85" s="15" t="n">
        <f aca="false">AA76</f>
        <v>0</v>
      </c>
      <c r="T85" s="15" t="n">
        <f aca="false">MIN(R85,MAX(0,Q85))</f>
        <v>0</v>
      </c>
      <c r="U85" s="15" t="n">
        <f aca="false">MIN(S85,MAX(0,Q85-T85)*Parametri_v3!$C$42)</f>
        <v>0</v>
      </c>
      <c r="V85" s="15" t="n">
        <f aca="false">MAX(0,Q85-T85-U85)*Ipotesi!$C$92</f>
        <v>0</v>
      </c>
      <c r="W85" s="15" t="n">
        <f aca="false">MAX(0,SUM(M77:M85)+Parametri_v3!$C$55*9/12)*Ipotesi!$C$93</f>
        <v>0</v>
      </c>
      <c r="X85" s="15" t="n">
        <f aca="false">V85+W85-(V84+W84)</f>
        <v>0</v>
      </c>
      <c r="Y85" s="15" t="n">
        <f aca="false">P85-X85</f>
        <v>-26506.2482389405</v>
      </c>
      <c r="Z85" s="15" t="n">
        <f aca="false">R85-T85+IF(AND(Parametri_v3!$C$40=1,D85-YEAR(Parametri_v3!$C$50)&lt;Parametri_v3!$C$41),MAX(0,-Q85),0)</f>
        <v>468810.534802464</v>
      </c>
      <c r="AA85" s="15" t="n">
        <f aca="false">S85-U85+IF(AND(Parametri_v3!$C$40=1,D85-YEAR(Parametri_v3!$C$50)&lt;Parametri_v3!$C$41),0,MAX(0,-Q85))</f>
        <v>0</v>
      </c>
      <c r="AB85" s="15" t="n">
        <f aca="false">F85*(1+Parametri_v3!$C$26)</f>
        <v>35583.2360733457</v>
      </c>
      <c r="AC85" s="15" t="n">
        <f aca="false">(IF(21-(INT((Motore_Operativo!L85)/30))&lt;1,0,INDEX(Motore_Startup!$AB$65:$AB$124,MAX(1,21-(INT((Motore_Operativo!L85)/30)))))*(1-(MOD((Motore_Operativo!L85),30)/30))+IF(21-(INT((Motore_Operativo!L85)/30))-1&lt;1,0,INDEX(Motore_Startup!$AB$65:$AB$124,MAX(1,21-(INT((Motore_Operativo!L85)/30))-1)))*(MOD((Motore_Operativo!L85),30)/30))</f>
        <v>32261.4402984015</v>
      </c>
      <c r="AD85" s="15" t="n">
        <f aca="false">(AD84)+AB85-AC85</f>
        <v>103447.355868379</v>
      </c>
      <c r="AE85" s="15" t="n">
        <f aca="false">Motore_Operativo!BH85*(1+Parametri_v3!$C$26)</f>
        <v>4145.70892018779</v>
      </c>
      <c r="AF85" s="15" t="n">
        <f aca="false">(IF(21-(INT((Parametri_v3!$C$29)/30))&lt;1,0,INDEX(Motore_Operativo!$BH$65:$BH$124,MAX(1,21-(INT((Parametri_v3!$C$29)/30)))))*(1-(MOD((Parametri_v3!$C$29),30)/30))+IF(21-(INT((Parametri_v3!$C$29)/30))-1&lt;1,0,INDEX(Motore_Operativo!$BH$65:$BH$124,MAX(1,21-(INT((Parametri_v3!$C$29)/30))-1)))*(MOD((Parametri_v3!$C$29),30)/30))*(1+Parametri_v3!$C$26)</f>
        <v>4145.70892018779</v>
      </c>
      <c r="AG85" s="15" t="n">
        <f aca="false">(AG84)+AE85-AF85</f>
        <v>4145.70892018779</v>
      </c>
      <c r="AH85" s="15" t="n">
        <f aca="false">(Motore_Operativo!CJ85)*(1+Parametri_v3!$C$27*Parametri_v3!$C$26)</f>
        <v>21405.882212008</v>
      </c>
      <c r="AI85" s="15" t="n">
        <f aca="false">(IF(21-(INT((Ipotesi!$C$91)/30))&lt;1,0,INDEX(Motore_Startup!$AH$65:$AH$124,MAX(1,21-(INT((Ipotesi!$C$91)/30)))))*(1-(MOD((Ipotesi!$C$91),30)/30))+IF(21-(INT((Ipotesi!$C$91)/30))-1&lt;1,0,INDEX(Motore_Startup!$AH$65:$AH$124,MAX(1,21-(INT((Ipotesi!$C$91)/30))-1)))*(MOD((Ipotesi!$C$91),30)/30))</f>
        <v>21105.5602750226</v>
      </c>
      <c r="AJ85" s="15" t="n">
        <f aca="false">(AJ84)+AH85-AI85</f>
        <v>42662.2626611666</v>
      </c>
      <c r="AK85" s="15" t="n">
        <f aca="false">(F85+ Motore_Operativo!BH85-(Motore_Operativo!CJ85)*Parametri_v3!$C$27-Motore_Operativo!CE85)*Parametri_v3!$C$26</f>
        <v>3333.61960475541</v>
      </c>
      <c r="AL85" s="15" t="n">
        <f aca="false">MAX(0,(AM84))</f>
        <v>3159.25186089038</v>
      </c>
      <c r="AM85" s="15" t="n">
        <f aca="false">(AM84)+AK85-AL85</f>
        <v>3333.61960475541</v>
      </c>
      <c r="AN85" s="15" t="n">
        <f aca="false">SUM(X65:X76)</f>
        <v>0</v>
      </c>
      <c r="AO85" s="15" t="n">
        <f aca="false">SUM(AP65:AP76)</f>
        <v>0</v>
      </c>
      <c r="AP85" s="15" t="n">
        <f aca="false">MAX(0,AN85)*IF(9=Parametri_v3!$C$43,Parametri_v3!$C$45,IF(9=Parametri_v3!$C$44,1-Parametri_v3!$C$45,0))</f>
        <v>0</v>
      </c>
      <c r="AQ85" s="15" t="n">
        <f aca="false">MAX(0,AP85+IF(9=Parametri_v3!$C$43,MAX(0,AN85-AO85),0)-MAX(0,-(AR84)))</f>
        <v>0</v>
      </c>
      <c r="AR85" s="15" t="n">
        <f aca="false">(AR84)+X85-AQ85</f>
        <v>0</v>
      </c>
      <c r="AS85" s="15" t="n">
        <f aca="false">Motore_Operativo!AB85-AT85+AU85</f>
        <v>37774.375</v>
      </c>
      <c r="AT85" s="15" t="n">
        <f aca="false">Motore_Operativo!CH85</f>
        <v>1988.125</v>
      </c>
      <c r="AU85" s="15" t="n">
        <f aca="false">MIN(MAX(0,(AV84)+AT85),Parametri_v3!$C$60/12)</f>
        <v>0</v>
      </c>
      <c r="AV85" s="15" t="n">
        <f aca="false">(AV84)+AT85-AU85</f>
        <v>28643.125</v>
      </c>
      <c r="AW85" s="15" t="n">
        <f aca="false">IF(AND(Motore_Operativo!C85=Finanziamenti!$D$6,Finanziamenti!$F$6=1),Finanziamenti!$C$6,0)</f>
        <v>0</v>
      </c>
      <c r="AX85" s="15" t="n">
        <f aca="false">IF(AND(2&lt;&gt;7,2&lt;&gt;9,Finanziamenti!$F$8=1,OR(Parametri_v3!$C$6=0,Finanziamenti!$E$8=1),Motore_Operativo!C85=EDATE(Finanziamenti!$D$8,Ipotesi!D15*12)),Finanziamenti!$C$8*1,0)+IF(AND(2&lt;&gt;7,2&lt;&gt;9,Finanziamenti!$F$9=1,OR(Parametri_v3!$C$6=0,Finanziamenti!$E$9=1),Motore_Operativo!C85=EDATE(Finanziamenti!$D$9,Ipotesi!D15*12)),Finanziamenti!$C$9*Ipotesi!D16,0)</f>
        <v>0</v>
      </c>
      <c r="AY85" s="15" t="n">
        <f aca="false">0</f>
        <v>0</v>
      </c>
      <c r="AZ85" s="15" t="n">
        <f aca="false">Motore_Advisory!AY85*(1-Ipotesi!$C$95)*Ipotesi!$C$96</f>
        <v>0</v>
      </c>
      <c r="BA85" s="15" t="n">
        <f aca="false">MAX(0,MIN(CG85*MIN(1,IF(Motore_Operativo!C85&gt;=EDATE(Finanziamenti!$D$15,Ipotesi!D14*12),Finanziamenti!$C$15,0)+IF(Motore_Operativo!C85&gt;=EDATE(Finanziamenti!$D$16,Ipotesi!D14*12),Finanziamenti!$C$16,0)+IF(Motore_Operativo!C85&gt;=EDATE(Finanziamenti!$D$17,Ipotesi!D14*12),Finanziamenti!$C$17,0)),CA85*Ipotesi!$C$102)-(CC84))</f>
        <v>0</v>
      </c>
      <c r="BB85" s="15" t="n">
        <f aca="false">IF(AND(CF85&gt;0,Motore_Operativo!C85&gt;=IF(CF85=0,0,EDATE(CF85,Parametri_v3!$C$37)),MOD(((D85-YEAR(IF(CF85=0,0,EDATE(CF85,Parametri_v3!$C$37))))*12+E85-MONTH(IF(CF85=0,0,EDATE(CF85,Parametri_v3!$C$37)))),Parametri_v3!$C$38)=0),MIN(MAX(0,(BC84)+BA85-N85),(CC85-CD85)/(Ipotesi!$C$108*12/Parametri_v3!$C$38)),0)</f>
        <v>0</v>
      </c>
      <c r="BC85" s="15" t="n">
        <f aca="false">(BC84)+BA85-N85-BB85</f>
        <v>58019.1378952952</v>
      </c>
      <c r="BD85" s="15" t="n">
        <f aca="false">(BH84)+AC85+AF85-AI85-AS85-K85*(1+Parametri_v3!$C$26)-AL85-AQ85-O85+AW85+AX85+AZ85+BA85-BB85</f>
        <v>-3363.28902213991</v>
      </c>
      <c r="BE85" s="15" t="n">
        <f aca="false">MAX(0,MIN(MAX(0,CH85-(BG84)),Parametri_v3!$C$30-BD85))</f>
        <v>28363.2890221399</v>
      </c>
      <c r="BF85" s="15" t="n">
        <f aca="false">IF(Motore_Operativo!C85&gt;=Parametri_v3!$C$63,(BG84),MIN((BG84),MAX(0,BD85-Parametri_v3!$C$30)))</f>
        <v>0</v>
      </c>
      <c r="BG85" s="15" t="n">
        <f aca="false">(BG84)+BE85-BF85</f>
        <v>66280.1766520359</v>
      </c>
      <c r="BH85" s="15" t="n">
        <f aca="false">BD85+BE85-BF85-AY85</f>
        <v>25000</v>
      </c>
      <c r="BI85" s="15" t="n">
        <f aca="false">MAX(0,Parametri_v3!$C$30-BH85)</f>
        <v>0</v>
      </c>
      <c r="BJ85" s="15" t="n">
        <f aca="false">(BJ84)+K85</f>
        <v>38750</v>
      </c>
      <c r="BK85" s="15" t="n">
        <f aca="false">(BK84)+L85</f>
        <v>11215.2777777778</v>
      </c>
      <c r="BL85" s="15" t="n">
        <f aca="false">BJ85-BK85</f>
        <v>27534.7222222222</v>
      </c>
      <c r="BM85" s="15" t="n">
        <f aca="false">(BM84)+Y85</f>
        <v>-468810.534802464</v>
      </c>
      <c r="BN85" s="15" t="n">
        <f aca="false">(BN84)+AW85+AX85+AZ85</f>
        <v>430000</v>
      </c>
      <c r="BO85" s="15" t="n">
        <f aca="false">(BO84)+AY85</f>
        <v>0</v>
      </c>
      <c r="BP85" s="15" t="n">
        <f aca="false">0</f>
        <v>0</v>
      </c>
      <c r="BQ85" s="15" t="n">
        <f aca="false">BN85+BM85-BO85</f>
        <v>-38810.5348024642</v>
      </c>
      <c r="BR85" s="15" t="n">
        <f aca="false">BH85+AD85+BL85+MAX(0,-AM85)+MAX(0,-AR85)+AG85</f>
        <v>160127.787010789</v>
      </c>
      <c r="BS85" s="15" t="n">
        <f aca="false">AJ85+AV85+MAX(0,AM85)+MAX(0,AR85)+BC85+BG85+BQ85</f>
        <v>160127.787010789</v>
      </c>
      <c r="BT85" s="15" t="n">
        <f aca="false">BR85-BS85</f>
        <v>0</v>
      </c>
      <c r="BU85" s="15" t="n">
        <f aca="false">BH85-(BD85+BE85-BF85-AY85)</f>
        <v>0</v>
      </c>
      <c r="BV85" s="15" t="n">
        <f aca="false">MIN(Piano_SS!$C$6,(BV84)+IF(AND(Motore_Operativo!C85&gt;=EDATE(Parametri_v3!$C$24,Ipotesi!D14*12),Motore_Operativo!C85&lt;EDATE(Parametri_v3!$C$24,Parametri_v3!$C$25+Ipotesi!D14*12)),MAX(0,(Motore_Operativo!Y85+Motore_Operativo!X85*Parametri_v3!$C$14)*(1-Parametri_v3!$C$32))*Piano_SS!$D$6,0))</f>
        <v>138581.25</v>
      </c>
      <c r="BW85" s="15" t="n">
        <f aca="false">MIN(Piano_SS!$C$7,(BW84)+IF(AND(Motore_Operativo!C85&gt;=EDATE(Parametri_v3!$C$24,Ipotesi!D14*12),Motore_Operativo!C85&lt;EDATE(Parametri_v3!$C$24,Parametri_v3!$C$25+Ipotesi!D14*12)),MAX(0,(IF(21-(INT((Ipotesi!$C$91)/30))&lt;1,0,INDEX(Motore_Operativo!$BN$65:$BN$124,MAX(1,21-(INT((Ipotesi!$C$91)/30)))))*(1-(MOD((Ipotesi!$C$91),30)/30))+IF(21-(INT((Ipotesi!$C$91)/30))-1&lt;1,0,INDEX(Motore_Operativo!$BN$65:$BN$124,MAX(1,21-(INT((Ipotesi!$C$91)/30))-1)))*(MOD((Ipotesi!$C$91),30)/30)))*Piano_SS!$D$7,0))</f>
        <v>21049.1873094291</v>
      </c>
      <c r="BX85" s="15" t="n">
        <f aca="false">MIN(Piano_SS!$C$8,(BX84)+IF(AND(Motore_Operativo!C85&gt;=EDATE(Parametri_v3!$C$24,Ipotesi!D14*12),Motore_Operativo!C85&lt;EDATE(Parametri_v3!$C$24,Parametri_v3!$C$25+Ipotesi!D14*12)),MAX(0,Motore_Operativo!CE85)*Piano_SS!$D$8,0))</f>
        <v>28750</v>
      </c>
      <c r="BY85" s="15" t="n">
        <f aca="false">MIN(Piano_SS!$C$9,(BY84)+IF(AND(Motore_Operativo!C85&gt;=EDATE(Parametri_v3!$C$24,Ipotesi!D14*12),Motore_Operativo!C85&lt;EDATE(Parametri_v3!$C$24,Parametri_v3!$C$25+Ipotesi!D14*12)),MAX(0,((IF(21-(INT((Ipotesi!$C$91)/30))&lt;1,0,INDEX(Motore_Operativo!$BQ$65:$BQ$124,MAX(1,21-(INT((Ipotesi!$C$91)/30)))))*(1-(MOD((Ipotesi!$C$91),30)/30))+IF(21-(INT((Ipotesi!$C$91)/30))-1&lt;1,0,INDEX(Motore_Operativo!$BQ$65:$BQ$124,MAX(1,21-(INT((Ipotesi!$C$91)/30))-1)))*(MOD((Ipotesi!$C$91),30)/30))+(IF(21-(INT((Ipotesi!$C$91)/30))&lt;1,0,INDEX(Motore_Operativo!$BR$65:$BR$124,MAX(1,21-(INT((Ipotesi!$C$91)/30)))))*(1-(MOD((Ipotesi!$C$91),30)/30))+IF(21-(INT((Ipotesi!$C$91)/30))-1&lt;1,0,INDEX(Motore_Operativo!$BR$65:$BR$124,MAX(1,21-(INT((Ipotesi!$C$91)/30))-1)))*(MOD((Ipotesi!$C$91),30)/30))))*Piano_SS!$D$9,0))</f>
        <v>38416.6666666667</v>
      </c>
      <c r="BZ85" s="15" t="n">
        <f aca="false">MIN(Piano_SS!$C$10,(BZ84)+IF(AND(Motore_Operativo!C85&gt;=EDATE(Parametri_v3!$C$24,Ipotesi!D14*12),Motore_Operativo!C85&lt;EDATE(Parametri_v3!$C$24,Parametri_v3!$C$25+Ipotesi!D14*12)),MAX(0,(IF(21-(INT((Ipotesi!$C$91)/30))&lt;1,0,INDEX(Motore_Operativo!$BO$65:$BO$124,MAX(1,21-(INT((Ipotesi!$C$91)/30)))))*(1-(MOD((Ipotesi!$C$91),30)/30))+IF(21-(INT((Ipotesi!$C$91)/30))-1&lt;1,0,INDEX(Motore_Operativo!$BO$65:$BO$124,MAX(1,21-(INT((Ipotesi!$C$91)/30))-1)))*(MOD((Ipotesi!$C$91),30)/30)))*Piano_SS!$D$10,0))</f>
        <v>20833.3333333333</v>
      </c>
      <c r="CA85" s="15" t="n">
        <f aca="false">SUM(BV85:BZ85)</f>
        <v>247630.437309429</v>
      </c>
      <c r="CB85" s="15" t="n">
        <f aca="false">BV85*(1-Piano_SS!$E$6)+BW85*(1-Piano_SS!$E$7)+BX85*(1-Piano_SS!$E$8)+BY85*(1-Piano_SS!$E$9)+BZ85*(1-Piano_SS!$E$10)</f>
        <v>226797.103976096</v>
      </c>
      <c r="CC85" s="15" t="n">
        <f aca="false">(CC84)+BA85</f>
        <v>80000</v>
      </c>
      <c r="CD85" s="15" t="n">
        <f aca="false">IF(CA85=0,0,CC85*CB85/CA85*Ipotesi!$C$103*Parametri_v3!$C$64)</f>
        <v>21980.8621047048</v>
      </c>
      <c r="CE85" s="18" t="n">
        <f aca="false">IF(BA85&gt;0,Motore_Operativo!C85,(CE84))</f>
        <v>46784</v>
      </c>
      <c r="CF85" s="18" t="n">
        <f aca="false">IF(AND(CC85&gt;0,OR(CC85&gt;=CG85-0.01,Motore_Operativo!C85&gt;=EDATE(MAX(Finanziamenti!$D$15:$D$17),Ipotesi!D14*12))),CE85,0)</f>
        <v>0</v>
      </c>
      <c r="CG85" s="15" t="n">
        <f aca="false">IF(AND(2&lt;&gt;6,2&lt;&gt;9,Finanziamenti!$F$11=1,OR(Parametri_v3!$C$6=0,Finanziamenti!$E$11=1)),MIN(Finanziamenti!$C$11,Piano_SS!$C$12*Ipotesi!$C$102),0)</f>
        <v>400000</v>
      </c>
      <c r="CH85" s="15" t="n">
        <f aca="false">IF(AND(AND(2&lt;&gt;8,2&lt;&gt;9,Finanziamenti!$F$10=1,OR(Parametri_v3!$C$6=0,Finanziamenti!$E$10=1)),Motore_Operativo!C85&gt;=Finanziamenti!$D$10,Motore_Operativo!C85&lt;Parametri_v3!$C$63),Finanziamenti!$C$10,0)</f>
        <v>150000</v>
      </c>
    </row>
    <row r="86" customFormat="false" ht="18" hidden="false" customHeight="true" outlineLevel="0" collapsed="false">
      <c r="A86" s="68" t="n">
        <f aca="false">2</f>
        <v>2</v>
      </c>
      <c r="B86" s="68" t="n">
        <f aca="false">22</f>
        <v>22</v>
      </c>
      <c r="C86" s="18" t="n">
        <f aca="false">Motore_Operativo!C86</f>
        <v>47027</v>
      </c>
      <c r="D86" s="68" t="n">
        <f aca="false">Motore_Operativo!D86</f>
        <v>2028</v>
      </c>
      <c r="E86" s="68" t="n">
        <f aca="false">Motore_Operativo!E86</f>
        <v>10</v>
      </c>
      <c r="F86" s="15" t="n">
        <f aca="false">Motore_Operativo!AQ86+Motore_Operativo!BF86</f>
        <v>30058.3601828285</v>
      </c>
      <c r="G86" s="15" t="n">
        <f aca="false">Motore_Operativo!BH86</f>
        <v>3398.1220657277</v>
      </c>
      <c r="H86" s="15" t="n">
        <f aca="false">Motore_Operativo!BI86</f>
        <v>33456.4822485563</v>
      </c>
      <c r="I86" s="15" t="n">
        <f aca="false">Motore_Operativo!CA86</f>
        <v>57920.9474209012</v>
      </c>
      <c r="J86" s="15" t="n">
        <f aca="false">Motore_Operativo!CC86</f>
        <v>-24464.4651723449</v>
      </c>
      <c r="K86" s="15" t="n">
        <f aca="false">Motore_Operativo!CE86</f>
        <v>2083.33333333333</v>
      </c>
      <c r="L86" s="15" t="n">
        <f aca="false">SUM(INDEX($K$65:$K$124,MAX(1,22-Parametri_v3!$C$59+1)):K86)/Parametri_v3!$C$59</f>
        <v>1134.25925925926</v>
      </c>
      <c r="M86" s="15" t="n">
        <f aca="false">J86-L86</f>
        <v>-25598.7244316042</v>
      </c>
      <c r="N86" s="15" t="n">
        <f aca="false">CD86-(CD85)</f>
        <v>-17.0718789111634</v>
      </c>
      <c r="O86" s="15" t="n">
        <f aca="false">(BG85)*Ipotesi!$C$110/12+CH86*Parametri_v3!$C$39/12</f>
        <v>331.40088326018</v>
      </c>
      <c r="P86" s="15" t="n">
        <f aca="false">M86+N86-O86</f>
        <v>-25947.1971937755</v>
      </c>
      <c r="Q86" s="15" t="n">
        <f aca="false">SUM(P77:P86)+Parametri_v3!$C$54*10/12</f>
        <v>-283256.136263868</v>
      </c>
      <c r="R86" s="15" t="n">
        <f aca="false">Z76</f>
        <v>211501.595732372</v>
      </c>
      <c r="S86" s="15" t="n">
        <f aca="false">AA76</f>
        <v>0</v>
      </c>
      <c r="T86" s="15" t="n">
        <f aca="false">MIN(R86,MAX(0,Q86))</f>
        <v>0</v>
      </c>
      <c r="U86" s="15" t="n">
        <f aca="false">MIN(S86,MAX(0,Q86-T86)*Parametri_v3!$C$42)</f>
        <v>0</v>
      </c>
      <c r="V86" s="15" t="n">
        <f aca="false">MAX(0,Q86-T86-U86)*Ipotesi!$C$92</f>
        <v>0</v>
      </c>
      <c r="W86" s="15" t="n">
        <f aca="false">MAX(0,SUM(M77:M86)+Parametri_v3!$C$55*10/12)*Ipotesi!$C$93</f>
        <v>0</v>
      </c>
      <c r="X86" s="15" t="n">
        <f aca="false">V86+W86-(V85+W85)</f>
        <v>0</v>
      </c>
      <c r="Y86" s="15" t="n">
        <f aca="false">P86-X86</f>
        <v>-25947.1971937755</v>
      </c>
      <c r="Z86" s="15" t="n">
        <f aca="false">R86-T86+IF(AND(Parametri_v3!$C$40=1,D86-YEAR(Parametri_v3!$C$50)&lt;Parametri_v3!$C$41),MAX(0,-Q86),0)</f>
        <v>494757.73199624</v>
      </c>
      <c r="AA86" s="15" t="n">
        <f aca="false">S86-U86+IF(AND(Parametri_v3!$C$40=1,D86-YEAR(Parametri_v3!$C$50)&lt;Parametri_v3!$C$41),0,MAX(0,-Q86))</f>
        <v>0</v>
      </c>
      <c r="AB86" s="15" t="n">
        <f aca="false">F86*(1+Parametri_v3!$C$26)</f>
        <v>36671.1994230508</v>
      </c>
      <c r="AC86" s="15" t="n">
        <f aca="false">(IF(22-(INT((Motore_Operativo!L86)/30))&lt;1,0,INDEX(Motore_Startup!$AB$65:$AB$124,MAX(1,22-(INT((Motore_Operativo!L86)/30)))))*(1-(MOD((Motore_Operativo!L86),30)/30))+IF(22-(INT((Motore_Operativo!L86)/30))-1&lt;1,0,INDEX(Motore_Startup!$AB$65:$AB$124,MAX(1,22-(INT((Motore_Operativo!L86)/30))-1)))*(MOD((Motore_Operativo!L86),30)/30))</f>
        <v>33378.4414944421</v>
      </c>
      <c r="AD86" s="15" t="n">
        <f aca="false">(AD85)+AB86-AC86</f>
        <v>106740.113796988</v>
      </c>
      <c r="AE86" s="15" t="n">
        <f aca="false">Motore_Operativo!BH86*(1+Parametri_v3!$C$26)</f>
        <v>4145.70892018779</v>
      </c>
      <c r="AF86" s="15" t="n">
        <f aca="false">(IF(22-(INT((Parametri_v3!$C$29)/30))&lt;1,0,INDEX(Motore_Operativo!$BH$65:$BH$124,MAX(1,22-(INT((Parametri_v3!$C$29)/30)))))*(1-(MOD((Parametri_v3!$C$29),30)/30))+IF(22-(INT((Parametri_v3!$C$29)/30))-1&lt;1,0,INDEX(Motore_Operativo!$BH$65:$BH$124,MAX(1,22-(INT((Parametri_v3!$C$29)/30))-1)))*(MOD((Parametri_v3!$C$29),30)/30))*(1+Parametri_v3!$C$26)</f>
        <v>4145.70892018779</v>
      </c>
      <c r="AG86" s="15" t="n">
        <f aca="false">(AG85)+AE86-AF86</f>
        <v>4145.70892018779</v>
      </c>
      <c r="AH86" s="15" t="n">
        <f aca="false">(Motore_Operativo!CJ86)*(1+Parametri_v3!$C$27*Parametri_v3!$C$26)</f>
        <v>21554.0770886097</v>
      </c>
      <c r="AI86" s="15" t="n">
        <f aca="false">(IF(22-(INT((Ipotesi!$C$91)/30))&lt;1,0,INDEX(Motore_Startup!$AH$65:$AH$124,MAX(1,22-(INT((Ipotesi!$C$91)/30)))))*(1-(MOD((Ipotesi!$C$91),30)/30))+IF(22-(INT((Ipotesi!$C$91)/30))-1&lt;1,0,INDEX(Motore_Startup!$AH$65:$AH$124,MAX(1,22-(INT((Ipotesi!$C$91)/30))-1)))*(MOD((Ipotesi!$C$91),30)/30))</f>
        <v>21256.3804491586</v>
      </c>
      <c r="AJ86" s="15" t="n">
        <f aca="false">(AJ85)+AH86-AI86</f>
        <v>42959.9593006177</v>
      </c>
      <c r="AK86" s="15" t="n">
        <f aca="false">(F86+ Motore_Operativo!BH86-(Motore_Operativo!CJ86)*Parametri_v3!$C$27-Motore_Operativo!CE86)*Parametri_v3!$C$26</f>
        <v>3506.46309364052</v>
      </c>
      <c r="AL86" s="15" t="n">
        <f aca="false">MAX(0,(AM85))</f>
        <v>3333.61960475541</v>
      </c>
      <c r="AM86" s="15" t="n">
        <f aca="false">(AM85)+AK86-AL86</f>
        <v>3506.46309364052</v>
      </c>
      <c r="AN86" s="15" t="n">
        <f aca="false">SUM(X65:X76)</f>
        <v>0</v>
      </c>
      <c r="AO86" s="15" t="n">
        <f aca="false">SUM(AP65:AP76)</f>
        <v>0</v>
      </c>
      <c r="AP86" s="15" t="n">
        <f aca="false">MAX(0,AN86)*IF(10=Parametri_v3!$C$43,Parametri_v3!$C$45,IF(10=Parametri_v3!$C$44,1-Parametri_v3!$C$45,0))</f>
        <v>0</v>
      </c>
      <c r="AQ86" s="15" t="n">
        <f aca="false">MAX(0,AP86+IF(10=Parametri_v3!$C$43,MAX(0,AN86-AO86),0)-MAX(0,-(AR85)))</f>
        <v>0</v>
      </c>
      <c r="AR86" s="15" t="n">
        <f aca="false">(AR85)+X86-AQ86</f>
        <v>0</v>
      </c>
      <c r="AS86" s="15" t="n">
        <f aca="false">Motore_Operativo!AB86-AT86+AU86</f>
        <v>37774.375</v>
      </c>
      <c r="AT86" s="15" t="n">
        <f aca="false">Motore_Operativo!CH86</f>
        <v>1988.125</v>
      </c>
      <c r="AU86" s="15" t="n">
        <f aca="false">MIN(MAX(0,(AV85)+AT86),Parametri_v3!$C$60/12)</f>
        <v>0</v>
      </c>
      <c r="AV86" s="15" t="n">
        <f aca="false">(AV85)+AT86-AU86</f>
        <v>30631.25</v>
      </c>
      <c r="AW86" s="15" t="n">
        <f aca="false">IF(AND(Motore_Operativo!C86=Finanziamenti!$D$6,Finanziamenti!$F$6=1),Finanziamenti!$C$6,0)</f>
        <v>0</v>
      </c>
      <c r="AX86" s="15" t="n">
        <f aca="false">IF(AND(2&lt;&gt;7,2&lt;&gt;9,Finanziamenti!$F$8=1,OR(Parametri_v3!$C$6=0,Finanziamenti!$E$8=1),Motore_Operativo!C86=EDATE(Finanziamenti!$D$8,Ipotesi!D15*12)),Finanziamenti!$C$8*1,0)+IF(AND(2&lt;&gt;7,2&lt;&gt;9,Finanziamenti!$F$9=1,OR(Parametri_v3!$C$6=0,Finanziamenti!$E$9=1),Motore_Operativo!C86=EDATE(Finanziamenti!$D$9,Ipotesi!D15*12)),Finanziamenti!$C$9*Ipotesi!D16,0)</f>
        <v>0</v>
      </c>
      <c r="AY86" s="15" t="n">
        <f aca="false">0</f>
        <v>0</v>
      </c>
      <c r="AZ86" s="15" t="n">
        <f aca="false">Motore_Advisory!AY86*(1-Ipotesi!$C$95)*Ipotesi!$C$96</f>
        <v>0</v>
      </c>
      <c r="BA86" s="15" t="n">
        <f aca="false">MAX(0,MIN(CG86*MIN(1,IF(Motore_Operativo!C86&gt;=EDATE(Finanziamenti!$D$15,Ipotesi!D14*12),Finanziamenti!$C$15,0)+IF(Motore_Operativo!C86&gt;=EDATE(Finanziamenti!$D$16,Ipotesi!D14*12),Finanziamenti!$C$16,0)+IF(Motore_Operativo!C86&gt;=EDATE(Finanziamenti!$D$17,Ipotesi!D14*12),Finanziamenti!$C$17,0)),CA86*Ipotesi!$C$102)-(CC85))</f>
        <v>0</v>
      </c>
      <c r="BB86" s="15" t="n">
        <f aca="false">IF(AND(CF86&gt;0,Motore_Operativo!C86&gt;=IF(CF86=0,0,EDATE(CF86,Parametri_v3!$C$37)),MOD(((D86-YEAR(IF(CF86=0,0,EDATE(CF86,Parametri_v3!$C$37))))*12+E86-MONTH(IF(CF86=0,0,EDATE(CF86,Parametri_v3!$C$37)))),Parametri_v3!$C$38)=0),MIN(MAX(0,(BC85)+BA86-N86),(CC86-CD86)/(Ipotesi!$C$108*12/Parametri_v3!$C$38)),0)</f>
        <v>0</v>
      </c>
      <c r="BC86" s="15" t="n">
        <f aca="false">(BC85)+BA86-N86-BB86</f>
        <v>58036.2097742064</v>
      </c>
      <c r="BD86" s="15" t="n">
        <f aca="false">(BH85)+AC86+AF86-AI86-AS86-K86*(1+Parametri_v3!$C$26)-AL86-AQ86-O86+AW86+AX86+AZ86+BA86-BB86</f>
        <v>-2713.29218921096</v>
      </c>
      <c r="BE86" s="15" t="n">
        <f aca="false">MAX(0,MIN(MAX(0,CH86-(BG85)),Parametri_v3!$C$30-BD86))</f>
        <v>27713.292189211</v>
      </c>
      <c r="BF86" s="15" t="n">
        <f aca="false">IF(Motore_Operativo!C86&gt;=Parametri_v3!$C$63,(BG85),MIN((BG85),MAX(0,BD86-Parametri_v3!$C$30)))</f>
        <v>0</v>
      </c>
      <c r="BG86" s="15" t="n">
        <f aca="false">(BG85)+BE86-BF86</f>
        <v>93993.4688412469</v>
      </c>
      <c r="BH86" s="15" t="n">
        <f aca="false">BD86+BE86-BF86-AY86</f>
        <v>25000</v>
      </c>
      <c r="BI86" s="15" t="n">
        <f aca="false">MAX(0,Parametri_v3!$C$30-BH86)</f>
        <v>0</v>
      </c>
      <c r="BJ86" s="15" t="n">
        <f aca="false">(BJ85)+K86</f>
        <v>40833.3333333333</v>
      </c>
      <c r="BK86" s="15" t="n">
        <f aca="false">(BK85)+L86</f>
        <v>12349.537037037</v>
      </c>
      <c r="BL86" s="15" t="n">
        <f aca="false">BJ86-BK86</f>
        <v>28483.7962962963</v>
      </c>
      <c r="BM86" s="15" t="n">
        <f aca="false">(BM85)+Y86</f>
        <v>-494757.73199624</v>
      </c>
      <c r="BN86" s="15" t="n">
        <f aca="false">(BN85)+AW86+AX86+AZ86</f>
        <v>430000</v>
      </c>
      <c r="BO86" s="15" t="n">
        <f aca="false">(BO85)+AY86</f>
        <v>0</v>
      </c>
      <c r="BP86" s="15" t="n">
        <f aca="false">0</f>
        <v>0</v>
      </c>
      <c r="BQ86" s="15" t="n">
        <f aca="false">BN86+BM86-BO86</f>
        <v>-64757.7319962397</v>
      </c>
      <c r="BR86" s="15" t="n">
        <f aca="false">BH86+AD86+BL86+MAX(0,-AM86)+MAX(0,-AR86)+AG86</f>
        <v>164369.619013472</v>
      </c>
      <c r="BS86" s="15" t="n">
        <f aca="false">AJ86+AV86+MAX(0,AM86)+MAX(0,AR86)+BC86+BG86+BQ86</f>
        <v>164369.619013472</v>
      </c>
      <c r="BT86" s="15" t="n">
        <f aca="false">BR86-BS86</f>
        <v>0</v>
      </c>
      <c r="BU86" s="15" t="n">
        <f aca="false">BH86-(BD86+BE86-BF86-AY86)</f>
        <v>0</v>
      </c>
      <c r="BV86" s="15" t="n">
        <f aca="false">MIN(Piano_SS!$C$6,(BV85)+IF(AND(Motore_Operativo!C86&gt;=EDATE(Parametri_v3!$C$24,Ipotesi!D14*12),Motore_Operativo!C86&lt;EDATE(Parametri_v3!$C$24,Parametri_v3!$C$25+Ipotesi!D14*12)),MAX(0,(Motore_Operativo!Y86+Motore_Operativo!X86*Parametri_v3!$C$14)*(1-Parametri_v3!$C$32))*Piano_SS!$D$6,0))</f>
        <v>150812.5</v>
      </c>
      <c r="BW86" s="15" t="n">
        <f aca="false">MIN(Piano_SS!$C$7,(BW85)+IF(AND(Motore_Operativo!C86&gt;=EDATE(Parametri_v3!$C$24,Ipotesi!D14*12),Motore_Operativo!C86&lt;EDATE(Parametri_v3!$C$24,Parametri_v3!$C$25+Ipotesi!D14*12)),MAX(0,(IF(22-(INT((Ipotesi!$C$91)/30))&lt;1,0,INDEX(Motore_Operativo!$BN$65:$BN$124,MAX(1,22-(INT((Ipotesi!$C$91)/30)))))*(1-(MOD((Ipotesi!$C$91),30)/30))+IF(22-(INT((Ipotesi!$C$91)/30))-1&lt;1,0,INDEX(Motore_Operativo!$BN$65:$BN$124,MAX(1,22-(INT((Ipotesi!$C$91)/30))-1)))*(MOD((Ipotesi!$C$91),30)/30)))*Piano_SS!$D$7,0))</f>
        <v>22850.5432635662</v>
      </c>
      <c r="BX86" s="15" t="n">
        <f aca="false">MIN(Piano_SS!$C$8,(BX85)+IF(AND(Motore_Operativo!C86&gt;=EDATE(Parametri_v3!$C$24,Ipotesi!D14*12),Motore_Operativo!C86&lt;EDATE(Parametri_v3!$C$24,Parametri_v3!$C$25+Ipotesi!D14*12)),MAX(0,Motore_Operativo!CE86)*Piano_SS!$D$8,0))</f>
        <v>30833.3333333333</v>
      </c>
      <c r="BY86" s="15" t="n">
        <f aca="false">MIN(Piano_SS!$C$9,(BY85)+IF(AND(Motore_Operativo!C86&gt;=EDATE(Parametri_v3!$C$24,Ipotesi!D14*12),Motore_Operativo!C86&lt;EDATE(Parametri_v3!$C$24,Parametri_v3!$C$25+Ipotesi!D14*12)),MAX(0,((IF(22-(INT((Ipotesi!$C$91)/30))&lt;1,0,INDEX(Motore_Operativo!$BQ$65:$BQ$124,MAX(1,22-(INT((Ipotesi!$C$91)/30)))))*(1-(MOD((Ipotesi!$C$91),30)/30))+IF(22-(INT((Ipotesi!$C$91)/30))-1&lt;1,0,INDEX(Motore_Operativo!$BQ$65:$BQ$124,MAX(1,22-(INT((Ipotesi!$C$91)/30))-1)))*(MOD((Ipotesi!$C$91),30)/30))+(IF(22-(INT((Ipotesi!$C$91)/30))&lt;1,0,INDEX(Motore_Operativo!$BR$65:$BR$124,MAX(1,22-(INT((Ipotesi!$C$91)/30)))))*(1-(MOD((Ipotesi!$C$91),30)/30))+IF(22-(INT((Ipotesi!$C$91)/30))-1&lt;1,0,INDEX(Motore_Operativo!$BR$65:$BR$124,MAX(1,22-(INT((Ipotesi!$C$91)/30))-1)))*(MOD((Ipotesi!$C$91),30)/30))))*Piano_SS!$D$9,0))</f>
        <v>40000</v>
      </c>
      <c r="BZ86" s="15" t="n">
        <f aca="false">MIN(Piano_SS!$C$10,(BZ85)+IF(AND(Motore_Operativo!C86&gt;=EDATE(Parametri_v3!$C$24,Ipotesi!D14*12),Motore_Operativo!C86&lt;EDATE(Parametri_v3!$C$24,Parametri_v3!$C$25+Ipotesi!D14*12)),MAX(0,(IF(22-(INT((Ipotesi!$C$91)/30))&lt;1,0,INDEX(Motore_Operativo!$BO$65:$BO$124,MAX(1,22-(INT((Ipotesi!$C$91)/30)))))*(1-(MOD((Ipotesi!$C$91),30)/30))+IF(22-(INT((Ipotesi!$C$91)/30))-1&lt;1,0,INDEX(Motore_Operativo!$BO$65:$BO$124,MAX(1,22-(INT((Ipotesi!$C$91)/30))-1)))*(MOD((Ipotesi!$C$91),30)/30)))*Piano_SS!$D$10,0))</f>
        <v>22666.6666666667</v>
      </c>
      <c r="CA86" s="15" t="n">
        <f aca="false">SUM(BV86:BZ86)</f>
        <v>267163.043263566</v>
      </c>
      <c r="CB86" s="15" t="n">
        <f aca="false">BV86*(1-Piano_SS!$E$6)+BW86*(1-Piano_SS!$E$7)+BX86*(1-Piano_SS!$E$8)+BY86*(1-Piano_SS!$E$9)+BZ86*(1-Piano_SS!$E$10)</f>
        <v>244496.3765969</v>
      </c>
      <c r="CC86" s="15" t="n">
        <f aca="false">(CC85)+BA86</f>
        <v>80000</v>
      </c>
      <c r="CD86" s="15" t="n">
        <f aca="false">IF(CA86=0,0,CC86*CB86/CA86*Ipotesi!$C$103*Parametri_v3!$C$64)</f>
        <v>21963.7902257936</v>
      </c>
      <c r="CE86" s="18" t="n">
        <f aca="false">IF(BA86&gt;0,Motore_Operativo!C86,(CE85))</f>
        <v>46784</v>
      </c>
      <c r="CF86" s="18" t="n">
        <f aca="false">IF(AND(CC86&gt;0,OR(CC86&gt;=CG86-0.01,Motore_Operativo!C86&gt;=EDATE(MAX(Finanziamenti!$D$15:$D$17),Ipotesi!D14*12))),CE86,0)</f>
        <v>0</v>
      </c>
      <c r="CG86" s="15" t="n">
        <f aca="false">IF(AND(2&lt;&gt;6,2&lt;&gt;9,Finanziamenti!$F$11=1,OR(Parametri_v3!$C$6=0,Finanziamenti!$E$11=1)),MIN(Finanziamenti!$C$11,Piano_SS!$C$12*Ipotesi!$C$102),0)</f>
        <v>400000</v>
      </c>
      <c r="CH86" s="15" t="n">
        <f aca="false">IF(AND(AND(2&lt;&gt;8,2&lt;&gt;9,Finanziamenti!$F$10=1,OR(Parametri_v3!$C$6=0,Finanziamenti!$E$10=1)),Motore_Operativo!C86&gt;=Finanziamenti!$D$10,Motore_Operativo!C86&lt;Parametri_v3!$C$63),Finanziamenti!$C$10,0)</f>
        <v>150000</v>
      </c>
    </row>
    <row r="87" customFormat="false" ht="18" hidden="false" customHeight="true" outlineLevel="0" collapsed="false">
      <c r="A87" s="68" t="n">
        <f aca="false">2</f>
        <v>2</v>
      </c>
      <c r="B87" s="68" t="n">
        <f aca="false">23</f>
        <v>23</v>
      </c>
      <c r="C87" s="18" t="n">
        <f aca="false">Motore_Operativo!C87</f>
        <v>47058</v>
      </c>
      <c r="D87" s="68" t="n">
        <f aca="false">Motore_Operativo!D87</f>
        <v>2028</v>
      </c>
      <c r="E87" s="68" t="n">
        <f aca="false">Motore_Operativo!E87</f>
        <v>11</v>
      </c>
      <c r="F87" s="15" t="n">
        <f aca="false">Motore_Operativo!AQ87+Motore_Operativo!BF87</f>
        <v>30942.33788559</v>
      </c>
      <c r="G87" s="15" t="n">
        <f aca="false">Motore_Operativo!BH87</f>
        <v>3398.1220657277</v>
      </c>
      <c r="H87" s="15" t="n">
        <f aca="false">Motore_Operativo!BI87</f>
        <v>34340.4599513177</v>
      </c>
      <c r="I87" s="15" t="n">
        <f aca="false">Motore_Operativo!CA87</f>
        <v>58044.7042992878</v>
      </c>
      <c r="J87" s="15" t="n">
        <f aca="false">Motore_Operativo!CC87</f>
        <v>-23704.2443479701</v>
      </c>
      <c r="K87" s="15" t="n">
        <f aca="false">Motore_Operativo!CE87</f>
        <v>2083.33333333333</v>
      </c>
      <c r="L87" s="15" t="n">
        <f aca="false">SUM(INDEX($K$65:$K$124,MAX(1,23-Parametri_v3!$C$59+1)):K87)/Parametri_v3!$C$59</f>
        <v>1192.12962962963</v>
      </c>
      <c r="M87" s="15" t="n">
        <f aca="false">J87-L87</f>
        <v>-24896.3739775997</v>
      </c>
      <c r="N87" s="15" t="n">
        <f aca="false">CD87-(CD86)</f>
        <v>-25.6149021136225</v>
      </c>
      <c r="O87" s="15" t="n">
        <f aca="false">(BG86)*Ipotesi!$C$110/12+CH87*Parametri_v3!$C$39/12</f>
        <v>469.967344206234</v>
      </c>
      <c r="P87" s="15" t="n">
        <f aca="false">M87+N87-O87</f>
        <v>-25391.9562239195</v>
      </c>
      <c r="Q87" s="15" t="n">
        <f aca="false">SUM(P77:P87)+Parametri_v3!$C$54*11/12</f>
        <v>-308648.092487787</v>
      </c>
      <c r="R87" s="15" t="n">
        <f aca="false">Z76</f>
        <v>211501.595732372</v>
      </c>
      <c r="S87" s="15" t="n">
        <f aca="false">AA76</f>
        <v>0</v>
      </c>
      <c r="T87" s="15" t="n">
        <f aca="false">MIN(R87,MAX(0,Q87))</f>
        <v>0</v>
      </c>
      <c r="U87" s="15" t="n">
        <f aca="false">MIN(S87,MAX(0,Q87-T87)*Parametri_v3!$C$42)</f>
        <v>0</v>
      </c>
      <c r="V87" s="15" t="n">
        <f aca="false">MAX(0,Q87-T87-U87)*Ipotesi!$C$92</f>
        <v>0</v>
      </c>
      <c r="W87" s="15" t="n">
        <f aca="false">MAX(0,SUM(M77:M87)+Parametri_v3!$C$55*11/12)*Ipotesi!$C$93</f>
        <v>0</v>
      </c>
      <c r="X87" s="15" t="n">
        <f aca="false">V87+W87-(V86+W86)</f>
        <v>0</v>
      </c>
      <c r="Y87" s="15" t="n">
        <f aca="false">P87-X87</f>
        <v>-25391.9562239195</v>
      </c>
      <c r="Z87" s="15" t="n">
        <f aca="false">R87-T87+IF(AND(Parametri_v3!$C$40=1,D87-YEAR(Parametri_v3!$C$50)&lt;Parametri_v3!$C$41),MAX(0,-Q87),0)</f>
        <v>520149.688220159</v>
      </c>
      <c r="AA87" s="15" t="n">
        <f aca="false">S87-U87+IF(AND(Parametri_v3!$C$40=1,D87-YEAR(Parametri_v3!$C$50)&lt;Parametri_v3!$C$41),0,MAX(0,-Q87))</f>
        <v>0</v>
      </c>
      <c r="AB87" s="15" t="n">
        <f aca="false">F87*(1+Parametri_v3!$C$26)</f>
        <v>37749.6522204198</v>
      </c>
      <c r="AC87" s="15" t="n">
        <f aca="false">(IF(23-(INT((Motore_Operativo!L87)/30))&lt;1,0,INDEX(Motore_Startup!$AB$65:$AB$124,MAX(1,23-(INT((Motore_Operativo!L87)/30)))))*(1-(MOD((Motore_Operativo!L87),30)/30))+IF(23-(INT((Motore_Operativo!L87)/30))-1&lt;1,0,INDEX(Motore_Startup!$AB$65:$AB$124,MAX(1,23-(INT((Motore_Operativo!L87)/30))-1)))*(MOD((Motore_Operativo!L87),30)/30))</f>
        <v>34485.6783005909</v>
      </c>
      <c r="AD87" s="15" t="n">
        <f aca="false">(AD86)+AB87-AC87</f>
        <v>110004.087716816</v>
      </c>
      <c r="AE87" s="15" t="n">
        <f aca="false">Motore_Operativo!BH87*(1+Parametri_v3!$C$26)</f>
        <v>4145.70892018779</v>
      </c>
      <c r="AF87" s="15" t="n">
        <f aca="false">(IF(23-(INT((Parametri_v3!$C$29)/30))&lt;1,0,INDEX(Motore_Operativo!$BH$65:$BH$124,MAX(1,23-(INT((Parametri_v3!$C$29)/30)))))*(1-(MOD((Parametri_v3!$C$29),30)/30))+IF(23-(INT((Parametri_v3!$C$29)/30))-1&lt;1,0,INDEX(Motore_Operativo!$BH$65:$BH$124,MAX(1,23-(INT((Parametri_v3!$C$29)/30))-1)))*(MOD((Parametri_v3!$C$29),30)/30))*(1+Parametri_v3!$C$26)</f>
        <v>4145.70892018779</v>
      </c>
      <c r="AG87" s="15" t="n">
        <f aca="false">(AG86)+AE87-AF87</f>
        <v>4145.70892018779</v>
      </c>
      <c r="AH87" s="15" t="n">
        <f aca="false">(Motore_Operativo!CJ87)*(1+Parametri_v3!$C$27*Parametri_v3!$C$26)</f>
        <v>21700.9765032546</v>
      </c>
      <c r="AI87" s="15" t="n">
        <f aca="false">(IF(23-(INT((Ipotesi!$C$91)/30))&lt;1,0,INDEX(Motore_Startup!$AH$65:$AH$124,MAX(1,23-(INT((Ipotesi!$C$91)/30)))))*(1-(MOD((Ipotesi!$C$91),30)/30))+IF(23-(INT((Ipotesi!$C$91)/30))-1&lt;1,0,INDEX(Motore_Startup!$AH$65:$AH$124,MAX(1,23-(INT((Ipotesi!$C$91)/30))-1)))*(MOD((Ipotesi!$C$91),30)/30))</f>
        <v>21405.882212008</v>
      </c>
      <c r="AJ87" s="15" t="n">
        <f aca="false">(AJ86)+AH87-AI87</f>
        <v>43255.0535918643</v>
      </c>
      <c r="AK87" s="15" t="n">
        <f aca="false">(F87+ Motore_Operativo!BH87-(Motore_Operativo!CJ87)*Parametri_v3!$C$27-Motore_Operativo!CE87)*Parametri_v3!$C$26</f>
        <v>3677.79565198975</v>
      </c>
      <c r="AL87" s="15" t="n">
        <f aca="false">MAX(0,(AM86))</f>
        <v>3506.46309364052</v>
      </c>
      <c r="AM87" s="15" t="n">
        <f aca="false">(AM86)+AK87-AL87</f>
        <v>3677.79565198975</v>
      </c>
      <c r="AN87" s="15" t="n">
        <f aca="false">SUM(X65:X76)</f>
        <v>0</v>
      </c>
      <c r="AO87" s="15" t="n">
        <f aca="false">SUM(AP65:AP76)</f>
        <v>0</v>
      </c>
      <c r="AP87" s="15" t="n">
        <f aca="false">MAX(0,AN87)*IF(11=Parametri_v3!$C$43,Parametri_v3!$C$45,IF(11=Parametri_v3!$C$44,1-Parametri_v3!$C$45,0))</f>
        <v>0</v>
      </c>
      <c r="AQ87" s="15" t="n">
        <f aca="false">MAX(0,AP87+IF(11=Parametri_v3!$C$43,MAX(0,AN87-AO87),0)-MAX(0,-(AR86)))</f>
        <v>0</v>
      </c>
      <c r="AR87" s="15" t="n">
        <f aca="false">(AR86)+X87-AQ87</f>
        <v>0</v>
      </c>
      <c r="AS87" s="15" t="n">
        <f aca="false">Motore_Operativo!AB87-AT87+AU87</f>
        <v>37774.375</v>
      </c>
      <c r="AT87" s="15" t="n">
        <f aca="false">Motore_Operativo!CH87</f>
        <v>1988.125</v>
      </c>
      <c r="AU87" s="15" t="n">
        <f aca="false">MIN(MAX(0,(AV86)+AT87),Parametri_v3!$C$60/12)</f>
        <v>0</v>
      </c>
      <c r="AV87" s="15" t="n">
        <f aca="false">(AV86)+AT87-AU87</f>
        <v>32619.375</v>
      </c>
      <c r="AW87" s="15" t="n">
        <f aca="false">IF(AND(Motore_Operativo!C87=Finanziamenti!$D$6,Finanziamenti!$F$6=1),Finanziamenti!$C$6,0)</f>
        <v>0</v>
      </c>
      <c r="AX87" s="15" t="n">
        <f aca="false">IF(AND(2&lt;&gt;7,2&lt;&gt;9,Finanziamenti!$F$8=1,OR(Parametri_v3!$C$6=0,Finanziamenti!$E$8=1),Motore_Operativo!C87=EDATE(Finanziamenti!$D$8,Ipotesi!D15*12)),Finanziamenti!$C$8*1,0)+IF(AND(2&lt;&gt;7,2&lt;&gt;9,Finanziamenti!$F$9=1,OR(Parametri_v3!$C$6=0,Finanziamenti!$E$9=1),Motore_Operativo!C87=EDATE(Finanziamenti!$D$9,Ipotesi!D15*12)),Finanziamenti!$C$9*Ipotesi!D16,0)</f>
        <v>0</v>
      </c>
      <c r="AY87" s="15" t="n">
        <f aca="false">0</f>
        <v>0</v>
      </c>
      <c r="AZ87" s="15" t="n">
        <f aca="false">Motore_Advisory!AY87*(1-Ipotesi!$C$95)*Ipotesi!$C$96</f>
        <v>0</v>
      </c>
      <c r="BA87" s="15" t="n">
        <f aca="false">MAX(0,MIN(CG87*MIN(1,IF(Motore_Operativo!C87&gt;=EDATE(Finanziamenti!$D$15,Ipotesi!D14*12),Finanziamenti!$C$15,0)+IF(Motore_Operativo!C87&gt;=EDATE(Finanziamenti!$D$16,Ipotesi!D14*12),Finanziamenti!$C$16,0)+IF(Motore_Operativo!C87&gt;=EDATE(Finanziamenti!$D$17,Ipotesi!D14*12),Finanziamenti!$C$17,0)),CA87*Ipotesi!$C$102)-(CC86))</f>
        <v>0</v>
      </c>
      <c r="BB87" s="15" t="n">
        <f aca="false">IF(AND(CF87&gt;0,Motore_Operativo!C87&gt;=IF(CF87=0,0,EDATE(CF87,Parametri_v3!$C$37)),MOD(((D87-YEAR(IF(CF87=0,0,EDATE(CF87,Parametri_v3!$C$37))))*12+E87-MONTH(IF(CF87=0,0,EDATE(CF87,Parametri_v3!$C$37)))),Parametri_v3!$C$38)=0),MIN(MAX(0,(BC86)+BA87-N87),(CC87-CD87)/(Ipotesi!$C$108*12/Parametri_v3!$C$38)),0)</f>
        <v>0</v>
      </c>
      <c r="BC87" s="15" t="n">
        <f aca="false">(BC86)+BA87-N87-BB87</f>
        <v>58061.82467632</v>
      </c>
      <c r="BD87" s="15" t="n">
        <f aca="false">(BH86)+AC87+AF87-AI87-AS87-K87*(1+Parametri_v3!$C$26)-AL87-AQ87-O87+AW87+AX87+AZ87+BA87-BB87</f>
        <v>-2066.96709574275</v>
      </c>
      <c r="BE87" s="15" t="n">
        <f aca="false">MAX(0,MIN(MAX(0,CH87-(BG86)),Parametri_v3!$C$30-BD87))</f>
        <v>27066.9670957427</v>
      </c>
      <c r="BF87" s="15" t="n">
        <f aca="false">IF(Motore_Operativo!C87&gt;=Parametri_v3!$C$63,(BG86),MIN((BG86),MAX(0,BD87-Parametri_v3!$C$30)))</f>
        <v>0</v>
      </c>
      <c r="BG87" s="15" t="n">
        <f aca="false">(BG86)+BE87-BF87</f>
        <v>121060.43593699</v>
      </c>
      <c r="BH87" s="15" t="n">
        <f aca="false">BD87+BE87-BF87-AY87</f>
        <v>25000</v>
      </c>
      <c r="BI87" s="15" t="n">
        <f aca="false">MAX(0,Parametri_v3!$C$30-BH87)</f>
        <v>0</v>
      </c>
      <c r="BJ87" s="15" t="n">
        <f aca="false">(BJ86)+K87</f>
        <v>42916.6666666667</v>
      </c>
      <c r="BK87" s="15" t="n">
        <f aca="false">(BK86)+L87</f>
        <v>13541.6666666667</v>
      </c>
      <c r="BL87" s="15" t="n">
        <f aca="false">BJ87-BK87</f>
        <v>29375</v>
      </c>
      <c r="BM87" s="15" t="n">
        <f aca="false">(BM86)+Y87</f>
        <v>-520149.688220159</v>
      </c>
      <c r="BN87" s="15" t="n">
        <f aca="false">(BN86)+AW87+AX87+AZ87</f>
        <v>430000</v>
      </c>
      <c r="BO87" s="15" t="n">
        <f aca="false">(BO86)+AY87</f>
        <v>0</v>
      </c>
      <c r="BP87" s="15" t="n">
        <f aca="false">0</f>
        <v>0</v>
      </c>
      <c r="BQ87" s="15" t="n">
        <f aca="false">BN87+BM87-BO87</f>
        <v>-90149.6882201593</v>
      </c>
      <c r="BR87" s="15" t="n">
        <f aca="false">BH87+AD87+BL87+MAX(0,-AM87)+MAX(0,-AR87)+AG87</f>
        <v>168524.796637004</v>
      </c>
      <c r="BS87" s="15" t="n">
        <f aca="false">AJ87+AV87+MAX(0,AM87)+MAX(0,AR87)+BC87+BG87+BQ87</f>
        <v>168524.796637004</v>
      </c>
      <c r="BT87" s="15" t="n">
        <f aca="false">BR87-BS87</f>
        <v>0</v>
      </c>
      <c r="BU87" s="15" t="n">
        <f aca="false">BH87-(BD87+BE87-BF87-AY87)</f>
        <v>0</v>
      </c>
      <c r="BV87" s="15" t="n">
        <f aca="false">MIN(Piano_SS!$C$6,(BV86)+IF(AND(Motore_Operativo!C87&gt;=EDATE(Parametri_v3!$C$24,Ipotesi!D14*12),Motore_Operativo!C87&lt;EDATE(Parametri_v3!$C$24,Parametri_v3!$C$25+Ipotesi!D14*12)),MAX(0,(Motore_Operativo!Y87+Motore_Operativo!X87*Parametri_v3!$C$14)*(1-Parametri_v3!$C$32))*Piano_SS!$D$6,0))</f>
        <v>163043.75</v>
      </c>
      <c r="BW87" s="15" t="n">
        <f aca="false">MIN(Piano_SS!$C$7,(BW86)+IF(AND(Motore_Operativo!C87&gt;=EDATE(Parametri_v3!$C$24,Ipotesi!D14*12),Motore_Operativo!C87&lt;EDATE(Parametri_v3!$C$24,Parametri_v3!$C$25+Ipotesi!D14*12)),MAX(0,(IF(23-(INT((Ipotesi!$C$91)/30))&lt;1,0,INDEX(Motore_Operativo!$BN$65:$BN$124,MAX(1,23-(INT((Ipotesi!$C$91)/30)))))*(1-(MOD((Ipotesi!$C$91),30)/30))+IF(23-(INT((Ipotesi!$C$91)/30))-1&lt;1,0,INDEX(Motore_Operativo!$BN$65:$BN$124,MAX(1,23-(INT((Ipotesi!$C$91)/30))-1)))*(MOD((Ipotesi!$C$91),30)/30)))*Piano_SS!$D$7,0))</f>
        <v>24723.8702191954</v>
      </c>
      <c r="BX87" s="15" t="n">
        <f aca="false">MIN(Piano_SS!$C$8,(BX86)+IF(AND(Motore_Operativo!C87&gt;=EDATE(Parametri_v3!$C$24,Ipotesi!D14*12),Motore_Operativo!C87&lt;EDATE(Parametri_v3!$C$24,Parametri_v3!$C$25+Ipotesi!D14*12)),MAX(0,Motore_Operativo!CE87)*Piano_SS!$D$8,0))</f>
        <v>32916.6666666667</v>
      </c>
      <c r="BY87" s="15" t="n">
        <f aca="false">MIN(Piano_SS!$C$9,(BY86)+IF(AND(Motore_Operativo!C87&gt;=EDATE(Parametri_v3!$C$24,Ipotesi!D14*12),Motore_Operativo!C87&lt;EDATE(Parametri_v3!$C$24,Parametri_v3!$C$25+Ipotesi!D14*12)),MAX(0,((IF(23-(INT((Ipotesi!$C$91)/30))&lt;1,0,INDEX(Motore_Operativo!$BQ$65:$BQ$124,MAX(1,23-(INT((Ipotesi!$C$91)/30)))))*(1-(MOD((Ipotesi!$C$91),30)/30))+IF(23-(INT((Ipotesi!$C$91)/30))-1&lt;1,0,INDEX(Motore_Operativo!$BQ$65:$BQ$124,MAX(1,23-(INT((Ipotesi!$C$91)/30))-1)))*(MOD((Ipotesi!$C$91),30)/30))+(IF(23-(INT((Ipotesi!$C$91)/30))&lt;1,0,INDEX(Motore_Operativo!$BR$65:$BR$124,MAX(1,23-(INT((Ipotesi!$C$91)/30)))))*(1-(MOD((Ipotesi!$C$91),30)/30))+IF(23-(INT((Ipotesi!$C$91)/30))-1&lt;1,0,INDEX(Motore_Operativo!$BR$65:$BR$124,MAX(1,23-(INT((Ipotesi!$C$91)/30))-1)))*(MOD((Ipotesi!$C$91),30)/30))))*Piano_SS!$D$9,0))</f>
        <v>40000</v>
      </c>
      <c r="BZ87" s="15" t="n">
        <f aca="false">MIN(Piano_SS!$C$10,(BZ86)+IF(AND(Motore_Operativo!C87&gt;=EDATE(Parametri_v3!$C$24,Ipotesi!D14*12),Motore_Operativo!C87&lt;EDATE(Parametri_v3!$C$24,Parametri_v3!$C$25+Ipotesi!D14*12)),MAX(0,(IF(23-(INT((Ipotesi!$C$91)/30))&lt;1,0,INDEX(Motore_Operativo!$BO$65:$BO$124,MAX(1,23-(INT((Ipotesi!$C$91)/30)))))*(1-(MOD((Ipotesi!$C$91),30)/30))+IF(23-(INT((Ipotesi!$C$91)/30))-1&lt;1,0,INDEX(Motore_Operativo!$BO$65:$BO$124,MAX(1,23-(INT((Ipotesi!$C$91)/30))-1)))*(MOD((Ipotesi!$C$91),30)/30)))*Piano_SS!$D$10,0))</f>
        <v>24500</v>
      </c>
      <c r="CA87" s="15" t="n">
        <f aca="false">SUM(BV87:BZ87)</f>
        <v>285184.286885862</v>
      </c>
      <c r="CB87" s="15" t="n">
        <f aca="false">BV87*(1-Piano_SS!$E$6)+BW87*(1-Piano_SS!$E$7)+BX87*(1-Piano_SS!$E$8)+BY87*(1-Piano_SS!$E$9)+BZ87*(1-Piano_SS!$E$10)</f>
        <v>260684.286885862</v>
      </c>
      <c r="CC87" s="15" t="n">
        <f aca="false">(CC86)+BA87</f>
        <v>80000</v>
      </c>
      <c r="CD87" s="15" t="n">
        <f aca="false">IF(CA87=0,0,CC87*CB87/CA87*Ipotesi!$C$103*Parametri_v3!$C$64)</f>
        <v>21938.17532368</v>
      </c>
      <c r="CE87" s="18" t="n">
        <f aca="false">IF(BA87&gt;0,Motore_Operativo!C87,(CE86))</f>
        <v>46784</v>
      </c>
      <c r="CF87" s="18" t="n">
        <f aca="false">IF(AND(CC87&gt;0,OR(CC87&gt;=CG87-0.01,Motore_Operativo!C87&gt;=EDATE(MAX(Finanziamenti!$D$15:$D$17),Ipotesi!D14*12))),CE87,0)</f>
        <v>0</v>
      </c>
      <c r="CG87" s="15" t="n">
        <f aca="false">IF(AND(2&lt;&gt;6,2&lt;&gt;9,Finanziamenti!$F$11=1,OR(Parametri_v3!$C$6=0,Finanziamenti!$E$11=1)),MIN(Finanziamenti!$C$11,Piano_SS!$C$12*Ipotesi!$C$102),0)</f>
        <v>400000</v>
      </c>
      <c r="CH87" s="15" t="n">
        <f aca="false">IF(AND(AND(2&lt;&gt;8,2&lt;&gt;9,Finanziamenti!$F$10=1,OR(Parametri_v3!$C$6=0,Finanziamenti!$E$10=1)),Motore_Operativo!C87&gt;=Finanziamenti!$D$10,Motore_Operativo!C87&lt;Parametri_v3!$C$63),Finanziamenti!$C$10,0)</f>
        <v>150000</v>
      </c>
    </row>
    <row r="88" customFormat="false" ht="18" hidden="false" customHeight="true" outlineLevel="0" collapsed="false">
      <c r="A88" s="68" t="n">
        <f aca="false">2</f>
        <v>2</v>
      </c>
      <c r="B88" s="68" t="n">
        <f aca="false">24</f>
        <v>24</v>
      </c>
      <c r="C88" s="18" t="n">
        <f aca="false">Motore_Operativo!C88</f>
        <v>47088</v>
      </c>
      <c r="D88" s="68" t="n">
        <f aca="false">Motore_Operativo!D88</f>
        <v>2028</v>
      </c>
      <c r="E88" s="68" t="n">
        <f aca="false">Motore_Operativo!E88</f>
        <v>12</v>
      </c>
      <c r="F88" s="15" t="n">
        <f aca="false">Motore_Operativo!AQ88+Motore_Operativo!BF88</f>
        <v>31818.5881991813</v>
      </c>
      <c r="G88" s="15" t="n">
        <f aca="false">Motore_Operativo!BH88</f>
        <v>3398.1220657277</v>
      </c>
      <c r="H88" s="15" t="n">
        <f aca="false">Motore_Operativo!BI88</f>
        <v>35216.710264909</v>
      </c>
      <c r="I88" s="15" t="n">
        <f aca="false">Motore_Operativo!CA88</f>
        <v>58167.3793431906</v>
      </c>
      <c r="J88" s="15" t="n">
        <f aca="false">Motore_Operativo!CC88</f>
        <v>-22950.6690782815</v>
      </c>
      <c r="K88" s="15" t="n">
        <f aca="false">Motore_Operativo!CE88</f>
        <v>2083.33333333333</v>
      </c>
      <c r="L88" s="15" t="n">
        <f aca="false">SUM(INDEX($K$65:$K$124,MAX(1,24-Parametri_v3!$C$59+1)):K88)/Parametri_v3!$C$59</f>
        <v>1250</v>
      </c>
      <c r="M88" s="15" t="n">
        <f aca="false">J88-L88</f>
        <v>-24200.6690782815</v>
      </c>
      <c r="N88" s="15" t="n">
        <f aca="false">CD88-(CD87)</f>
        <v>44528.2740444372</v>
      </c>
      <c r="O88" s="15" t="n">
        <f aca="false">(BG87)*Ipotesi!$C$110/12+CH88*Parametri_v3!$C$39/12</f>
        <v>605.302179684948</v>
      </c>
      <c r="P88" s="15" t="n">
        <f aca="false">M88+N88-O88</f>
        <v>19722.3027864708</v>
      </c>
      <c r="Q88" s="15" t="n">
        <f aca="false">SUM(P77:P88)+Parametri_v3!$C$54*12/12</f>
        <v>-288925.789701316</v>
      </c>
      <c r="R88" s="15" t="n">
        <f aca="false">Z76</f>
        <v>211501.595732372</v>
      </c>
      <c r="S88" s="15" t="n">
        <f aca="false">AA76</f>
        <v>0</v>
      </c>
      <c r="T88" s="15" t="n">
        <f aca="false">MIN(R88,MAX(0,Q88))</f>
        <v>0</v>
      </c>
      <c r="U88" s="15" t="n">
        <f aca="false">MIN(S88,MAX(0,Q88-T88)*Parametri_v3!$C$42)</f>
        <v>0</v>
      </c>
      <c r="V88" s="15" t="n">
        <f aca="false">MAX(0,Q88-T88-U88)*Ipotesi!$C$92</f>
        <v>0</v>
      </c>
      <c r="W88" s="15" t="n">
        <f aca="false">MAX(0,SUM(M77:M88)+Parametri_v3!$C$55*12/12)*Ipotesi!$C$93</f>
        <v>0</v>
      </c>
      <c r="X88" s="15" t="n">
        <f aca="false">V88+W88-(V87+W87)</f>
        <v>0</v>
      </c>
      <c r="Y88" s="15" t="n">
        <f aca="false">P88-X88</f>
        <v>19722.3027864708</v>
      </c>
      <c r="Z88" s="15" t="n">
        <f aca="false">R88-T88+IF(AND(Parametri_v3!$C$40=1,D88-YEAR(Parametri_v3!$C$50)&lt;Parametri_v3!$C$41),MAX(0,-Q88),0)</f>
        <v>500427.385433689</v>
      </c>
      <c r="AA88" s="15" t="n">
        <f aca="false">S88-U88+IF(AND(Parametri_v3!$C$40=1,D88-YEAR(Parametri_v3!$C$50)&lt;Parametri_v3!$C$41),0,MAX(0,-Q88))</f>
        <v>0</v>
      </c>
      <c r="AB88" s="15" t="n">
        <f aca="false">F88*(1+Parametri_v3!$C$26)</f>
        <v>38818.6776030012</v>
      </c>
      <c r="AC88" s="15" t="n">
        <f aca="false">(IF(24-(INT((Motore_Operativo!L88)/30))&lt;1,0,INDEX(Motore_Startup!$AB$65:$AB$124,MAX(1,24-(INT((Motore_Operativo!L88)/30)))))*(1-(MOD((Motore_Operativo!L88),30)/30))+IF(24-(INT((Motore_Operativo!L88)/30))-1&lt;1,0,INDEX(Motore_Startup!$AB$65:$AB$124,MAX(1,24-(INT((Motore_Operativo!L88)/30))-1)))*(MOD((Motore_Operativo!L88),30)/30))</f>
        <v>35583.2360733457</v>
      </c>
      <c r="AD88" s="15" t="n">
        <f aca="false">(AD87)+AB88-AC88</f>
        <v>113239.529246472</v>
      </c>
      <c r="AE88" s="15" t="n">
        <f aca="false">Motore_Operativo!BH88*(1+Parametri_v3!$C$26)</f>
        <v>4145.70892018779</v>
      </c>
      <c r="AF88" s="15" t="n">
        <f aca="false">(IF(24-(INT((Parametri_v3!$C$29)/30))&lt;1,0,INDEX(Motore_Operativo!$BH$65:$BH$124,MAX(1,24-(INT((Parametri_v3!$C$29)/30)))))*(1-(MOD((Parametri_v3!$C$29),30)/30))+IF(24-(INT((Parametri_v3!$C$29)/30))-1&lt;1,0,INDEX(Motore_Operativo!$BH$65:$BH$124,MAX(1,24-(INT((Parametri_v3!$C$29)/30))-1)))*(MOD((Parametri_v3!$C$29),30)/30))*(1+Parametri_v3!$C$26)</f>
        <v>4145.70892018779</v>
      </c>
      <c r="AG88" s="15" t="n">
        <f aca="false">(AG87)+AE88-AF88</f>
        <v>4145.70892018779</v>
      </c>
      <c r="AH88" s="15" t="n">
        <f aca="false">(Motore_Operativo!CJ88)*(1+Parametri_v3!$C$27*Parametri_v3!$C$26)</f>
        <v>21846.5917803672</v>
      </c>
      <c r="AI88" s="15" t="n">
        <f aca="false">(IF(24-(INT((Ipotesi!$C$91)/30))&lt;1,0,INDEX(Motore_Startup!$AH$65:$AH$124,MAX(1,24-(INT((Ipotesi!$C$91)/30)))))*(1-(MOD((Ipotesi!$C$91),30)/30))+IF(24-(INT((Ipotesi!$C$91)/30))-1&lt;1,0,INDEX(Motore_Startup!$AH$65:$AH$124,MAX(1,24-(INT((Ipotesi!$C$91)/30))-1)))*(MOD((Ipotesi!$C$91),30)/30))</f>
        <v>21554.0770886097</v>
      </c>
      <c r="AJ88" s="15" t="n">
        <f aca="false">(AJ87)+AH88-AI88</f>
        <v>43547.5682836218</v>
      </c>
      <c r="AK88" s="15" t="n">
        <f aca="false">(F88+ Motore_Operativo!BH88-(Motore_Operativo!CJ88)*Parametri_v3!$C$27-Motore_Operativo!CE88)*Parametri_v3!$C$26</f>
        <v>3847.63048777002</v>
      </c>
      <c r="AL88" s="15" t="n">
        <f aca="false">MAX(0,(AM87))</f>
        <v>3677.79565198975</v>
      </c>
      <c r="AM88" s="15" t="n">
        <f aca="false">(AM87)+AK88-AL88</f>
        <v>3847.63048777002</v>
      </c>
      <c r="AN88" s="15" t="n">
        <f aca="false">SUM(X65:X76)</f>
        <v>0</v>
      </c>
      <c r="AO88" s="15" t="n">
        <f aca="false">SUM(AP65:AP76)</f>
        <v>0</v>
      </c>
      <c r="AP88" s="15" t="n">
        <f aca="false">MAX(0,AN88)*IF(12=Parametri_v3!$C$43,Parametri_v3!$C$45,IF(12=Parametri_v3!$C$44,1-Parametri_v3!$C$45,0))</f>
        <v>0</v>
      </c>
      <c r="AQ88" s="15" t="n">
        <f aca="false">MAX(0,AP88+IF(12=Parametri_v3!$C$43,MAX(0,AN88-AO88),0)-MAX(0,-(AR87)))</f>
        <v>0</v>
      </c>
      <c r="AR88" s="15" t="n">
        <f aca="false">(AR87)+X88-AQ88</f>
        <v>0</v>
      </c>
      <c r="AS88" s="15" t="n">
        <f aca="false">Motore_Operativo!AB88-AT88+AU88</f>
        <v>37774.375</v>
      </c>
      <c r="AT88" s="15" t="n">
        <f aca="false">Motore_Operativo!CH88</f>
        <v>1988.125</v>
      </c>
      <c r="AU88" s="15" t="n">
        <f aca="false">MIN(MAX(0,(AV87)+AT88),Parametri_v3!$C$60/12)</f>
        <v>0</v>
      </c>
      <c r="AV88" s="15" t="n">
        <f aca="false">(AV87)+AT88-AU88</f>
        <v>34607.5</v>
      </c>
      <c r="AW88" s="15" t="n">
        <f aca="false">IF(AND(Motore_Operativo!C88=Finanziamenti!$D$6,Finanziamenti!$F$6=1),Finanziamenti!$C$6,0)</f>
        <v>0</v>
      </c>
      <c r="AX88" s="15" t="n">
        <f aca="false">IF(AND(2&lt;&gt;7,2&lt;&gt;9,Finanziamenti!$F$8=1,OR(Parametri_v3!$C$6=0,Finanziamenti!$E$8=1),Motore_Operativo!C88=EDATE(Finanziamenti!$D$8,Ipotesi!D15*12)),Finanziamenti!$C$8*1,0)+IF(AND(2&lt;&gt;7,2&lt;&gt;9,Finanziamenti!$F$9=1,OR(Parametri_v3!$C$6=0,Finanziamenti!$E$9=1),Motore_Operativo!C88=EDATE(Finanziamenti!$D$9,Ipotesi!D15*12)),Finanziamenti!$C$9*Ipotesi!D16,0)</f>
        <v>0</v>
      </c>
      <c r="AY88" s="15" t="n">
        <f aca="false">0</f>
        <v>0</v>
      </c>
      <c r="AZ88" s="15" t="n">
        <f aca="false">Motore_Advisory!AY88*(1-Ipotesi!$C$95)*Ipotesi!$C$96</f>
        <v>0</v>
      </c>
      <c r="BA88" s="15" t="n">
        <f aca="false">MAX(0,MIN(CG88*MIN(1,IF(Motore_Operativo!C88&gt;=EDATE(Finanziamenti!$D$15,Ipotesi!D14*12),Finanziamenti!$C$15,0)+IF(Motore_Operativo!C88&gt;=EDATE(Finanziamenti!$D$16,Ipotesi!D14*12),Finanziamenti!$C$16,0)+IF(Motore_Operativo!C88&gt;=EDATE(Finanziamenti!$D$17,Ipotesi!D14*12),Finanziamenti!$C$17,0)),CA88*Ipotesi!$C$102)-(CC87))</f>
        <v>162621.497893724</v>
      </c>
      <c r="BB88" s="15" t="n">
        <f aca="false">IF(AND(CF88&gt;0,Motore_Operativo!C88&gt;=IF(CF88=0,0,EDATE(CF88,Parametri_v3!$C$37)),MOD(((D88-YEAR(IF(CF88=0,0,EDATE(CF88,Parametri_v3!$C$37))))*12+E88-MONTH(IF(CF88=0,0,EDATE(CF88,Parametri_v3!$C$37)))),Parametri_v3!$C$38)=0),MIN(MAX(0,(BC87)+BA88-N88),(CC88-CD88)/(Ipotesi!$C$108*12/Parametri_v3!$C$38)),0)</f>
        <v>0</v>
      </c>
      <c r="BC88" s="15" t="n">
        <f aca="false">(BC87)+BA88-N88-BB88</f>
        <v>176155.048525607</v>
      </c>
      <c r="BD88" s="15" t="n">
        <f aca="false">(BH87)+AC88+AF88-AI88-AS88-K88*(1+Parametri_v3!$C$26)-AL88-AQ88-O88+AW88+AX88+AZ88+BA88-BB88</f>
        <v>161197.226300307</v>
      </c>
      <c r="BE88" s="15" t="n">
        <f aca="false">MAX(0,MIN(MAX(0,CH88-(BG87)),Parametri_v3!$C$30-BD88))</f>
        <v>0</v>
      </c>
      <c r="BF88" s="15" t="n">
        <f aca="false">IF(Motore_Operativo!C88&gt;=Parametri_v3!$C$63,(BG87),MIN((BG87),MAX(0,BD88-Parametri_v3!$C$30)))</f>
        <v>121060.43593699</v>
      </c>
      <c r="BG88" s="15" t="n">
        <f aca="false">(BG87)+BE88-BF88</f>
        <v>0</v>
      </c>
      <c r="BH88" s="15" t="n">
        <f aca="false">BD88+BE88-BF88-AY88</f>
        <v>40136.7903633169</v>
      </c>
      <c r="BI88" s="15" t="n">
        <f aca="false">MAX(0,Parametri_v3!$C$30-BH88)</f>
        <v>0</v>
      </c>
      <c r="BJ88" s="15" t="n">
        <f aca="false">(BJ87)+K88</f>
        <v>45000</v>
      </c>
      <c r="BK88" s="15" t="n">
        <f aca="false">(BK87)+L88</f>
        <v>14791.6666666667</v>
      </c>
      <c r="BL88" s="15" t="n">
        <f aca="false">BJ88-BK88</f>
        <v>30208.3333333333</v>
      </c>
      <c r="BM88" s="15" t="n">
        <f aca="false">(BM87)+Y88</f>
        <v>-500427.385433689</v>
      </c>
      <c r="BN88" s="15" t="n">
        <f aca="false">(BN87)+AW88+AX88+AZ88</f>
        <v>430000</v>
      </c>
      <c r="BO88" s="15" t="n">
        <f aca="false">(BO87)+AY88</f>
        <v>0</v>
      </c>
      <c r="BP88" s="15" t="n">
        <f aca="false">0</f>
        <v>0</v>
      </c>
      <c r="BQ88" s="15" t="n">
        <f aca="false">BN88+BM88-BO88</f>
        <v>-70427.3854336885</v>
      </c>
      <c r="BR88" s="15" t="n">
        <f aca="false">BH88+AD88+BL88+MAX(0,-AM88)+MAX(0,-AR88)+AG88</f>
        <v>187730.36186331</v>
      </c>
      <c r="BS88" s="15" t="n">
        <f aca="false">AJ88+AV88+MAX(0,AM88)+MAX(0,AR88)+BC88+BG88+BQ88</f>
        <v>187730.36186331</v>
      </c>
      <c r="BT88" s="15" t="n">
        <f aca="false">BR88-BS88</f>
        <v>0</v>
      </c>
      <c r="BU88" s="15" t="n">
        <f aca="false">BH88-(BD88+BE88-BF88-AY88)</f>
        <v>0</v>
      </c>
      <c r="BV88" s="15" t="n">
        <f aca="false">MIN(Piano_SS!$C$6,(BV87)+IF(AND(Motore_Operativo!C88&gt;=EDATE(Parametri_v3!$C$24,Ipotesi!D14*12),Motore_Operativo!C88&lt;EDATE(Parametri_v3!$C$24,Parametri_v3!$C$25+Ipotesi!D14*12)),MAX(0,(Motore_Operativo!Y88+Motore_Operativo!X88*Parametri_v3!$C$14)*(1-Parametri_v3!$C$32))*Piano_SS!$D$6,0))</f>
        <v>175275</v>
      </c>
      <c r="BW88" s="15" t="n">
        <f aca="false">MIN(Piano_SS!$C$7,(BW87)+IF(AND(Motore_Operativo!C88&gt;=EDATE(Parametri_v3!$C$24,Ipotesi!D14*12),Motore_Operativo!C88&lt;EDATE(Parametri_v3!$C$24,Parametri_v3!$C$25+Ipotesi!D14*12)),MAX(0,(IF(24-(INT((Ipotesi!$C$91)/30))&lt;1,0,INDEX(Motore_Operativo!$BN$65:$BN$124,MAX(1,24-(INT((Ipotesi!$C$91)/30)))))*(1-(MOD((Ipotesi!$C$91),30)/30))+IF(24-(INT((Ipotesi!$C$91)/30))-1&lt;1,0,INDEX(Motore_Operativo!$BN$65:$BN$124,MAX(1,24-(INT((Ipotesi!$C$91)/30))-1)))*(MOD((Ipotesi!$C$91),30)/30)))*Piano_SS!$D$7,0))</f>
        <v>26668.5390338217</v>
      </c>
      <c r="BX88" s="15" t="n">
        <f aca="false">MIN(Piano_SS!$C$8,(BX87)+IF(AND(Motore_Operativo!C88&gt;=EDATE(Parametri_v3!$C$24,Ipotesi!D14*12),Motore_Operativo!C88&lt;EDATE(Parametri_v3!$C$24,Parametri_v3!$C$25+Ipotesi!D14*12)),MAX(0,Motore_Operativo!CE88)*Piano_SS!$D$8,0))</f>
        <v>35000</v>
      </c>
      <c r="BY88" s="15" t="n">
        <f aca="false">MIN(Piano_SS!$C$9,(BY87)+IF(AND(Motore_Operativo!C88&gt;=EDATE(Parametri_v3!$C$24,Ipotesi!D14*12),Motore_Operativo!C88&lt;EDATE(Parametri_v3!$C$24,Parametri_v3!$C$25+Ipotesi!D14*12)),MAX(0,((IF(24-(INT((Ipotesi!$C$91)/30))&lt;1,0,INDEX(Motore_Operativo!$BQ$65:$BQ$124,MAX(1,24-(INT((Ipotesi!$C$91)/30)))))*(1-(MOD((Ipotesi!$C$91),30)/30))+IF(24-(INT((Ipotesi!$C$91)/30))-1&lt;1,0,INDEX(Motore_Operativo!$BQ$65:$BQ$124,MAX(1,24-(INT((Ipotesi!$C$91)/30))-1)))*(MOD((Ipotesi!$C$91),30)/30))+(IF(24-(INT((Ipotesi!$C$91)/30))&lt;1,0,INDEX(Motore_Operativo!$BR$65:$BR$124,MAX(1,24-(INT((Ipotesi!$C$91)/30)))))*(1-(MOD((Ipotesi!$C$91),30)/30))+IF(24-(INT((Ipotesi!$C$91)/30))-1&lt;1,0,INDEX(Motore_Operativo!$BR$65:$BR$124,MAX(1,24-(INT((Ipotesi!$C$91)/30))-1)))*(MOD((Ipotesi!$C$91),30)/30))))*Piano_SS!$D$9,0))</f>
        <v>40000</v>
      </c>
      <c r="BZ88" s="15" t="n">
        <f aca="false">MIN(Piano_SS!$C$10,(BZ87)+IF(AND(Motore_Operativo!C88&gt;=EDATE(Parametri_v3!$C$24,Ipotesi!D14*12),Motore_Operativo!C88&lt;EDATE(Parametri_v3!$C$24,Parametri_v3!$C$25+Ipotesi!D14*12)),MAX(0,(IF(24-(INT((Ipotesi!$C$91)/30))&lt;1,0,INDEX(Motore_Operativo!$BO$65:$BO$124,MAX(1,24-(INT((Ipotesi!$C$91)/30)))))*(1-(MOD((Ipotesi!$C$91),30)/30))+IF(24-(INT((Ipotesi!$C$91)/30))-1&lt;1,0,INDEX(Motore_Operativo!$BO$65:$BO$124,MAX(1,24-(INT((Ipotesi!$C$91)/30))-1)))*(MOD((Ipotesi!$C$91),30)/30)))*Piano_SS!$D$10,0))</f>
        <v>26333.3333333333</v>
      </c>
      <c r="CA88" s="15" t="n">
        <f aca="false">SUM(BV88:BZ88)</f>
        <v>303276.872367155</v>
      </c>
      <c r="CB88" s="15" t="n">
        <f aca="false">BV88*(1-Piano_SS!$E$6)+BW88*(1-Piano_SS!$E$7)+BX88*(1-Piano_SS!$E$8)+BY88*(1-Piano_SS!$E$9)+BZ88*(1-Piano_SS!$E$10)</f>
        <v>276943.539033822</v>
      </c>
      <c r="CC88" s="15" t="n">
        <f aca="false">(CC87)+BA88</f>
        <v>242621.497893724</v>
      </c>
      <c r="CD88" s="15" t="n">
        <f aca="false">IF(CA88=0,0,CC88*CB88/CA88*Ipotesi!$C$103*Parametri_v3!$C$64)</f>
        <v>66466.4493681172</v>
      </c>
      <c r="CE88" s="18" t="n">
        <f aca="false">IF(BA88&gt;0,Motore_Operativo!C88,(CE87))</f>
        <v>47088</v>
      </c>
      <c r="CF88" s="18" t="n">
        <f aca="false">IF(AND(CC88&gt;0,OR(CC88&gt;=CG88-0.01,Motore_Operativo!C88&gt;=EDATE(MAX(Finanziamenti!$D$15:$D$17),Ipotesi!D14*12))),CE88,0)</f>
        <v>0</v>
      </c>
      <c r="CG88" s="15" t="n">
        <f aca="false">IF(AND(2&lt;&gt;6,2&lt;&gt;9,Finanziamenti!$F$11=1,OR(Parametri_v3!$C$6=0,Finanziamenti!$E$11=1)),MIN(Finanziamenti!$C$11,Piano_SS!$C$12*Ipotesi!$C$102),0)</f>
        <v>400000</v>
      </c>
      <c r="CH88" s="15" t="n">
        <f aca="false">IF(AND(AND(2&lt;&gt;8,2&lt;&gt;9,Finanziamenti!$F$10=1,OR(Parametri_v3!$C$6=0,Finanziamenti!$E$10=1)),Motore_Operativo!C88&gt;=Finanziamenti!$D$10,Motore_Operativo!C88&lt;Parametri_v3!$C$63),Finanziamenti!$C$10,0)</f>
        <v>150000</v>
      </c>
    </row>
    <row r="89" customFormat="false" ht="18" hidden="false" customHeight="true" outlineLevel="0" collapsed="false">
      <c r="A89" s="68" t="n">
        <f aca="false">2</f>
        <v>2</v>
      </c>
      <c r="B89" s="68" t="n">
        <f aca="false">25</f>
        <v>25</v>
      </c>
      <c r="C89" s="18" t="n">
        <f aca="false">Motore_Operativo!C89</f>
        <v>47119</v>
      </c>
      <c r="D89" s="68" t="n">
        <f aca="false">Motore_Operativo!D89</f>
        <v>2029</v>
      </c>
      <c r="E89" s="68" t="n">
        <f aca="false">Motore_Operativo!E89</f>
        <v>1</v>
      </c>
      <c r="F89" s="15" t="n">
        <f aca="false">Motore_Operativo!AQ89+Motore_Operativo!BF89</f>
        <v>56956.9441713397</v>
      </c>
      <c r="G89" s="15" t="n">
        <f aca="false">Motore_Operativo!BH89</f>
        <v>6050</v>
      </c>
      <c r="H89" s="15" t="n">
        <f aca="false">Motore_Operativo!BI89</f>
        <v>63006.9441713397</v>
      </c>
      <c r="I89" s="15" t="n">
        <f aca="false">Motore_Operativo!CA89</f>
        <v>115308.305517321</v>
      </c>
      <c r="J89" s="15" t="n">
        <f aca="false">Motore_Operativo!CC89</f>
        <v>-52301.3613459812</v>
      </c>
      <c r="K89" s="15" t="n">
        <f aca="false">Motore_Operativo!CE89</f>
        <v>2500</v>
      </c>
      <c r="L89" s="15" t="n">
        <f aca="false">SUM(INDEX($K$65:$K$124,MAX(1,25-Parametri_v3!$C$59+1)):K89)/Parametri_v3!$C$59</f>
        <v>1319.44444444444</v>
      </c>
      <c r="M89" s="15" t="n">
        <f aca="false">J89-L89</f>
        <v>-53620.8057904256</v>
      </c>
      <c r="N89" s="15" t="n">
        <f aca="false">CD89-(CD88)</f>
        <v>7030.03738740331</v>
      </c>
      <c r="O89" s="15" t="n">
        <f aca="false">(BG88)*Ipotesi!$C$110/12+CH89*Parametri_v3!$C$39/12</f>
        <v>0</v>
      </c>
      <c r="P89" s="15" t="n">
        <f aca="false">M89+N89-O89</f>
        <v>-46590.7684030223</v>
      </c>
      <c r="Q89" s="15" t="n">
        <f aca="false">SUM(P89)+Parametri_v3!$C$54*1/12</f>
        <v>-46590.7684030223</v>
      </c>
      <c r="R89" s="15" t="n">
        <f aca="false">Z88</f>
        <v>500427.385433689</v>
      </c>
      <c r="S89" s="15" t="n">
        <f aca="false">AA88</f>
        <v>0</v>
      </c>
      <c r="T89" s="15" t="n">
        <f aca="false">MIN(R89,MAX(0,Q89))</f>
        <v>0</v>
      </c>
      <c r="U89" s="15" t="n">
        <f aca="false">MIN(S89,MAX(0,Q89-T89)*Parametri_v3!$C$42)</f>
        <v>0</v>
      </c>
      <c r="V89" s="15" t="n">
        <f aca="false">MAX(0,Q89-T89-U89)*Ipotesi!$C$92</f>
        <v>0</v>
      </c>
      <c r="W89" s="15" t="n">
        <f aca="false">MAX(0,SUM(M89)+Parametri_v3!$C$55*1/12)*Ipotesi!$C$93</f>
        <v>0</v>
      </c>
      <c r="X89" s="15" t="n">
        <f aca="false">V89+W89-(0)</f>
        <v>0</v>
      </c>
      <c r="Y89" s="15" t="n">
        <f aca="false">P89-X89</f>
        <v>-46590.7684030223</v>
      </c>
      <c r="Z89" s="15" t="n">
        <f aca="false">R89-T89+IF(AND(Parametri_v3!$C$40=1,D89-YEAR(Parametri_v3!$C$50)&lt;Parametri_v3!$C$41),MAX(0,-Q89),0)</f>
        <v>547018.153836711</v>
      </c>
      <c r="AA89" s="15" t="n">
        <f aca="false">S89-U89+IF(AND(Parametri_v3!$C$40=1,D89-YEAR(Parametri_v3!$C$50)&lt;Parametri_v3!$C$41),0,MAX(0,-Q89))</f>
        <v>0</v>
      </c>
      <c r="AB89" s="15" t="n">
        <f aca="false">F89*(1+Parametri_v3!$C$26)</f>
        <v>69487.4718890345</v>
      </c>
      <c r="AC89" s="15" t="n">
        <f aca="false">(IF(25-(INT((Motore_Operativo!L89)/30))&lt;1,0,INDEX(Motore_Startup!$AB$65:$AB$124,MAX(1,25-(INT((Motore_Operativo!L89)/30)))))*(1-(MOD((Motore_Operativo!L89),30)/30))+IF(25-(INT((Motore_Operativo!L89)/30))-1&lt;1,0,INDEX(Motore_Startup!$AB$65:$AB$124,MAX(1,25-(INT((Motore_Operativo!L89)/30))-1)))*(MOD((Motore_Operativo!L89),30)/30))</f>
        <v>36671.1994230508</v>
      </c>
      <c r="AD89" s="15" t="n">
        <f aca="false">(AD88)+AB89-AC89</f>
        <v>146055.801712456</v>
      </c>
      <c r="AE89" s="15" t="n">
        <f aca="false">Motore_Operativo!BH89*(1+Parametri_v3!$C$26)</f>
        <v>7381</v>
      </c>
      <c r="AF89" s="15" t="n">
        <f aca="false">(IF(25-(INT((Parametri_v3!$C$29)/30))&lt;1,0,INDEX(Motore_Operativo!$BH$65:$BH$124,MAX(1,25-(INT((Parametri_v3!$C$29)/30)))))*(1-(MOD((Parametri_v3!$C$29),30)/30))+IF(25-(INT((Parametri_v3!$C$29)/30))-1&lt;1,0,INDEX(Motore_Operativo!$BH$65:$BH$124,MAX(1,25-(INT((Parametri_v3!$C$29)/30))-1)))*(MOD((Parametri_v3!$C$29),30)/30))*(1+Parametri_v3!$C$26)</f>
        <v>4145.70892018779</v>
      </c>
      <c r="AG89" s="15" t="n">
        <f aca="false">(AG88)+AE89-AF89</f>
        <v>7381</v>
      </c>
      <c r="AH89" s="15" t="n">
        <f aca="false">(Motore_Operativo!CJ89)*(1+Parametri_v3!$C$27*Parametri_v3!$C$26)</f>
        <v>48708.1163157266</v>
      </c>
      <c r="AI89" s="15" t="n">
        <f aca="false">(IF(25-(INT((Ipotesi!$C$91)/30))&lt;1,0,INDEX(Motore_Startup!$AH$65:$AH$124,MAX(1,25-(INT((Ipotesi!$C$91)/30)))))*(1-(MOD((Ipotesi!$C$91),30)/30))+IF(25-(INT((Ipotesi!$C$91)/30))-1&lt;1,0,INDEX(Motore_Startup!$AH$65:$AH$124,MAX(1,25-(INT((Ipotesi!$C$91)/30))-1)))*(MOD((Ipotesi!$C$91),30)/30))</f>
        <v>21700.9765032546</v>
      </c>
      <c r="AJ89" s="15" t="n">
        <f aca="false">(AJ88)+AH89-AI89</f>
        <v>70554.7080960938</v>
      </c>
      <c r="AK89" s="15" t="n">
        <f aca="false">(F89+ Motore_Operativo!BH89-(Motore_Operativo!CJ89)*Parametri_v3!$C$27-Motore_Operativo!CE89)*Parametri_v3!$C$26</f>
        <v>5638.0502526224</v>
      </c>
      <c r="AL89" s="15" t="n">
        <f aca="false">MAX(0,(AM88))</f>
        <v>3847.63048777002</v>
      </c>
      <c r="AM89" s="15" t="n">
        <f aca="false">(AM88)+AK89-AL89</f>
        <v>5638.0502526224</v>
      </c>
      <c r="AN89" s="15" t="n">
        <f aca="false">SUM(X77:X88)</f>
        <v>0</v>
      </c>
      <c r="AO89" s="15" t="n">
        <f aca="false">SUM(AP77:AP88)</f>
        <v>0</v>
      </c>
      <c r="AP89" s="15" t="n">
        <f aca="false">MAX(0,AN89)*IF(1=Parametri_v3!$C$43,Parametri_v3!$C$45,IF(1=Parametri_v3!$C$44,1-Parametri_v3!$C$45,0))</f>
        <v>0</v>
      </c>
      <c r="AQ89" s="15" t="n">
        <f aca="false">MAX(0,AP89+IF(1=Parametri_v3!$C$43,MAX(0,AN89-AO89),0)-MAX(0,-(AR88)))</f>
        <v>0</v>
      </c>
      <c r="AR89" s="15" t="n">
        <f aca="false">(AR88)+X89-AQ89</f>
        <v>0</v>
      </c>
      <c r="AS89" s="15" t="n">
        <f aca="false">Motore_Operativo!AB89-AT89+AU89</f>
        <v>70559.9833333333</v>
      </c>
      <c r="AT89" s="15" t="n">
        <f aca="false">Motore_Operativo!CH89</f>
        <v>3713.68333333333</v>
      </c>
      <c r="AU89" s="15" t="n">
        <f aca="false">MIN(MAX(0,(AV88)+AT89),Parametri_v3!$C$60/12)</f>
        <v>0</v>
      </c>
      <c r="AV89" s="15" t="n">
        <f aca="false">(AV88)+AT89-AU89</f>
        <v>38321.1833333333</v>
      </c>
      <c r="AW89" s="15" t="n">
        <f aca="false">IF(AND(Motore_Operativo!C89=Finanziamenti!$D$6,Finanziamenti!$F$6=1),Finanziamenti!$C$6,0)</f>
        <v>0</v>
      </c>
      <c r="AX89" s="15" t="n">
        <f aca="false">IF(AND(2&lt;&gt;7,2&lt;&gt;9,Finanziamenti!$F$8=1,OR(Parametri_v3!$C$6=0,Finanziamenti!$E$8=1),Motore_Operativo!C89=EDATE(Finanziamenti!$D$8,Ipotesi!D15*12)),Finanziamenti!$C$8*1,0)+IF(AND(2&lt;&gt;7,2&lt;&gt;9,Finanziamenti!$F$9=1,OR(Parametri_v3!$C$6=0,Finanziamenti!$E$9=1),Motore_Operativo!C89=EDATE(Finanziamenti!$D$9,Ipotesi!D15*12)),Finanziamenti!$C$9*Ipotesi!D16,0)</f>
        <v>0</v>
      </c>
      <c r="AY89" s="15" t="n">
        <f aca="false">0</f>
        <v>0</v>
      </c>
      <c r="AZ89" s="15" t="n">
        <f aca="false">Motore_Advisory!AY89*(1-Ipotesi!$C$95)*Ipotesi!$C$96</f>
        <v>0</v>
      </c>
      <c r="BA89" s="15" t="n">
        <f aca="false">MAX(0,MIN(CG89*MIN(1,IF(Motore_Operativo!C89&gt;=EDATE(Finanziamenti!$D$15,Ipotesi!D14*12),Finanziamenti!$C$15,0)+IF(Motore_Operativo!C89&gt;=EDATE(Finanziamenti!$D$16,Ipotesi!D14*12),Finanziamenti!$C$16,0)+IF(Motore_Operativo!C89&gt;=EDATE(Finanziamenti!$D$17,Ipotesi!D14*12),Finanziamenti!$C$17,0)),CA89*Ipotesi!$C$102)-(CC88))</f>
        <v>24900.1246246778</v>
      </c>
      <c r="BB89" s="15" t="n">
        <f aca="false">IF(AND(CF89&gt;0,Motore_Operativo!C89&gt;=IF(CF89=0,0,EDATE(CF89,Parametri_v3!$C$37)),MOD(((D89-YEAR(IF(CF89=0,0,EDATE(CF89,Parametri_v3!$C$37))))*12+E89-MONTH(IF(CF89=0,0,EDATE(CF89,Parametri_v3!$C$37)))),Parametri_v3!$C$38)=0),MIN(MAX(0,(BC88)+BA89-N89),(CC89-CD89)/(Ipotesi!$C$108*12/Parametri_v3!$C$38)),0)</f>
        <v>0</v>
      </c>
      <c r="BC89" s="15" t="n">
        <f aca="false">(BC88)+BA89-N89-BB89</f>
        <v>194025.135762881</v>
      </c>
      <c r="BD89" s="15" t="n">
        <f aca="false">(BH88)+AC89+AF89-AI89-AS89-K89*(1+Parametri_v3!$C$26)-AL89-AQ89-O89+AW89+AX89+AZ89+BA89-BB89</f>
        <v>6695.23300687537</v>
      </c>
      <c r="BE89" s="15" t="n">
        <f aca="false">MAX(0,MIN(MAX(0,CH89-(BG88)),Parametri_v3!$C$30-BD89))</f>
        <v>18304.7669931246</v>
      </c>
      <c r="BF89" s="15" t="n">
        <f aca="false">IF(Motore_Operativo!C89&gt;=Parametri_v3!$C$63,(BG88),MIN((BG88),MAX(0,BD89-Parametri_v3!$C$30)))</f>
        <v>0</v>
      </c>
      <c r="BG89" s="15" t="n">
        <f aca="false">(BG88)+BE89-BF89</f>
        <v>18304.7669931246</v>
      </c>
      <c r="BH89" s="15" t="n">
        <f aca="false">BD89+BE89-BF89-AY89</f>
        <v>25000</v>
      </c>
      <c r="BI89" s="15" t="n">
        <f aca="false">MAX(0,Parametri_v3!$C$30-BH89)</f>
        <v>0</v>
      </c>
      <c r="BJ89" s="15" t="n">
        <f aca="false">(BJ88)+K89</f>
        <v>47500</v>
      </c>
      <c r="BK89" s="15" t="n">
        <f aca="false">(BK88)+L89</f>
        <v>16111.1111111111</v>
      </c>
      <c r="BL89" s="15" t="n">
        <f aca="false">BJ89-BK89</f>
        <v>31388.8888888889</v>
      </c>
      <c r="BM89" s="15" t="n">
        <f aca="false">(BM88)+Y89</f>
        <v>-547018.153836711</v>
      </c>
      <c r="BN89" s="15" t="n">
        <f aca="false">(BN88)+AW89+AX89+AZ89</f>
        <v>430000</v>
      </c>
      <c r="BO89" s="15" t="n">
        <f aca="false">(BO88)+AY89</f>
        <v>0</v>
      </c>
      <c r="BP89" s="15" t="n">
        <f aca="false">0</f>
        <v>0</v>
      </c>
      <c r="BQ89" s="15" t="n">
        <f aca="false">BN89+BM89-BO89</f>
        <v>-117018.153836711</v>
      </c>
      <c r="BR89" s="15" t="n">
        <f aca="false">BH89+AD89+BL89+MAX(0,-AM89)+MAX(0,-AR89)+AG89</f>
        <v>209825.690601344</v>
      </c>
      <c r="BS89" s="15" t="n">
        <f aca="false">AJ89+AV89+MAX(0,AM89)+MAX(0,AR89)+BC89+BG89+BQ89</f>
        <v>209825.690601345</v>
      </c>
      <c r="BT89" s="15" t="n">
        <f aca="false">BR89-BS89</f>
        <v>0</v>
      </c>
      <c r="BU89" s="15" t="n">
        <f aca="false">BH89-(BD89+BE89-BF89-AY89)</f>
        <v>0</v>
      </c>
      <c r="BV89" s="15" t="n">
        <f aca="false">MIN(Piano_SS!$C$6,(BV88)+IF(AND(Motore_Operativo!C89&gt;=EDATE(Parametri_v3!$C$24,Ipotesi!D14*12),Motore_Operativo!C89&lt;EDATE(Parametri_v3!$C$24,Parametri_v3!$C$25+Ipotesi!D14*12)),MAX(0,(Motore_Operativo!Y89+Motore_Operativo!X89*Parametri_v3!$C$14)*(1-Parametri_v3!$C$32))*Piano_SS!$D$6,0))</f>
        <v>200051.435416667</v>
      </c>
      <c r="BW89" s="15" t="n">
        <f aca="false">MIN(Piano_SS!$C$7,(BW88)+IF(AND(Motore_Operativo!C89&gt;=EDATE(Parametri_v3!$C$24,Ipotesi!D14*12),Motore_Operativo!C89&lt;EDATE(Parametri_v3!$C$24,Parametri_v3!$C$25+Ipotesi!D14*12)),MAX(0,(IF(25-(INT((Ipotesi!$C$91)/30))&lt;1,0,INDEX(Motore_Operativo!$BN$65:$BN$124,MAX(1,25-(INT((Ipotesi!$C$91)/30)))))*(1-(MOD((Ipotesi!$C$91),30)/30))+IF(25-(INT((Ipotesi!$C$91)/30))-1&lt;1,0,INDEX(Motore_Operativo!$BN$65:$BN$124,MAX(1,25-(INT((Ipotesi!$C$91)/30))-1)))*(MOD((Ipotesi!$C$91),30)/30)))*Piano_SS!$D$7,0))</f>
        <v>28683.9260646689</v>
      </c>
      <c r="BX89" s="15" t="n">
        <f aca="false">MIN(Piano_SS!$C$8,(BX88)+IF(AND(Motore_Operativo!C89&gt;=EDATE(Parametri_v3!$C$24,Ipotesi!D14*12),Motore_Operativo!C89&lt;EDATE(Parametri_v3!$C$24,Parametri_v3!$C$25+Ipotesi!D14*12)),MAX(0,Motore_Operativo!CE89)*Piano_SS!$D$8,0))</f>
        <v>37500</v>
      </c>
      <c r="BY89" s="15" t="n">
        <f aca="false">MIN(Piano_SS!$C$9,(BY88)+IF(AND(Motore_Operativo!C89&gt;=EDATE(Parametri_v3!$C$24,Ipotesi!D14*12),Motore_Operativo!C89&lt;EDATE(Parametri_v3!$C$24,Parametri_v3!$C$25+Ipotesi!D14*12)),MAX(0,((IF(25-(INT((Ipotesi!$C$91)/30))&lt;1,0,INDEX(Motore_Operativo!$BQ$65:$BQ$124,MAX(1,25-(INT((Ipotesi!$C$91)/30)))))*(1-(MOD((Ipotesi!$C$91),30)/30))+IF(25-(INT((Ipotesi!$C$91)/30))-1&lt;1,0,INDEX(Motore_Operativo!$BQ$65:$BQ$124,MAX(1,25-(INT((Ipotesi!$C$91)/30))-1)))*(MOD((Ipotesi!$C$91),30)/30))+(IF(25-(INT((Ipotesi!$C$91)/30))&lt;1,0,INDEX(Motore_Operativo!$BR$65:$BR$124,MAX(1,25-(INT((Ipotesi!$C$91)/30)))))*(1-(MOD((Ipotesi!$C$91),30)/30))+IF(25-(INT((Ipotesi!$C$91)/30))-1&lt;1,0,INDEX(Motore_Operativo!$BR$65:$BR$124,MAX(1,25-(INT((Ipotesi!$C$91)/30))-1)))*(MOD((Ipotesi!$C$91),30)/30))))*Piano_SS!$D$9,0))</f>
        <v>40000</v>
      </c>
      <c r="BZ89" s="15" t="n">
        <f aca="false">MIN(Piano_SS!$C$10,(BZ88)+IF(AND(Motore_Operativo!C89&gt;=EDATE(Parametri_v3!$C$24,Ipotesi!D14*12),Motore_Operativo!C89&lt;EDATE(Parametri_v3!$C$24,Parametri_v3!$C$25+Ipotesi!D14*12)),MAX(0,(IF(25-(INT((Ipotesi!$C$91)/30))&lt;1,0,INDEX(Motore_Operativo!$BO$65:$BO$124,MAX(1,25-(INT((Ipotesi!$C$91)/30)))))*(1-(MOD((Ipotesi!$C$91),30)/30))+IF(25-(INT((Ipotesi!$C$91)/30))-1&lt;1,0,INDEX(Motore_Operativo!$BO$65:$BO$124,MAX(1,25-(INT((Ipotesi!$C$91)/30))-1)))*(MOD((Ipotesi!$C$91),30)/30)))*Piano_SS!$D$10,0))</f>
        <v>28166.6666666667</v>
      </c>
      <c r="CA89" s="15" t="n">
        <f aca="false">SUM(BV89:BZ89)</f>
        <v>334402.028148002</v>
      </c>
      <c r="CB89" s="15" t="n">
        <f aca="false">BV89*(1-Piano_SS!$E$6)+BW89*(1-Piano_SS!$E$7)+BX89*(1-Piano_SS!$E$8)+BY89*(1-Piano_SS!$E$9)+BZ89*(1-Piano_SS!$E$10)</f>
        <v>306235.361481336</v>
      </c>
      <c r="CC89" s="15" t="n">
        <f aca="false">(CC88)+BA89</f>
        <v>267521.622518402</v>
      </c>
      <c r="CD89" s="15" t="n">
        <f aca="false">IF(CA89=0,0,CC89*CB89/CA89*Ipotesi!$C$103*Parametri_v3!$C$64)</f>
        <v>73496.4867555205</v>
      </c>
      <c r="CE89" s="18" t="n">
        <f aca="false">IF(BA89&gt;0,Motore_Operativo!C89,(CE88))</f>
        <v>47119</v>
      </c>
      <c r="CF89" s="18" t="n">
        <f aca="false">IF(AND(CC89&gt;0,OR(CC89&gt;=CG89-0.01,Motore_Operativo!C89&gt;=EDATE(MAX(Finanziamenti!$D$15:$D$17),Ipotesi!D14*12))),CE89,0)</f>
        <v>0</v>
      </c>
      <c r="CG89" s="15" t="n">
        <f aca="false">IF(AND(2&lt;&gt;6,2&lt;&gt;9,Finanziamenti!$F$11=1,OR(Parametri_v3!$C$6=0,Finanziamenti!$E$11=1)),MIN(Finanziamenti!$C$11,Piano_SS!$C$12*Ipotesi!$C$102),0)</f>
        <v>400000</v>
      </c>
      <c r="CH89" s="15" t="n">
        <f aca="false">IF(AND(AND(2&lt;&gt;8,2&lt;&gt;9,Finanziamenti!$F$10=1,OR(Parametri_v3!$C$6=0,Finanziamenti!$E$10=1)),Motore_Operativo!C89&gt;=Finanziamenti!$D$10,Motore_Operativo!C89&lt;Parametri_v3!$C$63),Finanziamenti!$C$10,0)</f>
        <v>150000</v>
      </c>
    </row>
    <row r="90" customFormat="false" ht="18" hidden="false" customHeight="true" outlineLevel="0" collapsed="false">
      <c r="A90" s="68" t="n">
        <f aca="false">2</f>
        <v>2</v>
      </c>
      <c r="B90" s="68" t="n">
        <f aca="false">26</f>
        <v>26</v>
      </c>
      <c r="C90" s="18" t="n">
        <f aca="false">Motore_Operativo!C90</f>
        <v>47150</v>
      </c>
      <c r="D90" s="68" t="n">
        <f aca="false">Motore_Operativo!D90</f>
        <v>2029</v>
      </c>
      <c r="E90" s="68" t="n">
        <f aca="false">Motore_Operativo!E90</f>
        <v>2</v>
      </c>
      <c r="F90" s="15" t="n">
        <f aca="false">Motore_Operativo!AQ90+Motore_Operativo!BF90</f>
        <v>57615.1870278934</v>
      </c>
      <c r="G90" s="15" t="n">
        <f aca="false">Motore_Operativo!BH90</f>
        <v>6050</v>
      </c>
      <c r="H90" s="15" t="n">
        <f aca="false">Motore_Operativo!BI90</f>
        <v>63665.1870278934</v>
      </c>
      <c r="I90" s="15" t="n">
        <f aca="false">Motore_Operativo!CA90</f>
        <v>115400.459517238</v>
      </c>
      <c r="J90" s="15" t="n">
        <f aca="false">Motore_Operativo!CC90</f>
        <v>-51735.272489345</v>
      </c>
      <c r="K90" s="15" t="n">
        <f aca="false">Motore_Operativo!CE90</f>
        <v>2500</v>
      </c>
      <c r="L90" s="15" t="n">
        <f aca="false">SUM(INDEX($K$65:$K$124,MAX(1,26-Parametri_v3!$C$59+1)):K90)/Parametri_v3!$C$59</f>
        <v>1388.88888888889</v>
      </c>
      <c r="M90" s="15" t="n">
        <f aca="false">J90-L90</f>
        <v>-53124.1613782339</v>
      </c>
      <c r="N90" s="15" t="n">
        <f aca="false">CD90-(CD89)</f>
        <v>3610.6830441394</v>
      </c>
      <c r="O90" s="15" t="n">
        <f aca="false">(BG89)*Ipotesi!$C$110/12+CH90*Parametri_v3!$C$39/12</f>
        <v>91.5238349656232</v>
      </c>
      <c r="P90" s="15" t="n">
        <f aca="false">M90+N90-O90</f>
        <v>-49605.0021690601</v>
      </c>
      <c r="Q90" s="15" t="n">
        <f aca="false">SUM(P89:P90)+Parametri_v3!$C$54*2/12</f>
        <v>-96195.7705720824</v>
      </c>
      <c r="R90" s="15" t="n">
        <f aca="false">Z88</f>
        <v>500427.385433689</v>
      </c>
      <c r="S90" s="15" t="n">
        <f aca="false">AA88</f>
        <v>0</v>
      </c>
      <c r="T90" s="15" t="n">
        <f aca="false">MIN(R90,MAX(0,Q90))</f>
        <v>0</v>
      </c>
      <c r="U90" s="15" t="n">
        <f aca="false">MIN(S90,MAX(0,Q90-T90)*Parametri_v3!$C$42)</f>
        <v>0</v>
      </c>
      <c r="V90" s="15" t="n">
        <f aca="false">MAX(0,Q90-T90-U90)*Ipotesi!$C$92</f>
        <v>0</v>
      </c>
      <c r="W90" s="15" t="n">
        <f aca="false">MAX(0,SUM(M89:M90)+Parametri_v3!$C$55*2/12)*Ipotesi!$C$93</f>
        <v>0</v>
      </c>
      <c r="X90" s="15" t="n">
        <f aca="false">V90+W90-(V89+W89)</f>
        <v>0</v>
      </c>
      <c r="Y90" s="15" t="n">
        <f aca="false">P90-X90</f>
        <v>-49605.0021690601</v>
      </c>
      <c r="Z90" s="15" t="n">
        <f aca="false">R90-T90+IF(AND(Parametri_v3!$C$40=1,D90-YEAR(Parametri_v3!$C$50)&lt;Parametri_v3!$C$41),MAX(0,-Q90),0)</f>
        <v>596623.156005771</v>
      </c>
      <c r="AA90" s="15" t="n">
        <f aca="false">S90-U90+IF(AND(Parametri_v3!$C$40=1,D90-YEAR(Parametri_v3!$C$50)&lt;Parametri_v3!$C$41),0,MAX(0,-Q90))</f>
        <v>0</v>
      </c>
      <c r="AB90" s="15" t="n">
        <f aca="false">F90*(1+Parametri_v3!$C$26)</f>
        <v>70290.52817403</v>
      </c>
      <c r="AC90" s="15" t="n">
        <f aca="false">(IF(26-(INT((Motore_Operativo!L90)/30))&lt;1,0,INDEX(Motore_Startup!$AB$65:$AB$124,MAX(1,26-(INT((Motore_Operativo!L90)/30)))))*(1-(MOD((Motore_Operativo!L90),30)/30))+IF(26-(INT((Motore_Operativo!L90)/30))-1&lt;1,0,INDEX(Motore_Startup!$AB$65:$AB$124,MAX(1,26-(INT((Motore_Operativo!L90)/30))-1)))*(MOD((Motore_Operativo!L90),30)/30))</f>
        <v>37749.6522204198</v>
      </c>
      <c r="AD90" s="15" t="n">
        <f aca="false">(AD89)+AB90-AC90</f>
        <v>178596.677666066</v>
      </c>
      <c r="AE90" s="15" t="n">
        <f aca="false">Motore_Operativo!BH90*(1+Parametri_v3!$C$26)</f>
        <v>7381</v>
      </c>
      <c r="AF90" s="15" t="n">
        <f aca="false">(IF(26-(INT((Parametri_v3!$C$29)/30))&lt;1,0,INDEX(Motore_Operativo!$BH$65:$BH$124,MAX(1,26-(INT((Parametri_v3!$C$29)/30)))))*(1-(MOD((Parametri_v3!$C$29),30)/30))+IF(26-(INT((Parametri_v3!$C$29)/30))-1&lt;1,0,INDEX(Motore_Operativo!$BH$65:$BH$124,MAX(1,26-(INT((Parametri_v3!$C$29)/30))-1)))*(MOD((Parametri_v3!$C$29),30)/30))*(1+Parametri_v3!$C$26)</f>
        <v>7381</v>
      </c>
      <c r="AG90" s="15" t="n">
        <f aca="false">(AG89)+AE90-AF90</f>
        <v>7381</v>
      </c>
      <c r="AH90" s="15" t="n">
        <f aca="false">(Motore_Operativo!CJ90)*(1+Parametri_v3!$C$27*Parametri_v3!$C$26)</f>
        <v>48817.5031136287</v>
      </c>
      <c r="AI90" s="15" t="n">
        <f aca="false">(IF(26-(INT((Ipotesi!$C$91)/30))&lt;1,0,INDEX(Motore_Startup!$AH$65:$AH$124,MAX(1,26-(INT((Ipotesi!$C$91)/30)))))*(1-(MOD((Ipotesi!$C$91),30)/30))+IF(26-(INT((Ipotesi!$C$91)/30))-1&lt;1,0,INDEX(Motore_Startup!$AH$65:$AH$124,MAX(1,26-(INT((Ipotesi!$C$91)/30))-1)))*(MOD((Ipotesi!$C$91),30)/30))</f>
        <v>21846.5917803672</v>
      </c>
      <c r="AJ90" s="15" t="n">
        <f aca="false">(AJ89)+AH90-AI90</f>
        <v>97525.6194293553</v>
      </c>
      <c r="AK90" s="15" t="n">
        <f aca="false">(F90+ Motore_Operativo!BH90-(Motore_Operativo!CJ90)*Parametri_v3!$C$27-Motore_Operativo!CE90)*Parametri_v3!$C$26</f>
        <v>5765.63088307964</v>
      </c>
      <c r="AL90" s="15" t="n">
        <f aca="false">MAX(0,(AM89))</f>
        <v>5638.0502526224</v>
      </c>
      <c r="AM90" s="15" t="n">
        <f aca="false">(AM89)+AK90-AL90</f>
        <v>5765.63088307964</v>
      </c>
      <c r="AN90" s="15" t="n">
        <f aca="false">SUM(X77:X88)</f>
        <v>0</v>
      </c>
      <c r="AO90" s="15" t="n">
        <f aca="false">SUM(AP77:AP88)</f>
        <v>0</v>
      </c>
      <c r="AP90" s="15" t="n">
        <f aca="false">MAX(0,AN90)*IF(2=Parametri_v3!$C$43,Parametri_v3!$C$45,IF(2=Parametri_v3!$C$44,1-Parametri_v3!$C$45,0))</f>
        <v>0</v>
      </c>
      <c r="AQ90" s="15" t="n">
        <f aca="false">MAX(0,AP90+IF(2=Parametri_v3!$C$43,MAX(0,AN90-AO90),0)-MAX(0,-(AR89)))</f>
        <v>0</v>
      </c>
      <c r="AR90" s="15" t="n">
        <f aca="false">(AR89)+X90-AQ90</f>
        <v>0</v>
      </c>
      <c r="AS90" s="15" t="n">
        <f aca="false">Motore_Operativo!AB90-AT90+AU90</f>
        <v>70559.9833333333</v>
      </c>
      <c r="AT90" s="15" t="n">
        <f aca="false">Motore_Operativo!CH90</f>
        <v>3713.68333333333</v>
      </c>
      <c r="AU90" s="15" t="n">
        <f aca="false">MIN(MAX(0,(AV89)+AT90),Parametri_v3!$C$60/12)</f>
        <v>0</v>
      </c>
      <c r="AV90" s="15" t="n">
        <f aca="false">(AV89)+AT90-AU90</f>
        <v>42034.8666666667</v>
      </c>
      <c r="AW90" s="15" t="n">
        <f aca="false">IF(AND(Motore_Operativo!C90=Finanziamenti!$D$6,Finanziamenti!$F$6=1),Finanziamenti!$C$6,0)</f>
        <v>0</v>
      </c>
      <c r="AX90" s="15" t="n">
        <f aca="false">IF(AND(2&lt;&gt;7,2&lt;&gt;9,Finanziamenti!$F$8=1,OR(Parametri_v3!$C$6=0,Finanziamenti!$E$8=1),Motore_Operativo!C90=EDATE(Finanziamenti!$D$8,Ipotesi!D15*12)),Finanziamenti!$C$8*1,0)+IF(AND(2&lt;&gt;7,2&lt;&gt;9,Finanziamenti!$F$9=1,OR(Parametri_v3!$C$6=0,Finanziamenti!$E$9=1),Motore_Operativo!C90=EDATE(Finanziamenti!$D$9,Ipotesi!D15*12)),Finanziamenti!$C$9*Ipotesi!D16,0)</f>
        <v>0</v>
      </c>
      <c r="AY90" s="15" t="n">
        <f aca="false">0</f>
        <v>0</v>
      </c>
      <c r="AZ90" s="15" t="n">
        <f aca="false">Motore_Advisory!AY90*(1-Ipotesi!$C$95)*Ipotesi!$C$96</f>
        <v>0</v>
      </c>
      <c r="BA90" s="15" t="n">
        <f aca="false">MAX(0,MIN(CG90*MIN(1,IF(Motore_Operativo!C90&gt;=EDATE(Finanziamenti!$D$15,Ipotesi!D14*12),Finanziamenti!$C$15,0)+IF(Motore_Operativo!C90&gt;=EDATE(Finanziamenti!$D$16,Ipotesi!D14*12),Finanziamenti!$C$16,0)+IF(Motore_Operativo!C90&gt;=EDATE(Finanziamenti!$D$17,Ipotesi!D14*12),Finanziamenti!$C$17,0)),CA90*Ipotesi!$C$102)-(CC89))</f>
        <v>12478.3774815982</v>
      </c>
      <c r="BB90" s="15" t="n">
        <f aca="false">IF(AND(CF90&gt;0,Motore_Operativo!C90&gt;=IF(CF90=0,0,EDATE(CF90,Parametri_v3!$C$37)),MOD(((D90-YEAR(IF(CF90=0,0,EDATE(CF90,Parametri_v3!$C$37))))*12+E90-MONTH(IF(CF90=0,0,EDATE(CF90,Parametri_v3!$C$37)))),Parametri_v3!$C$38)=0),MIN(MAX(0,(BC89)+BA90-N90),(CC90-CD90)/(Ipotesi!$C$108*12/Parametri_v3!$C$38)),0)</f>
        <v>0</v>
      </c>
      <c r="BC90" s="15" t="n">
        <f aca="false">(BC89)+BA90-N90-BB90</f>
        <v>202892.83020034</v>
      </c>
      <c r="BD90" s="15" t="n">
        <f aca="false">(BH89)+AC90+AF90-AI90-AS90-K90*(1+Parametri_v3!$C$26)-AL90-AQ90-O90+AW90+AX90+AZ90+BA90-BB90</f>
        <v>-18577.1194992706</v>
      </c>
      <c r="BE90" s="15" t="n">
        <f aca="false">MAX(0,MIN(MAX(0,CH90-(BG89)),Parametri_v3!$C$30-BD90))</f>
        <v>43577.1194992706</v>
      </c>
      <c r="BF90" s="15" t="n">
        <f aca="false">IF(Motore_Operativo!C90&gt;=Parametri_v3!$C$63,(BG89),MIN((BG89),MAX(0,BD90-Parametri_v3!$C$30)))</f>
        <v>0</v>
      </c>
      <c r="BG90" s="15" t="n">
        <f aca="false">(BG89)+BE90-BF90</f>
        <v>61881.8864923952</v>
      </c>
      <c r="BH90" s="15" t="n">
        <f aca="false">BD90+BE90-BF90-AY90</f>
        <v>25000</v>
      </c>
      <c r="BI90" s="15" t="n">
        <f aca="false">MAX(0,Parametri_v3!$C$30-BH90)</f>
        <v>0</v>
      </c>
      <c r="BJ90" s="15" t="n">
        <f aca="false">(BJ89)+K90</f>
        <v>50000</v>
      </c>
      <c r="BK90" s="15" t="n">
        <f aca="false">(BK89)+L90</f>
        <v>17500</v>
      </c>
      <c r="BL90" s="15" t="n">
        <f aca="false">BJ90-BK90</f>
        <v>32500</v>
      </c>
      <c r="BM90" s="15" t="n">
        <f aca="false">(BM89)+Y90</f>
        <v>-596623.156005771</v>
      </c>
      <c r="BN90" s="15" t="n">
        <f aca="false">(BN89)+AW90+AX90+AZ90</f>
        <v>430000</v>
      </c>
      <c r="BO90" s="15" t="n">
        <f aca="false">(BO89)+AY90</f>
        <v>0</v>
      </c>
      <c r="BP90" s="15" t="n">
        <f aca="false">0</f>
        <v>0</v>
      </c>
      <c r="BQ90" s="15" t="n">
        <f aca="false">BN90+BM90-BO90</f>
        <v>-166623.156005771</v>
      </c>
      <c r="BR90" s="15" t="n">
        <f aca="false">BH90+AD90+BL90+MAX(0,-AM90)+MAX(0,-AR90)+AG90</f>
        <v>243477.677666066</v>
      </c>
      <c r="BS90" s="15" t="n">
        <f aca="false">AJ90+AV90+MAX(0,AM90)+MAX(0,AR90)+BC90+BG90+BQ90</f>
        <v>243477.677666066</v>
      </c>
      <c r="BT90" s="15" t="n">
        <f aca="false">BR90-BS90</f>
        <v>0</v>
      </c>
      <c r="BU90" s="15" t="n">
        <f aca="false">BH90-(BD90+BE90-BF90-AY90)</f>
        <v>0</v>
      </c>
      <c r="BV90" s="15" t="n">
        <f aca="false">MIN(Piano_SS!$C$6,(BV89)+IF(AND(Motore_Operativo!C90&gt;=EDATE(Parametri_v3!$C$24,Ipotesi!D14*12),Motore_Operativo!C90&lt;EDATE(Parametri_v3!$C$24,Parametri_v3!$C$25+Ipotesi!D14*12)),MAX(0,(Motore_Operativo!Y90+Motore_Operativo!X90*Parametri_v3!$C$14)*(1-Parametri_v3!$C$32))*Piano_SS!$D$6,0))</f>
        <v>224827.870833333</v>
      </c>
      <c r="BW90" s="15" t="n">
        <f aca="false">MIN(Piano_SS!$C$7,(BW89)+IF(AND(Motore_Operativo!C90&gt;=EDATE(Parametri_v3!$C$24,Ipotesi!D14*12),Motore_Operativo!C90&lt;EDATE(Parametri_v3!$C$24,Parametri_v3!$C$25+Ipotesi!D14*12)),MAX(0,(IF(26-(INT((Ipotesi!$C$91)/30))&lt;1,0,INDEX(Motore_Operativo!$BN$65:$BN$124,MAX(1,26-(INT((Ipotesi!$C$91)/30)))))*(1-(MOD((Ipotesi!$C$91),30)/30))+IF(26-(INT((Ipotesi!$C$91)/30))-1&lt;1,0,INDEX(Motore_Operativo!$BN$65:$BN$124,MAX(1,26-(INT((Ipotesi!$C$91)/30))-1)))*(MOD((Ipotesi!$C$91),30)/30)))*Piano_SS!$D$7,0))</f>
        <v>30769.4131206034</v>
      </c>
      <c r="BX90" s="15" t="n">
        <f aca="false">MIN(Piano_SS!$C$8,(BX89)+IF(AND(Motore_Operativo!C90&gt;=EDATE(Parametri_v3!$C$24,Ipotesi!D14*12),Motore_Operativo!C90&lt;EDATE(Parametri_v3!$C$24,Parametri_v3!$C$25+Ipotesi!D14*12)),MAX(0,Motore_Operativo!CE90)*Piano_SS!$D$8,0))</f>
        <v>40000</v>
      </c>
      <c r="BY90" s="15" t="n">
        <f aca="false">MIN(Piano_SS!$C$9,(BY89)+IF(AND(Motore_Operativo!C90&gt;=EDATE(Parametri_v3!$C$24,Ipotesi!D14*12),Motore_Operativo!C90&lt;EDATE(Parametri_v3!$C$24,Parametri_v3!$C$25+Ipotesi!D14*12)),MAX(0,((IF(26-(INT((Ipotesi!$C$91)/30))&lt;1,0,INDEX(Motore_Operativo!$BQ$65:$BQ$124,MAX(1,26-(INT((Ipotesi!$C$91)/30)))))*(1-(MOD((Ipotesi!$C$91),30)/30))+IF(26-(INT((Ipotesi!$C$91)/30))-1&lt;1,0,INDEX(Motore_Operativo!$BQ$65:$BQ$124,MAX(1,26-(INT((Ipotesi!$C$91)/30))-1)))*(MOD((Ipotesi!$C$91),30)/30))+(IF(26-(INT((Ipotesi!$C$91)/30))&lt;1,0,INDEX(Motore_Operativo!$BR$65:$BR$124,MAX(1,26-(INT((Ipotesi!$C$91)/30)))))*(1-(MOD((Ipotesi!$C$91),30)/30))+IF(26-(INT((Ipotesi!$C$91)/30))-1&lt;1,0,INDEX(Motore_Operativo!$BR$65:$BR$124,MAX(1,26-(INT((Ipotesi!$C$91)/30))-1)))*(MOD((Ipotesi!$C$91),30)/30))))*Piano_SS!$D$9,0))</f>
        <v>40000</v>
      </c>
      <c r="BZ90" s="15" t="n">
        <f aca="false">MIN(Piano_SS!$C$10,(BZ89)+IF(AND(Motore_Operativo!C90&gt;=EDATE(Parametri_v3!$C$24,Ipotesi!D14*12),Motore_Operativo!C90&lt;EDATE(Parametri_v3!$C$24,Parametri_v3!$C$25+Ipotesi!D14*12)),MAX(0,(IF(26-(INT((Ipotesi!$C$91)/30))&lt;1,0,INDEX(Motore_Operativo!$BO$65:$BO$124,MAX(1,26-(INT((Ipotesi!$C$91)/30)))))*(1-(MOD((Ipotesi!$C$91),30)/30))+IF(26-(INT((Ipotesi!$C$91)/30))-1&lt;1,0,INDEX(Motore_Operativo!$BO$65:$BO$124,MAX(1,26-(INT((Ipotesi!$C$91)/30))-1)))*(MOD((Ipotesi!$C$91),30)/30)))*Piano_SS!$D$10,0))</f>
        <v>30000</v>
      </c>
      <c r="CA90" s="15" t="n">
        <f aca="false">SUM(BV90:BZ90)</f>
        <v>365597.283953937</v>
      </c>
      <c r="CB90" s="15" t="n">
        <f aca="false">BV90*(1-Piano_SS!$E$6)+BW90*(1-Piano_SS!$E$7)+BX90*(1-Piano_SS!$E$8)+BY90*(1-Piano_SS!$E$9)+BZ90*(1-Piano_SS!$E$10)</f>
        <v>335597.283953937</v>
      </c>
      <c r="CC90" s="15" t="n">
        <f aca="false">(CC89)+BA90</f>
        <v>280000</v>
      </c>
      <c r="CD90" s="15" t="n">
        <f aca="false">IF(CA90=0,0,CC90*CB90/CA90*Ipotesi!$C$103*Parametri_v3!$C$64)</f>
        <v>77107.1697996599</v>
      </c>
      <c r="CE90" s="18" t="n">
        <f aca="false">IF(BA90&gt;0,Motore_Operativo!C90,(CE89))</f>
        <v>47150</v>
      </c>
      <c r="CF90" s="18" t="n">
        <f aca="false">IF(AND(CC90&gt;0,OR(CC90&gt;=CG90-0.01,Motore_Operativo!C90&gt;=EDATE(MAX(Finanziamenti!$D$15:$D$17),Ipotesi!D14*12))),CE90,0)</f>
        <v>0</v>
      </c>
      <c r="CG90" s="15" t="n">
        <f aca="false">IF(AND(2&lt;&gt;6,2&lt;&gt;9,Finanziamenti!$F$11=1,OR(Parametri_v3!$C$6=0,Finanziamenti!$E$11=1)),MIN(Finanziamenti!$C$11,Piano_SS!$C$12*Ipotesi!$C$102),0)</f>
        <v>400000</v>
      </c>
      <c r="CH90" s="15" t="n">
        <f aca="false">IF(AND(AND(2&lt;&gt;8,2&lt;&gt;9,Finanziamenti!$F$10=1,OR(Parametri_v3!$C$6=0,Finanziamenti!$E$10=1)),Motore_Operativo!C90&gt;=Finanziamenti!$D$10,Motore_Operativo!C90&lt;Parametri_v3!$C$63),Finanziamenti!$C$10,0)</f>
        <v>150000</v>
      </c>
    </row>
    <row r="91" customFormat="false" ht="18" hidden="false" customHeight="true" outlineLevel="0" collapsed="false">
      <c r="A91" s="68" t="n">
        <f aca="false">2</f>
        <v>2</v>
      </c>
      <c r="B91" s="68" t="n">
        <f aca="false">27</f>
        <v>27</v>
      </c>
      <c r="C91" s="18" t="n">
        <f aca="false">Motore_Operativo!C91</f>
        <v>47178</v>
      </c>
      <c r="D91" s="68" t="n">
        <f aca="false">Motore_Operativo!D91</f>
        <v>2029</v>
      </c>
      <c r="E91" s="68" t="n">
        <f aca="false">Motore_Operativo!E91</f>
        <v>3</v>
      </c>
      <c r="F91" s="15" t="n">
        <f aca="false">Motore_Operativo!AQ91+Motore_Operativo!BF91</f>
        <v>58267.6757814814</v>
      </c>
      <c r="G91" s="15" t="n">
        <f aca="false">Motore_Operativo!BH91</f>
        <v>6050</v>
      </c>
      <c r="H91" s="15" t="n">
        <f aca="false">Motore_Operativo!BI91</f>
        <v>64317.6757814814</v>
      </c>
      <c r="I91" s="15" t="n">
        <f aca="false">Motore_Operativo!CA91</f>
        <v>115491.807942741</v>
      </c>
      <c r="J91" s="15" t="n">
        <f aca="false">Motore_Operativo!CC91</f>
        <v>-51174.1321612593</v>
      </c>
      <c r="K91" s="15" t="n">
        <f aca="false">Motore_Operativo!CE91</f>
        <v>2500</v>
      </c>
      <c r="L91" s="15" t="n">
        <f aca="false">SUM(INDEX($K$65:$K$124,MAX(1,27-Parametri_v3!$C$59+1)):K91)/Parametri_v3!$C$59</f>
        <v>1458.33333333333</v>
      </c>
      <c r="M91" s="15" t="n">
        <f aca="false">J91-L91</f>
        <v>-52632.4654945927</v>
      </c>
      <c r="N91" s="15" t="n">
        <f aca="false">CD91-(CD90)</f>
        <v>518.681990197467</v>
      </c>
      <c r="O91" s="15" t="n">
        <f aca="false">(BG90)*Ipotesi!$C$110/12+CH91*Parametri_v3!$C$39/12</f>
        <v>309.409432461976</v>
      </c>
      <c r="P91" s="15" t="n">
        <f aca="false">M91+N91-O91</f>
        <v>-52423.1929368572</v>
      </c>
      <c r="Q91" s="15" t="n">
        <f aca="false">SUM(P89:P91)+Parametri_v3!$C$54*3/12</f>
        <v>-148618.96350894</v>
      </c>
      <c r="R91" s="15" t="n">
        <f aca="false">Z88</f>
        <v>500427.385433689</v>
      </c>
      <c r="S91" s="15" t="n">
        <f aca="false">AA88</f>
        <v>0</v>
      </c>
      <c r="T91" s="15" t="n">
        <f aca="false">MIN(R91,MAX(0,Q91))</f>
        <v>0</v>
      </c>
      <c r="U91" s="15" t="n">
        <f aca="false">MIN(S91,MAX(0,Q91-T91)*Parametri_v3!$C$42)</f>
        <v>0</v>
      </c>
      <c r="V91" s="15" t="n">
        <f aca="false">MAX(0,Q91-T91-U91)*Ipotesi!$C$92</f>
        <v>0</v>
      </c>
      <c r="W91" s="15" t="n">
        <f aca="false">MAX(0,SUM(M89:M91)+Parametri_v3!$C$55*3/12)*Ipotesi!$C$93</f>
        <v>0</v>
      </c>
      <c r="X91" s="15" t="n">
        <f aca="false">V91+W91-(V90+W90)</f>
        <v>0</v>
      </c>
      <c r="Y91" s="15" t="n">
        <f aca="false">P91-X91</f>
        <v>-52423.1929368572</v>
      </c>
      <c r="Z91" s="15" t="n">
        <f aca="false">R91-T91+IF(AND(Parametri_v3!$C$40=1,D91-YEAR(Parametri_v3!$C$50)&lt;Parametri_v3!$C$41),MAX(0,-Q91),0)</f>
        <v>649046.348942628</v>
      </c>
      <c r="AA91" s="15" t="n">
        <f aca="false">S91-U91+IF(AND(Parametri_v3!$C$40=1,D91-YEAR(Parametri_v3!$C$50)&lt;Parametri_v3!$C$41),0,MAX(0,-Q91))</f>
        <v>0</v>
      </c>
      <c r="AB91" s="15" t="n">
        <f aca="false">F91*(1+Parametri_v3!$C$26)</f>
        <v>71086.5644534073</v>
      </c>
      <c r="AC91" s="15" t="n">
        <f aca="false">(IF(27-(INT((Motore_Operativo!L91)/30))&lt;1,0,INDEX(Motore_Startup!$AB$65:$AB$124,MAX(1,27-(INT((Motore_Operativo!L91)/30)))))*(1-(MOD((Motore_Operativo!L91),30)/30))+IF(27-(INT((Motore_Operativo!L91)/30))-1&lt;1,0,INDEX(Motore_Startup!$AB$65:$AB$124,MAX(1,27-(INT((Motore_Operativo!L91)/30))-1)))*(MOD((Motore_Operativo!L91),30)/30))</f>
        <v>38818.6776030012</v>
      </c>
      <c r="AD91" s="15" t="n">
        <f aca="false">(AD90)+AB91-AC91</f>
        <v>210864.564516472</v>
      </c>
      <c r="AE91" s="15" t="n">
        <f aca="false">Motore_Operativo!BH91*(1+Parametri_v3!$C$26)</f>
        <v>7381</v>
      </c>
      <c r="AF91" s="15" t="n">
        <f aca="false">(IF(27-(INT((Parametri_v3!$C$29)/30))&lt;1,0,INDEX(Motore_Operativo!$BH$65:$BH$124,MAX(1,27-(INT((Parametri_v3!$C$29)/30)))))*(1-(MOD((Parametri_v3!$C$29),30)/30))+IF(27-(INT((Parametri_v3!$C$29)/30))-1&lt;1,0,INDEX(Motore_Operativo!$BH$65:$BH$124,MAX(1,27-(INT((Parametri_v3!$C$29)/30))-1)))*(MOD((Parametri_v3!$C$29),30)/30))*(1+Parametri_v3!$C$26)</f>
        <v>7381</v>
      </c>
      <c r="AG91" s="15" t="n">
        <f aca="false">(AG90)+AE91-AF91</f>
        <v>7381</v>
      </c>
      <c r="AH91" s="15" t="n">
        <f aca="false">(Motore_Operativo!CJ91)*(1+Parametri_v3!$C$27*Parametri_v3!$C$26)</f>
        <v>48925.9336946999</v>
      </c>
      <c r="AI91" s="15" t="n">
        <f aca="false">(IF(27-(INT((Ipotesi!$C$91)/30))&lt;1,0,INDEX(Motore_Startup!$AH$65:$AH$124,MAX(1,27-(INT((Ipotesi!$C$91)/30)))))*(1-(MOD((Ipotesi!$C$91),30)/30))+IF(27-(INT((Ipotesi!$C$91)/30))-1&lt;1,0,INDEX(Motore_Startup!$AH$65:$AH$124,MAX(1,27-(INT((Ipotesi!$C$91)/30))-1)))*(MOD((Ipotesi!$C$91),30)/30))</f>
        <v>48708.1163157266</v>
      </c>
      <c r="AJ91" s="15" t="n">
        <f aca="false">(AJ90)+AH91-AI91</f>
        <v>97743.4368083286</v>
      </c>
      <c r="AK91" s="15" t="n">
        <f aca="false">(F91+ Motore_Operativo!BH91-(Motore_Operativo!CJ91)*Parametri_v3!$C$27-Motore_Operativo!CE91)*Parametri_v3!$C$26</f>
        <v>5892.09625330006</v>
      </c>
      <c r="AL91" s="15" t="n">
        <f aca="false">MAX(0,(AM90))</f>
        <v>5765.63088307964</v>
      </c>
      <c r="AM91" s="15" t="n">
        <f aca="false">(AM90)+AK91-AL91</f>
        <v>5892.09625330006</v>
      </c>
      <c r="AN91" s="15" t="n">
        <f aca="false">SUM(X77:X88)</f>
        <v>0</v>
      </c>
      <c r="AO91" s="15" t="n">
        <f aca="false">SUM(AP77:AP88)</f>
        <v>0</v>
      </c>
      <c r="AP91" s="15" t="n">
        <f aca="false">MAX(0,AN91)*IF(3=Parametri_v3!$C$43,Parametri_v3!$C$45,IF(3=Parametri_v3!$C$44,1-Parametri_v3!$C$45,0))</f>
        <v>0</v>
      </c>
      <c r="AQ91" s="15" t="n">
        <f aca="false">MAX(0,AP91+IF(3=Parametri_v3!$C$43,MAX(0,AN91-AO91),0)-MAX(0,-(AR90)))</f>
        <v>0</v>
      </c>
      <c r="AR91" s="15" t="n">
        <f aca="false">(AR90)+X91-AQ91</f>
        <v>0</v>
      </c>
      <c r="AS91" s="15" t="n">
        <f aca="false">Motore_Operativo!AB91-AT91+AU91</f>
        <v>70559.9833333333</v>
      </c>
      <c r="AT91" s="15" t="n">
        <f aca="false">Motore_Operativo!CH91</f>
        <v>3713.68333333333</v>
      </c>
      <c r="AU91" s="15" t="n">
        <f aca="false">MIN(MAX(0,(AV90)+AT91),Parametri_v3!$C$60/12)</f>
        <v>0</v>
      </c>
      <c r="AV91" s="15" t="n">
        <f aca="false">(AV90)+AT91-AU91</f>
        <v>45748.55</v>
      </c>
      <c r="AW91" s="15" t="n">
        <f aca="false">IF(AND(Motore_Operativo!C91=Finanziamenti!$D$6,Finanziamenti!$F$6=1),Finanziamenti!$C$6,0)</f>
        <v>0</v>
      </c>
      <c r="AX91" s="15" t="n">
        <f aca="false">IF(AND(2&lt;&gt;7,2&lt;&gt;9,Finanziamenti!$F$8=1,OR(Parametri_v3!$C$6=0,Finanziamenti!$E$8=1),Motore_Operativo!C91=EDATE(Finanziamenti!$D$8,Ipotesi!D15*12)),Finanziamenti!$C$8*1,0)+IF(AND(2&lt;&gt;7,2&lt;&gt;9,Finanziamenti!$F$9=1,OR(Parametri_v3!$C$6=0,Finanziamenti!$E$9=1),Motore_Operativo!C91=EDATE(Finanziamenti!$D$9,Ipotesi!D15*12)),Finanziamenti!$C$9*Ipotesi!D16,0)</f>
        <v>0</v>
      </c>
      <c r="AY91" s="15" t="n">
        <f aca="false">0</f>
        <v>0</v>
      </c>
      <c r="AZ91" s="15" t="n">
        <f aca="false">Motore_Advisory!AY91*(1-Ipotesi!$C$95)*Ipotesi!$C$96</f>
        <v>0</v>
      </c>
      <c r="BA91" s="15" t="n">
        <f aca="false">MAX(0,MIN(CG91*MIN(1,IF(Motore_Operativo!C91&gt;=EDATE(Finanziamenti!$D$15,Ipotesi!D14*12),Finanziamenti!$C$15,0)+IF(Motore_Operativo!C91&gt;=EDATE(Finanziamenti!$D$16,Ipotesi!D14*12),Finanziamenti!$C$16,0)+IF(Motore_Operativo!C91&gt;=EDATE(Finanziamenti!$D$17,Ipotesi!D14*12),Finanziamenti!$C$17,0)),CA91*Ipotesi!$C$102)-(CC90))</f>
        <v>0</v>
      </c>
      <c r="BB91" s="15" t="n">
        <f aca="false">IF(AND(CF91&gt;0,Motore_Operativo!C91&gt;=IF(CF91=0,0,EDATE(CF91,Parametri_v3!$C$37)),MOD(((D91-YEAR(IF(CF91=0,0,EDATE(CF91,Parametri_v3!$C$37))))*12+E91-MONTH(IF(CF91=0,0,EDATE(CF91,Parametri_v3!$C$37)))),Parametri_v3!$C$38)=0),MIN(MAX(0,(BC90)+BA91-N91),(CC91-CD91)/(Ipotesi!$C$108*12/Parametri_v3!$C$38)),0)</f>
        <v>0</v>
      </c>
      <c r="BC91" s="15" t="n">
        <f aca="false">(BC90)+BA91-N91-BB91</f>
        <v>202374.148210143</v>
      </c>
      <c r="BD91" s="15" t="n">
        <f aca="false">(BH90)+AC91+AF91-AI91-AS91-K91*(1+Parametri_v3!$C$26)-AL91-AQ91-O91+AW91+AX91+AZ91+BA91-BB91</f>
        <v>-57193.4623616003</v>
      </c>
      <c r="BE91" s="15" t="n">
        <f aca="false">MAX(0,MIN(MAX(0,CH91-(BG90)),Parametri_v3!$C$30-BD91))</f>
        <v>82193.4623616003</v>
      </c>
      <c r="BF91" s="15" t="n">
        <f aca="false">IF(Motore_Operativo!C91&gt;=Parametri_v3!$C$63,(BG90),MIN((BG90),MAX(0,BD91-Parametri_v3!$C$30)))</f>
        <v>0</v>
      </c>
      <c r="BG91" s="15" t="n">
        <f aca="false">(BG90)+BE91-BF91</f>
        <v>144075.348853996</v>
      </c>
      <c r="BH91" s="15" t="n">
        <f aca="false">BD91+BE91-BF91-AY91</f>
        <v>25000</v>
      </c>
      <c r="BI91" s="15" t="n">
        <f aca="false">MAX(0,Parametri_v3!$C$30-BH91)</f>
        <v>0</v>
      </c>
      <c r="BJ91" s="15" t="n">
        <f aca="false">(BJ90)+K91</f>
        <v>52500</v>
      </c>
      <c r="BK91" s="15" t="n">
        <f aca="false">(BK90)+L91</f>
        <v>18958.3333333333</v>
      </c>
      <c r="BL91" s="15" t="n">
        <f aca="false">BJ91-BK91</f>
        <v>33541.6666666667</v>
      </c>
      <c r="BM91" s="15" t="n">
        <f aca="false">(BM90)+Y91</f>
        <v>-649046.348942628</v>
      </c>
      <c r="BN91" s="15" t="n">
        <f aca="false">(BN90)+AW91+AX91+AZ91</f>
        <v>430000</v>
      </c>
      <c r="BO91" s="15" t="n">
        <f aca="false">(BO90)+AY91</f>
        <v>0</v>
      </c>
      <c r="BP91" s="15" t="n">
        <f aca="false">0</f>
        <v>0</v>
      </c>
      <c r="BQ91" s="15" t="n">
        <f aca="false">BN91+BM91-BO91</f>
        <v>-219046.348942628</v>
      </c>
      <c r="BR91" s="15" t="n">
        <f aca="false">BH91+AD91+BL91+MAX(0,-AM91)+MAX(0,-AR91)+AG91</f>
        <v>276787.231183139</v>
      </c>
      <c r="BS91" s="15" t="n">
        <f aca="false">AJ91+AV91+MAX(0,AM91)+MAX(0,AR91)+BC91+BG91+BQ91</f>
        <v>276787.231183139</v>
      </c>
      <c r="BT91" s="15" t="n">
        <f aca="false">BR91-BS91</f>
        <v>0</v>
      </c>
      <c r="BU91" s="15" t="n">
        <f aca="false">BH91-(BD91+BE91-BF91-AY91)</f>
        <v>0</v>
      </c>
      <c r="BV91" s="15" t="n">
        <f aca="false">MIN(Piano_SS!$C$6,(BV90)+IF(AND(Motore_Operativo!C91&gt;=EDATE(Parametri_v3!$C$24,Ipotesi!D14*12),Motore_Operativo!C91&lt;EDATE(Parametri_v3!$C$24,Parametri_v3!$C$25+Ipotesi!D14*12)),MAX(0,(Motore_Operativo!Y91+Motore_Operativo!X91*Parametri_v3!$C$14)*(1-Parametri_v3!$C$32))*Piano_SS!$D$6,0))</f>
        <v>249604.30625</v>
      </c>
      <c r="BW91" s="15" t="n">
        <f aca="false">MIN(Piano_SS!$C$7,(BW90)+IF(AND(Motore_Operativo!C91&gt;=EDATE(Parametri_v3!$C$24,Ipotesi!D14*12),Motore_Operativo!C91&lt;EDATE(Parametri_v3!$C$24,Parametri_v3!$C$25+Ipotesi!D14*12)),MAX(0,(IF(27-(INT((Ipotesi!$C$91)/30))&lt;1,0,INDEX(Motore_Operativo!$BN$65:$BN$124,MAX(1,27-(INT((Ipotesi!$C$91)/30)))))*(1-(MOD((Ipotesi!$C$91),30)/30))+IF(27-(INT((Ipotesi!$C$91)/30))-1&lt;1,0,INDEX(Motore_Operativo!$BN$65:$BN$124,MAX(1,27-(INT((Ipotesi!$C$91)/30))-1)))*(MOD((Ipotesi!$C$91),30)/30)))*Piano_SS!$D$7,0))</f>
        <v>33242.6353209773</v>
      </c>
      <c r="BX91" s="15" t="n">
        <f aca="false">MIN(Piano_SS!$C$8,(BX90)+IF(AND(Motore_Operativo!C91&gt;=EDATE(Parametri_v3!$C$24,Ipotesi!D14*12),Motore_Operativo!C91&lt;EDATE(Parametri_v3!$C$24,Parametri_v3!$C$25+Ipotesi!D14*12)),MAX(0,Motore_Operativo!CE91)*Piano_SS!$D$8,0))</f>
        <v>42500</v>
      </c>
      <c r="BY91" s="15" t="n">
        <f aca="false">MIN(Piano_SS!$C$9,(BY90)+IF(AND(Motore_Operativo!C91&gt;=EDATE(Parametri_v3!$C$24,Ipotesi!D14*12),Motore_Operativo!C91&lt;EDATE(Parametri_v3!$C$24,Parametri_v3!$C$25+Ipotesi!D14*12)),MAX(0,((IF(27-(INT((Ipotesi!$C$91)/30))&lt;1,0,INDEX(Motore_Operativo!$BQ$65:$BQ$124,MAX(1,27-(INT((Ipotesi!$C$91)/30)))))*(1-(MOD((Ipotesi!$C$91),30)/30))+IF(27-(INT((Ipotesi!$C$91)/30))-1&lt;1,0,INDEX(Motore_Operativo!$BQ$65:$BQ$124,MAX(1,27-(INT((Ipotesi!$C$91)/30))-1)))*(MOD((Ipotesi!$C$91),30)/30))+(IF(27-(INT((Ipotesi!$C$91)/30))&lt;1,0,INDEX(Motore_Operativo!$BR$65:$BR$124,MAX(1,27-(INT((Ipotesi!$C$91)/30)))))*(1-(MOD((Ipotesi!$C$91),30)/30))+IF(27-(INT((Ipotesi!$C$91)/30))-1&lt;1,0,INDEX(Motore_Operativo!$BR$65:$BR$124,MAX(1,27-(INT((Ipotesi!$C$91)/30))-1)))*(MOD((Ipotesi!$C$91),30)/30))))*Piano_SS!$D$9,0))</f>
        <v>40000</v>
      </c>
      <c r="BZ91" s="15" t="n">
        <f aca="false">MIN(Piano_SS!$C$10,(BZ90)+IF(AND(Motore_Operativo!C91&gt;=EDATE(Parametri_v3!$C$24,Ipotesi!D14*12),Motore_Operativo!C91&lt;EDATE(Parametri_v3!$C$24,Parametri_v3!$C$25+Ipotesi!D14*12)),MAX(0,(IF(27-(INT((Ipotesi!$C$91)/30))&lt;1,0,INDEX(Motore_Operativo!$BO$65:$BO$124,MAX(1,27-(INT((Ipotesi!$C$91)/30)))))*(1-(MOD((Ipotesi!$C$91),30)/30))+IF(27-(INT((Ipotesi!$C$91)/30))-1&lt;1,0,INDEX(Motore_Operativo!$BO$65:$BO$124,MAX(1,27-(INT((Ipotesi!$C$91)/30))-1)))*(MOD((Ipotesi!$C$91),30)/30)))*Piano_SS!$D$10,0))</f>
        <v>30000</v>
      </c>
      <c r="CA91" s="15" t="n">
        <f aca="false">SUM(BV91:BZ91)</f>
        <v>395346.941570977</v>
      </c>
      <c r="CB91" s="15" t="n">
        <f aca="false">BV91*(1-Piano_SS!$E$6)+BW91*(1-Piano_SS!$E$7)+BX91*(1-Piano_SS!$E$8)+BY91*(1-Piano_SS!$E$9)+BZ91*(1-Piano_SS!$E$10)</f>
        <v>365346.941570977</v>
      </c>
      <c r="CC91" s="15" t="n">
        <f aca="false">(CC90)+BA91</f>
        <v>280000</v>
      </c>
      <c r="CD91" s="15" t="n">
        <f aca="false">IF(CA91=0,0,CC91*CB91/CA91*Ipotesi!$C$103*Parametri_v3!$C$64)</f>
        <v>77625.8517898574</v>
      </c>
      <c r="CE91" s="18" t="n">
        <f aca="false">IF(BA91&gt;0,Motore_Operativo!C91,(CE90))</f>
        <v>47150</v>
      </c>
      <c r="CF91" s="18" t="n">
        <f aca="false">IF(AND(CC91&gt;0,OR(CC91&gt;=CG91-0.01,Motore_Operativo!C91&gt;=EDATE(MAX(Finanziamenti!$D$15:$D$17),Ipotesi!D14*12))),CE91,0)</f>
        <v>0</v>
      </c>
      <c r="CG91" s="15" t="n">
        <f aca="false">IF(AND(2&lt;&gt;6,2&lt;&gt;9,Finanziamenti!$F$11=1,OR(Parametri_v3!$C$6=0,Finanziamenti!$E$11=1)),MIN(Finanziamenti!$C$11,Piano_SS!$C$12*Ipotesi!$C$102),0)</f>
        <v>400000</v>
      </c>
      <c r="CH91" s="15" t="n">
        <f aca="false">IF(AND(AND(2&lt;&gt;8,2&lt;&gt;9,Finanziamenti!$F$10=1,OR(Parametri_v3!$C$6=0,Finanziamenti!$E$10=1)),Motore_Operativo!C91&gt;=Finanziamenti!$D$10,Motore_Operativo!C91&lt;Parametri_v3!$C$63),Finanziamenti!$C$10,0)</f>
        <v>150000</v>
      </c>
    </row>
    <row r="92" customFormat="false" ht="18" hidden="false" customHeight="true" outlineLevel="0" collapsed="false">
      <c r="A92" s="68" t="n">
        <f aca="false">2</f>
        <v>2</v>
      </c>
      <c r="B92" s="68" t="n">
        <f aca="false">28</f>
        <v>28</v>
      </c>
      <c r="C92" s="18" t="n">
        <f aca="false">Motore_Operativo!C92</f>
        <v>47209</v>
      </c>
      <c r="D92" s="68" t="n">
        <f aca="false">Motore_Operativo!D92</f>
        <v>2029</v>
      </c>
      <c r="E92" s="68" t="n">
        <f aca="false">Motore_Operativo!E92</f>
        <v>4</v>
      </c>
      <c r="F92" s="15" t="n">
        <f aca="false">Motore_Operativo!AQ92+Motore_Operativo!BF92</f>
        <v>59945.7332669554</v>
      </c>
      <c r="G92" s="15" t="n">
        <f aca="false">Motore_Operativo!BH92</f>
        <v>6050</v>
      </c>
      <c r="H92" s="15" t="n">
        <f aca="false">Motore_Operativo!BI92</f>
        <v>65995.7332669555</v>
      </c>
      <c r="I92" s="15" t="n">
        <f aca="false">Motore_Operativo!CA92</f>
        <v>115726.735990707</v>
      </c>
      <c r="J92" s="15" t="n">
        <f aca="false">Motore_Operativo!CC92</f>
        <v>-49731.0027237517</v>
      </c>
      <c r="K92" s="15" t="n">
        <f aca="false">Motore_Operativo!CE92</f>
        <v>2500</v>
      </c>
      <c r="L92" s="15" t="n">
        <f aca="false">SUM(INDEX($K$65:$K$124,MAX(1,28-Parametri_v3!$C$59+1)):K92)/Parametri_v3!$C$59</f>
        <v>1527.77777777778</v>
      </c>
      <c r="M92" s="15" t="n">
        <f aca="false">J92-L92</f>
        <v>-51258.7805015294</v>
      </c>
      <c r="N92" s="15" t="n">
        <f aca="false">CD92-(CD91)</f>
        <v>446.818104475213</v>
      </c>
      <c r="O92" s="15" t="n">
        <f aca="false">(BG91)*Ipotesi!$C$110/12+CH92*Parametri_v3!$C$39/12</f>
        <v>720.376744269977</v>
      </c>
      <c r="P92" s="15" t="n">
        <f aca="false">M92+N92-O92</f>
        <v>-51532.3391413242</v>
      </c>
      <c r="Q92" s="15" t="n">
        <f aca="false">SUM(P89:P92)+Parametri_v3!$C$54*4/12</f>
        <v>-200151.302650264</v>
      </c>
      <c r="R92" s="15" t="n">
        <f aca="false">Z88</f>
        <v>500427.385433689</v>
      </c>
      <c r="S92" s="15" t="n">
        <f aca="false">AA88</f>
        <v>0</v>
      </c>
      <c r="T92" s="15" t="n">
        <f aca="false">MIN(R92,MAX(0,Q92))</f>
        <v>0</v>
      </c>
      <c r="U92" s="15" t="n">
        <f aca="false">MIN(S92,MAX(0,Q92-T92)*Parametri_v3!$C$42)</f>
        <v>0</v>
      </c>
      <c r="V92" s="15" t="n">
        <f aca="false">MAX(0,Q92-T92-U92)*Ipotesi!$C$92</f>
        <v>0</v>
      </c>
      <c r="W92" s="15" t="n">
        <f aca="false">MAX(0,SUM(M89:M92)+Parametri_v3!$C$55*4/12)*Ipotesi!$C$93</f>
        <v>0</v>
      </c>
      <c r="X92" s="15" t="n">
        <f aca="false">V92+W92-(V91+W91)</f>
        <v>0</v>
      </c>
      <c r="Y92" s="15" t="n">
        <f aca="false">P92-X92</f>
        <v>-51532.3391413242</v>
      </c>
      <c r="Z92" s="15" t="n">
        <f aca="false">R92-T92+IF(AND(Parametri_v3!$C$40=1,D92-YEAR(Parametri_v3!$C$50)&lt;Parametri_v3!$C$41),MAX(0,-Q92),0)</f>
        <v>700578.688083952</v>
      </c>
      <c r="AA92" s="15" t="n">
        <f aca="false">S92-U92+IF(AND(Parametri_v3!$C$40=1,D92-YEAR(Parametri_v3!$C$50)&lt;Parametri_v3!$C$41),0,MAX(0,-Q92))</f>
        <v>0</v>
      </c>
      <c r="AB92" s="15" t="n">
        <f aca="false">F92*(1+Parametri_v3!$C$26)</f>
        <v>73133.7945856856</v>
      </c>
      <c r="AC92" s="15" t="n">
        <f aca="false">(IF(28-(INT((Motore_Operativo!L92)/30))&lt;1,0,INDEX(Motore_Startup!$AB$65:$AB$124,MAX(1,28-(INT((Motore_Operativo!L92)/30)))))*(1-(MOD((Motore_Operativo!L92),30)/30))+IF(28-(INT((Motore_Operativo!L92)/30))-1&lt;1,0,INDEX(Motore_Startup!$AB$65:$AB$124,MAX(1,28-(INT((Motore_Operativo!L92)/30))-1)))*(MOD((Motore_Operativo!L92),30)/30))</f>
        <v>69487.4718890345</v>
      </c>
      <c r="AD92" s="15" t="n">
        <f aca="false">(AD91)+AB92-AC92</f>
        <v>214510.887213123</v>
      </c>
      <c r="AE92" s="15" t="n">
        <f aca="false">Motore_Operativo!BH92*(1+Parametri_v3!$C$26)</f>
        <v>7381</v>
      </c>
      <c r="AF92" s="15" t="n">
        <f aca="false">(IF(28-(INT((Parametri_v3!$C$29)/30))&lt;1,0,INDEX(Motore_Operativo!$BH$65:$BH$124,MAX(1,28-(INT((Parametri_v3!$C$29)/30)))))*(1-(MOD((Parametri_v3!$C$29),30)/30))+IF(28-(INT((Parametri_v3!$C$29)/30))-1&lt;1,0,INDEX(Motore_Operativo!$BH$65:$BH$124,MAX(1,28-(INT((Parametri_v3!$C$29)/30))-1)))*(MOD((Parametri_v3!$C$29),30)/30))*(1+Parametri_v3!$C$26)</f>
        <v>7381</v>
      </c>
      <c r="AG92" s="15" t="n">
        <f aca="false">(AG91)+AE92-AF92</f>
        <v>7381</v>
      </c>
      <c r="AH92" s="15" t="n">
        <f aca="false">(Motore_Operativo!CJ92)*(1+Parametri_v3!$C$27*Parametri_v3!$C$26)</f>
        <v>49204.793287636</v>
      </c>
      <c r="AI92" s="15" t="n">
        <f aca="false">(IF(28-(INT((Ipotesi!$C$91)/30))&lt;1,0,INDEX(Motore_Startup!$AH$65:$AH$124,MAX(1,28-(INT((Ipotesi!$C$91)/30)))))*(1-(MOD((Ipotesi!$C$91),30)/30))+IF(28-(INT((Ipotesi!$C$91)/30))-1&lt;1,0,INDEX(Motore_Startup!$AH$65:$AH$124,MAX(1,28-(INT((Ipotesi!$C$91)/30))-1)))*(MOD((Ipotesi!$C$91),30)/30))</f>
        <v>48817.5031136287</v>
      </c>
      <c r="AJ92" s="15" t="n">
        <f aca="false">(AJ91)+AH92-AI92</f>
        <v>98130.7269823359</v>
      </c>
      <c r="AK92" s="15" t="n">
        <f aca="false">(F92+ Motore_Operativo!BH92-(Motore_Operativo!CJ92)*Parametri_v3!$C$27-Motore_Operativo!CE92)*Parametri_v3!$C$26</f>
        <v>6217.33735513464</v>
      </c>
      <c r="AL92" s="15" t="n">
        <f aca="false">MAX(0,(AM91))</f>
        <v>5892.09625330006</v>
      </c>
      <c r="AM92" s="15" t="n">
        <f aca="false">(AM91)+AK92-AL92</f>
        <v>6217.33735513464</v>
      </c>
      <c r="AN92" s="15" t="n">
        <f aca="false">SUM(X77:X88)</f>
        <v>0</v>
      </c>
      <c r="AO92" s="15" t="n">
        <f aca="false">SUM(AP77:AP88)</f>
        <v>0</v>
      </c>
      <c r="AP92" s="15" t="n">
        <f aca="false">MAX(0,AN92)*IF(4=Parametri_v3!$C$43,Parametri_v3!$C$45,IF(4=Parametri_v3!$C$44,1-Parametri_v3!$C$45,0))</f>
        <v>0</v>
      </c>
      <c r="AQ92" s="15" t="n">
        <f aca="false">MAX(0,AP92+IF(4=Parametri_v3!$C$43,MAX(0,AN92-AO92),0)-MAX(0,-(AR91)))</f>
        <v>0</v>
      </c>
      <c r="AR92" s="15" t="n">
        <f aca="false">(AR91)+X92-AQ92</f>
        <v>0</v>
      </c>
      <c r="AS92" s="15" t="n">
        <f aca="false">Motore_Operativo!AB92-AT92+AU92</f>
        <v>70559.9833333333</v>
      </c>
      <c r="AT92" s="15" t="n">
        <f aca="false">Motore_Operativo!CH92</f>
        <v>3713.68333333333</v>
      </c>
      <c r="AU92" s="15" t="n">
        <f aca="false">MIN(MAX(0,(AV91)+AT92),Parametri_v3!$C$60/12)</f>
        <v>0</v>
      </c>
      <c r="AV92" s="15" t="n">
        <f aca="false">(AV91)+AT92-AU92</f>
        <v>49462.2333333333</v>
      </c>
      <c r="AW92" s="15" t="n">
        <f aca="false">IF(AND(Motore_Operativo!C92=Finanziamenti!$D$6,Finanziamenti!$F$6=1),Finanziamenti!$C$6,0)</f>
        <v>0</v>
      </c>
      <c r="AX92" s="15" t="n">
        <f aca="false">IF(AND(2&lt;&gt;7,2&lt;&gt;9,Finanziamenti!$F$8=1,OR(Parametri_v3!$C$6=0,Finanziamenti!$E$8=1),Motore_Operativo!C92=EDATE(Finanziamenti!$D$8,Ipotesi!D15*12)),Finanziamenti!$C$8*1,0)+IF(AND(2&lt;&gt;7,2&lt;&gt;9,Finanziamenti!$F$9=1,OR(Parametri_v3!$C$6=0,Finanziamenti!$E$9=1),Motore_Operativo!C92=EDATE(Finanziamenti!$D$9,Ipotesi!D15*12)),Finanziamenti!$C$9*Ipotesi!D16,0)</f>
        <v>0</v>
      </c>
      <c r="AY92" s="15" t="n">
        <f aca="false">0</f>
        <v>0</v>
      </c>
      <c r="AZ92" s="15" t="n">
        <f aca="false">Motore_Advisory!AY92*(1-Ipotesi!$C$95)*Ipotesi!$C$96</f>
        <v>0</v>
      </c>
      <c r="BA92" s="15" t="n">
        <f aca="false">MAX(0,MIN(CG92*MIN(1,IF(Motore_Operativo!C92&gt;=EDATE(Finanziamenti!$D$15,Ipotesi!D14*12),Finanziamenti!$C$15,0)+IF(Motore_Operativo!C92&gt;=EDATE(Finanziamenti!$D$16,Ipotesi!D14*12),Finanziamenti!$C$16,0)+IF(Motore_Operativo!C92&gt;=EDATE(Finanziamenti!$D$17,Ipotesi!D14*12),Finanziamenti!$C$17,0)),CA92*Ipotesi!$C$102)-(CC91))</f>
        <v>0</v>
      </c>
      <c r="BB92" s="15" t="n">
        <f aca="false">IF(AND(CF92&gt;0,Motore_Operativo!C92&gt;=IF(CF92=0,0,EDATE(CF92,Parametri_v3!$C$37)),MOD(((D92-YEAR(IF(CF92=0,0,EDATE(CF92,Parametri_v3!$C$37))))*12+E92-MONTH(IF(CF92=0,0,EDATE(CF92,Parametri_v3!$C$37)))),Parametri_v3!$C$38)=0),MIN(MAX(0,(BC91)+BA92-N92),(CC92-CD92)/(Ipotesi!$C$108*12/Parametri_v3!$C$38)),0)</f>
        <v>0</v>
      </c>
      <c r="BC92" s="15" t="n">
        <f aca="false">(BC91)+BA92-N92-BB92</f>
        <v>201927.330105667</v>
      </c>
      <c r="BD92" s="15" t="n">
        <f aca="false">(BH91)+AC92+AF92-AI92-AS92-K92*(1+Parametri_v3!$C$26)-AL92-AQ92-O92+AW92+AX92+AZ92+BA92-BB92</f>
        <v>-27171.4875554976</v>
      </c>
      <c r="BE92" s="15" t="n">
        <f aca="false">MAX(0,MIN(MAX(0,CH92-(BG91)),Parametri_v3!$C$30-BD92))</f>
        <v>5924.6511460045</v>
      </c>
      <c r="BF92" s="15" t="n">
        <f aca="false">IF(Motore_Operativo!C92&gt;=Parametri_v3!$C$63,(BG91),MIN((BG91),MAX(0,BD92-Parametri_v3!$C$30)))</f>
        <v>0</v>
      </c>
      <c r="BG92" s="15" t="n">
        <f aca="false">(BG91)+BE92-BF92</f>
        <v>150000</v>
      </c>
      <c r="BH92" s="15" t="n">
        <f aca="false">BD92+BE92-BF92-AY92</f>
        <v>-21246.8364094931</v>
      </c>
      <c r="BI92" s="15" t="n">
        <f aca="false">MAX(0,Parametri_v3!$C$30-BH92)</f>
        <v>46246.8364094931</v>
      </c>
      <c r="BJ92" s="15" t="n">
        <f aca="false">(BJ91)+K92</f>
        <v>55000</v>
      </c>
      <c r="BK92" s="15" t="n">
        <f aca="false">(BK91)+L92</f>
        <v>20486.1111111111</v>
      </c>
      <c r="BL92" s="15" t="n">
        <f aca="false">BJ92-BK92</f>
        <v>34513.8888888889</v>
      </c>
      <c r="BM92" s="15" t="n">
        <f aca="false">(BM91)+Y92</f>
        <v>-700578.688083952</v>
      </c>
      <c r="BN92" s="15" t="n">
        <f aca="false">(BN91)+AW92+AX92+AZ92</f>
        <v>430000</v>
      </c>
      <c r="BO92" s="15" t="n">
        <f aca="false">(BO91)+AY92</f>
        <v>0</v>
      </c>
      <c r="BP92" s="15" t="n">
        <f aca="false">0</f>
        <v>0</v>
      </c>
      <c r="BQ92" s="15" t="n">
        <f aca="false">BN92+BM92-BO92</f>
        <v>-270578.688083952</v>
      </c>
      <c r="BR92" s="15" t="n">
        <f aca="false">BH92+AD92+BL92+MAX(0,-AM92)+MAX(0,-AR92)+AG92</f>
        <v>235158.939692519</v>
      </c>
      <c r="BS92" s="15" t="n">
        <f aca="false">AJ92+AV92+MAX(0,AM92)+MAX(0,AR92)+BC92+BG92+BQ92</f>
        <v>235158.939692519</v>
      </c>
      <c r="BT92" s="15" t="n">
        <f aca="false">BR92-BS92</f>
        <v>0</v>
      </c>
      <c r="BU92" s="15" t="n">
        <f aca="false">BH92-(BD92+BE92-BF92-AY92)</f>
        <v>0</v>
      </c>
      <c r="BV92" s="15" t="n">
        <f aca="false">MIN(Piano_SS!$C$6,(BV91)+IF(AND(Motore_Operativo!C92&gt;=EDATE(Parametri_v3!$C$24,Ipotesi!D14*12),Motore_Operativo!C92&lt;EDATE(Parametri_v3!$C$24,Parametri_v3!$C$25+Ipotesi!D14*12)),MAX(0,(Motore_Operativo!Y92+Motore_Operativo!X92*Parametri_v3!$C$14)*(1-Parametri_v3!$C$32))*Piano_SS!$D$6,0))</f>
        <v>274380.741666667</v>
      </c>
      <c r="BW92" s="15" t="n">
        <f aca="false">MIN(Piano_SS!$C$7,(BW91)+IF(AND(Motore_Operativo!C92&gt;=EDATE(Parametri_v3!$C$24,Ipotesi!D14*12),Motore_Operativo!C92&lt;EDATE(Parametri_v3!$C$24,Parametri_v3!$C$25+Ipotesi!D14*12)),MAX(0,(IF(28-(INT((Ipotesi!$C$91)/30))&lt;1,0,INDEX(Motore_Operativo!$BN$65:$BN$124,MAX(1,28-(INT((Ipotesi!$C$91)/30)))))*(1-(MOD((Ipotesi!$C$91),30)/30))+IF(28-(INT((Ipotesi!$C$91)/30))-1&lt;1,0,INDEX(Motore_Operativo!$BN$65:$BN$124,MAX(1,28-(INT((Ipotesi!$C$91)/30))-1)))*(MOD((Ipotesi!$C$91),30)/30)))*Piano_SS!$D$7,0))</f>
        <v>35768.5169498754</v>
      </c>
      <c r="BX92" s="15" t="n">
        <f aca="false">MIN(Piano_SS!$C$8,(BX91)+IF(AND(Motore_Operativo!C92&gt;=EDATE(Parametri_v3!$C$24,Ipotesi!D14*12),Motore_Operativo!C92&lt;EDATE(Parametri_v3!$C$24,Parametri_v3!$C$25+Ipotesi!D14*12)),MAX(0,Motore_Operativo!CE92)*Piano_SS!$D$8,0))</f>
        <v>45000</v>
      </c>
      <c r="BY92" s="15" t="n">
        <f aca="false">MIN(Piano_SS!$C$9,(BY91)+IF(AND(Motore_Operativo!C92&gt;=EDATE(Parametri_v3!$C$24,Ipotesi!D14*12),Motore_Operativo!C92&lt;EDATE(Parametri_v3!$C$24,Parametri_v3!$C$25+Ipotesi!D14*12)),MAX(0,((IF(28-(INT((Ipotesi!$C$91)/30))&lt;1,0,INDEX(Motore_Operativo!$BQ$65:$BQ$124,MAX(1,28-(INT((Ipotesi!$C$91)/30)))))*(1-(MOD((Ipotesi!$C$91),30)/30))+IF(28-(INT((Ipotesi!$C$91)/30))-1&lt;1,0,INDEX(Motore_Operativo!$BQ$65:$BQ$124,MAX(1,28-(INT((Ipotesi!$C$91)/30))-1)))*(MOD((Ipotesi!$C$91),30)/30))+(IF(28-(INT((Ipotesi!$C$91)/30))&lt;1,0,INDEX(Motore_Operativo!$BR$65:$BR$124,MAX(1,28-(INT((Ipotesi!$C$91)/30)))))*(1-(MOD((Ipotesi!$C$91),30)/30))+IF(28-(INT((Ipotesi!$C$91)/30))-1&lt;1,0,INDEX(Motore_Operativo!$BR$65:$BR$124,MAX(1,28-(INT((Ipotesi!$C$91)/30))-1)))*(MOD((Ipotesi!$C$91),30)/30))))*Piano_SS!$D$9,0))</f>
        <v>40000</v>
      </c>
      <c r="BZ92" s="15" t="n">
        <f aca="false">MIN(Piano_SS!$C$10,(BZ91)+IF(AND(Motore_Operativo!C92&gt;=EDATE(Parametri_v3!$C$24,Ipotesi!D14*12),Motore_Operativo!C92&lt;EDATE(Parametri_v3!$C$24,Parametri_v3!$C$25+Ipotesi!D14*12)),MAX(0,(IF(28-(INT((Ipotesi!$C$91)/30))&lt;1,0,INDEX(Motore_Operativo!$BO$65:$BO$124,MAX(1,28-(INT((Ipotesi!$C$91)/30)))))*(1-(MOD((Ipotesi!$C$91),30)/30))+IF(28-(INT((Ipotesi!$C$91)/30))-1&lt;1,0,INDEX(Motore_Operativo!$BO$65:$BO$124,MAX(1,28-(INT((Ipotesi!$C$91)/30))-1)))*(MOD((Ipotesi!$C$91),30)/30)))*Piano_SS!$D$10,0))</f>
        <v>30000</v>
      </c>
      <c r="CA92" s="15" t="n">
        <f aca="false">SUM(BV92:BZ92)</f>
        <v>425149.258616542</v>
      </c>
      <c r="CB92" s="15" t="n">
        <f aca="false">BV92*(1-Piano_SS!$E$6)+BW92*(1-Piano_SS!$E$7)+BX92*(1-Piano_SS!$E$8)+BY92*(1-Piano_SS!$E$9)+BZ92*(1-Piano_SS!$E$10)</f>
        <v>395149.258616542</v>
      </c>
      <c r="CC92" s="15" t="n">
        <f aca="false">(CC91)+BA92</f>
        <v>280000</v>
      </c>
      <c r="CD92" s="15" t="n">
        <f aca="false">IF(CA92=0,0,CC92*CB92/CA92*Ipotesi!$C$103*Parametri_v3!$C$64)</f>
        <v>78072.6698943326</v>
      </c>
      <c r="CE92" s="18" t="n">
        <f aca="false">IF(BA92&gt;0,Motore_Operativo!C92,(CE91))</f>
        <v>47150</v>
      </c>
      <c r="CF92" s="18" t="n">
        <f aca="false">IF(AND(CC92&gt;0,OR(CC92&gt;=CG92-0.01,Motore_Operativo!C92&gt;=EDATE(MAX(Finanziamenti!$D$15:$D$17),Ipotesi!D14*12))),CE92,0)</f>
        <v>0</v>
      </c>
      <c r="CG92" s="15" t="n">
        <f aca="false">IF(AND(2&lt;&gt;6,2&lt;&gt;9,Finanziamenti!$F$11=1,OR(Parametri_v3!$C$6=0,Finanziamenti!$E$11=1)),MIN(Finanziamenti!$C$11,Piano_SS!$C$12*Ipotesi!$C$102),0)</f>
        <v>400000</v>
      </c>
      <c r="CH92" s="15" t="n">
        <f aca="false">IF(AND(AND(2&lt;&gt;8,2&lt;&gt;9,Finanziamenti!$F$10=1,OR(Parametri_v3!$C$6=0,Finanziamenti!$E$10=1)),Motore_Operativo!C92&gt;=Finanziamenti!$D$10,Motore_Operativo!C92&lt;Parametri_v3!$C$63),Finanziamenti!$C$10,0)</f>
        <v>150000</v>
      </c>
    </row>
    <row r="93" customFormat="false" ht="18" hidden="false" customHeight="true" outlineLevel="0" collapsed="false">
      <c r="A93" s="68" t="n">
        <f aca="false">2</f>
        <v>2</v>
      </c>
      <c r="B93" s="68" t="n">
        <f aca="false">29</f>
        <v>29</v>
      </c>
      <c r="C93" s="18" t="n">
        <f aca="false">Motore_Operativo!C93</f>
        <v>47239</v>
      </c>
      <c r="D93" s="68" t="n">
        <f aca="false">Motore_Operativo!D93</f>
        <v>2029</v>
      </c>
      <c r="E93" s="68" t="n">
        <f aca="false">Motore_Operativo!E93</f>
        <v>5</v>
      </c>
      <c r="F93" s="15" t="n">
        <f aca="false">Motore_Operativo!AQ93+Motore_Operativo!BF93</f>
        <v>62640.3943614541</v>
      </c>
      <c r="G93" s="15" t="n">
        <f aca="false">Motore_Operativo!BH93</f>
        <v>6050</v>
      </c>
      <c r="H93" s="15" t="n">
        <f aca="false">Motore_Operativo!BI93</f>
        <v>68690.3943614541</v>
      </c>
      <c r="I93" s="15" t="n">
        <f aca="false">Motore_Operativo!CA93</f>
        <v>116103.988543937</v>
      </c>
      <c r="J93" s="15" t="n">
        <f aca="false">Motore_Operativo!CC93</f>
        <v>-47413.5941824828</v>
      </c>
      <c r="K93" s="15" t="n">
        <f aca="false">Motore_Operativo!CE93</f>
        <v>2500</v>
      </c>
      <c r="L93" s="15" t="n">
        <f aca="false">SUM(INDEX($K$65:$K$124,MAX(1,29-Parametri_v3!$C$59+1)):K93)/Parametri_v3!$C$59</f>
        <v>1597.22222222222</v>
      </c>
      <c r="M93" s="15" t="n">
        <f aca="false">J93-L93</f>
        <v>-49010.8164047051</v>
      </c>
      <c r="N93" s="15" t="n">
        <f aca="false">CD93-(CD92)</f>
        <v>388.914514904522</v>
      </c>
      <c r="O93" s="15" t="n">
        <f aca="false">(BG92)*Ipotesi!$C$110/12+CH93*Parametri_v3!$C$39/12</f>
        <v>750</v>
      </c>
      <c r="P93" s="15" t="n">
        <f aca="false">M93+N93-O93</f>
        <v>-49371.9018898005</v>
      </c>
      <c r="Q93" s="15" t="n">
        <f aca="false">SUM(P89:P93)+Parametri_v3!$C$54*5/12</f>
        <v>-249523.204540064</v>
      </c>
      <c r="R93" s="15" t="n">
        <f aca="false">Z88</f>
        <v>500427.385433689</v>
      </c>
      <c r="S93" s="15" t="n">
        <f aca="false">AA88</f>
        <v>0</v>
      </c>
      <c r="T93" s="15" t="n">
        <f aca="false">MIN(R93,MAX(0,Q93))</f>
        <v>0</v>
      </c>
      <c r="U93" s="15" t="n">
        <f aca="false">MIN(S93,MAX(0,Q93-T93)*Parametri_v3!$C$42)</f>
        <v>0</v>
      </c>
      <c r="V93" s="15" t="n">
        <f aca="false">MAX(0,Q93-T93-U93)*Ipotesi!$C$92</f>
        <v>0</v>
      </c>
      <c r="W93" s="15" t="n">
        <f aca="false">MAX(0,SUM(M89:M93)+Parametri_v3!$C$55*5/12)*Ipotesi!$C$93</f>
        <v>0</v>
      </c>
      <c r="X93" s="15" t="n">
        <f aca="false">V93+W93-(V92+W92)</f>
        <v>0</v>
      </c>
      <c r="Y93" s="15" t="n">
        <f aca="false">P93-X93</f>
        <v>-49371.9018898005</v>
      </c>
      <c r="Z93" s="15" t="n">
        <f aca="false">R93-T93+IF(AND(Parametri_v3!$C$40=1,D93-YEAR(Parametri_v3!$C$50)&lt;Parametri_v3!$C$41),MAX(0,-Q93),0)</f>
        <v>749950.589973753</v>
      </c>
      <c r="AA93" s="15" t="n">
        <f aca="false">S93-U93+IF(AND(Parametri_v3!$C$40=1,D93-YEAR(Parametri_v3!$C$50)&lt;Parametri_v3!$C$41),0,MAX(0,-Q93))</f>
        <v>0</v>
      </c>
      <c r="AB93" s="15" t="n">
        <f aca="false">F93*(1+Parametri_v3!$C$26)</f>
        <v>76421.281120974</v>
      </c>
      <c r="AC93" s="15" t="n">
        <f aca="false">(IF(29-(INT((Motore_Operativo!L93)/30))&lt;1,0,INDEX(Motore_Startup!$AB$65:$AB$124,MAX(1,29-(INT((Motore_Operativo!L93)/30)))))*(1-(MOD((Motore_Operativo!L93),30)/30))+IF(29-(INT((Motore_Operativo!L93)/30))-1&lt;1,0,INDEX(Motore_Startup!$AB$65:$AB$124,MAX(1,29-(INT((Motore_Operativo!L93)/30))-1)))*(MOD((Motore_Operativo!L93),30)/30))</f>
        <v>70290.52817403</v>
      </c>
      <c r="AD93" s="15" t="n">
        <f aca="false">(AD92)+AB93-AC93</f>
        <v>220641.640160067</v>
      </c>
      <c r="AE93" s="15" t="n">
        <f aca="false">Motore_Operativo!BH93*(1+Parametri_v3!$C$26)</f>
        <v>7381</v>
      </c>
      <c r="AF93" s="15" t="n">
        <f aca="false">(IF(29-(INT((Parametri_v3!$C$29)/30))&lt;1,0,INDEX(Motore_Operativo!$BH$65:$BH$124,MAX(1,29-(INT((Parametri_v3!$C$29)/30)))))*(1-(MOD((Parametri_v3!$C$29),30)/30))+IF(29-(INT((Parametri_v3!$C$29)/30))-1&lt;1,0,INDEX(Motore_Operativo!$BH$65:$BH$124,MAX(1,29-(INT((Parametri_v3!$C$29)/30))-1)))*(MOD((Parametri_v3!$C$29),30)/30))*(1+Parametri_v3!$C$26)</f>
        <v>7381</v>
      </c>
      <c r="AG93" s="15" t="n">
        <f aca="false">(AG92)+AE93-AF93</f>
        <v>7381</v>
      </c>
      <c r="AH93" s="15" t="n">
        <f aca="false">(Motore_Operativo!CJ93)*(1+Parametri_v3!$C$27*Parametri_v3!$C$26)</f>
        <v>49652.5920683198</v>
      </c>
      <c r="AI93" s="15" t="n">
        <f aca="false">(IF(29-(INT((Ipotesi!$C$91)/30))&lt;1,0,INDEX(Motore_Startup!$AH$65:$AH$124,MAX(1,29-(INT((Ipotesi!$C$91)/30)))))*(1-(MOD((Ipotesi!$C$91),30)/30))+IF(29-(INT((Ipotesi!$C$91)/30))-1&lt;1,0,INDEX(Motore_Startup!$AH$65:$AH$124,MAX(1,29-(INT((Ipotesi!$C$91)/30))-1)))*(MOD((Ipotesi!$C$91),30)/30))</f>
        <v>48925.9336946999</v>
      </c>
      <c r="AJ93" s="15" t="n">
        <f aca="false">(AJ92)+AH93-AI93</f>
        <v>98857.3853559558</v>
      </c>
      <c r="AK93" s="15" t="n">
        <f aca="false">(F93+ Motore_Operativo!BH93-(Motore_Operativo!CJ93)*Parametri_v3!$C$27-Motore_Operativo!CE93)*Parametri_v3!$C$26</f>
        <v>6739.61656847036</v>
      </c>
      <c r="AL93" s="15" t="n">
        <f aca="false">MAX(0,(AM92))</f>
        <v>6217.33735513464</v>
      </c>
      <c r="AM93" s="15" t="n">
        <f aca="false">(AM92)+AK93-AL93</f>
        <v>6739.61656847036</v>
      </c>
      <c r="AN93" s="15" t="n">
        <f aca="false">SUM(X77:X88)</f>
        <v>0</v>
      </c>
      <c r="AO93" s="15" t="n">
        <f aca="false">SUM(AP77:AP88)</f>
        <v>0</v>
      </c>
      <c r="AP93" s="15" t="n">
        <f aca="false">MAX(0,AN93)*IF(5=Parametri_v3!$C$43,Parametri_v3!$C$45,IF(5=Parametri_v3!$C$44,1-Parametri_v3!$C$45,0))</f>
        <v>0</v>
      </c>
      <c r="AQ93" s="15" t="n">
        <f aca="false">MAX(0,AP93+IF(5=Parametri_v3!$C$43,MAX(0,AN93-AO93),0)-MAX(0,-(AR92)))</f>
        <v>0</v>
      </c>
      <c r="AR93" s="15" t="n">
        <f aca="false">(AR92)+X93-AQ93</f>
        <v>0</v>
      </c>
      <c r="AS93" s="15" t="n">
        <f aca="false">Motore_Operativo!AB93-AT93+AU93</f>
        <v>70559.9833333333</v>
      </c>
      <c r="AT93" s="15" t="n">
        <f aca="false">Motore_Operativo!CH93</f>
        <v>3713.68333333333</v>
      </c>
      <c r="AU93" s="15" t="n">
        <f aca="false">MIN(MAX(0,(AV92)+AT93),Parametri_v3!$C$60/12)</f>
        <v>0</v>
      </c>
      <c r="AV93" s="15" t="n">
        <f aca="false">(AV92)+AT93-AU93</f>
        <v>53175.9166666667</v>
      </c>
      <c r="AW93" s="15" t="n">
        <f aca="false">IF(AND(Motore_Operativo!C93=Finanziamenti!$D$6,Finanziamenti!$F$6=1),Finanziamenti!$C$6,0)</f>
        <v>0</v>
      </c>
      <c r="AX93" s="15" t="n">
        <f aca="false">IF(AND(2&lt;&gt;7,2&lt;&gt;9,Finanziamenti!$F$8=1,OR(Parametri_v3!$C$6=0,Finanziamenti!$E$8=1),Motore_Operativo!C93=EDATE(Finanziamenti!$D$8,Ipotesi!D15*12)),Finanziamenti!$C$8*1,0)+IF(AND(2&lt;&gt;7,2&lt;&gt;9,Finanziamenti!$F$9=1,OR(Parametri_v3!$C$6=0,Finanziamenti!$E$9=1),Motore_Operativo!C93=EDATE(Finanziamenti!$D$9,Ipotesi!D15*12)),Finanziamenti!$C$9*Ipotesi!D16,0)</f>
        <v>0</v>
      </c>
      <c r="AY93" s="15" t="n">
        <f aca="false">0</f>
        <v>0</v>
      </c>
      <c r="AZ93" s="15" t="n">
        <f aca="false">Motore_Advisory!AY93*(1-Ipotesi!$C$95)*Ipotesi!$C$96</f>
        <v>0</v>
      </c>
      <c r="BA93" s="15" t="n">
        <f aca="false">MAX(0,MIN(CG93*MIN(1,IF(Motore_Operativo!C93&gt;=EDATE(Finanziamenti!$D$15,Ipotesi!D14*12),Finanziamenti!$C$15,0)+IF(Motore_Operativo!C93&gt;=EDATE(Finanziamenti!$D$16,Ipotesi!D14*12),Finanziamenti!$C$16,0)+IF(Motore_Operativo!C93&gt;=EDATE(Finanziamenti!$D$17,Ipotesi!D14*12),Finanziamenti!$C$17,0)),CA93*Ipotesi!$C$102)-(CC92))</f>
        <v>0</v>
      </c>
      <c r="BB93" s="15" t="n">
        <f aca="false">IF(AND(CF93&gt;0,Motore_Operativo!C93&gt;=IF(CF93=0,0,EDATE(CF93,Parametri_v3!$C$37)),MOD(((D93-YEAR(IF(CF93=0,0,EDATE(CF93,Parametri_v3!$C$37))))*12+E93-MONTH(IF(CF93=0,0,EDATE(CF93,Parametri_v3!$C$37)))),Parametri_v3!$C$38)=0),MIN(MAX(0,(BC92)+BA93-N93),(CC93-CD93)/(Ipotesi!$C$108*12/Parametri_v3!$C$38)),0)</f>
        <v>0</v>
      </c>
      <c r="BC93" s="15" t="n">
        <f aca="false">(BC92)+BA93-N93-BB93</f>
        <v>201538.415590763</v>
      </c>
      <c r="BD93" s="15" t="n">
        <f aca="false">(BH92)+AC93+AF93-AI93-AS93-K93*(1+Parametri_v3!$C$26)-AL93-AQ93-O93+AW93+AX93+AZ93+BA93-BB93</f>
        <v>-73078.562618631</v>
      </c>
      <c r="BE93" s="15" t="n">
        <f aca="false">MAX(0,MIN(MAX(0,CH93-(BG92)),Parametri_v3!$C$30-BD93))</f>
        <v>0</v>
      </c>
      <c r="BF93" s="15" t="n">
        <f aca="false">IF(Motore_Operativo!C93&gt;=Parametri_v3!$C$63,(BG92),MIN((BG92),MAX(0,BD93-Parametri_v3!$C$30)))</f>
        <v>0</v>
      </c>
      <c r="BG93" s="15" t="n">
        <f aca="false">(BG92)+BE93-BF93</f>
        <v>150000</v>
      </c>
      <c r="BH93" s="15" t="n">
        <f aca="false">BD93+BE93-BF93-AY93</f>
        <v>-73078.562618631</v>
      </c>
      <c r="BI93" s="15" t="n">
        <f aca="false">MAX(0,Parametri_v3!$C$30-BH93)</f>
        <v>98078.562618631</v>
      </c>
      <c r="BJ93" s="15" t="n">
        <f aca="false">(BJ92)+K93</f>
        <v>57500</v>
      </c>
      <c r="BK93" s="15" t="n">
        <f aca="false">(BK92)+L93</f>
        <v>22083.3333333333</v>
      </c>
      <c r="BL93" s="15" t="n">
        <f aca="false">BJ93-BK93</f>
        <v>35416.6666666667</v>
      </c>
      <c r="BM93" s="15" t="n">
        <f aca="false">(BM92)+Y93</f>
        <v>-749950.589973753</v>
      </c>
      <c r="BN93" s="15" t="n">
        <f aca="false">(BN92)+AW93+AX93+AZ93</f>
        <v>430000</v>
      </c>
      <c r="BO93" s="15" t="n">
        <f aca="false">(BO92)+AY93</f>
        <v>0</v>
      </c>
      <c r="BP93" s="15" t="n">
        <f aca="false">0</f>
        <v>0</v>
      </c>
      <c r="BQ93" s="15" t="n">
        <f aca="false">BN93+BM93-BO93</f>
        <v>-319950.589973753</v>
      </c>
      <c r="BR93" s="15" t="n">
        <f aca="false">BH93+AD93+BL93+MAX(0,-AM93)+MAX(0,-AR93)+AG93</f>
        <v>190360.744208103</v>
      </c>
      <c r="BS93" s="15" t="n">
        <f aca="false">AJ93+AV93+MAX(0,AM93)+MAX(0,AR93)+BC93+BG93+BQ93</f>
        <v>190360.744208103</v>
      </c>
      <c r="BT93" s="15" t="n">
        <f aca="false">BR93-BS93</f>
        <v>0</v>
      </c>
      <c r="BU93" s="15" t="n">
        <f aca="false">BH93-(BD93+BE93-BF93-AY93)</f>
        <v>0</v>
      </c>
      <c r="BV93" s="15" t="n">
        <f aca="false">MIN(Piano_SS!$C$6,(BV92)+IF(AND(Motore_Operativo!C93&gt;=EDATE(Parametri_v3!$C$24,Ipotesi!D14*12),Motore_Operativo!C93&lt;EDATE(Parametri_v3!$C$24,Parametri_v3!$C$25+Ipotesi!D14*12)),MAX(0,(Motore_Operativo!Y93+Motore_Operativo!X93*Parametri_v3!$C$14)*(1-Parametri_v3!$C$32))*Piano_SS!$D$6,0))</f>
        <v>299157.177083333</v>
      </c>
      <c r="BW93" s="15" t="n">
        <f aca="false">MIN(Piano_SS!$C$7,(BW92)+IF(AND(Motore_Operativo!C93&gt;=EDATE(Parametri_v3!$C$24,Ipotesi!D14*12),Motore_Operativo!C93&lt;EDATE(Parametri_v3!$C$24,Parametri_v3!$C$25+Ipotesi!D14*12)),MAX(0,(IF(29-(INT((Ipotesi!$C$91)/30))&lt;1,0,INDEX(Motore_Operativo!$BN$65:$BN$124,MAX(1,29-(INT((Ipotesi!$C$91)/30)))))*(1-(MOD((Ipotesi!$C$91),30)/30))+IF(29-(INT((Ipotesi!$C$91)/30))-1&lt;1,0,INDEX(Motore_Operativo!$BN$65:$BN$124,MAX(1,29-(INT((Ipotesi!$C$91)/30))-1)))*(MOD((Ipotesi!$C$91),30)/30)))*Piano_SS!$D$7,0))</f>
        <v>38346.5976790606</v>
      </c>
      <c r="BX93" s="15" t="n">
        <f aca="false">MIN(Piano_SS!$C$8,(BX92)+IF(AND(Motore_Operativo!C93&gt;=EDATE(Parametri_v3!$C$24,Ipotesi!D14*12),Motore_Operativo!C93&lt;EDATE(Parametri_v3!$C$24,Parametri_v3!$C$25+Ipotesi!D14*12)),MAX(0,Motore_Operativo!CE93)*Piano_SS!$D$8,0))</f>
        <v>47500</v>
      </c>
      <c r="BY93" s="15" t="n">
        <f aca="false">MIN(Piano_SS!$C$9,(BY92)+IF(AND(Motore_Operativo!C93&gt;=EDATE(Parametri_v3!$C$24,Ipotesi!D14*12),Motore_Operativo!C93&lt;EDATE(Parametri_v3!$C$24,Parametri_v3!$C$25+Ipotesi!D14*12)),MAX(0,((IF(29-(INT((Ipotesi!$C$91)/30))&lt;1,0,INDEX(Motore_Operativo!$BQ$65:$BQ$124,MAX(1,29-(INT((Ipotesi!$C$91)/30)))))*(1-(MOD((Ipotesi!$C$91),30)/30))+IF(29-(INT((Ipotesi!$C$91)/30))-1&lt;1,0,INDEX(Motore_Operativo!$BQ$65:$BQ$124,MAX(1,29-(INT((Ipotesi!$C$91)/30))-1)))*(MOD((Ipotesi!$C$91),30)/30))+(IF(29-(INT((Ipotesi!$C$91)/30))&lt;1,0,INDEX(Motore_Operativo!$BR$65:$BR$124,MAX(1,29-(INT((Ipotesi!$C$91)/30)))))*(1-(MOD((Ipotesi!$C$91),30)/30))+IF(29-(INT((Ipotesi!$C$91)/30))-1&lt;1,0,INDEX(Motore_Operativo!$BR$65:$BR$124,MAX(1,29-(INT((Ipotesi!$C$91)/30))-1)))*(MOD((Ipotesi!$C$91),30)/30))))*Piano_SS!$D$9,0))</f>
        <v>40000</v>
      </c>
      <c r="BZ93" s="15" t="n">
        <f aca="false">MIN(Piano_SS!$C$10,(BZ92)+IF(AND(Motore_Operativo!C93&gt;=EDATE(Parametri_v3!$C$24,Ipotesi!D14*12),Motore_Operativo!C93&lt;EDATE(Parametri_v3!$C$24,Parametri_v3!$C$25+Ipotesi!D14*12)),MAX(0,(IF(29-(INT((Ipotesi!$C$91)/30))&lt;1,0,INDEX(Motore_Operativo!$BO$65:$BO$124,MAX(1,29-(INT((Ipotesi!$C$91)/30)))))*(1-(MOD((Ipotesi!$C$91),30)/30))+IF(29-(INT((Ipotesi!$C$91)/30))-1&lt;1,0,INDEX(Motore_Operativo!$BO$65:$BO$124,MAX(1,29-(INT((Ipotesi!$C$91)/30))-1)))*(MOD((Ipotesi!$C$91),30)/30)))*Piano_SS!$D$10,0))</f>
        <v>30000</v>
      </c>
      <c r="CA93" s="15" t="n">
        <f aca="false">SUM(BV93:BZ93)</f>
        <v>455003.774762394</v>
      </c>
      <c r="CB93" s="15" t="n">
        <f aca="false">BV93*(1-Piano_SS!$E$6)+BW93*(1-Piano_SS!$E$7)+BX93*(1-Piano_SS!$E$8)+BY93*(1-Piano_SS!$E$9)+BZ93*(1-Piano_SS!$E$10)</f>
        <v>425003.774762394</v>
      </c>
      <c r="CC93" s="15" t="n">
        <f aca="false">(CC92)+BA93</f>
        <v>280000</v>
      </c>
      <c r="CD93" s="15" t="n">
        <f aca="false">IF(CA93=0,0,CC93*CB93/CA93*Ipotesi!$C$103*Parametri_v3!$C$64)</f>
        <v>78461.5844092371</v>
      </c>
      <c r="CE93" s="18" t="n">
        <f aca="false">IF(BA93&gt;0,Motore_Operativo!C93,(CE92))</f>
        <v>47150</v>
      </c>
      <c r="CF93" s="18" t="n">
        <f aca="false">IF(AND(CC93&gt;0,OR(CC93&gt;=CG93-0.01,Motore_Operativo!C93&gt;=EDATE(MAX(Finanziamenti!$D$15:$D$17),Ipotesi!D14*12))),CE93,0)</f>
        <v>0</v>
      </c>
      <c r="CG93" s="15" t="n">
        <f aca="false">IF(AND(2&lt;&gt;6,2&lt;&gt;9,Finanziamenti!$F$11=1,OR(Parametri_v3!$C$6=0,Finanziamenti!$E$11=1)),MIN(Finanziamenti!$C$11,Piano_SS!$C$12*Ipotesi!$C$102),0)</f>
        <v>400000</v>
      </c>
      <c r="CH93" s="15" t="n">
        <f aca="false">IF(AND(AND(2&lt;&gt;8,2&lt;&gt;9,Finanziamenti!$F$10=1,OR(Parametri_v3!$C$6=0,Finanziamenti!$E$10=1)),Motore_Operativo!C93&gt;=Finanziamenti!$D$10,Motore_Operativo!C93&lt;Parametri_v3!$C$63),Finanziamenti!$C$10,0)</f>
        <v>150000</v>
      </c>
    </row>
    <row r="94" customFormat="false" ht="18" hidden="false" customHeight="true" outlineLevel="0" collapsed="false">
      <c r="A94" s="68" t="n">
        <f aca="false">2</f>
        <v>2</v>
      </c>
      <c r="B94" s="68" t="n">
        <f aca="false">30</f>
        <v>30</v>
      </c>
      <c r="C94" s="18" t="n">
        <f aca="false">Motore_Operativo!C94</f>
        <v>47270</v>
      </c>
      <c r="D94" s="68" t="n">
        <f aca="false">Motore_Operativo!D94</f>
        <v>2029</v>
      </c>
      <c r="E94" s="68" t="n">
        <f aca="false">Motore_Operativo!E94</f>
        <v>6</v>
      </c>
      <c r="F94" s="15" t="n">
        <f aca="false">Motore_Operativo!AQ94+Motore_Operativo!BF94</f>
        <v>65311.4997770098</v>
      </c>
      <c r="G94" s="15" t="n">
        <f aca="false">Motore_Operativo!BH94</f>
        <v>6050</v>
      </c>
      <c r="H94" s="15" t="n">
        <f aca="false">Motore_Operativo!BI94</f>
        <v>71361.4997770098</v>
      </c>
      <c r="I94" s="15" t="n">
        <f aca="false">Motore_Operativo!CA94</f>
        <v>116477.943302115</v>
      </c>
      <c r="J94" s="15" t="n">
        <f aca="false">Motore_Operativo!CC94</f>
        <v>-45116.4435251049</v>
      </c>
      <c r="K94" s="15" t="n">
        <f aca="false">Motore_Operativo!CE94</f>
        <v>2500</v>
      </c>
      <c r="L94" s="15" t="n">
        <f aca="false">SUM(INDEX($K$65:$K$124,MAX(1,30-Parametri_v3!$C$59+1)):K94)/Parametri_v3!$C$59</f>
        <v>1666.66666666667</v>
      </c>
      <c r="M94" s="15" t="n">
        <f aca="false">J94-L94</f>
        <v>-46783.1101917716</v>
      </c>
      <c r="N94" s="15" t="n">
        <f aca="false">CD94-(CD93)</f>
        <v>24992.557112463</v>
      </c>
      <c r="O94" s="15" t="n">
        <f aca="false">(BG93)*Ipotesi!$C$110/12+CH94*Parametri_v3!$C$39/12</f>
        <v>750</v>
      </c>
      <c r="P94" s="15" t="n">
        <f aca="false">M94+N94-O94</f>
        <v>-22540.5530793086</v>
      </c>
      <c r="Q94" s="15" t="n">
        <f aca="false">SUM(P89:P94)+Parametri_v3!$C$54*6/12</f>
        <v>-272063.757619373</v>
      </c>
      <c r="R94" s="15" t="n">
        <f aca="false">Z88</f>
        <v>500427.385433689</v>
      </c>
      <c r="S94" s="15" t="n">
        <f aca="false">AA88</f>
        <v>0</v>
      </c>
      <c r="T94" s="15" t="n">
        <f aca="false">MIN(R94,MAX(0,Q94))</f>
        <v>0</v>
      </c>
      <c r="U94" s="15" t="n">
        <f aca="false">MIN(S94,MAX(0,Q94-T94)*Parametri_v3!$C$42)</f>
        <v>0</v>
      </c>
      <c r="V94" s="15" t="n">
        <f aca="false">MAX(0,Q94-T94-U94)*Ipotesi!$C$92</f>
        <v>0</v>
      </c>
      <c r="W94" s="15" t="n">
        <f aca="false">MAX(0,SUM(M89:M94)+Parametri_v3!$C$55*6/12)*Ipotesi!$C$93</f>
        <v>0</v>
      </c>
      <c r="X94" s="15" t="n">
        <f aca="false">V94+W94-(V93+W93)</f>
        <v>0</v>
      </c>
      <c r="Y94" s="15" t="n">
        <f aca="false">P94-X94</f>
        <v>-22540.5530793086</v>
      </c>
      <c r="Z94" s="15" t="n">
        <f aca="false">R94-T94+IF(AND(Parametri_v3!$C$40=1,D94-YEAR(Parametri_v3!$C$50)&lt;Parametri_v3!$C$41),MAX(0,-Q94),0)</f>
        <v>772491.143053062</v>
      </c>
      <c r="AA94" s="15" t="n">
        <f aca="false">S94-U94+IF(AND(Parametri_v3!$C$40=1,D94-YEAR(Parametri_v3!$C$50)&lt;Parametri_v3!$C$41),0,MAX(0,-Q94))</f>
        <v>0</v>
      </c>
      <c r="AB94" s="15" t="n">
        <f aca="false">F94*(1+Parametri_v3!$C$26)</f>
        <v>79680.029727952</v>
      </c>
      <c r="AC94" s="15" t="n">
        <f aca="false">(IF(30-(INT((Motore_Operativo!L94)/30))&lt;1,0,INDEX(Motore_Startup!$AB$65:$AB$124,MAX(1,30-(INT((Motore_Operativo!L94)/30)))))*(1-(MOD((Motore_Operativo!L94),30)/30))+IF(30-(INT((Motore_Operativo!L94)/30))-1&lt;1,0,INDEX(Motore_Startup!$AB$65:$AB$124,MAX(1,30-(INT((Motore_Operativo!L94)/30))-1)))*(MOD((Motore_Operativo!L94),30)/30))</f>
        <v>71086.5644534073</v>
      </c>
      <c r="AD94" s="15" t="n">
        <f aca="false">(AD93)+AB94-AC94</f>
        <v>229235.105434612</v>
      </c>
      <c r="AE94" s="15" t="n">
        <f aca="false">Motore_Operativo!BH94*(1+Parametri_v3!$C$26)</f>
        <v>7381</v>
      </c>
      <c r="AF94" s="15" t="n">
        <f aca="false">(IF(30-(INT((Parametri_v3!$C$29)/30))&lt;1,0,INDEX(Motore_Operativo!$BH$65:$BH$124,MAX(1,30-(INT((Parametri_v3!$C$29)/30)))))*(1-(MOD((Parametri_v3!$C$29),30)/30))+IF(30-(INT((Parametri_v3!$C$29)/30))-1&lt;1,0,INDEX(Motore_Operativo!$BH$65:$BH$124,MAX(1,30-(INT((Parametri_v3!$C$29)/30))-1)))*(MOD((Parametri_v3!$C$29),30)/30))*(1+Parametri_v3!$C$26)</f>
        <v>7381</v>
      </c>
      <c r="AG94" s="15" t="n">
        <f aca="false">(AG93)+AE94-AF94</f>
        <v>7381</v>
      </c>
      <c r="AH94" s="15" t="n">
        <f aca="false">(Motore_Operativo!CJ94)*(1+Parametri_v3!$C$27*Parametri_v3!$C$26)</f>
        <v>50096.4763662768</v>
      </c>
      <c r="AI94" s="15" t="n">
        <f aca="false">(IF(30-(INT((Ipotesi!$C$91)/30))&lt;1,0,INDEX(Motore_Startup!$AH$65:$AH$124,MAX(1,30-(INT((Ipotesi!$C$91)/30)))))*(1-(MOD((Ipotesi!$C$91),30)/30))+IF(30-(INT((Ipotesi!$C$91)/30))-1&lt;1,0,INDEX(Motore_Startup!$AH$65:$AH$124,MAX(1,30-(INT((Ipotesi!$C$91)/30))-1)))*(MOD((Ipotesi!$C$91),30)/30))</f>
        <v>49204.793287636</v>
      </c>
      <c r="AJ94" s="15" t="n">
        <f aca="false">(AJ93)+AH94-AI94</f>
        <v>99749.0684345966</v>
      </c>
      <c r="AK94" s="15" t="n">
        <f aca="false">(F94+ Motore_Operativo!BH94-(Motore_Operativo!CJ94)*Parametri_v3!$C$27-Motore_Operativo!CE94)*Parametri_v3!$C$26</f>
        <v>7257.33022011338</v>
      </c>
      <c r="AL94" s="15" t="n">
        <f aca="false">MAX(0,(AM93))</f>
        <v>6739.61656847036</v>
      </c>
      <c r="AM94" s="15" t="n">
        <f aca="false">(AM93)+AK94-AL94</f>
        <v>7257.33022011338</v>
      </c>
      <c r="AN94" s="15" t="n">
        <f aca="false">SUM(X77:X88)</f>
        <v>0</v>
      </c>
      <c r="AO94" s="15" t="n">
        <f aca="false">SUM(AP77:AP88)</f>
        <v>0</v>
      </c>
      <c r="AP94" s="15" t="n">
        <f aca="false">MAX(0,AN94)*IF(6=Parametri_v3!$C$43,Parametri_v3!$C$45,IF(6=Parametri_v3!$C$44,1-Parametri_v3!$C$45,0))</f>
        <v>0</v>
      </c>
      <c r="AQ94" s="15" t="n">
        <f aca="false">MAX(0,AP94+IF(6=Parametri_v3!$C$43,MAX(0,AN94-AO94),0)-MAX(0,-(AR93)))</f>
        <v>0</v>
      </c>
      <c r="AR94" s="15" t="n">
        <f aca="false">(AR93)+X94-AQ94</f>
        <v>0</v>
      </c>
      <c r="AS94" s="15" t="n">
        <f aca="false">Motore_Operativo!AB94-AT94+AU94</f>
        <v>70559.9833333333</v>
      </c>
      <c r="AT94" s="15" t="n">
        <f aca="false">Motore_Operativo!CH94</f>
        <v>3713.68333333333</v>
      </c>
      <c r="AU94" s="15" t="n">
        <f aca="false">MIN(MAX(0,(AV93)+AT94),Parametri_v3!$C$60/12)</f>
        <v>0</v>
      </c>
      <c r="AV94" s="15" t="n">
        <f aca="false">(AV93)+AT94-AU94</f>
        <v>56889.6</v>
      </c>
      <c r="AW94" s="15" t="n">
        <f aca="false">IF(AND(Motore_Operativo!C94=Finanziamenti!$D$6,Finanziamenti!$F$6=1),Finanziamenti!$C$6,0)</f>
        <v>0</v>
      </c>
      <c r="AX94" s="15" t="n">
        <f aca="false">IF(AND(2&lt;&gt;7,2&lt;&gt;9,Finanziamenti!$F$8=1,OR(Parametri_v3!$C$6=0,Finanziamenti!$E$8=1),Motore_Operativo!C94=EDATE(Finanziamenti!$D$8,Ipotesi!D15*12)),Finanziamenti!$C$8*1,0)+IF(AND(2&lt;&gt;7,2&lt;&gt;9,Finanziamenti!$F$9=1,OR(Parametri_v3!$C$6=0,Finanziamenti!$E$9=1),Motore_Operativo!C94=EDATE(Finanziamenti!$D$9,Ipotesi!D15*12)),Finanziamenti!$C$9*Ipotesi!D16,0)</f>
        <v>900000</v>
      </c>
      <c r="AY94" s="15" t="n">
        <f aca="false">0</f>
        <v>0</v>
      </c>
      <c r="AZ94" s="15" t="n">
        <f aca="false">Motore_Advisory!AY94*(1-Ipotesi!$C$95)*Ipotesi!$C$96</f>
        <v>0</v>
      </c>
      <c r="BA94" s="15" t="n">
        <f aca="false">MAX(0,MIN(CG94*MIN(1,IF(Motore_Operativo!C94&gt;=EDATE(Finanziamenti!$D$15,Ipotesi!D14*12),Finanziamenti!$C$15,0)+IF(Motore_Operativo!C94&gt;=EDATE(Finanziamenti!$D$16,Ipotesi!D14*12),Finanziamenti!$C$16,0)+IF(Motore_Operativo!C94&gt;=EDATE(Finanziamenti!$D$17,Ipotesi!D14*12),Finanziamenti!$C$17,0)),CA94*Ipotesi!$C$102)-(CC93))</f>
        <v>88847.138405667</v>
      </c>
      <c r="BB94" s="15" t="n">
        <f aca="false">IF(AND(CF94&gt;0,Motore_Operativo!C94&gt;=IF(CF94=0,0,EDATE(CF94,Parametri_v3!$C$37)),MOD(((D94-YEAR(IF(CF94=0,0,EDATE(CF94,Parametri_v3!$C$37))))*12+E94-MONTH(IF(CF94=0,0,EDATE(CF94,Parametri_v3!$C$37)))),Parametri_v3!$C$38)=0),MIN(MAX(0,(BC93)+BA94-N94),(CC94-CD94)/(Ipotesi!$C$108*12/Parametri_v3!$C$38)),0)</f>
        <v>0</v>
      </c>
      <c r="BC94" s="15" t="n">
        <f aca="false">(BC93)+BA94-N94-BB94</f>
        <v>265392.996883967</v>
      </c>
      <c r="BD94" s="15" t="n">
        <f aca="false">(BH93)+AC94+AF94-AI94-AS94-K94*(1+Parametri_v3!$C$26)-AL94-AQ94-O94+AW94+AX94+AZ94+BA94-BB94</f>
        <v>863931.747051004</v>
      </c>
      <c r="BE94" s="15" t="n">
        <f aca="false">MAX(0,MIN(MAX(0,CH94-(BG93)),Parametri_v3!$C$30-BD94))</f>
        <v>0</v>
      </c>
      <c r="BF94" s="15" t="n">
        <f aca="false">IF(Motore_Operativo!C94&gt;=Parametri_v3!$C$63,(BG93),MIN((BG93),MAX(0,BD94-Parametri_v3!$C$30)))</f>
        <v>150000</v>
      </c>
      <c r="BG94" s="15" t="n">
        <f aca="false">(BG93)+BE94-BF94</f>
        <v>0</v>
      </c>
      <c r="BH94" s="15" t="n">
        <f aca="false">BD94+BE94-BF94-AY94</f>
        <v>713931.747051004</v>
      </c>
      <c r="BI94" s="15" t="n">
        <f aca="false">MAX(0,Parametri_v3!$C$30-BH94)</f>
        <v>0</v>
      </c>
      <c r="BJ94" s="15" t="n">
        <f aca="false">(BJ93)+K94</f>
        <v>60000</v>
      </c>
      <c r="BK94" s="15" t="n">
        <f aca="false">(BK93)+L94</f>
        <v>23750</v>
      </c>
      <c r="BL94" s="15" t="n">
        <f aca="false">BJ94-BK94</f>
        <v>36250</v>
      </c>
      <c r="BM94" s="15" t="n">
        <f aca="false">(BM93)+Y94</f>
        <v>-772491.143053061</v>
      </c>
      <c r="BN94" s="15" t="n">
        <f aca="false">(BN93)+AW94+AX94+AZ94</f>
        <v>1330000</v>
      </c>
      <c r="BO94" s="15" t="n">
        <f aca="false">(BO93)+AY94</f>
        <v>0</v>
      </c>
      <c r="BP94" s="15" t="n">
        <f aca="false">0</f>
        <v>0</v>
      </c>
      <c r="BQ94" s="15" t="n">
        <f aca="false">BN94+BM94-BO94</f>
        <v>557508.856946939</v>
      </c>
      <c r="BR94" s="15" t="n">
        <f aca="false">BH94+AD94+BL94+MAX(0,-AM94)+MAX(0,-AR94)+AG94</f>
        <v>986797.852485615</v>
      </c>
      <c r="BS94" s="15" t="n">
        <f aca="false">AJ94+AV94+MAX(0,AM94)+MAX(0,AR94)+BC94+BG94+BQ94</f>
        <v>986797.852485616</v>
      </c>
      <c r="BT94" s="15" t="n">
        <f aca="false">BR94-BS94</f>
        <v>0</v>
      </c>
      <c r="BU94" s="15" t="n">
        <f aca="false">BH94-(BD94+BE94-BF94-AY94)</f>
        <v>0</v>
      </c>
      <c r="BV94" s="15" t="n">
        <f aca="false">MIN(Piano_SS!$C$6,(BV93)+IF(AND(Motore_Operativo!C94&gt;=EDATE(Parametri_v3!$C$24,Ipotesi!D14*12),Motore_Operativo!C94&lt;EDATE(Parametri_v3!$C$24,Parametri_v3!$C$25+Ipotesi!D14*12)),MAX(0,(Motore_Operativo!Y94+Motore_Operativo!X94*Parametri_v3!$C$14)*(1-Parametri_v3!$C$32))*Piano_SS!$D$6,0))</f>
        <v>300000</v>
      </c>
      <c r="BW94" s="15" t="n">
        <f aca="false">MIN(Piano_SS!$C$7,(BW93)+IF(AND(Motore_Operativo!C94&gt;=EDATE(Parametri_v3!$C$24,Ipotesi!D14*12),Motore_Operativo!C94&lt;EDATE(Parametri_v3!$C$24,Parametri_v3!$C$25+Ipotesi!D14*12)),MAX(0,(IF(30-(INT((Ipotesi!$C$91)/30))&lt;1,0,INDEX(Motore_Operativo!$BN$65:$BN$124,MAX(1,30-(INT((Ipotesi!$C$91)/30)))))*(1-(MOD((Ipotesi!$C$91),30)/30))+IF(30-(INT((Ipotesi!$C$91)/30))-1&lt;1,0,INDEX(Motore_Operativo!$BN$65:$BN$124,MAX(1,30-(INT((Ipotesi!$C$91)/30))-1)))*(MOD((Ipotesi!$C$91),30)/30)))*Piano_SS!$D$7,0))</f>
        <v>41058.9230070837</v>
      </c>
      <c r="BX94" s="15" t="n">
        <f aca="false">MIN(Piano_SS!$C$8,(BX93)+IF(AND(Motore_Operativo!C94&gt;=EDATE(Parametri_v3!$C$24,Ipotesi!D14*12),Motore_Operativo!C94&lt;EDATE(Parametri_v3!$C$24,Parametri_v3!$C$25+Ipotesi!D14*12)),MAX(0,Motore_Operativo!CE94)*Piano_SS!$D$8,0))</f>
        <v>50000</v>
      </c>
      <c r="BY94" s="15" t="n">
        <f aca="false">MIN(Piano_SS!$C$9,(BY93)+IF(AND(Motore_Operativo!C94&gt;=EDATE(Parametri_v3!$C$24,Ipotesi!D14*12),Motore_Operativo!C94&lt;EDATE(Parametri_v3!$C$24,Parametri_v3!$C$25+Ipotesi!D14*12)),MAX(0,((IF(30-(INT((Ipotesi!$C$91)/30))&lt;1,0,INDEX(Motore_Operativo!$BQ$65:$BQ$124,MAX(1,30-(INT((Ipotesi!$C$91)/30)))))*(1-(MOD((Ipotesi!$C$91),30)/30))+IF(30-(INT((Ipotesi!$C$91)/30))-1&lt;1,0,INDEX(Motore_Operativo!$BQ$65:$BQ$124,MAX(1,30-(INT((Ipotesi!$C$91)/30))-1)))*(MOD((Ipotesi!$C$91),30)/30))+(IF(30-(INT((Ipotesi!$C$91)/30))&lt;1,0,INDEX(Motore_Operativo!$BR$65:$BR$124,MAX(1,30-(INT((Ipotesi!$C$91)/30)))))*(1-(MOD((Ipotesi!$C$91),30)/30))+IF(30-(INT((Ipotesi!$C$91)/30))-1&lt;1,0,INDEX(Motore_Operativo!$BR$65:$BR$124,MAX(1,30-(INT((Ipotesi!$C$91)/30))-1)))*(MOD((Ipotesi!$C$91),30)/30))))*Piano_SS!$D$9,0))</f>
        <v>40000</v>
      </c>
      <c r="BZ94" s="15" t="n">
        <f aca="false">MIN(Piano_SS!$C$10,(BZ93)+IF(AND(Motore_Operativo!C94&gt;=EDATE(Parametri_v3!$C$24,Ipotesi!D14*12),Motore_Operativo!C94&lt;EDATE(Parametri_v3!$C$24,Parametri_v3!$C$25+Ipotesi!D14*12)),MAX(0,(IF(30-(INT((Ipotesi!$C$91)/30))&lt;1,0,INDEX(Motore_Operativo!$BO$65:$BO$124,MAX(1,30-(INT((Ipotesi!$C$91)/30)))))*(1-(MOD((Ipotesi!$C$91),30)/30))+IF(30-(INT((Ipotesi!$C$91)/30))-1&lt;1,0,INDEX(Motore_Operativo!$BO$65:$BO$124,MAX(1,30-(INT((Ipotesi!$C$91)/30))-1)))*(MOD((Ipotesi!$C$91),30)/30)))*Piano_SS!$D$10,0))</f>
        <v>30000</v>
      </c>
      <c r="CA94" s="15" t="n">
        <f aca="false">SUM(BV94:BZ94)</f>
        <v>461058.923007084</v>
      </c>
      <c r="CB94" s="15" t="n">
        <f aca="false">BV94*(1-Piano_SS!$E$6)+BW94*(1-Piano_SS!$E$7)+BX94*(1-Piano_SS!$E$8)+BY94*(1-Piano_SS!$E$9)+BZ94*(1-Piano_SS!$E$10)</f>
        <v>431058.923007084</v>
      </c>
      <c r="CC94" s="15" t="n">
        <f aca="false">(CC93)+BA94</f>
        <v>368847.138405667</v>
      </c>
      <c r="CD94" s="15" t="n">
        <f aca="false">IF(CA94=0,0,CC94*CB94/CA94*Ipotesi!$C$103*Parametri_v3!$C$64)</f>
        <v>103454.1415217</v>
      </c>
      <c r="CE94" s="18" t="n">
        <f aca="false">IF(BA94&gt;0,Motore_Operativo!C94,(CE93))</f>
        <v>47270</v>
      </c>
      <c r="CF94" s="18" t="n">
        <f aca="false">IF(AND(CC94&gt;0,OR(CC94&gt;=CG94-0.01,Motore_Operativo!C94&gt;=EDATE(MAX(Finanziamenti!$D$15:$D$17),Ipotesi!D14*12))),CE94,0)</f>
        <v>47270</v>
      </c>
      <c r="CG94" s="15" t="n">
        <f aca="false">IF(AND(2&lt;&gt;6,2&lt;&gt;9,Finanziamenti!$F$11=1,OR(Parametri_v3!$C$6=0,Finanziamenti!$E$11=1)),MIN(Finanziamenti!$C$11,Piano_SS!$C$12*Ipotesi!$C$102),0)</f>
        <v>400000</v>
      </c>
      <c r="CH94" s="15" t="n">
        <f aca="false">IF(AND(AND(2&lt;&gt;8,2&lt;&gt;9,Finanziamenti!$F$10=1,OR(Parametri_v3!$C$6=0,Finanziamenti!$E$10=1)),Motore_Operativo!C94&gt;=Finanziamenti!$D$10,Motore_Operativo!C94&lt;Parametri_v3!$C$63),Finanziamenti!$C$10,0)</f>
        <v>150000</v>
      </c>
    </row>
    <row r="95" customFormat="false" ht="18" hidden="false" customHeight="true" outlineLevel="0" collapsed="false">
      <c r="A95" s="68" t="n">
        <f aca="false">2</f>
        <v>2</v>
      </c>
      <c r="B95" s="68" t="n">
        <f aca="false">31</f>
        <v>31</v>
      </c>
      <c r="C95" s="18" t="n">
        <f aca="false">Motore_Operativo!C95</f>
        <v>47300</v>
      </c>
      <c r="D95" s="68" t="n">
        <f aca="false">Motore_Operativo!D95</f>
        <v>2029</v>
      </c>
      <c r="E95" s="68" t="n">
        <f aca="false">Motore_Operativo!E95</f>
        <v>7</v>
      </c>
      <c r="F95" s="15" t="n">
        <f aca="false">Motore_Operativo!AQ95+Motore_Operativo!BF95</f>
        <v>67959.2554282038</v>
      </c>
      <c r="G95" s="15" t="n">
        <f aca="false">Motore_Operativo!BH95</f>
        <v>6050</v>
      </c>
      <c r="H95" s="15" t="n">
        <f aca="false">Motore_Operativo!BI95</f>
        <v>74009.2554282038</v>
      </c>
      <c r="I95" s="15" t="n">
        <f aca="false">Motore_Operativo!CA95</f>
        <v>116848.629093282</v>
      </c>
      <c r="J95" s="15" t="n">
        <f aca="false">Motore_Operativo!CC95</f>
        <v>-42839.3736650781</v>
      </c>
      <c r="K95" s="15" t="n">
        <f aca="false">Motore_Operativo!CE95</f>
        <v>2500</v>
      </c>
      <c r="L95" s="15" t="n">
        <f aca="false">SUM(INDEX($K$65:$K$124,MAX(1,31-Parametri_v3!$C$59+1)):K95)/Parametri_v3!$C$59</f>
        <v>1736.11111111111</v>
      </c>
      <c r="M95" s="15" t="n">
        <f aca="false">J95-L95</f>
        <v>-44575.4847761892</v>
      </c>
      <c r="N95" s="15" t="n">
        <f aca="false">CD95-(CD94)</f>
        <v>0</v>
      </c>
      <c r="O95" s="15" t="n">
        <f aca="false">(BG94)*Ipotesi!$C$110/12+CH95*Parametri_v3!$C$39/12</f>
        <v>0</v>
      </c>
      <c r="P95" s="15" t="n">
        <f aca="false">M95+N95-O95</f>
        <v>-44575.4847761892</v>
      </c>
      <c r="Q95" s="15" t="n">
        <f aca="false">SUM(P89:P95)+Parametri_v3!$C$54*7/12</f>
        <v>-316639.242395562</v>
      </c>
      <c r="R95" s="15" t="n">
        <f aca="false">Z88</f>
        <v>500427.385433689</v>
      </c>
      <c r="S95" s="15" t="n">
        <f aca="false">AA88</f>
        <v>0</v>
      </c>
      <c r="T95" s="15" t="n">
        <f aca="false">MIN(R95,MAX(0,Q95))</f>
        <v>0</v>
      </c>
      <c r="U95" s="15" t="n">
        <f aca="false">MIN(S95,MAX(0,Q95-T95)*Parametri_v3!$C$42)</f>
        <v>0</v>
      </c>
      <c r="V95" s="15" t="n">
        <f aca="false">MAX(0,Q95-T95-U95)*Ipotesi!$C$92</f>
        <v>0</v>
      </c>
      <c r="W95" s="15" t="n">
        <f aca="false">MAX(0,SUM(M89:M95)+Parametri_v3!$C$55*7/12)*Ipotesi!$C$93</f>
        <v>0</v>
      </c>
      <c r="X95" s="15" t="n">
        <f aca="false">V95+W95-(V94+W94)</f>
        <v>0</v>
      </c>
      <c r="Y95" s="15" t="n">
        <f aca="false">P95-X95</f>
        <v>-44575.4847761892</v>
      </c>
      <c r="Z95" s="15" t="n">
        <f aca="false">R95-T95+IF(AND(Parametri_v3!$C$40=1,D95-YEAR(Parametri_v3!$C$50)&lt;Parametri_v3!$C$41),MAX(0,-Q95),0)</f>
        <v>817066.627829251</v>
      </c>
      <c r="AA95" s="15" t="n">
        <f aca="false">S95-U95+IF(AND(Parametri_v3!$C$40=1,D95-YEAR(Parametri_v3!$C$50)&lt;Parametri_v3!$C$41),0,MAX(0,-Q95))</f>
        <v>0</v>
      </c>
      <c r="AB95" s="15" t="n">
        <f aca="false">F95*(1+Parametri_v3!$C$26)</f>
        <v>82910.2916224086</v>
      </c>
      <c r="AC95" s="15" t="n">
        <f aca="false">(IF(31-(INT((Motore_Operativo!L95)/30))&lt;1,0,INDEX(Motore_Startup!$AB$65:$AB$124,MAX(1,31-(INT((Motore_Operativo!L95)/30)))))*(1-(MOD((Motore_Operativo!L95),30)/30))+IF(31-(INT((Motore_Operativo!L95)/30))-1&lt;1,0,INDEX(Motore_Startup!$AB$65:$AB$124,MAX(1,31-(INT((Motore_Operativo!L95)/30))-1)))*(MOD((Motore_Operativo!L95),30)/30))</f>
        <v>73133.7945856856</v>
      </c>
      <c r="AD95" s="15" t="n">
        <f aca="false">(AD94)+AB95-AC95</f>
        <v>239011.602471335</v>
      </c>
      <c r="AE95" s="15" t="n">
        <f aca="false">Motore_Operativo!BH95*(1+Parametri_v3!$C$26)</f>
        <v>7381</v>
      </c>
      <c r="AF95" s="15" t="n">
        <f aca="false">(IF(31-(INT((Parametri_v3!$C$29)/30))&lt;1,0,INDEX(Motore_Operativo!$BH$65:$BH$124,MAX(1,31-(INT((Parametri_v3!$C$29)/30)))))*(1-(MOD((Parametri_v3!$C$29),30)/30))+IF(31-(INT((Parametri_v3!$C$29)/30))-1&lt;1,0,INDEX(Motore_Operativo!$BH$65:$BH$124,MAX(1,31-(INT((Parametri_v3!$C$29)/30))-1)))*(MOD((Parametri_v3!$C$29),30)/30))*(1+Parametri_v3!$C$26)</f>
        <v>7381</v>
      </c>
      <c r="AG95" s="15" t="n">
        <f aca="false">(AG94)+AE95-AF95</f>
        <v>7381</v>
      </c>
      <c r="AH95" s="15" t="n">
        <f aca="false">(Motore_Operativo!CJ95)*(1+Parametri_v3!$C$27*Parametri_v3!$C$26)</f>
        <v>50536.4804003922</v>
      </c>
      <c r="AI95" s="15" t="n">
        <f aca="false">(IF(31-(INT((Ipotesi!$C$91)/30))&lt;1,0,INDEX(Motore_Startup!$AH$65:$AH$124,MAX(1,31-(INT((Ipotesi!$C$91)/30)))))*(1-(MOD((Ipotesi!$C$91),30)/30))+IF(31-(INT((Ipotesi!$C$91)/30))-1&lt;1,0,INDEX(Motore_Startup!$AH$65:$AH$124,MAX(1,31-(INT((Ipotesi!$C$91)/30))-1)))*(MOD((Ipotesi!$C$91),30)/30))</f>
        <v>49652.5920683198</v>
      </c>
      <c r="AJ95" s="15" t="n">
        <f aca="false">(AJ94)+AH95-AI95</f>
        <v>100632.956766669</v>
      </c>
      <c r="AK95" s="15" t="n">
        <f aca="false">(F95+ Motore_Operativo!BH95-(Motore_Operativo!CJ95)*Parametri_v3!$C$27-Motore_Operativo!CE95)*Parametri_v3!$C$26</f>
        <v>7770.51822042779</v>
      </c>
      <c r="AL95" s="15" t="n">
        <f aca="false">MAX(0,(AM94))</f>
        <v>7257.33022011338</v>
      </c>
      <c r="AM95" s="15" t="n">
        <f aca="false">(AM94)+AK95-AL95</f>
        <v>7770.51822042779</v>
      </c>
      <c r="AN95" s="15" t="n">
        <f aca="false">SUM(X77:X88)</f>
        <v>0</v>
      </c>
      <c r="AO95" s="15" t="n">
        <f aca="false">SUM(AP77:AP88)</f>
        <v>0</v>
      </c>
      <c r="AP95" s="15" t="n">
        <f aca="false">MAX(0,AN95)*IF(7=Parametri_v3!$C$43,Parametri_v3!$C$45,IF(7=Parametri_v3!$C$44,1-Parametri_v3!$C$45,0))</f>
        <v>0</v>
      </c>
      <c r="AQ95" s="15" t="n">
        <f aca="false">MAX(0,AP95+IF(7=Parametri_v3!$C$43,MAX(0,AN95-AO95),0)-MAX(0,-(AR94)))</f>
        <v>0</v>
      </c>
      <c r="AR95" s="15" t="n">
        <f aca="false">(AR94)+X95-AQ95</f>
        <v>0</v>
      </c>
      <c r="AS95" s="15" t="n">
        <f aca="false">Motore_Operativo!AB95-AT95+AU95</f>
        <v>70559.9833333333</v>
      </c>
      <c r="AT95" s="15" t="n">
        <f aca="false">Motore_Operativo!CH95</f>
        <v>3713.68333333333</v>
      </c>
      <c r="AU95" s="15" t="n">
        <f aca="false">MIN(MAX(0,(AV94)+AT95),Parametri_v3!$C$60/12)</f>
        <v>0</v>
      </c>
      <c r="AV95" s="15" t="n">
        <f aca="false">(AV94)+AT95-AU95</f>
        <v>60603.2833333334</v>
      </c>
      <c r="AW95" s="15" t="n">
        <f aca="false">IF(AND(Motore_Operativo!C95=Finanziamenti!$D$6,Finanziamenti!$F$6=1),Finanziamenti!$C$6,0)</f>
        <v>0</v>
      </c>
      <c r="AX95" s="15" t="n">
        <f aca="false">IF(AND(2&lt;&gt;7,2&lt;&gt;9,Finanziamenti!$F$8=1,OR(Parametri_v3!$C$6=0,Finanziamenti!$E$8=1),Motore_Operativo!C95=EDATE(Finanziamenti!$D$8,Ipotesi!D15*12)),Finanziamenti!$C$8*1,0)+IF(AND(2&lt;&gt;7,2&lt;&gt;9,Finanziamenti!$F$9=1,OR(Parametri_v3!$C$6=0,Finanziamenti!$E$9=1),Motore_Operativo!C95=EDATE(Finanziamenti!$D$9,Ipotesi!D15*12)),Finanziamenti!$C$9*Ipotesi!D16,0)</f>
        <v>0</v>
      </c>
      <c r="AY95" s="15" t="n">
        <f aca="false">0</f>
        <v>0</v>
      </c>
      <c r="AZ95" s="15" t="n">
        <f aca="false">Motore_Advisory!AY95*(1-Ipotesi!$C$95)*Ipotesi!$C$96</f>
        <v>0</v>
      </c>
      <c r="BA95" s="15" t="n">
        <f aca="false">MAX(0,MIN(CG95*MIN(1,IF(Motore_Operativo!C95&gt;=EDATE(Finanziamenti!$D$15,Ipotesi!D14*12),Finanziamenti!$C$15,0)+IF(Motore_Operativo!C95&gt;=EDATE(Finanziamenti!$D$16,Ipotesi!D14*12),Finanziamenti!$C$16,0)+IF(Motore_Operativo!C95&gt;=EDATE(Finanziamenti!$D$17,Ipotesi!D14*12),Finanziamenti!$C$17,0)),CA95*Ipotesi!$C$102)-(CC94))</f>
        <v>0</v>
      </c>
      <c r="BB95" s="15" t="n">
        <f aca="false">IF(AND(CF95&gt;0,Motore_Operativo!C95&gt;=IF(CF95=0,0,EDATE(CF95,Parametri_v3!$C$37)),MOD(((D95-YEAR(IF(CF95=0,0,EDATE(CF95,Parametri_v3!$C$37))))*12+E95-MONTH(IF(CF95=0,0,EDATE(CF95,Parametri_v3!$C$37)))),Parametri_v3!$C$38)=0),MIN(MAX(0,(BC94)+BA95-N95),(CC95-CD95)/(Ipotesi!$C$108*12/Parametri_v3!$C$38)),0)</f>
        <v>0</v>
      </c>
      <c r="BC95" s="15" t="n">
        <f aca="false">(BC94)+BA95-N95-BB95</f>
        <v>265392.996883967</v>
      </c>
      <c r="BD95" s="15" t="n">
        <f aca="false">(BH94)+AC95+AF95-AI95-AS95-K95*(1+Parametri_v3!$C$26)-AL95-AQ95-O95+AW95+AX95+AZ95+BA95-BB95</f>
        <v>663926.636014923</v>
      </c>
      <c r="BE95" s="15" t="n">
        <f aca="false">MAX(0,MIN(MAX(0,CH95-(BG94)),Parametri_v3!$C$30-BD95))</f>
        <v>0</v>
      </c>
      <c r="BF95" s="15" t="n">
        <f aca="false">IF(Motore_Operativo!C95&gt;=Parametri_v3!$C$63,(BG94),MIN((BG94),MAX(0,BD95-Parametri_v3!$C$30)))</f>
        <v>0</v>
      </c>
      <c r="BG95" s="15" t="n">
        <f aca="false">(BG94)+BE95-BF95</f>
        <v>0</v>
      </c>
      <c r="BH95" s="15" t="n">
        <f aca="false">BD95+BE95-BF95-AY95</f>
        <v>663926.636014923</v>
      </c>
      <c r="BI95" s="15" t="n">
        <f aca="false">MAX(0,Parametri_v3!$C$30-BH95)</f>
        <v>0</v>
      </c>
      <c r="BJ95" s="15" t="n">
        <f aca="false">(BJ94)+K95</f>
        <v>62500</v>
      </c>
      <c r="BK95" s="15" t="n">
        <f aca="false">(BK94)+L95</f>
        <v>25486.1111111111</v>
      </c>
      <c r="BL95" s="15" t="n">
        <f aca="false">BJ95-BK95</f>
        <v>37013.8888888889</v>
      </c>
      <c r="BM95" s="15" t="n">
        <f aca="false">(BM94)+Y95</f>
        <v>-817066.627829251</v>
      </c>
      <c r="BN95" s="15" t="n">
        <f aca="false">(BN94)+AW95+AX95+AZ95</f>
        <v>1330000</v>
      </c>
      <c r="BO95" s="15" t="n">
        <f aca="false">(BO94)+AY95</f>
        <v>0</v>
      </c>
      <c r="BP95" s="15" t="n">
        <f aca="false">0</f>
        <v>0</v>
      </c>
      <c r="BQ95" s="15" t="n">
        <f aca="false">BN95+BM95-BO95</f>
        <v>512933.372170749</v>
      </c>
      <c r="BR95" s="15" t="n">
        <f aca="false">BH95+AD95+BL95+MAX(0,-AM95)+MAX(0,-AR95)+AG95</f>
        <v>947333.127375146</v>
      </c>
      <c r="BS95" s="15" t="n">
        <f aca="false">AJ95+AV95+MAX(0,AM95)+MAX(0,AR95)+BC95+BG95+BQ95</f>
        <v>947333.127375147</v>
      </c>
      <c r="BT95" s="15" t="n">
        <f aca="false">BR95-BS95</f>
        <v>0</v>
      </c>
      <c r="BU95" s="15" t="n">
        <f aca="false">BH95-(BD95+BE95-BF95-AY95)</f>
        <v>0</v>
      </c>
      <c r="BV95" s="15" t="n">
        <f aca="false">MIN(Piano_SS!$C$6,(BV94)+IF(AND(Motore_Operativo!C95&gt;=EDATE(Parametri_v3!$C$24,Ipotesi!D14*12),Motore_Operativo!C95&lt;EDATE(Parametri_v3!$C$24,Parametri_v3!$C$25+Ipotesi!D14*12)),MAX(0,(Motore_Operativo!Y95+Motore_Operativo!X95*Parametri_v3!$C$14)*(1-Parametri_v3!$C$32))*Piano_SS!$D$6,0))</f>
        <v>300000</v>
      </c>
      <c r="BW95" s="15" t="n">
        <f aca="false">MIN(Piano_SS!$C$7,(BW94)+IF(AND(Motore_Operativo!C95&gt;=EDATE(Parametri_v3!$C$24,Ipotesi!D14*12),Motore_Operativo!C95&lt;EDATE(Parametri_v3!$C$24,Parametri_v3!$C$25+Ipotesi!D14*12)),MAX(0,(IF(31-(INT((Ipotesi!$C$91)/30))&lt;1,0,INDEX(Motore_Operativo!$BN$65:$BN$124,MAX(1,31-(INT((Ipotesi!$C$91)/30)))))*(1-(MOD((Ipotesi!$C$91),30)/30))+IF(31-(INT((Ipotesi!$C$91)/30))-1&lt;1,0,INDEX(Motore_Operativo!$BN$65:$BN$124,MAX(1,31-(INT((Ipotesi!$C$91)/30))-1)))*(MOD((Ipotesi!$C$91),30)/30)))*Piano_SS!$D$7,0))</f>
        <v>41058.9230070837</v>
      </c>
      <c r="BX95" s="15" t="n">
        <f aca="false">MIN(Piano_SS!$C$8,(BX94)+IF(AND(Motore_Operativo!C95&gt;=EDATE(Parametri_v3!$C$24,Ipotesi!D14*12),Motore_Operativo!C95&lt;EDATE(Parametri_v3!$C$24,Parametri_v3!$C$25+Ipotesi!D14*12)),MAX(0,Motore_Operativo!CE95)*Piano_SS!$D$8,0))</f>
        <v>50000</v>
      </c>
      <c r="BY95" s="15" t="n">
        <f aca="false">MIN(Piano_SS!$C$9,(BY94)+IF(AND(Motore_Operativo!C95&gt;=EDATE(Parametri_v3!$C$24,Ipotesi!D14*12),Motore_Operativo!C95&lt;EDATE(Parametri_v3!$C$24,Parametri_v3!$C$25+Ipotesi!D14*12)),MAX(0,((IF(31-(INT((Ipotesi!$C$91)/30))&lt;1,0,INDEX(Motore_Operativo!$BQ$65:$BQ$124,MAX(1,31-(INT((Ipotesi!$C$91)/30)))))*(1-(MOD((Ipotesi!$C$91),30)/30))+IF(31-(INT((Ipotesi!$C$91)/30))-1&lt;1,0,INDEX(Motore_Operativo!$BQ$65:$BQ$124,MAX(1,31-(INT((Ipotesi!$C$91)/30))-1)))*(MOD((Ipotesi!$C$91),30)/30))+(IF(31-(INT((Ipotesi!$C$91)/30))&lt;1,0,INDEX(Motore_Operativo!$BR$65:$BR$124,MAX(1,31-(INT((Ipotesi!$C$91)/30)))))*(1-(MOD((Ipotesi!$C$91),30)/30))+IF(31-(INT((Ipotesi!$C$91)/30))-1&lt;1,0,INDEX(Motore_Operativo!$BR$65:$BR$124,MAX(1,31-(INT((Ipotesi!$C$91)/30))-1)))*(MOD((Ipotesi!$C$91),30)/30))))*Piano_SS!$D$9,0))</f>
        <v>40000</v>
      </c>
      <c r="BZ95" s="15" t="n">
        <f aca="false">MIN(Piano_SS!$C$10,(BZ94)+IF(AND(Motore_Operativo!C95&gt;=EDATE(Parametri_v3!$C$24,Ipotesi!D14*12),Motore_Operativo!C95&lt;EDATE(Parametri_v3!$C$24,Parametri_v3!$C$25+Ipotesi!D14*12)),MAX(0,(IF(31-(INT((Ipotesi!$C$91)/30))&lt;1,0,INDEX(Motore_Operativo!$BO$65:$BO$124,MAX(1,31-(INT((Ipotesi!$C$91)/30)))))*(1-(MOD((Ipotesi!$C$91),30)/30))+IF(31-(INT((Ipotesi!$C$91)/30))-1&lt;1,0,INDEX(Motore_Operativo!$BO$65:$BO$124,MAX(1,31-(INT((Ipotesi!$C$91)/30))-1)))*(MOD((Ipotesi!$C$91),30)/30)))*Piano_SS!$D$10,0))</f>
        <v>30000</v>
      </c>
      <c r="CA95" s="15" t="n">
        <f aca="false">SUM(BV95:BZ95)</f>
        <v>461058.923007084</v>
      </c>
      <c r="CB95" s="15" t="n">
        <f aca="false">BV95*(1-Piano_SS!$E$6)+BW95*(1-Piano_SS!$E$7)+BX95*(1-Piano_SS!$E$8)+BY95*(1-Piano_SS!$E$9)+BZ95*(1-Piano_SS!$E$10)</f>
        <v>431058.923007084</v>
      </c>
      <c r="CC95" s="15" t="n">
        <f aca="false">(CC94)+BA95</f>
        <v>368847.138405667</v>
      </c>
      <c r="CD95" s="15" t="n">
        <f aca="false">IF(CA95=0,0,CC95*CB95/CA95*Ipotesi!$C$103*Parametri_v3!$C$64)</f>
        <v>103454.1415217</v>
      </c>
      <c r="CE95" s="18" t="n">
        <f aca="false">IF(BA95&gt;0,Motore_Operativo!C95,(CE94))</f>
        <v>47270</v>
      </c>
      <c r="CF95" s="18" t="n">
        <f aca="false">IF(AND(CC95&gt;0,OR(CC95&gt;=CG95-0.01,Motore_Operativo!C95&gt;=EDATE(MAX(Finanziamenti!$D$15:$D$17),Ipotesi!D14*12))),CE95,0)</f>
        <v>47270</v>
      </c>
      <c r="CG95" s="15" t="n">
        <f aca="false">IF(AND(2&lt;&gt;6,2&lt;&gt;9,Finanziamenti!$F$11=1,OR(Parametri_v3!$C$6=0,Finanziamenti!$E$11=1)),MIN(Finanziamenti!$C$11,Piano_SS!$C$12*Ipotesi!$C$102),0)</f>
        <v>400000</v>
      </c>
      <c r="CH95" s="15" t="n">
        <f aca="false">IF(AND(AND(2&lt;&gt;8,2&lt;&gt;9,Finanziamenti!$F$10=1,OR(Parametri_v3!$C$6=0,Finanziamenti!$E$10=1)),Motore_Operativo!C95&gt;=Finanziamenti!$D$10,Motore_Operativo!C95&lt;Parametri_v3!$C$63),Finanziamenti!$C$10,0)</f>
        <v>150000</v>
      </c>
    </row>
    <row r="96" customFormat="false" ht="18" hidden="false" customHeight="true" outlineLevel="0" collapsed="false">
      <c r="A96" s="68" t="n">
        <f aca="false">2</f>
        <v>2</v>
      </c>
      <c r="B96" s="68" t="n">
        <f aca="false">32</f>
        <v>32</v>
      </c>
      <c r="C96" s="18" t="n">
        <f aca="false">Motore_Operativo!C96</f>
        <v>47331</v>
      </c>
      <c r="D96" s="68" t="n">
        <f aca="false">Motore_Operativo!D96</f>
        <v>2029</v>
      </c>
      <c r="E96" s="68" t="n">
        <f aca="false">Motore_Operativo!E96</f>
        <v>8</v>
      </c>
      <c r="F96" s="15" t="n">
        <f aca="false">Motore_Operativo!AQ96+Motore_Operativo!BF96</f>
        <v>70583.8654295919</v>
      </c>
      <c r="G96" s="15" t="n">
        <f aca="false">Motore_Operativo!BH96</f>
        <v>6050</v>
      </c>
      <c r="H96" s="15" t="n">
        <f aca="false">Motore_Operativo!BI96</f>
        <v>76633.8654295919</v>
      </c>
      <c r="I96" s="15" t="n">
        <f aca="false">Motore_Operativo!CA96</f>
        <v>117216.074493476</v>
      </c>
      <c r="J96" s="15" t="n">
        <f aca="false">Motore_Operativo!CC96</f>
        <v>-40582.2090638843</v>
      </c>
      <c r="K96" s="15" t="n">
        <f aca="false">Motore_Operativo!CE96</f>
        <v>2500</v>
      </c>
      <c r="L96" s="15" t="n">
        <f aca="false">SUM(INDEX($K$65:$K$124,MAX(1,32-Parametri_v3!$C$59+1)):K96)/Parametri_v3!$C$59</f>
        <v>1805.55555555556</v>
      </c>
      <c r="M96" s="15" t="n">
        <f aca="false">J96-L96</f>
        <v>-42387.7646194398</v>
      </c>
      <c r="N96" s="15" t="n">
        <f aca="false">CD96-(CD95)</f>
        <v>0</v>
      </c>
      <c r="O96" s="15" t="n">
        <f aca="false">(BG95)*Ipotesi!$C$110/12+CH96*Parametri_v3!$C$39/12</f>
        <v>0</v>
      </c>
      <c r="P96" s="15" t="n">
        <f aca="false">M96+N96-O96</f>
        <v>-42387.7646194398</v>
      </c>
      <c r="Q96" s="15" t="n">
        <f aca="false">SUM(P89:P96)+Parametri_v3!$C$54*8/12</f>
        <v>-359027.007015002</v>
      </c>
      <c r="R96" s="15" t="n">
        <f aca="false">Z88</f>
        <v>500427.385433689</v>
      </c>
      <c r="S96" s="15" t="n">
        <f aca="false">AA88</f>
        <v>0</v>
      </c>
      <c r="T96" s="15" t="n">
        <f aca="false">MIN(R96,MAX(0,Q96))</f>
        <v>0</v>
      </c>
      <c r="U96" s="15" t="n">
        <f aca="false">MIN(S96,MAX(0,Q96-T96)*Parametri_v3!$C$42)</f>
        <v>0</v>
      </c>
      <c r="V96" s="15" t="n">
        <f aca="false">MAX(0,Q96-T96-U96)*Ipotesi!$C$92</f>
        <v>0</v>
      </c>
      <c r="W96" s="15" t="n">
        <f aca="false">MAX(0,SUM(M89:M96)+Parametri_v3!$C$55*8/12)*Ipotesi!$C$93</f>
        <v>0</v>
      </c>
      <c r="X96" s="15" t="n">
        <f aca="false">V96+W96-(V95+W95)</f>
        <v>0</v>
      </c>
      <c r="Y96" s="15" t="n">
        <f aca="false">P96-X96</f>
        <v>-42387.7646194398</v>
      </c>
      <c r="Z96" s="15" t="n">
        <f aca="false">R96-T96+IF(AND(Parametri_v3!$C$40=1,D96-YEAR(Parametri_v3!$C$50)&lt;Parametri_v3!$C$41),MAX(0,-Q96),0)</f>
        <v>859454.392448691</v>
      </c>
      <c r="AA96" s="15" t="n">
        <f aca="false">S96-U96+IF(AND(Parametri_v3!$C$40=1,D96-YEAR(Parametri_v3!$C$50)&lt;Parametri_v3!$C$41),0,MAX(0,-Q96))</f>
        <v>0</v>
      </c>
      <c r="AB96" s="15" t="n">
        <f aca="false">F96*(1+Parametri_v3!$C$26)</f>
        <v>86112.3158241022</v>
      </c>
      <c r="AC96" s="15" t="n">
        <f aca="false">(IF(32-(INT((Motore_Operativo!L96)/30))&lt;1,0,INDEX(Motore_Startup!$AB$65:$AB$124,MAX(1,32-(INT((Motore_Operativo!L96)/30)))))*(1-(MOD((Motore_Operativo!L96),30)/30))+IF(32-(INT((Motore_Operativo!L96)/30))-1&lt;1,0,INDEX(Motore_Startup!$AB$65:$AB$124,MAX(1,32-(INT((Motore_Operativo!L96)/30))-1)))*(MOD((Motore_Operativo!L96),30)/30))</f>
        <v>76421.281120974</v>
      </c>
      <c r="AD96" s="15" t="n">
        <f aca="false">(AD95)+AB96-AC96</f>
        <v>248702.637174463</v>
      </c>
      <c r="AE96" s="15" t="n">
        <f aca="false">Motore_Operativo!BH96*(1+Parametri_v3!$C$26)</f>
        <v>7381</v>
      </c>
      <c r="AF96" s="15" t="n">
        <f aca="false">(IF(32-(INT((Parametri_v3!$C$29)/30))&lt;1,0,INDEX(Motore_Operativo!$BH$65:$BH$124,MAX(1,32-(INT((Parametri_v3!$C$29)/30)))))*(1-(MOD((Parametri_v3!$C$29),30)/30))+IF(32-(INT((Parametri_v3!$C$29)/30))-1&lt;1,0,INDEX(Motore_Operativo!$BH$65:$BH$124,MAX(1,32-(INT((Parametri_v3!$C$29)/30))-1)))*(MOD((Parametri_v3!$C$29),30)/30))*(1+Parametri_v3!$C$26)</f>
        <v>7381</v>
      </c>
      <c r="AG96" s="15" t="n">
        <f aca="false">(AG95)+AE96-AF96</f>
        <v>7381</v>
      </c>
      <c r="AH96" s="15" t="n">
        <f aca="false">(Motore_Operativo!CJ96)*(1+Parametri_v3!$C$27*Parametri_v3!$C$26)</f>
        <v>50972.6380904229</v>
      </c>
      <c r="AI96" s="15" t="n">
        <f aca="false">(IF(32-(INT((Ipotesi!$C$91)/30))&lt;1,0,INDEX(Motore_Startup!$AH$65:$AH$124,MAX(1,32-(INT((Ipotesi!$C$91)/30)))))*(1-(MOD((Ipotesi!$C$91),30)/30))+IF(32-(INT((Ipotesi!$C$91)/30))-1&lt;1,0,INDEX(Motore_Startup!$AH$65:$AH$124,MAX(1,32-(INT((Ipotesi!$C$91)/30))-1)))*(MOD((Ipotesi!$C$91),30)/30))</f>
        <v>50096.4763662768</v>
      </c>
      <c r="AJ96" s="15" t="n">
        <f aca="false">(AJ95)+AH96-AI96</f>
        <v>101509.118490815</v>
      </c>
      <c r="AK96" s="15" t="n">
        <f aca="false">(F96+ Motore_Operativo!BH96-(Motore_Operativo!CJ96)*Parametri_v3!$C$27-Motore_Operativo!CE96)*Parametri_v3!$C$26</f>
        <v>8279.22013089684</v>
      </c>
      <c r="AL96" s="15" t="n">
        <f aca="false">MAX(0,(AM95))</f>
        <v>7770.51822042779</v>
      </c>
      <c r="AM96" s="15" t="n">
        <f aca="false">(AM95)+AK96-AL96</f>
        <v>8279.22013089684</v>
      </c>
      <c r="AN96" s="15" t="n">
        <f aca="false">SUM(X77:X88)</f>
        <v>0</v>
      </c>
      <c r="AO96" s="15" t="n">
        <f aca="false">SUM(AP77:AP88)</f>
        <v>0</v>
      </c>
      <c r="AP96" s="15" t="n">
        <f aca="false">MAX(0,AN96)*IF(8=Parametri_v3!$C$43,Parametri_v3!$C$45,IF(8=Parametri_v3!$C$44,1-Parametri_v3!$C$45,0))</f>
        <v>0</v>
      </c>
      <c r="AQ96" s="15" t="n">
        <f aca="false">MAX(0,AP96+IF(8=Parametri_v3!$C$43,MAX(0,AN96-AO96),0)-MAX(0,-(AR95)))</f>
        <v>0</v>
      </c>
      <c r="AR96" s="15" t="n">
        <f aca="false">(AR95)+X96-AQ96</f>
        <v>0</v>
      </c>
      <c r="AS96" s="15" t="n">
        <f aca="false">Motore_Operativo!AB96-AT96+AU96</f>
        <v>70559.9833333333</v>
      </c>
      <c r="AT96" s="15" t="n">
        <f aca="false">Motore_Operativo!CH96</f>
        <v>3713.68333333333</v>
      </c>
      <c r="AU96" s="15" t="n">
        <f aca="false">MIN(MAX(0,(AV95)+AT96),Parametri_v3!$C$60/12)</f>
        <v>0</v>
      </c>
      <c r="AV96" s="15" t="n">
        <f aca="false">(AV95)+AT96-AU96</f>
        <v>64316.9666666667</v>
      </c>
      <c r="AW96" s="15" t="n">
        <f aca="false">IF(AND(Motore_Operativo!C96=Finanziamenti!$D$6,Finanziamenti!$F$6=1),Finanziamenti!$C$6,0)</f>
        <v>0</v>
      </c>
      <c r="AX96" s="15" t="n">
        <f aca="false">IF(AND(2&lt;&gt;7,2&lt;&gt;9,Finanziamenti!$F$8=1,OR(Parametri_v3!$C$6=0,Finanziamenti!$E$8=1),Motore_Operativo!C96=EDATE(Finanziamenti!$D$8,Ipotesi!D15*12)),Finanziamenti!$C$8*1,0)+IF(AND(2&lt;&gt;7,2&lt;&gt;9,Finanziamenti!$F$9=1,OR(Parametri_v3!$C$6=0,Finanziamenti!$E$9=1),Motore_Operativo!C96=EDATE(Finanziamenti!$D$9,Ipotesi!D15*12)),Finanziamenti!$C$9*Ipotesi!D16,0)</f>
        <v>0</v>
      </c>
      <c r="AY96" s="15" t="n">
        <f aca="false">0</f>
        <v>0</v>
      </c>
      <c r="AZ96" s="15" t="n">
        <f aca="false">Motore_Advisory!AY96*(1-Ipotesi!$C$95)*Ipotesi!$C$96</f>
        <v>0</v>
      </c>
      <c r="BA96" s="15" t="n">
        <f aca="false">MAX(0,MIN(CG96*MIN(1,IF(Motore_Operativo!C96&gt;=EDATE(Finanziamenti!$D$15,Ipotesi!D14*12),Finanziamenti!$C$15,0)+IF(Motore_Operativo!C96&gt;=EDATE(Finanziamenti!$D$16,Ipotesi!D14*12),Finanziamenti!$C$16,0)+IF(Motore_Operativo!C96&gt;=EDATE(Finanziamenti!$D$17,Ipotesi!D14*12),Finanziamenti!$C$17,0)),CA96*Ipotesi!$C$102)-(CC95))</f>
        <v>0</v>
      </c>
      <c r="BB96" s="15" t="n">
        <f aca="false">IF(AND(CF96&gt;0,Motore_Operativo!C96&gt;=IF(CF96=0,0,EDATE(CF96,Parametri_v3!$C$37)),MOD(((D96-YEAR(IF(CF96=0,0,EDATE(CF96,Parametri_v3!$C$37))))*12+E96-MONTH(IF(CF96=0,0,EDATE(CF96,Parametri_v3!$C$37)))),Parametri_v3!$C$38)=0),MIN(MAX(0,(BC95)+BA96-N96),(CC96-CD96)/(Ipotesi!$C$108*12/Parametri_v3!$C$38)),0)</f>
        <v>0</v>
      </c>
      <c r="BC96" s="15" t="n">
        <f aca="false">(BC95)+BA96-N96-BB96</f>
        <v>265392.996883967</v>
      </c>
      <c r="BD96" s="15" t="n">
        <f aca="false">(BH95)+AC96+AF96-AI96-AS96-K96*(1+Parametri_v3!$C$26)-AL96-AQ96-O96+AW96+AX96+AZ96+BA96-BB96</f>
        <v>616251.939215859</v>
      </c>
      <c r="BE96" s="15" t="n">
        <f aca="false">MAX(0,MIN(MAX(0,CH96-(BG95)),Parametri_v3!$C$30-BD96))</f>
        <v>0</v>
      </c>
      <c r="BF96" s="15" t="n">
        <f aca="false">IF(Motore_Operativo!C96&gt;=Parametri_v3!$C$63,(BG95),MIN((BG95),MAX(0,BD96-Parametri_v3!$C$30)))</f>
        <v>0</v>
      </c>
      <c r="BG96" s="15" t="n">
        <f aca="false">(BG95)+BE96-BF96</f>
        <v>0</v>
      </c>
      <c r="BH96" s="15" t="n">
        <f aca="false">BD96+BE96-BF96-AY96</f>
        <v>616251.939215859</v>
      </c>
      <c r="BI96" s="15" t="n">
        <f aca="false">MAX(0,Parametri_v3!$C$30-BH96)</f>
        <v>0</v>
      </c>
      <c r="BJ96" s="15" t="n">
        <f aca="false">(BJ95)+K96</f>
        <v>65000</v>
      </c>
      <c r="BK96" s="15" t="n">
        <f aca="false">(BK95)+L96</f>
        <v>27291.6666666667</v>
      </c>
      <c r="BL96" s="15" t="n">
        <f aca="false">BJ96-BK96</f>
        <v>37708.3333333333</v>
      </c>
      <c r="BM96" s="15" t="n">
        <f aca="false">(BM95)+Y96</f>
        <v>-859454.392448691</v>
      </c>
      <c r="BN96" s="15" t="n">
        <f aca="false">(BN95)+AW96+AX96+AZ96</f>
        <v>1330000</v>
      </c>
      <c r="BO96" s="15" t="n">
        <f aca="false">(BO95)+AY96</f>
        <v>0</v>
      </c>
      <c r="BP96" s="15" t="n">
        <f aca="false">0</f>
        <v>0</v>
      </c>
      <c r="BQ96" s="15" t="n">
        <f aca="false">BN96+BM96-BO96</f>
        <v>470545.60755131</v>
      </c>
      <c r="BR96" s="15" t="n">
        <f aca="false">BH96+AD96+BL96+MAX(0,-AM96)+MAX(0,-AR96)+AG96</f>
        <v>910043.909723655</v>
      </c>
      <c r="BS96" s="15" t="n">
        <f aca="false">AJ96+AV96+MAX(0,AM96)+MAX(0,AR96)+BC96+BG96+BQ96</f>
        <v>910043.909723655</v>
      </c>
      <c r="BT96" s="15" t="n">
        <f aca="false">BR96-BS96</f>
        <v>0</v>
      </c>
      <c r="BU96" s="15" t="n">
        <f aca="false">BH96-(BD96+BE96-BF96-AY96)</f>
        <v>0</v>
      </c>
      <c r="BV96" s="15" t="n">
        <f aca="false">MIN(Piano_SS!$C$6,(BV95)+IF(AND(Motore_Operativo!C96&gt;=EDATE(Parametri_v3!$C$24,Ipotesi!D14*12),Motore_Operativo!C96&lt;EDATE(Parametri_v3!$C$24,Parametri_v3!$C$25+Ipotesi!D14*12)),MAX(0,(Motore_Operativo!Y96+Motore_Operativo!X96*Parametri_v3!$C$14)*(1-Parametri_v3!$C$32))*Piano_SS!$D$6,0))</f>
        <v>300000</v>
      </c>
      <c r="BW96" s="15" t="n">
        <f aca="false">MIN(Piano_SS!$C$7,(BW95)+IF(AND(Motore_Operativo!C96&gt;=EDATE(Parametri_v3!$C$24,Ipotesi!D14*12),Motore_Operativo!C96&lt;EDATE(Parametri_v3!$C$24,Parametri_v3!$C$25+Ipotesi!D14*12)),MAX(0,(IF(32-(INT((Ipotesi!$C$91)/30))&lt;1,0,INDEX(Motore_Operativo!$BN$65:$BN$124,MAX(1,32-(INT((Ipotesi!$C$91)/30)))))*(1-(MOD((Ipotesi!$C$91),30)/30))+IF(32-(INT((Ipotesi!$C$91)/30))-1&lt;1,0,INDEX(Motore_Operativo!$BN$65:$BN$124,MAX(1,32-(INT((Ipotesi!$C$91)/30))-1)))*(MOD((Ipotesi!$C$91),30)/30)))*Piano_SS!$D$7,0))</f>
        <v>41058.9230070837</v>
      </c>
      <c r="BX96" s="15" t="n">
        <f aca="false">MIN(Piano_SS!$C$8,(BX95)+IF(AND(Motore_Operativo!C96&gt;=EDATE(Parametri_v3!$C$24,Ipotesi!D14*12),Motore_Operativo!C96&lt;EDATE(Parametri_v3!$C$24,Parametri_v3!$C$25+Ipotesi!D14*12)),MAX(0,Motore_Operativo!CE96)*Piano_SS!$D$8,0))</f>
        <v>50000</v>
      </c>
      <c r="BY96" s="15" t="n">
        <f aca="false">MIN(Piano_SS!$C$9,(BY95)+IF(AND(Motore_Operativo!C96&gt;=EDATE(Parametri_v3!$C$24,Ipotesi!D14*12),Motore_Operativo!C96&lt;EDATE(Parametri_v3!$C$24,Parametri_v3!$C$25+Ipotesi!D14*12)),MAX(0,((IF(32-(INT((Ipotesi!$C$91)/30))&lt;1,0,INDEX(Motore_Operativo!$BQ$65:$BQ$124,MAX(1,32-(INT((Ipotesi!$C$91)/30)))))*(1-(MOD((Ipotesi!$C$91),30)/30))+IF(32-(INT((Ipotesi!$C$91)/30))-1&lt;1,0,INDEX(Motore_Operativo!$BQ$65:$BQ$124,MAX(1,32-(INT((Ipotesi!$C$91)/30))-1)))*(MOD((Ipotesi!$C$91),30)/30))+(IF(32-(INT((Ipotesi!$C$91)/30))&lt;1,0,INDEX(Motore_Operativo!$BR$65:$BR$124,MAX(1,32-(INT((Ipotesi!$C$91)/30)))))*(1-(MOD((Ipotesi!$C$91),30)/30))+IF(32-(INT((Ipotesi!$C$91)/30))-1&lt;1,0,INDEX(Motore_Operativo!$BR$65:$BR$124,MAX(1,32-(INT((Ipotesi!$C$91)/30))-1)))*(MOD((Ipotesi!$C$91),30)/30))))*Piano_SS!$D$9,0))</f>
        <v>40000</v>
      </c>
      <c r="BZ96" s="15" t="n">
        <f aca="false">MIN(Piano_SS!$C$10,(BZ95)+IF(AND(Motore_Operativo!C96&gt;=EDATE(Parametri_v3!$C$24,Ipotesi!D14*12),Motore_Operativo!C96&lt;EDATE(Parametri_v3!$C$24,Parametri_v3!$C$25+Ipotesi!D14*12)),MAX(0,(IF(32-(INT((Ipotesi!$C$91)/30))&lt;1,0,INDEX(Motore_Operativo!$BO$65:$BO$124,MAX(1,32-(INT((Ipotesi!$C$91)/30)))))*(1-(MOD((Ipotesi!$C$91),30)/30))+IF(32-(INT((Ipotesi!$C$91)/30))-1&lt;1,0,INDEX(Motore_Operativo!$BO$65:$BO$124,MAX(1,32-(INT((Ipotesi!$C$91)/30))-1)))*(MOD((Ipotesi!$C$91),30)/30)))*Piano_SS!$D$10,0))</f>
        <v>30000</v>
      </c>
      <c r="CA96" s="15" t="n">
        <f aca="false">SUM(BV96:BZ96)</f>
        <v>461058.923007084</v>
      </c>
      <c r="CB96" s="15" t="n">
        <f aca="false">BV96*(1-Piano_SS!$E$6)+BW96*(1-Piano_SS!$E$7)+BX96*(1-Piano_SS!$E$8)+BY96*(1-Piano_SS!$E$9)+BZ96*(1-Piano_SS!$E$10)</f>
        <v>431058.923007084</v>
      </c>
      <c r="CC96" s="15" t="n">
        <f aca="false">(CC95)+BA96</f>
        <v>368847.138405667</v>
      </c>
      <c r="CD96" s="15" t="n">
        <f aca="false">IF(CA96=0,0,CC96*CB96/CA96*Ipotesi!$C$103*Parametri_v3!$C$64)</f>
        <v>103454.1415217</v>
      </c>
      <c r="CE96" s="18" t="n">
        <f aca="false">IF(BA96&gt;0,Motore_Operativo!C96,(CE95))</f>
        <v>47270</v>
      </c>
      <c r="CF96" s="18" t="n">
        <f aca="false">IF(AND(CC96&gt;0,OR(CC96&gt;=CG96-0.01,Motore_Operativo!C96&gt;=EDATE(MAX(Finanziamenti!$D$15:$D$17),Ipotesi!D14*12))),CE96,0)</f>
        <v>47270</v>
      </c>
      <c r="CG96" s="15" t="n">
        <f aca="false">IF(AND(2&lt;&gt;6,2&lt;&gt;9,Finanziamenti!$F$11=1,OR(Parametri_v3!$C$6=0,Finanziamenti!$E$11=1)),MIN(Finanziamenti!$C$11,Piano_SS!$C$12*Ipotesi!$C$102),0)</f>
        <v>400000</v>
      </c>
      <c r="CH96" s="15" t="n">
        <f aca="false">IF(AND(AND(2&lt;&gt;8,2&lt;&gt;9,Finanziamenti!$F$10=1,OR(Parametri_v3!$C$6=0,Finanziamenti!$E$10=1)),Motore_Operativo!C96&gt;=Finanziamenti!$D$10,Motore_Operativo!C96&lt;Parametri_v3!$C$63),Finanziamenti!$C$10,0)</f>
        <v>150000</v>
      </c>
    </row>
    <row r="97" customFormat="false" ht="18" hidden="false" customHeight="true" outlineLevel="0" collapsed="false">
      <c r="A97" s="68" t="n">
        <f aca="false">2</f>
        <v>2</v>
      </c>
      <c r="B97" s="68" t="n">
        <f aca="false">33</f>
        <v>33</v>
      </c>
      <c r="C97" s="18" t="n">
        <f aca="false">Motore_Operativo!C97</f>
        <v>47362</v>
      </c>
      <c r="D97" s="68" t="n">
        <f aca="false">Motore_Operativo!D97</f>
        <v>2029</v>
      </c>
      <c r="E97" s="68" t="n">
        <f aca="false">Motore_Operativo!E97</f>
        <v>9</v>
      </c>
      <c r="F97" s="15" t="n">
        <f aca="false">Motore_Operativo!AQ97+Motore_Operativo!BF97</f>
        <v>73185.5321114401</v>
      </c>
      <c r="G97" s="15" t="n">
        <f aca="false">Motore_Operativo!BH97</f>
        <v>6050</v>
      </c>
      <c r="H97" s="15" t="n">
        <f aca="false">Motore_Operativo!BI97</f>
        <v>79235.5321114401</v>
      </c>
      <c r="I97" s="15" t="n">
        <f aca="false">Motore_Operativo!CA97</f>
        <v>117580.307828935</v>
      </c>
      <c r="J97" s="15" t="n">
        <f aca="false">Motore_Operativo!CC97</f>
        <v>-38344.7757174948</v>
      </c>
      <c r="K97" s="15" t="n">
        <f aca="false">Motore_Operativo!CE97</f>
        <v>2500</v>
      </c>
      <c r="L97" s="15" t="n">
        <f aca="false">SUM(INDEX($K$65:$K$124,MAX(1,33-Parametri_v3!$C$59+1)):K97)/Parametri_v3!$C$59</f>
        <v>1875</v>
      </c>
      <c r="M97" s="15" t="n">
        <f aca="false">J97-L97</f>
        <v>-40219.7757174948</v>
      </c>
      <c r="N97" s="15" t="n">
        <f aca="false">CD97-(CD96)</f>
        <v>0</v>
      </c>
      <c r="O97" s="15" t="n">
        <f aca="false">(BG96)*Ipotesi!$C$110/12+CH97*Parametri_v3!$C$39/12</f>
        <v>0</v>
      </c>
      <c r="P97" s="15" t="n">
        <f aca="false">M97+N97-O97</f>
        <v>-40219.7757174948</v>
      </c>
      <c r="Q97" s="15" t="n">
        <f aca="false">SUM(P89:P97)+Parametri_v3!$C$54*9/12</f>
        <v>-399246.782732497</v>
      </c>
      <c r="R97" s="15" t="n">
        <f aca="false">Z88</f>
        <v>500427.385433689</v>
      </c>
      <c r="S97" s="15" t="n">
        <f aca="false">AA88</f>
        <v>0</v>
      </c>
      <c r="T97" s="15" t="n">
        <f aca="false">MIN(R97,MAX(0,Q97))</f>
        <v>0</v>
      </c>
      <c r="U97" s="15" t="n">
        <f aca="false">MIN(S97,MAX(0,Q97-T97)*Parametri_v3!$C$42)</f>
        <v>0</v>
      </c>
      <c r="V97" s="15" t="n">
        <f aca="false">MAX(0,Q97-T97-U97)*Ipotesi!$C$92</f>
        <v>0</v>
      </c>
      <c r="W97" s="15" t="n">
        <f aca="false">MAX(0,SUM(M89:M97)+Parametri_v3!$C$55*9/12)*Ipotesi!$C$93</f>
        <v>0</v>
      </c>
      <c r="X97" s="15" t="n">
        <f aca="false">V97+W97-(V96+W96)</f>
        <v>0</v>
      </c>
      <c r="Y97" s="15" t="n">
        <f aca="false">P97-X97</f>
        <v>-40219.7757174948</v>
      </c>
      <c r="Z97" s="15" t="n">
        <f aca="false">R97-T97+IF(AND(Parametri_v3!$C$40=1,D97-YEAR(Parametri_v3!$C$50)&lt;Parametri_v3!$C$41),MAX(0,-Q97),0)</f>
        <v>899674.168166185</v>
      </c>
      <c r="AA97" s="15" t="n">
        <f aca="false">S97-U97+IF(AND(Parametri_v3!$C$40=1,D97-YEAR(Parametri_v3!$C$50)&lt;Parametri_v3!$C$41),0,MAX(0,-Q97))</f>
        <v>0</v>
      </c>
      <c r="AB97" s="15" t="n">
        <f aca="false">F97*(1+Parametri_v3!$C$26)</f>
        <v>89286.349175957</v>
      </c>
      <c r="AC97" s="15" t="n">
        <f aca="false">(IF(33-(INT((Motore_Operativo!L97)/30))&lt;1,0,INDEX(Motore_Startup!$AB$65:$AB$124,MAX(1,33-(INT((Motore_Operativo!L97)/30)))))*(1-(MOD((Motore_Operativo!L97),30)/30))+IF(33-(INT((Motore_Operativo!L97)/30))-1&lt;1,0,INDEX(Motore_Startup!$AB$65:$AB$124,MAX(1,33-(INT((Motore_Operativo!L97)/30))-1)))*(MOD((Motore_Operativo!L97),30)/30))</f>
        <v>79680.029727952</v>
      </c>
      <c r="AD97" s="15" t="n">
        <f aca="false">(AD96)+AB97-AC97</f>
        <v>258308.956622468</v>
      </c>
      <c r="AE97" s="15" t="n">
        <f aca="false">Motore_Operativo!BH97*(1+Parametri_v3!$C$26)</f>
        <v>7381</v>
      </c>
      <c r="AF97" s="15" t="n">
        <f aca="false">(IF(33-(INT((Parametri_v3!$C$29)/30))&lt;1,0,INDEX(Motore_Operativo!$BH$65:$BH$124,MAX(1,33-(INT((Parametri_v3!$C$29)/30)))))*(1-(MOD((Parametri_v3!$C$29),30)/30))+IF(33-(INT((Parametri_v3!$C$29)/30))-1&lt;1,0,INDEX(Motore_Operativo!$BH$65:$BH$124,MAX(1,33-(INT((Parametri_v3!$C$29)/30))-1)))*(MOD((Parametri_v3!$C$29),30)/30))*(1+Parametri_v3!$C$26)</f>
        <v>7381</v>
      </c>
      <c r="AG97" s="15" t="n">
        <f aca="false">(AG96)+AE97-AF97</f>
        <v>7381</v>
      </c>
      <c r="AH97" s="15" t="n">
        <f aca="false">(Motore_Operativo!CJ97)*(1+Parametri_v3!$C$27*Parametri_v3!$C$26)</f>
        <v>51404.9830596125</v>
      </c>
      <c r="AI97" s="15" t="n">
        <f aca="false">(IF(33-(INT((Ipotesi!$C$91)/30))&lt;1,0,INDEX(Motore_Startup!$AH$65:$AH$124,MAX(1,33-(INT((Ipotesi!$C$91)/30)))))*(1-(MOD((Ipotesi!$C$91),30)/30))+IF(33-(INT((Ipotesi!$C$91)/30))-1&lt;1,0,INDEX(Motore_Startup!$AH$65:$AH$124,MAX(1,33-(INT((Ipotesi!$C$91)/30))-1)))*(MOD((Ipotesi!$C$91),30)/30))</f>
        <v>50536.4804003922</v>
      </c>
      <c r="AJ97" s="15" t="n">
        <f aca="false">(AJ96)+AH97-AI97</f>
        <v>102377.621150035</v>
      </c>
      <c r="AK97" s="15" t="n">
        <f aca="false">(F97+ Motore_Operativo!BH97-(Motore_Operativo!CJ97)*Parametri_v3!$C$27-Motore_Operativo!CE97)*Parametri_v3!$C$26</f>
        <v>8783.47516717266</v>
      </c>
      <c r="AL97" s="15" t="n">
        <f aca="false">MAX(0,(AM96))</f>
        <v>8279.22013089684</v>
      </c>
      <c r="AM97" s="15" t="n">
        <f aca="false">(AM96)+AK97-AL97</f>
        <v>8783.47516717266</v>
      </c>
      <c r="AN97" s="15" t="n">
        <f aca="false">SUM(X77:X88)</f>
        <v>0</v>
      </c>
      <c r="AO97" s="15" t="n">
        <f aca="false">SUM(AP77:AP88)</f>
        <v>0</v>
      </c>
      <c r="AP97" s="15" t="n">
        <f aca="false">MAX(0,AN97)*IF(9=Parametri_v3!$C$43,Parametri_v3!$C$45,IF(9=Parametri_v3!$C$44,1-Parametri_v3!$C$45,0))</f>
        <v>0</v>
      </c>
      <c r="AQ97" s="15" t="n">
        <f aca="false">MAX(0,AP97+IF(9=Parametri_v3!$C$43,MAX(0,AN97-AO97),0)-MAX(0,-(AR96)))</f>
        <v>0</v>
      </c>
      <c r="AR97" s="15" t="n">
        <f aca="false">(AR96)+X97-AQ97</f>
        <v>0</v>
      </c>
      <c r="AS97" s="15" t="n">
        <f aca="false">Motore_Operativo!AB97-AT97+AU97</f>
        <v>70559.9833333333</v>
      </c>
      <c r="AT97" s="15" t="n">
        <f aca="false">Motore_Operativo!CH97</f>
        <v>3713.68333333333</v>
      </c>
      <c r="AU97" s="15" t="n">
        <f aca="false">MIN(MAX(0,(AV96)+AT97),Parametri_v3!$C$60/12)</f>
        <v>0</v>
      </c>
      <c r="AV97" s="15" t="n">
        <f aca="false">(AV96)+AT97-AU97</f>
        <v>68030.65</v>
      </c>
      <c r="AW97" s="15" t="n">
        <f aca="false">IF(AND(Motore_Operativo!C97=Finanziamenti!$D$6,Finanziamenti!$F$6=1),Finanziamenti!$C$6,0)</f>
        <v>0</v>
      </c>
      <c r="AX97" s="15" t="n">
        <f aca="false">IF(AND(2&lt;&gt;7,2&lt;&gt;9,Finanziamenti!$F$8=1,OR(Parametri_v3!$C$6=0,Finanziamenti!$E$8=1),Motore_Operativo!C97=EDATE(Finanziamenti!$D$8,Ipotesi!D15*12)),Finanziamenti!$C$8*1,0)+IF(AND(2&lt;&gt;7,2&lt;&gt;9,Finanziamenti!$F$9=1,OR(Parametri_v3!$C$6=0,Finanziamenti!$E$9=1),Motore_Operativo!C97=EDATE(Finanziamenti!$D$9,Ipotesi!D15*12)),Finanziamenti!$C$9*Ipotesi!D16,0)</f>
        <v>0</v>
      </c>
      <c r="AY97" s="15" t="n">
        <f aca="false">0</f>
        <v>0</v>
      </c>
      <c r="AZ97" s="15" t="n">
        <f aca="false">Motore_Advisory!AY97*(1-Ipotesi!$C$95)*Ipotesi!$C$96</f>
        <v>0</v>
      </c>
      <c r="BA97" s="15" t="n">
        <f aca="false">MAX(0,MIN(CG97*MIN(1,IF(Motore_Operativo!C97&gt;=EDATE(Finanziamenti!$D$15,Ipotesi!D14*12),Finanziamenti!$C$15,0)+IF(Motore_Operativo!C97&gt;=EDATE(Finanziamenti!$D$16,Ipotesi!D14*12),Finanziamenti!$C$16,0)+IF(Motore_Operativo!C97&gt;=EDATE(Finanziamenti!$D$17,Ipotesi!D14*12),Finanziamenti!$C$17,0)),CA97*Ipotesi!$C$102)-(CC96))</f>
        <v>0</v>
      </c>
      <c r="BB97" s="15" t="n">
        <f aca="false">IF(AND(CF97&gt;0,Motore_Operativo!C97&gt;=IF(CF97=0,0,EDATE(CF97,Parametri_v3!$C$37)),MOD(((D97-YEAR(IF(CF97=0,0,EDATE(CF97,Parametri_v3!$C$37))))*12+E97-MONTH(IF(CF97=0,0,EDATE(CF97,Parametri_v3!$C$37)))),Parametri_v3!$C$38)=0),MIN(MAX(0,(BC96)+BA97-N97),(CC97-CD97)/(Ipotesi!$C$108*12/Parametri_v3!$C$38)),0)</f>
        <v>0</v>
      </c>
      <c r="BC97" s="15" t="n">
        <f aca="false">(BC96)+BA97-N97-BB97</f>
        <v>265392.996883967</v>
      </c>
      <c r="BD97" s="15" t="n">
        <f aca="false">(BH96)+AC97+AF97-AI97-AS97-K97*(1+Parametri_v3!$C$26)-AL97-AQ97-O97+AW97+AX97+AZ97+BA97-BB97</f>
        <v>570887.285079188</v>
      </c>
      <c r="BE97" s="15" t="n">
        <f aca="false">MAX(0,MIN(MAX(0,CH97-(BG96)),Parametri_v3!$C$30-BD97))</f>
        <v>0</v>
      </c>
      <c r="BF97" s="15" t="n">
        <f aca="false">IF(Motore_Operativo!C97&gt;=Parametri_v3!$C$63,(BG96),MIN((BG96),MAX(0,BD97-Parametri_v3!$C$30)))</f>
        <v>0</v>
      </c>
      <c r="BG97" s="15" t="n">
        <f aca="false">(BG96)+BE97-BF97</f>
        <v>0</v>
      </c>
      <c r="BH97" s="15" t="n">
        <f aca="false">BD97+BE97-BF97-AY97</f>
        <v>570887.285079188</v>
      </c>
      <c r="BI97" s="15" t="n">
        <f aca="false">MAX(0,Parametri_v3!$C$30-BH97)</f>
        <v>0</v>
      </c>
      <c r="BJ97" s="15" t="n">
        <f aca="false">(BJ96)+K97</f>
        <v>67500</v>
      </c>
      <c r="BK97" s="15" t="n">
        <f aca="false">(BK96)+L97</f>
        <v>29166.6666666667</v>
      </c>
      <c r="BL97" s="15" t="n">
        <f aca="false">BJ97-BK97</f>
        <v>38333.3333333333</v>
      </c>
      <c r="BM97" s="15" t="n">
        <f aca="false">(BM96)+Y97</f>
        <v>-899674.168166185</v>
      </c>
      <c r="BN97" s="15" t="n">
        <f aca="false">(BN96)+AW97+AX97+AZ97</f>
        <v>1330000</v>
      </c>
      <c r="BO97" s="15" t="n">
        <f aca="false">(BO96)+AY97</f>
        <v>0</v>
      </c>
      <c r="BP97" s="15" t="n">
        <f aca="false">0</f>
        <v>0</v>
      </c>
      <c r="BQ97" s="15" t="n">
        <f aca="false">BN97+BM97-BO97</f>
        <v>430325.831833815</v>
      </c>
      <c r="BR97" s="15" t="n">
        <f aca="false">BH97+AD97+BL97+MAX(0,-AM97)+MAX(0,-AR97)+AG97</f>
        <v>874910.575034989</v>
      </c>
      <c r="BS97" s="15" t="n">
        <f aca="false">AJ97+AV97+MAX(0,AM97)+MAX(0,AR97)+BC97+BG97+BQ97</f>
        <v>874910.57503499</v>
      </c>
      <c r="BT97" s="15" t="n">
        <f aca="false">BR97-BS97</f>
        <v>0</v>
      </c>
      <c r="BU97" s="15" t="n">
        <f aca="false">BH97-(BD97+BE97-BF97-AY97)</f>
        <v>0</v>
      </c>
      <c r="BV97" s="15" t="n">
        <f aca="false">MIN(Piano_SS!$C$6,(BV96)+IF(AND(Motore_Operativo!C97&gt;=EDATE(Parametri_v3!$C$24,Ipotesi!D14*12),Motore_Operativo!C97&lt;EDATE(Parametri_v3!$C$24,Parametri_v3!$C$25+Ipotesi!D14*12)),MAX(0,(Motore_Operativo!Y97+Motore_Operativo!X97*Parametri_v3!$C$14)*(1-Parametri_v3!$C$32))*Piano_SS!$D$6,0))</f>
        <v>300000</v>
      </c>
      <c r="BW97" s="15" t="n">
        <f aca="false">MIN(Piano_SS!$C$7,(BW96)+IF(AND(Motore_Operativo!C97&gt;=EDATE(Parametri_v3!$C$24,Ipotesi!D14*12),Motore_Operativo!C97&lt;EDATE(Parametri_v3!$C$24,Parametri_v3!$C$25+Ipotesi!D14*12)),MAX(0,(IF(33-(INT((Ipotesi!$C$91)/30))&lt;1,0,INDEX(Motore_Operativo!$BN$65:$BN$124,MAX(1,33-(INT((Ipotesi!$C$91)/30)))))*(1-(MOD((Ipotesi!$C$91),30)/30))+IF(33-(INT((Ipotesi!$C$91)/30))-1&lt;1,0,INDEX(Motore_Operativo!$BN$65:$BN$124,MAX(1,33-(INT((Ipotesi!$C$91)/30))-1)))*(MOD((Ipotesi!$C$91),30)/30)))*Piano_SS!$D$7,0))</f>
        <v>41058.9230070837</v>
      </c>
      <c r="BX97" s="15" t="n">
        <f aca="false">MIN(Piano_SS!$C$8,(BX96)+IF(AND(Motore_Operativo!C97&gt;=EDATE(Parametri_v3!$C$24,Ipotesi!D14*12),Motore_Operativo!C97&lt;EDATE(Parametri_v3!$C$24,Parametri_v3!$C$25+Ipotesi!D14*12)),MAX(0,Motore_Operativo!CE97)*Piano_SS!$D$8,0))</f>
        <v>50000</v>
      </c>
      <c r="BY97" s="15" t="n">
        <f aca="false">MIN(Piano_SS!$C$9,(BY96)+IF(AND(Motore_Operativo!C97&gt;=EDATE(Parametri_v3!$C$24,Ipotesi!D14*12),Motore_Operativo!C97&lt;EDATE(Parametri_v3!$C$24,Parametri_v3!$C$25+Ipotesi!D14*12)),MAX(0,((IF(33-(INT((Ipotesi!$C$91)/30))&lt;1,0,INDEX(Motore_Operativo!$BQ$65:$BQ$124,MAX(1,33-(INT((Ipotesi!$C$91)/30)))))*(1-(MOD((Ipotesi!$C$91),30)/30))+IF(33-(INT((Ipotesi!$C$91)/30))-1&lt;1,0,INDEX(Motore_Operativo!$BQ$65:$BQ$124,MAX(1,33-(INT((Ipotesi!$C$91)/30))-1)))*(MOD((Ipotesi!$C$91),30)/30))+(IF(33-(INT((Ipotesi!$C$91)/30))&lt;1,0,INDEX(Motore_Operativo!$BR$65:$BR$124,MAX(1,33-(INT((Ipotesi!$C$91)/30)))))*(1-(MOD((Ipotesi!$C$91),30)/30))+IF(33-(INT((Ipotesi!$C$91)/30))-1&lt;1,0,INDEX(Motore_Operativo!$BR$65:$BR$124,MAX(1,33-(INT((Ipotesi!$C$91)/30))-1)))*(MOD((Ipotesi!$C$91),30)/30))))*Piano_SS!$D$9,0))</f>
        <v>40000</v>
      </c>
      <c r="BZ97" s="15" t="n">
        <f aca="false">MIN(Piano_SS!$C$10,(BZ96)+IF(AND(Motore_Operativo!C97&gt;=EDATE(Parametri_v3!$C$24,Ipotesi!D14*12),Motore_Operativo!C97&lt;EDATE(Parametri_v3!$C$24,Parametri_v3!$C$25+Ipotesi!D14*12)),MAX(0,(IF(33-(INT((Ipotesi!$C$91)/30))&lt;1,0,INDEX(Motore_Operativo!$BO$65:$BO$124,MAX(1,33-(INT((Ipotesi!$C$91)/30)))))*(1-(MOD((Ipotesi!$C$91),30)/30))+IF(33-(INT((Ipotesi!$C$91)/30))-1&lt;1,0,INDEX(Motore_Operativo!$BO$65:$BO$124,MAX(1,33-(INT((Ipotesi!$C$91)/30))-1)))*(MOD((Ipotesi!$C$91),30)/30)))*Piano_SS!$D$10,0))</f>
        <v>30000</v>
      </c>
      <c r="CA97" s="15" t="n">
        <f aca="false">SUM(BV97:BZ97)</f>
        <v>461058.923007084</v>
      </c>
      <c r="CB97" s="15" t="n">
        <f aca="false">BV97*(1-Piano_SS!$E$6)+BW97*(1-Piano_SS!$E$7)+BX97*(1-Piano_SS!$E$8)+BY97*(1-Piano_SS!$E$9)+BZ97*(1-Piano_SS!$E$10)</f>
        <v>431058.923007084</v>
      </c>
      <c r="CC97" s="15" t="n">
        <f aca="false">(CC96)+BA97</f>
        <v>368847.138405667</v>
      </c>
      <c r="CD97" s="15" t="n">
        <f aca="false">IF(CA97=0,0,CC97*CB97/CA97*Ipotesi!$C$103*Parametri_v3!$C$64)</f>
        <v>103454.1415217</v>
      </c>
      <c r="CE97" s="18" t="n">
        <f aca="false">IF(BA97&gt;0,Motore_Operativo!C97,(CE96))</f>
        <v>47270</v>
      </c>
      <c r="CF97" s="18" t="n">
        <f aca="false">IF(AND(CC97&gt;0,OR(CC97&gt;=CG97-0.01,Motore_Operativo!C97&gt;=EDATE(MAX(Finanziamenti!$D$15:$D$17),Ipotesi!D14*12))),CE97,0)</f>
        <v>47270</v>
      </c>
      <c r="CG97" s="15" t="n">
        <f aca="false">IF(AND(2&lt;&gt;6,2&lt;&gt;9,Finanziamenti!$F$11=1,OR(Parametri_v3!$C$6=0,Finanziamenti!$E$11=1)),MIN(Finanziamenti!$C$11,Piano_SS!$C$12*Ipotesi!$C$102),0)</f>
        <v>400000</v>
      </c>
      <c r="CH97" s="15" t="n">
        <f aca="false">IF(AND(AND(2&lt;&gt;8,2&lt;&gt;9,Finanziamenti!$F$10=1,OR(Parametri_v3!$C$6=0,Finanziamenti!$E$10=1)),Motore_Operativo!C97&gt;=Finanziamenti!$D$10,Motore_Operativo!C97&lt;Parametri_v3!$C$63),Finanziamenti!$C$10,0)</f>
        <v>150000</v>
      </c>
    </row>
    <row r="98" customFormat="false" ht="18" hidden="false" customHeight="true" outlineLevel="0" collapsed="false">
      <c r="A98" s="68" t="n">
        <f aca="false">2</f>
        <v>2</v>
      </c>
      <c r="B98" s="68" t="n">
        <f aca="false">34</f>
        <v>34</v>
      </c>
      <c r="C98" s="18" t="n">
        <f aca="false">Motore_Operativo!C98</f>
        <v>47392</v>
      </c>
      <c r="D98" s="68" t="n">
        <f aca="false">Motore_Operativo!D98</f>
        <v>2029</v>
      </c>
      <c r="E98" s="68" t="n">
        <f aca="false">Motore_Operativo!E98</f>
        <v>10</v>
      </c>
      <c r="F98" s="15" t="n">
        <f aca="false">Motore_Operativo!AQ98+Motore_Operativo!BF98</f>
        <v>75764.4560353218</v>
      </c>
      <c r="G98" s="15" t="n">
        <f aca="false">Motore_Operativo!BH98</f>
        <v>6050</v>
      </c>
      <c r="H98" s="15" t="n">
        <f aca="false">Motore_Operativo!BI98</f>
        <v>81814.4560353218</v>
      </c>
      <c r="I98" s="15" t="n">
        <f aca="false">Motore_Operativo!CA98</f>
        <v>117941.357178278</v>
      </c>
      <c r="J98" s="15" t="n">
        <f aca="false">Motore_Operativo!CC98</f>
        <v>-36126.9011429566</v>
      </c>
      <c r="K98" s="15" t="n">
        <f aca="false">Motore_Operativo!CE98</f>
        <v>2500</v>
      </c>
      <c r="L98" s="15" t="n">
        <f aca="false">SUM(INDEX($K$65:$K$124,MAX(1,34-Parametri_v3!$C$59+1)):K98)/Parametri_v3!$C$59</f>
        <v>1944.44444444444</v>
      </c>
      <c r="M98" s="15" t="n">
        <f aca="false">J98-L98</f>
        <v>-38071.345587401</v>
      </c>
      <c r="N98" s="15" t="n">
        <f aca="false">CD98-(CD97)</f>
        <v>0</v>
      </c>
      <c r="O98" s="15" t="n">
        <f aca="false">(BG97)*Ipotesi!$C$110/12+CH98*Parametri_v3!$C$39/12</f>
        <v>0</v>
      </c>
      <c r="P98" s="15" t="n">
        <f aca="false">M98+N98-O98</f>
        <v>-38071.345587401</v>
      </c>
      <c r="Q98" s="15" t="n">
        <f aca="false">SUM(P89:P98)+Parametri_v3!$C$54*10/12</f>
        <v>-437318.128319898</v>
      </c>
      <c r="R98" s="15" t="n">
        <f aca="false">Z88</f>
        <v>500427.385433689</v>
      </c>
      <c r="S98" s="15" t="n">
        <f aca="false">AA88</f>
        <v>0</v>
      </c>
      <c r="T98" s="15" t="n">
        <f aca="false">MIN(R98,MAX(0,Q98))</f>
        <v>0</v>
      </c>
      <c r="U98" s="15" t="n">
        <f aca="false">MIN(S98,MAX(0,Q98-T98)*Parametri_v3!$C$42)</f>
        <v>0</v>
      </c>
      <c r="V98" s="15" t="n">
        <f aca="false">MAX(0,Q98-T98-U98)*Ipotesi!$C$92</f>
        <v>0</v>
      </c>
      <c r="W98" s="15" t="n">
        <f aca="false">MAX(0,SUM(M89:M98)+Parametri_v3!$C$55*10/12)*Ipotesi!$C$93</f>
        <v>0</v>
      </c>
      <c r="X98" s="15" t="n">
        <f aca="false">V98+W98-(V97+W97)</f>
        <v>0</v>
      </c>
      <c r="Y98" s="15" t="n">
        <f aca="false">P98-X98</f>
        <v>-38071.345587401</v>
      </c>
      <c r="Z98" s="15" t="n">
        <f aca="false">R98-T98+IF(AND(Parametri_v3!$C$40=1,D98-YEAR(Parametri_v3!$C$50)&lt;Parametri_v3!$C$41),MAX(0,-Q98),0)</f>
        <v>937745.513753586</v>
      </c>
      <c r="AA98" s="15" t="n">
        <f aca="false">S98-U98+IF(AND(Parametri_v3!$C$40=1,D98-YEAR(Parametri_v3!$C$50)&lt;Parametri_v3!$C$41),0,MAX(0,-Q98))</f>
        <v>0</v>
      </c>
      <c r="AB98" s="15" t="n">
        <f aca="false">F98*(1+Parametri_v3!$C$26)</f>
        <v>92432.6363630927</v>
      </c>
      <c r="AC98" s="15" t="n">
        <f aca="false">(IF(34-(INT((Motore_Operativo!L98)/30))&lt;1,0,INDEX(Motore_Startup!$AB$65:$AB$124,MAX(1,34-(INT((Motore_Operativo!L98)/30)))))*(1-(MOD((Motore_Operativo!L98),30)/30))+IF(34-(INT((Motore_Operativo!L98)/30))-1&lt;1,0,INDEX(Motore_Startup!$AB$65:$AB$124,MAX(1,34-(INT((Motore_Operativo!L98)/30))-1)))*(MOD((Motore_Operativo!L98),30)/30))</f>
        <v>82910.2916224086</v>
      </c>
      <c r="AD98" s="15" t="n">
        <f aca="false">(AD97)+AB98-AC98</f>
        <v>267831.301363152</v>
      </c>
      <c r="AE98" s="15" t="n">
        <f aca="false">Motore_Operativo!BH98*(1+Parametri_v3!$C$26)</f>
        <v>7381</v>
      </c>
      <c r="AF98" s="15" t="n">
        <f aca="false">(IF(34-(INT((Parametri_v3!$C$29)/30))&lt;1,0,INDEX(Motore_Operativo!$BH$65:$BH$124,MAX(1,34-(INT((Parametri_v3!$C$29)/30)))))*(1-(MOD((Parametri_v3!$C$29),30)/30))+IF(34-(INT((Parametri_v3!$C$29)/30))-1&lt;1,0,INDEX(Motore_Operativo!$BH$65:$BH$124,MAX(1,34-(INT((Parametri_v3!$C$29)/30))-1)))*(MOD((Parametri_v3!$C$29),30)/30))*(1+Parametri_v3!$C$26)</f>
        <v>7381</v>
      </c>
      <c r="AG98" s="15" t="n">
        <f aca="false">(AG97)+AE98-AF98</f>
        <v>7381</v>
      </c>
      <c r="AH98" s="15" t="n">
        <f aca="false">(Motore_Operativo!CJ98)*(1+Parametri_v3!$C$27*Parametri_v3!$C$26)</f>
        <v>51833.5486372831</v>
      </c>
      <c r="AI98" s="15" t="n">
        <f aca="false">(IF(34-(INT((Ipotesi!$C$91)/30))&lt;1,0,INDEX(Motore_Startup!$AH$65:$AH$124,MAX(1,34-(INT((Ipotesi!$C$91)/30)))))*(1-(MOD((Ipotesi!$C$91),30)/30))+IF(34-(INT((Ipotesi!$C$91)/30))-1&lt;1,0,INDEX(Motore_Startup!$AH$65:$AH$124,MAX(1,34-(INT((Ipotesi!$C$91)/30))-1)))*(MOD((Ipotesi!$C$91),30)/30))</f>
        <v>50972.6380904229</v>
      </c>
      <c r="AJ98" s="15" t="n">
        <f aca="false">(AJ97)+AH98-AI98</f>
        <v>103238.531696896</v>
      </c>
      <c r="AK98" s="15" t="n">
        <f aca="false">(F98+ Motore_Operativo!BH98-(Motore_Operativo!CJ98)*Parametri_v3!$C$27-Motore_Operativo!CE98)*Parametri_v3!$C$26</f>
        <v>9283.32220209941</v>
      </c>
      <c r="AL98" s="15" t="n">
        <f aca="false">MAX(0,(AM97))</f>
        <v>8783.47516717266</v>
      </c>
      <c r="AM98" s="15" t="n">
        <f aca="false">(AM97)+AK98-AL98</f>
        <v>9283.32220209941</v>
      </c>
      <c r="AN98" s="15" t="n">
        <f aca="false">SUM(X77:X88)</f>
        <v>0</v>
      </c>
      <c r="AO98" s="15" t="n">
        <f aca="false">SUM(AP77:AP88)</f>
        <v>0</v>
      </c>
      <c r="AP98" s="15" t="n">
        <f aca="false">MAX(0,AN98)*IF(10=Parametri_v3!$C$43,Parametri_v3!$C$45,IF(10=Parametri_v3!$C$44,1-Parametri_v3!$C$45,0))</f>
        <v>0</v>
      </c>
      <c r="AQ98" s="15" t="n">
        <f aca="false">MAX(0,AP98+IF(10=Parametri_v3!$C$43,MAX(0,AN98-AO98),0)-MAX(0,-(AR97)))</f>
        <v>0</v>
      </c>
      <c r="AR98" s="15" t="n">
        <f aca="false">(AR97)+X98-AQ98</f>
        <v>0</v>
      </c>
      <c r="AS98" s="15" t="n">
        <f aca="false">Motore_Operativo!AB98-AT98+AU98</f>
        <v>70559.9833333333</v>
      </c>
      <c r="AT98" s="15" t="n">
        <f aca="false">Motore_Operativo!CH98</f>
        <v>3713.68333333333</v>
      </c>
      <c r="AU98" s="15" t="n">
        <f aca="false">MIN(MAX(0,(AV97)+AT98),Parametri_v3!$C$60/12)</f>
        <v>0</v>
      </c>
      <c r="AV98" s="15" t="n">
        <f aca="false">(AV97)+AT98-AU98</f>
        <v>71744.3333333333</v>
      </c>
      <c r="AW98" s="15" t="n">
        <f aca="false">IF(AND(Motore_Operativo!C98=Finanziamenti!$D$6,Finanziamenti!$F$6=1),Finanziamenti!$C$6,0)</f>
        <v>0</v>
      </c>
      <c r="AX98" s="15" t="n">
        <f aca="false">IF(AND(2&lt;&gt;7,2&lt;&gt;9,Finanziamenti!$F$8=1,OR(Parametri_v3!$C$6=0,Finanziamenti!$E$8=1),Motore_Operativo!C98=EDATE(Finanziamenti!$D$8,Ipotesi!D15*12)),Finanziamenti!$C$8*1,0)+IF(AND(2&lt;&gt;7,2&lt;&gt;9,Finanziamenti!$F$9=1,OR(Parametri_v3!$C$6=0,Finanziamenti!$E$9=1),Motore_Operativo!C98=EDATE(Finanziamenti!$D$9,Ipotesi!D15*12)),Finanziamenti!$C$9*Ipotesi!D16,0)</f>
        <v>0</v>
      </c>
      <c r="AY98" s="15" t="n">
        <f aca="false">0</f>
        <v>0</v>
      </c>
      <c r="AZ98" s="15" t="n">
        <f aca="false">Motore_Advisory!AY98*(1-Ipotesi!$C$95)*Ipotesi!$C$96</f>
        <v>0</v>
      </c>
      <c r="BA98" s="15" t="n">
        <f aca="false">MAX(0,MIN(CG98*MIN(1,IF(Motore_Operativo!C98&gt;=EDATE(Finanziamenti!$D$15,Ipotesi!D14*12),Finanziamenti!$C$15,0)+IF(Motore_Operativo!C98&gt;=EDATE(Finanziamenti!$D$16,Ipotesi!D14*12),Finanziamenti!$C$16,0)+IF(Motore_Operativo!C98&gt;=EDATE(Finanziamenti!$D$17,Ipotesi!D14*12),Finanziamenti!$C$17,0)),CA98*Ipotesi!$C$102)-(CC97))</f>
        <v>0</v>
      </c>
      <c r="BB98" s="15" t="n">
        <f aca="false">IF(AND(CF98&gt;0,Motore_Operativo!C98&gt;=IF(CF98=0,0,EDATE(CF98,Parametri_v3!$C$37)),MOD(((D98-YEAR(IF(CF98=0,0,EDATE(CF98,Parametri_v3!$C$37))))*12+E98-MONTH(IF(CF98=0,0,EDATE(CF98,Parametri_v3!$C$37)))),Parametri_v3!$C$38)=0),MIN(MAX(0,(BC97)+BA98-N98),(CC98-CD98)/(Ipotesi!$C$108*12/Parametri_v3!$C$38)),0)</f>
        <v>0</v>
      </c>
      <c r="BC98" s="15" t="n">
        <f aca="false">(BC97)+BA98-N98-BB98</f>
        <v>265392.996883967</v>
      </c>
      <c r="BD98" s="15" t="n">
        <f aca="false">(BH97)+AC98+AF98-AI98-AS98-K98*(1+Parametri_v3!$C$26)-AL98-AQ98-O98+AW98+AX98+AZ98+BA98-BB98</f>
        <v>527812.480110668</v>
      </c>
      <c r="BE98" s="15" t="n">
        <f aca="false">MAX(0,MIN(MAX(0,CH98-(BG97)),Parametri_v3!$C$30-BD98))</f>
        <v>0</v>
      </c>
      <c r="BF98" s="15" t="n">
        <f aca="false">IF(Motore_Operativo!C98&gt;=Parametri_v3!$C$63,(BG97),MIN((BG97),MAX(0,BD98-Parametri_v3!$C$30)))</f>
        <v>0</v>
      </c>
      <c r="BG98" s="15" t="n">
        <f aca="false">(BG97)+BE98-BF98</f>
        <v>0</v>
      </c>
      <c r="BH98" s="15" t="n">
        <f aca="false">BD98+BE98-BF98-AY98</f>
        <v>527812.480110668</v>
      </c>
      <c r="BI98" s="15" t="n">
        <f aca="false">MAX(0,Parametri_v3!$C$30-BH98)</f>
        <v>0</v>
      </c>
      <c r="BJ98" s="15" t="n">
        <f aca="false">(BJ97)+K98</f>
        <v>70000</v>
      </c>
      <c r="BK98" s="15" t="n">
        <f aca="false">(BK97)+L98</f>
        <v>31111.1111111111</v>
      </c>
      <c r="BL98" s="15" t="n">
        <f aca="false">BJ98-BK98</f>
        <v>38888.8888888889</v>
      </c>
      <c r="BM98" s="15" t="n">
        <f aca="false">(BM97)+Y98</f>
        <v>-937745.513753586</v>
      </c>
      <c r="BN98" s="15" t="n">
        <f aca="false">(BN97)+AW98+AX98+AZ98</f>
        <v>1330000</v>
      </c>
      <c r="BO98" s="15" t="n">
        <f aca="false">(BO97)+AY98</f>
        <v>0</v>
      </c>
      <c r="BP98" s="15" t="n">
        <f aca="false">0</f>
        <v>0</v>
      </c>
      <c r="BQ98" s="15" t="n">
        <f aca="false">BN98+BM98-BO98</f>
        <v>392254.486246414</v>
      </c>
      <c r="BR98" s="15" t="n">
        <f aca="false">BH98+AD98+BL98+MAX(0,-AM98)+MAX(0,-AR98)+AG98</f>
        <v>841913.670362709</v>
      </c>
      <c r="BS98" s="15" t="n">
        <f aca="false">AJ98+AV98+MAX(0,AM98)+MAX(0,AR98)+BC98+BG98+BQ98</f>
        <v>841913.670362709</v>
      </c>
      <c r="BT98" s="15" t="n">
        <f aca="false">BR98-BS98</f>
        <v>0</v>
      </c>
      <c r="BU98" s="15" t="n">
        <f aca="false">BH98-(BD98+BE98-BF98-AY98)</f>
        <v>0</v>
      </c>
      <c r="BV98" s="15" t="n">
        <f aca="false">MIN(Piano_SS!$C$6,(BV97)+IF(AND(Motore_Operativo!C98&gt;=EDATE(Parametri_v3!$C$24,Ipotesi!D14*12),Motore_Operativo!C98&lt;EDATE(Parametri_v3!$C$24,Parametri_v3!$C$25+Ipotesi!D14*12)),MAX(0,(Motore_Operativo!Y98+Motore_Operativo!X98*Parametri_v3!$C$14)*(1-Parametri_v3!$C$32))*Piano_SS!$D$6,0))</f>
        <v>300000</v>
      </c>
      <c r="BW98" s="15" t="n">
        <f aca="false">MIN(Piano_SS!$C$7,(BW97)+IF(AND(Motore_Operativo!C98&gt;=EDATE(Parametri_v3!$C$24,Ipotesi!D14*12),Motore_Operativo!C98&lt;EDATE(Parametri_v3!$C$24,Parametri_v3!$C$25+Ipotesi!D14*12)),MAX(0,(IF(34-(INT((Ipotesi!$C$91)/30))&lt;1,0,INDEX(Motore_Operativo!$BN$65:$BN$124,MAX(1,34-(INT((Ipotesi!$C$91)/30)))))*(1-(MOD((Ipotesi!$C$91),30)/30))+IF(34-(INT((Ipotesi!$C$91)/30))-1&lt;1,0,INDEX(Motore_Operativo!$BN$65:$BN$124,MAX(1,34-(INT((Ipotesi!$C$91)/30))-1)))*(MOD((Ipotesi!$C$91),30)/30)))*Piano_SS!$D$7,0))</f>
        <v>41058.9230070837</v>
      </c>
      <c r="BX98" s="15" t="n">
        <f aca="false">MIN(Piano_SS!$C$8,(BX97)+IF(AND(Motore_Operativo!C98&gt;=EDATE(Parametri_v3!$C$24,Ipotesi!D14*12),Motore_Operativo!C98&lt;EDATE(Parametri_v3!$C$24,Parametri_v3!$C$25+Ipotesi!D14*12)),MAX(0,Motore_Operativo!CE98)*Piano_SS!$D$8,0))</f>
        <v>50000</v>
      </c>
      <c r="BY98" s="15" t="n">
        <f aca="false">MIN(Piano_SS!$C$9,(BY97)+IF(AND(Motore_Operativo!C98&gt;=EDATE(Parametri_v3!$C$24,Ipotesi!D14*12),Motore_Operativo!C98&lt;EDATE(Parametri_v3!$C$24,Parametri_v3!$C$25+Ipotesi!D14*12)),MAX(0,((IF(34-(INT((Ipotesi!$C$91)/30))&lt;1,0,INDEX(Motore_Operativo!$BQ$65:$BQ$124,MAX(1,34-(INT((Ipotesi!$C$91)/30)))))*(1-(MOD((Ipotesi!$C$91),30)/30))+IF(34-(INT((Ipotesi!$C$91)/30))-1&lt;1,0,INDEX(Motore_Operativo!$BQ$65:$BQ$124,MAX(1,34-(INT((Ipotesi!$C$91)/30))-1)))*(MOD((Ipotesi!$C$91),30)/30))+(IF(34-(INT((Ipotesi!$C$91)/30))&lt;1,0,INDEX(Motore_Operativo!$BR$65:$BR$124,MAX(1,34-(INT((Ipotesi!$C$91)/30)))))*(1-(MOD((Ipotesi!$C$91),30)/30))+IF(34-(INT((Ipotesi!$C$91)/30))-1&lt;1,0,INDEX(Motore_Operativo!$BR$65:$BR$124,MAX(1,34-(INT((Ipotesi!$C$91)/30))-1)))*(MOD((Ipotesi!$C$91),30)/30))))*Piano_SS!$D$9,0))</f>
        <v>40000</v>
      </c>
      <c r="BZ98" s="15" t="n">
        <f aca="false">MIN(Piano_SS!$C$10,(BZ97)+IF(AND(Motore_Operativo!C98&gt;=EDATE(Parametri_v3!$C$24,Ipotesi!D14*12),Motore_Operativo!C98&lt;EDATE(Parametri_v3!$C$24,Parametri_v3!$C$25+Ipotesi!D14*12)),MAX(0,(IF(34-(INT((Ipotesi!$C$91)/30))&lt;1,0,INDEX(Motore_Operativo!$BO$65:$BO$124,MAX(1,34-(INT((Ipotesi!$C$91)/30)))))*(1-(MOD((Ipotesi!$C$91),30)/30))+IF(34-(INT((Ipotesi!$C$91)/30))-1&lt;1,0,INDEX(Motore_Operativo!$BO$65:$BO$124,MAX(1,34-(INT((Ipotesi!$C$91)/30))-1)))*(MOD((Ipotesi!$C$91),30)/30)))*Piano_SS!$D$10,0))</f>
        <v>30000</v>
      </c>
      <c r="CA98" s="15" t="n">
        <f aca="false">SUM(BV98:BZ98)</f>
        <v>461058.923007084</v>
      </c>
      <c r="CB98" s="15" t="n">
        <f aca="false">BV98*(1-Piano_SS!$E$6)+BW98*(1-Piano_SS!$E$7)+BX98*(1-Piano_SS!$E$8)+BY98*(1-Piano_SS!$E$9)+BZ98*(1-Piano_SS!$E$10)</f>
        <v>431058.923007084</v>
      </c>
      <c r="CC98" s="15" t="n">
        <f aca="false">(CC97)+BA98</f>
        <v>368847.138405667</v>
      </c>
      <c r="CD98" s="15" t="n">
        <f aca="false">IF(CA98=0,0,CC98*CB98/CA98*Ipotesi!$C$103*Parametri_v3!$C$64)</f>
        <v>103454.1415217</v>
      </c>
      <c r="CE98" s="18" t="n">
        <f aca="false">IF(BA98&gt;0,Motore_Operativo!C98,(CE97))</f>
        <v>47270</v>
      </c>
      <c r="CF98" s="18" t="n">
        <f aca="false">IF(AND(CC98&gt;0,OR(CC98&gt;=CG98-0.01,Motore_Operativo!C98&gt;=EDATE(MAX(Finanziamenti!$D$15:$D$17),Ipotesi!D14*12))),CE98,0)</f>
        <v>47270</v>
      </c>
      <c r="CG98" s="15" t="n">
        <f aca="false">IF(AND(2&lt;&gt;6,2&lt;&gt;9,Finanziamenti!$F$11=1,OR(Parametri_v3!$C$6=0,Finanziamenti!$E$11=1)),MIN(Finanziamenti!$C$11,Piano_SS!$C$12*Ipotesi!$C$102),0)</f>
        <v>400000</v>
      </c>
      <c r="CH98" s="15" t="n">
        <f aca="false">IF(AND(AND(2&lt;&gt;8,2&lt;&gt;9,Finanziamenti!$F$10=1,OR(Parametri_v3!$C$6=0,Finanziamenti!$E$10=1)),Motore_Operativo!C98&gt;=Finanziamenti!$D$10,Motore_Operativo!C98&lt;Parametri_v3!$C$63),Finanziamenti!$C$10,0)</f>
        <v>150000</v>
      </c>
    </row>
    <row r="99" customFormat="false" ht="18" hidden="false" customHeight="true" outlineLevel="0" collapsed="false">
      <c r="A99" s="68" t="n">
        <f aca="false">2</f>
        <v>2</v>
      </c>
      <c r="B99" s="68" t="n">
        <f aca="false">35</f>
        <v>35</v>
      </c>
      <c r="C99" s="18" t="n">
        <f aca="false">Motore_Operativo!C99</f>
        <v>47423</v>
      </c>
      <c r="D99" s="68" t="n">
        <f aca="false">Motore_Operativo!D99</f>
        <v>2029</v>
      </c>
      <c r="E99" s="68" t="n">
        <f aca="false">Motore_Operativo!E99</f>
        <v>11</v>
      </c>
      <c r="F99" s="15" t="n">
        <f aca="false">Motore_Operativo!AQ99+Motore_Operativo!BF99</f>
        <v>78320.8360095792</v>
      </c>
      <c r="G99" s="15" t="n">
        <f aca="false">Motore_Operativo!BH99</f>
        <v>6050</v>
      </c>
      <c r="H99" s="15" t="n">
        <f aca="false">Motore_Operativo!BI99</f>
        <v>84370.8360095792</v>
      </c>
      <c r="I99" s="15" t="n">
        <f aca="false">Motore_Operativo!CA99</f>
        <v>118299.250374674</v>
      </c>
      <c r="J99" s="15" t="n">
        <f aca="false">Motore_Operativo!CC99</f>
        <v>-33928.4143650952</v>
      </c>
      <c r="K99" s="15" t="n">
        <f aca="false">Motore_Operativo!CE99</f>
        <v>2500</v>
      </c>
      <c r="L99" s="15" t="n">
        <f aca="false">SUM(INDEX($K$65:$K$124,MAX(1,35-Parametri_v3!$C$59+1)):K99)/Parametri_v3!$C$59</f>
        <v>2013.88888888889</v>
      </c>
      <c r="M99" s="15" t="n">
        <f aca="false">J99-L99</f>
        <v>-35942.3032539841</v>
      </c>
      <c r="N99" s="15" t="n">
        <f aca="false">CD99-(CD98)</f>
        <v>0</v>
      </c>
      <c r="O99" s="15" t="n">
        <f aca="false">(BG98)*Ipotesi!$C$110/12+CH99*Parametri_v3!$C$39/12</f>
        <v>0</v>
      </c>
      <c r="P99" s="15" t="n">
        <f aca="false">M99+N99-O99</f>
        <v>-35942.3032539841</v>
      </c>
      <c r="Q99" s="15" t="n">
        <f aca="false">SUM(P89:P99)+Parametri_v3!$C$54*11/12</f>
        <v>-473260.431573882</v>
      </c>
      <c r="R99" s="15" t="n">
        <f aca="false">Z88</f>
        <v>500427.385433689</v>
      </c>
      <c r="S99" s="15" t="n">
        <f aca="false">AA88</f>
        <v>0</v>
      </c>
      <c r="T99" s="15" t="n">
        <f aca="false">MIN(R99,MAX(0,Q99))</f>
        <v>0</v>
      </c>
      <c r="U99" s="15" t="n">
        <f aca="false">MIN(S99,MAX(0,Q99-T99)*Parametri_v3!$C$42)</f>
        <v>0</v>
      </c>
      <c r="V99" s="15" t="n">
        <f aca="false">MAX(0,Q99-T99-U99)*Ipotesi!$C$92</f>
        <v>0</v>
      </c>
      <c r="W99" s="15" t="n">
        <f aca="false">MAX(0,SUM(M89:M99)+Parametri_v3!$C$55*11/12)*Ipotesi!$C$93</f>
        <v>0</v>
      </c>
      <c r="X99" s="15" t="n">
        <f aca="false">V99+W99-(V98+W98)</f>
        <v>0</v>
      </c>
      <c r="Y99" s="15" t="n">
        <f aca="false">P99-X99</f>
        <v>-35942.3032539841</v>
      </c>
      <c r="Z99" s="15" t="n">
        <f aca="false">R99-T99+IF(AND(Parametri_v3!$C$40=1,D99-YEAR(Parametri_v3!$C$50)&lt;Parametri_v3!$C$41),MAX(0,-Q99),0)</f>
        <v>973687.817007571</v>
      </c>
      <c r="AA99" s="15" t="n">
        <f aca="false">S99-U99+IF(AND(Parametri_v3!$C$40=1,D99-YEAR(Parametri_v3!$C$50)&lt;Parametri_v3!$C$41),0,MAX(0,-Q99))</f>
        <v>0</v>
      </c>
      <c r="AB99" s="15" t="n">
        <f aca="false">F99*(1+Parametri_v3!$C$26)</f>
        <v>95551.4199316866</v>
      </c>
      <c r="AC99" s="15" t="n">
        <f aca="false">(IF(35-(INT((Motore_Operativo!L99)/30))&lt;1,0,INDEX(Motore_Startup!$AB$65:$AB$124,MAX(1,35-(INT((Motore_Operativo!L99)/30)))))*(1-(MOD((Motore_Operativo!L99),30)/30))+IF(35-(INT((Motore_Operativo!L99)/30))-1&lt;1,0,INDEX(Motore_Startup!$AB$65:$AB$124,MAX(1,35-(INT((Motore_Operativo!L99)/30))-1)))*(MOD((Motore_Operativo!L99),30)/30))</f>
        <v>86112.3158241022</v>
      </c>
      <c r="AD99" s="15" t="n">
        <f aca="false">(AD98)+AB99-AC99</f>
        <v>277270.405470736</v>
      </c>
      <c r="AE99" s="15" t="n">
        <f aca="false">Motore_Operativo!BH99*(1+Parametri_v3!$C$26)</f>
        <v>7381</v>
      </c>
      <c r="AF99" s="15" t="n">
        <f aca="false">(IF(35-(INT((Parametri_v3!$C$29)/30))&lt;1,0,INDEX(Motore_Operativo!$BH$65:$BH$124,MAX(1,35-(INT((Parametri_v3!$C$29)/30)))))*(1-(MOD((Parametri_v3!$C$29),30)/30))+IF(35-(INT((Parametri_v3!$C$29)/30))-1&lt;1,0,INDEX(Motore_Operativo!$BH$65:$BH$124,MAX(1,35-(INT((Parametri_v3!$C$29)/30))-1)))*(MOD((Parametri_v3!$C$29),30)/30))*(1+Parametri_v3!$C$26)</f>
        <v>7381</v>
      </c>
      <c r="AG99" s="15" t="n">
        <f aca="false">(AG98)+AE99-AF99</f>
        <v>7381</v>
      </c>
      <c r="AH99" s="15" t="n">
        <f aca="false">(Motore_Operativo!CJ99)*(1+Parametri_v3!$C$27*Parametri_v3!$C$26)</f>
        <v>52258.3678614052</v>
      </c>
      <c r="AI99" s="15" t="n">
        <f aca="false">(IF(35-(INT((Ipotesi!$C$91)/30))&lt;1,0,INDEX(Motore_Startup!$AH$65:$AH$124,MAX(1,35-(INT((Ipotesi!$C$91)/30)))))*(1-(MOD((Ipotesi!$C$91),30)/30))+IF(35-(INT((Ipotesi!$C$91)/30))-1&lt;1,0,INDEX(Motore_Startup!$AH$65:$AH$124,MAX(1,35-(INT((Ipotesi!$C$91)/30))-1)))*(MOD((Ipotesi!$C$91),30)/30))</f>
        <v>51404.9830596125</v>
      </c>
      <c r="AJ99" s="15" t="n">
        <f aca="false">(AJ98)+AH99-AI99</f>
        <v>104091.916498688</v>
      </c>
      <c r="AK99" s="15" t="n">
        <f aca="false">(F99+ Motore_Operativo!BH99-(Motore_Operativo!CJ99)*Parametri_v3!$C$27-Motore_Operativo!CE99)*Parametri_v3!$C$26</f>
        <v>9778.79976870998</v>
      </c>
      <c r="AL99" s="15" t="n">
        <f aca="false">MAX(0,(AM98))</f>
        <v>9283.32220209941</v>
      </c>
      <c r="AM99" s="15" t="n">
        <f aca="false">(AM98)+AK99-AL99</f>
        <v>9778.79976870997</v>
      </c>
      <c r="AN99" s="15" t="n">
        <f aca="false">SUM(X77:X88)</f>
        <v>0</v>
      </c>
      <c r="AO99" s="15" t="n">
        <f aca="false">SUM(AP77:AP88)</f>
        <v>0</v>
      </c>
      <c r="AP99" s="15" t="n">
        <f aca="false">MAX(0,AN99)*IF(11=Parametri_v3!$C$43,Parametri_v3!$C$45,IF(11=Parametri_v3!$C$44,1-Parametri_v3!$C$45,0))</f>
        <v>0</v>
      </c>
      <c r="AQ99" s="15" t="n">
        <f aca="false">MAX(0,AP99+IF(11=Parametri_v3!$C$43,MAX(0,AN99-AO99),0)-MAX(0,-(AR98)))</f>
        <v>0</v>
      </c>
      <c r="AR99" s="15" t="n">
        <f aca="false">(AR98)+X99-AQ99</f>
        <v>0</v>
      </c>
      <c r="AS99" s="15" t="n">
        <f aca="false">Motore_Operativo!AB99-AT99+AU99</f>
        <v>70559.9833333333</v>
      </c>
      <c r="AT99" s="15" t="n">
        <f aca="false">Motore_Operativo!CH99</f>
        <v>3713.68333333333</v>
      </c>
      <c r="AU99" s="15" t="n">
        <f aca="false">MIN(MAX(0,(AV98)+AT99),Parametri_v3!$C$60/12)</f>
        <v>0</v>
      </c>
      <c r="AV99" s="15" t="n">
        <f aca="false">(AV98)+AT99-AU99</f>
        <v>75458.0166666667</v>
      </c>
      <c r="AW99" s="15" t="n">
        <f aca="false">IF(AND(Motore_Operativo!C99=Finanziamenti!$D$6,Finanziamenti!$F$6=1),Finanziamenti!$C$6,0)</f>
        <v>0</v>
      </c>
      <c r="AX99" s="15" t="n">
        <f aca="false">IF(AND(2&lt;&gt;7,2&lt;&gt;9,Finanziamenti!$F$8=1,OR(Parametri_v3!$C$6=0,Finanziamenti!$E$8=1),Motore_Operativo!C99=EDATE(Finanziamenti!$D$8,Ipotesi!D15*12)),Finanziamenti!$C$8*1,0)+IF(AND(2&lt;&gt;7,2&lt;&gt;9,Finanziamenti!$F$9=1,OR(Parametri_v3!$C$6=0,Finanziamenti!$E$9=1),Motore_Operativo!C99=EDATE(Finanziamenti!$D$9,Ipotesi!D15*12)),Finanziamenti!$C$9*Ipotesi!D16,0)</f>
        <v>0</v>
      </c>
      <c r="AY99" s="15" t="n">
        <f aca="false">0</f>
        <v>0</v>
      </c>
      <c r="AZ99" s="15" t="n">
        <f aca="false">Motore_Advisory!AY99*(1-Ipotesi!$C$95)*Ipotesi!$C$96</f>
        <v>0</v>
      </c>
      <c r="BA99" s="15" t="n">
        <f aca="false">MAX(0,MIN(CG99*MIN(1,IF(Motore_Operativo!C99&gt;=EDATE(Finanziamenti!$D$15,Ipotesi!D14*12),Finanziamenti!$C$15,0)+IF(Motore_Operativo!C99&gt;=EDATE(Finanziamenti!$D$16,Ipotesi!D14*12),Finanziamenti!$C$16,0)+IF(Motore_Operativo!C99&gt;=EDATE(Finanziamenti!$D$17,Ipotesi!D14*12),Finanziamenti!$C$17,0)),CA99*Ipotesi!$C$102)-(CC98))</f>
        <v>0</v>
      </c>
      <c r="BB99" s="15" t="n">
        <f aca="false">IF(AND(CF99&gt;0,Motore_Operativo!C99&gt;=IF(CF99=0,0,EDATE(CF99,Parametri_v3!$C$37)),MOD(((D99-YEAR(IF(CF99=0,0,EDATE(CF99,Parametri_v3!$C$37))))*12+E99-MONTH(IF(CF99=0,0,EDATE(CF99,Parametri_v3!$C$37)))),Parametri_v3!$C$38)=0),MIN(MAX(0,(BC98)+BA99-N99),(CC99-CD99)/(Ipotesi!$C$108*12/Parametri_v3!$C$38)),0)</f>
        <v>0</v>
      </c>
      <c r="BC99" s="15" t="n">
        <f aca="false">(BC98)+BA99-N99-BB99</f>
        <v>265392.996883967</v>
      </c>
      <c r="BD99" s="15" t="n">
        <f aca="false">(BH98)+AC99+AF99-AI99-AS99-K99*(1+Parametri_v3!$C$26)-AL99-AQ99-O99+AW99+AX99+AZ99+BA99-BB99</f>
        <v>487007.507339725</v>
      </c>
      <c r="BE99" s="15" t="n">
        <f aca="false">MAX(0,MIN(MAX(0,CH99-(BG98)),Parametri_v3!$C$30-BD99))</f>
        <v>0</v>
      </c>
      <c r="BF99" s="15" t="n">
        <f aca="false">IF(Motore_Operativo!C99&gt;=Parametri_v3!$C$63,(BG98),MIN((BG98),MAX(0,BD99-Parametri_v3!$C$30)))</f>
        <v>0</v>
      </c>
      <c r="BG99" s="15" t="n">
        <f aca="false">(BG98)+BE99-BF99</f>
        <v>0</v>
      </c>
      <c r="BH99" s="15" t="n">
        <f aca="false">BD99+BE99-BF99-AY99</f>
        <v>487007.507339725</v>
      </c>
      <c r="BI99" s="15" t="n">
        <f aca="false">MAX(0,Parametri_v3!$C$30-BH99)</f>
        <v>0</v>
      </c>
      <c r="BJ99" s="15" t="n">
        <f aca="false">(BJ98)+K99</f>
        <v>72500</v>
      </c>
      <c r="BK99" s="15" t="n">
        <f aca="false">(BK98)+L99</f>
        <v>33125</v>
      </c>
      <c r="BL99" s="15" t="n">
        <f aca="false">BJ99-BK99</f>
        <v>39375</v>
      </c>
      <c r="BM99" s="15" t="n">
        <f aca="false">(BM98)+Y99</f>
        <v>-973687.81700757</v>
      </c>
      <c r="BN99" s="15" t="n">
        <f aca="false">(BN98)+AW99+AX99+AZ99</f>
        <v>1330000</v>
      </c>
      <c r="BO99" s="15" t="n">
        <f aca="false">(BO98)+AY99</f>
        <v>0</v>
      </c>
      <c r="BP99" s="15" t="n">
        <f aca="false">0</f>
        <v>0</v>
      </c>
      <c r="BQ99" s="15" t="n">
        <f aca="false">BN99+BM99-BO99</f>
        <v>356312.18299243</v>
      </c>
      <c r="BR99" s="15" t="n">
        <f aca="false">BH99+AD99+BL99+MAX(0,-AM99)+MAX(0,-AR99)+AG99</f>
        <v>811033.912810461</v>
      </c>
      <c r="BS99" s="15" t="n">
        <f aca="false">AJ99+AV99+MAX(0,AM99)+MAX(0,AR99)+BC99+BG99+BQ99</f>
        <v>811033.912810462</v>
      </c>
      <c r="BT99" s="15" t="n">
        <f aca="false">BR99-BS99</f>
        <v>0</v>
      </c>
      <c r="BU99" s="15" t="n">
        <f aca="false">BH99-(BD99+BE99-BF99-AY99)</f>
        <v>0</v>
      </c>
      <c r="BV99" s="15" t="n">
        <f aca="false">MIN(Piano_SS!$C$6,(BV98)+IF(AND(Motore_Operativo!C99&gt;=EDATE(Parametri_v3!$C$24,Ipotesi!D14*12),Motore_Operativo!C99&lt;EDATE(Parametri_v3!$C$24,Parametri_v3!$C$25+Ipotesi!D14*12)),MAX(0,(Motore_Operativo!Y99+Motore_Operativo!X99*Parametri_v3!$C$14)*(1-Parametri_v3!$C$32))*Piano_SS!$D$6,0))</f>
        <v>300000</v>
      </c>
      <c r="BW99" s="15" t="n">
        <f aca="false">MIN(Piano_SS!$C$7,(BW98)+IF(AND(Motore_Operativo!C99&gt;=EDATE(Parametri_v3!$C$24,Ipotesi!D14*12),Motore_Operativo!C99&lt;EDATE(Parametri_v3!$C$24,Parametri_v3!$C$25+Ipotesi!D14*12)),MAX(0,(IF(35-(INT((Ipotesi!$C$91)/30))&lt;1,0,INDEX(Motore_Operativo!$BN$65:$BN$124,MAX(1,35-(INT((Ipotesi!$C$91)/30)))))*(1-(MOD((Ipotesi!$C$91),30)/30))+IF(35-(INT((Ipotesi!$C$91)/30))-1&lt;1,0,INDEX(Motore_Operativo!$BN$65:$BN$124,MAX(1,35-(INT((Ipotesi!$C$91)/30))-1)))*(MOD((Ipotesi!$C$91),30)/30)))*Piano_SS!$D$7,0))</f>
        <v>41058.9230070837</v>
      </c>
      <c r="BX99" s="15" t="n">
        <f aca="false">MIN(Piano_SS!$C$8,(BX98)+IF(AND(Motore_Operativo!C99&gt;=EDATE(Parametri_v3!$C$24,Ipotesi!D14*12),Motore_Operativo!C99&lt;EDATE(Parametri_v3!$C$24,Parametri_v3!$C$25+Ipotesi!D14*12)),MAX(0,Motore_Operativo!CE99)*Piano_SS!$D$8,0))</f>
        <v>50000</v>
      </c>
      <c r="BY99" s="15" t="n">
        <f aca="false">MIN(Piano_SS!$C$9,(BY98)+IF(AND(Motore_Operativo!C99&gt;=EDATE(Parametri_v3!$C$24,Ipotesi!D14*12),Motore_Operativo!C99&lt;EDATE(Parametri_v3!$C$24,Parametri_v3!$C$25+Ipotesi!D14*12)),MAX(0,((IF(35-(INT((Ipotesi!$C$91)/30))&lt;1,0,INDEX(Motore_Operativo!$BQ$65:$BQ$124,MAX(1,35-(INT((Ipotesi!$C$91)/30)))))*(1-(MOD((Ipotesi!$C$91),30)/30))+IF(35-(INT((Ipotesi!$C$91)/30))-1&lt;1,0,INDEX(Motore_Operativo!$BQ$65:$BQ$124,MAX(1,35-(INT((Ipotesi!$C$91)/30))-1)))*(MOD((Ipotesi!$C$91),30)/30))+(IF(35-(INT((Ipotesi!$C$91)/30))&lt;1,0,INDEX(Motore_Operativo!$BR$65:$BR$124,MAX(1,35-(INT((Ipotesi!$C$91)/30)))))*(1-(MOD((Ipotesi!$C$91),30)/30))+IF(35-(INT((Ipotesi!$C$91)/30))-1&lt;1,0,INDEX(Motore_Operativo!$BR$65:$BR$124,MAX(1,35-(INT((Ipotesi!$C$91)/30))-1)))*(MOD((Ipotesi!$C$91),30)/30))))*Piano_SS!$D$9,0))</f>
        <v>40000</v>
      </c>
      <c r="BZ99" s="15" t="n">
        <f aca="false">MIN(Piano_SS!$C$10,(BZ98)+IF(AND(Motore_Operativo!C99&gt;=EDATE(Parametri_v3!$C$24,Ipotesi!D14*12),Motore_Operativo!C99&lt;EDATE(Parametri_v3!$C$24,Parametri_v3!$C$25+Ipotesi!D14*12)),MAX(0,(IF(35-(INT((Ipotesi!$C$91)/30))&lt;1,0,INDEX(Motore_Operativo!$BO$65:$BO$124,MAX(1,35-(INT((Ipotesi!$C$91)/30)))))*(1-(MOD((Ipotesi!$C$91),30)/30))+IF(35-(INT((Ipotesi!$C$91)/30))-1&lt;1,0,INDEX(Motore_Operativo!$BO$65:$BO$124,MAX(1,35-(INT((Ipotesi!$C$91)/30))-1)))*(MOD((Ipotesi!$C$91),30)/30)))*Piano_SS!$D$10,0))</f>
        <v>30000</v>
      </c>
      <c r="CA99" s="15" t="n">
        <f aca="false">SUM(BV99:BZ99)</f>
        <v>461058.923007084</v>
      </c>
      <c r="CB99" s="15" t="n">
        <f aca="false">BV99*(1-Piano_SS!$E$6)+BW99*(1-Piano_SS!$E$7)+BX99*(1-Piano_SS!$E$8)+BY99*(1-Piano_SS!$E$9)+BZ99*(1-Piano_SS!$E$10)</f>
        <v>431058.923007084</v>
      </c>
      <c r="CC99" s="15" t="n">
        <f aca="false">(CC98)+BA99</f>
        <v>368847.138405667</v>
      </c>
      <c r="CD99" s="15" t="n">
        <f aca="false">IF(CA99=0,0,CC99*CB99/CA99*Ipotesi!$C$103*Parametri_v3!$C$64)</f>
        <v>103454.1415217</v>
      </c>
      <c r="CE99" s="18" t="n">
        <f aca="false">IF(BA99&gt;0,Motore_Operativo!C99,(CE98))</f>
        <v>47270</v>
      </c>
      <c r="CF99" s="18" t="n">
        <f aca="false">IF(AND(CC99&gt;0,OR(CC99&gt;=CG99-0.01,Motore_Operativo!C99&gt;=EDATE(MAX(Finanziamenti!$D$15:$D$17),Ipotesi!D14*12))),CE99,0)</f>
        <v>47270</v>
      </c>
      <c r="CG99" s="15" t="n">
        <f aca="false">IF(AND(2&lt;&gt;6,2&lt;&gt;9,Finanziamenti!$F$11=1,OR(Parametri_v3!$C$6=0,Finanziamenti!$E$11=1)),MIN(Finanziamenti!$C$11,Piano_SS!$C$12*Ipotesi!$C$102),0)</f>
        <v>400000</v>
      </c>
      <c r="CH99" s="15" t="n">
        <f aca="false">IF(AND(AND(2&lt;&gt;8,2&lt;&gt;9,Finanziamenti!$F$10=1,OR(Parametri_v3!$C$6=0,Finanziamenti!$E$10=1)),Motore_Operativo!C99&gt;=Finanziamenti!$D$10,Motore_Operativo!C99&lt;Parametri_v3!$C$63),Finanziamenti!$C$10,0)</f>
        <v>150000</v>
      </c>
    </row>
    <row r="100" customFormat="false" ht="18" hidden="false" customHeight="true" outlineLevel="0" collapsed="false">
      <c r="A100" s="68" t="n">
        <f aca="false">2</f>
        <v>2</v>
      </c>
      <c r="B100" s="68" t="n">
        <f aca="false">36</f>
        <v>36</v>
      </c>
      <c r="C100" s="18" t="n">
        <f aca="false">Motore_Operativo!C100</f>
        <v>47453</v>
      </c>
      <c r="D100" s="68" t="n">
        <f aca="false">Motore_Operativo!D100</f>
        <v>2029</v>
      </c>
      <c r="E100" s="68" t="n">
        <f aca="false">Motore_Operativo!E100</f>
        <v>12</v>
      </c>
      <c r="F100" s="15" t="n">
        <f aca="false">Motore_Operativo!AQ100+Motore_Operativo!BF100</f>
        <v>80854.8691046492</v>
      </c>
      <c r="G100" s="15" t="n">
        <f aca="false">Motore_Operativo!BH100</f>
        <v>6050</v>
      </c>
      <c r="H100" s="15" t="n">
        <f aca="false">Motore_Operativo!BI100</f>
        <v>86904.8691046492</v>
      </c>
      <c r="I100" s="15" t="n">
        <f aca="false">Motore_Operativo!CA100</f>
        <v>118654.015007984</v>
      </c>
      <c r="J100" s="15" t="n">
        <f aca="false">Motore_Operativo!CC100</f>
        <v>-31749.145903335</v>
      </c>
      <c r="K100" s="15" t="n">
        <f aca="false">Motore_Operativo!CE100</f>
        <v>2500</v>
      </c>
      <c r="L100" s="15" t="n">
        <f aca="false">SUM(INDEX($K$65:$K$124,MAX(1,36-Parametri_v3!$C$59+1)):K100)/Parametri_v3!$C$59</f>
        <v>2083.33333333333</v>
      </c>
      <c r="M100" s="15" t="n">
        <f aca="false">J100-L100</f>
        <v>-33832.4792366684</v>
      </c>
      <c r="N100" s="15" t="n">
        <f aca="false">CD100-(CD99)</f>
        <v>0</v>
      </c>
      <c r="O100" s="15" t="n">
        <f aca="false">(BG99)*Ipotesi!$C$110/12+CH100*Parametri_v3!$C$39/12</f>
        <v>0</v>
      </c>
      <c r="P100" s="15" t="n">
        <f aca="false">M100+N100-O100</f>
        <v>-33832.4792366684</v>
      </c>
      <c r="Q100" s="15" t="n">
        <f aca="false">SUM(P89:P100)+Parametri_v3!$C$54*12/12</f>
        <v>-507092.91081055</v>
      </c>
      <c r="R100" s="15" t="n">
        <f aca="false">Z88</f>
        <v>500427.385433689</v>
      </c>
      <c r="S100" s="15" t="n">
        <f aca="false">AA88</f>
        <v>0</v>
      </c>
      <c r="T100" s="15" t="n">
        <f aca="false">MIN(R100,MAX(0,Q100))</f>
        <v>0</v>
      </c>
      <c r="U100" s="15" t="n">
        <f aca="false">MIN(S100,MAX(0,Q100-T100)*Parametri_v3!$C$42)</f>
        <v>0</v>
      </c>
      <c r="V100" s="15" t="n">
        <f aca="false">MAX(0,Q100-T100-U100)*Ipotesi!$C$92</f>
        <v>0</v>
      </c>
      <c r="W100" s="15" t="n">
        <f aca="false">MAX(0,SUM(M89:M100)+Parametri_v3!$C$55*12/12)*Ipotesi!$C$93</f>
        <v>0</v>
      </c>
      <c r="X100" s="15" t="n">
        <f aca="false">V100+W100-(V99+W99)</f>
        <v>0</v>
      </c>
      <c r="Y100" s="15" t="n">
        <f aca="false">P100-X100</f>
        <v>-33832.4792366684</v>
      </c>
      <c r="Z100" s="15" t="n">
        <f aca="false">R100-T100+IF(AND(Parametri_v3!$C$40=1,D100-YEAR(Parametri_v3!$C$50)&lt;Parametri_v3!$C$41),MAX(0,-Q100),0)</f>
        <v>1007520.29624424</v>
      </c>
      <c r="AA100" s="15" t="n">
        <f aca="false">S100-U100+IF(AND(Parametri_v3!$C$40=1,D100-YEAR(Parametri_v3!$C$50)&lt;Parametri_v3!$C$41),0,MAX(0,-Q100))</f>
        <v>0</v>
      </c>
      <c r="AB100" s="15" t="n">
        <f aca="false">F100*(1+Parametri_v3!$C$26)</f>
        <v>98642.9403076721</v>
      </c>
      <c r="AC100" s="15" t="n">
        <f aca="false">(IF(36-(INT((Motore_Operativo!L100)/30))&lt;1,0,INDEX(Motore_Startup!$AB$65:$AB$124,MAX(1,36-(INT((Motore_Operativo!L100)/30)))))*(1-(MOD((Motore_Operativo!L100),30)/30))+IF(36-(INT((Motore_Operativo!L100)/30))-1&lt;1,0,INDEX(Motore_Startup!$AB$65:$AB$124,MAX(1,36-(INT((Motore_Operativo!L100)/30))-1)))*(MOD((Motore_Operativo!L100),30)/30))</f>
        <v>89286.349175957</v>
      </c>
      <c r="AD100" s="15" t="n">
        <f aca="false">(AD99)+AB100-AC100</f>
        <v>286626.996602451</v>
      </c>
      <c r="AE100" s="15" t="n">
        <f aca="false">Motore_Operativo!BH100*(1+Parametri_v3!$C$26)</f>
        <v>7381</v>
      </c>
      <c r="AF100" s="15" t="n">
        <f aca="false">(IF(36-(INT((Parametri_v3!$C$29)/30))&lt;1,0,INDEX(Motore_Operativo!$BH$65:$BH$124,MAX(1,36-(INT((Parametri_v3!$C$29)/30)))))*(1-(MOD((Parametri_v3!$C$29),30)/30))+IF(36-(INT((Parametri_v3!$C$29)/30))-1&lt;1,0,INDEX(Motore_Operativo!$BH$65:$BH$124,MAX(1,36-(INT((Parametri_v3!$C$29)/30))-1)))*(MOD((Parametri_v3!$C$29),30)/30))*(1+Parametri_v3!$C$26)</f>
        <v>7381</v>
      </c>
      <c r="AG100" s="15" t="n">
        <f aca="false">(AG99)+AE100-AF100</f>
        <v>7381</v>
      </c>
      <c r="AH100" s="15" t="n">
        <f aca="false">(Motore_Operativo!CJ100)*(1+Parametri_v3!$C$27*Parametri_v3!$C$26)</f>
        <v>52679.4734811439</v>
      </c>
      <c r="AI100" s="15" t="n">
        <f aca="false">(IF(36-(INT((Ipotesi!$C$91)/30))&lt;1,0,INDEX(Motore_Startup!$AH$65:$AH$124,MAX(1,36-(INT((Ipotesi!$C$91)/30)))))*(1-(MOD((Ipotesi!$C$91),30)/30))+IF(36-(INT((Ipotesi!$C$91)/30))-1&lt;1,0,INDEX(Motore_Startup!$AH$65:$AH$124,MAX(1,36-(INT((Ipotesi!$C$91)/30))-1)))*(MOD((Ipotesi!$C$91),30)/30))</f>
        <v>51833.5486372831</v>
      </c>
      <c r="AJ100" s="15" t="n">
        <f aca="false">(AJ99)+AH100-AI100</f>
        <v>104937.841342549</v>
      </c>
      <c r="AK100" s="15" t="n">
        <f aca="false">(F100+ Motore_Operativo!BH100-(Motore_Operativo!CJ100)*Parametri_v3!$C$27-Motore_Operativo!CE100)*Parametri_v3!$C$26</f>
        <v>10269.9460631964</v>
      </c>
      <c r="AL100" s="15" t="n">
        <f aca="false">MAX(0,(AM99))</f>
        <v>9778.79976870997</v>
      </c>
      <c r="AM100" s="15" t="n">
        <f aca="false">(AM99)+AK100-AL100</f>
        <v>10269.9460631964</v>
      </c>
      <c r="AN100" s="15" t="n">
        <f aca="false">SUM(X77:X88)</f>
        <v>0</v>
      </c>
      <c r="AO100" s="15" t="n">
        <f aca="false">SUM(AP77:AP88)</f>
        <v>0</v>
      </c>
      <c r="AP100" s="15" t="n">
        <f aca="false">MAX(0,AN100)*IF(12=Parametri_v3!$C$43,Parametri_v3!$C$45,IF(12=Parametri_v3!$C$44,1-Parametri_v3!$C$45,0))</f>
        <v>0</v>
      </c>
      <c r="AQ100" s="15" t="n">
        <f aca="false">MAX(0,AP100+IF(12=Parametri_v3!$C$43,MAX(0,AN100-AO100),0)-MAX(0,-(AR99)))</f>
        <v>0</v>
      </c>
      <c r="AR100" s="15" t="n">
        <f aca="false">(AR99)+X100-AQ100</f>
        <v>0</v>
      </c>
      <c r="AS100" s="15" t="n">
        <f aca="false">Motore_Operativo!AB100-AT100+AU100</f>
        <v>70559.9833333333</v>
      </c>
      <c r="AT100" s="15" t="n">
        <f aca="false">Motore_Operativo!CH100</f>
        <v>3713.68333333333</v>
      </c>
      <c r="AU100" s="15" t="n">
        <f aca="false">MIN(MAX(0,(AV99)+AT100),Parametri_v3!$C$60/12)</f>
        <v>0</v>
      </c>
      <c r="AV100" s="15" t="n">
        <f aca="false">(AV99)+AT100-AU100</f>
        <v>79171.7</v>
      </c>
      <c r="AW100" s="15" t="n">
        <f aca="false">IF(AND(Motore_Operativo!C100=Finanziamenti!$D$6,Finanziamenti!$F$6=1),Finanziamenti!$C$6,0)</f>
        <v>0</v>
      </c>
      <c r="AX100" s="15" t="n">
        <f aca="false">IF(AND(2&lt;&gt;7,2&lt;&gt;9,Finanziamenti!$F$8=1,OR(Parametri_v3!$C$6=0,Finanziamenti!$E$8=1),Motore_Operativo!C100=EDATE(Finanziamenti!$D$8,Ipotesi!D15*12)),Finanziamenti!$C$8*1,0)+IF(AND(2&lt;&gt;7,2&lt;&gt;9,Finanziamenti!$F$9=1,OR(Parametri_v3!$C$6=0,Finanziamenti!$E$9=1),Motore_Operativo!C100=EDATE(Finanziamenti!$D$9,Ipotesi!D15*12)),Finanziamenti!$C$9*Ipotesi!D16,0)</f>
        <v>0</v>
      </c>
      <c r="AY100" s="15" t="n">
        <f aca="false">0</f>
        <v>0</v>
      </c>
      <c r="AZ100" s="15" t="n">
        <f aca="false">Motore_Advisory!AY100*(1-Ipotesi!$C$95)*Ipotesi!$C$96</f>
        <v>0</v>
      </c>
      <c r="BA100" s="15" t="n">
        <f aca="false">MAX(0,MIN(CG100*MIN(1,IF(Motore_Operativo!C100&gt;=EDATE(Finanziamenti!$D$15,Ipotesi!D14*12),Finanziamenti!$C$15,0)+IF(Motore_Operativo!C100&gt;=EDATE(Finanziamenti!$D$16,Ipotesi!D14*12),Finanziamenti!$C$16,0)+IF(Motore_Operativo!C100&gt;=EDATE(Finanziamenti!$D$17,Ipotesi!D14*12),Finanziamenti!$C$17,0)),CA100*Ipotesi!$C$102)-(CC99))</f>
        <v>0</v>
      </c>
      <c r="BB100" s="15" t="n">
        <f aca="false">IF(AND(CF100&gt;0,Motore_Operativo!C100&gt;=IF(CF100=0,0,EDATE(CF100,Parametri_v3!$C$37)),MOD(((D100-YEAR(IF(CF100=0,0,EDATE(CF100,Parametri_v3!$C$37))))*12+E100-MONTH(IF(CF100=0,0,EDATE(CF100,Parametri_v3!$C$37)))),Parametri_v3!$C$38)=0),MIN(MAX(0,(BC99)+BA100-N100),(CC100-CD100)/(Ipotesi!$C$108*12/Parametri_v3!$C$38)),0)</f>
        <v>0</v>
      </c>
      <c r="BC100" s="15" t="n">
        <f aca="false">(BC99)+BA100-N100-BB100</f>
        <v>265392.996883967</v>
      </c>
      <c r="BD100" s="15" t="n">
        <f aca="false">(BH99)+AC100+AF100-AI100-AS100-K100*(1+Parametri_v3!$C$26)-AL100-AQ100-O100+AW100+AX100+AZ100+BA100-BB100</f>
        <v>448452.524776355</v>
      </c>
      <c r="BE100" s="15" t="n">
        <f aca="false">MAX(0,MIN(MAX(0,CH100-(BG99)),Parametri_v3!$C$30-BD100))</f>
        <v>0</v>
      </c>
      <c r="BF100" s="15" t="n">
        <f aca="false">IF(Motore_Operativo!C100&gt;=Parametri_v3!$C$63,(BG99),MIN((BG99),MAX(0,BD100-Parametri_v3!$C$30)))</f>
        <v>0</v>
      </c>
      <c r="BG100" s="15" t="n">
        <f aca="false">(BG99)+BE100-BF100</f>
        <v>0</v>
      </c>
      <c r="BH100" s="15" t="n">
        <f aca="false">BD100+BE100-BF100-AY100</f>
        <v>448452.524776355</v>
      </c>
      <c r="BI100" s="15" t="n">
        <f aca="false">MAX(0,Parametri_v3!$C$30-BH100)</f>
        <v>0</v>
      </c>
      <c r="BJ100" s="15" t="n">
        <f aca="false">(BJ99)+K100</f>
        <v>75000</v>
      </c>
      <c r="BK100" s="15" t="n">
        <f aca="false">(BK99)+L100</f>
        <v>35208.3333333333</v>
      </c>
      <c r="BL100" s="15" t="n">
        <f aca="false">BJ100-BK100</f>
        <v>39791.6666666667</v>
      </c>
      <c r="BM100" s="15" t="n">
        <f aca="false">(BM99)+Y100</f>
        <v>-1007520.29624424</v>
      </c>
      <c r="BN100" s="15" t="n">
        <f aca="false">(BN99)+AW100+AX100+AZ100</f>
        <v>1330000</v>
      </c>
      <c r="BO100" s="15" t="n">
        <f aca="false">(BO99)+AY100</f>
        <v>0</v>
      </c>
      <c r="BP100" s="15" t="n">
        <f aca="false">0</f>
        <v>0</v>
      </c>
      <c r="BQ100" s="15" t="n">
        <f aca="false">BN100+BM100-BO100</f>
        <v>322479.703755761</v>
      </c>
      <c r="BR100" s="15" t="n">
        <f aca="false">BH100+AD100+BL100+MAX(0,-AM100)+MAX(0,-AR100)+AG100</f>
        <v>782252.188045473</v>
      </c>
      <c r="BS100" s="15" t="n">
        <f aca="false">AJ100+AV100+MAX(0,AM100)+MAX(0,AR100)+BC100+BG100+BQ100</f>
        <v>782252.188045474</v>
      </c>
      <c r="BT100" s="15" t="n">
        <f aca="false">BR100-BS100</f>
        <v>0</v>
      </c>
      <c r="BU100" s="15" t="n">
        <f aca="false">BH100-(BD100+BE100-BF100-AY100)</f>
        <v>0</v>
      </c>
      <c r="BV100" s="15" t="n">
        <f aca="false">MIN(Piano_SS!$C$6,(BV99)+IF(AND(Motore_Operativo!C100&gt;=EDATE(Parametri_v3!$C$24,Ipotesi!D14*12),Motore_Operativo!C100&lt;EDATE(Parametri_v3!$C$24,Parametri_v3!$C$25+Ipotesi!D14*12)),MAX(0,(Motore_Operativo!Y100+Motore_Operativo!X100*Parametri_v3!$C$14)*(1-Parametri_v3!$C$32))*Piano_SS!$D$6,0))</f>
        <v>300000</v>
      </c>
      <c r="BW100" s="15" t="n">
        <f aca="false">MIN(Piano_SS!$C$7,(BW99)+IF(AND(Motore_Operativo!C100&gt;=EDATE(Parametri_v3!$C$24,Ipotesi!D14*12),Motore_Operativo!C100&lt;EDATE(Parametri_v3!$C$24,Parametri_v3!$C$25+Ipotesi!D14*12)),MAX(0,(IF(36-(INT((Ipotesi!$C$91)/30))&lt;1,0,INDEX(Motore_Operativo!$BN$65:$BN$124,MAX(1,36-(INT((Ipotesi!$C$91)/30)))))*(1-(MOD((Ipotesi!$C$91),30)/30))+IF(36-(INT((Ipotesi!$C$91)/30))-1&lt;1,0,INDEX(Motore_Operativo!$BN$65:$BN$124,MAX(1,36-(INT((Ipotesi!$C$91)/30))-1)))*(MOD((Ipotesi!$C$91),30)/30)))*Piano_SS!$D$7,0))</f>
        <v>41058.9230070837</v>
      </c>
      <c r="BX100" s="15" t="n">
        <f aca="false">MIN(Piano_SS!$C$8,(BX99)+IF(AND(Motore_Operativo!C100&gt;=EDATE(Parametri_v3!$C$24,Ipotesi!D14*12),Motore_Operativo!C100&lt;EDATE(Parametri_v3!$C$24,Parametri_v3!$C$25+Ipotesi!D14*12)),MAX(0,Motore_Operativo!CE100)*Piano_SS!$D$8,0))</f>
        <v>50000</v>
      </c>
      <c r="BY100" s="15" t="n">
        <f aca="false">MIN(Piano_SS!$C$9,(BY99)+IF(AND(Motore_Operativo!C100&gt;=EDATE(Parametri_v3!$C$24,Ipotesi!D14*12),Motore_Operativo!C100&lt;EDATE(Parametri_v3!$C$24,Parametri_v3!$C$25+Ipotesi!D14*12)),MAX(0,((IF(36-(INT((Ipotesi!$C$91)/30))&lt;1,0,INDEX(Motore_Operativo!$BQ$65:$BQ$124,MAX(1,36-(INT((Ipotesi!$C$91)/30)))))*(1-(MOD((Ipotesi!$C$91),30)/30))+IF(36-(INT((Ipotesi!$C$91)/30))-1&lt;1,0,INDEX(Motore_Operativo!$BQ$65:$BQ$124,MAX(1,36-(INT((Ipotesi!$C$91)/30))-1)))*(MOD((Ipotesi!$C$91),30)/30))+(IF(36-(INT((Ipotesi!$C$91)/30))&lt;1,0,INDEX(Motore_Operativo!$BR$65:$BR$124,MAX(1,36-(INT((Ipotesi!$C$91)/30)))))*(1-(MOD((Ipotesi!$C$91),30)/30))+IF(36-(INT((Ipotesi!$C$91)/30))-1&lt;1,0,INDEX(Motore_Operativo!$BR$65:$BR$124,MAX(1,36-(INT((Ipotesi!$C$91)/30))-1)))*(MOD((Ipotesi!$C$91),30)/30))))*Piano_SS!$D$9,0))</f>
        <v>40000</v>
      </c>
      <c r="BZ100" s="15" t="n">
        <f aca="false">MIN(Piano_SS!$C$10,(BZ99)+IF(AND(Motore_Operativo!C100&gt;=EDATE(Parametri_v3!$C$24,Ipotesi!D14*12),Motore_Operativo!C100&lt;EDATE(Parametri_v3!$C$24,Parametri_v3!$C$25+Ipotesi!D14*12)),MAX(0,(IF(36-(INT((Ipotesi!$C$91)/30))&lt;1,0,INDEX(Motore_Operativo!$BO$65:$BO$124,MAX(1,36-(INT((Ipotesi!$C$91)/30)))))*(1-(MOD((Ipotesi!$C$91),30)/30))+IF(36-(INT((Ipotesi!$C$91)/30))-1&lt;1,0,INDEX(Motore_Operativo!$BO$65:$BO$124,MAX(1,36-(INT((Ipotesi!$C$91)/30))-1)))*(MOD((Ipotesi!$C$91),30)/30)))*Piano_SS!$D$10,0))</f>
        <v>30000</v>
      </c>
      <c r="CA100" s="15" t="n">
        <f aca="false">SUM(BV100:BZ100)</f>
        <v>461058.923007084</v>
      </c>
      <c r="CB100" s="15" t="n">
        <f aca="false">BV100*(1-Piano_SS!$E$6)+BW100*(1-Piano_SS!$E$7)+BX100*(1-Piano_SS!$E$8)+BY100*(1-Piano_SS!$E$9)+BZ100*(1-Piano_SS!$E$10)</f>
        <v>431058.923007084</v>
      </c>
      <c r="CC100" s="15" t="n">
        <f aca="false">(CC99)+BA100</f>
        <v>368847.138405667</v>
      </c>
      <c r="CD100" s="15" t="n">
        <f aca="false">IF(CA100=0,0,CC100*CB100/CA100*Ipotesi!$C$103*Parametri_v3!$C$64)</f>
        <v>103454.1415217</v>
      </c>
      <c r="CE100" s="18" t="n">
        <f aca="false">IF(BA100&gt;0,Motore_Operativo!C100,(CE99))</f>
        <v>47270</v>
      </c>
      <c r="CF100" s="18" t="n">
        <f aca="false">IF(AND(CC100&gt;0,OR(CC100&gt;=CG100-0.01,Motore_Operativo!C100&gt;=EDATE(MAX(Finanziamenti!$D$15:$D$17),Ipotesi!D14*12))),CE100,0)</f>
        <v>47270</v>
      </c>
      <c r="CG100" s="15" t="n">
        <f aca="false">IF(AND(2&lt;&gt;6,2&lt;&gt;9,Finanziamenti!$F$11=1,OR(Parametri_v3!$C$6=0,Finanziamenti!$E$11=1)),MIN(Finanziamenti!$C$11,Piano_SS!$C$12*Ipotesi!$C$102),0)</f>
        <v>400000</v>
      </c>
      <c r="CH100" s="15" t="n">
        <f aca="false">IF(AND(AND(2&lt;&gt;8,2&lt;&gt;9,Finanziamenti!$F$10=1,OR(Parametri_v3!$C$6=0,Finanziamenti!$E$10=1)),Motore_Operativo!C100&gt;=Finanziamenti!$D$10,Motore_Operativo!C100&lt;Parametri_v3!$C$63),Finanziamenti!$C$10,0)</f>
        <v>150000</v>
      </c>
    </row>
    <row r="101" customFormat="false" ht="18" hidden="false" customHeight="true" outlineLevel="0" collapsed="false">
      <c r="A101" s="68" t="n">
        <f aca="false">2</f>
        <v>2</v>
      </c>
      <c r="B101" s="68" t="n">
        <f aca="false">37</f>
        <v>37</v>
      </c>
      <c r="C101" s="18" t="n">
        <f aca="false">Motore_Operativo!C101</f>
        <v>47484</v>
      </c>
      <c r="D101" s="68" t="n">
        <f aca="false">Motore_Operativo!D101</f>
        <v>2030</v>
      </c>
      <c r="E101" s="68" t="n">
        <f aca="false">Motore_Operativo!E101</f>
        <v>1</v>
      </c>
      <c r="F101" s="15" t="n">
        <f aca="false">Motore_Operativo!AQ101+Motore_Operativo!BF101</f>
        <v>109981.50531234</v>
      </c>
      <c r="G101" s="15" t="n">
        <f aca="false">Motore_Operativo!BH101</f>
        <v>9024.16666666667</v>
      </c>
      <c r="H101" s="15" t="n">
        <f aca="false">Motore_Operativo!BI101</f>
        <v>119005.671979006</v>
      </c>
      <c r="I101" s="15" t="n">
        <f aca="false">Motore_Operativo!CA101</f>
        <v>155002.886368728</v>
      </c>
      <c r="J101" s="15" t="n">
        <f aca="false">Motore_Operativo!CC101</f>
        <v>-35997.2143897212</v>
      </c>
      <c r="K101" s="15" t="n">
        <f aca="false">Motore_Operativo!CE101</f>
        <v>3333.33333333333</v>
      </c>
      <c r="L101" s="15" t="n">
        <f aca="false">SUM(INDEX($K$65:$K$124,MAX(1,37-Parametri_v3!$C$59+1)):K101)/Parametri_v3!$C$59</f>
        <v>2129.62962962963</v>
      </c>
      <c r="M101" s="15" t="n">
        <f aca="false">J101-L101</f>
        <v>-38126.8440193509</v>
      </c>
      <c r="N101" s="15" t="n">
        <f aca="false">CD101-(CD100)</f>
        <v>0</v>
      </c>
      <c r="O101" s="15" t="n">
        <f aca="false">(BG100)*Ipotesi!$C$110/12+CH101*Parametri_v3!$C$39/12</f>
        <v>0</v>
      </c>
      <c r="P101" s="15" t="n">
        <f aca="false">M101+N101-O101</f>
        <v>-38126.8440193509</v>
      </c>
      <c r="Q101" s="15" t="n">
        <f aca="false">SUM(P101)+Parametri_v3!$C$54*1/12</f>
        <v>-38126.8440193509</v>
      </c>
      <c r="R101" s="15" t="n">
        <f aca="false">Z100</f>
        <v>1007520.29624424</v>
      </c>
      <c r="S101" s="15" t="n">
        <f aca="false">AA100</f>
        <v>0</v>
      </c>
      <c r="T101" s="15" t="n">
        <f aca="false">MIN(R101,MAX(0,Q101))</f>
        <v>0</v>
      </c>
      <c r="U101" s="15" t="n">
        <f aca="false">MIN(S101,MAX(0,Q101-T101)*Parametri_v3!$C$42)</f>
        <v>0</v>
      </c>
      <c r="V101" s="15" t="n">
        <f aca="false">MAX(0,Q101-T101-U101)*Ipotesi!$C$92</f>
        <v>0</v>
      </c>
      <c r="W101" s="15" t="n">
        <f aca="false">MAX(0,SUM(M101)+Parametri_v3!$C$55*1/12)*Ipotesi!$C$93</f>
        <v>0</v>
      </c>
      <c r="X101" s="15" t="n">
        <f aca="false">V101+W101-(0)</f>
        <v>0</v>
      </c>
      <c r="Y101" s="15" t="n">
        <f aca="false">P101-X101</f>
        <v>-38126.8440193509</v>
      </c>
      <c r="Z101" s="15" t="n">
        <f aca="false">R101-T101+IF(AND(Parametri_v3!$C$40=1,D101-YEAR(Parametri_v3!$C$50)&lt;Parametri_v3!$C$41),MAX(0,-Q101),0)</f>
        <v>1007520.29624424</v>
      </c>
      <c r="AA101" s="15" t="n">
        <f aca="false">S101-U101+IF(AND(Parametri_v3!$C$40=1,D101-YEAR(Parametri_v3!$C$50)&lt;Parametri_v3!$C$41),0,MAX(0,-Q101))</f>
        <v>38126.8440193509</v>
      </c>
      <c r="AB101" s="15" t="n">
        <f aca="false">F101*(1+Parametri_v3!$C$26)</f>
        <v>134177.436481054</v>
      </c>
      <c r="AC101" s="15" t="n">
        <f aca="false">(IF(37-(INT((Motore_Operativo!L101)/30))&lt;1,0,INDEX(Motore_Startup!$AB$65:$AB$124,MAX(1,37-(INT((Motore_Operativo!L101)/30)))))*(1-(MOD((Motore_Operativo!L101),30)/30))+IF(37-(INT((Motore_Operativo!L101)/30))-1&lt;1,0,INDEX(Motore_Startup!$AB$65:$AB$124,MAX(1,37-(INT((Motore_Operativo!L101)/30))-1)))*(MOD((Motore_Operativo!L101),30)/30))</f>
        <v>92432.6363630927</v>
      </c>
      <c r="AD101" s="15" t="n">
        <f aca="false">(AD100)+AB101-AC101</f>
        <v>328371.796720413</v>
      </c>
      <c r="AE101" s="15" t="n">
        <f aca="false">Motore_Operativo!BH101*(1+Parametri_v3!$C$26)</f>
        <v>11009.4833333333</v>
      </c>
      <c r="AF101" s="15" t="n">
        <f aca="false">(IF(37-(INT((Parametri_v3!$C$29)/30))&lt;1,0,INDEX(Motore_Operativo!$BH$65:$BH$124,MAX(1,37-(INT((Parametri_v3!$C$29)/30)))))*(1-(MOD((Parametri_v3!$C$29),30)/30))+IF(37-(INT((Parametri_v3!$C$29)/30))-1&lt;1,0,INDEX(Motore_Operativo!$BH$65:$BH$124,MAX(1,37-(INT((Parametri_v3!$C$29)/30))-1)))*(MOD((Parametri_v3!$C$29),30)/30))*(1+Parametri_v3!$C$26)</f>
        <v>7381</v>
      </c>
      <c r="AG101" s="15" t="n">
        <f aca="false">(AG100)+AE101-AF101</f>
        <v>11009.4833333333</v>
      </c>
      <c r="AH101" s="15" t="n">
        <f aca="false">(Motore_Operativo!CJ101)*(1+Parametri_v3!$C$27*Parametri_v3!$C$26)</f>
        <v>69474.875461138</v>
      </c>
      <c r="AI101" s="15" t="n">
        <f aca="false">(IF(37-(INT((Ipotesi!$C$91)/30))&lt;1,0,INDEX(Motore_Startup!$AH$65:$AH$124,MAX(1,37-(INT((Ipotesi!$C$91)/30)))))*(1-(MOD((Ipotesi!$C$91),30)/30))+IF(37-(INT((Ipotesi!$C$91)/30))-1&lt;1,0,INDEX(Motore_Startup!$AH$65:$AH$124,MAX(1,37-(INT((Ipotesi!$C$91)/30))-1)))*(MOD((Ipotesi!$C$91),30)/30))</f>
        <v>52258.3678614052</v>
      </c>
      <c r="AJ101" s="15" t="n">
        <f aca="false">(AJ100)+AH101-AI101</f>
        <v>122154.348942282</v>
      </c>
      <c r="AK101" s="15" t="n">
        <f aca="false">(F101+ Motore_Operativo!BH101-(Motore_Operativo!CJ101)*Parametri_v3!$C$27-Motore_Operativo!CE101)*Parametri_v3!$C$26</f>
        <v>14502.8414513043</v>
      </c>
      <c r="AL101" s="15" t="n">
        <f aca="false">MAX(0,(AM100))</f>
        <v>10269.9460631964</v>
      </c>
      <c r="AM101" s="15" t="n">
        <f aca="false">(AM100)+AK101-AL101</f>
        <v>14502.8414513043</v>
      </c>
      <c r="AN101" s="15" t="n">
        <f aca="false">SUM(X89:X100)</f>
        <v>0</v>
      </c>
      <c r="AO101" s="15" t="n">
        <f aca="false">SUM(AP89:AP100)</f>
        <v>0</v>
      </c>
      <c r="AP101" s="15" t="n">
        <f aca="false">MAX(0,AN101)*IF(1=Parametri_v3!$C$43,Parametri_v3!$C$45,IF(1=Parametri_v3!$C$44,1-Parametri_v3!$C$45,0))</f>
        <v>0</v>
      </c>
      <c r="AQ101" s="15" t="n">
        <f aca="false">MAX(0,AP101+IF(1=Parametri_v3!$C$43,MAX(0,AN101-AO101),0)-MAX(0,-(AR100)))</f>
        <v>0</v>
      </c>
      <c r="AR101" s="15" t="n">
        <f aca="false">(AR100)+X101-AQ101</f>
        <v>0</v>
      </c>
      <c r="AS101" s="15" t="n">
        <f aca="false">Motore_Operativo!AB101-AT101+AU101</f>
        <v>91649.4297604167</v>
      </c>
      <c r="AT101" s="15" t="n">
        <f aca="false">Motore_Operativo!CH101</f>
        <v>4823.65419791667</v>
      </c>
      <c r="AU101" s="15" t="n">
        <f aca="false">MIN(MAX(0,(AV100)+AT101),Parametri_v3!$C$60/12)</f>
        <v>0</v>
      </c>
      <c r="AV101" s="15" t="n">
        <f aca="false">(AV100)+AT101-AU101</f>
        <v>83995.3541979167</v>
      </c>
      <c r="AW101" s="15" t="n">
        <f aca="false">IF(AND(Motore_Operativo!C101=Finanziamenti!$D$6,Finanziamenti!$F$6=1),Finanziamenti!$C$6,0)</f>
        <v>0</v>
      </c>
      <c r="AX101" s="15" t="n">
        <f aca="false">IF(AND(2&lt;&gt;7,2&lt;&gt;9,Finanziamenti!$F$8=1,OR(Parametri_v3!$C$6=0,Finanziamenti!$E$8=1),Motore_Operativo!C101=EDATE(Finanziamenti!$D$8,Ipotesi!D15*12)),Finanziamenti!$C$8*1,0)+IF(AND(2&lt;&gt;7,2&lt;&gt;9,Finanziamenti!$F$9=1,OR(Parametri_v3!$C$6=0,Finanziamenti!$E$9=1),Motore_Operativo!C101=EDATE(Finanziamenti!$D$9,Ipotesi!D15*12)),Finanziamenti!$C$9*Ipotesi!D16,0)</f>
        <v>0</v>
      </c>
      <c r="AY101" s="15" t="n">
        <f aca="false">0</f>
        <v>0</v>
      </c>
      <c r="AZ101" s="15" t="n">
        <f aca="false">Motore_Advisory!AY101*(1-Ipotesi!$C$95)*Ipotesi!$C$96</f>
        <v>0</v>
      </c>
      <c r="BA101" s="15" t="n">
        <f aca="false">MAX(0,MIN(CG101*MIN(1,IF(Motore_Operativo!C101&gt;=EDATE(Finanziamenti!$D$15,Ipotesi!D14*12),Finanziamenti!$C$15,0)+IF(Motore_Operativo!C101&gt;=EDATE(Finanziamenti!$D$16,Ipotesi!D14*12),Finanziamenti!$C$16,0)+IF(Motore_Operativo!C101&gt;=EDATE(Finanziamenti!$D$17,Ipotesi!D14*12),Finanziamenti!$C$17,0)),CA101*Ipotesi!$C$102)-(CC100))</f>
        <v>0</v>
      </c>
      <c r="BB101" s="15" t="n">
        <f aca="false">IF(AND(CF101&gt;0,Motore_Operativo!C101&gt;=IF(CF101=0,0,EDATE(CF101,Parametri_v3!$C$37)),MOD(((D101-YEAR(IF(CF101=0,0,EDATE(CF101,Parametri_v3!$C$37))))*12+E101-MONTH(IF(CF101=0,0,EDATE(CF101,Parametri_v3!$C$37)))),Parametri_v3!$C$38)=0),MIN(MAX(0,(BC100)+BA101-N101),(CC101-CD101)/(Ipotesi!$C$108*12/Parametri_v3!$C$38)),0)</f>
        <v>0</v>
      </c>
      <c r="BC101" s="15" t="n">
        <f aca="false">(BC100)+BA101-N101-BB101</f>
        <v>265392.996883967</v>
      </c>
      <c r="BD101" s="15" t="n">
        <f aca="false">(BH100)+AC101+AF101-AI101-AS101-K101*(1+Parametri_v3!$C$26)-AL101-AQ101-O101+AW101+AX101+AZ101+BA101-BB101</f>
        <v>390021.750787763</v>
      </c>
      <c r="BE101" s="15" t="n">
        <f aca="false">MAX(0,MIN(MAX(0,CH101-(BG100)),Parametri_v3!$C$30-BD101))</f>
        <v>0</v>
      </c>
      <c r="BF101" s="15" t="n">
        <f aca="false">IF(Motore_Operativo!C101&gt;=Parametri_v3!$C$63,(BG100),MIN((BG100),MAX(0,BD101-Parametri_v3!$C$30)))</f>
        <v>0</v>
      </c>
      <c r="BG101" s="15" t="n">
        <f aca="false">(BG100)+BE101-BF101</f>
        <v>0</v>
      </c>
      <c r="BH101" s="15" t="n">
        <f aca="false">BD101+BE101-BF101-AY101</f>
        <v>390021.750787763</v>
      </c>
      <c r="BI101" s="15" t="n">
        <f aca="false">MAX(0,Parametri_v3!$C$30-BH101)</f>
        <v>0</v>
      </c>
      <c r="BJ101" s="15" t="n">
        <f aca="false">(BJ100)+K101</f>
        <v>78333.3333333333</v>
      </c>
      <c r="BK101" s="15" t="n">
        <f aca="false">(BK100)+L101</f>
        <v>37337.962962963</v>
      </c>
      <c r="BL101" s="15" t="n">
        <f aca="false">BJ101-BK101</f>
        <v>40995.3703703704</v>
      </c>
      <c r="BM101" s="15" t="n">
        <f aca="false">(BM100)+Y101</f>
        <v>-1045647.14026359</v>
      </c>
      <c r="BN101" s="15" t="n">
        <f aca="false">(BN100)+AW101+AX101+AZ101</f>
        <v>1330000</v>
      </c>
      <c r="BO101" s="15" t="n">
        <f aca="false">(BO100)+AY101</f>
        <v>0</v>
      </c>
      <c r="BP101" s="15" t="n">
        <f aca="false">0</f>
        <v>0</v>
      </c>
      <c r="BQ101" s="15" t="n">
        <f aca="false">BN101+BM101-BO101</f>
        <v>284352.859736411</v>
      </c>
      <c r="BR101" s="15" t="n">
        <f aca="false">BH101+AD101+BL101+MAX(0,-AM101)+MAX(0,-AR101)+AG101</f>
        <v>770398.40121188</v>
      </c>
      <c r="BS101" s="15" t="n">
        <f aca="false">AJ101+AV101+MAX(0,AM101)+MAX(0,AR101)+BC101+BG101+BQ101</f>
        <v>770398.40121188</v>
      </c>
      <c r="BT101" s="15" t="n">
        <f aca="false">BR101-BS101</f>
        <v>0</v>
      </c>
      <c r="BU101" s="15" t="n">
        <f aca="false">BH101-(BD101+BE101-BF101-AY101)</f>
        <v>0</v>
      </c>
      <c r="BV101" s="15" t="n">
        <f aca="false">MIN(Piano_SS!$C$6,(BV100)+IF(AND(Motore_Operativo!C101&gt;=EDATE(Parametri_v3!$C$24,Ipotesi!D14*12),Motore_Operativo!C101&lt;EDATE(Parametri_v3!$C$24,Parametri_v3!$C$25+Ipotesi!D14*12)),MAX(0,(Motore_Operativo!Y101+Motore_Operativo!X101*Parametri_v3!$C$14)*(1-Parametri_v3!$C$32))*Piano_SS!$D$6,0))</f>
        <v>300000</v>
      </c>
      <c r="BW101" s="15" t="n">
        <f aca="false">MIN(Piano_SS!$C$7,(BW100)+IF(AND(Motore_Operativo!C101&gt;=EDATE(Parametri_v3!$C$24,Ipotesi!D14*12),Motore_Operativo!C101&lt;EDATE(Parametri_v3!$C$24,Parametri_v3!$C$25+Ipotesi!D14*12)),MAX(0,(IF(37-(INT((Ipotesi!$C$91)/30))&lt;1,0,INDEX(Motore_Operativo!$BN$65:$BN$124,MAX(1,37-(INT((Ipotesi!$C$91)/30)))))*(1-(MOD((Ipotesi!$C$91),30)/30))+IF(37-(INT((Ipotesi!$C$91)/30))-1&lt;1,0,INDEX(Motore_Operativo!$BN$65:$BN$124,MAX(1,37-(INT((Ipotesi!$C$91)/30))-1)))*(MOD((Ipotesi!$C$91),30)/30)))*Piano_SS!$D$7,0))</f>
        <v>41058.9230070837</v>
      </c>
      <c r="BX101" s="15" t="n">
        <f aca="false">MIN(Piano_SS!$C$8,(BX100)+IF(AND(Motore_Operativo!C101&gt;=EDATE(Parametri_v3!$C$24,Ipotesi!D14*12),Motore_Operativo!C101&lt;EDATE(Parametri_v3!$C$24,Parametri_v3!$C$25+Ipotesi!D14*12)),MAX(0,Motore_Operativo!CE101)*Piano_SS!$D$8,0))</f>
        <v>50000</v>
      </c>
      <c r="BY101" s="15" t="n">
        <f aca="false">MIN(Piano_SS!$C$9,(BY100)+IF(AND(Motore_Operativo!C101&gt;=EDATE(Parametri_v3!$C$24,Ipotesi!D14*12),Motore_Operativo!C101&lt;EDATE(Parametri_v3!$C$24,Parametri_v3!$C$25+Ipotesi!D14*12)),MAX(0,((IF(37-(INT((Ipotesi!$C$91)/30))&lt;1,0,INDEX(Motore_Operativo!$BQ$65:$BQ$124,MAX(1,37-(INT((Ipotesi!$C$91)/30)))))*(1-(MOD((Ipotesi!$C$91),30)/30))+IF(37-(INT((Ipotesi!$C$91)/30))-1&lt;1,0,INDEX(Motore_Operativo!$BQ$65:$BQ$124,MAX(1,37-(INT((Ipotesi!$C$91)/30))-1)))*(MOD((Ipotesi!$C$91),30)/30))+(IF(37-(INT((Ipotesi!$C$91)/30))&lt;1,0,INDEX(Motore_Operativo!$BR$65:$BR$124,MAX(1,37-(INT((Ipotesi!$C$91)/30)))))*(1-(MOD((Ipotesi!$C$91),30)/30))+IF(37-(INT((Ipotesi!$C$91)/30))-1&lt;1,0,INDEX(Motore_Operativo!$BR$65:$BR$124,MAX(1,37-(INT((Ipotesi!$C$91)/30))-1)))*(MOD((Ipotesi!$C$91),30)/30))))*Piano_SS!$D$9,0))</f>
        <v>40000</v>
      </c>
      <c r="BZ101" s="15" t="n">
        <f aca="false">MIN(Piano_SS!$C$10,(BZ100)+IF(AND(Motore_Operativo!C101&gt;=EDATE(Parametri_v3!$C$24,Ipotesi!D14*12),Motore_Operativo!C101&lt;EDATE(Parametri_v3!$C$24,Parametri_v3!$C$25+Ipotesi!D14*12)),MAX(0,(IF(37-(INT((Ipotesi!$C$91)/30))&lt;1,0,INDEX(Motore_Operativo!$BO$65:$BO$124,MAX(1,37-(INT((Ipotesi!$C$91)/30)))))*(1-(MOD((Ipotesi!$C$91),30)/30))+IF(37-(INT((Ipotesi!$C$91)/30))-1&lt;1,0,INDEX(Motore_Operativo!$BO$65:$BO$124,MAX(1,37-(INT((Ipotesi!$C$91)/30))-1)))*(MOD((Ipotesi!$C$91),30)/30)))*Piano_SS!$D$10,0))</f>
        <v>30000</v>
      </c>
      <c r="CA101" s="15" t="n">
        <f aca="false">SUM(BV101:BZ101)</f>
        <v>461058.923007084</v>
      </c>
      <c r="CB101" s="15" t="n">
        <f aca="false">BV101*(1-Piano_SS!$E$6)+BW101*(1-Piano_SS!$E$7)+BX101*(1-Piano_SS!$E$8)+BY101*(1-Piano_SS!$E$9)+BZ101*(1-Piano_SS!$E$10)</f>
        <v>431058.923007084</v>
      </c>
      <c r="CC101" s="15" t="n">
        <f aca="false">(CC100)+BA101</f>
        <v>368847.138405667</v>
      </c>
      <c r="CD101" s="15" t="n">
        <f aca="false">IF(CA101=0,0,CC101*CB101/CA101*Ipotesi!$C$103*Parametri_v3!$C$64)</f>
        <v>103454.1415217</v>
      </c>
      <c r="CE101" s="18" t="n">
        <f aca="false">IF(BA101&gt;0,Motore_Operativo!C101,(CE100))</f>
        <v>47270</v>
      </c>
      <c r="CF101" s="18" t="n">
        <f aca="false">IF(AND(CC101&gt;0,OR(CC101&gt;=CG101-0.01,Motore_Operativo!C101&gt;=EDATE(MAX(Finanziamenti!$D$15:$D$17),Ipotesi!D14*12))),CE101,0)</f>
        <v>47270</v>
      </c>
      <c r="CG101" s="15" t="n">
        <f aca="false">IF(AND(2&lt;&gt;6,2&lt;&gt;9,Finanziamenti!$F$11=1,OR(Parametri_v3!$C$6=0,Finanziamenti!$E$11=1)),MIN(Finanziamenti!$C$11,Piano_SS!$C$12*Ipotesi!$C$102),0)</f>
        <v>400000</v>
      </c>
      <c r="CH101" s="15" t="n">
        <f aca="false">IF(AND(AND(2&lt;&gt;8,2&lt;&gt;9,Finanziamenti!$F$10=1,OR(Parametri_v3!$C$6=0,Finanziamenti!$E$10=1)),Motore_Operativo!C101&gt;=Finanziamenti!$D$10,Motore_Operativo!C101&lt;Parametri_v3!$C$63),Finanziamenti!$C$10,0)</f>
        <v>150000</v>
      </c>
    </row>
    <row r="102" customFormat="false" ht="18" hidden="false" customHeight="true" outlineLevel="0" collapsed="false">
      <c r="A102" s="68" t="n">
        <f aca="false">2</f>
        <v>2</v>
      </c>
      <c r="B102" s="68" t="n">
        <f aca="false">38</f>
        <v>38</v>
      </c>
      <c r="C102" s="18" t="n">
        <f aca="false">Motore_Operativo!C102</f>
        <v>47515</v>
      </c>
      <c r="D102" s="68" t="n">
        <f aca="false">Motore_Operativo!D102</f>
        <v>2030</v>
      </c>
      <c r="E102" s="68" t="n">
        <f aca="false">Motore_Operativo!E102</f>
        <v>2</v>
      </c>
      <c r="F102" s="15" t="n">
        <f aca="false">Motore_Operativo!AQ102+Motore_Operativo!BF102</f>
        <v>112181.063256671</v>
      </c>
      <c r="G102" s="15" t="n">
        <f aca="false">Motore_Operativo!BH102</f>
        <v>9024.16666666667</v>
      </c>
      <c r="H102" s="15" t="n">
        <f aca="false">Motore_Operativo!BI102</f>
        <v>121205.229923337</v>
      </c>
      <c r="I102" s="15" t="n">
        <f aca="false">Motore_Operativo!CA102</f>
        <v>155310.824480934</v>
      </c>
      <c r="J102" s="15" t="n">
        <f aca="false">Motore_Operativo!CC102</f>
        <v>-34105.5945575967</v>
      </c>
      <c r="K102" s="15" t="n">
        <f aca="false">Motore_Operativo!CE102</f>
        <v>3333.33333333333</v>
      </c>
      <c r="L102" s="15" t="n">
        <f aca="false">SUM(INDEX($K$65:$K$124,MAX(1,38-Parametri_v3!$C$59+1)):K102)/Parametri_v3!$C$59</f>
        <v>2175.92592592593</v>
      </c>
      <c r="M102" s="15" t="n">
        <f aca="false">J102-L102</f>
        <v>-36281.5204835226</v>
      </c>
      <c r="N102" s="15" t="n">
        <f aca="false">CD102-(CD101)</f>
        <v>0</v>
      </c>
      <c r="O102" s="15" t="n">
        <f aca="false">(BG101)*Ipotesi!$C$110/12+CH102*Parametri_v3!$C$39/12</f>
        <v>0</v>
      </c>
      <c r="P102" s="15" t="n">
        <f aca="false">M102+N102-O102</f>
        <v>-36281.5204835226</v>
      </c>
      <c r="Q102" s="15" t="n">
        <f aca="false">SUM(P101:P102)+Parametri_v3!$C$54*2/12</f>
        <v>-74408.3645028735</v>
      </c>
      <c r="R102" s="15" t="n">
        <f aca="false">Z100</f>
        <v>1007520.29624424</v>
      </c>
      <c r="S102" s="15" t="n">
        <f aca="false">AA100</f>
        <v>0</v>
      </c>
      <c r="T102" s="15" t="n">
        <f aca="false">MIN(R102,MAX(0,Q102))</f>
        <v>0</v>
      </c>
      <c r="U102" s="15" t="n">
        <f aca="false">MIN(S102,MAX(0,Q102-T102)*Parametri_v3!$C$42)</f>
        <v>0</v>
      </c>
      <c r="V102" s="15" t="n">
        <f aca="false">MAX(0,Q102-T102-U102)*Ipotesi!$C$92</f>
        <v>0</v>
      </c>
      <c r="W102" s="15" t="n">
        <f aca="false">MAX(0,SUM(M101:M102)+Parametri_v3!$C$55*2/12)*Ipotesi!$C$93</f>
        <v>0</v>
      </c>
      <c r="X102" s="15" t="n">
        <f aca="false">V102+W102-(V101+W101)</f>
        <v>0</v>
      </c>
      <c r="Y102" s="15" t="n">
        <f aca="false">P102-X102</f>
        <v>-36281.5204835226</v>
      </c>
      <c r="Z102" s="15" t="n">
        <f aca="false">R102-T102+IF(AND(Parametri_v3!$C$40=1,D102-YEAR(Parametri_v3!$C$50)&lt;Parametri_v3!$C$41),MAX(0,-Q102),0)</f>
        <v>1007520.29624424</v>
      </c>
      <c r="AA102" s="15" t="n">
        <f aca="false">S102-U102+IF(AND(Parametri_v3!$C$40=1,D102-YEAR(Parametri_v3!$C$50)&lt;Parametri_v3!$C$41),0,MAX(0,-Q102))</f>
        <v>74408.3645028735</v>
      </c>
      <c r="AB102" s="15" t="n">
        <f aca="false">F102*(1+Parametri_v3!$C$26)</f>
        <v>136860.897173138</v>
      </c>
      <c r="AC102" s="15" t="n">
        <f aca="false">(IF(38-(INT((Motore_Operativo!L102)/30))&lt;1,0,INDEX(Motore_Startup!$AB$65:$AB$124,MAX(1,38-(INT((Motore_Operativo!L102)/30)))))*(1-(MOD((Motore_Operativo!L102),30)/30))+IF(38-(INT((Motore_Operativo!L102)/30))-1&lt;1,0,INDEX(Motore_Startup!$AB$65:$AB$124,MAX(1,38-(INT((Motore_Operativo!L102)/30))-1)))*(MOD((Motore_Operativo!L102),30)/30))</f>
        <v>95551.4199316866</v>
      </c>
      <c r="AD102" s="15" t="n">
        <f aca="false">(AD101)+AB102-AC102</f>
        <v>369681.273961864</v>
      </c>
      <c r="AE102" s="15" t="n">
        <f aca="false">Motore_Operativo!BH102*(1+Parametri_v3!$C$26)</f>
        <v>11009.4833333333</v>
      </c>
      <c r="AF102" s="15" t="n">
        <f aca="false">(IF(38-(INT((Parametri_v3!$C$29)/30))&lt;1,0,INDEX(Motore_Operativo!$BH$65:$BH$124,MAX(1,38-(INT((Parametri_v3!$C$29)/30)))))*(1-(MOD((Parametri_v3!$C$29),30)/30))+IF(38-(INT((Parametri_v3!$C$29)/30))-1&lt;1,0,INDEX(Motore_Operativo!$BH$65:$BH$124,MAX(1,38-(INT((Parametri_v3!$C$29)/30))-1)))*(MOD((Parametri_v3!$C$29),30)/30))*(1+Parametri_v3!$C$26)</f>
        <v>11009.4833333333</v>
      </c>
      <c r="AG102" s="15" t="n">
        <f aca="false">(AG101)+AE102-AF102</f>
        <v>11009.4833333333</v>
      </c>
      <c r="AH102" s="15" t="n">
        <f aca="false">(Motore_Operativo!CJ102)*(1+Parametri_v3!$C$27*Parametri_v3!$C$26)</f>
        <v>69840.3980003269</v>
      </c>
      <c r="AI102" s="15" t="n">
        <f aca="false">(IF(38-(INT((Ipotesi!$C$91)/30))&lt;1,0,INDEX(Motore_Startup!$AH$65:$AH$124,MAX(1,38-(INT((Ipotesi!$C$91)/30)))))*(1-(MOD((Ipotesi!$C$91),30)/30))+IF(38-(INT((Ipotesi!$C$91)/30))-1&lt;1,0,INDEX(Motore_Startup!$AH$65:$AH$124,MAX(1,38-(INT((Ipotesi!$C$91)/30))-1)))*(MOD((Ipotesi!$C$91),30)/30))</f>
        <v>52679.4734811439</v>
      </c>
      <c r="AJ102" s="15" t="n">
        <f aca="false">(AJ101)+AH102-AI102</f>
        <v>139315.273461465</v>
      </c>
      <c r="AK102" s="15" t="n">
        <f aca="false">(F102+ Motore_Operativo!BH102-(Motore_Operativo!CJ102)*Parametri_v3!$C$27-Motore_Operativo!CE102)*Parametri_v3!$C$26</f>
        <v>14929.1597720746</v>
      </c>
      <c r="AL102" s="15" t="n">
        <f aca="false">MAX(0,(AM101))</f>
        <v>14502.8414513043</v>
      </c>
      <c r="AM102" s="15" t="n">
        <f aca="false">(AM101)+AK102-AL102</f>
        <v>14929.1597720746</v>
      </c>
      <c r="AN102" s="15" t="n">
        <f aca="false">SUM(X89:X100)</f>
        <v>0</v>
      </c>
      <c r="AO102" s="15" t="n">
        <f aca="false">SUM(AP89:AP100)</f>
        <v>0</v>
      </c>
      <c r="AP102" s="15" t="n">
        <f aca="false">MAX(0,AN102)*IF(2=Parametri_v3!$C$43,Parametri_v3!$C$45,IF(2=Parametri_v3!$C$44,1-Parametri_v3!$C$45,0))</f>
        <v>0</v>
      </c>
      <c r="AQ102" s="15" t="n">
        <f aca="false">MAX(0,AP102+IF(2=Parametri_v3!$C$43,MAX(0,AN102-AO102),0)-MAX(0,-(AR101)))</f>
        <v>0</v>
      </c>
      <c r="AR102" s="15" t="n">
        <f aca="false">(AR101)+X102-AQ102</f>
        <v>0</v>
      </c>
      <c r="AS102" s="15" t="n">
        <f aca="false">Motore_Operativo!AB102-AT102+AU102</f>
        <v>91649.4297604167</v>
      </c>
      <c r="AT102" s="15" t="n">
        <f aca="false">Motore_Operativo!CH102</f>
        <v>4823.65419791667</v>
      </c>
      <c r="AU102" s="15" t="n">
        <f aca="false">MIN(MAX(0,(AV101)+AT102),Parametri_v3!$C$60/12)</f>
        <v>0</v>
      </c>
      <c r="AV102" s="15" t="n">
        <f aca="false">(AV101)+AT102-AU102</f>
        <v>88819.0083958333</v>
      </c>
      <c r="AW102" s="15" t="n">
        <f aca="false">IF(AND(Motore_Operativo!C102=Finanziamenti!$D$6,Finanziamenti!$F$6=1),Finanziamenti!$C$6,0)</f>
        <v>0</v>
      </c>
      <c r="AX102" s="15" t="n">
        <f aca="false">IF(AND(2&lt;&gt;7,2&lt;&gt;9,Finanziamenti!$F$8=1,OR(Parametri_v3!$C$6=0,Finanziamenti!$E$8=1),Motore_Operativo!C102=EDATE(Finanziamenti!$D$8,Ipotesi!D15*12)),Finanziamenti!$C$8*1,0)+IF(AND(2&lt;&gt;7,2&lt;&gt;9,Finanziamenti!$F$9=1,OR(Parametri_v3!$C$6=0,Finanziamenti!$E$9=1),Motore_Operativo!C102=EDATE(Finanziamenti!$D$9,Ipotesi!D15*12)),Finanziamenti!$C$9*Ipotesi!D16,0)</f>
        <v>0</v>
      </c>
      <c r="AY102" s="15" t="n">
        <f aca="false">0</f>
        <v>0</v>
      </c>
      <c r="AZ102" s="15" t="n">
        <f aca="false">Motore_Advisory!AY102*(1-Ipotesi!$C$95)*Ipotesi!$C$96</f>
        <v>0</v>
      </c>
      <c r="BA102" s="15" t="n">
        <f aca="false">MAX(0,MIN(CG102*MIN(1,IF(Motore_Operativo!C102&gt;=EDATE(Finanziamenti!$D$15,Ipotesi!D14*12),Finanziamenti!$C$15,0)+IF(Motore_Operativo!C102&gt;=EDATE(Finanziamenti!$D$16,Ipotesi!D14*12),Finanziamenti!$C$16,0)+IF(Motore_Operativo!C102&gt;=EDATE(Finanziamenti!$D$17,Ipotesi!D14*12),Finanziamenti!$C$17,0)),CA102*Ipotesi!$C$102)-(CC101))</f>
        <v>0</v>
      </c>
      <c r="BB102" s="15" t="n">
        <f aca="false">IF(AND(CF102&gt;0,Motore_Operativo!C102&gt;=IF(CF102=0,0,EDATE(CF102,Parametri_v3!$C$37)),MOD(((D102-YEAR(IF(CF102=0,0,EDATE(CF102,Parametri_v3!$C$37))))*12+E102-MONTH(IF(CF102=0,0,EDATE(CF102,Parametri_v3!$C$37)))),Parametri_v3!$C$38)=0),MIN(MAX(0,(BC101)+BA102-N102),(CC102-CD102)/(Ipotesi!$C$108*12/Parametri_v3!$C$38)),0)</f>
        <v>0</v>
      </c>
      <c r="BC102" s="15" t="n">
        <f aca="false">(BC101)+BA102-N102-BB102</f>
        <v>265392.996883967</v>
      </c>
      <c r="BD102" s="15" t="n">
        <f aca="false">(BH101)+AC102+AF102-AI102-AS102-K102*(1+Parametri_v3!$C$26)-AL102-AQ102-O102+AW102+AX102+AZ102+BA102-BB102</f>
        <v>333684.242693251</v>
      </c>
      <c r="BE102" s="15" t="n">
        <f aca="false">MAX(0,MIN(MAX(0,CH102-(BG101)),Parametri_v3!$C$30-BD102))</f>
        <v>0</v>
      </c>
      <c r="BF102" s="15" t="n">
        <f aca="false">IF(Motore_Operativo!C102&gt;=Parametri_v3!$C$63,(BG101),MIN((BG101),MAX(0,BD102-Parametri_v3!$C$30)))</f>
        <v>0</v>
      </c>
      <c r="BG102" s="15" t="n">
        <f aca="false">(BG101)+BE102-BF102</f>
        <v>0</v>
      </c>
      <c r="BH102" s="15" t="n">
        <f aca="false">BD102+BE102-BF102-AY102</f>
        <v>333684.242693251</v>
      </c>
      <c r="BI102" s="15" t="n">
        <f aca="false">MAX(0,Parametri_v3!$C$30-BH102)</f>
        <v>0</v>
      </c>
      <c r="BJ102" s="15" t="n">
        <f aca="false">(BJ101)+K102</f>
        <v>81666.6666666667</v>
      </c>
      <c r="BK102" s="15" t="n">
        <f aca="false">(BK101)+L102</f>
        <v>39513.8888888889</v>
      </c>
      <c r="BL102" s="15" t="n">
        <f aca="false">BJ102-BK102</f>
        <v>42152.7777777778</v>
      </c>
      <c r="BM102" s="15" t="n">
        <f aca="false">(BM101)+Y102</f>
        <v>-1081928.66074711</v>
      </c>
      <c r="BN102" s="15" t="n">
        <f aca="false">(BN101)+AW102+AX102+AZ102</f>
        <v>1330000</v>
      </c>
      <c r="BO102" s="15" t="n">
        <f aca="false">(BO101)+AY102</f>
        <v>0</v>
      </c>
      <c r="BP102" s="15" t="n">
        <f aca="false">0</f>
        <v>0</v>
      </c>
      <c r="BQ102" s="15" t="n">
        <f aca="false">BN102+BM102-BO102</f>
        <v>248071.339252888</v>
      </c>
      <c r="BR102" s="15" t="n">
        <f aca="false">BH102+AD102+BL102+MAX(0,-AM102)+MAX(0,-AR102)+AG102</f>
        <v>756527.777766227</v>
      </c>
      <c r="BS102" s="15" t="n">
        <f aca="false">AJ102+AV102+MAX(0,AM102)+MAX(0,AR102)+BC102+BG102+BQ102</f>
        <v>756527.777766228</v>
      </c>
      <c r="BT102" s="15" t="n">
        <f aca="false">BR102-BS102</f>
        <v>0</v>
      </c>
      <c r="BU102" s="15" t="n">
        <f aca="false">BH102-(BD102+BE102-BF102-AY102)</f>
        <v>0</v>
      </c>
      <c r="BV102" s="15" t="n">
        <f aca="false">MIN(Piano_SS!$C$6,(BV101)+IF(AND(Motore_Operativo!C102&gt;=EDATE(Parametri_v3!$C$24,Ipotesi!D14*12),Motore_Operativo!C102&lt;EDATE(Parametri_v3!$C$24,Parametri_v3!$C$25+Ipotesi!D14*12)),MAX(0,(Motore_Operativo!Y102+Motore_Operativo!X102*Parametri_v3!$C$14)*(1-Parametri_v3!$C$32))*Piano_SS!$D$6,0))</f>
        <v>300000</v>
      </c>
      <c r="BW102" s="15" t="n">
        <f aca="false">MIN(Piano_SS!$C$7,(BW101)+IF(AND(Motore_Operativo!C102&gt;=EDATE(Parametri_v3!$C$24,Ipotesi!D14*12),Motore_Operativo!C102&lt;EDATE(Parametri_v3!$C$24,Parametri_v3!$C$25+Ipotesi!D14*12)),MAX(0,(IF(38-(INT((Ipotesi!$C$91)/30))&lt;1,0,INDEX(Motore_Operativo!$BN$65:$BN$124,MAX(1,38-(INT((Ipotesi!$C$91)/30)))))*(1-(MOD((Ipotesi!$C$91),30)/30))+IF(38-(INT((Ipotesi!$C$91)/30))-1&lt;1,0,INDEX(Motore_Operativo!$BN$65:$BN$124,MAX(1,38-(INT((Ipotesi!$C$91)/30))-1)))*(MOD((Ipotesi!$C$91),30)/30)))*Piano_SS!$D$7,0))</f>
        <v>41058.9230070837</v>
      </c>
      <c r="BX102" s="15" t="n">
        <f aca="false">MIN(Piano_SS!$C$8,(BX101)+IF(AND(Motore_Operativo!C102&gt;=EDATE(Parametri_v3!$C$24,Ipotesi!D14*12),Motore_Operativo!C102&lt;EDATE(Parametri_v3!$C$24,Parametri_v3!$C$25+Ipotesi!D14*12)),MAX(0,Motore_Operativo!CE102)*Piano_SS!$D$8,0))</f>
        <v>50000</v>
      </c>
      <c r="BY102" s="15" t="n">
        <f aca="false">MIN(Piano_SS!$C$9,(BY101)+IF(AND(Motore_Operativo!C102&gt;=EDATE(Parametri_v3!$C$24,Ipotesi!D14*12),Motore_Operativo!C102&lt;EDATE(Parametri_v3!$C$24,Parametri_v3!$C$25+Ipotesi!D14*12)),MAX(0,((IF(38-(INT((Ipotesi!$C$91)/30))&lt;1,0,INDEX(Motore_Operativo!$BQ$65:$BQ$124,MAX(1,38-(INT((Ipotesi!$C$91)/30)))))*(1-(MOD((Ipotesi!$C$91),30)/30))+IF(38-(INT((Ipotesi!$C$91)/30))-1&lt;1,0,INDEX(Motore_Operativo!$BQ$65:$BQ$124,MAX(1,38-(INT((Ipotesi!$C$91)/30))-1)))*(MOD((Ipotesi!$C$91),30)/30))+(IF(38-(INT((Ipotesi!$C$91)/30))&lt;1,0,INDEX(Motore_Operativo!$BR$65:$BR$124,MAX(1,38-(INT((Ipotesi!$C$91)/30)))))*(1-(MOD((Ipotesi!$C$91),30)/30))+IF(38-(INT((Ipotesi!$C$91)/30))-1&lt;1,0,INDEX(Motore_Operativo!$BR$65:$BR$124,MAX(1,38-(INT((Ipotesi!$C$91)/30))-1)))*(MOD((Ipotesi!$C$91),30)/30))))*Piano_SS!$D$9,0))</f>
        <v>40000</v>
      </c>
      <c r="BZ102" s="15" t="n">
        <f aca="false">MIN(Piano_SS!$C$10,(BZ101)+IF(AND(Motore_Operativo!C102&gt;=EDATE(Parametri_v3!$C$24,Ipotesi!D14*12),Motore_Operativo!C102&lt;EDATE(Parametri_v3!$C$24,Parametri_v3!$C$25+Ipotesi!D14*12)),MAX(0,(IF(38-(INT((Ipotesi!$C$91)/30))&lt;1,0,INDEX(Motore_Operativo!$BO$65:$BO$124,MAX(1,38-(INT((Ipotesi!$C$91)/30)))))*(1-(MOD((Ipotesi!$C$91),30)/30))+IF(38-(INT((Ipotesi!$C$91)/30))-1&lt;1,0,INDEX(Motore_Operativo!$BO$65:$BO$124,MAX(1,38-(INT((Ipotesi!$C$91)/30))-1)))*(MOD((Ipotesi!$C$91),30)/30)))*Piano_SS!$D$10,0))</f>
        <v>30000</v>
      </c>
      <c r="CA102" s="15" t="n">
        <f aca="false">SUM(BV102:BZ102)</f>
        <v>461058.923007084</v>
      </c>
      <c r="CB102" s="15" t="n">
        <f aca="false">BV102*(1-Piano_SS!$E$6)+BW102*(1-Piano_SS!$E$7)+BX102*(1-Piano_SS!$E$8)+BY102*(1-Piano_SS!$E$9)+BZ102*(1-Piano_SS!$E$10)</f>
        <v>431058.923007084</v>
      </c>
      <c r="CC102" s="15" t="n">
        <f aca="false">(CC101)+BA102</f>
        <v>368847.138405667</v>
      </c>
      <c r="CD102" s="15" t="n">
        <f aca="false">IF(CA102=0,0,CC102*CB102/CA102*Ipotesi!$C$103*Parametri_v3!$C$64)</f>
        <v>103454.1415217</v>
      </c>
      <c r="CE102" s="18" t="n">
        <f aca="false">IF(BA102&gt;0,Motore_Operativo!C102,(CE101))</f>
        <v>47270</v>
      </c>
      <c r="CF102" s="18" t="n">
        <f aca="false">IF(AND(CC102&gt;0,OR(CC102&gt;=CG102-0.01,Motore_Operativo!C102&gt;=EDATE(MAX(Finanziamenti!$D$15:$D$17),Ipotesi!D14*12))),CE102,0)</f>
        <v>47270</v>
      </c>
      <c r="CG102" s="15" t="n">
        <f aca="false">IF(AND(2&lt;&gt;6,2&lt;&gt;9,Finanziamenti!$F$11=1,OR(Parametri_v3!$C$6=0,Finanziamenti!$E$11=1)),MIN(Finanziamenti!$C$11,Piano_SS!$C$12*Ipotesi!$C$102),0)</f>
        <v>400000</v>
      </c>
      <c r="CH102" s="15" t="n">
        <f aca="false">IF(AND(AND(2&lt;&gt;8,2&lt;&gt;9,Finanziamenti!$F$10=1,OR(Parametri_v3!$C$6=0,Finanziamenti!$E$10=1)),Motore_Operativo!C102&gt;=Finanziamenti!$D$10,Motore_Operativo!C102&lt;Parametri_v3!$C$63),Finanziamenti!$C$10,0)</f>
        <v>150000</v>
      </c>
    </row>
    <row r="103" customFormat="false" ht="18" hidden="false" customHeight="true" outlineLevel="0" collapsed="false">
      <c r="A103" s="68" t="n">
        <f aca="false">2</f>
        <v>2</v>
      </c>
      <c r="B103" s="68" t="n">
        <f aca="false">39</f>
        <v>39</v>
      </c>
      <c r="C103" s="18" t="n">
        <f aca="false">Motore_Operativo!C103</f>
        <v>47543</v>
      </c>
      <c r="D103" s="68" t="n">
        <f aca="false">Motore_Operativo!D103</f>
        <v>2030</v>
      </c>
      <c r="E103" s="68" t="n">
        <f aca="false">Motore_Operativo!E103</f>
        <v>3</v>
      </c>
      <c r="F103" s="15" t="n">
        <f aca="false">Motore_Operativo!AQ103+Motore_Operativo!BF103</f>
        <v>114361.39352118</v>
      </c>
      <c r="G103" s="15" t="n">
        <f aca="false">Motore_Operativo!BH103</f>
        <v>9024.16666666667</v>
      </c>
      <c r="H103" s="15" t="n">
        <f aca="false">Motore_Operativo!BI103</f>
        <v>123385.560187847</v>
      </c>
      <c r="I103" s="15" t="n">
        <f aca="false">Motore_Operativo!CA103</f>
        <v>155616.070717965</v>
      </c>
      <c r="J103" s="15" t="n">
        <f aca="false">Motore_Operativo!CC103</f>
        <v>-32230.5105301187</v>
      </c>
      <c r="K103" s="15" t="n">
        <f aca="false">Motore_Operativo!CE103</f>
        <v>3333.33333333333</v>
      </c>
      <c r="L103" s="15" t="n">
        <f aca="false">SUM(INDEX($K$65:$K$124,MAX(1,39-Parametri_v3!$C$59+1)):K103)/Parametri_v3!$C$59</f>
        <v>2222.22222222222</v>
      </c>
      <c r="M103" s="15" t="n">
        <f aca="false">J103-L103</f>
        <v>-34452.7327523409</v>
      </c>
      <c r="N103" s="15" t="n">
        <f aca="false">CD103-(CD102)</f>
        <v>0</v>
      </c>
      <c r="O103" s="15" t="n">
        <f aca="false">(BG102)*Ipotesi!$C$110/12+CH103*Parametri_v3!$C$39/12</f>
        <v>0</v>
      </c>
      <c r="P103" s="15" t="n">
        <f aca="false">M103+N103-O103</f>
        <v>-34452.7327523409</v>
      </c>
      <c r="Q103" s="15" t="n">
        <f aca="false">SUM(P101:P103)+Parametri_v3!$C$54*3/12</f>
        <v>-108861.097255214</v>
      </c>
      <c r="R103" s="15" t="n">
        <f aca="false">Z100</f>
        <v>1007520.29624424</v>
      </c>
      <c r="S103" s="15" t="n">
        <f aca="false">AA100</f>
        <v>0</v>
      </c>
      <c r="T103" s="15" t="n">
        <f aca="false">MIN(R103,MAX(0,Q103))</f>
        <v>0</v>
      </c>
      <c r="U103" s="15" t="n">
        <f aca="false">MIN(S103,MAX(0,Q103-T103)*Parametri_v3!$C$42)</f>
        <v>0</v>
      </c>
      <c r="V103" s="15" t="n">
        <f aca="false">MAX(0,Q103-T103-U103)*Ipotesi!$C$92</f>
        <v>0</v>
      </c>
      <c r="W103" s="15" t="n">
        <f aca="false">MAX(0,SUM(M101:M103)+Parametri_v3!$C$55*3/12)*Ipotesi!$C$93</f>
        <v>0</v>
      </c>
      <c r="X103" s="15" t="n">
        <f aca="false">V103+W103-(V102+W102)</f>
        <v>0</v>
      </c>
      <c r="Y103" s="15" t="n">
        <f aca="false">P103-X103</f>
        <v>-34452.7327523409</v>
      </c>
      <c r="Z103" s="15" t="n">
        <f aca="false">R103-T103+IF(AND(Parametri_v3!$C$40=1,D103-YEAR(Parametri_v3!$C$50)&lt;Parametri_v3!$C$41),MAX(0,-Q103),0)</f>
        <v>1007520.29624424</v>
      </c>
      <c r="AA103" s="15" t="n">
        <f aca="false">S103-U103+IF(AND(Parametri_v3!$C$40=1,D103-YEAR(Parametri_v3!$C$50)&lt;Parametri_v3!$C$41),0,MAX(0,-Q103))</f>
        <v>108861.097255214</v>
      </c>
      <c r="AB103" s="15" t="n">
        <f aca="false">F103*(1+Parametri_v3!$C$26)</f>
        <v>139520.900095839</v>
      </c>
      <c r="AC103" s="15" t="n">
        <f aca="false">(IF(39-(INT((Motore_Operativo!L103)/30))&lt;1,0,INDEX(Motore_Startup!$AB$65:$AB$124,MAX(1,39-(INT((Motore_Operativo!L103)/30)))))*(1-(MOD((Motore_Operativo!L103),30)/30))+IF(39-(INT((Motore_Operativo!L103)/30))-1&lt;1,0,INDEX(Motore_Startup!$AB$65:$AB$124,MAX(1,39-(INT((Motore_Operativo!L103)/30))-1)))*(MOD((Motore_Operativo!L103),30)/30))</f>
        <v>98642.9403076721</v>
      </c>
      <c r="AD103" s="15" t="n">
        <f aca="false">(AD102)+AB103-AC103</f>
        <v>410559.233750032</v>
      </c>
      <c r="AE103" s="15" t="n">
        <f aca="false">Motore_Operativo!BH103*(1+Parametri_v3!$C$26)</f>
        <v>11009.4833333333</v>
      </c>
      <c r="AF103" s="15" t="n">
        <f aca="false">(IF(39-(INT((Parametri_v3!$C$29)/30))&lt;1,0,INDEX(Motore_Operativo!$BH$65:$BH$124,MAX(1,39-(INT((Parametri_v3!$C$29)/30)))))*(1-(MOD((Parametri_v3!$C$29),30)/30))+IF(39-(INT((Parametri_v3!$C$29)/30))-1&lt;1,0,INDEX(Motore_Operativo!$BH$65:$BH$124,MAX(1,39-(INT((Parametri_v3!$C$29)/30))-1)))*(MOD((Parametri_v3!$C$29),30)/30))*(1+Parametri_v3!$C$26)</f>
        <v>11009.4833333333</v>
      </c>
      <c r="AG103" s="15" t="n">
        <f aca="false">(AG102)+AE103-AF103</f>
        <v>11009.4833333333</v>
      </c>
      <c r="AH103" s="15" t="n">
        <f aca="false">(Motore_Operativo!CJ103)*(1+Parametri_v3!$C$27*Parametri_v3!$C$26)</f>
        <v>70202.725283683</v>
      </c>
      <c r="AI103" s="15" t="n">
        <f aca="false">(IF(39-(INT((Ipotesi!$C$91)/30))&lt;1,0,INDEX(Motore_Startup!$AH$65:$AH$124,MAX(1,39-(INT((Ipotesi!$C$91)/30)))))*(1-(MOD((Ipotesi!$C$91),30)/30))+IF(39-(INT((Ipotesi!$C$91)/30))-1&lt;1,0,INDEX(Motore_Startup!$AH$65:$AH$124,MAX(1,39-(INT((Ipotesi!$C$91)/30))-1)))*(MOD((Ipotesi!$C$91),30)/30))</f>
        <v>69474.875461138</v>
      </c>
      <c r="AJ103" s="15" t="n">
        <f aca="false">(AJ102)+AH103-AI103</f>
        <v>140043.12328401</v>
      </c>
      <c r="AK103" s="15" t="n">
        <f aca="false">(F103+ Motore_Operativo!BH103-(Motore_Operativo!CJ103)*Parametri_v3!$C$27-Motore_Operativo!CE103)*Parametri_v3!$C$26</f>
        <v>15351.7513839417</v>
      </c>
      <c r="AL103" s="15" t="n">
        <f aca="false">MAX(0,(AM102))</f>
        <v>14929.1597720746</v>
      </c>
      <c r="AM103" s="15" t="n">
        <f aca="false">(AM102)+AK103-AL103</f>
        <v>15351.7513839417</v>
      </c>
      <c r="AN103" s="15" t="n">
        <f aca="false">SUM(X89:X100)</f>
        <v>0</v>
      </c>
      <c r="AO103" s="15" t="n">
        <f aca="false">SUM(AP89:AP100)</f>
        <v>0</v>
      </c>
      <c r="AP103" s="15" t="n">
        <f aca="false">MAX(0,AN103)*IF(3=Parametri_v3!$C$43,Parametri_v3!$C$45,IF(3=Parametri_v3!$C$44,1-Parametri_v3!$C$45,0))</f>
        <v>0</v>
      </c>
      <c r="AQ103" s="15" t="n">
        <f aca="false">MAX(0,AP103+IF(3=Parametri_v3!$C$43,MAX(0,AN103-AO103),0)-MAX(0,-(AR102)))</f>
        <v>0</v>
      </c>
      <c r="AR103" s="15" t="n">
        <f aca="false">(AR102)+X103-AQ103</f>
        <v>0</v>
      </c>
      <c r="AS103" s="15" t="n">
        <f aca="false">Motore_Operativo!AB103-AT103+AU103</f>
        <v>91649.4297604167</v>
      </c>
      <c r="AT103" s="15" t="n">
        <f aca="false">Motore_Operativo!CH103</f>
        <v>4823.65419791667</v>
      </c>
      <c r="AU103" s="15" t="n">
        <f aca="false">MIN(MAX(0,(AV102)+AT103),Parametri_v3!$C$60/12)</f>
        <v>0</v>
      </c>
      <c r="AV103" s="15" t="n">
        <f aca="false">(AV102)+AT103-AU103</f>
        <v>93642.66259375</v>
      </c>
      <c r="AW103" s="15" t="n">
        <f aca="false">IF(AND(Motore_Operativo!C103=Finanziamenti!$D$6,Finanziamenti!$F$6=1),Finanziamenti!$C$6,0)</f>
        <v>0</v>
      </c>
      <c r="AX103" s="15" t="n">
        <f aca="false">IF(AND(2&lt;&gt;7,2&lt;&gt;9,Finanziamenti!$F$8=1,OR(Parametri_v3!$C$6=0,Finanziamenti!$E$8=1),Motore_Operativo!C103=EDATE(Finanziamenti!$D$8,Ipotesi!D15*12)),Finanziamenti!$C$8*1,0)+IF(AND(2&lt;&gt;7,2&lt;&gt;9,Finanziamenti!$F$9=1,OR(Parametri_v3!$C$6=0,Finanziamenti!$E$9=1),Motore_Operativo!C103=EDATE(Finanziamenti!$D$9,Ipotesi!D15*12)),Finanziamenti!$C$9*Ipotesi!D16,0)</f>
        <v>0</v>
      </c>
      <c r="AY103" s="15" t="n">
        <f aca="false">0</f>
        <v>0</v>
      </c>
      <c r="AZ103" s="15" t="n">
        <f aca="false">Motore_Advisory!AY103*(1-Ipotesi!$C$95)*Ipotesi!$C$96</f>
        <v>0</v>
      </c>
      <c r="BA103" s="15" t="n">
        <f aca="false">MAX(0,MIN(CG103*MIN(1,IF(Motore_Operativo!C103&gt;=EDATE(Finanziamenti!$D$15,Ipotesi!D14*12),Finanziamenti!$C$15,0)+IF(Motore_Operativo!C103&gt;=EDATE(Finanziamenti!$D$16,Ipotesi!D14*12),Finanziamenti!$C$16,0)+IF(Motore_Operativo!C103&gt;=EDATE(Finanziamenti!$D$17,Ipotesi!D14*12),Finanziamenti!$C$17,0)),CA103*Ipotesi!$C$102)-(CC102))</f>
        <v>0</v>
      </c>
      <c r="BB103" s="15" t="n">
        <f aca="false">IF(AND(CF103&gt;0,Motore_Operativo!C103&gt;=IF(CF103=0,0,EDATE(CF103,Parametri_v3!$C$37)),MOD(((D103-YEAR(IF(CF103=0,0,EDATE(CF103,Parametri_v3!$C$37))))*12+E103-MONTH(IF(CF103=0,0,EDATE(CF103,Parametri_v3!$C$37)))),Parametri_v3!$C$38)=0),MIN(MAX(0,(BC102)+BA103-N103),(CC103-CD103)/(Ipotesi!$C$108*12/Parametri_v3!$C$38)),0)</f>
        <v>0</v>
      </c>
      <c r="BC103" s="15" t="n">
        <f aca="false">(BC102)+BA103-N103-BB103</f>
        <v>265392.996883967</v>
      </c>
      <c r="BD103" s="15" t="n">
        <f aca="false">(BH102)+AC103+AF103-AI103-AS103-K103*(1+Parametri_v3!$C$26)-AL103-AQ103-O103+AW103+AX103+AZ103+BA103-BB103</f>
        <v>263216.534673961</v>
      </c>
      <c r="BE103" s="15" t="n">
        <f aca="false">MAX(0,MIN(MAX(0,CH103-(BG102)),Parametri_v3!$C$30-BD103))</f>
        <v>0</v>
      </c>
      <c r="BF103" s="15" t="n">
        <f aca="false">IF(Motore_Operativo!C103&gt;=Parametri_v3!$C$63,(BG102),MIN((BG102),MAX(0,BD103-Parametri_v3!$C$30)))</f>
        <v>0</v>
      </c>
      <c r="BG103" s="15" t="n">
        <f aca="false">(BG102)+BE103-BF103</f>
        <v>0</v>
      </c>
      <c r="BH103" s="15" t="n">
        <f aca="false">BD103+BE103-BF103-AY103</f>
        <v>263216.534673961</v>
      </c>
      <c r="BI103" s="15" t="n">
        <f aca="false">MAX(0,Parametri_v3!$C$30-BH103)</f>
        <v>0</v>
      </c>
      <c r="BJ103" s="15" t="n">
        <f aca="false">(BJ102)+K103</f>
        <v>85000</v>
      </c>
      <c r="BK103" s="15" t="n">
        <f aca="false">(BK102)+L103</f>
        <v>41736.1111111111</v>
      </c>
      <c r="BL103" s="15" t="n">
        <f aca="false">BJ103-BK103</f>
        <v>43263.8888888889</v>
      </c>
      <c r="BM103" s="15" t="n">
        <f aca="false">(BM102)+Y103</f>
        <v>-1116381.39349945</v>
      </c>
      <c r="BN103" s="15" t="n">
        <f aca="false">(BN102)+AW103+AX103+AZ103</f>
        <v>1330000</v>
      </c>
      <c r="BO103" s="15" t="n">
        <f aca="false">(BO102)+AY103</f>
        <v>0</v>
      </c>
      <c r="BP103" s="15" t="n">
        <f aca="false">0</f>
        <v>0</v>
      </c>
      <c r="BQ103" s="15" t="n">
        <f aca="false">BN103+BM103-BO103</f>
        <v>213618.606500547</v>
      </c>
      <c r="BR103" s="15" t="n">
        <f aca="false">BH103+AD103+BL103+MAX(0,-AM103)+MAX(0,-AR103)+AG103</f>
        <v>728049.140646215</v>
      </c>
      <c r="BS103" s="15" t="n">
        <f aca="false">AJ103+AV103+MAX(0,AM103)+MAX(0,AR103)+BC103+BG103+BQ103</f>
        <v>728049.140646216</v>
      </c>
      <c r="BT103" s="15" t="n">
        <f aca="false">BR103-BS103</f>
        <v>0</v>
      </c>
      <c r="BU103" s="15" t="n">
        <f aca="false">BH103-(BD103+BE103-BF103-AY103)</f>
        <v>0</v>
      </c>
      <c r="BV103" s="15" t="n">
        <f aca="false">MIN(Piano_SS!$C$6,(BV102)+IF(AND(Motore_Operativo!C103&gt;=EDATE(Parametri_v3!$C$24,Ipotesi!D14*12),Motore_Operativo!C103&lt;EDATE(Parametri_v3!$C$24,Parametri_v3!$C$25+Ipotesi!D14*12)),MAX(0,(Motore_Operativo!Y103+Motore_Operativo!X103*Parametri_v3!$C$14)*(1-Parametri_v3!$C$32))*Piano_SS!$D$6,0))</f>
        <v>300000</v>
      </c>
      <c r="BW103" s="15" t="n">
        <f aca="false">MIN(Piano_SS!$C$7,(BW102)+IF(AND(Motore_Operativo!C103&gt;=EDATE(Parametri_v3!$C$24,Ipotesi!D14*12),Motore_Operativo!C103&lt;EDATE(Parametri_v3!$C$24,Parametri_v3!$C$25+Ipotesi!D14*12)),MAX(0,(IF(39-(INT((Ipotesi!$C$91)/30))&lt;1,0,INDEX(Motore_Operativo!$BN$65:$BN$124,MAX(1,39-(INT((Ipotesi!$C$91)/30)))))*(1-(MOD((Ipotesi!$C$91),30)/30))+IF(39-(INT((Ipotesi!$C$91)/30))-1&lt;1,0,INDEX(Motore_Operativo!$BN$65:$BN$124,MAX(1,39-(INT((Ipotesi!$C$91)/30))-1)))*(MOD((Ipotesi!$C$91),30)/30)))*Piano_SS!$D$7,0))</f>
        <v>41058.9230070837</v>
      </c>
      <c r="BX103" s="15" t="n">
        <f aca="false">MIN(Piano_SS!$C$8,(BX102)+IF(AND(Motore_Operativo!C103&gt;=EDATE(Parametri_v3!$C$24,Ipotesi!D14*12),Motore_Operativo!C103&lt;EDATE(Parametri_v3!$C$24,Parametri_v3!$C$25+Ipotesi!D14*12)),MAX(0,Motore_Operativo!CE103)*Piano_SS!$D$8,0))</f>
        <v>50000</v>
      </c>
      <c r="BY103" s="15" t="n">
        <f aca="false">MIN(Piano_SS!$C$9,(BY102)+IF(AND(Motore_Operativo!C103&gt;=EDATE(Parametri_v3!$C$24,Ipotesi!D14*12),Motore_Operativo!C103&lt;EDATE(Parametri_v3!$C$24,Parametri_v3!$C$25+Ipotesi!D14*12)),MAX(0,((IF(39-(INT((Ipotesi!$C$91)/30))&lt;1,0,INDEX(Motore_Operativo!$BQ$65:$BQ$124,MAX(1,39-(INT((Ipotesi!$C$91)/30)))))*(1-(MOD((Ipotesi!$C$91),30)/30))+IF(39-(INT((Ipotesi!$C$91)/30))-1&lt;1,0,INDEX(Motore_Operativo!$BQ$65:$BQ$124,MAX(1,39-(INT((Ipotesi!$C$91)/30))-1)))*(MOD((Ipotesi!$C$91),30)/30))+(IF(39-(INT((Ipotesi!$C$91)/30))&lt;1,0,INDEX(Motore_Operativo!$BR$65:$BR$124,MAX(1,39-(INT((Ipotesi!$C$91)/30)))))*(1-(MOD((Ipotesi!$C$91),30)/30))+IF(39-(INT((Ipotesi!$C$91)/30))-1&lt;1,0,INDEX(Motore_Operativo!$BR$65:$BR$124,MAX(1,39-(INT((Ipotesi!$C$91)/30))-1)))*(MOD((Ipotesi!$C$91),30)/30))))*Piano_SS!$D$9,0))</f>
        <v>40000</v>
      </c>
      <c r="BZ103" s="15" t="n">
        <f aca="false">MIN(Piano_SS!$C$10,(BZ102)+IF(AND(Motore_Operativo!C103&gt;=EDATE(Parametri_v3!$C$24,Ipotesi!D14*12),Motore_Operativo!C103&lt;EDATE(Parametri_v3!$C$24,Parametri_v3!$C$25+Ipotesi!D14*12)),MAX(0,(IF(39-(INT((Ipotesi!$C$91)/30))&lt;1,0,INDEX(Motore_Operativo!$BO$65:$BO$124,MAX(1,39-(INT((Ipotesi!$C$91)/30)))))*(1-(MOD((Ipotesi!$C$91),30)/30))+IF(39-(INT((Ipotesi!$C$91)/30))-1&lt;1,0,INDEX(Motore_Operativo!$BO$65:$BO$124,MAX(1,39-(INT((Ipotesi!$C$91)/30))-1)))*(MOD((Ipotesi!$C$91),30)/30)))*Piano_SS!$D$10,0))</f>
        <v>30000</v>
      </c>
      <c r="CA103" s="15" t="n">
        <f aca="false">SUM(BV103:BZ103)</f>
        <v>461058.923007084</v>
      </c>
      <c r="CB103" s="15" t="n">
        <f aca="false">BV103*(1-Piano_SS!$E$6)+BW103*(1-Piano_SS!$E$7)+BX103*(1-Piano_SS!$E$8)+BY103*(1-Piano_SS!$E$9)+BZ103*(1-Piano_SS!$E$10)</f>
        <v>431058.923007084</v>
      </c>
      <c r="CC103" s="15" t="n">
        <f aca="false">(CC102)+BA103</f>
        <v>368847.138405667</v>
      </c>
      <c r="CD103" s="15" t="n">
        <f aca="false">IF(CA103=0,0,CC103*CB103/CA103*Ipotesi!$C$103*Parametri_v3!$C$64)</f>
        <v>103454.1415217</v>
      </c>
      <c r="CE103" s="18" t="n">
        <f aca="false">IF(BA103&gt;0,Motore_Operativo!C103,(CE102))</f>
        <v>47270</v>
      </c>
      <c r="CF103" s="18" t="n">
        <f aca="false">IF(AND(CC103&gt;0,OR(CC103&gt;=CG103-0.01,Motore_Operativo!C103&gt;=EDATE(MAX(Finanziamenti!$D$15:$D$17),Ipotesi!D14*12))),CE103,0)</f>
        <v>47270</v>
      </c>
      <c r="CG103" s="15" t="n">
        <f aca="false">IF(AND(2&lt;&gt;6,2&lt;&gt;9,Finanziamenti!$F$11=1,OR(Parametri_v3!$C$6=0,Finanziamenti!$E$11=1)),MIN(Finanziamenti!$C$11,Piano_SS!$C$12*Ipotesi!$C$102),0)</f>
        <v>400000</v>
      </c>
      <c r="CH103" s="15" t="n">
        <f aca="false">IF(AND(AND(2&lt;&gt;8,2&lt;&gt;9,Finanziamenti!$F$10=1,OR(Parametri_v3!$C$6=0,Finanziamenti!$E$10=1)),Motore_Operativo!C103&gt;=Finanziamenti!$D$10,Motore_Operativo!C103&lt;Parametri_v3!$C$63),Finanziamenti!$C$10,0)</f>
        <v>150000</v>
      </c>
    </row>
    <row r="104" customFormat="false" ht="18" hidden="false" customHeight="true" outlineLevel="0" collapsed="false">
      <c r="A104" s="68" t="n">
        <f aca="false">2</f>
        <v>2</v>
      </c>
      <c r="B104" s="68" t="n">
        <f aca="false">40</f>
        <v>40</v>
      </c>
      <c r="C104" s="18" t="n">
        <f aca="false">Motore_Operativo!C104</f>
        <v>47574</v>
      </c>
      <c r="D104" s="68" t="n">
        <f aca="false">Motore_Operativo!D104</f>
        <v>2030</v>
      </c>
      <c r="E104" s="68" t="n">
        <f aca="false">Motore_Operativo!E104</f>
        <v>4</v>
      </c>
      <c r="F104" s="15" t="n">
        <f aca="false">Motore_Operativo!AQ104+Motore_Operativo!BF104</f>
        <v>116985.966626</v>
      </c>
      <c r="G104" s="15" t="n">
        <f aca="false">Motore_Operativo!BH104</f>
        <v>9024.16666666667</v>
      </c>
      <c r="H104" s="15" t="n">
        <f aca="false">Motore_Operativo!BI104</f>
        <v>126010.133292667</v>
      </c>
      <c r="I104" s="15" t="n">
        <f aca="false">Motore_Operativo!CA104</f>
        <v>155983.51095264</v>
      </c>
      <c r="J104" s="15" t="n">
        <f aca="false">Motore_Operativo!CC104</f>
        <v>-29973.3776599733</v>
      </c>
      <c r="K104" s="15" t="n">
        <f aca="false">Motore_Operativo!CE104</f>
        <v>3333.33333333333</v>
      </c>
      <c r="L104" s="15" t="n">
        <f aca="false">SUM(INDEX($K$65:$K$124,MAX(1,40-Parametri_v3!$C$59+1)):K104)/Parametri_v3!$C$59</f>
        <v>2268.51851851852</v>
      </c>
      <c r="M104" s="15" t="n">
        <f aca="false">J104-L104</f>
        <v>-32241.8961784918</v>
      </c>
      <c r="N104" s="15" t="n">
        <f aca="false">CD104-(CD103)</f>
        <v>0</v>
      </c>
      <c r="O104" s="15" t="n">
        <f aca="false">(BG103)*Ipotesi!$C$110/12+CH104*Parametri_v3!$C$39/12</f>
        <v>0</v>
      </c>
      <c r="P104" s="15" t="n">
        <f aca="false">M104+N104-O104</f>
        <v>-32241.8961784918</v>
      </c>
      <c r="Q104" s="15" t="n">
        <f aca="false">SUM(P101:P104)+Parametri_v3!$C$54*4/12</f>
        <v>-141102.993433706</v>
      </c>
      <c r="R104" s="15" t="n">
        <f aca="false">Z100</f>
        <v>1007520.29624424</v>
      </c>
      <c r="S104" s="15" t="n">
        <f aca="false">AA100</f>
        <v>0</v>
      </c>
      <c r="T104" s="15" t="n">
        <f aca="false">MIN(R104,MAX(0,Q104))</f>
        <v>0</v>
      </c>
      <c r="U104" s="15" t="n">
        <f aca="false">MIN(S104,MAX(0,Q104-T104)*Parametri_v3!$C$42)</f>
        <v>0</v>
      </c>
      <c r="V104" s="15" t="n">
        <f aca="false">MAX(0,Q104-T104-U104)*Ipotesi!$C$92</f>
        <v>0</v>
      </c>
      <c r="W104" s="15" t="n">
        <f aca="false">MAX(0,SUM(M101:M104)+Parametri_v3!$C$55*4/12)*Ipotesi!$C$93</f>
        <v>0</v>
      </c>
      <c r="X104" s="15" t="n">
        <f aca="false">V104+W104-(V103+W103)</f>
        <v>0</v>
      </c>
      <c r="Y104" s="15" t="n">
        <f aca="false">P104-X104</f>
        <v>-32241.8961784918</v>
      </c>
      <c r="Z104" s="15" t="n">
        <f aca="false">R104-T104+IF(AND(Parametri_v3!$C$40=1,D104-YEAR(Parametri_v3!$C$50)&lt;Parametri_v3!$C$41),MAX(0,-Q104),0)</f>
        <v>1007520.29624424</v>
      </c>
      <c r="AA104" s="15" t="n">
        <f aca="false">S104-U104+IF(AND(Parametri_v3!$C$40=1,D104-YEAR(Parametri_v3!$C$50)&lt;Parametri_v3!$C$41),0,MAX(0,-Q104))</f>
        <v>141102.993433706</v>
      </c>
      <c r="AB104" s="15" t="n">
        <f aca="false">F104*(1+Parametri_v3!$C$26)</f>
        <v>142722.87928372</v>
      </c>
      <c r="AC104" s="15" t="n">
        <f aca="false">(IF(40-(INT((Motore_Operativo!L104)/30))&lt;1,0,INDEX(Motore_Startup!$AB$65:$AB$124,MAX(1,40-(INT((Motore_Operativo!L104)/30)))))*(1-(MOD((Motore_Operativo!L104),30)/30))+IF(40-(INT((Motore_Operativo!L104)/30))-1&lt;1,0,INDEX(Motore_Startup!$AB$65:$AB$124,MAX(1,40-(INT((Motore_Operativo!L104)/30))-1)))*(MOD((Motore_Operativo!L104),30)/30))</f>
        <v>134177.436481054</v>
      </c>
      <c r="AD104" s="15" t="n">
        <f aca="false">(AD103)+AB104-AC104</f>
        <v>419104.676552697</v>
      </c>
      <c r="AE104" s="15" t="n">
        <f aca="false">Motore_Operativo!BH104*(1+Parametri_v3!$C$26)</f>
        <v>11009.4833333333</v>
      </c>
      <c r="AF104" s="15" t="n">
        <f aca="false">(IF(40-(INT((Parametri_v3!$C$29)/30))&lt;1,0,INDEX(Motore_Operativo!$BH$65:$BH$124,MAX(1,40-(INT((Parametri_v3!$C$29)/30)))))*(1-(MOD((Parametri_v3!$C$29),30)/30))+IF(40-(INT((Parametri_v3!$C$29)/30))-1&lt;1,0,INDEX(Motore_Operativo!$BH$65:$BH$124,MAX(1,40-(INT((Parametri_v3!$C$29)/30))-1)))*(MOD((Parametri_v3!$C$29),30)/30))*(1+Parametri_v3!$C$26)</f>
        <v>11009.4833333333</v>
      </c>
      <c r="AG104" s="15" t="n">
        <f aca="false">(AG103)+AE104-AF104</f>
        <v>11009.4833333333</v>
      </c>
      <c r="AH104" s="15" t="n">
        <f aca="false">(Motore_Operativo!CJ104)*(1+Parametri_v3!$C$27*Parametri_v3!$C$26)</f>
        <v>70638.876842242</v>
      </c>
      <c r="AI104" s="15" t="n">
        <f aca="false">(IF(40-(INT((Ipotesi!$C$91)/30))&lt;1,0,INDEX(Motore_Startup!$AH$65:$AH$124,MAX(1,40-(INT((Ipotesi!$C$91)/30)))))*(1-(MOD((Ipotesi!$C$91),30)/30))+IF(40-(INT((Ipotesi!$C$91)/30))-1&lt;1,0,INDEX(Motore_Startup!$AH$65:$AH$124,MAX(1,40-(INT((Ipotesi!$C$91)/30))-1)))*(MOD((Ipotesi!$C$91),30)/30))</f>
        <v>69840.3980003269</v>
      </c>
      <c r="AJ104" s="15" t="n">
        <f aca="false">(AJ103)+AH104-AI104</f>
        <v>140841.602125925</v>
      </c>
      <c r="AK104" s="15" t="n">
        <f aca="false">(F104+ Motore_Operativo!BH104-(Motore_Operativo!CJ104)*Parametri_v3!$C$27-Motore_Operativo!CE104)*Parametri_v3!$C$26</f>
        <v>15860.446143118</v>
      </c>
      <c r="AL104" s="15" t="n">
        <f aca="false">MAX(0,(AM103))</f>
        <v>15351.7513839417</v>
      </c>
      <c r="AM104" s="15" t="n">
        <f aca="false">(AM103)+AK104-AL104</f>
        <v>15860.446143118</v>
      </c>
      <c r="AN104" s="15" t="n">
        <f aca="false">SUM(X89:X100)</f>
        <v>0</v>
      </c>
      <c r="AO104" s="15" t="n">
        <f aca="false">SUM(AP89:AP100)</f>
        <v>0</v>
      </c>
      <c r="AP104" s="15" t="n">
        <f aca="false">MAX(0,AN104)*IF(4=Parametri_v3!$C$43,Parametri_v3!$C$45,IF(4=Parametri_v3!$C$44,1-Parametri_v3!$C$45,0))</f>
        <v>0</v>
      </c>
      <c r="AQ104" s="15" t="n">
        <f aca="false">MAX(0,AP104+IF(4=Parametri_v3!$C$43,MAX(0,AN104-AO104),0)-MAX(0,-(AR103)))</f>
        <v>0</v>
      </c>
      <c r="AR104" s="15" t="n">
        <f aca="false">(AR103)+X104-AQ104</f>
        <v>0</v>
      </c>
      <c r="AS104" s="15" t="n">
        <f aca="false">Motore_Operativo!AB104-AT104+AU104</f>
        <v>91649.4297604167</v>
      </c>
      <c r="AT104" s="15" t="n">
        <f aca="false">Motore_Operativo!CH104</f>
        <v>4823.65419791667</v>
      </c>
      <c r="AU104" s="15" t="n">
        <f aca="false">MIN(MAX(0,(AV103)+AT104),Parametri_v3!$C$60/12)</f>
        <v>0</v>
      </c>
      <c r="AV104" s="15" t="n">
        <f aca="false">(AV103)+AT104-AU104</f>
        <v>98466.3167916667</v>
      </c>
      <c r="AW104" s="15" t="n">
        <f aca="false">IF(AND(Motore_Operativo!C104=Finanziamenti!$D$6,Finanziamenti!$F$6=1),Finanziamenti!$C$6,0)</f>
        <v>0</v>
      </c>
      <c r="AX104" s="15" t="n">
        <f aca="false">IF(AND(2&lt;&gt;7,2&lt;&gt;9,Finanziamenti!$F$8=1,OR(Parametri_v3!$C$6=0,Finanziamenti!$E$8=1),Motore_Operativo!C104=EDATE(Finanziamenti!$D$8,Ipotesi!D15*12)),Finanziamenti!$C$8*1,0)+IF(AND(2&lt;&gt;7,2&lt;&gt;9,Finanziamenti!$F$9=1,OR(Parametri_v3!$C$6=0,Finanziamenti!$E$9=1),Motore_Operativo!C104=EDATE(Finanziamenti!$D$9,Ipotesi!D15*12)),Finanziamenti!$C$9*Ipotesi!D16,0)</f>
        <v>0</v>
      </c>
      <c r="AY104" s="15" t="n">
        <f aca="false">0</f>
        <v>0</v>
      </c>
      <c r="AZ104" s="15" t="n">
        <f aca="false">Motore_Advisory!AY104*(1-Ipotesi!$C$95)*Ipotesi!$C$96</f>
        <v>0</v>
      </c>
      <c r="BA104" s="15" t="n">
        <f aca="false">MAX(0,MIN(CG104*MIN(1,IF(Motore_Operativo!C104&gt;=EDATE(Finanziamenti!$D$15,Ipotesi!D14*12),Finanziamenti!$C$15,0)+IF(Motore_Operativo!C104&gt;=EDATE(Finanziamenti!$D$16,Ipotesi!D14*12),Finanziamenti!$C$16,0)+IF(Motore_Operativo!C104&gt;=EDATE(Finanziamenti!$D$17,Ipotesi!D14*12),Finanziamenti!$C$17,0)),CA104*Ipotesi!$C$102)-(CC103))</f>
        <v>0</v>
      </c>
      <c r="BB104" s="15" t="n">
        <f aca="false">IF(AND(CF104&gt;0,Motore_Operativo!C104&gt;=IF(CF104=0,0,EDATE(CF104,Parametri_v3!$C$37)),MOD(((D104-YEAR(IF(CF104=0,0,EDATE(CF104,Parametri_v3!$C$37))))*12+E104-MONTH(IF(CF104=0,0,EDATE(CF104,Parametri_v3!$C$37)))),Parametri_v3!$C$38)=0),MIN(MAX(0,(BC103)+BA104-N104),(CC104-CD104)/(Ipotesi!$C$108*12/Parametri_v3!$C$38)),0)</f>
        <v>0</v>
      </c>
      <c r="BC104" s="15" t="n">
        <f aca="false">(BC103)+BA104-N104-BB104</f>
        <v>265392.996883967</v>
      </c>
      <c r="BD104" s="15" t="n">
        <f aca="false">(BH103)+AC104+AF104-AI104-AS104-K104*(1+Parametri_v3!$C$26)-AL104-AQ104-O104+AW104+AX104+AZ104+BA104-BB104</f>
        <v>227495.208676997</v>
      </c>
      <c r="BE104" s="15" t="n">
        <f aca="false">MAX(0,MIN(MAX(0,CH104-(BG103)),Parametri_v3!$C$30-BD104))</f>
        <v>0</v>
      </c>
      <c r="BF104" s="15" t="n">
        <f aca="false">IF(Motore_Operativo!C104&gt;=Parametri_v3!$C$63,(BG103),MIN((BG103),MAX(0,BD104-Parametri_v3!$C$30)))</f>
        <v>0</v>
      </c>
      <c r="BG104" s="15" t="n">
        <f aca="false">(BG103)+BE104-BF104</f>
        <v>0</v>
      </c>
      <c r="BH104" s="15" t="n">
        <f aca="false">BD104+BE104-BF104-AY104</f>
        <v>227495.208676997</v>
      </c>
      <c r="BI104" s="15" t="n">
        <f aca="false">MAX(0,Parametri_v3!$C$30-BH104)</f>
        <v>0</v>
      </c>
      <c r="BJ104" s="15" t="n">
        <f aca="false">(BJ103)+K104</f>
        <v>88333.3333333333</v>
      </c>
      <c r="BK104" s="15" t="n">
        <f aca="false">(BK103)+L104</f>
        <v>44004.6296296296</v>
      </c>
      <c r="BL104" s="15" t="n">
        <f aca="false">BJ104-BK104</f>
        <v>44328.7037037037</v>
      </c>
      <c r="BM104" s="15" t="n">
        <f aca="false">(BM103)+Y104</f>
        <v>-1148623.28967794</v>
      </c>
      <c r="BN104" s="15" t="n">
        <f aca="false">(BN103)+AW104+AX104+AZ104</f>
        <v>1330000</v>
      </c>
      <c r="BO104" s="15" t="n">
        <f aca="false">(BO103)+AY104</f>
        <v>0</v>
      </c>
      <c r="BP104" s="15" t="n">
        <f aca="false">0</f>
        <v>0</v>
      </c>
      <c r="BQ104" s="15" t="n">
        <f aca="false">BN104+BM104-BO104</f>
        <v>181376.710322055</v>
      </c>
      <c r="BR104" s="15" t="n">
        <f aca="false">BH104+AD104+BL104+MAX(0,-AM104)+MAX(0,-AR104)+AG104</f>
        <v>701938.072266731</v>
      </c>
      <c r="BS104" s="15" t="n">
        <f aca="false">AJ104+AV104+MAX(0,AM104)+MAX(0,AR104)+BC104+BG104+BQ104</f>
        <v>701938.072266732</v>
      </c>
      <c r="BT104" s="15" t="n">
        <f aca="false">BR104-BS104</f>
        <v>0</v>
      </c>
      <c r="BU104" s="15" t="n">
        <f aca="false">BH104-(BD104+BE104-BF104-AY104)</f>
        <v>0</v>
      </c>
      <c r="BV104" s="15" t="n">
        <f aca="false">MIN(Piano_SS!$C$6,(BV103)+IF(AND(Motore_Operativo!C104&gt;=EDATE(Parametri_v3!$C$24,Ipotesi!D14*12),Motore_Operativo!C104&lt;EDATE(Parametri_v3!$C$24,Parametri_v3!$C$25+Ipotesi!D14*12)),MAX(0,(Motore_Operativo!Y104+Motore_Operativo!X104*Parametri_v3!$C$14)*(1-Parametri_v3!$C$32))*Piano_SS!$D$6,0))</f>
        <v>300000</v>
      </c>
      <c r="BW104" s="15" t="n">
        <f aca="false">MIN(Piano_SS!$C$7,(BW103)+IF(AND(Motore_Operativo!C104&gt;=EDATE(Parametri_v3!$C$24,Ipotesi!D14*12),Motore_Operativo!C104&lt;EDATE(Parametri_v3!$C$24,Parametri_v3!$C$25+Ipotesi!D14*12)),MAX(0,(IF(40-(INT((Ipotesi!$C$91)/30))&lt;1,0,INDEX(Motore_Operativo!$BN$65:$BN$124,MAX(1,40-(INT((Ipotesi!$C$91)/30)))))*(1-(MOD((Ipotesi!$C$91),30)/30))+IF(40-(INT((Ipotesi!$C$91)/30))-1&lt;1,0,INDEX(Motore_Operativo!$BN$65:$BN$124,MAX(1,40-(INT((Ipotesi!$C$91)/30))-1)))*(MOD((Ipotesi!$C$91),30)/30)))*Piano_SS!$D$7,0))</f>
        <v>41058.9230070837</v>
      </c>
      <c r="BX104" s="15" t="n">
        <f aca="false">MIN(Piano_SS!$C$8,(BX103)+IF(AND(Motore_Operativo!C104&gt;=EDATE(Parametri_v3!$C$24,Ipotesi!D14*12),Motore_Operativo!C104&lt;EDATE(Parametri_v3!$C$24,Parametri_v3!$C$25+Ipotesi!D14*12)),MAX(0,Motore_Operativo!CE104)*Piano_SS!$D$8,0))</f>
        <v>50000</v>
      </c>
      <c r="BY104" s="15" t="n">
        <f aca="false">MIN(Piano_SS!$C$9,(BY103)+IF(AND(Motore_Operativo!C104&gt;=EDATE(Parametri_v3!$C$24,Ipotesi!D14*12),Motore_Operativo!C104&lt;EDATE(Parametri_v3!$C$24,Parametri_v3!$C$25+Ipotesi!D14*12)),MAX(0,((IF(40-(INT((Ipotesi!$C$91)/30))&lt;1,0,INDEX(Motore_Operativo!$BQ$65:$BQ$124,MAX(1,40-(INT((Ipotesi!$C$91)/30)))))*(1-(MOD((Ipotesi!$C$91),30)/30))+IF(40-(INT((Ipotesi!$C$91)/30))-1&lt;1,0,INDEX(Motore_Operativo!$BQ$65:$BQ$124,MAX(1,40-(INT((Ipotesi!$C$91)/30))-1)))*(MOD((Ipotesi!$C$91),30)/30))+(IF(40-(INT((Ipotesi!$C$91)/30))&lt;1,0,INDEX(Motore_Operativo!$BR$65:$BR$124,MAX(1,40-(INT((Ipotesi!$C$91)/30)))))*(1-(MOD((Ipotesi!$C$91),30)/30))+IF(40-(INT((Ipotesi!$C$91)/30))-1&lt;1,0,INDEX(Motore_Operativo!$BR$65:$BR$124,MAX(1,40-(INT((Ipotesi!$C$91)/30))-1)))*(MOD((Ipotesi!$C$91),30)/30))))*Piano_SS!$D$9,0))</f>
        <v>40000</v>
      </c>
      <c r="BZ104" s="15" t="n">
        <f aca="false">MIN(Piano_SS!$C$10,(BZ103)+IF(AND(Motore_Operativo!C104&gt;=EDATE(Parametri_v3!$C$24,Ipotesi!D14*12),Motore_Operativo!C104&lt;EDATE(Parametri_v3!$C$24,Parametri_v3!$C$25+Ipotesi!D14*12)),MAX(0,(IF(40-(INT((Ipotesi!$C$91)/30))&lt;1,0,INDEX(Motore_Operativo!$BO$65:$BO$124,MAX(1,40-(INT((Ipotesi!$C$91)/30)))))*(1-(MOD((Ipotesi!$C$91),30)/30))+IF(40-(INT((Ipotesi!$C$91)/30))-1&lt;1,0,INDEX(Motore_Operativo!$BO$65:$BO$124,MAX(1,40-(INT((Ipotesi!$C$91)/30))-1)))*(MOD((Ipotesi!$C$91),30)/30)))*Piano_SS!$D$10,0))</f>
        <v>30000</v>
      </c>
      <c r="CA104" s="15" t="n">
        <f aca="false">SUM(BV104:BZ104)</f>
        <v>461058.923007084</v>
      </c>
      <c r="CB104" s="15" t="n">
        <f aca="false">BV104*(1-Piano_SS!$E$6)+BW104*(1-Piano_SS!$E$7)+BX104*(1-Piano_SS!$E$8)+BY104*(1-Piano_SS!$E$9)+BZ104*(1-Piano_SS!$E$10)</f>
        <v>431058.923007084</v>
      </c>
      <c r="CC104" s="15" t="n">
        <f aca="false">(CC103)+BA104</f>
        <v>368847.138405667</v>
      </c>
      <c r="CD104" s="15" t="n">
        <f aca="false">IF(CA104=0,0,CC104*CB104/CA104*Ipotesi!$C$103*Parametri_v3!$C$64)</f>
        <v>103454.1415217</v>
      </c>
      <c r="CE104" s="18" t="n">
        <f aca="false">IF(BA104&gt;0,Motore_Operativo!C104,(CE103))</f>
        <v>47270</v>
      </c>
      <c r="CF104" s="18" t="n">
        <f aca="false">IF(AND(CC104&gt;0,OR(CC104&gt;=CG104-0.01,Motore_Operativo!C104&gt;=EDATE(MAX(Finanziamenti!$D$15:$D$17),Ipotesi!D14*12))),CE104,0)</f>
        <v>47270</v>
      </c>
      <c r="CG104" s="15" t="n">
        <f aca="false">IF(AND(2&lt;&gt;6,2&lt;&gt;9,Finanziamenti!$F$11=1,OR(Parametri_v3!$C$6=0,Finanziamenti!$E$11=1)),MIN(Finanziamenti!$C$11,Piano_SS!$C$12*Ipotesi!$C$102),0)</f>
        <v>400000</v>
      </c>
      <c r="CH104" s="15" t="n">
        <f aca="false">IF(AND(AND(2&lt;&gt;8,2&lt;&gt;9,Finanziamenti!$F$10=1,OR(Parametri_v3!$C$6=0,Finanziamenti!$E$10=1)),Motore_Operativo!C104&gt;=Finanziamenti!$D$10,Motore_Operativo!C104&lt;Parametri_v3!$C$63),Finanziamenti!$C$10,0)</f>
        <v>150000</v>
      </c>
    </row>
    <row r="105" customFormat="false" ht="18" hidden="false" customHeight="true" outlineLevel="0" collapsed="false">
      <c r="A105" s="68" t="n">
        <f aca="false">2</f>
        <v>2</v>
      </c>
      <c r="B105" s="68" t="n">
        <f aca="false">41</f>
        <v>41</v>
      </c>
      <c r="C105" s="18" t="n">
        <f aca="false">Motore_Operativo!C105</f>
        <v>47604</v>
      </c>
      <c r="D105" s="68" t="n">
        <f aca="false">Motore_Operativo!D105</f>
        <v>2030</v>
      </c>
      <c r="E105" s="68" t="n">
        <f aca="false">Motore_Operativo!E105</f>
        <v>5</v>
      </c>
      <c r="F105" s="15" t="n">
        <f aca="false">Motore_Operativo!AQ105+Motore_Operativo!BF105</f>
        <v>120050.899173052</v>
      </c>
      <c r="G105" s="15" t="n">
        <f aca="false">Motore_Operativo!BH105</f>
        <v>9024.16666666667</v>
      </c>
      <c r="H105" s="15" t="n">
        <f aca="false">Motore_Operativo!BI105</f>
        <v>129075.065839719</v>
      </c>
      <c r="I105" s="15" t="n">
        <f aca="false">Motore_Operativo!CA105</f>
        <v>156412.601509227</v>
      </c>
      <c r="J105" s="15" t="n">
        <f aca="false">Motore_Operativo!CC105</f>
        <v>-27337.5356695087</v>
      </c>
      <c r="K105" s="15" t="n">
        <f aca="false">Motore_Operativo!CE105</f>
        <v>3333.33333333333</v>
      </c>
      <c r="L105" s="15" t="n">
        <f aca="false">SUM(INDEX($K$65:$K$124,MAX(1,41-Parametri_v3!$C$59+1)):K105)/Parametri_v3!$C$59</f>
        <v>2314.81481481482</v>
      </c>
      <c r="M105" s="15" t="n">
        <f aca="false">J105-L105</f>
        <v>-29652.3504843235</v>
      </c>
      <c r="N105" s="15" t="n">
        <f aca="false">CD105-(CD104)</f>
        <v>0</v>
      </c>
      <c r="O105" s="15" t="n">
        <f aca="false">(BG104)*Ipotesi!$C$110/12+CH105*Parametri_v3!$C$39/12</f>
        <v>0</v>
      </c>
      <c r="P105" s="15" t="n">
        <f aca="false">M105+N105-O105</f>
        <v>-29652.3504843235</v>
      </c>
      <c r="Q105" s="15" t="n">
        <f aca="false">SUM(P101:P105)+Parametri_v3!$C$54*5/12</f>
        <v>-170755.34391803</v>
      </c>
      <c r="R105" s="15" t="n">
        <f aca="false">Z100</f>
        <v>1007520.29624424</v>
      </c>
      <c r="S105" s="15" t="n">
        <f aca="false">AA100</f>
        <v>0</v>
      </c>
      <c r="T105" s="15" t="n">
        <f aca="false">MIN(R105,MAX(0,Q105))</f>
        <v>0</v>
      </c>
      <c r="U105" s="15" t="n">
        <f aca="false">MIN(S105,MAX(0,Q105-T105)*Parametri_v3!$C$42)</f>
        <v>0</v>
      </c>
      <c r="V105" s="15" t="n">
        <f aca="false">MAX(0,Q105-T105-U105)*Ipotesi!$C$92</f>
        <v>0</v>
      </c>
      <c r="W105" s="15" t="n">
        <f aca="false">MAX(0,SUM(M101:M105)+Parametri_v3!$C$55*5/12)*Ipotesi!$C$93</f>
        <v>0</v>
      </c>
      <c r="X105" s="15" t="n">
        <f aca="false">V105+W105-(V104+W104)</f>
        <v>0</v>
      </c>
      <c r="Y105" s="15" t="n">
        <f aca="false">P105-X105</f>
        <v>-29652.3504843235</v>
      </c>
      <c r="Z105" s="15" t="n">
        <f aca="false">R105-T105+IF(AND(Parametri_v3!$C$40=1,D105-YEAR(Parametri_v3!$C$50)&lt;Parametri_v3!$C$41),MAX(0,-Q105),0)</f>
        <v>1007520.29624424</v>
      </c>
      <c r="AA105" s="15" t="n">
        <f aca="false">S105-U105+IF(AND(Parametri_v3!$C$40=1,D105-YEAR(Parametri_v3!$C$50)&lt;Parametri_v3!$C$41),0,MAX(0,-Q105))</f>
        <v>170755.34391803</v>
      </c>
      <c r="AB105" s="15" t="n">
        <f aca="false">F105*(1+Parametri_v3!$C$26)</f>
        <v>146462.096991123</v>
      </c>
      <c r="AC105" s="15" t="n">
        <f aca="false">(IF(41-(INT((Motore_Operativo!L105)/30))&lt;1,0,INDEX(Motore_Startup!$AB$65:$AB$124,MAX(1,41-(INT((Motore_Operativo!L105)/30)))))*(1-(MOD((Motore_Operativo!L105),30)/30))+IF(41-(INT((Motore_Operativo!L105)/30))-1&lt;1,0,INDEX(Motore_Startup!$AB$65:$AB$124,MAX(1,41-(INT((Motore_Operativo!L105)/30))-1)))*(MOD((Motore_Operativo!L105),30)/30))</f>
        <v>136860.897173138</v>
      </c>
      <c r="AD105" s="15" t="n">
        <f aca="false">(AD104)+AB105-AC105</f>
        <v>428705.876370683</v>
      </c>
      <c r="AE105" s="15" t="n">
        <f aca="false">Motore_Operativo!BH105*(1+Parametri_v3!$C$26)</f>
        <v>11009.4833333333</v>
      </c>
      <c r="AF105" s="15" t="n">
        <f aca="false">(IF(41-(INT((Parametri_v3!$C$29)/30))&lt;1,0,INDEX(Motore_Operativo!$BH$65:$BH$124,MAX(1,41-(INT((Parametri_v3!$C$29)/30)))))*(1-(MOD((Parametri_v3!$C$29),30)/30))+IF(41-(INT((Parametri_v3!$C$29)/30))-1&lt;1,0,INDEX(Motore_Operativo!$BH$65:$BH$124,MAX(1,41-(INT((Parametri_v3!$C$29)/30))-1)))*(MOD((Parametri_v3!$C$29),30)/30))*(1+Parametri_v3!$C$26)</f>
        <v>11009.4833333333</v>
      </c>
      <c r="AG105" s="15" t="n">
        <f aca="false">(AG104)+AE105-AF105</f>
        <v>11009.4833333333</v>
      </c>
      <c r="AH105" s="15" t="n">
        <f aca="false">(Motore_Operativo!CJ105)*(1+Parametri_v3!$C$27*Parametri_v3!$C$26)</f>
        <v>71148.2073329111</v>
      </c>
      <c r="AI105" s="15" t="n">
        <f aca="false">(IF(41-(INT((Ipotesi!$C$91)/30))&lt;1,0,INDEX(Motore_Startup!$AH$65:$AH$124,MAX(1,41-(INT((Ipotesi!$C$91)/30)))))*(1-(MOD((Ipotesi!$C$91),30)/30))+IF(41-(INT((Ipotesi!$C$91)/30))-1&lt;1,0,INDEX(Motore_Startup!$AH$65:$AH$124,MAX(1,41-(INT((Ipotesi!$C$91)/30))-1)))*(MOD((Ipotesi!$C$91),30)/30))</f>
        <v>70202.725283683</v>
      </c>
      <c r="AJ105" s="15" t="n">
        <f aca="false">(AJ104)+AH105-AI105</f>
        <v>141787.084175153</v>
      </c>
      <c r="AK105" s="15" t="n">
        <f aca="false">(F105+ Motore_Operativo!BH105-(Motore_Operativo!CJ105)*Parametri_v3!$C$27-Motore_Operativo!CE105)*Parametri_v3!$C$26</f>
        <v>16454.4913693876</v>
      </c>
      <c r="AL105" s="15" t="n">
        <f aca="false">MAX(0,(AM104))</f>
        <v>15860.446143118</v>
      </c>
      <c r="AM105" s="15" t="n">
        <f aca="false">(AM104)+AK105-AL105</f>
        <v>16454.4913693876</v>
      </c>
      <c r="AN105" s="15" t="n">
        <f aca="false">SUM(X89:X100)</f>
        <v>0</v>
      </c>
      <c r="AO105" s="15" t="n">
        <f aca="false">SUM(AP89:AP100)</f>
        <v>0</v>
      </c>
      <c r="AP105" s="15" t="n">
        <f aca="false">MAX(0,AN105)*IF(5=Parametri_v3!$C$43,Parametri_v3!$C$45,IF(5=Parametri_v3!$C$44,1-Parametri_v3!$C$45,0))</f>
        <v>0</v>
      </c>
      <c r="AQ105" s="15" t="n">
        <f aca="false">MAX(0,AP105+IF(5=Parametri_v3!$C$43,MAX(0,AN105-AO105),0)-MAX(0,-(AR104)))</f>
        <v>0</v>
      </c>
      <c r="AR105" s="15" t="n">
        <f aca="false">(AR104)+X105-AQ105</f>
        <v>0</v>
      </c>
      <c r="AS105" s="15" t="n">
        <f aca="false">Motore_Operativo!AB105-AT105+AU105</f>
        <v>91649.4297604167</v>
      </c>
      <c r="AT105" s="15" t="n">
        <f aca="false">Motore_Operativo!CH105</f>
        <v>4823.65419791667</v>
      </c>
      <c r="AU105" s="15" t="n">
        <f aca="false">MIN(MAX(0,(AV104)+AT105),Parametri_v3!$C$60/12)</f>
        <v>0</v>
      </c>
      <c r="AV105" s="15" t="n">
        <f aca="false">(AV104)+AT105-AU105</f>
        <v>103289.970989583</v>
      </c>
      <c r="AW105" s="15" t="n">
        <f aca="false">IF(AND(Motore_Operativo!C105=Finanziamenti!$D$6,Finanziamenti!$F$6=1),Finanziamenti!$C$6,0)</f>
        <v>0</v>
      </c>
      <c r="AX105" s="15" t="n">
        <f aca="false">IF(AND(2&lt;&gt;7,2&lt;&gt;9,Finanziamenti!$F$8=1,OR(Parametri_v3!$C$6=0,Finanziamenti!$E$8=1),Motore_Operativo!C105=EDATE(Finanziamenti!$D$8,Ipotesi!D15*12)),Finanziamenti!$C$8*1,0)+IF(AND(2&lt;&gt;7,2&lt;&gt;9,Finanziamenti!$F$9=1,OR(Parametri_v3!$C$6=0,Finanziamenti!$E$9=1),Motore_Operativo!C105=EDATE(Finanziamenti!$D$9,Ipotesi!D15*12)),Finanziamenti!$C$9*Ipotesi!D16,0)</f>
        <v>0</v>
      </c>
      <c r="AY105" s="15" t="n">
        <f aca="false">0</f>
        <v>0</v>
      </c>
      <c r="AZ105" s="15" t="n">
        <f aca="false">Motore_Advisory!AY105*(1-Ipotesi!$C$95)*Ipotesi!$C$96</f>
        <v>0</v>
      </c>
      <c r="BA105" s="15" t="n">
        <f aca="false">MAX(0,MIN(CG105*MIN(1,IF(Motore_Operativo!C105&gt;=EDATE(Finanziamenti!$D$15,Ipotesi!D14*12),Finanziamenti!$C$15,0)+IF(Motore_Operativo!C105&gt;=EDATE(Finanziamenti!$D$16,Ipotesi!D14*12),Finanziamenti!$C$16,0)+IF(Motore_Operativo!C105&gt;=EDATE(Finanziamenti!$D$17,Ipotesi!D14*12),Finanziamenti!$C$17,0)),CA105*Ipotesi!$C$102)-(CC104))</f>
        <v>0</v>
      </c>
      <c r="BB105" s="15" t="n">
        <f aca="false">IF(AND(CF105&gt;0,Motore_Operativo!C105&gt;=IF(CF105=0,0,EDATE(CF105,Parametri_v3!$C$37)),MOD(((D105-YEAR(IF(CF105=0,0,EDATE(CF105,Parametri_v3!$C$37))))*12+E105-MONTH(IF(CF105=0,0,EDATE(CF105,Parametri_v3!$C$37)))),Parametri_v3!$C$38)=0),MIN(MAX(0,(BC104)+BA105-N105),(CC105-CD105)/(Ipotesi!$C$108*12/Parametri_v3!$C$38)),0)</f>
        <v>0</v>
      </c>
      <c r="BC105" s="15" t="n">
        <f aca="false">(BC104)+BA105-N105-BB105</f>
        <v>265392.996883967</v>
      </c>
      <c r="BD105" s="15" t="n">
        <f aca="false">(BH104)+AC105+AF105-AI105-AS105-K105*(1+Parametri_v3!$C$26)-AL105-AQ105-O105+AW105+AX105+AZ105+BA105-BB105</f>
        <v>193586.321329584</v>
      </c>
      <c r="BE105" s="15" t="n">
        <f aca="false">MAX(0,MIN(MAX(0,CH105-(BG104)),Parametri_v3!$C$30-BD105))</f>
        <v>0</v>
      </c>
      <c r="BF105" s="15" t="n">
        <f aca="false">IF(Motore_Operativo!C105&gt;=Parametri_v3!$C$63,(BG104),MIN((BG104),MAX(0,BD105-Parametri_v3!$C$30)))</f>
        <v>0</v>
      </c>
      <c r="BG105" s="15" t="n">
        <f aca="false">(BG104)+BE105-BF105</f>
        <v>0</v>
      </c>
      <c r="BH105" s="15" t="n">
        <f aca="false">BD105+BE105-BF105-AY105</f>
        <v>193586.321329584</v>
      </c>
      <c r="BI105" s="15" t="n">
        <f aca="false">MAX(0,Parametri_v3!$C$30-BH105)</f>
        <v>0</v>
      </c>
      <c r="BJ105" s="15" t="n">
        <f aca="false">(BJ104)+K105</f>
        <v>91666.6666666666</v>
      </c>
      <c r="BK105" s="15" t="n">
        <f aca="false">(BK104)+L105</f>
        <v>46319.4444444444</v>
      </c>
      <c r="BL105" s="15" t="n">
        <f aca="false">BJ105-BK105</f>
        <v>45347.2222222222</v>
      </c>
      <c r="BM105" s="15" t="n">
        <f aca="false">(BM104)+Y105</f>
        <v>-1178275.64016227</v>
      </c>
      <c r="BN105" s="15" t="n">
        <f aca="false">(BN104)+AW105+AX105+AZ105</f>
        <v>1330000</v>
      </c>
      <c r="BO105" s="15" t="n">
        <f aca="false">(BO104)+AY105</f>
        <v>0</v>
      </c>
      <c r="BP105" s="15" t="n">
        <f aca="false">0</f>
        <v>0</v>
      </c>
      <c r="BQ105" s="15" t="n">
        <f aca="false">BN105+BM105-BO105</f>
        <v>151724.359837732</v>
      </c>
      <c r="BR105" s="15" t="n">
        <f aca="false">BH105+AD105+BL105+MAX(0,-AM105)+MAX(0,-AR105)+AG105</f>
        <v>678648.903255822</v>
      </c>
      <c r="BS105" s="15" t="n">
        <f aca="false">AJ105+AV105+MAX(0,AM105)+MAX(0,AR105)+BC105+BG105+BQ105</f>
        <v>678648.903255823</v>
      </c>
      <c r="BT105" s="15" t="n">
        <f aca="false">BR105-BS105</f>
        <v>0</v>
      </c>
      <c r="BU105" s="15" t="n">
        <f aca="false">BH105-(BD105+BE105-BF105-AY105)</f>
        <v>0</v>
      </c>
      <c r="BV105" s="15" t="n">
        <f aca="false">MIN(Piano_SS!$C$6,(BV104)+IF(AND(Motore_Operativo!C105&gt;=EDATE(Parametri_v3!$C$24,Ipotesi!D14*12),Motore_Operativo!C105&lt;EDATE(Parametri_v3!$C$24,Parametri_v3!$C$25+Ipotesi!D14*12)),MAX(0,(Motore_Operativo!Y105+Motore_Operativo!X105*Parametri_v3!$C$14)*(1-Parametri_v3!$C$32))*Piano_SS!$D$6,0))</f>
        <v>300000</v>
      </c>
      <c r="BW105" s="15" t="n">
        <f aca="false">MIN(Piano_SS!$C$7,(BW104)+IF(AND(Motore_Operativo!C105&gt;=EDATE(Parametri_v3!$C$24,Ipotesi!D14*12),Motore_Operativo!C105&lt;EDATE(Parametri_v3!$C$24,Parametri_v3!$C$25+Ipotesi!D14*12)),MAX(0,(IF(41-(INT((Ipotesi!$C$91)/30))&lt;1,0,INDEX(Motore_Operativo!$BN$65:$BN$124,MAX(1,41-(INT((Ipotesi!$C$91)/30)))))*(1-(MOD((Ipotesi!$C$91),30)/30))+IF(41-(INT((Ipotesi!$C$91)/30))-1&lt;1,0,INDEX(Motore_Operativo!$BN$65:$BN$124,MAX(1,41-(INT((Ipotesi!$C$91)/30))-1)))*(MOD((Ipotesi!$C$91),30)/30)))*Piano_SS!$D$7,0))</f>
        <v>41058.9230070837</v>
      </c>
      <c r="BX105" s="15" t="n">
        <f aca="false">MIN(Piano_SS!$C$8,(BX104)+IF(AND(Motore_Operativo!C105&gt;=EDATE(Parametri_v3!$C$24,Ipotesi!D14*12),Motore_Operativo!C105&lt;EDATE(Parametri_v3!$C$24,Parametri_v3!$C$25+Ipotesi!D14*12)),MAX(0,Motore_Operativo!CE105)*Piano_SS!$D$8,0))</f>
        <v>50000</v>
      </c>
      <c r="BY105" s="15" t="n">
        <f aca="false">MIN(Piano_SS!$C$9,(BY104)+IF(AND(Motore_Operativo!C105&gt;=EDATE(Parametri_v3!$C$24,Ipotesi!D14*12),Motore_Operativo!C105&lt;EDATE(Parametri_v3!$C$24,Parametri_v3!$C$25+Ipotesi!D14*12)),MAX(0,((IF(41-(INT((Ipotesi!$C$91)/30))&lt;1,0,INDEX(Motore_Operativo!$BQ$65:$BQ$124,MAX(1,41-(INT((Ipotesi!$C$91)/30)))))*(1-(MOD((Ipotesi!$C$91),30)/30))+IF(41-(INT((Ipotesi!$C$91)/30))-1&lt;1,0,INDEX(Motore_Operativo!$BQ$65:$BQ$124,MAX(1,41-(INT((Ipotesi!$C$91)/30))-1)))*(MOD((Ipotesi!$C$91),30)/30))+(IF(41-(INT((Ipotesi!$C$91)/30))&lt;1,0,INDEX(Motore_Operativo!$BR$65:$BR$124,MAX(1,41-(INT((Ipotesi!$C$91)/30)))))*(1-(MOD((Ipotesi!$C$91),30)/30))+IF(41-(INT((Ipotesi!$C$91)/30))-1&lt;1,0,INDEX(Motore_Operativo!$BR$65:$BR$124,MAX(1,41-(INT((Ipotesi!$C$91)/30))-1)))*(MOD((Ipotesi!$C$91),30)/30))))*Piano_SS!$D$9,0))</f>
        <v>40000</v>
      </c>
      <c r="BZ105" s="15" t="n">
        <f aca="false">MIN(Piano_SS!$C$10,(BZ104)+IF(AND(Motore_Operativo!C105&gt;=EDATE(Parametri_v3!$C$24,Ipotesi!D14*12),Motore_Operativo!C105&lt;EDATE(Parametri_v3!$C$24,Parametri_v3!$C$25+Ipotesi!D14*12)),MAX(0,(IF(41-(INT((Ipotesi!$C$91)/30))&lt;1,0,INDEX(Motore_Operativo!$BO$65:$BO$124,MAX(1,41-(INT((Ipotesi!$C$91)/30)))))*(1-(MOD((Ipotesi!$C$91),30)/30))+IF(41-(INT((Ipotesi!$C$91)/30))-1&lt;1,0,INDEX(Motore_Operativo!$BO$65:$BO$124,MAX(1,41-(INT((Ipotesi!$C$91)/30))-1)))*(MOD((Ipotesi!$C$91),30)/30)))*Piano_SS!$D$10,0))</f>
        <v>30000</v>
      </c>
      <c r="CA105" s="15" t="n">
        <f aca="false">SUM(BV105:BZ105)</f>
        <v>461058.923007084</v>
      </c>
      <c r="CB105" s="15" t="n">
        <f aca="false">BV105*(1-Piano_SS!$E$6)+BW105*(1-Piano_SS!$E$7)+BX105*(1-Piano_SS!$E$8)+BY105*(1-Piano_SS!$E$9)+BZ105*(1-Piano_SS!$E$10)</f>
        <v>431058.923007084</v>
      </c>
      <c r="CC105" s="15" t="n">
        <f aca="false">(CC104)+BA105</f>
        <v>368847.138405667</v>
      </c>
      <c r="CD105" s="15" t="n">
        <f aca="false">IF(CA105=0,0,CC105*CB105/CA105*Ipotesi!$C$103*Parametri_v3!$C$64)</f>
        <v>103454.1415217</v>
      </c>
      <c r="CE105" s="18" t="n">
        <f aca="false">IF(BA105&gt;0,Motore_Operativo!C105,(CE104))</f>
        <v>47270</v>
      </c>
      <c r="CF105" s="18" t="n">
        <f aca="false">IF(AND(CC105&gt;0,OR(CC105&gt;=CG105-0.01,Motore_Operativo!C105&gt;=EDATE(MAX(Finanziamenti!$D$15:$D$17),Ipotesi!D14*12))),CE105,0)</f>
        <v>47270</v>
      </c>
      <c r="CG105" s="15" t="n">
        <f aca="false">IF(AND(2&lt;&gt;6,2&lt;&gt;9,Finanziamenti!$F$11=1,OR(Parametri_v3!$C$6=0,Finanziamenti!$E$11=1)),MIN(Finanziamenti!$C$11,Piano_SS!$C$12*Ipotesi!$C$102),0)</f>
        <v>400000</v>
      </c>
      <c r="CH105" s="15" t="n">
        <f aca="false">IF(AND(AND(2&lt;&gt;8,2&lt;&gt;9,Finanziamenti!$F$10=1,OR(Parametri_v3!$C$6=0,Finanziamenti!$E$10=1)),Motore_Operativo!C105&gt;=Finanziamenti!$D$10,Motore_Operativo!C105&lt;Parametri_v3!$C$63),Finanziamenti!$C$10,0)</f>
        <v>150000</v>
      </c>
    </row>
    <row r="106" customFormat="false" ht="18" hidden="false" customHeight="true" outlineLevel="0" collapsed="false">
      <c r="A106" s="68" t="n">
        <f aca="false">2</f>
        <v>2</v>
      </c>
      <c r="B106" s="68" t="n">
        <f aca="false">42</f>
        <v>42</v>
      </c>
      <c r="C106" s="18" t="n">
        <f aca="false">Motore_Operativo!C106</f>
        <v>47635</v>
      </c>
      <c r="D106" s="68" t="n">
        <f aca="false">Motore_Operativo!D106</f>
        <v>2030</v>
      </c>
      <c r="E106" s="68" t="n">
        <f aca="false">Motore_Operativo!E106</f>
        <v>6</v>
      </c>
      <c r="F106" s="15" t="n">
        <f aca="false">Motore_Operativo!AQ106+Motore_Operativo!BF106</f>
        <v>123089.039272175</v>
      </c>
      <c r="G106" s="15" t="n">
        <f aca="false">Motore_Operativo!BH106</f>
        <v>9024.16666666667</v>
      </c>
      <c r="H106" s="15" t="n">
        <f aca="false">Motore_Operativo!BI106</f>
        <v>132113.205938842</v>
      </c>
      <c r="I106" s="15" t="n">
        <f aca="false">Motore_Operativo!CA106</f>
        <v>156837.941123105</v>
      </c>
      <c r="J106" s="15" t="n">
        <f aca="false">Motore_Operativo!CC106</f>
        <v>-24724.7351842627</v>
      </c>
      <c r="K106" s="15" t="n">
        <f aca="false">Motore_Operativo!CE106</f>
        <v>3333.33333333333</v>
      </c>
      <c r="L106" s="15" t="n">
        <f aca="false">SUM(INDEX($K$65:$K$124,MAX(1,42-Parametri_v3!$C$59+1)):K106)/Parametri_v3!$C$59</f>
        <v>2361.11111111111</v>
      </c>
      <c r="M106" s="15" t="n">
        <f aca="false">J106-L106</f>
        <v>-27085.8462953739</v>
      </c>
      <c r="N106" s="15" t="n">
        <f aca="false">CD106-(CD105)</f>
        <v>0</v>
      </c>
      <c r="O106" s="15" t="n">
        <f aca="false">(BG105)*Ipotesi!$C$110/12+CH106*Parametri_v3!$C$39/12</f>
        <v>0</v>
      </c>
      <c r="P106" s="15" t="n">
        <f aca="false">M106+N106-O106</f>
        <v>-27085.8462953739</v>
      </c>
      <c r="Q106" s="15" t="n">
        <f aca="false">SUM(P101:P106)+Parametri_v3!$C$54*6/12</f>
        <v>-197841.190213404</v>
      </c>
      <c r="R106" s="15" t="n">
        <f aca="false">Z100</f>
        <v>1007520.29624424</v>
      </c>
      <c r="S106" s="15" t="n">
        <f aca="false">AA100</f>
        <v>0</v>
      </c>
      <c r="T106" s="15" t="n">
        <f aca="false">MIN(R106,MAX(0,Q106))</f>
        <v>0</v>
      </c>
      <c r="U106" s="15" t="n">
        <f aca="false">MIN(S106,MAX(0,Q106-T106)*Parametri_v3!$C$42)</f>
        <v>0</v>
      </c>
      <c r="V106" s="15" t="n">
        <f aca="false">MAX(0,Q106-T106-U106)*Ipotesi!$C$92</f>
        <v>0</v>
      </c>
      <c r="W106" s="15" t="n">
        <f aca="false">MAX(0,SUM(M101:M106)+Parametri_v3!$C$55*6/12)*Ipotesi!$C$93</f>
        <v>0</v>
      </c>
      <c r="X106" s="15" t="n">
        <f aca="false">V106+W106-(V105+W105)</f>
        <v>0</v>
      </c>
      <c r="Y106" s="15" t="n">
        <f aca="false">P106-X106</f>
        <v>-27085.8462953739</v>
      </c>
      <c r="Z106" s="15" t="n">
        <f aca="false">R106-T106+IF(AND(Parametri_v3!$C$40=1,D106-YEAR(Parametri_v3!$C$50)&lt;Parametri_v3!$C$41),MAX(0,-Q106),0)</f>
        <v>1007520.29624424</v>
      </c>
      <c r="AA106" s="15" t="n">
        <f aca="false">S106-U106+IF(AND(Parametri_v3!$C$40=1,D106-YEAR(Parametri_v3!$C$50)&lt;Parametri_v3!$C$41),0,MAX(0,-Q106))</f>
        <v>197841.190213404</v>
      </c>
      <c r="AB106" s="15" t="n">
        <f aca="false">F106*(1+Parametri_v3!$C$26)</f>
        <v>150168.627912054</v>
      </c>
      <c r="AC106" s="15" t="n">
        <f aca="false">(IF(42-(INT((Motore_Operativo!L106)/30))&lt;1,0,INDEX(Motore_Startup!$AB$65:$AB$124,MAX(1,42-(INT((Motore_Operativo!L106)/30)))))*(1-(MOD((Motore_Operativo!L106),30)/30))+IF(42-(INT((Motore_Operativo!L106)/30))-1&lt;1,0,INDEX(Motore_Startup!$AB$65:$AB$124,MAX(1,42-(INT((Motore_Operativo!L106)/30))-1)))*(MOD((Motore_Operativo!L106),30)/30))</f>
        <v>139520.900095839</v>
      </c>
      <c r="AD106" s="15" t="n">
        <f aca="false">(AD105)+AB106-AC106</f>
        <v>439353.604186897</v>
      </c>
      <c r="AE106" s="15" t="n">
        <f aca="false">Motore_Operativo!BH106*(1+Parametri_v3!$C$26)</f>
        <v>11009.4833333333</v>
      </c>
      <c r="AF106" s="15" t="n">
        <f aca="false">(IF(42-(INT((Parametri_v3!$C$29)/30))&lt;1,0,INDEX(Motore_Operativo!$BH$65:$BH$124,MAX(1,42-(INT((Parametri_v3!$C$29)/30)))))*(1-(MOD((Parametri_v3!$C$29),30)/30))+IF(42-(INT((Parametri_v3!$C$29)/30))-1&lt;1,0,INDEX(Motore_Operativo!$BH$65:$BH$124,MAX(1,42-(INT((Parametri_v3!$C$29)/30))-1)))*(MOD((Parametri_v3!$C$29),30)/30))*(1+Parametri_v3!$C$26)</f>
        <v>11009.4833333333</v>
      </c>
      <c r="AG106" s="15" t="n">
        <f aca="false">(AG105)+AE106-AF106</f>
        <v>11009.4833333333</v>
      </c>
      <c r="AH106" s="15" t="n">
        <f aca="false">(Motore_Operativo!CJ106)*(1+Parametri_v3!$C$27*Parametri_v3!$C$26)</f>
        <v>71653.0854545834</v>
      </c>
      <c r="AI106" s="15" t="n">
        <f aca="false">(IF(42-(INT((Ipotesi!$C$91)/30))&lt;1,0,INDEX(Motore_Startup!$AH$65:$AH$124,MAX(1,42-(INT((Ipotesi!$C$91)/30)))))*(1-(MOD((Ipotesi!$C$91),30)/30))+IF(42-(INT((Ipotesi!$C$91)/30))-1&lt;1,0,INDEX(Motore_Startup!$AH$65:$AH$124,MAX(1,42-(INT((Ipotesi!$C$91)/30))-1)))*(MOD((Ipotesi!$C$91),30)/30))</f>
        <v>70638.876842242</v>
      </c>
      <c r="AJ106" s="15" t="n">
        <f aca="false">(AJ105)+AH106-AI106</f>
        <v>142801.292787495</v>
      </c>
      <c r="AK106" s="15" t="n">
        <f aca="false">(F106+ Motore_Operativo!BH106-(Motore_Operativo!CJ106)*Parametri_v3!$C$27-Motore_Operativo!CE106)*Parametri_v3!$C$26</f>
        <v>17043.3436833996</v>
      </c>
      <c r="AL106" s="15" t="n">
        <f aca="false">MAX(0,(AM105))</f>
        <v>16454.4913693876</v>
      </c>
      <c r="AM106" s="15" t="n">
        <f aca="false">(AM105)+AK106-AL106</f>
        <v>17043.3436833996</v>
      </c>
      <c r="AN106" s="15" t="n">
        <f aca="false">SUM(X89:X100)</f>
        <v>0</v>
      </c>
      <c r="AO106" s="15" t="n">
        <f aca="false">SUM(AP89:AP100)</f>
        <v>0</v>
      </c>
      <c r="AP106" s="15" t="n">
        <f aca="false">MAX(0,AN106)*IF(6=Parametri_v3!$C$43,Parametri_v3!$C$45,IF(6=Parametri_v3!$C$44,1-Parametri_v3!$C$45,0))</f>
        <v>0</v>
      </c>
      <c r="AQ106" s="15" t="n">
        <f aca="false">MAX(0,AP106+IF(6=Parametri_v3!$C$43,MAX(0,AN106-AO106),0)-MAX(0,-(AR105)))</f>
        <v>0</v>
      </c>
      <c r="AR106" s="15" t="n">
        <f aca="false">(AR105)+X106-AQ106</f>
        <v>0</v>
      </c>
      <c r="AS106" s="15" t="n">
        <f aca="false">Motore_Operativo!AB106-AT106+AU106</f>
        <v>91649.4297604167</v>
      </c>
      <c r="AT106" s="15" t="n">
        <f aca="false">Motore_Operativo!CH106</f>
        <v>4823.65419791667</v>
      </c>
      <c r="AU106" s="15" t="n">
        <f aca="false">MIN(MAX(0,(AV105)+AT106),Parametri_v3!$C$60/12)</f>
        <v>0</v>
      </c>
      <c r="AV106" s="15" t="n">
        <f aca="false">(AV105)+AT106-AU106</f>
        <v>108113.6251875</v>
      </c>
      <c r="AW106" s="15" t="n">
        <f aca="false">IF(AND(Motore_Operativo!C106=Finanziamenti!$D$6,Finanziamenti!$F$6=1),Finanziamenti!$C$6,0)</f>
        <v>0</v>
      </c>
      <c r="AX106" s="15" t="n">
        <f aca="false">IF(AND(2&lt;&gt;7,2&lt;&gt;9,Finanziamenti!$F$8=1,OR(Parametri_v3!$C$6=0,Finanziamenti!$E$8=1),Motore_Operativo!C106=EDATE(Finanziamenti!$D$8,Ipotesi!D15*12)),Finanziamenti!$C$8*1,0)+IF(AND(2&lt;&gt;7,2&lt;&gt;9,Finanziamenti!$F$9=1,OR(Parametri_v3!$C$6=0,Finanziamenti!$E$9=1),Motore_Operativo!C106=EDATE(Finanziamenti!$D$9,Ipotesi!D15*12)),Finanziamenti!$C$9*Ipotesi!D16,0)</f>
        <v>0</v>
      </c>
      <c r="AY106" s="15" t="n">
        <f aca="false">0</f>
        <v>0</v>
      </c>
      <c r="AZ106" s="15" t="n">
        <f aca="false">Motore_Advisory!AY106*(1-Ipotesi!$C$95)*Ipotesi!$C$96</f>
        <v>35707.0162944445</v>
      </c>
      <c r="BA106" s="15" t="n">
        <f aca="false">MAX(0,MIN(CG106*MIN(1,IF(Motore_Operativo!C106&gt;=EDATE(Finanziamenti!$D$15,Ipotesi!D14*12),Finanziamenti!$C$15,0)+IF(Motore_Operativo!C106&gt;=EDATE(Finanziamenti!$D$16,Ipotesi!D14*12),Finanziamenti!$C$16,0)+IF(Motore_Operativo!C106&gt;=EDATE(Finanziamenti!$D$17,Ipotesi!D14*12),Finanziamenti!$C$17,0)),CA106*Ipotesi!$C$102)-(CC105))</f>
        <v>0</v>
      </c>
      <c r="BB106" s="15" t="n">
        <f aca="false">IF(AND(CF106&gt;0,Motore_Operativo!C106&gt;=IF(CF106=0,0,EDATE(CF106,Parametri_v3!$C$37)),MOD(((D106-YEAR(IF(CF106=0,0,EDATE(CF106,Parametri_v3!$C$37))))*12+E106-MONTH(IF(CF106=0,0,EDATE(CF106,Parametri_v3!$C$37)))),Parametri_v3!$C$38)=0),MIN(MAX(0,(BC105)+BA106-N106),(CC106-CD106)/(Ipotesi!$C$108*12/Parametri_v3!$C$38)),0)</f>
        <v>13269.6498441983</v>
      </c>
      <c r="BC106" s="15" t="n">
        <f aca="false">(BC105)+BA106-N106-BB106</f>
        <v>252123.347039769</v>
      </c>
      <c r="BD106" s="15" t="n">
        <f aca="false">(BH105)+AC106+AF106-AI106-AS106-K106*(1+Parametri_v3!$C$26)-AL106-AQ106-O106+AW106+AX106+AZ106+BA106-BB106</f>
        <v>183744.606570289</v>
      </c>
      <c r="BE106" s="15" t="n">
        <f aca="false">MAX(0,MIN(MAX(0,CH106-(BG105)),Parametri_v3!$C$30-BD106))</f>
        <v>0</v>
      </c>
      <c r="BF106" s="15" t="n">
        <f aca="false">IF(Motore_Operativo!C106&gt;=Parametri_v3!$C$63,(BG105),MIN((BG105),MAX(0,BD106-Parametri_v3!$C$30)))</f>
        <v>0</v>
      </c>
      <c r="BG106" s="15" t="n">
        <f aca="false">(BG105)+BE106-BF106</f>
        <v>0</v>
      </c>
      <c r="BH106" s="15" t="n">
        <f aca="false">BD106+BE106-BF106-AY106</f>
        <v>183744.606570289</v>
      </c>
      <c r="BI106" s="15" t="n">
        <f aca="false">MAX(0,Parametri_v3!$C$30-BH106)</f>
        <v>0</v>
      </c>
      <c r="BJ106" s="15" t="n">
        <f aca="false">(BJ105)+K106</f>
        <v>95000</v>
      </c>
      <c r="BK106" s="15" t="n">
        <f aca="false">(BK105)+L106</f>
        <v>48680.5555555556</v>
      </c>
      <c r="BL106" s="15" t="n">
        <f aca="false">BJ106-BK106</f>
        <v>46319.4444444444</v>
      </c>
      <c r="BM106" s="15" t="n">
        <f aca="false">(BM105)+Y106</f>
        <v>-1205361.48645764</v>
      </c>
      <c r="BN106" s="15" t="n">
        <f aca="false">(BN105)+AW106+AX106+AZ106</f>
        <v>1365707.01629444</v>
      </c>
      <c r="BO106" s="15" t="n">
        <f aca="false">(BO105)+AY106</f>
        <v>0</v>
      </c>
      <c r="BP106" s="15" t="n">
        <f aca="false">0</f>
        <v>0</v>
      </c>
      <c r="BQ106" s="15" t="n">
        <f aca="false">BN106+BM106-BO106</f>
        <v>160345.529836803</v>
      </c>
      <c r="BR106" s="15" t="n">
        <f aca="false">BH106+AD106+BL106+MAX(0,-AM106)+MAX(0,-AR106)+AG106</f>
        <v>680427.138534964</v>
      </c>
      <c r="BS106" s="15" t="n">
        <f aca="false">AJ106+AV106+MAX(0,AM106)+MAX(0,AR106)+BC106+BG106+BQ106</f>
        <v>680427.138534965</v>
      </c>
      <c r="BT106" s="15" t="n">
        <f aca="false">BR106-BS106</f>
        <v>0</v>
      </c>
      <c r="BU106" s="15" t="n">
        <f aca="false">BH106-(BD106+BE106-BF106-AY106)</f>
        <v>0</v>
      </c>
      <c r="BV106" s="15" t="n">
        <f aca="false">MIN(Piano_SS!$C$6,(BV105)+IF(AND(Motore_Operativo!C106&gt;=EDATE(Parametri_v3!$C$24,Ipotesi!D14*12),Motore_Operativo!C106&lt;EDATE(Parametri_v3!$C$24,Parametri_v3!$C$25+Ipotesi!D14*12)),MAX(0,(Motore_Operativo!Y106+Motore_Operativo!X106*Parametri_v3!$C$14)*(1-Parametri_v3!$C$32))*Piano_SS!$D$6,0))</f>
        <v>300000</v>
      </c>
      <c r="BW106" s="15" t="n">
        <f aca="false">MIN(Piano_SS!$C$7,(BW105)+IF(AND(Motore_Operativo!C106&gt;=EDATE(Parametri_v3!$C$24,Ipotesi!D14*12),Motore_Operativo!C106&lt;EDATE(Parametri_v3!$C$24,Parametri_v3!$C$25+Ipotesi!D14*12)),MAX(0,(IF(42-(INT((Ipotesi!$C$91)/30))&lt;1,0,INDEX(Motore_Operativo!$BN$65:$BN$124,MAX(1,42-(INT((Ipotesi!$C$91)/30)))))*(1-(MOD((Ipotesi!$C$91),30)/30))+IF(42-(INT((Ipotesi!$C$91)/30))-1&lt;1,0,INDEX(Motore_Operativo!$BN$65:$BN$124,MAX(1,42-(INT((Ipotesi!$C$91)/30))-1)))*(MOD((Ipotesi!$C$91),30)/30)))*Piano_SS!$D$7,0))</f>
        <v>41058.9230070837</v>
      </c>
      <c r="BX106" s="15" t="n">
        <f aca="false">MIN(Piano_SS!$C$8,(BX105)+IF(AND(Motore_Operativo!C106&gt;=EDATE(Parametri_v3!$C$24,Ipotesi!D14*12),Motore_Operativo!C106&lt;EDATE(Parametri_v3!$C$24,Parametri_v3!$C$25+Ipotesi!D14*12)),MAX(0,Motore_Operativo!CE106)*Piano_SS!$D$8,0))</f>
        <v>50000</v>
      </c>
      <c r="BY106" s="15" t="n">
        <f aca="false">MIN(Piano_SS!$C$9,(BY105)+IF(AND(Motore_Operativo!C106&gt;=EDATE(Parametri_v3!$C$24,Ipotesi!D14*12),Motore_Operativo!C106&lt;EDATE(Parametri_v3!$C$24,Parametri_v3!$C$25+Ipotesi!D14*12)),MAX(0,((IF(42-(INT((Ipotesi!$C$91)/30))&lt;1,0,INDEX(Motore_Operativo!$BQ$65:$BQ$124,MAX(1,42-(INT((Ipotesi!$C$91)/30)))))*(1-(MOD((Ipotesi!$C$91),30)/30))+IF(42-(INT((Ipotesi!$C$91)/30))-1&lt;1,0,INDEX(Motore_Operativo!$BQ$65:$BQ$124,MAX(1,42-(INT((Ipotesi!$C$91)/30))-1)))*(MOD((Ipotesi!$C$91),30)/30))+(IF(42-(INT((Ipotesi!$C$91)/30))&lt;1,0,INDEX(Motore_Operativo!$BR$65:$BR$124,MAX(1,42-(INT((Ipotesi!$C$91)/30)))))*(1-(MOD((Ipotesi!$C$91),30)/30))+IF(42-(INT((Ipotesi!$C$91)/30))-1&lt;1,0,INDEX(Motore_Operativo!$BR$65:$BR$124,MAX(1,42-(INT((Ipotesi!$C$91)/30))-1)))*(MOD((Ipotesi!$C$91),30)/30))))*Piano_SS!$D$9,0))</f>
        <v>40000</v>
      </c>
      <c r="BZ106" s="15" t="n">
        <f aca="false">MIN(Piano_SS!$C$10,(BZ105)+IF(AND(Motore_Operativo!C106&gt;=EDATE(Parametri_v3!$C$24,Ipotesi!D14*12),Motore_Operativo!C106&lt;EDATE(Parametri_v3!$C$24,Parametri_v3!$C$25+Ipotesi!D14*12)),MAX(0,(IF(42-(INT((Ipotesi!$C$91)/30))&lt;1,0,INDEX(Motore_Operativo!$BO$65:$BO$124,MAX(1,42-(INT((Ipotesi!$C$91)/30)))))*(1-(MOD((Ipotesi!$C$91),30)/30))+IF(42-(INT((Ipotesi!$C$91)/30))-1&lt;1,0,INDEX(Motore_Operativo!$BO$65:$BO$124,MAX(1,42-(INT((Ipotesi!$C$91)/30))-1)))*(MOD((Ipotesi!$C$91),30)/30)))*Piano_SS!$D$10,0))</f>
        <v>30000</v>
      </c>
      <c r="CA106" s="15" t="n">
        <f aca="false">SUM(BV106:BZ106)</f>
        <v>461058.923007084</v>
      </c>
      <c r="CB106" s="15" t="n">
        <f aca="false">BV106*(1-Piano_SS!$E$6)+BW106*(1-Piano_SS!$E$7)+BX106*(1-Piano_SS!$E$8)+BY106*(1-Piano_SS!$E$9)+BZ106*(1-Piano_SS!$E$10)</f>
        <v>431058.923007084</v>
      </c>
      <c r="CC106" s="15" t="n">
        <f aca="false">(CC105)+BA106</f>
        <v>368847.138405667</v>
      </c>
      <c r="CD106" s="15" t="n">
        <f aca="false">IF(CA106=0,0,CC106*CB106/CA106*Ipotesi!$C$103*Parametri_v3!$C$64)</f>
        <v>103454.1415217</v>
      </c>
      <c r="CE106" s="18" t="n">
        <f aca="false">IF(BA106&gt;0,Motore_Operativo!C106,(CE105))</f>
        <v>47270</v>
      </c>
      <c r="CF106" s="18" t="n">
        <f aca="false">IF(AND(CC106&gt;0,OR(CC106&gt;=CG106-0.01,Motore_Operativo!C106&gt;=EDATE(MAX(Finanziamenti!$D$15:$D$17),Ipotesi!D14*12))),CE106,0)</f>
        <v>47270</v>
      </c>
      <c r="CG106" s="15" t="n">
        <f aca="false">IF(AND(2&lt;&gt;6,2&lt;&gt;9,Finanziamenti!$F$11=1,OR(Parametri_v3!$C$6=0,Finanziamenti!$E$11=1)),MIN(Finanziamenti!$C$11,Piano_SS!$C$12*Ipotesi!$C$102),0)</f>
        <v>400000</v>
      </c>
      <c r="CH106" s="15" t="n">
        <f aca="false">IF(AND(AND(2&lt;&gt;8,2&lt;&gt;9,Finanziamenti!$F$10=1,OR(Parametri_v3!$C$6=0,Finanziamenti!$E$10=1)),Motore_Operativo!C106&gt;=Finanziamenti!$D$10,Motore_Operativo!C106&lt;Parametri_v3!$C$63),Finanziamenti!$C$10,0)</f>
        <v>150000</v>
      </c>
    </row>
    <row r="107" customFormat="false" ht="18" hidden="false" customHeight="true" outlineLevel="0" collapsed="false">
      <c r="A107" s="68" t="n">
        <f aca="false">2</f>
        <v>2</v>
      </c>
      <c r="B107" s="68" t="n">
        <f aca="false">43</f>
        <v>43</v>
      </c>
      <c r="C107" s="18" t="n">
        <f aca="false">Motore_Operativo!C107</f>
        <v>47665</v>
      </c>
      <c r="D107" s="68" t="n">
        <f aca="false">Motore_Operativo!D107</f>
        <v>2030</v>
      </c>
      <c r="E107" s="68" t="n">
        <f aca="false">Motore_Operativo!E107</f>
        <v>7</v>
      </c>
      <c r="F107" s="15" t="n">
        <f aca="false">Motore_Operativo!AQ107+Motore_Operativo!BF107</f>
        <v>126100.621132526</v>
      </c>
      <c r="G107" s="15" t="n">
        <f aca="false">Motore_Operativo!BH107</f>
        <v>9024.16666666667</v>
      </c>
      <c r="H107" s="15" t="n">
        <f aca="false">Motore_Operativo!BI107</f>
        <v>135124.787799193</v>
      </c>
      <c r="I107" s="15" t="n">
        <f aca="false">Motore_Operativo!CA107</f>
        <v>157259.562583554</v>
      </c>
      <c r="J107" s="15" t="n">
        <f aca="false">Motore_Operativo!CC107</f>
        <v>-22134.7747843611</v>
      </c>
      <c r="K107" s="15" t="n">
        <f aca="false">Motore_Operativo!CE107</f>
        <v>3333.33333333333</v>
      </c>
      <c r="L107" s="15" t="n">
        <f aca="false">SUM(INDEX($K$65:$K$124,MAX(1,43-Parametri_v3!$C$59+1)):K107)/Parametri_v3!$C$59</f>
        <v>2407.40740740741</v>
      </c>
      <c r="M107" s="15" t="n">
        <f aca="false">J107-L107</f>
        <v>-24542.1821917685</v>
      </c>
      <c r="N107" s="15" t="n">
        <f aca="false">CD107-(CD106)</f>
        <v>0</v>
      </c>
      <c r="O107" s="15" t="n">
        <f aca="false">(BG106)*Ipotesi!$C$110/12+CH107*Parametri_v3!$C$39/12</f>
        <v>0</v>
      </c>
      <c r="P107" s="15" t="n">
        <f aca="false">M107+N107-O107</f>
        <v>-24542.1821917685</v>
      </c>
      <c r="Q107" s="15" t="n">
        <f aca="false">SUM(P101:P107)+Parametri_v3!$C$54*7/12</f>
        <v>-222383.372405172</v>
      </c>
      <c r="R107" s="15" t="n">
        <f aca="false">Z100</f>
        <v>1007520.29624424</v>
      </c>
      <c r="S107" s="15" t="n">
        <f aca="false">AA100</f>
        <v>0</v>
      </c>
      <c r="T107" s="15" t="n">
        <f aca="false">MIN(R107,MAX(0,Q107))</f>
        <v>0</v>
      </c>
      <c r="U107" s="15" t="n">
        <f aca="false">MIN(S107,MAX(0,Q107-T107)*Parametri_v3!$C$42)</f>
        <v>0</v>
      </c>
      <c r="V107" s="15" t="n">
        <f aca="false">MAX(0,Q107-T107-U107)*Ipotesi!$C$92</f>
        <v>0</v>
      </c>
      <c r="W107" s="15" t="n">
        <f aca="false">MAX(0,SUM(M101:M107)+Parametri_v3!$C$55*7/12)*Ipotesi!$C$93</f>
        <v>0</v>
      </c>
      <c r="X107" s="15" t="n">
        <f aca="false">V107+W107-(V106+W106)</f>
        <v>0</v>
      </c>
      <c r="Y107" s="15" t="n">
        <f aca="false">P107-X107</f>
        <v>-24542.1821917685</v>
      </c>
      <c r="Z107" s="15" t="n">
        <f aca="false">R107-T107+IF(AND(Parametri_v3!$C$40=1,D107-YEAR(Parametri_v3!$C$50)&lt;Parametri_v3!$C$41),MAX(0,-Q107),0)</f>
        <v>1007520.29624424</v>
      </c>
      <c r="AA107" s="15" t="n">
        <f aca="false">S107-U107+IF(AND(Parametri_v3!$C$40=1,D107-YEAR(Parametri_v3!$C$50)&lt;Parametri_v3!$C$41),0,MAX(0,-Q107))</f>
        <v>222383.372405172</v>
      </c>
      <c r="AB107" s="15" t="n">
        <f aca="false">F107*(1+Parametri_v3!$C$26)</f>
        <v>153842.757781682</v>
      </c>
      <c r="AC107" s="15" t="n">
        <f aca="false">(IF(43-(INT((Motore_Operativo!L107)/30))&lt;1,0,INDEX(Motore_Startup!$AB$65:$AB$124,MAX(1,43-(INT((Motore_Operativo!L107)/30)))))*(1-(MOD((Motore_Operativo!L107),30)/30))+IF(43-(INT((Motore_Operativo!L107)/30))-1&lt;1,0,INDEX(Motore_Startup!$AB$65:$AB$124,MAX(1,43-(INT((Motore_Operativo!L107)/30))-1)))*(MOD((Motore_Operativo!L107),30)/30))</f>
        <v>142722.87928372</v>
      </c>
      <c r="AD107" s="15" t="n">
        <f aca="false">(AD106)+AB107-AC107</f>
        <v>450473.482684858</v>
      </c>
      <c r="AE107" s="15" t="n">
        <f aca="false">Motore_Operativo!BH107*(1+Parametri_v3!$C$26)</f>
        <v>11009.4833333333</v>
      </c>
      <c r="AF107" s="15" t="n">
        <f aca="false">(IF(43-(INT((Parametri_v3!$C$29)/30))&lt;1,0,INDEX(Motore_Operativo!$BH$65:$BH$124,MAX(1,43-(INT((Parametri_v3!$C$29)/30)))))*(1-(MOD((Parametri_v3!$C$29),30)/30))+IF(43-(INT((Parametri_v3!$C$29)/30))-1&lt;1,0,INDEX(Motore_Operativo!$BH$65:$BH$124,MAX(1,43-(INT((Parametri_v3!$C$29)/30))-1)))*(MOD((Parametri_v3!$C$29),30)/30))*(1+Parametri_v3!$C$26)</f>
        <v>11009.4833333333</v>
      </c>
      <c r="AG107" s="15" t="n">
        <f aca="false">(AG106)+AE107-AF107</f>
        <v>11009.4833333333</v>
      </c>
      <c r="AH107" s="15" t="n">
        <f aca="false">(Motore_Operativo!CJ107)*(1+Parametri_v3!$C$27*Parametri_v3!$C$26)</f>
        <v>72153.5501281365</v>
      </c>
      <c r="AI107" s="15" t="n">
        <f aca="false">(IF(43-(INT((Ipotesi!$C$91)/30))&lt;1,0,INDEX(Motore_Startup!$AH$65:$AH$124,MAX(1,43-(INT((Ipotesi!$C$91)/30)))))*(1-(MOD((Ipotesi!$C$91),30)/30))+IF(43-(INT((Ipotesi!$C$91)/30))-1&lt;1,0,INDEX(Motore_Startup!$AH$65:$AH$124,MAX(1,43-(INT((Ipotesi!$C$91)/30))-1)))*(MOD((Ipotesi!$C$91),30)/30))</f>
        <v>71148.2073329111</v>
      </c>
      <c r="AJ107" s="15" t="n">
        <f aca="false">(AJ106)+AH107-AI107</f>
        <v>143806.63558272</v>
      </c>
      <c r="AK107" s="15" t="n">
        <f aca="false">(F107+ Motore_Operativo!BH107-(Motore_Operativo!CJ107)*Parametri_v3!$C$27-Motore_Operativo!CE107)*Parametri_v3!$C$26</f>
        <v>17627.0484795728</v>
      </c>
      <c r="AL107" s="15" t="n">
        <f aca="false">MAX(0,(AM106))</f>
        <v>17043.3436833996</v>
      </c>
      <c r="AM107" s="15" t="n">
        <f aca="false">(AM106)+AK107-AL107</f>
        <v>17627.0484795728</v>
      </c>
      <c r="AN107" s="15" t="n">
        <f aca="false">SUM(X89:X100)</f>
        <v>0</v>
      </c>
      <c r="AO107" s="15" t="n">
        <f aca="false">SUM(AP89:AP100)</f>
        <v>0</v>
      </c>
      <c r="AP107" s="15" t="n">
        <f aca="false">MAX(0,AN107)*IF(7=Parametri_v3!$C$43,Parametri_v3!$C$45,IF(7=Parametri_v3!$C$44,1-Parametri_v3!$C$45,0))</f>
        <v>0</v>
      </c>
      <c r="AQ107" s="15" t="n">
        <f aca="false">MAX(0,AP107+IF(7=Parametri_v3!$C$43,MAX(0,AN107-AO107),0)-MAX(0,-(AR106)))</f>
        <v>0</v>
      </c>
      <c r="AR107" s="15" t="n">
        <f aca="false">(AR106)+X107-AQ107</f>
        <v>0</v>
      </c>
      <c r="AS107" s="15" t="n">
        <f aca="false">Motore_Operativo!AB107-AT107+AU107</f>
        <v>91649.4297604167</v>
      </c>
      <c r="AT107" s="15" t="n">
        <f aca="false">Motore_Operativo!CH107</f>
        <v>4823.65419791667</v>
      </c>
      <c r="AU107" s="15" t="n">
        <f aca="false">MIN(MAX(0,(AV106)+AT107),Parametri_v3!$C$60/12)</f>
        <v>0</v>
      </c>
      <c r="AV107" s="15" t="n">
        <f aca="false">(AV106)+AT107-AU107</f>
        <v>112937.279385417</v>
      </c>
      <c r="AW107" s="15" t="n">
        <f aca="false">IF(AND(Motore_Operativo!C107=Finanziamenti!$D$6,Finanziamenti!$F$6=1),Finanziamenti!$C$6,0)</f>
        <v>0</v>
      </c>
      <c r="AX107" s="15" t="n">
        <f aca="false">IF(AND(2&lt;&gt;7,2&lt;&gt;9,Finanziamenti!$F$8=1,OR(Parametri_v3!$C$6=0,Finanziamenti!$E$8=1),Motore_Operativo!C107=EDATE(Finanziamenti!$D$8,Ipotesi!D15*12)),Finanziamenti!$C$8*1,0)+IF(AND(2&lt;&gt;7,2&lt;&gt;9,Finanziamenti!$F$9=1,OR(Parametri_v3!$C$6=0,Finanziamenti!$E$9=1),Motore_Operativo!C107=EDATE(Finanziamenti!$D$9,Ipotesi!D15*12)),Finanziamenti!$C$9*Ipotesi!D16,0)</f>
        <v>0</v>
      </c>
      <c r="AY107" s="15" t="n">
        <f aca="false">0</f>
        <v>0</v>
      </c>
      <c r="AZ107" s="15" t="n">
        <f aca="false">Motore_Advisory!AY107*(1-Ipotesi!$C$95)*Ipotesi!$C$96</f>
        <v>0</v>
      </c>
      <c r="BA107" s="15" t="n">
        <f aca="false">MAX(0,MIN(CG107*MIN(1,IF(Motore_Operativo!C107&gt;=EDATE(Finanziamenti!$D$15,Ipotesi!D14*12),Finanziamenti!$C$15,0)+IF(Motore_Operativo!C107&gt;=EDATE(Finanziamenti!$D$16,Ipotesi!D14*12),Finanziamenti!$C$16,0)+IF(Motore_Operativo!C107&gt;=EDATE(Finanziamenti!$D$17,Ipotesi!D14*12),Finanziamenti!$C$17,0)),CA107*Ipotesi!$C$102)-(CC106))</f>
        <v>0</v>
      </c>
      <c r="BB107" s="15" t="n">
        <f aca="false">IF(AND(CF107&gt;0,Motore_Operativo!C107&gt;=IF(CF107=0,0,EDATE(CF107,Parametri_v3!$C$37)),MOD(((D107-YEAR(IF(CF107=0,0,EDATE(CF107,Parametri_v3!$C$37))))*12+E107-MONTH(IF(CF107=0,0,EDATE(CF107,Parametri_v3!$C$37)))),Parametri_v3!$C$38)=0),MIN(MAX(0,(BC106)+BA107-N107),(CC107-CD107)/(Ipotesi!$C$108*12/Parametri_v3!$C$38)),0)</f>
        <v>0</v>
      </c>
      <c r="BC107" s="15" t="n">
        <f aca="false">(BC106)+BA107-N107-BB107</f>
        <v>252123.347039769</v>
      </c>
      <c r="BD107" s="15" t="n">
        <f aca="false">(BH106)+AC107+AF107-AI107-AS107-K107*(1+Parametri_v3!$C$26)-AL107-AQ107-O107+AW107+AX107+AZ107+BA107-BB107</f>
        <v>153569.321743949</v>
      </c>
      <c r="BE107" s="15" t="n">
        <f aca="false">MAX(0,MIN(MAX(0,CH107-(BG106)),Parametri_v3!$C$30-BD107))</f>
        <v>0</v>
      </c>
      <c r="BF107" s="15" t="n">
        <f aca="false">IF(Motore_Operativo!C107&gt;=Parametri_v3!$C$63,(BG106),MIN((BG106),MAX(0,BD107-Parametri_v3!$C$30)))</f>
        <v>0</v>
      </c>
      <c r="BG107" s="15" t="n">
        <f aca="false">(BG106)+BE107-BF107</f>
        <v>0</v>
      </c>
      <c r="BH107" s="15" t="n">
        <f aca="false">BD107+BE107-BF107-AY107</f>
        <v>153569.321743949</v>
      </c>
      <c r="BI107" s="15" t="n">
        <f aca="false">MAX(0,Parametri_v3!$C$30-BH107)</f>
        <v>0</v>
      </c>
      <c r="BJ107" s="15" t="n">
        <f aca="false">(BJ106)+K107</f>
        <v>98333.3333333333</v>
      </c>
      <c r="BK107" s="15" t="n">
        <f aca="false">(BK106)+L107</f>
        <v>51087.962962963</v>
      </c>
      <c r="BL107" s="15" t="n">
        <f aca="false">BJ107-BK107</f>
        <v>47245.3703703703</v>
      </c>
      <c r="BM107" s="15" t="n">
        <f aca="false">(BM106)+Y107</f>
        <v>-1229903.66864941</v>
      </c>
      <c r="BN107" s="15" t="n">
        <f aca="false">(BN106)+AW107+AX107+AZ107</f>
        <v>1365707.01629444</v>
      </c>
      <c r="BO107" s="15" t="n">
        <f aca="false">(BO106)+AY107</f>
        <v>0</v>
      </c>
      <c r="BP107" s="15" t="n">
        <f aca="false">0</f>
        <v>0</v>
      </c>
      <c r="BQ107" s="15" t="n">
        <f aca="false">BN107+BM107-BO107</f>
        <v>135803.347645034</v>
      </c>
      <c r="BR107" s="15" t="n">
        <f aca="false">BH107+AD107+BL107+MAX(0,-AM107)+MAX(0,-AR107)+AG107</f>
        <v>662297.658132511</v>
      </c>
      <c r="BS107" s="15" t="n">
        <f aca="false">AJ107+AV107+MAX(0,AM107)+MAX(0,AR107)+BC107+BG107+BQ107</f>
        <v>662297.658132512</v>
      </c>
      <c r="BT107" s="15" t="n">
        <f aca="false">BR107-BS107</f>
        <v>0</v>
      </c>
      <c r="BU107" s="15" t="n">
        <f aca="false">BH107-(BD107+BE107-BF107-AY107)</f>
        <v>0</v>
      </c>
      <c r="BV107" s="15" t="n">
        <f aca="false">MIN(Piano_SS!$C$6,(BV106)+IF(AND(Motore_Operativo!C107&gt;=EDATE(Parametri_v3!$C$24,Ipotesi!D14*12),Motore_Operativo!C107&lt;EDATE(Parametri_v3!$C$24,Parametri_v3!$C$25+Ipotesi!D14*12)),MAX(0,(Motore_Operativo!Y107+Motore_Operativo!X107*Parametri_v3!$C$14)*(1-Parametri_v3!$C$32))*Piano_SS!$D$6,0))</f>
        <v>300000</v>
      </c>
      <c r="BW107" s="15" t="n">
        <f aca="false">MIN(Piano_SS!$C$7,(BW106)+IF(AND(Motore_Operativo!C107&gt;=EDATE(Parametri_v3!$C$24,Ipotesi!D14*12),Motore_Operativo!C107&lt;EDATE(Parametri_v3!$C$24,Parametri_v3!$C$25+Ipotesi!D14*12)),MAX(0,(IF(43-(INT((Ipotesi!$C$91)/30))&lt;1,0,INDEX(Motore_Operativo!$BN$65:$BN$124,MAX(1,43-(INT((Ipotesi!$C$91)/30)))))*(1-(MOD((Ipotesi!$C$91),30)/30))+IF(43-(INT((Ipotesi!$C$91)/30))-1&lt;1,0,INDEX(Motore_Operativo!$BN$65:$BN$124,MAX(1,43-(INT((Ipotesi!$C$91)/30))-1)))*(MOD((Ipotesi!$C$91),30)/30)))*Piano_SS!$D$7,0))</f>
        <v>41058.9230070837</v>
      </c>
      <c r="BX107" s="15" t="n">
        <f aca="false">MIN(Piano_SS!$C$8,(BX106)+IF(AND(Motore_Operativo!C107&gt;=EDATE(Parametri_v3!$C$24,Ipotesi!D14*12),Motore_Operativo!C107&lt;EDATE(Parametri_v3!$C$24,Parametri_v3!$C$25+Ipotesi!D14*12)),MAX(0,Motore_Operativo!CE107)*Piano_SS!$D$8,0))</f>
        <v>50000</v>
      </c>
      <c r="BY107" s="15" t="n">
        <f aca="false">MIN(Piano_SS!$C$9,(BY106)+IF(AND(Motore_Operativo!C107&gt;=EDATE(Parametri_v3!$C$24,Ipotesi!D14*12),Motore_Operativo!C107&lt;EDATE(Parametri_v3!$C$24,Parametri_v3!$C$25+Ipotesi!D14*12)),MAX(0,((IF(43-(INT((Ipotesi!$C$91)/30))&lt;1,0,INDEX(Motore_Operativo!$BQ$65:$BQ$124,MAX(1,43-(INT((Ipotesi!$C$91)/30)))))*(1-(MOD((Ipotesi!$C$91),30)/30))+IF(43-(INT((Ipotesi!$C$91)/30))-1&lt;1,0,INDEX(Motore_Operativo!$BQ$65:$BQ$124,MAX(1,43-(INT((Ipotesi!$C$91)/30))-1)))*(MOD((Ipotesi!$C$91),30)/30))+(IF(43-(INT((Ipotesi!$C$91)/30))&lt;1,0,INDEX(Motore_Operativo!$BR$65:$BR$124,MAX(1,43-(INT((Ipotesi!$C$91)/30)))))*(1-(MOD((Ipotesi!$C$91),30)/30))+IF(43-(INT((Ipotesi!$C$91)/30))-1&lt;1,0,INDEX(Motore_Operativo!$BR$65:$BR$124,MAX(1,43-(INT((Ipotesi!$C$91)/30))-1)))*(MOD((Ipotesi!$C$91),30)/30))))*Piano_SS!$D$9,0))</f>
        <v>40000</v>
      </c>
      <c r="BZ107" s="15" t="n">
        <f aca="false">MIN(Piano_SS!$C$10,(BZ106)+IF(AND(Motore_Operativo!C107&gt;=EDATE(Parametri_v3!$C$24,Ipotesi!D14*12),Motore_Operativo!C107&lt;EDATE(Parametri_v3!$C$24,Parametri_v3!$C$25+Ipotesi!D14*12)),MAX(0,(IF(43-(INT((Ipotesi!$C$91)/30))&lt;1,0,INDEX(Motore_Operativo!$BO$65:$BO$124,MAX(1,43-(INT((Ipotesi!$C$91)/30)))))*(1-(MOD((Ipotesi!$C$91),30)/30))+IF(43-(INT((Ipotesi!$C$91)/30))-1&lt;1,0,INDEX(Motore_Operativo!$BO$65:$BO$124,MAX(1,43-(INT((Ipotesi!$C$91)/30))-1)))*(MOD((Ipotesi!$C$91),30)/30)))*Piano_SS!$D$10,0))</f>
        <v>30000</v>
      </c>
      <c r="CA107" s="15" t="n">
        <f aca="false">SUM(BV107:BZ107)</f>
        <v>461058.923007084</v>
      </c>
      <c r="CB107" s="15" t="n">
        <f aca="false">BV107*(1-Piano_SS!$E$6)+BW107*(1-Piano_SS!$E$7)+BX107*(1-Piano_SS!$E$8)+BY107*(1-Piano_SS!$E$9)+BZ107*(1-Piano_SS!$E$10)</f>
        <v>431058.923007084</v>
      </c>
      <c r="CC107" s="15" t="n">
        <f aca="false">(CC106)+BA107</f>
        <v>368847.138405667</v>
      </c>
      <c r="CD107" s="15" t="n">
        <f aca="false">IF(CA107=0,0,CC107*CB107/CA107*Ipotesi!$C$103*Parametri_v3!$C$64)</f>
        <v>103454.1415217</v>
      </c>
      <c r="CE107" s="18" t="n">
        <f aca="false">IF(BA107&gt;0,Motore_Operativo!C107,(CE106))</f>
        <v>47270</v>
      </c>
      <c r="CF107" s="18" t="n">
        <f aca="false">IF(AND(CC107&gt;0,OR(CC107&gt;=CG107-0.01,Motore_Operativo!C107&gt;=EDATE(MAX(Finanziamenti!$D$15:$D$17),Ipotesi!D14*12))),CE107,0)</f>
        <v>47270</v>
      </c>
      <c r="CG107" s="15" t="n">
        <f aca="false">IF(AND(2&lt;&gt;6,2&lt;&gt;9,Finanziamenti!$F$11=1,OR(Parametri_v3!$C$6=0,Finanziamenti!$E$11=1)),MIN(Finanziamenti!$C$11,Piano_SS!$C$12*Ipotesi!$C$102),0)</f>
        <v>400000</v>
      </c>
      <c r="CH107" s="15" t="n">
        <f aca="false">IF(AND(AND(2&lt;&gt;8,2&lt;&gt;9,Finanziamenti!$F$10=1,OR(Parametri_v3!$C$6=0,Finanziamenti!$E$10=1)),Motore_Operativo!C107&gt;=Finanziamenti!$D$10,Motore_Operativo!C107&lt;Parametri_v3!$C$63),Finanziamenti!$C$10,0)</f>
        <v>150000</v>
      </c>
    </row>
    <row r="108" customFormat="false" ht="18" hidden="false" customHeight="true" outlineLevel="0" collapsed="false">
      <c r="A108" s="68" t="n">
        <f aca="false">2</f>
        <v>2</v>
      </c>
      <c r="B108" s="68" t="n">
        <f aca="false">44</f>
        <v>44</v>
      </c>
      <c r="C108" s="18" t="n">
        <f aca="false">Motore_Operativo!C108</f>
        <v>47696</v>
      </c>
      <c r="D108" s="68" t="n">
        <f aca="false">Motore_Operativo!D108</f>
        <v>2030</v>
      </c>
      <c r="E108" s="68" t="n">
        <f aca="false">Motore_Operativo!E108</f>
        <v>8</v>
      </c>
      <c r="F108" s="15" t="n">
        <f aca="false">Motore_Operativo!AQ108+Motore_Operativo!BF108</f>
        <v>129085.876915895</v>
      </c>
      <c r="G108" s="15" t="n">
        <f aca="false">Motore_Operativo!BH108</f>
        <v>9024.16666666667</v>
      </c>
      <c r="H108" s="15" t="n">
        <f aca="false">Motore_Operativo!BI108</f>
        <v>138110.043582562</v>
      </c>
      <c r="I108" s="15" t="n">
        <f aca="false">Motore_Operativo!CA108</f>
        <v>157677.498393225</v>
      </c>
      <c r="J108" s="15" t="n">
        <f aca="false">Motore_Operativo!CC108</f>
        <v>-19567.4548106635</v>
      </c>
      <c r="K108" s="15" t="n">
        <f aca="false">Motore_Operativo!CE108</f>
        <v>3333.33333333333</v>
      </c>
      <c r="L108" s="15" t="n">
        <f aca="false">SUM(INDEX($K$65:$K$124,MAX(1,44-Parametri_v3!$C$59+1)):K108)/Parametri_v3!$C$59</f>
        <v>2453.7037037037</v>
      </c>
      <c r="M108" s="15" t="n">
        <f aca="false">J108-L108</f>
        <v>-22021.1585143672</v>
      </c>
      <c r="N108" s="15" t="n">
        <f aca="false">CD108-(CD107)</f>
        <v>0</v>
      </c>
      <c r="O108" s="15" t="n">
        <f aca="false">(BG107)*Ipotesi!$C$110/12+CH108*Parametri_v3!$C$39/12</f>
        <v>0</v>
      </c>
      <c r="P108" s="15" t="n">
        <f aca="false">M108+N108-O108</f>
        <v>-22021.1585143672</v>
      </c>
      <c r="Q108" s="15" t="n">
        <f aca="false">SUM(P101:P108)+Parametri_v3!$C$54*8/12</f>
        <v>-244404.530919539</v>
      </c>
      <c r="R108" s="15" t="n">
        <f aca="false">Z100</f>
        <v>1007520.29624424</v>
      </c>
      <c r="S108" s="15" t="n">
        <f aca="false">AA100</f>
        <v>0</v>
      </c>
      <c r="T108" s="15" t="n">
        <f aca="false">MIN(R108,MAX(0,Q108))</f>
        <v>0</v>
      </c>
      <c r="U108" s="15" t="n">
        <f aca="false">MIN(S108,MAX(0,Q108-T108)*Parametri_v3!$C$42)</f>
        <v>0</v>
      </c>
      <c r="V108" s="15" t="n">
        <f aca="false">MAX(0,Q108-T108-U108)*Ipotesi!$C$92</f>
        <v>0</v>
      </c>
      <c r="W108" s="15" t="n">
        <f aca="false">MAX(0,SUM(M101:M108)+Parametri_v3!$C$55*8/12)*Ipotesi!$C$93</f>
        <v>0</v>
      </c>
      <c r="X108" s="15" t="n">
        <f aca="false">V108+W108-(V107+W107)</f>
        <v>0</v>
      </c>
      <c r="Y108" s="15" t="n">
        <f aca="false">P108-X108</f>
        <v>-22021.1585143672</v>
      </c>
      <c r="Z108" s="15" t="n">
        <f aca="false">R108-T108+IF(AND(Parametri_v3!$C$40=1,D108-YEAR(Parametri_v3!$C$50)&lt;Parametri_v3!$C$41),MAX(0,-Q108),0)</f>
        <v>1007520.29624424</v>
      </c>
      <c r="AA108" s="15" t="n">
        <f aca="false">S108-U108+IF(AND(Parametri_v3!$C$40=1,D108-YEAR(Parametri_v3!$C$50)&lt;Parametri_v3!$C$41),0,MAX(0,-Q108))</f>
        <v>244404.530919539</v>
      </c>
      <c r="AB108" s="15" t="n">
        <f aca="false">F108*(1+Parametri_v3!$C$26)</f>
        <v>157484.769837392</v>
      </c>
      <c r="AC108" s="15" t="n">
        <f aca="false">(IF(44-(INT((Motore_Operativo!L108)/30))&lt;1,0,INDEX(Motore_Startup!$AB$65:$AB$124,MAX(1,44-(INT((Motore_Operativo!L108)/30)))))*(1-(MOD((Motore_Operativo!L108),30)/30))+IF(44-(INT((Motore_Operativo!L108)/30))-1&lt;1,0,INDEX(Motore_Startup!$AB$65:$AB$124,MAX(1,44-(INT((Motore_Operativo!L108)/30))-1)))*(MOD((Motore_Operativo!L108),30)/30))</f>
        <v>146462.096991123</v>
      </c>
      <c r="AD108" s="15" t="n">
        <f aca="false">(AD107)+AB108-AC108</f>
        <v>461496.155531127</v>
      </c>
      <c r="AE108" s="15" t="n">
        <f aca="false">Motore_Operativo!BH108*(1+Parametri_v3!$C$26)</f>
        <v>11009.4833333333</v>
      </c>
      <c r="AF108" s="15" t="n">
        <f aca="false">(IF(44-(INT((Parametri_v3!$C$29)/30))&lt;1,0,INDEX(Motore_Operativo!$BH$65:$BH$124,MAX(1,44-(INT((Parametri_v3!$C$29)/30)))))*(1-(MOD((Parametri_v3!$C$29),30)/30))+IF(44-(INT((Parametri_v3!$C$29)/30))-1&lt;1,0,INDEX(Motore_Operativo!$BH$65:$BH$124,MAX(1,44-(INT((Parametri_v3!$C$29)/30))-1)))*(MOD((Parametri_v3!$C$29),30)/30))*(1+Parametri_v3!$C$26)</f>
        <v>11009.4833333333</v>
      </c>
      <c r="AG108" s="15" t="n">
        <f aca="false">(AG107)+AE108-AF108</f>
        <v>11009.4833333333</v>
      </c>
      <c r="AH108" s="15" t="n">
        <f aca="false">(Motore_Operativo!CJ108)*(1+Parametri_v3!$C$27*Parametri_v3!$C$26)</f>
        <v>72649.6399342168</v>
      </c>
      <c r="AI108" s="15" t="n">
        <f aca="false">(IF(44-(INT((Ipotesi!$C$91)/30))&lt;1,0,INDEX(Motore_Startup!$AH$65:$AH$124,MAX(1,44-(INT((Ipotesi!$C$91)/30)))))*(1-(MOD((Ipotesi!$C$91),30)/30))+IF(44-(INT((Ipotesi!$C$91)/30))-1&lt;1,0,INDEX(Motore_Startup!$AH$65:$AH$124,MAX(1,44-(INT((Ipotesi!$C$91)/30))-1)))*(MOD((Ipotesi!$C$91),30)/30))</f>
        <v>71653.0854545834</v>
      </c>
      <c r="AJ108" s="15" t="n">
        <f aca="false">(AJ107)+AH108-AI108</f>
        <v>144803.190062353</v>
      </c>
      <c r="AK108" s="15" t="n">
        <f aca="false">(F108+ Motore_Operativo!BH108-(Motore_Operativo!CJ108)*Parametri_v3!$C$27-Motore_Operativo!CE108)*Parametri_v3!$C$26</f>
        <v>18205.6507555055</v>
      </c>
      <c r="AL108" s="15" t="n">
        <f aca="false">MAX(0,(AM107))</f>
        <v>17627.0484795728</v>
      </c>
      <c r="AM108" s="15" t="n">
        <f aca="false">(AM107)+AK108-AL108</f>
        <v>18205.6507555055</v>
      </c>
      <c r="AN108" s="15" t="n">
        <f aca="false">SUM(X89:X100)</f>
        <v>0</v>
      </c>
      <c r="AO108" s="15" t="n">
        <f aca="false">SUM(AP89:AP100)</f>
        <v>0</v>
      </c>
      <c r="AP108" s="15" t="n">
        <f aca="false">MAX(0,AN108)*IF(8=Parametri_v3!$C$43,Parametri_v3!$C$45,IF(8=Parametri_v3!$C$44,1-Parametri_v3!$C$45,0))</f>
        <v>0</v>
      </c>
      <c r="AQ108" s="15" t="n">
        <f aca="false">MAX(0,AP108+IF(8=Parametri_v3!$C$43,MAX(0,AN108-AO108),0)-MAX(0,-(AR107)))</f>
        <v>0</v>
      </c>
      <c r="AR108" s="15" t="n">
        <f aca="false">(AR107)+X108-AQ108</f>
        <v>0</v>
      </c>
      <c r="AS108" s="15" t="n">
        <f aca="false">Motore_Operativo!AB108-AT108+AU108</f>
        <v>91649.4297604167</v>
      </c>
      <c r="AT108" s="15" t="n">
        <f aca="false">Motore_Operativo!CH108</f>
        <v>4823.65419791667</v>
      </c>
      <c r="AU108" s="15" t="n">
        <f aca="false">MIN(MAX(0,(AV107)+AT108),Parametri_v3!$C$60/12)</f>
        <v>0</v>
      </c>
      <c r="AV108" s="15" t="n">
        <f aca="false">(AV107)+AT108-AU108</f>
        <v>117760.933583333</v>
      </c>
      <c r="AW108" s="15" t="n">
        <f aca="false">IF(AND(Motore_Operativo!C108=Finanziamenti!$D$6,Finanziamenti!$F$6=1),Finanziamenti!$C$6,0)</f>
        <v>0</v>
      </c>
      <c r="AX108" s="15" t="n">
        <f aca="false">IF(AND(2&lt;&gt;7,2&lt;&gt;9,Finanziamenti!$F$8=1,OR(Parametri_v3!$C$6=0,Finanziamenti!$E$8=1),Motore_Operativo!C108=EDATE(Finanziamenti!$D$8,Ipotesi!D15*12)),Finanziamenti!$C$8*1,0)+IF(AND(2&lt;&gt;7,2&lt;&gt;9,Finanziamenti!$F$9=1,OR(Parametri_v3!$C$6=0,Finanziamenti!$E$9=1),Motore_Operativo!C108=EDATE(Finanziamenti!$D$9,Ipotesi!D15*12)),Finanziamenti!$C$9*Ipotesi!D16,0)</f>
        <v>0</v>
      </c>
      <c r="AY108" s="15" t="n">
        <f aca="false">0</f>
        <v>0</v>
      </c>
      <c r="AZ108" s="15" t="n">
        <f aca="false">Motore_Advisory!AY108*(1-Ipotesi!$C$95)*Ipotesi!$C$96</f>
        <v>0</v>
      </c>
      <c r="BA108" s="15" t="n">
        <f aca="false">MAX(0,MIN(CG108*MIN(1,IF(Motore_Operativo!C108&gt;=EDATE(Finanziamenti!$D$15,Ipotesi!D14*12),Finanziamenti!$C$15,0)+IF(Motore_Operativo!C108&gt;=EDATE(Finanziamenti!$D$16,Ipotesi!D14*12),Finanziamenti!$C$16,0)+IF(Motore_Operativo!C108&gt;=EDATE(Finanziamenti!$D$17,Ipotesi!D14*12),Finanziamenti!$C$17,0)),CA108*Ipotesi!$C$102)-(CC107))</f>
        <v>0</v>
      </c>
      <c r="BB108" s="15" t="n">
        <f aca="false">IF(AND(CF108&gt;0,Motore_Operativo!C108&gt;=IF(CF108=0,0,EDATE(CF108,Parametri_v3!$C$37)),MOD(((D108-YEAR(IF(CF108=0,0,EDATE(CF108,Parametri_v3!$C$37))))*12+E108-MONTH(IF(CF108=0,0,EDATE(CF108,Parametri_v3!$C$37)))),Parametri_v3!$C$38)=0),MIN(MAX(0,(BC107)+BA108-N108),(CC108-CD108)/(Ipotesi!$C$108*12/Parametri_v3!$C$38)),0)</f>
        <v>0</v>
      </c>
      <c r="BC108" s="15" t="n">
        <f aca="false">(BC107)+BA108-N108-BB108</f>
        <v>252123.347039769</v>
      </c>
      <c r="BD108" s="15" t="n">
        <f aca="false">(BH107)+AC108+AF108-AI108-AS108-K108*(1+Parametri_v3!$C$26)-AL108-AQ108-O108+AW108+AX108+AZ108+BA108-BB108</f>
        <v>126044.671707166</v>
      </c>
      <c r="BE108" s="15" t="n">
        <f aca="false">MAX(0,MIN(MAX(0,CH108-(BG107)),Parametri_v3!$C$30-BD108))</f>
        <v>0</v>
      </c>
      <c r="BF108" s="15" t="n">
        <f aca="false">IF(Motore_Operativo!C108&gt;=Parametri_v3!$C$63,(BG107),MIN((BG107),MAX(0,BD108-Parametri_v3!$C$30)))</f>
        <v>0</v>
      </c>
      <c r="BG108" s="15" t="n">
        <f aca="false">(BG107)+BE108-BF108</f>
        <v>0</v>
      </c>
      <c r="BH108" s="15" t="n">
        <f aca="false">BD108+BE108-BF108-AY108</f>
        <v>126044.671707166</v>
      </c>
      <c r="BI108" s="15" t="n">
        <f aca="false">MAX(0,Parametri_v3!$C$30-BH108)</f>
        <v>0</v>
      </c>
      <c r="BJ108" s="15" t="n">
        <f aca="false">(BJ107)+K108</f>
        <v>101666.666666667</v>
      </c>
      <c r="BK108" s="15" t="n">
        <f aca="false">(BK107)+L108</f>
        <v>53541.6666666667</v>
      </c>
      <c r="BL108" s="15" t="n">
        <f aca="false">BJ108-BK108</f>
        <v>48125</v>
      </c>
      <c r="BM108" s="15" t="n">
        <f aca="false">(BM107)+Y108</f>
        <v>-1251924.82716378</v>
      </c>
      <c r="BN108" s="15" t="n">
        <f aca="false">(BN107)+AW108+AX108+AZ108</f>
        <v>1365707.01629444</v>
      </c>
      <c r="BO108" s="15" t="n">
        <f aca="false">(BO107)+AY108</f>
        <v>0</v>
      </c>
      <c r="BP108" s="15" t="n">
        <f aca="false">0</f>
        <v>0</v>
      </c>
      <c r="BQ108" s="15" t="n">
        <f aca="false">BN108+BM108-BO108</f>
        <v>113782.189130667</v>
      </c>
      <c r="BR108" s="15" t="n">
        <f aca="false">BH108+AD108+BL108+MAX(0,-AM108)+MAX(0,-AR108)+AG108</f>
        <v>646675.310571626</v>
      </c>
      <c r="BS108" s="15" t="n">
        <f aca="false">AJ108+AV108+MAX(0,AM108)+MAX(0,AR108)+BC108+BG108+BQ108</f>
        <v>646675.310571628</v>
      </c>
      <c r="BT108" s="15" t="n">
        <f aca="false">BR108-BS108</f>
        <v>0</v>
      </c>
      <c r="BU108" s="15" t="n">
        <f aca="false">BH108-(BD108+BE108-BF108-AY108)</f>
        <v>0</v>
      </c>
      <c r="BV108" s="15" t="n">
        <f aca="false">MIN(Piano_SS!$C$6,(BV107)+IF(AND(Motore_Operativo!C108&gt;=EDATE(Parametri_v3!$C$24,Ipotesi!D14*12),Motore_Operativo!C108&lt;EDATE(Parametri_v3!$C$24,Parametri_v3!$C$25+Ipotesi!D14*12)),MAX(0,(Motore_Operativo!Y108+Motore_Operativo!X108*Parametri_v3!$C$14)*(1-Parametri_v3!$C$32))*Piano_SS!$D$6,0))</f>
        <v>300000</v>
      </c>
      <c r="BW108" s="15" t="n">
        <f aca="false">MIN(Piano_SS!$C$7,(BW107)+IF(AND(Motore_Operativo!C108&gt;=EDATE(Parametri_v3!$C$24,Ipotesi!D14*12),Motore_Operativo!C108&lt;EDATE(Parametri_v3!$C$24,Parametri_v3!$C$25+Ipotesi!D14*12)),MAX(0,(IF(44-(INT((Ipotesi!$C$91)/30))&lt;1,0,INDEX(Motore_Operativo!$BN$65:$BN$124,MAX(1,44-(INT((Ipotesi!$C$91)/30)))))*(1-(MOD((Ipotesi!$C$91),30)/30))+IF(44-(INT((Ipotesi!$C$91)/30))-1&lt;1,0,INDEX(Motore_Operativo!$BN$65:$BN$124,MAX(1,44-(INT((Ipotesi!$C$91)/30))-1)))*(MOD((Ipotesi!$C$91),30)/30)))*Piano_SS!$D$7,0))</f>
        <v>41058.9230070837</v>
      </c>
      <c r="BX108" s="15" t="n">
        <f aca="false">MIN(Piano_SS!$C$8,(BX107)+IF(AND(Motore_Operativo!C108&gt;=EDATE(Parametri_v3!$C$24,Ipotesi!D14*12),Motore_Operativo!C108&lt;EDATE(Parametri_v3!$C$24,Parametri_v3!$C$25+Ipotesi!D14*12)),MAX(0,Motore_Operativo!CE108)*Piano_SS!$D$8,0))</f>
        <v>50000</v>
      </c>
      <c r="BY108" s="15" t="n">
        <f aca="false">MIN(Piano_SS!$C$9,(BY107)+IF(AND(Motore_Operativo!C108&gt;=EDATE(Parametri_v3!$C$24,Ipotesi!D14*12),Motore_Operativo!C108&lt;EDATE(Parametri_v3!$C$24,Parametri_v3!$C$25+Ipotesi!D14*12)),MAX(0,((IF(44-(INT((Ipotesi!$C$91)/30))&lt;1,0,INDEX(Motore_Operativo!$BQ$65:$BQ$124,MAX(1,44-(INT((Ipotesi!$C$91)/30)))))*(1-(MOD((Ipotesi!$C$91),30)/30))+IF(44-(INT((Ipotesi!$C$91)/30))-1&lt;1,0,INDEX(Motore_Operativo!$BQ$65:$BQ$124,MAX(1,44-(INT((Ipotesi!$C$91)/30))-1)))*(MOD((Ipotesi!$C$91),30)/30))+(IF(44-(INT((Ipotesi!$C$91)/30))&lt;1,0,INDEX(Motore_Operativo!$BR$65:$BR$124,MAX(1,44-(INT((Ipotesi!$C$91)/30)))))*(1-(MOD((Ipotesi!$C$91),30)/30))+IF(44-(INT((Ipotesi!$C$91)/30))-1&lt;1,0,INDEX(Motore_Operativo!$BR$65:$BR$124,MAX(1,44-(INT((Ipotesi!$C$91)/30))-1)))*(MOD((Ipotesi!$C$91),30)/30))))*Piano_SS!$D$9,0))</f>
        <v>40000</v>
      </c>
      <c r="BZ108" s="15" t="n">
        <f aca="false">MIN(Piano_SS!$C$10,(BZ107)+IF(AND(Motore_Operativo!C108&gt;=EDATE(Parametri_v3!$C$24,Ipotesi!D14*12),Motore_Operativo!C108&lt;EDATE(Parametri_v3!$C$24,Parametri_v3!$C$25+Ipotesi!D14*12)),MAX(0,(IF(44-(INT((Ipotesi!$C$91)/30))&lt;1,0,INDEX(Motore_Operativo!$BO$65:$BO$124,MAX(1,44-(INT((Ipotesi!$C$91)/30)))))*(1-(MOD((Ipotesi!$C$91),30)/30))+IF(44-(INT((Ipotesi!$C$91)/30))-1&lt;1,0,INDEX(Motore_Operativo!$BO$65:$BO$124,MAX(1,44-(INT((Ipotesi!$C$91)/30))-1)))*(MOD((Ipotesi!$C$91),30)/30)))*Piano_SS!$D$10,0))</f>
        <v>30000</v>
      </c>
      <c r="CA108" s="15" t="n">
        <f aca="false">SUM(BV108:BZ108)</f>
        <v>461058.923007084</v>
      </c>
      <c r="CB108" s="15" t="n">
        <f aca="false">BV108*(1-Piano_SS!$E$6)+BW108*(1-Piano_SS!$E$7)+BX108*(1-Piano_SS!$E$8)+BY108*(1-Piano_SS!$E$9)+BZ108*(1-Piano_SS!$E$10)</f>
        <v>431058.923007084</v>
      </c>
      <c r="CC108" s="15" t="n">
        <f aca="false">(CC107)+BA108</f>
        <v>368847.138405667</v>
      </c>
      <c r="CD108" s="15" t="n">
        <f aca="false">IF(CA108=0,0,CC108*CB108/CA108*Ipotesi!$C$103*Parametri_v3!$C$64)</f>
        <v>103454.1415217</v>
      </c>
      <c r="CE108" s="18" t="n">
        <f aca="false">IF(BA108&gt;0,Motore_Operativo!C108,(CE107))</f>
        <v>47270</v>
      </c>
      <c r="CF108" s="18" t="n">
        <f aca="false">IF(AND(CC108&gt;0,OR(CC108&gt;=CG108-0.01,Motore_Operativo!C108&gt;=EDATE(MAX(Finanziamenti!$D$15:$D$17),Ipotesi!D14*12))),CE108,0)</f>
        <v>47270</v>
      </c>
      <c r="CG108" s="15" t="n">
        <f aca="false">IF(AND(2&lt;&gt;6,2&lt;&gt;9,Finanziamenti!$F$11=1,OR(Parametri_v3!$C$6=0,Finanziamenti!$E$11=1)),MIN(Finanziamenti!$C$11,Piano_SS!$C$12*Ipotesi!$C$102),0)</f>
        <v>400000</v>
      </c>
      <c r="CH108" s="15" t="n">
        <f aca="false">IF(AND(AND(2&lt;&gt;8,2&lt;&gt;9,Finanziamenti!$F$10=1,OR(Parametri_v3!$C$6=0,Finanziamenti!$E$10=1)),Motore_Operativo!C108&gt;=Finanziamenti!$D$10,Motore_Operativo!C108&lt;Parametri_v3!$C$63),Finanziamenti!$C$10,0)</f>
        <v>150000</v>
      </c>
    </row>
    <row r="109" customFormat="false" ht="18" hidden="false" customHeight="true" outlineLevel="0" collapsed="false">
      <c r="A109" s="68" t="n">
        <f aca="false">2</f>
        <v>2</v>
      </c>
      <c r="B109" s="68" t="n">
        <f aca="false">45</f>
        <v>45</v>
      </c>
      <c r="C109" s="18" t="n">
        <f aca="false">Motore_Operativo!C109</f>
        <v>47727</v>
      </c>
      <c r="D109" s="68" t="n">
        <f aca="false">Motore_Operativo!D109</f>
        <v>2030</v>
      </c>
      <c r="E109" s="68" t="n">
        <f aca="false">Motore_Operativo!E109</f>
        <v>9</v>
      </c>
      <c r="F109" s="15" t="n">
        <f aca="false">Motore_Operativo!AQ109+Motore_Operativo!BF109</f>
        <v>132045.036754606</v>
      </c>
      <c r="G109" s="15" t="n">
        <f aca="false">Motore_Operativo!BH109</f>
        <v>9024.16666666667</v>
      </c>
      <c r="H109" s="15" t="n">
        <f aca="false">Motore_Operativo!BI109</f>
        <v>141069.203421273</v>
      </c>
      <c r="I109" s="15" t="n">
        <f aca="false">Motore_Operativo!CA109</f>
        <v>158091.780770645</v>
      </c>
      <c r="J109" s="15" t="n">
        <f aca="false">Motore_Operativo!CC109</f>
        <v>-17022.5773493721</v>
      </c>
      <c r="K109" s="15" t="n">
        <f aca="false">Motore_Operativo!CE109</f>
        <v>3333.33333333333</v>
      </c>
      <c r="L109" s="15" t="n">
        <f aca="false">SUM(INDEX($K$65:$K$124,MAX(1,45-Parametri_v3!$C$59+1)):K109)/Parametri_v3!$C$59</f>
        <v>2500</v>
      </c>
      <c r="M109" s="15" t="n">
        <f aca="false">J109-L109</f>
        <v>-19522.5773493721</v>
      </c>
      <c r="N109" s="15" t="n">
        <f aca="false">CD109-(CD108)</f>
        <v>0</v>
      </c>
      <c r="O109" s="15" t="n">
        <f aca="false">(BG108)*Ipotesi!$C$110/12+CH109*Parametri_v3!$C$39/12</f>
        <v>0</v>
      </c>
      <c r="P109" s="15" t="n">
        <f aca="false">M109+N109-O109</f>
        <v>-19522.5773493721</v>
      </c>
      <c r="Q109" s="15" t="n">
        <f aca="false">SUM(P101:P109)+Parametri_v3!$C$54*9/12</f>
        <v>-263927.108268911</v>
      </c>
      <c r="R109" s="15" t="n">
        <f aca="false">Z100</f>
        <v>1007520.29624424</v>
      </c>
      <c r="S109" s="15" t="n">
        <f aca="false">AA100</f>
        <v>0</v>
      </c>
      <c r="T109" s="15" t="n">
        <f aca="false">MIN(R109,MAX(0,Q109))</f>
        <v>0</v>
      </c>
      <c r="U109" s="15" t="n">
        <f aca="false">MIN(S109,MAX(0,Q109-T109)*Parametri_v3!$C$42)</f>
        <v>0</v>
      </c>
      <c r="V109" s="15" t="n">
        <f aca="false">MAX(0,Q109-T109-U109)*Ipotesi!$C$92</f>
        <v>0</v>
      </c>
      <c r="W109" s="15" t="n">
        <f aca="false">MAX(0,SUM(M101:M109)+Parametri_v3!$C$55*9/12)*Ipotesi!$C$93</f>
        <v>0</v>
      </c>
      <c r="X109" s="15" t="n">
        <f aca="false">V109+W109-(V108+W108)</f>
        <v>0</v>
      </c>
      <c r="Y109" s="15" t="n">
        <f aca="false">P109-X109</f>
        <v>-19522.5773493721</v>
      </c>
      <c r="Z109" s="15" t="n">
        <f aca="false">R109-T109+IF(AND(Parametri_v3!$C$40=1,D109-YEAR(Parametri_v3!$C$50)&lt;Parametri_v3!$C$41),MAX(0,-Q109),0)</f>
        <v>1007520.29624424</v>
      </c>
      <c r="AA109" s="15" t="n">
        <f aca="false">S109-U109+IF(AND(Parametri_v3!$C$40=1,D109-YEAR(Parametri_v3!$C$50)&lt;Parametri_v3!$C$41),0,MAX(0,-Q109))</f>
        <v>263927.108268911</v>
      </c>
      <c r="AB109" s="15" t="n">
        <f aca="false">F109*(1+Parametri_v3!$C$26)</f>
        <v>161094.944840619</v>
      </c>
      <c r="AC109" s="15" t="n">
        <f aca="false">(IF(45-(INT((Motore_Operativo!L109)/30))&lt;1,0,INDEX(Motore_Startup!$AB$65:$AB$124,MAX(1,45-(INT((Motore_Operativo!L109)/30)))))*(1-(MOD((Motore_Operativo!L109),30)/30))+IF(45-(INT((Motore_Operativo!L109)/30))-1&lt;1,0,INDEX(Motore_Startup!$AB$65:$AB$124,MAX(1,45-(INT((Motore_Operativo!L109)/30))-1)))*(MOD((Motore_Operativo!L109),30)/30))</f>
        <v>150168.627912054</v>
      </c>
      <c r="AD109" s="15" t="n">
        <f aca="false">(AD108)+AB109-AC109</f>
        <v>472422.472459693</v>
      </c>
      <c r="AE109" s="15" t="n">
        <f aca="false">Motore_Operativo!BH109*(1+Parametri_v3!$C$26)</f>
        <v>11009.4833333333</v>
      </c>
      <c r="AF109" s="15" t="n">
        <f aca="false">(IF(45-(INT((Parametri_v3!$C$29)/30))&lt;1,0,INDEX(Motore_Operativo!$BH$65:$BH$124,MAX(1,45-(INT((Parametri_v3!$C$29)/30)))))*(1-(MOD((Parametri_v3!$C$29),30)/30))+IF(45-(INT((Parametri_v3!$C$29)/30))-1&lt;1,0,INDEX(Motore_Operativo!$BH$65:$BH$124,MAX(1,45-(INT((Parametri_v3!$C$29)/30))-1)))*(MOD((Parametri_v3!$C$29),30)/30))*(1+Parametri_v3!$C$26)</f>
        <v>11009.4833333333</v>
      </c>
      <c r="AG109" s="15" t="n">
        <f aca="false">(AG108)+AE109-AF109</f>
        <v>11009.4833333333</v>
      </c>
      <c r="AH109" s="15" t="n">
        <f aca="false">(Motore_Operativo!CJ109)*(1+Parametri_v3!$C$27*Parametri_v3!$C$26)</f>
        <v>73141.3931162138</v>
      </c>
      <c r="AI109" s="15" t="n">
        <f aca="false">(IF(45-(INT((Ipotesi!$C$91)/30))&lt;1,0,INDEX(Motore_Startup!$AH$65:$AH$124,MAX(1,45-(INT((Ipotesi!$C$91)/30)))))*(1-(MOD((Ipotesi!$C$91),30)/30))+IF(45-(INT((Ipotesi!$C$91)/30))-1&lt;1,0,INDEX(Motore_Startup!$AH$65:$AH$124,MAX(1,45-(INT((Ipotesi!$C$91)/30))-1)))*(MOD((Ipotesi!$C$91),30)/30))</f>
        <v>72153.5501281365</v>
      </c>
      <c r="AJ109" s="15" t="n">
        <f aca="false">(AJ108)+AH109-AI109</f>
        <v>145791.033050431</v>
      </c>
      <c r="AK109" s="15" t="n">
        <f aca="false">(F109+ Motore_Operativo!BH109-(Motore_Operativo!CJ109)*Parametri_v3!$C$27-Motore_Operativo!CE109)*Parametri_v3!$C$26</f>
        <v>18779.1951154444</v>
      </c>
      <c r="AL109" s="15" t="n">
        <f aca="false">MAX(0,(AM108))</f>
        <v>18205.6507555055</v>
      </c>
      <c r="AM109" s="15" t="n">
        <f aca="false">(AM108)+AK109-AL109</f>
        <v>18779.1951154444</v>
      </c>
      <c r="AN109" s="15" t="n">
        <f aca="false">SUM(X89:X100)</f>
        <v>0</v>
      </c>
      <c r="AO109" s="15" t="n">
        <f aca="false">SUM(AP89:AP100)</f>
        <v>0</v>
      </c>
      <c r="AP109" s="15" t="n">
        <f aca="false">MAX(0,AN109)*IF(9=Parametri_v3!$C$43,Parametri_v3!$C$45,IF(9=Parametri_v3!$C$44,1-Parametri_v3!$C$45,0))</f>
        <v>0</v>
      </c>
      <c r="AQ109" s="15" t="n">
        <f aca="false">MAX(0,AP109+IF(9=Parametri_v3!$C$43,MAX(0,AN109-AO109),0)-MAX(0,-(AR108)))</f>
        <v>0</v>
      </c>
      <c r="AR109" s="15" t="n">
        <f aca="false">(AR108)+X109-AQ109</f>
        <v>0</v>
      </c>
      <c r="AS109" s="15" t="n">
        <f aca="false">Motore_Operativo!AB109-AT109+AU109</f>
        <v>91649.4297604167</v>
      </c>
      <c r="AT109" s="15" t="n">
        <f aca="false">Motore_Operativo!CH109</f>
        <v>4823.65419791667</v>
      </c>
      <c r="AU109" s="15" t="n">
        <f aca="false">MIN(MAX(0,(AV108)+AT109),Parametri_v3!$C$60/12)</f>
        <v>0</v>
      </c>
      <c r="AV109" s="15" t="n">
        <f aca="false">(AV108)+AT109-AU109</f>
        <v>122584.58778125</v>
      </c>
      <c r="AW109" s="15" t="n">
        <f aca="false">IF(AND(Motore_Operativo!C109=Finanziamenti!$D$6,Finanziamenti!$F$6=1),Finanziamenti!$C$6,0)</f>
        <v>0</v>
      </c>
      <c r="AX109" s="15" t="n">
        <f aca="false">IF(AND(2&lt;&gt;7,2&lt;&gt;9,Finanziamenti!$F$8=1,OR(Parametri_v3!$C$6=0,Finanziamenti!$E$8=1),Motore_Operativo!C109=EDATE(Finanziamenti!$D$8,Ipotesi!D15*12)),Finanziamenti!$C$8*1,0)+IF(AND(2&lt;&gt;7,2&lt;&gt;9,Finanziamenti!$F$9=1,OR(Parametri_v3!$C$6=0,Finanziamenti!$E$9=1),Motore_Operativo!C109=EDATE(Finanziamenti!$D$9,Ipotesi!D15*12)),Finanziamenti!$C$9*Ipotesi!D16,0)</f>
        <v>0</v>
      </c>
      <c r="AY109" s="15" t="n">
        <f aca="false">0</f>
        <v>0</v>
      </c>
      <c r="AZ109" s="15" t="n">
        <f aca="false">Motore_Advisory!AY109*(1-Ipotesi!$C$95)*Ipotesi!$C$96</f>
        <v>0</v>
      </c>
      <c r="BA109" s="15" t="n">
        <f aca="false">MAX(0,MIN(CG109*MIN(1,IF(Motore_Operativo!C109&gt;=EDATE(Finanziamenti!$D$15,Ipotesi!D14*12),Finanziamenti!$C$15,0)+IF(Motore_Operativo!C109&gt;=EDATE(Finanziamenti!$D$16,Ipotesi!D14*12),Finanziamenti!$C$16,0)+IF(Motore_Operativo!C109&gt;=EDATE(Finanziamenti!$D$17,Ipotesi!D14*12),Finanziamenti!$C$17,0)),CA109*Ipotesi!$C$102)-(CC108))</f>
        <v>0</v>
      </c>
      <c r="BB109" s="15" t="n">
        <f aca="false">IF(AND(CF109&gt;0,Motore_Operativo!C109&gt;=IF(CF109=0,0,EDATE(CF109,Parametri_v3!$C$37)),MOD(((D109-YEAR(IF(CF109=0,0,EDATE(CF109,Parametri_v3!$C$37))))*12+E109-MONTH(IF(CF109=0,0,EDATE(CF109,Parametri_v3!$C$37)))),Parametri_v3!$C$38)=0),MIN(MAX(0,(BC108)+BA109-N109),(CC109-CD109)/(Ipotesi!$C$108*12/Parametri_v3!$C$38)),0)</f>
        <v>0</v>
      </c>
      <c r="BC109" s="15" t="n">
        <f aca="false">(BC108)+BA109-N109-BB109</f>
        <v>252123.347039769</v>
      </c>
      <c r="BD109" s="15" t="n">
        <f aca="false">(BH108)+AC109+AF109-AI109-AS109-K109*(1+Parametri_v3!$C$26)-AL109-AQ109-O109+AW109+AX109+AZ109+BA109-BB109</f>
        <v>101147.485641828</v>
      </c>
      <c r="BE109" s="15" t="n">
        <f aca="false">MAX(0,MIN(MAX(0,CH109-(BG108)),Parametri_v3!$C$30-BD109))</f>
        <v>0</v>
      </c>
      <c r="BF109" s="15" t="n">
        <f aca="false">IF(Motore_Operativo!C109&gt;=Parametri_v3!$C$63,(BG108),MIN((BG108),MAX(0,BD109-Parametri_v3!$C$30)))</f>
        <v>0</v>
      </c>
      <c r="BG109" s="15" t="n">
        <f aca="false">(BG108)+BE109-BF109</f>
        <v>0</v>
      </c>
      <c r="BH109" s="15" t="n">
        <f aca="false">BD109+BE109-BF109-AY109</f>
        <v>101147.485641828</v>
      </c>
      <c r="BI109" s="15" t="n">
        <f aca="false">MAX(0,Parametri_v3!$C$30-BH109)</f>
        <v>0</v>
      </c>
      <c r="BJ109" s="15" t="n">
        <f aca="false">(BJ108)+K109</f>
        <v>105000</v>
      </c>
      <c r="BK109" s="15" t="n">
        <f aca="false">(BK108)+L109</f>
        <v>56041.6666666667</v>
      </c>
      <c r="BL109" s="15" t="n">
        <f aca="false">BJ109-BK109</f>
        <v>48958.3333333333</v>
      </c>
      <c r="BM109" s="15" t="n">
        <f aca="false">(BM108)+Y109</f>
        <v>-1271447.40451315</v>
      </c>
      <c r="BN109" s="15" t="n">
        <f aca="false">(BN108)+AW109+AX109+AZ109</f>
        <v>1365707.01629444</v>
      </c>
      <c r="BO109" s="15" t="n">
        <f aca="false">(BO108)+AY109</f>
        <v>0</v>
      </c>
      <c r="BP109" s="15" t="n">
        <f aca="false">0</f>
        <v>0</v>
      </c>
      <c r="BQ109" s="15" t="n">
        <f aca="false">BN109+BM109-BO109</f>
        <v>94259.6117812947</v>
      </c>
      <c r="BR109" s="15" t="n">
        <f aca="false">BH109+AD109+BL109+MAX(0,-AM109)+MAX(0,-AR109)+AG109</f>
        <v>633537.774768187</v>
      </c>
      <c r="BS109" s="15" t="n">
        <f aca="false">AJ109+AV109+MAX(0,AM109)+MAX(0,AR109)+BC109+BG109+BQ109</f>
        <v>633537.774768188</v>
      </c>
      <c r="BT109" s="15" t="n">
        <f aca="false">BR109-BS109</f>
        <v>0</v>
      </c>
      <c r="BU109" s="15" t="n">
        <f aca="false">BH109-(BD109+BE109-BF109-AY109)</f>
        <v>0</v>
      </c>
      <c r="BV109" s="15" t="n">
        <f aca="false">MIN(Piano_SS!$C$6,(BV108)+IF(AND(Motore_Operativo!C109&gt;=EDATE(Parametri_v3!$C$24,Ipotesi!D14*12),Motore_Operativo!C109&lt;EDATE(Parametri_v3!$C$24,Parametri_v3!$C$25+Ipotesi!D14*12)),MAX(0,(Motore_Operativo!Y109+Motore_Operativo!X109*Parametri_v3!$C$14)*(1-Parametri_v3!$C$32))*Piano_SS!$D$6,0))</f>
        <v>300000</v>
      </c>
      <c r="BW109" s="15" t="n">
        <f aca="false">MIN(Piano_SS!$C$7,(BW108)+IF(AND(Motore_Operativo!C109&gt;=EDATE(Parametri_v3!$C$24,Ipotesi!D14*12),Motore_Operativo!C109&lt;EDATE(Parametri_v3!$C$24,Parametri_v3!$C$25+Ipotesi!D14*12)),MAX(0,(IF(45-(INT((Ipotesi!$C$91)/30))&lt;1,0,INDEX(Motore_Operativo!$BN$65:$BN$124,MAX(1,45-(INT((Ipotesi!$C$91)/30)))))*(1-(MOD((Ipotesi!$C$91),30)/30))+IF(45-(INT((Ipotesi!$C$91)/30))-1&lt;1,0,INDEX(Motore_Operativo!$BN$65:$BN$124,MAX(1,45-(INT((Ipotesi!$C$91)/30))-1)))*(MOD((Ipotesi!$C$91),30)/30)))*Piano_SS!$D$7,0))</f>
        <v>41058.9230070837</v>
      </c>
      <c r="BX109" s="15" t="n">
        <f aca="false">MIN(Piano_SS!$C$8,(BX108)+IF(AND(Motore_Operativo!C109&gt;=EDATE(Parametri_v3!$C$24,Ipotesi!D14*12),Motore_Operativo!C109&lt;EDATE(Parametri_v3!$C$24,Parametri_v3!$C$25+Ipotesi!D14*12)),MAX(0,Motore_Operativo!CE109)*Piano_SS!$D$8,0))</f>
        <v>50000</v>
      </c>
      <c r="BY109" s="15" t="n">
        <f aca="false">MIN(Piano_SS!$C$9,(BY108)+IF(AND(Motore_Operativo!C109&gt;=EDATE(Parametri_v3!$C$24,Ipotesi!D14*12),Motore_Operativo!C109&lt;EDATE(Parametri_v3!$C$24,Parametri_v3!$C$25+Ipotesi!D14*12)),MAX(0,((IF(45-(INT((Ipotesi!$C$91)/30))&lt;1,0,INDEX(Motore_Operativo!$BQ$65:$BQ$124,MAX(1,45-(INT((Ipotesi!$C$91)/30)))))*(1-(MOD((Ipotesi!$C$91),30)/30))+IF(45-(INT((Ipotesi!$C$91)/30))-1&lt;1,0,INDEX(Motore_Operativo!$BQ$65:$BQ$124,MAX(1,45-(INT((Ipotesi!$C$91)/30))-1)))*(MOD((Ipotesi!$C$91),30)/30))+(IF(45-(INT((Ipotesi!$C$91)/30))&lt;1,0,INDEX(Motore_Operativo!$BR$65:$BR$124,MAX(1,45-(INT((Ipotesi!$C$91)/30)))))*(1-(MOD((Ipotesi!$C$91),30)/30))+IF(45-(INT((Ipotesi!$C$91)/30))-1&lt;1,0,INDEX(Motore_Operativo!$BR$65:$BR$124,MAX(1,45-(INT((Ipotesi!$C$91)/30))-1)))*(MOD((Ipotesi!$C$91),30)/30))))*Piano_SS!$D$9,0))</f>
        <v>40000</v>
      </c>
      <c r="BZ109" s="15" t="n">
        <f aca="false">MIN(Piano_SS!$C$10,(BZ108)+IF(AND(Motore_Operativo!C109&gt;=EDATE(Parametri_v3!$C$24,Ipotesi!D14*12),Motore_Operativo!C109&lt;EDATE(Parametri_v3!$C$24,Parametri_v3!$C$25+Ipotesi!D14*12)),MAX(0,(IF(45-(INT((Ipotesi!$C$91)/30))&lt;1,0,INDEX(Motore_Operativo!$BO$65:$BO$124,MAX(1,45-(INT((Ipotesi!$C$91)/30)))))*(1-(MOD((Ipotesi!$C$91),30)/30))+IF(45-(INT((Ipotesi!$C$91)/30))-1&lt;1,0,INDEX(Motore_Operativo!$BO$65:$BO$124,MAX(1,45-(INT((Ipotesi!$C$91)/30))-1)))*(MOD((Ipotesi!$C$91),30)/30)))*Piano_SS!$D$10,0))</f>
        <v>30000</v>
      </c>
      <c r="CA109" s="15" t="n">
        <f aca="false">SUM(BV109:BZ109)</f>
        <v>461058.923007084</v>
      </c>
      <c r="CB109" s="15" t="n">
        <f aca="false">BV109*(1-Piano_SS!$E$6)+BW109*(1-Piano_SS!$E$7)+BX109*(1-Piano_SS!$E$8)+BY109*(1-Piano_SS!$E$9)+BZ109*(1-Piano_SS!$E$10)</f>
        <v>431058.923007084</v>
      </c>
      <c r="CC109" s="15" t="n">
        <f aca="false">(CC108)+BA109</f>
        <v>368847.138405667</v>
      </c>
      <c r="CD109" s="15" t="n">
        <f aca="false">IF(CA109=0,0,CC109*CB109/CA109*Ipotesi!$C$103*Parametri_v3!$C$64)</f>
        <v>103454.1415217</v>
      </c>
      <c r="CE109" s="18" t="n">
        <f aca="false">IF(BA109&gt;0,Motore_Operativo!C109,(CE108))</f>
        <v>47270</v>
      </c>
      <c r="CF109" s="18" t="n">
        <f aca="false">IF(AND(CC109&gt;0,OR(CC109&gt;=CG109-0.01,Motore_Operativo!C109&gt;=EDATE(MAX(Finanziamenti!$D$15:$D$17),Ipotesi!D14*12))),CE109,0)</f>
        <v>47270</v>
      </c>
      <c r="CG109" s="15" t="n">
        <f aca="false">IF(AND(2&lt;&gt;6,2&lt;&gt;9,Finanziamenti!$F$11=1,OR(Parametri_v3!$C$6=0,Finanziamenti!$E$11=1)),MIN(Finanziamenti!$C$11,Piano_SS!$C$12*Ipotesi!$C$102),0)</f>
        <v>400000</v>
      </c>
      <c r="CH109" s="15" t="n">
        <f aca="false">IF(AND(AND(2&lt;&gt;8,2&lt;&gt;9,Finanziamenti!$F$10=1,OR(Parametri_v3!$C$6=0,Finanziamenti!$E$10=1)),Motore_Operativo!C109&gt;=Finanziamenti!$D$10,Motore_Operativo!C109&lt;Parametri_v3!$C$63),Finanziamenti!$C$10,0)</f>
        <v>150000</v>
      </c>
    </row>
    <row r="110" customFormat="false" ht="18" hidden="false" customHeight="true" outlineLevel="0" collapsed="false">
      <c r="A110" s="68" t="n">
        <f aca="false">2</f>
        <v>2</v>
      </c>
      <c r="B110" s="68" t="n">
        <f aca="false">46</f>
        <v>46</v>
      </c>
      <c r="C110" s="18" t="n">
        <f aca="false">Motore_Operativo!C110</f>
        <v>47757</v>
      </c>
      <c r="D110" s="68" t="n">
        <f aca="false">Motore_Operativo!D110</f>
        <v>2030</v>
      </c>
      <c r="E110" s="68" t="n">
        <f aca="false">Motore_Operativo!E110</f>
        <v>10</v>
      </c>
      <c r="F110" s="15" t="n">
        <f aca="false">Motore_Operativo!AQ110+Motore_Operativo!BF110</f>
        <v>134978.328769254</v>
      </c>
      <c r="G110" s="15" t="n">
        <f aca="false">Motore_Operativo!BH110</f>
        <v>9024.16666666667</v>
      </c>
      <c r="H110" s="15" t="n">
        <f aca="false">Motore_Operativo!BI110</f>
        <v>144002.495435921</v>
      </c>
      <c r="I110" s="15" t="n">
        <f aca="false">Motore_Operativo!CA110</f>
        <v>158502.441652696</v>
      </c>
      <c r="J110" s="15" t="n">
        <f aca="false">Motore_Operativo!CC110</f>
        <v>-14499.9462167748</v>
      </c>
      <c r="K110" s="15" t="n">
        <f aca="false">Motore_Operativo!CE110</f>
        <v>3333.33333333333</v>
      </c>
      <c r="L110" s="15" t="n">
        <f aca="false">SUM(INDEX($K$65:$K$124,MAX(1,46-Parametri_v3!$C$59+1)):K110)/Parametri_v3!$C$59</f>
        <v>2546.2962962963</v>
      </c>
      <c r="M110" s="15" t="n">
        <f aca="false">J110-L110</f>
        <v>-17046.2425130711</v>
      </c>
      <c r="N110" s="15" t="n">
        <f aca="false">CD110-(CD109)</f>
        <v>0</v>
      </c>
      <c r="O110" s="15" t="n">
        <f aca="false">(BG109)*Ipotesi!$C$110/12+CH110*Parametri_v3!$C$39/12</f>
        <v>0</v>
      </c>
      <c r="P110" s="15" t="n">
        <f aca="false">M110+N110-O110</f>
        <v>-17046.2425130711</v>
      </c>
      <c r="Q110" s="15" t="n">
        <f aca="false">SUM(P101:P110)+Parametri_v3!$C$54*10/12</f>
        <v>-280973.350781982</v>
      </c>
      <c r="R110" s="15" t="n">
        <f aca="false">Z100</f>
        <v>1007520.29624424</v>
      </c>
      <c r="S110" s="15" t="n">
        <f aca="false">AA100</f>
        <v>0</v>
      </c>
      <c r="T110" s="15" t="n">
        <f aca="false">MIN(R110,MAX(0,Q110))</f>
        <v>0</v>
      </c>
      <c r="U110" s="15" t="n">
        <f aca="false">MIN(S110,MAX(0,Q110-T110)*Parametri_v3!$C$42)</f>
        <v>0</v>
      </c>
      <c r="V110" s="15" t="n">
        <f aca="false">MAX(0,Q110-T110-U110)*Ipotesi!$C$92</f>
        <v>0</v>
      </c>
      <c r="W110" s="15" t="n">
        <f aca="false">MAX(0,SUM(M101:M110)+Parametri_v3!$C$55*10/12)*Ipotesi!$C$93</f>
        <v>0</v>
      </c>
      <c r="X110" s="15" t="n">
        <f aca="false">V110+W110-(V109+W109)</f>
        <v>0</v>
      </c>
      <c r="Y110" s="15" t="n">
        <f aca="false">P110-X110</f>
        <v>-17046.2425130711</v>
      </c>
      <c r="Z110" s="15" t="n">
        <f aca="false">R110-T110+IF(AND(Parametri_v3!$C$40=1,D110-YEAR(Parametri_v3!$C$50)&lt;Parametri_v3!$C$41),MAX(0,-Q110),0)</f>
        <v>1007520.29624424</v>
      </c>
      <c r="AA110" s="15" t="n">
        <f aca="false">S110-U110+IF(AND(Parametri_v3!$C$40=1,D110-YEAR(Parametri_v3!$C$50)&lt;Parametri_v3!$C$41),0,MAX(0,-Q110))</f>
        <v>280973.350781982</v>
      </c>
      <c r="AB110" s="15" t="n">
        <f aca="false">F110*(1+Parametri_v3!$C$26)</f>
        <v>164673.56109849</v>
      </c>
      <c r="AC110" s="15" t="n">
        <f aca="false">(IF(46-(INT((Motore_Operativo!L110)/30))&lt;1,0,INDEX(Motore_Startup!$AB$65:$AB$124,MAX(1,46-(INT((Motore_Operativo!L110)/30)))))*(1-(MOD((Motore_Operativo!L110),30)/30))+IF(46-(INT((Motore_Operativo!L110)/30))-1&lt;1,0,INDEX(Motore_Startup!$AB$65:$AB$124,MAX(1,46-(INT((Motore_Operativo!L110)/30))-1)))*(MOD((Motore_Operativo!L110),30)/30))</f>
        <v>153842.757781682</v>
      </c>
      <c r="AD110" s="15" t="n">
        <f aca="false">(AD109)+AB110-AC110</f>
        <v>483253.275776502</v>
      </c>
      <c r="AE110" s="15" t="n">
        <f aca="false">Motore_Operativo!BH110*(1+Parametri_v3!$C$26)</f>
        <v>11009.4833333333</v>
      </c>
      <c r="AF110" s="15" t="n">
        <f aca="false">(IF(46-(INT((Parametri_v3!$C$29)/30))&lt;1,0,INDEX(Motore_Operativo!$BH$65:$BH$124,MAX(1,46-(INT((Parametri_v3!$C$29)/30)))))*(1-(MOD((Parametri_v3!$C$29),30)/30))+IF(46-(INT((Parametri_v3!$C$29)/30))-1&lt;1,0,INDEX(Motore_Operativo!$BH$65:$BH$124,MAX(1,46-(INT((Parametri_v3!$C$29)/30))-1)))*(MOD((Parametri_v3!$C$29),30)/30))*(1+Parametri_v3!$C$26)</f>
        <v>11009.4833333333</v>
      </c>
      <c r="AG110" s="15" t="n">
        <f aca="false">(AG109)+AE110-AF110</f>
        <v>11009.4833333333</v>
      </c>
      <c r="AH110" s="15" t="n">
        <f aca="false">(Motore_Operativo!CJ110)*(1+Parametri_v3!$C$27*Parametri_v3!$C$26)</f>
        <v>73628.847583208</v>
      </c>
      <c r="AI110" s="15" t="n">
        <f aca="false">(IF(46-(INT((Ipotesi!$C$91)/30))&lt;1,0,INDEX(Motore_Startup!$AH$65:$AH$124,MAX(1,46-(INT((Ipotesi!$C$91)/30)))))*(1-(MOD((Ipotesi!$C$91),30)/30))+IF(46-(INT((Ipotesi!$C$91)/30))-1&lt;1,0,INDEX(Motore_Startup!$AH$65:$AH$124,MAX(1,46-(INT((Ipotesi!$C$91)/30))-1)))*(MOD((Ipotesi!$C$91),30)/30))</f>
        <v>72649.6399342168</v>
      </c>
      <c r="AJ110" s="15" t="n">
        <f aca="false">(AJ109)+AH110-AI110</f>
        <v>146770.240699422</v>
      </c>
      <c r="AK110" s="15" t="n">
        <f aca="false">(F110+ Motore_Operativo!BH110-(Motore_Operativo!CJ110)*Parametri_v3!$C$27-Motore_Operativo!CE110)*Parametri_v3!$C$26</f>
        <v>19347.7257737235</v>
      </c>
      <c r="AL110" s="15" t="n">
        <f aca="false">MAX(0,(AM109))</f>
        <v>18779.1951154444</v>
      </c>
      <c r="AM110" s="15" t="n">
        <f aca="false">(AM109)+AK110-AL110</f>
        <v>19347.7257737235</v>
      </c>
      <c r="AN110" s="15" t="n">
        <f aca="false">SUM(X89:X100)</f>
        <v>0</v>
      </c>
      <c r="AO110" s="15" t="n">
        <f aca="false">SUM(AP89:AP100)</f>
        <v>0</v>
      </c>
      <c r="AP110" s="15" t="n">
        <f aca="false">MAX(0,AN110)*IF(10=Parametri_v3!$C$43,Parametri_v3!$C$45,IF(10=Parametri_v3!$C$44,1-Parametri_v3!$C$45,0))</f>
        <v>0</v>
      </c>
      <c r="AQ110" s="15" t="n">
        <f aca="false">MAX(0,AP110+IF(10=Parametri_v3!$C$43,MAX(0,AN110-AO110),0)-MAX(0,-(AR109)))</f>
        <v>0</v>
      </c>
      <c r="AR110" s="15" t="n">
        <f aca="false">(AR109)+X110-AQ110</f>
        <v>0</v>
      </c>
      <c r="AS110" s="15" t="n">
        <f aca="false">Motore_Operativo!AB110-AT110+AU110</f>
        <v>91649.4297604167</v>
      </c>
      <c r="AT110" s="15" t="n">
        <f aca="false">Motore_Operativo!CH110</f>
        <v>4823.65419791667</v>
      </c>
      <c r="AU110" s="15" t="n">
        <f aca="false">MIN(MAX(0,(AV109)+AT110),Parametri_v3!$C$60/12)</f>
        <v>0</v>
      </c>
      <c r="AV110" s="15" t="n">
        <f aca="false">(AV109)+AT110-AU110</f>
        <v>127408.241979167</v>
      </c>
      <c r="AW110" s="15" t="n">
        <f aca="false">IF(AND(Motore_Operativo!C110=Finanziamenti!$D$6,Finanziamenti!$F$6=1),Finanziamenti!$C$6,0)</f>
        <v>0</v>
      </c>
      <c r="AX110" s="15" t="n">
        <f aca="false">IF(AND(2&lt;&gt;7,2&lt;&gt;9,Finanziamenti!$F$8=1,OR(Parametri_v3!$C$6=0,Finanziamenti!$E$8=1),Motore_Operativo!C110=EDATE(Finanziamenti!$D$8,Ipotesi!D15*12)),Finanziamenti!$C$8*1,0)+IF(AND(2&lt;&gt;7,2&lt;&gt;9,Finanziamenti!$F$9=1,OR(Parametri_v3!$C$6=0,Finanziamenti!$E$9=1),Motore_Operativo!C110=EDATE(Finanziamenti!$D$9,Ipotesi!D15*12)),Finanziamenti!$C$9*Ipotesi!D16,0)</f>
        <v>0</v>
      </c>
      <c r="AY110" s="15" t="n">
        <f aca="false">0</f>
        <v>0</v>
      </c>
      <c r="AZ110" s="15" t="n">
        <f aca="false">Motore_Advisory!AY110*(1-Ipotesi!$C$95)*Ipotesi!$C$96</f>
        <v>0</v>
      </c>
      <c r="BA110" s="15" t="n">
        <f aca="false">MAX(0,MIN(CG110*MIN(1,IF(Motore_Operativo!C110&gt;=EDATE(Finanziamenti!$D$15,Ipotesi!D14*12),Finanziamenti!$C$15,0)+IF(Motore_Operativo!C110&gt;=EDATE(Finanziamenti!$D$16,Ipotesi!D14*12),Finanziamenti!$C$16,0)+IF(Motore_Operativo!C110&gt;=EDATE(Finanziamenti!$D$17,Ipotesi!D14*12),Finanziamenti!$C$17,0)),CA110*Ipotesi!$C$102)-(CC109))</f>
        <v>0</v>
      </c>
      <c r="BB110" s="15" t="n">
        <f aca="false">IF(AND(CF110&gt;0,Motore_Operativo!C110&gt;=IF(CF110=0,0,EDATE(CF110,Parametri_v3!$C$37)),MOD(((D110-YEAR(IF(CF110=0,0,EDATE(CF110,Parametri_v3!$C$37))))*12+E110-MONTH(IF(CF110=0,0,EDATE(CF110,Parametri_v3!$C$37)))),Parametri_v3!$C$38)=0),MIN(MAX(0,(BC109)+BA110-N110),(CC110-CD110)/(Ipotesi!$C$108*12/Parametri_v3!$C$38)),0)</f>
        <v>0</v>
      </c>
      <c r="BC110" s="15" t="n">
        <f aca="false">(BC109)+BA110-N110-BB110</f>
        <v>252123.347039769</v>
      </c>
      <c r="BD110" s="15" t="n">
        <f aca="false">(BH109)+AC110+AF110-AI110-AS110-K110*(1+Parametri_v3!$C$26)-AL110-AQ110-O110+AW110+AX110+AZ110+BA110-BB110</f>
        <v>78854.7952800978</v>
      </c>
      <c r="BE110" s="15" t="n">
        <f aca="false">MAX(0,MIN(MAX(0,CH110-(BG109)),Parametri_v3!$C$30-BD110))</f>
        <v>0</v>
      </c>
      <c r="BF110" s="15" t="n">
        <f aca="false">IF(Motore_Operativo!C110&gt;=Parametri_v3!$C$63,(BG109),MIN((BG109),MAX(0,BD110-Parametri_v3!$C$30)))</f>
        <v>0</v>
      </c>
      <c r="BG110" s="15" t="n">
        <f aca="false">(BG109)+BE110-BF110</f>
        <v>0</v>
      </c>
      <c r="BH110" s="15" t="n">
        <f aca="false">BD110+BE110-BF110-AY110</f>
        <v>78854.7952800978</v>
      </c>
      <c r="BI110" s="15" t="n">
        <f aca="false">MAX(0,Parametri_v3!$C$30-BH110)</f>
        <v>0</v>
      </c>
      <c r="BJ110" s="15" t="n">
        <f aca="false">(BJ109)+K110</f>
        <v>108333.333333333</v>
      </c>
      <c r="BK110" s="15" t="n">
        <f aca="false">(BK109)+L110</f>
        <v>58587.962962963</v>
      </c>
      <c r="BL110" s="15" t="n">
        <f aca="false">BJ110-BK110</f>
        <v>49745.3703703703</v>
      </c>
      <c r="BM110" s="15" t="n">
        <f aca="false">(BM109)+Y110</f>
        <v>-1288493.64702622</v>
      </c>
      <c r="BN110" s="15" t="n">
        <f aca="false">(BN109)+AW110+AX110+AZ110</f>
        <v>1365707.01629444</v>
      </c>
      <c r="BO110" s="15" t="n">
        <f aca="false">(BO109)+AY110</f>
        <v>0</v>
      </c>
      <c r="BP110" s="15" t="n">
        <f aca="false">0</f>
        <v>0</v>
      </c>
      <c r="BQ110" s="15" t="n">
        <f aca="false">BN110+BM110-BO110</f>
        <v>77213.3692682236</v>
      </c>
      <c r="BR110" s="15" t="n">
        <f aca="false">BH110+AD110+BL110+MAX(0,-AM110)+MAX(0,-AR110)+AG110</f>
        <v>622862.924760303</v>
      </c>
      <c r="BS110" s="15" t="n">
        <f aca="false">AJ110+AV110+MAX(0,AM110)+MAX(0,AR110)+BC110+BG110+BQ110</f>
        <v>622862.924760304</v>
      </c>
      <c r="BT110" s="15" t="n">
        <f aca="false">BR110-BS110</f>
        <v>0</v>
      </c>
      <c r="BU110" s="15" t="n">
        <f aca="false">BH110-(BD110+BE110-BF110-AY110)</f>
        <v>0</v>
      </c>
      <c r="BV110" s="15" t="n">
        <f aca="false">MIN(Piano_SS!$C$6,(BV109)+IF(AND(Motore_Operativo!C110&gt;=EDATE(Parametri_v3!$C$24,Ipotesi!D14*12),Motore_Operativo!C110&lt;EDATE(Parametri_v3!$C$24,Parametri_v3!$C$25+Ipotesi!D14*12)),MAX(0,(Motore_Operativo!Y110+Motore_Operativo!X110*Parametri_v3!$C$14)*(1-Parametri_v3!$C$32))*Piano_SS!$D$6,0))</f>
        <v>300000</v>
      </c>
      <c r="BW110" s="15" t="n">
        <f aca="false">MIN(Piano_SS!$C$7,(BW109)+IF(AND(Motore_Operativo!C110&gt;=EDATE(Parametri_v3!$C$24,Ipotesi!D14*12),Motore_Operativo!C110&lt;EDATE(Parametri_v3!$C$24,Parametri_v3!$C$25+Ipotesi!D14*12)),MAX(0,(IF(46-(INT((Ipotesi!$C$91)/30))&lt;1,0,INDEX(Motore_Operativo!$BN$65:$BN$124,MAX(1,46-(INT((Ipotesi!$C$91)/30)))))*(1-(MOD((Ipotesi!$C$91),30)/30))+IF(46-(INT((Ipotesi!$C$91)/30))-1&lt;1,0,INDEX(Motore_Operativo!$BN$65:$BN$124,MAX(1,46-(INT((Ipotesi!$C$91)/30))-1)))*(MOD((Ipotesi!$C$91),30)/30)))*Piano_SS!$D$7,0))</f>
        <v>41058.9230070837</v>
      </c>
      <c r="BX110" s="15" t="n">
        <f aca="false">MIN(Piano_SS!$C$8,(BX109)+IF(AND(Motore_Operativo!C110&gt;=EDATE(Parametri_v3!$C$24,Ipotesi!D14*12),Motore_Operativo!C110&lt;EDATE(Parametri_v3!$C$24,Parametri_v3!$C$25+Ipotesi!D14*12)),MAX(0,Motore_Operativo!CE110)*Piano_SS!$D$8,0))</f>
        <v>50000</v>
      </c>
      <c r="BY110" s="15" t="n">
        <f aca="false">MIN(Piano_SS!$C$9,(BY109)+IF(AND(Motore_Operativo!C110&gt;=EDATE(Parametri_v3!$C$24,Ipotesi!D14*12),Motore_Operativo!C110&lt;EDATE(Parametri_v3!$C$24,Parametri_v3!$C$25+Ipotesi!D14*12)),MAX(0,((IF(46-(INT((Ipotesi!$C$91)/30))&lt;1,0,INDEX(Motore_Operativo!$BQ$65:$BQ$124,MAX(1,46-(INT((Ipotesi!$C$91)/30)))))*(1-(MOD((Ipotesi!$C$91),30)/30))+IF(46-(INT((Ipotesi!$C$91)/30))-1&lt;1,0,INDEX(Motore_Operativo!$BQ$65:$BQ$124,MAX(1,46-(INT((Ipotesi!$C$91)/30))-1)))*(MOD((Ipotesi!$C$91),30)/30))+(IF(46-(INT((Ipotesi!$C$91)/30))&lt;1,0,INDEX(Motore_Operativo!$BR$65:$BR$124,MAX(1,46-(INT((Ipotesi!$C$91)/30)))))*(1-(MOD((Ipotesi!$C$91),30)/30))+IF(46-(INT((Ipotesi!$C$91)/30))-1&lt;1,0,INDEX(Motore_Operativo!$BR$65:$BR$124,MAX(1,46-(INT((Ipotesi!$C$91)/30))-1)))*(MOD((Ipotesi!$C$91),30)/30))))*Piano_SS!$D$9,0))</f>
        <v>40000</v>
      </c>
      <c r="BZ110" s="15" t="n">
        <f aca="false">MIN(Piano_SS!$C$10,(BZ109)+IF(AND(Motore_Operativo!C110&gt;=EDATE(Parametri_v3!$C$24,Ipotesi!D14*12),Motore_Operativo!C110&lt;EDATE(Parametri_v3!$C$24,Parametri_v3!$C$25+Ipotesi!D14*12)),MAX(0,(IF(46-(INT((Ipotesi!$C$91)/30))&lt;1,0,INDEX(Motore_Operativo!$BO$65:$BO$124,MAX(1,46-(INT((Ipotesi!$C$91)/30)))))*(1-(MOD((Ipotesi!$C$91),30)/30))+IF(46-(INT((Ipotesi!$C$91)/30))-1&lt;1,0,INDEX(Motore_Operativo!$BO$65:$BO$124,MAX(1,46-(INT((Ipotesi!$C$91)/30))-1)))*(MOD((Ipotesi!$C$91),30)/30)))*Piano_SS!$D$10,0))</f>
        <v>30000</v>
      </c>
      <c r="CA110" s="15" t="n">
        <f aca="false">SUM(BV110:BZ110)</f>
        <v>461058.923007084</v>
      </c>
      <c r="CB110" s="15" t="n">
        <f aca="false">BV110*(1-Piano_SS!$E$6)+BW110*(1-Piano_SS!$E$7)+BX110*(1-Piano_SS!$E$8)+BY110*(1-Piano_SS!$E$9)+BZ110*(1-Piano_SS!$E$10)</f>
        <v>431058.923007084</v>
      </c>
      <c r="CC110" s="15" t="n">
        <f aca="false">(CC109)+BA110</f>
        <v>368847.138405667</v>
      </c>
      <c r="CD110" s="15" t="n">
        <f aca="false">IF(CA110=0,0,CC110*CB110/CA110*Ipotesi!$C$103*Parametri_v3!$C$64)</f>
        <v>103454.1415217</v>
      </c>
      <c r="CE110" s="18" t="n">
        <f aca="false">IF(BA110&gt;0,Motore_Operativo!C110,(CE109))</f>
        <v>47270</v>
      </c>
      <c r="CF110" s="18" t="n">
        <f aca="false">IF(AND(CC110&gt;0,OR(CC110&gt;=CG110-0.01,Motore_Operativo!C110&gt;=EDATE(MAX(Finanziamenti!$D$15:$D$17),Ipotesi!D14*12))),CE110,0)</f>
        <v>47270</v>
      </c>
      <c r="CG110" s="15" t="n">
        <f aca="false">IF(AND(2&lt;&gt;6,2&lt;&gt;9,Finanziamenti!$F$11=1,OR(Parametri_v3!$C$6=0,Finanziamenti!$E$11=1)),MIN(Finanziamenti!$C$11,Piano_SS!$C$12*Ipotesi!$C$102),0)</f>
        <v>400000</v>
      </c>
      <c r="CH110" s="15" t="n">
        <f aca="false">IF(AND(AND(2&lt;&gt;8,2&lt;&gt;9,Finanziamenti!$F$10=1,OR(Parametri_v3!$C$6=0,Finanziamenti!$E$10=1)),Motore_Operativo!C110&gt;=Finanziamenti!$D$10,Motore_Operativo!C110&lt;Parametri_v3!$C$63),Finanziamenti!$C$10,0)</f>
        <v>150000</v>
      </c>
    </row>
    <row r="111" customFormat="false" ht="18" hidden="false" customHeight="true" outlineLevel="0" collapsed="false">
      <c r="A111" s="68" t="n">
        <f aca="false">2</f>
        <v>2</v>
      </c>
      <c r="B111" s="68" t="n">
        <f aca="false">47</f>
        <v>47</v>
      </c>
      <c r="C111" s="18" t="n">
        <f aca="false">Motore_Operativo!C111</f>
        <v>47788</v>
      </c>
      <c r="D111" s="68" t="n">
        <f aca="false">Motore_Operativo!D111</f>
        <v>2030</v>
      </c>
      <c r="E111" s="68" t="n">
        <f aca="false">Motore_Operativo!E111</f>
        <v>11</v>
      </c>
      <c r="F111" s="15" t="n">
        <f aca="false">Motore_Operativo!AQ111+Motore_Operativo!BF111</f>
        <v>137885.979086294</v>
      </c>
      <c r="G111" s="15" t="n">
        <f aca="false">Motore_Operativo!BH111</f>
        <v>9024.16666666667</v>
      </c>
      <c r="H111" s="15" t="n">
        <f aca="false">Motore_Operativo!BI111</f>
        <v>146910.14575296</v>
      </c>
      <c r="I111" s="15" t="n">
        <f aca="false">Motore_Operativo!CA111</f>
        <v>158909.512697081</v>
      </c>
      <c r="J111" s="15" t="n">
        <f aca="false">Motore_Operativo!CC111</f>
        <v>-11999.3669441208</v>
      </c>
      <c r="K111" s="15" t="n">
        <f aca="false">Motore_Operativo!CE111</f>
        <v>3333.33333333333</v>
      </c>
      <c r="L111" s="15" t="n">
        <f aca="false">SUM(INDEX($K$65:$K$124,MAX(1,47-Parametri_v3!$C$59+1)):K111)/Parametri_v3!$C$59</f>
        <v>2592.59259259259</v>
      </c>
      <c r="M111" s="15" t="n">
        <f aca="false">J111-L111</f>
        <v>-14591.9595367134</v>
      </c>
      <c r="N111" s="15" t="n">
        <f aca="false">CD111-(CD110)</f>
        <v>0</v>
      </c>
      <c r="O111" s="15" t="n">
        <f aca="false">(BG110)*Ipotesi!$C$110/12+CH111*Parametri_v3!$C$39/12</f>
        <v>0</v>
      </c>
      <c r="P111" s="15" t="n">
        <f aca="false">M111+N111-O111</f>
        <v>-14591.9595367134</v>
      </c>
      <c r="Q111" s="15" t="n">
        <f aca="false">SUM(P101:P111)+Parametri_v3!$C$54*11/12</f>
        <v>-295565.310318696</v>
      </c>
      <c r="R111" s="15" t="n">
        <f aca="false">Z100</f>
        <v>1007520.29624424</v>
      </c>
      <c r="S111" s="15" t="n">
        <f aca="false">AA100</f>
        <v>0</v>
      </c>
      <c r="T111" s="15" t="n">
        <f aca="false">MIN(R111,MAX(0,Q111))</f>
        <v>0</v>
      </c>
      <c r="U111" s="15" t="n">
        <f aca="false">MIN(S111,MAX(0,Q111-T111)*Parametri_v3!$C$42)</f>
        <v>0</v>
      </c>
      <c r="V111" s="15" t="n">
        <f aca="false">MAX(0,Q111-T111-U111)*Ipotesi!$C$92</f>
        <v>0</v>
      </c>
      <c r="W111" s="15" t="n">
        <f aca="false">MAX(0,SUM(M101:M111)+Parametri_v3!$C$55*11/12)*Ipotesi!$C$93</f>
        <v>0</v>
      </c>
      <c r="X111" s="15" t="n">
        <f aca="false">V111+W111-(V110+W110)</f>
        <v>0</v>
      </c>
      <c r="Y111" s="15" t="n">
        <f aca="false">P111-X111</f>
        <v>-14591.9595367134</v>
      </c>
      <c r="Z111" s="15" t="n">
        <f aca="false">R111-T111+IF(AND(Parametri_v3!$C$40=1,D111-YEAR(Parametri_v3!$C$50)&lt;Parametri_v3!$C$41),MAX(0,-Q111),0)</f>
        <v>1007520.29624424</v>
      </c>
      <c r="AA111" s="15" t="n">
        <f aca="false">S111-U111+IF(AND(Parametri_v3!$C$40=1,D111-YEAR(Parametri_v3!$C$50)&lt;Parametri_v3!$C$41),0,MAX(0,-Q111))</f>
        <v>295565.310318696</v>
      </c>
      <c r="AB111" s="15" t="n">
        <f aca="false">F111*(1+Parametri_v3!$C$26)</f>
        <v>168220.894485278</v>
      </c>
      <c r="AC111" s="15" t="n">
        <f aca="false">(IF(47-(INT((Motore_Operativo!L111)/30))&lt;1,0,INDEX(Motore_Startup!$AB$65:$AB$124,MAX(1,47-(INT((Motore_Operativo!L111)/30)))))*(1-(MOD((Motore_Operativo!L111),30)/30))+IF(47-(INT((Motore_Operativo!L111)/30))-1&lt;1,0,INDEX(Motore_Startup!$AB$65:$AB$124,MAX(1,47-(INT((Motore_Operativo!L111)/30))-1)))*(MOD((Motore_Operativo!L111),30)/30))</f>
        <v>157484.769837392</v>
      </c>
      <c r="AD111" s="15" t="n">
        <f aca="false">(AD110)+AB111-AC111</f>
        <v>493989.400424388</v>
      </c>
      <c r="AE111" s="15" t="n">
        <f aca="false">Motore_Operativo!BH111*(1+Parametri_v3!$C$26)</f>
        <v>11009.4833333333</v>
      </c>
      <c r="AF111" s="15" t="n">
        <f aca="false">(IF(47-(INT((Parametri_v3!$C$29)/30))&lt;1,0,INDEX(Motore_Operativo!$BH$65:$BH$124,MAX(1,47-(INT((Parametri_v3!$C$29)/30)))))*(1-(MOD((Parametri_v3!$C$29),30)/30))+IF(47-(INT((Parametri_v3!$C$29)/30))-1&lt;1,0,INDEX(Motore_Operativo!$BH$65:$BH$124,MAX(1,47-(INT((Parametri_v3!$C$29)/30))-1)))*(MOD((Parametri_v3!$C$29),30)/30))*(1+Parametri_v3!$C$26)</f>
        <v>11009.4833333333</v>
      </c>
      <c r="AG111" s="15" t="n">
        <f aca="false">(AG110)+AE111-AF111</f>
        <v>11009.4833333333</v>
      </c>
      <c r="AH111" s="15" t="n">
        <f aca="false">(Motore_Operativo!CJ111)*(1+Parametri_v3!$C$27*Parametri_v3!$C$26)</f>
        <v>74112.0409128937</v>
      </c>
      <c r="AI111" s="15" t="n">
        <f aca="false">(IF(47-(INT((Ipotesi!$C$91)/30))&lt;1,0,INDEX(Motore_Startup!$AH$65:$AH$124,MAX(1,47-(INT((Ipotesi!$C$91)/30)))))*(1-(MOD((Ipotesi!$C$91),30)/30))+IF(47-(INT((Ipotesi!$C$91)/30))-1&lt;1,0,INDEX(Motore_Startup!$AH$65:$AH$124,MAX(1,47-(INT((Ipotesi!$C$91)/30))-1)))*(MOD((Ipotesi!$C$91),30)/30))</f>
        <v>73141.3931162138</v>
      </c>
      <c r="AJ111" s="15" t="n">
        <f aca="false">(AJ110)+AH111-AI111</f>
        <v>147740.888496102</v>
      </c>
      <c r="AK111" s="15" t="n">
        <f aca="false">(F111+ Motore_Operativo!BH111-(Motore_Operativo!CJ111)*Parametri_v3!$C$27-Motore_Operativo!CE111)*Parametri_v3!$C$26</f>
        <v>19911.2865581721</v>
      </c>
      <c r="AL111" s="15" t="n">
        <f aca="false">MAX(0,(AM110))</f>
        <v>19347.7257737235</v>
      </c>
      <c r="AM111" s="15" t="n">
        <f aca="false">(AM110)+AK111-AL111</f>
        <v>19911.2865581721</v>
      </c>
      <c r="AN111" s="15" t="n">
        <f aca="false">SUM(X89:X100)</f>
        <v>0</v>
      </c>
      <c r="AO111" s="15" t="n">
        <f aca="false">SUM(AP89:AP100)</f>
        <v>0</v>
      </c>
      <c r="AP111" s="15" t="n">
        <f aca="false">MAX(0,AN111)*IF(11=Parametri_v3!$C$43,Parametri_v3!$C$45,IF(11=Parametri_v3!$C$44,1-Parametri_v3!$C$45,0))</f>
        <v>0</v>
      </c>
      <c r="AQ111" s="15" t="n">
        <f aca="false">MAX(0,AP111+IF(11=Parametri_v3!$C$43,MAX(0,AN111-AO111),0)-MAX(0,-(AR110)))</f>
        <v>0</v>
      </c>
      <c r="AR111" s="15" t="n">
        <f aca="false">(AR110)+X111-AQ111</f>
        <v>0</v>
      </c>
      <c r="AS111" s="15" t="n">
        <f aca="false">Motore_Operativo!AB111-AT111+AU111</f>
        <v>91649.4297604167</v>
      </c>
      <c r="AT111" s="15" t="n">
        <f aca="false">Motore_Operativo!CH111</f>
        <v>4823.65419791667</v>
      </c>
      <c r="AU111" s="15" t="n">
        <f aca="false">MIN(MAX(0,(AV110)+AT111),Parametri_v3!$C$60/12)</f>
        <v>0</v>
      </c>
      <c r="AV111" s="15" t="n">
        <f aca="false">(AV110)+AT111-AU111</f>
        <v>132231.896177083</v>
      </c>
      <c r="AW111" s="15" t="n">
        <f aca="false">IF(AND(Motore_Operativo!C111=Finanziamenti!$D$6,Finanziamenti!$F$6=1),Finanziamenti!$C$6,0)</f>
        <v>0</v>
      </c>
      <c r="AX111" s="15" t="n">
        <f aca="false">IF(AND(2&lt;&gt;7,2&lt;&gt;9,Finanziamenti!$F$8=1,OR(Parametri_v3!$C$6=0,Finanziamenti!$E$8=1),Motore_Operativo!C111=EDATE(Finanziamenti!$D$8,Ipotesi!D15*12)),Finanziamenti!$C$8*1,0)+IF(AND(2&lt;&gt;7,2&lt;&gt;9,Finanziamenti!$F$9=1,OR(Parametri_v3!$C$6=0,Finanziamenti!$E$9=1),Motore_Operativo!C111=EDATE(Finanziamenti!$D$9,Ipotesi!D15*12)),Finanziamenti!$C$9*Ipotesi!D16,0)</f>
        <v>0</v>
      </c>
      <c r="AY111" s="15" t="n">
        <f aca="false">0</f>
        <v>0</v>
      </c>
      <c r="AZ111" s="15" t="n">
        <f aca="false">Motore_Advisory!AY111*(1-Ipotesi!$C$95)*Ipotesi!$C$96</f>
        <v>0</v>
      </c>
      <c r="BA111" s="15" t="n">
        <f aca="false">MAX(0,MIN(CG111*MIN(1,IF(Motore_Operativo!C111&gt;=EDATE(Finanziamenti!$D$15,Ipotesi!D14*12),Finanziamenti!$C$15,0)+IF(Motore_Operativo!C111&gt;=EDATE(Finanziamenti!$D$16,Ipotesi!D14*12),Finanziamenti!$C$16,0)+IF(Motore_Operativo!C111&gt;=EDATE(Finanziamenti!$D$17,Ipotesi!D14*12),Finanziamenti!$C$17,0)),CA111*Ipotesi!$C$102)-(CC110))</f>
        <v>0</v>
      </c>
      <c r="BB111" s="15" t="n">
        <f aca="false">IF(AND(CF111&gt;0,Motore_Operativo!C111&gt;=IF(CF111=0,0,EDATE(CF111,Parametri_v3!$C$37)),MOD(((D111-YEAR(IF(CF111=0,0,EDATE(CF111,Parametri_v3!$C$37))))*12+E111-MONTH(IF(CF111=0,0,EDATE(CF111,Parametri_v3!$C$37)))),Parametri_v3!$C$38)=0),MIN(MAX(0,(BC110)+BA111-N111),(CC111-CD111)/(Ipotesi!$C$108*12/Parametri_v3!$C$38)),0)</f>
        <v>0</v>
      </c>
      <c r="BC111" s="15" t="n">
        <f aca="false">(BC110)+BA111-N111-BB111</f>
        <v>252123.347039769</v>
      </c>
      <c r="BD111" s="15" t="n">
        <f aca="false">(BH110)+AC111+AF111-AI111-AS111-K111*(1+Parametri_v3!$C$26)-AL111-AQ111-O111+AW111+AX111+AZ111+BA111-BB111</f>
        <v>59143.8331338027</v>
      </c>
      <c r="BE111" s="15" t="n">
        <f aca="false">MAX(0,MIN(MAX(0,CH111-(BG110)),Parametri_v3!$C$30-BD111))</f>
        <v>0</v>
      </c>
      <c r="BF111" s="15" t="n">
        <f aca="false">IF(Motore_Operativo!C111&gt;=Parametri_v3!$C$63,(BG110),MIN((BG110),MAX(0,BD111-Parametri_v3!$C$30)))</f>
        <v>0</v>
      </c>
      <c r="BG111" s="15" t="n">
        <f aca="false">(BG110)+BE111-BF111</f>
        <v>0</v>
      </c>
      <c r="BH111" s="15" t="n">
        <f aca="false">BD111+BE111-BF111-AY111</f>
        <v>59143.8331338027</v>
      </c>
      <c r="BI111" s="15" t="n">
        <f aca="false">MAX(0,Parametri_v3!$C$30-BH111)</f>
        <v>0</v>
      </c>
      <c r="BJ111" s="15" t="n">
        <f aca="false">(BJ110)+K111</f>
        <v>111666.666666667</v>
      </c>
      <c r="BK111" s="15" t="n">
        <f aca="false">(BK110)+L111</f>
        <v>61180.5555555556</v>
      </c>
      <c r="BL111" s="15" t="n">
        <f aca="false">BJ111-BK111</f>
        <v>50486.1111111111</v>
      </c>
      <c r="BM111" s="15" t="n">
        <f aca="false">(BM110)+Y111</f>
        <v>-1303085.60656293</v>
      </c>
      <c r="BN111" s="15" t="n">
        <f aca="false">(BN110)+AW111+AX111+AZ111</f>
        <v>1365707.01629444</v>
      </c>
      <c r="BO111" s="15" t="n">
        <f aca="false">(BO110)+AY111</f>
        <v>0</v>
      </c>
      <c r="BP111" s="15" t="n">
        <f aca="false">0</f>
        <v>0</v>
      </c>
      <c r="BQ111" s="15" t="n">
        <f aca="false">BN111+BM111-BO111</f>
        <v>62621.4097315103</v>
      </c>
      <c r="BR111" s="15" t="n">
        <f aca="false">BH111+AD111+BL111+MAX(0,-AM111)+MAX(0,-AR111)+AG111</f>
        <v>614628.828002635</v>
      </c>
      <c r="BS111" s="15" t="n">
        <f aca="false">AJ111+AV111+MAX(0,AM111)+MAX(0,AR111)+BC111+BG111+BQ111</f>
        <v>614628.828002636</v>
      </c>
      <c r="BT111" s="15" t="n">
        <f aca="false">BR111-BS111</f>
        <v>0</v>
      </c>
      <c r="BU111" s="15" t="n">
        <f aca="false">BH111-(BD111+BE111-BF111-AY111)</f>
        <v>0</v>
      </c>
      <c r="BV111" s="15" t="n">
        <f aca="false">MIN(Piano_SS!$C$6,(BV110)+IF(AND(Motore_Operativo!C111&gt;=EDATE(Parametri_v3!$C$24,Ipotesi!D14*12),Motore_Operativo!C111&lt;EDATE(Parametri_v3!$C$24,Parametri_v3!$C$25+Ipotesi!D14*12)),MAX(0,(Motore_Operativo!Y111+Motore_Operativo!X111*Parametri_v3!$C$14)*(1-Parametri_v3!$C$32))*Piano_SS!$D$6,0))</f>
        <v>300000</v>
      </c>
      <c r="BW111" s="15" t="n">
        <f aca="false">MIN(Piano_SS!$C$7,(BW110)+IF(AND(Motore_Operativo!C111&gt;=EDATE(Parametri_v3!$C$24,Ipotesi!D14*12),Motore_Operativo!C111&lt;EDATE(Parametri_v3!$C$24,Parametri_v3!$C$25+Ipotesi!D14*12)),MAX(0,(IF(47-(INT((Ipotesi!$C$91)/30))&lt;1,0,INDEX(Motore_Operativo!$BN$65:$BN$124,MAX(1,47-(INT((Ipotesi!$C$91)/30)))))*(1-(MOD((Ipotesi!$C$91),30)/30))+IF(47-(INT((Ipotesi!$C$91)/30))-1&lt;1,0,INDEX(Motore_Operativo!$BN$65:$BN$124,MAX(1,47-(INT((Ipotesi!$C$91)/30))-1)))*(MOD((Ipotesi!$C$91),30)/30)))*Piano_SS!$D$7,0))</f>
        <v>41058.9230070837</v>
      </c>
      <c r="BX111" s="15" t="n">
        <f aca="false">MIN(Piano_SS!$C$8,(BX110)+IF(AND(Motore_Operativo!C111&gt;=EDATE(Parametri_v3!$C$24,Ipotesi!D14*12),Motore_Operativo!C111&lt;EDATE(Parametri_v3!$C$24,Parametri_v3!$C$25+Ipotesi!D14*12)),MAX(0,Motore_Operativo!CE111)*Piano_SS!$D$8,0))</f>
        <v>50000</v>
      </c>
      <c r="BY111" s="15" t="n">
        <f aca="false">MIN(Piano_SS!$C$9,(BY110)+IF(AND(Motore_Operativo!C111&gt;=EDATE(Parametri_v3!$C$24,Ipotesi!D14*12),Motore_Operativo!C111&lt;EDATE(Parametri_v3!$C$24,Parametri_v3!$C$25+Ipotesi!D14*12)),MAX(0,((IF(47-(INT((Ipotesi!$C$91)/30))&lt;1,0,INDEX(Motore_Operativo!$BQ$65:$BQ$124,MAX(1,47-(INT((Ipotesi!$C$91)/30)))))*(1-(MOD((Ipotesi!$C$91),30)/30))+IF(47-(INT((Ipotesi!$C$91)/30))-1&lt;1,0,INDEX(Motore_Operativo!$BQ$65:$BQ$124,MAX(1,47-(INT((Ipotesi!$C$91)/30))-1)))*(MOD((Ipotesi!$C$91),30)/30))+(IF(47-(INT((Ipotesi!$C$91)/30))&lt;1,0,INDEX(Motore_Operativo!$BR$65:$BR$124,MAX(1,47-(INT((Ipotesi!$C$91)/30)))))*(1-(MOD((Ipotesi!$C$91),30)/30))+IF(47-(INT((Ipotesi!$C$91)/30))-1&lt;1,0,INDEX(Motore_Operativo!$BR$65:$BR$124,MAX(1,47-(INT((Ipotesi!$C$91)/30))-1)))*(MOD((Ipotesi!$C$91),30)/30))))*Piano_SS!$D$9,0))</f>
        <v>40000</v>
      </c>
      <c r="BZ111" s="15" t="n">
        <f aca="false">MIN(Piano_SS!$C$10,(BZ110)+IF(AND(Motore_Operativo!C111&gt;=EDATE(Parametri_v3!$C$24,Ipotesi!D14*12),Motore_Operativo!C111&lt;EDATE(Parametri_v3!$C$24,Parametri_v3!$C$25+Ipotesi!D14*12)),MAX(0,(IF(47-(INT((Ipotesi!$C$91)/30))&lt;1,0,INDEX(Motore_Operativo!$BO$65:$BO$124,MAX(1,47-(INT((Ipotesi!$C$91)/30)))))*(1-(MOD((Ipotesi!$C$91),30)/30))+IF(47-(INT((Ipotesi!$C$91)/30))-1&lt;1,0,INDEX(Motore_Operativo!$BO$65:$BO$124,MAX(1,47-(INT((Ipotesi!$C$91)/30))-1)))*(MOD((Ipotesi!$C$91),30)/30)))*Piano_SS!$D$10,0))</f>
        <v>30000</v>
      </c>
      <c r="CA111" s="15" t="n">
        <f aca="false">SUM(BV111:BZ111)</f>
        <v>461058.923007084</v>
      </c>
      <c r="CB111" s="15" t="n">
        <f aca="false">BV111*(1-Piano_SS!$E$6)+BW111*(1-Piano_SS!$E$7)+BX111*(1-Piano_SS!$E$8)+BY111*(1-Piano_SS!$E$9)+BZ111*(1-Piano_SS!$E$10)</f>
        <v>431058.923007084</v>
      </c>
      <c r="CC111" s="15" t="n">
        <f aca="false">(CC110)+BA111</f>
        <v>368847.138405667</v>
      </c>
      <c r="CD111" s="15" t="n">
        <f aca="false">IF(CA111=0,0,CC111*CB111/CA111*Ipotesi!$C$103*Parametri_v3!$C$64)</f>
        <v>103454.1415217</v>
      </c>
      <c r="CE111" s="18" t="n">
        <f aca="false">IF(BA111&gt;0,Motore_Operativo!C111,(CE110))</f>
        <v>47270</v>
      </c>
      <c r="CF111" s="18" t="n">
        <f aca="false">IF(AND(CC111&gt;0,OR(CC111&gt;=CG111-0.01,Motore_Operativo!C111&gt;=EDATE(MAX(Finanziamenti!$D$15:$D$17),Ipotesi!D14*12))),CE111,0)</f>
        <v>47270</v>
      </c>
      <c r="CG111" s="15" t="n">
        <f aca="false">IF(AND(2&lt;&gt;6,2&lt;&gt;9,Finanziamenti!$F$11=1,OR(Parametri_v3!$C$6=0,Finanziamenti!$E$11=1)),MIN(Finanziamenti!$C$11,Piano_SS!$C$12*Ipotesi!$C$102),0)</f>
        <v>400000</v>
      </c>
      <c r="CH111" s="15" t="n">
        <f aca="false">IF(AND(AND(2&lt;&gt;8,2&lt;&gt;9,Finanziamenti!$F$10=1,OR(Parametri_v3!$C$6=0,Finanziamenti!$E$10=1)),Motore_Operativo!C111&gt;=Finanziamenti!$D$10,Motore_Operativo!C111&lt;Parametri_v3!$C$63),Finanziamenti!$C$10,0)</f>
        <v>150000</v>
      </c>
    </row>
    <row r="112" customFormat="false" ht="18" hidden="false" customHeight="true" outlineLevel="0" collapsed="false">
      <c r="A112" s="68" t="n">
        <f aca="false">2</f>
        <v>2</v>
      </c>
      <c r="B112" s="68" t="n">
        <f aca="false">48</f>
        <v>48</v>
      </c>
      <c r="C112" s="18" t="n">
        <f aca="false">Motore_Operativo!C112</f>
        <v>47818</v>
      </c>
      <c r="D112" s="68" t="n">
        <f aca="false">Motore_Operativo!D112</f>
        <v>2030</v>
      </c>
      <c r="E112" s="68" t="n">
        <f aca="false">Motore_Operativo!E112</f>
        <v>12</v>
      </c>
      <c r="F112" s="15" t="n">
        <f aca="false">Motore_Operativo!AQ112+Motore_Operativo!BF112</f>
        <v>140768.211855469</v>
      </c>
      <c r="G112" s="15" t="n">
        <f aca="false">Motore_Operativo!BH112</f>
        <v>9024.16666666667</v>
      </c>
      <c r="H112" s="15" t="n">
        <f aca="false">Motore_Operativo!BI112</f>
        <v>149792.378522136</v>
      </c>
      <c r="I112" s="15" t="n">
        <f aca="false">Motore_Operativo!CA112</f>
        <v>159313.025284766</v>
      </c>
      <c r="J112" s="15" t="n">
        <f aca="false">Motore_Operativo!CC112</f>
        <v>-9520.64676262965</v>
      </c>
      <c r="K112" s="15" t="n">
        <f aca="false">Motore_Operativo!CE112</f>
        <v>3333.33333333333</v>
      </c>
      <c r="L112" s="15" t="n">
        <f aca="false">SUM(INDEX($K$65:$K$124,MAX(1,48-Parametri_v3!$C$59+1)):K112)/Parametri_v3!$C$59</f>
        <v>2638.88888888889</v>
      </c>
      <c r="M112" s="15" t="n">
        <f aca="false">J112-L112</f>
        <v>-12159.5356515185</v>
      </c>
      <c r="N112" s="15" t="n">
        <f aca="false">CD112-(CD111)</f>
        <v>0</v>
      </c>
      <c r="O112" s="15" t="n">
        <f aca="false">(BG111)*Ipotesi!$C$110/12+CH112*Parametri_v3!$C$39/12</f>
        <v>0</v>
      </c>
      <c r="P112" s="15" t="n">
        <f aca="false">M112+N112-O112</f>
        <v>-12159.5356515185</v>
      </c>
      <c r="Q112" s="15" t="n">
        <f aca="false">SUM(P101:P112)+Parametri_v3!$C$54*12/12</f>
        <v>-307724.845970214</v>
      </c>
      <c r="R112" s="15" t="n">
        <f aca="false">Z100</f>
        <v>1007520.29624424</v>
      </c>
      <c r="S112" s="15" t="n">
        <f aca="false">AA100</f>
        <v>0</v>
      </c>
      <c r="T112" s="15" t="n">
        <f aca="false">MIN(R112,MAX(0,Q112))</f>
        <v>0</v>
      </c>
      <c r="U112" s="15" t="n">
        <f aca="false">MIN(S112,MAX(0,Q112-T112)*Parametri_v3!$C$42)</f>
        <v>0</v>
      </c>
      <c r="V112" s="15" t="n">
        <f aca="false">MAX(0,Q112-T112-U112)*Ipotesi!$C$92</f>
        <v>0</v>
      </c>
      <c r="W112" s="15" t="n">
        <f aca="false">MAX(0,SUM(M101:M112)+Parametri_v3!$C$55*12/12)*Ipotesi!$C$93</f>
        <v>0</v>
      </c>
      <c r="X112" s="15" t="n">
        <f aca="false">V112+W112-(V111+W111)</f>
        <v>0</v>
      </c>
      <c r="Y112" s="15" t="n">
        <f aca="false">P112-X112</f>
        <v>-12159.5356515185</v>
      </c>
      <c r="Z112" s="15" t="n">
        <f aca="false">R112-T112+IF(AND(Parametri_v3!$C$40=1,D112-YEAR(Parametri_v3!$C$50)&lt;Parametri_v3!$C$41),MAX(0,-Q112),0)</f>
        <v>1007520.29624424</v>
      </c>
      <c r="AA112" s="15" t="n">
        <f aca="false">S112-U112+IF(AND(Parametri_v3!$C$40=1,D112-YEAR(Parametri_v3!$C$50)&lt;Parametri_v3!$C$41),0,MAX(0,-Q112))</f>
        <v>307724.845970214</v>
      </c>
      <c r="AB112" s="15" t="n">
        <f aca="false">F112*(1+Parametri_v3!$C$26)</f>
        <v>171737.218463673</v>
      </c>
      <c r="AC112" s="15" t="n">
        <f aca="false">(IF(48-(INT((Motore_Operativo!L112)/30))&lt;1,0,INDEX(Motore_Startup!$AB$65:$AB$124,MAX(1,48-(INT((Motore_Operativo!L112)/30)))))*(1-(MOD((Motore_Operativo!L112),30)/30))+IF(48-(INT((Motore_Operativo!L112)/30))-1&lt;1,0,INDEX(Motore_Startup!$AB$65:$AB$124,MAX(1,48-(INT((Motore_Operativo!L112)/30))-1)))*(MOD((Motore_Operativo!L112),30)/30))</f>
        <v>161094.944840619</v>
      </c>
      <c r="AD112" s="15" t="n">
        <f aca="false">(AD111)+AB112-AC112</f>
        <v>504631.674047441</v>
      </c>
      <c r="AE112" s="15" t="n">
        <f aca="false">Motore_Operativo!BH112*(1+Parametri_v3!$C$26)</f>
        <v>11009.4833333333</v>
      </c>
      <c r="AF112" s="15" t="n">
        <f aca="false">(IF(48-(INT((Parametri_v3!$C$29)/30))&lt;1,0,INDEX(Motore_Operativo!$BH$65:$BH$124,MAX(1,48-(INT((Parametri_v3!$C$29)/30)))))*(1-(MOD((Parametri_v3!$C$29),30)/30))+IF(48-(INT((Parametri_v3!$C$29)/30))-1&lt;1,0,INDEX(Motore_Operativo!$BH$65:$BH$124,MAX(1,48-(INT((Parametri_v3!$C$29)/30))-1)))*(MOD((Parametri_v3!$C$29),30)/30))*(1+Parametri_v3!$C$26)</f>
        <v>11009.4833333333</v>
      </c>
      <c r="AG112" s="15" t="n">
        <f aca="false">(AG111)+AE112-AF112</f>
        <v>11009.4833333333</v>
      </c>
      <c r="AH112" s="15" t="n">
        <f aca="false">(Motore_Operativo!CJ112)*(1+Parametri_v3!$C$27*Parametri_v3!$C$26)</f>
        <v>74591.0103544752</v>
      </c>
      <c r="AI112" s="15" t="n">
        <f aca="false">(IF(48-(INT((Ipotesi!$C$91)/30))&lt;1,0,INDEX(Motore_Startup!$AH$65:$AH$124,MAX(1,48-(INT((Ipotesi!$C$91)/30)))))*(1-(MOD((Ipotesi!$C$91),30)/30))+IF(48-(INT((Ipotesi!$C$91)/30))-1&lt;1,0,INDEX(Motore_Startup!$AH$65:$AH$124,MAX(1,48-(INT((Ipotesi!$C$91)/30))-1)))*(MOD((Ipotesi!$C$91),30)/30))</f>
        <v>73628.847583208</v>
      </c>
      <c r="AJ112" s="15" t="n">
        <f aca="false">(AJ111)+AH112-AI112</f>
        <v>148703.051267369</v>
      </c>
      <c r="AK112" s="15" t="n">
        <f aca="false">(F112+ Motore_Operativo!BH112-(Motore_Operativo!CJ112)*Parametri_v3!$C$27-Motore_Operativo!CE112)*Parametri_v3!$C$26</f>
        <v>20469.9209134937</v>
      </c>
      <c r="AL112" s="15" t="n">
        <f aca="false">MAX(0,(AM111))</f>
        <v>19911.2865581721</v>
      </c>
      <c r="AM112" s="15" t="n">
        <f aca="false">(AM111)+AK112-AL112</f>
        <v>20469.9209134937</v>
      </c>
      <c r="AN112" s="15" t="n">
        <f aca="false">SUM(X89:X100)</f>
        <v>0</v>
      </c>
      <c r="AO112" s="15" t="n">
        <f aca="false">SUM(AP89:AP100)</f>
        <v>0</v>
      </c>
      <c r="AP112" s="15" t="n">
        <f aca="false">MAX(0,AN112)*IF(12=Parametri_v3!$C$43,Parametri_v3!$C$45,IF(12=Parametri_v3!$C$44,1-Parametri_v3!$C$45,0))</f>
        <v>0</v>
      </c>
      <c r="AQ112" s="15" t="n">
        <f aca="false">MAX(0,AP112+IF(12=Parametri_v3!$C$43,MAX(0,AN112-AO112),0)-MAX(0,-(AR111)))</f>
        <v>0</v>
      </c>
      <c r="AR112" s="15" t="n">
        <f aca="false">(AR111)+X112-AQ112</f>
        <v>0</v>
      </c>
      <c r="AS112" s="15" t="n">
        <f aca="false">Motore_Operativo!AB112-AT112+AU112</f>
        <v>91649.4297604167</v>
      </c>
      <c r="AT112" s="15" t="n">
        <f aca="false">Motore_Operativo!CH112</f>
        <v>4823.65419791667</v>
      </c>
      <c r="AU112" s="15" t="n">
        <f aca="false">MIN(MAX(0,(AV111)+AT112),Parametri_v3!$C$60/12)</f>
        <v>0</v>
      </c>
      <c r="AV112" s="15" t="n">
        <f aca="false">(AV111)+AT112-AU112</f>
        <v>137055.550375</v>
      </c>
      <c r="AW112" s="15" t="n">
        <f aca="false">IF(AND(Motore_Operativo!C112=Finanziamenti!$D$6,Finanziamenti!$F$6=1),Finanziamenti!$C$6,0)</f>
        <v>0</v>
      </c>
      <c r="AX112" s="15" t="n">
        <f aca="false">IF(AND(2&lt;&gt;7,2&lt;&gt;9,Finanziamenti!$F$8=1,OR(Parametri_v3!$C$6=0,Finanziamenti!$E$8=1),Motore_Operativo!C112=EDATE(Finanziamenti!$D$8,Ipotesi!D15*12)),Finanziamenti!$C$8*1,0)+IF(AND(2&lt;&gt;7,2&lt;&gt;9,Finanziamenti!$F$9=1,OR(Parametri_v3!$C$6=0,Finanziamenti!$E$9=1),Motore_Operativo!C112=EDATE(Finanziamenti!$D$9,Ipotesi!D15*12)),Finanziamenti!$C$9*Ipotesi!D16,0)</f>
        <v>0</v>
      </c>
      <c r="AY112" s="15" t="n">
        <f aca="false">0</f>
        <v>0</v>
      </c>
      <c r="AZ112" s="15" t="n">
        <f aca="false">Motore_Advisory!AY112*(1-Ipotesi!$C$95)*Ipotesi!$C$96</f>
        <v>0</v>
      </c>
      <c r="BA112" s="15" t="n">
        <f aca="false">MAX(0,MIN(CG112*MIN(1,IF(Motore_Operativo!C112&gt;=EDATE(Finanziamenti!$D$15,Ipotesi!D14*12),Finanziamenti!$C$15,0)+IF(Motore_Operativo!C112&gt;=EDATE(Finanziamenti!$D$16,Ipotesi!D14*12),Finanziamenti!$C$16,0)+IF(Motore_Operativo!C112&gt;=EDATE(Finanziamenti!$D$17,Ipotesi!D14*12),Finanziamenti!$C$17,0)),CA112*Ipotesi!$C$102)-(CC111))</f>
        <v>0</v>
      </c>
      <c r="BB112" s="15" t="n">
        <f aca="false">IF(AND(CF112&gt;0,Motore_Operativo!C112&gt;=IF(CF112=0,0,EDATE(CF112,Parametri_v3!$C$37)),MOD(((D112-YEAR(IF(CF112=0,0,EDATE(CF112,Parametri_v3!$C$37))))*12+E112-MONTH(IF(CF112=0,0,EDATE(CF112,Parametri_v3!$C$37)))),Parametri_v3!$C$38)=0),MIN(MAX(0,(BC111)+BA112-N112),(CC112-CD112)/(Ipotesi!$C$108*12/Parametri_v3!$C$38)),0)</f>
        <v>13269.6498441983</v>
      </c>
      <c r="BC112" s="15" t="n">
        <f aca="false">(BC111)+BA112-N112-BB112</f>
        <v>238853.69719557</v>
      </c>
      <c r="BD112" s="15" t="n">
        <f aca="false">(BH111)+AC112+AF112-AI112-AS112-K112*(1+Parametri_v3!$C$26)-AL112-AQ112-O112+AW112+AX112+AZ112+BA112-BB112</f>
        <v>28722.3808950936</v>
      </c>
      <c r="BE112" s="15" t="n">
        <f aca="false">MAX(0,MIN(MAX(0,CH112-(BG111)),Parametri_v3!$C$30-BD112))</f>
        <v>0</v>
      </c>
      <c r="BF112" s="15" t="n">
        <f aca="false">IF(Motore_Operativo!C112&gt;=Parametri_v3!$C$63,(BG111),MIN((BG111),MAX(0,BD112-Parametri_v3!$C$30)))</f>
        <v>0</v>
      </c>
      <c r="BG112" s="15" t="n">
        <f aca="false">(BG111)+BE112-BF112</f>
        <v>0</v>
      </c>
      <c r="BH112" s="15" t="n">
        <f aca="false">BD112+BE112-BF112-AY112</f>
        <v>28722.3808950936</v>
      </c>
      <c r="BI112" s="15" t="n">
        <f aca="false">MAX(0,Parametri_v3!$C$30-BH112)</f>
        <v>0</v>
      </c>
      <c r="BJ112" s="15" t="n">
        <f aca="false">(BJ111)+K112</f>
        <v>115000</v>
      </c>
      <c r="BK112" s="15" t="n">
        <f aca="false">(BK111)+L112</f>
        <v>63819.4444444444</v>
      </c>
      <c r="BL112" s="15" t="n">
        <f aca="false">BJ112-BK112</f>
        <v>51180.5555555555</v>
      </c>
      <c r="BM112" s="15" t="n">
        <f aca="false">(BM111)+Y112</f>
        <v>-1315245.14221445</v>
      </c>
      <c r="BN112" s="15" t="n">
        <f aca="false">(BN111)+AW112+AX112+AZ112</f>
        <v>1365707.01629444</v>
      </c>
      <c r="BO112" s="15" t="n">
        <f aca="false">(BO111)+AY112</f>
        <v>0</v>
      </c>
      <c r="BP112" s="15" t="n">
        <f aca="false">0</f>
        <v>0</v>
      </c>
      <c r="BQ112" s="15" t="n">
        <f aca="false">BN112+BM112-BO112</f>
        <v>50461.8740799918</v>
      </c>
      <c r="BR112" s="15" t="n">
        <f aca="false">BH112+AD112+BL112+MAX(0,-AM112)+MAX(0,-AR112)+AG112</f>
        <v>595544.093831423</v>
      </c>
      <c r="BS112" s="15" t="n">
        <f aca="false">AJ112+AV112+MAX(0,AM112)+MAX(0,AR112)+BC112+BG112+BQ112</f>
        <v>595544.093831425</v>
      </c>
      <c r="BT112" s="15" t="n">
        <f aca="false">BR112-BS112</f>
        <v>0</v>
      </c>
      <c r="BU112" s="15" t="n">
        <f aca="false">BH112-(BD112+BE112-BF112-AY112)</f>
        <v>0</v>
      </c>
      <c r="BV112" s="15" t="n">
        <f aca="false">MIN(Piano_SS!$C$6,(BV111)+IF(AND(Motore_Operativo!C112&gt;=EDATE(Parametri_v3!$C$24,Ipotesi!D14*12),Motore_Operativo!C112&lt;EDATE(Parametri_v3!$C$24,Parametri_v3!$C$25+Ipotesi!D14*12)),MAX(0,(Motore_Operativo!Y112+Motore_Operativo!X112*Parametri_v3!$C$14)*(1-Parametri_v3!$C$32))*Piano_SS!$D$6,0))</f>
        <v>300000</v>
      </c>
      <c r="BW112" s="15" t="n">
        <f aca="false">MIN(Piano_SS!$C$7,(BW111)+IF(AND(Motore_Operativo!C112&gt;=EDATE(Parametri_v3!$C$24,Ipotesi!D14*12),Motore_Operativo!C112&lt;EDATE(Parametri_v3!$C$24,Parametri_v3!$C$25+Ipotesi!D14*12)),MAX(0,(IF(48-(INT((Ipotesi!$C$91)/30))&lt;1,0,INDEX(Motore_Operativo!$BN$65:$BN$124,MAX(1,48-(INT((Ipotesi!$C$91)/30)))))*(1-(MOD((Ipotesi!$C$91),30)/30))+IF(48-(INT((Ipotesi!$C$91)/30))-1&lt;1,0,INDEX(Motore_Operativo!$BN$65:$BN$124,MAX(1,48-(INT((Ipotesi!$C$91)/30))-1)))*(MOD((Ipotesi!$C$91),30)/30)))*Piano_SS!$D$7,0))</f>
        <v>41058.9230070837</v>
      </c>
      <c r="BX112" s="15" t="n">
        <f aca="false">MIN(Piano_SS!$C$8,(BX111)+IF(AND(Motore_Operativo!C112&gt;=EDATE(Parametri_v3!$C$24,Ipotesi!D14*12),Motore_Operativo!C112&lt;EDATE(Parametri_v3!$C$24,Parametri_v3!$C$25+Ipotesi!D14*12)),MAX(0,Motore_Operativo!CE112)*Piano_SS!$D$8,0))</f>
        <v>50000</v>
      </c>
      <c r="BY112" s="15" t="n">
        <f aca="false">MIN(Piano_SS!$C$9,(BY111)+IF(AND(Motore_Operativo!C112&gt;=EDATE(Parametri_v3!$C$24,Ipotesi!D14*12),Motore_Operativo!C112&lt;EDATE(Parametri_v3!$C$24,Parametri_v3!$C$25+Ipotesi!D14*12)),MAX(0,((IF(48-(INT((Ipotesi!$C$91)/30))&lt;1,0,INDEX(Motore_Operativo!$BQ$65:$BQ$124,MAX(1,48-(INT((Ipotesi!$C$91)/30)))))*(1-(MOD((Ipotesi!$C$91),30)/30))+IF(48-(INT((Ipotesi!$C$91)/30))-1&lt;1,0,INDEX(Motore_Operativo!$BQ$65:$BQ$124,MAX(1,48-(INT((Ipotesi!$C$91)/30))-1)))*(MOD((Ipotesi!$C$91),30)/30))+(IF(48-(INT((Ipotesi!$C$91)/30))&lt;1,0,INDEX(Motore_Operativo!$BR$65:$BR$124,MAX(1,48-(INT((Ipotesi!$C$91)/30)))))*(1-(MOD((Ipotesi!$C$91),30)/30))+IF(48-(INT((Ipotesi!$C$91)/30))-1&lt;1,0,INDEX(Motore_Operativo!$BR$65:$BR$124,MAX(1,48-(INT((Ipotesi!$C$91)/30))-1)))*(MOD((Ipotesi!$C$91),30)/30))))*Piano_SS!$D$9,0))</f>
        <v>40000</v>
      </c>
      <c r="BZ112" s="15" t="n">
        <f aca="false">MIN(Piano_SS!$C$10,(BZ111)+IF(AND(Motore_Operativo!C112&gt;=EDATE(Parametri_v3!$C$24,Ipotesi!D14*12),Motore_Operativo!C112&lt;EDATE(Parametri_v3!$C$24,Parametri_v3!$C$25+Ipotesi!D14*12)),MAX(0,(IF(48-(INT((Ipotesi!$C$91)/30))&lt;1,0,INDEX(Motore_Operativo!$BO$65:$BO$124,MAX(1,48-(INT((Ipotesi!$C$91)/30)))))*(1-(MOD((Ipotesi!$C$91),30)/30))+IF(48-(INT((Ipotesi!$C$91)/30))-1&lt;1,0,INDEX(Motore_Operativo!$BO$65:$BO$124,MAX(1,48-(INT((Ipotesi!$C$91)/30))-1)))*(MOD((Ipotesi!$C$91),30)/30)))*Piano_SS!$D$10,0))</f>
        <v>30000</v>
      </c>
      <c r="CA112" s="15" t="n">
        <f aca="false">SUM(BV112:BZ112)</f>
        <v>461058.923007084</v>
      </c>
      <c r="CB112" s="15" t="n">
        <f aca="false">BV112*(1-Piano_SS!$E$6)+BW112*(1-Piano_SS!$E$7)+BX112*(1-Piano_SS!$E$8)+BY112*(1-Piano_SS!$E$9)+BZ112*(1-Piano_SS!$E$10)</f>
        <v>431058.923007084</v>
      </c>
      <c r="CC112" s="15" t="n">
        <f aca="false">(CC111)+BA112</f>
        <v>368847.138405667</v>
      </c>
      <c r="CD112" s="15" t="n">
        <f aca="false">IF(CA112=0,0,CC112*CB112/CA112*Ipotesi!$C$103*Parametri_v3!$C$64)</f>
        <v>103454.1415217</v>
      </c>
      <c r="CE112" s="18" t="n">
        <f aca="false">IF(BA112&gt;0,Motore_Operativo!C112,(CE111))</f>
        <v>47270</v>
      </c>
      <c r="CF112" s="18" t="n">
        <f aca="false">IF(AND(CC112&gt;0,OR(CC112&gt;=CG112-0.01,Motore_Operativo!C112&gt;=EDATE(MAX(Finanziamenti!$D$15:$D$17),Ipotesi!D14*12))),CE112,0)</f>
        <v>47270</v>
      </c>
      <c r="CG112" s="15" t="n">
        <f aca="false">IF(AND(2&lt;&gt;6,2&lt;&gt;9,Finanziamenti!$F$11=1,OR(Parametri_v3!$C$6=0,Finanziamenti!$E$11=1)),MIN(Finanziamenti!$C$11,Piano_SS!$C$12*Ipotesi!$C$102),0)</f>
        <v>400000</v>
      </c>
      <c r="CH112" s="15" t="n">
        <f aca="false">IF(AND(AND(2&lt;&gt;8,2&lt;&gt;9,Finanziamenti!$F$10=1,OR(Parametri_v3!$C$6=0,Finanziamenti!$E$10=1)),Motore_Operativo!C112&gt;=Finanziamenti!$D$10,Motore_Operativo!C112&lt;Parametri_v3!$C$63),Finanziamenti!$C$10,0)</f>
        <v>150000</v>
      </c>
    </row>
    <row r="113" customFormat="false" ht="18" hidden="false" customHeight="true" outlineLevel="0" collapsed="false">
      <c r="A113" s="68" t="n">
        <f aca="false">2</f>
        <v>2</v>
      </c>
      <c r="B113" s="68" t="n">
        <f aca="false">49</f>
        <v>49</v>
      </c>
      <c r="C113" s="18" t="n">
        <f aca="false">Motore_Operativo!C113</f>
        <v>47849</v>
      </c>
      <c r="D113" s="68" t="n">
        <f aca="false">Motore_Operativo!D113</f>
        <v>2031</v>
      </c>
      <c r="E113" s="68" t="n">
        <f aca="false">Motore_Operativo!E113</f>
        <v>1</v>
      </c>
      <c r="F113" s="15" t="n">
        <f aca="false">Motore_Operativo!AQ113+Motore_Operativo!BF113</f>
        <v>171197.798178051</v>
      </c>
      <c r="G113" s="15" t="n">
        <f aca="false">Motore_Operativo!BH113</f>
        <v>11595.8333333333</v>
      </c>
      <c r="H113" s="15" t="n">
        <f aca="false">Motore_Operativo!BI113</f>
        <v>182793.631511385</v>
      </c>
      <c r="I113" s="15" t="n">
        <f aca="false">Motore_Operativo!CA113</f>
        <v>196627.061732427</v>
      </c>
      <c r="J113" s="15" t="n">
        <f aca="false">Motore_Operativo!CC113</f>
        <v>-13833.4302210424</v>
      </c>
      <c r="K113" s="15" t="n">
        <f aca="false">Motore_Operativo!CE113</f>
        <v>4166.66666666667</v>
      </c>
      <c r="L113" s="15" t="n">
        <f aca="false">SUM(INDEX($K$65:$K$124,MAX(1,49-Parametri_v3!$C$59+1)):K113)/Parametri_v3!$C$59</f>
        <v>2696.75925925926</v>
      </c>
      <c r="M113" s="15" t="n">
        <f aca="false">J113-L113</f>
        <v>-16530.1894803017</v>
      </c>
      <c r="N113" s="15" t="n">
        <f aca="false">CD113-(CD112)</f>
        <v>0</v>
      </c>
      <c r="O113" s="15" t="n">
        <f aca="false">(BG112)*Ipotesi!$C$110/12+CH113*Parametri_v3!$C$39/12</f>
        <v>0</v>
      </c>
      <c r="P113" s="15" t="n">
        <f aca="false">M113+N113-O113</f>
        <v>-16530.1894803017</v>
      </c>
      <c r="Q113" s="15" t="n">
        <f aca="false">SUM(P113)+Parametri_v3!$C$54*1/12</f>
        <v>-16530.1894803017</v>
      </c>
      <c r="R113" s="15" t="n">
        <f aca="false">Z112</f>
        <v>1007520.29624424</v>
      </c>
      <c r="S113" s="15" t="n">
        <f aca="false">AA112</f>
        <v>307724.845970214</v>
      </c>
      <c r="T113" s="15" t="n">
        <f aca="false">MIN(R113,MAX(0,Q113))</f>
        <v>0</v>
      </c>
      <c r="U113" s="15" t="n">
        <f aca="false">MIN(S113,MAX(0,Q113-T113)*Parametri_v3!$C$42)</f>
        <v>0</v>
      </c>
      <c r="V113" s="15" t="n">
        <f aca="false">MAX(0,Q113-T113-U113)*Ipotesi!$C$92</f>
        <v>0</v>
      </c>
      <c r="W113" s="15" t="n">
        <f aca="false">MAX(0,SUM(M113)+Parametri_v3!$C$55*1/12)*Ipotesi!$C$93</f>
        <v>0</v>
      </c>
      <c r="X113" s="15" t="n">
        <f aca="false">V113+W113-(0)</f>
        <v>0</v>
      </c>
      <c r="Y113" s="15" t="n">
        <f aca="false">P113-X113</f>
        <v>-16530.1894803017</v>
      </c>
      <c r="Z113" s="15" t="n">
        <f aca="false">R113-T113+IF(AND(Parametri_v3!$C$40=1,D113-YEAR(Parametri_v3!$C$50)&lt;Parametri_v3!$C$41),MAX(0,-Q113),0)</f>
        <v>1007520.29624424</v>
      </c>
      <c r="AA113" s="15" t="n">
        <f aca="false">S113-U113+IF(AND(Parametri_v3!$C$40=1,D113-YEAR(Parametri_v3!$C$50)&lt;Parametri_v3!$C$41),0,MAX(0,-Q113))</f>
        <v>324255.035450516</v>
      </c>
      <c r="AB113" s="15" t="n">
        <f aca="false">F113*(1+Parametri_v3!$C$26)</f>
        <v>208861.313777223</v>
      </c>
      <c r="AC113" s="15" t="n">
        <f aca="false">(IF(49-(INT((Motore_Operativo!L113)/30))&lt;1,0,INDEX(Motore_Startup!$AB$65:$AB$124,MAX(1,49-(INT((Motore_Operativo!L113)/30)))))*(1-(MOD((Motore_Operativo!L113),30)/30))+IF(49-(INT((Motore_Operativo!L113)/30))-1&lt;1,0,INDEX(Motore_Startup!$AB$65:$AB$124,MAX(1,49-(INT((Motore_Operativo!L113)/30))-1)))*(MOD((Motore_Operativo!L113),30)/30))</f>
        <v>164673.56109849</v>
      </c>
      <c r="AD113" s="15" t="n">
        <f aca="false">(AD112)+AB113-AC113</f>
        <v>548819.426726174</v>
      </c>
      <c r="AE113" s="15" t="n">
        <f aca="false">Motore_Operativo!BH113*(1+Parametri_v3!$C$26)</f>
        <v>14146.9166666667</v>
      </c>
      <c r="AF113" s="15" t="n">
        <f aca="false">(IF(49-(INT((Parametri_v3!$C$29)/30))&lt;1,0,INDEX(Motore_Operativo!$BH$65:$BH$124,MAX(1,49-(INT((Parametri_v3!$C$29)/30)))))*(1-(MOD((Parametri_v3!$C$29),30)/30))+IF(49-(INT((Parametri_v3!$C$29)/30))-1&lt;1,0,INDEX(Motore_Operativo!$BH$65:$BH$124,MAX(1,49-(INT((Parametri_v3!$C$29)/30))-1)))*(MOD((Parametri_v3!$C$29),30)/30))*(1+Parametri_v3!$C$26)</f>
        <v>11009.4833333333</v>
      </c>
      <c r="AG113" s="15" t="n">
        <f aca="false">(AG112)+AE113-AF113</f>
        <v>14146.9166666667</v>
      </c>
      <c r="AH113" s="15" t="n">
        <f aca="false">(Motore_Operativo!CJ113)*(1+Parametri_v3!$C$27*Parametri_v3!$C$26)</f>
        <v>91576.7335595619</v>
      </c>
      <c r="AI113" s="15" t="n">
        <f aca="false">(IF(49-(INT((Ipotesi!$C$91)/30))&lt;1,0,INDEX(Motore_Startup!$AH$65:$AH$124,MAX(1,49-(INT((Ipotesi!$C$91)/30)))))*(1-(MOD((Ipotesi!$C$91),30)/30))+IF(49-(INT((Ipotesi!$C$91)/30))-1&lt;1,0,INDEX(Motore_Startup!$AH$65:$AH$124,MAX(1,49-(INT((Ipotesi!$C$91)/30))-1)))*(MOD((Ipotesi!$C$91),30)/30))</f>
        <v>74112.0409128937</v>
      </c>
      <c r="AJ113" s="15" t="n">
        <f aca="false">(AJ112)+AH113-AI113</f>
        <v>166167.743914037</v>
      </c>
      <c r="AK113" s="15" t="n">
        <f aca="false">(F113+ Motore_Operativo!BH113-(Motore_Operativo!CJ113)*Parametri_v3!$C$27-Motore_Operativo!CE113)*Parametri_v3!$C$26</f>
        <v>24870.9321178699</v>
      </c>
      <c r="AL113" s="15" t="n">
        <f aca="false">MAX(0,(AM112))</f>
        <v>20469.9209134937</v>
      </c>
      <c r="AM113" s="15" t="n">
        <f aca="false">(AM112)+AK113-AL113</f>
        <v>24870.9321178699</v>
      </c>
      <c r="AN113" s="15" t="n">
        <f aca="false">SUM(X101:X112)</f>
        <v>0</v>
      </c>
      <c r="AO113" s="15" t="n">
        <f aca="false">SUM(AP101:AP112)</f>
        <v>0</v>
      </c>
      <c r="AP113" s="15" t="n">
        <f aca="false">MAX(0,AN113)*IF(1=Parametri_v3!$C$43,Parametri_v3!$C$45,IF(1=Parametri_v3!$C$44,1-Parametri_v3!$C$45,0))</f>
        <v>0</v>
      </c>
      <c r="AQ113" s="15" t="n">
        <f aca="false">MAX(0,AP113+IF(1=Parametri_v3!$C$43,MAX(0,AN113-AO113),0)-MAX(0,-(AR112)))</f>
        <v>0</v>
      </c>
      <c r="AR113" s="15" t="n">
        <f aca="false">(AR112)+X113-AQ113</f>
        <v>0</v>
      </c>
      <c r="AS113" s="15" t="n">
        <f aca="false">Motore_Operativo!AB113-AT113+AU113</f>
        <v>113503.461904792</v>
      </c>
      <c r="AT113" s="15" t="n">
        <f aca="false">Motore_Operativo!CH113</f>
        <v>5973.86641604167</v>
      </c>
      <c r="AU113" s="15" t="n">
        <f aca="false">MIN(MAX(0,(AV112)+AT113),Parametri_v3!$C$60/12)</f>
        <v>0</v>
      </c>
      <c r="AV113" s="15" t="n">
        <f aca="false">(AV112)+AT113-AU113</f>
        <v>143029.416791042</v>
      </c>
      <c r="AW113" s="15" t="n">
        <f aca="false">IF(AND(Motore_Operativo!C113=Finanziamenti!$D$6,Finanziamenti!$F$6=1),Finanziamenti!$C$6,0)</f>
        <v>0</v>
      </c>
      <c r="AX113" s="15" t="n">
        <f aca="false">IF(AND(2&lt;&gt;7,2&lt;&gt;9,Finanziamenti!$F$8=1,OR(Parametri_v3!$C$6=0,Finanziamenti!$E$8=1),Motore_Operativo!C113=EDATE(Finanziamenti!$D$8,Ipotesi!D15*12)),Finanziamenti!$C$8*1,0)+IF(AND(2&lt;&gt;7,2&lt;&gt;9,Finanziamenti!$F$9=1,OR(Parametri_v3!$C$6=0,Finanziamenti!$E$9=1),Motore_Operativo!C113=EDATE(Finanziamenti!$D$9,Ipotesi!D15*12)),Finanziamenti!$C$9*Ipotesi!D16,0)</f>
        <v>0</v>
      </c>
      <c r="AY113" s="15" t="n">
        <f aca="false">0</f>
        <v>0</v>
      </c>
      <c r="AZ113" s="15" t="n">
        <f aca="false">Motore_Advisory!AY113*(1-Ipotesi!$C$95)*Ipotesi!$C$96</f>
        <v>0</v>
      </c>
      <c r="BA113" s="15" t="n">
        <f aca="false">MAX(0,MIN(CG113*MIN(1,IF(Motore_Operativo!C113&gt;=EDATE(Finanziamenti!$D$15,Ipotesi!D14*12),Finanziamenti!$C$15,0)+IF(Motore_Operativo!C113&gt;=EDATE(Finanziamenti!$D$16,Ipotesi!D14*12),Finanziamenti!$C$16,0)+IF(Motore_Operativo!C113&gt;=EDATE(Finanziamenti!$D$17,Ipotesi!D14*12),Finanziamenti!$C$17,0)),CA113*Ipotesi!$C$102)-(CC112))</f>
        <v>0</v>
      </c>
      <c r="BB113" s="15" t="n">
        <f aca="false">IF(AND(CF113&gt;0,Motore_Operativo!C113&gt;=IF(CF113=0,0,EDATE(CF113,Parametri_v3!$C$37)),MOD(((D113-YEAR(IF(CF113=0,0,EDATE(CF113,Parametri_v3!$C$37))))*12+E113-MONTH(IF(CF113=0,0,EDATE(CF113,Parametri_v3!$C$37)))),Parametri_v3!$C$38)=0),MIN(MAX(0,(BC112)+BA113-N113),(CC113-CD113)/(Ipotesi!$C$108*12/Parametri_v3!$C$38)),0)</f>
        <v>0</v>
      </c>
      <c r="BC113" s="15" t="n">
        <f aca="false">(BC112)+BA113-N113-BB113</f>
        <v>238853.69719557</v>
      </c>
      <c r="BD113" s="15" t="n">
        <f aca="false">(BH112)+AC113+AF113-AI113-AS113-K113*(1+Parametri_v3!$C$26)-AL113-AQ113-O113+AW113+AX113+AZ113+BA113-BB113</f>
        <v>-8763.33173759537</v>
      </c>
      <c r="BE113" s="15" t="n">
        <f aca="false">MAX(0,MIN(MAX(0,CH113-(BG112)),Parametri_v3!$C$30-BD113))</f>
        <v>33763.3317375954</v>
      </c>
      <c r="BF113" s="15" t="n">
        <f aca="false">IF(Motore_Operativo!C113&gt;=Parametri_v3!$C$63,(BG112),MIN((BG112),MAX(0,BD113-Parametri_v3!$C$30)))</f>
        <v>0</v>
      </c>
      <c r="BG113" s="15" t="n">
        <f aca="false">(BG112)+BE113-BF113</f>
        <v>33763.3317375954</v>
      </c>
      <c r="BH113" s="15" t="n">
        <f aca="false">BD113+BE113-BF113-AY113</f>
        <v>25000</v>
      </c>
      <c r="BI113" s="15" t="n">
        <f aca="false">MAX(0,Parametri_v3!$C$30-BH113)</f>
        <v>0</v>
      </c>
      <c r="BJ113" s="15" t="n">
        <f aca="false">(BJ112)+K113</f>
        <v>119166.666666667</v>
      </c>
      <c r="BK113" s="15" t="n">
        <f aca="false">(BK112)+L113</f>
        <v>66516.2037037037</v>
      </c>
      <c r="BL113" s="15" t="n">
        <f aca="false">BJ113-BK113</f>
        <v>52650.4629629629</v>
      </c>
      <c r="BM113" s="15" t="n">
        <f aca="false">(BM112)+Y113</f>
        <v>-1331775.33169475</v>
      </c>
      <c r="BN113" s="15" t="n">
        <f aca="false">(BN112)+AW113+AX113+AZ113</f>
        <v>1365707.01629444</v>
      </c>
      <c r="BO113" s="15" t="n">
        <f aca="false">(BO112)+AY113</f>
        <v>0</v>
      </c>
      <c r="BP113" s="15" t="n">
        <f aca="false">0</f>
        <v>0</v>
      </c>
      <c r="BQ113" s="15" t="n">
        <f aca="false">BN113+BM113-BO113</f>
        <v>33931.6845996901</v>
      </c>
      <c r="BR113" s="15" t="n">
        <f aca="false">BH113+AD113+BL113+MAX(0,-AM113)+MAX(0,-AR113)+AG113</f>
        <v>640616.806355803</v>
      </c>
      <c r="BS113" s="15" t="n">
        <f aca="false">AJ113+AV113+MAX(0,AM113)+MAX(0,AR113)+BC113+BG113+BQ113</f>
        <v>640616.806355805</v>
      </c>
      <c r="BT113" s="15" t="n">
        <f aca="false">BR113-BS113</f>
        <v>0</v>
      </c>
      <c r="BU113" s="15" t="n">
        <f aca="false">BH113-(BD113+BE113-BF113-AY113)</f>
        <v>0</v>
      </c>
      <c r="BV113" s="15" t="n">
        <f aca="false">MIN(Piano_SS!$C$6,(BV112)+IF(AND(Motore_Operativo!C113&gt;=EDATE(Parametri_v3!$C$24,Ipotesi!D14*12),Motore_Operativo!C113&lt;EDATE(Parametri_v3!$C$24,Parametri_v3!$C$25+Ipotesi!D14*12)),MAX(0,(Motore_Operativo!Y113+Motore_Operativo!X113*Parametri_v3!$C$14)*(1-Parametri_v3!$C$32))*Piano_SS!$D$6,0))</f>
        <v>300000</v>
      </c>
      <c r="BW113" s="15" t="n">
        <f aca="false">MIN(Piano_SS!$C$7,(BW112)+IF(AND(Motore_Operativo!C113&gt;=EDATE(Parametri_v3!$C$24,Ipotesi!D14*12),Motore_Operativo!C113&lt;EDATE(Parametri_v3!$C$24,Parametri_v3!$C$25+Ipotesi!D14*12)),MAX(0,(IF(49-(INT((Ipotesi!$C$91)/30))&lt;1,0,INDEX(Motore_Operativo!$BN$65:$BN$124,MAX(1,49-(INT((Ipotesi!$C$91)/30)))))*(1-(MOD((Ipotesi!$C$91),30)/30))+IF(49-(INT((Ipotesi!$C$91)/30))-1&lt;1,0,INDEX(Motore_Operativo!$BN$65:$BN$124,MAX(1,49-(INT((Ipotesi!$C$91)/30))-1)))*(MOD((Ipotesi!$C$91),30)/30)))*Piano_SS!$D$7,0))</f>
        <v>41058.9230070837</v>
      </c>
      <c r="BX113" s="15" t="n">
        <f aca="false">MIN(Piano_SS!$C$8,(BX112)+IF(AND(Motore_Operativo!C113&gt;=EDATE(Parametri_v3!$C$24,Ipotesi!D14*12),Motore_Operativo!C113&lt;EDATE(Parametri_v3!$C$24,Parametri_v3!$C$25+Ipotesi!D14*12)),MAX(0,Motore_Operativo!CE113)*Piano_SS!$D$8,0))</f>
        <v>50000</v>
      </c>
      <c r="BY113" s="15" t="n">
        <f aca="false">MIN(Piano_SS!$C$9,(BY112)+IF(AND(Motore_Operativo!C113&gt;=EDATE(Parametri_v3!$C$24,Ipotesi!D14*12),Motore_Operativo!C113&lt;EDATE(Parametri_v3!$C$24,Parametri_v3!$C$25+Ipotesi!D14*12)),MAX(0,((IF(49-(INT((Ipotesi!$C$91)/30))&lt;1,0,INDEX(Motore_Operativo!$BQ$65:$BQ$124,MAX(1,49-(INT((Ipotesi!$C$91)/30)))))*(1-(MOD((Ipotesi!$C$91),30)/30))+IF(49-(INT((Ipotesi!$C$91)/30))-1&lt;1,0,INDEX(Motore_Operativo!$BQ$65:$BQ$124,MAX(1,49-(INT((Ipotesi!$C$91)/30))-1)))*(MOD((Ipotesi!$C$91),30)/30))+(IF(49-(INT((Ipotesi!$C$91)/30))&lt;1,0,INDEX(Motore_Operativo!$BR$65:$BR$124,MAX(1,49-(INT((Ipotesi!$C$91)/30)))))*(1-(MOD((Ipotesi!$C$91),30)/30))+IF(49-(INT((Ipotesi!$C$91)/30))-1&lt;1,0,INDEX(Motore_Operativo!$BR$65:$BR$124,MAX(1,49-(INT((Ipotesi!$C$91)/30))-1)))*(MOD((Ipotesi!$C$91),30)/30))))*Piano_SS!$D$9,0))</f>
        <v>40000</v>
      </c>
      <c r="BZ113" s="15" t="n">
        <f aca="false">MIN(Piano_SS!$C$10,(BZ112)+IF(AND(Motore_Operativo!C113&gt;=EDATE(Parametri_v3!$C$24,Ipotesi!D14*12),Motore_Operativo!C113&lt;EDATE(Parametri_v3!$C$24,Parametri_v3!$C$25+Ipotesi!D14*12)),MAX(0,(IF(49-(INT((Ipotesi!$C$91)/30))&lt;1,0,INDEX(Motore_Operativo!$BO$65:$BO$124,MAX(1,49-(INT((Ipotesi!$C$91)/30)))))*(1-(MOD((Ipotesi!$C$91),30)/30))+IF(49-(INT((Ipotesi!$C$91)/30))-1&lt;1,0,INDEX(Motore_Operativo!$BO$65:$BO$124,MAX(1,49-(INT((Ipotesi!$C$91)/30))-1)))*(MOD((Ipotesi!$C$91),30)/30)))*Piano_SS!$D$10,0))</f>
        <v>30000</v>
      </c>
      <c r="CA113" s="15" t="n">
        <f aca="false">SUM(BV113:BZ113)</f>
        <v>461058.923007084</v>
      </c>
      <c r="CB113" s="15" t="n">
        <f aca="false">BV113*(1-Piano_SS!$E$6)+BW113*(1-Piano_SS!$E$7)+BX113*(1-Piano_SS!$E$8)+BY113*(1-Piano_SS!$E$9)+BZ113*(1-Piano_SS!$E$10)</f>
        <v>431058.923007084</v>
      </c>
      <c r="CC113" s="15" t="n">
        <f aca="false">(CC112)+BA113</f>
        <v>368847.138405667</v>
      </c>
      <c r="CD113" s="15" t="n">
        <f aca="false">IF(CA113=0,0,CC113*CB113/CA113*Ipotesi!$C$103*Parametri_v3!$C$64)</f>
        <v>103454.1415217</v>
      </c>
      <c r="CE113" s="18" t="n">
        <f aca="false">IF(BA113&gt;0,Motore_Operativo!C113,(CE112))</f>
        <v>47270</v>
      </c>
      <c r="CF113" s="18" t="n">
        <f aca="false">IF(AND(CC113&gt;0,OR(CC113&gt;=CG113-0.01,Motore_Operativo!C113&gt;=EDATE(MAX(Finanziamenti!$D$15:$D$17),Ipotesi!D14*12))),CE113,0)</f>
        <v>47270</v>
      </c>
      <c r="CG113" s="15" t="n">
        <f aca="false">IF(AND(2&lt;&gt;6,2&lt;&gt;9,Finanziamenti!$F$11=1,OR(Parametri_v3!$C$6=0,Finanziamenti!$E$11=1)),MIN(Finanziamenti!$C$11,Piano_SS!$C$12*Ipotesi!$C$102),0)</f>
        <v>400000</v>
      </c>
      <c r="CH113" s="15" t="n">
        <f aca="false">IF(AND(AND(2&lt;&gt;8,2&lt;&gt;9,Finanziamenti!$F$10=1,OR(Parametri_v3!$C$6=0,Finanziamenti!$E$10=1)),Motore_Operativo!C113&gt;=Finanziamenti!$D$10,Motore_Operativo!C113&lt;Parametri_v3!$C$63),Finanziamenti!$C$10,0)</f>
        <v>150000</v>
      </c>
    </row>
    <row r="114" customFormat="false" ht="18" hidden="false" customHeight="true" outlineLevel="0" collapsed="false">
      <c r="A114" s="68" t="n">
        <f aca="false">2</f>
        <v>2</v>
      </c>
      <c r="B114" s="68" t="n">
        <f aca="false">50</f>
        <v>50</v>
      </c>
      <c r="C114" s="18" t="n">
        <f aca="false">Motore_Operativo!C114</f>
        <v>47880</v>
      </c>
      <c r="D114" s="68" t="n">
        <f aca="false">Motore_Operativo!D114</f>
        <v>2031</v>
      </c>
      <c r="E114" s="68" t="n">
        <f aca="false">Motore_Operativo!E114</f>
        <v>2</v>
      </c>
      <c r="F114" s="15" t="n">
        <f aca="false">Motore_Operativo!AQ114+Motore_Operativo!BF114</f>
        <v>173845.56723159</v>
      </c>
      <c r="G114" s="15" t="n">
        <f aca="false">Motore_Operativo!BH114</f>
        <v>11595.8333333333</v>
      </c>
      <c r="H114" s="15" t="n">
        <f aca="false">Motore_Operativo!BI114</f>
        <v>185441.400564923</v>
      </c>
      <c r="I114" s="15" t="n">
        <f aca="false">Motore_Operativo!CA114</f>
        <v>196997.749399923</v>
      </c>
      <c r="J114" s="15" t="n">
        <f aca="false">Motore_Operativo!CC114</f>
        <v>-11556.3488349995</v>
      </c>
      <c r="K114" s="15" t="n">
        <f aca="false">Motore_Operativo!CE114</f>
        <v>4166.66666666667</v>
      </c>
      <c r="L114" s="15" t="n">
        <f aca="false">SUM(INDEX($K$65:$K$124,MAX(1,50-Parametri_v3!$C$59+1)):K114)/Parametri_v3!$C$59</f>
        <v>2754.62962962963</v>
      </c>
      <c r="M114" s="15" t="n">
        <f aca="false">J114-L114</f>
        <v>-14310.9784646292</v>
      </c>
      <c r="N114" s="15" t="n">
        <f aca="false">CD114-(CD113)</f>
        <v>0</v>
      </c>
      <c r="O114" s="15" t="n">
        <f aca="false">(BG113)*Ipotesi!$C$110/12+CH114*Parametri_v3!$C$39/12</f>
        <v>168.816658687977</v>
      </c>
      <c r="P114" s="15" t="n">
        <f aca="false">M114+N114-O114</f>
        <v>-14479.7951233172</v>
      </c>
      <c r="Q114" s="15" t="n">
        <f aca="false">SUM(P113:P114)+Parametri_v3!$C$54*2/12</f>
        <v>-31009.9846036188</v>
      </c>
      <c r="R114" s="15" t="n">
        <f aca="false">Z112</f>
        <v>1007520.29624424</v>
      </c>
      <c r="S114" s="15" t="n">
        <f aca="false">AA112</f>
        <v>307724.845970214</v>
      </c>
      <c r="T114" s="15" t="n">
        <f aca="false">MIN(R114,MAX(0,Q114))</f>
        <v>0</v>
      </c>
      <c r="U114" s="15" t="n">
        <f aca="false">MIN(S114,MAX(0,Q114-T114)*Parametri_v3!$C$42)</f>
        <v>0</v>
      </c>
      <c r="V114" s="15" t="n">
        <f aca="false">MAX(0,Q114-T114-U114)*Ipotesi!$C$92</f>
        <v>0</v>
      </c>
      <c r="W114" s="15" t="n">
        <f aca="false">MAX(0,SUM(M113:M114)+Parametri_v3!$C$55*2/12)*Ipotesi!$C$93</f>
        <v>0</v>
      </c>
      <c r="X114" s="15" t="n">
        <f aca="false">V114+W114-(V113+W113)</f>
        <v>0</v>
      </c>
      <c r="Y114" s="15" t="n">
        <f aca="false">P114-X114</f>
        <v>-14479.7951233172</v>
      </c>
      <c r="Z114" s="15" t="n">
        <f aca="false">R114-T114+IF(AND(Parametri_v3!$C$40=1,D114-YEAR(Parametri_v3!$C$50)&lt;Parametri_v3!$C$41),MAX(0,-Q114),0)</f>
        <v>1007520.29624424</v>
      </c>
      <c r="AA114" s="15" t="n">
        <f aca="false">S114-U114+IF(AND(Parametri_v3!$C$40=1,D114-YEAR(Parametri_v3!$C$50)&lt;Parametri_v3!$C$41),0,MAX(0,-Q114))</f>
        <v>338734.830573833</v>
      </c>
      <c r="AB114" s="15" t="n">
        <f aca="false">F114*(1+Parametri_v3!$C$26)</f>
        <v>212091.592022539</v>
      </c>
      <c r="AC114" s="15" t="n">
        <f aca="false">(IF(50-(INT((Motore_Operativo!L114)/30))&lt;1,0,INDEX(Motore_Startup!$AB$65:$AB$124,MAX(1,50-(INT((Motore_Operativo!L114)/30)))))*(1-(MOD((Motore_Operativo!L114),30)/30))+IF(50-(INT((Motore_Operativo!L114)/30))-1&lt;1,0,INDEX(Motore_Startup!$AB$65:$AB$124,MAX(1,50-(INT((Motore_Operativo!L114)/30))-1)))*(MOD((Motore_Operativo!L114),30)/30))</f>
        <v>168220.894485278</v>
      </c>
      <c r="AD114" s="15" t="n">
        <f aca="false">(AD113)+AB114-AC114</f>
        <v>592690.124263435</v>
      </c>
      <c r="AE114" s="15" t="n">
        <f aca="false">Motore_Operativo!BH114*(1+Parametri_v3!$C$26)</f>
        <v>14146.9166666667</v>
      </c>
      <c r="AF114" s="15" t="n">
        <f aca="false">(IF(50-(INT((Parametri_v3!$C$29)/30))&lt;1,0,INDEX(Motore_Operativo!$BH$65:$BH$124,MAX(1,50-(INT((Parametri_v3!$C$29)/30)))))*(1-(MOD((Parametri_v3!$C$29),30)/30))+IF(50-(INT((Parametri_v3!$C$29)/30))-1&lt;1,0,INDEX(Motore_Operativo!$BH$65:$BH$124,MAX(1,50-(INT((Parametri_v3!$C$29)/30))-1)))*(MOD((Parametri_v3!$C$29),30)/30))*(1+Parametri_v3!$C$26)</f>
        <v>14146.9166666667</v>
      </c>
      <c r="AG114" s="15" t="n">
        <f aca="false">(AG113)+AE114-AF114</f>
        <v>14146.9166666667</v>
      </c>
      <c r="AH114" s="15" t="n">
        <f aca="false">(Motore_Operativo!CJ114)*(1+Parametri_v3!$C$27*Parametri_v3!$C$26)</f>
        <v>92016.7398208789</v>
      </c>
      <c r="AI114" s="15" t="n">
        <f aca="false">(IF(50-(INT((Ipotesi!$C$91)/30))&lt;1,0,INDEX(Motore_Startup!$AH$65:$AH$124,MAX(1,50-(INT((Ipotesi!$C$91)/30)))))*(1-(MOD((Ipotesi!$C$91),30)/30))+IF(50-(INT((Ipotesi!$C$91)/30))-1&lt;1,0,INDEX(Motore_Startup!$AH$65:$AH$124,MAX(1,50-(INT((Ipotesi!$C$91)/30))-1)))*(MOD((Ipotesi!$C$91),30)/30))</f>
        <v>74591.0103544752</v>
      </c>
      <c r="AJ114" s="15" t="n">
        <f aca="false">(AJ113)+AH114-AI114</f>
        <v>183593.473380441</v>
      </c>
      <c r="AK114" s="15" t="n">
        <f aca="false">(F114+ Motore_Operativo!BH114-(Motore_Operativo!CJ114)*Parametri_v3!$C$27-Motore_Operativo!CE114)*Parametri_v3!$C$26</f>
        <v>25384.1227158267</v>
      </c>
      <c r="AL114" s="15" t="n">
        <f aca="false">MAX(0,(AM113))</f>
        <v>24870.9321178699</v>
      </c>
      <c r="AM114" s="15" t="n">
        <f aca="false">(AM113)+AK114-AL114</f>
        <v>25384.1227158267</v>
      </c>
      <c r="AN114" s="15" t="n">
        <f aca="false">SUM(X101:X112)</f>
        <v>0</v>
      </c>
      <c r="AO114" s="15" t="n">
        <f aca="false">SUM(AP101:AP112)</f>
        <v>0</v>
      </c>
      <c r="AP114" s="15" t="n">
        <f aca="false">MAX(0,AN114)*IF(2=Parametri_v3!$C$43,Parametri_v3!$C$45,IF(2=Parametri_v3!$C$44,1-Parametri_v3!$C$45,0))</f>
        <v>0</v>
      </c>
      <c r="AQ114" s="15" t="n">
        <f aca="false">MAX(0,AP114+IF(2=Parametri_v3!$C$43,MAX(0,AN114-AO114),0)-MAX(0,-(AR113)))</f>
        <v>0</v>
      </c>
      <c r="AR114" s="15" t="n">
        <f aca="false">(AR113)+X114-AQ114</f>
        <v>0</v>
      </c>
      <c r="AS114" s="15" t="n">
        <f aca="false">Motore_Operativo!AB114-AT114+AU114</f>
        <v>113503.461904792</v>
      </c>
      <c r="AT114" s="15" t="n">
        <f aca="false">Motore_Operativo!CH114</f>
        <v>5973.86641604167</v>
      </c>
      <c r="AU114" s="15" t="n">
        <f aca="false">MIN(MAX(0,(AV113)+AT114),Parametri_v3!$C$60/12)</f>
        <v>0</v>
      </c>
      <c r="AV114" s="15" t="n">
        <f aca="false">(AV113)+AT114-AU114</f>
        <v>149003.283207083</v>
      </c>
      <c r="AW114" s="15" t="n">
        <f aca="false">IF(AND(Motore_Operativo!C114=Finanziamenti!$D$6,Finanziamenti!$F$6=1),Finanziamenti!$C$6,0)</f>
        <v>0</v>
      </c>
      <c r="AX114" s="15" t="n">
        <f aca="false">IF(AND(2&lt;&gt;7,2&lt;&gt;9,Finanziamenti!$F$8=1,OR(Parametri_v3!$C$6=0,Finanziamenti!$E$8=1),Motore_Operativo!C114=EDATE(Finanziamenti!$D$8,Ipotesi!D15*12)),Finanziamenti!$C$8*1,0)+IF(AND(2&lt;&gt;7,2&lt;&gt;9,Finanziamenti!$F$9=1,OR(Parametri_v3!$C$6=0,Finanziamenti!$E$9=1),Motore_Operativo!C114=EDATE(Finanziamenti!$D$9,Ipotesi!D15*12)),Finanziamenti!$C$9*Ipotesi!D16,0)</f>
        <v>0</v>
      </c>
      <c r="AY114" s="15" t="n">
        <f aca="false">0</f>
        <v>0</v>
      </c>
      <c r="AZ114" s="15" t="n">
        <f aca="false">Motore_Advisory!AY114*(1-Ipotesi!$C$95)*Ipotesi!$C$96</f>
        <v>0</v>
      </c>
      <c r="BA114" s="15" t="n">
        <f aca="false">MAX(0,MIN(CG114*MIN(1,IF(Motore_Operativo!C114&gt;=EDATE(Finanziamenti!$D$15,Ipotesi!D14*12),Finanziamenti!$C$15,0)+IF(Motore_Operativo!C114&gt;=EDATE(Finanziamenti!$D$16,Ipotesi!D14*12),Finanziamenti!$C$16,0)+IF(Motore_Operativo!C114&gt;=EDATE(Finanziamenti!$D$17,Ipotesi!D14*12),Finanziamenti!$C$17,0)),CA114*Ipotesi!$C$102)-(CC113))</f>
        <v>0</v>
      </c>
      <c r="BB114" s="15" t="n">
        <f aca="false">IF(AND(CF114&gt;0,Motore_Operativo!C114&gt;=IF(CF114=0,0,EDATE(CF114,Parametri_v3!$C$37)),MOD(((D114-YEAR(IF(CF114=0,0,EDATE(CF114,Parametri_v3!$C$37))))*12+E114-MONTH(IF(CF114=0,0,EDATE(CF114,Parametri_v3!$C$37)))),Parametri_v3!$C$38)=0),MIN(MAX(0,(BC113)+BA114-N114),(CC114-CD114)/(Ipotesi!$C$108*12/Parametri_v3!$C$38)),0)</f>
        <v>0</v>
      </c>
      <c r="BC114" s="15" t="n">
        <f aca="false">(BC113)+BA114-N114-BB114</f>
        <v>238853.69719557</v>
      </c>
      <c r="BD114" s="15" t="n">
        <f aca="false">(BH113)+AC114+AF114-AI114-AS114-K114*(1+Parametri_v3!$C$26)-AL114-AQ114-O114+AW114+AX114+AZ114+BA114-BB114</f>
        <v>-10849.7432172131</v>
      </c>
      <c r="BE114" s="15" t="n">
        <f aca="false">MAX(0,MIN(MAX(0,CH114-(BG113)),Parametri_v3!$C$30-BD114))</f>
        <v>35849.7432172131</v>
      </c>
      <c r="BF114" s="15" t="n">
        <f aca="false">IF(Motore_Operativo!C114&gt;=Parametri_v3!$C$63,(BG113),MIN((BG113),MAX(0,BD114-Parametri_v3!$C$30)))</f>
        <v>0</v>
      </c>
      <c r="BG114" s="15" t="n">
        <f aca="false">(BG113)+BE114-BF114</f>
        <v>69613.0749548085</v>
      </c>
      <c r="BH114" s="15" t="n">
        <f aca="false">BD114+BE114-BF114-AY114</f>
        <v>25000</v>
      </c>
      <c r="BI114" s="15" t="n">
        <f aca="false">MAX(0,Parametri_v3!$C$30-BH114)</f>
        <v>0</v>
      </c>
      <c r="BJ114" s="15" t="n">
        <f aca="false">(BJ113)+K114</f>
        <v>123333.333333333</v>
      </c>
      <c r="BK114" s="15" t="n">
        <f aca="false">(BK113)+L114</f>
        <v>69270.8333333333</v>
      </c>
      <c r="BL114" s="15" t="n">
        <f aca="false">BJ114-BK114</f>
        <v>54062.4999999999</v>
      </c>
      <c r="BM114" s="15" t="n">
        <f aca="false">(BM113)+Y114</f>
        <v>-1346255.12681807</v>
      </c>
      <c r="BN114" s="15" t="n">
        <f aca="false">(BN113)+AW114+AX114+AZ114</f>
        <v>1365707.01629444</v>
      </c>
      <c r="BO114" s="15" t="n">
        <f aca="false">(BO113)+AY114</f>
        <v>0</v>
      </c>
      <c r="BP114" s="15" t="n">
        <f aca="false">0</f>
        <v>0</v>
      </c>
      <c r="BQ114" s="15" t="n">
        <f aca="false">BN114+BM114-BO114</f>
        <v>19451.8894763731</v>
      </c>
      <c r="BR114" s="15" t="n">
        <f aca="false">BH114+AD114+BL114+MAX(0,-AM114)+MAX(0,-AR114)+AG114</f>
        <v>685899.540930102</v>
      </c>
      <c r="BS114" s="15" t="n">
        <f aca="false">AJ114+AV114+MAX(0,AM114)+MAX(0,AR114)+BC114+BG114+BQ114</f>
        <v>685899.540930103</v>
      </c>
      <c r="BT114" s="15" t="n">
        <f aca="false">BR114-BS114</f>
        <v>0</v>
      </c>
      <c r="BU114" s="15" t="n">
        <f aca="false">BH114-(BD114+BE114-BF114-AY114)</f>
        <v>0</v>
      </c>
      <c r="BV114" s="15" t="n">
        <f aca="false">MIN(Piano_SS!$C$6,(BV113)+IF(AND(Motore_Operativo!C114&gt;=EDATE(Parametri_v3!$C$24,Ipotesi!D14*12),Motore_Operativo!C114&lt;EDATE(Parametri_v3!$C$24,Parametri_v3!$C$25+Ipotesi!D14*12)),MAX(0,(Motore_Operativo!Y114+Motore_Operativo!X114*Parametri_v3!$C$14)*(1-Parametri_v3!$C$32))*Piano_SS!$D$6,0))</f>
        <v>300000</v>
      </c>
      <c r="BW114" s="15" t="n">
        <f aca="false">MIN(Piano_SS!$C$7,(BW113)+IF(AND(Motore_Operativo!C114&gt;=EDATE(Parametri_v3!$C$24,Ipotesi!D14*12),Motore_Operativo!C114&lt;EDATE(Parametri_v3!$C$24,Parametri_v3!$C$25+Ipotesi!D14*12)),MAX(0,(IF(50-(INT((Ipotesi!$C$91)/30))&lt;1,0,INDEX(Motore_Operativo!$BN$65:$BN$124,MAX(1,50-(INT((Ipotesi!$C$91)/30)))))*(1-(MOD((Ipotesi!$C$91),30)/30))+IF(50-(INT((Ipotesi!$C$91)/30))-1&lt;1,0,INDEX(Motore_Operativo!$BN$65:$BN$124,MAX(1,50-(INT((Ipotesi!$C$91)/30))-1)))*(MOD((Ipotesi!$C$91),30)/30)))*Piano_SS!$D$7,0))</f>
        <v>41058.9230070837</v>
      </c>
      <c r="BX114" s="15" t="n">
        <f aca="false">MIN(Piano_SS!$C$8,(BX113)+IF(AND(Motore_Operativo!C114&gt;=EDATE(Parametri_v3!$C$24,Ipotesi!D14*12),Motore_Operativo!C114&lt;EDATE(Parametri_v3!$C$24,Parametri_v3!$C$25+Ipotesi!D14*12)),MAX(0,Motore_Operativo!CE114)*Piano_SS!$D$8,0))</f>
        <v>50000</v>
      </c>
      <c r="BY114" s="15" t="n">
        <f aca="false">MIN(Piano_SS!$C$9,(BY113)+IF(AND(Motore_Operativo!C114&gt;=EDATE(Parametri_v3!$C$24,Ipotesi!D14*12),Motore_Operativo!C114&lt;EDATE(Parametri_v3!$C$24,Parametri_v3!$C$25+Ipotesi!D14*12)),MAX(0,((IF(50-(INT((Ipotesi!$C$91)/30))&lt;1,0,INDEX(Motore_Operativo!$BQ$65:$BQ$124,MAX(1,50-(INT((Ipotesi!$C$91)/30)))))*(1-(MOD((Ipotesi!$C$91),30)/30))+IF(50-(INT((Ipotesi!$C$91)/30))-1&lt;1,0,INDEX(Motore_Operativo!$BQ$65:$BQ$124,MAX(1,50-(INT((Ipotesi!$C$91)/30))-1)))*(MOD((Ipotesi!$C$91),30)/30))+(IF(50-(INT((Ipotesi!$C$91)/30))&lt;1,0,INDEX(Motore_Operativo!$BR$65:$BR$124,MAX(1,50-(INT((Ipotesi!$C$91)/30)))))*(1-(MOD((Ipotesi!$C$91),30)/30))+IF(50-(INT((Ipotesi!$C$91)/30))-1&lt;1,0,INDEX(Motore_Operativo!$BR$65:$BR$124,MAX(1,50-(INT((Ipotesi!$C$91)/30))-1)))*(MOD((Ipotesi!$C$91),30)/30))))*Piano_SS!$D$9,0))</f>
        <v>40000</v>
      </c>
      <c r="BZ114" s="15" t="n">
        <f aca="false">MIN(Piano_SS!$C$10,(BZ113)+IF(AND(Motore_Operativo!C114&gt;=EDATE(Parametri_v3!$C$24,Ipotesi!D14*12),Motore_Operativo!C114&lt;EDATE(Parametri_v3!$C$24,Parametri_v3!$C$25+Ipotesi!D14*12)),MAX(0,(IF(50-(INT((Ipotesi!$C$91)/30))&lt;1,0,INDEX(Motore_Operativo!$BO$65:$BO$124,MAX(1,50-(INT((Ipotesi!$C$91)/30)))))*(1-(MOD((Ipotesi!$C$91),30)/30))+IF(50-(INT((Ipotesi!$C$91)/30))-1&lt;1,0,INDEX(Motore_Operativo!$BO$65:$BO$124,MAX(1,50-(INT((Ipotesi!$C$91)/30))-1)))*(MOD((Ipotesi!$C$91),30)/30)))*Piano_SS!$D$10,0))</f>
        <v>30000</v>
      </c>
      <c r="CA114" s="15" t="n">
        <f aca="false">SUM(BV114:BZ114)</f>
        <v>461058.923007084</v>
      </c>
      <c r="CB114" s="15" t="n">
        <f aca="false">BV114*(1-Piano_SS!$E$6)+BW114*(1-Piano_SS!$E$7)+BX114*(1-Piano_SS!$E$8)+BY114*(1-Piano_SS!$E$9)+BZ114*(1-Piano_SS!$E$10)</f>
        <v>431058.923007084</v>
      </c>
      <c r="CC114" s="15" t="n">
        <f aca="false">(CC113)+BA114</f>
        <v>368847.138405667</v>
      </c>
      <c r="CD114" s="15" t="n">
        <f aca="false">IF(CA114=0,0,CC114*CB114/CA114*Ipotesi!$C$103*Parametri_v3!$C$64)</f>
        <v>103454.1415217</v>
      </c>
      <c r="CE114" s="18" t="n">
        <f aca="false">IF(BA114&gt;0,Motore_Operativo!C114,(CE113))</f>
        <v>47270</v>
      </c>
      <c r="CF114" s="18" t="n">
        <f aca="false">IF(AND(CC114&gt;0,OR(CC114&gt;=CG114-0.01,Motore_Operativo!C114&gt;=EDATE(MAX(Finanziamenti!$D$15:$D$17),Ipotesi!D14*12))),CE114,0)</f>
        <v>47270</v>
      </c>
      <c r="CG114" s="15" t="n">
        <f aca="false">IF(AND(2&lt;&gt;6,2&lt;&gt;9,Finanziamenti!$F$11=1,OR(Parametri_v3!$C$6=0,Finanziamenti!$E$11=1)),MIN(Finanziamenti!$C$11,Piano_SS!$C$12*Ipotesi!$C$102),0)</f>
        <v>400000</v>
      </c>
      <c r="CH114" s="15" t="n">
        <f aca="false">IF(AND(AND(2&lt;&gt;8,2&lt;&gt;9,Finanziamenti!$F$10=1,OR(Parametri_v3!$C$6=0,Finanziamenti!$E$10=1)),Motore_Operativo!C114&gt;=Finanziamenti!$D$10,Motore_Operativo!C114&lt;Parametri_v3!$C$63),Finanziamenti!$C$10,0)</f>
        <v>150000</v>
      </c>
    </row>
    <row r="115" customFormat="false" ht="18" hidden="false" customHeight="true" outlineLevel="0" collapsed="false">
      <c r="A115" s="68" t="n">
        <f aca="false">2</f>
        <v>2</v>
      </c>
      <c r="B115" s="68" t="n">
        <f aca="false">51</f>
        <v>51</v>
      </c>
      <c r="C115" s="18" t="n">
        <f aca="false">Motore_Operativo!C115</f>
        <v>47908</v>
      </c>
      <c r="D115" s="68" t="n">
        <f aca="false">Motore_Operativo!D115</f>
        <v>2031</v>
      </c>
      <c r="E115" s="68" t="n">
        <f aca="false">Motore_Operativo!E115</f>
        <v>3</v>
      </c>
      <c r="F115" s="15" t="n">
        <f aca="false">Motore_Operativo!AQ115+Motore_Operativo!BF115</f>
        <v>176470.190518164</v>
      </c>
      <c r="G115" s="15" t="n">
        <f aca="false">Motore_Operativo!BH115</f>
        <v>11595.8333333333</v>
      </c>
      <c r="H115" s="15" t="n">
        <f aca="false">Motore_Operativo!BI115</f>
        <v>188066.023851497</v>
      </c>
      <c r="I115" s="15" t="n">
        <f aca="false">Motore_Operativo!CA115</f>
        <v>197365.196660043</v>
      </c>
      <c r="J115" s="15" t="n">
        <f aca="false">Motore_Operativo!CC115</f>
        <v>-9299.17280854564</v>
      </c>
      <c r="K115" s="15" t="n">
        <f aca="false">Motore_Operativo!CE115</f>
        <v>4166.66666666667</v>
      </c>
      <c r="L115" s="15" t="n">
        <f aca="false">SUM(INDEX($K$65:$K$124,MAX(1,51-Parametri_v3!$C$59+1)):K115)/Parametri_v3!$C$59</f>
        <v>2812.5</v>
      </c>
      <c r="M115" s="15" t="n">
        <f aca="false">J115-L115</f>
        <v>-12111.6728085456</v>
      </c>
      <c r="N115" s="15" t="n">
        <f aca="false">CD115-(CD114)</f>
        <v>0</v>
      </c>
      <c r="O115" s="15" t="n">
        <f aca="false">(BG114)*Ipotesi!$C$110/12+CH115*Parametri_v3!$C$39/12</f>
        <v>348.065374774043</v>
      </c>
      <c r="P115" s="15" t="n">
        <f aca="false">M115+N115-O115</f>
        <v>-12459.7381833197</v>
      </c>
      <c r="Q115" s="15" t="n">
        <f aca="false">SUM(P113:P115)+Parametri_v3!$C$54*3/12</f>
        <v>-43469.7227869385</v>
      </c>
      <c r="R115" s="15" t="n">
        <f aca="false">Z112</f>
        <v>1007520.29624424</v>
      </c>
      <c r="S115" s="15" t="n">
        <f aca="false">AA112</f>
        <v>307724.845970214</v>
      </c>
      <c r="T115" s="15" t="n">
        <f aca="false">MIN(R115,MAX(0,Q115))</f>
        <v>0</v>
      </c>
      <c r="U115" s="15" t="n">
        <f aca="false">MIN(S115,MAX(0,Q115-T115)*Parametri_v3!$C$42)</f>
        <v>0</v>
      </c>
      <c r="V115" s="15" t="n">
        <f aca="false">MAX(0,Q115-T115-U115)*Ipotesi!$C$92</f>
        <v>0</v>
      </c>
      <c r="W115" s="15" t="n">
        <f aca="false">MAX(0,SUM(M113:M115)+Parametri_v3!$C$55*3/12)*Ipotesi!$C$93</f>
        <v>0</v>
      </c>
      <c r="X115" s="15" t="n">
        <f aca="false">V115+W115-(V114+W114)</f>
        <v>0</v>
      </c>
      <c r="Y115" s="15" t="n">
        <f aca="false">P115-X115</f>
        <v>-12459.7381833197</v>
      </c>
      <c r="Z115" s="15" t="n">
        <f aca="false">R115-T115+IF(AND(Parametri_v3!$C$40=1,D115-YEAR(Parametri_v3!$C$50)&lt;Parametri_v3!$C$41),MAX(0,-Q115),0)</f>
        <v>1007520.29624424</v>
      </c>
      <c r="AA115" s="15" t="n">
        <f aca="false">S115-U115+IF(AND(Parametri_v3!$C$40=1,D115-YEAR(Parametri_v3!$C$50)&lt;Parametri_v3!$C$41),0,MAX(0,-Q115))</f>
        <v>351194.568757153</v>
      </c>
      <c r="AB115" s="15" t="n">
        <f aca="false">F115*(1+Parametri_v3!$C$26)</f>
        <v>215293.63243216</v>
      </c>
      <c r="AC115" s="15" t="n">
        <f aca="false">(IF(51-(INT((Motore_Operativo!L115)/30))&lt;1,0,INDEX(Motore_Startup!$AB$65:$AB$124,MAX(1,51-(INT((Motore_Operativo!L115)/30)))))*(1-(MOD((Motore_Operativo!L115),30)/30))+IF(51-(INT((Motore_Operativo!L115)/30))-1&lt;1,0,INDEX(Motore_Startup!$AB$65:$AB$124,MAX(1,51-(INT((Motore_Operativo!L115)/30))-1)))*(MOD((Motore_Operativo!L115),30)/30))</f>
        <v>171737.218463673</v>
      </c>
      <c r="AD115" s="15" t="n">
        <f aca="false">(AD114)+AB115-AC115</f>
        <v>636246.538231922</v>
      </c>
      <c r="AE115" s="15" t="n">
        <f aca="false">Motore_Operativo!BH115*(1+Parametri_v3!$C$26)</f>
        <v>14146.9166666667</v>
      </c>
      <c r="AF115" s="15" t="n">
        <f aca="false">(IF(51-(INT((Parametri_v3!$C$29)/30))&lt;1,0,INDEX(Motore_Operativo!$BH$65:$BH$124,MAX(1,51-(INT((Parametri_v3!$C$29)/30)))))*(1-(MOD((Parametri_v3!$C$29),30)/30))+IF(51-(INT((Parametri_v3!$C$29)/30))-1&lt;1,0,INDEX(Motore_Operativo!$BH$65:$BH$124,MAX(1,51-(INT((Parametri_v3!$C$29)/30))-1)))*(MOD((Parametri_v3!$C$29),30)/30))*(1+Parametri_v3!$C$26)</f>
        <v>14146.9166666667</v>
      </c>
      <c r="AG115" s="15" t="n">
        <f aca="false">(AG114)+AE115-AF115</f>
        <v>14146.9166666667</v>
      </c>
      <c r="AH115" s="15" t="n">
        <f aca="false">(Motore_Operativo!CJ115)*(1+Parametri_v3!$C$27*Parametri_v3!$C$26)</f>
        <v>92452.8997186419</v>
      </c>
      <c r="AI115" s="15" t="n">
        <f aca="false">(IF(51-(INT((Ipotesi!$C$91)/30))&lt;1,0,INDEX(Motore_Startup!$AH$65:$AH$124,MAX(1,51-(INT((Ipotesi!$C$91)/30)))))*(1-(MOD((Ipotesi!$C$91),30)/30))+IF(51-(INT((Ipotesi!$C$91)/30))-1&lt;1,0,INDEX(Motore_Startup!$AH$65:$AH$124,MAX(1,51-(INT((Ipotesi!$C$91)/30))-1)))*(MOD((Ipotesi!$C$91),30)/30))</f>
        <v>91576.7335595619</v>
      </c>
      <c r="AJ115" s="15" t="n">
        <f aca="false">(AJ114)+AH115-AI115</f>
        <v>184469.639539521</v>
      </c>
      <c r="AK115" s="15" t="n">
        <f aca="false">(F115+ Motore_Operativo!BH115-(Motore_Operativo!CJ115)*Parametri_v3!$C$27-Motore_Operativo!CE115)*Parametri_v3!$C$26</f>
        <v>25892.8272012306</v>
      </c>
      <c r="AL115" s="15" t="n">
        <f aca="false">MAX(0,(AM114))</f>
        <v>25384.1227158267</v>
      </c>
      <c r="AM115" s="15" t="n">
        <f aca="false">(AM114)+AK115-AL115</f>
        <v>25892.8272012306</v>
      </c>
      <c r="AN115" s="15" t="n">
        <f aca="false">SUM(X101:X112)</f>
        <v>0</v>
      </c>
      <c r="AO115" s="15" t="n">
        <f aca="false">SUM(AP101:AP112)</f>
        <v>0</v>
      </c>
      <c r="AP115" s="15" t="n">
        <f aca="false">MAX(0,AN115)*IF(3=Parametri_v3!$C$43,Parametri_v3!$C$45,IF(3=Parametri_v3!$C$44,1-Parametri_v3!$C$45,0))</f>
        <v>0</v>
      </c>
      <c r="AQ115" s="15" t="n">
        <f aca="false">MAX(0,AP115+IF(3=Parametri_v3!$C$43,MAX(0,AN115-AO115),0)-MAX(0,-(AR114)))</f>
        <v>0</v>
      </c>
      <c r="AR115" s="15" t="n">
        <f aca="false">(AR114)+X115-AQ115</f>
        <v>0</v>
      </c>
      <c r="AS115" s="15" t="n">
        <f aca="false">Motore_Operativo!AB115-AT115+AU115</f>
        <v>113503.461904792</v>
      </c>
      <c r="AT115" s="15" t="n">
        <f aca="false">Motore_Operativo!CH115</f>
        <v>5973.86641604167</v>
      </c>
      <c r="AU115" s="15" t="n">
        <f aca="false">MIN(MAX(0,(AV114)+AT115),Parametri_v3!$C$60/12)</f>
        <v>0</v>
      </c>
      <c r="AV115" s="15" t="n">
        <f aca="false">(AV114)+AT115-AU115</f>
        <v>154977.149623125</v>
      </c>
      <c r="AW115" s="15" t="n">
        <f aca="false">IF(AND(Motore_Operativo!C115=Finanziamenti!$D$6,Finanziamenti!$F$6=1),Finanziamenti!$C$6,0)</f>
        <v>0</v>
      </c>
      <c r="AX115" s="15" t="n">
        <f aca="false">IF(AND(2&lt;&gt;7,2&lt;&gt;9,Finanziamenti!$F$8=1,OR(Parametri_v3!$C$6=0,Finanziamenti!$E$8=1),Motore_Operativo!C115=EDATE(Finanziamenti!$D$8,Ipotesi!D15*12)),Finanziamenti!$C$8*1,0)+IF(AND(2&lt;&gt;7,2&lt;&gt;9,Finanziamenti!$F$9=1,OR(Parametri_v3!$C$6=0,Finanziamenti!$E$9=1),Motore_Operativo!C115=EDATE(Finanziamenti!$D$9,Ipotesi!D15*12)),Finanziamenti!$C$9*Ipotesi!D16,0)</f>
        <v>0</v>
      </c>
      <c r="AY115" s="15" t="n">
        <f aca="false">0</f>
        <v>0</v>
      </c>
      <c r="AZ115" s="15" t="n">
        <f aca="false">Motore_Advisory!AY115*(1-Ipotesi!$C$95)*Ipotesi!$C$96</f>
        <v>0</v>
      </c>
      <c r="BA115" s="15" t="n">
        <f aca="false">MAX(0,MIN(CG115*MIN(1,IF(Motore_Operativo!C115&gt;=EDATE(Finanziamenti!$D$15,Ipotesi!D14*12),Finanziamenti!$C$15,0)+IF(Motore_Operativo!C115&gt;=EDATE(Finanziamenti!$D$16,Ipotesi!D14*12),Finanziamenti!$C$16,0)+IF(Motore_Operativo!C115&gt;=EDATE(Finanziamenti!$D$17,Ipotesi!D14*12),Finanziamenti!$C$17,0)),CA115*Ipotesi!$C$102)-(CC114))</f>
        <v>0</v>
      </c>
      <c r="BB115" s="15" t="n">
        <f aca="false">IF(AND(CF115&gt;0,Motore_Operativo!C115&gt;=IF(CF115=0,0,EDATE(CF115,Parametri_v3!$C$37)),MOD(((D115-YEAR(IF(CF115=0,0,EDATE(CF115,Parametri_v3!$C$37))))*12+E115-MONTH(IF(CF115=0,0,EDATE(CF115,Parametri_v3!$C$37)))),Parametri_v3!$C$38)=0),MIN(MAX(0,(BC114)+BA115-N115),(CC115-CD115)/(Ipotesi!$C$108*12/Parametri_v3!$C$38)),0)</f>
        <v>0</v>
      </c>
      <c r="BC115" s="15" t="n">
        <f aca="false">(BC114)+BA115-N115-BB115</f>
        <v>238853.69719557</v>
      </c>
      <c r="BD115" s="15" t="n">
        <f aca="false">(BH114)+AC115+AF115-AI115-AS115-K115*(1+Parametri_v3!$C$26)-AL115-AQ115-O115+AW115+AX115+AZ115+BA115-BB115</f>
        <v>-25011.5817579484</v>
      </c>
      <c r="BE115" s="15" t="n">
        <f aca="false">MAX(0,MIN(MAX(0,CH115-(BG114)),Parametri_v3!$C$30-BD115))</f>
        <v>50011.5817579484</v>
      </c>
      <c r="BF115" s="15" t="n">
        <f aca="false">IF(Motore_Operativo!C115&gt;=Parametri_v3!$C$63,(BG114),MIN((BG114),MAX(0,BD115-Parametri_v3!$C$30)))</f>
        <v>0</v>
      </c>
      <c r="BG115" s="15" t="n">
        <f aca="false">(BG114)+BE115-BF115</f>
        <v>119624.656712757</v>
      </c>
      <c r="BH115" s="15" t="n">
        <f aca="false">BD115+BE115-BF115-AY115</f>
        <v>25000</v>
      </c>
      <c r="BI115" s="15" t="n">
        <f aca="false">MAX(0,Parametri_v3!$C$30-BH115)</f>
        <v>0</v>
      </c>
      <c r="BJ115" s="15" t="n">
        <f aca="false">(BJ114)+K115</f>
        <v>127500</v>
      </c>
      <c r="BK115" s="15" t="n">
        <f aca="false">(BK114)+L115</f>
        <v>72083.3333333333</v>
      </c>
      <c r="BL115" s="15" t="n">
        <f aca="false">BJ115-BK115</f>
        <v>55416.6666666666</v>
      </c>
      <c r="BM115" s="15" t="n">
        <f aca="false">(BM114)+Y115</f>
        <v>-1358714.86500139</v>
      </c>
      <c r="BN115" s="15" t="n">
        <f aca="false">(BN114)+AW115+AX115+AZ115</f>
        <v>1365707.01629444</v>
      </c>
      <c r="BO115" s="15" t="n">
        <f aca="false">(BO114)+AY115</f>
        <v>0</v>
      </c>
      <c r="BP115" s="15" t="n">
        <f aca="false">0</f>
        <v>0</v>
      </c>
      <c r="BQ115" s="15" t="n">
        <f aca="false">BN115+BM115-BO115</f>
        <v>6992.15129305329</v>
      </c>
      <c r="BR115" s="15" t="n">
        <f aca="false">BH115+AD115+BL115+MAX(0,-AM115)+MAX(0,-AR115)+AG115</f>
        <v>730810.121565256</v>
      </c>
      <c r="BS115" s="15" t="n">
        <f aca="false">AJ115+AV115+MAX(0,AM115)+MAX(0,AR115)+BC115+BG115+BQ115</f>
        <v>730810.121565257</v>
      </c>
      <c r="BT115" s="15" t="n">
        <f aca="false">BR115-BS115</f>
        <v>0</v>
      </c>
      <c r="BU115" s="15" t="n">
        <f aca="false">BH115-(BD115+BE115-BF115-AY115)</f>
        <v>0</v>
      </c>
      <c r="BV115" s="15" t="n">
        <f aca="false">MIN(Piano_SS!$C$6,(BV114)+IF(AND(Motore_Operativo!C115&gt;=EDATE(Parametri_v3!$C$24,Ipotesi!D14*12),Motore_Operativo!C115&lt;EDATE(Parametri_v3!$C$24,Parametri_v3!$C$25+Ipotesi!D14*12)),MAX(0,(Motore_Operativo!Y115+Motore_Operativo!X115*Parametri_v3!$C$14)*(1-Parametri_v3!$C$32))*Piano_SS!$D$6,0))</f>
        <v>300000</v>
      </c>
      <c r="BW115" s="15" t="n">
        <f aca="false">MIN(Piano_SS!$C$7,(BW114)+IF(AND(Motore_Operativo!C115&gt;=EDATE(Parametri_v3!$C$24,Ipotesi!D14*12),Motore_Operativo!C115&lt;EDATE(Parametri_v3!$C$24,Parametri_v3!$C$25+Ipotesi!D14*12)),MAX(0,(IF(51-(INT((Ipotesi!$C$91)/30))&lt;1,0,INDEX(Motore_Operativo!$BN$65:$BN$124,MAX(1,51-(INT((Ipotesi!$C$91)/30)))))*(1-(MOD((Ipotesi!$C$91),30)/30))+IF(51-(INT((Ipotesi!$C$91)/30))-1&lt;1,0,INDEX(Motore_Operativo!$BN$65:$BN$124,MAX(1,51-(INT((Ipotesi!$C$91)/30))-1)))*(MOD((Ipotesi!$C$91),30)/30)))*Piano_SS!$D$7,0))</f>
        <v>41058.9230070837</v>
      </c>
      <c r="BX115" s="15" t="n">
        <f aca="false">MIN(Piano_SS!$C$8,(BX114)+IF(AND(Motore_Operativo!C115&gt;=EDATE(Parametri_v3!$C$24,Ipotesi!D14*12),Motore_Operativo!C115&lt;EDATE(Parametri_v3!$C$24,Parametri_v3!$C$25+Ipotesi!D14*12)),MAX(0,Motore_Operativo!CE115)*Piano_SS!$D$8,0))</f>
        <v>50000</v>
      </c>
      <c r="BY115" s="15" t="n">
        <f aca="false">MIN(Piano_SS!$C$9,(BY114)+IF(AND(Motore_Operativo!C115&gt;=EDATE(Parametri_v3!$C$24,Ipotesi!D14*12),Motore_Operativo!C115&lt;EDATE(Parametri_v3!$C$24,Parametri_v3!$C$25+Ipotesi!D14*12)),MAX(0,((IF(51-(INT((Ipotesi!$C$91)/30))&lt;1,0,INDEX(Motore_Operativo!$BQ$65:$BQ$124,MAX(1,51-(INT((Ipotesi!$C$91)/30)))))*(1-(MOD((Ipotesi!$C$91),30)/30))+IF(51-(INT((Ipotesi!$C$91)/30))-1&lt;1,0,INDEX(Motore_Operativo!$BQ$65:$BQ$124,MAX(1,51-(INT((Ipotesi!$C$91)/30))-1)))*(MOD((Ipotesi!$C$91),30)/30))+(IF(51-(INT((Ipotesi!$C$91)/30))&lt;1,0,INDEX(Motore_Operativo!$BR$65:$BR$124,MAX(1,51-(INT((Ipotesi!$C$91)/30)))))*(1-(MOD((Ipotesi!$C$91),30)/30))+IF(51-(INT((Ipotesi!$C$91)/30))-1&lt;1,0,INDEX(Motore_Operativo!$BR$65:$BR$124,MAX(1,51-(INT((Ipotesi!$C$91)/30))-1)))*(MOD((Ipotesi!$C$91),30)/30))))*Piano_SS!$D$9,0))</f>
        <v>40000</v>
      </c>
      <c r="BZ115" s="15" t="n">
        <f aca="false">MIN(Piano_SS!$C$10,(BZ114)+IF(AND(Motore_Operativo!C115&gt;=EDATE(Parametri_v3!$C$24,Ipotesi!D14*12),Motore_Operativo!C115&lt;EDATE(Parametri_v3!$C$24,Parametri_v3!$C$25+Ipotesi!D14*12)),MAX(0,(IF(51-(INT((Ipotesi!$C$91)/30))&lt;1,0,INDEX(Motore_Operativo!$BO$65:$BO$124,MAX(1,51-(INT((Ipotesi!$C$91)/30)))))*(1-(MOD((Ipotesi!$C$91),30)/30))+IF(51-(INT((Ipotesi!$C$91)/30))-1&lt;1,0,INDEX(Motore_Operativo!$BO$65:$BO$124,MAX(1,51-(INT((Ipotesi!$C$91)/30))-1)))*(MOD((Ipotesi!$C$91),30)/30)))*Piano_SS!$D$10,0))</f>
        <v>30000</v>
      </c>
      <c r="CA115" s="15" t="n">
        <f aca="false">SUM(BV115:BZ115)</f>
        <v>461058.923007084</v>
      </c>
      <c r="CB115" s="15" t="n">
        <f aca="false">BV115*(1-Piano_SS!$E$6)+BW115*(1-Piano_SS!$E$7)+BX115*(1-Piano_SS!$E$8)+BY115*(1-Piano_SS!$E$9)+BZ115*(1-Piano_SS!$E$10)</f>
        <v>431058.923007084</v>
      </c>
      <c r="CC115" s="15" t="n">
        <f aca="false">(CC114)+BA115</f>
        <v>368847.138405667</v>
      </c>
      <c r="CD115" s="15" t="n">
        <f aca="false">IF(CA115=0,0,CC115*CB115/CA115*Ipotesi!$C$103*Parametri_v3!$C$64)</f>
        <v>103454.1415217</v>
      </c>
      <c r="CE115" s="18" t="n">
        <f aca="false">IF(BA115&gt;0,Motore_Operativo!C115,(CE114))</f>
        <v>47270</v>
      </c>
      <c r="CF115" s="18" t="n">
        <f aca="false">IF(AND(CC115&gt;0,OR(CC115&gt;=CG115-0.01,Motore_Operativo!C115&gt;=EDATE(MAX(Finanziamenti!$D$15:$D$17),Ipotesi!D14*12))),CE115,0)</f>
        <v>47270</v>
      </c>
      <c r="CG115" s="15" t="n">
        <f aca="false">IF(AND(2&lt;&gt;6,2&lt;&gt;9,Finanziamenti!$F$11=1,OR(Parametri_v3!$C$6=0,Finanziamenti!$E$11=1)),MIN(Finanziamenti!$C$11,Piano_SS!$C$12*Ipotesi!$C$102),0)</f>
        <v>400000</v>
      </c>
      <c r="CH115" s="15" t="n">
        <f aca="false">IF(AND(AND(2&lt;&gt;8,2&lt;&gt;9,Finanziamenti!$F$10=1,OR(Parametri_v3!$C$6=0,Finanziamenti!$E$10=1)),Motore_Operativo!C115&gt;=Finanziamenti!$D$10,Motore_Operativo!C115&lt;Parametri_v3!$C$63),Finanziamenti!$C$10,0)</f>
        <v>150000</v>
      </c>
    </row>
    <row r="116" customFormat="false" ht="18" hidden="false" customHeight="true" outlineLevel="0" collapsed="false">
      <c r="A116" s="68" t="n">
        <f aca="false">2</f>
        <v>2</v>
      </c>
      <c r="B116" s="68" t="n">
        <f aca="false">52</f>
        <v>52</v>
      </c>
      <c r="C116" s="18" t="n">
        <f aca="false">Motore_Operativo!C116</f>
        <v>47939</v>
      </c>
      <c r="D116" s="68" t="n">
        <f aca="false">Motore_Operativo!D116</f>
        <v>2031</v>
      </c>
      <c r="E116" s="68" t="n">
        <f aca="false">Motore_Operativo!E116</f>
        <v>4</v>
      </c>
      <c r="F116" s="15" t="n">
        <f aca="false">Motore_Operativo!AQ116+Motore_Operativo!BF116</f>
        <v>179521.028119095</v>
      </c>
      <c r="G116" s="15" t="n">
        <f aca="false">Motore_Operativo!BH116</f>
        <v>11595.8333333333</v>
      </c>
      <c r="H116" s="15" t="n">
        <f aca="false">Motore_Operativo!BI116</f>
        <v>191116.861452429</v>
      </c>
      <c r="I116" s="15" t="n">
        <f aca="false">Motore_Operativo!CA116</f>
        <v>197792.313924173</v>
      </c>
      <c r="J116" s="15" t="n">
        <f aca="false">Motore_Operativo!CC116</f>
        <v>-6675.45247174462</v>
      </c>
      <c r="K116" s="15" t="n">
        <f aca="false">Motore_Operativo!CE116</f>
        <v>4166.66666666667</v>
      </c>
      <c r="L116" s="15" t="n">
        <f aca="false">SUM(INDEX($K$65:$K$124,MAX(1,52-Parametri_v3!$C$59+1)):K116)/Parametri_v3!$C$59</f>
        <v>2870.37037037037</v>
      </c>
      <c r="M116" s="15" t="n">
        <f aca="false">J116-L116</f>
        <v>-9545.82284211499</v>
      </c>
      <c r="N116" s="15" t="n">
        <f aca="false">CD116-(CD115)</f>
        <v>0</v>
      </c>
      <c r="O116" s="15" t="n">
        <f aca="false">(BG115)*Ipotesi!$C$110/12+CH116*Parametri_v3!$C$39/12</f>
        <v>598.123283563784</v>
      </c>
      <c r="P116" s="15" t="n">
        <f aca="false">M116+N116-O116</f>
        <v>-10143.9461256788</v>
      </c>
      <c r="Q116" s="15" t="n">
        <f aca="false">SUM(P113:P116)+Parametri_v3!$C$54*4/12</f>
        <v>-53613.6689126173</v>
      </c>
      <c r="R116" s="15" t="n">
        <f aca="false">Z112</f>
        <v>1007520.29624424</v>
      </c>
      <c r="S116" s="15" t="n">
        <f aca="false">AA112</f>
        <v>307724.845970214</v>
      </c>
      <c r="T116" s="15" t="n">
        <f aca="false">MIN(R116,MAX(0,Q116))</f>
        <v>0</v>
      </c>
      <c r="U116" s="15" t="n">
        <f aca="false">MIN(S116,MAX(0,Q116-T116)*Parametri_v3!$C$42)</f>
        <v>0</v>
      </c>
      <c r="V116" s="15" t="n">
        <f aca="false">MAX(0,Q116-T116-U116)*Ipotesi!$C$92</f>
        <v>0</v>
      </c>
      <c r="W116" s="15" t="n">
        <f aca="false">MAX(0,SUM(M113:M116)+Parametri_v3!$C$55*4/12)*Ipotesi!$C$93</f>
        <v>0</v>
      </c>
      <c r="X116" s="15" t="n">
        <f aca="false">V116+W116-(V115+W115)</f>
        <v>0</v>
      </c>
      <c r="Y116" s="15" t="n">
        <f aca="false">P116-X116</f>
        <v>-10143.9461256788</v>
      </c>
      <c r="Z116" s="15" t="n">
        <f aca="false">R116-T116+IF(AND(Parametri_v3!$C$40=1,D116-YEAR(Parametri_v3!$C$50)&lt;Parametri_v3!$C$41),MAX(0,-Q116),0)</f>
        <v>1007520.29624424</v>
      </c>
      <c r="AA116" s="15" t="n">
        <f aca="false">S116-U116+IF(AND(Parametri_v3!$C$40=1,D116-YEAR(Parametri_v3!$C$50)&lt;Parametri_v3!$C$41),0,MAX(0,-Q116))</f>
        <v>361338.514882832</v>
      </c>
      <c r="AB116" s="15" t="n">
        <f aca="false">F116*(1+Parametri_v3!$C$26)</f>
        <v>219015.654305296</v>
      </c>
      <c r="AC116" s="15" t="n">
        <f aca="false">(IF(52-(INT((Motore_Operativo!L116)/30))&lt;1,0,INDEX(Motore_Startup!$AB$65:$AB$124,MAX(1,52-(INT((Motore_Operativo!L116)/30)))))*(1-(MOD((Motore_Operativo!L116),30)/30))+IF(52-(INT((Motore_Operativo!L116)/30))-1&lt;1,0,INDEX(Motore_Startup!$AB$65:$AB$124,MAX(1,52-(INT((Motore_Operativo!L116)/30))-1)))*(MOD((Motore_Operativo!L116),30)/30))</f>
        <v>208861.313777223</v>
      </c>
      <c r="AD116" s="15" t="n">
        <f aca="false">(AD115)+AB116-AC116</f>
        <v>646400.878759996</v>
      </c>
      <c r="AE116" s="15" t="n">
        <f aca="false">Motore_Operativo!BH116*(1+Parametri_v3!$C$26)</f>
        <v>14146.9166666667</v>
      </c>
      <c r="AF116" s="15" t="n">
        <f aca="false">(IF(52-(INT((Parametri_v3!$C$29)/30))&lt;1,0,INDEX(Motore_Operativo!$BH$65:$BH$124,MAX(1,52-(INT((Parametri_v3!$C$29)/30)))))*(1-(MOD((Parametri_v3!$C$29),30)/30))+IF(52-(INT((Parametri_v3!$C$29)/30))-1&lt;1,0,INDEX(Motore_Operativo!$BH$65:$BH$124,MAX(1,52-(INT((Parametri_v3!$C$29)/30))-1)))*(MOD((Parametri_v3!$C$29),30)/30))*(1+Parametri_v3!$C$26)</f>
        <v>14146.9166666667</v>
      </c>
      <c r="AG116" s="15" t="n">
        <f aca="false">(AG115)+AE116-AF116</f>
        <v>14146.9166666667</v>
      </c>
      <c r="AH116" s="15" t="n">
        <f aca="false">(Motore_Operativo!CJ116)*(1+Parametri_v3!$C$27*Parametri_v3!$C$26)</f>
        <v>92959.8879111646</v>
      </c>
      <c r="AI116" s="15" t="n">
        <f aca="false">(IF(52-(INT((Ipotesi!$C$91)/30))&lt;1,0,INDEX(Motore_Startup!$AH$65:$AH$124,MAX(1,52-(INT((Ipotesi!$C$91)/30)))))*(1-(MOD((Ipotesi!$C$91),30)/30))+IF(52-(INT((Ipotesi!$C$91)/30))-1&lt;1,0,INDEX(Motore_Startup!$AH$65:$AH$124,MAX(1,52-(INT((Ipotesi!$C$91)/30))-1)))*(MOD((Ipotesi!$C$91),30)/30))</f>
        <v>92016.7398208789</v>
      </c>
      <c r="AJ116" s="15" t="n">
        <f aca="false">(AJ115)+AH116-AI116</f>
        <v>185412.787629806</v>
      </c>
      <c r="AK116" s="15" t="n">
        <f aca="false">(F116+ Motore_Operativo!BH116-(Motore_Operativo!CJ116)*Parametri_v3!$C$27-Motore_Operativo!CE116)*Parametri_v3!$C$26</f>
        <v>26484.1405450431</v>
      </c>
      <c r="AL116" s="15" t="n">
        <f aca="false">MAX(0,(AM115))</f>
        <v>25892.8272012306</v>
      </c>
      <c r="AM116" s="15" t="n">
        <f aca="false">(AM115)+AK116-AL116</f>
        <v>26484.1405450431</v>
      </c>
      <c r="AN116" s="15" t="n">
        <f aca="false">SUM(X101:X112)</f>
        <v>0</v>
      </c>
      <c r="AO116" s="15" t="n">
        <f aca="false">SUM(AP101:AP112)</f>
        <v>0</v>
      </c>
      <c r="AP116" s="15" t="n">
        <f aca="false">MAX(0,AN116)*IF(4=Parametri_v3!$C$43,Parametri_v3!$C$45,IF(4=Parametri_v3!$C$44,1-Parametri_v3!$C$45,0))</f>
        <v>0</v>
      </c>
      <c r="AQ116" s="15" t="n">
        <f aca="false">MAX(0,AP116+IF(4=Parametri_v3!$C$43,MAX(0,AN116-AO116),0)-MAX(0,-(AR115)))</f>
        <v>0</v>
      </c>
      <c r="AR116" s="15" t="n">
        <f aca="false">(AR115)+X116-AQ116</f>
        <v>0</v>
      </c>
      <c r="AS116" s="15" t="n">
        <f aca="false">Motore_Operativo!AB116-AT116+AU116</f>
        <v>113503.461904792</v>
      </c>
      <c r="AT116" s="15" t="n">
        <f aca="false">Motore_Operativo!CH116</f>
        <v>5973.86641604167</v>
      </c>
      <c r="AU116" s="15" t="n">
        <f aca="false">MIN(MAX(0,(AV115)+AT116),Parametri_v3!$C$60/12)</f>
        <v>0</v>
      </c>
      <c r="AV116" s="15" t="n">
        <f aca="false">(AV115)+AT116-AU116</f>
        <v>160951.016039167</v>
      </c>
      <c r="AW116" s="15" t="n">
        <f aca="false">IF(AND(Motore_Operativo!C116=Finanziamenti!$D$6,Finanziamenti!$F$6=1),Finanziamenti!$C$6,0)</f>
        <v>0</v>
      </c>
      <c r="AX116" s="15" t="n">
        <f aca="false">IF(AND(2&lt;&gt;7,2&lt;&gt;9,Finanziamenti!$F$8=1,OR(Parametri_v3!$C$6=0,Finanziamenti!$E$8=1),Motore_Operativo!C116=EDATE(Finanziamenti!$D$8,Ipotesi!D15*12)),Finanziamenti!$C$8*1,0)+IF(AND(2&lt;&gt;7,2&lt;&gt;9,Finanziamenti!$F$9=1,OR(Parametri_v3!$C$6=0,Finanziamenti!$E$9=1),Motore_Operativo!C116=EDATE(Finanziamenti!$D$9,Ipotesi!D15*12)),Finanziamenti!$C$9*Ipotesi!D16,0)</f>
        <v>0</v>
      </c>
      <c r="AY116" s="15" t="n">
        <f aca="false">0</f>
        <v>0</v>
      </c>
      <c r="AZ116" s="15" t="n">
        <f aca="false">Motore_Advisory!AY116*(1-Ipotesi!$C$95)*Ipotesi!$C$96</f>
        <v>0</v>
      </c>
      <c r="BA116" s="15" t="n">
        <f aca="false">MAX(0,MIN(CG116*MIN(1,IF(Motore_Operativo!C116&gt;=EDATE(Finanziamenti!$D$15,Ipotesi!D14*12),Finanziamenti!$C$15,0)+IF(Motore_Operativo!C116&gt;=EDATE(Finanziamenti!$D$16,Ipotesi!D14*12),Finanziamenti!$C$16,0)+IF(Motore_Operativo!C116&gt;=EDATE(Finanziamenti!$D$17,Ipotesi!D14*12),Finanziamenti!$C$17,0)),CA116*Ipotesi!$C$102)-(CC115))</f>
        <v>0</v>
      </c>
      <c r="BB116" s="15" t="n">
        <f aca="false">IF(AND(CF116&gt;0,Motore_Operativo!C116&gt;=IF(CF116=0,0,EDATE(CF116,Parametri_v3!$C$37)),MOD(((D116-YEAR(IF(CF116=0,0,EDATE(CF116,Parametri_v3!$C$37))))*12+E116-MONTH(IF(CF116=0,0,EDATE(CF116,Parametri_v3!$C$37)))),Parametri_v3!$C$38)=0),MIN(MAX(0,(BC115)+BA116-N116),(CC116-CD116)/(Ipotesi!$C$108*12/Parametri_v3!$C$38)),0)</f>
        <v>0</v>
      </c>
      <c r="BC116" s="15" t="n">
        <f aca="false">(BC115)+BA116-N116-BB116</f>
        <v>238853.69719557</v>
      </c>
      <c r="BD116" s="15" t="n">
        <f aca="false">(BH115)+AC116+AF116-AI116-AS116-K116*(1+Parametri_v3!$C$26)-AL116-AQ116-O116+AW116+AX116+AZ116+BA116-BB116</f>
        <v>10913.7449000911</v>
      </c>
      <c r="BE116" s="15" t="n">
        <f aca="false">MAX(0,MIN(MAX(0,CH116-(BG115)),Parametri_v3!$C$30-BD116))</f>
        <v>14086.2550999089</v>
      </c>
      <c r="BF116" s="15" t="n">
        <f aca="false">IF(Motore_Operativo!C116&gt;=Parametri_v3!$C$63,(BG115),MIN((BG115),MAX(0,BD116-Parametri_v3!$C$30)))</f>
        <v>0</v>
      </c>
      <c r="BG116" s="15" t="n">
        <f aca="false">(BG115)+BE116-BF116</f>
        <v>133710.911812666</v>
      </c>
      <c r="BH116" s="15" t="n">
        <f aca="false">BD116+BE116-BF116-AY116</f>
        <v>25000</v>
      </c>
      <c r="BI116" s="15" t="n">
        <f aca="false">MAX(0,Parametri_v3!$C$30-BH116)</f>
        <v>0</v>
      </c>
      <c r="BJ116" s="15" t="n">
        <f aca="false">(BJ115)+K116</f>
        <v>131666.666666667</v>
      </c>
      <c r="BK116" s="15" t="n">
        <f aca="false">(BK115)+L116</f>
        <v>74953.7037037037</v>
      </c>
      <c r="BL116" s="15" t="n">
        <f aca="false">BJ116-BK116</f>
        <v>56712.9629629629</v>
      </c>
      <c r="BM116" s="15" t="n">
        <f aca="false">(BM115)+Y116</f>
        <v>-1368858.81112707</v>
      </c>
      <c r="BN116" s="15" t="n">
        <f aca="false">(BN115)+AW116+AX116+AZ116</f>
        <v>1365707.01629444</v>
      </c>
      <c r="BO116" s="15" t="n">
        <f aca="false">(BO115)+AY116</f>
        <v>0</v>
      </c>
      <c r="BP116" s="15" t="n">
        <f aca="false">0</f>
        <v>0</v>
      </c>
      <c r="BQ116" s="15" t="n">
        <f aca="false">BN116+BM116-BO116</f>
        <v>-3151.79483262543</v>
      </c>
      <c r="BR116" s="15" t="n">
        <f aca="false">BH116+AD116+BL116+MAX(0,-AM116)+MAX(0,-AR116)+AG116</f>
        <v>742260.758389626</v>
      </c>
      <c r="BS116" s="15" t="n">
        <f aca="false">AJ116+AV116+MAX(0,AM116)+MAX(0,AR116)+BC116+BG116+BQ116</f>
        <v>742260.758389627</v>
      </c>
      <c r="BT116" s="15" t="n">
        <f aca="false">BR116-BS116</f>
        <v>0</v>
      </c>
      <c r="BU116" s="15" t="n">
        <f aca="false">BH116-(BD116+BE116-BF116-AY116)</f>
        <v>0</v>
      </c>
      <c r="BV116" s="15" t="n">
        <f aca="false">MIN(Piano_SS!$C$6,(BV115)+IF(AND(Motore_Operativo!C116&gt;=EDATE(Parametri_v3!$C$24,Ipotesi!D14*12),Motore_Operativo!C116&lt;EDATE(Parametri_v3!$C$24,Parametri_v3!$C$25+Ipotesi!D14*12)),MAX(0,(Motore_Operativo!Y116+Motore_Operativo!X116*Parametri_v3!$C$14)*(1-Parametri_v3!$C$32))*Piano_SS!$D$6,0))</f>
        <v>300000</v>
      </c>
      <c r="BW116" s="15" t="n">
        <f aca="false">MIN(Piano_SS!$C$7,(BW115)+IF(AND(Motore_Operativo!C116&gt;=EDATE(Parametri_v3!$C$24,Ipotesi!D14*12),Motore_Operativo!C116&lt;EDATE(Parametri_v3!$C$24,Parametri_v3!$C$25+Ipotesi!D14*12)),MAX(0,(IF(52-(INT((Ipotesi!$C$91)/30))&lt;1,0,INDEX(Motore_Operativo!$BN$65:$BN$124,MAX(1,52-(INT((Ipotesi!$C$91)/30)))))*(1-(MOD((Ipotesi!$C$91),30)/30))+IF(52-(INT((Ipotesi!$C$91)/30))-1&lt;1,0,INDEX(Motore_Operativo!$BN$65:$BN$124,MAX(1,52-(INT((Ipotesi!$C$91)/30))-1)))*(MOD((Ipotesi!$C$91),30)/30)))*Piano_SS!$D$7,0))</f>
        <v>41058.9230070837</v>
      </c>
      <c r="BX116" s="15" t="n">
        <f aca="false">MIN(Piano_SS!$C$8,(BX115)+IF(AND(Motore_Operativo!C116&gt;=EDATE(Parametri_v3!$C$24,Ipotesi!D14*12),Motore_Operativo!C116&lt;EDATE(Parametri_v3!$C$24,Parametri_v3!$C$25+Ipotesi!D14*12)),MAX(0,Motore_Operativo!CE116)*Piano_SS!$D$8,0))</f>
        <v>50000</v>
      </c>
      <c r="BY116" s="15" t="n">
        <f aca="false">MIN(Piano_SS!$C$9,(BY115)+IF(AND(Motore_Operativo!C116&gt;=EDATE(Parametri_v3!$C$24,Ipotesi!D14*12),Motore_Operativo!C116&lt;EDATE(Parametri_v3!$C$24,Parametri_v3!$C$25+Ipotesi!D14*12)),MAX(0,((IF(52-(INT((Ipotesi!$C$91)/30))&lt;1,0,INDEX(Motore_Operativo!$BQ$65:$BQ$124,MAX(1,52-(INT((Ipotesi!$C$91)/30)))))*(1-(MOD((Ipotesi!$C$91),30)/30))+IF(52-(INT((Ipotesi!$C$91)/30))-1&lt;1,0,INDEX(Motore_Operativo!$BQ$65:$BQ$124,MAX(1,52-(INT((Ipotesi!$C$91)/30))-1)))*(MOD((Ipotesi!$C$91),30)/30))+(IF(52-(INT((Ipotesi!$C$91)/30))&lt;1,0,INDEX(Motore_Operativo!$BR$65:$BR$124,MAX(1,52-(INT((Ipotesi!$C$91)/30)))))*(1-(MOD((Ipotesi!$C$91),30)/30))+IF(52-(INT((Ipotesi!$C$91)/30))-1&lt;1,0,INDEX(Motore_Operativo!$BR$65:$BR$124,MAX(1,52-(INT((Ipotesi!$C$91)/30))-1)))*(MOD((Ipotesi!$C$91),30)/30))))*Piano_SS!$D$9,0))</f>
        <v>40000</v>
      </c>
      <c r="BZ116" s="15" t="n">
        <f aca="false">MIN(Piano_SS!$C$10,(BZ115)+IF(AND(Motore_Operativo!C116&gt;=EDATE(Parametri_v3!$C$24,Ipotesi!D14*12),Motore_Operativo!C116&lt;EDATE(Parametri_v3!$C$24,Parametri_v3!$C$25+Ipotesi!D14*12)),MAX(0,(IF(52-(INT((Ipotesi!$C$91)/30))&lt;1,0,INDEX(Motore_Operativo!$BO$65:$BO$124,MAX(1,52-(INT((Ipotesi!$C$91)/30)))))*(1-(MOD((Ipotesi!$C$91),30)/30))+IF(52-(INT((Ipotesi!$C$91)/30))-1&lt;1,0,INDEX(Motore_Operativo!$BO$65:$BO$124,MAX(1,52-(INT((Ipotesi!$C$91)/30))-1)))*(MOD((Ipotesi!$C$91),30)/30)))*Piano_SS!$D$10,0))</f>
        <v>30000</v>
      </c>
      <c r="CA116" s="15" t="n">
        <f aca="false">SUM(BV116:BZ116)</f>
        <v>461058.923007084</v>
      </c>
      <c r="CB116" s="15" t="n">
        <f aca="false">BV116*(1-Piano_SS!$E$6)+BW116*(1-Piano_SS!$E$7)+BX116*(1-Piano_SS!$E$8)+BY116*(1-Piano_SS!$E$9)+BZ116*(1-Piano_SS!$E$10)</f>
        <v>431058.923007084</v>
      </c>
      <c r="CC116" s="15" t="n">
        <f aca="false">(CC115)+BA116</f>
        <v>368847.138405667</v>
      </c>
      <c r="CD116" s="15" t="n">
        <f aca="false">IF(CA116=0,0,CC116*CB116/CA116*Ipotesi!$C$103*Parametri_v3!$C$64)</f>
        <v>103454.1415217</v>
      </c>
      <c r="CE116" s="18" t="n">
        <f aca="false">IF(BA116&gt;0,Motore_Operativo!C116,(CE115))</f>
        <v>47270</v>
      </c>
      <c r="CF116" s="18" t="n">
        <f aca="false">IF(AND(CC116&gt;0,OR(CC116&gt;=CG116-0.01,Motore_Operativo!C116&gt;=EDATE(MAX(Finanziamenti!$D$15:$D$17),Ipotesi!D14*12))),CE116,0)</f>
        <v>47270</v>
      </c>
      <c r="CG116" s="15" t="n">
        <f aca="false">IF(AND(2&lt;&gt;6,2&lt;&gt;9,Finanziamenti!$F$11=1,OR(Parametri_v3!$C$6=0,Finanziamenti!$E$11=1)),MIN(Finanziamenti!$C$11,Piano_SS!$C$12*Ipotesi!$C$102),0)</f>
        <v>400000</v>
      </c>
      <c r="CH116" s="15" t="n">
        <f aca="false">IF(AND(AND(2&lt;&gt;8,2&lt;&gt;9,Finanziamenti!$F$10=1,OR(Parametri_v3!$C$6=0,Finanziamenti!$E$10=1)),Motore_Operativo!C116&gt;=Finanziamenti!$D$10,Motore_Operativo!C116&lt;Parametri_v3!$C$63),Finanziamenti!$C$10,0)</f>
        <v>150000</v>
      </c>
    </row>
    <row r="117" customFormat="false" ht="18" hidden="false" customHeight="true" outlineLevel="0" collapsed="false">
      <c r="A117" s="68" t="n">
        <f aca="false">2</f>
        <v>2</v>
      </c>
      <c r="B117" s="68" t="n">
        <f aca="false">53</f>
        <v>53</v>
      </c>
      <c r="C117" s="18" t="n">
        <f aca="false">Motore_Operativo!C117</f>
        <v>47969</v>
      </c>
      <c r="D117" s="68" t="n">
        <f aca="false">Motore_Operativo!D117</f>
        <v>2031</v>
      </c>
      <c r="E117" s="68" t="n">
        <f aca="false">Motore_Operativo!E117</f>
        <v>5</v>
      </c>
      <c r="F117" s="15" t="n">
        <f aca="false">Motore_Operativo!AQ117+Motore_Operativo!BF117</f>
        <v>182994.354234665</v>
      </c>
      <c r="G117" s="15" t="n">
        <f aca="false">Motore_Operativo!BH117</f>
        <v>11595.8333333333</v>
      </c>
      <c r="H117" s="15" t="n">
        <f aca="false">Motore_Operativo!BI117</f>
        <v>194590.187567998</v>
      </c>
      <c r="I117" s="15" t="n">
        <f aca="false">Motore_Operativo!CA117</f>
        <v>198278.579580353</v>
      </c>
      <c r="J117" s="15" t="n">
        <f aca="false">Motore_Operativo!CC117</f>
        <v>-3688.39201235518</v>
      </c>
      <c r="K117" s="15" t="n">
        <f aca="false">Motore_Operativo!CE117</f>
        <v>4166.66666666667</v>
      </c>
      <c r="L117" s="15" t="n">
        <f aca="false">SUM(INDEX($K$65:$K$124,MAX(1,53-Parametri_v3!$C$59+1)):K117)/Parametri_v3!$C$59</f>
        <v>2928.24074074074</v>
      </c>
      <c r="M117" s="15" t="n">
        <f aca="false">J117-L117</f>
        <v>-6616.63275309592</v>
      </c>
      <c r="N117" s="15" t="n">
        <f aca="false">CD117-(CD116)</f>
        <v>0</v>
      </c>
      <c r="O117" s="15" t="n">
        <f aca="false">(BG116)*Ipotesi!$C$110/12+CH117*Parametri_v3!$C$39/12</f>
        <v>668.554559063329</v>
      </c>
      <c r="P117" s="15" t="n">
        <f aca="false">M117+N117-O117</f>
        <v>-7285.18731215925</v>
      </c>
      <c r="Q117" s="15" t="n">
        <f aca="false">SUM(P113:P117)+Parametri_v3!$C$54*5/12</f>
        <v>-60898.8562247765</v>
      </c>
      <c r="R117" s="15" t="n">
        <f aca="false">Z112</f>
        <v>1007520.29624424</v>
      </c>
      <c r="S117" s="15" t="n">
        <f aca="false">AA112</f>
        <v>307724.845970214</v>
      </c>
      <c r="T117" s="15" t="n">
        <f aca="false">MIN(R117,MAX(0,Q117))</f>
        <v>0</v>
      </c>
      <c r="U117" s="15" t="n">
        <f aca="false">MIN(S117,MAX(0,Q117-T117)*Parametri_v3!$C$42)</f>
        <v>0</v>
      </c>
      <c r="V117" s="15" t="n">
        <f aca="false">MAX(0,Q117-T117-U117)*Ipotesi!$C$92</f>
        <v>0</v>
      </c>
      <c r="W117" s="15" t="n">
        <f aca="false">MAX(0,SUM(M113:M117)+Parametri_v3!$C$55*5/12)*Ipotesi!$C$93</f>
        <v>0</v>
      </c>
      <c r="X117" s="15" t="n">
        <f aca="false">V117+W117-(V116+W116)</f>
        <v>0</v>
      </c>
      <c r="Y117" s="15" t="n">
        <f aca="false">P117-X117</f>
        <v>-7285.18731215925</v>
      </c>
      <c r="Z117" s="15" t="n">
        <f aca="false">R117-T117+IF(AND(Parametri_v3!$C$40=1,D117-YEAR(Parametri_v3!$C$50)&lt;Parametri_v3!$C$41),MAX(0,-Q117),0)</f>
        <v>1007520.29624424</v>
      </c>
      <c r="AA117" s="15" t="n">
        <f aca="false">S117-U117+IF(AND(Parametri_v3!$C$40=1,D117-YEAR(Parametri_v3!$C$50)&lt;Parametri_v3!$C$41),0,MAX(0,-Q117))</f>
        <v>368623.702194991</v>
      </c>
      <c r="AB117" s="15" t="n">
        <f aca="false">F117*(1+Parametri_v3!$C$26)</f>
        <v>223253.112166291</v>
      </c>
      <c r="AC117" s="15" t="n">
        <f aca="false">(IF(53-(INT((Motore_Operativo!L117)/30))&lt;1,0,INDEX(Motore_Startup!$AB$65:$AB$124,MAX(1,53-(INT((Motore_Operativo!L117)/30)))))*(1-(MOD((Motore_Operativo!L117),30)/30))+IF(53-(INT((Motore_Operativo!L117)/30))-1&lt;1,0,INDEX(Motore_Startup!$AB$65:$AB$124,MAX(1,53-(INT((Motore_Operativo!L117)/30))-1)))*(MOD((Motore_Operativo!L117),30)/30))</f>
        <v>212091.592022539</v>
      </c>
      <c r="AD117" s="15" t="n">
        <f aca="false">(AD116)+AB117-AC117</f>
        <v>657562.398903747</v>
      </c>
      <c r="AE117" s="15" t="n">
        <f aca="false">Motore_Operativo!BH117*(1+Parametri_v3!$C$26)</f>
        <v>14146.9166666667</v>
      </c>
      <c r="AF117" s="15" t="n">
        <f aca="false">(IF(53-(INT((Parametri_v3!$C$29)/30))&lt;1,0,INDEX(Motore_Operativo!$BH$65:$BH$124,MAX(1,53-(INT((Parametri_v3!$C$29)/30)))))*(1-(MOD((Parametri_v3!$C$29),30)/30))+IF(53-(INT((Parametri_v3!$C$29)/30))-1&lt;1,0,INDEX(Motore_Operativo!$BH$65:$BH$124,MAX(1,53-(INT((Parametri_v3!$C$29)/30))-1)))*(MOD((Parametri_v3!$C$29),30)/30))*(1+Parametri_v3!$C$26)</f>
        <v>14146.9166666667</v>
      </c>
      <c r="AG117" s="15" t="n">
        <f aca="false">(AG116)+AE117-AF117</f>
        <v>14146.9166666667</v>
      </c>
      <c r="AH117" s="15" t="n">
        <f aca="false">(Motore_Operativo!CJ117)*(1+Parametri_v3!$C$27*Parametri_v3!$C$26)</f>
        <v>93537.0852450499</v>
      </c>
      <c r="AI117" s="15" t="n">
        <f aca="false">(IF(53-(INT((Ipotesi!$C$91)/30))&lt;1,0,INDEX(Motore_Startup!$AH$65:$AH$124,MAX(1,53-(INT((Ipotesi!$C$91)/30)))))*(1-(MOD((Ipotesi!$C$91),30)/30))+IF(53-(INT((Ipotesi!$C$91)/30))-1&lt;1,0,INDEX(Motore_Startup!$AH$65:$AH$124,MAX(1,53-(INT((Ipotesi!$C$91)/30))-1)))*(MOD((Ipotesi!$C$91),30)/30))</f>
        <v>92452.8997186419</v>
      </c>
      <c r="AJ117" s="15" t="n">
        <f aca="false">(AJ116)+AH117-AI117</f>
        <v>186496.973156215</v>
      </c>
      <c r="AK117" s="15" t="n">
        <f aca="false">(F117+ Motore_Operativo!BH117-(Motore_Operativo!CJ117)*Parametri_v3!$C$27-Motore_Operativo!CE117)*Parametri_v3!$C$26</f>
        <v>27157.3406127627</v>
      </c>
      <c r="AL117" s="15" t="n">
        <f aca="false">MAX(0,(AM116))</f>
        <v>26484.1405450431</v>
      </c>
      <c r="AM117" s="15" t="n">
        <f aca="false">(AM116)+AK117-AL117</f>
        <v>27157.3406127627</v>
      </c>
      <c r="AN117" s="15" t="n">
        <f aca="false">SUM(X101:X112)</f>
        <v>0</v>
      </c>
      <c r="AO117" s="15" t="n">
        <f aca="false">SUM(AP101:AP112)</f>
        <v>0</v>
      </c>
      <c r="AP117" s="15" t="n">
        <f aca="false">MAX(0,AN117)*IF(5=Parametri_v3!$C$43,Parametri_v3!$C$45,IF(5=Parametri_v3!$C$44,1-Parametri_v3!$C$45,0))</f>
        <v>0</v>
      </c>
      <c r="AQ117" s="15" t="n">
        <f aca="false">MAX(0,AP117+IF(5=Parametri_v3!$C$43,MAX(0,AN117-AO117),0)-MAX(0,-(AR116)))</f>
        <v>0</v>
      </c>
      <c r="AR117" s="15" t="n">
        <f aca="false">(AR116)+X117-AQ117</f>
        <v>0</v>
      </c>
      <c r="AS117" s="15" t="n">
        <f aca="false">Motore_Operativo!AB117-AT117+AU117</f>
        <v>113503.461904792</v>
      </c>
      <c r="AT117" s="15" t="n">
        <f aca="false">Motore_Operativo!CH117</f>
        <v>5973.86641604167</v>
      </c>
      <c r="AU117" s="15" t="n">
        <f aca="false">MIN(MAX(0,(AV116)+AT117),Parametri_v3!$C$60/12)</f>
        <v>0</v>
      </c>
      <c r="AV117" s="15" t="n">
        <f aca="false">(AV116)+AT117-AU117</f>
        <v>166924.882455208</v>
      </c>
      <c r="AW117" s="15" t="n">
        <f aca="false">IF(AND(Motore_Operativo!C117=Finanziamenti!$D$6,Finanziamenti!$F$6=1),Finanziamenti!$C$6,0)</f>
        <v>0</v>
      </c>
      <c r="AX117" s="15" t="n">
        <f aca="false">IF(AND(2&lt;&gt;7,2&lt;&gt;9,Finanziamenti!$F$8=1,OR(Parametri_v3!$C$6=0,Finanziamenti!$E$8=1),Motore_Operativo!C117=EDATE(Finanziamenti!$D$8,Ipotesi!D15*12)),Finanziamenti!$C$8*1,0)+IF(AND(2&lt;&gt;7,2&lt;&gt;9,Finanziamenti!$F$9=1,OR(Parametri_v3!$C$6=0,Finanziamenti!$E$9=1),Motore_Operativo!C117=EDATE(Finanziamenti!$D$9,Ipotesi!D15*12)),Finanziamenti!$C$9*Ipotesi!D16,0)</f>
        <v>0</v>
      </c>
      <c r="AY117" s="15" t="n">
        <f aca="false">0</f>
        <v>0</v>
      </c>
      <c r="AZ117" s="15" t="n">
        <f aca="false">Motore_Advisory!AY117*(1-Ipotesi!$C$95)*Ipotesi!$C$96</f>
        <v>0</v>
      </c>
      <c r="BA117" s="15" t="n">
        <f aca="false">MAX(0,MIN(CG117*MIN(1,IF(Motore_Operativo!C117&gt;=EDATE(Finanziamenti!$D$15,Ipotesi!D14*12),Finanziamenti!$C$15,0)+IF(Motore_Operativo!C117&gt;=EDATE(Finanziamenti!$D$16,Ipotesi!D14*12),Finanziamenti!$C$16,0)+IF(Motore_Operativo!C117&gt;=EDATE(Finanziamenti!$D$17,Ipotesi!D14*12),Finanziamenti!$C$17,0)),CA117*Ipotesi!$C$102)-(CC116))</f>
        <v>0</v>
      </c>
      <c r="BB117" s="15" t="n">
        <f aca="false">IF(AND(CF117&gt;0,Motore_Operativo!C117&gt;=IF(CF117=0,0,EDATE(CF117,Parametri_v3!$C$37)),MOD(((D117-YEAR(IF(CF117=0,0,EDATE(CF117,Parametri_v3!$C$37))))*12+E117-MONTH(IF(CF117=0,0,EDATE(CF117,Parametri_v3!$C$37)))),Parametri_v3!$C$38)=0),MIN(MAX(0,(BC116)+BA117-N117),(CC117-CD117)/(Ipotesi!$C$108*12/Parametri_v3!$C$38)),0)</f>
        <v>0</v>
      </c>
      <c r="BC117" s="15" t="n">
        <f aca="false">(BC116)+BA117-N117-BB117</f>
        <v>238853.69719557</v>
      </c>
      <c r="BD117" s="15" t="n">
        <f aca="false">(BH116)+AC117+AF117-AI117-AS117-K117*(1+Parametri_v3!$C$26)-AL117-AQ117-O117+AW117+AX117+AZ117+BA117-BB117</f>
        <v>13046.1186283328</v>
      </c>
      <c r="BE117" s="15" t="n">
        <f aca="false">MAX(0,MIN(MAX(0,CH117-(BG116)),Parametri_v3!$C$30-BD117))</f>
        <v>11953.8813716672</v>
      </c>
      <c r="BF117" s="15" t="n">
        <f aca="false">IF(Motore_Operativo!C117&gt;=Parametri_v3!$C$63,(BG116),MIN((BG116),MAX(0,BD117-Parametri_v3!$C$30)))</f>
        <v>0</v>
      </c>
      <c r="BG117" s="15" t="n">
        <f aca="false">(BG116)+BE117-BF117</f>
        <v>145664.793184333</v>
      </c>
      <c r="BH117" s="15" t="n">
        <f aca="false">BD117+BE117-BF117-AY117</f>
        <v>25000</v>
      </c>
      <c r="BI117" s="15" t="n">
        <f aca="false">MAX(0,Parametri_v3!$C$30-BH117)</f>
        <v>0</v>
      </c>
      <c r="BJ117" s="15" t="n">
        <f aca="false">(BJ116)+K117</f>
        <v>135833.333333333</v>
      </c>
      <c r="BK117" s="15" t="n">
        <f aca="false">(BK116)+L117</f>
        <v>77881.9444444445</v>
      </c>
      <c r="BL117" s="15" t="n">
        <f aca="false">BJ117-BK117</f>
        <v>57951.3888888888</v>
      </c>
      <c r="BM117" s="15" t="n">
        <f aca="false">(BM116)+Y117</f>
        <v>-1376143.99843923</v>
      </c>
      <c r="BN117" s="15" t="n">
        <f aca="false">(BN116)+AW117+AX117+AZ117</f>
        <v>1365707.01629444</v>
      </c>
      <c r="BO117" s="15" t="n">
        <f aca="false">(BO116)+AY117</f>
        <v>0</v>
      </c>
      <c r="BP117" s="15" t="n">
        <f aca="false">0</f>
        <v>0</v>
      </c>
      <c r="BQ117" s="15" t="n">
        <f aca="false">BN117+BM117-BO117</f>
        <v>-10436.9821447846</v>
      </c>
      <c r="BR117" s="15" t="n">
        <f aca="false">BH117+AD117+BL117+MAX(0,-AM117)+MAX(0,-AR117)+AG117</f>
        <v>754660.704459303</v>
      </c>
      <c r="BS117" s="15" t="n">
        <f aca="false">AJ117+AV117+MAX(0,AM117)+MAX(0,AR117)+BC117+BG117+BQ117</f>
        <v>754660.704459304</v>
      </c>
      <c r="BT117" s="15" t="n">
        <f aca="false">BR117-BS117</f>
        <v>0</v>
      </c>
      <c r="BU117" s="15" t="n">
        <f aca="false">BH117-(BD117+BE117-BF117-AY117)</f>
        <v>0</v>
      </c>
      <c r="BV117" s="15" t="n">
        <f aca="false">MIN(Piano_SS!$C$6,(BV116)+IF(AND(Motore_Operativo!C117&gt;=EDATE(Parametri_v3!$C$24,Ipotesi!D14*12),Motore_Operativo!C117&lt;EDATE(Parametri_v3!$C$24,Parametri_v3!$C$25+Ipotesi!D14*12)),MAX(0,(Motore_Operativo!Y117+Motore_Operativo!X117*Parametri_v3!$C$14)*(1-Parametri_v3!$C$32))*Piano_SS!$D$6,0))</f>
        <v>300000</v>
      </c>
      <c r="BW117" s="15" t="n">
        <f aca="false">MIN(Piano_SS!$C$7,(BW116)+IF(AND(Motore_Operativo!C117&gt;=EDATE(Parametri_v3!$C$24,Ipotesi!D14*12),Motore_Operativo!C117&lt;EDATE(Parametri_v3!$C$24,Parametri_v3!$C$25+Ipotesi!D14*12)),MAX(0,(IF(53-(INT((Ipotesi!$C$91)/30))&lt;1,0,INDEX(Motore_Operativo!$BN$65:$BN$124,MAX(1,53-(INT((Ipotesi!$C$91)/30)))))*(1-(MOD((Ipotesi!$C$91),30)/30))+IF(53-(INT((Ipotesi!$C$91)/30))-1&lt;1,0,INDEX(Motore_Operativo!$BN$65:$BN$124,MAX(1,53-(INT((Ipotesi!$C$91)/30))-1)))*(MOD((Ipotesi!$C$91),30)/30)))*Piano_SS!$D$7,0))</f>
        <v>41058.9230070837</v>
      </c>
      <c r="BX117" s="15" t="n">
        <f aca="false">MIN(Piano_SS!$C$8,(BX116)+IF(AND(Motore_Operativo!C117&gt;=EDATE(Parametri_v3!$C$24,Ipotesi!D14*12),Motore_Operativo!C117&lt;EDATE(Parametri_v3!$C$24,Parametri_v3!$C$25+Ipotesi!D14*12)),MAX(0,Motore_Operativo!CE117)*Piano_SS!$D$8,0))</f>
        <v>50000</v>
      </c>
      <c r="BY117" s="15" t="n">
        <f aca="false">MIN(Piano_SS!$C$9,(BY116)+IF(AND(Motore_Operativo!C117&gt;=EDATE(Parametri_v3!$C$24,Ipotesi!D14*12),Motore_Operativo!C117&lt;EDATE(Parametri_v3!$C$24,Parametri_v3!$C$25+Ipotesi!D14*12)),MAX(0,((IF(53-(INT((Ipotesi!$C$91)/30))&lt;1,0,INDEX(Motore_Operativo!$BQ$65:$BQ$124,MAX(1,53-(INT((Ipotesi!$C$91)/30)))))*(1-(MOD((Ipotesi!$C$91),30)/30))+IF(53-(INT((Ipotesi!$C$91)/30))-1&lt;1,0,INDEX(Motore_Operativo!$BQ$65:$BQ$124,MAX(1,53-(INT((Ipotesi!$C$91)/30))-1)))*(MOD((Ipotesi!$C$91),30)/30))+(IF(53-(INT((Ipotesi!$C$91)/30))&lt;1,0,INDEX(Motore_Operativo!$BR$65:$BR$124,MAX(1,53-(INT((Ipotesi!$C$91)/30)))))*(1-(MOD((Ipotesi!$C$91),30)/30))+IF(53-(INT((Ipotesi!$C$91)/30))-1&lt;1,0,INDEX(Motore_Operativo!$BR$65:$BR$124,MAX(1,53-(INT((Ipotesi!$C$91)/30))-1)))*(MOD((Ipotesi!$C$91),30)/30))))*Piano_SS!$D$9,0))</f>
        <v>40000</v>
      </c>
      <c r="BZ117" s="15" t="n">
        <f aca="false">MIN(Piano_SS!$C$10,(BZ116)+IF(AND(Motore_Operativo!C117&gt;=EDATE(Parametri_v3!$C$24,Ipotesi!D14*12),Motore_Operativo!C117&lt;EDATE(Parametri_v3!$C$24,Parametri_v3!$C$25+Ipotesi!D14*12)),MAX(0,(IF(53-(INT((Ipotesi!$C$91)/30))&lt;1,0,INDEX(Motore_Operativo!$BO$65:$BO$124,MAX(1,53-(INT((Ipotesi!$C$91)/30)))))*(1-(MOD((Ipotesi!$C$91),30)/30))+IF(53-(INT((Ipotesi!$C$91)/30))-1&lt;1,0,INDEX(Motore_Operativo!$BO$65:$BO$124,MAX(1,53-(INT((Ipotesi!$C$91)/30))-1)))*(MOD((Ipotesi!$C$91),30)/30)))*Piano_SS!$D$10,0))</f>
        <v>30000</v>
      </c>
      <c r="CA117" s="15" t="n">
        <f aca="false">SUM(BV117:BZ117)</f>
        <v>461058.923007084</v>
      </c>
      <c r="CB117" s="15" t="n">
        <f aca="false">BV117*(1-Piano_SS!$E$6)+BW117*(1-Piano_SS!$E$7)+BX117*(1-Piano_SS!$E$8)+BY117*(1-Piano_SS!$E$9)+BZ117*(1-Piano_SS!$E$10)</f>
        <v>431058.923007084</v>
      </c>
      <c r="CC117" s="15" t="n">
        <f aca="false">(CC116)+BA117</f>
        <v>368847.138405667</v>
      </c>
      <c r="CD117" s="15" t="n">
        <f aca="false">IF(CA117=0,0,CC117*CB117/CA117*Ipotesi!$C$103*Parametri_v3!$C$64)</f>
        <v>103454.1415217</v>
      </c>
      <c r="CE117" s="18" t="n">
        <f aca="false">IF(BA117&gt;0,Motore_Operativo!C117,(CE116))</f>
        <v>47270</v>
      </c>
      <c r="CF117" s="18" t="n">
        <f aca="false">IF(AND(CC117&gt;0,OR(CC117&gt;=CG117-0.01,Motore_Operativo!C117&gt;=EDATE(MAX(Finanziamenti!$D$15:$D$17),Ipotesi!D14*12))),CE117,0)</f>
        <v>47270</v>
      </c>
      <c r="CG117" s="15" t="n">
        <f aca="false">IF(AND(2&lt;&gt;6,2&lt;&gt;9,Finanziamenti!$F$11=1,OR(Parametri_v3!$C$6=0,Finanziamenti!$E$11=1)),MIN(Finanziamenti!$C$11,Piano_SS!$C$12*Ipotesi!$C$102),0)</f>
        <v>400000</v>
      </c>
      <c r="CH117" s="15" t="n">
        <f aca="false">IF(AND(AND(2&lt;&gt;8,2&lt;&gt;9,Finanziamenti!$F$10=1,OR(Parametri_v3!$C$6=0,Finanziamenti!$E$10=1)),Motore_Operativo!C117&gt;=Finanziamenti!$D$10,Motore_Operativo!C117&lt;Parametri_v3!$C$63),Finanziamenti!$C$10,0)</f>
        <v>150000</v>
      </c>
    </row>
    <row r="118" customFormat="false" ht="18" hidden="false" customHeight="true" outlineLevel="0" collapsed="false">
      <c r="A118" s="68" t="n">
        <f aca="false">2</f>
        <v>2</v>
      </c>
      <c r="B118" s="68" t="n">
        <f aca="false">54</f>
        <v>54</v>
      </c>
      <c r="C118" s="18" t="n">
        <f aca="false">Motore_Operativo!C118</f>
        <v>48000</v>
      </c>
      <c r="D118" s="68" t="n">
        <f aca="false">Motore_Operativo!D118</f>
        <v>2031</v>
      </c>
      <c r="E118" s="68" t="n">
        <f aca="false">Motore_Operativo!E118</f>
        <v>6</v>
      </c>
      <c r="F118" s="15" t="n">
        <f aca="false">Motore_Operativo!AQ118+Motore_Operativo!BF118</f>
        <v>186437.317884613</v>
      </c>
      <c r="G118" s="15" t="n">
        <f aca="false">Motore_Operativo!BH118</f>
        <v>11595.8333333333</v>
      </c>
      <c r="H118" s="15" t="n">
        <f aca="false">Motore_Operativo!BI118</f>
        <v>198033.151217946</v>
      </c>
      <c r="I118" s="15" t="n">
        <f aca="false">Motore_Operativo!CA118</f>
        <v>198760.594491346</v>
      </c>
      <c r="J118" s="15" t="n">
        <f aca="false">Motore_Operativo!CC118</f>
        <v>-727.443273399869</v>
      </c>
      <c r="K118" s="15" t="n">
        <f aca="false">Motore_Operativo!CE118</f>
        <v>4166.66666666667</v>
      </c>
      <c r="L118" s="15" t="n">
        <f aca="false">SUM(INDEX($K$65:$K$124,MAX(1,54-Parametri_v3!$C$59+1)):K118)/Parametri_v3!$C$59</f>
        <v>2986.11111111111</v>
      </c>
      <c r="M118" s="15" t="n">
        <f aca="false">J118-L118</f>
        <v>-3713.55438451098</v>
      </c>
      <c r="N118" s="15" t="n">
        <f aca="false">CD118-(CD117)</f>
        <v>0</v>
      </c>
      <c r="O118" s="15" t="n">
        <f aca="false">(BG117)*Ipotesi!$C$110/12+CH118*Parametri_v3!$C$39/12</f>
        <v>728.323965921665</v>
      </c>
      <c r="P118" s="15" t="n">
        <f aca="false">M118+N118-O118</f>
        <v>-4441.87835043265</v>
      </c>
      <c r="Q118" s="15" t="n">
        <f aca="false">SUM(P113:P118)+Parametri_v3!$C$54*6/12</f>
        <v>-65340.7345752092</v>
      </c>
      <c r="R118" s="15" t="n">
        <f aca="false">Z112</f>
        <v>1007520.29624424</v>
      </c>
      <c r="S118" s="15" t="n">
        <f aca="false">AA112</f>
        <v>307724.845970214</v>
      </c>
      <c r="T118" s="15" t="n">
        <f aca="false">MIN(R118,MAX(0,Q118))</f>
        <v>0</v>
      </c>
      <c r="U118" s="15" t="n">
        <f aca="false">MIN(S118,MAX(0,Q118-T118)*Parametri_v3!$C$42)</f>
        <v>0</v>
      </c>
      <c r="V118" s="15" t="n">
        <f aca="false">MAX(0,Q118-T118-U118)*Ipotesi!$C$92</f>
        <v>0</v>
      </c>
      <c r="W118" s="15" t="n">
        <f aca="false">MAX(0,SUM(M113:M118)+Parametri_v3!$C$55*6/12)*Ipotesi!$C$93</f>
        <v>0</v>
      </c>
      <c r="X118" s="15" t="n">
        <f aca="false">V118+W118-(V117+W117)</f>
        <v>0</v>
      </c>
      <c r="Y118" s="15" t="n">
        <f aca="false">P118-X118</f>
        <v>-4441.87835043265</v>
      </c>
      <c r="Z118" s="15" t="n">
        <f aca="false">R118-T118+IF(AND(Parametri_v3!$C$40=1,D118-YEAR(Parametri_v3!$C$50)&lt;Parametri_v3!$C$41),MAX(0,-Q118),0)</f>
        <v>1007520.29624424</v>
      </c>
      <c r="AA118" s="15" t="n">
        <f aca="false">S118-U118+IF(AND(Parametri_v3!$C$40=1,D118-YEAR(Parametri_v3!$C$50)&lt;Parametri_v3!$C$41),0,MAX(0,-Q118))</f>
        <v>373065.580545423</v>
      </c>
      <c r="AB118" s="15" t="n">
        <f aca="false">F118*(1+Parametri_v3!$C$26)</f>
        <v>227453.527819227</v>
      </c>
      <c r="AC118" s="15" t="n">
        <f aca="false">(IF(54-(INT((Motore_Operativo!L118)/30))&lt;1,0,INDEX(Motore_Startup!$AB$65:$AB$124,MAX(1,54-(INT((Motore_Operativo!L118)/30)))))*(1-(MOD((Motore_Operativo!L118),30)/30))+IF(54-(INT((Motore_Operativo!L118)/30))-1&lt;1,0,INDEX(Motore_Startup!$AB$65:$AB$124,MAX(1,54-(INT((Motore_Operativo!L118)/30))-1)))*(MOD((Motore_Operativo!L118),30)/30))</f>
        <v>215293.63243216</v>
      </c>
      <c r="AD118" s="15" t="n">
        <f aca="false">(AD117)+AB118-AC118</f>
        <v>669722.294290815</v>
      </c>
      <c r="AE118" s="15" t="n">
        <f aca="false">Motore_Operativo!BH118*(1+Parametri_v3!$C$26)</f>
        <v>14146.9166666667</v>
      </c>
      <c r="AF118" s="15" t="n">
        <f aca="false">(IF(54-(INT((Parametri_v3!$C$29)/30))&lt;1,0,INDEX(Motore_Operativo!$BH$65:$BH$124,MAX(1,54-(INT((Parametri_v3!$C$29)/30)))))*(1-(MOD((Parametri_v3!$C$29),30)/30))+IF(54-(INT((Parametri_v3!$C$29)/30))-1&lt;1,0,INDEX(Motore_Operativo!$BH$65:$BH$124,MAX(1,54-(INT((Parametri_v3!$C$29)/30))-1)))*(MOD((Parametri_v3!$C$29),30)/30))*(1+Parametri_v3!$C$26)</f>
        <v>14146.9166666667</v>
      </c>
      <c r="AG118" s="15" t="n">
        <f aca="false">(AG117)+AE118-AF118</f>
        <v>14146.9166666667</v>
      </c>
      <c r="AH118" s="15" t="n">
        <f aca="false">(Motore_Operativo!CJ118)*(1+Parametri_v3!$C$27*Parametri_v3!$C$26)</f>
        <v>94109.2369443983</v>
      </c>
      <c r="AI118" s="15" t="n">
        <f aca="false">(IF(54-(INT((Ipotesi!$C$91)/30))&lt;1,0,INDEX(Motore_Startup!$AH$65:$AH$124,MAX(1,54-(INT((Ipotesi!$C$91)/30)))))*(1-(MOD((Ipotesi!$C$91),30)/30))+IF(54-(INT((Ipotesi!$C$91)/30))-1&lt;1,0,INDEX(Motore_Startup!$AH$65:$AH$124,MAX(1,54-(INT((Ipotesi!$C$91)/30))-1)))*(MOD((Ipotesi!$C$91),30)/30))</f>
        <v>92959.8879111646</v>
      </c>
      <c r="AJ118" s="15" t="n">
        <f aca="false">(AJ117)+AH118-AI118</f>
        <v>187646.322189448</v>
      </c>
      <c r="AK118" s="15" t="n">
        <f aca="false">(F118+ Motore_Operativo!BH118-(Motore_Operativo!CJ118)*Parametri_v3!$C$27-Motore_Operativo!CE118)*Parametri_v3!$C$26</f>
        <v>27824.6558273956</v>
      </c>
      <c r="AL118" s="15" t="n">
        <f aca="false">MAX(0,(AM117))</f>
        <v>27157.3406127627</v>
      </c>
      <c r="AM118" s="15" t="n">
        <f aca="false">(AM117)+AK118-AL118</f>
        <v>27824.6558273956</v>
      </c>
      <c r="AN118" s="15" t="n">
        <f aca="false">SUM(X101:X112)</f>
        <v>0</v>
      </c>
      <c r="AO118" s="15" t="n">
        <f aca="false">SUM(AP101:AP112)</f>
        <v>0</v>
      </c>
      <c r="AP118" s="15" t="n">
        <f aca="false">MAX(0,AN118)*IF(6=Parametri_v3!$C$43,Parametri_v3!$C$45,IF(6=Parametri_v3!$C$44,1-Parametri_v3!$C$45,0))</f>
        <v>0</v>
      </c>
      <c r="AQ118" s="15" t="n">
        <f aca="false">MAX(0,AP118+IF(6=Parametri_v3!$C$43,MAX(0,AN118-AO118),0)-MAX(0,-(AR117)))</f>
        <v>0</v>
      </c>
      <c r="AR118" s="15" t="n">
        <f aca="false">(AR117)+X118-AQ118</f>
        <v>0</v>
      </c>
      <c r="AS118" s="15" t="n">
        <f aca="false">Motore_Operativo!AB118-AT118+AU118</f>
        <v>113503.461904792</v>
      </c>
      <c r="AT118" s="15" t="n">
        <f aca="false">Motore_Operativo!CH118</f>
        <v>5973.86641604167</v>
      </c>
      <c r="AU118" s="15" t="n">
        <f aca="false">MIN(MAX(0,(AV117)+AT118),Parametri_v3!$C$60/12)</f>
        <v>0</v>
      </c>
      <c r="AV118" s="15" t="n">
        <f aca="false">(AV117)+AT118-AU118</f>
        <v>172898.74887125</v>
      </c>
      <c r="AW118" s="15" t="n">
        <f aca="false">IF(AND(Motore_Operativo!C118=Finanziamenti!$D$6,Finanziamenti!$F$6=1),Finanziamenti!$C$6,0)</f>
        <v>0</v>
      </c>
      <c r="AX118" s="15" t="n">
        <f aca="false">IF(AND(2&lt;&gt;7,2&lt;&gt;9,Finanziamenti!$F$8=1,OR(Parametri_v3!$C$6=0,Finanziamenti!$E$8=1),Motore_Operativo!C118=EDATE(Finanziamenti!$D$8,Ipotesi!D15*12)),Finanziamenti!$C$8*1,0)+IF(AND(2&lt;&gt;7,2&lt;&gt;9,Finanziamenti!$F$9=1,OR(Parametri_v3!$C$6=0,Finanziamenti!$E$9=1),Motore_Operativo!C118=EDATE(Finanziamenti!$D$9,Ipotesi!D15*12)),Finanziamenti!$C$9*Ipotesi!D16,0)</f>
        <v>0</v>
      </c>
      <c r="AY118" s="15" t="n">
        <f aca="false">0</f>
        <v>0</v>
      </c>
      <c r="AZ118" s="15" t="n">
        <f aca="false">Motore_Advisory!AY118*(1-Ipotesi!$C$95)*Ipotesi!$C$96</f>
        <v>69723.3931391231</v>
      </c>
      <c r="BA118" s="15" t="n">
        <f aca="false">MAX(0,MIN(CG118*MIN(1,IF(Motore_Operativo!C118&gt;=EDATE(Finanziamenti!$D$15,Ipotesi!D14*12),Finanziamenti!$C$15,0)+IF(Motore_Operativo!C118&gt;=EDATE(Finanziamenti!$D$16,Ipotesi!D14*12),Finanziamenti!$C$16,0)+IF(Motore_Operativo!C118&gt;=EDATE(Finanziamenti!$D$17,Ipotesi!D14*12),Finanziamenti!$C$17,0)),CA118*Ipotesi!$C$102)-(CC117))</f>
        <v>0</v>
      </c>
      <c r="BB118" s="15" t="n">
        <f aca="false">IF(AND(CF118&gt;0,Motore_Operativo!C118&gt;=IF(CF118=0,0,EDATE(CF118,Parametri_v3!$C$37)),MOD(((D118-YEAR(IF(CF118=0,0,EDATE(CF118,Parametri_v3!$C$37))))*12+E118-MONTH(IF(CF118=0,0,EDATE(CF118,Parametri_v3!$C$37)))),Parametri_v3!$C$38)=0),MIN(MAX(0,(BC117)+BA118-N118),(CC118-CD118)/(Ipotesi!$C$108*12/Parametri_v3!$C$38)),0)</f>
        <v>13269.6498441983</v>
      </c>
      <c r="BC118" s="15" t="n">
        <f aca="false">(BC117)+BA118-N118-BB118</f>
        <v>225584.047351372</v>
      </c>
      <c r="BD118" s="15" t="n">
        <f aca="false">(BH117)+AC118+AF118-AI118-AS118-K118*(1+Parametri_v3!$C$26)-AL118-AQ118-O118+AW118+AX118+AZ118+BA118-BB118</f>
        <v>71461.9446657775</v>
      </c>
      <c r="BE118" s="15" t="n">
        <f aca="false">MAX(0,MIN(MAX(0,CH118-(BG117)),Parametri_v3!$C$30-BD118))</f>
        <v>0</v>
      </c>
      <c r="BF118" s="15" t="n">
        <f aca="false">IF(Motore_Operativo!C118&gt;=Parametri_v3!$C$63,(BG117),MIN((BG117),MAX(0,BD118-Parametri_v3!$C$30)))</f>
        <v>46461.9446657775</v>
      </c>
      <c r="BG118" s="15" t="n">
        <f aca="false">(BG117)+BE118-BF118</f>
        <v>99202.8485185555</v>
      </c>
      <c r="BH118" s="15" t="n">
        <f aca="false">BD118+BE118-BF118-AY118</f>
        <v>25000</v>
      </c>
      <c r="BI118" s="15" t="n">
        <f aca="false">MAX(0,Parametri_v3!$C$30-BH118)</f>
        <v>0</v>
      </c>
      <c r="BJ118" s="15" t="n">
        <f aca="false">(BJ117)+K118</f>
        <v>140000</v>
      </c>
      <c r="BK118" s="15" t="n">
        <f aca="false">(BK117)+L118</f>
        <v>80868.0555555556</v>
      </c>
      <c r="BL118" s="15" t="n">
        <f aca="false">BJ118-BK118</f>
        <v>59131.9444444444</v>
      </c>
      <c r="BM118" s="15" t="n">
        <f aca="false">(BM117)+Y118</f>
        <v>-1380585.87678966</v>
      </c>
      <c r="BN118" s="15" t="n">
        <f aca="false">(BN117)+AW118+AX118+AZ118</f>
        <v>1435430.40943357</v>
      </c>
      <c r="BO118" s="15" t="n">
        <f aca="false">(BO117)+AY118</f>
        <v>0</v>
      </c>
      <c r="BP118" s="15" t="n">
        <f aca="false">0</f>
        <v>0</v>
      </c>
      <c r="BQ118" s="15" t="n">
        <f aca="false">BN118+BM118-BO118</f>
        <v>54844.5326439056</v>
      </c>
      <c r="BR118" s="15" t="n">
        <f aca="false">BH118+AD118+BL118+MAX(0,-AM118)+MAX(0,-AR118)+AG118</f>
        <v>768001.155401926</v>
      </c>
      <c r="BS118" s="15" t="n">
        <f aca="false">AJ118+AV118+MAX(0,AM118)+MAX(0,AR118)+BC118+BG118+BQ118</f>
        <v>768001.155401927</v>
      </c>
      <c r="BT118" s="15" t="n">
        <f aca="false">BR118-BS118</f>
        <v>0</v>
      </c>
      <c r="BU118" s="15" t="n">
        <f aca="false">BH118-(BD118+BE118-BF118-AY118)</f>
        <v>0</v>
      </c>
      <c r="BV118" s="15" t="n">
        <f aca="false">MIN(Piano_SS!$C$6,(BV117)+IF(AND(Motore_Operativo!C118&gt;=EDATE(Parametri_v3!$C$24,Ipotesi!D14*12),Motore_Operativo!C118&lt;EDATE(Parametri_v3!$C$24,Parametri_v3!$C$25+Ipotesi!D14*12)),MAX(0,(Motore_Operativo!Y118+Motore_Operativo!X118*Parametri_v3!$C$14)*(1-Parametri_v3!$C$32))*Piano_SS!$D$6,0))</f>
        <v>300000</v>
      </c>
      <c r="BW118" s="15" t="n">
        <f aca="false">MIN(Piano_SS!$C$7,(BW117)+IF(AND(Motore_Operativo!C118&gt;=EDATE(Parametri_v3!$C$24,Ipotesi!D14*12),Motore_Operativo!C118&lt;EDATE(Parametri_v3!$C$24,Parametri_v3!$C$25+Ipotesi!D14*12)),MAX(0,(IF(54-(INT((Ipotesi!$C$91)/30))&lt;1,0,INDEX(Motore_Operativo!$BN$65:$BN$124,MAX(1,54-(INT((Ipotesi!$C$91)/30)))))*(1-(MOD((Ipotesi!$C$91),30)/30))+IF(54-(INT((Ipotesi!$C$91)/30))-1&lt;1,0,INDEX(Motore_Operativo!$BN$65:$BN$124,MAX(1,54-(INT((Ipotesi!$C$91)/30))-1)))*(MOD((Ipotesi!$C$91),30)/30)))*Piano_SS!$D$7,0))</f>
        <v>41058.9230070837</v>
      </c>
      <c r="BX118" s="15" t="n">
        <f aca="false">MIN(Piano_SS!$C$8,(BX117)+IF(AND(Motore_Operativo!C118&gt;=EDATE(Parametri_v3!$C$24,Ipotesi!D14*12),Motore_Operativo!C118&lt;EDATE(Parametri_v3!$C$24,Parametri_v3!$C$25+Ipotesi!D14*12)),MAX(0,Motore_Operativo!CE118)*Piano_SS!$D$8,0))</f>
        <v>50000</v>
      </c>
      <c r="BY118" s="15" t="n">
        <f aca="false">MIN(Piano_SS!$C$9,(BY117)+IF(AND(Motore_Operativo!C118&gt;=EDATE(Parametri_v3!$C$24,Ipotesi!D14*12),Motore_Operativo!C118&lt;EDATE(Parametri_v3!$C$24,Parametri_v3!$C$25+Ipotesi!D14*12)),MAX(0,((IF(54-(INT((Ipotesi!$C$91)/30))&lt;1,0,INDEX(Motore_Operativo!$BQ$65:$BQ$124,MAX(1,54-(INT((Ipotesi!$C$91)/30)))))*(1-(MOD((Ipotesi!$C$91),30)/30))+IF(54-(INT((Ipotesi!$C$91)/30))-1&lt;1,0,INDEX(Motore_Operativo!$BQ$65:$BQ$124,MAX(1,54-(INT((Ipotesi!$C$91)/30))-1)))*(MOD((Ipotesi!$C$91),30)/30))+(IF(54-(INT((Ipotesi!$C$91)/30))&lt;1,0,INDEX(Motore_Operativo!$BR$65:$BR$124,MAX(1,54-(INT((Ipotesi!$C$91)/30)))))*(1-(MOD((Ipotesi!$C$91),30)/30))+IF(54-(INT((Ipotesi!$C$91)/30))-1&lt;1,0,INDEX(Motore_Operativo!$BR$65:$BR$124,MAX(1,54-(INT((Ipotesi!$C$91)/30))-1)))*(MOD((Ipotesi!$C$91),30)/30))))*Piano_SS!$D$9,0))</f>
        <v>40000</v>
      </c>
      <c r="BZ118" s="15" t="n">
        <f aca="false">MIN(Piano_SS!$C$10,(BZ117)+IF(AND(Motore_Operativo!C118&gt;=EDATE(Parametri_v3!$C$24,Ipotesi!D14*12),Motore_Operativo!C118&lt;EDATE(Parametri_v3!$C$24,Parametri_v3!$C$25+Ipotesi!D14*12)),MAX(0,(IF(54-(INT((Ipotesi!$C$91)/30))&lt;1,0,INDEX(Motore_Operativo!$BO$65:$BO$124,MAX(1,54-(INT((Ipotesi!$C$91)/30)))))*(1-(MOD((Ipotesi!$C$91),30)/30))+IF(54-(INT((Ipotesi!$C$91)/30))-1&lt;1,0,INDEX(Motore_Operativo!$BO$65:$BO$124,MAX(1,54-(INT((Ipotesi!$C$91)/30))-1)))*(MOD((Ipotesi!$C$91),30)/30)))*Piano_SS!$D$10,0))</f>
        <v>30000</v>
      </c>
      <c r="CA118" s="15" t="n">
        <f aca="false">SUM(BV118:BZ118)</f>
        <v>461058.923007084</v>
      </c>
      <c r="CB118" s="15" t="n">
        <f aca="false">BV118*(1-Piano_SS!$E$6)+BW118*(1-Piano_SS!$E$7)+BX118*(1-Piano_SS!$E$8)+BY118*(1-Piano_SS!$E$9)+BZ118*(1-Piano_SS!$E$10)</f>
        <v>431058.923007084</v>
      </c>
      <c r="CC118" s="15" t="n">
        <f aca="false">(CC117)+BA118</f>
        <v>368847.138405667</v>
      </c>
      <c r="CD118" s="15" t="n">
        <f aca="false">IF(CA118=0,0,CC118*CB118/CA118*Ipotesi!$C$103*Parametri_v3!$C$64)</f>
        <v>103454.1415217</v>
      </c>
      <c r="CE118" s="18" t="n">
        <f aca="false">IF(BA118&gt;0,Motore_Operativo!C118,(CE117))</f>
        <v>47270</v>
      </c>
      <c r="CF118" s="18" t="n">
        <f aca="false">IF(AND(CC118&gt;0,OR(CC118&gt;=CG118-0.01,Motore_Operativo!C118&gt;=EDATE(MAX(Finanziamenti!$D$15:$D$17),Ipotesi!D14*12))),CE118,0)</f>
        <v>47270</v>
      </c>
      <c r="CG118" s="15" t="n">
        <f aca="false">IF(AND(2&lt;&gt;6,2&lt;&gt;9,Finanziamenti!$F$11=1,OR(Parametri_v3!$C$6=0,Finanziamenti!$E$11=1)),MIN(Finanziamenti!$C$11,Piano_SS!$C$12*Ipotesi!$C$102),0)</f>
        <v>400000</v>
      </c>
      <c r="CH118" s="15" t="n">
        <f aca="false">IF(AND(AND(2&lt;&gt;8,2&lt;&gt;9,Finanziamenti!$F$10=1,OR(Parametri_v3!$C$6=0,Finanziamenti!$E$10=1)),Motore_Operativo!C118&gt;=Finanziamenti!$D$10,Motore_Operativo!C118&lt;Parametri_v3!$C$63),Finanziamenti!$C$10,0)</f>
        <v>150000</v>
      </c>
    </row>
    <row r="119" customFormat="false" ht="18" hidden="false" customHeight="true" outlineLevel="0" collapsed="false">
      <c r="A119" s="68" t="n">
        <f aca="false">2</f>
        <v>2</v>
      </c>
      <c r="B119" s="68" t="n">
        <f aca="false">55</f>
        <v>55</v>
      </c>
      <c r="C119" s="18" t="n">
        <f aca="false">Motore_Operativo!C119</f>
        <v>48030</v>
      </c>
      <c r="D119" s="68" t="n">
        <f aca="false">Motore_Operativo!D119</f>
        <v>2031</v>
      </c>
      <c r="E119" s="68" t="n">
        <f aca="false">Motore_Operativo!E119</f>
        <v>7</v>
      </c>
      <c r="F119" s="15" t="n">
        <f aca="false">Motore_Operativo!AQ119+Motore_Operativo!BF119</f>
        <v>189850.184485802</v>
      </c>
      <c r="G119" s="15" t="n">
        <f aca="false">Motore_Operativo!BH119</f>
        <v>11595.8333333333</v>
      </c>
      <c r="H119" s="15" t="n">
        <f aca="false">Motore_Operativo!BI119</f>
        <v>201446.017819135</v>
      </c>
      <c r="I119" s="15" t="n">
        <f aca="false">Motore_Operativo!CA119</f>
        <v>199238.395815512</v>
      </c>
      <c r="J119" s="15" t="n">
        <f aca="false">Motore_Operativo!CC119</f>
        <v>2207.6220036227</v>
      </c>
      <c r="K119" s="15" t="n">
        <f aca="false">Motore_Operativo!CE119</f>
        <v>4166.66666666667</v>
      </c>
      <c r="L119" s="15" t="n">
        <f aca="false">SUM(INDEX($K$65:$K$124,MAX(1,55-Parametri_v3!$C$59+1)):K119)/Parametri_v3!$C$59</f>
        <v>3043.98148148148</v>
      </c>
      <c r="M119" s="15" t="n">
        <f aca="false">J119-L119</f>
        <v>-836.359477858779</v>
      </c>
      <c r="N119" s="15" t="n">
        <f aca="false">CD119-(CD118)</f>
        <v>0</v>
      </c>
      <c r="O119" s="15" t="n">
        <f aca="false">(BG118)*Ipotesi!$C$110/12+CH119*Parametri_v3!$C$39/12</f>
        <v>496.014242592777</v>
      </c>
      <c r="P119" s="15" t="n">
        <f aca="false">M119+N119-O119</f>
        <v>-1332.37372045156</v>
      </c>
      <c r="Q119" s="15" t="n">
        <f aca="false">SUM(P113:P119)+Parametri_v3!$C$54*7/12</f>
        <v>-66673.1082956607</v>
      </c>
      <c r="R119" s="15" t="n">
        <f aca="false">Z112</f>
        <v>1007520.29624424</v>
      </c>
      <c r="S119" s="15" t="n">
        <f aca="false">AA112</f>
        <v>307724.845970214</v>
      </c>
      <c r="T119" s="15" t="n">
        <f aca="false">MIN(R119,MAX(0,Q119))</f>
        <v>0</v>
      </c>
      <c r="U119" s="15" t="n">
        <f aca="false">MIN(S119,MAX(0,Q119-T119)*Parametri_v3!$C$42)</f>
        <v>0</v>
      </c>
      <c r="V119" s="15" t="n">
        <f aca="false">MAX(0,Q119-T119-U119)*Ipotesi!$C$92</f>
        <v>0</v>
      </c>
      <c r="W119" s="15" t="n">
        <f aca="false">MAX(0,SUM(M113:M119)+Parametri_v3!$C$55*7/12)*Ipotesi!$C$93</f>
        <v>0</v>
      </c>
      <c r="X119" s="15" t="n">
        <f aca="false">V119+W119-(V118+W118)</f>
        <v>0</v>
      </c>
      <c r="Y119" s="15" t="n">
        <f aca="false">P119-X119</f>
        <v>-1332.37372045156</v>
      </c>
      <c r="Z119" s="15" t="n">
        <f aca="false">R119-T119+IF(AND(Parametri_v3!$C$40=1,D119-YEAR(Parametri_v3!$C$50)&lt;Parametri_v3!$C$41),MAX(0,-Q119),0)</f>
        <v>1007520.29624424</v>
      </c>
      <c r="AA119" s="15" t="n">
        <f aca="false">S119-U119+IF(AND(Parametri_v3!$C$40=1,D119-YEAR(Parametri_v3!$C$50)&lt;Parametri_v3!$C$41),0,MAX(0,-Q119))</f>
        <v>374397.954265875</v>
      </c>
      <c r="AB119" s="15" t="n">
        <f aca="false">F119*(1+Parametri_v3!$C$26)</f>
        <v>231617.225072678</v>
      </c>
      <c r="AC119" s="15" t="n">
        <f aca="false">(IF(55-(INT((Motore_Operativo!L119)/30))&lt;1,0,INDEX(Motore_Startup!$AB$65:$AB$124,MAX(1,55-(INT((Motore_Operativo!L119)/30)))))*(1-(MOD((Motore_Operativo!L119),30)/30))+IF(55-(INT((Motore_Operativo!L119)/30))-1&lt;1,0,INDEX(Motore_Startup!$AB$65:$AB$124,MAX(1,55-(INT((Motore_Operativo!L119)/30))-1)))*(MOD((Motore_Operativo!L119),30)/30))</f>
        <v>219015.654305296</v>
      </c>
      <c r="AD119" s="15" t="n">
        <f aca="false">(AD118)+AB119-AC119</f>
        <v>682323.865058196</v>
      </c>
      <c r="AE119" s="15" t="n">
        <f aca="false">Motore_Operativo!BH119*(1+Parametri_v3!$C$26)</f>
        <v>14146.9166666667</v>
      </c>
      <c r="AF119" s="15" t="n">
        <f aca="false">(IF(55-(INT((Parametri_v3!$C$29)/30))&lt;1,0,INDEX(Motore_Operativo!$BH$65:$BH$124,MAX(1,55-(INT((Parametri_v3!$C$29)/30)))))*(1-(MOD((Parametri_v3!$C$29),30)/30))+IF(55-(INT((Parametri_v3!$C$29)/30))-1&lt;1,0,INDEX(Motore_Operativo!$BH$65:$BH$124,MAX(1,55-(INT((Parametri_v3!$C$29)/30))-1)))*(MOD((Parametri_v3!$C$29),30)/30))*(1+Parametri_v3!$C$26)</f>
        <v>14146.9166666667</v>
      </c>
      <c r="AG119" s="15" t="n">
        <f aca="false">(AG118)+AE119-AF119</f>
        <v>14146.9166666667</v>
      </c>
      <c r="AH119" s="15" t="n">
        <f aca="false">(Motore_Operativo!CJ119)*(1+Parametri_v3!$C$27*Parametri_v3!$C$26)</f>
        <v>94676.3871161839</v>
      </c>
      <c r="AI119" s="15" t="n">
        <f aca="false">(IF(55-(INT((Ipotesi!$C$91)/30))&lt;1,0,INDEX(Motore_Startup!$AH$65:$AH$124,MAX(1,55-(INT((Ipotesi!$C$91)/30)))))*(1-(MOD((Ipotesi!$C$91),30)/30))+IF(55-(INT((Ipotesi!$C$91)/30))-1&lt;1,0,INDEX(Motore_Startup!$AH$65:$AH$124,MAX(1,55-(INT((Ipotesi!$C$91)/30))-1)))*(MOD((Ipotesi!$C$91),30)/30))</f>
        <v>93537.0852450499</v>
      </c>
      <c r="AJ119" s="15" t="n">
        <f aca="false">(AJ118)+AH119-AI119</f>
        <v>188785.624060582</v>
      </c>
      <c r="AK119" s="15" t="n">
        <f aca="false">(F119+ Motore_Operativo!BH119-(Motore_Operativo!CJ119)*Parametri_v3!$C$27-Motore_Operativo!CE119)*Parametri_v3!$C$26</f>
        <v>28486.1376320381</v>
      </c>
      <c r="AL119" s="15" t="n">
        <f aca="false">MAX(0,(AM118))</f>
        <v>27824.6558273956</v>
      </c>
      <c r="AM119" s="15" t="n">
        <f aca="false">(AM118)+AK119-AL119</f>
        <v>28486.1376320381</v>
      </c>
      <c r="AN119" s="15" t="n">
        <f aca="false">SUM(X101:X112)</f>
        <v>0</v>
      </c>
      <c r="AO119" s="15" t="n">
        <f aca="false">SUM(AP101:AP112)</f>
        <v>0</v>
      </c>
      <c r="AP119" s="15" t="n">
        <f aca="false">MAX(0,AN119)*IF(7=Parametri_v3!$C$43,Parametri_v3!$C$45,IF(7=Parametri_v3!$C$44,1-Parametri_v3!$C$45,0))</f>
        <v>0</v>
      </c>
      <c r="AQ119" s="15" t="n">
        <f aca="false">MAX(0,AP119+IF(7=Parametri_v3!$C$43,MAX(0,AN119-AO119),0)-MAX(0,-(AR118)))</f>
        <v>0</v>
      </c>
      <c r="AR119" s="15" t="n">
        <f aca="false">(AR118)+X119-AQ119</f>
        <v>0</v>
      </c>
      <c r="AS119" s="15" t="n">
        <f aca="false">Motore_Operativo!AB119-AT119+AU119</f>
        <v>113503.461904792</v>
      </c>
      <c r="AT119" s="15" t="n">
        <f aca="false">Motore_Operativo!CH119</f>
        <v>5973.86641604167</v>
      </c>
      <c r="AU119" s="15" t="n">
        <f aca="false">MIN(MAX(0,(AV118)+AT119),Parametri_v3!$C$60/12)</f>
        <v>0</v>
      </c>
      <c r="AV119" s="15" t="n">
        <f aca="false">(AV118)+AT119-AU119</f>
        <v>178872.615287292</v>
      </c>
      <c r="AW119" s="15" t="n">
        <f aca="false">IF(AND(Motore_Operativo!C119=Finanziamenti!$D$6,Finanziamenti!$F$6=1),Finanziamenti!$C$6,0)</f>
        <v>0</v>
      </c>
      <c r="AX119" s="15" t="n">
        <f aca="false">IF(AND(2&lt;&gt;7,2&lt;&gt;9,Finanziamenti!$F$8=1,OR(Parametri_v3!$C$6=0,Finanziamenti!$E$8=1),Motore_Operativo!C119=EDATE(Finanziamenti!$D$8,Ipotesi!D15*12)),Finanziamenti!$C$8*1,0)+IF(AND(2&lt;&gt;7,2&lt;&gt;9,Finanziamenti!$F$9=1,OR(Parametri_v3!$C$6=0,Finanziamenti!$E$9=1),Motore_Operativo!C119=EDATE(Finanziamenti!$D$9,Ipotesi!D15*12)),Finanziamenti!$C$9*Ipotesi!D16,0)</f>
        <v>0</v>
      </c>
      <c r="AY119" s="15" t="n">
        <f aca="false">0</f>
        <v>0</v>
      </c>
      <c r="AZ119" s="15" t="n">
        <f aca="false">Motore_Advisory!AY119*(1-Ipotesi!$C$95)*Ipotesi!$C$96</f>
        <v>0</v>
      </c>
      <c r="BA119" s="15" t="n">
        <f aca="false">MAX(0,MIN(CG119*MIN(1,IF(Motore_Operativo!C119&gt;=EDATE(Finanziamenti!$D$15,Ipotesi!D14*12),Finanziamenti!$C$15,0)+IF(Motore_Operativo!C119&gt;=EDATE(Finanziamenti!$D$16,Ipotesi!D14*12),Finanziamenti!$C$16,0)+IF(Motore_Operativo!C119&gt;=EDATE(Finanziamenti!$D$17,Ipotesi!D14*12),Finanziamenti!$C$17,0)),CA119*Ipotesi!$C$102)-(CC118))</f>
        <v>0</v>
      </c>
      <c r="BB119" s="15" t="n">
        <f aca="false">IF(AND(CF119&gt;0,Motore_Operativo!C119&gt;=IF(CF119=0,0,EDATE(CF119,Parametri_v3!$C$37)),MOD(((D119-YEAR(IF(CF119=0,0,EDATE(CF119,Parametri_v3!$C$37))))*12+E119-MONTH(IF(CF119=0,0,EDATE(CF119,Parametri_v3!$C$37)))),Parametri_v3!$C$38)=0),MIN(MAX(0,(BC118)+BA119-N119),(CC119-CD119)/(Ipotesi!$C$108*12/Parametri_v3!$C$38)),0)</f>
        <v>0</v>
      </c>
      <c r="BC119" s="15" t="n">
        <f aca="false">(BC118)+BA119-N119-BB119</f>
        <v>225584.047351372</v>
      </c>
      <c r="BD119" s="15" t="n">
        <f aca="false">(BH118)+AC119+AF119-AI119-AS119-K119*(1+Parametri_v3!$C$26)-AL119-AQ119-O119+AW119+AX119+AZ119+BA119-BB119</f>
        <v>17718.0204187998</v>
      </c>
      <c r="BE119" s="15" t="n">
        <f aca="false">MAX(0,MIN(MAX(0,CH119-(BG118)),Parametri_v3!$C$30-BD119))</f>
        <v>7281.97958120024</v>
      </c>
      <c r="BF119" s="15" t="n">
        <f aca="false">IF(Motore_Operativo!C119&gt;=Parametri_v3!$C$63,(BG118),MIN((BG118),MAX(0,BD119-Parametri_v3!$C$30)))</f>
        <v>0</v>
      </c>
      <c r="BG119" s="15" t="n">
        <f aca="false">(BG118)+BE119-BF119</f>
        <v>106484.828099756</v>
      </c>
      <c r="BH119" s="15" t="n">
        <f aca="false">BD119+BE119-BF119-AY119</f>
        <v>25000</v>
      </c>
      <c r="BI119" s="15" t="n">
        <f aca="false">MAX(0,Parametri_v3!$C$30-BH119)</f>
        <v>0</v>
      </c>
      <c r="BJ119" s="15" t="n">
        <f aca="false">(BJ118)+K119</f>
        <v>144166.666666667</v>
      </c>
      <c r="BK119" s="15" t="n">
        <f aca="false">(BK118)+L119</f>
        <v>83912.0370370371</v>
      </c>
      <c r="BL119" s="15" t="n">
        <f aca="false">BJ119-BK119</f>
        <v>60254.6296296296</v>
      </c>
      <c r="BM119" s="15" t="n">
        <f aca="false">(BM118)+Y119</f>
        <v>-1381918.25051011</v>
      </c>
      <c r="BN119" s="15" t="n">
        <f aca="false">(BN118)+AW119+AX119+AZ119</f>
        <v>1435430.40943357</v>
      </c>
      <c r="BO119" s="15" t="n">
        <f aca="false">(BO118)+AY119</f>
        <v>0</v>
      </c>
      <c r="BP119" s="15" t="n">
        <f aca="false">0</f>
        <v>0</v>
      </c>
      <c r="BQ119" s="15" t="n">
        <f aca="false">BN119+BM119-BO119</f>
        <v>53512.1589234541</v>
      </c>
      <c r="BR119" s="15" t="n">
        <f aca="false">BH119+AD119+BL119+MAX(0,-AM119)+MAX(0,-AR119)+AG119</f>
        <v>781725.411354492</v>
      </c>
      <c r="BS119" s="15" t="n">
        <f aca="false">AJ119+AV119+MAX(0,AM119)+MAX(0,AR119)+BC119+BG119+BQ119</f>
        <v>781725.411354494</v>
      </c>
      <c r="BT119" s="15" t="n">
        <f aca="false">BR119-BS119</f>
        <v>0</v>
      </c>
      <c r="BU119" s="15" t="n">
        <f aca="false">BH119-(BD119+BE119-BF119-AY119)</f>
        <v>0</v>
      </c>
      <c r="BV119" s="15" t="n">
        <f aca="false">MIN(Piano_SS!$C$6,(BV118)+IF(AND(Motore_Operativo!C119&gt;=EDATE(Parametri_v3!$C$24,Ipotesi!D14*12),Motore_Operativo!C119&lt;EDATE(Parametri_v3!$C$24,Parametri_v3!$C$25+Ipotesi!D14*12)),MAX(0,(Motore_Operativo!Y119+Motore_Operativo!X119*Parametri_v3!$C$14)*(1-Parametri_v3!$C$32))*Piano_SS!$D$6,0))</f>
        <v>300000</v>
      </c>
      <c r="BW119" s="15" t="n">
        <f aca="false">MIN(Piano_SS!$C$7,(BW118)+IF(AND(Motore_Operativo!C119&gt;=EDATE(Parametri_v3!$C$24,Ipotesi!D14*12),Motore_Operativo!C119&lt;EDATE(Parametri_v3!$C$24,Parametri_v3!$C$25+Ipotesi!D14*12)),MAX(0,(IF(55-(INT((Ipotesi!$C$91)/30))&lt;1,0,INDEX(Motore_Operativo!$BN$65:$BN$124,MAX(1,55-(INT((Ipotesi!$C$91)/30)))))*(1-(MOD((Ipotesi!$C$91),30)/30))+IF(55-(INT((Ipotesi!$C$91)/30))-1&lt;1,0,INDEX(Motore_Operativo!$BN$65:$BN$124,MAX(1,55-(INT((Ipotesi!$C$91)/30))-1)))*(MOD((Ipotesi!$C$91),30)/30)))*Piano_SS!$D$7,0))</f>
        <v>41058.9230070837</v>
      </c>
      <c r="BX119" s="15" t="n">
        <f aca="false">MIN(Piano_SS!$C$8,(BX118)+IF(AND(Motore_Operativo!C119&gt;=EDATE(Parametri_v3!$C$24,Ipotesi!D14*12),Motore_Operativo!C119&lt;EDATE(Parametri_v3!$C$24,Parametri_v3!$C$25+Ipotesi!D14*12)),MAX(0,Motore_Operativo!CE119)*Piano_SS!$D$8,0))</f>
        <v>50000</v>
      </c>
      <c r="BY119" s="15" t="n">
        <f aca="false">MIN(Piano_SS!$C$9,(BY118)+IF(AND(Motore_Operativo!C119&gt;=EDATE(Parametri_v3!$C$24,Ipotesi!D14*12),Motore_Operativo!C119&lt;EDATE(Parametri_v3!$C$24,Parametri_v3!$C$25+Ipotesi!D14*12)),MAX(0,((IF(55-(INT((Ipotesi!$C$91)/30))&lt;1,0,INDEX(Motore_Operativo!$BQ$65:$BQ$124,MAX(1,55-(INT((Ipotesi!$C$91)/30)))))*(1-(MOD((Ipotesi!$C$91),30)/30))+IF(55-(INT((Ipotesi!$C$91)/30))-1&lt;1,0,INDEX(Motore_Operativo!$BQ$65:$BQ$124,MAX(1,55-(INT((Ipotesi!$C$91)/30))-1)))*(MOD((Ipotesi!$C$91),30)/30))+(IF(55-(INT((Ipotesi!$C$91)/30))&lt;1,0,INDEX(Motore_Operativo!$BR$65:$BR$124,MAX(1,55-(INT((Ipotesi!$C$91)/30)))))*(1-(MOD((Ipotesi!$C$91),30)/30))+IF(55-(INT((Ipotesi!$C$91)/30))-1&lt;1,0,INDEX(Motore_Operativo!$BR$65:$BR$124,MAX(1,55-(INT((Ipotesi!$C$91)/30))-1)))*(MOD((Ipotesi!$C$91),30)/30))))*Piano_SS!$D$9,0))</f>
        <v>40000</v>
      </c>
      <c r="BZ119" s="15" t="n">
        <f aca="false">MIN(Piano_SS!$C$10,(BZ118)+IF(AND(Motore_Operativo!C119&gt;=EDATE(Parametri_v3!$C$24,Ipotesi!D14*12),Motore_Operativo!C119&lt;EDATE(Parametri_v3!$C$24,Parametri_v3!$C$25+Ipotesi!D14*12)),MAX(0,(IF(55-(INT((Ipotesi!$C$91)/30))&lt;1,0,INDEX(Motore_Operativo!$BO$65:$BO$124,MAX(1,55-(INT((Ipotesi!$C$91)/30)))))*(1-(MOD((Ipotesi!$C$91),30)/30))+IF(55-(INT((Ipotesi!$C$91)/30))-1&lt;1,0,INDEX(Motore_Operativo!$BO$65:$BO$124,MAX(1,55-(INT((Ipotesi!$C$91)/30))-1)))*(MOD((Ipotesi!$C$91),30)/30)))*Piano_SS!$D$10,0))</f>
        <v>30000</v>
      </c>
      <c r="CA119" s="15" t="n">
        <f aca="false">SUM(BV119:BZ119)</f>
        <v>461058.923007084</v>
      </c>
      <c r="CB119" s="15" t="n">
        <f aca="false">BV119*(1-Piano_SS!$E$6)+BW119*(1-Piano_SS!$E$7)+BX119*(1-Piano_SS!$E$8)+BY119*(1-Piano_SS!$E$9)+BZ119*(1-Piano_SS!$E$10)</f>
        <v>431058.923007084</v>
      </c>
      <c r="CC119" s="15" t="n">
        <f aca="false">(CC118)+BA119</f>
        <v>368847.138405667</v>
      </c>
      <c r="CD119" s="15" t="n">
        <f aca="false">IF(CA119=0,0,CC119*CB119/CA119*Ipotesi!$C$103*Parametri_v3!$C$64)</f>
        <v>103454.1415217</v>
      </c>
      <c r="CE119" s="18" t="n">
        <f aca="false">IF(BA119&gt;0,Motore_Operativo!C119,(CE118))</f>
        <v>47270</v>
      </c>
      <c r="CF119" s="18" t="n">
        <f aca="false">IF(AND(CC119&gt;0,OR(CC119&gt;=CG119-0.01,Motore_Operativo!C119&gt;=EDATE(MAX(Finanziamenti!$D$15:$D$17),Ipotesi!D14*12))),CE119,0)</f>
        <v>47270</v>
      </c>
      <c r="CG119" s="15" t="n">
        <f aca="false">IF(AND(2&lt;&gt;6,2&lt;&gt;9,Finanziamenti!$F$11=1,OR(Parametri_v3!$C$6=0,Finanziamenti!$E$11=1)),MIN(Finanziamenti!$C$11,Piano_SS!$C$12*Ipotesi!$C$102),0)</f>
        <v>400000</v>
      </c>
      <c r="CH119" s="15" t="n">
        <f aca="false">IF(AND(AND(2&lt;&gt;8,2&lt;&gt;9,Finanziamenti!$F$10=1,OR(Parametri_v3!$C$6=0,Finanziamenti!$E$10=1)),Motore_Operativo!C119&gt;=Finanziamenti!$D$10,Motore_Operativo!C119&lt;Parametri_v3!$C$63),Finanziamenti!$C$10,0)</f>
        <v>150000</v>
      </c>
    </row>
    <row r="120" customFormat="false" ht="18" hidden="false" customHeight="true" outlineLevel="0" collapsed="false">
      <c r="A120" s="68" t="n">
        <f aca="false">2</f>
        <v>2</v>
      </c>
      <c r="B120" s="68" t="n">
        <f aca="false">56</f>
        <v>56</v>
      </c>
      <c r="C120" s="18" t="n">
        <f aca="false">Motore_Operativo!C120</f>
        <v>48061</v>
      </c>
      <c r="D120" s="68" t="n">
        <f aca="false">Motore_Operativo!D120</f>
        <v>2031</v>
      </c>
      <c r="E120" s="68" t="n">
        <f aca="false">Motore_Operativo!E120</f>
        <v>8</v>
      </c>
      <c r="F120" s="15" t="n">
        <f aca="false">Motore_Operativo!AQ120+Motore_Operativo!BF120</f>
        <v>193233.217134923</v>
      </c>
      <c r="G120" s="15" t="n">
        <f aca="false">Motore_Operativo!BH120</f>
        <v>11595.8333333333</v>
      </c>
      <c r="H120" s="15" t="n">
        <f aca="false">Motore_Operativo!BI120</f>
        <v>204829.050468256</v>
      </c>
      <c r="I120" s="15" t="n">
        <f aca="false">Motore_Operativo!CA120</f>
        <v>199712.020386389</v>
      </c>
      <c r="J120" s="15" t="n">
        <f aca="false">Motore_Operativo!CC120</f>
        <v>5117.03008186689</v>
      </c>
      <c r="K120" s="15" t="n">
        <f aca="false">Motore_Operativo!CE120</f>
        <v>4166.66666666667</v>
      </c>
      <c r="L120" s="15" t="n">
        <f aca="false">SUM(INDEX($K$65:$K$124,MAX(1,56-Parametri_v3!$C$59+1)):K120)/Parametri_v3!$C$59</f>
        <v>3101.85185185185</v>
      </c>
      <c r="M120" s="15" t="n">
        <f aca="false">J120-L120</f>
        <v>2015.17823001504</v>
      </c>
      <c r="N120" s="15" t="n">
        <f aca="false">CD120-(CD119)</f>
        <v>0</v>
      </c>
      <c r="O120" s="15" t="n">
        <f aca="false">(BG119)*Ipotesi!$C$110/12+CH120*Parametri_v3!$C$39/12</f>
        <v>532.424140498779</v>
      </c>
      <c r="P120" s="15" t="n">
        <f aca="false">M120+N120-O120</f>
        <v>1482.75408951626</v>
      </c>
      <c r="Q120" s="15" t="n">
        <f aca="false">SUM(P113:P120)+Parametri_v3!$C$54*8/12</f>
        <v>-65190.3542061445</v>
      </c>
      <c r="R120" s="15" t="n">
        <f aca="false">Z112</f>
        <v>1007520.29624424</v>
      </c>
      <c r="S120" s="15" t="n">
        <f aca="false">AA112</f>
        <v>307724.845970214</v>
      </c>
      <c r="T120" s="15" t="n">
        <f aca="false">MIN(R120,MAX(0,Q120))</f>
        <v>0</v>
      </c>
      <c r="U120" s="15" t="n">
        <f aca="false">MIN(S120,MAX(0,Q120-T120)*Parametri_v3!$C$42)</f>
        <v>0</v>
      </c>
      <c r="V120" s="15" t="n">
        <f aca="false">MAX(0,Q120-T120-U120)*Ipotesi!$C$92</f>
        <v>0</v>
      </c>
      <c r="W120" s="15" t="n">
        <f aca="false">MAX(0,SUM(M113:M120)+Parametri_v3!$C$55*8/12)*Ipotesi!$C$93</f>
        <v>0</v>
      </c>
      <c r="X120" s="15" t="n">
        <f aca="false">V120+W120-(V119+W119)</f>
        <v>0</v>
      </c>
      <c r="Y120" s="15" t="n">
        <f aca="false">P120-X120</f>
        <v>1482.75408951626</v>
      </c>
      <c r="Z120" s="15" t="n">
        <f aca="false">R120-T120+IF(AND(Parametri_v3!$C$40=1,D120-YEAR(Parametri_v3!$C$50)&lt;Parametri_v3!$C$41),MAX(0,-Q120),0)</f>
        <v>1007520.29624424</v>
      </c>
      <c r="AA120" s="15" t="n">
        <f aca="false">S120-U120+IF(AND(Parametri_v3!$C$40=1,D120-YEAR(Parametri_v3!$C$50)&lt;Parametri_v3!$C$41),0,MAX(0,-Q120))</f>
        <v>372915.200176359</v>
      </c>
      <c r="AB120" s="15" t="n">
        <f aca="false">F120*(1+Parametri_v3!$C$26)</f>
        <v>235744.524904606</v>
      </c>
      <c r="AC120" s="15" t="n">
        <f aca="false">(IF(56-(INT((Motore_Operativo!L120)/30))&lt;1,0,INDEX(Motore_Startup!$AB$65:$AB$124,MAX(1,56-(INT((Motore_Operativo!L120)/30)))))*(1-(MOD((Motore_Operativo!L120),30)/30))+IF(56-(INT((Motore_Operativo!L120)/30))-1&lt;1,0,INDEX(Motore_Startup!$AB$65:$AB$124,MAX(1,56-(INT((Motore_Operativo!L120)/30))-1)))*(MOD((Motore_Operativo!L120),30)/30))</f>
        <v>223253.112166291</v>
      </c>
      <c r="AD120" s="15" t="n">
        <f aca="false">(AD119)+AB120-AC120</f>
        <v>694815.277796511</v>
      </c>
      <c r="AE120" s="15" t="n">
        <f aca="false">Motore_Operativo!BH120*(1+Parametri_v3!$C$26)</f>
        <v>14146.9166666667</v>
      </c>
      <c r="AF120" s="15" t="n">
        <f aca="false">(IF(56-(INT((Parametri_v3!$C$29)/30))&lt;1,0,INDEX(Motore_Operativo!$BH$65:$BH$124,MAX(1,56-(INT((Parametri_v3!$C$29)/30)))))*(1-(MOD((Parametri_v3!$C$29),30)/30))+IF(56-(INT((Parametri_v3!$C$29)/30))-1&lt;1,0,INDEX(Motore_Operativo!$BH$65:$BH$124,MAX(1,56-(INT((Parametri_v3!$C$29)/30))-1)))*(MOD((Parametri_v3!$C$29),30)/30))*(1+Parametri_v3!$C$26)</f>
        <v>14146.9166666667</v>
      </c>
      <c r="AG120" s="15" t="n">
        <f aca="false">(AG119)+AE120-AF120</f>
        <v>14146.9166666667</v>
      </c>
      <c r="AH120" s="15" t="n">
        <f aca="false">(Motore_Operativo!CJ120)*(1+Parametri_v3!$C$27*Parametri_v3!$C$26)</f>
        <v>95238.5794818148</v>
      </c>
      <c r="AI120" s="15" t="n">
        <f aca="false">(IF(56-(INT((Ipotesi!$C$91)/30))&lt;1,0,INDEX(Motore_Startup!$AH$65:$AH$124,MAX(1,56-(INT((Ipotesi!$C$91)/30)))))*(1-(MOD((Ipotesi!$C$91),30)/30))+IF(56-(INT((Ipotesi!$C$91)/30))-1&lt;1,0,INDEX(Motore_Startup!$AH$65:$AH$124,MAX(1,56-(INT((Ipotesi!$C$91)/30))-1)))*(MOD((Ipotesi!$C$91),30)/30))</f>
        <v>94109.2369443983</v>
      </c>
      <c r="AJ120" s="15" t="n">
        <f aca="false">(AJ119)+AH120-AI120</f>
        <v>189914.966597999</v>
      </c>
      <c r="AK120" s="15" t="n">
        <f aca="false">(F120+ Motore_Operativo!BH120-(Motore_Operativo!CJ120)*Parametri_v3!$C$27-Motore_Operativo!CE120)*Parametri_v3!$C$26</f>
        <v>29141.8370200907</v>
      </c>
      <c r="AL120" s="15" t="n">
        <f aca="false">MAX(0,(AM119))</f>
        <v>28486.1376320381</v>
      </c>
      <c r="AM120" s="15" t="n">
        <f aca="false">(AM119)+AK120-AL120</f>
        <v>29141.8370200907</v>
      </c>
      <c r="AN120" s="15" t="n">
        <f aca="false">SUM(X101:X112)</f>
        <v>0</v>
      </c>
      <c r="AO120" s="15" t="n">
        <f aca="false">SUM(AP101:AP112)</f>
        <v>0</v>
      </c>
      <c r="AP120" s="15" t="n">
        <f aca="false">MAX(0,AN120)*IF(8=Parametri_v3!$C$43,Parametri_v3!$C$45,IF(8=Parametri_v3!$C$44,1-Parametri_v3!$C$45,0))</f>
        <v>0</v>
      </c>
      <c r="AQ120" s="15" t="n">
        <f aca="false">MAX(0,AP120+IF(8=Parametri_v3!$C$43,MAX(0,AN120-AO120),0)-MAX(0,-(AR119)))</f>
        <v>0</v>
      </c>
      <c r="AR120" s="15" t="n">
        <f aca="false">(AR119)+X120-AQ120</f>
        <v>0</v>
      </c>
      <c r="AS120" s="15" t="n">
        <f aca="false">Motore_Operativo!AB120-AT120+AU120</f>
        <v>113503.461904792</v>
      </c>
      <c r="AT120" s="15" t="n">
        <f aca="false">Motore_Operativo!CH120</f>
        <v>5973.86641604167</v>
      </c>
      <c r="AU120" s="15" t="n">
        <f aca="false">MIN(MAX(0,(AV119)+AT120),Parametri_v3!$C$60/12)</f>
        <v>0</v>
      </c>
      <c r="AV120" s="15" t="n">
        <f aca="false">(AV119)+AT120-AU120</f>
        <v>184846.481703333</v>
      </c>
      <c r="AW120" s="15" t="n">
        <f aca="false">IF(AND(Motore_Operativo!C120=Finanziamenti!$D$6,Finanziamenti!$F$6=1),Finanziamenti!$C$6,0)</f>
        <v>0</v>
      </c>
      <c r="AX120" s="15" t="n">
        <f aca="false">IF(AND(2&lt;&gt;7,2&lt;&gt;9,Finanziamenti!$F$8=1,OR(Parametri_v3!$C$6=0,Finanziamenti!$E$8=1),Motore_Operativo!C120=EDATE(Finanziamenti!$D$8,Ipotesi!D15*12)),Finanziamenti!$C$8*1,0)+IF(AND(2&lt;&gt;7,2&lt;&gt;9,Finanziamenti!$F$9=1,OR(Parametri_v3!$C$6=0,Finanziamenti!$E$9=1),Motore_Operativo!C120=EDATE(Finanziamenti!$D$9,Ipotesi!D15*12)),Finanziamenti!$C$9*Ipotesi!D16,0)</f>
        <v>0</v>
      </c>
      <c r="AY120" s="15" t="n">
        <f aca="false">0</f>
        <v>0</v>
      </c>
      <c r="AZ120" s="15" t="n">
        <f aca="false">Motore_Advisory!AY120*(1-Ipotesi!$C$95)*Ipotesi!$C$96</f>
        <v>0</v>
      </c>
      <c r="BA120" s="15" t="n">
        <f aca="false">MAX(0,MIN(CG120*MIN(1,IF(Motore_Operativo!C120&gt;=EDATE(Finanziamenti!$D$15,Ipotesi!D14*12),Finanziamenti!$C$15,0)+IF(Motore_Operativo!C120&gt;=EDATE(Finanziamenti!$D$16,Ipotesi!D14*12),Finanziamenti!$C$16,0)+IF(Motore_Operativo!C120&gt;=EDATE(Finanziamenti!$D$17,Ipotesi!D14*12),Finanziamenti!$C$17,0)),CA120*Ipotesi!$C$102)-(CC119))</f>
        <v>0</v>
      </c>
      <c r="BB120" s="15" t="n">
        <f aca="false">IF(AND(CF120&gt;0,Motore_Operativo!C120&gt;=IF(CF120=0,0,EDATE(CF120,Parametri_v3!$C$37)),MOD(((D120-YEAR(IF(CF120=0,0,EDATE(CF120,Parametri_v3!$C$37))))*12+E120-MONTH(IF(CF120=0,0,EDATE(CF120,Parametri_v3!$C$37)))),Parametri_v3!$C$38)=0),MIN(MAX(0,(BC119)+BA120-N120),(CC120-CD120)/(Ipotesi!$C$108*12/Parametri_v3!$C$38)),0)</f>
        <v>0</v>
      </c>
      <c r="BC120" s="15" t="n">
        <f aca="false">(BC119)+BA120-N120-BB120</f>
        <v>225584.047351372</v>
      </c>
      <c r="BD120" s="15" t="n">
        <f aca="false">(BH119)+AC120+AF120-AI120-AS120-K120*(1+Parametri_v3!$C$26)-AL120-AQ120-O120+AW120+AX120+AZ120+BA120-BB120</f>
        <v>20685.4348778973</v>
      </c>
      <c r="BE120" s="15" t="n">
        <f aca="false">MAX(0,MIN(MAX(0,CH120-(BG119)),Parametri_v3!$C$30-BD120))</f>
        <v>4314.56512210269</v>
      </c>
      <c r="BF120" s="15" t="n">
        <f aca="false">IF(Motore_Operativo!C120&gt;=Parametri_v3!$C$63,(BG119),MIN((BG119),MAX(0,BD120-Parametri_v3!$C$30)))</f>
        <v>0</v>
      </c>
      <c r="BG120" s="15" t="n">
        <f aca="false">(BG119)+BE120-BF120</f>
        <v>110799.393221858</v>
      </c>
      <c r="BH120" s="15" t="n">
        <f aca="false">BD120+BE120-BF120-AY120</f>
        <v>25000</v>
      </c>
      <c r="BI120" s="15" t="n">
        <f aca="false">MAX(0,Parametri_v3!$C$30-BH120)</f>
        <v>0</v>
      </c>
      <c r="BJ120" s="15" t="n">
        <f aca="false">(BJ119)+K120</f>
        <v>148333.333333333</v>
      </c>
      <c r="BK120" s="15" t="n">
        <f aca="false">(BK119)+L120</f>
        <v>87013.8888888889</v>
      </c>
      <c r="BL120" s="15" t="n">
        <f aca="false">BJ120-BK120</f>
        <v>61319.4444444444</v>
      </c>
      <c r="BM120" s="15" t="n">
        <f aca="false">(BM119)+Y120</f>
        <v>-1380435.4964206</v>
      </c>
      <c r="BN120" s="15" t="n">
        <f aca="false">(BN119)+AW120+AX120+AZ120</f>
        <v>1435430.40943357</v>
      </c>
      <c r="BO120" s="15" t="n">
        <f aca="false">(BO119)+AY120</f>
        <v>0</v>
      </c>
      <c r="BP120" s="15" t="n">
        <f aca="false">0</f>
        <v>0</v>
      </c>
      <c r="BQ120" s="15" t="n">
        <f aca="false">BN120+BM120-BO120</f>
        <v>54994.9130129705</v>
      </c>
      <c r="BR120" s="15" t="n">
        <f aca="false">BH120+AD120+BL120+MAX(0,-AM120)+MAX(0,-AR120)+AG120</f>
        <v>795281.638907622</v>
      </c>
      <c r="BS120" s="15" t="n">
        <f aca="false">AJ120+AV120+MAX(0,AM120)+MAX(0,AR120)+BC120+BG120+BQ120</f>
        <v>795281.638907624</v>
      </c>
      <c r="BT120" s="15" t="n">
        <f aca="false">BR120-BS120</f>
        <v>0</v>
      </c>
      <c r="BU120" s="15" t="n">
        <f aca="false">BH120-(BD120+BE120-BF120-AY120)</f>
        <v>0</v>
      </c>
      <c r="BV120" s="15" t="n">
        <f aca="false">MIN(Piano_SS!$C$6,(BV119)+IF(AND(Motore_Operativo!C120&gt;=EDATE(Parametri_v3!$C$24,Ipotesi!D14*12),Motore_Operativo!C120&lt;EDATE(Parametri_v3!$C$24,Parametri_v3!$C$25+Ipotesi!D14*12)),MAX(0,(Motore_Operativo!Y120+Motore_Operativo!X120*Parametri_v3!$C$14)*(1-Parametri_v3!$C$32))*Piano_SS!$D$6,0))</f>
        <v>300000</v>
      </c>
      <c r="BW120" s="15" t="n">
        <f aca="false">MIN(Piano_SS!$C$7,(BW119)+IF(AND(Motore_Operativo!C120&gt;=EDATE(Parametri_v3!$C$24,Ipotesi!D14*12),Motore_Operativo!C120&lt;EDATE(Parametri_v3!$C$24,Parametri_v3!$C$25+Ipotesi!D14*12)),MAX(0,(IF(56-(INT((Ipotesi!$C$91)/30))&lt;1,0,INDEX(Motore_Operativo!$BN$65:$BN$124,MAX(1,56-(INT((Ipotesi!$C$91)/30)))))*(1-(MOD((Ipotesi!$C$91),30)/30))+IF(56-(INT((Ipotesi!$C$91)/30))-1&lt;1,0,INDEX(Motore_Operativo!$BN$65:$BN$124,MAX(1,56-(INT((Ipotesi!$C$91)/30))-1)))*(MOD((Ipotesi!$C$91),30)/30)))*Piano_SS!$D$7,0))</f>
        <v>41058.9230070837</v>
      </c>
      <c r="BX120" s="15" t="n">
        <f aca="false">MIN(Piano_SS!$C$8,(BX119)+IF(AND(Motore_Operativo!C120&gt;=EDATE(Parametri_v3!$C$24,Ipotesi!D14*12),Motore_Operativo!C120&lt;EDATE(Parametri_v3!$C$24,Parametri_v3!$C$25+Ipotesi!D14*12)),MAX(0,Motore_Operativo!CE120)*Piano_SS!$D$8,0))</f>
        <v>50000</v>
      </c>
      <c r="BY120" s="15" t="n">
        <f aca="false">MIN(Piano_SS!$C$9,(BY119)+IF(AND(Motore_Operativo!C120&gt;=EDATE(Parametri_v3!$C$24,Ipotesi!D14*12),Motore_Operativo!C120&lt;EDATE(Parametri_v3!$C$24,Parametri_v3!$C$25+Ipotesi!D14*12)),MAX(0,((IF(56-(INT((Ipotesi!$C$91)/30))&lt;1,0,INDEX(Motore_Operativo!$BQ$65:$BQ$124,MAX(1,56-(INT((Ipotesi!$C$91)/30)))))*(1-(MOD((Ipotesi!$C$91),30)/30))+IF(56-(INT((Ipotesi!$C$91)/30))-1&lt;1,0,INDEX(Motore_Operativo!$BQ$65:$BQ$124,MAX(1,56-(INT((Ipotesi!$C$91)/30))-1)))*(MOD((Ipotesi!$C$91),30)/30))+(IF(56-(INT((Ipotesi!$C$91)/30))&lt;1,0,INDEX(Motore_Operativo!$BR$65:$BR$124,MAX(1,56-(INT((Ipotesi!$C$91)/30)))))*(1-(MOD((Ipotesi!$C$91),30)/30))+IF(56-(INT((Ipotesi!$C$91)/30))-1&lt;1,0,INDEX(Motore_Operativo!$BR$65:$BR$124,MAX(1,56-(INT((Ipotesi!$C$91)/30))-1)))*(MOD((Ipotesi!$C$91),30)/30))))*Piano_SS!$D$9,0))</f>
        <v>40000</v>
      </c>
      <c r="BZ120" s="15" t="n">
        <f aca="false">MIN(Piano_SS!$C$10,(BZ119)+IF(AND(Motore_Operativo!C120&gt;=EDATE(Parametri_v3!$C$24,Ipotesi!D14*12),Motore_Operativo!C120&lt;EDATE(Parametri_v3!$C$24,Parametri_v3!$C$25+Ipotesi!D14*12)),MAX(0,(IF(56-(INT((Ipotesi!$C$91)/30))&lt;1,0,INDEX(Motore_Operativo!$BO$65:$BO$124,MAX(1,56-(INT((Ipotesi!$C$91)/30)))))*(1-(MOD((Ipotesi!$C$91),30)/30))+IF(56-(INT((Ipotesi!$C$91)/30))-1&lt;1,0,INDEX(Motore_Operativo!$BO$65:$BO$124,MAX(1,56-(INT((Ipotesi!$C$91)/30))-1)))*(MOD((Ipotesi!$C$91),30)/30)))*Piano_SS!$D$10,0))</f>
        <v>30000</v>
      </c>
      <c r="CA120" s="15" t="n">
        <f aca="false">SUM(BV120:BZ120)</f>
        <v>461058.923007084</v>
      </c>
      <c r="CB120" s="15" t="n">
        <f aca="false">BV120*(1-Piano_SS!$E$6)+BW120*(1-Piano_SS!$E$7)+BX120*(1-Piano_SS!$E$8)+BY120*(1-Piano_SS!$E$9)+BZ120*(1-Piano_SS!$E$10)</f>
        <v>431058.923007084</v>
      </c>
      <c r="CC120" s="15" t="n">
        <f aca="false">(CC119)+BA120</f>
        <v>368847.138405667</v>
      </c>
      <c r="CD120" s="15" t="n">
        <f aca="false">IF(CA120=0,0,CC120*CB120/CA120*Ipotesi!$C$103*Parametri_v3!$C$64)</f>
        <v>103454.1415217</v>
      </c>
      <c r="CE120" s="18" t="n">
        <f aca="false">IF(BA120&gt;0,Motore_Operativo!C120,(CE119))</f>
        <v>47270</v>
      </c>
      <c r="CF120" s="18" t="n">
        <f aca="false">IF(AND(CC120&gt;0,OR(CC120&gt;=CG120-0.01,Motore_Operativo!C120&gt;=EDATE(MAX(Finanziamenti!$D$15:$D$17),Ipotesi!D14*12))),CE120,0)</f>
        <v>47270</v>
      </c>
      <c r="CG120" s="15" t="n">
        <f aca="false">IF(AND(2&lt;&gt;6,2&lt;&gt;9,Finanziamenti!$F$11=1,OR(Parametri_v3!$C$6=0,Finanziamenti!$E$11=1)),MIN(Finanziamenti!$C$11,Piano_SS!$C$12*Ipotesi!$C$102),0)</f>
        <v>400000</v>
      </c>
      <c r="CH120" s="15" t="n">
        <f aca="false">IF(AND(AND(2&lt;&gt;8,2&lt;&gt;9,Finanziamenti!$F$10=1,OR(Parametri_v3!$C$6=0,Finanziamenti!$E$10=1)),Motore_Operativo!C120&gt;=Finanziamenti!$D$10,Motore_Operativo!C120&lt;Parametri_v3!$C$63),Finanziamenti!$C$10,0)</f>
        <v>150000</v>
      </c>
    </row>
    <row r="121" customFormat="false" ht="18" hidden="false" customHeight="true" outlineLevel="0" collapsed="false">
      <c r="A121" s="68" t="n">
        <f aca="false">2</f>
        <v>2</v>
      </c>
      <c r="B121" s="68" t="n">
        <f aca="false">57</f>
        <v>57</v>
      </c>
      <c r="C121" s="18" t="n">
        <f aca="false">Motore_Operativo!C121</f>
        <v>48092</v>
      </c>
      <c r="D121" s="68" t="n">
        <f aca="false">Motore_Operativo!D121</f>
        <v>2031</v>
      </c>
      <c r="E121" s="68" t="n">
        <f aca="false">Motore_Operativo!E121</f>
        <v>9</v>
      </c>
      <c r="F121" s="15" t="n">
        <f aca="false">Motore_Operativo!AQ121+Motore_Operativo!BF121</f>
        <v>196586.676628778</v>
      </c>
      <c r="G121" s="15" t="n">
        <f aca="false">Motore_Operativo!BH121</f>
        <v>11595.8333333333</v>
      </c>
      <c r="H121" s="15" t="n">
        <f aca="false">Motore_Operativo!BI121</f>
        <v>208182.509962112</v>
      </c>
      <c r="I121" s="15" t="n">
        <f aca="false">Motore_Operativo!CA121</f>
        <v>200181.504715529</v>
      </c>
      <c r="J121" s="15" t="n">
        <f aca="false">Motore_Operativo!CC121</f>
        <v>8001.00524658262</v>
      </c>
      <c r="K121" s="15" t="n">
        <f aca="false">Motore_Operativo!CE121</f>
        <v>4166.66666666667</v>
      </c>
      <c r="L121" s="15" t="n">
        <f aca="false">SUM(INDEX($K$65:$K$124,MAX(1,57-Parametri_v3!$C$59+1)):K121)/Parametri_v3!$C$59</f>
        <v>3159.72222222222</v>
      </c>
      <c r="M121" s="15" t="n">
        <f aca="false">J121-L121</f>
        <v>4841.28302436039</v>
      </c>
      <c r="N121" s="15" t="n">
        <f aca="false">CD121-(CD120)</f>
        <v>0</v>
      </c>
      <c r="O121" s="15" t="n">
        <f aca="false">(BG120)*Ipotesi!$C$110/12+CH121*Parametri_v3!$C$39/12</f>
        <v>553.996966109292</v>
      </c>
      <c r="P121" s="15" t="n">
        <f aca="false">M121+N121-O121</f>
        <v>4287.2860582511</v>
      </c>
      <c r="Q121" s="15" t="n">
        <f aca="false">SUM(P113:P121)+Parametri_v3!$C$54*9/12</f>
        <v>-60903.0681478934</v>
      </c>
      <c r="R121" s="15" t="n">
        <f aca="false">Z112</f>
        <v>1007520.29624424</v>
      </c>
      <c r="S121" s="15" t="n">
        <f aca="false">AA112</f>
        <v>307724.845970214</v>
      </c>
      <c r="T121" s="15" t="n">
        <f aca="false">MIN(R121,MAX(0,Q121))</f>
        <v>0</v>
      </c>
      <c r="U121" s="15" t="n">
        <f aca="false">MIN(S121,MAX(0,Q121-T121)*Parametri_v3!$C$42)</f>
        <v>0</v>
      </c>
      <c r="V121" s="15" t="n">
        <f aca="false">MAX(0,Q121-T121-U121)*Ipotesi!$C$92</f>
        <v>0</v>
      </c>
      <c r="W121" s="15" t="n">
        <f aca="false">MAX(0,SUM(M113:M121)+Parametri_v3!$C$55*9/12)*Ipotesi!$C$93</f>
        <v>0</v>
      </c>
      <c r="X121" s="15" t="n">
        <f aca="false">V121+W121-(V120+W120)</f>
        <v>0</v>
      </c>
      <c r="Y121" s="15" t="n">
        <f aca="false">P121-X121</f>
        <v>4287.2860582511</v>
      </c>
      <c r="Z121" s="15" t="n">
        <f aca="false">R121-T121+IF(AND(Parametri_v3!$C$40=1,D121-YEAR(Parametri_v3!$C$50)&lt;Parametri_v3!$C$41),MAX(0,-Q121),0)</f>
        <v>1007520.29624424</v>
      </c>
      <c r="AA121" s="15" t="n">
        <f aca="false">S121-U121+IF(AND(Parametri_v3!$C$40=1,D121-YEAR(Parametri_v3!$C$50)&lt;Parametri_v3!$C$41),0,MAX(0,-Q121))</f>
        <v>368627.914118108</v>
      </c>
      <c r="AB121" s="15" t="n">
        <f aca="false">F121*(1+Parametri_v3!$C$26)</f>
        <v>239835.745487109</v>
      </c>
      <c r="AC121" s="15" t="n">
        <f aca="false">(IF(57-(INT((Motore_Operativo!L121)/30))&lt;1,0,INDEX(Motore_Startup!$AB$65:$AB$124,MAX(1,57-(INT((Motore_Operativo!L121)/30)))))*(1-(MOD((Motore_Operativo!L121),30)/30))+IF(57-(INT((Motore_Operativo!L121)/30))-1&lt;1,0,INDEX(Motore_Startup!$AB$65:$AB$124,MAX(1,57-(INT((Motore_Operativo!L121)/30))-1)))*(MOD((Motore_Operativo!L121),30)/30))</f>
        <v>227453.527819227</v>
      </c>
      <c r="AD121" s="15" t="n">
        <f aca="false">(AD120)+AB121-AC121</f>
        <v>707197.495464393</v>
      </c>
      <c r="AE121" s="15" t="n">
        <f aca="false">Motore_Operativo!BH121*(1+Parametri_v3!$C$26)</f>
        <v>14146.9166666667</v>
      </c>
      <c r="AF121" s="15" t="n">
        <f aca="false">(IF(57-(INT((Parametri_v3!$C$29)/30))&lt;1,0,INDEX(Motore_Operativo!$BH$65:$BH$124,MAX(1,57-(INT((Parametri_v3!$C$29)/30)))))*(1-(MOD((Parametri_v3!$C$29),30)/30))+IF(57-(INT((Parametri_v3!$C$29)/30))-1&lt;1,0,INDEX(Motore_Operativo!$BH$65:$BH$124,MAX(1,57-(INT((Parametri_v3!$C$29)/30))-1)))*(MOD((Parametri_v3!$C$29),30)/30))*(1+Parametri_v3!$C$26)</f>
        <v>14146.9166666667</v>
      </c>
      <c r="AG121" s="15" t="n">
        <f aca="false">(AG120)+AE121-AF121</f>
        <v>14146.9166666667</v>
      </c>
      <c r="AH121" s="15" t="n">
        <f aca="false">(Motore_Operativo!CJ121)*(1+Parametri_v3!$C$27*Parametri_v3!$C$26)</f>
        <v>95795.8573805037</v>
      </c>
      <c r="AI121" s="15" t="n">
        <f aca="false">(IF(57-(INT((Ipotesi!$C$91)/30))&lt;1,0,INDEX(Motore_Startup!$AH$65:$AH$124,MAX(1,57-(INT((Ipotesi!$C$91)/30)))))*(1-(MOD((Ipotesi!$C$91),30)/30))+IF(57-(INT((Ipotesi!$C$91)/30))-1&lt;1,0,INDEX(Motore_Startup!$AH$65:$AH$124,MAX(1,57-(INT((Ipotesi!$C$91)/30))-1)))*(MOD((Ipotesi!$C$91),30)/30))</f>
        <v>94676.3871161839</v>
      </c>
      <c r="AJ121" s="15" t="n">
        <f aca="false">(AJ120)+AH121-AI121</f>
        <v>191034.436862318</v>
      </c>
      <c r="AK121" s="15" t="n">
        <f aca="false">(F121+ Motore_Operativo!BH121-(Motore_Operativo!CJ121)*Parametri_v3!$C$27-Motore_Operativo!CE121)*Parametri_v3!$C$26</f>
        <v>29791.8045391898</v>
      </c>
      <c r="AL121" s="15" t="n">
        <f aca="false">MAX(0,(AM120))</f>
        <v>29141.8370200907</v>
      </c>
      <c r="AM121" s="15" t="n">
        <f aca="false">(AM120)+AK121-AL121</f>
        <v>29791.8045391898</v>
      </c>
      <c r="AN121" s="15" t="n">
        <f aca="false">SUM(X101:X112)</f>
        <v>0</v>
      </c>
      <c r="AO121" s="15" t="n">
        <f aca="false">SUM(AP101:AP112)</f>
        <v>0</v>
      </c>
      <c r="AP121" s="15" t="n">
        <f aca="false">MAX(0,AN121)*IF(9=Parametri_v3!$C$43,Parametri_v3!$C$45,IF(9=Parametri_v3!$C$44,1-Parametri_v3!$C$45,0))</f>
        <v>0</v>
      </c>
      <c r="AQ121" s="15" t="n">
        <f aca="false">MAX(0,AP121+IF(9=Parametri_v3!$C$43,MAX(0,AN121-AO121),0)-MAX(0,-(AR120)))</f>
        <v>0</v>
      </c>
      <c r="AR121" s="15" t="n">
        <f aca="false">(AR120)+X121-AQ121</f>
        <v>0</v>
      </c>
      <c r="AS121" s="15" t="n">
        <f aca="false">Motore_Operativo!AB121-AT121+AU121</f>
        <v>113503.461904792</v>
      </c>
      <c r="AT121" s="15" t="n">
        <f aca="false">Motore_Operativo!CH121</f>
        <v>5973.86641604167</v>
      </c>
      <c r="AU121" s="15" t="n">
        <f aca="false">MIN(MAX(0,(AV120)+AT121),Parametri_v3!$C$60/12)</f>
        <v>0</v>
      </c>
      <c r="AV121" s="15" t="n">
        <f aca="false">(AV120)+AT121-AU121</f>
        <v>190820.348119375</v>
      </c>
      <c r="AW121" s="15" t="n">
        <f aca="false">IF(AND(Motore_Operativo!C121=Finanziamenti!$D$6,Finanziamenti!$F$6=1),Finanziamenti!$C$6,0)</f>
        <v>0</v>
      </c>
      <c r="AX121" s="15" t="n">
        <f aca="false">IF(AND(2&lt;&gt;7,2&lt;&gt;9,Finanziamenti!$F$8=1,OR(Parametri_v3!$C$6=0,Finanziamenti!$E$8=1),Motore_Operativo!C121=EDATE(Finanziamenti!$D$8,Ipotesi!D15*12)),Finanziamenti!$C$8*1,0)+IF(AND(2&lt;&gt;7,2&lt;&gt;9,Finanziamenti!$F$9=1,OR(Parametri_v3!$C$6=0,Finanziamenti!$E$9=1),Motore_Operativo!C121=EDATE(Finanziamenti!$D$9,Ipotesi!D15*12)),Finanziamenti!$C$9*Ipotesi!D16,0)</f>
        <v>0</v>
      </c>
      <c r="AY121" s="15" t="n">
        <f aca="false">0</f>
        <v>0</v>
      </c>
      <c r="AZ121" s="15" t="n">
        <f aca="false">Motore_Advisory!AY121*(1-Ipotesi!$C$95)*Ipotesi!$C$96</f>
        <v>0</v>
      </c>
      <c r="BA121" s="15" t="n">
        <f aca="false">MAX(0,MIN(CG121*MIN(1,IF(Motore_Operativo!C121&gt;=EDATE(Finanziamenti!$D$15,Ipotesi!D14*12),Finanziamenti!$C$15,0)+IF(Motore_Operativo!C121&gt;=EDATE(Finanziamenti!$D$16,Ipotesi!D14*12),Finanziamenti!$C$16,0)+IF(Motore_Operativo!C121&gt;=EDATE(Finanziamenti!$D$17,Ipotesi!D14*12),Finanziamenti!$C$17,0)),CA121*Ipotesi!$C$102)-(CC120))</f>
        <v>0</v>
      </c>
      <c r="BB121" s="15" t="n">
        <f aca="false">IF(AND(CF121&gt;0,Motore_Operativo!C121&gt;=IF(CF121=0,0,EDATE(CF121,Parametri_v3!$C$37)),MOD(((D121-YEAR(IF(CF121=0,0,EDATE(CF121,Parametri_v3!$C$37))))*12+E121-MONTH(IF(CF121=0,0,EDATE(CF121,Parametri_v3!$C$37)))),Parametri_v3!$C$38)=0),MIN(MAX(0,(BC120)+BA121-N121),(CC121-CD121)/(Ipotesi!$C$108*12/Parametri_v3!$C$38)),0)</f>
        <v>0</v>
      </c>
      <c r="BC121" s="15" t="n">
        <f aca="false">(BC120)+BA121-N121-BB121</f>
        <v>225584.047351372</v>
      </c>
      <c r="BD121" s="15" t="n">
        <f aca="false">(BH120)+AC121+AF121-AI121-AS121-K121*(1+Parametri_v3!$C$26)-AL121-AQ121-O121+AW121+AX121+AZ121+BA121-BB121</f>
        <v>23641.4281453851</v>
      </c>
      <c r="BE121" s="15" t="n">
        <f aca="false">MAX(0,MIN(MAX(0,CH121-(BG120)),Parametri_v3!$C$30-BD121))</f>
        <v>1358.5718546149</v>
      </c>
      <c r="BF121" s="15" t="n">
        <f aca="false">IF(Motore_Operativo!C121&gt;=Parametri_v3!$C$63,(BG120),MIN((BG120),MAX(0,BD121-Parametri_v3!$C$30)))</f>
        <v>0</v>
      </c>
      <c r="BG121" s="15" t="n">
        <f aca="false">(BG120)+BE121-BF121</f>
        <v>112157.965076473</v>
      </c>
      <c r="BH121" s="15" t="n">
        <f aca="false">BD121+BE121-BF121-AY121</f>
        <v>25000</v>
      </c>
      <c r="BI121" s="15" t="n">
        <f aca="false">MAX(0,Parametri_v3!$C$30-BH121)</f>
        <v>0</v>
      </c>
      <c r="BJ121" s="15" t="n">
        <f aca="false">(BJ120)+K121</f>
        <v>152500</v>
      </c>
      <c r="BK121" s="15" t="n">
        <f aca="false">(BK120)+L121</f>
        <v>90173.6111111111</v>
      </c>
      <c r="BL121" s="15" t="n">
        <f aca="false">BJ121-BK121</f>
        <v>62326.3888888888</v>
      </c>
      <c r="BM121" s="15" t="n">
        <f aca="false">(BM120)+Y121</f>
        <v>-1376148.21036235</v>
      </c>
      <c r="BN121" s="15" t="n">
        <f aca="false">(BN120)+AW121+AX121+AZ121</f>
        <v>1435430.40943357</v>
      </c>
      <c r="BO121" s="15" t="n">
        <f aca="false">(BO120)+AY121</f>
        <v>0</v>
      </c>
      <c r="BP121" s="15" t="n">
        <f aca="false">0</f>
        <v>0</v>
      </c>
      <c r="BQ121" s="15" t="n">
        <f aca="false">BN121+BM121-BO121</f>
        <v>59282.1990712215</v>
      </c>
      <c r="BR121" s="15" t="n">
        <f aca="false">BH121+AD121+BL121+MAX(0,-AM121)+MAX(0,-AR121)+AG121</f>
        <v>808670.801019948</v>
      </c>
      <c r="BS121" s="15" t="n">
        <f aca="false">AJ121+AV121+MAX(0,AM121)+MAX(0,AR121)+BC121+BG121+BQ121</f>
        <v>808670.80101995</v>
      </c>
      <c r="BT121" s="15" t="n">
        <f aca="false">BR121-BS121</f>
        <v>0</v>
      </c>
      <c r="BU121" s="15" t="n">
        <f aca="false">BH121-(BD121+BE121-BF121-AY121)</f>
        <v>0</v>
      </c>
      <c r="BV121" s="15" t="n">
        <f aca="false">MIN(Piano_SS!$C$6,(BV120)+IF(AND(Motore_Operativo!C121&gt;=EDATE(Parametri_v3!$C$24,Ipotesi!D14*12),Motore_Operativo!C121&lt;EDATE(Parametri_v3!$C$24,Parametri_v3!$C$25+Ipotesi!D14*12)),MAX(0,(Motore_Operativo!Y121+Motore_Operativo!X121*Parametri_v3!$C$14)*(1-Parametri_v3!$C$32))*Piano_SS!$D$6,0))</f>
        <v>300000</v>
      </c>
      <c r="BW121" s="15" t="n">
        <f aca="false">MIN(Piano_SS!$C$7,(BW120)+IF(AND(Motore_Operativo!C121&gt;=EDATE(Parametri_v3!$C$24,Ipotesi!D14*12),Motore_Operativo!C121&lt;EDATE(Parametri_v3!$C$24,Parametri_v3!$C$25+Ipotesi!D14*12)),MAX(0,(IF(57-(INT((Ipotesi!$C$91)/30))&lt;1,0,INDEX(Motore_Operativo!$BN$65:$BN$124,MAX(1,57-(INT((Ipotesi!$C$91)/30)))))*(1-(MOD((Ipotesi!$C$91),30)/30))+IF(57-(INT((Ipotesi!$C$91)/30))-1&lt;1,0,INDEX(Motore_Operativo!$BN$65:$BN$124,MAX(1,57-(INT((Ipotesi!$C$91)/30))-1)))*(MOD((Ipotesi!$C$91),30)/30)))*Piano_SS!$D$7,0))</f>
        <v>41058.9230070837</v>
      </c>
      <c r="BX121" s="15" t="n">
        <f aca="false">MIN(Piano_SS!$C$8,(BX120)+IF(AND(Motore_Operativo!C121&gt;=EDATE(Parametri_v3!$C$24,Ipotesi!D14*12),Motore_Operativo!C121&lt;EDATE(Parametri_v3!$C$24,Parametri_v3!$C$25+Ipotesi!D14*12)),MAX(0,Motore_Operativo!CE121)*Piano_SS!$D$8,0))</f>
        <v>50000</v>
      </c>
      <c r="BY121" s="15" t="n">
        <f aca="false">MIN(Piano_SS!$C$9,(BY120)+IF(AND(Motore_Operativo!C121&gt;=EDATE(Parametri_v3!$C$24,Ipotesi!D14*12),Motore_Operativo!C121&lt;EDATE(Parametri_v3!$C$24,Parametri_v3!$C$25+Ipotesi!D14*12)),MAX(0,((IF(57-(INT((Ipotesi!$C$91)/30))&lt;1,0,INDEX(Motore_Operativo!$BQ$65:$BQ$124,MAX(1,57-(INT((Ipotesi!$C$91)/30)))))*(1-(MOD((Ipotesi!$C$91),30)/30))+IF(57-(INT((Ipotesi!$C$91)/30))-1&lt;1,0,INDEX(Motore_Operativo!$BQ$65:$BQ$124,MAX(1,57-(INT((Ipotesi!$C$91)/30))-1)))*(MOD((Ipotesi!$C$91),30)/30))+(IF(57-(INT((Ipotesi!$C$91)/30))&lt;1,0,INDEX(Motore_Operativo!$BR$65:$BR$124,MAX(1,57-(INT((Ipotesi!$C$91)/30)))))*(1-(MOD((Ipotesi!$C$91),30)/30))+IF(57-(INT((Ipotesi!$C$91)/30))-1&lt;1,0,INDEX(Motore_Operativo!$BR$65:$BR$124,MAX(1,57-(INT((Ipotesi!$C$91)/30))-1)))*(MOD((Ipotesi!$C$91),30)/30))))*Piano_SS!$D$9,0))</f>
        <v>40000</v>
      </c>
      <c r="BZ121" s="15" t="n">
        <f aca="false">MIN(Piano_SS!$C$10,(BZ120)+IF(AND(Motore_Operativo!C121&gt;=EDATE(Parametri_v3!$C$24,Ipotesi!D14*12),Motore_Operativo!C121&lt;EDATE(Parametri_v3!$C$24,Parametri_v3!$C$25+Ipotesi!D14*12)),MAX(0,(IF(57-(INT((Ipotesi!$C$91)/30))&lt;1,0,INDEX(Motore_Operativo!$BO$65:$BO$124,MAX(1,57-(INT((Ipotesi!$C$91)/30)))))*(1-(MOD((Ipotesi!$C$91),30)/30))+IF(57-(INT((Ipotesi!$C$91)/30))-1&lt;1,0,INDEX(Motore_Operativo!$BO$65:$BO$124,MAX(1,57-(INT((Ipotesi!$C$91)/30))-1)))*(MOD((Ipotesi!$C$91),30)/30)))*Piano_SS!$D$10,0))</f>
        <v>30000</v>
      </c>
      <c r="CA121" s="15" t="n">
        <f aca="false">SUM(BV121:BZ121)</f>
        <v>461058.923007084</v>
      </c>
      <c r="CB121" s="15" t="n">
        <f aca="false">BV121*(1-Piano_SS!$E$6)+BW121*(1-Piano_SS!$E$7)+BX121*(1-Piano_SS!$E$8)+BY121*(1-Piano_SS!$E$9)+BZ121*(1-Piano_SS!$E$10)</f>
        <v>431058.923007084</v>
      </c>
      <c r="CC121" s="15" t="n">
        <f aca="false">(CC120)+BA121</f>
        <v>368847.138405667</v>
      </c>
      <c r="CD121" s="15" t="n">
        <f aca="false">IF(CA121=0,0,CC121*CB121/CA121*Ipotesi!$C$103*Parametri_v3!$C$64)</f>
        <v>103454.1415217</v>
      </c>
      <c r="CE121" s="18" t="n">
        <f aca="false">IF(BA121&gt;0,Motore_Operativo!C121,(CE120))</f>
        <v>47270</v>
      </c>
      <c r="CF121" s="18" t="n">
        <f aca="false">IF(AND(CC121&gt;0,OR(CC121&gt;=CG121-0.01,Motore_Operativo!C121&gt;=EDATE(MAX(Finanziamenti!$D$15:$D$17),Ipotesi!D14*12))),CE121,0)</f>
        <v>47270</v>
      </c>
      <c r="CG121" s="15" t="n">
        <f aca="false">IF(AND(2&lt;&gt;6,2&lt;&gt;9,Finanziamenti!$F$11=1,OR(Parametri_v3!$C$6=0,Finanziamenti!$E$11=1)),MIN(Finanziamenti!$C$11,Piano_SS!$C$12*Ipotesi!$C$102),0)</f>
        <v>400000</v>
      </c>
      <c r="CH121" s="15" t="n">
        <f aca="false">IF(AND(AND(2&lt;&gt;8,2&lt;&gt;9,Finanziamenti!$F$10=1,OR(Parametri_v3!$C$6=0,Finanziamenti!$E$10=1)),Motore_Operativo!C121&gt;=Finanziamenti!$D$10,Motore_Operativo!C121&lt;Parametri_v3!$C$63),Finanziamenti!$C$10,0)</f>
        <v>150000</v>
      </c>
    </row>
    <row r="122" customFormat="false" ht="18" hidden="false" customHeight="true" outlineLevel="0" collapsed="false">
      <c r="A122" s="68" t="n">
        <f aca="false">2</f>
        <v>2</v>
      </c>
      <c r="B122" s="68" t="n">
        <f aca="false">58</f>
        <v>58</v>
      </c>
      <c r="C122" s="18" t="n">
        <f aca="false">Motore_Operativo!C122</f>
        <v>48122</v>
      </c>
      <c r="D122" s="68" t="n">
        <f aca="false">Motore_Operativo!D122</f>
        <v>2031</v>
      </c>
      <c r="E122" s="68" t="n">
        <f aca="false">Motore_Operativo!E122</f>
        <v>10</v>
      </c>
      <c r="F122" s="15" t="n">
        <f aca="false">Motore_Operativo!AQ122+Motore_Operativo!BF122</f>
        <v>199910.821484386</v>
      </c>
      <c r="G122" s="15" t="n">
        <f aca="false">Motore_Operativo!BH122</f>
        <v>11595.8333333333</v>
      </c>
      <c r="H122" s="15" t="n">
        <f aca="false">Motore_Operativo!BI122</f>
        <v>211506.654817719</v>
      </c>
      <c r="I122" s="15" t="n">
        <f aca="false">Motore_Operativo!CA122</f>
        <v>200646.884995314</v>
      </c>
      <c r="J122" s="15" t="n">
        <f aca="false">Motore_Operativo!CC122</f>
        <v>10859.7698224054</v>
      </c>
      <c r="K122" s="15" t="n">
        <f aca="false">Motore_Operativo!CE122</f>
        <v>4166.66666666667</v>
      </c>
      <c r="L122" s="15" t="n">
        <f aca="false">SUM(INDEX($K$65:$K$124,MAX(1,58-Parametri_v3!$C$59+1)):K122)/Parametri_v3!$C$59</f>
        <v>3217.59259259259</v>
      </c>
      <c r="M122" s="15" t="n">
        <f aca="false">J122-L122</f>
        <v>7642.17722981277</v>
      </c>
      <c r="N122" s="15" t="n">
        <f aca="false">CD122-(CD121)</f>
        <v>0</v>
      </c>
      <c r="O122" s="15" t="n">
        <f aca="false">(BG121)*Ipotesi!$C$110/12+CH122*Parametri_v3!$C$39/12</f>
        <v>560.789825382367</v>
      </c>
      <c r="P122" s="15" t="n">
        <f aca="false">M122+N122-O122</f>
        <v>7081.3874044304</v>
      </c>
      <c r="Q122" s="15" t="n">
        <f aca="false">SUM(P113:P122)+Parametri_v3!$C$54*10/12</f>
        <v>-53821.680743463</v>
      </c>
      <c r="R122" s="15" t="n">
        <f aca="false">Z112</f>
        <v>1007520.29624424</v>
      </c>
      <c r="S122" s="15" t="n">
        <f aca="false">AA112</f>
        <v>307724.845970214</v>
      </c>
      <c r="T122" s="15" t="n">
        <f aca="false">MIN(R122,MAX(0,Q122))</f>
        <v>0</v>
      </c>
      <c r="U122" s="15" t="n">
        <f aca="false">MIN(S122,MAX(0,Q122-T122)*Parametri_v3!$C$42)</f>
        <v>0</v>
      </c>
      <c r="V122" s="15" t="n">
        <f aca="false">MAX(0,Q122-T122-U122)*Ipotesi!$C$92</f>
        <v>0</v>
      </c>
      <c r="W122" s="15" t="n">
        <f aca="false">MAX(0,SUM(M113:M122)+Parametri_v3!$C$55*10/12)*Ipotesi!$C$93</f>
        <v>0</v>
      </c>
      <c r="X122" s="15" t="n">
        <f aca="false">V122+W122-(V121+W121)</f>
        <v>0</v>
      </c>
      <c r="Y122" s="15" t="n">
        <f aca="false">P122-X122</f>
        <v>7081.3874044304</v>
      </c>
      <c r="Z122" s="15" t="n">
        <f aca="false">R122-T122+IF(AND(Parametri_v3!$C$40=1,D122-YEAR(Parametri_v3!$C$50)&lt;Parametri_v3!$C$41),MAX(0,-Q122),0)</f>
        <v>1007520.29624424</v>
      </c>
      <c r="AA122" s="15" t="n">
        <f aca="false">S122-U122+IF(AND(Parametri_v3!$C$40=1,D122-YEAR(Parametri_v3!$C$50)&lt;Parametri_v3!$C$41),0,MAX(0,-Q122))</f>
        <v>361546.526713677</v>
      </c>
      <c r="AB122" s="15" t="n">
        <f aca="false">F122*(1+Parametri_v3!$C$26)</f>
        <v>243891.202210951</v>
      </c>
      <c r="AC122" s="15" t="n">
        <f aca="false">(IF(58-(INT((Motore_Operativo!L122)/30))&lt;1,0,INDEX(Motore_Startup!$AB$65:$AB$124,MAX(1,58-(INT((Motore_Operativo!L122)/30)))))*(1-(MOD((Motore_Operativo!L122),30)/30))+IF(58-(INT((Motore_Operativo!L122)/30))-1&lt;1,0,INDEX(Motore_Startup!$AB$65:$AB$124,MAX(1,58-(INT((Motore_Operativo!L122)/30))-1)))*(MOD((Motore_Operativo!L122),30)/30))</f>
        <v>231617.225072678</v>
      </c>
      <c r="AD122" s="15" t="n">
        <f aca="false">(AD121)+AB122-AC122</f>
        <v>719471.472602666</v>
      </c>
      <c r="AE122" s="15" t="n">
        <f aca="false">Motore_Operativo!BH122*(1+Parametri_v3!$C$26)</f>
        <v>14146.9166666667</v>
      </c>
      <c r="AF122" s="15" t="n">
        <f aca="false">(IF(58-(INT((Parametri_v3!$C$29)/30))&lt;1,0,INDEX(Motore_Operativo!$BH$65:$BH$124,MAX(1,58-(INT((Parametri_v3!$C$29)/30)))))*(1-(MOD((Parametri_v3!$C$29),30)/30))+IF(58-(INT((Parametri_v3!$C$29)/30))-1&lt;1,0,INDEX(Motore_Operativo!$BH$65:$BH$124,MAX(1,58-(INT((Parametri_v3!$C$29)/30))-1)))*(MOD((Parametri_v3!$C$29),30)/30))*(1+Parametri_v3!$C$26)</f>
        <v>14146.9166666667</v>
      </c>
      <c r="AG122" s="15" t="n">
        <f aca="false">(AG121)+AE122-AF122</f>
        <v>14146.9166666667</v>
      </c>
      <c r="AH122" s="15" t="n">
        <f aca="false">(Motore_Operativo!CJ122)*(1+Parametri_v3!$C$27*Parametri_v3!$C$26)</f>
        <v>96348.2637726086</v>
      </c>
      <c r="AI122" s="15" t="n">
        <f aca="false">(IF(58-(INT((Ipotesi!$C$91)/30))&lt;1,0,INDEX(Motore_Startup!$AH$65:$AH$124,MAX(1,58-(INT((Ipotesi!$C$91)/30)))))*(1-(MOD((Ipotesi!$C$91),30)/30))+IF(58-(INT((Ipotesi!$C$91)/30))-1&lt;1,0,INDEX(Motore_Startup!$AH$65:$AH$124,MAX(1,58-(INT((Ipotesi!$C$91)/30))-1)))*(MOD((Ipotesi!$C$91),30)/30))</f>
        <v>95238.5794818148</v>
      </c>
      <c r="AJ122" s="15" t="n">
        <f aca="false">(AJ121)+AH122-AI122</f>
        <v>192144.121153112</v>
      </c>
      <c r="AK122" s="15" t="n">
        <f aca="false">(F122+ Motore_Operativo!BH122-(Motore_Operativo!CJ122)*Parametri_v3!$C$27-Motore_Operativo!CE122)*Parametri_v3!$C$26</f>
        <v>30436.0902951037</v>
      </c>
      <c r="AL122" s="15" t="n">
        <f aca="false">MAX(0,(AM121))</f>
        <v>29791.8045391898</v>
      </c>
      <c r="AM122" s="15" t="n">
        <f aca="false">(AM121)+AK122-AL122</f>
        <v>30436.0902951037</v>
      </c>
      <c r="AN122" s="15" t="n">
        <f aca="false">SUM(X101:X112)</f>
        <v>0</v>
      </c>
      <c r="AO122" s="15" t="n">
        <f aca="false">SUM(AP101:AP112)</f>
        <v>0</v>
      </c>
      <c r="AP122" s="15" t="n">
        <f aca="false">MAX(0,AN122)*IF(10=Parametri_v3!$C$43,Parametri_v3!$C$45,IF(10=Parametri_v3!$C$44,1-Parametri_v3!$C$45,0))</f>
        <v>0</v>
      </c>
      <c r="AQ122" s="15" t="n">
        <f aca="false">MAX(0,AP122+IF(10=Parametri_v3!$C$43,MAX(0,AN122-AO122),0)-MAX(0,-(AR121)))</f>
        <v>0</v>
      </c>
      <c r="AR122" s="15" t="n">
        <f aca="false">(AR121)+X122-AQ122</f>
        <v>0</v>
      </c>
      <c r="AS122" s="15" t="n">
        <f aca="false">Motore_Operativo!AB122-AT122+AU122</f>
        <v>113503.461904792</v>
      </c>
      <c r="AT122" s="15" t="n">
        <f aca="false">Motore_Operativo!CH122</f>
        <v>5973.86641604167</v>
      </c>
      <c r="AU122" s="15" t="n">
        <f aca="false">MIN(MAX(0,(AV121)+AT122),Parametri_v3!$C$60/12)</f>
        <v>0</v>
      </c>
      <c r="AV122" s="15" t="n">
        <f aca="false">(AV121)+AT122-AU122</f>
        <v>196794.214535417</v>
      </c>
      <c r="AW122" s="15" t="n">
        <f aca="false">IF(AND(Motore_Operativo!C122=Finanziamenti!$D$6,Finanziamenti!$F$6=1),Finanziamenti!$C$6,0)</f>
        <v>0</v>
      </c>
      <c r="AX122" s="15" t="n">
        <f aca="false">IF(AND(2&lt;&gt;7,2&lt;&gt;9,Finanziamenti!$F$8=1,OR(Parametri_v3!$C$6=0,Finanziamenti!$E$8=1),Motore_Operativo!C122=EDATE(Finanziamenti!$D$8,Ipotesi!D15*12)),Finanziamenti!$C$8*1,0)+IF(AND(2&lt;&gt;7,2&lt;&gt;9,Finanziamenti!$F$9=1,OR(Parametri_v3!$C$6=0,Finanziamenti!$E$9=1),Motore_Operativo!C122=EDATE(Finanziamenti!$D$9,Ipotesi!D15*12)),Finanziamenti!$C$9*Ipotesi!D16,0)</f>
        <v>0</v>
      </c>
      <c r="AY122" s="15" t="n">
        <f aca="false">0</f>
        <v>0</v>
      </c>
      <c r="AZ122" s="15" t="n">
        <f aca="false">Motore_Advisory!AY122*(1-Ipotesi!$C$95)*Ipotesi!$C$96</f>
        <v>0</v>
      </c>
      <c r="BA122" s="15" t="n">
        <f aca="false">MAX(0,MIN(CG122*MIN(1,IF(Motore_Operativo!C122&gt;=EDATE(Finanziamenti!$D$15,Ipotesi!D14*12),Finanziamenti!$C$15,0)+IF(Motore_Operativo!C122&gt;=EDATE(Finanziamenti!$D$16,Ipotesi!D14*12),Finanziamenti!$C$16,0)+IF(Motore_Operativo!C122&gt;=EDATE(Finanziamenti!$D$17,Ipotesi!D14*12),Finanziamenti!$C$17,0)),CA122*Ipotesi!$C$102)-(CC121))</f>
        <v>0</v>
      </c>
      <c r="BB122" s="15" t="n">
        <f aca="false">IF(AND(CF122&gt;0,Motore_Operativo!C122&gt;=IF(CF122=0,0,EDATE(CF122,Parametri_v3!$C$37)),MOD(((D122-YEAR(IF(CF122=0,0,EDATE(CF122,Parametri_v3!$C$37))))*12+E122-MONTH(IF(CF122=0,0,EDATE(CF122,Parametri_v3!$C$37)))),Parametri_v3!$C$38)=0),MIN(MAX(0,(BC121)+BA122-N122),(CC122-CD122)/(Ipotesi!$C$108*12/Parametri_v3!$C$38)),0)</f>
        <v>0</v>
      </c>
      <c r="BC122" s="15" t="n">
        <f aca="false">(BC121)+BA122-N122-BB122</f>
        <v>225584.047351372</v>
      </c>
      <c r="BD122" s="15" t="n">
        <f aca="false">(BH121)+AC122+AF122-AI122-AS122-K122*(1+Parametri_v3!$C$26)-AL122-AQ122-O122+AW122+AX122+AZ122+BA122-BB122</f>
        <v>26586.1726548327</v>
      </c>
      <c r="BE122" s="15" t="n">
        <f aca="false">MAX(0,MIN(MAX(0,CH122-(BG121)),Parametri_v3!$C$30-BD122))</f>
        <v>0</v>
      </c>
      <c r="BF122" s="15" t="n">
        <f aca="false">IF(Motore_Operativo!C122&gt;=Parametri_v3!$C$63,(BG121),MIN((BG121),MAX(0,BD122-Parametri_v3!$C$30)))</f>
        <v>1586.17265483266</v>
      </c>
      <c r="BG122" s="15" t="n">
        <f aca="false">(BG121)+BE122-BF122</f>
        <v>110571.792421641</v>
      </c>
      <c r="BH122" s="15" t="n">
        <f aca="false">BD122+BE122-BF122-AY122</f>
        <v>25000</v>
      </c>
      <c r="BI122" s="15" t="n">
        <f aca="false">MAX(0,Parametri_v3!$C$30-BH122)</f>
        <v>0</v>
      </c>
      <c r="BJ122" s="15" t="n">
        <f aca="false">(BJ121)+K122</f>
        <v>156666.666666667</v>
      </c>
      <c r="BK122" s="15" t="n">
        <f aca="false">(BK121)+L122</f>
        <v>93391.2037037037</v>
      </c>
      <c r="BL122" s="15" t="n">
        <f aca="false">BJ122-BK122</f>
        <v>63275.4629629629</v>
      </c>
      <c r="BM122" s="15" t="n">
        <f aca="false">(BM121)+Y122</f>
        <v>-1369066.82295792</v>
      </c>
      <c r="BN122" s="15" t="n">
        <f aca="false">(BN121)+AW122+AX122+AZ122</f>
        <v>1435430.40943357</v>
      </c>
      <c r="BO122" s="15" t="n">
        <f aca="false">(BO121)+AY122</f>
        <v>0</v>
      </c>
      <c r="BP122" s="15" t="n">
        <f aca="false">0</f>
        <v>0</v>
      </c>
      <c r="BQ122" s="15" t="n">
        <f aca="false">BN122+BM122-BO122</f>
        <v>66363.5864756519</v>
      </c>
      <c r="BR122" s="15" t="n">
        <f aca="false">BH122+AD122+BL122+MAX(0,-AM122)+MAX(0,-AR122)+AG122</f>
        <v>821893.852232296</v>
      </c>
      <c r="BS122" s="15" t="n">
        <f aca="false">AJ122+AV122+MAX(0,AM122)+MAX(0,AR122)+BC122+BG122+BQ122</f>
        <v>821893.852232297</v>
      </c>
      <c r="BT122" s="15" t="n">
        <f aca="false">BR122-BS122</f>
        <v>0</v>
      </c>
      <c r="BU122" s="15" t="n">
        <f aca="false">BH122-(BD122+BE122-BF122-AY122)</f>
        <v>0</v>
      </c>
      <c r="BV122" s="15" t="n">
        <f aca="false">MIN(Piano_SS!$C$6,(BV121)+IF(AND(Motore_Operativo!C122&gt;=EDATE(Parametri_v3!$C$24,Ipotesi!D14*12),Motore_Operativo!C122&lt;EDATE(Parametri_v3!$C$24,Parametri_v3!$C$25+Ipotesi!D14*12)),MAX(0,(Motore_Operativo!Y122+Motore_Operativo!X122*Parametri_v3!$C$14)*(1-Parametri_v3!$C$32))*Piano_SS!$D$6,0))</f>
        <v>300000</v>
      </c>
      <c r="BW122" s="15" t="n">
        <f aca="false">MIN(Piano_SS!$C$7,(BW121)+IF(AND(Motore_Operativo!C122&gt;=EDATE(Parametri_v3!$C$24,Ipotesi!D14*12),Motore_Operativo!C122&lt;EDATE(Parametri_v3!$C$24,Parametri_v3!$C$25+Ipotesi!D14*12)),MAX(0,(IF(58-(INT((Ipotesi!$C$91)/30))&lt;1,0,INDEX(Motore_Operativo!$BN$65:$BN$124,MAX(1,58-(INT((Ipotesi!$C$91)/30)))))*(1-(MOD((Ipotesi!$C$91),30)/30))+IF(58-(INT((Ipotesi!$C$91)/30))-1&lt;1,0,INDEX(Motore_Operativo!$BN$65:$BN$124,MAX(1,58-(INT((Ipotesi!$C$91)/30))-1)))*(MOD((Ipotesi!$C$91),30)/30)))*Piano_SS!$D$7,0))</f>
        <v>41058.9230070837</v>
      </c>
      <c r="BX122" s="15" t="n">
        <f aca="false">MIN(Piano_SS!$C$8,(BX121)+IF(AND(Motore_Operativo!C122&gt;=EDATE(Parametri_v3!$C$24,Ipotesi!D14*12),Motore_Operativo!C122&lt;EDATE(Parametri_v3!$C$24,Parametri_v3!$C$25+Ipotesi!D14*12)),MAX(0,Motore_Operativo!CE122)*Piano_SS!$D$8,0))</f>
        <v>50000</v>
      </c>
      <c r="BY122" s="15" t="n">
        <f aca="false">MIN(Piano_SS!$C$9,(BY121)+IF(AND(Motore_Operativo!C122&gt;=EDATE(Parametri_v3!$C$24,Ipotesi!D14*12),Motore_Operativo!C122&lt;EDATE(Parametri_v3!$C$24,Parametri_v3!$C$25+Ipotesi!D14*12)),MAX(0,((IF(58-(INT((Ipotesi!$C$91)/30))&lt;1,0,INDEX(Motore_Operativo!$BQ$65:$BQ$124,MAX(1,58-(INT((Ipotesi!$C$91)/30)))))*(1-(MOD((Ipotesi!$C$91),30)/30))+IF(58-(INT((Ipotesi!$C$91)/30))-1&lt;1,0,INDEX(Motore_Operativo!$BQ$65:$BQ$124,MAX(1,58-(INT((Ipotesi!$C$91)/30))-1)))*(MOD((Ipotesi!$C$91),30)/30))+(IF(58-(INT((Ipotesi!$C$91)/30))&lt;1,0,INDEX(Motore_Operativo!$BR$65:$BR$124,MAX(1,58-(INT((Ipotesi!$C$91)/30)))))*(1-(MOD((Ipotesi!$C$91),30)/30))+IF(58-(INT((Ipotesi!$C$91)/30))-1&lt;1,0,INDEX(Motore_Operativo!$BR$65:$BR$124,MAX(1,58-(INT((Ipotesi!$C$91)/30))-1)))*(MOD((Ipotesi!$C$91),30)/30))))*Piano_SS!$D$9,0))</f>
        <v>40000</v>
      </c>
      <c r="BZ122" s="15" t="n">
        <f aca="false">MIN(Piano_SS!$C$10,(BZ121)+IF(AND(Motore_Operativo!C122&gt;=EDATE(Parametri_v3!$C$24,Ipotesi!D14*12),Motore_Operativo!C122&lt;EDATE(Parametri_v3!$C$24,Parametri_v3!$C$25+Ipotesi!D14*12)),MAX(0,(IF(58-(INT((Ipotesi!$C$91)/30))&lt;1,0,INDEX(Motore_Operativo!$BO$65:$BO$124,MAX(1,58-(INT((Ipotesi!$C$91)/30)))))*(1-(MOD((Ipotesi!$C$91),30)/30))+IF(58-(INT((Ipotesi!$C$91)/30))-1&lt;1,0,INDEX(Motore_Operativo!$BO$65:$BO$124,MAX(1,58-(INT((Ipotesi!$C$91)/30))-1)))*(MOD((Ipotesi!$C$91),30)/30)))*Piano_SS!$D$10,0))</f>
        <v>30000</v>
      </c>
      <c r="CA122" s="15" t="n">
        <f aca="false">SUM(BV122:BZ122)</f>
        <v>461058.923007084</v>
      </c>
      <c r="CB122" s="15" t="n">
        <f aca="false">BV122*(1-Piano_SS!$E$6)+BW122*(1-Piano_SS!$E$7)+BX122*(1-Piano_SS!$E$8)+BY122*(1-Piano_SS!$E$9)+BZ122*(1-Piano_SS!$E$10)</f>
        <v>431058.923007084</v>
      </c>
      <c r="CC122" s="15" t="n">
        <f aca="false">(CC121)+BA122</f>
        <v>368847.138405667</v>
      </c>
      <c r="CD122" s="15" t="n">
        <f aca="false">IF(CA122=0,0,CC122*CB122/CA122*Ipotesi!$C$103*Parametri_v3!$C$64)</f>
        <v>103454.1415217</v>
      </c>
      <c r="CE122" s="18" t="n">
        <f aca="false">IF(BA122&gt;0,Motore_Operativo!C122,(CE121))</f>
        <v>47270</v>
      </c>
      <c r="CF122" s="18" t="n">
        <f aca="false">IF(AND(CC122&gt;0,OR(CC122&gt;=CG122-0.01,Motore_Operativo!C122&gt;=EDATE(MAX(Finanziamenti!$D$15:$D$17),Ipotesi!D14*12))),CE122,0)</f>
        <v>47270</v>
      </c>
      <c r="CG122" s="15" t="n">
        <f aca="false">IF(AND(2&lt;&gt;6,2&lt;&gt;9,Finanziamenti!$F$11=1,OR(Parametri_v3!$C$6=0,Finanziamenti!$E$11=1)),MIN(Finanziamenti!$C$11,Piano_SS!$C$12*Ipotesi!$C$102),0)</f>
        <v>400000</v>
      </c>
      <c r="CH122" s="15" t="n">
        <f aca="false">IF(AND(AND(2&lt;&gt;8,2&lt;&gt;9,Finanziamenti!$F$10=1,OR(Parametri_v3!$C$6=0,Finanziamenti!$E$10=1)),Motore_Operativo!C122&gt;=Finanziamenti!$D$10,Motore_Operativo!C122&lt;Parametri_v3!$C$63),Finanziamenti!$C$10,0)</f>
        <v>150000</v>
      </c>
    </row>
    <row r="123" customFormat="false" ht="18" hidden="false" customHeight="true" outlineLevel="0" collapsed="false">
      <c r="A123" s="68" t="n">
        <f aca="false">2</f>
        <v>2</v>
      </c>
      <c r="B123" s="68" t="n">
        <f aca="false">59</f>
        <v>59</v>
      </c>
      <c r="C123" s="18" t="n">
        <f aca="false">Motore_Operativo!C123</f>
        <v>48153</v>
      </c>
      <c r="D123" s="68" t="n">
        <f aca="false">Motore_Operativo!D123</f>
        <v>2031</v>
      </c>
      <c r="E123" s="68" t="n">
        <f aca="false">Motore_Operativo!E123</f>
        <v>11</v>
      </c>
      <c r="F123" s="15" t="n">
        <f aca="false">Motore_Operativo!AQ123+Motore_Operativo!BF123</f>
        <v>203205.907958909</v>
      </c>
      <c r="G123" s="15" t="n">
        <f aca="false">Motore_Operativo!BH123</f>
        <v>11595.8333333333</v>
      </c>
      <c r="H123" s="15" t="n">
        <f aca="false">Motore_Operativo!BI123</f>
        <v>214801.741292243</v>
      </c>
      <c r="I123" s="15" t="n">
        <f aca="false">Motore_Operativo!CA123</f>
        <v>201108.197101747</v>
      </c>
      <c r="J123" s="15" t="n">
        <f aca="false">Motore_Operativo!CC123</f>
        <v>13693.5441904952</v>
      </c>
      <c r="K123" s="15" t="n">
        <f aca="false">Motore_Operativo!CE123</f>
        <v>4166.66666666667</v>
      </c>
      <c r="L123" s="15" t="n">
        <f aca="false">SUM(INDEX($K$65:$K$124,MAX(1,59-Parametri_v3!$C$59+1)):K123)/Parametri_v3!$C$59</f>
        <v>3275.46296296296</v>
      </c>
      <c r="M123" s="15" t="n">
        <f aca="false">J123-L123</f>
        <v>10418.0812275323</v>
      </c>
      <c r="N123" s="15" t="n">
        <f aca="false">CD123-(CD122)</f>
        <v>0</v>
      </c>
      <c r="O123" s="15" t="n">
        <f aca="false">(BG122)*Ipotesi!$C$110/12+CH123*Parametri_v3!$C$39/12</f>
        <v>552.858962108203</v>
      </c>
      <c r="P123" s="15" t="n">
        <f aca="false">M123+N123-O123</f>
        <v>9865.22226542408</v>
      </c>
      <c r="Q123" s="15" t="n">
        <f aca="false">SUM(P113:P123)+Parametri_v3!$C$54*11/12</f>
        <v>-43956.4584780389</v>
      </c>
      <c r="R123" s="15" t="n">
        <f aca="false">Z112</f>
        <v>1007520.29624424</v>
      </c>
      <c r="S123" s="15" t="n">
        <f aca="false">AA112</f>
        <v>307724.845970214</v>
      </c>
      <c r="T123" s="15" t="n">
        <f aca="false">MIN(R123,MAX(0,Q123))</f>
        <v>0</v>
      </c>
      <c r="U123" s="15" t="n">
        <f aca="false">MIN(S123,MAX(0,Q123-T123)*Parametri_v3!$C$42)</f>
        <v>0</v>
      </c>
      <c r="V123" s="15" t="n">
        <f aca="false">MAX(0,Q123-T123-U123)*Ipotesi!$C$92</f>
        <v>0</v>
      </c>
      <c r="W123" s="15" t="n">
        <f aca="false">MAX(0,SUM(M113:M123)+Parametri_v3!$C$55*11/12)*Ipotesi!$C$93</f>
        <v>0</v>
      </c>
      <c r="X123" s="15" t="n">
        <f aca="false">V123+W123-(V122+W122)</f>
        <v>0</v>
      </c>
      <c r="Y123" s="15" t="n">
        <f aca="false">P123-X123</f>
        <v>9865.22226542408</v>
      </c>
      <c r="Z123" s="15" t="n">
        <f aca="false">R123-T123+IF(AND(Parametri_v3!$C$40=1,D123-YEAR(Parametri_v3!$C$50)&lt;Parametri_v3!$C$41),MAX(0,-Q123),0)</f>
        <v>1007520.29624424</v>
      </c>
      <c r="AA123" s="15" t="n">
        <f aca="false">S123-U123+IF(AND(Parametri_v3!$C$40=1,D123-YEAR(Parametri_v3!$C$50)&lt;Parametri_v3!$C$41),0,MAX(0,-Q123))</f>
        <v>351681.304448253</v>
      </c>
      <c r="AB123" s="15" t="n">
        <f aca="false">F123*(1+Parametri_v3!$C$26)</f>
        <v>247911.207709869</v>
      </c>
      <c r="AC123" s="15" t="n">
        <f aca="false">(IF(59-(INT((Motore_Operativo!L123)/30))&lt;1,0,INDEX(Motore_Startup!$AB$65:$AB$124,MAX(1,59-(INT((Motore_Operativo!L123)/30)))))*(1-(MOD((Motore_Operativo!L123),30)/30))+IF(59-(INT((Motore_Operativo!L123)/30))-1&lt;1,0,INDEX(Motore_Startup!$AB$65:$AB$124,MAX(1,59-(INT((Motore_Operativo!L123)/30))-1)))*(MOD((Motore_Operativo!L123),30)/30))</f>
        <v>235744.524904606</v>
      </c>
      <c r="AD123" s="15" t="n">
        <f aca="false">(AD122)+AB123-AC123</f>
        <v>731638.15540793</v>
      </c>
      <c r="AE123" s="15" t="n">
        <f aca="false">Motore_Operativo!BH123*(1+Parametri_v3!$C$26)</f>
        <v>14146.9166666667</v>
      </c>
      <c r="AF123" s="15" t="n">
        <f aca="false">(IF(59-(INT((Parametri_v3!$C$29)/30))&lt;1,0,INDEX(Motore_Operativo!$BH$65:$BH$124,MAX(1,59-(INT((Parametri_v3!$C$29)/30)))))*(1-(MOD((Parametri_v3!$C$29),30)/30))+IF(59-(INT((Parametri_v3!$C$29)/30))-1&lt;1,0,INDEX(Motore_Operativo!$BH$65:$BH$124,MAX(1,59-(INT((Parametri_v3!$C$29)/30))-1)))*(MOD((Parametri_v3!$C$29),30)/30))*(1+Parametri_v3!$C$26)</f>
        <v>14146.9166666667</v>
      </c>
      <c r="AG123" s="15" t="n">
        <f aca="false">(AG122)+AE123-AF123</f>
        <v>14146.9166666667</v>
      </c>
      <c r="AH123" s="15" t="n">
        <f aca="false">(Motore_Operativo!CJ123)*(1+Parametri_v3!$C$27*Parametri_v3!$C$26)</f>
        <v>96895.8412429449</v>
      </c>
      <c r="AI123" s="15" t="n">
        <f aca="false">(IF(59-(INT((Ipotesi!$C$91)/30))&lt;1,0,INDEX(Motore_Startup!$AH$65:$AH$124,MAX(1,59-(INT((Ipotesi!$C$91)/30)))))*(1-(MOD((Ipotesi!$C$91),30)/30))+IF(59-(INT((Ipotesi!$C$91)/30))-1&lt;1,0,INDEX(Motore_Startup!$AH$65:$AH$124,MAX(1,59-(INT((Ipotesi!$C$91)/30))-1)))*(MOD((Ipotesi!$C$91),30)/30))</f>
        <v>95795.8573805037</v>
      </c>
      <c r="AJ123" s="15" t="n">
        <f aca="false">(AJ122)+AH123-AI123</f>
        <v>193244.105015553</v>
      </c>
      <c r="AK123" s="15" t="n">
        <f aca="false">(F123+ Motore_Operativo!BH123-(Motore_Operativo!CJ123)*Parametri_v3!$C$27-Motore_Operativo!CE123)*Parametri_v3!$C$26</f>
        <v>31074.7439555958</v>
      </c>
      <c r="AL123" s="15" t="n">
        <f aca="false">MAX(0,(AM122))</f>
        <v>30436.0902951037</v>
      </c>
      <c r="AM123" s="15" t="n">
        <f aca="false">(AM122)+AK123-AL123</f>
        <v>31074.7439555958</v>
      </c>
      <c r="AN123" s="15" t="n">
        <f aca="false">SUM(X101:X112)</f>
        <v>0</v>
      </c>
      <c r="AO123" s="15" t="n">
        <f aca="false">SUM(AP101:AP112)</f>
        <v>0</v>
      </c>
      <c r="AP123" s="15" t="n">
        <f aca="false">MAX(0,AN123)*IF(11=Parametri_v3!$C$43,Parametri_v3!$C$45,IF(11=Parametri_v3!$C$44,1-Parametri_v3!$C$45,0))</f>
        <v>0</v>
      </c>
      <c r="AQ123" s="15" t="n">
        <f aca="false">MAX(0,AP123+IF(11=Parametri_v3!$C$43,MAX(0,AN123-AO123),0)-MAX(0,-(AR122)))</f>
        <v>0</v>
      </c>
      <c r="AR123" s="15" t="n">
        <f aca="false">(AR122)+X123-AQ123</f>
        <v>0</v>
      </c>
      <c r="AS123" s="15" t="n">
        <f aca="false">Motore_Operativo!AB123-AT123+AU123</f>
        <v>113503.461904792</v>
      </c>
      <c r="AT123" s="15" t="n">
        <f aca="false">Motore_Operativo!CH123</f>
        <v>5973.86641604167</v>
      </c>
      <c r="AU123" s="15" t="n">
        <f aca="false">MIN(MAX(0,(AV122)+AT123),Parametri_v3!$C$60/12)</f>
        <v>0</v>
      </c>
      <c r="AV123" s="15" t="n">
        <f aca="false">(AV122)+AT123-AU123</f>
        <v>202768.080951459</v>
      </c>
      <c r="AW123" s="15" t="n">
        <f aca="false">IF(AND(Motore_Operativo!C123=Finanziamenti!$D$6,Finanziamenti!$F$6=1),Finanziamenti!$C$6,0)</f>
        <v>0</v>
      </c>
      <c r="AX123" s="15" t="n">
        <f aca="false">IF(AND(2&lt;&gt;7,2&lt;&gt;9,Finanziamenti!$F$8=1,OR(Parametri_v3!$C$6=0,Finanziamenti!$E$8=1),Motore_Operativo!C123=EDATE(Finanziamenti!$D$8,Ipotesi!D15*12)),Finanziamenti!$C$8*1,0)+IF(AND(2&lt;&gt;7,2&lt;&gt;9,Finanziamenti!$F$9=1,OR(Parametri_v3!$C$6=0,Finanziamenti!$E$9=1),Motore_Operativo!C123=EDATE(Finanziamenti!$D$9,Ipotesi!D15*12)),Finanziamenti!$C$9*Ipotesi!D16,0)</f>
        <v>0</v>
      </c>
      <c r="AY123" s="15" t="n">
        <f aca="false">0</f>
        <v>0</v>
      </c>
      <c r="AZ123" s="15" t="n">
        <f aca="false">Motore_Advisory!AY123*(1-Ipotesi!$C$95)*Ipotesi!$C$96</f>
        <v>0</v>
      </c>
      <c r="BA123" s="15" t="n">
        <f aca="false">MAX(0,MIN(CG123*MIN(1,IF(Motore_Operativo!C123&gt;=EDATE(Finanziamenti!$D$15,Ipotesi!D14*12),Finanziamenti!$C$15,0)+IF(Motore_Operativo!C123&gt;=EDATE(Finanziamenti!$D$16,Ipotesi!D14*12),Finanziamenti!$C$16,0)+IF(Motore_Operativo!C123&gt;=EDATE(Finanziamenti!$D$17,Ipotesi!D14*12),Finanziamenti!$C$17,0)),CA123*Ipotesi!$C$102)-(CC122))</f>
        <v>0</v>
      </c>
      <c r="BB123" s="15" t="n">
        <f aca="false">IF(AND(CF123&gt;0,Motore_Operativo!C123&gt;=IF(CF123=0,0,EDATE(CF123,Parametri_v3!$C$37)),MOD(((D123-YEAR(IF(CF123=0,0,EDATE(CF123,Parametri_v3!$C$37))))*12+E123-MONTH(IF(CF123=0,0,EDATE(CF123,Parametri_v3!$C$37)))),Parametri_v3!$C$38)=0),MIN(MAX(0,(BC122)+BA123-N123),(CC123-CD123)/(Ipotesi!$C$108*12/Parametri_v3!$C$38)),0)</f>
        <v>0</v>
      </c>
      <c r="BC123" s="15" t="n">
        <f aca="false">(BC122)+BA123-N123-BB123</f>
        <v>225584.047351372</v>
      </c>
      <c r="BD123" s="15" t="n">
        <f aca="false">(BH122)+AC123+AF123-AI123-AS123-K123*(1+Parametri_v3!$C$26)-AL123-AQ123-O123+AW123+AX123+AZ123+BA123-BB123</f>
        <v>29519.8396954318</v>
      </c>
      <c r="BE123" s="15" t="n">
        <f aca="false">MAX(0,MIN(MAX(0,CH123-(BG122)),Parametri_v3!$C$30-BD123))</f>
        <v>0</v>
      </c>
      <c r="BF123" s="15" t="n">
        <f aca="false">IF(Motore_Operativo!C123&gt;=Parametri_v3!$C$63,(BG122),MIN((BG122),MAX(0,BD123-Parametri_v3!$C$30)))</f>
        <v>4519.83969543176</v>
      </c>
      <c r="BG123" s="15" t="n">
        <f aca="false">(BG122)+BE123-BF123</f>
        <v>106051.952726209</v>
      </c>
      <c r="BH123" s="15" t="n">
        <f aca="false">BD123+BE123-BF123-AY123</f>
        <v>25000</v>
      </c>
      <c r="BI123" s="15" t="n">
        <f aca="false">MAX(0,Parametri_v3!$C$30-BH123)</f>
        <v>0</v>
      </c>
      <c r="BJ123" s="15" t="n">
        <f aca="false">(BJ122)+K123</f>
        <v>160833.333333333</v>
      </c>
      <c r="BK123" s="15" t="n">
        <f aca="false">(BK122)+L123</f>
        <v>96666.6666666667</v>
      </c>
      <c r="BL123" s="15" t="n">
        <f aca="false">BJ123-BK123</f>
        <v>64166.6666666665</v>
      </c>
      <c r="BM123" s="15" t="n">
        <f aca="false">(BM122)+Y123</f>
        <v>-1359201.60069249</v>
      </c>
      <c r="BN123" s="15" t="n">
        <f aca="false">(BN122)+AW123+AX123+AZ123</f>
        <v>1435430.40943357</v>
      </c>
      <c r="BO123" s="15" t="n">
        <f aca="false">(BO122)+AY123</f>
        <v>0</v>
      </c>
      <c r="BP123" s="15" t="n">
        <f aca="false">0</f>
        <v>0</v>
      </c>
      <c r="BQ123" s="15" t="n">
        <f aca="false">BN123+BM123-BO123</f>
        <v>76228.8087410759</v>
      </c>
      <c r="BR123" s="15" t="n">
        <f aca="false">BH123+AD123+BL123+MAX(0,-AM123)+MAX(0,-AR123)+AG123</f>
        <v>834951.738741263</v>
      </c>
      <c r="BS123" s="15" t="n">
        <f aca="false">AJ123+AV123+MAX(0,AM123)+MAX(0,AR123)+BC123+BG123+BQ123</f>
        <v>834951.738741264</v>
      </c>
      <c r="BT123" s="15" t="n">
        <f aca="false">BR123-BS123</f>
        <v>0</v>
      </c>
      <c r="BU123" s="15" t="n">
        <f aca="false">BH123-(BD123+BE123-BF123-AY123)</f>
        <v>0</v>
      </c>
      <c r="BV123" s="15" t="n">
        <f aca="false">MIN(Piano_SS!$C$6,(BV122)+IF(AND(Motore_Operativo!C123&gt;=EDATE(Parametri_v3!$C$24,Ipotesi!D14*12),Motore_Operativo!C123&lt;EDATE(Parametri_v3!$C$24,Parametri_v3!$C$25+Ipotesi!D14*12)),MAX(0,(Motore_Operativo!Y123+Motore_Operativo!X123*Parametri_v3!$C$14)*(1-Parametri_v3!$C$32))*Piano_SS!$D$6,0))</f>
        <v>300000</v>
      </c>
      <c r="BW123" s="15" t="n">
        <f aca="false">MIN(Piano_SS!$C$7,(BW122)+IF(AND(Motore_Operativo!C123&gt;=EDATE(Parametri_v3!$C$24,Ipotesi!D14*12),Motore_Operativo!C123&lt;EDATE(Parametri_v3!$C$24,Parametri_v3!$C$25+Ipotesi!D14*12)),MAX(0,(IF(59-(INT((Ipotesi!$C$91)/30))&lt;1,0,INDEX(Motore_Operativo!$BN$65:$BN$124,MAX(1,59-(INT((Ipotesi!$C$91)/30)))))*(1-(MOD((Ipotesi!$C$91),30)/30))+IF(59-(INT((Ipotesi!$C$91)/30))-1&lt;1,0,INDEX(Motore_Operativo!$BN$65:$BN$124,MAX(1,59-(INT((Ipotesi!$C$91)/30))-1)))*(MOD((Ipotesi!$C$91),30)/30)))*Piano_SS!$D$7,0))</f>
        <v>41058.9230070837</v>
      </c>
      <c r="BX123" s="15" t="n">
        <f aca="false">MIN(Piano_SS!$C$8,(BX122)+IF(AND(Motore_Operativo!C123&gt;=EDATE(Parametri_v3!$C$24,Ipotesi!D14*12),Motore_Operativo!C123&lt;EDATE(Parametri_v3!$C$24,Parametri_v3!$C$25+Ipotesi!D14*12)),MAX(0,Motore_Operativo!CE123)*Piano_SS!$D$8,0))</f>
        <v>50000</v>
      </c>
      <c r="BY123" s="15" t="n">
        <f aca="false">MIN(Piano_SS!$C$9,(BY122)+IF(AND(Motore_Operativo!C123&gt;=EDATE(Parametri_v3!$C$24,Ipotesi!D14*12),Motore_Operativo!C123&lt;EDATE(Parametri_v3!$C$24,Parametri_v3!$C$25+Ipotesi!D14*12)),MAX(0,((IF(59-(INT((Ipotesi!$C$91)/30))&lt;1,0,INDEX(Motore_Operativo!$BQ$65:$BQ$124,MAX(1,59-(INT((Ipotesi!$C$91)/30)))))*(1-(MOD((Ipotesi!$C$91),30)/30))+IF(59-(INT((Ipotesi!$C$91)/30))-1&lt;1,0,INDEX(Motore_Operativo!$BQ$65:$BQ$124,MAX(1,59-(INT((Ipotesi!$C$91)/30))-1)))*(MOD((Ipotesi!$C$91),30)/30))+(IF(59-(INT((Ipotesi!$C$91)/30))&lt;1,0,INDEX(Motore_Operativo!$BR$65:$BR$124,MAX(1,59-(INT((Ipotesi!$C$91)/30)))))*(1-(MOD((Ipotesi!$C$91),30)/30))+IF(59-(INT((Ipotesi!$C$91)/30))-1&lt;1,0,INDEX(Motore_Operativo!$BR$65:$BR$124,MAX(1,59-(INT((Ipotesi!$C$91)/30))-1)))*(MOD((Ipotesi!$C$91),30)/30))))*Piano_SS!$D$9,0))</f>
        <v>40000</v>
      </c>
      <c r="BZ123" s="15" t="n">
        <f aca="false">MIN(Piano_SS!$C$10,(BZ122)+IF(AND(Motore_Operativo!C123&gt;=EDATE(Parametri_v3!$C$24,Ipotesi!D14*12),Motore_Operativo!C123&lt;EDATE(Parametri_v3!$C$24,Parametri_v3!$C$25+Ipotesi!D14*12)),MAX(0,(IF(59-(INT((Ipotesi!$C$91)/30))&lt;1,0,INDEX(Motore_Operativo!$BO$65:$BO$124,MAX(1,59-(INT((Ipotesi!$C$91)/30)))))*(1-(MOD((Ipotesi!$C$91),30)/30))+IF(59-(INT((Ipotesi!$C$91)/30))-1&lt;1,0,INDEX(Motore_Operativo!$BO$65:$BO$124,MAX(1,59-(INT((Ipotesi!$C$91)/30))-1)))*(MOD((Ipotesi!$C$91),30)/30)))*Piano_SS!$D$10,0))</f>
        <v>30000</v>
      </c>
      <c r="CA123" s="15" t="n">
        <f aca="false">SUM(BV123:BZ123)</f>
        <v>461058.923007084</v>
      </c>
      <c r="CB123" s="15" t="n">
        <f aca="false">BV123*(1-Piano_SS!$E$6)+BW123*(1-Piano_SS!$E$7)+BX123*(1-Piano_SS!$E$8)+BY123*(1-Piano_SS!$E$9)+BZ123*(1-Piano_SS!$E$10)</f>
        <v>431058.923007084</v>
      </c>
      <c r="CC123" s="15" t="n">
        <f aca="false">(CC122)+BA123</f>
        <v>368847.138405667</v>
      </c>
      <c r="CD123" s="15" t="n">
        <f aca="false">IF(CA123=0,0,CC123*CB123/CA123*Ipotesi!$C$103*Parametri_v3!$C$64)</f>
        <v>103454.1415217</v>
      </c>
      <c r="CE123" s="18" t="n">
        <f aca="false">IF(BA123&gt;0,Motore_Operativo!C123,(CE122))</f>
        <v>47270</v>
      </c>
      <c r="CF123" s="18" t="n">
        <f aca="false">IF(AND(CC123&gt;0,OR(CC123&gt;=CG123-0.01,Motore_Operativo!C123&gt;=EDATE(MAX(Finanziamenti!$D$15:$D$17),Ipotesi!D14*12))),CE123,0)</f>
        <v>47270</v>
      </c>
      <c r="CG123" s="15" t="n">
        <f aca="false">IF(AND(2&lt;&gt;6,2&lt;&gt;9,Finanziamenti!$F$11=1,OR(Parametri_v3!$C$6=0,Finanziamenti!$E$11=1)),MIN(Finanziamenti!$C$11,Piano_SS!$C$12*Ipotesi!$C$102),0)</f>
        <v>400000</v>
      </c>
      <c r="CH123" s="15" t="n">
        <f aca="false">IF(AND(AND(2&lt;&gt;8,2&lt;&gt;9,Finanziamenti!$F$10=1,OR(Parametri_v3!$C$6=0,Finanziamenti!$E$10=1)),Motore_Operativo!C123&gt;=Finanziamenti!$D$10,Motore_Operativo!C123&lt;Parametri_v3!$C$63),Finanziamenti!$C$10,0)</f>
        <v>150000</v>
      </c>
    </row>
    <row r="124" customFormat="false" ht="18" hidden="false" customHeight="true" outlineLevel="0" collapsed="false">
      <c r="A124" s="68" t="n">
        <f aca="false">2</f>
        <v>2</v>
      </c>
      <c r="B124" s="68" t="n">
        <f aca="false">60</f>
        <v>60</v>
      </c>
      <c r="C124" s="18" t="n">
        <f aca="false">Motore_Operativo!C124</f>
        <v>48183</v>
      </c>
      <c r="D124" s="68" t="n">
        <f aca="false">Motore_Operativo!D124</f>
        <v>2031</v>
      </c>
      <c r="E124" s="68" t="n">
        <f aca="false">Motore_Operativo!E124</f>
        <v>12</v>
      </c>
      <c r="F124" s="15" t="n">
        <f aca="false">Motore_Operativo!AQ124+Motore_Operativo!BF124</f>
        <v>206472.19006941</v>
      </c>
      <c r="G124" s="15" t="n">
        <f aca="false">Motore_Operativo!BH124</f>
        <v>11595.8333333333</v>
      </c>
      <c r="H124" s="15" t="n">
        <f aca="false">Motore_Operativo!BI124</f>
        <v>218068.023402743</v>
      </c>
      <c r="I124" s="15" t="n">
        <f aca="false">Motore_Operativo!CA124</f>
        <v>201565.476597217</v>
      </c>
      <c r="J124" s="15" t="n">
        <f aca="false">Motore_Operativo!CC124</f>
        <v>16502.5468055258</v>
      </c>
      <c r="K124" s="15" t="n">
        <f aca="false">Motore_Operativo!CE124</f>
        <v>4166.66666666667</v>
      </c>
      <c r="L124" s="15" t="n">
        <f aca="false">SUM(INDEX($K$65:$K$124,MAX(1,60-Parametri_v3!$C$59+1)):K124)/Parametri_v3!$C$59</f>
        <v>3333.33333333333</v>
      </c>
      <c r="M124" s="15" t="n">
        <f aca="false">J124-L124</f>
        <v>13169.2134721925</v>
      </c>
      <c r="N124" s="15" t="n">
        <f aca="false">CD124-(CD123)</f>
        <v>0</v>
      </c>
      <c r="O124" s="15" t="n">
        <f aca="false">(BG123)*Ipotesi!$C$110/12+CH124*Parametri_v3!$C$39/12</f>
        <v>530.259763631044</v>
      </c>
      <c r="P124" s="15" t="n">
        <f aca="false">M124+N124-O124</f>
        <v>12638.9537085615</v>
      </c>
      <c r="Q124" s="15" t="n">
        <f aca="false">SUM(P113:P124)+Parametri_v3!$C$54*12/12</f>
        <v>-31317.5047694774</v>
      </c>
      <c r="R124" s="15" t="n">
        <f aca="false">Z112</f>
        <v>1007520.29624424</v>
      </c>
      <c r="S124" s="15" t="n">
        <f aca="false">AA112</f>
        <v>307724.845970214</v>
      </c>
      <c r="T124" s="15" t="n">
        <f aca="false">MIN(R124,MAX(0,Q124))</f>
        <v>0</v>
      </c>
      <c r="U124" s="15" t="n">
        <f aca="false">MIN(S124,MAX(0,Q124-T124)*Parametri_v3!$C$42)</f>
        <v>0</v>
      </c>
      <c r="V124" s="15" t="n">
        <f aca="false">MAX(0,Q124-T124-U124)*Ipotesi!$C$92</f>
        <v>0</v>
      </c>
      <c r="W124" s="15" t="n">
        <f aca="false">MAX(0,SUM(M113:M124)+Parametri_v3!$C$55*12/12)*Ipotesi!$C$93</f>
        <v>0</v>
      </c>
      <c r="X124" s="15" t="n">
        <f aca="false">V124+W124-(V123+W123)</f>
        <v>0</v>
      </c>
      <c r="Y124" s="15" t="n">
        <f aca="false">P124-X124</f>
        <v>12638.9537085615</v>
      </c>
      <c r="Z124" s="15" t="n">
        <f aca="false">R124-T124+IF(AND(Parametri_v3!$C$40=1,D124-YEAR(Parametri_v3!$C$50)&lt;Parametri_v3!$C$41),MAX(0,-Q124),0)</f>
        <v>1007520.29624424</v>
      </c>
      <c r="AA124" s="15" t="n">
        <f aca="false">S124-U124+IF(AND(Parametri_v3!$C$40=1,D124-YEAR(Parametri_v3!$C$50)&lt;Parametri_v3!$C$41),0,MAX(0,-Q124))</f>
        <v>339042.350739692</v>
      </c>
      <c r="AB124" s="15" t="n">
        <f aca="false">F124*(1+Parametri_v3!$C$26)</f>
        <v>251896.07188468</v>
      </c>
      <c r="AC124" s="15" t="n">
        <f aca="false">(IF(60-(INT((Motore_Operativo!L124)/30))&lt;1,0,INDEX(Motore_Startup!$AB$65:$AB$124,MAX(1,60-(INT((Motore_Operativo!L124)/30)))))*(1-(MOD((Motore_Operativo!L124),30)/30))+IF(60-(INT((Motore_Operativo!L124)/30))-1&lt;1,0,INDEX(Motore_Startup!$AB$65:$AB$124,MAX(1,60-(INT((Motore_Operativo!L124)/30))-1)))*(MOD((Motore_Operativo!L124),30)/30))</f>
        <v>239835.745487109</v>
      </c>
      <c r="AD124" s="15" t="n">
        <f aca="false">(AD123)+AB124-AC124</f>
        <v>743698.4818055</v>
      </c>
      <c r="AE124" s="15" t="n">
        <f aca="false">Motore_Operativo!BH124*(1+Parametri_v3!$C$26)</f>
        <v>14146.9166666667</v>
      </c>
      <c r="AF124" s="15" t="n">
        <f aca="false">(IF(60-(INT((Parametri_v3!$C$29)/30))&lt;1,0,INDEX(Motore_Operativo!$BH$65:$BH$124,MAX(1,60-(INT((Parametri_v3!$C$29)/30)))))*(1-(MOD((Parametri_v3!$C$29),30)/30))+IF(60-(INT((Parametri_v3!$C$29)/30))-1&lt;1,0,INDEX(Motore_Operativo!$BH$65:$BH$124,MAX(1,60-(INT((Parametri_v3!$C$29)/30))-1)))*(MOD((Parametri_v3!$C$29),30)/30))*(1+Parametri_v3!$C$26)</f>
        <v>14146.9166666667</v>
      </c>
      <c r="AG124" s="15" t="n">
        <f aca="false">(AG123)+AE124-AF124</f>
        <v>14146.9166666667</v>
      </c>
      <c r="AH124" s="15" t="n">
        <f aca="false">(Motore_Operativo!CJ124)*(1+Parametri_v3!$C$27*Parametri_v3!$C$26)</f>
        <v>97438.6320040679</v>
      </c>
      <c r="AI124" s="15" t="n">
        <f aca="false">(IF(60-(INT((Ipotesi!$C$91)/30))&lt;1,0,INDEX(Motore_Startup!$AH$65:$AH$124,MAX(1,60-(INT((Ipotesi!$C$91)/30)))))*(1-(MOD((Ipotesi!$C$91),30)/30))+IF(60-(INT((Ipotesi!$C$91)/30))-1&lt;1,0,INDEX(Motore_Startup!$AH$65:$AH$124,MAX(1,60-(INT((Ipotesi!$C$91)/30))-1)))*(MOD((Ipotesi!$C$91),30)/30))</f>
        <v>96348.2637726086</v>
      </c>
      <c r="AJ124" s="15" t="n">
        <f aca="false">(AJ123)+AH124-AI124</f>
        <v>194334.473247013</v>
      </c>
      <c r="AK124" s="15" t="n">
        <f aca="false">(F124+ Motore_Operativo!BH124-(Motore_Operativo!CJ124)*Parametri_v3!$C$27-Motore_Operativo!CE124)*Parametri_v3!$C$26</f>
        <v>31707.814754253</v>
      </c>
      <c r="AL124" s="15" t="n">
        <f aca="false">MAX(0,(AM123))</f>
        <v>31074.7439555958</v>
      </c>
      <c r="AM124" s="15" t="n">
        <f aca="false">(AM123)+AK124-AL124</f>
        <v>31707.814754253</v>
      </c>
      <c r="AN124" s="15" t="n">
        <f aca="false">SUM(X101:X112)</f>
        <v>0</v>
      </c>
      <c r="AO124" s="15" t="n">
        <f aca="false">SUM(AP101:AP112)</f>
        <v>0</v>
      </c>
      <c r="AP124" s="15" t="n">
        <f aca="false">MAX(0,AN124)*IF(12=Parametri_v3!$C$43,Parametri_v3!$C$45,IF(12=Parametri_v3!$C$44,1-Parametri_v3!$C$45,0))</f>
        <v>0</v>
      </c>
      <c r="AQ124" s="15" t="n">
        <f aca="false">MAX(0,AP124+IF(12=Parametri_v3!$C$43,MAX(0,AN124-AO124),0)-MAX(0,-(AR123)))</f>
        <v>0</v>
      </c>
      <c r="AR124" s="15" t="n">
        <f aca="false">(AR123)+X124-AQ124</f>
        <v>0</v>
      </c>
      <c r="AS124" s="15" t="n">
        <f aca="false">Motore_Operativo!AB124-AT124+AU124</f>
        <v>113503.461904792</v>
      </c>
      <c r="AT124" s="15" t="n">
        <f aca="false">Motore_Operativo!CH124</f>
        <v>5973.86641604167</v>
      </c>
      <c r="AU124" s="15" t="n">
        <f aca="false">MIN(MAX(0,(AV123)+AT124),Parametri_v3!$C$60/12)</f>
        <v>0</v>
      </c>
      <c r="AV124" s="15" t="n">
        <f aca="false">(AV123)+AT124-AU124</f>
        <v>208741.9473675</v>
      </c>
      <c r="AW124" s="15" t="n">
        <f aca="false">IF(AND(Motore_Operativo!C124=Finanziamenti!$D$6,Finanziamenti!$F$6=1),Finanziamenti!$C$6,0)</f>
        <v>0</v>
      </c>
      <c r="AX124" s="15" t="n">
        <f aca="false">IF(AND(2&lt;&gt;7,2&lt;&gt;9,Finanziamenti!$F$8=1,OR(Parametri_v3!$C$6=0,Finanziamenti!$E$8=1),Motore_Operativo!C124=EDATE(Finanziamenti!$D$8,Ipotesi!D15*12)),Finanziamenti!$C$8*1,0)+IF(AND(2&lt;&gt;7,2&lt;&gt;9,Finanziamenti!$F$9=1,OR(Parametri_v3!$C$6=0,Finanziamenti!$E$9=1),Motore_Operativo!C124=EDATE(Finanziamenti!$D$9,Ipotesi!D15*12)),Finanziamenti!$C$9*Ipotesi!D16,0)</f>
        <v>0</v>
      </c>
      <c r="AY124" s="15" t="n">
        <f aca="false">0</f>
        <v>0</v>
      </c>
      <c r="AZ124" s="15" t="n">
        <f aca="false">Motore_Advisory!AY124*(1-Ipotesi!$C$95)*Ipotesi!$C$96</f>
        <v>0</v>
      </c>
      <c r="BA124" s="15" t="n">
        <f aca="false">MAX(0,MIN(CG124*MIN(1,IF(Motore_Operativo!C124&gt;=EDATE(Finanziamenti!$D$15,Ipotesi!D14*12),Finanziamenti!$C$15,0)+IF(Motore_Operativo!C124&gt;=EDATE(Finanziamenti!$D$16,Ipotesi!D14*12),Finanziamenti!$C$16,0)+IF(Motore_Operativo!C124&gt;=EDATE(Finanziamenti!$D$17,Ipotesi!D14*12),Finanziamenti!$C$17,0)),CA124*Ipotesi!$C$102)-(CC123))</f>
        <v>0</v>
      </c>
      <c r="BB124" s="15" t="n">
        <f aca="false">IF(AND(CF124&gt;0,Motore_Operativo!C124&gt;=IF(CF124=0,0,EDATE(CF124,Parametri_v3!$C$37)),MOD(((D124-YEAR(IF(CF124=0,0,EDATE(CF124,Parametri_v3!$C$37))))*12+E124-MONTH(IF(CF124=0,0,EDATE(CF124,Parametri_v3!$C$37)))),Parametri_v3!$C$38)=0),MIN(MAX(0,(BC123)+BA124-N124),(CC124-CD124)/(Ipotesi!$C$108*12/Parametri_v3!$C$38)),0)</f>
        <v>13269.6498441983</v>
      </c>
      <c r="BC124" s="15" t="n">
        <f aca="false">(BC123)+BA124-N124-BB124</f>
        <v>212314.397507174</v>
      </c>
      <c r="BD124" s="15" t="n">
        <f aca="false">(BH123)+AC124+AF124-AI124-AS124-K124*(1+Parametri_v3!$C$26)-AL124-AQ124-O124+AW124+AX124+AZ124+BA124-BB124</f>
        <v>19172.9495796173</v>
      </c>
      <c r="BE124" s="15" t="n">
        <f aca="false">MAX(0,MIN(MAX(0,CH124-(BG123)),Parametri_v3!$C$30-BD124))</f>
        <v>5827.05042038274</v>
      </c>
      <c r="BF124" s="15" t="n">
        <f aca="false">IF(Motore_Operativo!C124&gt;=Parametri_v3!$C$63,(BG123),MIN((BG123),MAX(0,BD124-Parametri_v3!$C$30)))</f>
        <v>0</v>
      </c>
      <c r="BG124" s="15" t="n">
        <f aca="false">(BG123)+BE124-BF124</f>
        <v>111879.003146592</v>
      </c>
      <c r="BH124" s="15" t="n">
        <f aca="false">BD124+BE124-BF124-AY124</f>
        <v>25000</v>
      </c>
      <c r="BI124" s="15" t="n">
        <f aca="false">MAX(0,Parametri_v3!$C$30-BH124)</f>
        <v>0</v>
      </c>
      <c r="BJ124" s="15" t="n">
        <f aca="false">(BJ123)+K124</f>
        <v>165000</v>
      </c>
      <c r="BK124" s="15" t="n">
        <f aca="false">(BK123)+L124</f>
        <v>100000</v>
      </c>
      <c r="BL124" s="15" t="n">
        <f aca="false">BJ124-BK124</f>
        <v>64999.9999999999</v>
      </c>
      <c r="BM124" s="15" t="n">
        <f aca="false">(BM123)+Y124</f>
        <v>-1346562.64698393</v>
      </c>
      <c r="BN124" s="15" t="n">
        <f aca="false">(BN123)+AW124+AX124+AZ124</f>
        <v>1435430.40943357</v>
      </c>
      <c r="BO124" s="15" t="n">
        <f aca="false">(BO123)+AY124</f>
        <v>0</v>
      </c>
      <c r="BP124" s="15" t="n">
        <f aca="false">0</f>
        <v>0</v>
      </c>
      <c r="BQ124" s="15" t="n">
        <f aca="false">BN124+BM124-BO124</f>
        <v>88867.7624496373</v>
      </c>
      <c r="BR124" s="15" t="n">
        <f aca="false">BH124+AD124+BL124+MAX(0,-AM124)+MAX(0,-AR124)+AG124</f>
        <v>847845.398472167</v>
      </c>
      <c r="BS124" s="15" t="n">
        <f aca="false">AJ124+AV124+MAX(0,AM124)+MAX(0,AR124)+BC124+BG124+BQ124</f>
        <v>847845.398472168</v>
      </c>
      <c r="BT124" s="15" t="n">
        <f aca="false">BR124-BS124</f>
        <v>0</v>
      </c>
      <c r="BU124" s="15" t="n">
        <f aca="false">BH124-(BD124+BE124-BF124-AY124)</f>
        <v>0</v>
      </c>
      <c r="BV124" s="15" t="n">
        <f aca="false">MIN(Piano_SS!$C$6,(BV123)+IF(AND(Motore_Operativo!C124&gt;=EDATE(Parametri_v3!$C$24,Ipotesi!D14*12),Motore_Operativo!C124&lt;EDATE(Parametri_v3!$C$24,Parametri_v3!$C$25+Ipotesi!D14*12)),MAX(0,(Motore_Operativo!Y124+Motore_Operativo!X124*Parametri_v3!$C$14)*(1-Parametri_v3!$C$32))*Piano_SS!$D$6,0))</f>
        <v>300000</v>
      </c>
      <c r="BW124" s="15" t="n">
        <f aca="false">MIN(Piano_SS!$C$7,(BW123)+IF(AND(Motore_Operativo!C124&gt;=EDATE(Parametri_v3!$C$24,Ipotesi!D14*12),Motore_Operativo!C124&lt;EDATE(Parametri_v3!$C$24,Parametri_v3!$C$25+Ipotesi!D14*12)),MAX(0,(IF(60-(INT((Ipotesi!$C$91)/30))&lt;1,0,INDEX(Motore_Operativo!$BN$65:$BN$124,MAX(1,60-(INT((Ipotesi!$C$91)/30)))))*(1-(MOD((Ipotesi!$C$91),30)/30))+IF(60-(INT((Ipotesi!$C$91)/30))-1&lt;1,0,INDEX(Motore_Operativo!$BN$65:$BN$124,MAX(1,60-(INT((Ipotesi!$C$91)/30))-1)))*(MOD((Ipotesi!$C$91),30)/30)))*Piano_SS!$D$7,0))</f>
        <v>41058.9230070837</v>
      </c>
      <c r="BX124" s="15" t="n">
        <f aca="false">MIN(Piano_SS!$C$8,(BX123)+IF(AND(Motore_Operativo!C124&gt;=EDATE(Parametri_v3!$C$24,Ipotesi!D14*12),Motore_Operativo!C124&lt;EDATE(Parametri_v3!$C$24,Parametri_v3!$C$25+Ipotesi!D14*12)),MAX(0,Motore_Operativo!CE124)*Piano_SS!$D$8,0))</f>
        <v>50000</v>
      </c>
      <c r="BY124" s="15" t="n">
        <f aca="false">MIN(Piano_SS!$C$9,(BY123)+IF(AND(Motore_Operativo!C124&gt;=EDATE(Parametri_v3!$C$24,Ipotesi!D14*12),Motore_Operativo!C124&lt;EDATE(Parametri_v3!$C$24,Parametri_v3!$C$25+Ipotesi!D14*12)),MAX(0,((IF(60-(INT((Ipotesi!$C$91)/30))&lt;1,0,INDEX(Motore_Operativo!$BQ$65:$BQ$124,MAX(1,60-(INT((Ipotesi!$C$91)/30)))))*(1-(MOD((Ipotesi!$C$91),30)/30))+IF(60-(INT((Ipotesi!$C$91)/30))-1&lt;1,0,INDEX(Motore_Operativo!$BQ$65:$BQ$124,MAX(1,60-(INT((Ipotesi!$C$91)/30))-1)))*(MOD((Ipotesi!$C$91),30)/30))+(IF(60-(INT((Ipotesi!$C$91)/30))&lt;1,0,INDEX(Motore_Operativo!$BR$65:$BR$124,MAX(1,60-(INT((Ipotesi!$C$91)/30)))))*(1-(MOD((Ipotesi!$C$91),30)/30))+IF(60-(INT((Ipotesi!$C$91)/30))-1&lt;1,0,INDEX(Motore_Operativo!$BR$65:$BR$124,MAX(1,60-(INT((Ipotesi!$C$91)/30))-1)))*(MOD((Ipotesi!$C$91),30)/30))))*Piano_SS!$D$9,0))</f>
        <v>40000</v>
      </c>
      <c r="BZ124" s="15" t="n">
        <f aca="false">MIN(Piano_SS!$C$10,(BZ123)+IF(AND(Motore_Operativo!C124&gt;=EDATE(Parametri_v3!$C$24,Ipotesi!D14*12),Motore_Operativo!C124&lt;EDATE(Parametri_v3!$C$24,Parametri_v3!$C$25+Ipotesi!D14*12)),MAX(0,(IF(60-(INT((Ipotesi!$C$91)/30))&lt;1,0,INDEX(Motore_Operativo!$BO$65:$BO$124,MAX(1,60-(INT((Ipotesi!$C$91)/30)))))*(1-(MOD((Ipotesi!$C$91),30)/30))+IF(60-(INT((Ipotesi!$C$91)/30))-1&lt;1,0,INDEX(Motore_Operativo!$BO$65:$BO$124,MAX(1,60-(INT((Ipotesi!$C$91)/30))-1)))*(MOD((Ipotesi!$C$91),30)/30)))*Piano_SS!$D$10,0))</f>
        <v>30000</v>
      </c>
      <c r="CA124" s="15" t="n">
        <f aca="false">SUM(BV124:BZ124)</f>
        <v>461058.923007084</v>
      </c>
      <c r="CB124" s="15" t="n">
        <f aca="false">BV124*(1-Piano_SS!$E$6)+BW124*(1-Piano_SS!$E$7)+BX124*(1-Piano_SS!$E$8)+BY124*(1-Piano_SS!$E$9)+BZ124*(1-Piano_SS!$E$10)</f>
        <v>431058.923007084</v>
      </c>
      <c r="CC124" s="15" t="n">
        <f aca="false">(CC123)+BA124</f>
        <v>368847.138405667</v>
      </c>
      <c r="CD124" s="15" t="n">
        <f aca="false">IF(CA124=0,0,CC124*CB124/CA124*Ipotesi!$C$103*Parametri_v3!$C$64)</f>
        <v>103454.1415217</v>
      </c>
      <c r="CE124" s="18" t="n">
        <f aca="false">IF(BA124&gt;0,Motore_Operativo!C124,(CE123))</f>
        <v>47270</v>
      </c>
      <c r="CF124" s="18" t="n">
        <f aca="false">IF(AND(CC124&gt;0,OR(CC124&gt;=CG124-0.01,Motore_Operativo!C124&gt;=EDATE(MAX(Finanziamenti!$D$15:$D$17),Ipotesi!D14*12))),CE124,0)</f>
        <v>47270</v>
      </c>
      <c r="CG124" s="15" t="n">
        <f aca="false">IF(AND(2&lt;&gt;6,2&lt;&gt;9,Finanziamenti!$F$11=1,OR(Parametri_v3!$C$6=0,Finanziamenti!$E$11=1)),MIN(Finanziamenti!$C$11,Piano_SS!$C$12*Ipotesi!$C$102),0)</f>
        <v>400000</v>
      </c>
      <c r="CH124" s="15" t="n">
        <f aca="false">IF(AND(AND(2&lt;&gt;8,2&lt;&gt;9,Finanziamenti!$F$10=1,OR(Parametri_v3!$C$6=0,Finanziamenti!$E$10=1)),Motore_Operativo!C124&gt;=Finanziamenti!$D$10,Motore_Operativo!C124&lt;Parametri_v3!$C$63),Finanziamenti!$C$10,0)</f>
        <v>150000</v>
      </c>
    </row>
    <row r="125" customFormat="false" ht="18" hidden="false" customHeight="true" outlineLevel="0" collapsed="false">
      <c r="A125" s="68" t="n">
        <f aca="false">3</f>
        <v>3</v>
      </c>
      <c r="B125" s="68" t="n">
        <f aca="false">1</f>
        <v>1</v>
      </c>
      <c r="C125" s="18" t="n">
        <f aca="false">Motore_Operativo!C125</f>
        <v>46388</v>
      </c>
      <c r="D125" s="68" t="n">
        <f aca="false">Motore_Operativo!D125</f>
        <v>2027</v>
      </c>
      <c r="E125" s="68" t="n">
        <f aca="false">Motore_Operativo!E125</f>
        <v>1</v>
      </c>
      <c r="F125" s="15" t="n">
        <f aca="false">Motore_Operativo!AQ125+Motore_Operativo!BF125</f>
        <v>9240</v>
      </c>
      <c r="G125" s="15" t="n">
        <f aca="false">Motore_Operativo!BH125</f>
        <v>1621.05263157895</v>
      </c>
      <c r="H125" s="15" t="n">
        <f aca="false">Motore_Operativo!BI125</f>
        <v>10861.0526315789</v>
      </c>
      <c r="I125" s="15" t="n">
        <f aca="false">Motore_Operativo!CA125</f>
        <v>27842.6149122807</v>
      </c>
      <c r="J125" s="15" t="n">
        <f aca="false">Motore_Operativo!CC125</f>
        <v>-16981.5622807018</v>
      </c>
      <c r="K125" s="15" t="n">
        <f aca="false">Motore_Operativo!CE125</f>
        <v>1666.66666666667</v>
      </c>
      <c r="L125" s="15" t="n">
        <f aca="false">SUM(INDEX($K$125:$K$184,MAX(1,1-Parametri_v3!$C$59+1)):K125)/Parametri_v3!$C$59</f>
        <v>46.2962962962963</v>
      </c>
      <c r="M125" s="15" t="n">
        <f aca="false">J125-L125</f>
        <v>-17027.8585769981</v>
      </c>
      <c r="N125" s="15" t="n">
        <f aca="false">CD125-(0)</f>
        <v>0</v>
      </c>
      <c r="O125" s="15" t="n">
        <f aca="false">(0)*Ipotesi!$C$110/12+CH125*Parametri_v3!$C$39/12</f>
        <v>0</v>
      </c>
      <c r="P125" s="15" t="n">
        <f aca="false">M125+N125-O125</f>
        <v>-17027.8585769981</v>
      </c>
      <c r="Q125" s="15" t="n">
        <f aca="false">SUM(P125)+Parametri_v3!$C$54*1/12</f>
        <v>-17027.8585769981</v>
      </c>
      <c r="R125" s="15" t="n">
        <f aca="false">0</f>
        <v>0</v>
      </c>
      <c r="S125" s="15" t="n">
        <f aca="false">0</f>
        <v>0</v>
      </c>
      <c r="T125" s="15" t="n">
        <f aca="false">MIN(R125,MAX(0,Q125))</f>
        <v>0</v>
      </c>
      <c r="U125" s="15" t="n">
        <f aca="false">MIN(S125,MAX(0,Q125-T125)*Parametri_v3!$C$42)</f>
        <v>0</v>
      </c>
      <c r="V125" s="15" t="n">
        <f aca="false">MAX(0,Q125-T125-U125)*Ipotesi!$C$92</f>
        <v>0</v>
      </c>
      <c r="W125" s="15" t="n">
        <f aca="false">MAX(0,SUM(M125)+Parametri_v3!$C$55*1/12)*Ipotesi!$C$93</f>
        <v>0</v>
      </c>
      <c r="X125" s="15" t="n">
        <f aca="false">V125+W125-(0)</f>
        <v>0</v>
      </c>
      <c r="Y125" s="15" t="n">
        <f aca="false">P125-X125</f>
        <v>-17027.8585769981</v>
      </c>
      <c r="Z125" s="15" t="n">
        <f aca="false">R125-T125+IF(AND(Parametri_v3!$C$40=1,D125-YEAR(Parametri_v3!$C$50)&lt;Parametri_v3!$C$41),MAX(0,-Q125),0)</f>
        <v>17027.8585769981</v>
      </c>
      <c r="AA125" s="15" t="n">
        <f aca="false">S125-U125+IF(AND(Parametri_v3!$C$40=1,D125-YEAR(Parametri_v3!$C$50)&lt;Parametri_v3!$C$41),0,MAX(0,-Q125))</f>
        <v>0</v>
      </c>
      <c r="AB125" s="15" t="n">
        <f aca="false">F125*(1+Parametri_v3!$C$26)</f>
        <v>11272.8</v>
      </c>
      <c r="AC125" s="15" t="n">
        <f aca="false">(IF(1-(INT((Motore_Operativo!L125)/30))&lt;1,0,INDEX(Motore_Startup!$AB$125:$AB$184,MAX(1,1-(INT((Motore_Operativo!L125)/30)))))*(1-(MOD((Motore_Operativo!L125),30)/30))+IF(1-(INT((Motore_Operativo!L125)/30))-1&lt;1,0,INDEX(Motore_Startup!$AB$125:$AB$184,MAX(1,1-(INT((Motore_Operativo!L125)/30))-1)))*(MOD((Motore_Operativo!L125),30)/30))</f>
        <v>0</v>
      </c>
      <c r="AD125" s="15" t="n">
        <f aca="false">(0)+AB125-AC125</f>
        <v>11272.8</v>
      </c>
      <c r="AE125" s="15" t="n">
        <f aca="false">Motore_Operativo!BH125*(1+Parametri_v3!$C$26)</f>
        <v>1977.68421052632</v>
      </c>
      <c r="AF125" s="15" t="n">
        <f aca="false">(IF(1-(INT((Parametri_v3!$C$29)/30))&lt;1,0,INDEX(Motore_Operativo!$BH$125:$BH$184,MAX(1,1-(INT((Parametri_v3!$C$29)/30)))))*(1-(MOD((Parametri_v3!$C$29),30)/30))+IF(1-(INT((Parametri_v3!$C$29)/30))-1&lt;1,0,INDEX(Motore_Operativo!$BH$125:$BH$184,MAX(1,1-(INT((Parametri_v3!$C$29)/30))-1)))*(MOD((Parametri_v3!$C$29),30)/30))*(1+Parametri_v3!$C$26)</f>
        <v>0</v>
      </c>
      <c r="AG125" s="15" t="n">
        <f aca="false">(0)+AE125-AF125</f>
        <v>1977.68421052632</v>
      </c>
      <c r="AH125" s="15" t="n">
        <f aca="false">(Motore_Operativo!CJ125)*(1+Parametri_v3!$C$27*Parametri_v3!$C$26)</f>
        <v>11782.1005675439</v>
      </c>
      <c r="AI125" s="15" t="n">
        <f aca="false">(IF(1-(INT((Ipotesi!$C$91)/30))&lt;1,0,INDEX(Motore_Startup!$AH$125:$AH$184,MAX(1,1-(INT((Ipotesi!$C$91)/30)))))*(1-(MOD((Ipotesi!$C$91),30)/30))+IF(1-(INT((Ipotesi!$C$91)/30))-1&lt;1,0,INDEX(Motore_Startup!$AH$125:$AH$184,MAX(1,1-(INT((Ipotesi!$C$91)/30))-1)))*(MOD((Ipotesi!$C$91),30)/30))</f>
        <v>0</v>
      </c>
      <c r="AJ125" s="15" t="n">
        <f aca="false">(0)+AH125-AI125</f>
        <v>11782.1005675439</v>
      </c>
      <c r="AK125" s="15" t="n">
        <f aca="false">(F125+ Motore_Operativo!BH125-(Motore_Operativo!CJ125)*Parametri_v3!$C$27-Motore_Operativo!CE125)*Parametri_v3!$C$26</f>
        <v>166.612590350877</v>
      </c>
      <c r="AL125" s="15" t="n">
        <f aca="false">MAX(0,(0))</f>
        <v>0</v>
      </c>
      <c r="AM125" s="15" t="n">
        <f aca="false">(0)+AK125-AL125</f>
        <v>166.612590350877</v>
      </c>
      <c r="AN125" s="15" t="n">
        <f aca="false">0</f>
        <v>0</v>
      </c>
      <c r="AO125" s="15" t="n">
        <f aca="false">0</f>
        <v>0</v>
      </c>
      <c r="AP125" s="15" t="n">
        <f aca="false">MAX(0,AN125)*IF(1=Parametri_v3!$C$43,Parametri_v3!$C$45,IF(1=Parametri_v3!$C$44,1-Parametri_v3!$C$45,0))</f>
        <v>0</v>
      </c>
      <c r="AQ125" s="15" t="n">
        <f aca="false">MAX(0,AP125+IF(1=Parametri_v3!$C$43,MAX(0,AN125-AO125),0)-MAX(0,-(0)))</f>
        <v>0</v>
      </c>
      <c r="AR125" s="15" t="n">
        <f aca="false">(0)+X125-AQ125</f>
        <v>0</v>
      </c>
      <c r="AS125" s="15" t="n">
        <f aca="false">Motore_Operativo!AB125-AT125+AU125</f>
        <v>17020.8333333333</v>
      </c>
      <c r="AT125" s="15" t="n">
        <f aca="false">Motore_Operativo!CH125</f>
        <v>895.833333333334</v>
      </c>
      <c r="AU125" s="15" t="n">
        <f aca="false">MIN(MAX(0,(0)+AT125),Parametri_v3!$C$60/12)</f>
        <v>0</v>
      </c>
      <c r="AV125" s="15" t="n">
        <f aca="false">(0)+AT125-AU125</f>
        <v>895.833333333334</v>
      </c>
      <c r="AW125" s="15" t="n">
        <f aca="false">IF(AND(Motore_Operativo!C125=Finanziamenti!$D$6,Finanziamenti!$F$6=1),Finanziamenti!$C$6,0)</f>
        <v>130000</v>
      </c>
      <c r="AX125" s="15" t="n">
        <f aca="false">IF(AND(3&lt;&gt;7,3&lt;&gt;9,Finanziamenti!$F$8=1,OR(Parametri_v3!$C$6=0,Finanziamenti!$E$8=1),Motore_Operativo!C125=EDATE(Finanziamenti!$D$8,Ipotesi!E15*12)),Finanziamenti!$C$8*1,0)+IF(AND(3&lt;&gt;7,3&lt;&gt;9,Finanziamenti!$F$9=1,OR(Parametri_v3!$C$6=0,Finanziamenti!$E$9=1),Motore_Operativo!C125=EDATE(Finanziamenti!$D$9,Ipotesi!E15*12)),Finanziamenti!$C$9*Ipotesi!E16,0)</f>
        <v>0</v>
      </c>
      <c r="AY125" s="15" t="n">
        <f aca="false">0</f>
        <v>0</v>
      </c>
      <c r="AZ125" s="15" t="n">
        <f aca="false">Motore_Advisory!AY125*(1-Ipotesi!$C$95)*Ipotesi!$C$96</f>
        <v>0</v>
      </c>
      <c r="BA125" s="15" t="n">
        <f aca="false">MAX(0,MIN(CG125*MIN(1,IF(Motore_Operativo!C125&gt;=EDATE(Finanziamenti!$D$15,Ipotesi!E14*12),Finanziamenti!$C$15,0)+IF(Motore_Operativo!C125&gt;=EDATE(Finanziamenti!$D$16,Ipotesi!E14*12),Finanziamenti!$C$16,0)+IF(Motore_Operativo!C125&gt;=EDATE(Finanziamenti!$D$17,Ipotesi!E14*12),Finanziamenti!$C$17,0)),CA125*Ipotesi!$C$102)-(0))</f>
        <v>0</v>
      </c>
      <c r="BB125" s="15" t="n">
        <f aca="false">IF(AND(CF125&gt;0,Motore_Operativo!C125&gt;=IF(CF125=0,0,EDATE(CF125,Parametri_v3!$C$37)),MOD(((D125-YEAR(IF(CF125=0,0,EDATE(CF125,Parametri_v3!$C$37))))*12+E125-MONTH(IF(CF125=0,0,EDATE(CF125,Parametri_v3!$C$37)))),Parametri_v3!$C$38)=0),MIN(MAX(0,(0)+BA125-N125),(CC125-CD125)/(Ipotesi!$C$108*12/Parametri_v3!$C$38)),0)</f>
        <v>0</v>
      </c>
      <c r="BC125" s="15" t="n">
        <f aca="false">(0)+BA125-N125-BB125</f>
        <v>0</v>
      </c>
      <c r="BD125" s="15" t="n">
        <f aca="false">(0)+AC125+AF125-AI125-AS125-K125*(1+Parametri_v3!$C$26)-AL125-AQ125-O125+AW125+AX125+AZ125+BA125-BB125</f>
        <v>110945.833333333</v>
      </c>
      <c r="BE125" s="15" t="n">
        <f aca="false">MAX(0,MIN(MAX(0,CH125-(0)),Parametri_v3!$C$30-BD125))</f>
        <v>0</v>
      </c>
      <c r="BF125" s="15" t="n">
        <f aca="false">IF(Motore_Operativo!C125&gt;=Parametri_v3!$C$63,(0),MIN((0),MAX(0,BD125-Parametri_v3!$C$30)))</f>
        <v>0</v>
      </c>
      <c r="BG125" s="15" t="n">
        <f aca="false">(0)+BE125-BF125</f>
        <v>0</v>
      </c>
      <c r="BH125" s="15" t="n">
        <f aca="false">BD125+BE125-BF125-AY125</f>
        <v>110945.833333333</v>
      </c>
      <c r="BI125" s="15" t="n">
        <f aca="false">MAX(0,Parametri_v3!$C$30-BH125)</f>
        <v>0</v>
      </c>
      <c r="BJ125" s="15" t="n">
        <f aca="false">(0)+K125</f>
        <v>1666.66666666667</v>
      </c>
      <c r="BK125" s="15" t="n">
        <f aca="false">(0)+L125</f>
        <v>46.2962962962963</v>
      </c>
      <c r="BL125" s="15" t="n">
        <f aca="false">BJ125-BK125</f>
        <v>1620.37037037037</v>
      </c>
      <c r="BM125" s="15" t="n">
        <f aca="false">(0)+Y125</f>
        <v>-17027.8585769981</v>
      </c>
      <c r="BN125" s="15" t="n">
        <f aca="false">(0)+AW125+AX125+AZ125</f>
        <v>130000</v>
      </c>
      <c r="BO125" s="15" t="n">
        <f aca="false">(0)+AY125</f>
        <v>0</v>
      </c>
      <c r="BP125" s="15" t="n">
        <f aca="false">0</f>
        <v>0</v>
      </c>
      <c r="BQ125" s="15" t="n">
        <f aca="false">BN125+BM125-BO125</f>
        <v>112972.141423002</v>
      </c>
      <c r="BR125" s="15" t="n">
        <f aca="false">BH125+AD125+BL125+MAX(0,-AM125)+MAX(0,-AR125)+AG125</f>
        <v>125816.68791423</v>
      </c>
      <c r="BS125" s="15" t="n">
        <f aca="false">AJ125+AV125+MAX(0,AM125)+MAX(0,AR125)+BC125+BG125+BQ125</f>
        <v>125816.68791423</v>
      </c>
      <c r="BT125" s="15" t="n">
        <f aca="false">BR125-BS125</f>
        <v>0</v>
      </c>
      <c r="BU125" s="15" t="n">
        <f aca="false">BH125-(BD125+BE125-BF125-AY125)</f>
        <v>0</v>
      </c>
      <c r="BV125" s="15" t="n">
        <f aca="false">MIN(Piano_SS!$C$6,(0)+IF(AND(Motore_Operativo!C125&gt;=EDATE(Parametri_v3!$C$24,Ipotesi!E14*12),Motore_Operativo!C125&lt;EDATE(Parametri_v3!$C$24,Parametri_v3!$C$25+Ipotesi!E14*12)),MAX(0,(Motore_Operativo!Y125+Motore_Operativo!X125*Parametri_v3!$C$14)*(1-Parametri_v3!$C$32))*Piano_SS!$D$6,0))</f>
        <v>0</v>
      </c>
      <c r="BW125" s="15" t="n">
        <f aca="false">MIN(Piano_SS!$C$7,(0)+IF(AND(Motore_Operativo!C125&gt;=EDATE(Parametri_v3!$C$24,Ipotesi!E14*12),Motore_Operativo!C125&lt;EDATE(Parametri_v3!$C$24,Parametri_v3!$C$25+Ipotesi!E14*12)),MAX(0,(IF(1-(INT((Ipotesi!$C$91)/30))&lt;1,0,INDEX(Motore_Operativo!$BN$125:$BN$184,MAX(1,1-(INT((Ipotesi!$C$91)/30)))))*(1-(MOD((Ipotesi!$C$91),30)/30))+IF(1-(INT((Ipotesi!$C$91)/30))-1&lt;1,0,INDEX(Motore_Operativo!$BN$125:$BN$184,MAX(1,1-(INT((Ipotesi!$C$91)/30))-1)))*(MOD((Ipotesi!$C$91),30)/30)))*Piano_SS!$D$7,0))</f>
        <v>0</v>
      </c>
      <c r="BX125" s="15" t="n">
        <f aca="false">MIN(Piano_SS!$C$8,(0)+IF(AND(Motore_Operativo!C125&gt;=EDATE(Parametri_v3!$C$24,Ipotesi!E14*12),Motore_Operativo!C125&lt;EDATE(Parametri_v3!$C$24,Parametri_v3!$C$25+Ipotesi!E14*12)),MAX(0,Motore_Operativo!CE125)*Piano_SS!$D$8,0))</f>
        <v>0</v>
      </c>
      <c r="BY125" s="15" t="n">
        <f aca="false">MIN(Piano_SS!$C$9,(0)+IF(AND(Motore_Operativo!C125&gt;=EDATE(Parametri_v3!$C$24,Ipotesi!E14*12),Motore_Operativo!C125&lt;EDATE(Parametri_v3!$C$24,Parametri_v3!$C$25+Ipotesi!E14*12)),MAX(0,((IF(1-(INT((Ipotesi!$C$91)/30))&lt;1,0,INDEX(Motore_Operativo!$BQ$125:$BQ$184,MAX(1,1-(INT((Ipotesi!$C$91)/30)))))*(1-(MOD((Ipotesi!$C$91),30)/30))+IF(1-(INT((Ipotesi!$C$91)/30))-1&lt;1,0,INDEX(Motore_Operativo!$BQ$125:$BQ$184,MAX(1,1-(INT((Ipotesi!$C$91)/30))-1)))*(MOD((Ipotesi!$C$91),30)/30))+(IF(1-(INT((Ipotesi!$C$91)/30))&lt;1,0,INDEX(Motore_Operativo!$BR$125:$BR$184,MAX(1,1-(INT((Ipotesi!$C$91)/30)))))*(1-(MOD((Ipotesi!$C$91),30)/30))+IF(1-(INT((Ipotesi!$C$91)/30))-1&lt;1,0,INDEX(Motore_Operativo!$BR$125:$BR$184,MAX(1,1-(INT((Ipotesi!$C$91)/30))-1)))*(MOD((Ipotesi!$C$91),30)/30))))*Piano_SS!$D$9,0))</f>
        <v>0</v>
      </c>
      <c r="BZ125" s="15" t="n">
        <f aca="false">MIN(Piano_SS!$C$10,(0)+IF(AND(Motore_Operativo!C125&gt;=EDATE(Parametri_v3!$C$24,Ipotesi!E14*12),Motore_Operativo!C125&lt;EDATE(Parametri_v3!$C$24,Parametri_v3!$C$25+Ipotesi!E14*12)),MAX(0,(IF(1-(INT((Ipotesi!$C$91)/30))&lt;1,0,INDEX(Motore_Operativo!$BO$125:$BO$184,MAX(1,1-(INT((Ipotesi!$C$91)/30)))))*(1-(MOD((Ipotesi!$C$91),30)/30))+IF(1-(INT((Ipotesi!$C$91)/30))-1&lt;1,0,INDEX(Motore_Operativo!$BO$125:$BO$184,MAX(1,1-(INT((Ipotesi!$C$91)/30))-1)))*(MOD((Ipotesi!$C$91),30)/30)))*Piano_SS!$D$10,0))</f>
        <v>0</v>
      </c>
      <c r="CA125" s="15" t="n">
        <f aca="false">SUM(BV125:BZ125)</f>
        <v>0</v>
      </c>
      <c r="CB125" s="15" t="n">
        <f aca="false">BV125*(1-Piano_SS!$E$6)+BW125*(1-Piano_SS!$E$7)+BX125*(1-Piano_SS!$E$8)+BY125*(1-Piano_SS!$E$9)+BZ125*(1-Piano_SS!$E$10)</f>
        <v>0</v>
      </c>
      <c r="CC125" s="15" t="n">
        <f aca="false">(0)+BA125</f>
        <v>0</v>
      </c>
      <c r="CD125" s="15" t="n">
        <f aca="false">IF(CA125=0,0,CC125*CB125/CA125*Ipotesi!$C$103*Parametri_v3!$C$64)</f>
        <v>0</v>
      </c>
      <c r="CE125" s="18" t="n">
        <f aca="false">IF(BA125&gt;0,Motore_Operativo!C125,(0))</f>
        <v>0</v>
      </c>
      <c r="CF125" s="18" t="n">
        <f aca="false">IF(AND(CC125&gt;0,OR(CC125&gt;=CG125-0.01,Motore_Operativo!C125&gt;=EDATE(MAX(Finanziamenti!$D$15:$D$17),Ipotesi!E14*12))),CE125,0)</f>
        <v>0</v>
      </c>
      <c r="CG125" s="15" t="n">
        <f aca="false">IF(AND(3&lt;&gt;6,3&lt;&gt;9,Finanziamenti!$F$11=1,OR(Parametri_v3!$C$6=0,Finanziamenti!$E$11=1)),MIN(Finanziamenti!$C$11,Piano_SS!$C$12*Ipotesi!$C$102),0)</f>
        <v>400000</v>
      </c>
      <c r="CH125" s="15" t="n">
        <f aca="false">IF(AND(AND(3&lt;&gt;8,3&lt;&gt;9,Finanziamenti!$F$10=1,OR(Parametri_v3!$C$6=0,Finanziamenti!$E$10=1)),Motore_Operativo!C125&gt;=Finanziamenti!$D$10,Motore_Operativo!C125&lt;Parametri_v3!$C$63),Finanziamenti!$C$10,0)</f>
        <v>150000</v>
      </c>
    </row>
    <row r="126" customFormat="false" ht="18" hidden="false" customHeight="true" outlineLevel="0" collapsed="false">
      <c r="A126" s="68" t="n">
        <f aca="false">3</f>
        <v>3</v>
      </c>
      <c r="B126" s="68" t="n">
        <f aca="false">2</f>
        <v>2</v>
      </c>
      <c r="C126" s="18" t="n">
        <f aca="false">Motore_Operativo!C126</f>
        <v>46419</v>
      </c>
      <c r="D126" s="68" t="n">
        <f aca="false">Motore_Operativo!D126</f>
        <v>2027</v>
      </c>
      <c r="E126" s="68" t="n">
        <f aca="false">Motore_Operativo!E126</f>
        <v>2</v>
      </c>
      <c r="F126" s="15" t="n">
        <f aca="false">Motore_Operativo!AQ126+Motore_Operativo!BF126</f>
        <v>9240</v>
      </c>
      <c r="G126" s="15" t="n">
        <f aca="false">Motore_Operativo!BH126</f>
        <v>1621.05263157895</v>
      </c>
      <c r="H126" s="15" t="n">
        <f aca="false">Motore_Operativo!BI126</f>
        <v>10861.0526315789</v>
      </c>
      <c r="I126" s="15" t="n">
        <f aca="false">Motore_Operativo!CA126</f>
        <v>27842.6149122807</v>
      </c>
      <c r="J126" s="15" t="n">
        <f aca="false">Motore_Operativo!CC126</f>
        <v>-16981.5622807018</v>
      </c>
      <c r="K126" s="15" t="n">
        <f aca="false">Motore_Operativo!CE126</f>
        <v>1666.66666666667</v>
      </c>
      <c r="L126" s="15" t="n">
        <f aca="false">SUM(INDEX($K$125:$K$184,MAX(1,2-Parametri_v3!$C$59+1)):K126)/Parametri_v3!$C$59</f>
        <v>92.5925925925926</v>
      </c>
      <c r="M126" s="15" t="n">
        <f aca="false">J126-L126</f>
        <v>-17074.1548732943</v>
      </c>
      <c r="N126" s="15" t="n">
        <f aca="false">CD126-(CD125)</f>
        <v>0</v>
      </c>
      <c r="O126" s="15" t="n">
        <f aca="false">(BG125)*Ipotesi!$C$110/12+CH126*Parametri_v3!$C$39/12</f>
        <v>0</v>
      </c>
      <c r="P126" s="15" t="n">
        <f aca="false">M126+N126-O126</f>
        <v>-17074.1548732943</v>
      </c>
      <c r="Q126" s="15" t="n">
        <f aca="false">SUM(P125:P126)+Parametri_v3!$C$54*2/12</f>
        <v>-34102.0134502924</v>
      </c>
      <c r="R126" s="15" t="n">
        <f aca="false">0</f>
        <v>0</v>
      </c>
      <c r="S126" s="15" t="n">
        <f aca="false">0</f>
        <v>0</v>
      </c>
      <c r="T126" s="15" t="n">
        <f aca="false">MIN(R126,MAX(0,Q126))</f>
        <v>0</v>
      </c>
      <c r="U126" s="15" t="n">
        <f aca="false">MIN(S126,MAX(0,Q126-T126)*Parametri_v3!$C$42)</f>
        <v>0</v>
      </c>
      <c r="V126" s="15" t="n">
        <f aca="false">MAX(0,Q126-T126-U126)*Ipotesi!$C$92</f>
        <v>0</v>
      </c>
      <c r="W126" s="15" t="n">
        <f aca="false">MAX(0,SUM(M125:M126)+Parametri_v3!$C$55*2/12)*Ipotesi!$C$93</f>
        <v>0</v>
      </c>
      <c r="X126" s="15" t="n">
        <f aca="false">V126+W126-(V125+W125)</f>
        <v>0</v>
      </c>
      <c r="Y126" s="15" t="n">
        <f aca="false">P126-X126</f>
        <v>-17074.1548732943</v>
      </c>
      <c r="Z126" s="15" t="n">
        <f aca="false">R126-T126+IF(AND(Parametri_v3!$C$40=1,D126-YEAR(Parametri_v3!$C$50)&lt;Parametri_v3!$C$41),MAX(0,-Q126),0)</f>
        <v>34102.0134502924</v>
      </c>
      <c r="AA126" s="15" t="n">
        <f aca="false">S126-U126+IF(AND(Parametri_v3!$C$40=1,D126-YEAR(Parametri_v3!$C$50)&lt;Parametri_v3!$C$41),0,MAX(0,-Q126))</f>
        <v>0</v>
      </c>
      <c r="AB126" s="15" t="n">
        <f aca="false">F126*(1+Parametri_v3!$C$26)</f>
        <v>11272.8</v>
      </c>
      <c r="AC126" s="15" t="n">
        <f aca="false">(IF(2-(INT((Motore_Operativo!L126)/30))&lt;1,0,INDEX(Motore_Startup!$AB$125:$AB$184,MAX(1,2-(INT((Motore_Operativo!L126)/30)))))*(1-(MOD((Motore_Operativo!L126),30)/30))+IF(2-(INT((Motore_Operativo!L126)/30))-1&lt;1,0,INDEX(Motore_Startup!$AB$125:$AB$184,MAX(1,2-(INT((Motore_Operativo!L126)/30))-1)))*(MOD((Motore_Operativo!L126),30)/30))</f>
        <v>0</v>
      </c>
      <c r="AD126" s="15" t="n">
        <f aca="false">(AD125)+AB126-AC126</f>
        <v>22545.6</v>
      </c>
      <c r="AE126" s="15" t="n">
        <f aca="false">Motore_Operativo!BH126*(1+Parametri_v3!$C$26)</f>
        <v>1977.68421052632</v>
      </c>
      <c r="AF126" s="15" t="n">
        <f aca="false">(IF(2-(INT((Parametri_v3!$C$29)/30))&lt;1,0,INDEX(Motore_Operativo!$BH$125:$BH$184,MAX(1,2-(INT((Parametri_v3!$C$29)/30)))))*(1-(MOD((Parametri_v3!$C$29),30)/30))+IF(2-(INT((Parametri_v3!$C$29)/30))-1&lt;1,0,INDEX(Motore_Operativo!$BH$125:$BH$184,MAX(1,2-(INT((Parametri_v3!$C$29)/30))-1)))*(MOD((Parametri_v3!$C$29),30)/30))*(1+Parametri_v3!$C$26)</f>
        <v>1977.68421052632</v>
      </c>
      <c r="AG126" s="15" t="n">
        <f aca="false">(AG125)+AE126-AF126</f>
        <v>1977.68421052632</v>
      </c>
      <c r="AH126" s="15" t="n">
        <f aca="false">(Motore_Operativo!CJ126)*(1+Parametri_v3!$C$27*Parametri_v3!$C$26)</f>
        <v>11782.1005675439</v>
      </c>
      <c r="AI126" s="15" t="n">
        <f aca="false">(IF(2-(INT((Ipotesi!$C$91)/30))&lt;1,0,INDEX(Motore_Startup!$AH$125:$AH$184,MAX(1,2-(INT((Ipotesi!$C$91)/30)))))*(1-(MOD((Ipotesi!$C$91),30)/30))+IF(2-(INT((Ipotesi!$C$91)/30))-1&lt;1,0,INDEX(Motore_Startup!$AH$125:$AH$184,MAX(1,2-(INT((Ipotesi!$C$91)/30))-1)))*(MOD((Ipotesi!$C$91),30)/30))</f>
        <v>0</v>
      </c>
      <c r="AJ126" s="15" t="n">
        <f aca="false">(AJ125)+AH126-AI126</f>
        <v>23564.2011350877</v>
      </c>
      <c r="AK126" s="15" t="n">
        <f aca="false">(F126+ Motore_Operativo!BH126-(Motore_Operativo!CJ126)*Parametri_v3!$C$27-Motore_Operativo!CE126)*Parametri_v3!$C$26</f>
        <v>166.612590350877</v>
      </c>
      <c r="AL126" s="15" t="n">
        <f aca="false">MAX(0,(AM125))</f>
        <v>166.612590350877</v>
      </c>
      <c r="AM126" s="15" t="n">
        <f aca="false">(AM125)+AK126-AL126</f>
        <v>166.612590350877</v>
      </c>
      <c r="AN126" s="15" t="n">
        <f aca="false">0</f>
        <v>0</v>
      </c>
      <c r="AO126" s="15" t="n">
        <f aca="false">0</f>
        <v>0</v>
      </c>
      <c r="AP126" s="15" t="n">
        <f aca="false">MAX(0,AN126)*IF(2=Parametri_v3!$C$43,Parametri_v3!$C$45,IF(2=Parametri_v3!$C$44,1-Parametri_v3!$C$45,0))</f>
        <v>0</v>
      </c>
      <c r="AQ126" s="15" t="n">
        <f aca="false">MAX(0,AP126+IF(2=Parametri_v3!$C$43,MAX(0,AN126-AO126),0)-MAX(0,-(AR125)))</f>
        <v>0</v>
      </c>
      <c r="AR126" s="15" t="n">
        <f aca="false">(AR125)+X126-AQ126</f>
        <v>0</v>
      </c>
      <c r="AS126" s="15" t="n">
        <f aca="false">Motore_Operativo!AB126-AT126+AU126</f>
        <v>17020.8333333333</v>
      </c>
      <c r="AT126" s="15" t="n">
        <f aca="false">Motore_Operativo!CH126</f>
        <v>895.833333333334</v>
      </c>
      <c r="AU126" s="15" t="n">
        <f aca="false">MIN(MAX(0,(AV125)+AT126),Parametri_v3!$C$60/12)</f>
        <v>0</v>
      </c>
      <c r="AV126" s="15" t="n">
        <f aca="false">(AV125)+AT126-AU126</f>
        <v>1791.66666666667</v>
      </c>
      <c r="AW126" s="15" t="n">
        <f aca="false">IF(AND(Motore_Operativo!C126=Finanziamenti!$D$6,Finanziamenti!$F$6=1),Finanziamenti!$C$6,0)</f>
        <v>0</v>
      </c>
      <c r="AX126" s="15" t="n">
        <f aca="false">IF(AND(3&lt;&gt;7,3&lt;&gt;9,Finanziamenti!$F$8=1,OR(Parametri_v3!$C$6=0,Finanziamenti!$E$8=1),Motore_Operativo!C126=EDATE(Finanziamenti!$D$8,Ipotesi!E15*12)),Finanziamenti!$C$8*1,0)+IF(AND(3&lt;&gt;7,3&lt;&gt;9,Finanziamenti!$F$9=1,OR(Parametri_v3!$C$6=0,Finanziamenti!$E$9=1),Motore_Operativo!C126=EDATE(Finanziamenti!$D$9,Ipotesi!E15*12)),Finanziamenti!$C$9*Ipotesi!E16,0)</f>
        <v>0</v>
      </c>
      <c r="AY126" s="15" t="n">
        <f aca="false">0</f>
        <v>0</v>
      </c>
      <c r="AZ126" s="15" t="n">
        <f aca="false">Motore_Advisory!AY126*(1-Ipotesi!$C$95)*Ipotesi!$C$96</f>
        <v>0</v>
      </c>
      <c r="BA126" s="15" t="n">
        <f aca="false">MAX(0,MIN(CG126*MIN(1,IF(Motore_Operativo!C126&gt;=EDATE(Finanziamenti!$D$15,Ipotesi!E14*12),Finanziamenti!$C$15,0)+IF(Motore_Operativo!C126&gt;=EDATE(Finanziamenti!$D$16,Ipotesi!E14*12),Finanziamenti!$C$16,0)+IF(Motore_Operativo!C126&gt;=EDATE(Finanziamenti!$D$17,Ipotesi!E14*12),Finanziamenti!$C$17,0)),CA126*Ipotesi!$C$102)-(CC125))</f>
        <v>0</v>
      </c>
      <c r="BB126" s="15" t="n">
        <f aca="false">IF(AND(CF126&gt;0,Motore_Operativo!C126&gt;=IF(CF126=0,0,EDATE(CF126,Parametri_v3!$C$37)),MOD(((D126-YEAR(IF(CF126=0,0,EDATE(CF126,Parametri_v3!$C$37))))*12+E126-MONTH(IF(CF126=0,0,EDATE(CF126,Parametri_v3!$C$37)))),Parametri_v3!$C$38)=0),MIN(MAX(0,(BC125)+BA126-N126),(CC126-CD126)/(Ipotesi!$C$108*12/Parametri_v3!$C$38)),0)</f>
        <v>0</v>
      </c>
      <c r="BC126" s="15" t="n">
        <f aca="false">(BC125)+BA126-N126-BB126</f>
        <v>0</v>
      </c>
      <c r="BD126" s="15" t="n">
        <f aca="false">(BH125)+AC126+AF126-AI126-AS126-K126*(1+Parametri_v3!$C$26)-AL126-AQ126-O126+AW126+AX126+AZ126+BA126-BB126</f>
        <v>93702.7382868421</v>
      </c>
      <c r="BE126" s="15" t="n">
        <f aca="false">MAX(0,MIN(MAX(0,CH126-(BG125)),Parametri_v3!$C$30-BD126))</f>
        <v>0</v>
      </c>
      <c r="BF126" s="15" t="n">
        <f aca="false">IF(Motore_Operativo!C126&gt;=Parametri_v3!$C$63,(BG125),MIN((BG125),MAX(0,BD126-Parametri_v3!$C$30)))</f>
        <v>0</v>
      </c>
      <c r="BG126" s="15" t="n">
        <f aca="false">(BG125)+BE126-BF126</f>
        <v>0</v>
      </c>
      <c r="BH126" s="15" t="n">
        <f aca="false">BD126+BE126-BF126-AY126</f>
        <v>93702.7382868421</v>
      </c>
      <c r="BI126" s="15" t="n">
        <f aca="false">MAX(0,Parametri_v3!$C$30-BH126)</f>
        <v>0</v>
      </c>
      <c r="BJ126" s="15" t="n">
        <f aca="false">(BJ125)+K126</f>
        <v>3333.33333333333</v>
      </c>
      <c r="BK126" s="15" t="n">
        <f aca="false">(BK125)+L126</f>
        <v>138.888888888889</v>
      </c>
      <c r="BL126" s="15" t="n">
        <f aca="false">BJ126-BK126</f>
        <v>3194.44444444445</v>
      </c>
      <c r="BM126" s="15" t="n">
        <f aca="false">(BM125)+Y126</f>
        <v>-34102.0134502924</v>
      </c>
      <c r="BN126" s="15" t="n">
        <f aca="false">(BN125)+AW126+AX126+AZ126</f>
        <v>130000</v>
      </c>
      <c r="BO126" s="15" t="n">
        <f aca="false">(BO125)+AY126</f>
        <v>0</v>
      </c>
      <c r="BP126" s="15" t="n">
        <f aca="false">0</f>
        <v>0</v>
      </c>
      <c r="BQ126" s="15" t="n">
        <f aca="false">BN126+BM126-BO126</f>
        <v>95897.9865497076</v>
      </c>
      <c r="BR126" s="15" t="n">
        <f aca="false">BH126+AD126+BL126+MAX(0,-AM126)+MAX(0,-AR126)+AG126</f>
        <v>121420.466941813</v>
      </c>
      <c r="BS126" s="15" t="n">
        <f aca="false">AJ126+AV126+MAX(0,AM126)+MAX(0,AR126)+BC126+BG126+BQ126</f>
        <v>121420.466941813</v>
      </c>
      <c r="BT126" s="15" t="n">
        <f aca="false">BR126-BS126</f>
        <v>0</v>
      </c>
      <c r="BU126" s="15" t="n">
        <f aca="false">BH126-(BD126+BE126-BF126-AY126)</f>
        <v>0</v>
      </c>
      <c r="BV126" s="15" t="n">
        <f aca="false">MIN(Piano_SS!$C$6,(BV125)+IF(AND(Motore_Operativo!C126&gt;=EDATE(Parametri_v3!$C$24,Ipotesi!E14*12),Motore_Operativo!C126&lt;EDATE(Parametri_v3!$C$24,Parametri_v3!$C$25+Ipotesi!E14*12)),MAX(0,(Motore_Operativo!Y126+Motore_Operativo!X126*Parametri_v3!$C$14)*(1-Parametri_v3!$C$32))*Piano_SS!$D$6,0))</f>
        <v>0</v>
      </c>
      <c r="BW126" s="15" t="n">
        <f aca="false">MIN(Piano_SS!$C$7,(BW125)+IF(AND(Motore_Operativo!C126&gt;=EDATE(Parametri_v3!$C$24,Ipotesi!E14*12),Motore_Operativo!C126&lt;EDATE(Parametri_v3!$C$24,Parametri_v3!$C$25+Ipotesi!E14*12)),MAX(0,(IF(2-(INT((Ipotesi!$C$91)/30))&lt;1,0,INDEX(Motore_Operativo!$BN$125:$BN$184,MAX(1,2-(INT((Ipotesi!$C$91)/30)))))*(1-(MOD((Ipotesi!$C$91),30)/30))+IF(2-(INT((Ipotesi!$C$91)/30))-1&lt;1,0,INDEX(Motore_Operativo!$BN$125:$BN$184,MAX(1,2-(INT((Ipotesi!$C$91)/30))-1)))*(MOD((Ipotesi!$C$91),30)/30)))*Piano_SS!$D$7,0))</f>
        <v>0</v>
      </c>
      <c r="BX126" s="15" t="n">
        <f aca="false">MIN(Piano_SS!$C$8,(BX125)+IF(AND(Motore_Operativo!C126&gt;=EDATE(Parametri_v3!$C$24,Ipotesi!E14*12),Motore_Operativo!C126&lt;EDATE(Parametri_v3!$C$24,Parametri_v3!$C$25+Ipotesi!E14*12)),MAX(0,Motore_Operativo!CE126)*Piano_SS!$D$8,0))</f>
        <v>0</v>
      </c>
      <c r="BY126" s="15" t="n">
        <f aca="false">MIN(Piano_SS!$C$9,(BY125)+IF(AND(Motore_Operativo!C126&gt;=EDATE(Parametri_v3!$C$24,Ipotesi!E14*12),Motore_Operativo!C126&lt;EDATE(Parametri_v3!$C$24,Parametri_v3!$C$25+Ipotesi!E14*12)),MAX(0,((IF(2-(INT((Ipotesi!$C$91)/30))&lt;1,0,INDEX(Motore_Operativo!$BQ$125:$BQ$184,MAX(1,2-(INT((Ipotesi!$C$91)/30)))))*(1-(MOD((Ipotesi!$C$91),30)/30))+IF(2-(INT((Ipotesi!$C$91)/30))-1&lt;1,0,INDEX(Motore_Operativo!$BQ$125:$BQ$184,MAX(1,2-(INT((Ipotesi!$C$91)/30))-1)))*(MOD((Ipotesi!$C$91),30)/30))+(IF(2-(INT((Ipotesi!$C$91)/30))&lt;1,0,INDEX(Motore_Operativo!$BR$125:$BR$184,MAX(1,2-(INT((Ipotesi!$C$91)/30)))))*(1-(MOD((Ipotesi!$C$91),30)/30))+IF(2-(INT((Ipotesi!$C$91)/30))-1&lt;1,0,INDEX(Motore_Operativo!$BR$125:$BR$184,MAX(1,2-(INT((Ipotesi!$C$91)/30))-1)))*(MOD((Ipotesi!$C$91),30)/30))))*Piano_SS!$D$9,0))</f>
        <v>0</v>
      </c>
      <c r="BZ126" s="15" t="n">
        <f aca="false">MIN(Piano_SS!$C$10,(BZ125)+IF(AND(Motore_Operativo!C126&gt;=EDATE(Parametri_v3!$C$24,Ipotesi!E14*12),Motore_Operativo!C126&lt;EDATE(Parametri_v3!$C$24,Parametri_v3!$C$25+Ipotesi!E14*12)),MAX(0,(IF(2-(INT((Ipotesi!$C$91)/30))&lt;1,0,INDEX(Motore_Operativo!$BO$125:$BO$184,MAX(1,2-(INT((Ipotesi!$C$91)/30)))))*(1-(MOD((Ipotesi!$C$91),30)/30))+IF(2-(INT((Ipotesi!$C$91)/30))-1&lt;1,0,INDEX(Motore_Operativo!$BO$125:$BO$184,MAX(1,2-(INT((Ipotesi!$C$91)/30))-1)))*(MOD((Ipotesi!$C$91),30)/30)))*Piano_SS!$D$10,0))</f>
        <v>0</v>
      </c>
      <c r="CA126" s="15" t="n">
        <f aca="false">SUM(BV126:BZ126)</f>
        <v>0</v>
      </c>
      <c r="CB126" s="15" t="n">
        <f aca="false">BV126*(1-Piano_SS!$E$6)+BW126*(1-Piano_SS!$E$7)+BX126*(1-Piano_SS!$E$8)+BY126*(1-Piano_SS!$E$9)+BZ126*(1-Piano_SS!$E$10)</f>
        <v>0</v>
      </c>
      <c r="CC126" s="15" t="n">
        <f aca="false">(CC125)+BA126</f>
        <v>0</v>
      </c>
      <c r="CD126" s="15" t="n">
        <f aca="false">IF(CA126=0,0,CC126*CB126/CA126*Ipotesi!$C$103*Parametri_v3!$C$64)</f>
        <v>0</v>
      </c>
      <c r="CE126" s="18" t="n">
        <f aca="false">IF(BA126&gt;0,Motore_Operativo!C126,(CE125))</f>
        <v>0</v>
      </c>
      <c r="CF126" s="18" t="n">
        <f aca="false">IF(AND(CC126&gt;0,OR(CC126&gt;=CG126-0.01,Motore_Operativo!C126&gt;=EDATE(MAX(Finanziamenti!$D$15:$D$17),Ipotesi!E14*12))),CE126,0)</f>
        <v>0</v>
      </c>
      <c r="CG126" s="15" t="n">
        <f aca="false">IF(AND(3&lt;&gt;6,3&lt;&gt;9,Finanziamenti!$F$11=1,OR(Parametri_v3!$C$6=0,Finanziamenti!$E$11=1)),MIN(Finanziamenti!$C$11,Piano_SS!$C$12*Ipotesi!$C$102),0)</f>
        <v>400000</v>
      </c>
      <c r="CH126" s="15" t="n">
        <f aca="false">IF(AND(AND(3&lt;&gt;8,3&lt;&gt;9,Finanziamenti!$F$10=1,OR(Parametri_v3!$C$6=0,Finanziamenti!$E$10=1)),Motore_Operativo!C126&gt;=Finanziamenti!$D$10,Motore_Operativo!C126&lt;Parametri_v3!$C$63),Finanziamenti!$C$10,0)</f>
        <v>150000</v>
      </c>
    </row>
    <row r="127" customFormat="false" ht="18" hidden="false" customHeight="true" outlineLevel="0" collapsed="false">
      <c r="A127" s="68" t="n">
        <f aca="false">3</f>
        <v>3</v>
      </c>
      <c r="B127" s="68" t="n">
        <f aca="false">3</f>
        <v>3</v>
      </c>
      <c r="C127" s="18" t="n">
        <f aca="false">Motore_Operativo!C127</f>
        <v>46447</v>
      </c>
      <c r="D127" s="68" t="n">
        <f aca="false">Motore_Operativo!D127</f>
        <v>2027</v>
      </c>
      <c r="E127" s="68" t="n">
        <f aca="false">Motore_Operativo!E127</f>
        <v>3</v>
      </c>
      <c r="F127" s="15" t="n">
        <f aca="false">Motore_Operativo!AQ127+Motore_Operativo!BF127</f>
        <v>9240</v>
      </c>
      <c r="G127" s="15" t="n">
        <f aca="false">Motore_Operativo!BH127</f>
        <v>1621.05263157895</v>
      </c>
      <c r="H127" s="15" t="n">
        <f aca="false">Motore_Operativo!BI127</f>
        <v>10861.0526315789</v>
      </c>
      <c r="I127" s="15" t="n">
        <f aca="false">Motore_Operativo!CA127</f>
        <v>27842.6149122807</v>
      </c>
      <c r="J127" s="15" t="n">
        <f aca="false">Motore_Operativo!CC127</f>
        <v>-16981.5622807018</v>
      </c>
      <c r="K127" s="15" t="n">
        <f aca="false">Motore_Operativo!CE127</f>
        <v>1666.66666666667</v>
      </c>
      <c r="L127" s="15" t="n">
        <f aca="false">SUM(INDEX($K$125:$K$184,MAX(1,3-Parametri_v3!$C$59+1)):K127)/Parametri_v3!$C$59</f>
        <v>138.888888888889</v>
      </c>
      <c r="M127" s="15" t="n">
        <f aca="false">J127-L127</f>
        <v>-17120.4511695906</v>
      </c>
      <c r="N127" s="15" t="n">
        <f aca="false">CD127-(CD126)</f>
        <v>0</v>
      </c>
      <c r="O127" s="15" t="n">
        <f aca="false">(BG126)*Ipotesi!$C$110/12+CH127*Parametri_v3!$C$39/12</f>
        <v>0</v>
      </c>
      <c r="P127" s="15" t="n">
        <f aca="false">M127+N127-O127</f>
        <v>-17120.4511695906</v>
      </c>
      <c r="Q127" s="15" t="n">
        <f aca="false">SUM(P125:P127)+Parametri_v3!$C$54*3/12</f>
        <v>-51222.464619883</v>
      </c>
      <c r="R127" s="15" t="n">
        <f aca="false">0</f>
        <v>0</v>
      </c>
      <c r="S127" s="15" t="n">
        <f aca="false">0</f>
        <v>0</v>
      </c>
      <c r="T127" s="15" t="n">
        <f aca="false">MIN(R127,MAX(0,Q127))</f>
        <v>0</v>
      </c>
      <c r="U127" s="15" t="n">
        <f aca="false">MIN(S127,MAX(0,Q127-T127)*Parametri_v3!$C$42)</f>
        <v>0</v>
      </c>
      <c r="V127" s="15" t="n">
        <f aca="false">MAX(0,Q127-T127-U127)*Ipotesi!$C$92</f>
        <v>0</v>
      </c>
      <c r="W127" s="15" t="n">
        <f aca="false">MAX(0,SUM(M125:M127)+Parametri_v3!$C$55*3/12)*Ipotesi!$C$93</f>
        <v>0</v>
      </c>
      <c r="X127" s="15" t="n">
        <f aca="false">V127+W127-(V126+W126)</f>
        <v>0</v>
      </c>
      <c r="Y127" s="15" t="n">
        <f aca="false">P127-X127</f>
        <v>-17120.4511695906</v>
      </c>
      <c r="Z127" s="15" t="n">
        <f aca="false">R127-T127+IF(AND(Parametri_v3!$C$40=1,D127-YEAR(Parametri_v3!$C$50)&lt;Parametri_v3!$C$41),MAX(0,-Q127),0)</f>
        <v>51222.464619883</v>
      </c>
      <c r="AA127" s="15" t="n">
        <f aca="false">S127-U127+IF(AND(Parametri_v3!$C$40=1,D127-YEAR(Parametri_v3!$C$50)&lt;Parametri_v3!$C$41),0,MAX(0,-Q127))</f>
        <v>0</v>
      </c>
      <c r="AB127" s="15" t="n">
        <f aca="false">F127*(1+Parametri_v3!$C$26)</f>
        <v>11272.8</v>
      </c>
      <c r="AC127" s="15" t="n">
        <f aca="false">(IF(3-(INT((Motore_Operativo!L127)/30))&lt;1,0,INDEX(Motore_Startup!$AB$125:$AB$184,MAX(1,3-(INT((Motore_Operativo!L127)/30)))))*(1-(MOD((Motore_Operativo!L127),30)/30))+IF(3-(INT((Motore_Operativo!L127)/30))-1&lt;1,0,INDEX(Motore_Startup!$AB$125:$AB$184,MAX(1,3-(INT((Motore_Operativo!L127)/30))-1)))*(MOD((Motore_Operativo!L127),30)/30))</f>
        <v>0</v>
      </c>
      <c r="AD127" s="15" t="n">
        <f aca="false">(AD126)+AB127-AC127</f>
        <v>33818.4</v>
      </c>
      <c r="AE127" s="15" t="n">
        <f aca="false">Motore_Operativo!BH127*(1+Parametri_v3!$C$26)</f>
        <v>1977.68421052632</v>
      </c>
      <c r="AF127" s="15" t="n">
        <f aca="false">(IF(3-(INT((Parametri_v3!$C$29)/30))&lt;1,0,INDEX(Motore_Operativo!$BH$125:$BH$184,MAX(1,3-(INT((Parametri_v3!$C$29)/30)))))*(1-(MOD((Parametri_v3!$C$29),30)/30))+IF(3-(INT((Parametri_v3!$C$29)/30))-1&lt;1,0,INDEX(Motore_Operativo!$BH$125:$BH$184,MAX(1,3-(INT((Parametri_v3!$C$29)/30))-1)))*(MOD((Parametri_v3!$C$29),30)/30))*(1+Parametri_v3!$C$26)</f>
        <v>1977.68421052632</v>
      </c>
      <c r="AG127" s="15" t="n">
        <f aca="false">(AG126)+AE127-AF127</f>
        <v>1977.68421052632</v>
      </c>
      <c r="AH127" s="15" t="n">
        <f aca="false">(Motore_Operativo!CJ127)*(1+Parametri_v3!$C$27*Parametri_v3!$C$26)</f>
        <v>11782.1005675439</v>
      </c>
      <c r="AI127" s="15" t="n">
        <f aca="false">(IF(3-(INT((Ipotesi!$C$91)/30))&lt;1,0,INDEX(Motore_Startup!$AH$125:$AH$184,MAX(1,3-(INT((Ipotesi!$C$91)/30)))))*(1-(MOD((Ipotesi!$C$91),30)/30))+IF(3-(INT((Ipotesi!$C$91)/30))-1&lt;1,0,INDEX(Motore_Startup!$AH$125:$AH$184,MAX(1,3-(INT((Ipotesi!$C$91)/30))-1)))*(MOD((Ipotesi!$C$91),30)/30))</f>
        <v>11782.1005675439</v>
      </c>
      <c r="AJ127" s="15" t="n">
        <f aca="false">(AJ126)+AH127-AI127</f>
        <v>23564.2011350877</v>
      </c>
      <c r="AK127" s="15" t="n">
        <f aca="false">(F127+ Motore_Operativo!BH127-(Motore_Operativo!CJ127)*Parametri_v3!$C$27-Motore_Operativo!CE127)*Parametri_v3!$C$26</f>
        <v>166.612590350877</v>
      </c>
      <c r="AL127" s="15" t="n">
        <f aca="false">MAX(0,(AM126))</f>
        <v>166.612590350877</v>
      </c>
      <c r="AM127" s="15" t="n">
        <f aca="false">(AM126)+AK127-AL127</f>
        <v>166.612590350877</v>
      </c>
      <c r="AN127" s="15" t="n">
        <f aca="false">0</f>
        <v>0</v>
      </c>
      <c r="AO127" s="15" t="n">
        <f aca="false">0</f>
        <v>0</v>
      </c>
      <c r="AP127" s="15" t="n">
        <f aca="false">MAX(0,AN127)*IF(3=Parametri_v3!$C$43,Parametri_v3!$C$45,IF(3=Parametri_v3!$C$44,1-Parametri_v3!$C$45,0))</f>
        <v>0</v>
      </c>
      <c r="AQ127" s="15" t="n">
        <f aca="false">MAX(0,AP127+IF(3=Parametri_v3!$C$43,MAX(0,AN127-AO127),0)-MAX(0,-(AR126)))</f>
        <v>0</v>
      </c>
      <c r="AR127" s="15" t="n">
        <f aca="false">(AR126)+X127-AQ127</f>
        <v>0</v>
      </c>
      <c r="AS127" s="15" t="n">
        <f aca="false">Motore_Operativo!AB127-AT127+AU127</f>
        <v>17020.8333333333</v>
      </c>
      <c r="AT127" s="15" t="n">
        <f aca="false">Motore_Operativo!CH127</f>
        <v>895.833333333334</v>
      </c>
      <c r="AU127" s="15" t="n">
        <f aca="false">MIN(MAX(0,(AV126)+AT127),Parametri_v3!$C$60/12)</f>
        <v>0</v>
      </c>
      <c r="AV127" s="15" t="n">
        <f aca="false">(AV126)+AT127-AU127</f>
        <v>2687.5</v>
      </c>
      <c r="AW127" s="15" t="n">
        <f aca="false">IF(AND(Motore_Operativo!C127=Finanziamenti!$D$6,Finanziamenti!$F$6=1),Finanziamenti!$C$6,0)</f>
        <v>0</v>
      </c>
      <c r="AX127" s="15" t="n">
        <f aca="false">IF(AND(3&lt;&gt;7,3&lt;&gt;9,Finanziamenti!$F$8=1,OR(Parametri_v3!$C$6=0,Finanziamenti!$E$8=1),Motore_Operativo!C127=EDATE(Finanziamenti!$D$8,Ipotesi!E15*12)),Finanziamenti!$C$8*1,0)+IF(AND(3&lt;&gt;7,3&lt;&gt;9,Finanziamenti!$F$9=1,OR(Parametri_v3!$C$6=0,Finanziamenti!$E$9=1),Motore_Operativo!C127=EDATE(Finanziamenti!$D$9,Ipotesi!E15*12)),Finanziamenti!$C$9*Ipotesi!E16,0)</f>
        <v>0</v>
      </c>
      <c r="AY127" s="15" t="n">
        <f aca="false">0</f>
        <v>0</v>
      </c>
      <c r="AZ127" s="15" t="n">
        <f aca="false">Motore_Advisory!AY127*(1-Ipotesi!$C$95)*Ipotesi!$C$96</f>
        <v>0</v>
      </c>
      <c r="BA127" s="15" t="n">
        <f aca="false">MAX(0,MIN(CG127*MIN(1,IF(Motore_Operativo!C127&gt;=EDATE(Finanziamenti!$D$15,Ipotesi!E14*12),Finanziamenti!$C$15,0)+IF(Motore_Operativo!C127&gt;=EDATE(Finanziamenti!$D$16,Ipotesi!E14*12),Finanziamenti!$C$16,0)+IF(Motore_Operativo!C127&gt;=EDATE(Finanziamenti!$D$17,Ipotesi!E14*12),Finanziamenti!$C$17,0)),CA127*Ipotesi!$C$102)-(CC126))</f>
        <v>0</v>
      </c>
      <c r="BB127" s="15" t="n">
        <f aca="false">IF(AND(CF127&gt;0,Motore_Operativo!C127&gt;=IF(CF127=0,0,EDATE(CF127,Parametri_v3!$C$37)),MOD(((D127-YEAR(IF(CF127=0,0,EDATE(CF127,Parametri_v3!$C$37))))*12+E127-MONTH(IF(CF127=0,0,EDATE(CF127,Parametri_v3!$C$37)))),Parametri_v3!$C$38)=0),MIN(MAX(0,(BC126)+BA127-N127),(CC127-CD127)/(Ipotesi!$C$108*12/Parametri_v3!$C$38)),0)</f>
        <v>0</v>
      </c>
      <c r="BC127" s="15" t="n">
        <f aca="false">(BC126)+BA127-N127-BB127</f>
        <v>0</v>
      </c>
      <c r="BD127" s="15" t="n">
        <f aca="false">(BH126)+AC127+AF127-AI127-AS127-K127*(1+Parametri_v3!$C$26)-AL127-AQ127-O127+AW127+AX127+AZ127+BA127-BB127</f>
        <v>64677.542672807</v>
      </c>
      <c r="BE127" s="15" t="n">
        <f aca="false">MAX(0,MIN(MAX(0,CH127-(BG126)),Parametri_v3!$C$30-BD127))</f>
        <v>0</v>
      </c>
      <c r="BF127" s="15" t="n">
        <f aca="false">IF(Motore_Operativo!C127&gt;=Parametri_v3!$C$63,(BG126),MIN((BG126),MAX(0,BD127-Parametri_v3!$C$30)))</f>
        <v>0</v>
      </c>
      <c r="BG127" s="15" t="n">
        <f aca="false">(BG126)+BE127-BF127</f>
        <v>0</v>
      </c>
      <c r="BH127" s="15" t="n">
        <f aca="false">BD127+BE127-BF127-AY127</f>
        <v>64677.542672807</v>
      </c>
      <c r="BI127" s="15" t="n">
        <f aca="false">MAX(0,Parametri_v3!$C$30-BH127)</f>
        <v>0</v>
      </c>
      <c r="BJ127" s="15" t="n">
        <f aca="false">(BJ126)+K127</f>
        <v>5000</v>
      </c>
      <c r="BK127" s="15" t="n">
        <f aca="false">(BK126)+L127</f>
        <v>277.777777777778</v>
      </c>
      <c r="BL127" s="15" t="n">
        <f aca="false">BJ127-BK127</f>
        <v>4722.22222222222</v>
      </c>
      <c r="BM127" s="15" t="n">
        <f aca="false">(BM126)+Y127</f>
        <v>-51222.464619883</v>
      </c>
      <c r="BN127" s="15" t="n">
        <f aca="false">(BN126)+AW127+AX127+AZ127</f>
        <v>130000</v>
      </c>
      <c r="BO127" s="15" t="n">
        <f aca="false">(BO126)+AY127</f>
        <v>0</v>
      </c>
      <c r="BP127" s="15" t="n">
        <f aca="false">0</f>
        <v>0</v>
      </c>
      <c r="BQ127" s="15" t="n">
        <f aca="false">BN127+BM127-BO127</f>
        <v>78777.535380117</v>
      </c>
      <c r="BR127" s="15" t="n">
        <f aca="false">BH127+AD127+BL127+MAX(0,-AM127)+MAX(0,-AR127)+AG127</f>
        <v>105195.849105556</v>
      </c>
      <c r="BS127" s="15" t="n">
        <f aca="false">AJ127+AV127+MAX(0,AM127)+MAX(0,AR127)+BC127+BG127+BQ127</f>
        <v>105195.849105556</v>
      </c>
      <c r="BT127" s="15" t="n">
        <f aca="false">BR127-BS127</f>
        <v>0</v>
      </c>
      <c r="BU127" s="15" t="n">
        <f aca="false">BH127-(BD127+BE127-BF127-AY127)</f>
        <v>0</v>
      </c>
      <c r="BV127" s="15" t="n">
        <f aca="false">MIN(Piano_SS!$C$6,(BV126)+IF(AND(Motore_Operativo!C127&gt;=EDATE(Parametri_v3!$C$24,Ipotesi!E14*12),Motore_Operativo!C127&lt;EDATE(Parametri_v3!$C$24,Parametri_v3!$C$25+Ipotesi!E14*12)),MAX(0,(Motore_Operativo!Y127+Motore_Operativo!X127*Parametri_v3!$C$14)*(1-Parametri_v3!$C$32))*Piano_SS!$D$6,0))</f>
        <v>0</v>
      </c>
      <c r="BW127" s="15" t="n">
        <f aca="false">MIN(Piano_SS!$C$7,(BW126)+IF(AND(Motore_Operativo!C127&gt;=EDATE(Parametri_v3!$C$24,Ipotesi!E14*12),Motore_Operativo!C127&lt;EDATE(Parametri_v3!$C$24,Parametri_v3!$C$25+Ipotesi!E14*12)),MAX(0,(IF(3-(INT((Ipotesi!$C$91)/30))&lt;1,0,INDEX(Motore_Operativo!$BN$125:$BN$184,MAX(1,3-(INT((Ipotesi!$C$91)/30)))))*(1-(MOD((Ipotesi!$C$91),30)/30))+IF(3-(INT((Ipotesi!$C$91)/30))-1&lt;1,0,INDEX(Motore_Operativo!$BN$125:$BN$184,MAX(1,3-(INT((Ipotesi!$C$91)/30))-1)))*(MOD((Ipotesi!$C$91),30)/30)))*Piano_SS!$D$7,0))</f>
        <v>0</v>
      </c>
      <c r="BX127" s="15" t="n">
        <f aca="false">MIN(Piano_SS!$C$8,(BX126)+IF(AND(Motore_Operativo!C127&gt;=EDATE(Parametri_v3!$C$24,Ipotesi!E14*12),Motore_Operativo!C127&lt;EDATE(Parametri_v3!$C$24,Parametri_v3!$C$25+Ipotesi!E14*12)),MAX(0,Motore_Operativo!CE127)*Piano_SS!$D$8,0))</f>
        <v>0</v>
      </c>
      <c r="BY127" s="15" t="n">
        <f aca="false">MIN(Piano_SS!$C$9,(BY126)+IF(AND(Motore_Operativo!C127&gt;=EDATE(Parametri_v3!$C$24,Ipotesi!E14*12),Motore_Operativo!C127&lt;EDATE(Parametri_v3!$C$24,Parametri_v3!$C$25+Ipotesi!E14*12)),MAX(0,((IF(3-(INT((Ipotesi!$C$91)/30))&lt;1,0,INDEX(Motore_Operativo!$BQ$125:$BQ$184,MAX(1,3-(INT((Ipotesi!$C$91)/30)))))*(1-(MOD((Ipotesi!$C$91),30)/30))+IF(3-(INT((Ipotesi!$C$91)/30))-1&lt;1,0,INDEX(Motore_Operativo!$BQ$125:$BQ$184,MAX(1,3-(INT((Ipotesi!$C$91)/30))-1)))*(MOD((Ipotesi!$C$91),30)/30))+(IF(3-(INT((Ipotesi!$C$91)/30))&lt;1,0,INDEX(Motore_Operativo!$BR$125:$BR$184,MAX(1,3-(INT((Ipotesi!$C$91)/30)))))*(1-(MOD((Ipotesi!$C$91),30)/30))+IF(3-(INT((Ipotesi!$C$91)/30))-1&lt;1,0,INDEX(Motore_Operativo!$BR$125:$BR$184,MAX(1,3-(INT((Ipotesi!$C$91)/30))-1)))*(MOD((Ipotesi!$C$91),30)/30))))*Piano_SS!$D$9,0))</f>
        <v>0</v>
      </c>
      <c r="BZ127" s="15" t="n">
        <f aca="false">MIN(Piano_SS!$C$10,(BZ126)+IF(AND(Motore_Operativo!C127&gt;=EDATE(Parametri_v3!$C$24,Ipotesi!E14*12),Motore_Operativo!C127&lt;EDATE(Parametri_v3!$C$24,Parametri_v3!$C$25+Ipotesi!E14*12)),MAX(0,(IF(3-(INT((Ipotesi!$C$91)/30))&lt;1,0,INDEX(Motore_Operativo!$BO$125:$BO$184,MAX(1,3-(INT((Ipotesi!$C$91)/30)))))*(1-(MOD((Ipotesi!$C$91),30)/30))+IF(3-(INT((Ipotesi!$C$91)/30))-1&lt;1,0,INDEX(Motore_Operativo!$BO$125:$BO$184,MAX(1,3-(INT((Ipotesi!$C$91)/30))-1)))*(MOD((Ipotesi!$C$91),30)/30)))*Piano_SS!$D$10,0))</f>
        <v>0</v>
      </c>
      <c r="CA127" s="15" t="n">
        <f aca="false">SUM(BV127:BZ127)</f>
        <v>0</v>
      </c>
      <c r="CB127" s="15" t="n">
        <f aca="false">BV127*(1-Piano_SS!$E$6)+BW127*(1-Piano_SS!$E$7)+BX127*(1-Piano_SS!$E$8)+BY127*(1-Piano_SS!$E$9)+BZ127*(1-Piano_SS!$E$10)</f>
        <v>0</v>
      </c>
      <c r="CC127" s="15" t="n">
        <f aca="false">(CC126)+BA127</f>
        <v>0</v>
      </c>
      <c r="CD127" s="15" t="n">
        <f aca="false">IF(CA127=0,0,CC127*CB127/CA127*Ipotesi!$C$103*Parametri_v3!$C$64)</f>
        <v>0</v>
      </c>
      <c r="CE127" s="18" t="n">
        <f aca="false">IF(BA127&gt;0,Motore_Operativo!C127,(CE126))</f>
        <v>0</v>
      </c>
      <c r="CF127" s="18" t="n">
        <f aca="false">IF(AND(CC127&gt;0,OR(CC127&gt;=CG127-0.01,Motore_Operativo!C127&gt;=EDATE(MAX(Finanziamenti!$D$15:$D$17),Ipotesi!E14*12))),CE127,0)</f>
        <v>0</v>
      </c>
      <c r="CG127" s="15" t="n">
        <f aca="false">IF(AND(3&lt;&gt;6,3&lt;&gt;9,Finanziamenti!$F$11=1,OR(Parametri_v3!$C$6=0,Finanziamenti!$E$11=1)),MIN(Finanziamenti!$C$11,Piano_SS!$C$12*Ipotesi!$C$102),0)</f>
        <v>400000</v>
      </c>
      <c r="CH127" s="15" t="n">
        <f aca="false">IF(AND(AND(3&lt;&gt;8,3&lt;&gt;9,Finanziamenti!$F$10=1,OR(Parametri_v3!$C$6=0,Finanziamenti!$E$10=1)),Motore_Operativo!C127&gt;=Finanziamenti!$D$10,Motore_Operativo!C127&lt;Parametri_v3!$C$63),Finanziamenti!$C$10,0)</f>
        <v>150000</v>
      </c>
    </row>
    <row r="128" customFormat="false" ht="18" hidden="false" customHeight="true" outlineLevel="0" collapsed="false">
      <c r="A128" s="68" t="n">
        <f aca="false">3</f>
        <v>3</v>
      </c>
      <c r="B128" s="68" t="n">
        <f aca="false">4</f>
        <v>4</v>
      </c>
      <c r="C128" s="18" t="n">
        <f aca="false">Motore_Operativo!C128</f>
        <v>46478</v>
      </c>
      <c r="D128" s="68" t="n">
        <f aca="false">Motore_Operativo!D128</f>
        <v>2027</v>
      </c>
      <c r="E128" s="68" t="n">
        <f aca="false">Motore_Operativo!E128</f>
        <v>4</v>
      </c>
      <c r="F128" s="15" t="n">
        <f aca="false">Motore_Operativo!AQ128+Motore_Operativo!BF128</f>
        <v>9304.81481481482</v>
      </c>
      <c r="G128" s="15" t="n">
        <f aca="false">Motore_Operativo!BH128</f>
        <v>1621.05263157895</v>
      </c>
      <c r="H128" s="15" t="n">
        <f aca="false">Motore_Operativo!BI128</f>
        <v>10925.8674463938</v>
      </c>
      <c r="I128" s="15" t="n">
        <f aca="false">Motore_Operativo!CA128</f>
        <v>27851.6889863548</v>
      </c>
      <c r="J128" s="15" t="n">
        <f aca="false">Motore_Operativo!CC128</f>
        <v>-16925.821539961</v>
      </c>
      <c r="K128" s="15" t="n">
        <f aca="false">Motore_Operativo!CE128</f>
        <v>1666.66666666667</v>
      </c>
      <c r="L128" s="15" t="n">
        <f aca="false">SUM(INDEX($K$125:$K$184,MAX(1,4-Parametri_v3!$C$59+1)):K128)/Parametri_v3!$C$59</f>
        <v>185.185185185185</v>
      </c>
      <c r="M128" s="15" t="n">
        <f aca="false">J128-L128</f>
        <v>-17111.0067251462</v>
      </c>
      <c r="N128" s="15" t="n">
        <f aca="false">CD128-(CD127)</f>
        <v>0</v>
      </c>
      <c r="O128" s="15" t="n">
        <f aca="false">(BG127)*Ipotesi!$C$110/12+CH128*Parametri_v3!$C$39/12</f>
        <v>0</v>
      </c>
      <c r="P128" s="15" t="n">
        <f aca="false">M128+N128-O128</f>
        <v>-17111.0067251462</v>
      </c>
      <c r="Q128" s="15" t="n">
        <f aca="false">SUM(P125:P128)+Parametri_v3!$C$54*4/12</f>
        <v>-68333.4713450292</v>
      </c>
      <c r="R128" s="15" t="n">
        <f aca="false">0</f>
        <v>0</v>
      </c>
      <c r="S128" s="15" t="n">
        <f aca="false">0</f>
        <v>0</v>
      </c>
      <c r="T128" s="15" t="n">
        <f aca="false">MIN(R128,MAX(0,Q128))</f>
        <v>0</v>
      </c>
      <c r="U128" s="15" t="n">
        <f aca="false">MIN(S128,MAX(0,Q128-T128)*Parametri_v3!$C$42)</f>
        <v>0</v>
      </c>
      <c r="V128" s="15" t="n">
        <f aca="false">MAX(0,Q128-T128-U128)*Ipotesi!$C$92</f>
        <v>0</v>
      </c>
      <c r="W128" s="15" t="n">
        <f aca="false">MAX(0,SUM(M125:M128)+Parametri_v3!$C$55*4/12)*Ipotesi!$C$93</f>
        <v>0</v>
      </c>
      <c r="X128" s="15" t="n">
        <f aca="false">V128+W128-(V127+W127)</f>
        <v>0</v>
      </c>
      <c r="Y128" s="15" t="n">
        <f aca="false">P128-X128</f>
        <v>-17111.0067251462</v>
      </c>
      <c r="Z128" s="15" t="n">
        <f aca="false">R128-T128+IF(AND(Parametri_v3!$C$40=1,D128-YEAR(Parametri_v3!$C$50)&lt;Parametri_v3!$C$41),MAX(0,-Q128),0)</f>
        <v>68333.4713450292</v>
      </c>
      <c r="AA128" s="15" t="n">
        <f aca="false">S128-U128+IF(AND(Parametri_v3!$C$40=1,D128-YEAR(Parametri_v3!$C$50)&lt;Parametri_v3!$C$41),0,MAX(0,-Q128))</f>
        <v>0</v>
      </c>
      <c r="AB128" s="15" t="n">
        <f aca="false">F128*(1+Parametri_v3!$C$26)</f>
        <v>11351.8740740741</v>
      </c>
      <c r="AC128" s="15" t="n">
        <f aca="false">(IF(4-(INT((Motore_Operativo!L128)/30))&lt;1,0,INDEX(Motore_Startup!$AB$125:$AB$184,MAX(1,4-(INT((Motore_Operativo!L128)/30)))))*(1-(MOD((Motore_Operativo!L128),30)/30))+IF(4-(INT((Motore_Operativo!L128)/30))-1&lt;1,0,INDEX(Motore_Startup!$AB$125:$AB$184,MAX(1,4-(INT((Motore_Operativo!L128)/30))-1)))*(MOD((Motore_Operativo!L128),30)/30))</f>
        <v>11272.8</v>
      </c>
      <c r="AD128" s="15" t="n">
        <f aca="false">(AD127)+AB128-AC128</f>
        <v>33897.4740740741</v>
      </c>
      <c r="AE128" s="15" t="n">
        <f aca="false">Motore_Operativo!BH128*(1+Parametri_v3!$C$26)</f>
        <v>1977.68421052632</v>
      </c>
      <c r="AF128" s="15" t="n">
        <f aca="false">(IF(4-(INT((Parametri_v3!$C$29)/30))&lt;1,0,INDEX(Motore_Operativo!$BH$125:$BH$184,MAX(1,4-(INT((Parametri_v3!$C$29)/30)))))*(1-(MOD((Parametri_v3!$C$29),30)/30))+IF(4-(INT((Parametri_v3!$C$29)/30))-1&lt;1,0,INDEX(Motore_Operativo!$BH$125:$BH$184,MAX(1,4-(INT((Parametri_v3!$C$29)/30))-1)))*(MOD((Parametri_v3!$C$29),30)/30))*(1+Parametri_v3!$C$26)</f>
        <v>1977.68421052632</v>
      </c>
      <c r="AG128" s="15" t="n">
        <f aca="false">(AG127)+AE128-AF128</f>
        <v>1977.68421052632</v>
      </c>
      <c r="AH128" s="15" t="n">
        <f aca="false">(Motore_Operativo!CJ128)*(1+Parametri_v3!$C$27*Parametri_v3!$C$26)</f>
        <v>11792.8714934698</v>
      </c>
      <c r="AI128" s="15" t="n">
        <f aca="false">(IF(4-(INT((Ipotesi!$C$91)/30))&lt;1,0,INDEX(Motore_Startup!$AH$125:$AH$184,MAX(1,4-(INT((Ipotesi!$C$91)/30)))))*(1-(MOD((Ipotesi!$C$91),30)/30))+IF(4-(INT((Ipotesi!$C$91)/30))-1&lt;1,0,INDEX(Motore_Startup!$AH$125:$AH$184,MAX(1,4-(INT((Ipotesi!$C$91)/30))-1)))*(MOD((Ipotesi!$C$91),30)/30))</f>
        <v>11782.1005675439</v>
      </c>
      <c r="AJ128" s="15" t="n">
        <f aca="false">(AJ127)+AH128-AI128</f>
        <v>23574.9720610136</v>
      </c>
      <c r="AK128" s="15" t="n">
        <f aca="false">(F128+ Motore_Operativo!BH128-(Motore_Operativo!CJ128)*Parametri_v3!$C$27-Motore_Operativo!CE128)*Parametri_v3!$C$26</f>
        <v>179.174997758285</v>
      </c>
      <c r="AL128" s="15" t="n">
        <f aca="false">MAX(0,(AM127))</f>
        <v>166.612590350877</v>
      </c>
      <c r="AM128" s="15" t="n">
        <f aca="false">(AM127)+AK128-AL128</f>
        <v>179.174997758285</v>
      </c>
      <c r="AN128" s="15" t="n">
        <f aca="false">0</f>
        <v>0</v>
      </c>
      <c r="AO128" s="15" t="n">
        <f aca="false">0</f>
        <v>0</v>
      </c>
      <c r="AP128" s="15" t="n">
        <f aca="false">MAX(0,AN128)*IF(4=Parametri_v3!$C$43,Parametri_v3!$C$45,IF(4=Parametri_v3!$C$44,1-Parametri_v3!$C$45,0))</f>
        <v>0</v>
      </c>
      <c r="AQ128" s="15" t="n">
        <f aca="false">MAX(0,AP128+IF(4=Parametri_v3!$C$43,MAX(0,AN128-AO128),0)-MAX(0,-(AR127)))</f>
        <v>0</v>
      </c>
      <c r="AR128" s="15" t="n">
        <f aca="false">(AR127)+X128-AQ128</f>
        <v>0</v>
      </c>
      <c r="AS128" s="15" t="n">
        <f aca="false">Motore_Operativo!AB128-AT128+AU128</f>
        <v>17020.8333333333</v>
      </c>
      <c r="AT128" s="15" t="n">
        <f aca="false">Motore_Operativo!CH128</f>
        <v>895.833333333334</v>
      </c>
      <c r="AU128" s="15" t="n">
        <f aca="false">MIN(MAX(0,(AV127)+AT128),Parametri_v3!$C$60/12)</f>
        <v>0</v>
      </c>
      <c r="AV128" s="15" t="n">
        <f aca="false">(AV127)+AT128-AU128</f>
        <v>3583.33333333333</v>
      </c>
      <c r="AW128" s="15" t="n">
        <f aca="false">IF(AND(Motore_Operativo!C128=Finanziamenti!$D$6,Finanziamenti!$F$6=1),Finanziamenti!$C$6,0)</f>
        <v>0</v>
      </c>
      <c r="AX128" s="15" t="n">
        <f aca="false">IF(AND(3&lt;&gt;7,3&lt;&gt;9,Finanziamenti!$F$8=1,OR(Parametri_v3!$C$6=0,Finanziamenti!$E$8=1),Motore_Operativo!C128=EDATE(Finanziamenti!$D$8,Ipotesi!E15*12)),Finanziamenti!$C$8*1,0)+IF(AND(3&lt;&gt;7,3&lt;&gt;9,Finanziamenti!$F$9=1,OR(Parametri_v3!$C$6=0,Finanziamenti!$E$9=1),Motore_Operativo!C128=EDATE(Finanziamenti!$D$9,Ipotesi!E15*12)),Finanziamenti!$C$9*Ipotesi!E16,0)</f>
        <v>0</v>
      </c>
      <c r="AY128" s="15" t="n">
        <f aca="false">0</f>
        <v>0</v>
      </c>
      <c r="AZ128" s="15" t="n">
        <f aca="false">Motore_Advisory!AY128*(1-Ipotesi!$C$95)*Ipotesi!$C$96</f>
        <v>0</v>
      </c>
      <c r="BA128" s="15" t="n">
        <f aca="false">MAX(0,MIN(CG128*MIN(1,IF(Motore_Operativo!C128&gt;=EDATE(Finanziamenti!$D$15,Ipotesi!E14*12),Finanziamenti!$C$15,0)+IF(Motore_Operativo!C128&gt;=EDATE(Finanziamenti!$D$16,Ipotesi!E14*12),Finanziamenti!$C$16,0)+IF(Motore_Operativo!C128&gt;=EDATE(Finanziamenti!$D$17,Ipotesi!E14*12),Finanziamenti!$C$17,0)),CA128*Ipotesi!$C$102)-(CC127))</f>
        <v>0</v>
      </c>
      <c r="BB128" s="15" t="n">
        <f aca="false">IF(AND(CF128&gt;0,Motore_Operativo!C128&gt;=IF(CF128=0,0,EDATE(CF128,Parametri_v3!$C$37)),MOD(((D128-YEAR(IF(CF128=0,0,EDATE(CF128,Parametri_v3!$C$37))))*12+E128-MONTH(IF(CF128=0,0,EDATE(CF128,Parametri_v3!$C$37)))),Parametri_v3!$C$38)=0),MIN(MAX(0,(BC127)+BA128-N128),(CC128-CD128)/(Ipotesi!$C$108*12/Parametri_v3!$C$38)),0)</f>
        <v>0</v>
      </c>
      <c r="BC128" s="15" t="n">
        <f aca="false">(BC127)+BA128-N128-BB128</f>
        <v>0</v>
      </c>
      <c r="BD128" s="15" t="n">
        <f aca="false">(BH127)+AC128+AF128-AI128-AS128-K128*(1+Parametri_v3!$C$26)-AL128-AQ128-O128+AW128+AX128+AZ128+BA128-BB128</f>
        <v>46925.1470587719</v>
      </c>
      <c r="BE128" s="15" t="n">
        <f aca="false">MAX(0,MIN(MAX(0,CH128-(BG127)),Parametri_v3!$C$30-BD128))</f>
        <v>0</v>
      </c>
      <c r="BF128" s="15" t="n">
        <f aca="false">IF(Motore_Operativo!C128&gt;=Parametri_v3!$C$63,(BG127),MIN((BG127),MAX(0,BD128-Parametri_v3!$C$30)))</f>
        <v>0</v>
      </c>
      <c r="BG128" s="15" t="n">
        <f aca="false">(BG127)+BE128-BF128</f>
        <v>0</v>
      </c>
      <c r="BH128" s="15" t="n">
        <f aca="false">BD128+BE128-BF128-AY128</f>
        <v>46925.1470587719</v>
      </c>
      <c r="BI128" s="15" t="n">
        <f aca="false">MAX(0,Parametri_v3!$C$30-BH128)</f>
        <v>0</v>
      </c>
      <c r="BJ128" s="15" t="n">
        <f aca="false">(BJ127)+K128</f>
        <v>6666.66666666667</v>
      </c>
      <c r="BK128" s="15" t="n">
        <f aca="false">(BK127)+L128</f>
        <v>462.962962962963</v>
      </c>
      <c r="BL128" s="15" t="n">
        <f aca="false">BJ128-BK128</f>
        <v>6203.7037037037</v>
      </c>
      <c r="BM128" s="15" t="n">
        <f aca="false">(BM127)+Y128</f>
        <v>-68333.4713450292</v>
      </c>
      <c r="BN128" s="15" t="n">
        <f aca="false">(BN127)+AW128+AX128+AZ128</f>
        <v>130000</v>
      </c>
      <c r="BO128" s="15" t="n">
        <f aca="false">(BO127)+AY128</f>
        <v>0</v>
      </c>
      <c r="BP128" s="15" t="n">
        <f aca="false">0</f>
        <v>0</v>
      </c>
      <c r="BQ128" s="15" t="n">
        <f aca="false">BN128+BM128-BO128</f>
        <v>61666.5286549708</v>
      </c>
      <c r="BR128" s="15" t="n">
        <f aca="false">BH128+AD128+BL128+MAX(0,-AM128)+MAX(0,-AR128)+AG128</f>
        <v>89004.009047076</v>
      </c>
      <c r="BS128" s="15" t="n">
        <f aca="false">AJ128+AV128+MAX(0,AM128)+MAX(0,AR128)+BC128+BG128+BQ128</f>
        <v>89004.009047076</v>
      </c>
      <c r="BT128" s="15" t="n">
        <f aca="false">BR128-BS128</f>
        <v>0</v>
      </c>
      <c r="BU128" s="15" t="n">
        <f aca="false">BH128-(BD128+BE128-BF128-AY128)</f>
        <v>0</v>
      </c>
      <c r="BV128" s="15" t="n">
        <f aca="false">MIN(Piano_SS!$C$6,(BV127)+IF(AND(Motore_Operativo!C128&gt;=EDATE(Parametri_v3!$C$24,Ipotesi!E14*12),Motore_Operativo!C128&lt;EDATE(Parametri_v3!$C$24,Parametri_v3!$C$25+Ipotesi!E14*12)),MAX(0,(Motore_Operativo!Y128+Motore_Operativo!X128*Parametri_v3!$C$14)*(1-Parametri_v3!$C$32))*Piano_SS!$D$6,0))</f>
        <v>0</v>
      </c>
      <c r="BW128" s="15" t="n">
        <f aca="false">MIN(Piano_SS!$C$7,(BW127)+IF(AND(Motore_Operativo!C128&gt;=EDATE(Parametri_v3!$C$24,Ipotesi!E14*12),Motore_Operativo!C128&lt;EDATE(Parametri_v3!$C$24,Parametri_v3!$C$25+Ipotesi!E14*12)),MAX(0,(IF(4-(INT((Ipotesi!$C$91)/30))&lt;1,0,INDEX(Motore_Operativo!$BN$125:$BN$184,MAX(1,4-(INT((Ipotesi!$C$91)/30)))))*(1-(MOD((Ipotesi!$C$91),30)/30))+IF(4-(INT((Ipotesi!$C$91)/30))-1&lt;1,0,INDEX(Motore_Operativo!$BN$125:$BN$184,MAX(1,4-(INT((Ipotesi!$C$91)/30))-1)))*(MOD((Ipotesi!$C$91),30)/30)))*Piano_SS!$D$7,0))</f>
        <v>0</v>
      </c>
      <c r="BX128" s="15" t="n">
        <f aca="false">MIN(Piano_SS!$C$8,(BX127)+IF(AND(Motore_Operativo!C128&gt;=EDATE(Parametri_v3!$C$24,Ipotesi!E14*12),Motore_Operativo!C128&lt;EDATE(Parametri_v3!$C$24,Parametri_v3!$C$25+Ipotesi!E14*12)),MAX(0,Motore_Operativo!CE128)*Piano_SS!$D$8,0))</f>
        <v>0</v>
      </c>
      <c r="BY128" s="15" t="n">
        <f aca="false">MIN(Piano_SS!$C$9,(BY127)+IF(AND(Motore_Operativo!C128&gt;=EDATE(Parametri_v3!$C$24,Ipotesi!E14*12),Motore_Operativo!C128&lt;EDATE(Parametri_v3!$C$24,Parametri_v3!$C$25+Ipotesi!E14*12)),MAX(0,((IF(4-(INT((Ipotesi!$C$91)/30))&lt;1,0,INDEX(Motore_Operativo!$BQ$125:$BQ$184,MAX(1,4-(INT((Ipotesi!$C$91)/30)))))*(1-(MOD((Ipotesi!$C$91),30)/30))+IF(4-(INT((Ipotesi!$C$91)/30))-1&lt;1,0,INDEX(Motore_Operativo!$BQ$125:$BQ$184,MAX(1,4-(INT((Ipotesi!$C$91)/30))-1)))*(MOD((Ipotesi!$C$91),30)/30))+(IF(4-(INT((Ipotesi!$C$91)/30))&lt;1,0,INDEX(Motore_Operativo!$BR$125:$BR$184,MAX(1,4-(INT((Ipotesi!$C$91)/30)))))*(1-(MOD((Ipotesi!$C$91),30)/30))+IF(4-(INT((Ipotesi!$C$91)/30))-1&lt;1,0,INDEX(Motore_Operativo!$BR$125:$BR$184,MAX(1,4-(INT((Ipotesi!$C$91)/30))-1)))*(MOD((Ipotesi!$C$91),30)/30))))*Piano_SS!$D$9,0))</f>
        <v>0</v>
      </c>
      <c r="BZ128" s="15" t="n">
        <f aca="false">MIN(Piano_SS!$C$10,(BZ127)+IF(AND(Motore_Operativo!C128&gt;=EDATE(Parametri_v3!$C$24,Ipotesi!E14*12),Motore_Operativo!C128&lt;EDATE(Parametri_v3!$C$24,Parametri_v3!$C$25+Ipotesi!E14*12)),MAX(0,(IF(4-(INT((Ipotesi!$C$91)/30))&lt;1,0,INDEX(Motore_Operativo!$BO$125:$BO$184,MAX(1,4-(INT((Ipotesi!$C$91)/30)))))*(1-(MOD((Ipotesi!$C$91),30)/30))+IF(4-(INT((Ipotesi!$C$91)/30))-1&lt;1,0,INDEX(Motore_Operativo!$BO$125:$BO$184,MAX(1,4-(INT((Ipotesi!$C$91)/30))-1)))*(MOD((Ipotesi!$C$91),30)/30)))*Piano_SS!$D$10,0))</f>
        <v>0</v>
      </c>
      <c r="CA128" s="15" t="n">
        <f aca="false">SUM(BV128:BZ128)</f>
        <v>0</v>
      </c>
      <c r="CB128" s="15" t="n">
        <f aca="false">BV128*(1-Piano_SS!$E$6)+BW128*(1-Piano_SS!$E$7)+BX128*(1-Piano_SS!$E$8)+BY128*(1-Piano_SS!$E$9)+BZ128*(1-Piano_SS!$E$10)</f>
        <v>0</v>
      </c>
      <c r="CC128" s="15" t="n">
        <f aca="false">(CC127)+BA128</f>
        <v>0</v>
      </c>
      <c r="CD128" s="15" t="n">
        <f aca="false">IF(CA128=0,0,CC128*CB128/CA128*Ipotesi!$C$103*Parametri_v3!$C$64)</f>
        <v>0</v>
      </c>
      <c r="CE128" s="18" t="n">
        <f aca="false">IF(BA128&gt;0,Motore_Operativo!C128,(CE127))</f>
        <v>0</v>
      </c>
      <c r="CF128" s="18" t="n">
        <f aca="false">IF(AND(CC128&gt;0,OR(CC128&gt;=CG128-0.01,Motore_Operativo!C128&gt;=EDATE(MAX(Finanziamenti!$D$15:$D$17),Ipotesi!E14*12))),CE128,0)</f>
        <v>0</v>
      </c>
      <c r="CG128" s="15" t="n">
        <f aca="false">IF(AND(3&lt;&gt;6,3&lt;&gt;9,Finanziamenti!$F$11=1,OR(Parametri_v3!$C$6=0,Finanziamenti!$E$11=1)),MIN(Finanziamenti!$C$11,Piano_SS!$C$12*Ipotesi!$C$102),0)</f>
        <v>400000</v>
      </c>
      <c r="CH128" s="15" t="n">
        <f aca="false">IF(AND(AND(3&lt;&gt;8,3&lt;&gt;9,Finanziamenti!$F$10=1,OR(Parametri_v3!$C$6=0,Finanziamenti!$E$10=1)),Motore_Operativo!C128&gt;=Finanziamenti!$D$10,Motore_Operativo!C128&lt;Parametri_v3!$C$63),Finanziamenti!$C$10,0)</f>
        <v>150000</v>
      </c>
    </row>
    <row r="129" customFormat="false" ht="18" hidden="false" customHeight="true" outlineLevel="0" collapsed="false">
      <c r="A129" s="68" t="n">
        <f aca="false">3</f>
        <v>3</v>
      </c>
      <c r="B129" s="68" t="n">
        <f aca="false">5</f>
        <v>5</v>
      </c>
      <c r="C129" s="18" t="n">
        <f aca="false">Motore_Operativo!C129</f>
        <v>46508</v>
      </c>
      <c r="D129" s="68" t="n">
        <f aca="false">Motore_Operativo!D129</f>
        <v>2027</v>
      </c>
      <c r="E129" s="68" t="n">
        <f aca="false">Motore_Operativo!E129</f>
        <v>5</v>
      </c>
      <c r="F129" s="15" t="n">
        <f aca="false">Motore_Operativo!AQ129+Motore_Operativo!BF129</f>
        <v>9434.44444444445</v>
      </c>
      <c r="G129" s="15" t="n">
        <f aca="false">Motore_Operativo!BH129</f>
        <v>1621.05263157895</v>
      </c>
      <c r="H129" s="15" t="n">
        <f aca="false">Motore_Operativo!BI129</f>
        <v>11055.4970760234</v>
      </c>
      <c r="I129" s="15" t="n">
        <f aca="false">Motore_Operativo!CA129</f>
        <v>27869.8371345029</v>
      </c>
      <c r="J129" s="15" t="n">
        <f aca="false">Motore_Operativo!CC129</f>
        <v>-16814.3400584795</v>
      </c>
      <c r="K129" s="15" t="n">
        <f aca="false">Motore_Operativo!CE129</f>
        <v>1666.66666666667</v>
      </c>
      <c r="L129" s="15" t="n">
        <f aca="false">SUM(INDEX($K$125:$K$184,MAX(1,5-Parametri_v3!$C$59+1)):K129)/Parametri_v3!$C$59</f>
        <v>231.481481481482</v>
      </c>
      <c r="M129" s="15" t="n">
        <f aca="false">J129-L129</f>
        <v>-17045.821539961</v>
      </c>
      <c r="N129" s="15" t="n">
        <f aca="false">CD129-(CD128)</f>
        <v>0</v>
      </c>
      <c r="O129" s="15" t="n">
        <f aca="false">(BG128)*Ipotesi!$C$110/12+CH129*Parametri_v3!$C$39/12</f>
        <v>0</v>
      </c>
      <c r="P129" s="15" t="n">
        <f aca="false">M129+N129-O129</f>
        <v>-17045.821539961</v>
      </c>
      <c r="Q129" s="15" t="n">
        <f aca="false">SUM(P125:P129)+Parametri_v3!$C$54*5/12</f>
        <v>-85379.2928849903</v>
      </c>
      <c r="R129" s="15" t="n">
        <f aca="false">0</f>
        <v>0</v>
      </c>
      <c r="S129" s="15" t="n">
        <f aca="false">0</f>
        <v>0</v>
      </c>
      <c r="T129" s="15" t="n">
        <f aca="false">MIN(R129,MAX(0,Q129))</f>
        <v>0</v>
      </c>
      <c r="U129" s="15" t="n">
        <f aca="false">MIN(S129,MAX(0,Q129-T129)*Parametri_v3!$C$42)</f>
        <v>0</v>
      </c>
      <c r="V129" s="15" t="n">
        <f aca="false">MAX(0,Q129-T129-U129)*Ipotesi!$C$92</f>
        <v>0</v>
      </c>
      <c r="W129" s="15" t="n">
        <f aca="false">MAX(0,SUM(M125:M129)+Parametri_v3!$C$55*5/12)*Ipotesi!$C$93</f>
        <v>0</v>
      </c>
      <c r="X129" s="15" t="n">
        <f aca="false">V129+W129-(V128+W128)</f>
        <v>0</v>
      </c>
      <c r="Y129" s="15" t="n">
        <f aca="false">P129-X129</f>
        <v>-17045.821539961</v>
      </c>
      <c r="Z129" s="15" t="n">
        <f aca="false">R129-T129+IF(AND(Parametri_v3!$C$40=1,D129-YEAR(Parametri_v3!$C$50)&lt;Parametri_v3!$C$41),MAX(0,-Q129),0)</f>
        <v>85379.2928849903</v>
      </c>
      <c r="AA129" s="15" t="n">
        <f aca="false">S129-U129+IF(AND(Parametri_v3!$C$40=1,D129-YEAR(Parametri_v3!$C$50)&lt;Parametri_v3!$C$41),0,MAX(0,-Q129))</f>
        <v>0</v>
      </c>
      <c r="AB129" s="15" t="n">
        <f aca="false">F129*(1+Parametri_v3!$C$26)</f>
        <v>11510.0222222222</v>
      </c>
      <c r="AC129" s="15" t="n">
        <f aca="false">(IF(5-(INT((Motore_Operativo!L129)/30))&lt;1,0,INDEX(Motore_Startup!$AB$125:$AB$184,MAX(1,5-(INT((Motore_Operativo!L129)/30)))))*(1-(MOD((Motore_Operativo!L129),30)/30))+IF(5-(INT((Motore_Operativo!L129)/30))-1&lt;1,0,INDEX(Motore_Startup!$AB$125:$AB$184,MAX(1,5-(INT((Motore_Operativo!L129)/30))-1)))*(MOD((Motore_Operativo!L129),30)/30))</f>
        <v>11272.8</v>
      </c>
      <c r="AD129" s="15" t="n">
        <f aca="false">(AD128)+AB129-AC129</f>
        <v>34134.6962962963</v>
      </c>
      <c r="AE129" s="15" t="n">
        <f aca="false">Motore_Operativo!BH129*(1+Parametri_v3!$C$26)</f>
        <v>1977.68421052632</v>
      </c>
      <c r="AF129" s="15" t="n">
        <f aca="false">(IF(5-(INT((Parametri_v3!$C$29)/30))&lt;1,0,INDEX(Motore_Operativo!$BH$125:$BH$184,MAX(1,5-(INT((Parametri_v3!$C$29)/30)))))*(1-(MOD((Parametri_v3!$C$29),30)/30))+IF(5-(INT((Parametri_v3!$C$29)/30))-1&lt;1,0,INDEX(Motore_Operativo!$BH$125:$BH$184,MAX(1,5-(INT((Parametri_v3!$C$29)/30))-1)))*(MOD((Parametri_v3!$C$29),30)/30))*(1+Parametri_v3!$C$26)</f>
        <v>1977.68421052632</v>
      </c>
      <c r="AG129" s="15" t="n">
        <f aca="false">(AG128)+AE129-AF129</f>
        <v>1977.68421052632</v>
      </c>
      <c r="AH129" s="15" t="n">
        <f aca="false">(Motore_Operativo!CJ129)*(1+Parametri_v3!$C$27*Parametri_v3!$C$26)</f>
        <v>11814.4133453216</v>
      </c>
      <c r="AI129" s="15" t="n">
        <f aca="false">(IF(5-(INT((Ipotesi!$C$91)/30))&lt;1,0,INDEX(Motore_Startup!$AH$125:$AH$184,MAX(1,5-(INT((Ipotesi!$C$91)/30)))))*(1-(MOD((Ipotesi!$C$91),30)/30))+IF(5-(INT((Ipotesi!$C$91)/30))-1&lt;1,0,INDEX(Motore_Startup!$AH$125:$AH$184,MAX(1,5-(INT((Ipotesi!$C$91)/30))-1)))*(MOD((Ipotesi!$C$91),30)/30))</f>
        <v>11782.1005675439</v>
      </c>
      <c r="AJ129" s="15" t="n">
        <f aca="false">(AJ128)+AH129-AI129</f>
        <v>23607.2848387914</v>
      </c>
      <c r="AK129" s="15" t="n">
        <f aca="false">(F129+ Motore_Operativo!BH129-(Motore_Operativo!CJ129)*Parametri_v3!$C$27-Motore_Operativo!CE129)*Parametri_v3!$C$26</f>
        <v>204.2998125731</v>
      </c>
      <c r="AL129" s="15" t="n">
        <f aca="false">MAX(0,(AM128))</f>
        <v>179.174997758285</v>
      </c>
      <c r="AM129" s="15" t="n">
        <f aca="false">(AM128)+AK129-AL129</f>
        <v>204.2998125731</v>
      </c>
      <c r="AN129" s="15" t="n">
        <f aca="false">0</f>
        <v>0</v>
      </c>
      <c r="AO129" s="15" t="n">
        <f aca="false">0</f>
        <v>0</v>
      </c>
      <c r="AP129" s="15" t="n">
        <f aca="false">MAX(0,AN129)*IF(5=Parametri_v3!$C$43,Parametri_v3!$C$45,IF(5=Parametri_v3!$C$44,1-Parametri_v3!$C$45,0))</f>
        <v>0</v>
      </c>
      <c r="AQ129" s="15" t="n">
        <f aca="false">MAX(0,AP129+IF(5=Parametri_v3!$C$43,MAX(0,AN129-AO129),0)-MAX(0,-(AR128)))</f>
        <v>0</v>
      </c>
      <c r="AR129" s="15" t="n">
        <f aca="false">(AR128)+X129-AQ129</f>
        <v>0</v>
      </c>
      <c r="AS129" s="15" t="n">
        <f aca="false">Motore_Operativo!AB129-AT129+AU129</f>
        <v>17020.8333333333</v>
      </c>
      <c r="AT129" s="15" t="n">
        <f aca="false">Motore_Operativo!CH129</f>
        <v>895.833333333334</v>
      </c>
      <c r="AU129" s="15" t="n">
        <f aca="false">MIN(MAX(0,(AV128)+AT129),Parametri_v3!$C$60/12)</f>
        <v>0</v>
      </c>
      <c r="AV129" s="15" t="n">
        <f aca="false">(AV128)+AT129-AU129</f>
        <v>4479.16666666667</v>
      </c>
      <c r="AW129" s="15" t="n">
        <f aca="false">IF(AND(Motore_Operativo!C129=Finanziamenti!$D$6,Finanziamenti!$F$6=1),Finanziamenti!$C$6,0)</f>
        <v>0</v>
      </c>
      <c r="AX129" s="15" t="n">
        <f aca="false">IF(AND(3&lt;&gt;7,3&lt;&gt;9,Finanziamenti!$F$8=1,OR(Parametri_v3!$C$6=0,Finanziamenti!$E$8=1),Motore_Operativo!C129=EDATE(Finanziamenti!$D$8,Ipotesi!E15*12)),Finanziamenti!$C$8*1,0)+IF(AND(3&lt;&gt;7,3&lt;&gt;9,Finanziamenti!$F$9=1,OR(Parametri_v3!$C$6=0,Finanziamenti!$E$9=1),Motore_Operativo!C129=EDATE(Finanziamenti!$D$9,Ipotesi!E15*12)),Finanziamenti!$C$9*Ipotesi!E16,0)</f>
        <v>0</v>
      </c>
      <c r="AY129" s="15" t="n">
        <f aca="false">0</f>
        <v>0</v>
      </c>
      <c r="AZ129" s="15" t="n">
        <f aca="false">Motore_Advisory!AY129*(1-Ipotesi!$C$95)*Ipotesi!$C$96</f>
        <v>0</v>
      </c>
      <c r="BA129" s="15" t="n">
        <f aca="false">MAX(0,MIN(CG129*MIN(1,IF(Motore_Operativo!C129&gt;=EDATE(Finanziamenti!$D$15,Ipotesi!E14*12),Finanziamenti!$C$15,0)+IF(Motore_Operativo!C129&gt;=EDATE(Finanziamenti!$D$16,Ipotesi!E14*12),Finanziamenti!$C$16,0)+IF(Motore_Operativo!C129&gt;=EDATE(Finanziamenti!$D$17,Ipotesi!E14*12),Finanziamenti!$C$17,0)),CA129*Ipotesi!$C$102)-(CC128))</f>
        <v>0</v>
      </c>
      <c r="BB129" s="15" t="n">
        <f aca="false">IF(AND(CF129&gt;0,Motore_Operativo!C129&gt;=IF(CF129=0,0,EDATE(CF129,Parametri_v3!$C$37)),MOD(((D129-YEAR(IF(CF129=0,0,EDATE(CF129,Parametri_v3!$C$37))))*12+E129-MONTH(IF(CF129=0,0,EDATE(CF129,Parametri_v3!$C$37)))),Parametri_v3!$C$38)=0),MIN(MAX(0,(BC128)+BA129-N129),(CC129-CD129)/(Ipotesi!$C$108*12/Parametri_v3!$C$38)),0)</f>
        <v>0</v>
      </c>
      <c r="BC129" s="15" t="n">
        <f aca="false">(BC128)+BA129-N129-BB129</f>
        <v>0</v>
      </c>
      <c r="BD129" s="15" t="n">
        <f aca="false">(BH128)+AC129+AF129-AI129-AS129-K129*(1+Parametri_v3!$C$26)-AL129-AQ129-O129+AW129+AX129+AZ129+BA129-BB129</f>
        <v>29160.1890373294</v>
      </c>
      <c r="BE129" s="15" t="n">
        <f aca="false">MAX(0,MIN(MAX(0,CH129-(BG128)),Parametri_v3!$C$30-BD129))</f>
        <v>0</v>
      </c>
      <c r="BF129" s="15" t="n">
        <f aca="false">IF(Motore_Operativo!C129&gt;=Parametri_v3!$C$63,(BG128),MIN((BG128),MAX(0,BD129-Parametri_v3!$C$30)))</f>
        <v>0</v>
      </c>
      <c r="BG129" s="15" t="n">
        <f aca="false">(BG128)+BE129-BF129</f>
        <v>0</v>
      </c>
      <c r="BH129" s="15" t="n">
        <f aca="false">BD129+BE129-BF129-AY129</f>
        <v>29160.1890373294</v>
      </c>
      <c r="BI129" s="15" t="n">
        <f aca="false">MAX(0,Parametri_v3!$C$30-BH129)</f>
        <v>0</v>
      </c>
      <c r="BJ129" s="15" t="n">
        <f aca="false">(BJ128)+K129</f>
        <v>8333.33333333333</v>
      </c>
      <c r="BK129" s="15" t="n">
        <f aca="false">(BK128)+L129</f>
        <v>694.444444444445</v>
      </c>
      <c r="BL129" s="15" t="n">
        <f aca="false">BJ129-BK129</f>
        <v>7638.88888888889</v>
      </c>
      <c r="BM129" s="15" t="n">
        <f aca="false">(BM128)+Y129</f>
        <v>-85379.2928849903</v>
      </c>
      <c r="BN129" s="15" t="n">
        <f aca="false">(BN128)+AW129+AX129+AZ129</f>
        <v>130000</v>
      </c>
      <c r="BO129" s="15" t="n">
        <f aca="false">(BO128)+AY129</f>
        <v>0</v>
      </c>
      <c r="BP129" s="15" t="n">
        <f aca="false">0</f>
        <v>0</v>
      </c>
      <c r="BQ129" s="15" t="n">
        <f aca="false">BN129+BM129-BO129</f>
        <v>44620.7071150098</v>
      </c>
      <c r="BR129" s="15" t="n">
        <f aca="false">BH129+AD129+BL129+MAX(0,-AM129)+MAX(0,-AR129)+AG129</f>
        <v>72911.4584330409</v>
      </c>
      <c r="BS129" s="15" t="n">
        <f aca="false">AJ129+AV129+MAX(0,AM129)+MAX(0,AR129)+BC129+BG129+BQ129</f>
        <v>72911.4584330409</v>
      </c>
      <c r="BT129" s="15" t="n">
        <f aca="false">BR129-BS129</f>
        <v>0</v>
      </c>
      <c r="BU129" s="15" t="n">
        <f aca="false">BH129-(BD129+BE129-BF129-AY129)</f>
        <v>0</v>
      </c>
      <c r="BV129" s="15" t="n">
        <f aca="false">MIN(Piano_SS!$C$6,(BV128)+IF(AND(Motore_Operativo!C129&gt;=EDATE(Parametri_v3!$C$24,Ipotesi!E14*12),Motore_Operativo!C129&lt;EDATE(Parametri_v3!$C$24,Parametri_v3!$C$25+Ipotesi!E14*12)),MAX(0,(Motore_Operativo!Y129+Motore_Operativo!X129*Parametri_v3!$C$14)*(1-Parametri_v3!$C$32))*Piano_SS!$D$6,0))</f>
        <v>0</v>
      </c>
      <c r="BW129" s="15" t="n">
        <f aca="false">MIN(Piano_SS!$C$7,(BW128)+IF(AND(Motore_Operativo!C129&gt;=EDATE(Parametri_v3!$C$24,Ipotesi!E14*12),Motore_Operativo!C129&lt;EDATE(Parametri_v3!$C$24,Parametri_v3!$C$25+Ipotesi!E14*12)),MAX(0,(IF(5-(INT((Ipotesi!$C$91)/30))&lt;1,0,INDEX(Motore_Operativo!$BN$125:$BN$184,MAX(1,5-(INT((Ipotesi!$C$91)/30)))))*(1-(MOD((Ipotesi!$C$91),30)/30))+IF(5-(INT((Ipotesi!$C$91)/30))-1&lt;1,0,INDEX(Motore_Operativo!$BN$125:$BN$184,MAX(1,5-(INT((Ipotesi!$C$91)/30))-1)))*(MOD((Ipotesi!$C$91),30)/30)))*Piano_SS!$D$7,0))</f>
        <v>0</v>
      </c>
      <c r="BX129" s="15" t="n">
        <f aca="false">MIN(Piano_SS!$C$8,(BX128)+IF(AND(Motore_Operativo!C129&gt;=EDATE(Parametri_v3!$C$24,Ipotesi!E14*12),Motore_Operativo!C129&lt;EDATE(Parametri_v3!$C$24,Parametri_v3!$C$25+Ipotesi!E14*12)),MAX(0,Motore_Operativo!CE129)*Piano_SS!$D$8,0))</f>
        <v>0</v>
      </c>
      <c r="BY129" s="15" t="n">
        <f aca="false">MIN(Piano_SS!$C$9,(BY128)+IF(AND(Motore_Operativo!C129&gt;=EDATE(Parametri_v3!$C$24,Ipotesi!E14*12),Motore_Operativo!C129&lt;EDATE(Parametri_v3!$C$24,Parametri_v3!$C$25+Ipotesi!E14*12)),MAX(0,((IF(5-(INT((Ipotesi!$C$91)/30))&lt;1,0,INDEX(Motore_Operativo!$BQ$125:$BQ$184,MAX(1,5-(INT((Ipotesi!$C$91)/30)))))*(1-(MOD((Ipotesi!$C$91),30)/30))+IF(5-(INT((Ipotesi!$C$91)/30))-1&lt;1,0,INDEX(Motore_Operativo!$BQ$125:$BQ$184,MAX(1,5-(INT((Ipotesi!$C$91)/30))-1)))*(MOD((Ipotesi!$C$91),30)/30))+(IF(5-(INT((Ipotesi!$C$91)/30))&lt;1,0,INDEX(Motore_Operativo!$BR$125:$BR$184,MAX(1,5-(INT((Ipotesi!$C$91)/30)))))*(1-(MOD((Ipotesi!$C$91),30)/30))+IF(5-(INT((Ipotesi!$C$91)/30))-1&lt;1,0,INDEX(Motore_Operativo!$BR$125:$BR$184,MAX(1,5-(INT((Ipotesi!$C$91)/30))-1)))*(MOD((Ipotesi!$C$91),30)/30))))*Piano_SS!$D$9,0))</f>
        <v>0</v>
      </c>
      <c r="BZ129" s="15" t="n">
        <f aca="false">MIN(Piano_SS!$C$10,(BZ128)+IF(AND(Motore_Operativo!C129&gt;=EDATE(Parametri_v3!$C$24,Ipotesi!E14*12),Motore_Operativo!C129&lt;EDATE(Parametri_v3!$C$24,Parametri_v3!$C$25+Ipotesi!E14*12)),MAX(0,(IF(5-(INT((Ipotesi!$C$91)/30))&lt;1,0,INDEX(Motore_Operativo!$BO$125:$BO$184,MAX(1,5-(INT((Ipotesi!$C$91)/30)))))*(1-(MOD((Ipotesi!$C$91),30)/30))+IF(5-(INT((Ipotesi!$C$91)/30))-1&lt;1,0,INDEX(Motore_Operativo!$BO$125:$BO$184,MAX(1,5-(INT((Ipotesi!$C$91)/30))-1)))*(MOD((Ipotesi!$C$91),30)/30)))*Piano_SS!$D$10,0))</f>
        <v>0</v>
      </c>
      <c r="CA129" s="15" t="n">
        <f aca="false">SUM(BV129:BZ129)</f>
        <v>0</v>
      </c>
      <c r="CB129" s="15" t="n">
        <f aca="false">BV129*(1-Piano_SS!$E$6)+BW129*(1-Piano_SS!$E$7)+BX129*(1-Piano_SS!$E$8)+BY129*(1-Piano_SS!$E$9)+BZ129*(1-Piano_SS!$E$10)</f>
        <v>0</v>
      </c>
      <c r="CC129" s="15" t="n">
        <f aca="false">(CC128)+BA129</f>
        <v>0</v>
      </c>
      <c r="CD129" s="15" t="n">
        <f aca="false">IF(CA129=0,0,CC129*CB129/CA129*Ipotesi!$C$103*Parametri_v3!$C$64)</f>
        <v>0</v>
      </c>
      <c r="CE129" s="18" t="n">
        <f aca="false">IF(BA129&gt;0,Motore_Operativo!C129,(CE128))</f>
        <v>0</v>
      </c>
      <c r="CF129" s="18" t="n">
        <f aca="false">IF(AND(CC129&gt;0,OR(CC129&gt;=CG129-0.01,Motore_Operativo!C129&gt;=EDATE(MAX(Finanziamenti!$D$15:$D$17),Ipotesi!E14*12))),CE129,0)</f>
        <v>0</v>
      </c>
      <c r="CG129" s="15" t="n">
        <f aca="false">IF(AND(3&lt;&gt;6,3&lt;&gt;9,Finanziamenti!$F$11=1,OR(Parametri_v3!$C$6=0,Finanziamenti!$E$11=1)),MIN(Finanziamenti!$C$11,Piano_SS!$C$12*Ipotesi!$C$102),0)</f>
        <v>400000</v>
      </c>
      <c r="CH129" s="15" t="n">
        <f aca="false">IF(AND(AND(3&lt;&gt;8,3&lt;&gt;9,Finanziamenti!$F$10=1,OR(Parametri_v3!$C$6=0,Finanziamenti!$E$10=1)),Motore_Operativo!C129&gt;=Finanziamenti!$D$10,Motore_Operativo!C129&lt;Parametri_v3!$C$63),Finanziamenti!$C$10,0)</f>
        <v>150000</v>
      </c>
    </row>
    <row r="130" customFormat="false" ht="18" hidden="false" customHeight="true" outlineLevel="0" collapsed="false">
      <c r="A130" s="68" t="n">
        <f aca="false">3</f>
        <v>3</v>
      </c>
      <c r="B130" s="68" t="n">
        <f aca="false">6</f>
        <v>6</v>
      </c>
      <c r="C130" s="18" t="n">
        <f aca="false">Motore_Operativo!C130</f>
        <v>46539</v>
      </c>
      <c r="D130" s="68" t="n">
        <f aca="false">Motore_Operativo!D130</f>
        <v>2027</v>
      </c>
      <c r="E130" s="68" t="n">
        <f aca="false">Motore_Operativo!E130</f>
        <v>6</v>
      </c>
      <c r="F130" s="15" t="n">
        <f aca="false">Motore_Operativo!AQ130+Motore_Operativo!BF130</f>
        <v>9564.07407407408</v>
      </c>
      <c r="G130" s="15" t="n">
        <f aca="false">Motore_Operativo!BH130</f>
        <v>1621.05263157895</v>
      </c>
      <c r="H130" s="15" t="n">
        <f aca="false">Motore_Operativo!BI130</f>
        <v>11185.126705653</v>
      </c>
      <c r="I130" s="15" t="n">
        <f aca="false">Motore_Operativo!CA130</f>
        <v>27887.9852826511</v>
      </c>
      <c r="J130" s="15" t="n">
        <f aca="false">Motore_Operativo!CC130</f>
        <v>-16702.8585769981</v>
      </c>
      <c r="K130" s="15" t="n">
        <f aca="false">Motore_Operativo!CE130</f>
        <v>1666.66666666667</v>
      </c>
      <c r="L130" s="15" t="n">
        <f aca="false">SUM(INDEX($K$125:$K$184,MAX(1,6-Parametri_v3!$C$59+1)):K130)/Parametri_v3!$C$59</f>
        <v>277.777777777778</v>
      </c>
      <c r="M130" s="15" t="n">
        <f aca="false">J130-L130</f>
        <v>-16980.6363547758</v>
      </c>
      <c r="N130" s="15" t="n">
        <f aca="false">CD130-(CD129)</f>
        <v>0</v>
      </c>
      <c r="O130" s="15" t="n">
        <f aca="false">(BG129)*Ipotesi!$C$110/12+CH130*Parametri_v3!$C$39/12</f>
        <v>0</v>
      </c>
      <c r="P130" s="15" t="n">
        <f aca="false">M130+N130-O130</f>
        <v>-16980.6363547758</v>
      </c>
      <c r="Q130" s="15" t="n">
        <f aca="false">SUM(P125:P130)+Parametri_v3!$C$54*6/12</f>
        <v>-102359.929239766</v>
      </c>
      <c r="R130" s="15" t="n">
        <f aca="false">0</f>
        <v>0</v>
      </c>
      <c r="S130" s="15" t="n">
        <f aca="false">0</f>
        <v>0</v>
      </c>
      <c r="T130" s="15" t="n">
        <f aca="false">MIN(R130,MAX(0,Q130))</f>
        <v>0</v>
      </c>
      <c r="U130" s="15" t="n">
        <f aca="false">MIN(S130,MAX(0,Q130-T130)*Parametri_v3!$C$42)</f>
        <v>0</v>
      </c>
      <c r="V130" s="15" t="n">
        <f aca="false">MAX(0,Q130-T130-U130)*Ipotesi!$C$92</f>
        <v>0</v>
      </c>
      <c r="W130" s="15" t="n">
        <f aca="false">MAX(0,SUM(M125:M130)+Parametri_v3!$C$55*6/12)*Ipotesi!$C$93</f>
        <v>0</v>
      </c>
      <c r="X130" s="15" t="n">
        <f aca="false">V130+W130-(V129+W129)</f>
        <v>0</v>
      </c>
      <c r="Y130" s="15" t="n">
        <f aca="false">P130-X130</f>
        <v>-16980.6363547758</v>
      </c>
      <c r="Z130" s="15" t="n">
        <f aca="false">R130-T130+IF(AND(Parametri_v3!$C$40=1,D130-YEAR(Parametri_v3!$C$50)&lt;Parametri_v3!$C$41),MAX(0,-Q130),0)</f>
        <v>102359.929239766</v>
      </c>
      <c r="AA130" s="15" t="n">
        <f aca="false">S130-U130+IF(AND(Parametri_v3!$C$40=1,D130-YEAR(Parametri_v3!$C$50)&lt;Parametri_v3!$C$41),0,MAX(0,-Q130))</f>
        <v>0</v>
      </c>
      <c r="AB130" s="15" t="n">
        <f aca="false">F130*(1+Parametri_v3!$C$26)</f>
        <v>11668.1703703704</v>
      </c>
      <c r="AC130" s="15" t="n">
        <f aca="false">(IF(6-(INT((Motore_Operativo!L130)/30))&lt;1,0,INDEX(Motore_Startup!$AB$125:$AB$184,MAX(1,6-(INT((Motore_Operativo!L130)/30)))))*(1-(MOD((Motore_Operativo!L130),30)/30))+IF(6-(INT((Motore_Operativo!L130)/30))-1&lt;1,0,INDEX(Motore_Startup!$AB$125:$AB$184,MAX(1,6-(INT((Motore_Operativo!L130)/30))-1)))*(MOD((Motore_Operativo!L130),30)/30))</f>
        <v>11272.8</v>
      </c>
      <c r="AD130" s="15" t="n">
        <f aca="false">(AD129)+AB130-AC130</f>
        <v>34530.0666666667</v>
      </c>
      <c r="AE130" s="15" t="n">
        <f aca="false">Motore_Operativo!BH130*(1+Parametri_v3!$C$26)</f>
        <v>1977.68421052632</v>
      </c>
      <c r="AF130" s="15" t="n">
        <f aca="false">(IF(6-(INT((Parametri_v3!$C$29)/30))&lt;1,0,INDEX(Motore_Operativo!$BH$125:$BH$184,MAX(1,6-(INT((Parametri_v3!$C$29)/30)))))*(1-(MOD((Parametri_v3!$C$29),30)/30))+IF(6-(INT((Parametri_v3!$C$29)/30))-1&lt;1,0,INDEX(Motore_Operativo!$BH$125:$BH$184,MAX(1,6-(INT((Parametri_v3!$C$29)/30))-1)))*(MOD((Parametri_v3!$C$29),30)/30))*(1+Parametri_v3!$C$26)</f>
        <v>1977.68421052632</v>
      </c>
      <c r="AG130" s="15" t="n">
        <f aca="false">(AG129)+AE130-AF130</f>
        <v>1977.68421052632</v>
      </c>
      <c r="AH130" s="15" t="n">
        <f aca="false">(Motore_Operativo!CJ130)*(1+Parametri_v3!$C$27*Parametri_v3!$C$26)</f>
        <v>11835.9551971735</v>
      </c>
      <c r="AI130" s="15" t="n">
        <f aca="false">(IF(6-(INT((Ipotesi!$C$91)/30))&lt;1,0,INDEX(Motore_Startup!$AH$125:$AH$184,MAX(1,6-(INT((Ipotesi!$C$91)/30)))))*(1-(MOD((Ipotesi!$C$91),30)/30))+IF(6-(INT((Ipotesi!$C$91)/30))-1&lt;1,0,INDEX(Motore_Startup!$AH$125:$AH$184,MAX(1,6-(INT((Ipotesi!$C$91)/30))-1)))*(MOD((Ipotesi!$C$91),30)/30))</f>
        <v>11792.8714934698</v>
      </c>
      <c r="AJ130" s="15" t="n">
        <f aca="false">(AJ129)+AH130-AI130</f>
        <v>23650.3685424951</v>
      </c>
      <c r="AK130" s="15" t="n">
        <f aca="false">(F130+ Motore_Operativo!BH130-(Motore_Operativo!CJ130)*Parametri_v3!$C$27-Motore_Operativo!CE130)*Parametri_v3!$C$26</f>
        <v>229.424627387914</v>
      </c>
      <c r="AL130" s="15" t="n">
        <f aca="false">MAX(0,(AM129))</f>
        <v>204.2998125731</v>
      </c>
      <c r="AM130" s="15" t="n">
        <f aca="false">(AM129)+AK130-AL130</f>
        <v>229.424627387914</v>
      </c>
      <c r="AN130" s="15" t="n">
        <f aca="false">0</f>
        <v>0</v>
      </c>
      <c r="AO130" s="15" t="n">
        <f aca="false">0</f>
        <v>0</v>
      </c>
      <c r="AP130" s="15" t="n">
        <f aca="false">MAX(0,AN130)*IF(6=Parametri_v3!$C$43,Parametri_v3!$C$45,IF(6=Parametri_v3!$C$44,1-Parametri_v3!$C$45,0))</f>
        <v>0</v>
      </c>
      <c r="AQ130" s="15" t="n">
        <f aca="false">MAX(0,AP130+IF(6=Parametri_v3!$C$43,MAX(0,AN130-AO130),0)-MAX(0,-(AR129)))</f>
        <v>0</v>
      </c>
      <c r="AR130" s="15" t="n">
        <f aca="false">(AR129)+X130-AQ130</f>
        <v>0</v>
      </c>
      <c r="AS130" s="15" t="n">
        <f aca="false">Motore_Operativo!AB130-AT130+AU130</f>
        <v>17020.8333333333</v>
      </c>
      <c r="AT130" s="15" t="n">
        <f aca="false">Motore_Operativo!CH130</f>
        <v>895.833333333334</v>
      </c>
      <c r="AU130" s="15" t="n">
        <f aca="false">MIN(MAX(0,(AV129)+AT130),Parametri_v3!$C$60/12)</f>
        <v>0</v>
      </c>
      <c r="AV130" s="15" t="n">
        <f aca="false">(AV129)+AT130-AU130</f>
        <v>5375</v>
      </c>
      <c r="AW130" s="15" t="n">
        <f aca="false">IF(AND(Motore_Operativo!C130=Finanziamenti!$D$6,Finanziamenti!$F$6=1),Finanziamenti!$C$6,0)</f>
        <v>0</v>
      </c>
      <c r="AX130" s="15" t="n">
        <f aca="false">IF(AND(3&lt;&gt;7,3&lt;&gt;9,Finanziamenti!$F$8=1,OR(Parametri_v3!$C$6=0,Finanziamenti!$E$8=1),Motore_Operativo!C130=EDATE(Finanziamenti!$D$8,Ipotesi!E15*12)),Finanziamenti!$C$8*1,0)+IF(AND(3&lt;&gt;7,3&lt;&gt;9,Finanziamenti!$F$9=1,OR(Parametri_v3!$C$6=0,Finanziamenti!$E$9=1),Motore_Operativo!C130=EDATE(Finanziamenti!$D$9,Ipotesi!E15*12)),Finanziamenti!$C$9*Ipotesi!E16,0)</f>
        <v>0</v>
      </c>
      <c r="AY130" s="15" t="n">
        <f aca="false">0</f>
        <v>0</v>
      </c>
      <c r="AZ130" s="15" t="n">
        <f aca="false">Motore_Advisory!AY130*(1-Ipotesi!$C$95)*Ipotesi!$C$96</f>
        <v>0</v>
      </c>
      <c r="BA130" s="15" t="n">
        <f aca="false">MAX(0,MIN(CG130*MIN(1,IF(Motore_Operativo!C130&gt;=EDATE(Finanziamenti!$D$15,Ipotesi!E14*12),Finanziamenti!$C$15,0)+IF(Motore_Operativo!C130&gt;=EDATE(Finanziamenti!$D$16,Ipotesi!E14*12),Finanziamenti!$C$16,0)+IF(Motore_Operativo!C130&gt;=EDATE(Finanziamenti!$D$17,Ipotesi!E14*12),Finanziamenti!$C$17,0)),CA130*Ipotesi!$C$102)-(CC129))</f>
        <v>0</v>
      </c>
      <c r="BB130" s="15" t="n">
        <f aca="false">IF(AND(CF130&gt;0,Motore_Operativo!C130&gt;=IF(CF130=0,0,EDATE(CF130,Parametri_v3!$C$37)),MOD(((D130-YEAR(IF(CF130=0,0,EDATE(CF130,Parametri_v3!$C$37))))*12+E130-MONTH(IF(CF130=0,0,EDATE(CF130,Parametri_v3!$C$37)))),Parametri_v3!$C$38)=0),MIN(MAX(0,(BC129)+BA130-N130),(CC130-CD130)/(Ipotesi!$C$108*12/Parametri_v3!$C$38)),0)</f>
        <v>0</v>
      </c>
      <c r="BC130" s="15" t="n">
        <f aca="false">(BC129)+BA130-N130-BB130</f>
        <v>0</v>
      </c>
      <c r="BD130" s="15" t="n">
        <f aca="false">(BH129)+AC130+AF130-AI130-AS130-K130*(1+Parametri_v3!$C$26)-AL130-AQ130-O130+AW130+AX130+AZ130+BA130-BB130</f>
        <v>11359.3352751462</v>
      </c>
      <c r="BE130" s="15" t="n">
        <f aca="false">MAX(0,MIN(MAX(0,CH130-(BG129)),Parametri_v3!$C$30-BD130))</f>
        <v>13640.6647248538</v>
      </c>
      <c r="BF130" s="15" t="n">
        <f aca="false">IF(Motore_Operativo!C130&gt;=Parametri_v3!$C$63,(BG129),MIN((BG129),MAX(0,BD130-Parametri_v3!$C$30)))</f>
        <v>0</v>
      </c>
      <c r="BG130" s="15" t="n">
        <f aca="false">(BG129)+BE130-BF130</f>
        <v>13640.6647248538</v>
      </c>
      <c r="BH130" s="15" t="n">
        <f aca="false">BD130+BE130-BF130-AY130</f>
        <v>25000</v>
      </c>
      <c r="BI130" s="15" t="n">
        <f aca="false">MAX(0,Parametri_v3!$C$30-BH130)</f>
        <v>0</v>
      </c>
      <c r="BJ130" s="15" t="n">
        <f aca="false">(BJ129)+K130</f>
        <v>10000</v>
      </c>
      <c r="BK130" s="15" t="n">
        <f aca="false">(BK129)+L130</f>
        <v>972.222222222222</v>
      </c>
      <c r="BL130" s="15" t="n">
        <f aca="false">BJ130-BK130</f>
        <v>9027.77777777778</v>
      </c>
      <c r="BM130" s="15" t="n">
        <f aca="false">(BM129)+Y130</f>
        <v>-102359.929239766</v>
      </c>
      <c r="BN130" s="15" t="n">
        <f aca="false">(BN129)+AW130+AX130+AZ130</f>
        <v>130000</v>
      </c>
      <c r="BO130" s="15" t="n">
        <f aca="false">(BO129)+AY130</f>
        <v>0</v>
      </c>
      <c r="BP130" s="15" t="n">
        <f aca="false">0</f>
        <v>0</v>
      </c>
      <c r="BQ130" s="15" t="n">
        <f aca="false">BN130+BM130-BO130</f>
        <v>27640.0707602339</v>
      </c>
      <c r="BR130" s="15" t="n">
        <f aca="false">BH130+AD130+BL130+MAX(0,-AM130)+MAX(0,-AR130)+AG130</f>
        <v>70535.5286549708</v>
      </c>
      <c r="BS130" s="15" t="n">
        <f aca="false">AJ130+AV130+MAX(0,AM130)+MAX(0,AR130)+BC130+BG130+BQ130</f>
        <v>70535.5286549708</v>
      </c>
      <c r="BT130" s="15" t="n">
        <f aca="false">BR130-BS130</f>
        <v>0</v>
      </c>
      <c r="BU130" s="15" t="n">
        <f aca="false">BH130-(BD130+BE130-BF130-AY130)</f>
        <v>0</v>
      </c>
      <c r="BV130" s="15" t="n">
        <f aca="false">MIN(Piano_SS!$C$6,(BV129)+IF(AND(Motore_Operativo!C130&gt;=EDATE(Parametri_v3!$C$24,Ipotesi!E14*12),Motore_Operativo!C130&lt;EDATE(Parametri_v3!$C$24,Parametri_v3!$C$25+Ipotesi!E14*12)),MAX(0,(Motore_Operativo!Y130+Motore_Operativo!X130*Parametri_v3!$C$14)*(1-Parametri_v3!$C$32))*Piano_SS!$D$6,0))</f>
        <v>0</v>
      </c>
      <c r="BW130" s="15" t="n">
        <f aca="false">MIN(Piano_SS!$C$7,(BW129)+IF(AND(Motore_Operativo!C130&gt;=EDATE(Parametri_v3!$C$24,Ipotesi!E14*12),Motore_Operativo!C130&lt;EDATE(Parametri_v3!$C$24,Parametri_v3!$C$25+Ipotesi!E14*12)),MAX(0,(IF(6-(INT((Ipotesi!$C$91)/30))&lt;1,0,INDEX(Motore_Operativo!$BN$125:$BN$184,MAX(1,6-(INT((Ipotesi!$C$91)/30)))))*(1-(MOD((Ipotesi!$C$91),30)/30))+IF(6-(INT((Ipotesi!$C$91)/30))-1&lt;1,0,INDEX(Motore_Operativo!$BN$125:$BN$184,MAX(1,6-(INT((Ipotesi!$C$91)/30))-1)))*(MOD((Ipotesi!$C$91),30)/30)))*Piano_SS!$D$7,0))</f>
        <v>0</v>
      </c>
      <c r="BX130" s="15" t="n">
        <f aca="false">MIN(Piano_SS!$C$8,(BX129)+IF(AND(Motore_Operativo!C130&gt;=EDATE(Parametri_v3!$C$24,Ipotesi!E14*12),Motore_Operativo!C130&lt;EDATE(Parametri_v3!$C$24,Parametri_v3!$C$25+Ipotesi!E14*12)),MAX(0,Motore_Operativo!CE130)*Piano_SS!$D$8,0))</f>
        <v>0</v>
      </c>
      <c r="BY130" s="15" t="n">
        <f aca="false">MIN(Piano_SS!$C$9,(BY129)+IF(AND(Motore_Operativo!C130&gt;=EDATE(Parametri_v3!$C$24,Ipotesi!E14*12),Motore_Operativo!C130&lt;EDATE(Parametri_v3!$C$24,Parametri_v3!$C$25+Ipotesi!E14*12)),MAX(0,((IF(6-(INT((Ipotesi!$C$91)/30))&lt;1,0,INDEX(Motore_Operativo!$BQ$125:$BQ$184,MAX(1,6-(INT((Ipotesi!$C$91)/30)))))*(1-(MOD((Ipotesi!$C$91),30)/30))+IF(6-(INT((Ipotesi!$C$91)/30))-1&lt;1,0,INDEX(Motore_Operativo!$BQ$125:$BQ$184,MAX(1,6-(INT((Ipotesi!$C$91)/30))-1)))*(MOD((Ipotesi!$C$91),30)/30))+(IF(6-(INT((Ipotesi!$C$91)/30))&lt;1,0,INDEX(Motore_Operativo!$BR$125:$BR$184,MAX(1,6-(INT((Ipotesi!$C$91)/30)))))*(1-(MOD((Ipotesi!$C$91),30)/30))+IF(6-(INT((Ipotesi!$C$91)/30))-1&lt;1,0,INDEX(Motore_Operativo!$BR$125:$BR$184,MAX(1,6-(INT((Ipotesi!$C$91)/30))-1)))*(MOD((Ipotesi!$C$91),30)/30))))*Piano_SS!$D$9,0))</f>
        <v>0</v>
      </c>
      <c r="BZ130" s="15" t="n">
        <f aca="false">MIN(Piano_SS!$C$10,(BZ129)+IF(AND(Motore_Operativo!C130&gt;=EDATE(Parametri_v3!$C$24,Ipotesi!E14*12),Motore_Operativo!C130&lt;EDATE(Parametri_v3!$C$24,Parametri_v3!$C$25+Ipotesi!E14*12)),MAX(0,(IF(6-(INT((Ipotesi!$C$91)/30))&lt;1,0,INDEX(Motore_Operativo!$BO$125:$BO$184,MAX(1,6-(INT((Ipotesi!$C$91)/30)))))*(1-(MOD((Ipotesi!$C$91),30)/30))+IF(6-(INT((Ipotesi!$C$91)/30))-1&lt;1,0,INDEX(Motore_Operativo!$BO$125:$BO$184,MAX(1,6-(INT((Ipotesi!$C$91)/30))-1)))*(MOD((Ipotesi!$C$91),30)/30)))*Piano_SS!$D$10,0))</f>
        <v>0</v>
      </c>
      <c r="CA130" s="15" t="n">
        <f aca="false">SUM(BV130:BZ130)</f>
        <v>0</v>
      </c>
      <c r="CB130" s="15" t="n">
        <f aca="false">BV130*(1-Piano_SS!$E$6)+BW130*(1-Piano_SS!$E$7)+BX130*(1-Piano_SS!$E$8)+BY130*(1-Piano_SS!$E$9)+BZ130*(1-Piano_SS!$E$10)</f>
        <v>0</v>
      </c>
      <c r="CC130" s="15" t="n">
        <f aca="false">(CC129)+BA130</f>
        <v>0</v>
      </c>
      <c r="CD130" s="15" t="n">
        <f aca="false">IF(CA130=0,0,CC130*CB130/CA130*Ipotesi!$C$103*Parametri_v3!$C$64)</f>
        <v>0</v>
      </c>
      <c r="CE130" s="18" t="n">
        <f aca="false">IF(BA130&gt;0,Motore_Operativo!C130,(CE129))</f>
        <v>0</v>
      </c>
      <c r="CF130" s="18" t="n">
        <f aca="false">IF(AND(CC130&gt;0,OR(CC130&gt;=CG130-0.01,Motore_Operativo!C130&gt;=EDATE(MAX(Finanziamenti!$D$15:$D$17),Ipotesi!E14*12))),CE130,0)</f>
        <v>0</v>
      </c>
      <c r="CG130" s="15" t="n">
        <f aca="false">IF(AND(3&lt;&gt;6,3&lt;&gt;9,Finanziamenti!$F$11=1,OR(Parametri_v3!$C$6=0,Finanziamenti!$E$11=1)),MIN(Finanziamenti!$C$11,Piano_SS!$C$12*Ipotesi!$C$102),0)</f>
        <v>400000</v>
      </c>
      <c r="CH130" s="15" t="n">
        <f aca="false">IF(AND(AND(3&lt;&gt;8,3&lt;&gt;9,Finanziamenti!$F$10=1,OR(Parametri_v3!$C$6=0,Finanziamenti!$E$10=1)),Motore_Operativo!C130&gt;=Finanziamenti!$D$10,Motore_Operativo!C130&lt;Parametri_v3!$C$63),Finanziamenti!$C$10,0)</f>
        <v>150000</v>
      </c>
    </row>
    <row r="131" customFormat="false" ht="18" hidden="false" customHeight="true" outlineLevel="0" collapsed="false">
      <c r="A131" s="68" t="n">
        <f aca="false">3</f>
        <v>3</v>
      </c>
      <c r="B131" s="68" t="n">
        <f aca="false">7</f>
        <v>7</v>
      </c>
      <c r="C131" s="18" t="n">
        <f aca="false">Motore_Operativo!C131</f>
        <v>46569</v>
      </c>
      <c r="D131" s="68" t="n">
        <f aca="false">Motore_Operativo!D131</f>
        <v>2027</v>
      </c>
      <c r="E131" s="68" t="n">
        <f aca="false">Motore_Operativo!E131</f>
        <v>7</v>
      </c>
      <c r="F131" s="15" t="n">
        <f aca="false">Motore_Operativo!AQ131+Motore_Operativo!BF131</f>
        <v>9693.7037037037</v>
      </c>
      <c r="G131" s="15" t="n">
        <f aca="false">Motore_Operativo!BH131</f>
        <v>1621.05263157895</v>
      </c>
      <c r="H131" s="15" t="n">
        <f aca="false">Motore_Operativo!BI131</f>
        <v>11314.7563352827</v>
      </c>
      <c r="I131" s="15" t="n">
        <f aca="false">Motore_Operativo!CA131</f>
        <v>27906.1334307992</v>
      </c>
      <c r="J131" s="15" t="n">
        <f aca="false">Motore_Operativo!CC131</f>
        <v>-16591.3770955166</v>
      </c>
      <c r="K131" s="15" t="n">
        <f aca="false">Motore_Operativo!CE131</f>
        <v>1666.66666666667</v>
      </c>
      <c r="L131" s="15" t="n">
        <f aca="false">SUM(INDEX($K$125:$K$184,MAX(1,7-Parametri_v3!$C$59+1)):K131)/Parametri_v3!$C$59</f>
        <v>324.074074074074</v>
      </c>
      <c r="M131" s="15" t="n">
        <f aca="false">J131-L131</f>
        <v>-16915.4511695906</v>
      </c>
      <c r="N131" s="15" t="n">
        <f aca="false">CD131-(CD130)</f>
        <v>0</v>
      </c>
      <c r="O131" s="15" t="n">
        <f aca="false">(BG130)*Ipotesi!$C$110/12+CH131*Parametri_v3!$C$39/12</f>
        <v>68.2033236242691</v>
      </c>
      <c r="P131" s="15" t="n">
        <f aca="false">M131+N131-O131</f>
        <v>-16983.6544932149</v>
      </c>
      <c r="Q131" s="15" t="n">
        <f aca="false">SUM(P125:P131)+Parametri_v3!$C$54*7/12</f>
        <v>-119343.583732981</v>
      </c>
      <c r="R131" s="15" t="n">
        <f aca="false">0</f>
        <v>0</v>
      </c>
      <c r="S131" s="15" t="n">
        <f aca="false">0</f>
        <v>0</v>
      </c>
      <c r="T131" s="15" t="n">
        <f aca="false">MIN(R131,MAX(0,Q131))</f>
        <v>0</v>
      </c>
      <c r="U131" s="15" t="n">
        <f aca="false">MIN(S131,MAX(0,Q131-T131)*Parametri_v3!$C$42)</f>
        <v>0</v>
      </c>
      <c r="V131" s="15" t="n">
        <f aca="false">MAX(0,Q131-T131-U131)*Ipotesi!$C$92</f>
        <v>0</v>
      </c>
      <c r="W131" s="15" t="n">
        <f aca="false">MAX(0,SUM(M125:M131)+Parametri_v3!$C$55*7/12)*Ipotesi!$C$93</f>
        <v>0</v>
      </c>
      <c r="X131" s="15" t="n">
        <f aca="false">V131+W131-(V130+W130)</f>
        <v>0</v>
      </c>
      <c r="Y131" s="15" t="n">
        <f aca="false">P131-X131</f>
        <v>-16983.6544932149</v>
      </c>
      <c r="Z131" s="15" t="n">
        <f aca="false">R131-T131+IF(AND(Parametri_v3!$C$40=1,D131-YEAR(Parametri_v3!$C$50)&lt;Parametri_v3!$C$41),MAX(0,-Q131),0)</f>
        <v>119343.583732981</v>
      </c>
      <c r="AA131" s="15" t="n">
        <f aca="false">S131-U131+IF(AND(Parametri_v3!$C$40=1,D131-YEAR(Parametri_v3!$C$50)&lt;Parametri_v3!$C$41),0,MAX(0,-Q131))</f>
        <v>0</v>
      </c>
      <c r="AB131" s="15" t="n">
        <f aca="false">F131*(1+Parametri_v3!$C$26)</f>
        <v>11826.3185185185</v>
      </c>
      <c r="AC131" s="15" t="n">
        <f aca="false">(IF(7-(INT((Motore_Operativo!L131)/30))&lt;1,0,INDEX(Motore_Startup!$AB$125:$AB$184,MAX(1,7-(INT((Motore_Operativo!L131)/30)))))*(1-(MOD((Motore_Operativo!L131),30)/30))+IF(7-(INT((Motore_Operativo!L131)/30))-1&lt;1,0,INDEX(Motore_Startup!$AB$125:$AB$184,MAX(1,7-(INT((Motore_Operativo!L131)/30))-1)))*(MOD((Motore_Operativo!L131),30)/30))</f>
        <v>11351.8740740741</v>
      </c>
      <c r="AD131" s="15" t="n">
        <f aca="false">(AD130)+AB131-AC131</f>
        <v>35004.5111111111</v>
      </c>
      <c r="AE131" s="15" t="n">
        <f aca="false">Motore_Operativo!BH131*(1+Parametri_v3!$C$26)</f>
        <v>1977.68421052632</v>
      </c>
      <c r="AF131" s="15" t="n">
        <f aca="false">(IF(7-(INT((Parametri_v3!$C$29)/30))&lt;1,0,INDEX(Motore_Operativo!$BH$125:$BH$184,MAX(1,7-(INT((Parametri_v3!$C$29)/30)))))*(1-(MOD((Parametri_v3!$C$29),30)/30))+IF(7-(INT((Parametri_v3!$C$29)/30))-1&lt;1,0,INDEX(Motore_Operativo!$BH$125:$BH$184,MAX(1,7-(INT((Parametri_v3!$C$29)/30))-1)))*(MOD((Parametri_v3!$C$29),30)/30))*(1+Parametri_v3!$C$26)</f>
        <v>1977.68421052632</v>
      </c>
      <c r="AG131" s="15" t="n">
        <f aca="false">(AG130)+AE131-AF131</f>
        <v>1977.68421052632</v>
      </c>
      <c r="AH131" s="15" t="n">
        <f aca="false">(Motore_Operativo!CJ131)*(1+Parametri_v3!$C$27*Parametri_v3!$C$26)</f>
        <v>11857.4970490253</v>
      </c>
      <c r="AI131" s="15" t="n">
        <f aca="false">(IF(7-(INT((Ipotesi!$C$91)/30))&lt;1,0,INDEX(Motore_Startup!$AH$125:$AH$184,MAX(1,7-(INT((Ipotesi!$C$91)/30)))))*(1-(MOD((Ipotesi!$C$91),30)/30))+IF(7-(INT((Ipotesi!$C$91)/30))-1&lt;1,0,INDEX(Motore_Startup!$AH$125:$AH$184,MAX(1,7-(INT((Ipotesi!$C$91)/30))-1)))*(MOD((Ipotesi!$C$91),30)/30))</f>
        <v>11814.4133453216</v>
      </c>
      <c r="AJ131" s="15" t="n">
        <f aca="false">(AJ130)+AH131-AI131</f>
        <v>23693.4522461988</v>
      </c>
      <c r="AK131" s="15" t="n">
        <f aca="false">(F131+ Motore_Operativo!BH131-(Motore_Operativo!CJ131)*Parametri_v3!$C$27-Motore_Operativo!CE131)*Parametri_v3!$C$26</f>
        <v>254.54944220273</v>
      </c>
      <c r="AL131" s="15" t="n">
        <f aca="false">MAX(0,(AM130))</f>
        <v>229.424627387914</v>
      </c>
      <c r="AM131" s="15" t="n">
        <f aca="false">(AM130)+AK131-AL131</f>
        <v>254.54944220273</v>
      </c>
      <c r="AN131" s="15" t="n">
        <f aca="false">0</f>
        <v>0</v>
      </c>
      <c r="AO131" s="15" t="n">
        <f aca="false">0</f>
        <v>0</v>
      </c>
      <c r="AP131" s="15" t="n">
        <f aca="false">MAX(0,AN131)*IF(7=Parametri_v3!$C$43,Parametri_v3!$C$45,IF(7=Parametri_v3!$C$44,1-Parametri_v3!$C$45,0))</f>
        <v>0</v>
      </c>
      <c r="AQ131" s="15" t="n">
        <f aca="false">MAX(0,AP131+IF(7=Parametri_v3!$C$43,MAX(0,AN131-AO131),0)-MAX(0,-(AR130)))</f>
        <v>0</v>
      </c>
      <c r="AR131" s="15" t="n">
        <f aca="false">(AR130)+X131-AQ131</f>
        <v>0</v>
      </c>
      <c r="AS131" s="15" t="n">
        <f aca="false">Motore_Operativo!AB131-AT131+AU131</f>
        <v>17020.8333333333</v>
      </c>
      <c r="AT131" s="15" t="n">
        <f aca="false">Motore_Operativo!CH131</f>
        <v>895.833333333334</v>
      </c>
      <c r="AU131" s="15" t="n">
        <f aca="false">MIN(MAX(0,(AV130)+AT131),Parametri_v3!$C$60/12)</f>
        <v>0</v>
      </c>
      <c r="AV131" s="15" t="n">
        <f aca="false">(AV130)+AT131-AU131</f>
        <v>6270.83333333334</v>
      </c>
      <c r="AW131" s="15" t="n">
        <f aca="false">IF(AND(Motore_Operativo!C131=Finanziamenti!$D$6,Finanziamenti!$F$6=1),Finanziamenti!$C$6,0)</f>
        <v>0</v>
      </c>
      <c r="AX131" s="15" t="n">
        <f aca="false">IF(AND(3&lt;&gt;7,3&lt;&gt;9,Finanziamenti!$F$8=1,OR(Parametri_v3!$C$6=0,Finanziamenti!$E$8=1),Motore_Operativo!C131=EDATE(Finanziamenti!$D$8,Ipotesi!E15*12)),Finanziamenti!$C$8*1,0)+IF(AND(3&lt;&gt;7,3&lt;&gt;9,Finanziamenti!$F$9=1,OR(Parametri_v3!$C$6=0,Finanziamenti!$E$9=1),Motore_Operativo!C131=EDATE(Finanziamenti!$D$9,Ipotesi!E15*12)),Finanziamenti!$C$9*Ipotesi!E16,0)</f>
        <v>0</v>
      </c>
      <c r="AY131" s="15" t="n">
        <f aca="false">0</f>
        <v>0</v>
      </c>
      <c r="AZ131" s="15" t="n">
        <f aca="false">Motore_Advisory!AY131*(1-Ipotesi!$C$95)*Ipotesi!$C$96</f>
        <v>0</v>
      </c>
      <c r="BA131" s="15" t="n">
        <f aca="false">MAX(0,MIN(CG131*MIN(1,IF(Motore_Operativo!C131&gt;=EDATE(Finanziamenti!$D$15,Ipotesi!E14*12),Finanziamenti!$C$15,0)+IF(Motore_Operativo!C131&gt;=EDATE(Finanziamenti!$D$16,Ipotesi!E14*12),Finanziamenti!$C$16,0)+IF(Motore_Operativo!C131&gt;=EDATE(Finanziamenti!$D$17,Ipotesi!E14*12),Finanziamenti!$C$17,0)),CA131*Ipotesi!$C$102)-(CC130))</f>
        <v>0</v>
      </c>
      <c r="BB131" s="15" t="n">
        <f aca="false">IF(AND(CF131&gt;0,Motore_Operativo!C131&gt;=IF(CF131=0,0,EDATE(CF131,Parametri_v3!$C$37)),MOD(((D131-YEAR(IF(CF131=0,0,EDATE(CF131,Parametri_v3!$C$37))))*12+E131-MONTH(IF(CF131=0,0,EDATE(CF131,Parametri_v3!$C$37)))),Parametri_v3!$C$38)=0),MIN(MAX(0,(BC130)+BA131-N131),(CC131-CD131)/(Ipotesi!$C$108*12/Parametri_v3!$C$38)),0)</f>
        <v>0</v>
      </c>
      <c r="BC131" s="15" t="n">
        <f aca="false">(BC130)+BA131-N131-BB131</f>
        <v>0</v>
      </c>
      <c r="BD131" s="15" t="n">
        <f aca="false">(BH130)+AC131+AF131-AI131-AS131-K131*(1+Parametri_v3!$C$26)-AL131-AQ131-O131+AW131+AX131+AZ131+BA131-BB131</f>
        <v>7163.3503215999</v>
      </c>
      <c r="BE131" s="15" t="n">
        <f aca="false">MAX(0,MIN(MAX(0,CH131-(BG130)),Parametri_v3!$C$30-BD131))</f>
        <v>17836.6496784001</v>
      </c>
      <c r="BF131" s="15" t="n">
        <f aca="false">IF(Motore_Operativo!C131&gt;=Parametri_v3!$C$63,(BG130),MIN((BG130),MAX(0,BD131-Parametri_v3!$C$30)))</f>
        <v>0</v>
      </c>
      <c r="BG131" s="15" t="n">
        <f aca="false">(BG130)+BE131-BF131</f>
        <v>31477.3144032539</v>
      </c>
      <c r="BH131" s="15" t="n">
        <f aca="false">BD131+BE131-BF131-AY131</f>
        <v>25000</v>
      </c>
      <c r="BI131" s="15" t="n">
        <f aca="false">MAX(0,Parametri_v3!$C$30-BH131)</f>
        <v>0</v>
      </c>
      <c r="BJ131" s="15" t="n">
        <f aca="false">(BJ130)+K131</f>
        <v>11666.6666666667</v>
      </c>
      <c r="BK131" s="15" t="n">
        <f aca="false">(BK130)+L131</f>
        <v>1296.2962962963</v>
      </c>
      <c r="BL131" s="15" t="n">
        <f aca="false">BJ131-BK131</f>
        <v>10370.3703703704</v>
      </c>
      <c r="BM131" s="15" t="n">
        <f aca="false">(BM130)+Y131</f>
        <v>-119343.583732981</v>
      </c>
      <c r="BN131" s="15" t="n">
        <f aca="false">(BN130)+AW131+AX131+AZ131</f>
        <v>130000</v>
      </c>
      <c r="BO131" s="15" t="n">
        <f aca="false">(BO130)+AY131</f>
        <v>0</v>
      </c>
      <c r="BP131" s="15" t="n">
        <f aca="false">0</f>
        <v>0</v>
      </c>
      <c r="BQ131" s="15" t="n">
        <f aca="false">BN131+BM131-BO131</f>
        <v>10656.416267019</v>
      </c>
      <c r="BR131" s="15" t="n">
        <f aca="false">BH131+AD131+BL131+MAX(0,-AM131)+MAX(0,-AR131)+AG131</f>
        <v>72352.5656920078</v>
      </c>
      <c r="BS131" s="15" t="n">
        <f aca="false">AJ131+AV131+MAX(0,AM131)+MAX(0,AR131)+BC131+BG131+BQ131</f>
        <v>72352.5656920078</v>
      </c>
      <c r="BT131" s="15" t="n">
        <f aca="false">BR131-BS131</f>
        <v>0</v>
      </c>
      <c r="BU131" s="15" t="n">
        <f aca="false">BH131-(BD131+BE131-BF131-AY131)</f>
        <v>0</v>
      </c>
      <c r="BV131" s="15" t="n">
        <f aca="false">MIN(Piano_SS!$C$6,(BV130)+IF(AND(Motore_Operativo!C131&gt;=EDATE(Parametri_v3!$C$24,Ipotesi!E14*12),Motore_Operativo!C131&lt;EDATE(Parametri_v3!$C$24,Parametri_v3!$C$25+Ipotesi!E14*12)),MAX(0,(Motore_Operativo!Y131+Motore_Operativo!X131*Parametri_v3!$C$14)*(1-Parametri_v3!$C$32))*Piano_SS!$D$6,0))</f>
        <v>4750</v>
      </c>
      <c r="BW131" s="15" t="n">
        <f aca="false">MIN(Piano_SS!$C$7,(BW130)+IF(AND(Motore_Operativo!C131&gt;=EDATE(Parametri_v3!$C$24,Ipotesi!E14*12),Motore_Operativo!C131&lt;EDATE(Parametri_v3!$C$24,Parametri_v3!$C$25+Ipotesi!E14*12)),MAX(0,(IF(7-(INT((Ipotesi!$C$91)/30))&lt;1,0,INDEX(Motore_Operativo!$BN$125:$BN$184,MAX(1,7-(INT((Ipotesi!$C$91)/30)))))*(1-(MOD((Ipotesi!$C$91),30)/30))+IF(7-(INT((Ipotesi!$C$91)/30))-1&lt;1,0,INDEX(Motore_Operativo!$BN$125:$BN$184,MAX(1,7-(INT((Ipotesi!$C$91)/30))-1)))*(MOD((Ipotesi!$C$91),30)/30)))*Piano_SS!$D$7,0))</f>
        <v>1265.55555555556</v>
      </c>
      <c r="BX131" s="15" t="n">
        <f aca="false">MIN(Piano_SS!$C$8,(BX130)+IF(AND(Motore_Operativo!C131&gt;=EDATE(Parametri_v3!$C$24,Ipotesi!E14*12),Motore_Operativo!C131&lt;EDATE(Parametri_v3!$C$24,Parametri_v3!$C$25+Ipotesi!E14*12)),MAX(0,Motore_Operativo!CE131)*Piano_SS!$D$8,0))</f>
        <v>1666.66666666667</v>
      </c>
      <c r="BY131" s="15" t="n">
        <f aca="false">MIN(Piano_SS!$C$9,(BY130)+IF(AND(Motore_Operativo!C131&gt;=EDATE(Parametri_v3!$C$24,Ipotesi!E14*12),Motore_Operativo!C131&lt;EDATE(Parametri_v3!$C$24,Parametri_v3!$C$25+Ipotesi!E14*12)),MAX(0,((IF(7-(INT((Ipotesi!$C$91)/30))&lt;1,0,INDEX(Motore_Operativo!$BQ$125:$BQ$184,MAX(1,7-(INT((Ipotesi!$C$91)/30)))))*(1-(MOD((Ipotesi!$C$91),30)/30))+IF(7-(INT((Ipotesi!$C$91)/30))-1&lt;1,0,INDEX(Motore_Operativo!$BQ$125:$BQ$184,MAX(1,7-(INT((Ipotesi!$C$91)/30))-1)))*(MOD((Ipotesi!$C$91),30)/30))+(IF(7-(INT((Ipotesi!$C$91)/30))&lt;1,0,INDEX(Motore_Operativo!$BR$125:$BR$184,MAX(1,7-(INT((Ipotesi!$C$91)/30)))))*(1-(MOD((Ipotesi!$C$91),30)/30))+IF(7-(INT((Ipotesi!$C$91)/30))-1&lt;1,0,INDEX(Motore_Operativo!$BR$125:$BR$184,MAX(1,7-(INT((Ipotesi!$C$91)/30))-1)))*(MOD((Ipotesi!$C$91),30)/30))))*Piano_SS!$D$9,0))</f>
        <v>2250</v>
      </c>
      <c r="BZ131" s="15" t="n">
        <f aca="false">MIN(Piano_SS!$C$10,(BZ130)+IF(AND(Motore_Operativo!C131&gt;=EDATE(Parametri_v3!$C$24,Ipotesi!E14*12),Motore_Operativo!C131&lt;EDATE(Parametri_v3!$C$24,Parametri_v3!$C$25+Ipotesi!E14*12)),MAX(0,(IF(7-(INT((Ipotesi!$C$91)/30))&lt;1,0,INDEX(Motore_Operativo!$BO$125:$BO$184,MAX(1,7-(INT((Ipotesi!$C$91)/30)))))*(1-(MOD((Ipotesi!$C$91),30)/30))+IF(7-(INT((Ipotesi!$C$91)/30))-1&lt;1,0,INDEX(Motore_Operativo!$BO$125:$BO$184,MAX(1,7-(INT((Ipotesi!$C$91)/30))-1)))*(MOD((Ipotesi!$C$91),30)/30)))*Piano_SS!$D$10,0))</f>
        <v>1000</v>
      </c>
      <c r="CA131" s="15" t="n">
        <f aca="false">SUM(BV131:BZ131)</f>
        <v>10932.2222222222</v>
      </c>
      <c r="CB131" s="15" t="n">
        <f aca="false">BV131*(1-Piano_SS!$E$6)+BW131*(1-Piano_SS!$E$7)+BX131*(1-Piano_SS!$E$8)+BY131*(1-Piano_SS!$E$9)+BZ131*(1-Piano_SS!$E$10)</f>
        <v>9932.22222222222</v>
      </c>
      <c r="CC131" s="15" t="n">
        <f aca="false">(CC130)+BA131</f>
        <v>0</v>
      </c>
      <c r="CD131" s="15" t="n">
        <f aca="false">IF(CA131=0,0,CC131*CB131/CA131*Ipotesi!$C$103*Parametri_v3!$C$64)</f>
        <v>0</v>
      </c>
      <c r="CE131" s="18" t="n">
        <f aca="false">IF(BA131&gt;0,Motore_Operativo!C131,(CE130))</f>
        <v>0</v>
      </c>
      <c r="CF131" s="18" t="n">
        <f aca="false">IF(AND(CC131&gt;0,OR(CC131&gt;=CG131-0.01,Motore_Operativo!C131&gt;=EDATE(MAX(Finanziamenti!$D$15:$D$17),Ipotesi!E14*12))),CE131,0)</f>
        <v>0</v>
      </c>
      <c r="CG131" s="15" t="n">
        <f aca="false">IF(AND(3&lt;&gt;6,3&lt;&gt;9,Finanziamenti!$F$11=1,OR(Parametri_v3!$C$6=0,Finanziamenti!$E$11=1)),MIN(Finanziamenti!$C$11,Piano_SS!$C$12*Ipotesi!$C$102),0)</f>
        <v>400000</v>
      </c>
      <c r="CH131" s="15" t="n">
        <f aca="false">IF(AND(AND(3&lt;&gt;8,3&lt;&gt;9,Finanziamenti!$F$10=1,OR(Parametri_v3!$C$6=0,Finanziamenti!$E$10=1)),Motore_Operativo!C131&gt;=Finanziamenti!$D$10,Motore_Operativo!C131&lt;Parametri_v3!$C$63),Finanziamenti!$C$10,0)</f>
        <v>150000</v>
      </c>
    </row>
    <row r="132" customFormat="false" ht="18" hidden="false" customHeight="true" outlineLevel="0" collapsed="false">
      <c r="A132" s="68" t="n">
        <f aca="false">3</f>
        <v>3</v>
      </c>
      <c r="B132" s="68" t="n">
        <f aca="false">8</f>
        <v>8</v>
      </c>
      <c r="C132" s="18" t="n">
        <f aca="false">Motore_Operativo!C132</f>
        <v>46600</v>
      </c>
      <c r="D132" s="68" t="n">
        <f aca="false">Motore_Operativo!D132</f>
        <v>2027</v>
      </c>
      <c r="E132" s="68" t="n">
        <f aca="false">Motore_Operativo!E132</f>
        <v>8</v>
      </c>
      <c r="F132" s="15" t="n">
        <f aca="false">Motore_Operativo!AQ132+Motore_Operativo!BF132</f>
        <v>9823.33333333333</v>
      </c>
      <c r="G132" s="15" t="n">
        <f aca="false">Motore_Operativo!BH132</f>
        <v>1621.05263157895</v>
      </c>
      <c r="H132" s="15" t="n">
        <f aca="false">Motore_Operativo!BI132</f>
        <v>11444.3859649123</v>
      </c>
      <c r="I132" s="15" t="n">
        <f aca="false">Motore_Operativo!CA132</f>
        <v>27924.2815789474</v>
      </c>
      <c r="J132" s="15" t="n">
        <f aca="false">Motore_Operativo!CC132</f>
        <v>-16479.8956140351</v>
      </c>
      <c r="K132" s="15" t="n">
        <f aca="false">Motore_Operativo!CE132</f>
        <v>1666.66666666667</v>
      </c>
      <c r="L132" s="15" t="n">
        <f aca="false">SUM(INDEX($K$125:$K$184,MAX(1,8-Parametri_v3!$C$59+1)):K132)/Parametri_v3!$C$59</f>
        <v>370.37037037037</v>
      </c>
      <c r="M132" s="15" t="n">
        <f aca="false">J132-L132</f>
        <v>-16850.2659844055</v>
      </c>
      <c r="N132" s="15" t="n">
        <f aca="false">CD132-(CD131)</f>
        <v>0</v>
      </c>
      <c r="O132" s="15" t="n">
        <f aca="false">(BG131)*Ipotesi!$C$110/12+CH132*Parametri_v3!$C$39/12</f>
        <v>157.38657201627</v>
      </c>
      <c r="P132" s="15" t="n">
        <f aca="false">M132+N132-O132</f>
        <v>-17007.6525564217</v>
      </c>
      <c r="Q132" s="15" t="n">
        <f aca="false">SUM(P125:P132)+Parametri_v3!$C$54*8/12</f>
        <v>-136351.236289403</v>
      </c>
      <c r="R132" s="15" t="n">
        <f aca="false">0</f>
        <v>0</v>
      </c>
      <c r="S132" s="15" t="n">
        <f aca="false">0</f>
        <v>0</v>
      </c>
      <c r="T132" s="15" t="n">
        <f aca="false">MIN(R132,MAX(0,Q132))</f>
        <v>0</v>
      </c>
      <c r="U132" s="15" t="n">
        <f aca="false">MIN(S132,MAX(0,Q132-T132)*Parametri_v3!$C$42)</f>
        <v>0</v>
      </c>
      <c r="V132" s="15" t="n">
        <f aca="false">MAX(0,Q132-T132-U132)*Ipotesi!$C$92</f>
        <v>0</v>
      </c>
      <c r="W132" s="15" t="n">
        <f aca="false">MAX(0,SUM(M125:M132)+Parametri_v3!$C$55*8/12)*Ipotesi!$C$93</f>
        <v>0</v>
      </c>
      <c r="X132" s="15" t="n">
        <f aca="false">V132+W132-(V131+W131)</f>
        <v>0</v>
      </c>
      <c r="Y132" s="15" t="n">
        <f aca="false">P132-X132</f>
        <v>-17007.6525564217</v>
      </c>
      <c r="Z132" s="15" t="n">
        <f aca="false">R132-T132+IF(AND(Parametri_v3!$C$40=1,D132-YEAR(Parametri_v3!$C$50)&lt;Parametri_v3!$C$41),MAX(0,-Q132),0)</f>
        <v>136351.236289403</v>
      </c>
      <c r="AA132" s="15" t="n">
        <f aca="false">S132-U132+IF(AND(Parametri_v3!$C$40=1,D132-YEAR(Parametri_v3!$C$50)&lt;Parametri_v3!$C$41),0,MAX(0,-Q132))</f>
        <v>0</v>
      </c>
      <c r="AB132" s="15" t="n">
        <f aca="false">F132*(1+Parametri_v3!$C$26)</f>
        <v>11984.4666666667</v>
      </c>
      <c r="AC132" s="15" t="n">
        <f aca="false">(IF(8-(INT((Motore_Operativo!L132)/30))&lt;1,0,INDEX(Motore_Startup!$AB$125:$AB$184,MAX(1,8-(INT((Motore_Operativo!L132)/30)))))*(1-(MOD((Motore_Operativo!L132),30)/30))+IF(8-(INT((Motore_Operativo!L132)/30))-1&lt;1,0,INDEX(Motore_Startup!$AB$125:$AB$184,MAX(1,8-(INT((Motore_Operativo!L132)/30))-1)))*(MOD((Motore_Operativo!L132),30)/30))</f>
        <v>11510.0222222222</v>
      </c>
      <c r="AD132" s="15" t="n">
        <f aca="false">(AD131)+AB132-AC132</f>
        <v>35478.9555555555</v>
      </c>
      <c r="AE132" s="15" t="n">
        <f aca="false">Motore_Operativo!BH132*(1+Parametri_v3!$C$26)</f>
        <v>1977.68421052632</v>
      </c>
      <c r="AF132" s="15" t="n">
        <f aca="false">(IF(8-(INT((Parametri_v3!$C$29)/30))&lt;1,0,INDEX(Motore_Operativo!$BH$125:$BH$184,MAX(1,8-(INT((Parametri_v3!$C$29)/30)))))*(1-(MOD((Parametri_v3!$C$29),30)/30))+IF(8-(INT((Parametri_v3!$C$29)/30))-1&lt;1,0,INDEX(Motore_Operativo!$BH$125:$BH$184,MAX(1,8-(INT((Parametri_v3!$C$29)/30))-1)))*(MOD((Parametri_v3!$C$29),30)/30))*(1+Parametri_v3!$C$26)</f>
        <v>1977.68421052632</v>
      </c>
      <c r="AG132" s="15" t="n">
        <f aca="false">(AG131)+AE132-AF132</f>
        <v>1977.68421052632</v>
      </c>
      <c r="AH132" s="15" t="n">
        <f aca="false">(Motore_Operativo!CJ132)*(1+Parametri_v3!$C$27*Parametri_v3!$C$26)</f>
        <v>11879.0389008772</v>
      </c>
      <c r="AI132" s="15" t="n">
        <f aca="false">(IF(8-(INT((Ipotesi!$C$91)/30))&lt;1,0,INDEX(Motore_Startup!$AH$125:$AH$184,MAX(1,8-(INT((Ipotesi!$C$91)/30)))))*(1-(MOD((Ipotesi!$C$91),30)/30))+IF(8-(INT((Ipotesi!$C$91)/30))-1&lt;1,0,INDEX(Motore_Startup!$AH$125:$AH$184,MAX(1,8-(INT((Ipotesi!$C$91)/30))-1)))*(MOD((Ipotesi!$C$91),30)/30))</f>
        <v>11835.9551971735</v>
      </c>
      <c r="AJ132" s="15" t="n">
        <f aca="false">(AJ131)+AH132-AI132</f>
        <v>23736.5359499025</v>
      </c>
      <c r="AK132" s="15" t="n">
        <f aca="false">(F132+ Motore_Operativo!BH132-(Motore_Operativo!CJ132)*Parametri_v3!$C$27-Motore_Operativo!CE132)*Parametri_v3!$C$26</f>
        <v>279.674257017544</v>
      </c>
      <c r="AL132" s="15" t="n">
        <f aca="false">MAX(0,(AM131))</f>
        <v>254.54944220273</v>
      </c>
      <c r="AM132" s="15" t="n">
        <f aca="false">(AM131)+AK132-AL132</f>
        <v>279.674257017544</v>
      </c>
      <c r="AN132" s="15" t="n">
        <f aca="false">0</f>
        <v>0</v>
      </c>
      <c r="AO132" s="15" t="n">
        <f aca="false">0</f>
        <v>0</v>
      </c>
      <c r="AP132" s="15" t="n">
        <f aca="false">MAX(0,AN132)*IF(8=Parametri_v3!$C$43,Parametri_v3!$C$45,IF(8=Parametri_v3!$C$44,1-Parametri_v3!$C$45,0))</f>
        <v>0</v>
      </c>
      <c r="AQ132" s="15" t="n">
        <f aca="false">MAX(0,AP132+IF(8=Parametri_v3!$C$43,MAX(0,AN132-AO132),0)-MAX(0,-(AR131)))</f>
        <v>0</v>
      </c>
      <c r="AR132" s="15" t="n">
        <f aca="false">(AR131)+X132-AQ132</f>
        <v>0</v>
      </c>
      <c r="AS132" s="15" t="n">
        <f aca="false">Motore_Operativo!AB132-AT132+AU132</f>
        <v>17020.8333333333</v>
      </c>
      <c r="AT132" s="15" t="n">
        <f aca="false">Motore_Operativo!CH132</f>
        <v>895.833333333334</v>
      </c>
      <c r="AU132" s="15" t="n">
        <f aca="false">MIN(MAX(0,(AV131)+AT132),Parametri_v3!$C$60/12)</f>
        <v>0</v>
      </c>
      <c r="AV132" s="15" t="n">
        <f aca="false">(AV131)+AT132-AU132</f>
        <v>7166.66666666667</v>
      </c>
      <c r="AW132" s="15" t="n">
        <f aca="false">IF(AND(Motore_Operativo!C132=Finanziamenti!$D$6,Finanziamenti!$F$6=1),Finanziamenti!$C$6,0)</f>
        <v>0</v>
      </c>
      <c r="AX132" s="15" t="n">
        <f aca="false">IF(AND(3&lt;&gt;7,3&lt;&gt;9,Finanziamenti!$F$8=1,OR(Parametri_v3!$C$6=0,Finanziamenti!$E$8=1),Motore_Operativo!C132=EDATE(Finanziamenti!$D$8,Ipotesi!E15*12)),Finanziamenti!$C$8*1,0)+IF(AND(3&lt;&gt;7,3&lt;&gt;9,Finanziamenti!$F$9=1,OR(Parametri_v3!$C$6=0,Finanziamenti!$E$9=1),Motore_Operativo!C132=EDATE(Finanziamenti!$D$9,Ipotesi!E15*12)),Finanziamenti!$C$9*Ipotesi!E16,0)</f>
        <v>0</v>
      </c>
      <c r="AY132" s="15" t="n">
        <f aca="false">0</f>
        <v>0</v>
      </c>
      <c r="AZ132" s="15" t="n">
        <f aca="false">Motore_Advisory!AY132*(1-Ipotesi!$C$95)*Ipotesi!$C$96</f>
        <v>0</v>
      </c>
      <c r="BA132" s="15" t="n">
        <f aca="false">MAX(0,MIN(CG132*MIN(1,IF(Motore_Operativo!C132&gt;=EDATE(Finanziamenti!$D$15,Ipotesi!E14*12),Finanziamenti!$C$15,0)+IF(Motore_Operativo!C132&gt;=EDATE(Finanziamenti!$D$16,Ipotesi!E14*12),Finanziamenti!$C$16,0)+IF(Motore_Operativo!C132&gt;=EDATE(Finanziamenti!$D$17,Ipotesi!E14*12),Finanziamenti!$C$17,0)),CA132*Ipotesi!$C$102)-(CC131))</f>
        <v>0</v>
      </c>
      <c r="BB132" s="15" t="n">
        <f aca="false">IF(AND(CF132&gt;0,Motore_Operativo!C132&gt;=IF(CF132=0,0,EDATE(CF132,Parametri_v3!$C$37)),MOD(((D132-YEAR(IF(CF132=0,0,EDATE(CF132,Parametri_v3!$C$37))))*12+E132-MONTH(IF(CF132=0,0,EDATE(CF132,Parametri_v3!$C$37)))),Parametri_v3!$C$38)=0),MIN(MAX(0,(BC131)+BA132-N132),(CC132-CD132)/(Ipotesi!$C$108*12/Parametri_v3!$C$38)),0)</f>
        <v>0</v>
      </c>
      <c r="BC132" s="15" t="n">
        <f aca="false">(BC131)+BA132-N132-BB132</f>
        <v>0</v>
      </c>
      <c r="BD132" s="15" t="n">
        <f aca="false">(BH131)+AC132+AF132-AI132-AS132-K132*(1+Parametri_v3!$C$26)-AL132-AQ132-O132+AW132+AX132+AZ132+BA132-BB132</f>
        <v>7185.64855468938</v>
      </c>
      <c r="BE132" s="15" t="n">
        <f aca="false">MAX(0,MIN(MAX(0,CH132-(BG131)),Parametri_v3!$C$30-BD132))</f>
        <v>17814.3514453106</v>
      </c>
      <c r="BF132" s="15" t="n">
        <f aca="false">IF(Motore_Operativo!C132&gt;=Parametri_v3!$C$63,(BG131),MIN((BG131),MAX(0,BD132-Parametri_v3!$C$30)))</f>
        <v>0</v>
      </c>
      <c r="BG132" s="15" t="n">
        <f aca="false">(BG131)+BE132-BF132</f>
        <v>49291.6658485645</v>
      </c>
      <c r="BH132" s="15" t="n">
        <f aca="false">BD132+BE132-BF132-AY132</f>
        <v>25000</v>
      </c>
      <c r="BI132" s="15" t="n">
        <f aca="false">MAX(0,Parametri_v3!$C$30-BH132)</f>
        <v>0</v>
      </c>
      <c r="BJ132" s="15" t="n">
        <f aca="false">(BJ131)+K132</f>
        <v>13333.3333333333</v>
      </c>
      <c r="BK132" s="15" t="n">
        <f aca="false">(BK131)+L132</f>
        <v>1666.66666666667</v>
      </c>
      <c r="BL132" s="15" t="n">
        <f aca="false">BJ132-BK132</f>
        <v>11666.6666666667</v>
      </c>
      <c r="BM132" s="15" t="n">
        <f aca="false">(BM131)+Y132</f>
        <v>-136351.236289403</v>
      </c>
      <c r="BN132" s="15" t="n">
        <f aca="false">(BN131)+AW132+AX132+AZ132</f>
        <v>130000</v>
      </c>
      <c r="BO132" s="15" t="n">
        <f aca="false">(BO131)+AY132</f>
        <v>0</v>
      </c>
      <c r="BP132" s="15" t="n">
        <f aca="false">0</f>
        <v>0</v>
      </c>
      <c r="BQ132" s="15" t="n">
        <f aca="false">BN132+BM132-BO132</f>
        <v>-6351.2362894027</v>
      </c>
      <c r="BR132" s="15" t="n">
        <f aca="false">BH132+AD132+BL132+MAX(0,-AM132)+MAX(0,-AR132)+AG132</f>
        <v>74123.3064327485</v>
      </c>
      <c r="BS132" s="15" t="n">
        <f aca="false">AJ132+AV132+MAX(0,AM132)+MAX(0,AR132)+BC132+BG132+BQ132</f>
        <v>74123.3064327486</v>
      </c>
      <c r="BT132" s="15" t="n">
        <f aca="false">BR132-BS132</f>
        <v>0</v>
      </c>
      <c r="BU132" s="15" t="n">
        <f aca="false">BH132-(BD132+BE132-BF132-AY132)</f>
        <v>0</v>
      </c>
      <c r="BV132" s="15" t="n">
        <f aca="false">MIN(Piano_SS!$C$6,(BV131)+IF(AND(Motore_Operativo!C132&gt;=EDATE(Parametri_v3!$C$24,Ipotesi!E14*12),Motore_Operativo!C132&lt;EDATE(Parametri_v3!$C$24,Parametri_v3!$C$25+Ipotesi!E14*12)),MAX(0,(Motore_Operativo!Y132+Motore_Operativo!X132*Parametri_v3!$C$14)*(1-Parametri_v3!$C$32))*Piano_SS!$D$6,0))</f>
        <v>9500</v>
      </c>
      <c r="BW132" s="15" t="n">
        <f aca="false">MIN(Piano_SS!$C$7,(BW131)+IF(AND(Motore_Operativo!C132&gt;=EDATE(Parametri_v3!$C$24,Ipotesi!E14*12),Motore_Operativo!C132&lt;EDATE(Parametri_v3!$C$24,Parametri_v3!$C$25+Ipotesi!E14*12)),MAX(0,(IF(8-(INT((Ipotesi!$C$91)/30))&lt;1,0,INDEX(Motore_Operativo!$BN$125:$BN$184,MAX(1,8-(INT((Ipotesi!$C$91)/30)))))*(1-(MOD((Ipotesi!$C$91),30)/30))+IF(8-(INT((Ipotesi!$C$91)/30))-1&lt;1,0,INDEX(Motore_Operativo!$BN$125:$BN$184,MAX(1,8-(INT((Ipotesi!$C$91)/30))-1)))*(MOD((Ipotesi!$C$91),30)/30)))*Piano_SS!$D$7,0))</f>
        <v>2541.48148148148</v>
      </c>
      <c r="BX132" s="15" t="n">
        <f aca="false">MIN(Piano_SS!$C$8,(BX131)+IF(AND(Motore_Operativo!C132&gt;=EDATE(Parametri_v3!$C$24,Ipotesi!E14*12),Motore_Operativo!C132&lt;EDATE(Parametri_v3!$C$24,Parametri_v3!$C$25+Ipotesi!E14*12)),MAX(0,Motore_Operativo!CE132)*Piano_SS!$D$8,0))</f>
        <v>3333.33333333333</v>
      </c>
      <c r="BY132" s="15" t="n">
        <f aca="false">MIN(Piano_SS!$C$9,(BY131)+IF(AND(Motore_Operativo!C132&gt;=EDATE(Parametri_v3!$C$24,Ipotesi!E14*12),Motore_Operativo!C132&lt;EDATE(Parametri_v3!$C$24,Parametri_v3!$C$25+Ipotesi!E14*12)),MAX(0,((IF(8-(INT((Ipotesi!$C$91)/30))&lt;1,0,INDEX(Motore_Operativo!$BQ$125:$BQ$184,MAX(1,8-(INT((Ipotesi!$C$91)/30)))))*(1-(MOD((Ipotesi!$C$91),30)/30))+IF(8-(INT((Ipotesi!$C$91)/30))-1&lt;1,0,INDEX(Motore_Operativo!$BQ$125:$BQ$184,MAX(1,8-(INT((Ipotesi!$C$91)/30))-1)))*(MOD((Ipotesi!$C$91),30)/30))+(IF(8-(INT((Ipotesi!$C$91)/30))&lt;1,0,INDEX(Motore_Operativo!$BR$125:$BR$184,MAX(1,8-(INT((Ipotesi!$C$91)/30)))))*(1-(MOD((Ipotesi!$C$91),30)/30))+IF(8-(INT((Ipotesi!$C$91)/30))-1&lt;1,0,INDEX(Motore_Operativo!$BR$125:$BR$184,MAX(1,8-(INT((Ipotesi!$C$91)/30))-1)))*(MOD((Ipotesi!$C$91),30)/30))))*Piano_SS!$D$9,0))</f>
        <v>4500</v>
      </c>
      <c r="BZ132" s="15" t="n">
        <f aca="false">MIN(Piano_SS!$C$10,(BZ131)+IF(AND(Motore_Operativo!C132&gt;=EDATE(Parametri_v3!$C$24,Ipotesi!E14*12),Motore_Operativo!C132&lt;EDATE(Parametri_v3!$C$24,Parametri_v3!$C$25+Ipotesi!E14*12)),MAX(0,(IF(8-(INT((Ipotesi!$C$91)/30))&lt;1,0,INDEX(Motore_Operativo!$BO$125:$BO$184,MAX(1,8-(INT((Ipotesi!$C$91)/30)))))*(1-(MOD((Ipotesi!$C$91),30)/30))+IF(8-(INT((Ipotesi!$C$91)/30))-1&lt;1,0,INDEX(Motore_Operativo!$BO$125:$BO$184,MAX(1,8-(INT((Ipotesi!$C$91)/30))-1)))*(MOD((Ipotesi!$C$91),30)/30)))*Piano_SS!$D$10,0))</f>
        <v>2000</v>
      </c>
      <c r="CA132" s="15" t="n">
        <f aca="false">SUM(BV132:BZ132)</f>
        <v>21874.8148148148</v>
      </c>
      <c r="CB132" s="15" t="n">
        <f aca="false">BV132*(1-Piano_SS!$E$6)+BW132*(1-Piano_SS!$E$7)+BX132*(1-Piano_SS!$E$8)+BY132*(1-Piano_SS!$E$9)+BZ132*(1-Piano_SS!$E$10)</f>
        <v>19874.8148148148</v>
      </c>
      <c r="CC132" s="15" t="n">
        <f aca="false">(CC131)+BA132</f>
        <v>0</v>
      </c>
      <c r="CD132" s="15" t="n">
        <f aca="false">IF(CA132=0,0,CC132*CB132/CA132*Ipotesi!$C$103*Parametri_v3!$C$64)</f>
        <v>0</v>
      </c>
      <c r="CE132" s="18" t="n">
        <f aca="false">IF(BA132&gt;0,Motore_Operativo!C132,(CE131))</f>
        <v>0</v>
      </c>
      <c r="CF132" s="18" t="n">
        <f aca="false">IF(AND(CC132&gt;0,OR(CC132&gt;=CG132-0.01,Motore_Operativo!C132&gt;=EDATE(MAX(Finanziamenti!$D$15:$D$17),Ipotesi!E14*12))),CE132,0)</f>
        <v>0</v>
      </c>
      <c r="CG132" s="15" t="n">
        <f aca="false">IF(AND(3&lt;&gt;6,3&lt;&gt;9,Finanziamenti!$F$11=1,OR(Parametri_v3!$C$6=0,Finanziamenti!$E$11=1)),MIN(Finanziamenti!$C$11,Piano_SS!$C$12*Ipotesi!$C$102),0)</f>
        <v>400000</v>
      </c>
      <c r="CH132" s="15" t="n">
        <f aca="false">IF(AND(AND(3&lt;&gt;8,3&lt;&gt;9,Finanziamenti!$F$10=1,OR(Parametri_v3!$C$6=0,Finanziamenti!$E$10=1)),Motore_Operativo!C132&gt;=Finanziamenti!$D$10,Motore_Operativo!C132&lt;Parametri_v3!$C$63),Finanziamenti!$C$10,0)</f>
        <v>150000</v>
      </c>
    </row>
    <row r="133" customFormat="false" ht="18" hidden="false" customHeight="true" outlineLevel="0" collapsed="false">
      <c r="A133" s="68" t="n">
        <f aca="false">3</f>
        <v>3</v>
      </c>
      <c r="B133" s="68" t="n">
        <f aca="false">9</f>
        <v>9</v>
      </c>
      <c r="C133" s="18" t="n">
        <f aca="false">Motore_Operativo!C133</f>
        <v>46631</v>
      </c>
      <c r="D133" s="68" t="n">
        <f aca="false">Motore_Operativo!D133</f>
        <v>2027</v>
      </c>
      <c r="E133" s="68" t="n">
        <f aca="false">Motore_Operativo!E133</f>
        <v>9</v>
      </c>
      <c r="F133" s="15" t="n">
        <f aca="false">Motore_Operativo!AQ133+Motore_Operativo!BF133</f>
        <v>9952.96296296296</v>
      </c>
      <c r="G133" s="15" t="n">
        <f aca="false">Motore_Operativo!BH133</f>
        <v>1621.05263157895</v>
      </c>
      <c r="H133" s="15" t="n">
        <f aca="false">Motore_Operativo!BI133</f>
        <v>11574.0155945419</v>
      </c>
      <c r="I133" s="15" t="n">
        <f aca="false">Motore_Operativo!CA133</f>
        <v>27942.4297270955</v>
      </c>
      <c r="J133" s="15" t="n">
        <f aca="false">Motore_Operativo!CC133</f>
        <v>-16368.4141325536</v>
      </c>
      <c r="K133" s="15" t="n">
        <f aca="false">Motore_Operativo!CE133</f>
        <v>1666.66666666667</v>
      </c>
      <c r="L133" s="15" t="n">
        <f aca="false">SUM(INDEX($K$125:$K$184,MAX(1,9-Parametri_v3!$C$59+1)):K133)/Parametri_v3!$C$59</f>
        <v>416.666666666667</v>
      </c>
      <c r="M133" s="15" t="n">
        <f aca="false">J133-L133</f>
        <v>-16785.0807992203</v>
      </c>
      <c r="N133" s="15" t="n">
        <f aca="false">CD133-(CD132)</f>
        <v>0</v>
      </c>
      <c r="O133" s="15" t="n">
        <f aca="false">(BG132)*Ipotesi!$C$110/12+CH133*Parametri_v3!$C$39/12</f>
        <v>246.458329242823</v>
      </c>
      <c r="P133" s="15" t="n">
        <f aca="false">M133+N133-O133</f>
        <v>-17031.5391284631</v>
      </c>
      <c r="Q133" s="15" t="n">
        <f aca="false">SUM(P125:P133)+Parametri_v3!$C$54*9/12</f>
        <v>-153382.775417866</v>
      </c>
      <c r="R133" s="15" t="n">
        <f aca="false">0</f>
        <v>0</v>
      </c>
      <c r="S133" s="15" t="n">
        <f aca="false">0</f>
        <v>0</v>
      </c>
      <c r="T133" s="15" t="n">
        <f aca="false">MIN(R133,MAX(0,Q133))</f>
        <v>0</v>
      </c>
      <c r="U133" s="15" t="n">
        <f aca="false">MIN(S133,MAX(0,Q133-T133)*Parametri_v3!$C$42)</f>
        <v>0</v>
      </c>
      <c r="V133" s="15" t="n">
        <f aca="false">MAX(0,Q133-T133-U133)*Ipotesi!$C$92</f>
        <v>0</v>
      </c>
      <c r="W133" s="15" t="n">
        <f aca="false">MAX(0,SUM(M125:M133)+Parametri_v3!$C$55*9/12)*Ipotesi!$C$93</f>
        <v>0</v>
      </c>
      <c r="X133" s="15" t="n">
        <f aca="false">V133+W133-(V132+W132)</f>
        <v>0</v>
      </c>
      <c r="Y133" s="15" t="n">
        <f aca="false">P133-X133</f>
        <v>-17031.5391284631</v>
      </c>
      <c r="Z133" s="15" t="n">
        <f aca="false">R133-T133+IF(AND(Parametri_v3!$C$40=1,D133-YEAR(Parametri_v3!$C$50)&lt;Parametri_v3!$C$41),MAX(0,-Q133),0)</f>
        <v>153382.775417866</v>
      </c>
      <c r="AA133" s="15" t="n">
        <f aca="false">S133-U133+IF(AND(Parametri_v3!$C$40=1,D133-YEAR(Parametri_v3!$C$50)&lt;Parametri_v3!$C$41),0,MAX(0,-Q133))</f>
        <v>0</v>
      </c>
      <c r="AB133" s="15" t="n">
        <f aca="false">F133*(1+Parametri_v3!$C$26)</f>
        <v>12142.6148148148</v>
      </c>
      <c r="AC133" s="15" t="n">
        <f aca="false">(IF(9-(INT((Motore_Operativo!L133)/30))&lt;1,0,INDEX(Motore_Startup!$AB$125:$AB$184,MAX(1,9-(INT((Motore_Operativo!L133)/30)))))*(1-(MOD((Motore_Operativo!L133),30)/30))+IF(9-(INT((Motore_Operativo!L133)/30))-1&lt;1,0,INDEX(Motore_Startup!$AB$125:$AB$184,MAX(1,9-(INT((Motore_Operativo!L133)/30))-1)))*(MOD((Motore_Operativo!L133),30)/30))</f>
        <v>11668.1703703704</v>
      </c>
      <c r="AD133" s="15" t="n">
        <f aca="false">(AD132)+AB133-AC133</f>
        <v>35953.4</v>
      </c>
      <c r="AE133" s="15" t="n">
        <f aca="false">Motore_Operativo!BH133*(1+Parametri_v3!$C$26)</f>
        <v>1977.68421052632</v>
      </c>
      <c r="AF133" s="15" t="n">
        <f aca="false">(IF(9-(INT((Parametri_v3!$C$29)/30))&lt;1,0,INDEX(Motore_Operativo!$BH$125:$BH$184,MAX(1,9-(INT((Parametri_v3!$C$29)/30)))))*(1-(MOD((Parametri_v3!$C$29),30)/30))+IF(9-(INT((Parametri_v3!$C$29)/30))-1&lt;1,0,INDEX(Motore_Operativo!$BH$125:$BH$184,MAX(1,9-(INT((Parametri_v3!$C$29)/30))-1)))*(MOD((Parametri_v3!$C$29),30)/30))*(1+Parametri_v3!$C$26)</f>
        <v>1977.68421052632</v>
      </c>
      <c r="AG133" s="15" t="n">
        <f aca="false">(AG132)+AE133-AF133</f>
        <v>1977.68421052632</v>
      </c>
      <c r="AH133" s="15" t="n">
        <f aca="false">(Motore_Operativo!CJ133)*(1+Parametri_v3!$C$27*Parametri_v3!$C$26)</f>
        <v>11900.580752729</v>
      </c>
      <c r="AI133" s="15" t="n">
        <f aca="false">(IF(9-(INT((Ipotesi!$C$91)/30))&lt;1,0,INDEX(Motore_Startup!$AH$125:$AH$184,MAX(1,9-(INT((Ipotesi!$C$91)/30)))))*(1-(MOD((Ipotesi!$C$91),30)/30))+IF(9-(INT((Ipotesi!$C$91)/30))-1&lt;1,0,INDEX(Motore_Startup!$AH$125:$AH$184,MAX(1,9-(INT((Ipotesi!$C$91)/30))-1)))*(MOD((Ipotesi!$C$91),30)/30))</f>
        <v>11857.4970490253</v>
      </c>
      <c r="AJ133" s="15" t="n">
        <f aca="false">(AJ132)+AH133-AI133</f>
        <v>23779.6196536062</v>
      </c>
      <c r="AK133" s="15" t="n">
        <f aca="false">(F133+ Motore_Operativo!BH133-(Motore_Operativo!CJ133)*Parametri_v3!$C$27-Motore_Operativo!CE133)*Parametri_v3!$C$26</f>
        <v>304.799071832359</v>
      </c>
      <c r="AL133" s="15" t="n">
        <f aca="false">MAX(0,(AM132))</f>
        <v>279.674257017544</v>
      </c>
      <c r="AM133" s="15" t="n">
        <f aca="false">(AM132)+AK133-AL133</f>
        <v>304.799071832359</v>
      </c>
      <c r="AN133" s="15" t="n">
        <f aca="false">0</f>
        <v>0</v>
      </c>
      <c r="AO133" s="15" t="n">
        <f aca="false">0</f>
        <v>0</v>
      </c>
      <c r="AP133" s="15" t="n">
        <f aca="false">MAX(0,AN133)*IF(9=Parametri_v3!$C$43,Parametri_v3!$C$45,IF(9=Parametri_v3!$C$44,1-Parametri_v3!$C$45,0))</f>
        <v>0</v>
      </c>
      <c r="AQ133" s="15" t="n">
        <f aca="false">MAX(0,AP133+IF(9=Parametri_v3!$C$43,MAX(0,AN133-AO133),0)-MAX(0,-(AR132)))</f>
        <v>0</v>
      </c>
      <c r="AR133" s="15" t="n">
        <f aca="false">(AR132)+X133-AQ133</f>
        <v>0</v>
      </c>
      <c r="AS133" s="15" t="n">
        <f aca="false">Motore_Operativo!AB133-AT133+AU133</f>
        <v>17020.8333333333</v>
      </c>
      <c r="AT133" s="15" t="n">
        <f aca="false">Motore_Operativo!CH133</f>
        <v>895.833333333334</v>
      </c>
      <c r="AU133" s="15" t="n">
        <f aca="false">MIN(MAX(0,(AV132)+AT133),Parametri_v3!$C$60/12)</f>
        <v>0</v>
      </c>
      <c r="AV133" s="15" t="n">
        <f aca="false">(AV132)+AT133-AU133</f>
        <v>8062.5</v>
      </c>
      <c r="AW133" s="15" t="n">
        <f aca="false">IF(AND(Motore_Operativo!C133=Finanziamenti!$D$6,Finanziamenti!$F$6=1),Finanziamenti!$C$6,0)</f>
        <v>0</v>
      </c>
      <c r="AX133" s="15" t="n">
        <f aca="false">IF(AND(3&lt;&gt;7,3&lt;&gt;9,Finanziamenti!$F$8=1,OR(Parametri_v3!$C$6=0,Finanziamenti!$E$8=1),Motore_Operativo!C133=EDATE(Finanziamenti!$D$8,Ipotesi!E15*12)),Finanziamenti!$C$8*1,0)+IF(AND(3&lt;&gt;7,3&lt;&gt;9,Finanziamenti!$F$9=1,OR(Parametri_v3!$C$6=0,Finanziamenti!$E$9=1),Motore_Operativo!C133=EDATE(Finanziamenti!$D$9,Ipotesi!E15*12)),Finanziamenti!$C$9*Ipotesi!E16,0)</f>
        <v>0</v>
      </c>
      <c r="AY133" s="15" t="n">
        <f aca="false">0</f>
        <v>0</v>
      </c>
      <c r="AZ133" s="15" t="n">
        <f aca="false">Motore_Advisory!AY133*(1-Ipotesi!$C$95)*Ipotesi!$C$96</f>
        <v>0</v>
      </c>
      <c r="BA133" s="15" t="n">
        <f aca="false">MAX(0,MIN(CG133*MIN(1,IF(Motore_Operativo!C133&gt;=EDATE(Finanziamenti!$D$15,Ipotesi!E14*12),Finanziamenti!$C$15,0)+IF(Motore_Operativo!C133&gt;=EDATE(Finanziamenti!$D$16,Ipotesi!E14*12),Finanziamenti!$C$16,0)+IF(Motore_Operativo!C133&gt;=EDATE(Finanziamenti!$D$17,Ipotesi!E14*12),Finanziamenti!$C$17,0)),CA133*Ipotesi!$C$102)-(CC132))</f>
        <v>0</v>
      </c>
      <c r="BB133" s="15" t="n">
        <f aca="false">IF(AND(CF133&gt;0,Motore_Operativo!C133&gt;=IF(CF133=0,0,EDATE(CF133,Parametri_v3!$C$37)),MOD(((D133-YEAR(IF(CF133=0,0,EDATE(CF133,Parametri_v3!$C$37))))*12+E133-MONTH(IF(CF133=0,0,EDATE(CF133,Parametri_v3!$C$37)))),Parametri_v3!$C$38)=0),MIN(MAX(0,(BC132)+BA133-N133),(CC133-CD133)/(Ipotesi!$C$108*12/Parametri_v3!$C$38)),0)</f>
        <v>0</v>
      </c>
      <c r="BC133" s="15" t="n">
        <f aca="false">(BC132)+BA133-N133-BB133</f>
        <v>0</v>
      </c>
      <c r="BD133" s="15" t="n">
        <f aca="false">(BH132)+AC133+AF133-AI133-AS133-K133*(1+Parametri_v3!$C$26)-AL133-AQ133-O133+AW133+AX133+AZ133+BA133-BB133</f>
        <v>7208.05827894431</v>
      </c>
      <c r="BE133" s="15" t="n">
        <f aca="false">MAX(0,MIN(MAX(0,CH133-(BG132)),Parametri_v3!$C$30-BD133))</f>
        <v>17791.9417210557</v>
      </c>
      <c r="BF133" s="15" t="n">
        <f aca="false">IF(Motore_Operativo!C133&gt;=Parametri_v3!$C$63,(BG132),MIN((BG132),MAX(0,BD133-Parametri_v3!$C$30)))</f>
        <v>0</v>
      </c>
      <c r="BG133" s="15" t="n">
        <f aca="false">(BG132)+BE133-BF133</f>
        <v>67083.6075696203</v>
      </c>
      <c r="BH133" s="15" t="n">
        <f aca="false">BD133+BE133-BF133-AY133</f>
        <v>25000</v>
      </c>
      <c r="BI133" s="15" t="n">
        <f aca="false">MAX(0,Parametri_v3!$C$30-BH133)</f>
        <v>0</v>
      </c>
      <c r="BJ133" s="15" t="n">
        <f aca="false">(BJ132)+K133</f>
        <v>15000</v>
      </c>
      <c r="BK133" s="15" t="n">
        <f aca="false">(BK132)+L133</f>
        <v>2083.33333333333</v>
      </c>
      <c r="BL133" s="15" t="n">
        <f aca="false">BJ133-BK133</f>
        <v>12916.6666666667</v>
      </c>
      <c r="BM133" s="15" t="n">
        <f aca="false">(BM132)+Y133</f>
        <v>-153382.775417866</v>
      </c>
      <c r="BN133" s="15" t="n">
        <f aca="false">(BN132)+AW133+AX133+AZ133</f>
        <v>130000</v>
      </c>
      <c r="BO133" s="15" t="n">
        <f aca="false">(BO132)+AY133</f>
        <v>0</v>
      </c>
      <c r="BP133" s="15" t="n">
        <f aca="false">0</f>
        <v>0</v>
      </c>
      <c r="BQ133" s="15" t="n">
        <f aca="false">BN133+BM133-BO133</f>
        <v>-23382.7754178658</v>
      </c>
      <c r="BR133" s="15" t="n">
        <f aca="false">BH133+AD133+BL133+MAX(0,-AM133)+MAX(0,-AR133)+AG133</f>
        <v>75847.750877193</v>
      </c>
      <c r="BS133" s="15" t="n">
        <f aca="false">AJ133+AV133+MAX(0,AM133)+MAX(0,AR133)+BC133+BG133+BQ133</f>
        <v>75847.750877193</v>
      </c>
      <c r="BT133" s="15" t="n">
        <f aca="false">BR133-BS133</f>
        <v>0</v>
      </c>
      <c r="BU133" s="15" t="n">
        <f aca="false">BH133-(BD133+BE133-BF133-AY133)</f>
        <v>0</v>
      </c>
      <c r="BV133" s="15" t="n">
        <f aca="false">MIN(Piano_SS!$C$6,(BV132)+IF(AND(Motore_Operativo!C133&gt;=EDATE(Parametri_v3!$C$24,Ipotesi!E14*12),Motore_Operativo!C133&lt;EDATE(Parametri_v3!$C$24,Parametri_v3!$C$25+Ipotesi!E14*12)),MAX(0,(Motore_Operativo!Y133+Motore_Operativo!X133*Parametri_v3!$C$14)*(1-Parametri_v3!$C$32))*Piano_SS!$D$6,0))</f>
        <v>14250</v>
      </c>
      <c r="BW133" s="15" t="n">
        <f aca="false">MIN(Piano_SS!$C$7,(BW132)+IF(AND(Motore_Operativo!C133&gt;=EDATE(Parametri_v3!$C$24,Ipotesi!E14*12),Motore_Operativo!C133&lt;EDATE(Parametri_v3!$C$24,Parametri_v3!$C$25+Ipotesi!E14*12)),MAX(0,(IF(9-(INT((Ipotesi!$C$91)/30))&lt;1,0,INDEX(Motore_Operativo!$BN$125:$BN$184,MAX(1,9-(INT((Ipotesi!$C$91)/30)))))*(1-(MOD((Ipotesi!$C$91),30)/30))+IF(9-(INT((Ipotesi!$C$91)/30))-1&lt;1,0,INDEX(Motore_Operativo!$BN$125:$BN$184,MAX(1,9-(INT((Ipotesi!$C$91)/30))-1)))*(MOD((Ipotesi!$C$91),30)/30)))*Piano_SS!$D$7,0))</f>
        <v>3827.77777777778</v>
      </c>
      <c r="BX133" s="15" t="n">
        <f aca="false">MIN(Piano_SS!$C$8,(BX132)+IF(AND(Motore_Operativo!C133&gt;=EDATE(Parametri_v3!$C$24,Ipotesi!E14*12),Motore_Operativo!C133&lt;EDATE(Parametri_v3!$C$24,Parametri_v3!$C$25+Ipotesi!E14*12)),MAX(0,Motore_Operativo!CE133)*Piano_SS!$D$8,0))</f>
        <v>5000</v>
      </c>
      <c r="BY133" s="15" t="n">
        <f aca="false">MIN(Piano_SS!$C$9,(BY132)+IF(AND(Motore_Operativo!C133&gt;=EDATE(Parametri_v3!$C$24,Ipotesi!E14*12),Motore_Operativo!C133&lt;EDATE(Parametri_v3!$C$24,Parametri_v3!$C$25+Ipotesi!E14*12)),MAX(0,((IF(9-(INT((Ipotesi!$C$91)/30))&lt;1,0,INDEX(Motore_Operativo!$BQ$125:$BQ$184,MAX(1,9-(INT((Ipotesi!$C$91)/30)))))*(1-(MOD((Ipotesi!$C$91),30)/30))+IF(9-(INT((Ipotesi!$C$91)/30))-1&lt;1,0,INDEX(Motore_Operativo!$BQ$125:$BQ$184,MAX(1,9-(INT((Ipotesi!$C$91)/30))-1)))*(MOD((Ipotesi!$C$91),30)/30))+(IF(9-(INT((Ipotesi!$C$91)/30))&lt;1,0,INDEX(Motore_Operativo!$BR$125:$BR$184,MAX(1,9-(INT((Ipotesi!$C$91)/30)))))*(1-(MOD((Ipotesi!$C$91),30)/30))+IF(9-(INT((Ipotesi!$C$91)/30))-1&lt;1,0,INDEX(Motore_Operativo!$BR$125:$BR$184,MAX(1,9-(INT((Ipotesi!$C$91)/30))-1)))*(MOD((Ipotesi!$C$91),30)/30))))*Piano_SS!$D$9,0))</f>
        <v>6750</v>
      </c>
      <c r="BZ133" s="15" t="n">
        <f aca="false">MIN(Piano_SS!$C$10,(BZ132)+IF(AND(Motore_Operativo!C133&gt;=EDATE(Parametri_v3!$C$24,Ipotesi!E14*12),Motore_Operativo!C133&lt;EDATE(Parametri_v3!$C$24,Parametri_v3!$C$25+Ipotesi!E14*12)),MAX(0,(IF(9-(INT((Ipotesi!$C$91)/30))&lt;1,0,INDEX(Motore_Operativo!$BO$125:$BO$184,MAX(1,9-(INT((Ipotesi!$C$91)/30)))))*(1-(MOD((Ipotesi!$C$91),30)/30))+IF(9-(INT((Ipotesi!$C$91)/30))-1&lt;1,0,INDEX(Motore_Operativo!$BO$125:$BO$184,MAX(1,9-(INT((Ipotesi!$C$91)/30))-1)))*(MOD((Ipotesi!$C$91),30)/30)))*Piano_SS!$D$10,0))</f>
        <v>3000</v>
      </c>
      <c r="CA133" s="15" t="n">
        <f aca="false">SUM(BV133:BZ133)</f>
        <v>32827.7777777778</v>
      </c>
      <c r="CB133" s="15" t="n">
        <f aca="false">BV133*(1-Piano_SS!$E$6)+BW133*(1-Piano_SS!$E$7)+BX133*(1-Piano_SS!$E$8)+BY133*(1-Piano_SS!$E$9)+BZ133*(1-Piano_SS!$E$10)</f>
        <v>29827.7777777778</v>
      </c>
      <c r="CC133" s="15" t="n">
        <f aca="false">(CC132)+BA133</f>
        <v>0</v>
      </c>
      <c r="CD133" s="15" t="n">
        <f aca="false">IF(CA133=0,0,CC133*CB133/CA133*Ipotesi!$C$103*Parametri_v3!$C$64)</f>
        <v>0</v>
      </c>
      <c r="CE133" s="18" t="n">
        <f aca="false">IF(BA133&gt;0,Motore_Operativo!C133,(CE132))</f>
        <v>0</v>
      </c>
      <c r="CF133" s="18" t="n">
        <f aca="false">IF(AND(CC133&gt;0,OR(CC133&gt;=CG133-0.01,Motore_Operativo!C133&gt;=EDATE(MAX(Finanziamenti!$D$15:$D$17),Ipotesi!E14*12))),CE133,0)</f>
        <v>0</v>
      </c>
      <c r="CG133" s="15" t="n">
        <f aca="false">IF(AND(3&lt;&gt;6,3&lt;&gt;9,Finanziamenti!$F$11=1,OR(Parametri_v3!$C$6=0,Finanziamenti!$E$11=1)),MIN(Finanziamenti!$C$11,Piano_SS!$C$12*Ipotesi!$C$102),0)</f>
        <v>400000</v>
      </c>
      <c r="CH133" s="15" t="n">
        <f aca="false">IF(AND(AND(3&lt;&gt;8,3&lt;&gt;9,Finanziamenti!$F$10=1,OR(Parametri_v3!$C$6=0,Finanziamenti!$E$10=1)),Motore_Operativo!C133&gt;=Finanziamenti!$D$10,Motore_Operativo!C133&lt;Parametri_v3!$C$63),Finanziamenti!$C$10,0)</f>
        <v>150000</v>
      </c>
    </row>
    <row r="134" customFormat="false" ht="18" hidden="false" customHeight="true" outlineLevel="0" collapsed="false">
      <c r="A134" s="68" t="n">
        <f aca="false">3</f>
        <v>3</v>
      </c>
      <c r="B134" s="68" t="n">
        <f aca="false">10</f>
        <v>10</v>
      </c>
      <c r="C134" s="18" t="n">
        <f aca="false">Motore_Operativo!C134</f>
        <v>46661</v>
      </c>
      <c r="D134" s="68" t="n">
        <f aca="false">Motore_Operativo!D134</f>
        <v>2027</v>
      </c>
      <c r="E134" s="68" t="n">
        <f aca="false">Motore_Operativo!E134</f>
        <v>10</v>
      </c>
      <c r="F134" s="15" t="n">
        <f aca="false">Motore_Operativo!AQ134+Motore_Operativo!BF134</f>
        <v>10082.5925925926</v>
      </c>
      <c r="G134" s="15" t="n">
        <f aca="false">Motore_Operativo!BH134</f>
        <v>1621.05263157895</v>
      </c>
      <c r="H134" s="15" t="n">
        <f aca="false">Motore_Operativo!BI134</f>
        <v>11703.6452241715</v>
      </c>
      <c r="I134" s="15" t="n">
        <f aca="false">Motore_Operativo!CA134</f>
        <v>27960.5778752437</v>
      </c>
      <c r="J134" s="15" t="n">
        <f aca="false">Motore_Operativo!CC134</f>
        <v>-16256.9326510721</v>
      </c>
      <c r="K134" s="15" t="n">
        <f aca="false">Motore_Operativo!CE134</f>
        <v>1666.66666666667</v>
      </c>
      <c r="L134" s="15" t="n">
        <f aca="false">SUM(INDEX($K$125:$K$184,MAX(1,10-Parametri_v3!$C$59+1)):K134)/Parametri_v3!$C$59</f>
        <v>462.962962962963</v>
      </c>
      <c r="M134" s="15" t="n">
        <f aca="false">J134-L134</f>
        <v>-16719.8956140351</v>
      </c>
      <c r="N134" s="15" t="n">
        <f aca="false">CD134-(CD133)</f>
        <v>0</v>
      </c>
      <c r="O134" s="15" t="n">
        <f aca="false">(BG133)*Ipotesi!$C$110/12+CH134*Parametri_v3!$C$39/12</f>
        <v>335.418037848101</v>
      </c>
      <c r="P134" s="15" t="n">
        <f aca="false">M134+N134-O134</f>
        <v>-17055.3136518832</v>
      </c>
      <c r="Q134" s="15" t="n">
        <f aca="false">SUM(P125:P134)+Parametri_v3!$C$54*10/12</f>
        <v>-170438.089069749</v>
      </c>
      <c r="R134" s="15" t="n">
        <f aca="false">0</f>
        <v>0</v>
      </c>
      <c r="S134" s="15" t="n">
        <f aca="false">0</f>
        <v>0</v>
      </c>
      <c r="T134" s="15" t="n">
        <f aca="false">MIN(R134,MAX(0,Q134))</f>
        <v>0</v>
      </c>
      <c r="U134" s="15" t="n">
        <f aca="false">MIN(S134,MAX(0,Q134-T134)*Parametri_v3!$C$42)</f>
        <v>0</v>
      </c>
      <c r="V134" s="15" t="n">
        <f aca="false">MAX(0,Q134-T134-U134)*Ipotesi!$C$92</f>
        <v>0</v>
      </c>
      <c r="W134" s="15" t="n">
        <f aca="false">MAX(0,SUM(M125:M134)+Parametri_v3!$C$55*10/12)*Ipotesi!$C$93</f>
        <v>0</v>
      </c>
      <c r="X134" s="15" t="n">
        <f aca="false">V134+W134-(V133+W133)</f>
        <v>0</v>
      </c>
      <c r="Y134" s="15" t="n">
        <f aca="false">P134-X134</f>
        <v>-17055.3136518832</v>
      </c>
      <c r="Z134" s="15" t="n">
        <f aca="false">R134-T134+IF(AND(Parametri_v3!$C$40=1,D134-YEAR(Parametri_v3!$C$50)&lt;Parametri_v3!$C$41),MAX(0,-Q134),0)</f>
        <v>170438.089069749</v>
      </c>
      <c r="AA134" s="15" t="n">
        <f aca="false">S134-U134+IF(AND(Parametri_v3!$C$40=1,D134-YEAR(Parametri_v3!$C$50)&lt;Parametri_v3!$C$41),0,MAX(0,-Q134))</f>
        <v>0</v>
      </c>
      <c r="AB134" s="15" t="n">
        <f aca="false">F134*(1+Parametri_v3!$C$26)</f>
        <v>12300.762962963</v>
      </c>
      <c r="AC134" s="15" t="n">
        <f aca="false">(IF(10-(INT((Motore_Operativo!L134)/30))&lt;1,0,INDEX(Motore_Startup!$AB$125:$AB$184,MAX(1,10-(INT((Motore_Operativo!L134)/30)))))*(1-(MOD((Motore_Operativo!L134),30)/30))+IF(10-(INT((Motore_Operativo!L134)/30))-1&lt;1,0,INDEX(Motore_Startup!$AB$125:$AB$184,MAX(1,10-(INT((Motore_Operativo!L134)/30))-1)))*(MOD((Motore_Operativo!L134),30)/30))</f>
        <v>11826.3185185185</v>
      </c>
      <c r="AD134" s="15" t="n">
        <f aca="false">(AD133)+AB134-AC134</f>
        <v>36427.8444444444</v>
      </c>
      <c r="AE134" s="15" t="n">
        <f aca="false">Motore_Operativo!BH134*(1+Parametri_v3!$C$26)</f>
        <v>1977.68421052632</v>
      </c>
      <c r="AF134" s="15" t="n">
        <f aca="false">(IF(10-(INT((Parametri_v3!$C$29)/30))&lt;1,0,INDEX(Motore_Operativo!$BH$125:$BH$184,MAX(1,10-(INT((Parametri_v3!$C$29)/30)))))*(1-(MOD((Parametri_v3!$C$29),30)/30))+IF(10-(INT((Parametri_v3!$C$29)/30))-1&lt;1,0,INDEX(Motore_Operativo!$BH$125:$BH$184,MAX(1,10-(INT((Parametri_v3!$C$29)/30))-1)))*(MOD((Parametri_v3!$C$29),30)/30))*(1+Parametri_v3!$C$26)</f>
        <v>1977.68421052632</v>
      </c>
      <c r="AG134" s="15" t="n">
        <f aca="false">(AG133)+AE134-AF134</f>
        <v>1977.68421052632</v>
      </c>
      <c r="AH134" s="15" t="n">
        <f aca="false">(Motore_Operativo!CJ134)*(1+Parametri_v3!$C$27*Parametri_v3!$C$26)</f>
        <v>11922.1226045809</v>
      </c>
      <c r="AI134" s="15" t="n">
        <f aca="false">(IF(10-(INT((Ipotesi!$C$91)/30))&lt;1,0,INDEX(Motore_Startup!$AH$125:$AH$184,MAX(1,10-(INT((Ipotesi!$C$91)/30)))))*(1-(MOD((Ipotesi!$C$91),30)/30))+IF(10-(INT((Ipotesi!$C$91)/30))-1&lt;1,0,INDEX(Motore_Startup!$AH$125:$AH$184,MAX(1,10-(INT((Ipotesi!$C$91)/30))-1)))*(MOD((Ipotesi!$C$91),30)/30))</f>
        <v>11879.0389008772</v>
      </c>
      <c r="AJ134" s="15" t="n">
        <f aca="false">(AJ133)+AH134-AI134</f>
        <v>23822.7033573099</v>
      </c>
      <c r="AK134" s="15" t="n">
        <f aca="false">(F134+ Motore_Operativo!BH134-(Motore_Operativo!CJ134)*Parametri_v3!$C$27-Motore_Operativo!CE134)*Parametri_v3!$C$26</f>
        <v>329.923886647174</v>
      </c>
      <c r="AL134" s="15" t="n">
        <f aca="false">MAX(0,(AM133))</f>
        <v>304.799071832359</v>
      </c>
      <c r="AM134" s="15" t="n">
        <f aca="false">(AM133)+AK134-AL134</f>
        <v>329.923886647174</v>
      </c>
      <c r="AN134" s="15" t="n">
        <f aca="false">0</f>
        <v>0</v>
      </c>
      <c r="AO134" s="15" t="n">
        <f aca="false">0</f>
        <v>0</v>
      </c>
      <c r="AP134" s="15" t="n">
        <f aca="false">MAX(0,AN134)*IF(10=Parametri_v3!$C$43,Parametri_v3!$C$45,IF(10=Parametri_v3!$C$44,1-Parametri_v3!$C$45,0))</f>
        <v>0</v>
      </c>
      <c r="AQ134" s="15" t="n">
        <f aca="false">MAX(0,AP134+IF(10=Parametri_v3!$C$43,MAX(0,AN134-AO134),0)-MAX(0,-(AR133)))</f>
        <v>0</v>
      </c>
      <c r="AR134" s="15" t="n">
        <f aca="false">(AR133)+X134-AQ134</f>
        <v>0</v>
      </c>
      <c r="AS134" s="15" t="n">
        <f aca="false">Motore_Operativo!AB134-AT134+AU134</f>
        <v>17020.8333333333</v>
      </c>
      <c r="AT134" s="15" t="n">
        <f aca="false">Motore_Operativo!CH134</f>
        <v>895.833333333334</v>
      </c>
      <c r="AU134" s="15" t="n">
        <f aca="false">MIN(MAX(0,(AV133)+AT134),Parametri_v3!$C$60/12)</f>
        <v>0</v>
      </c>
      <c r="AV134" s="15" t="n">
        <f aca="false">(AV133)+AT134-AU134</f>
        <v>8958.33333333334</v>
      </c>
      <c r="AW134" s="15" t="n">
        <f aca="false">IF(AND(Motore_Operativo!C134=Finanziamenti!$D$6,Finanziamenti!$F$6=1),Finanziamenti!$C$6,0)</f>
        <v>0</v>
      </c>
      <c r="AX134" s="15" t="n">
        <f aca="false">IF(AND(3&lt;&gt;7,3&lt;&gt;9,Finanziamenti!$F$8=1,OR(Parametri_v3!$C$6=0,Finanziamenti!$E$8=1),Motore_Operativo!C134=EDATE(Finanziamenti!$D$8,Ipotesi!E15*12)),Finanziamenti!$C$8*1,0)+IF(AND(3&lt;&gt;7,3&lt;&gt;9,Finanziamenti!$F$9=1,OR(Parametri_v3!$C$6=0,Finanziamenti!$E$9=1),Motore_Operativo!C134=EDATE(Finanziamenti!$D$9,Ipotesi!E15*12)),Finanziamenti!$C$9*Ipotesi!E16,0)</f>
        <v>0</v>
      </c>
      <c r="AY134" s="15" t="n">
        <f aca="false">0</f>
        <v>0</v>
      </c>
      <c r="AZ134" s="15" t="n">
        <f aca="false">Motore_Advisory!AY134*(1-Ipotesi!$C$95)*Ipotesi!$C$96</f>
        <v>0</v>
      </c>
      <c r="BA134" s="15" t="n">
        <f aca="false">MAX(0,MIN(CG134*MIN(1,IF(Motore_Operativo!C134&gt;=EDATE(Finanziamenti!$D$15,Ipotesi!E14*12),Finanziamenti!$C$15,0)+IF(Motore_Operativo!C134&gt;=EDATE(Finanziamenti!$D$16,Ipotesi!E14*12),Finanziamenti!$C$16,0)+IF(Motore_Operativo!C134&gt;=EDATE(Finanziamenti!$D$17,Ipotesi!E14*12),Finanziamenti!$C$17,0)),CA134*Ipotesi!$C$102)-(CC133))</f>
        <v>0</v>
      </c>
      <c r="BB134" s="15" t="n">
        <f aca="false">IF(AND(CF134&gt;0,Motore_Operativo!C134&gt;=IF(CF134=0,0,EDATE(CF134,Parametri_v3!$C$37)),MOD(((D134-YEAR(IF(CF134=0,0,EDATE(CF134,Parametri_v3!$C$37))))*12+E134-MONTH(IF(CF134=0,0,EDATE(CF134,Parametri_v3!$C$37)))),Parametri_v3!$C$38)=0),MIN(MAX(0,(BC133)+BA134-N134),(CC134-CD134)/(Ipotesi!$C$108*12/Parametri_v3!$C$38)),0)</f>
        <v>0</v>
      </c>
      <c r="BC134" s="15" t="n">
        <f aca="false">(BC133)+BA134-N134-BB134</f>
        <v>0</v>
      </c>
      <c r="BD134" s="15" t="n">
        <f aca="false">(BH133)+AC134+AF134-AI134-AS134-K134*(1+Parametri_v3!$C$26)-AL134-AQ134-O134+AW134+AX134+AZ134+BA134-BB134</f>
        <v>7230.58005182052</v>
      </c>
      <c r="BE134" s="15" t="n">
        <f aca="false">MAX(0,MIN(MAX(0,CH134-(BG133)),Parametri_v3!$C$30-BD134))</f>
        <v>17769.4199481795</v>
      </c>
      <c r="BF134" s="15" t="n">
        <f aca="false">IF(Motore_Operativo!C134&gt;=Parametri_v3!$C$63,(BG133),MIN((BG133),MAX(0,BD134-Parametri_v3!$C$30)))</f>
        <v>0</v>
      </c>
      <c r="BG134" s="15" t="n">
        <f aca="false">(BG133)+BE134-BF134</f>
        <v>84853.0275177997</v>
      </c>
      <c r="BH134" s="15" t="n">
        <f aca="false">BD134+BE134-BF134-AY134</f>
        <v>25000</v>
      </c>
      <c r="BI134" s="15" t="n">
        <f aca="false">MAX(0,Parametri_v3!$C$30-BH134)</f>
        <v>0</v>
      </c>
      <c r="BJ134" s="15" t="n">
        <f aca="false">(BJ133)+K134</f>
        <v>16666.6666666667</v>
      </c>
      <c r="BK134" s="15" t="n">
        <f aca="false">(BK133)+L134</f>
        <v>2546.2962962963</v>
      </c>
      <c r="BL134" s="15" t="n">
        <f aca="false">BJ134-BK134</f>
        <v>14120.3703703704</v>
      </c>
      <c r="BM134" s="15" t="n">
        <f aca="false">(BM133)+Y134</f>
        <v>-170438.089069749</v>
      </c>
      <c r="BN134" s="15" t="n">
        <f aca="false">(BN133)+AW134+AX134+AZ134</f>
        <v>130000</v>
      </c>
      <c r="BO134" s="15" t="n">
        <f aca="false">(BO133)+AY134</f>
        <v>0</v>
      </c>
      <c r="BP134" s="15" t="n">
        <f aca="false">0</f>
        <v>0</v>
      </c>
      <c r="BQ134" s="15" t="n">
        <f aca="false">BN134+BM134-BO134</f>
        <v>-40438.089069749</v>
      </c>
      <c r="BR134" s="15" t="n">
        <f aca="false">BH134+AD134+BL134+MAX(0,-AM134)+MAX(0,-AR134)+AG134</f>
        <v>77525.8990253411</v>
      </c>
      <c r="BS134" s="15" t="n">
        <f aca="false">AJ134+AV134+MAX(0,AM134)+MAX(0,AR134)+BC134+BG134+BQ134</f>
        <v>77525.8990253412</v>
      </c>
      <c r="BT134" s="15" t="n">
        <f aca="false">BR134-BS134</f>
        <v>0</v>
      </c>
      <c r="BU134" s="15" t="n">
        <f aca="false">BH134-(BD134+BE134-BF134-AY134)</f>
        <v>0</v>
      </c>
      <c r="BV134" s="15" t="n">
        <f aca="false">MIN(Piano_SS!$C$6,(BV133)+IF(AND(Motore_Operativo!C134&gt;=EDATE(Parametri_v3!$C$24,Ipotesi!E14*12),Motore_Operativo!C134&lt;EDATE(Parametri_v3!$C$24,Parametri_v3!$C$25+Ipotesi!E14*12)),MAX(0,(Motore_Operativo!Y134+Motore_Operativo!X134*Parametri_v3!$C$14)*(1-Parametri_v3!$C$32))*Piano_SS!$D$6,0))</f>
        <v>19000</v>
      </c>
      <c r="BW134" s="15" t="n">
        <f aca="false">MIN(Piano_SS!$C$7,(BW133)+IF(AND(Motore_Operativo!C134&gt;=EDATE(Parametri_v3!$C$24,Ipotesi!E14*12),Motore_Operativo!C134&lt;EDATE(Parametri_v3!$C$24,Parametri_v3!$C$25+Ipotesi!E14*12)),MAX(0,(IF(10-(INT((Ipotesi!$C$91)/30))&lt;1,0,INDEX(Motore_Operativo!$BN$125:$BN$184,MAX(1,10-(INT((Ipotesi!$C$91)/30)))))*(1-(MOD((Ipotesi!$C$91),30)/30))+IF(10-(INT((Ipotesi!$C$91)/30))-1&lt;1,0,INDEX(Motore_Operativo!$BN$125:$BN$184,MAX(1,10-(INT((Ipotesi!$C$91)/30))-1)))*(MOD((Ipotesi!$C$91),30)/30)))*Piano_SS!$D$7,0))</f>
        <v>5124.44444444445</v>
      </c>
      <c r="BX134" s="15" t="n">
        <f aca="false">MIN(Piano_SS!$C$8,(BX133)+IF(AND(Motore_Operativo!C134&gt;=EDATE(Parametri_v3!$C$24,Ipotesi!E14*12),Motore_Operativo!C134&lt;EDATE(Parametri_v3!$C$24,Parametri_v3!$C$25+Ipotesi!E14*12)),MAX(0,Motore_Operativo!CE134)*Piano_SS!$D$8,0))</f>
        <v>6666.66666666667</v>
      </c>
      <c r="BY134" s="15" t="n">
        <f aca="false">MIN(Piano_SS!$C$9,(BY133)+IF(AND(Motore_Operativo!C134&gt;=EDATE(Parametri_v3!$C$24,Ipotesi!E14*12),Motore_Operativo!C134&lt;EDATE(Parametri_v3!$C$24,Parametri_v3!$C$25+Ipotesi!E14*12)),MAX(0,((IF(10-(INT((Ipotesi!$C$91)/30))&lt;1,0,INDEX(Motore_Operativo!$BQ$125:$BQ$184,MAX(1,10-(INT((Ipotesi!$C$91)/30)))))*(1-(MOD((Ipotesi!$C$91),30)/30))+IF(10-(INT((Ipotesi!$C$91)/30))-1&lt;1,0,INDEX(Motore_Operativo!$BQ$125:$BQ$184,MAX(1,10-(INT((Ipotesi!$C$91)/30))-1)))*(MOD((Ipotesi!$C$91),30)/30))+(IF(10-(INT((Ipotesi!$C$91)/30))&lt;1,0,INDEX(Motore_Operativo!$BR$125:$BR$184,MAX(1,10-(INT((Ipotesi!$C$91)/30)))))*(1-(MOD((Ipotesi!$C$91),30)/30))+IF(10-(INT((Ipotesi!$C$91)/30))-1&lt;1,0,INDEX(Motore_Operativo!$BR$125:$BR$184,MAX(1,10-(INT((Ipotesi!$C$91)/30))-1)))*(MOD((Ipotesi!$C$91),30)/30))))*Piano_SS!$D$9,0))</f>
        <v>9000</v>
      </c>
      <c r="BZ134" s="15" t="n">
        <f aca="false">MIN(Piano_SS!$C$10,(BZ133)+IF(AND(Motore_Operativo!C134&gt;=EDATE(Parametri_v3!$C$24,Ipotesi!E14*12),Motore_Operativo!C134&lt;EDATE(Parametri_v3!$C$24,Parametri_v3!$C$25+Ipotesi!E14*12)),MAX(0,(IF(10-(INT((Ipotesi!$C$91)/30))&lt;1,0,INDEX(Motore_Operativo!$BO$125:$BO$184,MAX(1,10-(INT((Ipotesi!$C$91)/30)))))*(1-(MOD((Ipotesi!$C$91),30)/30))+IF(10-(INT((Ipotesi!$C$91)/30))-1&lt;1,0,INDEX(Motore_Operativo!$BO$125:$BO$184,MAX(1,10-(INT((Ipotesi!$C$91)/30))-1)))*(MOD((Ipotesi!$C$91),30)/30)))*Piano_SS!$D$10,0))</f>
        <v>4000</v>
      </c>
      <c r="CA134" s="15" t="n">
        <f aca="false">SUM(BV134:BZ134)</f>
        <v>43791.1111111111</v>
      </c>
      <c r="CB134" s="15" t="n">
        <f aca="false">BV134*(1-Piano_SS!$E$6)+BW134*(1-Piano_SS!$E$7)+BX134*(1-Piano_SS!$E$8)+BY134*(1-Piano_SS!$E$9)+BZ134*(1-Piano_SS!$E$10)</f>
        <v>39791.1111111111</v>
      </c>
      <c r="CC134" s="15" t="n">
        <f aca="false">(CC133)+BA134</f>
        <v>0</v>
      </c>
      <c r="CD134" s="15" t="n">
        <f aca="false">IF(CA134=0,0,CC134*CB134/CA134*Ipotesi!$C$103*Parametri_v3!$C$64)</f>
        <v>0</v>
      </c>
      <c r="CE134" s="18" t="n">
        <f aca="false">IF(BA134&gt;0,Motore_Operativo!C134,(CE133))</f>
        <v>0</v>
      </c>
      <c r="CF134" s="18" t="n">
        <f aca="false">IF(AND(CC134&gt;0,OR(CC134&gt;=CG134-0.01,Motore_Operativo!C134&gt;=EDATE(MAX(Finanziamenti!$D$15:$D$17),Ipotesi!E14*12))),CE134,0)</f>
        <v>0</v>
      </c>
      <c r="CG134" s="15" t="n">
        <f aca="false">IF(AND(3&lt;&gt;6,3&lt;&gt;9,Finanziamenti!$F$11=1,OR(Parametri_v3!$C$6=0,Finanziamenti!$E$11=1)),MIN(Finanziamenti!$C$11,Piano_SS!$C$12*Ipotesi!$C$102),0)</f>
        <v>400000</v>
      </c>
      <c r="CH134" s="15" t="n">
        <f aca="false">IF(AND(AND(3&lt;&gt;8,3&lt;&gt;9,Finanziamenti!$F$10=1,OR(Parametri_v3!$C$6=0,Finanziamenti!$E$10=1)),Motore_Operativo!C134&gt;=Finanziamenti!$D$10,Motore_Operativo!C134&lt;Parametri_v3!$C$63),Finanziamenti!$C$10,0)</f>
        <v>150000</v>
      </c>
    </row>
    <row r="135" customFormat="false" ht="18" hidden="false" customHeight="true" outlineLevel="0" collapsed="false">
      <c r="A135" s="68" t="n">
        <f aca="false">3</f>
        <v>3</v>
      </c>
      <c r="B135" s="68" t="n">
        <f aca="false">11</f>
        <v>11</v>
      </c>
      <c r="C135" s="18" t="n">
        <f aca="false">Motore_Operativo!C135</f>
        <v>46692</v>
      </c>
      <c r="D135" s="68" t="n">
        <f aca="false">Motore_Operativo!D135</f>
        <v>2027</v>
      </c>
      <c r="E135" s="68" t="n">
        <f aca="false">Motore_Operativo!E135</f>
        <v>11</v>
      </c>
      <c r="F135" s="15" t="n">
        <f aca="false">Motore_Operativo!AQ135+Motore_Operativo!BF135</f>
        <v>10212.2222222222</v>
      </c>
      <c r="G135" s="15" t="n">
        <f aca="false">Motore_Operativo!BH135</f>
        <v>1621.05263157895</v>
      </c>
      <c r="H135" s="15" t="n">
        <f aca="false">Motore_Operativo!BI135</f>
        <v>11833.2748538012</v>
      </c>
      <c r="I135" s="15" t="n">
        <f aca="false">Motore_Operativo!CA135</f>
        <v>27978.7260233918</v>
      </c>
      <c r="J135" s="15" t="n">
        <f aca="false">Motore_Operativo!CC135</f>
        <v>-16145.4511695906</v>
      </c>
      <c r="K135" s="15" t="n">
        <f aca="false">Motore_Operativo!CE135</f>
        <v>1666.66666666667</v>
      </c>
      <c r="L135" s="15" t="n">
        <f aca="false">SUM(INDEX($K$125:$K$184,MAX(1,11-Parametri_v3!$C$59+1)):K135)/Parametri_v3!$C$59</f>
        <v>509.259259259259</v>
      </c>
      <c r="M135" s="15" t="n">
        <f aca="false">J135-L135</f>
        <v>-16654.7104288499</v>
      </c>
      <c r="N135" s="15" t="n">
        <f aca="false">CD135-(CD134)</f>
        <v>0</v>
      </c>
      <c r="O135" s="15" t="n">
        <f aca="false">(BG134)*Ipotesi!$C$110/12+CH135*Parametri_v3!$C$39/12</f>
        <v>424.265137588999</v>
      </c>
      <c r="P135" s="15" t="n">
        <f aca="false">M135+N135-O135</f>
        <v>-17078.9755664389</v>
      </c>
      <c r="Q135" s="15" t="n">
        <f aca="false">SUM(P125:P135)+Parametri_v3!$C$54*11/12</f>
        <v>-187517.064636188</v>
      </c>
      <c r="R135" s="15" t="n">
        <f aca="false">0</f>
        <v>0</v>
      </c>
      <c r="S135" s="15" t="n">
        <f aca="false">0</f>
        <v>0</v>
      </c>
      <c r="T135" s="15" t="n">
        <f aca="false">MIN(R135,MAX(0,Q135))</f>
        <v>0</v>
      </c>
      <c r="U135" s="15" t="n">
        <f aca="false">MIN(S135,MAX(0,Q135-T135)*Parametri_v3!$C$42)</f>
        <v>0</v>
      </c>
      <c r="V135" s="15" t="n">
        <f aca="false">MAX(0,Q135-T135-U135)*Ipotesi!$C$92</f>
        <v>0</v>
      </c>
      <c r="W135" s="15" t="n">
        <f aca="false">MAX(0,SUM(M125:M135)+Parametri_v3!$C$55*11/12)*Ipotesi!$C$93</f>
        <v>0</v>
      </c>
      <c r="X135" s="15" t="n">
        <f aca="false">V135+W135-(V134+W134)</f>
        <v>0</v>
      </c>
      <c r="Y135" s="15" t="n">
        <f aca="false">P135-X135</f>
        <v>-17078.9755664389</v>
      </c>
      <c r="Z135" s="15" t="n">
        <f aca="false">R135-T135+IF(AND(Parametri_v3!$C$40=1,D135-YEAR(Parametri_v3!$C$50)&lt;Parametri_v3!$C$41),MAX(0,-Q135),0)</f>
        <v>187517.064636188</v>
      </c>
      <c r="AA135" s="15" t="n">
        <f aca="false">S135-U135+IF(AND(Parametri_v3!$C$40=1,D135-YEAR(Parametri_v3!$C$50)&lt;Parametri_v3!$C$41),0,MAX(0,-Q135))</f>
        <v>0</v>
      </c>
      <c r="AB135" s="15" t="n">
        <f aca="false">F135*(1+Parametri_v3!$C$26)</f>
        <v>12458.9111111111</v>
      </c>
      <c r="AC135" s="15" t="n">
        <f aca="false">(IF(11-(INT((Motore_Operativo!L135)/30))&lt;1,0,INDEX(Motore_Startup!$AB$125:$AB$184,MAX(1,11-(INT((Motore_Operativo!L135)/30)))))*(1-(MOD((Motore_Operativo!L135),30)/30))+IF(11-(INT((Motore_Operativo!L135)/30))-1&lt;1,0,INDEX(Motore_Startup!$AB$125:$AB$184,MAX(1,11-(INT((Motore_Operativo!L135)/30))-1)))*(MOD((Motore_Operativo!L135),30)/30))</f>
        <v>11984.4666666667</v>
      </c>
      <c r="AD135" s="15" t="n">
        <f aca="false">(AD134)+AB135-AC135</f>
        <v>36902.2888888889</v>
      </c>
      <c r="AE135" s="15" t="n">
        <f aca="false">Motore_Operativo!BH135*(1+Parametri_v3!$C$26)</f>
        <v>1977.68421052632</v>
      </c>
      <c r="AF135" s="15" t="n">
        <f aca="false">(IF(11-(INT((Parametri_v3!$C$29)/30))&lt;1,0,INDEX(Motore_Operativo!$BH$125:$BH$184,MAX(1,11-(INT((Parametri_v3!$C$29)/30)))))*(1-(MOD((Parametri_v3!$C$29),30)/30))+IF(11-(INT((Parametri_v3!$C$29)/30))-1&lt;1,0,INDEX(Motore_Operativo!$BH$125:$BH$184,MAX(1,11-(INT((Parametri_v3!$C$29)/30))-1)))*(MOD((Parametri_v3!$C$29),30)/30))*(1+Parametri_v3!$C$26)</f>
        <v>1977.68421052632</v>
      </c>
      <c r="AG135" s="15" t="n">
        <f aca="false">(AG134)+AE135-AF135</f>
        <v>1977.68421052632</v>
      </c>
      <c r="AH135" s="15" t="n">
        <f aca="false">(Motore_Operativo!CJ135)*(1+Parametri_v3!$C$27*Parametri_v3!$C$26)</f>
        <v>11943.6644564327</v>
      </c>
      <c r="AI135" s="15" t="n">
        <f aca="false">(IF(11-(INT((Ipotesi!$C$91)/30))&lt;1,0,INDEX(Motore_Startup!$AH$125:$AH$184,MAX(1,11-(INT((Ipotesi!$C$91)/30)))))*(1-(MOD((Ipotesi!$C$91),30)/30))+IF(11-(INT((Ipotesi!$C$91)/30))-1&lt;1,0,INDEX(Motore_Startup!$AH$125:$AH$184,MAX(1,11-(INT((Ipotesi!$C$91)/30))-1)))*(MOD((Ipotesi!$C$91),30)/30))</f>
        <v>11900.580752729</v>
      </c>
      <c r="AJ135" s="15" t="n">
        <f aca="false">(AJ134)+AH135-AI135</f>
        <v>23865.7870610136</v>
      </c>
      <c r="AK135" s="15" t="n">
        <f aca="false">(F135+ Motore_Operativo!BH135-(Motore_Operativo!CJ135)*Parametri_v3!$C$27-Motore_Operativo!CE135)*Parametri_v3!$C$26</f>
        <v>355.048701461989</v>
      </c>
      <c r="AL135" s="15" t="n">
        <f aca="false">MAX(0,(AM134))</f>
        <v>329.923886647174</v>
      </c>
      <c r="AM135" s="15" t="n">
        <f aca="false">(AM134)+AK135-AL135</f>
        <v>355.048701461989</v>
      </c>
      <c r="AN135" s="15" t="n">
        <f aca="false">0</f>
        <v>0</v>
      </c>
      <c r="AO135" s="15" t="n">
        <f aca="false">0</f>
        <v>0</v>
      </c>
      <c r="AP135" s="15" t="n">
        <f aca="false">MAX(0,AN135)*IF(11=Parametri_v3!$C$43,Parametri_v3!$C$45,IF(11=Parametri_v3!$C$44,1-Parametri_v3!$C$45,0))</f>
        <v>0</v>
      </c>
      <c r="AQ135" s="15" t="n">
        <f aca="false">MAX(0,AP135+IF(11=Parametri_v3!$C$43,MAX(0,AN135-AO135),0)-MAX(0,-(AR134)))</f>
        <v>0</v>
      </c>
      <c r="AR135" s="15" t="n">
        <f aca="false">(AR134)+X135-AQ135</f>
        <v>0</v>
      </c>
      <c r="AS135" s="15" t="n">
        <f aca="false">Motore_Operativo!AB135-AT135+AU135</f>
        <v>17020.8333333333</v>
      </c>
      <c r="AT135" s="15" t="n">
        <f aca="false">Motore_Operativo!CH135</f>
        <v>895.833333333334</v>
      </c>
      <c r="AU135" s="15" t="n">
        <f aca="false">MIN(MAX(0,(AV134)+AT135),Parametri_v3!$C$60/12)</f>
        <v>0</v>
      </c>
      <c r="AV135" s="15" t="n">
        <f aca="false">(AV134)+AT135-AU135</f>
        <v>9854.16666666667</v>
      </c>
      <c r="AW135" s="15" t="n">
        <f aca="false">IF(AND(Motore_Operativo!C135=Finanziamenti!$D$6,Finanziamenti!$F$6=1),Finanziamenti!$C$6,0)</f>
        <v>0</v>
      </c>
      <c r="AX135" s="15" t="n">
        <f aca="false">IF(AND(3&lt;&gt;7,3&lt;&gt;9,Finanziamenti!$F$8=1,OR(Parametri_v3!$C$6=0,Finanziamenti!$E$8=1),Motore_Operativo!C135=EDATE(Finanziamenti!$D$8,Ipotesi!E15*12)),Finanziamenti!$C$8*1,0)+IF(AND(3&lt;&gt;7,3&lt;&gt;9,Finanziamenti!$F$9=1,OR(Parametri_v3!$C$6=0,Finanziamenti!$E$9=1),Motore_Operativo!C135=EDATE(Finanziamenti!$D$9,Ipotesi!E15*12)),Finanziamenti!$C$9*Ipotesi!E16,0)</f>
        <v>0</v>
      </c>
      <c r="AY135" s="15" t="n">
        <f aca="false">0</f>
        <v>0</v>
      </c>
      <c r="AZ135" s="15" t="n">
        <f aca="false">Motore_Advisory!AY135*(1-Ipotesi!$C$95)*Ipotesi!$C$96</f>
        <v>0</v>
      </c>
      <c r="BA135" s="15" t="n">
        <f aca="false">MAX(0,MIN(CG135*MIN(1,IF(Motore_Operativo!C135&gt;=EDATE(Finanziamenti!$D$15,Ipotesi!E14*12),Finanziamenti!$C$15,0)+IF(Motore_Operativo!C135&gt;=EDATE(Finanziamenti!$D$16,Ipotesi!E14*12),Finanziamenti!$C$16,0)+IF(Motore_Operativo!C135&gt;=EDATE(Finanziamenti!$D$17,Ipotesi!E14*12),Finanziamenti!$C$17,0)),CA135*Ipotesi!$C$102)-(CC134))</f>
        <v>0</v>
      </c>
      <c r="BB135" s="15" t="n">
        <f aca="false">IF(AND(CF135&gt;0,Motore_Operativo!C135&gt;=IF(CF135=0,0,EDATE(CF135,Parametri_v3!$C$37)),MOD(((D135-YEAR(IF(CF135=0,0,EDATE(CF135,Parametri_v3!$C$37))))*12+E135-MONTH(IF(CF135=0,0,EDATE(CF135,Parametri_v3!$C$37)))),Parametri_v3!$C$38)=0),MIN(MAX(0,(BC134)+BA135-N135),(CC135-CD135)/(Ipotesi!$C$108*12/Parametri_v3!$C$38)),0)</f>
        <v>0</v>
      </c>
      <c r="BC135" s="15" t="n">
        <f aca="false">(BC134)+BA135-N135-BB135</f>
        <v>0</v>
      </c>
      <c r="BD135" s="15" t="n">
        <f aca="false">(BH134)+AC135+AF135-AI135-AS135-K135*(1+Parametri_v3!$C$26)-AL135-AQ135-O135+AW135+AX135+AZ135+BA135-BB135</f>
        <v>7253.2144335611</v>
      </c>
      <c r="BE135" s="15" t="n">
        <f aca="false">MAX(0,MIN(MAX(0,CH135-(BG134)),Parametri_v3!$C$30-BD135))</f>
        <v>17746.7855664389</v>
      </c>
      <c r="BF135" s="15" t="n">
        <f aca="false">IF(Motore_Operativo!C135&gt;=Parametri_v3!$C$63,(BG134),MIN((BG134),MAX(0,BD135-Parametri_v3!$C$30)))</f>
        <v>0</v>
      </c>
      <c r="BG135" s="15" t="n">
        <f aca="false">(BG134)+BE135-BF135</f>
        <v>102599.813084239</v>
      </c>
      <c r="BH135" s="15" t="n">
        <f aca="false">BD135+BE135-BF135-AY135</f>
        <v>25000</v>
      </c>
      <c r="BI135" s="15" t="n">
        <f aca="false">MAX(0,Parametri_v3!$C$30-BH135)</f>
        <v>0</v>
      </c>
      <c r="BJ135" s="15" t="n">
        <f aca="false">(BJ134)+K135</f>
        <v>18333.3333333333</v>
      </c>
      <c r="BK135" s="15" t="n">
        <f aca="false">(BK134)+L135</f>
        <v>3055.55555555556</v>
      </c>
      <c r="BL135" s="15" t="n">
        <f aca="false">BJ135-BK135</f>
        <v>15277.7777777778</v>
      </c>
      <c r="BM135" s="15" t="n">
        <f aca="false">(BM134)+Y135</f>
        <v>-187517.064636188</v>
      </c>
      <c r="BN135" s="15" t="n">
        <f aca="false">(BN134)+AW135+AX135+AZ135</f>
        <v>130000</v>
      </c>
      <c r="BO135" s="15" t="n">
        <f aca="false">(BO134)+AY135</f>
        <v>0</v>
      </c>
      <c r="BP135" s="15" t="n">
        <f aca="false">0</f>
        <v>0</v>
      </c>
      <c r="BQ135" s="15" t="n">
        <f aca="false">BN135+BM135-BO135</f>
        <v>-57517.0646361879</v>
      </c>
      <c r="BR135" s="15" t="n">
        <f aca="false">BH135+AD135+BL135+MAX(0,-AM135)+MAX(0,-AR135)+AG135</f>
        <v>79157.750877193</v>
      </c>
      <c r="BS135" s="15" t="n">
        <f aca="false">AJ135+AV135+MAX(0,AM135)+MAX(0,AR135)+BC135+BG135+BQ135</f>
        <v>79157.750877193</v>
      </c>
      <c r="BT135" s="15" t="n">
        <f aca="false">BR135-BS135</f>
        <v>0</v>
      </c>
      <c r="BU135" s="15" t="n">
        <f aca="false">BH135-(BD135+BE135-BF135-AY135)</f>
        <v>0</v>
      </c>
      <c r="BV135" s="15" t="n">
        <f aca="false">MIN(Piano_SS!$C$6,(BV134)+IF(AND(Motore_Operativo!C135&gt;=EDATE(Parametri_v3!$C$24,Ipotesi!E14*12),Motore_Operativo!C135&lt;EDATE(Parametri_v3!$C$24,Parametri_v3!$C$25+Ipotesi!E14*12)),MAX(0,(Motore_Operativo!Y135+Motore_Operativo!X135*Parametri_v3!$C$14)*(1-Parametri_v3!$C$32))*Piano_SS!$D$6,0))</f>
        <v>23750</v>
      </c>
      <c r="BW135" s="15" t="n">
        <f aca="false">MIN(Piano_SS!$C$7,(BW134)+IF(AND(Motore_Operativo!C135&gt;=EDATE(Parametri_v3!$C$24,Ipotesi!E14*12),Motore_Operativo!C135&lt;EDATE(Parametri_v3!$C$24,Parametri_v3!$C$25+Ipotesi!E14*12)),MAX(0,(IF(11-(INT((Ipotesi!$C$91)/30))&lt;1,0,INDEX(Motore_Operativo!$BN$125:$BN$184,MAX(1,11-(INT((Ipotesi!$C$91)/30)))))*(1-(MOD((Ipotesi!$C$91),30)/30))+IF(11-(INT((Ipotesi!$C$91)/30))-1&lt;1,0,INDEX(Motore_Operativo!$BN$125:$BN$184,MAX(1,11-(INT((Ipotesi!$C$91)/30))-1)))*(MOD((Ipotesi!$C$91),30)/30)))*Piano_SS!$D$7,0))</f>
        <v>6431.48148148148</v>
      </c>
      <c r="BX135" s="15" t="n">
        <f aca="false">MIN(Piano_SS!$C$8,(BX134)+IF(AND(Motore_Operativo!C135&gt;=EDATE(Parametri_v3!$C$24,Ipotesi!E14*12),Motore_Operativo!C135&lt;EDATE(Parametri_v3!$C$24,Parametri_v3!$C$25+Ipotesi!E14*12)),MAX(0,Motore_Operativo!CE135)*Piano_SS!$D$8,0))</f>
        <v>8333.33333333333</v>
      </c>
      <c r="BY135" s="15" t="n">
        <f aca="false">MIN(Piano_SS!$C$9,(BY134)+IF(AND(Motore_Operativo!C135&gt;=EDATE(Parametri_v3!$C$24,Ipotesi!E14*12),Motore_Operativo!C135&lt;EDATE(Parametri_v3!$C$24,Parametri_v3!$C$25+Ipotesi!E14*12)),MAX(0,((IF(11-(INT((Ipotesi!$C$91)/30))&lt;1,0,INDEX(Motore_Operativo!$BQ$125:$BQ$184,MAX(1,11-(INT((Ipotesi!$C$91)/30)))))*(1-(MOD((Ipotesi!$C$91),30)/30))+IF(11-(INT((Ipotesi!$C$91)/30))-1&lt;1,0,INDEX(Motore_Operativo!$BQ$125:$BQ$184,MAX(1,11-(INT((Ipotesi!$C$91)/30))-1)))*(MOD((Ipotesi!$C$91),30)/30))+(IF(11-(INT((Ipotesi!$C$91)/30))&lt;1,0,INDEX(Motore_Operativo!$BR$125:$BR$184,MAX(1,11-(INT((Ipotesi!$C$91)/30)))))*(1-(MOD((Ipotesi!$C$91),30)/30))+IF(11-(INT((Ipotesi!$C$91)/30))-1&lt;1,0,INDEX(Motore_Operativo!$BR$125:$BR$184,MAX(1,11-(INT((Ipotesi!$C$91)/30))-1)))*(MOD((Ipotesi!$C$91),30)/30))))*Piano_SS!$D$9,0))</f>
        <v>11250</v>
      </c>
      <c r="BZ135" s="15" t="n">
        <f aca="false">MIN(Piano_SS!$C$10,(BZ134)+IF(AND(Motore_Operativo!C135&gt;=EDATE(Parametri_v3!$C$24,Ipotesi!E14*12),Motore_Operativo!C135&lt;EDATE(Parametri_v3!$C$24,Parametri_v3!$C$25+Ipotesi!E14*12)),MAX(0,(IF(11-(INT((Ipotesi!$C$91)/30))&lt;1,0,INDEX(Motore_Operativo!$BO$125:$BO$184,MAX(1,11-(INT((Ipotesi!$C$91)/30)))))*(1-(MOD((Ipotesi!$C$91),30)/30))+IF(11-(INT((Ipotesi!$C$91)/30))-1&lt;1,0,INDEX(Motore_Operativo!$BO$125:$BO$184,MAX(1,11-(INT((Ipotesi!$C$91)/30))-1)))*(MOD((Ipotesi!$C$91),30)/30)))*Piano_SS!$D$10,0))</f>
        <v>5000</v>
      </c>
      <c r="CA135" s="15" t="n">
        <f aca="false">SUM(BV135:BZ135)</f>
        <v>54764.8148148148</v>
      </c>
      <c r="CB135" s="15" t="n">
        <f aca="false">BV135*(1-Piano_SS!$E$6)+BW135*(1-Piano_SS!$E$7)+BX135*(1-Piano_SS!$E$8)+BY135*(1-Piano_SS!$E$9)+BZ135*(1-Piano_SS!$E$10)</f>
        <v>49764.8148148148</v>
      </c>
      <c r="CC135" s="15" t="n">
        <f aca="false">(CC134)+BA135</f>
        <v>0</v>
      </c>
      <c r="CD135" s="15" t="n">
        <f aca="false">IF(CA135=0,0,CC135*CB135/CA135*Ipotesi!$C$103*Parametri_v3!$C$64)</f>
        <v>0</v>
      </c>
      <c r="CE135" s="18" t="n">
        <f aca="false">IF(BA135&gt;0,Motore_Operativo!C135,(CE134))</f>
        <v>0</v>
      </c>
      <c r="CF135" s="18" t="n">
        <f aca="false">IF(AND(CC135&gt;0,OR(CC135&gt;=CG135-0.01,Motore_Operativo!C135&gt;=EDATE(MAX(Finanziamenti!$D$15:$D$17),Ipotesi!E14*12))),CE135,0)</f>
        <v>0</v>
      </c>
      <c r="CG135" s="15" t="n">
        <f aca="false">IF(AND(3&lt;&gt;6,3&lt;&gt;9,Finanziamenti!$F$11=1,OR(Parametri_v3!$C$6=0,Finanziamenti!$E$11=1)),MIN(Finanziamenti!$C$11,Piano_SS!$C$12*Ipotesi!$C$102),0)</f>
        <v>400000</v>
      </c>
      <c r="CH135" s="15" t="n">
        <f aca="false">IF(AND(AND(3&lt;&gt;8,3&lt;&gt;9,Finanziamenti!$F$10=1,OR(Parametri_v3!$C$6=0,Finanziamenti!$E$10=1)),Motore_Operativo!C135&gt;=Finanziamenti!$D$10,Motore_Operativo!C135&lt;Parametri_v3!$C$63),Finanziamenti!$C$10,0)</f>
        <v>150000</v>
      </c>
    </row>
    <row r="136" customFormat="false" ht="18" hidden="false" customHeight="true" outlineLevel="0" collapsed="false">
      <c r="A136" s="68" t="n">
        <f aca="false">3</f>
        <v>3</v>
      </c>
      <c r="B136" s="68" t="n">
        <f aca="false">12</f>
        <v>12</v>
      </c>
      <c r="C136" s="18" t="n">
        <f aca="false">Motore_Operativo!C136</f>
        <v>46722</v>
      </c>
      <c r="D136" s="68" t="n">
        <f aca="false">Motore_Operativo!D136</f>
        <v>2027</v>
      </c>
      <c r="E136" s="68" t="n">
        <f aca="false">Motore_Operativo!E136</f>
        <v>12</v>
      </c>
      <c r="F136" s="15" t="n">
        <f aca="false">Motore_Operativo!AQ136+Motore_Operativo!BF136</f>
        <v>10341.8518518519</v>
      </c>
      <c r="G136" s="15" t="n">
        <f aca="false">Motore_Operativo!BH136</f>
        <v>1621.05263157895</v>
      </c>
      <c r="H136" s="15" t="n">
        <f aca="false">Motore_Operativo!BI136</f>
        <v>11962.9044834308</v>
      </c>
      <c r="I136" s="15" t="n">
        <f aca="false">Motore_Operativo!CA136</f>
        <v>27996.87417154</v>
      </c>
      <c r="J136" s="15" t="n">
        <f aca="false">Motore_Operativo!CC136</f>
        <v>-16033.9696881092</v>
      </c>
      <c r="K136" s="15" t="n">
        <f aca="false">Motore_Operativo!CE136</f>
        <v>1666.66666666667</v>
      </c>
      <c r="L136" s="15" t="n">
        <f aca="false">SUM(INDEX($K$125:$K$184,MAX(1,12-Parametri_v3!$C$59+1)):K136)/Parametri_v3!$C$59</f>
        <v>555.555555555556</v>
      </c>
      <c r="M136" s="15" t="n">
        <f aca="false">J136-L136</f>
        <v>-16589.5252436647</v>
      </c>
      <c r="N136" s="15" t="n">
        <f aca="false">CD136-(CD135)</f>
        <v>14339.7333333333</v>
      </c>
      <c r="O136" s="15" t="n">
        <f aca="false">(BG135)*Ipotesi!$C$110/12+CH136*Parametri_v3!$C$39/12</f>
        <v>512.999065421193</v>
      </c>
      <c r="P136" s="15" t="n">
        <f aca="false">M136+N136-O136</f>
        <v>-2762.79097575258</v>
      </c>
      <c r="Q136" s="15" t="n">
        <f aca="false">SUM(P125:P136)+Parametri_v3!$C$54*12/12</f>
        <v>-190279.85561194</v>
      </c>
      <c r="R136" s="15" t="n">
        <f aca="false">0</f>
        <v>0</v>
      </c>
      <c r="S136" s="15" t="n">
        <f aca="false">0</f>
        <v>0</v>
      </c>
      <c r="T136" s="15" t="n">
        <f aca="false">MIN(R136,MAX(0,Q136))</f>
        <v>0</v>
      </c>
      <c r="U136" s="15" t="n">
        <f aca="false">MIN(S136,MAX(0,Q136-T136)*Parametri_v3!$C$42)</f>
        <v>0</v>
      </c>
      <c r="V136" s="15" t="n">
        <f aca="false">MAX(0,Q136-T136-U136)*Ipotesi!$C$92</f>
        <v>0</v>
      </c>
      <c r="W136" s="15" t="n">
        <f aca="false">MAX(0,SUM(M125:M136)+Parametri_v3!$C$55*12/12)*Ipotesi!$C$93</f>
        <v>0</v>
      </c>
      <c r="X136" s="15" t="n">
        <f aca="false">V136+W136-(V135+W135)</f>
        <v>0</v>
      </c>
      <c r="Y136" s="15" t="n">
        <f aca="false">P136-X136</f>
        <v>-2762.79097575258</v>
      </c>
      <c r="Z136" s="15" t="n">
        <f aca="false">R136-T136+IF(AND(Parametri_v3!$C$40=1,D136-YEAR(Parametri_v3!$C$50)&lt;Parametri_v3!$C$41),MAX(0,-Q136),0)</f>
        <v>190279.85561194</v>
      </c>
      <c r="AA136" s="15" t="n">
        <f aca="false">S136-U136+IF(AND(Parametri_v3!$C$40=1,D136-YEAR(Parametri_v3!$C$50)&lt;Parametri_v3!$C$41),0,MAX(0,-Q136))</f>
        <v>0</v>
      </c>
      <c r="AB136" s="15" t="n">
        <f aca="false">F136*(1+Parametri_v3!$C$26)</f>
        <v>12617.0592592593</v>
      </c>
      <c r="AC136" s="15" t="n">
        <f aca="false">(IF(12-(INT((Motore_Operativo!L136)/30))&lt;1,0,INDEX(Motore_Startup!$AB$125:$AB$184,MAX(1,12-(INT((Motore_Operativo!L136)/30)))))*(1-(MOD((Motore_Operativo!L136),30)/30))+IF(12-(INT((Motore_Operativo!L136)/30))-1&lt;1,0,INDEX(Motore_Startup!$AB$125:$AB$184,MAX(1,12-(INT((Motore_Operativo!L136)/30))-1)))*(MOD((Motore_Operativo!L136),30)/30))</f>
        <v>12142.6148148148</v>
      </c>
      <c r="AD136" s="15" t="n">
        <f aca="false">(AD135)+AB136-AC136</f>
        <v>37376.7333333333</v>
      </c>
      <c r="AE136" s="15" t="n">
        <f aca="false">Motore_Operativo!BH136*(1+Parametri_v3!$C$26)</f>
        <v>1977.68421052632</v>
      </c>
      <c r="AF136" s="15" t="n">
        <f aca="false">(IF(12-(INT((Parametri_v3!$C$29)/30))&lt;1,0,INDEX(Motore_Operativo!$BH$125:$BH$184,MAX(1,12-(INT((Parametri_v3!$C$29)/30)))))*(1-(MOD((Parametri_v3!$C$29),30)/30))+IF(12-(INT((Parametri_v3!$C$29)/30))-1&lt;1,0,INDEX(Motore_Operativo!$BH$125:$BH$184,MAX(1,12-(INT((Parametri_v3!$C$29)/30))-1)))*(MOD((Parametri_v3!$C$29),30)/30))*(1+Parametri_v3!$C$26)</f>
        <v>1977.68421052632</v>
      </c>
      <c r="AG136" s="15" t="n">
        <f aca="false">(AG135)+AE136-AF136</f>
        <v>1977.68421052632</v>
      </c>
      <c r="AH136" s="15" t="n">
        <f aca="false">(Motore_Operativo!CJ136)*(1+Parametri_v3!$C$27*Parametri_v3!$C$26)</f>
        <v>11965.2063082846</v>
      </c>
      <c r="AI136" s="15" t="n">
        <f aca="false">(IF(12-(INT((Ipotesi!$C$91)/30))&lt;1,0,INDEX(Motore_Startup!$AH$125:$AH$184,MAX(1,12-(INT((Ipotesi!$C$91)/30)))))*(1-(MOD((Ipotesi!$C$91),30)/30))+IF(12-(INT((Ipotesi!$C$91)/30))-1&lt;1,0,INDEX(Motore_Startup!$AH$125:$AH$184,MAX(1,12-(INT((Ipotesi!$C$91)/30))-1)))*(MOD((Ipotesi!$C$91),30)/30))</f>
        <v>11922.1226045809</v>
      </c>
      <c r="AJ136" s="15" t="n">
        <f aca="false">(AJ135)+AH136-AI136</f>
        <v>23908.8707647173</v>
      </c>
      <c r="AK136" s="15" t="n">
        <f aca="false">(F136+ Motore_Operativo!BH136-(Motore_Operativo!CJ136)*Parametri_v3!$C$27-Motore_Operativo!CE136)*Parametri_v3!$C$26</f>
        <v>380.173516276803</v>
      </c>
      <c r="AL136" s="15" t="n">
        <f aca="false">MAX(0,(AM135))</f>
        <v>355.048701461989</v>
      </c>
      <c r="AM136" s="15" t="n">
        <f aca="false">(AM135)+AK136-AL136</f>
        <v>380.173516276803</v>
      </c>
      <c r="AN136" s="15" t="n">
        <f aca="false">0</f>
        <v>0</v>
      </c>
      <c r="AO136" s="15" t="n">
        <f aca="false">0</f>
        <v>0</v>
      </c>
      <c r="AP136" s="15" t="n">
        <f aca="false">MAX(0,AN136)*IF(12=Parametri_v3!$C$43,Parametri_v3!$C$45,IF(12=Parametri_v3!$C$44,1-Parametri_v3!$C$45,0))</f>
        <v>0</v>
      </c>
      <c r="AQ136" s="15" t="n">
        <f aca="false">MAX(0,AP136+IF(12=Parametri_v3!$C$43,MAX(0,AN136-AO136),0)-MAX(0,-(AR135)))</f>
        <v>0</v>
      </c>
      <c r="AR136" s="15" t="n">
        <f aca="false">(AR135)+X136-AQ136</f>
        <v>0</v>
      </c>
      <c r="AS136" s="15" t="n">
        <f aca="false">Motore_Operativo!AB136-AT136+AU136</f>
        <v>17020.8333333333</v>
      </c>
      <c r="AT136" s="15" t="n">
        <f aca="false">Motore_Operativo!CH136</f>
        <v>895.833333333334</v>
      </c>
      <c r="AU136" s="15" t="n">
        <f aca="false">MIN(MAX(0,(AV135)+AT136),Parametri_v3!$C$60/12)</f>
        <v>0</v>
      </c>
      <c r="AV136" s="15" t="n">
        <f aca="false">(AV135)+AT136-AU136</f>
        <v>10750</v>
      </c>
      <c r="AW136" s="15" t="n">
        <f aca="false">IF(AND(Motore_Operativo!C136=Finanziamenti!$D$6,Finanziamenti!$F$6=1),Finanziamenti!$C$6,0)</f>
        <v>0</v>
      </c>
      <c r="AX136" s="15" t="n">
        <f aca="false">IF(AND(3&lt;&gt;7,3&lt;&gt;9,Finanziamenti!$F$8=1,OR(Parametri_v3!$C$6=0,Finanziamenti!$E$8=1),Motore_Operativo!C136=EDATE(Finanziamenti!$D$8,Ipotesi!E15*12)),Finanziamenti!$C$8*1,0)+IF(AND(3&lt;&gt;7,3&lt;&gt;9,Finanziamenti!$F$9=1,OR(Parametri_v3!$C$6=0,Finanziamenti!$E$9=1),Motore_Operativo!C136=EDATE(Finanziamenti!$D$9,Ipotesi!E15*12)),Finanziamenti!$C$9*Ipotesi!E16,0)</f>
        <v>0</v>
      </c>
      <c r="AY136" s="15" t="n">
        <f aca="false">0</f>
        <v>0</v>
      </c>
      <c r="AZ136" s="15" t="n">
        <f aca="false">Motore_Advisory!AY136*(1-Ipotesi!$C$95)*Ipotesi!$C$96</f>
        <v>0</v>
      </c>
      <c r="BA136" s="15" t="n">
        <f aca="false">MAX(0,MIN(CG136*MIN(1,IF(Motore_Operativo!C136&gt;=EDATE(Finanziamenti!$D$15,Ipotesi!E14*12),Finanziamenti!$C$15,0)+IF(Motore_Operativo!C136&gt;=EDATE(Finanziamenti!$D$16,Ipotesi!E14*12),Finanziamenti!$C$16,0)+IF(Motore_Operativo!C136&gt;=EDATE(Finanziamenti!$D$17,Ipotesi!E14*12),Finanziamenti!$C$17,0)),CA136*Ipotesi!$C$102)-(CC135))</f>
        <v>52599.1111111111</v>
      </c>
      <c r="BB136" s="15" t="n">
        <f aca="false">IF(AND(CF136&gt;0,Motore_Operativo!C136&gt;=IF(CF136=0,0,EDATE(CF136,Parametri_v3!$C$37)),MOD(((D136-YEAR(IF(CF136=0,0,EDATE(CF136,Parametri_v3!$C$37))))*12+E136-MONTH(IF(CF136=0,0,EDATE(CF136,Parametri_v3!$C$37)))),Parametri_v3!$C$38)=0),MIN(MAX(0,(BC135)+BA136-N136),(CC136-CD136)/(Ipotesi!$C$108*12/Parametri_v3!$C$38)),0)</f>
        <v>0</v>
      </c>
      <c r="BC136" s="15" t="n">
        <f aca="false">(BC135)+BA136-N136-BB136</f>
        <v>38259.3777777778</v>
      </c>
      <c r="BD136" s="15" t="n">
        <f aca="false">(BH135)+AC136+AF136-AI136-AS136-K136*(1+Parametri_v3!$C$26)-AL136-AQ136-O136+AW136+AX136+AZ136+BA136-BB136</f>
        <v>59875.0730983215</v>
      </c>
      <c r="BE136" s="15" t="n">
        <f aca="false">MAX(0,MIN(MAX(0,CH136-(BG135)),Parametri_v3!$C$30-BD136))</f>
        <v>0</v>
      </c>
      <c r="BF136" s="15" t="n">
        <f aca="false">IF(Motore_Operativo!C136&gt;=Parametri_v3!$C$63,(BG135),MIN((BG135),MAX(0,BD136-Parametri_v3!$C$30)))</f>
        <v>34875.0730983215</v>
      </c>
      <c r="BG136" s="15" t="n">
        <f aca="false">(BG135)+BE136-BF136</f>
        <v>67724.7399859171</v>
      </c>
      <c r="BH136" s="15" t="n">
        <f aca="false">BD136+BE136-BF136-AY136</f>
        <v>25000</v>
      </c>
      <c r="BI136" s="15" t="n">
        <f aca="false">MAX(0,Parametri_v3!$C$30-BH136)</f>
        <v>0</v>
      </c>
      <c r="BJ136" s="15" t="n">
        <f aca="false">(BJ135)+K136</f>
        <v>20000</v>
      </c>
      <c r="BK136" s="15" t="n">
        <f aca="false">(BK135)+L136</f>
        <v>3611.11111111111</v>
      </c>
      <c r="BL136" s="15" t="n">
        <f aca="false">BJ136-BK136</f>
        <v>16388.8888888889</v>
      </c>
      <c r="BM136" s="15" t="n">
        <f aca="false">(BM135)+Y136</f>
        <v>-190279.85561194</v>
      </c>
      <c r="BN136" s="15" t="n">
        <f aca="false">(BN135)+AW136+AX136+AZ136</f>
        <v>130000</v>
      </c>
      <c r="BO136" s="15" t="n">
        <f aca="false">(BO135)+AY136</f>
        <v>0</v>
      </c>
      <c r="BP136" s="15" t="n">
        <f aca="false">0</f>
        <v>0</v>
      </c>
      <c r="BQ136" s="15" t="n">
        <f aca="false">BN136+BM136-BO136</f>
        <v>-60279.8556119405</v>
      </c>
      <c r="BR136" s="15" t="n">
        <f aca="false">BH136+AD136+BL136+MAX(0,-AM136)+MAX(0,-AR136)+AG136</f>
        <v>80743.3064327485</v>
      </c>
      <c r="BS136" s="15" t="n">
        <f aca="false">AJ136+AV136+MAX(0,AM136)+MAX(0,AR136)+BC136+BG136+BQ136</f>
        <v>80743.3064327486</v>
      </c>
      <c r="BT136" s="15" t="n">
        <f aca="false">BR136-BS136</f>
        <v>0</v>
      </c>
      <c r="BU136" s="15" t="n">
        <f aca="false">BH136-(BD136+BE136-BF136-AY136)</f>
        <v>0</v>
      </c>
      <c r="BV136" s="15" t="n">
        <f aca="false">MIN(Piano_SS!$C$6,(BV135)+IF(AND(Motore_Operativo!C136&gt;=EDATE(Parametri_v3!$C$24,Ipotesi!E14*12),Motore_Operativo!C136&lt;EDATE(Parametri_v3!$C$24,Parametri_v3!$C$25+Ipotesi!E14*12)),MAX(0,(Motore_Operativo!Y136+Motore_Operativo!X136*Parametri_v3!$C$14)*(1-Parametri_v3!$C$32))*Piano_SS!$D$6,0))</f>
        <v>28500</v>
      </c>
      <c r="BW136" s="15" t="n">
        <f aca="false">MIN(Piano_SS!$C$7,(BW135)+IF(AND(Motore_Operativo!C136&gt;=EDATE(Parametri_v3!$C$24,Ipotesi!E14*12),Motore_Operativo!C136&lt;EDATE(Parametri_v3!$C$24,Parametri_v3!$C$25+Ipotesi!E14*12)),MAX(0,(IF(12-(INT((Ipotesi!$C$91)/30))&lt;1,0,INDEX(Motore_Operativo!$BN$125:$BN$184,MAX(1,12-(INT((Ipotesi!$C$91)/30)))))*(1-(MOD((Ipotesi!$C$91),30)/30))+IF(12-(INT((Ipotesi!$C$91)/30))-1&lt;1,0,INDEX(Motore_Operativo!$BN$125:$BN$184,MAX(1,12-(INT((Ipotesi!$C$91)/30))-1)))*(MOD((Ipotesi!$C$91),30)/30)))*Piano_SS!$D$7,0))</f>
        <v>7748.88888888889</v>
      </c>
      <c r="BX136" s="15" t="n">
        <f aca="false">MIN(Piano_SS!$C$8,(BX135)+IF(AND(Motore_Operativo!C136&gt;=EDATE(Parametri_v3!$C$24,Ipotesi!E14*12),Motore_Operativo!C136&lt;EDATE(Parametri_v3!$C$24,Parametri_v3!$C$25+Ipotesi!E14*12)),MAX(0,Motore_Operativo!CE136)*Piano_SS!$D$8,0))</f>
        <v>10000</v>
      </c>
      <c r="BY136" s="15" t="n">
        <f aca="false">MIN(Piano_SS!$C$9,(BY135)+IF(AND(Motore_Operativo!C136&gt;=EDATE(Parametri_v3!$C$24,Ipotesi!E14*12),Motore_Operativo!C136&lt;EDATE(Parametri_v3!$C$24,Parametri_v3!$C$25+Ipotesi!E14*12)),MAX(0,((IF(12-(INT((Ipotesi!$C$91)/30))&lt;1,0,INDEX(Motore_Operativo!$BQ$125:$BQ$184,MAX(1,12-(INT((Ipotesi!$C$91)/30)))))*(1-(MOD((Ipotesi!$C$91),30)/30))+IF(12-(INT((Ipotesi!$C$91)/30))-1&lt;1,0,INDEX(Motore_Operativo!$BQ$125:$BQ$184,MAX(1,12-(INT((Ipotesi!$C$91)/30))-1)))*(MOD((Ipotesi!$C$91),30)/30))+(IF(12-(INT((Ipotesi!$C$91)/30))&lt;1,0,INDEX(Motore_Operativo!$BR$125:$BR$184,MAX(1,12-(INT((Ipotesi!$C$91)/30)))))*(1-(MOD((Ipotesi!$C$91),30)/30))+IF(12-(INT((Ipotesi!$C$91)/30))-1&lt;1,0,INDEX(Motore_Operativo!$BR$125:$BR$184,MAX(1,12-(INT((Ipotesi!$C$91)/30))-1)))*(MOD((Ipotesi!$C$91),30)/30))))*Piano_SS!$D$9,0))</f>
        <v>13500</v>
      </c>
      <c r="BZ136" s="15" t="n">
        <f aca="false">MIN(Piano_SS!$C$10,(BZ135)+IF(AND(Motore_Operativo!C136&gt;=EDATE(Parametri_v3!$C$24,Ipotesi!E14*12),Motore_Operativo!C136&lt;EDATE(Parametri_v3!$C$24,Parametri_v3!$C$25+Ipotesi!E14*12)),MAX(0,(IF(12-(INT((Ipotesi!$C$91)/30))&lt;1,0,INDEX(Motore_Operativo!$BO$125:$BO$184,MAX(1,12-(INT((Ipotesi!$C$91)/30)))))*(1-(MOD((Ipotesi!$C$91),30)/30))+IF(12-(INT((Ipotesi!$C$91)/30))-1&lt;1,0,INDEX(Motore_Operativo!$BO$125:$BO$184,MAX(1,12-(INT((Ipotesi!$C$91)/30))-1)))*(MOD((Ipotesi!$C$91),30)/30)))*Piano_SS!$D$10,0))</f>
        <v>6000</v>
      </c>
      <c r="CA136" s="15" t="n">
        <f aca="false">SUM(BV136:BZ136)</f>
        <v>65748.8888888889</v>
      </c>
      <c r="CB136" s="15" t="n">
        <f aca="false">BV136*(1-Piano_SS!$E$6)+BW136*(1-Piano_SS!$E$7)+BX136*(1-Piano_SS!$E$8)+BY136*(1-Piano_SS!$E$9)+BZ136*(1-Piano_SS!$E$10)</f>
        <v>59748.8888888889</v>
      </c>
      <c r="CC136" s="15" t="n">
        <f aca="false">(CC135)+BA136</f>
        <v>52599.1111111111</v>
      </c>
      <c r="CD136" s="15" t="n">
        <f aca="false">IF(CA136=0,0,CC136*CB136/CA136*Ipotesi!$C$103*Parametri_v3!$C$64)</f>
        <v>14339.7333333333</v>
      </c>
      <c r="CE136" s="18" t="n">
        <f aca="false">IF(BA136&gt;0,Motore_Operativo!C136,(CE135))</f>
        <v>46722</v>
      </c>
      <c r="CF136" s="18" t="n">
        <f aca="false">IF(AND(CC136&gt;0,OR(CC136&gt;=CG136-0.01,Motore_Operativo!C136&gt;=EDATE(MAX(Finanziamenti!$D$15:$D$17),Ipotesi!E14*12))),CE136,0)</f>
        <v>0</v>
      </c>
      <c r="CG136" s="15" t="n">
        <f aca="false">IF(AND(3&lt;&gt;6,3&lt;&gt;9,Finanziamenti!$F$11=1,OR(Parametri_v3!$C$6=0,Finanziamenti!$E$11=1)),MIN(Finanziamenti!$C$11,Piano_SS!$C$12*Ipotesi!$C$102),0)</f>
        <v>400000</v>
      </c>
      <c r="CH136" s="15" t="n">
        <f aca="false">IF(AND(AND(3&lt;&gt;8,3&lt;&gt;9,Finanziamenti!$F$10=1,OR(Parametri_v3!$C$6=0,Finanziamenti!$E$10=1)),Motore_Operativo!C136&gt;=Finanziamenti!$D$10,Motore_Operativo!C136&lt;Parametri_v3!$C$63),Finanziamenti!$C$10,0)</f>
        <v>150000</v>
      </c>
    </row>
    <row r="137" customFormat="false" ht="18" hidden="false" customHeight="true" outlineLevel="0" collapsed="false">
      <c r="A137" s="68" t="n">
        <f aca="false">3</f>
        <v>3</v>
      </c>
      <c r="B137" s="68" t="n">
        <f aca="false">13</f>
        <v>13</v>
      </c>
      <c r="C137" s="18" t="n">
        <f aca="false">Motore_Operativo!C137</f>
        <v>46753</v>
      </c>
      <c r="D137" s="68" t="n">
        <f aca="false">Motore_Operativo!D137</f>
        <v>2028</v>
      </c>
      <c r="E137" s="68" t="n">
        <f aca="false">Motore_Operativo!E137</f>
        <v>1</v>
      </c>
      <c r="F137" s="15" t="n">
        <f aca="false">Motore_Operativo!AQ137+Motore_Operativo!BF137</f>
        <v>26925.2181205529</v>
      </c>
      <c r="G137" s="15" t="n">
        <f aca="false">Motore_Operativo!BH137</f>
        <v>3398.1220657277</v>
      </c>
      <c r="H137" s="15" t="n">
        <f aca="false">Motore_Operativo!BI137</f>
        <v>30323.3401862806</v>
      </c>
      <c r="I137" s="15" t="n">
        <f aca="false">Motore_Operativo!CA137</f>
        <v>57241.6408655159</v>
      </c>
      <c r="J137" s="15" t="n">
        <f aca="false">Motore_Operativo!CC137</f>
        <v>-26918.3006792353</v>
      </c>
      <c r="K137" s="15" t="n">
        <f aca="false">Motore_Operativo!CE137</f>
        <v>2083.33333333333</v>
      </c>
      <c r="L137" s="15" t="n">
        <f aca="false">SUM(INDEX($K$125:$K$184,MAX(1,13-Parametri_v3!$C$59+1)):K137)/Parametri_v3!$C$59</f>
        <v>613.425925925926</v>
      </c>
      <c r="M137" s="15" t="n">
        <f aca="false">J137-L137</f>
        <v>-27531.7266051613</v>
      </c>
      <c r="N137" s="15" t="n">
        <f aca="false">CD137-(CD136)</f>
        <v>4294.16666666666</v>
      </c>
      <c r="O137" s="15" t="n">
        <f aca="false">(BG136)*Ipotesi!$C$110/12+CH137*Parametri_v3!$C$39/12</f>
        <v>338.623699929586</v>
      </c>
      <c r="P137" s="15" t="n">
        <f aca="false">M137+N137-O137</f>
        <v>-23576.1836384242</v>
      </c>
      <c r="Q137" s="15" t="n">
        <f aca="false">SUM(P137)+Parametri_v3!$C$54*1/12</f>
        <v>-23576.1836384242</v>
      </c>
      <c r="R137" s="15" t="n">
        <f aca="false">Z136</f>
        <v>190279.85561194</v>
      </c>
      <c r="S137" s="15" t="n">
        <f aca="false">AA136</f>
        <v>0</v>
      </c>
      <c r="T137" s="15" t="n">
        <f aca="false">MIN(R137,MAX(0,Q137))</f>
        <v>0</v>
      </c>
      <c r="U137" s="15" t="n">
        <f aca="false">MIN(S137,MAX(0,Q137-T137)*Parametri_v3!$C$42)</f>
        <v>0</v>
      </c>
      <c r="V137" s="15" t="n">
        <f aca="false">MAX(0,Q137-T137-U137)*Ipotesi!$C$92</f>
        <v>0</v>
      </c>
      <c r="W137" s="15" t="n">
        <f aca="false">MAX(0,SUM(M137)+Parametri_v3!$C$55*1/12)*Ipotesi!$C$93</f>
        <v>0</v>
      </c>
      <c r="X137" s="15" t="n">
        <f aca="false">V137+W137-(0)</f>
        <v>0</v>
      </c>
      <c r="Y137" s="15" t="n">
        <f aca="false">P137-X137</f>
        <v>-23576.1836384242</v>
      </c>
      <c r="Z137" s="15" t="n">
        <f aca="false">R137-T137+IF(AND(Parametri_v3!$C$40=1,D137-YEAR(Parametri_v3!$C$50)&lt;Parametri_v3!$C$41),MAX(0,-Q137),0)</f>
        <v>213856.039250365</v>
      </c>
      <c r="AA137" s="15" t="n">
        <f aca="false">S137-U137+IF(AND(Parametri_v3!$C$40=1,D137-YEAR(Parametri_v3!$C$50)&lt;Parametri_v3!$C$41),0,MAX(0,-Q137))</f>
        <v>0</v>
      </c>
      <c r="AB137" s="15" t="n">
        <f aca="false">F137*(1+Parametri_v3!$C$26)</f>
        <v>32848.7661070745</v>
      </c>
      <c r="AC137" s="15" t="n">
        <f aca="false">(IF(13-(INT((Motore_Operativo!L137)/30))&lt;1,0,INDEX(Motore_Startup!$AB$125:$AB$184,MAX(1,13-(INT((Motore_Operativo!L137)/30)))))*(1-(MOD((Motore_Operativo!L137),30)/30))+IF(13-(INT((Motore_Operativo!L137)/30))-1&lt;1,0,INDEX(Motore_Startup!$AB$125:$AB$184,MAX(1,13-(INT((Motore_Operativo!L137)/30))-1)))*(MOD((Motore_Operativo!L137),30)/30))</f>
        <v>12300.762962963</v>
      </c>
      <c r="AD137" s="15" t="n">
        <f aca="false">(AD136)+AB137-AC137</f>
        <v>57924.7364774448</v>
      </c>
      <c r="AE137" s="15" t="n">
        <f aca="false">Motore_Operativo!BH137*(1+Parametri_v3!$C$26)</f>
        <v>4145.70892018779</v>
      </c>
      <c r="AF137" s="15" t="n">
        <f aca="false">(IF(13-(INT((Parametri_v3!$C$29)/30))&lt;1,0,INDEX(Motore_Operativo!$BH$125:$BH$184,MAX(1,13-(INT((Parametri_v3!$C$29)/30)))))*(1-(MOD((Parametri_v3!$C$29),30)/30))+IF(13-(INT((Parametri_v3!$C$29)/30))-1&lt;1,0,INDEX(Motore_Operativo!$BH$125:$BH$184,MAX(1,13-(INT((Parametri_v3!$C$29)/30))-1)))*(MOD((Parametri_v3!$C$29),30)/30))*(1+Parametri_v3!$C$26)</f>
        <v>1977.68421052632</v>
      </c>
      <c r="AG137" s="15" t="n">
        <f aca="false">(AG136)+AE137-AF137</f>
        <v>4145.70892018779</v>
      </c>
      <c r="AH137" s="15" t="n">
        <f aca="false">(Motore_Operativo!CJ137)*(1+Parametri_v3!$C$27*Parametri_v3!$C$26)</f>
        <v>20747.7402073674</v>
      </c>
      <c r="AI137" s="15" t="n">
        <f aca="false">(IF(13-(INT((Ipotesi!$C$91)/30))&lt;1,0,INDEX(Motore_Startup!$AH$125:$AH$184,MAX(1,13-(INT((Ipotesi!$C$91)/30)))))*(1-(MOD((Ipotesi!$C$91),30)/30))+IF(13-(INT((Ipotesi!$C$91)/30))-1&lt;1,0,INDEX(Motore_Startup!$AH$125:$AH$184,MAX(1,13-(INT((Ipotesi!$C$91)/30))-1)))*(MOD((Ipotesi!$C$91),30)/30))</f>
        <v>11943.6644564327</v>
      </c>
      <c r="AJ137" s="15" t="n">
        <f aca="false">(AJ136)+AH137-AI137</f>
        <v>32712.946515652</v>
      </c>
      <c r="AK137" s="15" t="n">
        <f aca="false">(F137+ Motore_Operativo!BH137-(Motore_Operativo!CJ137)*Parametri_v3!$C$27-Motore_Operativo!CE137)*Parametri_v3!$C$26</f>
        <v>2944.20216579692</v>
      </c>
      <c r="AL137" s="15" t="n">
        <f aca="false">MAX(0,(AM136))</f>
        <v>380.173516276803</v>
      </c>
      <c r="AM137" s="15" t="n">
        <f aca="false">(AM136)+AK137-AL137</f>
        <v>2944.20216579692</v>
      </c>
      <c r="AN137" s="15" t="n">
        <f aca="false">SUM(X125:X136)</f>
        <v>0</v>
      </c>
      <c r="AO137" s="15" t="n">
        <f aca="false">SUM(AP125:AP136)</f>
        <v>0</v>
      </c>
      <c r="AP137" s="15" t="n">
        <f aca="false">MAX(0,AN137)*IF(1=Parametri_v3!$C$43,Parametri_v3!$C$45,IF(1=Parametri_v3!$C$44,1-Parametri_v3!$C$45,0))</f>
        <v>0</v>
      </c>
      <c r="AQ137" s="15" t="n">
        <f aca="false">MAX(0,AP137+IF(1=Parametri_v3!$C$43,MAX(0,AN137-AO137),0)-MAX(0,-(AR136)))</f>
        <v>0</v>
      </c>
      <c r="AR137" s="15" t="n">
        <f aca="false">(AR136)+X137-AQ137</f>
        <v>0</v>
      </c>
      <c r="AS137" s="15" t="n">
        <f aca="false">Motore_Operativo!AB137-AT137+AU137</f>
        <v>37774.375</v>
      </c>
      <c r="AT137" s="15" t="n">
        <f aca="false">Motore_Operativo!CH137</f>
        <v>1988.125</v>
      </c>
      <c r="AU137" s="15" t="n">
        <f aca="false">MIN(MAX(0,(AV136)+AT137),Parametri_v3!$C$60/12)</f>
        <v>0</v>
      </c>
      <c r="AV137" s="15" t="n">
        <f aca="false">(AV136)+AT137-AU137</f>
        <v>12738.125</v>
      </c>
      <c r="AW137" s="15" t="n">
        <f aca="false">IF(AND(Motore_Operativo!C137=Finanziamenti!$D$6,Finanziamenti!$F$6=1),Finanziamenti!$C$6,0)</f>
        <v>0</v>
      </c>
      <c r="AX137" s="15" t="n">
        <f aca="false">IF(AND(3&lt;&gt;7,3&lt;&gt;9,Finanziamenti!$F$8=1,OR(Parametri_v3!$C$6=0,Finanziamenti!$E$8=1),Motore_Operativo!C137=EDATE(Finanziamenti!$D$8,Ipotesi!E15*12)),Finanziamenti!$C$8*1,0)+IF(AND(3&lt;&gt;7,3&lt;&gt;9,Finanziamenti!$F$9=1,OR(Parametri_v3!$C$6=0,Finanziamenti!$E$9=1),Motore_Operativo!C137=EDATE(Finanziamenti!$D$9,Ipotesi!E15*12)),Finanziamenti!$C$9*Ipotesi!E16,0)</f>
        <v>0</v>
      </c>
      <c r="AY137" s="15" t="n">
        <f aca="false">0</f>
        <v>0</v>
      </c>
      <c r="AZ137" s="15" t="n">
        <f aca="false">Motore_Advisory!AY137*(1-Ipotesi!$C$95)*Ipotesi!$C$96</f>
        <v>0</v>
      </c>
      <c r="BA137" s="15" t="n">
        <f aca="false">MAX(0,MIN(CG137*MIN(1,IF(Motore_Operativo!C137&gt;=EDATE(Finanziamenti!$D$15,Ipotesi!E14*12),Finanziamenti!$C$15,0)+IF(Motore_Operativo!C137&gt;=EDATE(Finanziamenti!$D$16,Ipotesi!E14*12),Finanziamenti!$C$16,0)+IF(Motore_Operativo!C137&gt;=EDATE(Finanziamenti!$D$17,Ipotesi!E14*12),Finanziamenti!$C$17,0)),CA137*Ipotesi!$C$102)-(CC136))</f>
        <v>15113.8888888889</v>
      </c>
      <c r="BB137" s="15" t="n">
        <f aca="false">IF(AND(CF137&gt;0,Motore_Operativo!C137&gt;=IF(CF137=0,0,EDATE(CF137,Parametri_v3!$C$37)),MOD(((D137-YEAR(IF(CF137=0,0,EDATE(CF137,Parametri_v3!$C$37))))*12+E137-MONTH(IF(CF137=0,0,EDATE(CF137,Parametri_v3!$C$37)))),Parametri_v3!$C$38)=0),MIN(MAX(0,(BC136)+BA137-N137),(CC137-CD137)/(Ipotesi!$C$108*12/Parametri_v3!$C$38)),0)</f>
        <v>0</v>
      </c>
      <c r="BC137" s="15" t="n">
        <f aca="false">(BC136)+BA137-N137-BB137</f>
        <v>49079.1</v>
      </c>
      <c r="BD137" s="15" t="n">
        <f aca="false">(BH136)+AC137+AF137-AI137-AS137-K137*(1+Parametri_v3!$C$26)-AL137-AQ137-O137+AW137+AX137+AZ137+BA137-BB137</f>
        <v>1413.83272307236</v>
      </c>
      <c r="BE137" s="15" t="n">
        <f aca="false">MAX(0,MIN(MAX(0,CH137-(BG136)),Parametri_v3!$C$30-BD137))</f>
        <v>23586.1672769276</v>
      </c>
      <c r="BF137" s="15" t="n">
        <f aca="false">IF(Motore_Operativo!C137&gt;=Parametri_v3!$C$63,(BG136),MIN((BG136),MAX(0,BD137-Parametri_v3!$C$30)))</f>
        <v>0</v>
      </c>
      <c r="BG137" s="15" t="n">
        <f aca="false">(BG136)+BE137-BF137</f>
        <v>91310.9072628448</v>
      </c>
      <c r="BH137" s="15" t="n">
        <f aca="false">BD137+BE137-BF137-AY137</f>
        <v>25000</v>
      </c>
      <c r="BI137" s="15" t="n">
        <f aca="false">MAX(0,Parametri_v3!$C$30-BH137)</f>
        <v>0</v>
      </c>
      <c r="BJ137" s="15" t="n">
        <f aca="false">(BJ136)+K137</f>
        <v>22083.3333333333</v>
      </c>
      <c r="BK137" s="15" t="n">
        <f aca="false">(BK136)+L137</f>
        <v>4224.53703703704</v>
      </c>
      <c r="BL137" s="15" t="n">
        <f aca="false">BJ137-BK137</f>
        <v>17858.7962962963</v>
      </c>
      <c r="BM137" s="15" t="n">
        <f aca="false">(BM136)+Y137</f>
        <v>-213856.039250365</v>
      </c>
      <c r="BN137" s="15" t="n">
        <f aca="false">(BN136)+AW137+AX137+AZ137</f>
        <v>130000</v>
      </c>
      <c r="BO137" s="15" t="n">
        <f aca="false">(BO136)+AY137</f>
        <v>0</v>
      </c>
      <c r="BP137" s="15" t="n">
        <f aca="false">0</f>
        <v>0</v>
      </c>
      <c r="BQ137" s="15" t="n">
        <f aca="false">BN137+BM137-BO137</f>
        <v>-83856.0392503646</v>
      </c>
      <c r="BR137" s="15" t="n">
        <f aca="false">BH137+AD137+BL137+MAX(0,-AM137)+MAX(0,-AR137)+AG137</f>
        <v>104929.241693929</v>
      </c>
      <c r="BS137" s="15" t="n">
        <f aca="false">AJ137+AV137+MAX(0,AM137)+MAX(0,AR137)+BC137+BG137+BQ137</f>
        <v>104929.241693929</v>
      </c>
      <c r="BT137" s="15" t="n">
        <f aca="false">BR137-BS137</f>
        <v>0</v>
      </c>
      <c r="BU137" s="15" t="n">
        <f aca="false">BH137-(BD137+BE137-BF137-AY137)</f>
        <v>0</v>
      </c>
      <c r="BV137" s="15" t="n">
        <f aca="false">MIN(Piano_SS!$C$6,(BV136)+IF(AND(Motore_Operativo!C137&gt;=EDATE(Parametri_v3!$C$24,Ipotesi!E14*12),Motore_Operativo!C137&lt;EDATE(Parametri_v3!$C$24,Parametri_v3!$C$25+Ipotesi!E14*12)),MAX(0,(Motore_Operativo!Y137+Motore_Operativo!X137*Parametri_v3!$C$14)*(1-Parametri_v3!$C$32))*Piano_SS!$D$6,0))</f>
        <v>40731.25</v>
      </c>
      <c r="BW137" s="15" t="n">
        <f aca="false">MIN(Piano_SS!$C$7,(BW136)+IF(AND(Motore_Operativo!C137&gt;=EDATE(Parametri_v3!$C$24,Ipotesi!E14*12),Motore_Operativo!C137&lt;EDATE(Parametri_v3!$C$24,Parametri_v3!$C$25+Ipotesi!E14*12)),MAX(0,(IF(13-(INT((Ipotesi!$C$91)/30))&lt;1,0,INDEX(Motore_Operativo!$BN$125:$BN$184,MAX(1,13-(INT((Ipotesi!$C$91)/30)))))*(1-(MOD((Ipotesi!$C$91),30)/30))+IF(13-(INT((Ipotesi!$C$91)/30))-1&lt;1,0,INDEX(Motore_Operativo!$BN$125:$BN$184,MAX(1,13-(INT((Ipotesi!$C$91)/30))-1)))*(MOD((Ipotesi!$C$91),30)/30)))*Piano_SS!$D$7,0))</f>
        <v>9076.66666666667</v>
      </c>
      <c r="BX137" s="15" t="n">
        <f aca="false">MIN(Piano_SS!$C$8,(BX136)+IF(AND(Motore_Operativo!C137&gt;=EDATE(Parametri_v3!$C$24,Ipotesi!E14*12),Motore_Operativo!C137&lt;EDATE(Parametri_v3!$C$24,Parametri_v3!$C$25+Ipotesi!E14*12)),MAX(0,Motore_Operativo!CE137)*Piano_SS!$D$8,0))</f>
        <v>12083.3333333333</v>
      </c>
      <c r="BY137" s="15" t="n">
        <f aca="false">MIN(Piano_SS!$C$9,(BY136)+IF(AND(Motore_Operativo!C137&gt;=EDATE(Parametri_v3!$C$24,Ipotesi!E14*12),Motore_Operativo!C137&lt;EDATE(Parametri_v3!$C$24,Parametri_v3!$C$25+Ipotesi!E14*12)),MAX(0,((IF(13-(INT((Ipotesi!$C$91)/30))&lt;1,0,INDEX(Motore_Operativo!$BQ$125:$BQ$184,MAX(1,13-(INT((Ipotesi!$C$91)/30)))))*(1-(MOD((Ipotesi!$C$91),30)/30))+IF(13-(INT((Ipotesi!$C$91)/30))-1&lt;1,0,INDEX(Motore_Operativo!$BQ$125:$BQ$184,MAX(1,13-(INT((Ipotesi!$C$91)/30))-1)))*(MOD((Ipotesi!$C$91),30)/30))+(IF(13-(INT((Ipotesi!$C$91)/30))&lt;1,0,INDEX(Motore_Operativo!$BR$125:$BR$184,MAX(1,13-(INT((Ipotesi!$C$91)/30)))))*(1-(MOD((Ipotesi!$C$91),30)/30))+IF(13-(INT((Ipotesi!$C$91)/30))-1&lt;1,0,INDEX(Motore_Operativo!$BR$125:$BR$184,MAX(1,13-(INT((Ipotesi!$C$91)/30))-1)))*(MOD((Ipotesi!$C$91),30)/30))))*Piano_SS!$D$9,0))</f>
        <v>15750</v>
      </c>
      <c r="BZ137" s="15" t="n">
        <f aca="false">MIN(Piano_SS!$C$10,(BZ136)+IF(AND(Motore_Operativo!C137&gt;=EDATE(Parametri_v3!$C$24,Ipotesi!E14*12),Motore_Operativo!C137&lt;EDATE(Parametri_v3!$C$24,Parametri_v3!$C$25+Ipotesi!E14*12)),MAX(0,(IF(13-(INT((Ipotesi!$C$91)/30))&lt;1,0,INDEX(Motore_Operativo!$BO$125:$BO$184,MAX(1,13-(INT((Ipotesi!$C$91)/30)))))*(1-(MOD((Ipotesi!$C$91),30)/30))+IF(13-(INT((Ipotesi!$C$91)/30))-1&lt;1,0,INDEX(Motore_Operativo!$BO$125:$BO$184,MAX(1,13-(INT((Ipotesi!$C$91)/30))-1)))*(MOD((Ipotesi!$C$91),30)/30)))*Piano_SS!$D$10,0))</f>
        <v>7000</v>
      </c>
      <c r="CA137" s="15" t="n">
        <f aca="false">SUM(BV137:BZ137)</f>
        <v>84641.25</v>
      </c>
      <c r="CB137" s="15" t="n">
        <f aca="false">BV137*(1-Piano_SS!$E$6)+BW137*(1-Piano_SS!$E$7)+BX137*(1-Piano_SS!$E$8)+BY137*(1-Piano_SS!$E$9)+BZ137*(1-Piano_SS!$E$10)</f>
        <v>77641.25</v>
      </c>
      <c r="CC137" s="15" t="n">
        <f aca="false">(CC136)+BA137</f>
        <v>67713</v>
      </c>
      <c r="CD137" s="15" t="n">
        <f aca="false">IF(CA137=0,0,CC137*CB137/CA137*Ipotesi!$C$103*Parametri_v3!$C$64)</f>
        <v>18633.9</v>
      </c>
      <c r="CE137" s="18" t="n">
        <f aca="false">IF(BA137&gt;0,Motore_Operativo!C137,(CE136))</f>
        <v>46753</v>
      </c>
      <c r="CF137" s="18" t="n">
        <f aca="false">IF(AND(CC137&gt;0,OR(CC137&gt;=CG137-0.01,Motore_Operativo!C137&gt;=EDATE(MAX(Finanziamenti!$D$15:$D$17),Ipotesi!E14*12))),CE137,0)</f>
        <v>0</v>
      </c>
      <c r="CG137" s="15" t="n">
        <f aca="false">IF(AND(3&lt;&gt;6,3&lt;&gt;9,Finanziamenti!$F$11=1,OR(Parametri_v3!$C$6=0,Finanziamenti!$E$11=1)),MIN(Finanziamenti!$C$11,Piano_SS!$C$12*Ipotesi!$C$102),0)</f>
        <v>400000</v>
      </c>
      <c r="CH137" s="15" t="n">
        <f aca="false">IF(AND(AND(3&lt;&gt;8,3&lt;&gt;9,Finanziamenti!$F$10=1,OR(Parametri_v3!$C$6=0,Finanziamenti!$E$10=1)),Motore_Operativo!C137&gt;=Finanziamenti!$D$10,Motore_Operativo!C137&lt;Parametri_v3!$C$63),Finanziamenti!$C$10,0)</f>
        <v>150000</v>
      </c>
    </row>
    <row r="138" customFormat="false" ht="18" hidden="false" customHeight="true" outlineLevel="0" collapsed="false">
      <c r="A138" s="68" t="n">
        <f aca="false">3</f>
        <v>3</v>
      </c>
      <c r="B138" s="68" t="n">
        <f aca="false">14</f>
        <v>14</v>
      </c>
      <c r="C138" s="18" t="n">
        <f aca="false">Motore_Operativo!C138</f>
        <v>46784</v>
      </c>
      <c r="D138" s="68" t="n">
        <f aca="false">Motore_Operativo!D138</f>
        <v>2028</v>
      </c>
      <c r="E138" s="68" t="n">
        <f aca="false">Motore_Operativo!E138</f>
        <v>2</v>
      </c>
      <c r="F138" s="15" t="n">
        <f aca="false">Motore_Operativo!AQ138+Motore_Operativo!BF138</f>
        <v>27340.4979526513</v>
      </c>
      <c r="G138" s="15" t="n">
        <f aca="false">Motore_Operativo!BH138</f>
        <v>3398.1220657277</v>
      </c>
      <c r="H138" s="15" t="n">
        <f aca="false">Motore_Operativo!BI138</f>
        <v>30738.620018379</v>
      </c>
      <c r="I138" s="15" t="n">
        <f aca="false">Motore_Operativo!CA138</f>
        <v>57299.7800420097</v>
      </c>
      <c r="J138" s="15" t="n">
        <f aca="false">Motore_Operativo!CC138</f>
        <v>-26561.1600236307</v>
      </c>
      <c r="K138" s="15" t="n">
        <f aca="false">Motore_Operativo!CE138</f>
        <v>2083.33333333333</v>
      </c>
      <c r="L138" s="15" t="n">
        <f aca="false">SUM(INDEX($K$125:$K$184,MAX(1,14-Parametri_v3!$C$59+1)):K138)/Parametri_v3!$C$59</f>
        <v>671.296296296296</v>
      </c>
      <c r="M138" s="15" t="n">
        <f aca="false">J138-L138</f>
        <v>-27232.456319927</v>
      </c>
      <c r="N138" s="15" t="n">
        <f aca="false">CD138-(CD137)</f>
        <v>3511.81549931815</v>
      </c>
      <c r="O138" s="15" t="n">
        <f aca="false">(BG137)*Ipotesi!$C$110/12+CH138*Parametri_v3!$C$39/12</f>
        <v>456.554536314224</v>
      </c>
      <c r="P138" s="15" t="n">
        <f aca="false">M138+N138-O138</f>
        <v>-24177.195356923</v>
      </c>
      <c r="Q138" s="15" t="n">
        <f aca="false">SUM(P137:P138)+Parametri_v3!$C$54*2/12</f>
        <v>-47753.3789953472</v>
      </c>
      <c r="R138" s="15" t="n">
        <f aca="false">Z136</f>
        <v>190279.85561194</v>
      </c>
      <c r="S138" s="15" t="n">
        <f aca="false">AA136</f>
        <v>0</v>
      </c>
      <c r="T138" s="15" t="n">
        <f aca="false">MIN(R138,MAX(0,Q138))</f>
        <v>0</v>
      </c>
      <c r="U138" s="15" t="n">
        <f aca="false">MIN(S138,MAX(0,Q138-T138)*Parametri_v3!$C$42)</f>
        <v>0</v>
      </c>
      <c r="V138" s="15" t="n">
        <f aca="false">MAX(0,Q138-T138-U138)*Ipotesi!$C$92</f>
        <v>0</v>
      </c>
      <c r="W138" s="15" t="n">
        <f aca="false">MAX(0,SUM(M137:M138)+Parametri_v3!$C$55*2/12)*Ipotesi!$C$93</f>
        <v>0</v>
      </c>
      <c r="X138" s="15" t="n">
        <f aca="false">V138+W138-(V137+W137)</f>
        <v>0</v>
      </c>
      <c r="Y138" s="15" t="n">
        <f aca="false">P138-X138</f>
        <v>-24177.195356923</v>
      </c>
      <c r="Z138" s="15" t="n">
        <f aca="false">R138-T138+IF(AND(Parametri_v3!$C$40=1,D138-YEAR(Parametri_v3!$C$50)&lt;Parametri_v3!$C$41),MAX(0,-Q138),0)</f>
        <v>238033.234607288</v>
      </c>
      <c r="AA138" s="15" t="n">
        <f aca="false">S138-U138+IF(AND(Parametri_v3!$C$40=1,D138-YEAR(Parametri_v3!$C$50)&lt;Parametri_v3!$C$41),0,MAX(0,-Q138))</f>
        <v>0</v>
      </c>
      <c r="AB138" s="15" t="n">
        <f aca="false">F138*(1+Parametri_v3!$C$26)</f>
        <v>33355.4075022346</v>
      </c>
      <c r="AC138" s="15" t="n">
        <f aca="false">(IF(14-(INT((Motore_Operativo!L138)/30))&lt;1,0,INDEX(Motore_Startup!$AB$125:$AB$184,MAX(1,14-(INT((Motore_Operativo!L138)/30)))))*(1-(MOD((Motore_Operativo!L138),30)/30))+IF(14-(INT((Motore_Operativo!L138)/30))-1&lt;1,0,INDEX(Motore_Startup!$AB$125:$AB$184,MAX(1,14-(INT((Motore_Operativo!L138)/30))-1)))*(MOD((Motore_Operativo!L138),30)/30))</f>
        <v>12458.9111111111</v>
      </c>
      <c r="AD138" s="15" t="n">
        <f aca="false">(AD137)+AB138-AC138</f>
        <v>78821.2328685683</v>
      </c>
      <c r="AE138" s="15" t="n">
        <f aca="false">Motore_Operativo!BH138*(1+Parametri_v3!$C$26)</f>
        <v>4145.70892018779</v>
      </c>
      <c r="AF138" s="15" t="n">
        <f aca="false">(IF(14-(INT((Parametri_v3!$C$29)/30))&lt;1,0,INDEX(Motore_Operativo!$BH$125:$BH$184,MAX(1,14-(INT((Parametri_v3!$C$29)/30)))))*(1-(MOD((Parametri_v3!$C$29),30)/30))+IF(14-(INT((Parametri_v3!$C$29)/30))-1&lt;1,0,INDEX(Motore_Operativo!$BH$125:$BH$184,MAX(1,14-(INT((Parametri_v3!$C$29)/30))-1)))*(MOD((Parametri_v3!$C$29),30)/30))*(1+Parametri_v3!$C$26)</f>
        <v>4145.70892018779</v>
      </c>
      <c r="AG138" s="15" t="n">
        <f aca="false">(AG137)+AE138-AF138</f>
        <v>4145.70892018779</v>
      </c>
      <c r="AH138" s="15" t="n">
        <f aca="false">(Motore_Operativo!CJ138)*(1+Parametri_v3!$C$27*Parametri_v3!$C$26)</f>
        <v>20816.7514098655</v>
      </c>
      <c r="AI138" s="15" t="n">
        <f aca="false">(IF(14-(INT((Ipotesi!$C$91)/30))&lt;1,0,INDEX(Motore_Startup!$AH$125:$AH$184,MAX(1,14-(INT((Ipotesi!$C$91)/30)))))*(1-(MOD((Ipotesi!$C$91),30)/30))+IF(14-(INT((Ipotesi!$C$91)/30))-1&lt;1,0,INDEX(Motore_Startup!$AH$125:$AH$184,MAX(1,14-(INT((Ipotesi!$C$91)/30))-1)))*(MOD((Ipotesi!$C$91),30)/30))</f>
        <v>11965.2063082846</v>
      </c>
      <c r="AJ138" s="15" t="n">
        <f aca="false">(AJ137)+AH138-AI138</f>
        <v>41564.4916172329</v>
      </c>
      <c r="AK138" s="15" t="n">
        <f aca="false">(F138+ Motore_Operativo!BH138-(Motore_Operativo!CJ138)*Parametri_v3!$C$27-Motore_Operativo!CE138)*Parametri_v3!$C$26</f>
        <v>3024.69170285424</v>
      </c>
      <c r="AL138" s="15" t="n">
        <f aca="false">MAX(0,(AM137))</f>
        <v>2944.20216579692</v>
      </c>
      <c r="AM138" s="15" t="n">
        <f aca="false">(AM137)+AK138-AL138</f>
        <v>3024.69170285424</v>
      </c>
      <c r="AN138" s="15" t="n">
        <f aca="false">SUM(X125:X136)</f>
        <v>0</v>
      </c>
      <c r="AO138" s="15" t="n">
        <f aca="false">SUM(AP125:AP136)</f>
        <v>0</v>
      </c>
      <c r="AP138" s="15" t="n">
        <f aca="false">MAX(0,AN138)*IF(2=Parametri_v3!$C$43,Parametri_v3!$C$45,IF(2=Parametri_v3!$C$44,1-Parametri_v3!$C$45,0))</f>
        <v>0</v>
      </c>
      <c r="AQ138" s="15" t="n">
        <f aca="false">MAX(0,AP138+IF(2=Parametri_v3!$C$43,MAX(0,AN138-AO138),0)-MAX(0,-(AR137)))</f>
        <v>0</v>
      </c>
      <c r="AR138" s="15" t="n">
        <f aca="false">(AR137)+X138-AQ138</f>
        <v>0</v>
      </c>
      <c r="AS138" s="15" t="n">
        <f aca="false">Motore_Operativo!AB138-AT138+AU138</f>
        <v>37774.375</v>
      </c>
      <c r="AT138" s="15" t="n">
        <f aca="false">Motore_Operativo!CH138</f>
        <v>1988.125</v>
      </c>
      <c r="AU138" s="15" t="n">
        <f aca="false">MIN(MAX(0,(AV137)+AT138),Parametri_v3!$C$60/12)</f>
        <v>0</v>
      </c>
      <c r="AV138" s="15" t="n">
        <f aca="false">(AV137)+AT138-AU138</f>
        <v>14726.25</v>
      </c>
      <c r="AW138" s="15" t="n">
        <f aca="false">IF(AND(Motore_Operativo!C138=Finanziamenti!$D$6,Finanziamenti!$F$6=1),Finanziamenti!$C$6,0)</f>
        <v>0</v>
      </c>
      <c r="AX138" s="15" t="n">
        <f aca="false">IF(AND(3&lt;&gt;7,3&lt;&gt;9,Finanziamenti!$F$8=1,OR(Parametri_v3!$C$6=0,Finanziamenti!$E$8=1),Motore_Operativo!C138=EDATE(Finanziamenti!$D$8,Ipotesi!E15*12)),Finanziamenti!$C$8*1,0)+IF(AND(3&lt;&gt;7,3&lt;&gt;9,Finanziamenti!$F$9=1,OR(Parametri_v3!$C$6=0,Finanziamenti!$E$9=1),Motore_Operativo!C138=EDATE(Finanziamenti!$D$9,Ipotesi!E15*12)),Finanziamenti!$C$9*Ipotesi!E16,0)</f>
        <v>0</v>
      </c>
      <c r="AY138" s="15" t="n">
        <f aca="false">0</f>
        <v>0</v>
      </c>
      <c r="AZ138" s="15" t="n">
        <f aca="false">Motore_Advisory!AY138*(1-Ipotesi!$C$95)*Ipotesi!$C$96</f>
        <v>0</v>
      </c>
      <c r="BA138" s="15" t="n">
        <f aca="false">MAX(0,MIN(CG138*MIN(1,IF(Motore_Operativo!C138&gt;=EDATE(Finanziamenti!$D$15,Ipotesi!E14*12),Finanziamenti!$C$15,0)+IF(Motore_Operativo!C138&gt;=EDATE(Finanziamenti!$D$16,Ipotesi!E14*12),Finanziamenti!$C$16,0)+IF(Motore_Operativo!C138&gt;=EDATE(Finanziamenti!$D$17,Ipotesi!E14*12),Finanziamenti!$C$17,0)),CA138*Ipotesi!$C$102)-(CC137))</f>
        <v>12287</v>
      </c>
      <c r="BB138" s="15" t="n">
        <f aca="false">IF(AND(CF138&gt;0,Motore_Operativo!C138&gt;=IF(CF138=0,0,EDATE(CF138,Parametri_v3!$C$37)),MOD(((D138-YEAR(IF(CF138=0,0,EDATE(CF138,Parametri_v3!$C$37))))*12+E138-MONTH(IF(CF138=0,0,EDATE(CF138,Parametri_v3!$C$37)))),Parametri_v3!$C$38)=0),MIN(MAX(0,(BC137)+BA138-N138),(CC138-CD138)/(Ipotesi!$C$108*12/Parametri_v3!$C$38)),0)</f>
        <v>0</v>
      </c>
      <c r="BC138" s="15" t="n">
        <f aca="false">(BC137)+BA138-N138-BB138</f>
        <v>57854.2845006819</v>
      </c>
      <c r="BD138" s="15" t="n">
        <f aca="false">(BH137)+AC138+AF138-AI138-AS138-K138*(1+Parametri_v3!$C$26)-AL138-AQ138-O138+AW138+AX138+AZ138+BA138-BB138</f>
        <v>-1790.3846457635</v>
      </c>
      <c r="BE138" s="15" t="n">
        <f aca="false">MAX(0,MIN(MAX(0,CH138-(BG137)),Parametri_v3!$C$30-BD138))</f>
        <v>26790.3846457635</v>
      </c>
      <c r="BF138" s="15" t="n">
        <f aca="false">IF(Motore_Operativo!C138&gt;=Parametri_v3!$C$63,(BG137),MIN((BG137),MAX(0,BD138-Parametri_v3!$C$30)))</f>
        <v>0</v>
      </c>
      <c r="BG138" s="15" t="n">
        <f aca="false">(BG137)+BE138-BF138</f>
        <v>118101.291908608</v>
      </c>
      <c r="BH138" s="15" t="n">
        <f aca="false">BD138+BE138-BF138-AY138</f>
        <v>25000</v>
      </c>
      <c r="BI138" s="15" t="n">
        <f aca="false">MAX(0,Parametri_v3!$C$30-BH138)</f>
        <v>0</v>
      </c>
      <c r="BJ138" s="15" t="n">
        <f aca="false">(BJ137)+K138</f>
        <v>24166.6666666667</v>
      </c>
      <c r="BK138" s="15" t="n">
        <f aca="false">(BK137)+L138</f>
        <v>4895.83333333333</v>
      </c>
      <c r="BL138" s="15" t="n">
        <f aca="false">BJ138-BK138</f>
        <v>19270.8333333333</v>
      </c>
      <c r="BM138" s="15" t="n">
        <f aca="false">(BM137)+Y138</f>
        <v>-238033.234607288</v>
      </c>
      <c r="BN138" s="15" t="n">
        <f aca="false">(BN137)+AW138+AX138+AZ138</f>
        <v>130000</v>
      </c>
      <c r="BO138" s="15" t="n">
        <f aca="false">(BO137)+AY138</f>
        <v>0</v>
      </c>
      <c r="BP138" s="15" t="n">
        <f aca="false">0</f>
        <v>0</v>
      </c>
      <c r="BQ138" s="15" t="n">
        <f aca="false">BN138+BM138-BO138</f>
        <v>-108033.234607288</v>
      </c>
      <c r="BR138" s="15" t="n">
        <f aca="false">BH138+AD138+BL138+MAX(0,-AM138)+MAX(0,-AR138)+AG138</f>
        <v>127237.775122089</v>
      </c>
      <c r="BS138" s="15" t="n">
        <f aca="false">AJ138+AV138+MAX(0,AM138)+MAX(0,AR138)+BC138+BG138+BQ138</f>
        <v>127237.77512209</v>
      </c>
      <c r="BT138" s="15" t="n">
        <f aca="false">BR138-BS138</f>
        <v>0</v>
      </c>
      <c r="BU138" s="15" t="n">
        <f aca="false">BH138-(BD138+BE138-BF138-AY138)</f>
        <v>0</v>
      </c>
      <c r="BV138" s="15" t="n">
        <f aca="false">MIN(Piano_SS!$C$6,(BV137)+IF(AND(Motore_Operativo!C138&gt;=EDATE(Parametri_v3!$C$24,Ipotesi!E14*12),Motore_Operativo!C138&lt;EDATE(Parametri_v3!$C$24,Parametri_v3!$C$25+Ipotesi!E14*12)),MAX(0,(Motore_Operativo!Y138+Motore_Operativo!X138*Parametri_v3!$C$14)*(1-Parametri_v3!$C$32))*Piano_SS!$D$6,0))</f>
        <v>52962.5</v>
      </c>
      <c r="BW138" s="15" t="n">
        <f aca="false">MIN(Piano_SS!$C$7,(BW137)+IF(AND(Motore_Operativo!C138&gt;=EDATE(Parametri_v3!$C$24,Ipotesi!E14*12),Motore_Operativo!C138&lt;EDATE(Parametri_v3!$C$24,Parametri_v3!$C$25+Ipotesi!E14*12)),MAX(0,(IF(14-(INT((Ipotesi!$C$91)/30))&lt;1,0,INDEX(Motore_Operativo!$BN$125:$BN$184,MAX(1,14-(INT((Ipotesi!$C$91)/30)))))*(1-(MOD((Ipotesi!$C$91),30)/30))+IF(14-(INT((Ipotesi!$C$91)/30))-1&lt;1,0,INDEX(Motore_Operativo!$BN$125:$BN$184,MAX(1,14-(INT((Ipotesi!$C$91)/30))-1)))*(MOD((Ipotesi!$C$91),30)/30)))*Piano_SS!$D$7,0))</f>
        <v>10414.8148148148</v>
      </c>
      <c r="BX138" s="15" t="n">
        <f aca="false">MIN(Piano_SS!$C$8,(BX137)+IF(AND(Motore_Operativo!C138&gt;=EDATE(Parametri_v3!$C$24,Ipotesi!E14*12),Motore_Operativo!C138&lt;EDATE(Parametri_v3!$C$24,Parametri_v3!$C$25+Ipotesi!E14*12)),MAX(0,Motore_Operativo!CE138)*Piano_SS!$D$8,0))</f>
        <v>14166.6666666667</v>
      </c>
      <c r="BY138" s="15" t="n">
        <f aca="false">MIN(Piano_SS!$C$9,(BY137)+IF(AND(Motore_Operativo!C138&gt;=EDATE(Parametri_v3!$C$24,Ipotesi!E14*12),Motore_Operativo!C138&lt;EDATE(Parametri_v3!$C$24,Parametri_v3!$C$25+Ipotesi!E14*12)),MAX(0,((IF(14-(INT((Ipotesi!$C$91)/30))&lt;1,0,INDEX(Motore_Operativo!$BQ$125:$BQ$184,MAX(1,14-(INT((Ipotesi!$C$91)/30)))))*(1-(MOD((Ipotesi!$C$91),30)/30))+IF(14-(INT((Ipotesi!$C$91)/30))-1&lt;1,0,INDEX(Motore_Operativo!$BQ$125:$BQ$184,MAX(1,14-(INT((Ipotesi!$C$91)/30))-1)))*(MOD((Ipotesi!$C$91),30)/30))+(IF(14-(INT((Ipotesi!$C$91)/30))&lt;1,0,INDEX(Motore_Operativo!$BR$125:$BR$184,MAX(1,14-(INT((Ipotesi!$C$91)/30)))))*(1-(MOD((Ipotesi!$C$91),30)/30))+IF(14-(INT((Ipotesi!$C$91)/30))-1&lt;1,0,INDEX(Motore_Operativo!$BR$125:$BR$184,MAX(1,14-(INT((Ipotesi!$C$91)/30))-1)))*(MOD((Ipotesi!$C$91),30)/30))))*Piano_SS!$D$9,0))</f>
        <v>18000</v>
      </c>
      <c r="BZ138" s="15" t="n">
        <f aca="false">MIN(Piano_SS!$C$10,(BZ137)+IF(AND(Motore_Operativo!C138&gt;=EDATE(Parametri_v3!$C$24,Ipotesi!E14*12),Motore_Operativo!C138&lt;EDATE(Parametri_v3!$C$24,Parametri_v3!$C$25+Ipotesi!E14*12)),MAX(0,(IF(14-(INT((Ipotesi!$C$91)/30))&lt;1,0,INDEX(Motore_Operativo!$BO$125:$BO$184,MAX(1,14-(INT((Ipotesi!$C$91)/30)))))*(1-(MOD((Ipotesi!$C$91),30)/30))+IF(14-(INT((Ipotesi!$C$91)/30))-1&lt;1,0,INDEX(Motore_Operativo!$BO$125:$BO$184,MAX(1,14-(INT((Ipotesi!$C$91)/30))-1)))*(MOD((Ipotesi!$C$91),30)/30)))*Piano_SS!$D$10,0))</f>
        <v>8000</v>
      </c>
      <c r="CA138" s="15" t="n">
        <f aca="false">SUM(BV138:BZ138)</f>
        <v>103543.981481481</v>
      </c>
      <c r="CB138" s="15" t="n">
        <f aca="false">BV138*(1-Piano_SS!$E$6)+BW138*(1-Piano_SS!$E$7)+BX138*(1-Piano_SS!$E$8)+BY138*(1-Piano_SS!$E$9)+BZ138*(1-Piano_SS!$E$10)</f>
        <v>95543.9814814815</v>
      </c>
      <c r="CC138" s="15" t="n">
        <f aca="false">(CC137)+BA138</f>
        <v>80000</v>
      </c>
      <c r="CD138" s="15" t="n">
        <f aca="false">IF(CA138=0,0,CC138*CB138/CA138*Ipotesi!$C$103*Parametri_v3!$C$64)</f>
        <v>22145.7154993181</v>
      </c>
      <c r="CE138" s="18" t="n">
        <f aca="false">IF(BA138&gt;0,Motore_Operativo!C138,(CE137))</f>
        <v>46784</v>
      </c>
      <c r="CF138" s="18" t="n">
        <f aca="false">IF(AND(CC138&gt;0,OR(CC138&gt;=CG138-0.01,Motore_Operativo!C138&gt;=EDATE(MAX(Finanziamenti!$D$15:$D$17),Ipotesi!E14*12))),CE138,0)</f>
        <v>0</v>
      </c>
      <c r="CG138" s="15" t="n">
        <f aca="false">IF(AND(3&lt;&gt;6,3&lt;&gt;9,Finanziamenti!$F$11=1,OR(Parametri_v3!$C$6=0,Finanziamenti!$E$11=1)),MIN(Finanziamenti!$C$11,Piano_SS!$C$12*Ipotesi!$C$102),0)</f>
        <v>400000</v>
      </c>
      <c r="CH138" s="15" t="n">
        <f aca="false">IF(AND(AND(3&lt;&gt;8,3&lt;&gt;9,Finanziamenti!$F$10=1,OR(Parametri_v3!$C$6=0,Finanziamenti!$E$10=1)),Motore_Operativo!C138&gt;=Finanziamenti!$D$10,Motore_Operativo!C138&lt;Parametri_v3!$C$63),Finanziamenti!$C$10,0)</f>
        <v>150000</v>
      </c>
    </row>
    <row r="139" customFormat="false" ht="18" hidden="false" customHeight="true" outlineLevel="0" collapsed="false">
      <c r="A139" s="68" t="n">
        <f aca="false">3</f>
        <v>3</v>
      </c>
      <c r="B139" s="68" t="n">
        <f aca="false">15</f>
        <v>15</v>
      </c>
      <c r="C139" s="18" t="n">
        <f aca="false">Motore_Operativo!C139</f>
        <v>46813</v>
      </c>
      <c r="D139" s="68" t="n">
        <f aca="false">Motore_Operativo!D139</f>
        <v>2028</v>
      </c>
      <c r="E139" s="68" t="n">
        <f aca="false">Motore_Operativo!E139</f>
        <v>3</v>
      </c>
      <c r="F139" s="15" t="n">
        <f aca="false">Motore_Operativo!AQ139+Motore_Operativo!BF139</f>
        <v>27752.1475700203</v>
      </c>
      <c r="G139" s="15" t="n">
        <f aca="false">Motore_Operativo!BH139</f>
        <v>3398.1220657277</v>
      </c>
      <c r="H139" s="15" t="n">
        <f aca="false">Motore_Operativo!BI139</f>
        <v>31150.269635748</v>
      </c>
      <c r="I139" s="15" t="n">
        <f aca="false">Motore_Operativo!CA139</f>
        <v>57357.4109884413</v>
      </c>
      <c r="J139" s="15" t="n">
        <f aca="false">Motore_Operativo!CC139</f>
        <v>-26207.1413526934</v>
      </c>
      <c r="K139" s="15" t="n">
        <f aca="false">Motore_Operativo!CE139</f>
        <v>2083.33333333333</v>
      </c>
      <c r="L139" s="15" t="n">
        <f aca="false">SUM(INDEX($K$125:$K$184,MAX(1,15-Parametri_v3!$C$59+1)):K139)/Parametri_v3!$C$59</f>
        <v>729.166666666667</v>
      </c>
      <c r="M139" s="15" t="n">
        <f aca="false">J139-L139</f>
        <v>-26936.3080193601</v>
      </c>
      <c r="N139" s="15" t="n">
        <f aca="false">CD139-(CD138)</f>
        <v>-47.9914625969104</v>
      </c>
      <c r="O139" s="15" t="n">
        <f aca="false">(BG138)*Ipotesi!$C$110/12+CH139*Parametri_v3!$C$39/12</f>
        <v>590.506459543041</v>
      </c>
      <c r="P139" s="15" t="n">
        <f aca="false">M139+N139-O139</f>
        <v>-27574.8059415</v>
      </c>
      <c r="Q139" s="15" t="n">
        <f aca="false">SUM(P137:P139)+Parametri_v3!$C$54*3/12</f>
        <v>-75328.1849368472</v>
      </c>
      <c r="R139" s="15" t="n">
        <f aca="false">Z136</f>
        <v>190279.85561194</v>
      </c>
      <c r="S139" s="15" t="n">
        <f aca="false">AA136</f>
        <v>0</v>
      </c>
      <c r="T139" s="15" t="n">
        <f aca="false">MIN(R139,MAX(0,Q139))</f>
        <v>0</v>
      </c>
      <c r="U139" s="15" t="n">
        <f aca="false">MIN(S139,MAX(0,Q139-T139)*Parametri_v3!$C$42)</f>
        <v>0</v>
      </c>
      <c r="V139" s="15" t="n">
        <f aca="false">MAX(0,Q139-T139-U139)*Ipotesi!$C$92</f>
        <v>0</v>
      </c>
      <c r="W139" s="15" t="n">
        <f aca="false">MAX(0,SUM(M137:M139)+Parametri_v3!$C$55*3/12)*Ipotesi!$C$93</f>
        <v>0</v>
      </c>
      <c r="X139" s="15" t="n">
        <f aca="false">V139+W139-(V138+W138)</f>
        <v>0</v>
      </c>
      <c r="Y139" s="15" t="n">
        <f aca="false">P139-X139</f>
        <v>-27574.8059415</v>
      </c>
      <c r="Z139" s="15" t="n">
        <f aca="false">R139-T139+IF(AND(Parametri_v3!$C$40=1,D139-YEAR(Parametri_v3!$C$50)&lt;Parametri_v3!$C$41),MAX(0,-Q139),0)</f>
        <v>265608.040548788</v>
      </c>
      <c r="AA139" s="15" t="n">
        <f aca="false">S139-U139+IF(AND(Parametri_v3!$C$40=1,D139-YEAR(Parametri_v3!$C$50)&lt;Parametri_v3!$C$41),0,MAX(0,-Q139))</f>
        <v>0</v>
      </c>
      <c r="AB139" s="15" t="n">
        <f aca="false">F139*(1+Parametri_v3!$C$26)</f>
        <v>33857.6200354247</v>
      </c>
      <c r="AC139" s="15" t="n">
        <f aca="false">(IF(15-(INT((Motore_Operativo!L139)/30))&lt;1,0,INDEX(Motore_Startup!$AB$125:$AB$184,MAX(1,15-(INT((Motore_Operativo!L139)/30)))))*(1-(MOD((Motore_Operativo!L139),30)/30))+IF(15-(INT((Motore_Operativo!L139)/30))-1&lt;1,0,INDEX(Motore_Startup!$AB$125:$AB$184,MAX(1,15-(INT((Motore_Operativo!L139)/30))-1)))*(MOD((Motore_Operativo!L139),30)/30))</f>
        <v>12617.0592592593</v>
      </c>
      <c r="AD139" s="15" t="n">
        <f aca="false">(AD138)+AB139-AC139</f>
        <v>100061.793644734</v>
      </c>
      <c r="AE139" s="15" t="n">
        <f aca="false">Motore_Operativo!BH139*(1+Parametri_v3!$C$26)</f>
        <v>4145.70892018779</v>
      </c>
      <c r="AF139" s="15" t="n">
        <f aca="false">(IF(15-(INT((Parametri_v3!$C$29)/30))&lt;1,0,INDEX(Motore_Operativo!$BH$125:$BH$184,MAX(1,15-(INT((Parametri_v3!$C$29)/30)))))*(1-(MOD((Parametri_v3!$C$29),30)/30))+IF(15-(INT((Parametri_v3!$C$29)/30))-1&lt;1,0,INDEX(Motore_Operativo!$BH$125:$BH$184,MAX(1,15-(INT((Parametri_v3!$C$29)/30))-1)))*(MOD((Parametri_v3!$C$29),30)/30))*(1+Parametri_v3!$C$26)</f>
        <v>4145.70892018779</v>
      </c>
      <c r="AG139" s="15" t="n">
        <f aca="false">(AG138)+AE139-AF139</f>
        <v>4145.70892018779</v>
      </c>
      <c r="AH139" s="15" t="n">
        <f aca="false">(Motore_Operativo!CJ139)*(1+Parametri_v3!$C$27*Parametri_v3!$C$26)</f>
        <v>20885.1593432799</v>
      </c>
      <c r="AI139" s="15" t="n">
        <f aca="false">(IF(15-(INT((Ipotesi!$C$91)/30))&lt;1,0,INDEX(Motore_Startup!$AH$125:$AH$184,MAX(1,15-(INT((Ipotesi!$C$91)/30)))))*(1-(MOD((Ipotesi!$C$91),30)/30))+IF(15-(INT((Ipotesi!$C$91)/30))-1&lt;1,0,INDEX(Motore_Startup!$AH$125:$AH$184,MAX(1,15-(INT((Ipotesi!$C$91)/30))-1)))*(MOD((Ipotesi!$C$91),30)/30))</f>
        <v>20747.7402073674</v>
      </c>
      <c r="AJ139" s="15" t="n">
        <f aca="false">(AJ138)+AH139-AI139</f>
        <v>41701.9107531454</v>
      </c>
      <c r="AK139" s="15" t="n">
        <f aca="false">(F139+ Motore_Operativo!BH139-(Motore_Operativo!CJ139)*Parametri_v3!$C$27-Motore_Operativo!CE139)*Parametri_v3!$C$26</f>
        <v>3104.47763169269</v>
      </c>
      <c r="AL139" s="15" t="n">
        <f aca="false">MAX(0,(AM138))</f>
        <v>3024.69170285424</v>
      </c>
      <c r="AM139" s="15" t="n">
        <f aca="false">(AM138)+AK139-AL139</f>
        <v>3104.47763169269</v>
      </c>
      <c r="AN139" s="15" t="n">
        <f aca="false">SUM(X125:X136)</f>
        <v>0</v>
      </c>
      <c r="AO139" s="15" t="n">
        <f aca="false">SUM(AP125:AP136)</f>
        <v>0</v>
      </c>
      <c r="AP139" s="15" t="n">
        <f aca="false">MAX(0,AN139)*IF(3=Parametri_v3!$C$43,Parametri_v3!$C$45,IF(3=Parametri_v3!$C$44,1-Parametri_v3!$C$45,0))</f>
        <v>0</v>
      </c>
      <c r="AQ139" s="15" t="n">
        <f aca="false">MAX(0,AP139+IF(3=Parametri_v3!$C$43,MAX(0,AN139-AO139),0)-MAX(0,-(AR138)))</f>
        <v>0</v>
      </c>
      <c r="AR139" s="15" t="n">
        <f aca="false">(AR138)+X139-AQ139</f>
        <v>0</v>
      </c>
      <c r="AS139" s="15" t="n">
        <f aca="false">Motore_Operativo!AB139-AT139+AU139</f>
        <v>37774.375</v>
      </c>
      <c r="AT139" s="15" t="n">
        <f aca="false">Motore_Operativo!CH139</f>
        <v>1988.125</v>
      </c>
      <c r="AU139" s="15" t="n">
        <f aca="false">MIN(MAX(0,(AV138)+AT139),Parametri_v3!$C$60/12)</f>
        <v>0</v>
      </c>
      <c r="AV139" s="15" t="n">
        <f aca="false">(AV138)+AT139-AU139</f>
        <v>16714.375</v>
      </c>
      <c r="AW139" s="15" t="n">
        <f aca="false">IF(AND(Motore_Operativo!C139=Finanziamenti!$D$6,Finanziamenti!$F$6=1),Finanziamenti!$C$6,0)</f>
        <v>0</v>
      </c>
      <c r="AX139" s="15" t="n">
        <f aca="false">IF(AND(3&lt;&gt;7,3&lt;&gt;9,Finanziamenti!$F$8=1,OR(Parametri_v3!$C$6=0,Finanziamenti!$E$8=1),Motore_Operativo!C139=EDATE(Finanziamenti!$D$8,Ipotesi!E15*12)),Finanziamenti!$C$8*1,0)+IF(AND(3&lt;&gt;7,3&lt;&gt;9,Finanziamenti!$F$9=1,OR(Parametri_v3!$C$6=0,Finanziamenti!$E$9=1),Motore_Operativo!C139=EDATE(Finanziamenti!$D$9,Ipotesi!E15*12)),Finanziamenti!$C$9*Ipotesi!E16,0)</f>
        <v>0</v>
      </c>
      <c r="AY139" s="15" t="n">
        <f aca="false">0</f>
        <v>0</v>
      </c>
      <c r="AZ139" s="15" t="n">
        <f aca="false">Motore_Advisory!AY139*(1-Ipotesi!$C$95)*Ipotesi!$C$96</f>
        <v>0</v>
      </c>
      <c r="BA139" s="15" t="n">
        <f aca="false">MAX(0,MIN(CG139*MIN(1,IF(Motore_Operativo!C139&gt;=EDATE(Finanziamenti!$D$15,Ipotesi!E14*12),Finanziamenti!$C$15,0)+IF(Motore_Operativo!C139&gt;=EDATE(Finanziamenti!$D$16,Ipotesi!E14*12),Finanziamenti!$C$16,0)+IF(Motore_Operativo!C139&gt;=EDATE(Finanziamenti!$D$17,Ipotesi!E14*12),Finanziamenti!$C$17,0)),CA139*Ipotesi!$C$102)-(CC138))</f>
        <v>0</v>
      </c>
      <c r="BB139" s="15" t="n">
        <f aca="false">IF(AND(CF139&gt;0,Motore_Operativo!C139&gt;=IF(CF139=0,0,EDATE(CF139,Parametri_v3!$C$37)),MOD(((D139-YEAR(IF(CF139=0,0,EDATE(CF139,Parametri_v3!$C$37))))*12+E139-MONTH(IF(CF139=0,0,EDATE(CF139,Parametri_v3!$C$37)))),Parametri_v3!$C$38)=0),MIN(MAX(0,(BC138)+BA139-N139),(CC139-CD139)/(Ipotesi!$C$108*12/Parametri_v3!$C$38)),0)</f>
        <v>0</v>
      </c>
      <c r="BC139" s="15" t="n">
        <f aca="false">(BC138)+BA139-N139-BB139</f>
        <v>57902.2759632788</v>
      </c>
      <c r="BD139" s="15" t="n">
        <f aca="false">(BH138)+AC139+AF139-AI139-AS139-K139*(1+Parametri_v3!$C$26)-AL139-AQ139-O139+AW139+AX139+AZ139+BA139-BB139</f>
        <v>-22916.2118569843</v>
      </c>
      <c r="BE139" s="15" t="n">
        <f aca="false">MAX(0,MIN(MAX(0,CH139-(BG138)),Parametri_v3!$C$30-BD139))</f>
        <v>31898.7080913917</v>
      </c>
      <c r="BF139" s="15" t="n">
        <f aca="false">IF(Motore_Operativo!C139&gt;=Parametri_v3!$C$63,(BG138),MIN((BG138),MAX(0,BD139-Parametri_v3!$C$30)))</f>
        <v>0</v>
      </c>
      <c r="BG139" s="15" t="n">
        <f aca="false">(BG138)+BE139-BF139</f>
        <v>150000</v>
      </c>
      <c r="BH139" s="15" t="n">
        <f aca="false">BD139+BE139-BF139-AY139</f>
        <v>8982.49623440745</v>
      </c>
      <c r="BI139" s="15" t="n">
        <f aca="false">MAX(0,Parametri_v3!$C$30-BH139)</f>
        <v>16017.5037655925</v>
      </c>
      <c r="BJ139" s="15" t="n">
        <f aca="false">(BJ138)+K139</f>
        <v>26250</v>
      </c>
      <c r="BK139" s="15" t="n">
        <f aca="false">(BK138)+L139</f>
        <v>5625</v>
      </c>
      <c r="BL139" s="15" t="n">
        <f aca="false">BJ139-BK139</f>
        <v>20625</v>
      </c>
      <c r="BM139" s="15" t="n">
        <f aca="false">(BM138)+Y139</f>
        <v>-265608.040548788</v>
      </c>
      <c r="BN139" s="15" t="n">
        <f aca="false">(BN138)+AW139+AX139+AZ139</f>
        <v>130000</v>
      </c>
      <c r="BO139" s="15" t="n">
        <f aca="false">(BO138)+AY139</f>
        <v>0</v>
      </c>
      <c r="BP139" s="15" t="n">
        <f aca="false">0</f>
        <v>0</v>
      </c>
      <c r="BQ139" s="15" t="n">
        <f aca="false">BN139+BM139-BO139</f>
        <v>-135608.040548788</v>
      </c>
      <c r="BR139" s="15" t="n">
        <f aca="false">BH139+AD139+BL139+MAX(0,-AM139)+MAX(0,-AR139)+AG139</f>
        <v>133814.998799329</v>
      </c>
      <c r="BS139" s="15" t="n">
        <f aca="false">AJ139+AV139+MAX(0,AM139)+MAX(0,AR139)+BC139+BG139+BQ139</f>
        <v>133814.998799329</v>
      </c>
      <c r="BT139" s="15" t="n">
        <f aca="false">BR139-BS139</f>
        <v>0</v>
      </c>
      <c r="BU139" s="15" t="n">
        <f aca="false">BH139-(BD139+BE139-BF139-AY139)</f>
        <v>0</v>
      </c>
      <c r="BV139" s="15" t="n">
        <f aca="false">MIN(Piano_SS!$C$6,(BV138)+IF(AND(Motore_Operativo!C139&gt;=EDATE(Parametri_v3!$C$24,Ipotesi!E14*12),Motore_Operativo!C139&lt;EDATE(Parametri_v3!$C$24,Parametri_v3!$C$25+Ipotesi!E14*12)),MAX(0,(Motore_Operativo!Y139+Motore_Operativo!X139*Parametri_v3!$C$14)*(1-Parametri_v3!$C$32))*Piano_SS!$D$6,0))</f>
        <v>65193.75</v>
      </c>
      <c r="BW139" s="15" t="n">
        <f aca="false">MIN(Piano_SS!$C$7,(BW138)+IF(AND(Motore_Operativo!C139&gt;=EDATE(Parametri_v3!$C$24,Ipotesi!E14*12),Motore_Operativo!C139&lt;EDATE(Parametri_v3!$C$24,Parametri_v3!$C$25+Ipotesi!E14*12)),MAX(0,(IF(15-(INT((Ipotesi!$C$91)/30))&lt;1,0,INDEX(Motore_Operativo!$BN$125:$BN$184,MAX(1,15-(INT((Ipotesi!$C$91)/30)))))*(1-(MOD((Ipotesi!$C$91),30)/30))+IF(15-(INT((Ipotesi!$C$91)/30))-1&lt;1,0,INDEX(Motore_Operativo!$BN$125:$BN$184,MAX(1,15-(INT((Ipotesi!$C$91)/30))-1)))*(MOD((Ipotesi!$C$91),30)/30)))*Piano_SS!$D$7,0))</f>
        <v>11868.1655977924</v>
      </c>
      <c r="BX139" s="15" t="n">
        <f aca="false">MIN(Piano_SS!$C$8,(BX138)+IF(AND(Motore_Operativo!C139&gt;=EDATE(Parametri_v3!$C$24,Ipotesi!E14*12),Motore_Operativo!C139&lt;EDATE(Parametri_v3!$C$24,Parametri_v3!$C$25+Ipotesi!E14*12)),MAX(0,Motore_Operativo!CE139)*Piano_SS!$D$8,0))</f>
        <v>16250</v>
      </c>
      <c r="BY139" s="15" t="n">
        <f aca="false">MIN(Piano_SS!$C$9,(BY138)+IF(AND(Motore_Operativo!C139&gt;=EDATE(Parametri_v3!$C$24,Ipotesi!E14*12),Motore_Operativo!C139&lt;EDATE(Parametri_v3!$C$24,Parametri_v3!$C$25+Ipotesi!E14*12)),MAX(0,((IF(15-(INT((Ipotesi!$C$91)/30))&lt;1,0,INDEX(Motore_Operativo!$BQ$125:$BQ$184,MAX(1,15-(INT((Ipotesi!$C$91)/30)))))*(1-(MOD((Ipotesi!$C$91),30)/30))+IF(15-(INT((Ipotesi!$C$91)/30))-1&lt;1,0,INDEX(Motore_Operativo!$BQ$125:$BQ$184,MAX(1,15-(INT((Ipotesi!$C$91)/30))-1)))*(MOD((Ipotesi!$C$91),30)/30))+(IF(15-(INT((Ipotesi!$C$91)/30))&lt;1,0,INDEX(Motore_Operativo!$BR$125:$BR$184,MAX(1,15-(INT((Ipotesi!$C$91)/30)))))*(1-(MOD((Ipotesi!$C$91),30)/30))+IF(15-(INT((Ipotesi!$C$91)/30))-1&lt;1,0,INDEX(Motore_Operativo!$BR$125:$BR$184,MAX(1,15-(INT((Ipotesi!$C$91)/30))-1)))*(MOD((Ipotesi!$C$91),30)/30))))*Piano_SS!$D$9,0))</f>
        <v>20916.6666666667</v>
      </c>
      <c r="BZ139" s="15" t="n">
        <f aca="false">MIN(Piano_SS!$C$10,(BZ138)+IF(AND(Motore_Operativo!C139&gt;=EDATE(Parametri_v3!$C$24,Ipotesi!E14*12),Motore_Operativo!C139&lt;EDATE(Parametri_v3!$C$24,Parametri_v3!$C$25+Ipotesi!E14*12)),MAX(0,(IF(15-(INT((Ipotesi!$C$91)/30))&lt;1,0,INDEX(Motore_Operativo!$BO$125:$BO$184,MAX(1,15-(INT((Ipotesi!$C$91)/30)))))*(1-(MOD((Ipotesi!$C$91),30)/30))+IF(15-(INT((Ipotesi!$C$91)/30))-1&lt;1,0,INDEX(Motore_Operativo!$BO$125:$BO$184,MAX(1,15-(INT((Ipotesi!$C$91)/30))-1)))*(MOD((Ipotesi!$C$91),30)/30)))*Piano_SS!$D$10,0))</f>
        <v>9833.33333333333</v>
      </c>
      <c r="CA139" s="15" t="n">
        <f aca="false">SUM(BV139:BZ139)</f>
        <v>124061.915597792</v>
      </c>
      <c r="CB139" s="15" t="n">
        <f aca="false">BV139*(1-Piano_SS!$E$6)+BW139*(1-Piano_SS!$E$7)+BX139*(1-Piano_SS!$E$8)+BY139*(1-Piano_SS!$E$9)+BZ139*(1-Piano_SS!$E$10)</f>
        <v>114228.582264459</v>
      </c>
      <c r="CC139" s="15" t="n">
        <f aca="false">(CC138)+BA139</f>
        <v>80000</v>
      </c>
      <c r="CD139" s="15" t="n">
        <f aca="false">IF(CA139=0,0,CC139*CB139/CA139*Ipotesi!$C$103*Parametri_v3!$C$64)</f>
        <v>22097.7240367212</v>
      </c>
      <c r="CE139" s="18" t="n">
        <f aca="false">IF(BA139&gt;0,Motore_Operativo!C139,(CE138))</f>
        <v>46784</v>
      </c>
      <c r="CF139" s="18" t="n">
        <f aca="false">IF(AND(CC139&gt;0,OR(CC139&gt;=CG139-0.01,Motore_Operativo!C139&gt;=EDATE(MAX(Finanziamenti!$D$15:$D$17),Ipotesi!E14*12))),CE139,0)</f>
        <v>0</v>
      </c>
      <c r="CG139" s="15" t="n">
        <f aca="false">IF(AND(3&lt;&gt;6,3&lt;&gt;9,Finanziamenti!$F$11=1,OR(Parametri_v3!$C$6=0,Finanziamenti!$E$11=1)),MIN(Finanziamenti!$C$11,Piano_SS!$C$12*Ipotesi!$C$102),0)</f>
        <v>400000</v>
      </c>
      <c r="CH139" s="15" t="n">
        <f aca="false">IF(AND(AND(3&lt;&gt;8,3&lt;&gt;9,Finanziamenti!$F$10=1,OR(Parametri_v3!$C$6=0,Finanziamenti!$E$10=1)),Motore_Operativo!C139&gt;=Finanziamenti!$D$10,Motore_Operativo!C139&lt;Parametri_v3!$C$63),Finanziamenti!$C$10,0)</f>
        <v>150000</v>
      </c>
    </row>
    <row r="140" customFormat="false" ht="18" hidden="false" customHeight="true" outlineLevel="0" collapsed="false">
      <c r="A140" s="68" t="n">
        <f aca="false">3</f>
        <v>3</v>
      </c>
      <c r="B140" s="68" t="n">
        <f aca="false">16</f>
        <v>16</v>
      </c>
      <c r="C140" s="18" t="n">
        <f aca="false">Motore_Operativo!C140</f>
        <v>46844</v>
      </c>
      <c r="D140" s="68" t="n">
        <f aca="false">Motore_Operativo!D140</f>
        <v>2028</v>
      </c>
      <c r="E140" s="68" t="n">
        <f aca="false">Motore_Operativo!E140</f>
        <v>4</v>
      </c>
      <c r="F140" s="15" t="n">
        <f aca="false">Motore_Operativo!AQ140+Motore_Operativo!BF140</f>
        <v>28541.3763686215</v>
      </c>
      <c r="G140" s="15" t="n">
        <f aca="false">Motore_Operativo!BH140</f>
        <v>3398.1220657277</v>
      </c>
      <c r="H140" s="15" t="n">
        <f aca="false">Motore_Operativo!BI140</f>
        <v>31939.4984343492</v>
      </c>
      <c r="I140" s="15" t="n">
        <f aca="false">Motore_Operativo!CA140</f>
        <v>57467.9030202455</v>
      </c>
      <c r="J140" s="15" t="n">
        <f aca="false">Motore_Operativo!CC140</f>
        <v>-25528.4045858963</v>
      </c>
      <c r="K140" s="15" t="n">
        <f aca="false">Motore_Operativo!CE140</f>
        <v>2083.33333333333</v>
      </c>
      <c r="L140" s="15" t="n">
        <f aca="false">SUM(INDEX($K$125:$K$184,MAX(1,16-Parametri_v3!$C$59+1)):K140)/Parametri_v3!$C$59</f>
        <v>787.037037037037</v>
      </c>
      <c r="M140" s="15" t="n">
        <f aca="false">J140-L140</f>
        <v>-26315.4416229333</v>
      </c>
      <c r="N140" s="15" t="n">
        <f aca="false">CD140-(CD139)</f>
        <v>-33.9252108798173</v>
      </c>
      <c r="O140" s="15" t="n">
        <f aca="false">(BG139)*Ipotesi!$C$110/12+CH140*Parametri_v3!$C$39/12</f>
        <v>750</v>
      </c>
      <c r="P140" s="15" t="n">
        <f aca="false">M140+N140-O140</f>
        <v>-27099.3668338131</v>
      </c>
      <c r="Q140" s="15" t="n">
        <f aca="false">SUM(P137:P140)+Parametri_v3!$C$54*4/12</f>
        <v>-102427.55177066</v>
      </c>
      <c r="R140" s="15" t="n">
        <f aca="false">Z136</f>
        <v>190279.85561194</v>
      </c>
      <c r="S140" s="15" t="n">
        <f aca="false">AA136</f>
        <v>0</v>
      </c>
      <c r="T140" s="15" t="n">
        <f aca="false">MIN(R140,MAX(0,Q140))</f>
        <v>0</v>
      </c>
      <c r="U140" s="15" t="n">
        <f aca="false">MIN(S140,MAX(0,Q140-T140)*Parametri_v3!$C$42)</f>
        <v>0</v>
      </c>
      <c r="V140" s="15" t="n">
        <f aca="false">MAX(0,Q140-T140-U140)*Ipotesi!$C$92</f>
        <v>0</v>
      </c>
      <c r="W140" s="15" t="n">
        <f aca="false">MAX(0,SUM(M137:M140)+Parametri_v3!$C$55*4/12)*Ipotesi!$C$93</f>
        <v>0</v>
      </c>
      <c r="X140" s="15" t="n">
        <f aca="false">V140+W140-(V139+W139)</f>
        <v>0</v>
      </c>
      <c r="Y140" s="15" t="n">
        <f aca="false">P140-X140</f>
        <v>-27099.3668338131</v>
      </c>
      <c r="Z140" s="15" t="n">
        <f aca="false">R140-T140+IF(AND(Parametri_v3!$C$40=1,D140-YEAR(Parametri_v3!$C$50)&lt;Parametri_v3!$C$41),MAX(0,-Q140),0)</f>
        <v>292707.407382601</v>
      </c>
      <c r="AA140" s="15" t="n">
        <f aca="false">S140-U140+IF(AND(Parametri_v3!$C$40=1,D140-YEAR(Parametri_v3!$C$50)&lt;Parametri_v3!$C$41),0,MAX(0,-Q140))</f>
        <v>0</v>
      </c>
      <c r="AB140" s="15" t="n">
        <f aca="false">F140*(1+Parametri_v3!$C$26)</f>
        <v>34820.4791697183</v>
      </c>
      <c r="AC140" s="15" t="n">
        <f aca="false">(IF(16-(INT((Motore_Operativo!L140)/30))&lt;1,0,INDEX(Motore_Startup!$AB$125:$AB$184,MAX(1,16-(INT((Motore_Operativo!L140)/30)))))*(1-(MOD((Motore_Operativo!L140),30)/30))+IF(16-(INT((Motore_Operativo!L140)/30))-1&lt;1,0,INDEX(Motore_Startup!$AB$125:$AB$184,MAX(1,16-(INT((Motore_Operativo!L140)/30))-1)))*(MOD((Motore_Operativo!L140),30)/30))</f>
        <v>32848.7661070745</v>
      </c>
      <c r="AD140" s="15" t="n">
        <f aca="false">(AD139)+AB140-AC140</f>
        <v>102033.506707378</v>
      </c>
      <c r="AE140" s="15" t="n">
        <f aca="false">Motore_Operativo!BH140*(1+Parametri_v3!$C$26)</f>
        <v>4145.70892018779</v>
      </c>
      <c r="AF140" s="15" t="n">
        <f aca="false">(IF(16-(INT((Parametri_v3!$C$29)/30))&lt;1,0,INDEX(Motore_Operativo!$BH$125:$BH$184,MAX(1,16-(INT((Parametri_v3!$C$29)/30)))))*(1-(MOD((Parametri_v3!$C$29),30)/30))+IF(16-(INT((Parametri_v3!$C$29)/30))-1&lt;1,0,INDEX(Motore_Operativo!$BH$125:$BH$184,MAX(1,16-(INT((Parametri_v3!$C$29)/30))-1)))*(MOD((Parametri_v3!$C$29),30)/30))*(1+Parametri_v3!$C$26)</f>
        <v>4145.70892018779</v>
      </c>
      <c r="AG140" s="15" t="n">
        <f aca="false">(AG139)+AE140-AF140</f>
        <v>4145.70892018779</v>
      </c>
      <c r="AH140" s="15" t="n">
        <f aca="false">(Motore_Operativo!CJ140)*(1+Parametri_v3!$C$27*Parametri_v3!$C$26)</f>
        <v>21016.3133850314</v>
      </c>
      <c r="AI140" s="15" t="n">
        <f aca="false">(IF(16-(INT((Ipotesi!$C$91)/30))&lt;1,0,INDEX(Motore_Startup!$AH$125:$AH$184,MAX(1,16-(INT((Ipotesi!$C$91)/30)))))*(1-(MOD((Ipotesi!$C$91),30)/30))+IF(16-(INT((Ipotesi!$C$91)/30))-1&lt;1,0,INDEX(Motore_Startup!$AH$125:$AH$184,MAX(1,16-(INT((Ipotesi!$C$91)/30))-1)))*(MOD((Ipotesi!$C$91),30)/30))</f>
        <v>20816.7514098655</v>
      </c>
      <c r="AJ140" s="15" t="n">
        <f aca="false">(AJ139)+AH140-AI140</f>
        <v>41901.4727283113</v>
      </c>
      <c r="AK140" s="15" t="n">
        <f aca="false">(F140+ Motore_Operativo!BH140-(Motore_Operativo!CJ140)*Parametri_v3!$C$27-Motore_Operativo!CE140)*Parametri_v3!$C$26</f>
        <v>3257.44595743759</v>
      </c>
      <c r="AL140" s="15" t="n">
        <f aca="false">MAX(0,(AM139))</f>
        <v>3104.47763169269</v>
      </c>
      <c r="AM140" s="15" t="n">
        <f aca="false">(AM139)+AK140-AL140</f>
        <v>3257.44595743759</v>
      </c>
      <c r="AN140" s="15" t="n">
        <f aca="false">SUM(X125:X136)</f>
        <v>0</v>
      </c>
      <c r="AO140" s="15" t="n">
        <f aca="false">SUM(AP125:AP136)</f>
        <v>0</v>
      </c>
      <c r="AP140" s="15" t="n">
        <f aca="false">MAX(0,AN140)*IF(4=Parametri_v3!$C$43,Parametri_v3!$C$45,IF(4=Parametri_v3!$C$44,1-Parametri_v3!$C$45,0))</f>
        <v>0</v>
      </c>
      <c r="AQ140" s="15" t="n">
        <f aca="false">MAX(0,AP140+IF(4=Parametri_v3!$C$43,MAX(0,AN140-AO140),0)-MAX(0,-(AR139)))</f>
        <v>0</v>
      </c>
      <c r="AR140" s="15" t="n">
        <f aca="false">(AR139)+X140-AQ140</f>
        <v>0</v>
      </c>
      <c r="AS140" s="15" t="n">
        <f aca="false">Motore_Operativo!AB140-AT140+AU140</f>
        <v>37774.375</v>
      </c>
      <c r="AT140" s="15" t="n">
        <f aca="false">Motore_Operativo!CH140</f>
        <v>1988.125</v>
      </c>
      <c r="AU140" s="15" t="n">
        <f aca="false">MIN(MAX(0,(AV139)+AT140),Parametri_v3!$C$60/12)</f>
        <v>0</v>
      </c>
      <c r="AV140" s="15" t="n">
        <f aca="false">(AV139)+AT140-AU140</f>
        <v>18702.5</v>
      </c>
      <c r="AW140" s="15" t="n">
        <f aca="false">IF(AND(Motore_Operativo!C140=Finanziamenti!$D$6,Finanziamenti!$F$6=1),Finanziamenti!$C$6,0)</f>
        <v>0</v>
      </c>
      <c r="AX140" s="15" t="n">
        <f aca="false">IF(AND(3&lt;&gt;7,3&lt;&gt;9,Finanziamenti!$F$8=1,OR(Parametri_v3!$C$6=0,Finanziamenti!$E$8=1),Motore_Operativo!C140=EDATE(Finanziamenti!$D$8,Ipotesi!E15*12)),Finanziamenti!$C$8*1,0)+IF(AND(3&lt;&gt;7,3&lt;&gt;9,Finanziamenti!$F$9=1,OR(Parametri_v3!$C$6=0,Finanziamenti!$E$9=1),Motore_Operativo!C140=EDATE(Finanziamenti!$D$9,Ipotesi!E15*12)),Finanziamenti!$C$9*Ipotesi!E16,0)</f>
        <v>0</v>
      </c>
      <c r="AY140" s="15" t="n">
        <f aca="false">0</f>
        <v>0</v>
      </c>
      <c r="AZ140" s="15" t="n">
        <f aca="false">Motore_Advisory!AY140*(1-Ipotesi!$C$95)*Ipotesi!$C$96</f>
        <v>0</v>
      </c>
      <c r="BA140" s="15" t="n">
        <f aca="false">MAX(0,MIN(CG140*MIN(1,IF(Motore_Operativo!C140&gt;=EDATE(Finanziamenti!$D$15,Ipotesi!E14*12),Finanziamenti!$C$15,0)+IF(Motore_Operativo!C140&gt;=EDATE(Finanziamenti!$D$16,Ipotesi!E14*12),Finanziamenti!$C$16,0)+IF(Motore_Operativo!C140&gt;=EDATE(Finanziamenti!$D$17,Ipotesi!E14*12),Finanziamenti!$C$17,0)),CA140*Ipotesi!$C$102)-(CC139))</f>
        <v>0</v>
      </c>
      <c r="BB140" s="15" t="n">
        <f aca="false">IF(AND(CF140&gt;0,Motore_Operativo!C140&gt;=IF(CF140=0,0,EDATE(CF140,Parametri_v3!$C$37)),MOD(((D140-YEAR(IF(CF140=0,0,EDATE(CF140,Parametri_v3!$C$37))))*12+E140-MONTH(IF(CF140=0,0,EDATE(CF140,Parametri_v3!$C$37)))),Parametri_v3!$C$38)=0),MIN(MAX(0,(BC139)+BA140-N140),(CC140-CD140)/(Ipotesi!$C$108*12/Parametri_v3!$C$38)),0)</f>
        <v>0</v>
      </c>
      <c r="BC140" s="15" t="n">
        <f aca="false">(BC139)+BA140-N140-BB140</f>
        <v>57936.2011741586</v>
      </c>
      <c r="BD140" s="15" t="n">
        <f aca="false">(BH139)+AC140+AF140-AI140-AS140-K140*(1+Parametri_v3!$C$26)-AL140-AQ140-O140+AW140+AX140+AZ140+BA140-BB140</f>
        <v>-19010.2994465551</v>
      </c>
      <c r="BE140" s="15" t="n">
        <f aca="false">MAX(0,MIN(MAX(0,CH140-(BG139)),Parametri_v3!$C$30-BD140))</f>
        <v>0</v>
      </c>
      <c r="BF140" s="15" t="n">
        <f aca="false">IF(Motore_Operativo!C140&gt;=Parametri_v3!$C$63,(BG139),MIN((BG139),MAX(0,BD140-Parametri_v3!$C$30)))</f>
        <v>0</v>
      </c>
      <c r="BG140" s="15" t="n">
        <f aca="false">(BG139)+BE140-BF140</f>
        <v>150000</v>
      </c>
      <c r="BH140" s="15" t="n">
        <f aca="false">BD140+BE140-BF140-AY140</f>
        <v>-19010.2994465551</v>
      </c>
      <c r="BI140" s="15" t="n">
        <f aca="false">MAX(0,Parametri_v3!$C$30-BH140)</f>
        <v>44010.2994465551</v>
      </c>
      <c r="BJ140" s="15" t="n">
        <f aca="false">(BJ139)+K140</f>
        <v>28333.3333333333</v>
      </c>
      <c r="BK140" s="15" t="n">
        <f aca="false">(BK139)+L140</f>
        <v>6412.03703703704</v>
      </c>
      <c r="BL140" s="15" t="n">
        <f aca="false">BJ140-BK140</f>
        <v>21921.2962962963</v>
      </c>
      <c r="BM140" s="15" t="n">
        <f aca="false">(BM139)+Y140</f>
        <v>-292707.407382601</v>
      </c>
      <c r="BN140" s="15" t="n">
        <f aca="false">(BN139)+AW140+AX140+AZ140</f>
        <v>130000</v>
      </c>
      <c r="BO140" s="15" t="n">
        <f aca="false">(BO139)+AY140</f>
        <v>0</v>
      </c>
      <c r="BP140" s="15" t="n">
        <f aca="false">0</f>
        <v>0</v>
      </c>
      <c r="BQ140" s="15" t="n">
        <f aca="false">BN140+BM140-BO140</f>
        <v>-162707.407382601</v>
      </c>
      <c r="BR140" s="15" t="n">
        <f aca="false">BH140+AD140+BL140+MAX(0,-AM140)+MAX(0,-AR140)+AG140</f>
        <v>109090.212477307</v>
      </c>
      <c r="BS140" s="15" t="n">
        <f aca="false">AJ140+AV140+MAX(0,AM140)+MAX(0,AR140)+BC140+BG140+BQ140</f>
        <v>109090.212477307</v>
      </c>
      <c r="BT140" s="15" t="n">
        <f aca="false">BR140-BS140</f>
        <v>0</v>
      </c>
      <c r="BU140" s="15" t="n">
        <f aca="false">BH140-(BD140+BE140-BF140-AY140)</f>
        <v>0</v>
      </c>
      <c r="BV140" s="15" t="n">
        <f aca="false">MIN(Piano_SS!$C$6,(BV139)+IF(AND(Motore_Operativo!C140&gt;=EDATE(Parametri_v3!$C$24,Ipotesi!E14*12),Motore_Operativo!C140&lt;EDATE(Parametri_v3!$C$24,Parametri_v3!$C$25+Ipotesi!E14*12)),MAX(0,(Motore_Operativo!Y140+Motore_Operativo!X140*Parametri_v3!$C$14)*(1-Parametri_v3!$C$32))*Piano_SS!$D$6,0))</f>
        <v>77425</v>
      </c>
      <c r="BW140" s="15" t="n">
        <f aca="false">MIN(Piano_SS!$C$7,(BW139)+IF(AND(Motore_Operativo!C140&gt;=EDATE(Parametri_v3!$C$24,Ipotesi!E14*12),Motore_Operativo!C140&lt;EDATE(Parametri_v3!$C$24,Parametri_v3!$C$25+Ipotesi!E14*12)),MAX(0,(IF(16-(INT((Ipotesi!$C$91)/30))&lt;1,0,INDEX(Motore_Operativo!$BN$125:$BN$184,MAX(1,16-(INT((Ipotesi!$C$91)/30)))))*(1-(MOD((Ipotesi!$C$91),30)/30))+IF(16-(INT((Ipotesi!$C$91)/30))-1&lt;1,0,INDEX(Motore_Operativo!$BN$125:$BN$184,MAX(1,16-(INT((Ipotesi!$C$91)/30))-1)))*(MOD((Ipotesi!$C$91),30)/30)))*Piano_SS!$D$7,0))</f>
        <v>13354.7387673378</v>
      </c>
      <c r="BX140" s="15" t="n">
        <f aca="false">MIN(Piano_SS!$C$8,(BX139)+IF(AND(Motore_Operativo!C140&gt;=EDATE(Parametri_v3!$C$24,Ipotesi!E14*12),Motore_Operativo!C140&lt;EDATE(Parametri_v3!$C$24,Parametri_v3!$C$25+Ipotesi!E14*12)),MAX(0,Motore_Operativo!CE140)*Piano_SS!$D$8,0))</f>
        <v>18333.3333333333</v>
      </c>
      <c r="BY140" s="15" t="n">
        <f aca="false">MIN(Piano_SS!$C$9,(BY139)+IF(AND(Motore_Operativo!C140&gt;=EDATE(Parametri_v3!$C$24,Ipotesi!E14*12),Motore_Operativo!C140&lt;EDATE(Parametri_v3!$C$24,Parametri_v3!$C$25+Ipotesi!E14*12)),MAX(0,((IF(16-(INT((Ipotesi!$C$91)/30))&lt;1,0,INDEX(Motore_Operativo!$BQ$125:$BQ$184,MAX(1,16-(INT((Ipotesi!$C$91)/30)))))*(1-(MOD((Ipotesi!$C$91),30)/30))+IF(16-(INT((Ipotesi!$C$91)/30))-1&lt;1,0,INDEX(Motore_Operativo!$BQ$125:$BQ$184,MAX(1,16-(INT((Ipotesi!$C$91)/30))-1)))*(MOD((Ipotesi!$C$91),30)/30))+(IF(16-(INT((Ipotesi!$C$91)/30))&lt;1,0,INDEX(Motore_Operativo!$BR$125:$BR$184,MAX(1,16-(INT((Ipotesi!$C$91)/30)))))*(1-(MOD((Ipotesi!$C$91),30)/30))+IF(16-(INT((Ipotesi!$C$91)/30))-1&lt;1,0,INDEX(Motore_Operativo!$BR$125:$BR$184,MAX(1,16-(INT((Ipotesi!$C$91)/30))-1)))*(MOD((Ipotesi!$C$91),30)/30))))*Piano_SS!$D$9,0))</f>
        <v>23833.3333333333</v>
      </c>
      <c r="BZ140" s="15" t="n">
        <f aca="false">MIN(Piano_SS!$C$10,(BZ139)+IF(AND(Motore_Operativo!C140&gt;=EDATE(Parametri_v3!$C$24,Ipotesi!E14*12),Motore_Operativo!C140&lt;EDATE(Parametri_v3!$C$24,Parametri_v3!$C$25+Ipotesi!E14*12)),MAX(0,(IF(16-(INT((Ipotesi!$C$91)/30))&lt;1,0,INDEX(Motore_Operativo!$BO$125:$BO$184,MAX(1,16-(INT((Ipotesi!$C$91)/30)))))*(1-(MOD((Ipotesi!$C$91),30)/30))+IF(16-(INT((Ipotesi!$C$91)/30))-1&lt;1,0,INDEX(Motore_Operativo!$BO$125:$BO$184,MAX(1,16-(INT((Ipotesi!$C$91)/30))-1)))*(MOD((Ipotesi!$C$91),30)/30)))*Piano_SS!$D$10,0))</f>
        <v>11666.6666666667</v>
      </c>
      <c r="CA140" s="15" t="n">
        <f aca="false">SUM(BV140:BZ140)</f>
        <v>144613.072100671</v>
      </c>
      <c r="CB140" s="15" t="n">
        <f aca="false">BV140*(1-Piano_SS!$E$6)+BW140*(1-Piano_SS!$E$7)+BX140*(1-Piano_SS!$E$8)+BY140*(1-Piano_SS!$E$9)+BZ140*(1-Piano_SS!$E$10)</f>
        <v>132946.405434005</v>
      </c>
      <c r="CC140" s="15" t="n">
        <f aca="false">(CC139)+BA140</f>
        <v>80000</v>
      </c>
      <c r="CD140" s="15" t="n">
        <f aca="false">IF(CA140=0,0,CC140*CB140/CA140*Ipotesi!$C$103*Parametri_v3!$C$64)</f>
        <v>22063.7988258414</v>
      </c>
      <c r="CE140" s="18" t="n">
        <f aca="false">IF(BA140&gt;0,Motore_Operativo!C140,(CE139))</f>
        <v>46784</v>
      </c>
      <c r="CF140" s="18" t="n">
        <f aca="false">IF(AND(CC140&gt;0,OR(CC140&gt;=CG140-0.01,Motore_Operativo!C140&gt;=EDATE(MAX(Finanziamenti!$D$15:$D$17),Ipotesi!E14*12))),CE140,0)</f>
        <v>0</v>
      </c>
      <c r="CG140" s="15" t="n">
        <f aca="false">IF(AND(3&lt;&gt;6,3&lt;&gt;9,Finanziamenti!$F$11=1,OR(Parametri_v3!$C$6=0,Finanziamenti!$E$11=1)),MIN(Finanziamenti!$C$11,Piano_SS!$C$12*Ipotesi!$C$102),0)</f>
        <v>400000</v>
      </c>
      <c r="CH140" s="15" t="n">
        <f aca="false">IF(AND(AND(3&lt;&gt;8,3&lt;&gt;9,Finanziamenti!$F$10=1,OR(Parametri_v3!$C$6=0,Finanziamenti!$E$10=1)),Motore_Operativo!C140&gt;=Finanziamenti!$D$10,Motore_Operativo!C140&lt;Parametri_v3!$C$63),Finanziamenti!$C$10,0)</f>
        <v>150000</v>
      </c>
    </row>
    <row r="141" customFormat="false" ht="18" hidden="false" customHeight="true" outlineLevel="0" collapsed="false">
      <c r="A141" s="68" t="n">
        <f aca="false">3</f>
        <v>3</v>
      </c>
      <c r="B141" s="68" t="n">
        <f aca="false">17</f>
        <v>17</v>
      </c>
      <c r="C141" s="18" t="n">
        <f aca="false">Motore_Operativo!C141</f>
        <v>46874</v>
      </c>
      <c r="D141" s="68" t="n">
        <f aca="false">Motore_Operativo!D141</f>
        <v>2028</v>
      </c>
      <c r="E141" s="68" t="n">
        <f aca="false">Motore_Operativo!E141</f>
        <v>5</v>
      </c>
      <c r="F141" s="15" t="n">
        <f aca="false">Motore_Operativo!AQ141+Motore_Operativo!BF141</f>
        <v>29704.8836981482</v>
      </c>
      <c r="G141" s="15" t="n">
        <f aca="false">Motore_Operativo!BH141</f>
        <v>3398.1220657277</v>
      </c>
      <c r="H141" s="15" t="n">
        <f aca="false">Motore_Operativo!BI141</f>
        <v>33103.0057638759</v>
      </c>
      <c r="I141" s="15" t="n">
        <f aca="false">Motore_Operativo!CA141</f>
        <v>57630.7940463793</v>
      </c>
      <c r="J141" s="15" t="n">
        <f aca="false">Motore_Operativo!CC141</f>
        <v>-24527.7882825033</v>
      </c>
      <c r="K141" s="15" t="n">
        <f aca="false">Motore_Operativo!CE141</f>
        <v>2083.33333333333</v>
      </c>
      <c r="L141" s="15" t="n">
        <f aca="false">SUM(INDEX($K$125:$K$184,MAX(1,17-Parametri_v3!$C$59+1)):K141)/Parametri_v3!$C$59</f>
        <v>844.907407407407</v>
      </c>
      <c r="M141" s="15" t="n">
        <f aca="false">J141-L141</f>
        <v>-25372.6956899107</v>
      </c>
      <c r="N141" s="15" t="n">
        <f aca="false">CD141-(CD140)</f>
        <v>-25.0916160824709</v>
      </c>
      <c r="O141" s="15" t="n">
        <f aca="false">(BG140)*Ipotesi!$C$110/12+CH141*Parametri_v3!$C$39/12</f>
        <v>750</v>
      </c>
      <c r="P141" s="15" t="n">
        <f aca="false">M141+N141-O141</f>
        <v>-26147.7873059932</v>
      </c>
      <c r="Q141" s="15" t="n">
        <f aca="false">SUM(P137:P141)+Parametri_v3!$C$54*5/12</f>
        <v>-128575.339076654</v>
      </c>
      <c r="R141" s="15" t="n">
        <f aca="false">Z136</f>
        <v>190279.85561194</v>
      </c>
      <c r="S141" s="15" t="n">
        <f aca="false">AA136</f>
        <v>0</v>
      </c>
      <c r="T141" s="15" t="n">
        <f aca="false">MIN(R141,MAX(0,Q141))</f>
        <v>0</v>
      </c>
      <c r="U141" s="15" t="n">
        <f aca="false">MIN(S141,MAX(0,Q141-T141)*Parametri_v3!$C$42)</f>
        <v>0</v>
      </c>
      <c r="V141" s="15" t="n">
        <f aca="false">MAX(0,Q141-T141-U141)*Ipotesi!$C$92</f>
        <v>0</v>
      </c>
      <c r="W141" s="15" t="n">
        <f aca="false">MAX(0,SUM(M137:M141)+Parametri_v3!$C$55*5/12)*Ipotesi!$C$93</f>
        <v>0</v>
      </c>
      <c r="X141" s="15" t="n">
        <f aca="false">V141+W141-(V140+W140)</f>
        <v>0</v>
      </c>
      <c r="Y141" s="15" t="n">
        <f aca="false">P141-X141</f>
        <v>-26147.7873059932</v>
      </c>
      <c r="Z141" s="15" t="n">
        <f aca="false">R141-T141+IF(AND(Parametri_v3!$C$40=1,D141-YEAR(Parametri_v3!$C$50)&lt;Parametri_v3!$C$41),MAX(0,-Q141),0)</f>
        <v>318855.194688594</v>
      </c>
      <c r="AA141" s="15" t="n">
        <f aca="false">S141-U141+IF(AND(Parametri_v3!$C$40=1,D141-YEAR(Parametri_v3!$C$50)&lt;Parametri_v3!$C$41),0,MAX(0,-Q141))</f>
        <v>0</v>
      </c>
      <c r="AB141" s="15" t="n">
        <f aca="false">F141*(1+Parametri_v3!$C$26)</f>
        <v>36239.9581117408</v>
      </c>
      <c r="AC141" s="15" t="n">
        <f aca="false">(IF(17-(INT((Motore_Operativo!L141)/30))&lt;1,0,INDEX(Motore_Startup!$AB$125:$AB$184,MAX(1,17-(INT((Motore_Operativo!L141)/30)))))*(1-(MOD((Motore_Operativo!L141),30)/30))+IF(17-(INT((Motore_Operativo!L141)/30))-1&lt;1,0,INDEX(Motore_Startup!$AB$125:$AB$184,MAX(1,17-(INT((Motore_Operativo!L141)/30))-1)))*(MOD((Motore_Operativo!L141),30)/30))</f>
        <v>33355.4075022346</v>
      </c>
      <c r="AD141" s="15" t="n">
        <f aca="false">(AD140)+AB141-AC141</f>
        <v>104918.057316884</v>
      </c>
      <c r="AE141" s="15" t="n">
        <f aca="false">Motore_Operativo!BH141*(1+Parametri_v3!$C$26)</f>
        <v>4145.70892018779</v>
      </c>
      <c r="AF141" s="15" t="n">
        <f aca="false">(IF(17-(INT((Parametri_v3!$C$29)/30))&lt;1,0,INDEX(Motore_Operativo!$BH$125:$BH$184,MAX(1,17-(INT((Parametri_v3!$C$29)/30)))))*(1-(MOD((Parametri_v3!$C$29),30)/30))+IF(17-(INT((Parametri_v3!$C$29)/30))-1&lt;1,0,INDEX(Motore_Operativo!$BH$125:$BH$184,MAX(1,17-(INT((Parametri_v3!$C$29)/30))-1)))*(MOD((Parametri_v3!$C$29),30)/30))*(1+Parametri_v3!$C$26)</f>
        <v>4145.70892018779</v>
      </c>
      <c r="AG141" s="15" t="n">
        <f aca="false">(AG140)+AE141-AF141</f>
        <v>4145.70892018779</v>
      </c>
      <c r="AH141" s="15" t="n">
        <f aca="false">(Motore_Operativo!CJ141)*(1+Parametri_v3!$C$27*Parametri_v3!$C$26)</f>
        <v>21209.6650330522</v>
      </c>
      <c r="AI141" s="15" t="n">
        <f aca="false">(IF(17-(INT((Ipotesi!$C$91)/30))&lt;1,0,INDEX(Motore_Startup!$AH$125:$AH$184,MAX(1,17-(INT((Ipotesi!$C$91)/30)))))*(1-(MOD((Ipotesi!$C$91),30)/30))+IF(17-(INT((Ipotesi!$C$91)/30))-1&lt;1,0,INDEX(Motore_Startup!$AH$125:$AH$184,MAX(1,17-(INT((Ipotesi!$C$91)/30))-1)))*(MOD((Ipotesi!$C$91),30)/30))</f>
        <v>20885.1593432799</v>
      </c>
      <c r="AJ141" s="15" t="n">
        <f aca="false">(AJ140)+AH141-AI141</f>
        <v>42225.9784180836</v>
      </c>
      <c r="AK141" s="15" t="n">
        <f aca="false">(F141+ Motore_Operativo!BH141-(Motore_Operativo!CJ141)*Parametri_v3!$C$27-Motore_Operativo!CE141)*Parametri_v3!$C$26</f>
        <v>3482.95694804645</v>
      </c>
      <c r="AL141" s="15" t="n">
        <f aca="false">MAX(0,(AM140))</f>
        <v>3257.44595743759</v>
      </c>
      <c r="AM141" s="15" t="n">
        <f aca="false">(AM140)+AK141-AL141</f>
        <v>3482.95694804645</v>
      </c>
      <c r="AN141" s="15" t="n">
        <f aca="false">SUM(X125:X136)</f>
        <v>0</v>
      </c>
      <c r="AO141" s="15" t="n">
        <f aca="false">SUM(AP125:AP136)</f>
        <v>0</v>
      </c>
      <c r="AP141" s="15" t="n">
        <f aca="false">MAX(0,AN141)*IF(5=Parametri_v3!$C$43,Parametri_v3!$C$45,IF(5=Parametri_v3!$C$44,1-Parametri_v3!$C$45,0))</f>
        <v>0</v>
      </c>
      <c r="AQ141" s="15" t="n">
        <f aca="false">MAX(0,AP141+IF(5=Parametri_v3!$C$43,MAX(0,AN141-AO141),0)-MAX(0,-(AR140)))</f>
        <v>0</v>
      </c>
      <c r="AR141" s="15" t="n">
        <f aca="false">(AR140)+X141-AQ141</f>
        <v>0</v>
      </c>
      <c r="AS141" s="15" t="n">
        <f aca="false">Motore_Operativo!AB141-AT141+AU141</f>
        <v>37774.375</v>
      </c>
      <c r="AT141" s="15" t="n">
        <f aca="false">Motore_Operativo!CH141</f>
        <v>1988.125</v>
      </c>
      <c r="AU141" s="15" t="n">
        <f aca="false">MIN(MAX(0,(AV140)+AT141),Parametri_v3!$C$60/12)</f>
        <v>0</v>
      </c>
      <c r="AV141" s="15" t="n">
        <f aca="false">(AV140)+AT141-AU141</f>
        <v>20690.625</v>
      </c>
      <c r="AW141" s="15" t="n">
        <f aca="false">IF(AND(Motore_Operativo!C141=Finanziamenti!$D$6,Finanziamenti!$F$6=1),Finanziamenti!$C$6,0)</f>
        <v>0</v>
      </c>
      <c r="AX141" s="15" t="n">
        <f aca="false">IF(AND(3&lt;&gt;7,3&lt;&gt;9,Finanziamenti!$F$8=1,OR(Parametri_v3!$C$6=0,Finanziamenti!$E$8=1),Motore_Operativo!C141=EDATE(Finanziamenti!$D$8,Ipotesi!E15*12)),Finanziamenti!$C$8*1,0)+IF(AND(3&lt;&gt;7,3&lt;&gt;9,Finanziamenti!$F$9=1,OR(Parametri_v3!$C$6=0,Finanziamenti!$E$9=1),Motore_Operativo!C141=EDATE(Finanziamenti!$D$9,Ipotesi!E15*12)),Finanziamenti!$C$9*Ipotesi!E16,0)</f>
        <v>0</v>
      </c>
      <c r="AY141" s="15" t="n">
        <f aca="false">0</f>
        <v>0</v>
      </c>
      <c r="AZ141" s="15" t="n">
        <f aca="false">Motore_Advisory!AY141*(1-Ipotesi!$C$95)*Ipotesi!$C$96</f>
        <v>0</v>
      </c>
      <c r="BA141" s="15" t="n">
        <f aca="false">MAX(0,MIN(CG141*MIN(1,IF(Motore_Operativo!C141&gt;=EDATE(Finanziamenti!$D$15,Ipotesi!E14*12),Finanziamenti!$C$15,0)+IF(Motore_Operativo!C141&gt;=EDATE(Finanziamenti!$D$16,Ipotesi!E14*12),Finanziamenti!$C$16,0)+IF(Motore_Operativo!C141&gt;=EDATE(Finanziamenti!$D$17,Ipotesi!E14*12),Finanziamenti!$C$17,0)),CA141*Ipotesi!$C$102)-(CC140))</f>
        <v>0</v>
      </c>
      <c r="BB141" s="15" t="n">
        <f aca="false">IF(AND(CF141&gt;0,Motore_Operativo!C141&gt;=IF(CF141=0,0,EDATE(CF141,Parametri_v3!$C$37)),MOD(((D141-YEAR(IF(CF141=0,0,EDATE(CF141,Parametri_v3!$C$37))))*12+E141-MONTH(IF(CF141=0,0,EDATE(CF141,Parametri_v3!$C$37)))),Parametri_v3!$C$38)=0),MIN(MAX(0,(BC140)+BA141-N141),(CC141-CD141)/(Ipotesi!$C$108*12/Parametri_v3!$C$38)),0)</f>
        <v>0</v>
      </c>
      <c r="BC141" s="15" t="n">
        <f aca="false">(BC140)+BA141-N141-BB141</f>
        <v>57961.2927902411</v>
      </c>
      <c r="BD141" s="15" t="n">
        <f aca="false">(BH140)+AC141+AF141-AI141-AS141-K141*(1+Parametri_v3!$C$26)-AL141-AQ141-O141+AW141+AX141+AZ141+BA141-BB141</f>
        <v>-46717.8299915168</v>
      </c>
      <c r="BE141" s="15" t="n">
        <f aca="false">MAX(0,MIN(MAX(0,CH141-(BG140)),Parametri_v3!$C$30-BD141))</f>
        <v>0</v>
      </c>
      <c r="BF141" s="15" t="n">
        <f aca="false">IF(Motore_Operativo!C141&gt;=Parametri_v3!$C$63,(BG140),MIN((BG140),MAX(0,BD141-Parametri_v3!$C$30)))</f>
        <v>0</v>
      </c>
      <c r="BG141" s="15" t="n">
        <f aca="false">(BG140)+BE141-BF141</f>
        <v>150000</v>
      </c>
      <c r="BH141" s="15" t="n">
        <f aca="false">BD141+BE141-BF141-AY141</f>
        <v>-46717.8299915168</v>
      </c>
      <c r="BI141" s="15" t="n">
        <f aca="false">MAX(0,Parametri_v3!$C$30-BH141)</f>
        <v>71717.8299915168</v>
      </c>
      <c r="BJ141" s="15" t="n">
        <f aca="false">(BJ140)+K141</f>
        <v>30416.6666666667</v>
      </c>
      <c r="BK141" s="15" t="n">
        <f aca="false">(BK140)+L141</f>
        <v>7256.94444444445</v>
      </c>
      <c r="BL141" s="15" t="n">
        <f aca="false">BJ141-BK141</f>
        <v>23159.7222222222</v>
      </c>
      <c r="BM141" s="15" t="n">
        <f aca="false">(BM140)+Y141</f>
        <v>-318855.194688594</v>
      </c>
      <c r="BN141" s="15" t="n">
        <f aca="false">(BN140)+AW141+AX141+AZ141</f>
        <v>130000</v>
      </c>
      <c r="BO141" s="15" t="n">
        <f aca="false">(BO140)+AY141</f>
        <v>0</v>
      </c>
      <c r="BP141" s="15" t="n">
        <f aca="false">0</f>
        <v>0</v>
      </c>
      <c r="BQ141" s="15" t="n">
        <f aca="false">BN141+BM141-BO141</f>
        <v>-188855.194688594</v>
      </c>
      <c r="BR141" s="15" t="n">
        <f aca="false">BH141+AD141+BL141+MAX(0,-AM141)+MAX(0,-AR141)+AG141</f>
        <v>85505.658467777</v>
      </c>
      <c r="BS141" s="15" t="n">
        <f aca="false">AJ141+AV141+MAX(0,AM141)+MAX(0,AR141)+BC141+BG141+BQ141</f>
        <v>85505.6584677771</v>
      </c>
      <c r="BT141" s="15" t="n">
        <f aca="false">BR141-BS141</f>
        <v>0</v>
      </c>
      <c r="BU141" s="15" t="n">
        <f aca="false">BH141-(BD141+BE141-BF141-AY141)</f>
        <v>0</v>
      </c>
      <c r="BV141" s="15" t="n">
        <f aca="false">MIN(Piano_SS!$C$6,(BV140)+IF(AND(Motore_Operativo!C141&gt;=EDATE(Parametri_v3!$C$24,Ipotesi!E14*12),Motore_Operativo!C141&lt;EDATE(Parametri_v3!$C$24,Parametri_v3!$C$25+Ipotesi!E14*12)),MAX(0,(Motore_Operativo!Y141+Motore_Operativo!X141*Parametri_v3!$C$14)*(1-Parametri_v3!$C$32))*Piano_SS!$D$6,0))</f>
        <v>89656.25</v>
      </c>
      <c r="BW141" s="15" t="n">
        <f aca="false">MIN(Piano_SS!$C$7,(BW140)+IF(AND(Motore_Operativo!C141&gt;=EDATE(Parametri_v3!$C$24,Ipotesi!E14*12),Motore_Operativo!C141&lt;EDATE(Parametri_v3!$C$24,Parametri_v3!$C$25+Ipotesi!E14*12)),MAX(0,(IF(17-(INT((Ipotesi!$C$91)/30))&lt;1,0,INDEX(Motore_Operativo!$BN$125:$BN$184,MAX(1,17-(INT((Ipotesi!$C$91)/30)))))*(1-(MOD((Ipotesi!$C$91),30)/30))+IF(17-(INT((Ipotesi!$C$91)/30))-1&lt;1,0,INDEX(Motore_Operativo!$BN$125:$BN$184,MAX(1,17-(INT((Ipotesi!$C$91)/30))-1)))*(MOD((Ipotesi!$C$91),30)/30)))*Piano_SS!$D$7,0))</f>
        <v>14874.2439062728</v>
      </c>
      <c r="BX141" s="15" t="n">
        <f aca="false">MIN(Piano_SS!$C$8,(BX140)+IF(AND(Motore_Operativo!C141&gt;=EDATE(Parametri_v3!$C$24,Ipotesi!E14*12),Motore_Operativo!C141&lt;EDATE(Parametri_v3!$C$24,Parametri_v3!$C$25+Ipotesi!E14*12)),MAX(0,Motore_Operativo!CE141)*Piano_SS!$D$8,0))</f>
        <v>20416.6666666667</v>
      </c>
      <c r="BY141" s="15" t="n">
        <f aca="false">MIN(Piano_SS!$C$9,(BY140)+IF(AND(Motore_Operativo!C141&gt;=EDATE(Parametri_v3!$C$24,Ipotesi!E14*12),Motore_Operativo!C141&lt;EDATE(Parametri_v3!$C$24,Parametri_v3!$C$25+Ipotesi!E14*12)),MAX(0,((IF(17-(INT((Ipotesi!$C$91)/30))&lt;1,0,INDEX(Motore_Operativo!$BQ$125:$BQ$184,MAX(1,17-(INT((Ipotesi!$C$91)/30)))))*(1-(MOD((Ipotesi!$C$91),30)/30))+IF(17-(INT((Ipotesi!$C$91)/30))-1&lt;1,0,INDEX(Motore_Operativo!$BQ$125:$BQ$184,MAX(1,17-(INT((Ipotesi!$C$91)/30))-1)))*(MOD((Ipotesi!$C$91),30)/30))+(IF(17-(INT((Ipotesi!$C$91)/30))&lt;1,0,INDEX(Motore_Operativo!$BR$125:$BR$184,MAX(1,17-(INT((Ipotesi!$C$91)/30)))))*(1-(MOD((Ipotesi!$C$91),30)/30))+IF(17-(INT((Ipotesi!$C$91)/30))-1&lt;1,0,INDEX(Motore_Operativo!$BR$125:$BR$184,MAX(1,17-(INT((Ipotesi!$C$91)/30))-1)))*(MOD((Ipotesi!$C$91),30)/30))))*Piano_SS!$D$9,0))</f>
        <v>26750</v>
      </c>
      <c r="BZ141" s="15" t="n">
        <f aca="false">MIN(Piano_SS!$C$10,(BZ140)+IF(AND(Motore_Operativo!C141&gt;=EDATE(Parametri_v3!$C$24,Ipotesi!E14*12),Motore_Operativo!C141&lt;EDATE(Parametri_v3!$C$24,Parametri_v3!$C$25+Ipotesi!E14*12)),MAX(0,(IF(17-(INT((Ipotesi!$C$91)/30))&lt;1,0,INDEX(Motore_Operativo!$BO$125:$BO$184,MAX(1,17-(INT((Ipotesi!$C$91)/30)))))*(1-(MOD((Ipotesi!$C$91),30)/30))+IF(17-(INT((Ipotesi!$C$91)/30))-1&lt;1,0,INDEX(Motore_Operativo!$BO$125:$BO$184,MAX(1,17-(INT((Ipotesi!$C$91)/30))-1)))*(MOD((Ipotesi!$C$91),30)/30)))*Piano_SS!$D$10,0))</f>
        <v>13500</v>
      </c>
      <c r="CA141" s="15" t="n">
        <f aca="false">SUM(BV141:BZ141)</f>
        <v>165197.160572939</v>
      </c>
      <c r="CB141" s="15" t="n">
        <f aca="false">BV141*(1-Piano_SS!$E$6)+BW141*(1-Piano_SS!$E$7)+BX141*(1-Piano_SS!$E$8)+BY141*(1-Piano_SS!$E$9)+BZ141*(1-Piano_SS!$E$10)</f>
        <v>151697.160572939</v>
      </c>
      <c r="CC141" s="15" t="n">
        <f aca="false">(CC140)+BA141</f>
        <v>80000</v>
      </c>
      <c r="CD141" s="15" t="n">
        <f aca="false">IF(CA141=0,0,CC141*CB141/CA141*Ipotesi!$C$103*Parametri_v3!$C$64)</f>
        <v>22038.7072097589</v>
      </c>
      <c r="CE141" s="18" t="n">
        <f aca="false">IF(BA141&gt;0,Motore_Operativo!C141,(CE140))</f>
        <v>46784</v>
      </c>
      <c r="CF141" s="18" t="n">
        <f aca="false">IF(AND(CC141&gt;0,OR(CC141&gt;=CG141-0.01,Motore_Operativo!C141&gt;=EDATE(MAX(Finanziamenti!$D$15:$D$17),Ipotesi!E14*12))),CE141,0)</f>
        <v>0</v>
      </c>
      <c r="CG141" s="15" t="n">
        <f aca="false">IF(AND(3&lt;&gt;6,3&lt;&gt;9,Finanziamenti!$F$11=1,OR(Parametri_v3!$C$6=0,Finanziamenti!$E$11=1)),MIN(Finanziamenti!$C$11,Piano_SS!$C$12*Ipotesi!$C$102),0)</f>
        <v>400000</v>
      </c>
      <c r="CH141" s="15" t="n">
        <f aca="false">IF(AND(AND(3&lt;&gt;8,3&lt;&gt;9,Finanziamenti!$F$10=1,OR(Parametri_v3!$C$6=0,Finanziamenti!$E$10=1)),Motore_Operativo!C141&gt;=Finanziamenti!$D$10,Motore_Operativo!C141&lt;Parametri_v3!$C$63),Finanziamenti!$C$10,0)</f>
        <v>150000</v>
      </c>
    </row>
    <row r="142" customFormat="false" ht="18" hidden="false" customHeight="true" outlineLevel="0" collapsed="false">
      <c r="A142" s="68" t="n">
        <f aca="false">3</f>
        <v>3</v>
      </c>
      <c r="B142" s="68" t="n">
        <f aca="false">18</f>
        <v>18</v>
      </c>
      <c r="C142" s="18" t="n">
        <f aca="false">Motore_Operativo!C142</f>
        <v>46905</v>
      </c>
      <c r="D142" s="68" t="n">
        <f aca="false">Motore_Operativo!D142</f>
        <v>2028</v>
      </c>
      <c r="E142" s="68" t="n">
        <f aca="false">Motore_Operativo!E142</f>
        <v>6</v>
      </c>
      <c r="F142" s="15" t="n">
        <f aca="false">Motore_Operativo!AQ142+Motore_Operativo!BF142</f>
        <v>30858.2200992573</v>
      </c>
      <c r="G142" s="15" t="n">
        <f aca="false">Motore_Operativo!BH142</f>
        <v>3398.1220657277</v>
      </c>
      <c r="H142" s="15" t="n">
        <f aca="false">Motore_Operativo!BI142</f>
        <v>34256.342164985</v>
      </c>
      <c r="I142" s="15" t="n">
        <f aca="false">Motore_Operativo!CA142</f>
        <v>57792.2611425345</v>
      </c>
      <c r="J142" s="15" t="n">
        <f aca="false">Motore_Operativo!CC142</f>
        <v>-23535.9189775496</v>
      </c>
      <c r="K142" s="15" t="n">
        <f aca="false">Motore_Operativo!CE142</f>
        <v>2083.33333333333</v>
      </c>
      <c r="L142" s="15" t="n">
        <f aca="false">SUM(INDEX($K$125:$K$184,MAX(1,18-Parametri_v3!$C$59+1)):K142)/Parametri_v3!$C$59</f>
        <v>902.777777777778</v>
      </c>
      <c r="M142" s="15" t="n">
        <f aca="false">J142-L142</f>
        <v>-24438.6967553273</v>
      </c>
      <c r="N142" s="15" t="n">
        <f aca="false">CD142-(CD141)</f>
        <v>-18.8584817407973</v>
      </c>
      <c r="O142" s="15" t="n">
        <f aca="false">(BG141)*Ipotesi!$C$110/12+CH142*Parametri_v3!$C$39/12</f>
        <v>750</v>
      </c>
      <c r="P142" s="15" t="n">
        <f aca="false">M142+N142-O142</f>
        <v>-25207.5552370681</v>
      </c>
      <c r="Q142" s="15" t="n">
        <f aca="false">SUM(P137:P142)+Parametri_v3!$C$54*6/12</f>
        <v>-153782.894313722</v>
      </c>
      <c r="R142" s="15" t="n">
        <f aca="false">Z136</f>
        <v>190279.85561194</v>
      </c>
      <c r="S142" s="15" t="n">
        <f aca="false">AA136</f>
        <v>0</v>
      </c>
      <c r="T142" s="15" t="n">
        <f aca="false">MIN(R142,MAX(0,Q142))</f>
        <v>0</v>
      </c>
      <c r="U142" s="15" t="n">
        <f aca="false">MIN(S142,MAX(0,Q142-T142)*Parametri_v3!$C$42)</f>
        <v>0</v>
      </c>
      <c r="V142" s="15" t="n">
        <f aca="false">MAX(0,Q142-T142-U142)*Ipotesi!$C$92</f>
        <v>0</v>
      </c>
      <c r="W142" s="15" t="n">
        <f aca="false">MAX(0,SUM(M137:M142)+Parametri_v3!$C$55*6/12)*Ipotesi!$C$93</f>
        <v>0</v>
      </c>
      <c r="X142" s="15" t="n">
        <f aca="false">V142+W142-(V141+W141)</f>
        <v>0</v>
      </c>
      <c r="Y142" s="15" t="n">
        <f aca="false">P142-X142</f>
        <v>-25207.5552370681</v>
      </c>
      <c r="Z142" s="15" t="n">
        <f aca="false">R142-T142+IF(AND(Parametri_v3!$C$40=1,D142-YEAR(Parametri_v3!$C$50)&lt;Parametri_v3!$C$41),MAX(0,-Q142),0)</f>
        <v>344062.749925662</v>
      </c>
      <c r="AA142" s="15" t="n">
        <f aca="false">S142-U142+IF(AND(Parametri_v3!$C$40=1,D142-YEAR(Parametri_v3!$C$50)&lt;Parametri_v3!$C$41),0,MAX(0,-Q142))</f>
        <v>0</v>
      </c>
      <c r="AB142" s="15" t="n">
        <f aca="false">F142*(1+Parametri_v3!$C$26)</f>
        <v>37647.0285210939</v>
      </c>
      <c r="AC142" s="15" t="n">
        <f aca="false">(IF(18-(INT((Motore_Operativo!L142)/30))&lt;1,0,INDEX(Motore_Startup!$AB$125:$AB$184,MAX(1,18-(INT((Motore_Operativo!L142)/30)))))*(1-(MOD((Motore_Operativo!L142),30)/30))+IF(18-(INT((Motore_Operativo!L142)/30))-1&lt;1,0,INDEX(Motore_Startup!$AB$125:$AB$184,MAX(1,18-(INT((Motore_Operativo!L142)/30))-1)))*(MOD((Motore_Operativo!L142),30)/30))</f>
        <v>33857.6200354247</v>
      </c>
      <c r="AD142" s="15" t="n">
        <f aca="false">(AD141)+AB142-AC142</f>
        <v>108707.465802553</v>
      </c>
      <c r="AE142" s="15" t="n">
        <f aca="false">Motore_Operativo!BH142*(1+Parametri_v3!$C$26)</f>
        <v>4145.70892018779</v>
      </c>
      <c r="AF142" s="15" t="n">
        <f aca="false">(IF(18-(INT((Parametri_v3!$C$29)/30))&lt;1,0,INDEX(Motore_Operativo!$BH$125:$BH$184,MAX(1,18-(INT((Parametri_v3!$C$29)/30)))))*(1-(MOD((Parametri_v3!$C$29),30)/30))+IF(18-(INT((Parametri_v3!$C$29)/30))-1&lt;1,0,INDEX(Motore_Operativo!$BH$125:$BH$184,MAX(1,18-(INT((Parametri_v3!$C$29)/30))-1)))*(MOD((Parametri_v3!$C$29),30)/30))*(1+Parametri_v3!$C$26)</f>
        <v>4145.70892018779</v>
      </c>
      <c r="AG142" s="15" t="n">
        <f aca="false">(AG141)+AE142-AF142</f>
        <v>4145.70892018779</v>
      </c>
      <c r="AH142" s="15" t="n">
        <f aca="false">(Motore_Operativo!CJ142)*(1+Parametri_v3!$C$27*Parametri_v3!$C$26)</f>
        <v>21401.3264761885</v>
      </c>
      <c r="AI142" s="15" t="n">
        <f aca="false">(IF(18-(INT((Ipotesi!$C$91)/30))&lt;1,0,INDEX(Motore_Startup!$AH$125:$AH$184,MAX(1,18-(INT((Ipotesi!$C$91)/30)))))*(1-(MOD((Ipotesi!$C$91),30)/30))+IF(18-(INT((Ipotesi!$C$91)/30))-1&lt;1,0,INDEX(Motore_Startup!$AH$125:$AH$184,MAX(1,18-(INT((Ipotesi!$C$91)/30))-1)))*(MOD((Ipotesi!$C$91),30)/30))</f>
        <v>21016.3133850314</v>
      </c>
      <c r="AJ142" s="15" t="n">
        <f aca="false">(AJ141)+AH142-AI142</f>
        <v>42610.9915092406</v>
      </c>
      <c r="AK142" s="15" t="n">
        <f aca="false">(F142+ Motore_Operativo!BH142-(Motore_Operativo!CJ142)*Parametri_v3!$C$27-Motore_Operativo!CE142)*Parametri_v3!$C$26</f>
        <v>3706.4966093094</v>
      </c>
      <c r="AL142" s="15" t="n">
        <f aca="false">MAX(0,(AM141))</f>
        <v>3482.95694804645</v>
      </c>
      <c r="AM142" s="15" t="n">
        <f aca="false">(AM141)+AK142-AL142</f>
        <v>3706.4966093094</v>
      </c>
      <c r="AN142" s="15" t="n">
        <f aca="false">SUM(X125:X136)</f>
        <v>0</v>
      </c>
      <c r="AO142" s="15" t="n">
        <f aca="false">SUM(AP125:AP136)</f>
        <v>0</v>
      </c>
      <c r="AP142" s="15" t="n">
        <f aca="false">MAX(0,AN142)*IF(6=Parametri_v3!$C$43,Parametri_v3!$C$45,IF(6=Parametri_v3!$C$44,1-Parametri_v3!$C$45,0))</f>
        <v>0</v>
      </c>
      <c r="AQ142" s="15" t="n">
        <f aca="false">MAX(0,AP142+IF(6=Parametri_v3!$C$43,MAX(0,AN142-AO142),0)-MAX(0,-(AR141)))</f>
        <v>0</v>
      </c>
      <c r="AR142" s="15" t="n">
        <f aca="false">(AR141)+X142-AQ142</f>
        <v>0</v>
      </c>
      <c r="AS142" s="15" t="n">
        <f aca="false">Motore_Operativo!AB142-AT142+AU142</f>
        <v>37774.375</v>
      </c>
      <c r="AT142" s="15" t="n">
        <f aca="false">Motore_Operativo!CH142</f>
        <v>1988.125</v>
      </c>
      <c r="AU142" s="15" t="n">
        <f aca="false">MIN(MAX(0,(AV141)+AT142),Parametri_v3!$C$60/12)</f>
        <v>0</v>
      </c>
      <c r="AV142" s="15" t="n">
        <f aca="false">(AV141)+AT142-AU142</f>
        <v>22678.75</v>
      </c>
      <c r="AW142" s="15" t="n">
        <f aca="false">IF(AND(Motore_Operativo!C142=Finanziamenti!$D$6,Finanziamenti!$F$6=1),Finanziamenti!$C$6,0)</f>
        <v>0</v>
      </c>
      <c r="AX142" s="15" t="n">
        <f aca="false">IF(AND(3&lt;&gt;7,3&lt;&gt;9,Finanziamenti!$F$8=1,OR(Parametri_v3!$C$6=0,Finanziamenti!$E$8=1),Motore_Operativo!C142=EDATE(Finanziamenti!$D$8,Ipotesi!E15*12)),Finanziamenti!$C$8*1,0)+IF(AND(3&lt;&gt;7,3&lt;&gt;9,Finanziamenti!$F$9=1,OR(Parametri_v3!$C$6=0,Finanziamenti!$E$9=1),Motore_Operativo!C142=EDATE(Finanziamenti!$D$9,Ipotesi!E15*12)),Finanziamenti!$C$9*Ipotesi!E16,0)</f>
        <v>300000</v>
      </c>
      <c r="AY142" s="15" t="n">
        <f aca="false">0</f>
        <v>0</v>
      </c>
      <c r="AZ142" s="15" t="n">
        <f aca="false">Motore_Advisory!AY142*(1-Ipotesi!$C$95)*Ipotesi!$C$96</f>
        <v>0</v>
      </c>
      <c r="BA142" s="15" t="n">
        <f aca="false">MAX(0,MIN(CG142*MIN(1,IF(Motore_Operativo!C142&gt;=EDATE(Finanziamenti!$D$15,Ipotesi!E14*12),Finanziamenti!$C$15,0)+IF(Motore_Operativo!C142&gt;=EDATE(Finanziamenti!$D$16,Ipotesi!E14*12),Finanziamenti!$C$16,0)+IF(Motore_Operativo!C142&gt;=EDATE(Finanziamenti!$D$17,Ipotesi!E14*12),Finanziamenti!$C$17,0)),CA142*Ipotesi!$C$102)-(CC141))</f>
        <v>0</v>
      </c>
      <c r="BB142" s="15" t="n">
        <f aca="false">IF(AND(CF142&gt;0,Motore_Operativo!C142&gt;=IF(CF142=0,0,EDATE(CF142,Parametri_v3!$C$37)),MOD(((D142-YEAR(IF(CF142=0,0,EDATE(CF142,Parametri_v3!$C$37))))*12+E142-MONTH(IF(CF142=0,0,EDATE(CF142,Parametri_v3!$C$37)))),Parametri_v3!$C$38)=0),MIN(MAX(0,(BC141)+BA142-N142),(CC142-CD142)/(Ipotesi!$C$108*12/Parametri_v3!$C$38)),0)</f>
        <v>0</v>
      </c>
      <c r="BC142" s="15" t="n">
        <f aca="false">(BC141)+BA142-N142-BB142</f>
        <v>57980.1512719819</v>
      </c>
      <c r="BD142" s="15" t="n">
        <f aca="false">(BH141)+AC142+AF142-AI142-AS142-K142*(1+Parametri_v3!$C$26)-AL142-AQ142-O142+AW142+AX142+AZ142+BA142-BB142</f>
        <v>225720.186964351</v>
      </c>
      <c r="BE142" s="15" t="n">
        <f aca="false">MAX(0,MIN(MAX(0,CH142-(BG141)),Parametri_v3!$C$30-BD142))</f>
        <v>0</v>
      </c>
      <c r="BF142" s="15" t="n">
        <f aca="false">IF(Motore_Operativo!C142&gt;=Parametri_v3!$C$63,(BG141),MIN((BG141),MAX(0,BD142-Parametri_v3!$C$30)))</f>
        <v>150000</v>
      </c>
      <c r="BG142" s="15" t="n">
        <f aca="false">(BG141)+BE142-BF142</f>
        <v>0</v>
      </c>
      <c r="BH142" s="15" t="n">
        <f aca="false">BD142+BE142-BF142-AY142</f>
        <v>75720.1869643511</v>
      </c>
      <c r="BI142" s="15" t="n">
        <f aca="false">MAX(0,Parametri_v3!$C$30-BH142)</f>
        <v>0</v>
      </c>
      <c r="BJ142" s="15" t="n">
        <f aca="false">(BJ141)+K142</f>
        <v>32500</v>
      </c>
      <c r="BK142" s="15" t="n">
        <f aca="false">(BK141)+L142</f>
        <v>8159.72222222222</v>
      </c>
      <c r="BL142" s="15" t="n">
        <f aca="false">BJ142-BK142</f>
        <v>24340.2777777778</v>
      </c>
      <c r="BM142" s="15" t="n">
        <f aca="false">(BM141)+Y142</f>
        <v>-344062.749925662</v>
      </c>
      <c r="BN142" s="15" t="n">
        <f aca="false">(BN141)+AW142+AX142+AZ142</f>
        <v>430000</v>
      </c>
      <c r="BO142" s="15" t="n">
        <f aca="false">(BO141)+AY142</f>
        <v>0</v>
      </c>
      <c r="BP142" s="15" t="n">
        <f aca="false">0</f>
        <v>0</v>
      </c>
      <c r="BQ142" s="15" t="n">
        <f aca="false">BN142+BM142-BO142</f>
        <v>85937.2500743378</v>
      </c>
      <c r="BR142" s="15" t="n">
        <f aca="false">BH142+AD142+BL142+MAX(0,-AM142)+MAX(0,-AR142)+AG142</f>
        <v>212913.63946487</v>
      </c>
      <c r="BS142" s="15" t="n">
        <f aca="false">AJ142+AV142+MAX(0,AM142)+MAX(0,AR142)+BC142+BG142+BQ142</f>
        <v>212913.63946487</v>
      </c>
      <c r="BT142" s="15" t="n">
        <f aca="false">BR142-BS142</f>
        <v>0</v>
      </c>
      <c r="BU142" s="15" t="n">
        <f aca="false">BH142-(BD142+BE142-BF142-AY142)</f>
        <v>0</v>
      </c>
      <c r="BV142" s="15" t="n">
        <f aca="false">MIN(Piano_SS!$C$6,(BV141)+IF(AND(Motore_Operativo!C142&gt;=EDATE(Parametri_v3!$C$24,Ipotesi!E14*12),Motore_Operativo!C142&lt;EDATE(Parametri_v3!$C$24,Parametri_v3!$C$25+Ipotesi!E14*12)),MAX(0,(Motore_Operativo!Y142+Motore_Operativo!X142*Parametri_v3!$C$14)*(1-Parametri_v3!$C$32))*Piano_SS!$D$6,0))</f>
        <v>101887.5</v>
      </c>
      <c r="BW142" s="15" t="n">
        <f aca="false">MIN(Piano_SS!$C$7,(BW141)+IF(AND(Motore_Operativo!C142&gt;=EDATE(Parametri_v3!$C$24,Ipotesi!E14*12),Motore_Operativo!C142&lt;EDATE(Parametri_v3!$C$24,Parametri_v3!$C$25+Ipotesi!E14*12)),MAX(0,(IF(18-(INT((Ipotesi!$C$91)/30))&lt;1,0,INDEX(Motore_Operativo!$BN$125:$BN$184,MAX(1,18-(INT((Ipotesi!$C$91)/30)))))*(1-(MOD((Ipotesi!$C$91),30)/30))+IF(18-(INT((Ipotesi!$C$91)/30))-1&lt;1,0,INDEX(Motore_Operativo!$BN$125:$BN$184,MAX(1,18-(INT((Ipotesi!$C$91)/30))-1)))*(MOD((Ipotesi!$C$91),30)/30)))*Piano_SS!$D$7,0))</f>
        <v>16456.8873490958</v>
      </c>
      <c r="BX142" s="15" t="n">
        <f aca="false">MIN(Piano_SS!$C$8,(BX141)+IF(AND(Motore_Operativo!C142&gt;=EDATE(Parametri_v3!$C$24,Ipotesi!E14*12),Motore_Operativo!C142&lt;EDATE(Parametri_v3!$C$24,Parametri_v3!$C$25+Ipotesi!E14*12)),MAX(0,Motore_Operativo!CE142)*Piano_SS!$D$8,0))</f>
        <v>22500</v>
      </c>
      <c r="BY142" s="15" t="n">
        <f aca="false">MIN(Piano_SS!$C$9,(BY141)+IF(AND(Motore_Operativo!C142&gt;=EDATE(Parametri_v3!$C$24,Ipotesi!E14*12),Motore_Operativo!C142&lt;EDATE(Parametri_v3!$C$24,Parametri_v3!$C$25+Ipotesi!E14*12)),MAX(0,((IF(18-(INT((Ipotesi!$C$91)/30))&lt;1,0,INDEX(Motore_Operativo!$BQ$125:$BQ$184,MAX(1,18-(INT((Ipotesi!$C$91)/30)))))*(1-(MOD((Ipotesi!$C$91),30)/30))+IF(18-(INT((Ipotesi!$C$91)/30))-1&lt;1,0,INDEX(Motore_Operativo!$BQ$125:$BQ$184,MAX(1,18-(INT((Ipotesi!$C$91)/30))-1)))*(MOD((Ipotesi!$C$91),30)/30))+(IF(18-(INT((Ipotesi!$C$91)/30))&lt;1,0,INDEX(Motore_Operativo!$BR$125:$BR$184,MAX(1,18-(INT((Ipotesi!$C$91)/30)))))*(1-(MOD((Ipotesi!$C$91),30)/30))+IF(18-(INT((Ipotesi!$C$91)/30))-1&lt;1,0,INDEX(Motore_Operativo!$BR$125:$BR$184,MAX(1,18-(INT((Ipotesi!$C$91)/30))-1)))*(MOD((Ipotesi!$C$91),30)/30))))*Piano_SS!$D$9,0))</f>
        <v>29666.6666666667</v>
      </c>
      <c r="BZ142" s="15" t="n">
        <f aca="false">MIN(Piano_SS!$C$10,(BZ141)+IF(AND(Motore_Operativo!C142&gt;=EDATE(Parametri_v3!$C$24,Ipotesi!E14*12),Motore_Operativo!C142&lt;EDATE(Parametri_v3!$C$24,Parametri_v3!$C$25+Ipotesi!E14*12)),MAX(0,(IF(18-(INT((Ipotesi!$C$91)/30))&lt;1,0,INDEX(Motore_Operativo!$BO$125:$BO$184,MAX(1,18-(INT((Ipotesi!$C$91)/30)))))*(1-(MOD((Ipotesi!$C$91),30)/30))+IF(18-(INT((Ipotesi!$C$91)/30))-1&lt;1,0,INDEX(Motore_Operativo!$BO$125:$BO$184,MAX(1,18-(INT((Ipotesi!$C$91)/30))-1)))*(MOD((Ipotesi!$C$91),30)/30)))*Piano_SS!$D$10,0))</f>
        <v>15333.3333333333</v>
      </c>
      <c r="CA142" s="15" t="n">
        <f aca="false">SUM(BV142:BZ142)</f>
        <v>185844.387349096</v>
      </c>
      <c r="CB142" s="15" t="n">
        <f aca="false">BV142*(1-Piano_SS!$E$6)+BW142*(1-Piano_SS!$E$7)+BX142*(1-Piano_SS!$E$8)+BY142*(1-Piano_SS!$E$9)+BZ142*(1-Piano_SS!$E$10)</f>
        <v>170511.054015763</v>
      </c>
      <c r="CC142" s="15" t="n">
        <f aca="false">(CC141)+BA142</f>
        <v>80000</v>
      </c>
      <c r="CD142" s="15" t="n">
        <f aca="false">IF(CA142=0,0,CC142*CB142/CA142*Ipotesi!$C$103*Parametri_v3!$C$64)</f>
        <v>22019.8487280181</v>
      </c>
      <c r="CE142" s="18" t="n">
        <f aca="false">IF(BA142&gt;0,Motore_Operativo!C142,(CE141))</f>
        <v>46784</v>
      </c>
      <c r="CF142" s="18" t="n">
        <f aca="false">IF(AND(CC142&gt;0,OR(CC142&gt;=CG142-0.01,Motore_Operativo!C142&gt;=EDATE(MAX(Finanziamenti!$D$15:$D$17),Ipotesi!E14*12))),CE142,0)</f>
        <v>0</v>
      </c>
      <c r="CG142" s="15" t="n">
        <f aca="false">IF(AND(3&lt;&gt;6,3&lt;&gt;9,Finanziamenti!$F$11=1,OR(Parametri_v3!$C$6=0,Finanziamenti!$E$11=1)),MIN(Finanziamenti!$C$11,Piano_SS!$C$12*Ipotesi!$C$102),0)</f>
        <v>400000</v>
      </c>
      <c r="CH142" s="15" t="n">
        <f aca="false">IF(AND(AND(3&lt;&gt;8,3&lt;&gt;9,Finanziamenti!$F$10=1,OR(Parametri_v3!$C$6=0,Finanziamenti!$E$10=1)),Motore_Operativo!C142&gt;=Finanziamenti!$D$10,Motore_Operativo!C142&lt;Parametri_v3!$C$63),Finanziamenti!$C$10,0)</f>
        <v>150000</v>
      </c>
    </row>
    <row r="143" customFormat="false" ht="18" hidden="false" customHeight="true" outlineLevel="0" collapsed="false">
      <c r="A143" s="68" t="n">
        <f aca="false">3</f>
        <v>3</v>
      </c>
      <c r="B143" s="68" t="n">
        <f aca="false">19</f>
        <v>19</v>
      </c>
      <c r="C143" s="18" t="n">
        <f aca="false">Motore_Operativo!C143</f>
        <v>46935</v>
      </c>
      <c r="D143" s="68" t="n">
        <f aca="false">Motore_Operativo!D143</f>
        <v>2028</v>
      </c>
      <c r="E143" s="68" t="n">
        <f aca="false">Motore_Operativo!E143</f>
        <v>7</v>
      </c>
      <c r="F143" s="15" t="n">
        <f aca="false">Motore_Operativo!AQ143+Motore_Operativo!BF143</f>
        <v>32001.4744822479</v>
      </c>
      <c r="G143" s="15" t="n">
        <f aca="false">Motore_Operativo!BH143</f>
        <v>3398.1220657277</v>
      </c>
      <c r="H143" s="15" t="n">
        <f aca="false">Motore_Operativo!BI143</f>
        <v>35399.5965479756</v>
      </c>
      <c r="I143" s="15" t="n">
        <f aca="false">Motore_Operativo!CA143</f>
        <v>57952.3167561532</v>
      </c>
      <c r="J143" s="15" t="n">
        <f aca="false">Motore_Operativo!CC143</f>
        <v>-22552.7202081776</v>
      </c>
      <c r="K143" s="15" t="n">
        <f aca="false">Motore_Operativo!CE143</f>
        <v>2083.33333333333</v>
      </c>
      <c r="L143" s="15" t="n">
        <f aca="false">SUM(INDEX($K$125:$K$184,MAX(1,19-Parametri_v3!$C$59+1)):K143)/Parametri_v3!$C$59</f>
        <v>960.648148148148</v>
      </c>
      <c r="M143" s="15" t="n">
        <f aca="false">J143-L143</f>
        <v>-23513.3683563257</v>
      </c>
      <c r="N143" s="15" t="n">
        <f aca="false">CD143-(CD142)</f>
        <v>-14.1881468949359</v>
      </c>
      <c r="O143" s="15" t="n">
        <f aca="false">(BG142)*Ipotesi!$C$110/12+CH143*Parametri_v3!$C$39/12</f>
        <v>0</v>
      </c>
      <c r="P143" s="15" t="n">
        <f aca="false">M143+N143-O143</f>
        <v>-23527.5565032207</v>
      </c>
      <c r="Q143" s="15" t="n">
        <f aca="false">SUM(P137:P143)+Parametri_v3!$C$54*7/12</f>
        <v>-177310.450816942</v>
      </c>
      <c r="R143" s="15" t="n">
        <f aca="false">Z136</f>
        <v>190279.85561194</v>
      </c>
      <c r="S143" s="15" t="n">
        <f aca="false">AA136</f>
        <v>0</v>
      </c>
      <c r="T143" s="15" t="n">
        <f aca="false">MIN(R143,MAX(0,Q143))</f>
        <v>0</v>
      </c>
      <c r="U143" s="15" t="n">
        <f aca="false">MIN(S143,MAX(0,Q143-T143)*Parametri_v3!$C$42)</f>
        <v>0</v>
      </c>
      <c r="V143" s="15" t="n">
        <f aca="false">MAX(0,Q143-T143-U143)*Ipotesi!$C$92</f>
        <v>0</v>
      </c>
      <c r="W143" s="15" t="n">
        <f aca="false">MAX(0,SUM(M137:M143)+Parametri_v3!$C$55*7/12)*Ipotesi!$C$93</f>
        <v>0</v>
      </c>
      <c r="X143" s="15" t="n">
        <f aca="false">V143+W143-(V142+W142)</f>
        <v>0</v>
      </c>
      <c r="Y143" s="15" t="n">
        <f aca="false">P143-X143</f>
        <v>-23527.5565032207</v>
      </c>
      <c r="Z143" s="15" t="n">
        <f aca="false">R143-T143+IF(AND(Parametri_v3!$C$40=1,D143-YEAR(Parametri_v3!$C$50)&lt;Parametri_v3!$C$41),MAX(0,-Q143),0)</f>
        <v>367590.306428883</v>
      </c>
      <c r="AA143" s="15" t="n">
        <f aca="false">S143-U143+IF(AND(Parametri_v3!$C$40=1,D143-YEAR(Parametri_v3!$C$50)&lt;Parametri_v3!$C$41),0,MAX(0,-Q143))</f>
        <v>0</v>
      </c>
      <c r="AB143" s="15" t="n">
        <f aca="false">F143*(1+Parametri_v3!$C$26)</f>
        <v>39041.7988683425</v>
      </c>
      <c r="AC143" s="15" t="n">
        <f aca="false">(IF(19-(INT((Motore_Operativo!L143)/30))&lt;1,0,INDEX(Motore_Startup!$AB$125:$AB$184,MAX(1,19-(INT((Motore_Operativo!L143)/30)))))*(1-(MOD((Motore_Operativo!L143),30)/30))+IF(19-(INT((Motore_Operativo!L143)/30))-1&lt;1,0,INDEX(Motore_Startup!$AB$125:$AB$184,MAX(1,19-(INT((Motore_Operativo!L143)/30))-1)))*(MOD((Motore_Operativo!L143),30)/30))</f>
        <v>34820.4791697183</v>
      </c>
      <c r="AD143" s="15" t="n">
        <f aca="false">(AD142)+AB143-AC143</f>
        <v>112928.785501177</v>
      </c>
      <c r="AE143" s="15" t="n">
        <f aca="false">Motore_Operativo!BH143*(1+Parametri_v3!$C$26)</f>
        <v>4145.70892018779</v>
      </c>
      <c r="AF143" s="15" t="n">
        <f aca="false">(IF(19-(INT((Parametri_v3!$C$29)/30))&lt;1,0,INDEX(Motore_Operativo!$BH$125:$BH$184,MAX(1,19-(INT((Parametri_v3!$C$29)/30)))))*(1-(MOD((Parametri_v3!$C$29),30)/30))+IF(19-(INT((Parametri_v3!$C$29)/30))-1&lt;1,0,INDEX(Motore_Operativo!$BH$125:$BH$184,MAX(1,19-(INT((Parametri_v3!$C$29)/30))-1)))*(MOD((Parametri_v3!$C$29),30)/30))*(1+Parametri_v3!$C$26)</f>
        <v>4145.70892018779</v>
      </c>
      <c r="AG143" s="15" t="n">
        <f aca="false">(AG142)+AE143-AF143</f>
        <v>4145.70892018779</v>
      </c>
      <c r="AH143" s="15" t="n">
        <f aca="false">(Motore_Operativo!CJ143)*(1+Parametri_v3!$C$27*Parametri_v3!$C$26)</f>
        <v>21591.3124895539</v>
      </c>
      <c r="AI143" s="15" t="n">
        <f aca="false">(IF(19-(INT((Ipotesi!$C$91)/30))&lt;1,0,INDEX(Motore_Startup!$AH$125:$AH$184,MAX(1,19-(INT((Ipotesi!$C$91)/30)))))*(1-(MOD((Ipotesi!$C$91),30)/30))+IF(19-(INT((Ipotesi!$C$91)/30))-1&lt;1,0,INDEX(Motore_Startup!$AH$125:$AH$184,MAX(1,19-(INT((Ipotesi!$C$91)/30))-1)))*(MOD((Ipotesi!$C$91),30)/30))</f>
        <v>21209.6650330522</v>
      </c>
      <c r="AJ143" s="15" t="n">
        <f aca="false">(AJ142)+AH143-AI143</f>
        <v>42992.6389657423</v>
      </c>
      <c r="AK143" s="15" t="n">
        <f aca="false">(F143+ Motore_Operativo!BH143-(Motore_Operativo!CJ143)*Parametri_v3!$C$27-Motore_Operativo!CE143)*Parametri_v3!$C$26</f>
        <v>3928.08217382065</v>
      </c>
      <c r="AL143" s="15" t="n">
        <f aca="false">MAX(0,(AM142))</f>
        <v>3706.4966093094</v>
      </c>
      <c r="AM143" s="15" t="n">
        <f aca="false">(AM142)+AK143-AL143</f>
        <v>3928.08217382065</v>
      </c>
      <c r="AN143" s="15" t="n">
        <f aca="false">SUM(X125:X136)</f>
        <v>0</v>
      </c>
      <c r="AO143" s="15" t="n">
        <f aca="false">SUM(AP125:AP136)</f>
        <v>0</v>
      </c>
      <c r="AP143" s="15" t="n">
        <f aca="false">MAX(0,AN143)*IF(7=Parametri_v3!$C$43,Parametri_v3!$C$45,IF(7=Parametri_v3!$C$44,1-Parametri_v3!$C$45,0))</f>
        <v>0</v>
      </c>
      <c r="AQ143" s="15" t="n">
        <f aca="false">MAX(0,AP143+IF(7=Parametri_v3!$C$43,MAX(0,AN143-AO143),0)-MAX(0,-(AR142)))</f>
        <v>0</v>
      </c>
      <c r="AR143" s="15" t="n">
        <f aca="false">(AR142)+X143-AQ143</f>
        <v>0</v>
      </c>
      <c r="AS143" s="15" t="n">
        <f aca="false">Motore_Operativo!AB143-AT143+AU143</f>
        <v>37774.375</v>
      </c>
      <c r="AT143" s="15" t="n">
        <f aca="false">Motore_Operativo!CH143</f>
        <v>1988.125</v>
      </c>
      <c r="AU143" s="15" t="n">
        <f aca="false">MIN(MAX(0,(AV142)+AT143),Parametri_v3!$C$60/12)</f>
        <v>0</v>
      </c>
      <c r="AV143" s="15" t="n">
        <f aca="false">(AV142)+AT143-AU143</f>
        <v>24666.875</v>
      </c>
      <c r="AW143" s="15" t="n">
        <f aca="false">IF(AND(Motore_Operativo!C143=Finanziamenti!$D$6,Finanziamenti!$F$6=1),Finanziamenti!$C$6,0)</f>
        <v>0</v>
      </c>
      <c r="AX143" s="15" t="n">
        <f aca="false">IF(AND(3&lt;&gt;7,3&lt;&gt;9,Finanziamenti!$F$8=1,OR(Parametri_v3!$C$6=0,Finanziamenti!$E$8=1),Motore_Operativo!C143=EDATE(Finanziamenti!$D$8,Ipotesi!E15*12)),Finanziamenti!$C$8*1,0)+IF(AND(3&lt;&gt;7,3&lt;&gt;9,Finanziamenti!$F$9=1,OR(Parametri_v3!$C$6=0,Finanziamenti!$E$9=1),Motore_Operativo!C143=EDATE(Finanziamenti!$D$9,Ipotesi!E15*12)),Finanziamenti!$C$9*Ipotesi!E16,0)</f>
        <v>0</v>
      </c>
      <c r="AY143" s="15" t="n">
        <f aca="false">0</f>
        <v>0</v>
      </c>
      <c r="AZ143" s="15" t="n">
        <f aca="false">Motore_Advisory!AY143*(1-Ipotesi!$C$95)*Ipotesi!$C$96</f>
        <v>0</v>
      </c>
      <c r="BA143" s="15" t="n">
        <f aca="false">MAX(0,MIN(CG143*MIN(1,IF(Motore_Operativo!C143&gt;=EDATE(Finanziamenti!$D$15,Ipotesi!E14*12),Finanziamenti!$C$15,0)+IF(Motore_Operativo!C143&gt;=EDATE(Finanziamenti!$D$16,Ipotesi!E14*12),Finanziamenti!$C$16,0)+IF(Motore_Operativo!C143&gt;=EDATE(Finanziamenti!$D$17,Ipotesi!E14*12),Finanziamenti!$C$17,0)),CA143*Ipotesi!$C$102)-(CC142))</f>
        <v>0</v>
      </c>
      <c r="BB143" s="15" t="n">
        <f aca="false">IF(AND(CF143&gt;0,Motore_Operativo!C143&gt;=IF(CF143=0,0,EDATE(CF143,Parametri_v3!$C$37)),MOD(((D143-YEAR(IF(CF143=0,0,EDATE(CF143,Parametri_v3!$C$37))))*12+E143-MONTH(IF(CF143=0,0,EDATE(CF143,Parametri_v3!$C$37)))),Parametri_v3!$C$38)=0),MIN(MAX(0,(BC142)+BA143-N143),(CC143-CD143)/(Ipotesi!$C$108*12/Parametri_v3!$C$38)),0)</f>
        <v>0</v>
      </c>
      <c r="BC143" s="15" t="n">
        <f aca="false">(BC142)+BA143-N143-BB143</f>
        <v>57994.3394188768</v>
      </c>
      <c r="BD143" s="15" t="n">
        <f aca="false">(BH142)+AC143+AF143-AI143-AS143-K143*(1+Parametri_v3!$C$26)-AL143-AQ143-O143+AW143+AX143+AZ143+BA143-BB143</f>
        <v>49454.1717452289</v>
      </c>
      <c r="BE143" s="15" t="n">
        <f aca="false">MAX(0,MIN(MAX(0,CH143-(BG142)),Parametri_v3!$C$30-BD143))</f>
        <v>0</v>
      </c>
      <c r="BF143" s="15" t="n">
        <f aca="false">IF(Motore_Operativo!C143&gt;=Parametri_v3!$C$63,(BG142),MIN((BG142),MAX(0,BD143-Parametri_v3!$C$30)))</f>
        <v>0</v>
      </c>
      <c r="BG143" s="15" t="n">
        <f aca="false">(BG142)+BE143-BF143</f>
        <v>0</v>
      </c>
      <c r="BH143" s="15" t="n">
        <f aca="false">BD143+BE143-BF143-AY143</f>
        <v>49454.1717452289</v>
      </c>
      <c r="BI143" s="15" t="n">
        <f aca="false">MAX(0,Parametri_v3!$C$30-BH143)</f>
        <v>0</v>
      </c>
      <c r="BJ143" s="15" t="n">
        <f aca="false">(BJ142)+K143</f>
        <v>34583.3333333333</v>
      </c>
      <c r="BK143" s="15" t="n">
        <f aca="false">(BK142)+L143</f>
        <v>9120.37037037037</v>
      </c>
      <c r="BL143" s="15" t="n">
        <f aca="false">BJ143-BK143</f>
        <v>25462.962962963</v>
      </c>
      <c r="BM143" s="15" t="n">
        <f aca="false">(BM142)+Y143</f>
        <v>-367590.306428883</v>
      </c>
      <c r="BN143" s="15" t="n">
        <f aca="false">(BN142)+AW143+AX143+AZ143</f>
        <v>430000</v>
      </c>
      <c r="BO143" s="15" t="n">
        <f aca="false">(BO142)+AY143</f>
        <v>0</v>
      </c>
      <c r="BP143" s="15" t="n">
        <f aca="false">0</f>
        <v>0</v>
      </c>
      <c r="BQ143" s="15" t="n">
        <f aca="false">BN143+BM143-BO143</f>
        <v>62409.6935711171</v>
      </c>
      <c r="BR143" s="15" t="n">
        <f aca="false">BH143+AD143+BL143+MAX(0,-AM143)+MAX(0,-AR143)+AG143</f>
        <v>191991.629129557</v>
      </c>
      <c r="BS143" s="15" t="n">
        <f aca="false">AJ143+AV143+MAX(0,AM143)+MAX(0,AR143)+BC143+BG143+BQ143</f>
        <v>191991.629129557</v>
      </c>
      <c r="BT143" s="15" t="n">
        <f aca="false">BR143-BS143</f>
        <v>0</v>
      </c>
      <c r="BU143" s="15" t="n">
        <f aca="false">BH143-(BD143+BE143-BF143-AY143)</f>
        <v>0</v>
      </c>
      <c r="BV143" s="15" t="n">
        <f aca="false">MIN(Piano_SS!$C$6,(BV142)+IF(AND(Motore_Operativo!C143&gt;=EDATE(Parametri_v3!$C$24,Ipotesi!E14*12),Motore_Operativo!C143&lt;EDATE(Parametri_v3!$C$24,Parametri_v3!$C$25+Ipotesi!E14*12)),MAX(0,(Motore_Operativo!Y143+Motore_Operativo!X143*Parametri_v3!$C$14)*(1-Parametri_v3!$C$32))*Piano_SS!$D$6,0))</f>
        <v>114118.75</v>
      </c>
      <c r="BW143" s="15" t="n">
        <f aca="false">MIN(Piano_SS!$C$7,(BW142)+IF(AND(Motore_Operativo!C143&gt;=EDATE(Parametri_v3!$C$24,Ipotesi!E14*12),Motore_Operativo!C143&lt;EDATE(Parametri_v3!$C$24,Parametri_v3!$C$25+Ipotesi!E14*12)),MAX(0,(IF(19-(INT((Ipotesi!$C$91)/30))&lt;1,0,INDEX(Motore_Operativo!$BN$125:$BN$184,MAX(1,19-(INT((Ipotesi!$C$91)/30)))))*(1-(MOD((Ipotesi!$C$91),30)/30))+IF(19-(INT((Ipotesi!$C$91)/30))-1&lt;1,0,INDEX(Motore_Operativo!$BN$125:$BN$184,MAX(1,19-(INT((Ipotesi!$C$91)/30))-1)))*(MOD((Ipotesi!$C$91),30)/30)))*Piano_SS!$D$7,0))</f>
        <v>18132.611378281</v>
      </c>
      <c r="BX143" s="15" t="n">
        <f aca="false">MIN(Piano_SS!$C$8,(BX142)+IF(AND(Motore_Operativo!C143&gt;=EDATE(Parametri_v3!$C$24,Ipotesi!E14*12),Motore_Operativo!C143&lt;EDATE(Parametri_v3!$C$24,Parametri_v3!$C$25+Ipotesi!E14*12)),MAX(0,Motore_Operativo!CE143)*Piano_SS!$D$8,0))</f>
        <v>24583.3333333333</v>
      </c>
      <c r="BY143" s="15" t="n">
        <f aca="false">MIN(Piano_SS!$C$9,(BY142)+IF(AND(Motore_Operativo!C143&gt;=EDATE(Parametri_v3!$C$24,Ipotesi!E14*12),Motore_Operativo!C143&lt;EDATE(Parametri_v3!$C$24,Parametri_v3!$C$25+Ipotesi!E14*12)),MAX(0,((IF(19-(INT((Ipotesi!$C$91)/30))&lt;1,0,INDEX(Motore_Operativo!$BQ$125:$BQ$184,MAX(1,19-(INT((Ipotesi!$C$91)/30)))))*(1-(MOD((Ipotesi!$C$91),30)/30))+IF(19-(INT((Ipotesi!$C$91)/30))-1&lt;1,0,INDEX(Motore_Operativo!$BQ$125:$BQ$184,MAX(1,19-(INT((Ipotesi!$C$91)/30))-1)))*(MOD((Ipotesi!$C$91),30)/30))+(IF(19-(INT((Ipotesi!$C$91)/30))&lt;1,0,INDEX(Motore_Operativo!$BR$125:$BR$184,MAX(1,19-(INT((Ipotesi!$C$91)/30)))))*(1-(MOD((Ipotesi!$C$91),30)/30))+IF(19-(INT((Ipotesi!$C$91)/30))-1&lt;1,0,INDEX(Motore_Operativo!$BR$125:$BR$184,MAX(1,19-(INT((Ipotesi!$C$91)/30))-1)))*(MOD((Ipotesi!$C$91),30)/30))))*Piano_SS!$D$9,0))</f>
        <v>32583.3333333333</v>
      </c>
      <c r="BZ143" s="15" t="n">
        <f aca="false">MIN(Piano_SS!$C$10,(BZ142)+IF(AND(Motore_Operativo!C143&gt;=EDATE(Parametri_v3!$C$24,Ipotesi!E14*12),Motore_Operativo!C143&lt;EDATE(Parametri_v3!$C$24,Parametri_v3!$C$25+Ipotesi!E14*12)),MAX(0,(IF(19-(INT((Ipotesi!$C$91)/30))&lt;1,0,INDEX(Motore_Operativo!$BO$125:$BO$184,MAX(1,19-(INT((Ipotesi!$C$91)/30)))))*(1-(MOD((Ipotesi!$C$91),30)/30))+IF(19-(INT((Ipotesi!$C$91)/30))-1&lt;1,0,INDEX(Motore_Operativo!$BO$125:$BO$184,MAX(1,19-(INT((Ipotesi!$C$91)/30))-1)))*(MOD((Ipotesi!$C$91),30)/30)))*Piano_SS!$D$10,0))</f>
        <v>17166.6666666667</v>
      </c>
      <c r="CA143" s="15" t="n">
        <f aca="false">SUM(BV143:BZ143)</f>
        <v>206584.694711614</v>
      </c>
      <c r="CB143" s="15" t="n">
        <f aca="false">BV143*(1-Piano_SS!$E$6)+BW143*(1-Piano_SS!$E$7)+BX143*(1-Piano_SS!$E$8)+BY143*(1-Piano_SS!$E$9)+BZ143*(1-Piano_SS!$E$10)</f>
        <v>189418.028044948</v>
      </c>
      <c r="CC143" s="15" t="n">
        <f aca="false">(CC142)+BA143</f>
        <v>80000</v>
      </c>
      <c r="CD143" s="15" t="n">
        <f aca="false">IF(CA143=0,0,CC143*CB143/CA143*Ipotesi!$C$103*Parametri_v3!$C$64)</f>
        <v>22005.6605811232</v>
      </c>
      <c r="CE143" s="18" t="n">
        <f aca="false">IF(BA143&gt;0,Motore_Operativo!C143,(CE142))</f>
        <v>46784</v>
      </c>
      <c r="CF143" s="18" t="n">
        <f aca="false">IF(AND(CC143&gt;0,OR(CC143&gt;=CG143-0.01,Motore_Operativo!C143&gt;=EDATE(MAX(Finanziamenti!$D$15:$D$17),Ipotesi!E14*12))),CE143,0)</f>
        <v>0</v>
      </c>
      <c r="CG143" s="15" t="n">
        <f aca="false">IF(AND(3&lt;&gt;6,3&lt;&gt;9,Finanziamenti!$F$11=1,OR(Parametri_v3!$C$6=0,Finanziamenti!$E$11=1)),MIN(Finanziamenti!$C$11,Piano_SS!$C$12*Ipotesi!$C$102),0)</f>
        <v>400000</v>
      </c>
      <c r="CH143" s="15" t="n">
        <f aca="false">IF(AND(AND(3&lt;&gt;8,3&lt;&gt;9,Finanziamenti!$F$10=1,OR(Parametri_v3!$C$6=0,Finanziamenti!$E$10=1)),Motore_Operativo!C143&gt;=Finanziamenti!$D$10,Motore_Operativo!C143&lt;Parametri_v3!$C$63),Finanziamenti!$C$10,0)</f>
        <v>150000</v>
      </c>
    </row>
    <row r="144" customFormat="false" ht="18" hidden="false" customHeight="true" outlineLevel="0" collapsed="false">
      <c r="A144" s="68" t="n">
        <f aca="false">3</f>
        <v>3</v>
      </c>
      <c r="B144" s="68" t="n">
        <f aca="false">20</f>
        <v>20</v>
      </c>
      <c r="C144" s="18" t="n">
        <f aca="false">Motore_Operativo!C144</f>
        <v>46966</v>
      </c>
      <c r="D144" s="68" t="n">
        <f aca="false">Motore_Operativo!D144</f>
        <v>2028</v>
      </c>
      <c r="E144" s="68" t="n">
        <f aca="false">Motore_Operativo!E144</f>
        <v>8</v>
      </c>
      <c r="F144" s="15" t="n">
        <f aca="false">Motore_Operativo!AQ144+Motore_Operativo!BF144</f>
        <v>33134.7349802002</v>
      </c>
      <c r="G144" s="15" t="n">
        <f aca="false">Motore_Operativo!BH144</f>
        <v>3398.1220657277</v>
      </c>
      <c r="H144" s="15" t="n">
        <f aca="false">Motore_Operativo!BI144</f>
        <v>36532.8570459279</v>
      </c>
      <c r="I144" s="15" t="n">
        <f aca="false">Motore_Operativo!CA144</f>
        <v>58110.9732258665</v>
      </c>
      <c r="J144" s="15" t="n">
        <f aca="false">Motore_Operativo!CC144</f>
        <v>-21578.1161799386</v>
      </c>
      <c r="K144" s="15" t="n">
        <f aca="false">Motore_Operativo!CE144</f>
        <v>2083.33333333333</v>
      </c>
      <c r="L144" s="15" t="n">
        <f aca="false">SUM(INDEX($K$125:$K$184,MAX(1,20-Parametri_v3!$C$59+1)):K144)/Parametri_v3!$C$59</f>
        <v>1018.51851851852</v>
      </c>
      <c r="M144" s="15" t="n">
        <f aca="false">J144-L144</f>
        <v>-22596.6346984571</v>
      </c>
      <c r="N144" s="15" t="n">
        <f aca="false">CD144-(CD143)</f>
        <v>-10.7853547727791</v>
      </c>
      <c r="O144" s="15" t="n">
        <f aca="false">(BG143)*Ipotesi!$C$110/12+CH144*Parametri_v3!$C$39/12</f>
        <v>0</v>
      </c>
      <c r="P144" s="15" t="n">
        <f aca="false">M144+N144-O144</f>
        <v>-22607.4200532299</v>
      </c>
      <c r="Q144" s="15" t="n">
        <f aca="false">SUM(P137:P144)+Parametri_v3!$C$54*8/12</f>
        <v>-199917.870870172</v>
      </c>
      <c r="R144" s="15" t="n">
        <f aca="false">Z136</f>
        <v>190279.85561194</v>
      </c>
      <c r="S144" s="15" t="n">
        <f aca="false">AA136</f>
        <v>0</v>
      </c>
      <c r="T144" s="15" t="n">
        <f aca="false">MIN(R144,MAX(0,Q144))</f>
        <v>0</v>
      </c>
      <c r="U144" s="15" t="n">
        <f aca="false">MIN(S144,MAX(0,Q144-T144)*Parametri_v3!$C$42)</f>
        <v>0</v>
      </c>
      <c r="V144" s="15" t="n">
        <f aca="false">MAX(0,Q144-T144-U144)*Ipotesi!$C$92</f>
        <v>0</v>
      </c>
      <c r="W144" s="15" t="n">
        <f aca="false">MAX(0,SUM(M137:M144)+Parametri_v3!$C$55*8/12)*Ipotesi!$C$93</f>
        <v>0</v>
      </c>
      <c r="X144" s="15" t="n">
        <f aca="false">V144+W144-(V143+W143)</f>
        <v>0</v>
      </c>
      <c r="Y144" s="15" t="n">
        <f aca="false">P144-X144</f>
        <v>-22607.4200532299</v>
      </c>
      <c r="Z144" s="15" t="n">
        <f aca="false">R144-T144+IF(AND(Parametri_v3!$C$40=1,D144-YEAR(Parametri_v3!$C$50)&lt;Parametri_v3!$C$41),MAX(0,-Q144),0)</f>
        <v>390197.726482113</v>
      </c>
      <c r="AA144" s="15" t="n">
        <f aca="false">S144-U144+IF(AND(Parametri_v3!$C$40=1,D144-YEAR(Parametri_v3!$C$50)&lt;Parametri_v3!$C$41),0,MAX(0,-Q144))</f>
        <v>0</v>
      </c>
      <c r="AB144" s="15" t="n">
        <f aca="false">F144*(1+Parametri_v3!$C$26)</f>
        <v>40424.3766758443</v>
      </c>
      <c r="AC144" s="15" t="n">
        <f aca="false">(IF(20-(INT((Motore_Operativo!L144)/30))&lt;1,0,INDEX(Motore_Startup!$AB$125:$AB$184,MAX(1,20-(INT((Motore_Operativo!L144)/30)))))*(1-(MOD((Motore_Operativo!L144),30)/30))+IF(20-(INT((Motore_Operativo!L144)/30))-1&lt;1,0,INDEX(Motore_Startup!$AB$125:$AB$184,MAX(1,20-(INT((Motore_Operativo!L144)/30))-1)))*(MOD((Motore_Operativo!L144),30)/30))</f>
        <v>36239.9581117408</v>
      </c>
      <c r="AD144" s="15" t="n">
        <f aca="false">(AD143)+AB144-AC144</f>
        <v>117113.204065281</v>
      </c>
      <c r="AE144" s="15" t="n">
        <f aca="false">Motore_Operativo!BH144*(1+Parametri_v3!$C$26)</f>
        <v>4145.70892018779</v>
      </c>
      <c r="AF144" s="15" t="n">
        <f aca="false">(IF(20-(INT((Parametri_v3!$C$29)/30))&lt;1,0,INDEX(Motore_Operativo!$BH$125:$BH$184,MAX(1,20-(INT((Parametri_v3!$C$29)/30)))))*(1-(MOD((Parametri_v3!$C$29),30)/30))+IF(20-(INT((Parametri_v3!$C$29)/30))-1&lt;1,0,INDEX(Motore_Operativo!$BH$125:$BH$184,MAX(1,20-(INT((Parametri_v3!$C$29)/30))-1)))*(MOD((Parametri_v3!$C$29),30)/30))*(1+Parametri_v3!$C$26)</f>
        <v>4145.70892018779</v>
      </c>
      <c r="AG144" s="15" t="n">
        <f aca="false">(AG143)+AE144-AF144</f>
        <v>4145.70892018779</v>
      </c>
      <c r="AH144" s="15" t="n">
        <f aca="false">(Motore_Operativo!CJ144)*(1+Parametri_v3!$C$27*Parametri_v3!$C$26)</f>
        <v>21779.6377191036</v>
      </c>
      <c r="AI144" s="15" t="n">
        <f aca="false">(IF(20-(INT((Ipotesi!$C$91)/30))&lt;1,0,INDEX(Motore_Startup!$AH$125:$AH$184,MAX(1,20-(INT((Ipotesi!$C$91)/30)))))*(1-(MOD((Ipotesi!$C$91),30)/30))+IF(20-(INT((Ipotesi!$C$91)/30))-1&lt;1,0,INDEX(Motore_Startup!$AH$125:$AH$184,MAX(1,20-(INT((Ipotesi!$C$91)/30))-1)))*(MOD((Ipotesi!$C$91),30)/30))</f>
        <v>21401.3264761885</v>
      </c>
      <c r="AJ144" s="15" t="n">
        <f aca="false">(AJ143)+AH144-AI144</f>
        <v>43370.9502086574</v>
      </c>
      <c r="AK144" s="15" t="n">
        <f aca="false">(F144+ Motore_Operativo!BH144-(Motore_Operativo!CJ144)*Parametri_v3!$C$27-Motore_Operativo!CE144)*Parametri_v3!$C$26</f>
        <v>4147.73072353377</v>
      </c>
      <c r="AL144" s="15" t="n">
        <f aca="false">MAX(0,(AM143))</f>
        <v>3928.08217382065</v>
      </c>
      <c r="AM144" s="15" t="n">
        <f aca="false">(AM143)+AK144-AL144</f>
        <v>4147.73072353377</v>
      </c>
      <c r="AN144" s="15" t="n">
        <f aca="false">SUM(X125:X136)</f>
        <v>0</v>
      </c>
      <c r="AO144" s="15" t="n">
        <f aca="false">SUM(AP125:AP136)</f>
        <v>0</v>
      </c>
      <c r="AP144" s="15" t="n">
        <f aca="false">MAX(0,AN144)*IF(8=Parametri_v3!$C$43,Parametri_v3!$C$45,IF(8=Parametri_v3!$C$44,1-Parametri_v3!$C$45,0))</f>
        <v>0</v>
      </c>
      <c r="AQ144" s="15" t="n">
        <f aca="false">MAX(0,AP144+IF(8=Parametri_v3!$C$43,MAX(0,AN144-AO144),0)-MAX(0,-(AR143)))</f>
        <v>0</v>
      </c>
      <c r="AR144" s="15" t="n">
        <f aca="false">(AR143)+X144-AQ144</f>
        <v>0</v>
      </c>
      <c r="AS144" s="15" t="n">
        <f aca="false">Motore_Operativo!AB144-AT144+AU144</f>
        <v>37774.375</v>
      </c>
      <c r="AT144" s="15" t="n">
        <f aca="false">Motore_Operativo!CH144</f>
        <v>1988.125</v>
      </c>
      <c r="AU144" s="15" t="n">
        <f aca="false">MIN(MAX(0,(AV143)+AT144),Parametri_v3!$C$60/12)</f>
        <v>0</v>
      </c>
      <c r="AV144" s="15" t="n">
        <f aca="false">(AV143)+AT144-AU144</f>
        <v>26655</v>
      </c>
      <c r="AW144" s="15" t="n">
        <f aca="false">IF(AND(Motore_Operativo!C144=Finanziamenti!$D$6,Finanziamenti!$F$6=1),Finanziamenti!$C$6,0)</f>
        <v>0</v>
      </c>
      <c r="AX144" s="15" t="n">
        <f aca="false">IF(AND(3&lt;&gt;7,3&lt;&gt;9,Finanziamenti!$F$8=1,OR(Parametri_v3!$C$6=0,Finanziamenti!$E$8=1),Motore_Operativo!C144=EDATE(Finanziamenti!$D$8,Ipotesi!E15*12)),Finanziamenti!$C$8*1,0)+IF(AND(3&lt;&gt;7,3&lt;&gt;9,Finanziamenti!$F$9=1,OR(Parametri_v3!$C$6=0,Finanziamenti!$E$9=1),Motore_Operativo!C144=EDATE(Finanziamenti!$D$9,Ipotesi!E15*12)),Finanziamenti!$C$9*Ipotesi!E16,0)</f>
        <v>0</v>
      </c>
      <c r="AY144" s="15" t="n">
        <f aca="false">0</f>
        <v>0</v>
      </c>
      <c r="AZ144" s="15" t="n">
        <f aca="false">Motore_Advisory!AY144*(1-Ipotesi!$C$95)*Ipotesi!$C$96</f>
        <v>0</v>
      </c>
      <c r="BA144" s="15" t="n">
        <f aca="false">MAX(0,MIN(CG144*MIN(1,IF(Motore_Operativo!C144&gt;=EDATE(Finanziamenti!$D$15,Ipotesi!E14*12),Finanziamenti!$C$15,0)+IF(Motore_Operativo!C144&gt;=EDATE(Finanziamenti!$D$16,Ipotesi!E14*12),Finanziamenti!$C$16,0)+IF(Motore_Operativo!C144&gt;=EDATE(Finanziamenti!$D$17,Ipotesi!E14*12),Finanziamenti!$C$17,0)),CA144*Ipotesi!$C$102)-(CC143))</f>
        <v>0</v>
      </c>
      <c r="BB144" s="15" t="n">
        <f aca="false">IF(AND(CF144&gt;0,Motore_Operativo!C144&gt;=IF(CF144=0,0,EDATE(CF144,Parametri_v3!$C$37)),MOD(((D144-YEAR(IF(CF144=0,0,EDATE(CF144,Parametri_v3!$C$37))))*12+E144-MONTH(IF(CF144=0,0,EDATE(CF144,Parametri_v3!$C$37)))),Parametri_v3!$C$38)=0),MIN(MAX(0,(BC143)+BA144-N144),(CC144-CD144)/(Ipotesi!$C$108*12/Parametri_v3!$C$38)),0)</f>
        <v>0</v>
      </c>
      <c r="BC144" s="15" t="n">
        <f aca="false">(BC143)+BA144-N144-BB144</f>
        <v>58005.1247736496</v>
      </c>
      <c r="BD144" s="15" t="n">
        <f aca="false">(BH143)+AC144+AF144-AI144-AS144-K144*(1+Parametri_v3!$C$26)-AL144-AQ144-O144+AW144+AX144+AZ144+BA144-BB144</f>
        <v>24194.3884604817</v>
      </c>
      <c r="BE144" s="15" t="n">
        <f aca="false">MAX(0,MIN(MAX(0,CH144-(BG143)),Parametri_v3!$C$30-BD144))</f>
        <v>805.611539518275</v>
      </c>
      <c r="BF144" s="15" t="n">
        <f aca="false">IF(Motore_Operativo!C144&gt;=Parametri_v3!$C$63,(BG143),MIN((BG143),MAX(0,BD144-Parametri_v3!$C$30)))</f>
        <v>0</v>
      </c>
      <c r="BG144" s="15" t="n">
        <f aca="false">(BG143)+BE144-BF144</f>
        <v>805.611539518275</v>
      </c>
      <c r="BH144" s="15" t="n">
        <f aca="false">BD144+BE144-BF144-AY144</f>
        <v>25000</v>
      </c>
      <c r="BI144" s="15" t="n">
        <f aca="false">MAX(0,Parametri_v3!$C$30-BH144)</f>
        <v>0</v>
      </c>
      <c r="BJ144" s="15" t="n">
        <f aca="false">(BJ143)+K144</f>
        <v>36666.6666666667</v>
      </c>
      <c r="BK144" s="15" t="n">
        <f aca="false">(BK143)+L144</f>
        <v>10138.8888888889</v>
      </c>
      <c r="BL144" s="15" t="n">
        <f aca="false">BJ144-BK144</f>
        <v>26527.7777777778</v>
      </c>
      <c r="BM144" s="15" t="n">
        <f aca="false">(BM143)+Y144</f>
        <v>-390197.726482113</v>
      </c>
      <c r="BN144" s="15" t="n">
        <f aca="false">(BN143)+AW144+AX144+AZ144</f>
        <v>430000</v>
      </c>
      <c r="BO144" s="15" t="n">
        <f aca="false">(BO143)+AY144</f>
        <v>0</v>
      </c>
      <c r="BP144" s="15" t="n">
        <f aca="false">0</f>
        <v>0</v>
      </c>
      <c r="BQ144" s="15" t="n">
        <f aca="false">BN144+BM144-BO144</f>
        <v>39802.2735178872</v>
      </c>
      <c r="BR144" s="15" t="n">
        <f aca="false">BH144+AD144+BL144+MAX(0,-AM144)+MAX(0,-AR144)+AG144</f>
        <v>172786.690763246</v>
      </c>
      <c r="BS144" s="15" t="n">
        <f aca="false">AJ144+AV144+MAX(0,AM144)+MAX(0,AR144)+BC144+BG144+BQ144</f>
        <v>172786.690763246</v>
      </c>
      <c r="BT144" s="15" t="n">
        <f aca="false">BR144-BS144</f>
        <v>0</v>
      </c>
      <c r="BU144" s="15" t="n">
        <f aca="false">BH144-(BD144+BE144-BF144-AY144)</f>
        <v>0</v>
      </c>
      <c r="BV144" s="15" t="n">
        <f aca="false">MIN(Piano_SS!$C$6,(BV143)+IF(AND(Motore_Operativo!C144&gt;=EDATE(Parametri_v3!$C$24,Ipotesi!E14*12),Motore_Operativo!C144&lt;EDATE(Parametri_v3!$C$24,Parametri_v3!$C$25+Ipotesi!E14*12)),MAX(0,(Motore_Operativo!Y144+Motore_Operativo!X144*Parametri_v3!$C$14)*(1-Parametri_v3!$C$32))*Piano_SS!$D$6,0))</f>
        <v>126350</v>
      </c>
      <c r="BW144" s="15" t="n">
        <f aca="false">MIN(Piano_SS!$C$7,(BW143)+IF(AND(Motore_Operativo!C144&gt;=EDATE(Parametri_v3!$C$24,Ipotesi!E14*12),Motore_Operativo!C144&lt;EDATE(Parametri_v3!$C$24,Parametri_v3!$C$25+Ipotesi!E14*12)),MAX(0,(IF(20-(INT((Ipotesi!$C$91)/30))&lt;1,0,INDEX(Motore_Operativo!$BN$125:$BN$184,MAX(1,20-(INT((Ipotesi!$C$91)/30)))))*(1-(MOD((Ipotesi!$C$91),30)/30))+IF(20-(INT((Ipotesi!$C$91)/30))-1&lt;1,0,INDEX(Motore_Operativo!$BN$125:$BN$184,MAX(1,20-(INT((Ipotesi!$C$91)/30))-1)))*(MOD((Ipotesi!$C$91),30)/30)))*Piano_SS!$D$7,0))</f>
        <v>19900.6023195549</v>
      </c>
      <c r="BX144" s="15" t="n">
        <f aca="false">MIN(Piano_SS!$C$8,(BX143)+IF(AND(Motore_Operativo!C144&gt;=EDATE(Parametri_v3!$C$24,Ipotesi!E14*12),Motore_Operativo!C144&lt;EDATE(Parametri_v3!$C$24,Parametri_v3!$C$25+Ipotesi!E14*12)),MAX(0,Motore_Operativo!CE144)*Piano_SS!$D$8,0))</f>
        <v>26666.6666666667</v>
      </c>
      <c r="BY144" s="15" t="n">
        <f aca="false">MIN(Piano_SS!$C$9,(BY143)+IF(AND(Motore_Operativo!C144&gt;=EDATE(Parametri_v3!$C$24,Ipotesi!E14*12),Motore_Operativo!C144&lt;EDATE(Parametri_v3!$C$24,Parametri_v3!$C$25+Ipotesi!E14*12)),MAX(0,((IF(20-(INT((Ipotesi!$C$91)/30))&lt;1,0,INDEX(Motore_Operativo!$BQ$125:$BQ$184,MAX(1,20-(INT((Ipotesi!$C$91)/30)))))*(1-(MOD((Ipotesi!$C$91),30)/30))+IF(20-(INT((Ipotesi!$C$91)/30))-1&lt;1,0,INDEX(Motore_Operativo!$BQ$125:$BQ$184,MAX(1,20-(INT((Ipotesi!$C$91)/30))-1)))*(MOD((Ipotesi!$C$91),30)/30))+(IF(20-(INT((Ipotesi!$C$91)/30))&lt;1,0,INDEX(Motore_Operativo!$BR$125:$BR$184,MAX(1,20-(INT((Ipotesi!$C$91)/30)))))*(1-(MOD((Ipotesi!$C$91),30)/30))+IF(20-(INT((Ipotesi!$C$91)/30))-1&lt;1,0,INDEX(Motore_Operativo!$BR$125:$BR$184,MAX(1,20-(INT((Ipotesi!$C$91)/30))-1)))*(MOD((Ipotesi!$C$91),30)/30))))*Piano_SS!$D$9,0))</f>
        <v>35500</v>
      </c>
      <c r="BZ144" s="15" t="n">
        <f aca="false">MIN(Piano_SS!$C$10,(BZ143)+IF(AND(Motore_Operativo!C144&gt;=EDATE(Parametri_v3!$C$24,Ipotesi!E14*12),Motore_Operativo!C144&lt;EDATE(Parametri_v3!$C$24,Parametri_v3!$C$25+Ipotesi!E14*12)),MAX(0,(IF(20-(INT((Ipotesi!$C$91)/30))&lt;1,0,INDEX(Motore_Operativo!$BO$125:$BO$184,MAX(1,20-(INT((Ipotesi!$C$91)/30)))))*(1-(MOD((Ipotesi!$C$91),30)/30))+IF(20-(INT((Ipotesi!$C$91)/30))-1&lt;1,0,INDEX(Motore_Operativo!$BO$125:$BO$184,MAX(1,20-(INT((Ipotesi!$C$91)/30))-1)))*(MOD((Ipotesi!$C$91),30)/30)))*Piano_SS!$D$10,0))</f>
        <v>19000</v>
      </c>
      <c r="CA144" s="15" t="n">
        <f aca="false">SUM(BV144:BZ144)</f>
        <v>227417.268986222</v>
      </c>
      <c r="CB144" s="15" t="n">
        <f aca="false">BV144*(1-Piano_SS!$E$6)+BW144*(1-Piano_SS!$E$7)+BX144*(1-Piano_SS!$E$8)+BY144*(1-Piano_SS!$E$9)+BZ144*(1-Piano_SS!$E$10)</f>
        <v>208417.268986222</v>
      </c>
      <c r="CC144" s="15" t="n">
        <f aca="false">(CC143)+BA144</f>
        <v>80000</v>
      </c>
      <c r="CD144" s="15" t="n">
        <f aca="false">IF(CA144=0,0,CC144*CB144/CA144*Ipotesi!$C$103*Parametri_v3!$C$64)</f>
        <v>21994.8752263504</v>
      </c>
      <c r="CE144" s="18" t="n">
        <f aca="false">IF(BA144&gt;0,Motore_Operativo!C144,(CE143))</f>
        <v>46784</v>
      </c>
      <c r="CF144" s="18" t="n">
        <f aca="false">IF(AND(CC144&gt;0,OR(CC144&gt;=CG144-0.01,Motore_Operativo!C144&gt;=EDATE(MAX(Finanziamenti!$D$15:$D$17),Ipotesi!E14*12))),CE144,0)</f>
        <v>0</v>
      </c>
      <c r="CG144" s="15" t="n">
        <f aca="false">IF(AND(3&lt;&gt;6,3&lt;&gt;9,Finanziamenti!$F$11=1,OR(Parametri_v3!$C$6=0,Finanziamenti!$E$11=1)),MIN(Finanziamenti!$C$11,Piano_SS!$C$12*Ipotesi!$C$102),0)</f>
        <v>400000</v>
      </c>
      <c r="CH144" s="15" t="n">
        <f aca="false">IF(AND(AND(3&lt;&gt;8,3&lt;&gt;9,Finanziamenti!$F$10=1,OR(Parametri_v3!$C$6=0,Finanziamenti!$E$10=1)),Motore_Operativo!C144&gt;=Finanziamenti!$D$10,Motore_Operativo!C144&lt;Parametri_v3!$C$63),Finanziamenti!$C$10,0)</f>
        <v>150000</v>
      </c>
    </row>
    <row r="145" customFormat="false" ht="18" hidden="false" customHeight="true" outlineLevel="0" collapsed="false">
      <c r="A145" s="68" t="n">
        <f aca="false">3</f>
        <v>3</v>
      </c>
      <c r="B145" s="68" t="n">
        <f aca="false">21</f>
        <v>21</v>
      </c>
      <c r="C145" s="18" t="n">
        <f aca="false">Motore_Operativo!C145</f>
        <v>46997</v>
      </c>
      <c r="D145" s="68" t="n">
        <f aca="false">Motore_Operativo!D145</f>
        <v>2028</v>
      </c>
      <c r="E145" s="68" t="n">
        <f aca="false">Motore_Operativo!E145</f>
        <v>9</v>
      </c>
      <c r="F145" s="15" t="n">
        <f aca="false">Motore_Operativo!AQ145+Motore_Operativo!BF145</f>
        <v>34258.0889557691</v>
      </c>
      <c r="G145" s="15" t="n">
        <f aca="false">Motore_Operativo!BH145</f>
        <v>3398.1220657277</v>
      </c>
      <c r="H145" s="15" t="n">
        <f aca="false">Motore_Operativo!BI145</f>
        <v>37656.2110214968</v>
      </c>
      <c r="I145" s="15" t="n">
        <f aca="false">Motore_Operativo!CA145</f>
        <v>58268.2427824462</v>
      </c>
      <c r="J145" s="15" t="n">
        <f aca="false">Motore_Operativo!CC145</f>
        <v>-20612.0317609494</v>
      </c>
      <c r="K145" s="15" t="n">
        <f aca="false">Motore_Operativo!CE145</f>
        <v>2083.33333333333</v>
      </c>
      <c r="L145" s="15" t="n">
        <f aca="false">SUM(INDEX($K$125:$K$184,MAX(1,21-Parametri_v3!$C$59+1)):K145)/Parametri_v3!$C$59</f>
        <v>1076.38888888889</v>
      </c>
      <c r="M145" s="15" t="n">
        <f aca="false">J145-L145</f>
        <v>-21688.4206498383</v>
      </c>
      <c r="N145" s="15" t="n">
        <f aca="false">CD145-(CD144)</f>
        <v>-8.23342625041914</v>
      </c>
      <c r="O145" s="15" t="n">
        <f aca="false">(BG144)*Ipotesi!$C$110/12+CH145*Parametri_v3!$C$39/12</f>
        <v>4.02805769759138</v>
      </c>
      <c r="P145" s="15" t="n">
        <f aca="false">M145+N145-O145</f>
        <v>-21700.6821337863</v>
      </c>
      <c r="Q145" s="15" t="n">
        <f aca="false">SUM(P137:P145)+Parametri_v3!$C$54*9/12</f>
        <v>-221618.553003959</v>
      </c>
      <c r="R145" s="15" t="n">
        <f aca="false">Z136</f>
        <v>190279.85561194</v>
      </c>
      <c r="S145" s="15" t="n">
        <f aca="false">AA136</f>
        <v>0</v>
      </c>
      <c r="T145" s="15" t="n">
        <f aca="false">MIN(R145,MAX(0,Q145))</f>
        <v>0</v>
      </c>
      <c r="U145" s="15" t="n">
        <f aca="false">MIN(S145,MAX(0,Q145-T145)*Parametri_v3!$C$42)</f>
        <v>0</v>
      </c>
      <c r="V145" s="15" t="n">
        <f aca="false">MAX(0,Q145-T145-U145)*Ipotesi!$C$92</f>
        <v>0</v>
      </c>
      <c r="W145" s="15" t="n">
        <f aca="false">MAX(0,SUM(M137:M145)+Parametri_v3!$C$55*9/12)*Ipotesi!$C$93</f>
        <v>0</v>
      </c>
      <c r="X145" s="15" t="n">
        <f aca="false">V145+W145-(V144+W144)</f>
        <v>0</v>
      </c>
      <c r="Y145" s="15" t="n">
        <f aca="false">P145-X145</f>
        <v>-21700.6821337863</v>
      </c>
      <c r="Z145" s="15" t="n">
        <f aca="false">R145-T145+IF(AND(Parametri_v3!$C$40=1,D145-YEAR(Parametri_v3!$C$50)&lt;Parametri_v3!$C$41),MAX(0,-Q145),0)</f>
        <v>411898.408615899</v>
      </c>
      <c r="AA145" s="15" t="n">
        <f aca="false">S145-U145+IF(AND(Parametri_v3!$C$40=1,D145-YEAR(Parametri_v3!$C$50)&lt;Parametri_v3!$C$41),0,MAX(0,-Q145))</f>
        <v>0</v>
      </c>
      <c r="AB145" s="15" t="n">
        <f aca="false">F145*(1+Parametri_v3!$C$26)</f>
        <v>41794.8685260383</v>
      </c>
      <c r="AC145" s="15" t="n">
        <f aca="false">(IF(21-(INT((Motore_Operativo!L145)/30))&lt;1,0,INDEX(Motore_Startup!$AB$125:$AB$184,MAX(1,21-(INT((Motore_Operativo!L145)/30)))))*(1-(MOD((Motore_Operativo!L145),30)/30))+IF(21-(INT((Motore_Operativo!L145)/30))-1&lt;1,0,INDEX(Motore_Startup!$AB$125:$AB$184,MAX(1,21-(INT((Motore_Operativo!L145)/30))-1)))*(MOD((Motore_Operativo!L145),30)/30))</f>
        <v>37647.0285210939</v>
      </c>
      <c r="AD145" s="15" t="n">
        <f aca="false">(AD144)+AB145-AC145</f>
        <v>121261.044070225</v>
      </c>
      <c r="AE145" s="15" t="n">
        <f aca="false">Motore_Operativo!BH145*(1+Parametri_v3!$C$26)</f>
        <v>4145.70892018779</v>
      </c>
      <c r="AF145" s="15" t="n">
        <f aca="false">(IF(21-(INT((Parametri_v3!$C$29)/30))&lt;1,0,INDEX(Motore_Operativo!$BH$125:$BH$184,MAX(1,21-(INT((Parametri_v3!$C$29)/30)))))*(1-(MOD((Parametri_v3!$C$29),30)/30))+IF(21-(INT((Parametri_v3!$C$29)/30))-1&lt;1,0,INDEX(Motore_Operativo!$BH$125:$BH$184,MAX(1,21-(INT((Parametri_v3!$C$29)/30))-1)))*(MOD((Parametri_v3!$C$29),30)/30))*(1+Parametri_v3!$C$26)</f>
        <v>4145.70892018779</v>
      </c>
      <c r="AG145" s="15" t="n">
        <f aca="false">(AG144)+AE145-AF145</f>
        <v>4145.70892018779</v>
      </c>
      <c r="AH145" s="15" t="n">
        <f aca="false">(Motore_Operativo!CJ145)*(1+Parametri_v3!$C$27*Parametri_v3!$C$26)</f>
        <v>21966.3166827636</v>
      </c>
      <c r="AI145" s="15" t="n">
        <f aca="false">(IF(21-(INT((Ipotesi!$C$91)/30))&lt;1,0,INDEX(Motore_Startup!$AH$125:$AH$184,MAX(1,21-(INT((Ipotesi!$C$91)/30)))))*(1-(MOD((Ipotesi!$C$91),30)/30))+IF(21-(INT((Ipotesi!$C$91)/30))-1&lt;1,0,INDEX(Motore_Startup!$AH$125:$AH$184,MAX(1,21-(INT((Ipotesi!$C$91)/30))-1)))*(MOD((Ipotesi!$C$91),30)/30))</f>
        <v>21591.3124895539</v>
      </c>
      <c r="AJ145" s="15" t="n">
        <f aca="false">(AJ144)+AH145-AI145</f>
        <v>43745.9544018672</v>
      </c>
      <c r="AK145" s="15" t="n">
        <f aca="false">(F145+ Motore_Operativo!BH145-(Motore_Operativo!CJ145)*Parametri_v3!$C$27-Motore_Operativo!CE145)*Parametri_v3!$C$26</f>
        <v>4365.45919107853</v>
      </c>
      <c r="AL145" s="15" t="n">
        <f aca="false">MAX(0,(AM144))</f>
        <v>4147.73072353377</v>
      </c>
      <c r="AM145" s="15" t="n">
        <f aca="false">(AM144)+AK145-AL145</f>
        <v>4365.45919107853</v>
      </c>
      <c r="AN145" s="15" t="n">
        <f aca="false">SUM(X125:X136)</f>
        <v>0</v>
      </c>
      <c r="AO145" s="15" t="n">
        <f aca="false">SUM(AP125:AP136)</f>
        <v>0</v>
      </c>
      <c r="AP145" s="15" t="n">
        <f aca="false">MAX(0,AN145)*IF(9=Parametri_v3!$C$43,Parametri_v3!$C$45,IF(9=Parametri_v3!$C$44,1-Parametri_v3!$C$45,0))</f>
        <v>0</v>
      </c>
      <c r="AQ145" s="15" t="n">
        <f aca="false">MAX(0,AP145+IF(9=Parametri_v3!$C$43,MAX(0,AN145-AO145),0)-MAX(0,-(AR144)))</f>
        <v>0</v>
      </c>
      <c r="AR145" s="15" t="n">
        <f aca="false">(AR144)+X145-AQ145</f>
        <v>0</v>
      </c>
      <c r="AS145" s="15" t="n">
        <f aca="false">Motore_Operativo!AB145-AT145+AU145</f>
        <v>37774.375</v>
      </c>
      <c r="AT145" s="15" t="n">
        <f aca="false">Motore_Operativo!CH145</f>
        <v>1988.125</v>
      </c>
      <c r="AU145" s="15" t="n">
        <f aca="false">MIN(MAX(0,(AV144)+AT145),Parametri_v3!$C$60/12)</f>
        <v>0</v>
      </c>
      <c r="AV145" s="15" t="n">
        <f aca="false">(AV144)+AT145-AU145</f>
        <v>28643.125</v>
      </c>
      <c r="AW145" s="15" t="n">
        <f aca="false">IF(AND(Motore_Operativo!C145=Finanziamenti!$D$6,Finanziamenti!$F$6=1),Finanziamenti!$C$6,0)</f>
        <v>0</v>
      </c>
      <c r="AX145" s="15" t="n">
        <f aca="false">IF(AND(3&lt;&gt;7,3&lt;&gt;9,Finanziamenti!$F$8=1,OR(Parametri_v3!$C$6=0,Finanziamenti!$E$8=1),Motore_Operativo!C145=EDATE(Finanziamenti!$D$8,Ipotesi!E15*12)),Finanziamenti!$C$8*1,0)+IF(AND(3&lt;&gt;7,3&lt;&gt;9,Finanziamenti!$F$9=1,OR(Parametri_v3!$C$6=0,Finanziamenti!$E$9=1),Motore_Operativo!C145=EDATE(Finanziamenti!$D$9,Ipotesi!E15*12)),Finanziamenti!$C$9*Ipotesi!E16,0)</f>
        <v>0</v>
      </c>
      <c r="AY145" s="15" t="n">
        <f aca="false">0</f>
        <v>0</v>
      </c>
      <c r="AZ145" s="15" t="n">
        <f aca="false">Motore_Advisory!AY145*(1-Ipotesi!$C$95)*Ipotesi!$C$96</f>
        <v>0</v>
      </c>
      <c r="BA145" s="15" t="n">
        <f aca="false">MAX(0,MIN(CG145*MIN(1,IF(Motore_Operativo!C145&gt;=EDATE(Finanziamenti!$D$15,Ipotesi!E14*12),Finanziamenti!$C$15,0)+IF(Motore_Operativo!C145&gt;=EDATE(Finanziamenti!$D$16,Ipotesi!E14*12),Finanziamenti!$C$16,0)+IF(Motore_Operativo!C145&gt;=EDATE(Finanziamenti!$D$17,Ipotesi!E14*12),Finanziamenti!$C$17,0)),CA145*Ipotesi!$C$102)-(CC144))</f>
        <v>0</v>
      </c>
      <c r="BB145" s="15" t="n">
        <f aca="false">IF(AND(CF145&gt;0,Motore_Operativo!C145&gt;=IF(CF145=0,0,EDATE(CF145,Parametri_v3!$C$37)),MOD(((D145-YEAR(IF(CF145=0,0,EDATE(CF145,Parametri_v3!$C$37))))*12+E145-MONTH(IF(CF145=0,0,EDATE(CF145,Parametri_v3!$C$37)))),Parametri_v3!$C$38)=0),MIN(MAX(0,(BC144)+BA145-N145),(CC145-CD145)/(Ipotesi!$C$108*12/Parametri_v3!$C$38)),0)</f>
        <v>0</v>
      </c>
      <c r="BC145" s="15" t="n">
        <f aca="false">(BC144)+BA145-N145-BB145</f>
        <v>58013.3581999</v>
      </c>
      <c r="BD145" s="15" t="n">
        <f aca="false">(BH144)+AC145+AF145-AI145-AS145-K145*(1+Parametri_v3!$C$26)-AL145-AQ145-O145+AW145+AX145+AZ145+BA145-BB145</f>
        <v>733.624503829768</v>
      </c>
      <c r="BE145" s="15" t="n">
        <f aca="false">MAX(0,MIN(MAX(0,CH145-(BG144)),Parametri_v3!$C$30-BD145))</f>
        <v>24266.3754961702</v>
      </c>
      <c r="BF145" s="15" t="n">
        <f aca="false">IF(Motore_Operativo!C145&gt;=Parametri_v3!$C$63,(BG144),MIN((BG144),MAX(0,BD145-Parametri_v3!$C$30)))</f>
        <v>0</v>
      </c>
      <c r="BG145" s="15" t="n">
        <f aca="false">(BG144)+BE145-BF145</f>
        <v>25071.9870356885</v>
      </c>
      <c r="BH145" s="15" t="n">
        <f aca="false">BD145+BE145-BF145-AY145</f>
        <v>25000</v>
      </c>
      <c r="BI145" s="15" t="n">
        <f aca="false">MAX(0,Parametri_v3!$C$30-BH145)</f>
        <v>0</v>
      </c>
      <c r="BJ145" s="15" t="n">
        <f aca="false">(BJ144)+K145</f>
        <v>38750</v>
      </c>
      <c r="BK145" s="15" t="n">
        <f aca="false">(BK144)+L145</f>
        <v>11215.2777777778</v>
      </c>
      <c r="BL145" s="15" t="n">
        <f aca="false">BJ145-BK145</f>
        <v>27534.7222222222</v>
      </c>
      <c r="BM145" s="15" t="n">
        <f aca="false">(BM144)+Y145</f>
        <v>-411898.408615899</v>
      </c>
      <c r="BN145" s="15" t="n">
        <f aca="false">(BN144)+AW145+AX145+AZ145</f>
        <v>430000</v>
      </c>
      <c r="BO145" s="15" t="n">
        <f aca="false">(BO144)+AY145</f>
        <v>0</v>
      </c>
      <c r="BP145" s="15" t="n">
        <f aca="false">0</f>
        <v>0</v>
      </c>
      <c r="BQ145" s="15" t="n">
        <f aca="false">BN145+BM145-BO145</f>
        <v>18101.591384101</v>
      </c>
      <c r="BR145" s="15" t="n">
        <f aca="false">BH145+AD145+BL145+MAX(0,-AM145)+MAX(0,-AR145)+AG145</f>
        <v>177941.475212635</v>
      </c>
      <c r="BS145" s="15" t="n">
        <f aca="false">AJ145+AV145+MAX(0,AM145)+MAX(0,AR145)+BC145+BG145+BQ145</f>
        <v>177941.475212635</v>
      </c>
      <c r="BT145" s="15" t="n">
        <f aca="false">BR145-BS145</f>
        <v>0</v>
      </c>
      <c r="BU145" s="15" t="n">
        <f aca="false">BH145-(BD145+BE145-BF145-AY145)</f>
        <v>0</v>
      </c>
      <c r="BV145" s="15" t="n">
        <f aca="false">MIN(Piano_SS!$C$6,(BV144)+IF(AND(Motore_Operativo!C145&gt;=EDATE(Parametri_v3!$C$24,Ipotesi!E14*12),Motore_Operativo!C145&lt;EDATE(Parametri_v3!$C$24,Parametri_v3!$C$25+Ipotesi!E14*12)),MAX(0,(Motore_Operativo!Y145+Motore_Operativo!X145*Parametri_v3!$C$14)*(1-Parametri_v3!$C$32))*Piano_SS!$D$6,0))</f>
        <v>138581.25</v>
      </c>
      <c r="BW145" s="15" t="n">
        <f aca="false">MIN(Piano_SS!$C$7,(BW144)+IF(AND(Motore_Operativo!C145&gt;=EDATE(Parametri_v3!$C$24,Ipotesi!E14*12),Motore_Operativo!C145&lt;EDATE(Parametri_v3!$C$24,Parametri_v3!$C$25+Ipotesi!E14*12)),MAX(0,(IF(21-(INT((Ipotesi!$C$91)/30))&lt;1,0,INDEX(Motore_Operativo!$BN$125:$BN$184,MAX(1,21-(INT((Ipotesi!$C$91)/30)))))*(1-(MOD((Ipotesi!$C$91),30)/30))+IF(21-(INT((Ipotesi!$C$91)/30))-1&lt;1,0,INDEX(Motore_Operativo!$BN$125:$BN$184,MAX(1,21-(INT((Ipotesi!$C$91)/30))-1)))*(MOD((Ipotesi!$C$91),30)/30)))*Piano_SS!$D$7,0))</f>
        <v>21760.0536114681</v>
      </c>
      <c r="BX145" s="15" t="n">
        <f aca="false">MIN(Piano_SS!$C$8,(BX144)+IF(AND(Motore_Operativo!C145&gt;=EDATE(Parametri_v3!$C$24,Ipotesi!E14*12),Motore_Operativo!C145&lt;EDATE(Parametri_v3!$C$24,Parametri_v3!$C$25+Ipotesi!E14*12)),MAX(0,Motore_Operativo!CE145)*Piano_SS!$D$8,0))</f>
        <v>28750</v>
      </c>
      <c r="BY145" s="15" t="n">
        <f aca="false">MIN(Piano_SS!$C$9,(BY144)+IF(AND(Motore_Operativo!C145&gt;=EDATE(Parametri_v3!$C$24,Ipotesi!E14*12),Motore_Operativo!C145&lt;EDATE(Parametri_v3!$C$24,Parametri_v3!$C$25+Ipotesi!E14*12)),MAX(0,((IF(21-(INT((Ipotesi!$C$91)/30))&lt;1,0,INDEX(Motore_Operativo!$BQ$125:$BQ$184,MAX(1,21-(INT((Ipotesi!$C$91)/30)))))*(1-(MOD((Ipotesi!$C$91),30)/30))+IF(21-(INT((Ipotesi!$C$91)/30))-1&lt;1,0,INDEX(Motore_Operativo!$BQ$125:$BQ$184,MAX(1,21-(INT((Ipotesi!$C$91)/30))-1)))*(MOD((Ipotesi!$C$91),30)/30))+(IF(21-(INT((Ipotesi!$C$91)/30))&lt;1,0,INDEX(Motore_Operativo!$BR$125:$BR$184,MAX(1,21-(INT((Ipotesi!$C$91)/30)))))*(1-(MOD((Ipotesi!$C$91),30)/30))+IF(21-(INT((Ipotesi!$C$91)/30))-1&lt;1,0,INDEX(Motore_Operativo!$BR$125:$BR$184,MAX(1,21-(INT((Ipotesi!$C$91)/30))-1)))*(MOD((Ipotesi!$C$91),30)/30))))*Piano_SS!$D$9,0))</f>
        <v>38416.6666666667</v>
      </c>
      <c r="BZ145" s="15" t="n">
        <f aca="false">MIN(Piano_SS!$C$10,(BZ144)+IF(AND(Motore_Operativo!C145&gt;=EDATE(Parametri_v3!$C$24,Ipotesi!E14*12),Motore_Operativo!C145&lt;EDATE(Parametri_v3!$C$24,Parametri_v3!$C$25+Ipotesi!E14*12)),MAX(0,(IF(21-(INT((Ipotesi!$C$91)/30))&lt;1,0,INDEX(Motore_Operativo!$BO$125:$BO$184,MAX(1,21-(INT((Ipotesi!$C$91)/30)))))*(1-(MOD((Ipotesi!$C$91),30)/30))+IF(21-(INT((Ipotesi!$C$91)/30))-1&lt;1,0,INDEX(Motore_Operativo!$BO$125:$BO$184,MAX(1,21-(INT((Ipotesi!$C$91)/30))-1)))*(MOD((Ipotesi!$C$91),30)/30)))*Piano_SS!$D$10,0))</f>
        <v>20833.3333333333</v>
      </c>
      <c r="CA145" s="15" t="n">
        <f aca="false">SUM(BV145:BZ145)</f>
        <v>248341.303611468</v>
      </c>
      <c r="CB145" s="15" t="n">
        <f aca="false">BV145*(1-Piano_SS!$E$6)+BW145*(1-Piano_SS!$E$7)+BX145*(1-Piano_SS!$E$8)+BY145*(1-Piano_SS!$E$9)+BZ145*(1-Piano_SS!$E$10)</f>
        <v>227507.970278135</v>
      </c>
      <c r="CC145" s="15" t="n">
        <f aca="false">(CC144)+BA145</f>
        <v>80000</v>
      </c>
      <c r="CD145" s="15" t="n">
        <f aca="false">IF(CA145=0,0,CC145*CB145/CA145*Ipotesi!$C$103*Parametri_v3!$C$64)</f>
        <v>21986.6418001</v>
      </c>
      <c r="CE145" s="18" t="n">
        <f aca="false">IF(BA145&gt;0,Motore_Operativo!C145,(CE144))</f>
        <v>46784</v>
      </c>
      <c r="CF145" s="18" t="n">
        <f aca="false">IF(AND(CC145&gt;0,OR(CC145&gt;=CG145-0.01,Motore_Operativo!C145&gt;=EDATE(MAX(Finanziamenti!$D$15:$D$17),Ipotesi!E14*12))),CE145,0)</f>
        <v>0</v>
      </c>
      <c r="CG145" s="15" t="n">
        <f aca="false">IF(AND(3&lt;&gt;6,3&lt;&gt;9,Finanziamenti!$F$11=1,OR(Parametri_v3!$C$6=0,Finanziamenti!$E$11=1)),MIN(Finanziamenti!$C$11,Piano_SS!$C$12*Ipotesi!$C$102),0)</f>
        <v>400000</v>
      </c>
      <c r="CH145" s="15" t="n">
        <f aca="false">IF(AND(AND(3&lt;&gt;8,3&lt;&gt;9,Finanziamenti!$F$10=1,OR(Parametri_v3!$C$6=0,Finanziamenti!$E$10=1)),Motore_Operativo!C145&gt;=Finanziamenti!$D$10,Motore_Operativo!C145&lt;Parametri_v3!$C$63),Finanziamenti!$C$10,0)</f>
        <v>150000</v>
      </c>
    </row>
    <row r="146" customFormat="false" ht="18" hidden="false" customHeight="true" outlineLevel="0" collapsed="false">
      <c r="A146" s="68" t="n">
        <f aca="false">3</f>
        <v>3</v>
      </c>
      <c r="B146" s="68" t="n">
        <f aca="false">22</f>
        <v>22</v>
      </c>
      <c r="C146" s="18" t="n">
        <f aca="false">Motore_Operativo!C146</f>
        <v>47027</v>
      </c>
      <c r="D146" s="68" t="n">
        <f aca="false">Motore_Operativo!D146</f>
        <v>2028</v>
      </c>
      <c r="E146" s="68" t="n">
        <f aca="false">Motore_Operativo!E146</f>
        <v>10</v>
      </c>
      <c r="F146" s="15" t="n">
        <f aca="false">Motore_Operativo!AQ146+Motore_Operativo!BF146</f>
        <v>35371.6230079191</v>
      </c>
      <c r="G146" s="15" t="n">
        <f aca="false">Motore_Operativo!BH146</f>
        <v>3398.1220657277</v>
      </c>
      <c r="H146" s="15" t="n">
        <f aca="false">Motore_Operativo!BI146</f>
        <v>38769.7450736468</v>
      </c>
      <c r="I146" s="15" t="n">
        <f aca="false">Motore_Operativo!CA146</f>
        <v>58424.1375497472</v>
      </c>
      <c r="J146" s="15" t="n">
        <f aca="false">Motore_Operativo!CC146</f>
        <v>-19654.3924761004</v>
      </c>
      <c r="K146" s="15" t="n">
        <f aca="false">Motore_Operativo!CE146</f>
        <v>2083.33333333333</v>
      </c>
      <c r="L146" s="15" t="n">
        <f aca="false">SUM(INDEX($K$125:$K$184,MAX(1,22-Parametri_v3!$C$59+1)):K146)/Parametri_v3!$C$59</f>
        <v>1134.25925925926</v>
      </c>
      <c r="M146" s="15" t="n">
        <f aca="false">J146-L146</f>
        <v>-20788.6517353596</v>
      </c>
      <c r="N146" s="15" t="n">
        <f aca="false">CD146-(CD145)</f>
        <v>-16.3208889617999</v>
      </c>
      <c r="O146" s="15" t="n">
        <f aca="false">(BG145)*Ipotesi!$C$110/12+CH146*Parametri_v3!$C$39/12</f>
        <v>125.359935178443</v>
      </c>
      <c r="P146" s="15" t="n">
        <f aca="false">M146+N146-O146</f>
        <v>-20930.3325594999</v>
      </c>
      <c r="Q146" s="15" t="n">
        <f aca="false">SUM(P137:P146)+Parametri_v3!$C$54*10/12</f>
        <v>-242548.885563458</v>
      </c>
      <c r="R146" s="15" t="n">
        <f aca="false">Z136</f>
        <v>190279.85561194</v>
      </c>
      <c r="S146" s="15" t="n">
        <f aca="false">AA136</f>
        <v>0</v>
      </c>
      <c r="T146" s="15" t="n">
        <f aca="false">MIN(R146,MAX(0,Q146))</f>
        <v>0</v>
      </c>
      <c r="U146" s="15" t="n">
        <f aca="false">MIN(S146,MAX(0,Q146-T146)*Parametri_v3!$C$42)</f>
        <v>0</v>
      </c>
      <c r="V146" s="15" t="n">
        <f aca="false">MAX(0,Q146-T146-U146)*Ipotesi!$C$92</f>
        <v>0</v>
      </c>
      <c r="W146" s="15" t="n">
        <f aca="false">MAX(0,SUM(M137:M146)+Parametri_v3!$C$55*10/12)*Ipotesi!$C$93</f>
        <v>0</v>
      </c>
      <c r="X146" s="15" t="n">
        <f aca="false">V146+W146-(V145+W145)</f>
        <v>0</v>
      </c>
      <c r="Y146" s="15" t="n">
        <f aca="false">P146-X146</f>
        <v>-20930.3325594999</v>
      </c>
      <c r="Z146" s="15" t="n">
        <f aca="false">R146-T146+IF(AND(Parametri_v3!$C$40=1,D146-YEAR(Parametri_v3!$C$50)&lt;Parametri_v3!$C$41),MAX(0,-Q146),0)</f>
        <v>432828.741175399</v>
      </c>
      <c r="AA146" s="15" t="n">
        <f aca="false">S146-U146+IF(AND(Parametri_v3!$C$40=1,D146-YEAR(Parametri_v3!$C$50)&lt;Parametri_v3!$C$41),0,MAX(0,-Q146))</f>
        <v>0</v>
      </c>
      <c r="AB146" s="15" t="n">
        <f aca="false">F146*(1+Parametri_v3!$C$26)</f>
        <v>43153.3800696613</v>
      </c>
      <c r="AC146" s="15" t="n">
        <f aca="false">(IF(22-(INT((Motore_Operativo!L146)/30))&lt;1,0,INDEX(Motore_Startup!$AB$125:$AB$184,MAX(1,22-(INT((Motore_Operativo!L146)/30)))))*(1-(MOD((Motore_Operativo!L146),30)/30))+IF(22-(INT((Motore_Operativo!L146)/30))-1&lt;1,0,INDEX(Motore_Startup!$AB$125:$AB$184,MAX(1,22-(INT((Motore_Operativo!L146)/30))-1)))*(MOD((Motore_Operativo!L146),30)/30))</f>
        <v>39041.7988683425</v>
      </c>
      <c r="AD146" s="15" t="n">
        <f aca="false">(AD145)+AB146-AC146</f>
        <v>125372.625271544</v>
      </c>
      <c r="AE146" s="15" t="n">
        <f aca="false">Motore_Operativo!BH146*(1+Parametri_v3!$C$26)</f>
        <v>4145.70892018779</v>
      </c>
      <c r="AF146" s="15" t="n">
        <f aca="false">(IF(22-(INT((Parametri_v3!$C$29)/30))&lt;1,0,INDEX(Motore_Operativo!$BH$125:$BH$184,MAX(1,22-(INT((Parametri_v3!$C$29)/30)))))*(1-(MOD((Parametri_v3!$C$29),30)/30))+IF(22-(INT((Parametri_v3!$C$29)/30))-1&lt;1,0,INDEX(Motore_Operativo!$BH$125:$BH$184,MAX(1,22-(INT((Parametri_v3!$C$29)/30))-1)))*(MOD((Parametri_v3!$C$29),30)/30))*(1+Parametri_v3!$C$26)</f>
        <v>4145.70892018779</v>
      </c>
      <c r="AG146" s="15" t="n">
        <f aca="false">(AG145)+AE146-AF146</f>
        <v>4145.70892018779</v>
      </c>
      <c r="AH146" s="15" t="n">
        <f aca="false">(Motore_Operativo!CJ146)*(1+Parametri_v3!$C$27*Parametri_v3!$C$26)</f>
        <v>22151.3637715499</v>
      </c>
      <c r="AI146" s="15" t="n">
        <f aca="false">(IF(22-(INT((Ipotesi!$C$91)/30))&lt;1,0,INDEX(Motore_Startup!$AH$125:$AH$184,MAX(1,22-(INT((Ipotesi!$C$91)/30)))))*(1-(MOD((Ipotesi!$C$91),30)/30))+IF(22-(INT((Ipotesi!$C$91)/30))-1&lt;1,0,INDEX(Motore_Startup!$AH$125:$AH$184,MAX(1,22-(INT((Ipotesi!$C$91)/30))-1)))*(MOD((Ipotesi!$C$91),30)/30))</f>
        <v>21779.6377191036</v>
      </c>
      <c r="AJ146" s="15" t="n">
        <f aca="false">(AJ145)+AH146-AI146</f>
        <v>44117.6804543135</v>
      </c>
      <c r="AK146" s="15" t="n">
        <f aca="false">(F146+ Motore_Operativo!BH146-(Motore_Operativo!CJ146)*Parametri_v3!$C$27-Motore_Operativo!CE146)*Parametri_v3!$C$26</f>
        <v>4581.28436106625</v>
      </c>
      <c r="AL146" s="15" t="n">
        <f aca="false">MAX(0,(AM145))</f>
        <v>4365.45919107853</v>
      </c>
      <c r="AM146" s="15" t="n">
        <f aca="false">(AM145)+AK146-AL146</f>
        <v>4581.28436106625</v>
      </c>
      <c r="AN146" s="15" t="n">
        <f aca="false">SUM(X125:X136)</f>
        <v>0</v>
      </c>
      <c r="AO146" s="15" t="n">
        <f aca="false">SUM(AP125:AP136)</f>
        <v>0</v>
      </c>
      <c r="AP146" s="15" t="n">
        <f aca="false">MAX(0,AN146)*IF(10=Parametri_v3!$C$43,Parametri_v3!$C$45,IF(10=Parametri_v3!$C$44,1-Parametri_v3!$C$45,0))</f>
        <v>0</v>
      </c>
      <c r="AQ146" s="15" t="n">
        <f aca="false">MAX(0,AP146+IF(10=Parametri_v3!$C$43,MAX(0,AN146-AO146),0)-MAX(0,-(AR145)))</f>
        <v>0</v>
      </c>
      <c r="AR146" s="15" t="n">
        <f aca="false">(AR145)+X146-AQ146</f>
        <v>0</v>
      </c>
      <c r="AS146" s="15" t="n">
        <f aca="false">Motore_Operativo!AB146-AT146+AU146</f>
        <v>37774.375</v>
      </c>
      <c r="AT146" s="15" t="n">
        <f aca="false">Motore_Operativo!CH146</f>
        <v>1988.125</v>
      </c>
      <c r="AU146" s="15" t="n">
        <f aca="false">MIN(MAX(0,(AV145)+AT146),Parametri_v3!$C$60/12)</f>
        <v>0</v>
      </c>
      <c r="AV146" s="15" t="n">
        <f aca="false">(AV145)+AT146-AU146</f>
        <v>30631.25</v>
      </c>
      <c r="AW146" s="15" t="n">
        <f aca="false">IF(AND(Motore_Operativo!C146=Finanziamenti!$D$6,Finanziamenti!$F$6=1),Finanziamenti!$C$6,0)</f>
        <v>0</v>
      </c>
      <c r="AX146" s="15" t="n">
        <f aca="false">IF(AND(3&lt;&gt;7,3&lt;&gt;9,Finanziamenti!$F$8=1,OR(Parametri_v3!$C$6=0,Finanziamenti!$E$8=1),Motore_Operativo!C146=EDATE(Finanziamenti!$D$8,Ipotesi!E15*12)),Finanziamenti!$C$8*1,0)+IF(AND(3&lt;&gt;7,3&lt;&gt;9,Finanziamenti!$F$9=1,OR(Parametri_v3!$C$6=0,Finanziamenti!$E$9=1),Motore_Operativo!C146=EDATE(Finanziamenti!$D$9,Ipotesi!E15*12)),Finanziamenti!$C$9*Ipotesi!E16,0)</f>
        <v>0</v>
      </c>
      <c r="AY146" s="15" t="n">
        <f aca="false">0</f>
        <v>0</v>
      </c>
      <c r="AZ146" s="15" t="n">
        <f aca="false">Motore_Advisory!AY146*(1-Ipotesi!$C$95)*Ipotesi!$C$96</f>
        <v>0</v>
      </c>
      <c r="BA146" s="15" t="n">
        <f aca="false">MAX(0,MIN(CG146*MIN(1,IF(Motore_Operativo!C146&gt;=EDATE(Finanziamenti!$D$15,Ipotesi!E14*12),Finanziamenti!$C$15,0)+IF(Motore_Operativo!C146&gt;=EDATE(Finanziamenti!$D$16,Ipotesi!E14*12),Finanziamenti!$C$16,0)+IF(Motore_Operativo!C146&gt;=EDATE(Finanziamenti!$D$17,Ipotesi!E14*12),Finanziamenti!$C$17,0)),CA146*Ipotesi!$C$102)-(CC145))</f>
        <v>0</v>
      </c>
      <c r="BB146" s="15" t="n">
        <f aca="false">IF(AND(CF146&gt;0,Motore_Operativo!C146&gt;=IF(CF146=0,0,EDATE(CF146,Parametri_v3!$C$37)),MOD(((D146-YEAR(IF(CF146=0,0,EDATE(CF146,Parametri_v3!$C$37))))*12+E146-MONTH(IF(CF146=0,0,EDATE(CF146,Parametri_v3!$C$37)))),Parametri_v3!$C$38)=0),MIN(MAX(0,(BC145)+BA146-N146),(CC146-CD146)/(Ipotesi!$C$108*12/Parametri_v3!$C$38)),0)</f>
        <v>0</v>
      </c>
      <c r="BC146" s="15" t="n">
        <f aca="false">(BC145)+BA146-N146-BB146</f>
        <v>58029.6790888618</v>
      </c>
      <c r="BD146" s="15" t="n">
        <f aca="false">(BH145)+AC146+AF146-AI146-AS146-K146*(1+Parametri_v3!$C$26)-AL146-AQ146-O146+AW146+AX146+AZ146+BA146-BB146</f>
        <v>1601.00927650304</v>
      </c>
      <c r="BE146" s="15" t="n">
        <f aca="false">MAX(0,MIN(MAX(0,CH146-(BG145)),Parametri_v3!$C$30-BD146))</f>
        <v>23398.990723497</v>
      </c>
      <c r="BF146" s="15" t="n">
        <f aca="false">IF(Motore_Operativo!C146&gt;=Parametri_v3!$C$63,(BG145),MIN((BG145),MAX(0,BD146-Parametri_v3!$C$30)))</f>
        <v>0</v>
      </c>
      <c r="BG146" s="15" t="n">
        <f aca="false">(BG145)+BE146-BF146</f>
        <v>48470.9777591855</v>
      </c>
      <c r="BH146" s="15" t="n">
        <f aca="false">BD146+BE146-BF146-AY146</f>
        <v>25000</v>
      </c>
      <c r="BI146" s="15" t="n">
        <f aca="false">MAX(0,Parametri_v3!$C$30-BH146)</f>
        <v>0</v>
      </c>
      <c r="BJ146" s="15" t="n">
        <f aca="false">(BJ145)+K146</f>
        <v>40833.3333333333</v>
      </c>
      <c r="BK146" s="15" t="n">
        <f aca="false">(BK145)+L146</f>
        <v>12349.537037037</v>
      </c>
      <c r="BL146" s="15" t="n">
        <f aca="false">BJ146-BK146</f>
        <v>28483.7962962963</v>
      </c>
      <c r="BM146" s="15" t="n">
        <f aca="false">(BM145)+Y146</f>
        <v>-432828.741175399</v>
      </c>
      <c r="BN146" s="15" t="n">
        <f aca="false">(BN145)+AW146+AX146+AZ146</f>
        <v>430000</v>
      </c>
      <c r="BO146" s="15" t="n">
        <f aca="false">(BO145)+AY146</f>
        <v>0</v>
      </c>
      <c r="BP146" s="15" t="n">
        <f aca="false">0</f>
        <v>0</v>
      </c>
      <c r="BQ146" s="15" t="n">
        <f aca="false">BN146+BM146-BO146</f>
        <v>-2828.74117539887</v>
      </c>
      <c r="BR146" s="15" t="n">
        <f aca="false">BH146+AD146+BL146+MAX(0,-AM146)+MAX(0,-AR146)+AG146</f>
        <v>183002.130488028</v>
      </c>
      <c r="BS146" s="15" t="n">
        <f aca="false">AJ146+AV146+MAX(0,AM146)+MAX(0,AR146)+BC146+BG146+BQ146</f>
        <v>183002.130488028</v>
      </c>
      <c r="BT146" s="15" t="n">
        <f aca="false">BR146-BS146</f>
        <v>0</v>
      </c>
      <c r="BU146" s="15" t="n">
        <f aca="false">BH146-(BD146+BE146-BF146-AY146)</f>
        <v>0</v>
      </c>
      <c r="BV146" s="15" t="n">
        <f aca="false">MIN(Piano_SS!$C$6,(BV145)+IF(AND(Motore_Operativo!C146&gt;=EDATE(Parametri_v3!$C$24,Ipotesi!E14*12),Motore_Operativo!C146&lt;EDATE(Parametri_v3!$C$24,Parametri_v3!$C$25+Ipotesi!E14*12)),MAX(0,(Motore_Operativo!Y146+Motore_Operativo!X146*Parametri_v3!$C$14)*(1-Parametri_v3!$C$32))*Piano_SS!$D$6,0))</f>
        <v>150812.5</v>
      </c>
      <c r="BW146" s="15" t="n">
        <f aca="false">MIN(Piano_SS!$C$7,(BW145)+IF(AND(Motore_Operativo!C146&gt;=EDATE(Parametri_v3!$C$24,Ipotesi!E14*12),Motore_Operativo!C146&lt;EDATE(Parametri_v3!$C$24,Parametri_v3!$C$25+Ipotesi!E14*12)),MAX(0,(IF(22-(INT((Ipotesi!$C$91)/30))&lt;1,0,INDEX(Motore_Operativo!$BN$125:$BN$184,MAX(1,22-(INT((Ipotesi!$C$91)/30)))))*(1-(MOD((Ipotesi!$C$91),30)/30))+IF(22-(INT((Ipotesi!$C$91)/30))-1&lt;1,0,INDEX(Motore_Operativo!$BN$125:$BN$184,MAX(1,22-(INT((Ipotesi!$C$91)/30))-1)))*(MOD((Ipotesi!$C$91),30)/30)))*Piano_SS!$D$7,0))</f>
        <v>23710.1657432174</v>
      </c>
      <c r="BX146" s="15" t="n">
        <f aca="false">MIN(Piano_SS!$C$8,(BX145)+IF(AND(Motore_Operativo!C146&gt;=EDATE(Parametri_v3!$C$24,Ipotesi!E14*12),Motore_Operativo!C146&lt;EDATE(Parametri_v3!$C$24,Parametri_v3!$C$25+Ipotesi!E14*12)),MAX(0,Motore_Operativo!CE146)*Piano_SS!$D$8,0))</f>
        <v>30833.3333333333</v>
      </c>
      <c r="BY146" s="15" t="n">
        <f aca="false">MIN(Piano_SS!$C$9,(BY145)+IF(AND(Motore_Operativo!C146&gt;=EDATE(Parametri_v3!$C$24,Ipotesi!E14*12),Motore_Operativo!C146&lt;EDATE(Parametri_v3!$C$24,Parametri_v3!$C$25+Ipotesi!E14*12)),MAX(0,((IF(22-(INT((Ipotesi!$C$91)/30))&lt;1,0,INDEX(Motore_Operativo!$BQ$125:$BQ$184,MAX(1,22-(INT((Ipotesi!$C$91)/30)))))*(1-(MOD((Ipotesi!$C$91),30)/30))+IF(22-(INT((Ipotesi!$C$91)/30))-1&lt;1,0,INDEX(Motore_Operativo!$BQ$125:$BQ$184,MAX(1,22-(INT((Ipotesi!$C$91)/30))-1)))*(MOD((Ipotesi!$C$91),30)/30))+(IF(22-(INT((Ipotesi!$C$91)/30))&lt;1,0,INDEX(Motore_Operativo!$BR$125:$BR$184,MAX(1,22-(INT((Ipotesi!$C$91)/30)))))*(1-(MOD((Ipotesi!$C$91),30)/30))+IF(22-(INT((Ipotesi!$C$91)/30))-1&lt;1,0,INDEX(Motore_Operativo!$BR$125:$BR$184,MAX(1,22-(INT((Ipotesi!$C$91)/30))-1)))*(MOD((Ipotesi!$C$91),30)/30))))*Piano_SS!$D$9,0))</f>
        <v>40000</v>
      </c>
      <c r="BZ146" s="15" t="n">
        <f aca="false">MIN(Piano_SS!$C$10,(BZ145)+IF(AND(Motore_Operativo!C146&gt;=EDATE(Parametri_v3!$C$24,Ipotesi!E14*12),Motore_Operativo!C146&lt;EDATE(Parametri_v3!$C$24,Parametri_v3!$C$25+Ipotesi!E14*12)),MAX(0,(IF(22-(INT((Ipotesi!$C$91)/30))&lt;1,0,INDEX(Motore_Operativo!$BO$125:$BO$184,MAX(1,22-(INT((Ipotesi!$C$91)/30)))))*(1-(MOD((Ipotesi!$C$91),30)/30))+IF(22-(INT((Ipotesi!$C$91)/30))-1&lt;1,0,INDEX(Motore_Operativo!$BO$125:$BO$184,MAX(1,22-(INT((Ipotesi!$C$91)/30))-1)))*(MOD((Ipotesi!$C$91),30)/30)))*Piano_SS!$D$10,0))</f>
        <v>22666.6666666667</v>
      </c>
      <c r="CA146" s="15" t="n">
        <f aca="false">SUM(BV146:BZ146)</f>
        <v>268022.665743217</v>
      </c>
      <c r="CB146" s="15" t="n">
        <f aca="false">BV146*(1-Piano_SS!$E$6)+BW146*(1-Piano_SS!$E$7)+BX146*(1-Piano_SS!$E$8)+BY146*(1-Piano_SS!$E$9)+BZ146*(1-Piano_SS!$E$10)</f>
        <v>245355.999076551</v>
      </c>
      <c r="CC146" s="15" t="n">
        <f aca="false">(CC145)+BA146</f>
        <v>80000</v>
      </c>
      <c r="CD146" s="15" t="n">
        <f aca="false">IF(CA146=0,0,CC146*CB146/CA146*Ipotesi!$C$103*Parametri_v3!$C$64)</f>
        <v>21970.3209111382</v>
      </c>
      <c r="CE146" s="18" t="n">
        <f aca="false">IF(BA146&gt;0,Motore_Operativo!C146,(CE145))</f>
        <v>46784</v>
      </c>
      <c r="CF146" s="18" t="n">
        <f aca="false">IF(AND(CC146&gt;0,OR(CC146&gt;=CG146-0.01,Motore_Operativo!C146&gt;=EDATE(MAX(Finanziamenti!$D$15:$D$17),Ipotesi!E14*12))),CE146,0)</f>
        <v>0</v>
      </c>
      <c r="CG146" s="15" t="n">
        <f aca="false">IF(AND(3&lt;&gt;6,3&lt;&gt;9,Finanziamenti!$F$11=1,OR(Parametri_v3!$C$6=0,Finanziamenti!$E$11=1)),MIN(Finanziamenti!$C$11,Piano_SS!$C$12*Ipotesi!$C$102),0)</f>
        <v>400000</v>
      </c>
      <c r="CH146" s="15" t="n">
        <f aca="false">IF(AND(AND(3&lt;&gt;8,3&lt;&gt;9,Finanziamenti!$F$10=1,OR(Parametri_v3!$C$6=0,Finanziamenti!$E$10=1)),Motore_Operativo!C146&gt;=Finanziamenti!$D$10,Motore_Operativo!C146&lt;Parametri_v3!$C$63),Finanziamenti!$C$10,0)</f>
        <v>150000</v>
      </c>
    </row>
    <row r="147" customFormat="false" ht="18" hidden="false" customHeight="true" outlineLevel="0" collapsed="false">
      <c r="A147" s="68" t="n">
        <f aca="false">3</f>
        <v>3</v>
      </c>
      <c r="B147" s="68" t="n">
        <f aca="false">23</f>
        <v>23</v>
      </c>
      <c r="C147" s="18" t="n">
        <f aca="false">Motore_Operativo!C147</f>
        <v>47058</v>
      </c>
      <c r="D147" s="68" t="n">
        <f aca="false">Motore_Operativo!D147</f>
        <v>2028</v>
      </c>
      <c r="E147" s="68" t="n">
        <f aca="false">Motore_Operativo!E147</f>
        <v>11</v>
      </c>
      <c r="F147" s="15" t="n">
        <f aca="false">Motore_Operativo!AQ147+Motore_Operativo!BF147</f>
        <v>36475.4229786005</v>
      </c>
      <c r="G147" s="15" t="n">
        <f aca="false">Motore_Operativo!BH147</f>
        <v>3398.1220657277</v>
      </c>
      <c r="H147" s="15" t="n">
        <f aca="false">Motore_Operativo!BI147</f>
        <v>39873.5450443282</v>
      </c>
      <c r="I147" s="15" t="n">
        <f aca="false">Motore_Operativo!CA147</f>
        <v>58578.6695456426</v>
      </c>
      <c r="J147" s="15" t="n">
        <f aca="false">Motore_Operativo!CC147</f>
        <v>-18705.1245013144</v>
      </c>
      <c r="K147" s="15" t="n">
        <f aca="false">Motore_Operativo!CE147</f>
        <v>2083.33333333333</v>
      </c>
      <c r="L147" s="15" t="n">
        <f aca="false">SUM(INDEX($K$125:$K$184,MAX(1,23-Parametri_v3!$C$59+1)):K147)/Parametri_v3!$C$59</f>
        <v>1192.12962962963</v>
      </c>
      <c r="M147" s="15" t="n">
        <f aca="false">J147-L147</f>
        <v>-19897.254130944</v>
      </c>
      <c r="N147" s="15" t="n">
        <f aca="false">CD147-(CD146)</f>
        <v>-24.7524252129733</v>
      </c>
      <c r="O147" s="15" t="n">
        <f aca="false">(BG146)*Ipotesi!$C$110/12+CH147*Parametri_v3!$C$39/12</f>
        <v>242.354888795927</v>
      </c>
      <c r="P147" s="15" t="n">
        <f aca="false">M147+N147-O147</f>
        <v>-20164.3614449529</v>
      </c>
      <c r="Q147" s="15" t="n">
        <f aca="false">SUM(P137:P147)+Parametri_v3!$C$54*11/12</f>
        <v>-262713.247008411</v>
      </c>
      <c r="R147" s="15" t="n">
        <f aca="false">Z136</f>
        <v>190279.85561194</v>
      </c>
      <c r="S147" s="15" t="n">
        <f aca="false">AA136</f>
        <v>0</v>
      </c>
      <c r="T147" s="15" t="n">
        <f aca="false">MIN(R147,MAX(0,Q147))</f>
        <v>0</v>
      </c>
      <c r="U147" s="15" t="n">
        <f aca="false">MIN(S147,MAX(0,Q147-T147)*Parametri_v3!$C$42)</f>
        <v>0</v>
      </c>
      <c r="V147" s="15" t="n">
        <f aca="false">MAX(0,Q147-T147-U147)*Ipotesi!$C$92</f>
        <v>0</v>
      </c>
      <c r="W147" s="15" t="n">
        <f aca="false">MAX(0,SUM(M137:M147)+Parametri_v3!$C$55*11/12)*Ipotesi!$C$93</f>
        <v>0</v>
      </c>
      <c r="X147" s="15" t="n">
        <f aca="false">V147+W147-(V146+W146)</f>
        <v>0</v>
      </c>
      <c r="Y147" s="15" t="n">
        <f aca="false">P147-X147</f>
        <v>-20164.3614449529</v>
      </c>
      <c r="Z147" s="15" t="n">
        <f aca="false">R147-T147+IF(AND(Parametri_v3!$C$40=1,D147-YEAR(Parametri_v3!$C$50)&lt;Parametri_v3!$C$41),MAX(0,-Q147),0)</f>
        <v>452993.102620352</v>
      </c>
      <c r="AA147" s="15" t="n">
        <f aca="false">S147-U147+IF(AND(Parametri_v3!$C$40=1,D147-YEAR(Parametri_v3!$C$50)&lt;Parametri_v3!$C$41),0,MAX(0,-Q147))</f>
        <v>0</v>
      </c>
      <c r="AB147" s="15" t="n">
        <f aca="false">F147*(1+Parametri_v3!$C$26)</f>
        <v>44500.0160338926</v>
      </c>
      <c r="AC147" s="15" t="n">
        <f aca="false">(IF(23-(INT((Motore_Operativo!L147)/30))&lt;1,0,INDEX(Motore_Startup!$AB$125:$AB$184,MAX(1,23-(INT((Motore_Operativo!L147)/30)))))*(1-(MOD((Motore_Operativo!L147),30)/30))+IF(23-(INT((Motore_Operativo!L147)/30))-1&lt;1,0,INDEX(Motore_Startup!$AB$125:$AB$184,MAX(1,23-(INT((Motore_Operativo!L147)/30))-1)))*(MOD((Motore_Operativo!L147),30)/30))</f>
        <v>40424.3766758443</v>
      </c>
      <c r="AD147" s="15" t="n">
        <f aca="false">(AD146)+AB147-AC147</f>
        <v>129448.264629592</v>
      </c>
      <c r="AE147" s="15" t="n">
        <f aca="false">Motore_Operativo!BH147*(1+Parametri_v3!$C$26)</f>
        <v>4145.70892018779</v>
      </c>
      <c r="AF147" s="15" t="n">
        <f aca="false">(IF(23-(INT((Parametri_v3!$C$29)/30))&lt;1,0,INDEX(Motore_Operativo!$BH$125:$BH$184,MAX(1,23-(INT((Parametri_v3!$C$29)/30)))))*(1-(MOD((Parametri_v3!$C$29),30)/30))+IF(23-(INT((Parametri_v3!$C$29)/30))-1&lt;1,0,INDEX(Motore_Operativo!$BH$125:$BH$184,MAX(1,23-(INT((Parametri_v3!$C$29)/30))-1)))*(MOD((Parametri_v3!$C$29),30)/30))*(1+Parametri_v3!$C$26)</f>
        <v>4145.70892018779</v>
      </c>
      <c r="AG147" s="15" t="n">
        <f aca="false">(AG146)+AE147-AF147</f>
        <v>4145.70892018779</v>
      </c>
      <c r="AH147" s="15" t="n">
        <f aca="false">(Motore_Operativo!CJ147)*(1+Parametri_v3!$C$27*Parametri_v3!$C$26)</f>
        <v>22334.7932506777</v>
      </c>
      <c r="AI147" s="15" t="n">
        <f aca="false">(IF(23-(INT((Ipotesi!$C$91)/30))&lt;1,0,INDEX(Motore_Startup!$AH$125:$AH$184,MAX(1,23-(INT((Ipotesi!$C$91)/30)))))*(1-(MOD((Ipotesi!$C$91),30)/30))+IF(23-(INT((Ipotesi!$C$91)/30))-1&lt;1,0,INDEX(Motore_Startup!$AH$125:$AH$184,MAX(1,23-(INT((Ipotesi!$C$91)/30))-1)))*(MOD((Ipotesi!$C$91),30)/30))</f>
        <v>21966.3166827636</v>
      </c>
      <c r="AJ147" s="15" t="n">
        <f aca="false">(AJ146)+AH147-AI147</f>
        <v>44486.1570222276</v>
      </c>
      <c r="AK147" s="15" t="n">
        <f aca="false">(F147+ Motore_Operativo!BH147-(Motore_Operativo!CJ147)*Parametri_v3!$C$27-Motore_Operativo!CE147)*Parametri_v3!$C$26</f>
        <v>4795.2228713837</v>
      </c>
      <c r="AL147" s="15" t="n">
        <f aca="false">MAX(0,(AM146))</f>
        <v>4581.28436106625</v>
      </c>
      <c r="AM147" s="15" t="n">
        <f aca="false">(AM146)+AK147-AL147</f>
        <v>4795.2228713837</v>
      </c>
      <c r="AN147" s="15" t="n">
        <f aca="false">SUM(X125:X136)</f>
        <v>0</v>
      </c>
      <c r="AO147" s="15" t="n">
        <f aca="false">SUM(AP125:AP136)</f>
        <v>0</v>
      </c>
      <c r="AP147" s="15" t="n">
        <f aca="false">MAX(0,AN147)*IF(11=Parametri_v3!$C$43,Parametri_v3!$C$45,IF(11=Parametri_v3!$C$44,1-Parametri_v3!$C$45,0))</f>
        <v>0</v>
      </c>
      <c r="AQ147" s="15" t="n">
        <f aca="false">MAX(0,AP147+IF(11=Parametri_v3!$C$43,MAX(0,AN147-AO147),0)-MAX(0,-(AR146)))</f>
        <v>0</v>
      </c>
      <c r="AR147" s="15" t="n">
        <f aca="false">(AR146)+X147-AQ147</f>
        <v>0</v>
      </c>
      <c r="AS147" s="15" t="n">
        <f aca="false">Motore_Operativo!AB147-AT147+AU147</f>
        <v>37774.375</v>
      </c>
      <c r="AT147" s="15" t="n">
        <f aca="false">Motore_Operativo!CH147</f>
        <v>1988.125</v>
      </c>
      <c r="AU147" s="15" t="n">
        <f aca="false">MIN(MAX(0,(AV146)+AT147),Parametri_v3!$C$60/12)</f>
        <v>0</v>
      </c>
      <c r="AV147" s="15" t="n">
        <f aca="false">(AV146)+AT147-AU147</f>
        <v>32619.375</v>
      </c>
      <c r="AW147" s="15" t="n">
        <f aca="false">IF(AND(Motore_Operativo!C147=Finanziamenti!$D$6,Finanziamenti!$F$6=1),Finanziamenti!$C$6,0)</f>
        <v>0</v>
      </c>
      <c r="AX147" s="15" t="n">
        <f aca="false">IF(AND(3&lt;&gt;7,3&lt;&gt;9,Finanziamenti!$F$8=1,OR(Parametri_v3!$C$6=0,Finanziamenti!$E$8=1),Motore_Operativo!C147=EDATE(Finanziamenti!$D$8,Ipotesi!E15*12)),Finanziamenti!$C$8*1,0)+IF(AND(3&lt;&gt;7,3&lt;&gt;9,Finanziamenti!$F$9=1,OR(Parametri_v3!$C$6=0,Finanziamenti!$E$9=1),Motore_Operativo!C147=EDATE(Finanziamenti!$D$9,Ipotesi!E15*12)),Finanziamenti!$C$9*Ipotesi!E16,0)</f>
        <v>0</v>
      </c>
      <c r="AY147" s="15" t="n">
        <f aca="false">0</f>
        <v>0</v>
      </c>
      <c r="AZ147" s="15" t="n">
        <f aca="false">Motore_Advisory!AY147*(1-Ipotesi!$C$95)*Ipotesi!$C$96</f>
        <v>0</v>
      </c>
      <c r="BA147" s="15" t="n">
        <f aca="false">MAX(0,MIN(CG147*MIN(1,IF(Motore_Operativo!C147&gt;=EDATE(Finanziamenti!$D$15,Ipotesi!E14*12),Finanziamenti!$C$15,0)+IF(Motore_Operativo!C147&gt;=EDATE(Finanziamenti!$D$16,Ipotesi!E14*12),Finanziamenti!$C$16,0)+IF(Motore_Operativo!C147&gt;=EDATE(Finanziamenti!$D$17,Ipotesi!E14*12),Finanziamenti!$C$17,0)),CA147*Ipotesi!$C$102)-(CC146))</f>
        <v>0</v>
      </c>
      <c r="BB147" s="15" t="n">
        <f aca="false">IF(AND(CF147&gt;0,Motore_Operativo!C147&gt;=IF(CF147=0,0,EDATE(CF147,Parametri_v3!$C$37)),MOD(((D147-YEAR(IF(CF147=0,0,EDATE(CF147,Parametri_v3!$C$37))))*12+E147-MONTH(IF(CF147=0,0,EDATE(CF147,Parametri_v3!$C$37)))),Parametri_v3!$C$38)=0),MIN(MAX(0,(BC146)+BA147-N147),(CC147-CD147)/(Ipotesi!$C$108*12/Parametri_v3!$C$38)),0)</f>
        <v>0</v>
      </c>
      <c r="BC147" s="15" t="n">
        <f aca="false">(BC146)+BA147-N147-BB147</f>
        <v>58054.4315140748</v>
      </c>
      <c r="BD147" s="15" t="n">
        <f aca="false">(BH146)+AC147+AF147-AI147-AS147-K147*(1+Parametri_v3!$C$26)-AL147-AQ147-O147+AW147+AX147+AZ147+BA147-BB147</f>
        <v>2464.0879967396</v>
      </c>
      <c r="BE147" s="15" t="n">
        <f aca="false">MAX(0,MIN(MAX(0,CH147-(BG146)),Parametri_v3!$C$30-BD147))</f>
        <v>22535.9120032604</v>
      </c>
      <c r="BF147" s="15" t="n">
        <f aca="false">IF(Motore_Operativo!C147&gt;=Parametri_v3!$C$63,(BG146),MIN((BG146),MAX(0,BD147-Parametri_v3!$C$30)))</f>
        <v>0</v>
      </c>
      <c r="BG147" s="15" t="n">
        <f aca="false">(BG146)+BE147-BF147</f>
        <v>71006.8897624459</v>
      </c>
      <c r="BH147" s="15" t="n">
        <f aca="false">BD147+BE147-BF147-AY147</f>
        <v>25000</v>
      </c>
      <c r="BI147" s="15" t="n">
        <f aca="false">MAX(0,Parametri_v3!$C$30-BH147)</f>
        <v>0</v>
      </c>
      <c r="BJ147" s="15" t="n">
        <f aca="false">(BJ146)+K147</f>
        <v>42916.6666666667</v>
      </c>
      <c r="BK147" s="15" t="n">
        <f aca="false">(BK146)+L147</f>
        <v>13541.6666666667</v>
      </c>
      <c r="BL147" s="15" t="n">
        <f aca="false">BJ147-BK147</f>
        <v>29375</v>
      </c>
      <c r="BM147" s="15" t="n">
        <f aca="false">(BM146)+Y147</f>
        <v>-452993.102620352</v>
      </c>
      <c r="BN147" s="15" t="n">
        <f aca="false">(BN146)+AW147+AX147+AZ147</f>
        <v>430000</v>
      </c>
      <c r="BO147" s="15" t="n">
        <f aca="false">(BO146)+AY147</f>
        <v>0</v>
      </c>
      <c r="BP147" s="15" t="n">
        <f aca="false">0</f>
        <v>0</v>
      </c>
      <c r="BQ147" s="15" t="n">
        <f aca="false">BN147+BM147-BO147</f>
        <v>-22993.1026203518</v>
      </c>
      <c r="BR147" s="15" t="n">
        <f aca="false">BH147+AD147+BL147+MAX(0,-AM147)+MAX(0,-AR147)+AG147</f>
        <v>187968.97354978</v>
      </c>
      <c r="BS147" s="15" t="n">
        <f aca="false">AJ147+AV147+MAX(0,AM147)+MAX(0,AR147)+BC147+BG147+BQ147</f>
        <v>187968.97354978</v>
      </c>
      <c r="BT147" s="15" t="n">
        <f aca="false">BR147-BS147</f>
        <v>0</v>
      </c>
      <c r="BU147" s="15" t="n">
        <f aca="false">BH147-(BD147+BE147-BF147-AY147)</f>
        <v>0</v>
      </c>
      <c r="BV147" s="15" t="n">
        <f aca="false">MIN(Piano_SS!$C$6,(BV146)+IF(AND(Motore_Operativo!C147&gt;=EDATE(Parametri_v3!$C$24,Ipotesi!E14*12),Motore_Operativo!C147&lt;EDATE(Parametri_v3!$C$24,Parametri_v3!$C$25+Ipotesi!E14*12)),MAX(0,(Motore_Operativo!Y147+Motore_Operativo!X147*Parametri_v3!$C$14)*(1-Parametri_v3!$C$32))*Piano_SS!$D$6,0))</f>
        <v>163043.75</v>
      </c>
      <c r="BW147" s="15" t="n">
        <f aca="false">MIN(Piano_SS!$C$7,(BW146)+IF(AND(Motore_Operativo!C147&gt;=EDATE(Parametri_v3!$C$24,Ipotesi!E14*12),Motore_Operativo!C147&lt;EDATE(Parametri_v3!$C$24,Parametri_v3!$C$25+Ipotesi!E14*12)),MAX(0,(IF(23-(INT((Ipotesi!$C$91)/30))&lt;1,0,INDEX(Motore_Operativo!$BN$125:$BN$184,MAX(1,23-(INT((Ipotesi!$C$91)/30)))))*(1-(MOD((Ipotesi!$C$91),30)/30))+IF(23-(INT((Ipotesi!$C$91)/30))-1&lt;1,0,INDEX(Motore_Operativo!$BN$125:$BN$184,MAX(1,23-(INT((Ipotesi!$C$91)/30))-1)))*(MOD((Ipotesi!$C$91),30)/30)))*Piano_SS!$D$7,0))</f>
        <v>25750.1461930123</v>
      </c>
      <c r="BX147" s="15" t="n">
        <f aca="false">MIN(Piano_SS!$C$8,(BX146)+IF(AND(Motore_Operativo!C147&gt;=EDATE(Parametri_v3!$C$24,Ipotesi!E14*12),Motore_Operativo!C147&lt;EDATE(Parametri_v3!$C$24,Parametri_v3!$C$25+Ipotesi!E14*12)),MAX(0,Motore_Operativo!CE147)*Piano_SS!$D$8,0))</f>
        <v>32916.6666666667</v>
      </c>
      <c r="BY147" s="15" t="n">
        <f aca="false">MIN(Piano_SS!$C$9,(BY146)+IF(AND(Motore_Operativo!C147&gt;=EDATE(Parametri_v3!$C$24,Ipotesi!E14*12),Motore_Operativo!C147&lt;EDATE(Parametri_v3!$C$24,Parametri_v3!$C$25+Ipotesi!E14*12)),MAX(0,((IF(23-(INT((Ipotesi!$C$91)/30))&lt;1,0,INDEX(Motore_Operativo!$BQ$125:$BQ$184,MAX(1,23-(INT((Ipotesi!$C$91)/30)))))*(1-(MOD((Ipotesi!$C$91),30)/30))+IF(23-(INT((Ipotesi!$C$91)/30))-1&lt;1,0,INDEX(Motore_Operativo!$BQ$125:$BQ$184,MAX(1,23-(INT((Ipotesi!$C$91)/30))-1)))*(MOD((Ipotesi!$C$91),30)/30))+(IF(23-(INT((Ipotesi!$C$91)/30))&lt;1,0,INDEX(Motore_Operativo!$BR$125:$BR$184,MAX(1,23-(INT((Ipotesi!$C$91)/30)))))*(1-(MOD((Ipotesi!$C$91),30)/30))+IF(23-(INT((Ipotesi!$C$91)/30))-1&lt;1,0,INDEX(Motore_Operativo!$BR$125:$BR$184,MAX(1,23-(INT((Ipotesi!$C$91)/30))-1)))*(MOD((Ipotesi!$C$91),30)/30))))*Piano_SS!$D$9,0))</f>
        <v>40000</v>
      </c>
      <c r="BZ147" s="15" t="n">
        <f aca="false">MIN(Piano_SS!$C$10,(BZ146)+IF(AND(Motore_Operativo!C147&gt;=EDATE(Parametri_v3!$C$24,Ipotesi!E14*12),Motore_Operativo!C147&lt;EDATE(Parametri_v3!$C$24,Parametri_v3!$C$25+Ipotesi!E14*12)),MAX(0,(IF(23-(INT((Ipotesi!$C$91)/30))&lt;1,0,INDEX(Motore_Operativo!$BO$125:$BO$184,MAX(1,23-(INT((Ipotesi!$C$91)/30)))))*(1-(MOD((Ipotesi!$C$91),30)/30))+IF(23-(INT((Ipotesi!$C$91)/30))-1&lt;1,0,INDEX(Motore_Operativo!$BO$125:$BO$184,MAX(1,23-(INT((Ipotesi!$C$91)/30))-1)))*(MOD((Ipotesi!$C$91),30)/30)))*Piano_SS!$D$10,0))</f>
        <v>24500</v>
      </c>
      <c r="CA147" s="15" t="n">
        <f aca="false">SUM(BV147:BZ147)</f>
        <v>286210.562859679</v>
      </c>
      <c r="CB147" s="15" t="n">
        <f aca="false">BV147*(1-Piano_SS!$E$6)+BW147*(1-Piano_SS!$E$7)+BX147*(1-Piano_SS!$E$8)+BY147*(1-Piano_SS!$E$9)+BZ147*(1-Piano_SS!$E$10)</f>
        <v>261710.562859679</v>
      </c>
      <c r="CC147" s="15" t="n">
        <f aca="false">(CC146)+BA147</f>
        <v>80000</v>
      </c>
      <c r="CD147" s="15" t="n">
        <f aca="false">IF(CA147=0,0,CC147*CB147/CA147*Ipotesi!$C$103*Parametri_v3!$C$64)</f>
        <v>21945.5684859252</v>
      </c>
      <c r="CE147" s="18" t="n">
        <f aca="false">IF(BA147&gt;0,Motore_Operativo!C147,(CE146))</f>
        <v>46784</v>
      </c>
      <c r="CF147" s="18" t="n">
        <f aca="false">IF(AND(CC147&gt;0,OR(CC147&gt;=CG147-0.01,Motore_Operativo!C147&gt;=EDATE(MAX(Finanziamenti!$D$15:$D$17),Ipotesi!E14*12))),CE147,0)</f>
        <v>0</v>
      </c>
      <c r="CG147" s="15" t="n">
        <f aca="false">IF(AND(3&lt;&gt;6,3&lt;&gt;9,Finanziamenti!$F$11=1,OR(Parametri_v3!$C$6=0,Finanziamenti!$E$11=1)),MIN(Finanziamenti!$C$11,Piano_SS!$C$12*Ipotesi!$C$102),0)</f>
        <v>400000</v>
      </c>
      <c r="CH147" s="15" t="n">
        <f aca="false">IF(AND(AND(3&lt;&gt;8,3&lt;&gt;9,Finanziamenti!$F$10=1,OR(Parametri_v3!$C$6=0,Finanziamenti!$E$10=1)),Motore_Operativo!C147&gt;=Finanziamenti!$D$10,Motore_Operativo!C147&lt;Parametri_v3!$C$63),Finanziamenti!$C$10,0)</f>
        <v>150000</v>
      </c>
    </row>
    <row r="148" customFormat="false" ht="18" hidden="false" customHeight="true" outlineLevel="0" collapsed="false">
      <c r="A148" s="68" t="n">
        <f aca="false">3</f>
        <v>3</v>
      </c>
      <c r="B148" s="68" t="n">
        <f aca="false">24</f>
        <v>24</v>
      </c>
      <c r="C148" s="18" t="n">
        <f aca="false">Motore_Operativo!C148</f>
        <v>47088</v>
      </c>
      <c r="D148" s="68" t="n">
        <f aca="false">Motore_Operativo!D148</f>
        <v>2028</v>
      </c>
      <c r="E148" s="68" t="n">
        <f aca="false">Motore_Operativo!E148</f>
        <v>12</v>
      </c>
      <c r="F148" s="15" t="n">
        <f aca="false">Motore_Operativo!AQ148+Motore_Operativo!BF148</f>
        <v>37569.5739593663</v>
      </c>
      <c r="G148" s="15" t="n">
        <f aca="false">Motore_Operativo!BH148</f>
        <v>3398.1220657277</v>
      </c>
      <c r="H148" s="15" t="n">
        <f aca="false">Motore_Operativo!BI148</f>
        <v>40967.696025094</v>
      </c>
      <c r="I148" s="15" t="n">
        <f aca="false">Motore_Operativo!CA148</f>
        <v>58731.8506829498</v>
      </c>
      <c r="J148" s="15" t="n">
        <f aca="false">Motore_Operativo!CC148</f>
        <v>-17764.1546578558</v>
      </c>
      <c r="K148" s="15" t="n">
        <f aca="false">Motore_Operativo!CE148</f>
        <v>2083.33333333333</v>
      </c>
      <c r="L148" s="15" t="n">
        <f aca="false">SUM(INDEX($K$125:$K$184,MAX(1,24-Parametri_v3!$C$59+1)):K148)/Parametri_v3!$C$59</f>
        <v>1250</v>
      </c>
      <c r="M148" s="15" t="n">
        <f aca="false">J148-L148</f>
        <v>-19014.1546578558</v>
      </c>
      <c r="N148" s="15" t="n">
        <f aca="false">CD148-(CD147)</f>
        <v>44811.4417621498</v>
      </c>
      <c r="O148" s="15" t="n">
        <f aca="false">(BG147)*Ipotesi!$C$110/12+CH148*Parametri_v3!$C$39/12</f>
        <v>355.034448812229</v>
      </c>
      <c r="P148" s="15" t="n">
        <f aca="false">M148+N148-O148</f>
        <v>25442.2526554818</v>
      </c>
      <c r="Q148" s="15" t="n">
        <f aca="false">SUM(P137:P148)+Parametri_v3!$C$54*12/12</f>
        <v>-237270.99435293</v>
      </c>
      <c r="R148" s="15" t="n">
        <f aca="false">Z136</f>
        <v>190279.85561194</v>
      </c>
      <c r="S148" s="15" t="n">
        <f aca="false">AA136</f>
        <v>0</v>
      </c>
      <c r="T148" s="15" t="n">
        <f aca="false">MIN(R148,MAX(0,Q148))</f>
        <v>0</v>
      </c>
      <c r="U148" s="15" t="n">
        <f aca="false">MIN(S148,MAX(0,Q148-T148)*Parametri_v3!$C$42)</f>
        <v>0</v>
      </c>
      <c r="V148" s="15" t="n">
        <f aca="false">MAX(0,Q148-T148-U148)*Ipotesi!$C$92</f>
        <v>0</v>
      </c>
      <c r="W148" s="15" t="n">
        <f aca="false">MAX(0,SUM(M137:M148)+Parametri_v3!$C$55*12/12)*Ipotesi!$C$93</f>
        <v>0</v>
      </c>
      <c r="X148" s="15" t="n">
        <f aca="false">V148+W148-(V147+W147)</f>
        <v>0</v>
      </c>
      <c r="Y148" s="15" t="n">
        <f aca="false">P148-X148</f>
        <v>25442.2526554818</v>
      </c>
      <c r="Z148" s="15" t="n">
        <f aca="false">R148-T148+IF(AND(Parametri_v3!$C$40=1,D148-YEAR(Parametri_v3!$C$50)&lt;Parametri_v3!$C$41),MAX(0,-Q148),0)</f>
        <v>427550.84996487</v>
      </c>
      <c r="AA148" s="15" t="n">
        <f aca="false">S148-U148+IF(AND(Parametri_v3!$C$40=1,D148-YEAR(Parametri_v3!$C$50)&lt;Parametri_v3!$C$41),0,MAX(0,-Q148))</f>
        <v>0</v>
      </c>
      <c r="AB148" s="15" t="n">
        <f aca="false">F148*(1+Parametri_v3!$C$26)</f>
        <v>45834.8802304269</v>
      </c>
      <c r="AC148" s="15" t="n">
        <f aca="false">(IF(24-(INT((Motore_Operativo!L148)/30))&lt;1,0,INDEX(Motore_Startup!$AB$125:$AB$184,MAX(1,24-(INT((Motore_Operativo!L148)/30)))))*(1-(MOD((Motore_Operativo!L148),30)/30))+IF(24-(INT((Motore_Operativo!L148)/30))-1&lt;1,0,INDEX(Motore_Startup!$AB$125:$AB$184,MAX(1,24-(INT((Motore_Operativo!L148)/30))-1)))*(MOD((Motore_Operativo!L148),30)/30))</f>
        <v>41794.8685260383</v>
      </c>
      <c r="AD148" s="15" t="n">
        <f aca="false">(AD147)+AB148-AC148</f>
        <v>133488.276333981</v>
      </c>
      <c r="AE148" s="15" t="n">
        <f aca="false">Motore_Operativo!BH148*(1+Parametri_v3!$C$26)</f>
        <v>4145.70892018779</v>
      </c>
      <c r="AF148" s="15" t="n">
        <f aca="false">(IF(24-(INT((Parametri_v3!$C$29)/30))&lt;1,0,INDEX(Motore_Operativo!$BH$125:$BH$184,MAX(1,24-(INT((Parametri_v3!$C$29)/30)))))*(1-(MOD((Parametri_v3!$C$29),30)/30))+IF(24-(INT((Parametri_v3!$C$29)/30))-1&lt;1,0,INDEX(Motore_Operativo!$BH$125:$BH$184,MAX(1,24-(INT((Parametri_v3!$C$29)/30))-1)))*(MOD((Parametri_v3!$C$29),30)/30))*(1+Parametri_v3!$C$26)</f>
        <v>4145.70892018779</v>
      </c>
      <c r="AG148" s="15" t="n">
        <f aca="false">(AG147)+AE148-AF148</f>
        <v>4145.70892018779</v>
      </c>
      <c r="AH148" s="15" t="n">
        <f aca="false">(Motore_Operativo!CJ148)*(1+Parametri_v3!$C$27*Parametri_v3!$C$26)</f>
        <v>22516.6192606614</v>
      </c>
      <c r="AI148" s="15" t="n">
        <f aca="false">(IF(24-(INT((Ipotesi!$C$91)/30))&lt;1,0,INDEX(Motore_Startup!$AH$125:$AH$184,MAX(1,24-(INT((Ipotesi!$C$91)/30)))))*(1-(MOD((Ipotesi!$C$91),30)/30))+IF(24-(INT((Ipotesi!$C$91)/30))-1&lt;1,0,INDEX(Motore_Startup!$AH$125:$AH$184,MAX(1,24-(INT((Ipotesi!$C$91)/30))-1)))*(MOD((Ipotesi!$C$91),30)/30))</f>
        <v>22151.3637715499</v>
      </c>
      <c r="AJ148" s="15" t="n">
        <f aca="false">(AJ147)+AH148-AI148</f>
        <v>44851.4125113391</v>
      </c>
      <c r="AK148" s="15" t="n">
        <f aca="false">(F148+ Motore_Operativo!BH148-(Motore_Operativo!CJ148)*Parametri_v3!$C$27-Motore_Operativo!CE148)*Parametri_v3!$C$26</f>
        <v>5007.29121447574</v>
      </c>
      <c r="AL148" s="15" t="n">
        <f aca="false">MAX(0,(AM147))</f>
        <v>4795.2228713837</v>
      </c>
      <c r="AM148" s="15" t="n">
        <f aca="false">(AM147)+AK148-AL148</f>
        <v>5007.29121447574</v>
      </c>
      <c r="AN148" s="15" t="n">
        <f aca="false">SUM(X125:X136)</f>
        <v>0</v>
      </c>
      <c r="AO148" s="15" t="n">
        <f aca="false">SUM(AP125:AP136)</f>
        <v>0</v>
      </c>
      <c r="AP148" s="15" t="n">
        <f aca="false">MAX(0,AN148)*IF(12=Parametri_v3!$C$43,Parametri_v3!$C$45,IF(12=Parametri_v3!$C$44,1-Parametri_v3!$C$45,0))</f>
        <v>0</v>
      </c>
      <c r="AQ148" s="15" t="n">
        <f aca="false">MAX(0,AP148+IF(12=Parametri_v3!$C$43,MAX(0,AN148-AO148),0)-MAX(0,-(AR147)))</f>
        <v>0</v>
      </c>
      <c r="AR148" s="15" t="n">
        <f aca="false">(AR147)+X148-AQ148</f>
        <v>0</v>
      </c>
      <c r="AS148" s="15" t="n">
        <f aca="false">Motore_Operativo!AB148-AT148+AU148</f>
        <v>37774.375</v>
      </c>
      <c r="AT148" s="15" t="n">
        <f aca="false">Motore_Operativo!CH148</f>
        <v>1988.125</v>
      </c>
      <c r="AU148" s="15" t="n">
        <f aca="false">MIN(MAX(0,(AV147)+AT148),Parametri_v3!$C$60/12)</f>
        <v>0</v>
      </c>
      <c r="AV148" s="15" t="n">
        <f aca="false">(AV147)+AT148-AU148</f>
        <v>34607.5</v>
      </c>
      <c r="AW148" s="15" t="n">
        <f aca="false">IF(AND(Motore_Operativo!C148=Finanziamenti!$D$6,Finanziamenti!$F$6=1),Finanziamenti!$C$6,0)</f>
        <v>0</v>
      </c>
      <c r="AX148" s="15" t="n">
        <f aca="false">IF(AND(3&lt;&gt;7,3&lt;&gt;9,Finanziamenti!$F$8=1,OR(Parametri_v3!$C$6=0,Finanziamenti!$E$8=1),Motore_Operativo!C148=EDATE(Finanziamenti!$D$8,Ipotesi!E15*12)),Finanziamenti!$C$8*1,0)+IF(AND(3&lt;&gt;7,3&lt;&gt;9,Finanziamenti!$F$9=1,OR(Parametri_v3!$C$6=0,Finanziamenti!$E$9=1),Motore_Operativo!C148=EDATE(Finanziamenti!$D$9,Ipotesi!E15*12)),Finanziamenti!$C$9*Ipotesi!E16,0)</f>
        <v>0</v>
      </c>
      <c r="AY148" s="15" t="n">
        <f aca="false">0</f>
        <v>0</v>
      </c>
      <c r="AZ148" s="15" t="n">
        <f aca="false">Motore_Advisory!AY148*(1-Ipotesi!$C$95)*Ipotesi!$C$96</f>
        <v>0</v>
      </c>
      <c r="BA148" s="15" t="n">
        <f aca="false">MAX(0,MIN(CG148*MIN(1,IF(Motore_Operativo!C148&gt;=EDATE(Finanziamenti!$D$15,Ipotesi!E14*12),Finanziamenti!$C$15,0)+IF(Motore_Operativo!C148&gt;=EDATE(Finanziamenti!$D$16,Ipotesi!E14*12),Finanziamenti!$C$16,0)+IF(Motore_Operativo!C148&gt;=EDATE(Finanziamenti!$D$17,Ipotesi!E14*12),Finanziamenti!$C$17,0)),CA148*Ipotesi!$C$102)-(CC147))</f>
        <v>163590.03416025</v>
      </c>
      <c r="BB148" s="15" t="n">
        <f aca="false">IF(AND(CF148&gt;0,Motore_Operativo!C148&gt;=IF(CF148=0,0,EDATE(CF148,Parametri_v3!$C$37)),MOD(((D148-YEAR(IF(CF148=0,0,EDATE(CF148,Parametri_v3!$C$37))))*12+E148-MONTH(IF(CF148=0,0,EDATE(CF148,Parametri_v3!$C$37)))),Parametri_v3!$C$38)=0),MIN(MAX(0,(BC147)+BA148-N148),(CC148-CD148)/(Ipotesi!$C$108*12/Parametri_v3!$C$38)),0)</f>
        <v>0</v>
      </c>
      <c r="BC148" s="15" t="n">
        <f aca="false">(BC147)+BA148-N148-BB148</f>
        <v>176833.023912175</v>
      </c>
      <c r="BD148" s="15" t="n">
        <f aca="false">(BH147)+AC148+AF148-AI148-AS148-K148*(1+Parametri_v3!$C$26)-AL148-AQ148-O148+AW148+AX148+AZ148+BA148-BB148</f>
        <v>166912.948848064</v>
      </c>
      <c r="BE148" s="15" t="n">
        <f aca="false">MAX(0,MIN(MAX(0,CH148-(BG147)),Parametri_v3!$C$30-BD148))</f>
        <v>0</v>
      </c>
      <c r="BF148" s="15" t="n">
        <f aca="false">IF(Motore_Operativo!C148&gt;=Parametri_v3!$C$63,(BG147),MIN((BG147),MAX(0,BD148-Parametri_v3!$C$30)))</f>
        <v>71006.8897624459</v>
      </c>
      <c r="BG148" s="15" t="n">
        <f aca="false">(BG147)+BE148-BF148</f>
        <v>0</v>
      </c>
      <c r="BH148" s="15" t="n">
        <f aca="false">BD148+BE148-BF148-AY148</f>
        <v>95906.0590856177</v>
      </c>
      <c r="BI148" s="15" t="n">
        <f aca="false">MAX(0,Parametri_v3!$C$30-BH148)</f>
        <v>0</v>
      </c>
      <c r="BJ148" s="15" t="n">
        <f aca="false">(BJ147)+K148</f>
        <v>45000</v>
      </c>
      <c r="BK148" s="15" t="n">
        <f aca="false">(BK147)+L148</f>
        <v>14791.6666666667</v>
      </c>
      <c r="BL148" s="15" t="n">
        <f aca="false">BJ148-BK148</f>
        <v>30208.3333333333</v>
      </c>
      <c r="BM148" s="15" t="n">
        <f aca="false">(BM147)+Y148</f>
        <v>-427550.84996487</v>
      </c>
      <c r="BN148" s="15" t="n">
        <f aca="false">(BN147)+AW148+AX148+AZ148</f>
        <v>430000</v>
      </c>
      <c r="BO148" s="15" t="n">
        <f aca="false">(BO147)+AY148</f>
        <v>0</v>
      </c>
      <c r="BP148" s="15" t="n">
        <f aca="false">0</f>
        <v>0</v>
      </c>
      <c r="BQ148" s="15" t="n">
        <f aca="false">BN148+BM148-BO148</f>
        <v>2449.15003512992</v>
      </c>
      <c r="BR148" s="15" t="n">
        <f aca="false">BH148+AD148+BL148+MAX(0,-AM148)+MAX(0,-AR148)+AG148</f>
        <v>263748.37767312</v>
      </c>
      <c r="BS148" s="15" t="n">
        <f aca="false">AJ148+AV148+MAX(0,AM148)+MAX(0,AR148)+BC148+BG148+BQ148</f>
        <v>263748.37767312</v>
      </c>
      <c r="BT148" s="15" t="n">
        <f aca="false">BR148-BS148</f>
        <v>0</v>
      </c>
      <c r="BU148" s="15" t="n">
        <f aca="false">BH148-(BD148+BE148-BF148-AY148)</f>
        <v>0</v>
      </c>
      <c r="BV148" s="15" t="n">
        <f aca="false">MIN(Piano_SS!$C$6,(BV147)+IF(AND(Motore_Operativo!C148&gt;=EDATE(Parametri_v3!$C$24,Ipotesi!E14*12),Motore_Operativo!C148&lt;EDATE(Parametri_v3!$C$24,Parametri_v3!$C$25+Ipotesi!E14*12)),MAX(0,(Motore_Operativo!Y148+Motore_Operativo!X148*Parametri_v3!$C$14)*(1-Parametri_v3!$C$32))*Piano_SS!$D$6,0))</f>
        <v>175275</v>
      </c>
      <c r="BW148" s="15" t="n">
        <f aca="false">MIN(Piano_SS!$C$7,(BW147)+IF(AND(Motore_Operativo!C148&gt;=EDATE(Parametri_v3!$C$24,Ipotesi!E14*12),Motore_Operativo!C148&lt;EDATE(Parametri_v3!$C$24,Parametri_v3!$C$25+Ipotesi!E14*12)),MAX(0,(IF(24-(INT((Ipotesi!$C$91)/30))&lt;1,0,INDEX(Motore_Operativo!$BN$125:$BN$184,MAX(1,24-(INT((Ipotesi!$C$91)/30)))))*(1-(MOD((Ipotesi!$C$91),30)/30))+IF(24-(INT((Ipotesi!$C$91)/30))-1&lt;1,0,INDEX(Motore_Operativo!$BN$125:$BN$184,MAX(1,24-(INT((Ipotesi!$C$91)/30))-1)))*(MOD((Ipotesi!$C$91),30)/30)))*Piano_SS!$D$7,0))</f>
        <v>27879.2093669792</v>
      </c>
      <c r="BX148" s="15" t="n">
        <f aca="false">MIN(Piano_SS!$C$8,(BX147)+IF(AND(Motore_Operativo!C148&gt;=EDATE(Parametri_v3!$C$24,Ipotesi!E14*12),Motore_Operativo!C148&lt;EDATE(Parametri_v3!$C$24,Parametri_v3!$C$25+Ipotesi!E14*12)),MAX(0,Motore_Operativo!CE148)*Piano_SS!$D$8,0))</f>
        <v>35000</v>
      </c>
      <c r="BY148" s="15" t="n">
        <f aca="false">MIN(Piano_SS!$C$9,(BY147)+IF(AND(Motore_Operativo!C148&gt;=EDATE(Parametri_v3!$C$24,Ipotesi!E14*12),Motore_Operativo!C148&lt;EDATE(Parametri_v3!$C$24,Parametri_v3!$C$25+Ipotesi!E14*12)),MAX(0,((IF(24-(INT((Ipotesi!$C$91)/30))&lt;1,0,INDEX(Motore_Operativo!$BQ$125:$BQ$184,MAX(1,24-(INT((Ipotesi!$C$91)/30)))))*(1-(MOD((Ipotesi!$C$91),30)/30))+IF(24-(INT((Ipotesi!$C$91)/30))-1&lt;1,0,INDEX(Motore_Operativo!$BQ$125:$BQ$184,MAX(1,24-(INT((Ipotesi!$C$91)/30))-1)))*(MOD((Ipotesi!$C$91),30)/30))+(IF(24-(INT((Ipotesi!$C$91)/30))&lt;1,0,INDEX(Motore_Operativo!$BR$125:$BR$184,MAX(1,24-(INT((Ipotesi!$C$91)/30)))))*(1-(MOD((Ipotesi!$C$91),30)/30))+IF(24-(INT((Ipotesi!$C$91)/30))-1&lt;1,0,INDEX(Motore_Operativo!$BR$125:$BR$184,MAX(1,24-(INT((Ipotesi!$C$91)/30))-1)))*(MOD((Ipotesi!$C$91),30)/30))))*Piano_SS!$D$9,0))</f>
        <v>40000</v>
      </c>
      <c r="BZ148" s="15" t="n">
        <f aca="false">MIN(Piano_SS!$C$10,(BZ147)+IF(AND(Motore_Operativo!C148&gt;=EDATE(Parametri_v3!$C$24,Ipotesi!E14*12),Motore_Operativo!C148&lt;EDATE(Parametri_v3!$C$24,Parametri_v3!$C$25+Ipotesi!E14*12)),MAX(0,(IF(24-(INT((Ipotesi!$C$91)/30))&lt;1,0,INDEX(Motore_Operativo!$BO$125:$BO$184,MAX(1,24-(INT((Ipotesi!$C$91)/30)))))*(1-(MOD((Ipotesi!$C$91),30)/30))+IF(24-(INT((Ipotesi!$C$91)/30))-1&lt;1,0,INDEX(Motore_Operativo!$BO$125:$BO$184,MAX(1,24-(INT((Ipotesi!$C$91)/30))-1)))*(MOD((Ipotesi!$C$91),30)/30)))*Piano_SS!$D$10,0))</f>
        <v>26333.3333333333</v>
      </c>
      <c r="CA148" s="15" t="n">
        <f aca="false">SUM(BV148:BZ148)</f>
        <v>304487.542700313</v>
      </c>
      <c r="CB148" s="15" t="n">
        <f aca="false">BV148*(1-Piano_SS!$E$6)+BW148*(1-Piano_SS!$E$7)+BX148*(1-Piano_SS!$E$8)+BY148*(1-Piano_SS!$E$9)+BZ148*(1-Piano_SS!$E$10)</f>
        <v>278154.209366979</v>
      </c>
      <c r="CC148" s="15" t="n">
        <f aca="false">(CC147)+BA148</f>
        <v>243590.03416025</v>
      </c>
      <c r="CD148" s="15" t="n">
        <f aca="false">IF(CA148=0,0,CC148*CB148/CA148*Ipotesi!$C$103*Parametri_v3!$C$64)</f>
        <v>66757.010248075</v>
      </c>
      <c r="CE148" s="18" t="n">
        <f aca="false">IF(BA148&gt;0,Motore_Operativo!C148,(CE147))</f>
        <v>47088</v>
      </c>
      <c r="CF148" s="18" t="n">
        <f aca="false">IF(AND(CC148&gt;0,OR(CC148&gt;=CG148-0.01,Motore_Operativo!C148&gt;=EDATE(MAX(Finanziamenti!$D$15:$D$17),Ipotesi!E14*12))),CE148,0)</f>
        <v>0</v>
      </c>
      <c r="CG148" s="15" t="n">
        <f aca="false">IF(AND(3&lt;&gt;6,3&lt;&gt;9,Finanziamenti!$F$11=1,OR(Parametri_v3!$C$6=0,Finanziamenti!$E$11=1)),MIN(Finanziamenti!$C$11,Piano_SS!$C$12*Ipotesi!$C$102),0)</f>
        <v>400000</v>
      </c>
      <c r="CH148" s="15" t="n">
        <f aca="false">IF(AND(AND(3&lt;&gt;8,3&lt;&gt;9,Finanziamenti!$F$10=1,OR(Parametri_v3!$C$6=0,Finanziamenti!$E$10=1)),Motore_Operativo!C148&gt;=Finanziamenti!$D$10,Motore_Operativo!C148&lt;Parametri_v3!$C$63),Finanziamenti!$C$10,0)</f>
        <v>150000</v>
      </c>
    </row>
    <row r="149" customFormat="false" ht="18" hidden="false" customHeight="true" outlineLevel="0" collapsed="false">
      <c r="A149" s="68" t="n">
        <f aca="false">3</f>
        <v>3</v>
      </c>
      <c r="B149" s="68" t="n">
        <f aca="false">25</f>
        <v>25</v>
      </c>
      <c r="C149" s="18" t="n">
        <f aca="false">Motore_Operativo!C149</f>
        <v>47119</v>
      </c>
      <c r="D149" s="68" t="n">
        <f aca="false">Motore_Operativo!D149</f>
        <v>2029</v>
      </c>
      <c r="E149" s="68" t="n">
        <f aca="false">Motore_Operativo!E149</f>
        <v>1</v>
      </c>
      <c r="F149" s="15" t="n">
        <f aca="false">Motore_Operativo!AQ149+Motore_Operativo!BF149</f>
        <v>65492.4268622036</v>
      </c>
      <c r="G149" s="15" t="n">
        <f aca="false">Motore_Operativo!BH149</f>
        <v>6050</v>
      </c>
      <c r="H149" s="15" t="n">
        <f aca="false">Motore_Operativo!BI149</f>
        <v>71542.4268622036</v>
      </c>
      <c r="I149" s="15" t="n">
        <f aca="false">Motore_Operativo!CA149</f>
        <v>116140.606427375</v>
      </c>
      <c r="J149" s="15" t="n">
        <f aca="false">Motore_Operativo!CC149</f>
        <v>-44598.1795651716</v>
      </c>
      <c r="K149" s="15" t="n">
        <f aca="false">Motore_Operativo!CE149</f>
        <v>2500</v>
      </c>
      <c r="L149" s="15" t="n">
        <f aca="false">SUM(INDEX($K$125:$K$184,MAX(1,25-Parametri_v3!$C$59+1)):K149)/Parametri_v3!$C$59</f>
        <v>1319.44444444444</v>
      </c>
      <c r="M149" s="15" t="n">
        <f aca="false">J149-L149</f>
        <v>-45917.624009616</v>
      </c>
      <c r="N149" s="15" t="n">
        <f aca="false">CD149-(CD148)</f>
        <v>7078.51262118912</v>
      </c>
      <c r="O149" s="15" t="n">
        <f aca="false">(BG148)*Ipotesi!$C$110/12+CH149*Parametri_v3!$C$39/12</f>
        <v>0</v>
      </c>
      <c r="P149" s="15" t="n">
        <f aca="false">M149+N149-O149</f>
        <v>-38839.1113884269</v>
      </c>
      <c r="Q149" s="15" t="n">
        <f aca="false">SUM(P149)+Parametri_v3!$C$54*1/12</f>
        <v>-38839.1113884269</v>
      </c>
      <c r="R149" s="15" t="n">
        <f aca="false">Z148</f>
        <v>427550.84996487</v>
      </c>
      <c r="S149" s="15" t="n">
        <f aca="false">AA148</f>
        <v>0</v>
      </c>
      <c r="T149" s="15" t="n">
        <f aca="false">MIN(R149,MAX(0,Q149))</f>
        <v>0</v>
      </c>
      <c r="U149" s="15" t="n">
        <f aca="false">MIN(S149,MAX(0,Q149-T149)*Parametri_v3!$C$42)</f>
        <v>0</v>
      </c>
      <c r="V149" s="15" t="n">
        <f aca="false">MAX(0,Q149-T149-U149)*Ipotesi!$C$92</f>
        <v>0</v>
      </c>
      <c r="W149" s="15" t="n">
        <f aca="false">MAX(0,SUM(M149)+Parametri_v3!$C$55*1/12)*Ipotesi!$C$93</f>
        <v>0</v>
      </c>
      <c r="X149" s="15" t="n">
        <f aca="false">V149+W149-(0)</f>
        <v>0</v>
      </c>
      <c r="Y149" s="15" t="n">
        <f aca="false">P149-X149</f>
        <v>-38839.1113884269</v>
      </c>
      <c r="Z149" s="15" t="n">
        <f aca="false">R149-T149+IF(AND(Parametri_v3!$C$40=1,D149-YEAR(Parametri_v3!$C$50)&lt;Parametri_v3!$C$41),MAX(0,-Q149),0)</f>
        <v>466389.961353297</v>
      </c>
      <c r="AA149" s="15" t="n">
        <f aca="false">S149-U149+IF(AND(Parametri_v3!$C$40=1,D149-YEAR(Parametri_v3!$C$50)&lt;Parametri_v3!$C$41),0,MAX(0,-Q149))</f>
        <v>0</v>
      </c>
      <c r="AB149" s="15" t="n">
        <f aca="false">F149*(1+Parametri_v3!$C$26)</f>
        <v>79900.7607718883</v>
      </c>
      <c r="AC149" s="15" t="n">
        <f aca="false">(IF(25-(INT((Motore_Operativo!L149)/30))&lt;1,0,INDEX(Motore_Startup!$AB$125:$AB$184,MAX(1,25-(INT((Motore_Operativo!L149)/30)))))*(1-(MOD((Motore_Operativo!L149),30)/30))+IF(25-(INT((Motore_Operativo!L149)/30))-1&lt;1,0,INDEX(Motore_Startup!$AB$125:$AB$184,MAX(1,25-(INT((Motore_Operativo!L149)/30))-1)))*(MOD((Motore_Operativo!L149),30)/30))</f>
        <v>43153.3800696613</v>
      </c>
      <c r="AD149" s="15" t="n">
        <f aca="false">(AD148)+AB149-AC149</f>
        <v>170235.657036208</v>
      </c>
      <c r="AE149" s="15" t="n">
        <f aca="false">Motore_Operativo!BH149*(1+Parametri_v3!$C$26)</f>
        <v>7381</v>
      </c>
      <c r="AF149" s="15" t="n">
        <f aca="false">(IF(25-(INT((Parametri_v3!$C$29)/30))&lt;1,0,INDEX(Motore_Operativo!$BH$125:$BH$184,MAX(1,25-(INT((Parametri_v3!$C$29)/30)))))*(1-(MOD((Parametri_v3!$C$29),30)/30))+IF(25-(INT((Parametri_v3!$C$29)/30))-1&lt;1,0,INDEX(Motore_Operativo!$BH$125:$BH$184,MAX(1,25-(INT((Parametri_v3!$C$29)/30))-1)))*(MOD((Parametri_v3!$C$29),30)/30))*(1+Parametri_v3!$C$26)</f>
        <v>4145.70892018779</v>
      </c>
      <c r="AG149" s="15" t="n">
        <f aca="false">(AG148)+AE149-AF149</f>
        <v>7381</v>
      </c>
      <c r="AH149" s="15" t="n">
        <f aca="false">(Motore_Operativo!CJ149)*(1+Parametri_v3!$C$27*Parametri_v3!$C$26)</f>
        <v>49696.057495961</v>
      </c>
      <c r="AI149" s="15" t="n">
        <f aca="false">(IF(25-(INT((Ipotesi!$C$91)/30))&lt;1,0,INDEX(Motore_Startup!$AH$125:$AH$184,MAX(1,25-(INT((Ipotesi!$C$91)/30)))))*(1-(MOD((Ipotesi!$C$91),30)/30))+IF(25-(INT((Ipotesi!$C$91)/30))-1&lt;1,0,INDEX(Motore_Startup!$AH$125:$AH$184,MAX(1,25-(INT((Ipotesi!$C$91)/30))-1)))*(MOD((Ipotesi!$C$91),30)/30))</f>
        <v>22334.7932506777</v>
      </c>
      <c r="AJ149" s="15" t="n">
        <f aca="false">(AJ148)+AH149-AI149</f>
        <v>72212.6767566224</v>
      </c>
      <c r="AK149" s="15" t="n">
        <f aca="false">(F149+ Motore_Operativo!BH149-(Motore_Operativo!CJ149)*Parametri_v3!$C$27-Motore_Operativo!CE149)*Parametri_v3!$C$26</f>
        <v>7360.2161744323</v>
      </c>
      <c r="AL149" s="15" t="n">
        <f aca="false">MAX(0,(AM148))</f>
        <v>5007.29121447574</v>
      </c>
      <c r="AM149" s="15" t="n">
        <f aca="false">(AM148)+AK149-AL149</f>
        <v>7360.2161744323</v>
      </c>
      <c r="AN149" s="15" t="n">
        <f aca="false">SUM(X137:X148)</f>
        <v>0</v>
      </c>
      <c r="AO149" s="15" t="n">
        <f aca="false">SUM(AP137:AP148)</f>
        <v>0</v>
      </c>
      <c r="AP149" s="15" t="n">
        <f aca="false">MAX(0,AN149)*IF(1=Parametri_v3!$C$43,Parametri_v3!$C$45,IF(1=Parametri_v3!$C$44,1-Parametri_v3!$C$45,0))</f>
        <v>0</v>
      </c>
      <c r="AQ149" s="15" t="n">
        <f aca="false">MAX(0,AP149+IF(1=Parametri_v3!$C$43,MAX(0,AN149-AO149),0)-MAX(0,-(AR148)))</f>
        <v>0</v>
      </c>
      <c r="AR149" s="15" t="n">
        <f aca="false">(AR148)+X149-AQ149</f>
        <v>0</v>
      </c>
      <c r="AS149" s="15" t="n">
        <f aca="false">Motore_Operativo!AB149-AT149+AU149</f>
        <v>70559.9833333333</v>
      </c>
      <c r="AT149" s="15" t="n">
        <f aca="false">Motore_Operativo!CH149</f>
        <v>3713.68333333333</v>
      </c>
      <c r="AU149" s="15" t="n">
        <f aca="false">MIN(MAX(0,(AV148)+AT149),Parametri_v3!$C$60/12)</f>
        <v>0</v>
      </c>
      <c r="AV149" s="15" t="n">
        <f aca="false">(AV148)+AT149-AU149</f>
        <v>38321.1833333333</v>
      </c>
      <c r="AW149" s="15" t="n">
        <f aca="false">IF(AND(Motore_Operativo!C149=Finanziamenti!$D$6,Finanziamenti!$F$6=1),Finanziamenti!$C$6,0)</f>
        <v>0</v>
      </c>
      <c r="AX149" s="15" t="n">
        <f aca="false">IF(AND(3&lt;&gt;7,3&lt;&gt;9,Finanziamenti!$F$8=1,OR(Parametri_v3!$C$6=0,Finanziamenti!$E$8=1),Motore_Operativo!C149=EDATE(Finanziamenti!$D$8,Ipotesi!E15*12)),Finanziamenti!$C$8*1,0)+IF(AND(3&lt;&gt;7,3&lt;&gt;9,Finanziamenti!$F$9=1,OR(Parametri_v3!$C$6=0,Finanziamenti!$E$9=1),Motore_Operativo!C149=EDATE(Finanziamenti!$D$9,Ipotesi!E15*12)),Finanziamenti!$C$9*Ipotesi!E16,0)</f>
        <v>0</v>
      </c>
      <c r="AY149" s="15" t="n">
        <f aca="false">0</f>
        <v>0</v>
      </c>
      <c r="AZ149" s="15" t="n">
        <f aca="false">Motore_Advisory!AY149*(1-Ipotesi!$C$95)*Ipotesi!$C$96</f>
        <v>0</v>
      </c>
      <c r="BA149" s="15" t="n">
        <f aca="false">MAX(0,MIN(CG149*MIN(1,IF(Motore_Operativo!C149&gt;=EDATE(Finanziamenti!$D$15,Ipotesi!E14*12),Finanziamenti!$C$15,0)+IF(Motore_Operativo!C149&gt;=EDATE(Finanziamenti!$D$16,Ipotesi!E14*12),Finanziamenti!$C$16,0)+IF(Motore_Operativo!C149&gt;=EDATE(Finanziamenti!$D$17,Ipotesi!E14*12),Finanziamenti!$C$17,0)),CA149*Ipotesi!$C$102)-(CC148))</f>
        <v>25061.7087372971</v>
      </c>
      <c r="BB149" s="15" t="n">
        <f aca="false">IF(AND(CF149&gt;0,Motore_Operativo!C149&gt;=IF(CF149=0,0,EDATE(CF149,Parametri_v3!$C$37)),MOD(((D149-YEAR(IF(CF149=0,0,EDATE(CF149,Parametri_v3!$C$37))))*12+E149-MONTH(IF(CF149=0,0,EDATE(CF149,Parametri_v3!$C$37)))),Parametri_v3!$C$38)=0),MIN(MAX(0,(BC148)+BA149-N149),(CC149-CD149)/(Ipotesi!$C$108*12/Parametri_v3!$C$38)),0)</f>
        <v>0</v>
      </c>
      <c r="BC149" s="15" t="n">
        <f aca="false">(BC148)+BA149-N149-BB149</f>
        <v>194816.220028283</v>
      </c>
      <c r="BD149" s="15" t="n">
        <f aca="false">(BH148)+AC149+AF149-AI149-AS149-K149*(1+Parametri_v3!$C$26)-AL149-AQ149-O149+AW149+AX149+AZ149+BA149-BB149</f>
        <v>67314.7890142772</v>
      </c>
      <c r="BE149" s="15" t="n">
        <f aca="false">MAX(0,MIN(MAX(0,CH149-(BG148)),Parametri_v3!$C$30-BD149))</f>
        <v>0</v>
      </c>
      <c r="BF149" s="15" t="n">
        <f aca="false">IF(Motore_Operativo!C149&gt;=Parametri_v3!$C$63,(BG148),MIN((BG148),MAX(0,BD149-Parametri_v3!$C$30)))</f>
        <v>0</v>
      </c>
      <c r="BG149" s="15" t="n">
        <f aca="false">(BG148)+BE149-BF149</f>
        <v>0</v>
      </c>
      <c r="BH149" s="15" t="n">
        <f aca="false">BD149+BE149-BF149-AY149</f>
        <v>67314.7890142772</v>
      </c>
      <c r="BI149" s="15" t="n">
        <f aca="false">MAX(0,Parametri_v3!$C$30-BH149)</f>
        <v>0</v>
      </c>
      <c r="BJ149" s="15" t="n">
        <f aca="false">(BJ148)+K149</f>
        <v>47500</v>
      </c>
      <c r="BK149" s="15" t="n">
        <f aca="false">(BK148)+L149</f>
        <v>16111.1111111111</v>
      </c>
      <c r="BL149" s="15" t="n">
        <f aca="false">BJ149-BK149</f>
        <v>31388.8888888889</v>
      </c>
      <c r="BM149" s="15" t="n">
        <f aca="false">(BM148)+Y149</f>
        <v>-466389.961353297</v>
      </c>
      <c r="BN149" s="15" t="n">
        <f aca="false">(BN148)+AW149+AX149+AZ149</f>
        <v>430000</v>
      </c>
      <c r="BO149" s="15" t="n">
        <f aca="false">(BO148)+AY149</f>
        <v>0</v>
      </c>
      <c r="BP149" s="15" t="n">
        <f aca="false">0</f>
        <v>0</v>
      </c>
      <c r="BQ149" s="15" t="n">
        <f aca="false">BN149+BM149-BO149</f>
        <v>-36389.961353297</v>
      </c>
      <c r="BR149" s="15" t="n">
        <f aca="false">BH149+AD149+BL149+MAX(0,-AM149)+MAX(0,-AR149)+AG149</f>
        <v>276320.334939374</v>
      </c>
      <c r="BS149" s="15" t="n">
        <f aca="false">AJ149+AV149+MAX(0,AM149)+MAX(0,AR149)+BC149+BG149+BQ149</f>
        <v>276320.334939374</v>
      </c>
      <c r="BT149" s="15" t="n">
        <f aca="false">BR149-BS149</f>
        <v>0</v>
      </c>
      <c r="BU149" s="15" t="n">
        <f aca="false">BH149-(BD149+BE149-BF149-AY149)</f>
        <v>0</v>
      </c>
      <c r="BV149" s="15" t="n">
        <f aca="false">MIN(Piano_SS!$C$6,(BV148)+IF(AND(Motore_Operativo!C149&gt;=EDATE(Parametri_v3!$C$24,Ipotesi!E14*12),Motore_Operativo!C149&lt;EDATE(Parametri_v3!$C$24,Parametri_v3!$C$25+Ipotesi!E14*12)),MAX(0,(Motore_Operativo!Y149+Motore_Operativo!X149*Parametri_v3!$C$14)*(1-Parametri_v3!$C$32))*Piano_SS!$D$6,0))</f>
        <v>200051.435416667</v>
      </c>
      <c r="BW149" s="15" t="n">
        <f aca="false">MIN(Piano_SS!$C$7,(BW148)+IF(AND(Motore_Operativo!C149&gt;=EDATE(Parametri_v3!$C$24,Ipotesi!E14*12),Motore_Operativo!C149&lt;EDATE(Parametri_v3!$C$24,Parametri_v3!$C$25+Ipotesi!E14*12)),MAX(0,(IF(25-(INT((Ipotesi!$C$91)/30))&lt;1,0,INDEX(Motore_Operativo!$BN$125:$BN$184,MAX(1,25-(INT((Ipotesi!$C$91)/30)))))*(1-(MOD((Ipotesi!$C$91),30)/30))+IF(25-(INT((Ipotesi!$C$91)/30))-1&lt;1,0,INDEX(Motore_Operativo!$BN$125:$BN$184,MAX(1,25-(INT((Ipotesi!$C$91)/30))-1)))*(MOD((Ipotesi!$C$91),30)/30)))*Piano_SS!$D$7,0))</f>
        <v>30096.5765386005</v>
      </c>
      <c r="BX149" s="15" t="n">
        <f aca="false">MIN(Piano_SS!$C$8,(BX148)+IF(AND(Motore_Operativo!C149&gt;=EDATE(Parametri_v3!$C$24,Ipotesi!E14*12),Motore_Operativo!C149&lt;EDATE(Parametri_v3!$C$24,Parametri_v3!$C$25+Ipotesi!E14*12)),MAX(0,Motore_Operativo!CE149)*Piano_SS!$D$8,0))</f>
        <v>37500</v>
      </c>
      <c r="BY149" s="15" t="n">
        <f aca="false">MIN(Piano_SS!$C$9,(BY148)+IF(AND(Motore_Operativo!C149&gt;=EDATE(Parametri_v3!$C$24,Ipotesi!E14*12),Motore_Operativo!C149&lt;EDATE(Parametri_v3!$C$24,Parametri_v3!$C$25+Ipotesi!E14*12)),MAX(0,((IF(25-(INT((Ipotesi!$C$91)/30))&lt;1,0,INDEX(Motore_Operativo!$BQ$125:$BQ$184,MAX(1,25-(INT((Ipotesi!$C$91)/30)))))*(1-(MOD((Ipotesi!$C$91),30)/30))+IF(25-(INT((Ipotesi!$C$91)/30))-1&lt;1,0,INDEX(Motore_Operativo!$BQ$125:$BQ$184,MAX(1,25-(INT((Ipotesi!$C$91)/30))-1)))*(MOD((Ipotesi!$C$91),30)/30))+(IF(25-(INT((Ipotesi!$C$91)/30))&lt;1,0,INDEX(Motore_Operativo!$BR$125:$BR$184,MAX(1,25-(INT((Ipotesi!$C$91)/30)))))*(1-(MOD((Ipotesi!$C$91),30)/30))+IF(25-(INT((Ipotesi!$C$91)/30))-1&lt;1,0,INDEX(Motore_Operativo!$BR$125:$BR$184,MAX(1,25-(INT((Ipotesi!$C$91)/30))-1)))*(MOD((Ipotesi!$C$91),30)/30))))*Piano_SS!$D$9,0))</f>
        <v>40000</v>
      </c>
      <c r="BZ149" s="15" t="n">
        <f aca="false">MIN(Piano_SS!$C$10,(BZ148)+IF(AND(Motore_Operativo!C149&gt;=EDATE(Parametri_v3!$C$24,Ipotesi!E14*12),Motore_Operativo!C149&lt;EDATE(Parametri_v3!$C$24,Parametri_v3!$C$25+Ipotesi!E14*12)),MAX(0,(IF(25-(INT((Ipotesi!$C$91)/30))&lt;1,0,INDEX(Motore_Operativo!$BO$125:$BO$184,MAX(1,25-(INT((Ipotesi!$C$91)/30)))))*(1-(MOD((Ipotesi!$C$91),30)/30))+IF(25-(INT((Ipotesi!$C$91)/30))-1&lt;1,0,INDEX(Motore_Operativo!$BO$125:$BO$184,MAX(1,25-(INT((Ipotesi!$C$91)/30))-1)))*(MOD((Ipotesi!$C$91),30)/30)))*Piano_SS!$D$10,0))</f>
        <v>28166.6666666667</v>
      </c>
      <c r="CA149" s="15" t="n">
        <f aca="false">SUM(BV149:BZ149)</f>
        <v>335814.678621934</v>
      </c>
      <c r="CB149" s="15" t="n">
        <f aca="false">BV149*(1-Piano_SS!$E$6)+BW149*(1-Piano_SS!$E$7)+BX149*(1-Piano_SS!$E$8)+BY149*(1-Piano_SS!$E$9)+BZ149*(1-Piano_SS!$E$10)</f>
        <v>307648.011955267</v>
      </c>
      <c r="CC149" s="15" t="n">
        <f aca="false">(CC148)+BA149</f>
        <v>268651.742897547</v>
      </c>
      <c r="CD149" s="15" t="n">
        <f aca="false">IF(CA149=0,0,CC149*CB149/CA149*Ipotesi!$C$103*Parametri_v3!$C$64)</f>
        <v>73835.5228692641</v>
      </c>
      <c r="CE149" s="18" t="n">
        <f aca="false">IF(BA149&gt;0,Motore_Operativo!C149,(CE148))</f>
        <v>47119</v>
      </c>
      <c r="CF149" s="18" t="n">
        <f aca="false">IF(AND(CC149&gt;0,OR(CC149&gt;=CG149-0.01,Motore_Operativo!C149&gt;=EDATE(MAX(Finanziamenti!$D$15:$D$17),Ipotesi!E14*12))),CE149,0)</f>
        <v>0</v>
      </c>
      <c r="CG149" s="15" t="n">
        <f aca="false">IF(AND(3&lt;&gt;6,3&lt;&gt;9,Finanziamenti!$F$11=1,OR(Parametri_v3!$C$6=0,Finanziamenti!$E$11=1)),MIN(Finanziamenti!$C$11,Piano_SS!$C$12*Ipotesi!$C$102),0)</f>
        <v>400000</v>
      </c>
      <c r="CH149" s="15" t="n">
        <f aca="false">IF(AND(AND(3&lt;&gt;8,3&lt;&gt;9,Finanziamenti!$F$10=1,OR(Parametri_v3!$C$6=0,Finanziamenti!$E$10=1)),Motore_Operativo!C149&gt;=Finanziamenti!$D$10,Motore_Operativo!C149&lt;Parametri_v3!$C$63),Finanziamenti!$C$10,0)</f>
        <v>150000</v>
      </c>
    </row>
    <row r="150" customFormat="false" ht="18" hidden="false" customHeight="true" outlineLevel="0" collapsed="false">
      <c r="A150" s="68" t="n">
        <f aca="false">3</f>
        <v>3</v>
      </c>
      <c r="B150" s="68" t="n">
        <f aca="false">26</f>
        <v>26</v>
      </c>
      <c r="C150" s="18" t="n">
        <f aca="false">Motore_Operativo!C150</f>
        <v>47150</v>
      </c>
      <c r="D150" s="68" t="n">
        <f aca="false">Motore_Operativo!D150</f>
        <v>2029</v>
      </c>
      <c r="E150" s="68" t="n">
        <f aca="false">Motore_Operativo!E150</f>
        <v>2</v>
      </c>
      <c r="F150" s="15" t="n">
        <f aca="false">Motore_Operativo!AQ150+Motore_Operativo!BF150</f>
        <v>66313.6606145634</v>
      </c>
      <c r="G150" s="15" t="n">
        <f aca="false">Motore_Operativo!BH150</f>
        <v>6050</v>
      </c>
      <c r="H150" s="15" t="n">
        <f aca="false">Motore_Operativo!BI150</f>
        <v>72363.6606145634</v>
      </c>
      <c r="I150" s="15" t="n">
        <f aca="false">Motore_Operativo!CA150</f>
        <v>116255.579152706</v>
      </c>
      <c r="J150" s="15" t="n">
        <f aca="false">Motore_Operativo!CC150</f>
        <v>-43891.9185381422</v>
      </c>
      <c r="K150" s="15" t="n">
        <f aca="false">Motore_Operativo!CE150</f>
        <v>2500</v>
      </c>
      <c r="L150" s="15" t="n">
        <f aca="false">SUM(INDEX($K$125:$K$184,MAX(1,26-Parametri_v3!$C$59+1)):K150)/Parametri_v3!$C$59</f>
        <v>1388.88888888889</v>
      </c>
      <c r="M150" s="15" t="n">
        <f aca="false">J150-L150</f>
        <v>-45280.8074270311</v>
      </c>
      <c r="N150" s="15" t="n">
        <f aca="false">CD150-(CD149)</f>
        <v>3302.28045941757</v>
      </c>
      <c r="O150" s="15" t="n">
        <f aca="false">(BG149)*Ipotesi!$C$110/12+CH150*Parametri_v3!$C$39/12</f>
        <v>0</v>
      </c>
      <c r="P150" s="15" t="n">
        <f aca="false">M150+N150-O150</f>
        <v>-41978.5269676135</v>
      </c>
      <c r="Q150" s="15" t="n">
        <f aca="false">SUM(P149:P150)+Parametri_v3!$C$54*2/12</f>
        <v>-80817.6383560404</v>
      </c>
      <c r="R150" s="15" t="n">
        <f aca="false">Z148</f>
        <v>427550.84996487</v>
      </c>
      <c r="S150" s="15" t="n">
        <f aca="false">AA148</f>
        <v>0</v>
      </c>
      <c r="T150" s="15" t="n">
        <f aca="false">MIN(R150,MAX(0,Q150))</f>
        <v>0</v>
      </c>
      <c r="U150" s="15" t="n">
        <f aca="false">MIN(S150,MAX(0,Q150-T150)*Parametri_v3!$C$42)</f>
        <v>0</v>
      </c>
      <c r="V150" s="15" t="n">
        <f aca="false">MAX(0,Q150-T150-U150)*Ipotesi!$C$92</f>
        <v>0</v>
      </c>
      <c r="W150" s="15" t="n">
        <f aca="false">MAX(0,SUM(M149:M150)+Parametri_v3!$C$55*2/12)*Ipotesi!$C$93</f>
        <v>0</v>
      </c>
      <c r="X150" s="15" t="n">
        <f aca="false">V150+W150-(V149+W149)</f>
        <v>0</v>
      </c>
      <c r="Y150" s="15" t="n">
        <f aca="false">P150-X150</f>
        <v>-41978.5269676135</v>
      </c>
      <c r="Z150" s="15" t="n">
        <f aca="false">R150-T150+IF(AND(Parametri_v3!$C$40=1,D150-YEAR(Parametri_v3!$C$50)&lt;Parametri_v3!$C$41),MAX(0,-Q150),0)</f>
        <v>508368.488320911</v>
      </c>
      <c r="AA150" s="15" t="n">
        <f aca="false">S150-U150+IF(AND(Parametri_v3!$C$40=1,D150-YEAR(Parametri_v3!$C$50)&lt;Parametri_v3!$C$41),0,MAX(0,-Q150))</f>
        <v>0</v>
      </c>
      <c r="AB150" s="15" t="n">
        <f aca="false">F150*(1+Parametri_v3!$C$26)</f>
        <v>80902.6659497673</v>
      </c>
      <c r="AC150" s="15" t="n">
        <f aca="false">(IF(26-(INT((Motore_Operativo!L150)/30))&lt;1,0,INDEX(Motore_Startup!$AB$125:$AB$184,MAX(1,26-(INT((Motore_Operativo!L150)/30)))))*(1-(MOD((Motore_Operativo!L150),30)/30))+IF(26-(INT((Motore_Operativo!L150)/30))-1&lt;1,0,INDEX(Motore_Startup!$AB$125:$AB$184,MAX(1,26-(INT((Motore_Operativo!L150)/30))-1)))*(MOD((Motore_Operativo!L150),30)/30))</f>
        <v>44500.0160338926</v>
      </c>
      <c r="AD150" s="15" t="n">
        <f aca="false">(AD149)+AB150-AC150</f>
        <v>206638.306952083</v>
      </c>
      <c r="AE150" s="15" t="n">
        <f aca="false">Motore_Operativo!BH150*(1+Parametri_v3!$C$26)</f>
        <v>7381</v>
      </c>
      <c r="AF150" s="15" t="n">
        <f aca="false">(IF(26-(INT((Parametri_v3!$C$29)/30))&lt;1,0,INDEX(Motore_Operativo!$BH$125:$BH$184,MAX(1,26-(INT((Parametri_v3!$C$29)/30)))))*(1-(MOD((Parametri_v3!$C$29),30)/30))+IF(26-(INT((Parametri_v3!$C$29)/30))-1&lt;1,0,INDEX(Motore_Operativo!$BH$125:$BH$184,MAX(1,26-(INT((Parametri_v3!$C$29)/30))-1)))*(MOD((Parametri_v3!$C$29),30)/30))*(1+Parametri_v3!$C$26)</f>
        <v>7381</v>
      </c>
      <c r="AG150" s="15" t="n">
        <f aca="false">(AG149)+AE150-AF150</f>
        <v>7381</v>
      </c>
      <c r="AH150" s="15" t="n">
        <f aca="false">(Motore_Operativo!CJ150)*(1+Parametri_v3!$C$27*Parametri_v3!$C$26)</f>
        <v>49832.5301209282</v>
      </c>
      <c r="AI150" s="15" t="n">
        <f aca="false">(IF(26-(INT((Ipotesi!$C$91)/30))&lt;1,0,INDEX(Motore_Startup!$AH$125:$AH$184,MAX(1,26-(INT((Ipotesi!$C$91)/30)))))*(1-(MOD((Ipotesi!$C$91),30)/30))+IF(26-(INT((Ipotesi!$C$91)/30))-1&lt;1,0,INDEX(Motore_Startup!$AH$125:$AH$184,MAX(1,26-(INT((Ipotesi!$C$91)/30))-1)))*(MOD((Ipotesi!$C$91),30)/30))</f>
        <v>22516.6192606614</v>
      </c>
      <c r="AJ150" s="15" t="n">
        <f aca="false">(AJ149)+AH150-AI150</f>
        <v>99528.5876168891</v>
      </c>
      <c r="AK150" s="15" t="n">
        <f aca="false">(F150+ Motore_Operativo!BH150-(Motore_Operativo!CJ150)*Parametri_v3!$C$27-Motore_Operativo!CE150)*Parametri_v3!$C$26</f>
        <v>7519.38770031467</v>
      </c>
      <c r="AL150" s="15" t="n">
        <f aca="false">MAX(0,(AM149))</f>
        <v>7360.2161744323</v>
      </c>
      <c r="AM150" s="15" t="n">
        <f aca="false">(AM149)+AK150-AL150</f>
        <v>7519.38770031467</v>
      </c>
      <c r="AN150" s="15" t="n">
        <f aca="false">SUM(X137:X148)</f>
        <v>0</v>
      </c>
      <c r="AO150" s="15" t="n">
        <f aca="false">SUM(AP137:AP148)</f>
        <v>0</v>
      </c>
      <c r="AP150" s="15" t="n">
        <f aca="false">MAX(0,AN150)*IF(2=Parametri_v3!$C$43,Parametri_v3!$C$45,IF(2=Parametri_v3!$C$44,1-Parametri_v3!$C$45,0))</f>
        <v>0</v>
      </c>
      <c r="AQ150" s="15" t="n">
        <f aca="false">MAX(0,AP150+IF(2=Parametri_v3!$C$43,MAX(0,AN150-AO150),0)-MAX(0,-(AR149)))</f>
        <v>0</v>
      </c>
      <c r="AR150" s="15" t="n">
        <f aca="false">(AR149)+X150-AQ150</f>
        <v>0</v>
      </c>
      <c r="AS150" s="15" t="n">
        <f aca="false">Motore_Operativo!AB150-AT150+AU150</f>
        <v>70559.9833333333</v>
      </c>
      <c r="AT150" s="15" t="n">
        <f aca="false">Motore_Operativo!CH150</f>
        <v>3713.68333333333</v>
      </c>
      <c r="AU150" s="15" t="n">
        <f aca="false">MIN(MAX(0,(AV149)+AT150),Parametri_v3!$C$60/12)</f>
        <v>0</v>
      </c>
      <c r="AV150" s="15" t="n">
        <f aca="false">(AV149)+AT150-AU150</f>
        <v>42034.8666666667</v>
      </c>
      <c r="AW150" s="15" t="n">
        <f aca="false">IF(AND(Motore_Operativo!C150=Finanziamenti!$D$6,Finanziamenti!$F$6=1),Finanziamenti!$C$6,0)</f>
        <v>0</v>
      </c>
      <c r="AX150" s="15" t="n">
        <f aca="false">IF(AND(3&lt;&gt;7,3&lt;&gt;9,Finanziamenti!$F$8=1,OR(Parametri_v3!$C$6=0,Finanziamenti!$E$8=1),Motore_Operativo!C150=EDATE(Finanziamenti!$D$8,Ipotesi!E15*12)),Finanziamenti!$C$8*1,0)+IF(AND(3&lt;&gt;7,3&lt;&gt;9,Finanziamenti!$F$9=1,OR(Parametri_v3!$C$6=0,Finanziamenti!$E$9=1),Motore_Operativo!C150=EDATE(Finanziamenti!$D$9,Ipotesi!E15*12)),Finanziamenti!$C$9*Ipotesi!E16,0)</f>
        <v>0</v>
      </c>
      <c r="AY150" s="15" t="n">
        <f aca="false">0</f>
        <v>0</v>
      </c>
      <c r="AZ150" s="15" t="n">
        <f aca="false">Motore_Advisory!AY150*(1-Ipotesi!$C$95)*Ipotesi!$C$96</f>
        <v>0</v>
      </c>
      <c r="BA150" s="15" t="n">
        <f aca="false">MAX(0,MIN(CG150*MIN(1,IF(Motore_Operativo!C150&gt;=EDATE(Finanziamenti!$D$15,Ipotesi!E14*12),Finanziamenti!$C$15,0)+IF(Motore_Operativo!C150&gt;=EDATE(Finanziamenti!$D$16,Ipotesi!E14*12),Finanziamenti!$C$16,0)+IF(Motore_Operativo!C150&gt;=EDATE(Finanziamenti!$D$17,Ipotesi!E14*12),Finanziamenti!$C$17,0)),CA150*Ipotesi!$C$102)-(CC149))</f>
        <v>11348.2571024529</v>
      </c>
      <c r="BB150" s="15" t="n">
        <f aca="false">IF(AND(CF150&gt;0,Motore_Operativo!C150&gt;=IF(CF150=0,0,EDATE(CF150,Parametri_v3!$C$37)),MOD(((D150-YEAR(IF(CF150=0,0,EDATE(CF150,Parametri_v3!$C$37))))*12+E150-MONTH(IF(CF150=0,0,EDATE(CF150,Parametri_v3!$C$37)))),Parametri_v3!$C$38)=0),MIN(MAX(0,(BC149)+BA150-N150),(CC150-CD150)/(Ipotesi!$C$108*12/Parametri_v3!$C$38)),0)</f>
        <v>0</v>
      </c>
      <c r="BC150" s="15" t="n">
        <f aca="false">(BC149)+BA150-N150-BB150</f>
        <v>202862.196671318</v>
      </c>
      <c r="BD150" s="15" t="n">
        <f aca="false">(BH149)+AC150+AF150-AI150-AS150-K150*(1+Parametri_v3!$C$26)-AL150-AQ150-O150+AW150+AX150+AZ150+BA150-BB150</f>
        <v>27057.2433821956</v>
      </c>
      <c r="BE150" s="15" t="n">
        <f aca="false">MAX(0,MIN(MAX(0,CH150-(BG149)),Parametri_v3!$C$30-BD150))</f>
        <v>0</v>
      </c>
      <c r="BF150" s="15" t="n">
        <f aca="false">IF(Motore_Operativo!C150&gt;=Parametri_v3!$C$63,(BG149),MIN((BG149),MAX(0,BD150-Parametri_v3!$C$30)))</f>
        <v>0</v>
      </c>
      <c r="BG150" s="15" t="n">
        <f aca="false">(BG149)+BE150-BF150</f>
        <v>0</v>
      </c>
      <c r="BH150" s="15" t="n">
        <f aca="false">BD150+BE150-BF150-AY150</f>
        <v>27057.2433821956</v>
      </c>
      <c r="BI150" s="15" t="n">
        <f aca="false">MAX(0,Parametri_v3!$C$30-BH150)</f>
        <v>0</v>
      </c>
      <c r="BJ150" s="15" t="n">
        <f aca="false">(BJ149)+K150</f>
        <v>50000</v>
      </c>
      <c r="BK150" s="15" t="n">
        <f aca="false">(BK149)+L150</f>
        <v>17500</v>
      </c>
      <c r="BL150" s="15" t="n">
        <f aca="false">BJ150-BK150</f>
        <v>32500</v>
      </c>
      <c r="BM150" s="15" t="n">
        <f aca="false">(BM149)+Y150</f>
        <v>-508368.488320911</v>
      </c>
      <c r="BN150" s="15" t="n">
        <f aca="false">(BN149)+AW150+AX150+AZ150</f>
        <v>430000</v>
      </c>
      <c r="BO150" s="15" t="n">
        <f aca="false">(BO149)+AY150</f>
        <v>0</v>
      </c>
      <c r="BP150" s="15" t="n">
        <f aca="false">0</f>
        <v>0</v>
      </c>
      <c r="BQ150" s="15" t="n">
        <f aca="false">BN150+BM150-BO150</f>
        <v>-78368.4883209105</v>
      </c>
      <c r="BR150" s="15" t="n">
        <f aca="false">BH150+AD150+BL150+MAX(0,-AM150)+MAX(0,-AR150)+AG150</f>
        <v>273576.550334278</v>
      </c>
      <c r="BS150" s="15" t="n">
        <f aca="false">AJ150+AV150+MAX(0,AM150)+MAX(0,AR150)+BC150+BG150+BQ150</f>
        <v>273576.550334278</v>
      </c>
      <c r="BT150" s="15" t="n">
        <f aca="false">BR150-BS150</f>
        <v>0</v>
      </c>
      <c r="BU150" s="15" t="n">
        <f aca="false">BH150-(BD150+BE150-BF150-AY150)</f>
        <v>0</v>
      </c>
      <c r="BV150" s="15" t="n">
        <f aca="false">MIN(Piano_SS!$C$6,(BV149)+IF(AND(Motore_Operativo!C150&gt;=EDATE(Parametri_v3!$C$24,Ipotesi!E14*12),Motore_Operativo!C150&lt;EDATE(Parametri_v3!$C$24,Parametri_v3!$C$25+Ipotesi!E14*12)),MAX(0,(Motore_Operativo!Y150+Motore_Operativo!X150*Parametri_v3!$C$14)*(1-Parametri_v3!$C$32))*Piano_SS!$D$6,0))</f>
        <v>224827.870833333</v>
      </c>
      <c r="BW150" s="15" t="n">
        <f aca="false">MIN(Piano_SS!$C$7,(BW149)+IF(AND(Motore_Operativo!C150&gt;=EDATE(Parametri_v3!$C$24,Ipotesi!E14*12),Motore_Operativo!C150&lt;EDATE(Parametri_v3!$C$24,Parametri_v3!$C$25+Ipotesi!E14*12)),MAX(0,(IF(26-(INT((Ipotesi!$C$91)/30))&lt;1,0,INDEX(Motore_Operativo!$BN$125:$BN$184,MAX(1,26-(INT((Ipotesi!$C$91)/30)))))*(1-(MOD((Ipotesi!$C$91),30)/30))+IF(26-(INT((Ipotesi!$C$91)/30))-1&lt;1,0,INDEX(Motore_Operativo!$BN$125:$BN$184,MAX(1,26-(INT((Ipotesi!$C$91)/30))-1)))*(MOD((Ipotesi!$C$91),30)/30)))*Piano_SS!$D$7,0))</f>
        <v>32401.4757886832</v>
      </c>
      <c r="BX150" s="15" t="n">
        <f aca="false">MIN(Piano_SS!$C$8,(BX149)+IF(AND(Motore_Operativo!C150&gt;=EDATE(Parametri_v3!$C$24,Ipotesi!E14*12),Motore_Operativo!C150&lt;EDATE(Parametri_v3!$C$24,Parametri_v3!$C$25+Ipotesi!E14*12)),MAX(0,Motore_Operativo!CE150)*Piano_SS!$D$8,0))</f>
        <v>40000</v>
      </c>
      <c r="BY150" s="15" t="n">
        <f aca="false">MIN(Piano_SS!$C$9,(BY149)+IF(AND(Motore_Operativo!C150&gt;=EDATE(Parametri_v3!$C$24,Ipotesi!E14*12),Motore_Operativo!C150&lt;EDATE(Parametri_v3!$C$24,Parametri_v3!$C$25+Ipotesi!E14*12)),MAX(0,((IF(26-(INT((Ipotesi!$C$91)/30))&lt;1,0,INDEX(Motore_Operativo!$BQ$125:$BQ$184,MAX(1,26-(INT((Ipotesi!$C$91)/30)))))*(1-(MOD((Ipotesi!$C$91),30)/30))+IF(26-(INT((Ipotesi!$C$91)/30))-1&lt;1,0,INDEX(Motore_Operativo!$BQ$125:$BQ$184,MAX(1,26-(INT((Ipotesi!$C$91)/30))-1)))*(MOD((Ipotesi!$C$91),30)/30))+(IF(26-(INT((Ipotesi!$C$91)/30))&lt;1,0,INDEX(Motore_Operativo!$BR$125:$BR$184,MAX(1,26-(INT((Ipotesi!$C$91)/30)))))*(1-(MOD((Ipotesi!$C$91),30)/30))+IF(26-(INT((Ipotesi!$C$91)/30))-1&lt;1,0,INDEX(Motore_Operativo!$BR$125:$BR$184,MAX(1,26-(INT((Ipotesi!$C$91)/30))-1)))*(MOD((Ipotesi!$C$91),30)/30))))*Piano_SS!$D$9,0))</f>
        <v>40000</v>
      </c>
      <c r="BZ150" s="15" t="n">
        <f aca="false">MIN(Piano_SS!$C$10,(BZ149)+IF(AND(Motore_Operativo!C150&gt;=EDATE(Parametri_v3!$C$24,Ipotesi!E14*12),Motore_Operativo!C150&lt;EDATE(Parametri_v3!$C$24,Parametri_v3!$C$25+Ipotesi!E14*12)),MAX(0,(IF(26-(INT((Ipotesi!$C$91)/30))&lt;1,0,INDEX(Motore_Operativo!$BO$125:$BO$184,MAX(1,26-(INT((Ipotesi!$C$91)/30)))))*(1-(MOD((Ipotesi!$C$91),30)/30))+IF(26-(INT((Ipotesi!$C$91)/30))-1&lt;1,0,INDEX(Motore_Operativo!$BO$125:$BO$184,MAX(1,26-(INT((Ipotesi!$C$91)/30))-1)))*(MOD((Ipotesi!$C$91),30)/30)))*Piano_SS!$D$10,0))</f>
        <v>30000</v>
      </c>
      <c r="CA150" s="15" t="n">
        <f aca="false">SUM(BV150:BZ150)</f>
        <v>367229.346622017</v>
      </c>
      <c r="CB150" s="15" t="n">
        <f aca="false">BV150*(1-Piano_SS!$E$6)+BW150*(1-Piano_SS!$E$7)+BX150*(1-Piano_SS!$E$8)+BY150*(1-Piano_SS!$E$9)+BZ150*(1-Piano_SS!$E$10)</f>
        <v>337229.346622017</v>
      </c>
      <c r="CC150" s="15" t="n">
        <f aca="false">(CC149)+BA150</f>
        <v>280000</v>
      </c>
      <c r="CD150" s="15" t="n">
        <f aca="false">IF(CA150=0,0,CC150*CB150/CA150*Ipotesi!$C$103*Parametri_v3!$C$64)</f>
        <v>77137.8033286817</v>
      </c>
      <c r="CE150" s="18" t="n">
        <f aca="false">IF(BA150&gt;0,Motore_Operativo!C150,(CE149))</f>
        <v>47150</v>
      </c>
      <c r="CF150" s="18" t="n">
        <f aca="false">IF(AND(CC150&gt;0,OR(CC150&gt;=CG150-0.01,Motore_Operativo!C150&gt;=EDATE(MAX(Finanziamenti!$D$15:$D$17),Ipotesi!E14*12))),CE150,0)</f>
        <v>0</v>
      </c>
      <c r="CG150" s="15" t="n">
        <f aca="false">IF(AND(3&lt;&gt;6,3&lt;&gt;9,Finanziamenti!$F$11=1,OR(Parametri_v3!$C$6=0,Finanziamenti!$E$11=1)),MIN(Finanziamenti!$C$11,Piano_SS!$C$12*Ipotesi!$C$102),0)</f>
        <v>400000</v>
      </c>
      <c r="CH150" s="15" t="n">
        <f aca="false">IF(AND(AND(3&lt;&gt;8,3&lt;&gt;9,Finanziamenti!$F$10=1,OR(Parametri_v3!$C$6=0,Finanziamenti!$E$10=1)),Motore_Operativo!C150&gt;=Finanziamenti!$D$10,Motore_Operativo!C150&lt;Parametri_v3!$C$63),Finanziamenti!$C$10,0)</f>
        <v>150000</v>
      </c>
    </row>
    <row r="151" customFormat="false" ht="18" hidden="false" customHeight="true" outlineLevel="0" collapsed="false">
      <c r="A151" s="68" t="n">
        <f aca="false">3</f>
        <v>3</v>
      </c>
      <c r="B151" s="68" t="n">
        <f aca="false">27</f>
        <v>27</v>
      </c>
      <c r="C151" s="18" t="n">
        <f aca="false">Motore_Operativo!C151</f>
        <v>47178</v>
      </c>
      <c r="D151" s="68" t="n">
        <f aca="false">Motore_Operativo!D151</f>
        <v>2029</v>
      </c>
      <c r="E151" s="68" t="n">
        <f aca="false">Motore_Operativo!E151</f>
        <v>3</v>
      </c>
      <c r="F151" s="15" t="n">
        <f aca="false">Motore_Operativo!AQ151+Motore_Operativo!BF151</f>
        <v>67127.7154609571</v>
      </c>
      <c r="G151" s="15" t="n">
        <f aca="false">Motore_Operativo!BH151</f>
        <v>6050</v>
      </c>
      <c r="H151" s="15" t="n">
        <f aca="false">Motore_Operativo!BI151</f>
        <v>73177.7154609571</v>
      </c>
      <c r="I151" s="15" t="n">
        <f aca="false">Motore_Operativo!CA151</f>
        <v>116369.546831201</v>
      </c>
      <c r="J151" s="15" t="n">
        <f aca="false">Motore_Operativo!CC151</f>
        <v>-43191.8313702435</v>
      </c>
      <c r="K151" s="15" t="n">
        <f aca="false">Motore_Operativo!CE151</f>
        <v>2500</v>
      </c>
      <c r="L151" s="15" t="n">
        <f aca="false">SUM(INDEX($K$125:$K$184,MAX(1,27-Parametri_v3!$C$59+1)):K151)/Parametri_v3!$C$59</f>
        <v>1458.33333333333</v>
      </c>
      <c r="M151" s="15" t="n">
        <f aca="false">J151-L151</f>
        <v>-44650.1647035769</v>
      </c>
      <c r="N151" s="15" t="n">
        <f aca="false">CD151-(CD150)</f>
        <v>519.369524831331</v>
      </c>
      <c r="O151" s="15" t="n">
        <f aca="false">(BG150)*Ipotesi!$C$110/12+CH151*Parametri_v3!$C$39/12</f>
        <v>0</v>
      </c>
      <c r="P151" s="15" t="n">
        <f aca="false">M151+N151-O151</f>
        <v>-44130.7951787455</v>
      </c>
      <c r="Q151" s="15" t="n">
        <f aca="false">SUM(P149:P151)+Parametri_v3!$C$54*3/12</f>
        <v>-124948.433534786</v>
      </c>
      <c r="R151" s="15" t="n">
        <f aca="false">Z148</f>
        <v>427550.84996487</v>
      </c>
      <c r="S151" s="15" t="n">
        <f aca="false">AA148</f>
        <v>0</v>
      </c>
      <c r="T151" s="15" t="n">
        <f aca="false">MIN(R151,MAX(0,Q151))</f>
        <v>0</v>
      </c>
      <c r="U151" s="15" t="n">
        <f aca="false">MIN(S151,MAX(0,Q151-T151)*Parametri_v3!$C$42)</f>
        <v>0</v>
      </c>
      <c r="V151" s="15" t="n">
        <f aca="false">MAX(0,Q151-T151-U151)*Ipotesi!$C$92</f>
        <v>0</v>
      </c>
      <c r="W151" s="15" t="n">
        <f aca="false">MAX(0,SUM(M149:M151)+Parametri_v3!$C$55*3/12)*Ipotesi!$C$93</f>
        <v>0</v>
      </c>
      <c r="X151" s="15" t="n">
        <f aca="false">V151+W151-(V150+W150)</f>
        <v>0</v>
      </c>
      <c r="Y151" s="15" t="n">
        <f aca="false">P151-X151</f>
        <v>-44130.7951787455</v>
      </c>
      <c r="Z151" s="15" t="n">
        <f aca="false">R151-T151+IF(AND(Parametri_v3!$C$40=1,D151-YEAR(Parametri_v3!$C$50)&lt;Parametri_v3!$C$41),MAX(0,-Q151),0)</f>
        <v>552499.283499656</v>
      </c>
      <c r="AA151" s="15" t="n">
        <f aca="false">S151-U151+IF(AND(Parametri_v3!$C$40=1,D151-YEAR(Parametri_v3!$C$50)&lt;Parametri_v3!$C$41),0,MAX(0,-Q151))</f>
        <v>0</v>
      </c>
      <c r="AB151" s="15" t="n">
        <f aca="false">F151*(1+Parametri_v3!$C$26)</f>
        <v>81895.8128623677</v>
      </c>
      <c r="AC151" s="15" t="n">
        <f aca="false">(IF(27-(INT((Motore_Operativo!L151)/30))&lt;1,0,INDEX(Motore_Startup!$AB$125:$AB$184,MAX(1,27-(INT((Motore_Operativo!L151)/30)))))*(1-(MOD((Motore_Operativo!L151),30)/30))+IF(27-(INT((Motore_Operativo!L151)/30))-1&lt;1,0,INDEX(Motore_Startup!$AB$125:$AB$184,MAX(1,27-(INT((Motore_Operativo!L151)/30))-1)))*(MOD((Motore_Operativo!L151),30)/30))</f>
        <v>45834.8802304269</v>
      </c>
      <c r="AD151" s="15" t="n">
        <f aca="false">(AD150)+AB151-AC151</f>
        <v>242699.239584023</v>
      </c>
      <c r="AE151" s="15" t="n">
        <f aca="false">Motore_Operativo!BH151*(1+Parametri_v3!$C$26)</f>
        <v>7381</v>
      </c>
      <c r="AF151" s="15" t="n">
        <f aca="false">(IF(27-(INT((Parametri_v3!$C$29)/30))&lt;1,0,INDEX(Motore_Operativo!$BH$125:$BH$184,MAX(1,27-(INT((Parametri_v3!$C$29)/30)))))*(1-(MOD((Parametri_v3!$C$29),30)/30))+IF(27-(INT((Parametri_v3!$C$29)/30))-1&lt;1,0,INDEX(Motore_Operativo!$BH$125:$BH$184,MAX(1,27-(INT((Parametri_v3!$C$29)/30))-1)))*(MOD((Parametri_v3!$C$29),30)/30))*(1+Parametri_v3!$C$26)</f>
        <v>7381</v>
      </c>
      <c r="AG151" s="15" t="n">
        <f aca="false">(AG150)+AE151-AF151</f>
        <v>7381</v>
      </c>
      <c r="AH151" s="15" t="n">
        <f aca="false">(Motore_Operativo!CJ151)*(1+Parametri_v3!$C$27*Parametri_v3!$C$26)</f>
        <v>49967.8097553019</v>
      </c>
      <c r="AI151" s="15" t="n">
        <f aca="false">(IF(27-(INT((Ipotesi!$C$91)/30))&lt;1,0,INDEX(Motore_Startup!$AH$125:$AH$184,MAX(1,27-(INT((Ipotesi!$C$91)/30)))))*(1-(MOD((Ipotesi!$C$91),30)/30))+IF(27-(INT((Ipotesi!$C$91)/30))-1&lt;1,0,INDEX(Motore_Startup!$AH$125:$AH$184,MAX(1,27-(INT((Ipotesi!$C$91)/30))-1)))*(MOD((Ipotesi!$C$91),30)/30))</f>
        <v>49696.057495961</v>
      </c>
      <c r="AJ151" s="15" t="n">
        <f aca="false">(AJ150)+AH151-AI151</f>
        <v>99800.33987623</v>
      </c>
      <c r="AK151" s="15" t="n">
        <f aca="false">(F151+ Motore_Operativo!BH151-(Motore_Operativo!CJ151)*Parametri_v3!$C$27-Motore_Operativo!CE151)*Parametri_v3!$C$26</f>
        <v>7677.16781064272</v>
      </c>
      <c r="AL151" s="15" t="n">
        <f aca="false">MAX(0,(AM150))</f>
        <v>7519.38770031467</v>
      </c>
      <c r="AM151" s="15" t="n">
        <f aca="false">(AM150)+AK151-AL151</f>
        <v>7677.16781064272</v>
      </c>
      <c r="AN151" s="15" t="n">
        <f aca="false">SUM(X137:X148)</f>
        <v>0</v>
      </c>
      <c r="AO151" s="15" t="n">
        <f aca="false">SUM(AP137:AP148)</f>
        <v>0</v>
      </c>
      <c r="AP151" s="15" t="n">
        <f aca="false">MAX(0,AN151)*IF(3=Parametri_v3!$C$43,Parametri_v3!$C$45,IF(3=Parametri_v3!$C$44,1-Parametri_v3!$C$45,0))</f>
        <v>0</v>
      </c>
      <c r="AQ151" s="15" t="n">
        <f aca="false">MAX(0,AP151+IF(3=Parametri_v3!$C$43,MAX(0,AN151-AO151),0)-MAX(0,-(AR150)))</f>
        <v>0</v>
      </c>
      <c r="AR151" s="15" t="n">
        <f aca="false">(AR150)+X151-AQ151</f>
        <v>0</v>
      </c>
      <c r="AS151" s="15" t="n">
        <f aca="false">Motore_Operativo!AB151-AT151+AU151</f>
        <v>70559.9833333333</v>
      </c>
      <c r="AT151" s="15" t="n">
        <f aca="false">Motore_Operativo!CH151</f>
        <v>3713.68333333333</v>
      </c>
      <c r="AU151" s="15" t="n">
        <f aca="false">MIN(MAX(0,(AV150)+AT151),Parametri_v3!$C$60/12)</f>
        <v>0</v>
      </c>
      <c r="AV151" s="15" t="n">
        <f aca="false">(AV150)+AT151-AU151</f>
        <v>45748.55</v>
      </c>
      <c r="AW151" s="15" t="n">
        <f aca="false">IF(AND(Motore_Operativo!C151=Finanziamenti!$D$6,Finanziamenti!$F$6=1),Finanziamenti!$C$6,0)</f>
        <v>0</v>
      </c>
      <c r="AX151" s="15" t="n">
        <f aca="false">IF(AND(3&lt;&gt;7,3&lt;&gt;9,Finanziamenti!$F$8=1,OR(Parametri_v3!$C$6=0,Finanziamenti!$E$8=1),Motore_Operativo!C151=EDATE(Finanziamenti!$D$8,Ipotesi!E15*12)),Finanziamenti!$C$8*1,0)+IF(AND(3&lt;&gt;7,3&lt;&gt;9,Finanziamenti!$F$9=1,OR(Parametri_v3!$C$6=0,Finanziamenti!$E$9=1),Motore_Operativo!C151=EDATE(Finanziamenti!$D$9,Ipotesi!E15*12)),Finanziamenti!$C$9*Ipotesi!E16,0)</f>
        <v>0</v>
      </c>
      <c r="AY151" s="15" t="n">
        <f aca="false">0</f>
        <v>0</v>
      </c>
      <c r="AZ151" s="15" t="n">
        <f aca="false">Motore_Advisory!AY151*(1-Ipotesi!$C$95)*Ipotesi!$C$96</f>
        <v>0</v>
      </c>
      <c r="BA151" s="15" t="n">
        <f aca="false">MAX(0,MIN(CG151*MIN(1,IF(Motore_Operativo!C151&gt;=EDATE(Finanziamenti!$D$15,Ipotesi!E14*12),Finanziamenti!$C$15,0)+IF(Motore_Operativo!C151&gt;=EDATE(Finanziamenti!$D$16,Ipotesi!E14*12),Finanziamenti!$C$16,0)+IF(Motore_Operativo!C151&gt;=EDATE(Finanziamenti!$D$17,Ipotesi!E14*12),Finanziamenti!$C$17,0)),CA151*Ipotesi!$C$102)-(CC150))</f>
        <v>0</v>
      </c>
      <c r="BB151" s="15" t="n">
        <f aca="false">IF(AND(CF151&gt;0,Motore_Operativo!C151&gt;=IF(CF151=0,0,EDATE(CF151,Parametri_v3!$C$37)),MOD(((D151-YEAR(IF(CF151=0,0,EDATE(CF151,Parametri_v3!$C$37))))*12+E151-MONTH(IF(CF151=0,0,EDATE(CF151,Parametri_v3!$C$37)))),Parametri_v3!$C$38)=0),MIN(MAX(0,(BC150)+BA151-N151),(CC151-CD151)/(Ipotesi!$C$108*12/Parametri_v3!$C$38)),0)</f>
        <v>0</v>
      </c>
      <c r="BC151" s="15" t="n">
        <f aca="false">(BC150)+BA151-N151-BB151</f>
        <v>202342.827146487</v>
      </c>
      <c r="BD151" s="15" t="n">
        <f aca="false">(BH150)+AC151+AF151-AI151-AS151-K151*(1+Parametri_v3!$C$26)-AL151-AQ151-O151+AW151+AX151+AZ151+BA151-BB151</f>
        <v>-50552.3049169866</v>
      </c>
      <c r="BE151" s="15" t="n">
        <f aca="false">MAX(0,MIN(MAX(0,CH151-(BG150)),Parametri_v3!$C$30-BD151))</f>
        <v>75552.3049169866</v>
      </c>
      <c r="BF151" s="15" t="n">
        <f aca="false">IF(Motore_Operativo!C151&gt;=Parametri_v3!$C$63,(BG150),MIN((BG150),MAX(0,BD151-Parametri_v3!$C$30)))</f>
        <v>0</v>
      </c>
      <c r="BG151" s="15" t="n">
        <f aca="false">(BG150)+BE151-BF151</f>
        <v>75552.3049169866</v>
      </c>
      <c r="BH151" s="15" t="n">
        <f aca="false">BD151+BE151-BF151-AY151</f>
        <v>25000</v>
      </c>
      <c r="BI151" s="15" t="n">
        <f aca="false">MAX(0,Parametri_v3!$C$30-BH151)</f>
        <v>0</v>
      </c>
      <c r="BJ151" s="15" t="n">
        <f aca="false">(BJ150)+K151</f>
        <v>52500</v>
      </c>
      <c r="BK151" s="15" t="n">
        <f aca="false">(BK150)+L151</f>
        <v>18958.3333333333</v>
      </c>
      <c r="BL151" s="15" t="n">
        <f aca="false">BJ151-BK151</f>
        <v>33541.6666666667</v>
      </c>
      <c r="BM151" s="15" t="n">
        <f aca="false">(BM150)+Y151</f>
        <v>-552499.283499656</v>
      </c>
      <c r="BN151" s="15" t="n">
        <f aca="false">(BN150)+AW151+AX151+AZ151</f>
        <v>430000</v>
      </c>
      <c r="BO151" s="15" t="n">
        <f aca="false">(BO150)+AY151</f>
        <v>0</v>
      </c>
      <c r="BP151" s="15" t="n">
        <f aca="false">0</f>
        <v>0</v>
      </c>
      <c r="BQ151" s="15" t="n">
        <f aca="false">BN151+BM151-BO151</f>
        <v>-122499.283499656</v>
      </c>
      <c r="BR151" s="15" t="n">
        <f aca="false">BH151+AD151+BL151+MAX(0,-AM151)+MAX(0,-AR151)+AG151</f>
        <v>308621.90625069</v>
      </c>
      <c r="BS151" s="15" t="n">
        <f aca="false">AJ151+AV151+MAX(0,AM151)+MAX(0,AR151)+BC151+BG151+BQ151</f>
        <v>308621.90625069</v>
      </c>
      <c r="BT151" s="15" t="n">
        <f aca="false">BR151-BS151</f>
        <v>0</v>
      </c>
      <c r="BU151" s="15" t="n">
        <f aca="false">BH151-(BD151+BE151-BF151-AY151)</f>
        <v>0</v>
      </c>
      <c r="BV151" s="15" t="n">
        <f aca="false">MIN(Piano_SS!$C$6,(BV150)+IF(AND(Motore_Operativo!C151&gt;=EDATE(Parametri_v3!$C$24,Ipotesi!E14*12),Motore_Operativo!C151&lt;EDATE(Parametri_v3!$C$24,Parametri_v3!$C$25+Ipotesi!E14*12)),MAX(0,(Motore_Operativo!Y151+Motore_Operativo!X151*Parametri_v3!$C$14)*(1-Parametri_v3!$C$32))*Piano_SS!$D$6,0))</f>
        <v>249604.30625</v>
      </c>
      <c r="BW151" s="15" t="n">
        <f aca="false">MIN(Piano_SS!$C$7,(BW150)+IF(AND(Motore_Operativo!C151&gt;=EDATE(Parametri_v3!$C$24,Ipotesi!E14*12),Motore_Operativo!C151&lt;EDATE(Parametri_v3!$C$24,Parametri_v3!$C$25+Ipotesi!E14*12)),MAX(0,(IF(27-(INT((Ipotesi!$C$91)/30))&lt;1,0,INDEX(Motore_Operativo!$BN$125:$BN$184,MAX(1,27-(INT((Ipotesi!$C$91)/30)))))*(1-(MOD((Ipotesi!$C$91),30)/30))+IF(27-(INT((Ipotesi!$C$91)/30))-1&lt;1,0,INDEX(Motore_Operativo!$BN$125:$BN$184,MAX(1,27-(INT((Ipotesi!$C$91)/30))-1)))*(MOD((Ipotesi!$C$91),30)/30)))*Piano_SS!$D$7,0))</f>
        <v>35194.8699376595</v>
      </c>
      <c r="BX151" s="15" t="n">
        <f aca="false">MIN(Piano_SS!$C$8,(BX150)+IF(AND(Motore_Operativo!C151&gt;=EDATE(Parametri_v3!$C$24,Ipotesi!E14*12),Motore_Operativo!C151&lt;EDATE(Parametri_v3!$C$24,Parametri_v3!$C$25+Ipotesi!E14*12)),MAX(0,Motore_Operativo!CE151)*Piano_SS!$D$8,0))</f>
        <v>42500</v>
      </c>
      <c r="BY151" s="15" t="n">
        <f aca="false">MIN(Piano_SS!$C$9,(BY150)+IF(AND(Motore_Operativo!C151&gt;=EDATE(Parametri_v3!$C$24,Ipotesi!E14*12),Motore_Operativo!C151&lt;EDATE(Parametri_v3!$C$24,Parametri_v3!$C$25+Ipotesi!E14*12)),MAX(0,((IF(27-(INT((Ipotesi!$C$91)/30))&lt;1,0,INDEX(Motore_Operativo!$BQ$125:$BQ$184,MAX(1,27-(INT((Ipotesi!$C$91)/30)))))*(1-(MOD((Ipotesi!$C$91),30)/30))+IF(27-(INT((Ipotesi!$C$91)/30))-1&lt;1,0,INDEX(Motore_Operativo!$BQ$125:$BQ$184,MAX(1,27-(INT((Ipotesi!$C$91)/30))-1)))*(MOD((Ipotesi!$C$91),30)/30))+(IF(27-(INT((Ipotesi!$C$91)/30))&lt;1,0,INDEX(Motore_Operativo!$BR$125:$BR$184,MAX(1,27-(INT((Ipotesi!$C$91)/30)))))*(1-(MOD((Ipotesi!$C$91),30)/30))+IF(27-(INT((Ipotesi!$C$91)/30))-1&lt;1,0,INDEX(Motore_Operativo!$BR$125:$BR$184,MAX(1,27-(INT((Ipotesi!$C$91)/30))-1)))*(MOD((Ipotesi!$C$91),30)/30))))*Piano_SS!$D$9,0))</f>
        <v>40000</v>
      </c>
      <c r="BZ151" s="15" t="n">
        <f aca="false">MIN(Piano_SS!$C$10,(BZ150)+IF(AND(Motore_Operativo!C151&gt;=EDATE(Parametri_v3!$C$24,Ipotesi!E14*12),Motore_Operativo!C151&lt;EDATE(Parametri_v3!$C$24,Parametri_v3!$C$25+Ipotesi!E14*12)),MAX(0,(IF(27-(INT((Ipotesi!$C$91)/30))&lt;1,0,INDEX(Motore_Operativo!$BO$125:$BO$184,MAX(1,27-(INT((Ipotesi!$C$91)/30)))))*(1-(MOD((Ipotesi!$C$91),30)/30))+IF(27-(INT((Ipotesi!$C$91)/30))-1&lt;1,0,INDEX(Motore_Operativo!$BO$125:$BO$184,MAX(1,27-(INT((Ipotesi!$C$91)/30))-1)))*(MOD((Ipotesi!$C$91),30)/30)))*Piano_SS!$D$10,0))</f>
        <v>30000</v>
      </c>
      <c r="CA151" s="15" t="n">
        <f aca="false">SUM(BV151:BZ151)</f>
        <v>397299.17618766</v>
      </c>
      <c r="CB151" s="15" t="n">
        <f aca="false">BV151*(1-Piano_SS!$E$6)+BW151*(1-Piano_SS!$E$7)+BX151*(1-Piano_SS!$E$8)+BY151*(1-Piano_SS!$E$9)+BZ151*(1-Piano_SS!$E$10)</f>
        <v>367299.17618766</v>
      </c>
      <c r="CC151" s="15" t="n">
        <f aca="false">(CC150)+BA151</f>
        <v>280000</v>
      </c>
      <c r="CD151" s="15" t="n">
        <f aca="false">IF(CA151=0,0,CC151*CB151/CA151*Ipotesi!$C$103*Parametri_v3!$C$64)</f>
        <v>77657.172853513</v>
      </c>
      <c r="CE151" s="18" t="n">
        <f aca="false">IF(BA151&gt;0,Motore_Operativo!C151,(CE150))</f>
        <v>47150</v>
      </c>
      <c r="CF151" s="18" t="n">
        <f aca="false">IF(AND(CC151&gt;0,OR(CC151&gt;=CG151-0.01,Motore_Operativo!C151&gt;=EDATE(MAX(Finanziamenti!$D$15:$D$17),Ipotesi!E14*12))),CE151,0)</f>
        <v>0</v>
      </c>
      <c r="CG151" s="15" t="n">
        <f aca="false">IF(AND(3&lt;&gt;6,3&lt;&gt;9,Finanziamenti!$F$11=1,OR(Parametri_v3!$C$6=0,Finanziamenti!$E$11=1)),MIN(Finanziamenti!$C$11,Piano_SS!$C$12*Ipotesi!$C$102),0)</f>
        <v>400000</v>
      </c>
      <c r="CH151" s="15" t="n">
        <f aca="false">IF(AND(AND(3&lt;&gt;8,3&lt;&gt;9,Finanziamenti!$F$10=1,OR(Parametri_v3!$C$6=0,Finanziamenti!$E$10=1)),Motore_Operativo!C151&gt;=Finanziamenti!$D$10,Motore_Operativo!C151&lt;Parametri_v3!$C$63),Finanziamenti!$C$10,0)</f>
        <v>150000</v>
      </c>
    </row>
    <row r="152" customFormat="false" ht="18" hidden="false" customHeight="true" outlineLevel="0" collapsed="false">
      <c r="A152" s="68" t="n">
        <f aca="false">3</f>
        <v>3</v>
      </c>
      <c r="B152" s="68" t="n">
        <f aca="false">28</f>
        <v>28</v>
      </c>
      <c r="C152" s="18" t="n">
        <f aca="false">Motore_Operativo!C152</f>
        <v>47209</v>
      </c>
      <c r="D152" s="68" t="n">
        <f aca="false">Motore_Operativo!D152</f>
        <v>2029</v>
      </c>
      <c r="E152" s="68" t="n">
        <f aca="false">Motore_Operativo!E152</f>
        <v>4</v>
      </c>
      <c r="F152" s="15" t="n">
        <f aca="false">Motore_Operativo!AQ152+Motore_Operativo!BF152</f>
        <v>69223.7448249908</v>
      </c>
      <c r="G152" s="15" t="n">
        <f aca="false">Motore_Operativo!BH152</f>
        <v>6050</v>
      </c>
      <c r="H152" s="15" t="n">
        <f aca="false">Motore_Operativo!BI152</f>
        <v>75273.7448249908</v>
      </c>
      <c r="I152" s="15" t="n">
        <f aca="false">Motore_Operativo!CA152</f>
        <v>116662.990942165</v>
      </c>
      <c r="J152" s="15" t="n">
        <f aca="false">Motore_Operativo!CC152</f>
        <v>-41389.2461171746</v>
      </c>
      <c r="K152" s="15" t="n">
        <f aca="false">Motore_Operativo!CE152</f>
        <v>2500</v>
      </c>
      <c r="L152" s="15" t="n">
        <f aca="false">SUM(INDEX($K$125:$K$184,MAX(1,28-Parametri_v3!$C$59+1)):K152)/Parametri_v3!$C$59</f>
        <v>1527.77777777778</v>
      </c>
      <c r="M152" s="15" t="n">
        <f aca="false">J152-L152</f>
        <v>-42917.0238949524</v>
      </c>
      <c r="N152" s="15" t="n">
        <f aca="false">CD152-(CD151)</f>
        <v>447.189815816746</v>
      </c>
      <c r="O152" s="15" t="n">
        <f aca="false">(BG151)*Ipotesi!$C$110/12+CH152*Parametri_v3!$C$39/12</f>
        <v>377.761524584933</v>
      </c>
      <c r="P152" s="15" t="n">
        <f aca="false">M152+N152-O152</f>
        <v>-42847.5956037206</v>
      </c>
      <c r="Q152" s="15" t="n">
        <f aca="false">SUM(P149:P152)+Parametri_v3!$C$54*4/12</f>
        <v>-167796.029138507</v>
      </c>
      <c r="R152" s="15" t="n">
        <f aca="false">Z148</f>
        <v>427550.84996487</v>
      </c>
      <c r="S152" s="15" t="n">
        <f aca="false">AA148</f>
        <v>0</v>
      </c>
      <c r="T152" s="15" t="n">
        <f aca="false">MIN(R152,MAX(0,Q152))</f>
        <v>0</v>
      </c>
      <c r="U152" s="15" t="n">
        <f aca="false">MIN(S152,MAX(0,Q152-T152)*Parametri_v3!$C$42)</f>
        <v>0</v>
      </c>
      <c r="V152" s="15" t="n">
        <f aca="false">MAX(0,Q152-T152-U152)*Ipotesi!$C$92</f>
        <v>0</v>
      </c>
      <c r="W152" s="15" t="n">
        <f aca="false">MAX(0,SUM(M149:M152)+Parametri_v3!$C$55*4/12)*Ipotesi!$C$93</f>
        <v>0</v>
      </c>
      <c r="X152" s="15" t="n">
        <f aca="false">V152+W152-(V151+W151)</f>
        <v>0</v>
      </c>
      <c r="Y152" s="15" t="n">
        <f aca="false">P152-X152</f>
        <v>-42847.5956037206</v>
      </c>
      <c r="Z152" s="15" t="n">
        <f aca="false">R152-T152+IF(AND(Parametri_v3!$C$40=1,D152-YEAR(Parametri_v3!$C$50)&lt;Parametri_v3!$C$41),MAX(0,-Q152),0)</f>
        <v>595346.879103377</v>
      </c>
      <c r="AA152" s="15" t="n">
        <f aca="false">S152-U152+IF(AND(Parametri_v3!$C$40=1,D152-YEAR(Parametri_v3!$C$50)&lt;Parametri_v3!$C$41),0,MAX(0,-Q152))</f>
        <v>0</v>
      </c>
      <c r="AB152" s="15" t="n">
        <f aca="false">F152*(1+Parametri_v3!$C$26)</f>
        <v>84452.9686864887</v>
      </c>
      <c r="AC152" s="15" t="n">
        <f aca="false">(IF(28-(INT((Motore_Operativo!L152)/30))&lt;1,0,INDEX(Motore_Startup!$AB$125:$AB$184,MAX(1,28-(INT((Motore_Operativo!L152)/30)))))*(1-(MOD((Motore_Operativo!L152),30)/30))+IF(28-(INT((Motore_Operativo!L152)/30))-1&lt;1,0,INDEX(Motore_Startup!$AB$125:$AB$184,MAX(1,28-(INT((Motore_Operativo!L152)/30))-1)))*(MOD((Motore_Operativo!L152),30)/30))</f>
        <v>79900.7607718883</v>
      </c>
      <c r="AD152" s="15" t="n">
        <f aca="false">(AD151)+AB152-AC152</f>
        <v>247251.447498624</v>
      </c>
      <c r="AE152" s="15" t="n">
        <f aca="false">Motore_Operativo!BH152*(1+Parametri_v3!$C$26)</f>
        <v>7381</v>
      </c>
      <c r="AF152" s="15" t="n">
        <f aca="false">(IF(28-(INT((Parametri_v3!$C$29)/30))&lt;1,0,INDEX(Motore_Operativo!$BH$125:$BH$184,MAX(1,28-(INT((Parametri_v3!$C$29)/30)))))*(1-(MOD((Parametri_v3!$C$29),30)/30))+IF(28-(INT((Parametri_v3!$C$29)/30))-1&lt;1,0,INDEX(Motore_Operativo!$BH$125:$BH$184,MAX(1,28-(INT((Parametri_v3!$C$29)/30))-1)))*(MOD((Parametri_v3!$C$29),30)/30))*(1+Parametri_v3!$C$26)</f>
        <v>7381</v>
      </c>
      <c r="AG152" s="15" t="n">
        <f aca="false">(AG151)+AE152-AF152</f>
        <v>7381</v>
      </c>
      <c r="AH152" s="15" t="n">
        <f aca="false">(Motore_Operativo!CJ152)*(1+Parametri_v3!$C$27*Parametri_v3!$C$26)</f>
        <v>50316.127915017</v>
      </c>
      <c r="AI152" s="15" t="n">
        <f aca="false">(IF(28-(INT((Ipotesi!$C$91)/30))&lt;1,0,INDEX(Motore_Startup!$AH$125:$AH$184,MAX(1,28-(INT((Ipotesi!$C$91)/30)))))*(1-(MOD((Ipotesi!$C$91),30)/30))+IF(28-(INT((Ipotesi!$C$91)/30))-1&lt;1,0,INDEX(Motore_Startup!$AH$125:$AH$184,MAX(1,28-(INT((Ipotesi!$C$91)/30))-1)))*(MOD((Ipotesi!$C$91),30)/30))</f>
        <v>49832.5301209282</v>
      </c>
      <c r="AJ152" s="15" t="n">
        <f aca="false">(AJ151)+AH152-AI152</f>
        <v>100283.937670319</v>
      </c>
      <c r="AK152" s="15" t="n">
        <f aca="false">(F152+ Motore_Operativo!BH152-(Motore_Operativo!CJ152)*Parametri_v3!$C$27-Motore_Operativo!CE152)*Parametri_v3!$C$26</f>
        <v>8083.4202219797</v>
      </c>
      <c r="AL152" s="15" t="n">
        <f aca="false">MAX(0,(AM151))</f>
        <v>7677.16781064272</v>
      </c>
      <c r="AM152" s="15" t="n">
        <f aca="false">(AM151)+AK152-AL152</f>
        <v>8083.4202219797</v>
      </c>
      <c r="AN152" s="15" t="n">
        <f aca="false">SUM(X137:X148)</f>
        <v>0</v>
      </c>
      <c r="AO152" s="15" t="n">
        <f aca="false">SUM(AP137:AP148)</f>
        <v>0</v>
      </c>
      <c r="AP152" s="15" t="n">
        <f aca="false">MAX(0,AN152)*IF(4=Parametri_v3!$C$43,Parametri_v3!$C$45,IF(4=Parametri_v3!$C$44,1-Parametri_v3!$C$45,0))</f>
        <v>0</v>
      </c>
      <c r="AQ152" s="15" t="n">
        <f aca="false">MAX(0,AP152+IF(4=Parametri_v3!$C$43,MAX(0,AN152-AO152),0)-MAX(0,-(AR151)))</f>
        <v>0</v>
      </c>
      <c r="AR152" s="15" t="n">
        <f aca="false">(AR151)+X152-AQ152</f>
        <v>0</v>
      </c>
      <c r="AS152" s="15" t="n">
        <f aca="false">Motore_Operativo!AB152-AT152+AU152</f>
        <v>70559.9833333333</v>
      </c>
      <c r="AT152" s="15" t="n">
        <f aca="false">Motore_Operativo!CH152</f>
        <v>3713.68333333333</v>
      </c>
      <c r="AU152" s="15" t="n">
        <f aca="false">MIN(MAX(0,(AV151)+AT152),Parametri_v3!$C$60/12)</f>
        <v>0</v>
      </c>
      <c r="AV152" s="15" t="n">
        <f aca="false">(AV151)+AT152-AU152</f>
        <v>49462.2333333333</v>
      </c>
      <c r="AW152" s="15" t="n">
        <f aca="false">IF(AND(Motore_Operativo!C152=Finanziamenti!$D$6,Finanziamenti!$F$6=1),Finanziamenti!$C$6,0)</f>
        <v>0</v>
      </c>
      <c r="AX152" s="15" t="n">
        <f aca="false">IF(AND(3&lt;&gt;7,3&lt;&gt;9,Finanziamenti!$F$8=1,OR(Parametri_v3!$C$6=0,Finanziamenti!$E$8=1),Motore_Operativo!C152=EDATE(Finanziamenti!$D$8,Ipotesi!E15*12)),Finanziamenti!$C$8*1,0)+IF(AND(3&lt;&gt;7,3&lt;&gt;9,Finanziamenti!$F$9=1,OR(Parametri_v3!$C$6=0,Finanziamenti!$E$9=1),Motore_Operativo!C152=EDATE(Finanziamenti!$D$9,Ipotesi!E15*12)),Finanziamenti!$C$9*Ipotesi!E16,0)</f>
        <v>0</v>
      </c>
      <c r="AY152" s="15" t="n">
        <f aca="false">0</f>
        <v>0</v>
      </c>
      <c r="AZ152" s="15" t="n">
        <f aca="false">Motore_Advisory!AY152*(1-Ipotesi!$C$95)*Ipotesi!$C$96</f>
        <v>0</v>
      </c>
      <c r="BA152" s="15" t="n">
        <f aca="false">MAX(0,MIN(CG152*MIN(1,IF(Motore_Operativo!C152&gt;=EDATE(Finanziamenti!$D$15,Ipotesi!E14*12),Finanziamenti!$C$15,0)+IF(Motore_Operativo!C152&gt;=EDATE(Finanziamenti!$D$16,Ipotesi!E14*12),Finanziamenti!$C$16,0)+IF(Motore_Operativo!C152&gt;=EDATE(Finanziamenti!$D$17,Ipotesi!E14*12),Finanziamenti!$C$17,0)),CA152*Ipotesi!$C$102)-(CC151))</f>
        <v>0</v>
      </c>
      <c r="BB152" s="15" t="n">
        <f aca="false">IF(AND(CF152&gt;0,Motore_Operativo!C152&gt;=IF(CF152=0,0,EDATE(CF152,Parametri_v3!$C$37)),MOD(((D152-YEAR(IF(CF152=0,0,EDATE(CF152,Parametri_v3!$C$37))))*12+E152-MONTH(IF(CF152=0,0,EDATE(CF152,Parametri_v3!$C$37)))),Parametri_v3!$C$38)=0),MIN(MAX(0,(BC151)+BA152-N152),(CC152-CD152)/(Ipotesi!$C$108*12/Parametri_v3!$C$38)),0)</f>
        <v>0</v>
      </c>
      <c r="BC152" s="15" t="n">
        <f aca="false">(BC151)+BA152-N152-BB152</f>
        <v>201895.63733067</v>
      </c>
      <c r="BD152" s="15" t="n">
        <f aca="false">(BH151)+AC152+AF152-AI152-AS152-K152*(1+Parametri_v3!$C$26)-AL152-AQ152-O152+AW152+AX152+AZ152+BA152-BB152</f>
        <v>-19215.6820176008</v>
      </c>
      <c r="BE152" s="15" t="n">
        <f aca="false">MAX(0,MIN(MAX(0,CH152-(BG151)),Parametri_v3!$C$30-BD152))</f>
        <v>44215.6820176008</v>
      </c>
      <c r="BF152" s="15" t="n">
        <f aca="false">IF(Motore_Operativo!C152&gt;=Parametri_v3!$C$63,(BG151),MIN((BG151),MAX(0,BD152-Parametri_v3!$C$30)))</f>
        <v>0</v>
      </c>
      <c r="BG152" s="15" t="n">
        <f aca="false">(BG151)+BE152-BF152</f>
        <v>119767.986934587</v>
      </c>
      <c r="BH152" s="15" t="n">
        <f aca="false">BD152+BE152-BF152-AY152</f>
        <v>25000</v>
      </c>
      <c r="BI152" s="15" t="n">
        <f aca="false">MAX(0,Parametri_v3!$C$30-BH152)</f>
        <v>0</v>
      </c>
      <c r="BJ152" s="15" t="n">
        <f aca="false">(BJ151)+K152</f>
        <v>55000</v>
      </c>
      <c r="BK152" s="15" t="n">
        <f aca="false">(BK151)+L152</f>
        <v>20486.1111111111</v>
      </c>
      <c r="BL152" s="15" t="n">
        <f aca="false">BJ152-BK152</f>
        <v>34513.8888888889</v>
      </c>
      <c r="BM152" s="15" t="n">
        <f aca="false">(BM151)+Y152</f>
        <v>-595346.879103377</v>
      </c>
      <c r="BN152" s="15" t="n">
        <f aca="false">(BN151)+AW152+AX152+AZ152</f>
        <v>430000</v>
      </c>
      <c r="BO152" s="15" t="n">
        <f aca="false">(BO151)+AY152</f>
        <v>0</v>
      </c>
      <c r="BP152" s="15" t="n">
        <f aca="false">0</f>
        <v>0</v>
      </c>
      <c r="BQ152" s="15" t="n">
        <f aca="false">BN152+BM152-BO152</f>
        <v>-165346.879103377</v>
      </c>
      <c r="BR152" s="15" t="n">
        <f aca="false">BH152+AD152+BL152+MAX(0,-AM152)+MAX(0,-AR152)+AG152</f>
        <v>314146.336387513</v>
      </c>
      <c r="BS152" s="15" t="n">
        <f aca="false">AJ152+AV152+MAX(0,AM152)+MAX(0,AR152)+BC152+BG152+BQ152</f>
        <v>314146.336387513</v>
      </c>
      <c r="BT152" s="15" t="n">
        <f aca="false">BR152-BS152</f>
        <v>0</v>
      </c>
      <c r="BU152" s="15" t="n">
        <f aca="false">BH152-(BD152+BE152-BF152-AY152)</f>
        <v>0</v>
      </c>
      <c r="BV152" s="15" t="n">
        <f aca="false">MIN(Piano_SS!$C$6,(BV151)+IF(AND(Motore_Operativo!C152&gt;=EDATE(Parametri_v3!$C$24,Ipotesi!E14*12),Motore_Operativo!C152&lt;EDATE(Parametri_v3!$C$24,Parametri_v3!$C$25+Ipotesi!E14*12)),MAX(0,(Motore_Operativo!Y152+Motore_Operativo!X152*Parametri_v3!$C$14)*(1-Parametri_v3!$C$32))*Piano_SS!$D$6,0))</f>
        <v>274380.741666667</v>
      </c>
      <c r="BW152" s="15" t="n">
        <f aca="false">MIN(Piano_SS!$C$7,(BW151)+IF(AND(Motore_Operativo!C152&gt;=EDATE(Parametri_v3!$C$24,Ipotesi!E14*12),Motore_Operativo!C152&lt;EDATE(Parametri_v3!$C$24,Parametri_v3!$C$25+Ipotesi!E14*12)),MAX(0,(IF(28-(INT((Ipotesi!$C$91)/30))&lt;1,0,INDEX(Motore_Operativo!$BN$125:$BN$184,MAX(1,28-(INT((Ipotesi!$C$91)/30)))))*(1-(MOD((Ipotesi!$C$91),30)/30))+IF(28-(INT((Ipotesi!$C$91)/30))-1&lt;1,0,INDEX(Motore_Operativo!$BN$125:$BN$184,MAX(1,28-(INT((Ipotesi!$C$91)/30))-1)))*(MOD((Ipotesi!$C$91),30)/30)))*Piano_SS!$D$7,0))</f>
        <v>38053.9627868245</v>
      </c>
      <c r="BX152" s="15" t="n">
        <f aca="false">MIN(Piano_SS!$C$8,(BX151)+IF(AND(Motore_Operativo!C152&gt;=EDATE(Parametri_v3!$C$24,Ipotesi!E14*12),Motore_Operativo!C152&lt;EDATE(Parametri_v3!$C$24,Parametri_v3!$C$25+Ipotesi!E14*12)),MAX(0,Motore_Operativo!CE152)*Piano_SS!$D$8,0))</f>
        <v>45000</v>
      </c>
      <c r="BY152" s="15" t="n">
        <f aca="false">MIN(Piano_SS!$C$9,(BY151)+IF(AND(Motore_Operativo!C152&gt;=EDATE(Parametri_v3!$C$24,Ipotesi!E14*12),Motore_Operativo!C152&lt;EDATE(Parametri_v3!$C$24,Parametri_v3!$C$25+Ipotesi!E14*12)),MAX(0,((IF(28-(INT((Ipotesi!$C$91)/30))&lt;1,0,INDEX(Motore_Operativo!$BQ$125:$BQ$184,MAX(1,28-(INT((Ipotesi!$C$91)/30)))))*(1-(MOD((Ipotesi!$C$91),30)/30))+IF(28-(INT((Ipotesi!$C$91)/30))-1&lt;1,0,INDEX(Motore_Operativo!$BQ$125:$BQ$184,MAX(1,28-(INT((Ipotesi!$C$91)/30))-1)))*(MOD((Ipotesi!$C$91),30)/30))+(IF(28-(INT((Ipotesi!$C$91)/30))&lt;1,0,INDEX(Motore_Operativo!$BR$125:$BR$184,MAX(1,28-(INT((Ipotesi!$C$91)/30)))))*(1-(MOD((Ipotesi!$C$91),30)/30))+IF(28-(INT((Ipotesi!$C$91)/30))-1&lt;1,0,INDEX(Motore_Operativo!$BR$125:$BR$184,MAX(1,28-(INT((Ipotesi!$C$91)/30))-1)))*(MOD((Ipotesi!$C$91),30)/30))))*Piano_SS!$D$9,0))</f>
        <v>40000</v>
      </c>
      <c r="BZ152" s="15" t="n">
        <f aca="false">MIN(Piano_SS!$C$10,(BZ151)+IF(AND(Motore_Operativo!C152&gt;=EDATE(Parametri_v3!$C$24,Ipotesi!E14*12),Motore_Operativo!C152&lt;EDATE(Parametri_v3!$C$24,Parametri_v3!$C$25+Ipotesi!E14*12)),MAX(0,(IF(28-(INT((Ipotesi!$C$91)/30))&lt;1,0,INDEX(Motore_Operativo!$BO$125:$BO$184,MAX(1,28-(INT((Ipotesi!$C$91)/30)))))*(1-(MOD((Ipotesi!$C$91),30)/30))+IF(28-(INT((Ipotesi!$C$91)/30))-1&lt;1,0,INDEX(Motore_Operativo!$BO$125:$BO$184,MAX(1,28-(INT((Ipotesi!$C$91)/30))-1)))*(MOD((Ipotesi!$C$91),30)/30)))*Piano_SS!$D$10,0))</f>
        <v>30000</v>
      </c>
      <c r="CA152" s="15" t="n">
        <f aca="false">SUM(BV152:BZ152)</f>
        <v>427434.704453491</v>
      </c>
      <c r="CB152" s="15" t="n">
        <f aca="false">BV152*(1-Piano_SS!$E$6)+BW152*(1-Piano_SS!$E$7)+BX152*(1-Piano_SS!$E$8)+BY152*(1-Piano_SS!$E$9)+BZ152*(1-Piano_SS!$E$10)</f>
        <v>397434.704453491</v>
      </c>
      <c r="CC152" s="15" t="n">
        <f aca="false">(CC151)+BA152</f>
        <v>280000</v>
      </c>
      <c r="CD152" s="15" t="n">
        <f aca="false">IF(CA152=0,0,CC152*CB152/CA152*Ipotesi!$C$103*Parametri_v3!$C$64)</f>
        <v>78104.3626693298</v>
      </c>
      <c r="CE152" s="18" t="n">
        <f aca="false">IF(BA152&gt;0,Motore_Operativo!C152,(CE151))</f>
        <v>47150</v>
      </c>
      <c r="CF152" s="18" t="n">
        <f aca="false">IF(AND(CC152&gt;0,OR(CC152&gt;=CG152-0.01,Motore_Operativo!C152&gt;=EDATE(MAX(Finanziamenti!$D$15:$D$17),Ipotesi!E14*12))),CE152,0)</f>
        <v>0</v>
      </c>
      <c r="CG152" s="15" t="n">
        <f aca="false">IF(AND(3&lt;&gt;6,3&lt;&gt;9,Finanziamenti!$F$11=1,OR(Parametri_v3!$C$6=0,Finanziamenti!$E$11=1)),MIN(Finanziamenti!$C$11,Piano_SS!$C$12*Ipotesi!$C$102),0)</f>
        <v>400000</v>
      </c>
      <c r="CH152" s="15" t="n">
        <f aca="false">IF(AND(AND(3&lt;&gt;8,3&lt;&gt;9,Finanziamenti!$F$10=1,OR(Parametri_v3!$C$6=0,Finanziamenti!$E$10=1)),Motore_Operativo!C152&gt;=Finanziamenti!$D$10,Motore_Operativo!C152&lt;Parametri_v3!$C$63),Finanziamenti!$C$10,0)</f>
        <v>150000</v>
      </c>
    </row>
    <row r="153" customFormat="false" ht="18" hidden="false" customHeight="true" outlineLevel="0" collapsed="false">
      <c r="A153" s="68" t="n">
        <f aca="false">3</f>
        <v>3</v>
      </c>
      <c r="B153" s="68" t="n">
        <f aca="false">29</f>
        <v>29</v>
      </c>
      <c r="C153" s="18" t="n">
        <f aca="false">Motore_Operativo!C153</f>
        <v>47239</v>
      </c>
      <c r="D153" s="68" t="n">
        <f aca="false">Motore_Operativo!D153</f>
        <v>2029</v>
      </c>
      <c r="E153" s="68" t="n">
        <f aca="false">Motore_Operativo!E153</f>
        <v>5</v>
      </c>
      <c r="F153" s="15" t="n">
        <f aca="false">Motore_Operativo!AQ153+Motore_Operativo!BF153</f>
        <v>72590.5421841772</v>
      </c>
      <c r="G153" s="15" t="n">
        <f aca="false">Motore_Operativo!BH153</f>
        <v>6050</v>
      </c>
      <c r="H153" s="15" t="n">
        <f aca="false">Motore_Operativo!BI153</f>
        <v>78640.5421841772</v>
      </c>
      <c r="I153" s="15" t="n">
        <f aca="false">Motore_Operativo!CA153</f>
        <v>117134.342572451</v>
      </c>
      <c r="J153" s="15" t="n">
        <f aca="false">Motore_Operativo!CC153</f>
        <v>-38493.8003882743</v>
      </c>
      <c r="K153" s="15" t="n">
        <f aca="false">Motore_Operativo!CE153</f>
        <v>2500</v>
      </c>
      <c r="L153" s="15" t="n">
        <f aca="false">SUM(INDEX($K$125:$K$184,MAX(1,29-Parametri_v3!$C$59+1)):K153)/Parametri_v3!$C$59</f>
        <v>1597.22222222222</v>
      </c>
      <c r="M153" s="15" t="n">
        <f aca="false">J153-L153</f>
        <v>-40091.0226104966</v>
      </c>
      <c r="N153" s="15" t="n">
        <f aca="false">CD153-(CD152)</f>
        <v>389.069796355761</v>
      </c>
      <c r="O153" s="15" t="n">
        <f aca="false">(BG152)*Ipotesi!$C$110/12+CH153*Parametri_v3!$C$39/12</f>
        <v>598.839934672937</v>
      </c>
      <c r="P153" s="15" t="n">
        <f aca="false">M153+N153-O153</f>
        <v>-40300.7927488137</v>
      </c>
      <c r="Q153" s="15" t="n">
        <f aca="false">SUM(P149:P153)+Parametri_v3!$C$54*5/12</f>
        <v>-208096.82188732</v>
      </c>
      <c r="R153" s="15" t="n">
        <f aca="false">Z148</f>
        <v>427550.84996487</v>
      </c>
      <c r="S153" s="15" t="n">
        <f aca="false">AA148</f>
        <v>0</v>
      </c>
      <c r="T153" s="15" t="n">
        <f aca="false">MIN(R153,MAX(0,Q153))</f>
        <v>0</v>
      </c>
      <c r="U153" s="15" t="n">
        <f aca="false">MIN(S153,MAX(0,Q153-T153)*Parametri_v3!$C$42)</f>
        <v>0</v>
      </c>
      <c r="V153" s="15" t="n">
        <f aca="false">MAX(0,Q153-T153-U153)*Ipotesi!$C$92</f>
        <v>0</v>
      </c>
      <c r="W153" s="15" t="n">
        <f aca="false">MAX(0,SUM(M149:M153)+Parametri_v3!$C$55*5/12)*Ipotesi!$C$93</f>
        <v>0</v>
      </c>
      <c r="X153" s="15" t="n">
        <f aca="false">V153+W153-(V152+W152)</f>
        <v>0</v>
      </c>
      <c r="Y153" s="15" t="n">
        <f aca="false">P153-X153</f>
        <v>-40300.7927488137</v>
      </c>
      <c r="Z153" s="15" t="n">
        <f aca="false">R153-T153+IF(AND(Parametri_v3!$C$40=1,D153-YEAR(Parametri_v3!$C$50)&lt;Parametri_v3!$C$41),MAX(0,-Q153),0)</f>
        <v>635647.67185219</v>
      </c>
      <c r="AA153" s="15" t="n">
        <f aca="false">S153-U153+IF(AND(Parametri_v3!$C$40=1,D153-YEAR(Parametri_v3!$C$50)&lt;Parametri_v3!$C$41),0,MAX(0,-Q153))</f>
        <v>0</v>
      </c>
      <c r="AB153" s="15" t="n">
        <f aca="false">F153*(1+Parametri_v3!$C$26)</f>
        <v>88560.4614646961</v>
      </c>
      <c r="AC153" s="15" t="n">
        <f aca="false">(IF(29-(INT((Motore_Operativo!L153)/30))&lt;1,0,INDEX(Motore_Startup!$AB$125:$AB$184,MAX(1,29-(INT((Motore_Operativo!L153)/30)))))*(1-(MOD((Motore_Operativo!L153),30)/30))+IF(29-(INT((Motore_Operativo!L153)/30))-1&lt;1,0,INDEX(Motore_Startup!$AB$125:$AB$184,MAX(1,29-(INT((Motore_Operativo!L153)/30))-1)))*(MOD((Motore_Operativo!L153),30)/30))</f>
        <v>80902.6659497673</v>
      </c>
      <c r="AD153" s="15" t="n">
        <f aca="false">(AD152)+AB153-AC153</f>
        <v>254909.243013553</v>
      </c>
      <c r="AE153" s="15" t="n">
        <f aca="false">Motore_Operativo!BH153*(1+Parametri_v3!$C$26)</f>
        <v>7381</v>
      </c>
      <c r="AF153" s="15" t="n">
        <f aca="false">(IF(29-(INT((Parametri_v3!$C$29)/30))&lt;1,0,INDEX(Motore_Operativo!$BH$125:$BH$184,MAX(1,29-(INT((Parametri_v3!$C$29)/30)))))*(1-(MOD((Parametri_v3!$C$29),30)/30))+IF(29-(INT((Parametri_v3!$C$29)/30))-1&lt;1,0,INDEX(Motore_Operativo!$BH$125:$BH$184,MAX(1,29-(INT((Parametri_v3!$C$29)/30))-1)))*(MOD((Parametri_v3!$C$29),30)/30))*(1+Parametri_v3!$C$26)</f>
        <v>7381</v>
      </c>
      <c r="AG153" s="15" t="n">
        <f aca="false">(AG152)+AE153-AF153</f>
        <v>7381</v>
      </c>
      <c r="AH153" s="15" t="n">
        <f aca="false">(Motore_Operativo!CJ153)*(1+Parametri_v3!$C$27*Parametri_v3!$C$26)</f>
        <v>50875.6223001666</v>
      </c>
      <c r="AI153" s="15" t="n">
        <f aca="false">(IF(29-(INT((Ipotesi!$C$91)/30))&lt;1,0,INDEX(Motore_Startup!$AH$125:$AH$184,MAX(1,29-(INT((Ipotesi!$C$91)/30)))))*(1-(MOD((Ipotesi!$C$91),30)/30))+IF(29-(INT((Ipotesi!$C$91)/30))-1&lt;1,0,INDEX(Motore_Startup!$AH$125:$AH$184,MAX(1,29-(INT((Ipotesi!$C$91)/30))-1)))*(MOD((Ipotesi!$C$91),30)/30))</f>
        <v>49967.8097553019</v>
      </c>
      <c r="AJ153" s="15" t="n">
        <f aca="false">(AJ152)+AH153-AI153</f>
        <v>101191.750215184</v>
      </c>
      <c r="AK153" s="15" t="n">
        <f aca="false">(F153+ Motore_Operativo!BH153-(Motore_Operativo!CJ153)*Parametri_v3!$C$27-Motore_Operativo!CE153)*Parametri_v3!$C$26</f>
        <v>8735.97288613721</v>
      </c>
      <c r="AL153" s="15" t="n">
        <f aca="false">MAX(0,(AM152))</f>
        <v>8083.4202219797</v>
      </c>
      <c r="AM153" s="15" t="n">
        <f aca="false">(AM152)+AK153-AL153</f>
        <v>8735.97288613721</v>
      </c>
      <c r="AN153" s="15" t="n">
        <f aca="false">SUM(X137:X148)</f>
        <v>0</v>
      </c>
      <c r="AO153" s="15" t="n">
        <f aca="false">SUM(AP137:AP148)</f>
        <v>0</v>
      </c>
      <c r="AP153" s="15" t="n">
        <f aca="false">MAX(0,AN153)*IF(5=Parametri_v3!$C$43,Parametri_v3!$C$45,IF(5=Parametri_v3!$C$44,1-Parametri_v3!$C$45,0))</f>
        <v>0</v>
      </c>
      <c r="AQ153" s="15" t="n">
        <f aca="false">MAX(0,AP153+IF(5=Parametri_v3!$C$43,MAX(0,AN153-AO153),0)-MAX(0,-(AR152)))</f>
        <v>0</v>
      </c>
      <c r="AR153" s="15" t="n">
        <f aca="false">(AR152)+X153-AQ153</f>
        <v>0</v>
      </c>
      <c r="AS153" s="15" t="n">
        <f aca="false">Motore_Operativo!AB153-AT153+AU153</f>
        <v>70559.9833333333</v>
      </c>
      <c r="AT153" s="15" t="n">
        <f aca="false">Motore_Operativo!CH153</f>
        <v>3713.68333333333</v>
      </c>
      <c r="AU153" s="15" t="n">
        <f aca="false">MIN(MAX(0,(AV152)+AT153),Parametri_v3!$C$60/12)</f>
        <v>0</v>
      </c>
      <c r="AV153" s="15" t="n">
        <f aca="false">(AV152)+AT153-AU153</f>
        <v>53175.9166666667</v>
      </c>
      <c r="AW153" s="15" t="n">
        <f aca="false">IF(AND(Motore_Operativo!C153=Finanziamenti!$D$6,Finanziamenti!$F$6=1),Finanziamenti!$C$6,0)</f>
        <v>0</v>
      </c>
      <c r="AX153" s="15" t="n">
        <f aca="false">IF(AND(3&lt;&gt;7,3&lt;&gt;9,Finanziamenti!$F$8=1,OR(Parametri_v3!$C$6=0,Finanziamenti!$E$8=1),Motore_Operativo!C153=EDATE(Finanziamenti!$D$8,Ipotesi!E15*12)),Finanziamenti!$C$8*1,0)+IF(AND(3&lt;&gt;7,3&lt;&gt;9,Finanziamenti!$F$9=1,OR(Parametri_v3!$C$6=0,Finanziamenti!$E$9=1),Motore_Operativo!C153=EDATE(Finanziamenti!$D$9,Ipotesi!E15*12)),Finanziamenti!$C$9*Ipotesi!E16,0)</f>
        <v>0</v>
      </c>
      <c r="AY153" s="15" t="n">
        <f aca="false">0</f>
        <v>0</v>
      </c>
      <c r="AZ153" s="15" t="n">
        <f aca="false">Motore_Advisory!AY153*(1-Ipotesi!$C$95)*Ipotesi!$C$96</f>
        <v>0</v>
      </c>
      <c r="BA153" s="15" t="n">
        <f aca="false">MAX(0,MIN(CG153*MIN(1,IF(Motore_Operativo!C153&gt;=EDATE(Finanziamenti!$D$15,Ipotesi!E14*12),Finanziamenti!$C$15,0)+IF(Motore_Operativo!C153&gt;=EDATE(Finanziamenti!$D$16,Ipotesi!E14*12),Finanziamenti!$C$16,0)+IF(Motore_Operativo!C153&gt;=EDATE(Finanziamenti!$D$17,Ipotesi!E14*12),Finanziamenti!$C$17,0)),CA153*Ipotesi!$C$102)-(CC152))</f>
        <v>0</v>
      </c>
      <c r="BB153" s="15" t="n">
        <f aca="false">IF(AND(CF153&gt;0,Motore_Operativo!C153&gt;=IF(CF153=0,0,EDATE(CF153,Parametri_v3!$C$37)),MOD(((D153-YEAR(IF(CF153=0,0,EDATE(CF153,Parametri_v3!$C$37))))*12+E153-MONTH(IF(CF153=0,0,EDATE(CF153,Parametri_v3!$C$37)))),Parametri_v3!$C$38)=0),MIN(MAX(0,(BC152)+BA153-N153),(CC153-CD153)/(Ipotesi!$C$108*12/Parametri_v3!$C$38)),0)</f>
        <v>0</v>
      </c>
      <c r="BC153" s="15" t="n">
        <f aca="false">(BC152)+BA153-N153-BB153</f>
        <v>201506.567534315</v>
      </c>
      <c r="BD153" s="15" t="n">
        <f aca="false">(BH152)+AC153+AF153-AI153-AS153-K153*(1+Parametri_v3!$C$26)-AL153-AQ153-O153+AW153+AX153+AZ153+BA153-BB153</f>
        <v>-18976.3872955205</v>
      </c>
      <c r="BE153" s="15" t="n">
        <f aca="false">MAX(0,MIN(MAX(0,CH153-(BG152)),Parametri_v3!$C$30-BD153))</f>
        <v>30232.0130654126</v>
      </c>
      <c r="BF153" s="15" t="n">
        <f aca="false">IF(Motore_Operativo!C153&gt;=Parametri_v3!$C$63,(BG152),MIN((BG152),MAX(0,BD153-Parametri_v3!$C$30)))</f>
        <v>0</v>
      </c>
      <c r="BG153" s="15" t="n">
        <f aca="false">(BG152)+BE153-BF153</f>
        <v>150000</v>
      </c>
      <c r="BH153" s="15" t="n">
        <f aca="false">BD153+BE153-BF153-AY153</f>
        <v>11255.6257698921</v>
      </c>
      <c r="BI153" s="15" t="n">
        <f aca="false">MAX(0,Parametri_v3!$C$30-BH153)</f>
        <v>13744.3742301079</v>
      </c>
      <c r="BJ153" s="15" t="n">
        <f aca="false">(BJ152)+K153</f>
        <v>57500</v>
      </c>
      <c r="BK153" s="15" t="n">
        <f aca="false">(BK152)+L153</f>
        <v>22083.3333333333</v>
      </c>
      <c r="BL153" s="15" t="n">
        <f aca="false">BJ153-BK153</f>
        <v>35416.6666666667</v>
      </c>
      <c r="BM153" s="15" t="n">
        <f aca="false">(BM152)+Y153</f>
        <v>-635647.67185219</v>
      </c>
      <c r="BN153" s="15" t="n">
        <f aca="false">(BN152)+AW153+AX153+AZ153</f>
        <v>430000</v>
      </c>
      <c r="BO153" s="15" t="n">
        <f aca="false">(BO152)+AY153</f>
        <v>0</v>
      </c>
      <c r="BP153" s="15" t="n">
        <f aca="false">0</f>
        <v>0</v>
      </c>
      <c r="BQ153" s="15" t="n">
        <f aca="false">BN153+BM153-BO153</f>
        <v>-205647.67185219</v>
      </c>
      <c r="BR153" s="15" t="n">
        <f aca="false">BH153+AD153+BL153+MAX(0,-AM153)+MAX(0,-AR153)+AG153</f>
        <v>308962.535450111</v>
      </c>
      <c r="BS153" s="15" t="n">
        <f aca="false">AJ153+AV153+MAX(0,AM153)+MAX(0,AR153)+BC153+BG153+BQ153</f>
        <v>308962.535450112</v>
      </c>
      <c r="BT153" s="15" t="n">
        <f aca="false">BR153-BS153</f>
        <v>0</v>
      </c>
      <c r="BU153" s="15" t="n">
        <f aca="false">BH153-(BD153+BE153-BF153-AY153)</f>
        <v>0</v>
      </c>
      <c r="BV153" s="15" t="n">
        <f aca="false">MIN(Piano_SS!$C$6,(BV152)+IF(AND(Motore_Operativo!C153&gt;=EDATE(Parametri_v3!$C$24,Ipotesi!E14*12),Motore_Operativo!C153&lt;EDATE(Parametri_v3!$C$24,Parametri_v3!$C$25+Ipotesi!E14*12)),MAX(0,(Motore_Operativo!Y153+Motore_Operativo!X153*Parametri_v3!$C$14)*(1-Parametri_v3!$C$32))*Piano_SS!$D$6,0))</f>
        <v>299157.177083333</v>
      </c>
      <c r="BW153" s="15" t="n">
        <f aca="false">MIN(Piano_SS!$C$7,(BW152)+IF(AND(Motore_Operativo!C153&gt;=EDATE(Parametri_v3!$C$24,Ipotesi!E14*12),Motore_Operativo!C153&lt;EDATE(Parametri_v3!$C$24,Parametri_v3!$C$25+Ipotesi!E14*12)),MAX(0,(IF(29-(INT((Ipotesi!$C$91)/30))&lt;1,0,INDEX(Motore_Operativo!$BN$125:$BN$184,MAX(1,29-(INT((Ipotesi!$C$91)/30)))))*(1-(MOD((Ipotesi!$C$91),30)/30))+IF(29-(INT((Ipotesi!$C$91)/30))-1&lt;1,0,INDEX(Motore_Operativo!$BN$125:$BN$184,MAX(1,29-(INT((Ipotesi!$C$91)/30))-1)))*(MOD((Ipotesi!$C$91),30)/30)))*Piano_SS!$D$7,0))</f>
        <v>40978.1800237011</v>
      </c>
      <c r="BX153" s="15" t="n">
        <f aca="false">MIN(Piano_SS!$C$8,(BX152)+IF(AND(Motore_Operativo!C153&gt;=EDATE(Parametri_v3!$C$24,Ipotesi!E14*12),Motore_Operativo!C153&lt;EDATE(Parametri_v3!$C$24,Parametri_v3!$C$25+Ipotesi!E14*12)),MAX(0,Motore_Operativo!CE153)*Piano_SS!$D$8,0))</f>
        <v>47500</v>
      </c>
      <c r="BY153" s="15" t="n">
        <f aca="false">MIN(Piano_SS!$C$9,(BY152)+IF(AND(Motore_Operativo!C153&gt;=EDATE(Parametri_v3!$C$24,Ipotesi!E14*12),Motore_Operativo!C153&lt;EDATE(Parametri_v3!$C$24,Parametri_v3!$C$25+Ipotesi!E14*12)),MAX(0,((IF(29-(INT((Ipotesi!$C$91)/30))&lt;1,0,INDEX(Motore_Operativo!$BQ$125:$BQ$184,MAX(1,29-(INT((Ipotesi!$C$91)/30)))))*(1-(MOD((Ipotesi!$C$91),30)/30))+IF(29-(INT((Ipotesi!$C$91)/30))-1&lt;1,0,INDEX(Motore_Operativo!$BQ$125:$BQ$184,MAX(1,29-(INT((Ipotesi!$C$91)/30))-1)))*(MOD((Ipotesi!$C$91),30)/30))+(IF(29-(INT((Ipotesi!$C$91)/30))&lt;1,0,INDEX(Motore_Operativo!$BR$125:$BR$184,MAX(1,29-(INT((Ipotesi!$C$91)/30)))))*(1-(MOD((Ipotesi!$C$91),30)/30))+IF(29-(INT((Ipotesi!$C$91)/30))-1&lt;1,0,INDEX(Motore_Operativo!$BR$125:$BR$184,MAX(1,29-(INT((Ipotesi!$C$91)/30))-1)))*(MOD((Ipotesi!$C$91),30)/30))))*Piano_SS!$D$9,0))</f>
        <v>40000</v>
      </c>
      <c r="BZ153" s="15" t="n">
        <f aca="false">MIN(Piano_SS!$C$10,(BZ152)+IF(AND(Motore_Operativo!C153&gt;=EDATE(Parametri_v3!$C$24,Ipotesi!E14*12),Motore_Operativo!C153&lt;EDATE(Parametri_v3!$C$24,Parametri_v3!$C$25+Ipotesi!E14*12)),MAX(0,(IF(29-(INT((Ipotesi!$C$91)/30))&lt;1,0,INDEX(Motore_Operativo!$BO$125:$BO$184,MAX(1,29-(INT((Ipotesi!$C$91)/30)))))*(1-(MOD((Ipotesi!$C$91),30)/30))+IF(29-(INT((Ipotesi!$C$91)/30))-1&lt;1,0,INDEX(Motore_Operativo!$BO$125:$BO$184,MAX(1,29-(INT((Ipotesi!$C$91)/30))-1)))*(MOD((Ipotesi!$C$91),30)/30)))*Piano_SS!$D$10,0))</f>
        <v>30000</v>
      </c>
      <c r="CA153" s="15" t="n">
        <f aca="false">SUM(BV153:BZ153)</f>
        <v>457635.357107035</v>
      </c>
      <c r="CB153" s="15" t="n">
        <f aca="false">BV153*(1-Piano_SS!$E$6)+BW153*(1-Piano_SS!$E$7)+BX153*(1-Piano_SS!$E$8)+BY153*(1-Piano_SS!$E$9)+BZ153*(1-Piano_SS!$E$10)</f>
        <v>427635.357107035</v>
      </c>
      <c r="CC153" s="15" t="n">
        <f aca="false">(CC152)+BA153</f>
        <v>280000</v>
      </c>
      <c r="CD153" s="15" t="n">
        <f aca="false">IF(CA153=0,0,CC153*CB153/CA153*Ipotesi!$C$103*Parametri_v3!$C$64)</f>
        <v>78493.4324656855</v>
      </c>
      <c r="CE153" s="18" t="n">
        <f aca="false">IF(BA153&gt;0,Motore_Operativo!C153,(CE152))</f>
        <v>47150</v>
      </c>
      <c r="CF153" s="18" t="n">
        <f aca="false">IF(AND(CC153&gt;0,OR(CC153&gt;=CG153-0.01,Motore_Operativo!C153&gt;=EDATE(MAX(Finanziamenti!$D$15:$D$17),Ipotesi!E14*12))),CE153,0)</f>
        <v>0</v>
      </c>
      <c r="CG153" s="15" t="n">
        <f aca="false">IF(AND(3&lt;&gt;6,3&lt;&gt;9,Finanziamenti!$F$11=1,OR(Parametri_v3!$C$6=0,Finanziamenti!$E$11=1)),MIN(Finanziamenti!$C$11,Piano_SS!$C$12*Ipotesi!$C$102),0)</f>
        <v>400000</v>
      </c>
      <c r="CH153" s="15" t="n">
        <f aca="false">IF(AND(AND(3&lt;&gt;8,3&lt;&gt;9,Finanziamenti!$F$10=1,OR(Parametri_v3!$C$6=0,Finanziamenti!$E$10=1)),Motore_Operativo!C153&gt;=Finanziamenti!$D$10,Motore_Operativo!C153&lt;Parametri_v3!$C$63),Finanziamenti!$C$10,0)</f>
        <v>150000</v>
      </c>
    </row>
    <row r="154" customFormat="false" ht="18" hidden="false" customHeight="true" outlineLevel="0" collapsed="false">
      <c r="A154" s="68" t="n">
        <f aca="false">3</f>
        <v>3</v>
      </c>
      <c r="B154" s="68" t="n">
        <f aca="false">30</f>
        <v>30</v>
      </c>
      <c r="C154" s="18" t="n">
        <f aca="false">Motore_Operativo!C154</f>
        <v>47270</v>
      </c>
      <c r="D154" s="68" t="n">
        <f aca="false">Motore_Operativo!D154</f>
        <v>2029</v>
      </c>
      <c r="E154" s="68" t="n">
        <f aca="false">Motore_Operativo!E154</f>
        <v>6</v>
      </c>
      <c r="F154" s="15" t="n">
        <f aca="false">Motore_Operativo!AQ154+Motore_Operativo!BF154</f>
        <v>75927.9083106862</v>
      </c>
      <c r="G154" s="15" t="n">
        <f aca="false">Motore_Operativo!BH154</f>
        <v>6050</v>
      </c>
      <c r="H154" s="15" t="n">
        <f aca="false">Motore_Operativo!BI154</f>
        <v>81977.9083106862</v>
      </c>
      <c r="I154" s="15" t="n">
        <f aca="false">Motore_Operativo!CA154</f>
        <v>117601.573830163</v>
      </c>
      <c r="J154" s="15" t="n">
        <f aca="false">Motore_Operativo!CC154</f>
        <v>-35623.6655194765</v>
      </c>
      <c r="K154" s="15" t="n">
        <f aca="false">Motore_Operativo!CE154</f>
        <v>2500</v>
      </c>
      <c r="L154" s="15" t="n">
        <f aca="false">SUM(INDEX($K$125:$K$184,MAX(1,30-Parametri_v3!$C$59+1)):K154)/Parametri_v3!$C$59</f>
        <v>1666.66666666667</v>
      </c>
      <c r="M154" s="15" t="n">
        <f aca="false">J154-L154</f>
        <v>-37290.3321861432</v>
      </c>
      <c r="N154" s="15" t="n">
        <f aca="false">CD154-(CD153)</f>
        <v>25683.3866406426</v>
      </c>
      <c r="O154" s="15" t="n">
        <f aca="false">(BG153)*Ipotesi!$C$110/12+CH154*Parametri_v3!$C$39/12</f>
        <v>750</v>
      </c>
      <c r="P154" s="15" t="n">
        <f aca="false">M154+N154-O154</f>
        <v>-12356.9455455006</v>
      </c>
      <c r="Q154" s="15" t="n">
        <f aca="false">SUM(P149:P154)+Parametri_v3!$C$54*6/12</f>
        <v>-220453.767432821</v>
      </c>
      <c r="R154" s="15" t="n">
        <f aca="false">Z148</f>
        <v>427550.84996487</v>
      </c>
      <c r="S154" s="15" t="n">
        <f aca="false">AA148</f>
        <v>0</v>
      </c>
      <c r="T154" s="15" t="n">
        <f aca="false">MIN(R154,MAX(0,Q154))</f>
        <v>0</v>
      </c>
      <c r="U154" s="15" t="n">
        <f aca="false">MIN(S154,MAX(0,Q154-T154)*Parametri_v3!$C$42)</f>
        <v>0</v>
      </c>
      <c r="V154" s="15" t="n">
        <f aca="false">MAX(0,Q154-T154-U154)*Ipotesi!$C$92</f>
        <v>0</v>
      </c>
      <c r="W154" s="15" t="n">
        <f aca="false">MAX(0,SUM(M149:M154)+Parametri_v3!$C$55*6/12)*Ipotesi!$C$93</f>
        <v>0</v>
      </c>
      <c r="X154" s="15" t="n">
        <f aca="false">V154+W154-(V153+W153)</f>
        <v>0</v>
      </c>
      <c r="Y154" s="15" t="n">
        <f aca="false">P154-X154</f>
        <v>-12356.9455455006</v>
      </c>
      <c r="Z154" s="15" t="n">
        <f aca="false">R154-T154+IF(AND(Parametri_v3!$C$40=1,D154-YEAR(Parametri_v3!$C$50)&lt;Parametri_v3!$C$41),MAX(0,-Q154),0)</f>
        <v>648004.617397691</v>
      </c>
      <c r="AA154" s="15" t="n">
        <f aca="false">S154-U154+IF(AND(Parametri_v3!$C$40=1,D154-YEAR(Parametri_v3!$C$50)&lt;Parametri_v3!$C$41),0,MAX(0,-Q154))</f>
        <v>0</v>
      </c>
      <c r="AB154" s="15" t="n">
        <f aca="false">F154*(1+Parametri_v3!$C$26)</f>
        <v>92632.0481390372</v>
      </c>
      <c r="AC154" s="15" t="n">
        <f aca="false">(IF(30-(INT((Motore_Operativo!L154)/30))&lt;1,0,INDEX(Motore_Startup!$AB$125:$AB$184,MAX(1,30-(INT((Motore_Operativo!L154)/30)))))*(1-(MOD((Motore_Operativo!L154),30)/30))+IF(30-(INT((Motore_Operativo!L154)/30))-1&lt;1,0,INDEX(Motore_Startup!$AB$125:$AB$184,MAX(1,30-(INT((Motore_Operativo!L154)/30))-1)))*(MOD((Motore_Operativo!L154),30)/30))</f>
        <v>81895.8128623677</v>
      </c>
      <c r="AD154" s="15" t="n">
        <f aca="false">(AD153)+AB154-AC154</f>
        <v>265645.478290222</v>
      </c>
      <c r="AE154" s="15" t="n">
        <f aca="false">Motore_Operativo!BH154*(1+Parametri_v3!$C$26)</f>
        <v>7381</v>
      </c>
      <c r="AF154" s="15" t="n">
        <f aca="false">(IF(30-(INT((Parametri_v3!$C$29)/30))&lt;1,0,INDEX(Motore_Operativo!$BH$125:$BH$184,MAX(1,30-(INT((Parametri_v3!$C$29)/30)))))*(1-(MOD((Parametri_v3!$C$29),30)/30))+IF(30-(INT((Parametri_v3!$C$29)/30))-1&lt;1,0,INDEX(Motore_Operativo!$BH$125:$BH$184,MAX(1,30-(INT((Parametri_v3!$C$29)/30))-1)))*(MOD((Parametri_v3!$C$29),30)/30))*(1+Parametri_v3!$C$26)</f>
        <v>7381</v>
      </c>
      <c r="AG154" s="15" t="n">
        <f aca="false">(AG153)+AE154-AF154</f>
        <v>7381</v>
      </c>
      <c r="AH154" s="15" t="n">
        <f aca="false">(Motore_Operativo!CJ154)*(1+Parametri_v3!$C$27*Parametri_v3!$C$26)</f>
        <v>51430.2258030698</v>
      </c>
      <c r="AI154" s="15" t="n">
        <f aca="false">(IF(30-(INT((Ipotesi!$C$91)/30))&lt;1,0,INDEX(Motore_Startup!$AH$125:$AH$184,MAX(1,30-(INT((Ipotesi!$C$91)/30)))))*(1-(MOD((Ipotesi!$C$91),30)/30))+IF(30-(INT((Ipotesi!$C$91)/30))-1&lt;1,0,INDEX(Motore_Startup!$AH$125:$AH$184,MAX(1,30-(INT((Ipotesi!$C$91)/30))-1)))*(MOD((Ipotesi!$C$91),30)/30))</f>
        <v>50316.127915017</v>
      </c>
      <c r="AJ154" s="15" t="n">
        <f aca="false">(AJ153)+AH154-AI154</f>
        <v>102305.848103236</v>
      </c>
      <c r="AK154" s="15" t="n">
        <f aca="false">(F154+ Motore_Operativo!BH154-(Motore_Operativo!CJ154)*Parametri_v3!$C$27-Motore_Operativo!CE154)*Parametri_v3!$C$26</f>
        <v>9382.82118877721</v>
      </c>
      <c r="AL154" s="15" t="n">
        <f aca="false">MAX(0,(AM153))</f>
        <v>8735.97288613721</v>
      </c>
      <c r="AM154" s="15" t="n">
        <f aca="false">(AM153)+AK154-AL154</f>
        <v>9382.82118877721</v>
      </c>
      <c r="AN154" s="15" t="n">
        <f aca="false">SUM(X137:X148)</f>
        <v>0</v>
      </c>
      <c r="AO154" s="15" t="n">
        <f aca="false">SUM(AP137:AP148)</f>
        <v>0</v>
      </c>
      <c r="AP154" s="15" t="n">
        <f aca="false">MAX(0,AN154)*IF(6=Parametri_v3!$C$43,Parametri_v3!$C$45,IF(6=Parametri_v3!$C$44,1-Parametri_v3!$C$45,0))</f>
        <v>0</v>
      </c>
      <c r="AQ154" s="15" t="n">
        <f aca="false">MAX(0,AP154+IF(6=Parametri_v3!$C$43,MAX(0,AN154-AO154),0)-MAX(0,-(AR153)))</f>
        <v>0</v>
      </c>
      <c r="AR154" s="15" t="n">
        <f aca="false">(AR153)+X154-AQ154</f>
        <v>0</v>
      </c>
      <c r="AS154" s="15" t="n">
        <f aca="false">Motore_Operativo!AB154-AT154+AU154</f>
        <v>70559.9833333333</v>
      </c>
      <c r="AT154" s="15" t="n">
        <f aca="false">Motore_Operativo!CH154</f>
        <v>3713.68333333333</v>
      </c>
      <c r="AU154" s="15" t="n">
        <f aca="false">MIN(MAX(0,(AV153)+AT154),Parametri_v3!$C$60/12)</f>
        <v>0</v>
      </c>
      <c r="AV154" s="15" t="n">
        <f aca="false">(AV153)+AT154-AU154</f>
        <v>56889.6</v>
      </c>
      <c r="AW154" s="15" t="n">
        <f aca="false">IF(AND(Motore_Operativo!C154=Finanziamenti!$D$6,Finanziamenti!$F$6=1),Finanziamenti!$C$6,0)</f>
        <v>0</v>
      </c>
      <c r="AX154" s="15" t="n">
        <f aca="false">IF(AND(3&lt;&gt;7,3&lt;&gt;9,Finanziamenti!$F$8=1,OR(Parametri_v3!$C$6=0,Finanziamenti!$E$8=1),Motore_Operativo!C154=EDATE(Finanziamenti!$D$8,Ipotesi!E15*12)),Finanziamenti!$C$8*1,0)+IF(AND(3&lt;&gt;7,3&lt;&gt;9,Finanziamenti!$F$9=1,OR(Parametri_v3!$C$6=0,Finanziamenti!$E$9=1),Motore_Operativo!C154=EDATE(Finanziamenti!$D$9,Ipotesi!E15*12)),Finanziamenti!$C$9*Ipotesi!E16,0)</f>
        <v>900000</v>
      </c>
      <c r="AY154" s="15" t="n">
        <f aca="false">0</f>
        <v>0</v>
      </c>
      <c r="AZ154" s="15" t="n">
        <f aca="false">Motore_Advisory!AY154*(1-Ipotesi!$C$95)*Ipotesi!$C$96</f>
        <v>0</v>
      </c>
      <c r="BA154" s="15" t="n">
        <f aca="false">MAX(0,MIN(CG154*MIN(1,IF(Motore_Operativo!C154&gt;=EDATE(Finanziamenti!$D$15,Ipotesi!E14*12),Finanziamenti!$C$15,0)+IF(Motore_Operativo!C154&gt;=EDATE(Finanziamenti!$D$16,Ipotesi!E14*12),Finanziamenti!$C$16,0)+IF(Motore_Operativo!C154&gt;=EDATE(Finanziamenti!$D$17,Ipotesi!E14*12),Finanziamenti!$C$17,0)),CA154*Ipotesi!$C$102)-(CC153))</f>
        <v>91256.0636877603</v>
      </c>
      <c r="BB154" s="15" t="n">
        <f aca="false">IF(AND(CF154&gt;0,Motore_Operativo!C154&gt;=IF(CF154=0,0,EDATE(CF154,Parametri_v3!$C$37)),MOD(((D154-YEAR(IF(CF154=0,0,EDATE(CF154,Parametri_v3!$C$37))))*12+E154-MONTH(IF(CF154=0,0,EDATE(CF154,Parametri_v3!$C$37)))),Parametri_v3!$C$38)=0),MIN(MAX(0,(BC153)+BA154-N154),(CC154-CD154)/(Ipotesi!$C$108*12/Parametri_v3!$C$38)),0)</f>
        <v>0</v>
      </c>
      <c r="BC154" s="15" t="n">
        <f aca="false">(BC153)+BA154-N154-BB154</f>
        <v>267079.244581432</v>
      </c>
      <c r="BD154" s="15" t="n">
        <f aca="false">(BH153)+AC154+AF154-AI154-AS154-K154*(1+Parametri_v3!$C$26)-AL154-AQ154-O154+AW154+AX154+AZ154+BA154-BB154</f>
        <v>958376.418185533</v>
      </c>
      <c r="BE154" s="15" t="n">
        <f aca="false">MAX(0,MIN(MAX(0,CH154-(BG153)),Parametri_v3!$C$30-BD154))</f>
        <v>0</v>
      </c>
      <c r="BF154" s="15" t="n">
        <f aca="false">IF(Motore_Operativo!C154&gt;=Parametri_v3!$C$63,(BG153),MIN((BG153),MAX(0,BD154-Parametri_v3!$C$30)))</f>
        <v>150000</v>
      </c>
      <c r="BG154" s="15" t="n">
        <f aca="false">(BG153)+BE154-BF154</f>
        <v>0</v>
      </c>
      <c r="BH154" s="15" t="n">
        <f aca="false">BD154+BE154-BF154-AY154</f>
        <v>808376.418185533</v>
      </c>
      <c r="BI154" s="15" t="n">
        <f aca="false">MAX(0,Parametri_v3!$C$30-BH154)</f>
        <v>0</v>
      </c>
      <c r="BJ154" s="15" t="n">
        <f aca="false">(BJ153)+K154</f>
        <v>60000</v>
      </c>
      <c r="BK154" s="15" t="n">
        <f aca="false">(BK153)+L154</f>
        <v>23750</v>
      </c>
      <c r="BL154" s="15" t="n">
        <f aca="false">BJ154-BK154</f>
        <v>36250</v>
      </c>
      <c r="BM154" s="15" t="n">
        <f aca="false">(BM153)+Y154</f>
        <v>-648004.617397691</v>
      </c>
      <c r="BN154" s="15" t="n">
        <f aca="false">(BN153)+AW154+AX154+AZ154</f>
        <v>1330000</v>
      </c>
      <c r="BO154" s="15" t="n">
        <f aca="false">(BO153)+AY154</f>
        <v>0</v>
      </c>
      <c r="BP154" s="15" t="n">
        <f aca="false">0</f>
        <v>0</v>
      </c>
      <c r="BQ154" s="15" t="n">
        <f aca="false">BN154+BM154-BO154</f>
        <v>681995.382602309</v>
      </c>
      <c r="BR154" s="15" t="n">
        <f aca="false">BH154+AD154+BL154+MAX(0,-AM154)+MAX(0,-AR154)+AG154</f>
        <v>1117652.89647575</v>
      </c>
      <c r="BS154" s="15" t="n">
        <f aca="false">AJ154+AV154+MAX(0,AM154)+MAX(0,AR154)+BC154+BG154+BQ154</f>
        <v>1117652.89647576</v>
      </c>
      <c r="BT154" s="15" t="n">
        <f aca="false">BR154-BS154</f>
        <v>0</v>
      </c>
      <c r="BU154" s="15" t="n">
        <f aca="false">BH154-(BD154+BE154-BF154-AY154)</f>
        <v>0</v>
      </c>
      <c r="BV154" s="15" t="n">
        <f aca="false">MIN(Piano_SS!$C$6,(BV153)+IF(AND(Motore_Operativo!C154&gt;=EDATE(Parametri_v3!$C$24,Ipotesi!E14*12),Motore_Operativo!C154&lt;EDATE(Parametri_v3!$C$24,Parametri_v3!$C$25+Ipotesi!E14*12)),MAX(0,(Motore_Operativo!Y154+Motore_Operativo!X154*Parametri_v3!$C$14)*(1-Parametri_v3!$C$32))*Piano_SS!$D$6,0))</f>
        <v>300000</v>
      </c>
      <c r="BW154" s="15" t="n">
        <f aca="false">MIN(Piano_SS!$C$7,(BW153)+IF(AND(Motore_Operativo!C154&gt;=EDATE(Parametri_v3!$C$24,Ipotesi!E14*12),Motore_Operativo!C154&lt;EDATE(Parametri_v3!$C$24,Parametri_v3!$C$25+Ipotesi!E14*12)),MAX(0,(IF(30-(INT((Ipotesi!$C$91)/30))&lt;1,0,INDEX(Motore_Operativo!$BN$125:$BN$184,MAX(1,30-(INT((Ipotesi!$C$91)/30)))))*(1-(MOD((Ipotesi!$C$91),30)/30))+IF(30-(INT((Ipotesi!$C$91)/30))-1&lt;1,0,INDEX(Motore_Operativo!$BN$125:$BN$184,MAX(1,30-(INT((Ipotesi!$C$91)/30))-1)))*(MOD((Ipotesi!$C$91),30)/30)))*Piano_SS!$D$7,0))</f>
        <v>44070.0796097004</v>
      </c>
      <c r="BX154" s="15" t="n">
        <f aca="false">MIN(Piano_SS!$C$8,(BX153)+IF(AND(Motore_Operativo!C154&gt;=EDATE(Parametri_v3!$C$24,Ipotesi!E14*12),Motore_Operativo!C154&lt;EDATE(Parametri_v3!$C$24,Parametri_v3!$C$25+Ipotesi!E14*12)),MAX(0,Motore_Operativo!CE154)*Piano_SS!$D$8,0))</f>
        <v>50000</v>
      </c>
      <c r="BY154" s="15" t="n">
        <f aca="false">MIN(Piano_SS!$C$9,(BY153)+IF(AND(Motore_Operativo!C154&gt;=EDATE(Parametri_v3!$C$24,Ipotesi!E14*12),Motore_Operativo!C154&lt;EDATE(Parametri_v3!$C$24,Parametri_v3!$C$25+Ipotesi!E14*12)),MAX(0,((IF(30-(INT((Ipotesi!$C$91)/30))&lt;1,0,INDEX(Motore_Operativo!$BQ$125:$BQ$184,MAX(1,30-(INT((Ipotesi!$C$91)/30)))))*(1-(MOD((Ipotesi!$C$91),30)/30))+IF(30-(INT((Ipotesi!$C$91)/30))-1&lt;1,0,INDEX(Motore_Operativo!$BQ$125:$BQ$184,MAX(1,30-(INT((Ipotesi!$C$91)/30))-1)))*(MOD((Ipotesi!$C$91),30)/30))+(IF(30-(INT((Ipotesi!$C$91)/30))&lt;1,0,INDEX(Motore_Operativo!$BR$125:$BR$184,MAX(1,30-(INT((Ipotesi!$C$91)/30)))))*(1-(MOD((Ipotesi!$C$91),30)/30))+IF(30-(INT((Ipotesi!$C$91)/30))-1&lt;1,0,INDEX(Motore_Operativo!$BR$125:$BR$184,MAX(1,30-(INT((Ipotesi!$C$91)/30))-1)))*(MOD((Ipotesi!$C$91),30)/30))))*Piano_SS!$D$9,0))</f>
        <v>40000</v>
      </c>
      <c r="BZ154" s="15" t="n">
        <f aca="false">MIN(Piano_SS!$C$10,(BZ153)+IF(AND(Motore_Operativo!C154&gt;=EDATE(Parametri_v3!$C$24,Ipotesi!E14*12),Motore_Operativo!C154&lt;EDATE(Parametri_v3!$C$24,Parametri_v3!$C$25+Ipotesi!E14*12)),MAX(0,(IF(30-(INT((Ipotesi!$C$91)/30))&lt;1,0,INDEX(Motore_Operativo!$BO$125:$BO$184,MAX(1,30-(INT((Ipotesi!$C$91)/30)))))*(1-(MOD((Ipotesi!$C$91),30)/30))+IF(30-(INT((Ipotesi!$C$91)/30))-1&lt;1,0,INDEX(Motore_Operativo!$BO$125:$BO$184,MAX(1,30-(INT((Ipotesi!$C$91)/30))-1)))*(MOD((Ipotesi!$C$91),30)/30)))*Piano_SS!$D$10,0))</f>
        <v>30000</v>
      </c>
      <c r="CA154" s="15" t="n">
        <f aca="false">SUM(BV154:BZ154)</f>
        <v>464070.0796097</v>
      </c>
      <c r="CB154" s="15" t="n">
        <f aca="false">BV154*(1-Piano_SS!$E$6)+BW154*(1-Piano_SS!$E$7)+BX154*(1-Piano_SS!$E$8)+BY154*(1-Piano_SS!$E$9)+BZ154*(1-Piano_SS!$E$10)</f>
        <v>434070.0796097</v>
      </c>
      <c r="CC154" s="15" t="n">
        <f aca="false">(CC153)+BA154</f>
        <v>371256.06368776</v>
      </c>
      <c r="CD154" s="15" t="n">
        <f aca="false">IF(CA154=0,0,CC154*CB154/CA154*Ipotesi!$C$103*Parametri_v3!$C$64)</f>
        <v>104176.819106328</v>
      </c>
      <c r="CE154" s="18" t="n">
        <f aca="false">IF(BA154&gt;0,Motore_Operativo!C154,(CE153))</f>
        <v>47270</v>
      </c>
      <c r="CF154" s="18" t="n">
        <f aca="false">IF(AND(CC154&gt;0,OR(CC154&gt;=CG154-0.01,Motore_Operativo!C154&gt;=EDATE(MAX(Finanziamenti!$D$15:$D$17),Ipotesi!E14*12))),CE154,0)</f>
        <v>47270</v>
      </c>
      <c r="CG154" s="15" t="n">
        <f aca="false">IF(AND(3&lt;&gt;6,3&lt;&gt;9,Finanziamenti!$F$11=1,OR(Parametri_v3!$C$6=0,Finanziamenti!$E$11=1)),MIN(Finanziamenti!$C$11,Piano_SS!$C$12*Ipotesi!$C$102),0)</f>
        <v>400000</v>
      </c>
      <c r="CH154" s="15" t="n">
        <f aca="false">IF(AND(AND(3&lt;&gt;8,3&lt;&gt;9,Finanziamenti!$F$10=1,OR(Parametri_v3!$C$6=0,Finanziamenti!$E$10=1)),Motore_Operativo!C154&gt;=Finanziamenti!$D$10,Motore_Operativo!C154&lt;Parametri_v3!$C$63),Finanziamenti!$C$10,0)</f>
        <v>150000</v>
      </c>
    </row>
    <row r="155" customFormat="false" ht="18" hidden="false" customHeight="true" outlineLevel="0" collapsed="false">
      <c r="A155" s="68" t="n">
        <f aca="false">3</f>
        <v>3</v>
      </c>
      <c r="B155" s="68" t="n">
        <f aca="false">31</f>
        <v>31</v>
      </c>
      <c r="C155" s="18" t="n">
        <f aca="false">Motore_Operativo!C155</f>
        <v>47300</v>
      </c>
      <c r="D155" s="68" t="n">
        <f aca="false">Motore_Operativo!D155</f>
        <v>2029</v>
      </c>
      <c r="E155" s="68" t="n">
        <f aca="false">Motore_Operativo!E155</f>
        <v>7</v>
      </c>
      <c r="F155" s="15" t="n">
        <f aca="false">Motore_Operativo!AQ155+Motore_Operativo!BF155</f>
        <v>79236.100480904</v>
      </c>
      <c r="G155" s="15" t="n">
        <f aca="false">Motore_Operativo!BH155</f>
        <v>6050</v>
      </c>
      <c r="H155" s="15" t="n">
        <f aca="false">Motore_Operativo!BI155</f>
        <v>85286.100480904</v>
      </c>
      <c r="I155" s="15" t="n">
        <f aca="false">Motore_Operativo!CA155</f>
        <v>118064.720733993</v>
      </c>
      <c r="J155" s="15" t="n">
        <f aca="false">Motore_Operativo!CC155</f>
        <v>-32778.6202530893</v>
      </c>
      <c r="K155" s="15" t="n">
        <f aca="false">Motore_Operativo!CE155</f>
        <v>2500</v>
      </c>
      <c r="L155" s="15" t="n">
        <f aca="false">SUM(INDEX($K$125:$K$184,MAX(1,31-Parametri_v3!$C$59+1)):K155)/Parametri_v3!$C$59</f>
        <v>1736.11111111111</v>
      </c>
      <c r="M155" s="15" t="n">
        <f aca="false">J155-L155</f>
        <v>-34514.7313642004</v>
      </c>
      <c r="N155" s="15" t="n">
        <f aca="false">CD155-(CD154)</f>
        <v>0</v>
      </c>
      <c r="O155" s="15" t="n">
        <f aca="false">(BG154)*Ipotesi!$C$110/12+CH155*Parametri_v3!$C$39/12</f>
        <v>0</v>
      </c>
      <c r="P155" s="15" t="n">
        <f aca="false">M155+N155-O155</f>
        <v>-34514.7313642004</v>
      </c>
      <c r="Q155" s="15" t="n">
        <f aca="false">SUM(P149:P155)+Parametri_v3!$C$54*7/12</f>
        <v>-254968.498797021</v>
      </c>
      <c r="R155" s="15" t="n">
        <f aca="false">Z148</f>
        <v>427550.84996487</v>
      </c>
      <c r="S155" s="15" t="n">
        <f aca="false">AA148</f>
        <v>0</v>
      </c>
      <c r="T155" s="15" t="n">
        <f aca="false">MIN(R155,MAX(0,Q155))</f>
        <v>0</v>
      </c>
      <c r="U155" s="15" t="n">
        <f aca="false">MIN(S155,MAX(0,Q155-T155)*Parametri_v3!$C$42)</f>
        <v>0</v>
      </c>
      <c r="V155" s="15" t="n">
        <f aca="false">MAX(0,Q155-T155-U155)*Ipotesi!$C$92</f>
        <v>0</v>
      </c>
      <c r="W155" s="15" t="n">
        <f aca="false">MAX(0,SUM(M149:M155)+Parametri_v3!$C$55*7/12)*Ipotesi!$C$93</f>
        <v>0</v>
      </c>
      <c r="X155" s="15" t="n">
        <f aca="false">V155+W155-(V154+W154)</f>
        <v>0</v>
      </c>
      <c r="Y155" s="15" t="n">
        <f aca="false">P155-X155</f>
        <v>-34514.7313642004</v>
      </c>
      <c r="Z155" s="15" t="n">
        <f aca="false">R155-T155+IF(AND(Parametri_v3!$C$40=1,D155-YEAR(Parametri_v3!$C$50)&lt;Parametri_v3!$C$41),MAX(0,-Q155),0)</f>
        <v>682519.348761892</v>
      </c>
      <c r="AA155" s="15" t="n">
        <f aca="false">S155-U155+IF(AND(Parametri_v3!$C$40=1,D155-YEAR(Parametri_v3!$C$50)&lt;Parametri_v3!$C$41),0,MAX(0,-Q155))</f>
        <v>0</v>
      </c>
      <c r="AB155" s="15" t="n">
        <f aca="false">F155*(1+Parametri_v3!$C$26)</f>
        <v>96668.0425867028</v>
      </c>
      <c r="AC155" s="15" t="n">
        <f aca="false">(IF(31-(INT((Motore_Operativo!L155)/30))&lt;1,0,INDEX(Motore_Startup!$AB$125:$AB$184,MAX(1,31-(INT((Motore_Operativo!L155)/30)))))*(1-(MOD((Motore_Operativo!L155),30)/30))+IF(31-(INT((Motore_Operativo!L155)/30))-1&lt;1,0,INDEX(Motore_Startup!$AB$125:$AB$184,MAX(1,31-(INT((Motore_Operativo!L155)/30))-1)))*(MOD((Motore_Operativo!L155),30)/30))</f>
        <v>84452.9686864887</v>
      </c>
      <c r="AD155" s="15" t="n">
        <f aca="false">(AD154)+AB155-AC155</f>
        <v>277860.552190436</v>
      </c>
      <c r="AE155" s="15" t="n">
        <f aca="false">Motore_Operativo!BH155*(1+Parametri_v3!$C$26)</f>
        <v>7381</v>
      </c>
      <c r="AF155" s="15" t="n">
        <f aca="false">(IF(31-(INT((Parametri_v3!$C$29)/30))&lt;1,0,INDEX(Motore_Operativo!$BH$125:$BH$184,MAX(1,31-(INT((Parametri_v3!$C$29)/30)))))*(1-(MOD((Parametri_v3!$C$29),30)/30))+IF(31-(INT((Parametri_v3!$C$29)/30))-1&lt;1,0,INDEX(Motore_Operativo!$BH$125:$BH$184,MAX(1,31-(INT((Parametri_v3!$C$29)/30))-1)))*(MOD((Parametri_v3!$C$29),30)/30))*(1+Parametri_v3!$C$26)</f>
        <v>7381</v>
      </c>
      <c r="AG155" s="15" t="n">
        <f aca="false">(AG154)+AE155-AF155</f>
        <v>7381</v>
      </c>
      <c r="AH155" s="15" t="n">
        <f aca="false">(Motore_Operativo!CJ155)*(1+Parametri_v3!$C$27*Parametri_v3!$C$26)</f>
        <v>51979.9811779166</v>
      </c>
      <c r="AI155" s="15" t="n">
        <f aca="false">(IF(31-(INT((Ipotesi!$C$91)/30))&lt;1,0,INDEX(Motore_Startup!$AH$125:$AH$184,MAX(1,31-(INT((Ipotesi!$C$91)/30)))))*(1-(MOD((Ipotesi!$C$91),30)/30))+IF(31-(INT((Ipotesi!$C$91)/30))-1&lt;1,0,INDEX(Motore_Startup!$AH$125:$AH$184,MAX(1,31-(INT((Ipotesi!$C$91)/30))-1)))*(MOD((Ipotesi!$C$91),30)/30))</f>
        <v>50875.6223001666</v>
      </c>
      <c r="AJ155" s="15" t="n">
        <f aca="false">(AJ154)+AH155-AI155</f>
        <v>103410.206980986</v>
      </c>
      <c r="AK155" s="15" t="n">
        <f aca="false">(F155+ Motore_Operativo!BH155-(Motore_Operativo!CJ155)*Parametri_v3!$C$27-Motore_Operativo!CE155)*Parametri_v3!$C$26</f>
        <v>10024.0149952088</v>
      </c>
      <c r="AL155" s="15" t="n">
        <f aca="false">MAX(0,(AM154))</f>
        <v>9382.82118877721</v>
      </c>
      <c r="AM155" s="15" t="n">
        <f aca="false">(AM154)+AK155-AL155</f>
        <v>10024.0149952088</v>
      </c>
      <c r="AN155" s="15" t="n">
        <f aca="false">SUM(X137:X148)</f>
        <v>0</v>
      </c>
      <c r="AO155" s="15" t="n">
        <f aca="false">SUM(AP137:AP148)</f>
        <v>0</v>
      </c>
      <c r="AP155" s="15" t="n">
        <f aca="false">MAX(0,AN155)*IF(7=Parametri_v3!$C$43,Parametri_v3!$C$45,IF(7=Parametri_v3!$C$44,1-Parametri_v3!$C$45,0))</f>
        <v>0</v>
      </c>
      <c r="AQ155" s="15" t="n">
        <f aca="false">MAX(0,AP155+IF(7=Parametri_v3!$C$43,MAX(0,AN155-AO155),0)-MAX(0,-(AR154)))</f>
        <v>0</v>
      </c>
      <c r="AR155" s="15" t="n">
        <f aca="false">(AR154)+X155-AQ155</f>
        <v>0</v>
      </c>
      <c r="AS155" s="15" t="n">
        <f aca="false">Motore_Operativo!AB155-AT155+AU155</f>
        <v>70559.9833333333</v>
      </c>
      <c r="AT155" s="15" t="n">
        <f aca="false">Motore_Operativo!CH155</f>
        <v>3713.68333333333</v>
      </c>
      <c r="AU155" s="15" t="n">
        <f aca="false">MIN(MAX(0,(AV154)+AT155),Parametri_v3!$C$60/12)</f>
        <v>0</v>
      </c>
      <c r="AV155" s="15" t="n">
        <f aca="false">(AV154)+AT155-AU155</f>
        <v>60603.2833333334</v>
      </c>
      <c r="AW155" s="15" t="n">
        <f aca="false">IF(AND(Motore_Operativo!C155=Finanziamenti!$D$6,Finanziamenti!$F$6=1),Finanziamenti!$C$6,0)</f>
        <v>0</v>
      </c>
      <c r="AX155" s="15" t="n">
        <f aca="false">IF(AND(3&lt;&gt;7,3&lt;&gt;9,Finanziamenti!$F$8=1,OR(Parametri_v3!$C$6=0,Finanziamenti!$E$8=1),Motore_Operativo!C155=EDATE(Finanziamenti!$D$8,Ipotesi!E15*12)),Finanziamenti!$C$8*1,0)+IF(AND(3&lt;&gt;7,3&lt;&gt;9,Finanziamenti!$F$9=1,OR(Parametri_v3!$C$6=0,Finanziamenti!$E$9=1),Motore_Operativo!C155=EDATE(Finanziamenti!$D$9,Ipotesi!E15*12)),Finanziamenti!$C$9*Ipotesi!E16,0)</f>
        <v>0</v>
      </c>
      <c r="AY155" s="15" t="n">
        <f aca="false">0</f>
        <v>0</v>
      </c>
      <c r="AZ155" s="15" t="n">
        <f aca="false">Motore_Advisory!AY155*(1-Ipotesi!$C$95)*Ipotesi!$C$96</f>
        <v>0</v>
      </c>
      <c r="BA155" s="15" t="n">
        <f aca="false">MAX(0,MIN(CG155*MIN(1,IF(Motore_Operativo!C155&gt;=EDATE(Finanziamenti!$D$15,Ipotesi!E14*12),Finanziamenti!$C$15,0)+IF(Motore_Operativo!C155&gt;=EDATE(Finanziamenti!$D$16,Ipotesi!E14*12),Finanziamenti!$C$16,0)+IF(Motore_Operativo!C155&gt;=EDATE(Finanziamenti!$D$17,Ipotesi!E14*12),Finanziamenti!$C$17,0)),CA155*Ipotesi!$C$102)-(CC154))</f>
        <v>0</v>
      </c>
      <c r="BB155" s="15" t="n">
        <f aca="false">IF(AND(CF155&gt;0,Motore_Operativo!C155&gt;=IF(CF155=0,0,EDATE(CF155,Parametri_v3!$C$37)),MOD(((D155-YEAR(IF(CF155=0,0,EDATE(CF155,Parametri_v3!$C$37))))*12+E155-MONTH(IF(CF155=0,0,EDATE(CF155,Parametri_v3!$C$37)))),Parametri_v3!$C$38)=0),MIN(MAX(0,(BC154)+BA155-N155),(CC155-CD155)/(Ipotesi!$C$108*12/Parametri_v3!$C$38)),0)</f>
        <v>0</v>
      </c>
      <c r="BC155" s="15" t="n">
        <f aca="false">(BC154)+BA155-N155-BB155</f>
        <v>267079.244581432</v>
      </c>
      <c r="BD155" s="15" t="n">
        <f aca="false">(BH154)+AC155+AF155-AI155-AS155-K155*(1+Parametri_v3!$C$26)-AL155-AQ155-O155+AW155+AX155+AZ155+BA155-BB155</f>
        <v>766341.960049744</v>
      </c>
      <c r="BE155" s="15" t="n">
        <f aca="false">MAX(0,MIN(MAX(0,CH155-(BG154)),Parametri_v3!$C$30-BD155))</f>
        <v>0</v>
      </c>
      <c r="BF155" s="15" t="n">
        <f aca="false">IF(Motore_Operativo!C155&gt;=Parametri_v3!$C$63,(BG154),MIN((BG154),MAX(0,BD155-Parametri_v3!$C$30)))</f>
        <v>0</v>
      </c>
      <c r="BG155" s="15" t="n">
        <f aca="false">(BG154)+BE155-BF155</f>
        <v>0</v>
      </c>
      <c r="BH155" s="15" t="n">
        <f aca="false">BD155+BE155-BF155-AY155</f>
        <v>766341.960049744</v>
      </c>
      <c r="BI155" s="15" t="n">
        <f aca="false">MAX(0,Parametri_v3!$C$30-BH155)</f>
        <v>0</v>
      </c>
      <c r="BJ155" s="15" t="n">
        <f aca="false">(BJ154)+K155</f>
        <v>62500</v>
      </c>
      <c r="BK155" s="15" t="n">
        <f aca="false">(BK154)+L155</f>
        <v>25486.1111111111</v>
      </c>
      <c r="BL155" s="15" t="n">
        <f aca="false">BJ155-BK155</f>
        <v>37013.8888888889</v>
      </c>
      <c r="BM155" s="15" t="n">
        <f aca="false">(BM154)+Y155</f>
        <v>-682519.348761891</v>
      </c>
      <c r="BN155" s="15" t="n">
        <f aca="false">(BN154)+AW155+AX155+AZ155</f>
        <v>1330000</v>
      </c>
      <c r="BO155" s="15" t="n">
        <f aca="false">(BO154)+AY155</f>
        <v>0</v>
      </c>
      <c r="BP155" s="15" t="n">
        <f aca="false">0</f>
        <v>0</v>
      </c>
      <c r="BQ155" s="15" t="n">
        <f aca="false">BN155+BM155-BO155</f>
        <v>647480.651238109</v>
      </c>
      <c r="BR155" s="15" t="n">
        <f aca="false">BH155+AD155+BL155+MAX(0,-AM155)+MAX(0,-AR155)+AG155</f>
        <v>1088597.40112907</v>
      </c>
      <c r="BS155" s="15" t="n">
        <f aca="false">AJ155+AV155+MAX(0,AM155)+MAX(0,AR155)+BC155+BG155+BQ155</f>
        <v>1088597.40112907</v>
      </c>
      <c r="BT155" s="15" t="n">
        <f aca="false">BR155-BS155</f>
        <v>0</v>
      </c>
      <c r="BU155" s="15" t="n">
        <f aca="false">BH155-(BD155+BE155-BF155-AY155)</f>
        <v>0</v>
      </c>
      <c r="BV155" s="15" t="n">
        <f aca="false">MIN(Piano_SS!$C$6,(BV154)+IF(AND(Motore_Operativo!C155&gt;=EDATE(Parametri_v3!$C$24,Ipotesi!E14*12),Motore_Operativo!C155&lt;EDATE(Parametri_v3!$C$24,Parametri_v3!$C$25+Ipotesi!E14*12)),MAX(0,(Motore_Operativo!Y155+Motore_Operativo!X155*Parametri_v3!$C$14)*(1-Parametri_v3!$C$32))*Piano_SS!$D$6,0))</f>
        <v>300000</v>
      </c>
      <c r="BW155" s="15" t="n">
        <f aca="false">MIN(Piano_SS!$C$7,(BW154)+IF(AND(Motore_Operativo!C155&gt;=EDATE(Parametri_v3!$C$24,Ipotesi!E14*12),Motore_Operativo!C155&lt;EDATE(Parametri_v3!$C$24,Parametri_v3!$C$25+Ipotesi!E14*12)),MAX(0,(IF(31-(INT((Ipotesi!$C$91)/30))&lt;1,0,INDEX(Motore_Operativo!$BN$125:$BN$184,MAX(1,31-(INT((Ipotesi!$C$91)/30)))))*(1-(MOD((Ipotesi!$C$91),30)/30))+IF(31-(INT((Ipotesi!$C$91)/30))-1&lt;1,0,INDEX(Motore_Operativo!$BN$125:$BN$184,MAX(1,31-(INT((Ipotesi!$C$91)/30))-1)))*(MOD((Ipotesi!$C$91),30)/30)))*Piano_SS!$D$7,0))</f>
        <v>44070.0796097004</v>
      </c>
      <c r="BX155" s="15" t="n">
        <f aca="false">MIN(Piano_SS!$C$8,(BX154)+IF(AND(Motore_Operativo!C155&gt;=EDATE(Parametri_v3!$C$24,Ipotesi!E14*12),Motore_Operativo!C155&lt;EDATE(Parametri_v3!$C$24,Parametri_v3!$C$25+Ipotesi!E14*12)),MAX(0,Motore_Operativo!CE155)*Piano_SS!$D$8,0))</f>
        <v>50000</v>
      </c>
      <c r="BY155" s="15" t="n">
        <f aca="false">MIN(Piano_SS!$C$9,(BY154)+IF(AND(Motore_Operativo!C155&gt;=EDATE(Parametri_v3!$C$24,Ipotesi!E14*12),Motore_Operativo!C155&lt;EDATE(Parametri_v3!$C$24,Parametri_v3!$C$25+Ipotesi!E14*12)),MAX(0,((IF(31-(INT((Ipotesi!$C$91)/30))&lt;1,0,INDEX(Motore_Operativo!$BQ$125:$BQ$184,MAX(1,31-(INT((Ipotesi!$C$91)/30)))))*(1-(MOD((Ipotesi!$C$91),30)/30))+IF(31-(INT((Ipotesi!$C$91)/30))-1&lt;1,0,INDEX(Motore_Operativo!$BQ$125:$BQ$184,MAX(1,31-(INT((Ipotesi!$C$91)/30))-1)))*(MOD((Ipotesi!$C$91),30)/30))+(IF(31-(INT((Ipotesi!$C$91)/30))&lt;1,0,INDEX(Motore_Operativo!$BR$125:$BR$184,MAX(1,31-(INT((Ipotesi!$C$91)/30)))))*(1-(MOD((Ipotesi!$C$91),30)/30))+IF(31-(INT((Ipotesi!$C$91)/30))-1&lt;1,0,INDEX(Motore_Operativo!$BR$125:$BR$184,MAX(1,31-(INT((Ipotesi!$C$91)/30))-1)))*(MOD((Ipotesi!$C$91),30)/30))))*Piano_SS!$D$9,0))</f>
        <v>40000</v>
      </c>
      <c r="BZ155" s="15" t="n">
        <f aca="false">MIN(Piano_SS!$C$10,(BZ154)+IF(AND(Motore_Operativo!C155&gt;=EDATE(Parametri_v3!$C$24,Ipotesi!E14*12),Motore_Operativo!C155&lt;EDATE(Parametri_v3!$C$24,Parametri_v3!$C$25+Ipotesi!E14*12)),MAX(0,(IF(31-(INT((Ipotesi!$C$91)/30))&lt;1,0,INDEX(Motore_Operativo!$BO$125:$BO$184,MAX(1,31-(INT((Ipotesi!$C$91)/30)))))*(1-(MOD((Ipotesi!$C$91),30)/30))+IF(31-(INT((Ipotesi!$C$91)/30))-1&lt;1,0,INDEX(Motore_Operativo!$BO$125:$BO$184,MAX(1,31-(INT((Ipotesi!$C$91)/30))-1)))*(MOD((Ipotesi!$C$91),30)/30)))*Piano_SS!$D$10,0))</f>
        <v>30000</v>
      </c>
      <c r="CA155" s="15" t="n">
        <f aca="false">SUM(BV155:BZ155)</f>
        <v>464070.0796097</v>
      </c>
      <c r="CB155" s="15" t="n">
        <f aca="false">BV155*(1-Piano_SS!$E$6)+BW155*(1-Piano_SS!$E$7)+BX155*(1-Piano_SS!$E$8)+BY155*(1-Piano_SS!$E$9)+BZ155*(1-Piano_SS!$E$10)</f>
        <v>434070.0796097</v>
      </c>
      <c r="CC155" s="15" t="n">
        <f aca="false">(CC154)+BA155</f>
        <v>371256.06368776</v>
      </c>
      <c r="CD155" s="15" t="n">
        <f aca="false">IF(CA155=0,0,CC155*CB155/CA155*Ipotesi!$C$103*Parametri_v3!$C$64)</f>
        <v>104176.819106328</v>
      </c>
      <c r="CE155" s="18" t="n">
        <f aca="false">IF(BA155&gt;0,Motore_Operativo!C155,(CE154))</f>
        <v>47270</v>
      </c>
      <c r="CF155" s="18" t="n">
        <f aca="false">IF(AND(CC155&gt;0,OR(CC155&gt;=CG155-0.01,Motore_Operativo!C155&gt;=EDATE(MAX(Finanziamenti!$D$15:$D$17),Ipotesi!E14*12))),CE155,0)</f>
        <v>47270</v>
      </c>
      <c r="CG155" s="15" t="n">
        <f aca="false">IF(AND(3&lt;&gt;6,3&lt;&gt;9,Finanziamenti!$F$11=1,OR(Parametri_v3!$C$6=0,Finanziamenti!$E$11=1)),MIN(Finanziamenti!$C$11,Piano_SS!$C$12*Ipotesi!$C$102),0)</f>
        <v>400000</v>
      </c>
      <c r="CH155" s="15" t="n">
        <f aca="false">IF(AND(AND(3&lt;&gt;8,3&lt;&gt;9,Finanziamenti!$F$10=1,OR(Parametri_v3!$C$6=0,Finanziamenti!$E$10=1)),Motore_Operativo!C155&gt;=Finanziamenti!$D$10,Motore_Operativo!C155&lt;Parametri_v3!$C$63),Finanziamenti!$C$10,0)</f>
        <v>150000</v>
      </c>
    </row>
    <row r="156" customFormat="false" ht="18" hidden="false" customHeight="true" outlineLevel="0" collapsed="false">
      <c r="A156" s="68" t="n">
        <f aca="false">3</f>
        <v>3</v>
      </c>
      <c r="B156" s="68" t="n">
        <f aca="false">32</f>
        <v>32</v>
      </c>
      <c r="C156" s="18" t="n">
        <f aca="false">Motore_Operativo!C156</f>
        <v>47331</v>
      </c>
      <c r="D156" s="68" t="n">
        <f aca="false">Motore_Operativo!D156</f>
        <v>2029</v>
      </c>
      <c r="E156" s="68" t="n">
        <f aca="false">Motore_Operativo!E156</f>
        <v>8</v>
      </c>
      <c r="F156" s="15" t="n">
        <f aca="false">Motore_Operativo!AQ156+Motore_Operativo!BF156</f>
        <v>82515.3737222063</v>
      </c>
      <c r="G156" s="15" t="n">
        <f aca="false">Motore_Operativo!BH156</f>
        <v>6050</v>
      </c>
      <c r="H156" s="15" t="n">
        <f aca="false">Motore_Operativo!BI156</f>
        <v>88565.3737222063</v>
      </c>
      <c r="I156" s="15" t="n">
        <f aca="false">Motore_Operativo!CA156</f>
        <v>118523.818987776</v>
      </c>
      <c r="J156" s="15" t="n">
        <f aca="false">Motore_Operativo!CC156</f>
        <v>-29958.4452655692</v>
      </c>
      <c r="K156" s="15" t="n">
        <f aca="false">Motore_Operativo!CE156</f>
        <v>2500</v>
      </c>
      <c r="L156" s="15" t="n">
        <f aca="false">SUM(INDEX($K$125:$K$184,MAX(1,32-Parametri_v3!$C$59+1)):K156)/Parametri_v3!$C$59</f>
        <v>1805.55555555556</v>
      </c>
      <c r="M156" s="15" t="n">
        <f aca="false">J156-L156</f>
        <v>-31764.0008211248</v>
      </c>
      <c r="N156" s="15" t="n">
        <f aca="false">CD156-(CD155)</f>
        <v>0</v>
      </c>
      <c r="O156" s="15" t="n">
        <f aca="false">(BG155)*Ipotesi!$C$110/12+CH156*Parametri_v3!$C$39/12</f>
        <v>0</v>
      </c>
      <c r="P156" s="15" t="n">
        <f aca="false">M156+N156-O156</f>
        <v>-31764.0008211248</v>
      </c>
      <c r="Q156" s="15" t="n">
        <f aca="false">SUM(P149:P156)+Parametri_v3!$C$54*8/12</f>
        <v>-286732.499618146</v>
      </c>
      <c r="R156" s="15" t="n">
        <f aca="false">Z148</f>
        <v>427550.84996487</v>
      </c>
      <c r="S156" s="15" t="n">
        <f aca="false">AA148</f>
        <v>0</v>
      </c>
      <c r="T156" s="15" t="n">
        <f aca="false">MIN(R156,MAX(0,Q156))</f>
        <v>0</v>
      </c>
      <c r="U156" s="15" t="n">
        <f aca="false">MIN(S156,MAX(0,Q156-T156)*Parametri_v3!$C$42)</f>
        <v>0</v>
      </c>
      <c r="V156" s="15" t="n">
        <f aca="false">MAX(0,Q156-T156-U156)*Ipotesi!$C$92</f>
        <v>0</v>
      </c>
      <c r="W156" s="15" t="n">
        <f aca="false">MAX(0,SUM(M149:M156)+Parametri_v3!$C$55*8/12)*Ipotesi!$C$93</f>
        <v>0</v>
      </c>
      <c r="X156" s="15" t="n">
        <f aca="false">V156+W156-(V155+W155)</f>
        <v>0</v>
      </c>
      <c r="Y156" s="15" t="n">
        <f aca="false">P156-X156</f>
        <v>-31764.0008211248</v>
      </c>
      <c r="Z156" s="15" t="n">
        <f aca="false">R156-T156+IF(AND(Parametri_v3!$C$40=1,D156-YEAR(Parametri_v3!$C$50)&lt;Parametri_v3!$C$41),MAX(0,-Q156),0)</f>
        <v>714283.349583016</v>
      </c>
      <c r="AA156" s="15" t="n">
        <f aca="false">S156-U156+IF(AND(Parametri_v3!$C$40=1,D156-YEAR(Parametri_v3!$C$50)&lt;Parametri_v3!$C$41),0,MAX(0,-Q156))</f>
        <v>0</v>
      </c>
      <c r="AB156" s="15" t="n">
        <f aca="false">F156*(1+Parametri_v3!$C$26)</f>
        <v>100668.755941092</v>
      </c>
      <c r="AC156" s="15" t="n">
        <f aca="false">(IF(32-(INT((Motore_Operativo!L156)/30))&lt;1,0,INDEX(Motore_Startup!$AB$125:$AB$184,MAX(1,32-(INT((Motore_Operativo!L156)/30)))))*(1-(MOD((Motore_Operativo!L156),30)/30))+IF(32-(INT((Motore_Operativo!L156)/30))-1&lt;1,0,INDEX(Motore_Startup!$AB$125:$AB$184,MAX(1,32-(INT((Motore_Operativo!L156)/30))-1)))*(MOD((Motore_Operativo!L156),30)/30))</f>
        <v>88560.4614646961</v>
      </c>
      <c r="AD156" s="15" t="n">
        <f aca="false">(AD155)+AB156-AC156</f>
        <v>289968.846666832</v>
      </c>
      <c r="AE156" s="15" t="n">
        <f aca="false">Motore_Operativo!BH156*(1+Parametri_v3!$C$26)</f>
        <v>7381</v>
      </c>
      <c r="AF156" s="15" t="n">
        <f aca="false">(IF(32-(INT((Parametri_v3!$C$29)/30))&lt;1,0,INDEX(Motore_Operativo!$BH$125:$BH$184,MAX(1,32-(INT((Parametri_v3!$C$29)/30)))))*(1-(MOD((Parametri_v3!$C$29),30)/30))+IF(32-(INT((Parametri_v3!$C$29)/30))-1&lt;1,0,INDEX(Motore_Operativo!$BH$125:$BH$184,MAX(1,32-(INT((Parametri_v3!$C$29)/30))-1)))*(MOD((Parametri_v3!$C$29),30)/30))*(1+Parametri_v3!$C$26)</f>
        <v>7381</v>
      </c>
      <c r="AG156" s="15" t="n">
        <f aca="false">(AG155)+AE156-AF156</f>
        <v>7381</v>
      </c>
      <c r="AH156" s="15" t="n">
        <f aca="false">(Motore_Operativo!CJ156)*(1+Parametri_v3!$C$27*Parametri_v3!$C$26)</f>
        <v>52524.9308051562</v>
      </c>
      <c r="AI156" s="15" t="n">
        <f aca="false">(IF(32-(INT((Ipotesi!$C$91)/30))&lt;1,0,INDEX(Motore_Startup!$AH$125:$AH$184,MAX(1,32-(INT((Ipotesi!$C$91)/30)))))*(1-(MOD((Ipotesi!$C$91),30)/30))+IF(32-(INT((Ipotesi!$C$91)/30))-1&lt;1,0,INDEX(Motore_Startup!$AH$125:$AH$184,MAX(1,32-(INT((Ipotesi!$C$91)/30))-1)))*(MOD((Ipotesi!$C$91),30)/30))</f>
        <v>51430.2258030698</v>
      </c>
      <c r="AJ156" s="15" t="n">
        <f aca="false">(AJ155)+AH156-AI156</f>
        <v>104504.911983073</v>
      </c>
      <c r="AK156" s="15" t="n">
        <f aca="false">(F156+ Motore_Operativo!BH156-(Motore_Operativo!CJ156)*Parametri_v3!$C$27-Motore_Operativo!CE156)*Parametri_v3!$C$26</f>
        <v>10659.603734838</v>
      </c>
      <c r="AL156" s="15" t="n">
        <f aca="false">MAX(0,(AM155))</f>
        <v>10024.0149952088</v>
      </c>
      <c r="AM156" s="15" t="n">
        <f aca="false">(AM155)+AK156-AL156</f>
        <v>10659.603734838</v>
      </c>
      <c r="AN156" s="15" t="n">
        <f aca="false">SUM(X137:X148)</f>
        <v>0</v>
      </c>
      <c r="AO156" s="15" t="n">
        <f aca="false">SUM(AP137:AP148)</f>
        <v>0</v>
      </c>
      <c r="AP156" s="15" t="n">
        <f aca="false">MAX(0,AN156)*IF(8=Parametri_v3!$C$43,Parametri_v3!$C$45,IF(8=Parametri_v3!$C$44,1-Parametri_v3!$C$45,0))</f>
        <v>0</v>
      </c>
      <c r="AQ156" s="15" t="n">
        <f aca="false">MAX(0,AP156+IF(8=Parametri_v3!$C$43,MAX(0,AN156-AO156),0)-MAX(0,-(AR155)))</f>
        <v>0</v>
      </c>
      <c r="AR156" s="15" t="n">
        <f aca="false">(AR155)+X156-AQ156</f>
        <v>0</v>
      </c>
      <c r="AS156" s="15" t="n">
        <f aca="false">Motore_Operativo!AB156-AT156+AU156</f>
        <v>70559.9833333333</v>
      </c>
      <c r="AT156" s="15" t="n">
        <f aca="false">Motore_Operativo!CH156</f>
        <v>3713.68333333333</v>
      </c>
      <c r="AU156" s="15" t="n">
        <f aca="false">MIN(MAX(0,(AV155)+AT156),Parametri_v3!$C$60/12)</f>
        <v>0</v>
      </c>
      <c r="AV156" s="15" t="n">
        <f aca="false">(AV155)+AT156-AU156</f>
        <v>64316.9666666667</v>
      </c>
      <c r="AW156" s="15" t="n">
        <f aca="false">IF(AND(Motore_Operativo!C156=Finanziamenti!$D$6,Finanziamenti!$F$6=1),Finanziamenti!$C$6,0)</f>
        <v>0</v>
      </c>
      <c r="AX156" s="15" t="n">
        <f aca="false">IF(AND(3&lt;&gt;7,3&lt;&gt;9,Finanziamenti!$F$8=1,OR(Parametri_v3!$C$6=0,Finanziamenti!$E$8=1),Motore_Operativo!C156=EDATE(Finanziamenti!$D$8,Ipotesi!E15*12)),Finanziamenti!$C$8*1,0)+IF(AND(3&lt;&gt;7,3&lt;&gt;9,Finanziamenti!$F$9=1,OR(Parametri_v3!$C$6=0,Finanziamenti!$E$9=1),Motore_Operativo!C156=EDATE(Finanziamenti!$D$9,Ipotesi!E15*12)),Finanziamenti!$C$9*Ipotesi!E16,0)</f>
        <v>0</v>
      </c>
      <c r="AY156" s="15" t="n">
        <f aca="false">0</f>
        <v>0</v>
      </c>
      <c r="AZ156" s="15" t="n">
        <f aca="false">Motore_Advisory!AY156*(1-Ipotesi!$C$95)*Ipotesi!$C$96</f>
        <v>0</v>
      </c>
      <c r="BA156" s="15" t="n">
        <f aca="false">MAX(0,MIN(CG156*MIN(1,IF(Motore_Operativo!C156&gt;=EDATE(Finanziamenti!$D$15,Ipotesi!E14*12),Finanziamenti!$C$15,0)+IF(Motore_Operativo!C156&gt;=EDATE(Finanziamenti!$D$16,Ipotesi!E14*12),Finanziamenti!$C$16,0)+IF(Motore_Operativo!C156&gt;=EDATE(Finanziamenti!$D$17,Ipotesi!E14*12),Finanziamenti!$C$17,0)),CA156*Ipotesi!$C$102)-(CC155))</f>
        <v>0</v>
      </c>
      <c r="BB156" s="15" t="n">
        <f aca="false">IF(AND(CF156&gt;0,Motore_Operativo!C156&gt;=IF(CF156=0,0,EDATE(CF156,Parametri_v3!$C$37)),MOD(((D156-YEAR(IF(CF156=0,0,EDATE(CF156,Parametri_v3!$C$37))))*12+E156-MONTH(IF(CF156=0,0,EDATE(CF156,Parametri_v3!$C$37)))),Parametri_v3!$C$38)=0),MIN(MAX(0,(BC155)+BA156-N156),(CC156-CD156)/(Ipotesi!$C$108*12/Parametri_v3!$C$38)),0)</f>
        <v>0</v>
      </c>
      <c r="BC156" s="15" t="n">
        <f aca="false">(BC155)+BA156-N156-BB156</f>
        <v>267079.244581432</v>
      </c>
      <c r="BD156" s="15" t="n">
        <f aca="false">(BH155)+AC156+AF156-AI156-AS156-K156*(1+Parametri_v3!$C$26)-AL156-AQ156-O156+AW156+AX156+AZ156+BA156-BB156</f>
        <v>727219.197382828</v>
      </c>
      <c r="BE156" s="15" t="n">
        <f aca="false">MAX(0,MIN(MAX(0,CH156-(BG155)),Parametri_v3!$C$30-BD156))</f>
        <v>0</v>
      </c>
      <c r="BF156" s="15" t="n">
        <f aca="false">IF(Motore_Operativo!C156&gt;=Parametri_v3!$C$63,(BG155),MIN((BG155),MAX(0,BD156-Parametri_v3!$C$30)))</f>
        <v>0</v>
      </c>
      <c r="BG156" s="15" t="n">
        <f aca="false">(BG155)+BE156-BF156</f>
        <v>0</v>
      </c>
      <c r="BH156" s="15" t="n">
        <f aca="false">BD156+BE156-BF156-AY156</f>
        <v>727219.197382828</v>
      </c>
      <c r="BI156" s="15" t="n">
        <f aca="false">MAX(0,Parametri_v3!$C$30-BH156)</f>
        <v>0</v>
      </c>
      <c r="BJ156" s="15" t="n">
        <f aca="false">(BJ155)+K156</f>
        <v>65000</v>
      </c>
      <c r="BK156" s="15" t="n">
        <f aca="false">(BK155)+L156</f>
        <v>27291.6666666667</v>
      </c>
      <c r="BL156" s="15" t="n">
        <f aca="false">BJ156-BK156</f>
        <v>37708.3333333333</v>
      </c>
      <c r="BM156" s="15" t="n">
        <f aca="false">(BM155)+Y156</f>
        <v>-714283.349583016</v>
      </c>
      <c r="BN156" s="15" t="n">
        <f aca="false">(BN155)+AW156+AX156+AZ156</f>
        <v>1330000</v>
      </c>
      <c r="BO156" s="15" t="n">
        <f aca="false">(BO155)+AY156</f>
        <v>0</v>
      </c>
      <c r="BP156" s="15" t="n">
        <f aca="false">0</f>
        <v>0</v>
      </c>
      <c r="BQ156" s="15" t="n">
        <f aca="false">BN156+BM156-BO156</f>
        <v>615716.650416984</v>
      </c>
      <c r="BR156" s="15" t="n">
        <f aca="false">BH156+AD156+BL156+MAX(0,-AM156)+MAX(0,-AR156)+AG156</f>
        <v>1062277.37738299</v>
      </c>
      <c r="BS156" s="15" t="n">
        <f aca="false">AJ156+AV156+MAX(0,AM156)+MAX(0,AR156)+BC156+BG156+BQ156</f>
        <v>1062277.37738299</v>
      </c>
      <c r="BT156" s="15" t="n">
        <f aca="false">BR156-BS156</f>
        <v>0</v>
      </c>
      <c r="BU156" s="15" t="n">
        <f aca="false">BH156-(BD156+BE156-BF156-AY156)</f>
        <v>0</v>
      </c>
      <c r="BV156" s="15" t="n">
        <f aca="false">MIN(Piano_SS!$C$6,(BV155)+IF(AND(Motore_Operativo!C156&gt;=EDATE(Parametri_v3!$C$24,Ipotesi!E14*12),Motore_Operativo!C156&lt;EDATE(Parametri_v3!$C$24,Parametri_v3!$C$25+Ipotesi!E14*12)),MAX(0,(Motore_Operativo!Y156+Motore_Operativo!X156*Parametri_v3!$C$14)*(1-Parametri_v3!$C$32))*Piano_SS!$D$6,0))</f>
        <v>300000</v>
      </c>
      <c r="BW156" s="15" t="n">
        <f aca="false">MIN(Piano_SS!$C$7,(BW155)+IF(AND(Motore_Operativo!C156&gt;=EDATE(Parametri_v3!$C$24,Ipotesi!E14*12),Motore_Operativo!C156&lt;EDATE(Parametri_v3!$C$24,Parametri_v3!$C$25+Ipotesi!E14*12)),MAX(0,(IF(32-(INT((Ipotesi!$C$91)/30))&lt;1,0,INDEX(Motore_Operativo!$BN$125:$BN$184,MAX(1,32-(INT((Ipotesi!$C$91)/30)))))*(1-(MOD((Ipotesi!$C$91),30)/30))+IF(32-(INT((Ipotesi!$C$91)/30))-1&lt;1,0,INDEX(Motore_Operativo!$BN$125:$BN$184,MAX(1,32-(INT((Ipotesi!$C$91)/30))-1)))*(MOD((Ipotesi!$C$91),30)/30)))*Piano_SS!$D$7,0))</f>
        <v>44070.0796097004</v>
      </c>
      <c r="BX156" s="15" t="n">
        <f aca="false">MIN(Piano_SS!$C$8,(BX155)+IF(AND(Motore_Operativo!C156&gt;=EDATE(Parametri_v3!$C$24,Ipotesi!E14*12),Motore_Operativo!C156&lt;EDATE(Parametri_v3!$C$24,Parametri_v3!$C$25+Ipotesi!E14*12)),MAX(0,Motore_Operativo!CE156)*Piano_SS!$D$8,0))</f>
        <v>50000</v>
      </c>
      <c r="BY156" s="15" t="n">
        <f aca="false">MIN(Piano_SS!$C$9,(BY155)+IF(AND(Motore_Operativo!C156&gt;=EDATE(Parametri_v3!$C$24,Ipotesi!E14*12),Motore_Operativo!C156&lt;EDATE(Parametri_v3!$C$24,Parametri_v3!$C$25+Ipotesi!E14*12)),MAX(0,((IF(32-(INT((Ipotesi!$C$91)/30))&lt;1,0,INDEX(Motore_Operativo!$BQ$125:$BQ$184,MAX(1,32-(INT((Ipotesi!$C$91)/30)))))*(1-(MOD((Ipotesi!$C$91),30)/30))+IF(32-(INT((Ipotesi!$C$91)/30))-1&lt;1,0,INDEX(Motore_Operativo!$BQ$125:$BQ$184,MAX(1,32-(INT((Ipotesi!$C$91)/30))-1)))*(MOD((Ipotesi!$C$91),30)/30))+(IF(32-(INT((Ipotesi!$C$91)/30))&lt;1,0,INDEX(Motore_Operativo!$BR$125:$BR$184,MAX(1,32-(INT((Ipotesi!$C$91)/30)))))*(1-(MOD((Ipotesi!$C$91),30)/30))+IF(32-(INT((Ipotesi!$C$91)/30))-1&lt;1,0,INDEX(Motore_Operativo!$BR$125:$BR$184,MAX(1,32-(INT((Ipotesi!$C$91)/30))-1)))*(MOD((Ipotesi!$C$91),30)/30))))*Piano_SS!$D$9,0))</f>
        <v>40000</v>
      </c>
      <c r="BZ156" s="15" t="n">
        <f aca="false">MIN(Piano_SS!$C$10,(BZ155)+IF(AND(Motore_Operativo!C156&gt;=EDATE(Parametri_v3!$C$24,Ipotesi!E14*12),Motore_Operativo!C156&lt;EDATE(Parametri_v3!$C$24,Parametri_v3!$C$25+Ipotesi!E14*12)),MAX(0,(IF(32-(INT((Ipotesi!$C$91)/30))&lt;1,0,INDEX(Motore_Operativo!$BO$125:$BO$184,MAX(1,32-(INT((Ipotesi!$C$91)/30)))))*(1-(MOD((Ipotesi!$C$91),30)/30))+IF(32-(INT((Ipotesi!$C$91)/30))-1&lt;1,0,INDEX(Motore_Operativo!$BO$125:$BO$184,MAX(1,32-(INT((Ipotesi!$C$91)/30))-1)))*(MOD((Ipotesi!$C$91),30)/30)))*Piano_SS!$D$10,0))</f>
        <v>30000</v>
      </c>
      <c r="CA156" s="15" t="n">
        <f aca="false">SUM(BV156:BZ156)</f>
        <v>464070.0796097</v>
      </c>
      <c r="CB156" s="15" t="n">
        <f aca="false">BV156*(1-Piano_SS!$E$6)+BW156*(1-Piano_SS!$E$7)+BX156*(1-Piano_SS!$E$8)+BY156*(1-Piano_SS!$E$9)+BZ156*(1-Piano_SS!$E$10)</f>
        <v>434070.0796097</v>
      </c>
      <c r="CC156" s="15" t="n">
        <f aca="false">(CC155)+BA156</f>
        <v>371256.06368776</v>
      </c>
      <c r="CD156" s="15" t="n">
        <f aca="false">IF(CA156=0,0,CC156*CB156/CA156*Ipotesi!$C$103*Parametri_v3!$C$64)</f>
        <v>104176.819106328</v>
      </c>
      <c r="CE156" s="18" t="n">
        <f aca="false">IF(BA156&gt;0,Motore_Operativo!C156,(CE155))</f>
        <v>47270</v>
      </c>
      <c r="CF156" s="18" t="n">
        <f aca="false">IF(AND(CC156&gt;0,OR(CC156&gt;=CG156-0.01,Motore_Operativo!C156&gt;=EDATE(MAX(Finanziamenti!$D$15:$D$17),Ipotesi!E14*12))),CE156,0)</f>
        <v>47270</v>
      </c>
      <c r="CG156" s="15" t="n">
        <f aca="false">IF(AND(3&lt;&gt;6,3&lt;&gt;9,Finanziamenti!$F$11=1,OR(Parametri_v3!$C$6=0,Finanziamenti!$E$11=1)),MIN(Finanziamenti!$C$11,Piano_SS!$C$12*Ipotesi!$C$102),0)</f>
        <v>400000</v>
      </c>
      <c r="CH156" s="15" t="n">
        <f aca="false">IF(AND(AND(3&lt;&gt;8,3&lt;&gt;9,Finanziamenti!$F$10=1,OR(Parametri_v3!$C$6=0,Finanziamenti!$E$10=1)),Motore_Operativo!C156&gt;=Finanziamenti!$D$10,Motore_Operativo!C156&lt;Parametri_v3!$C$63),Finanziamenti!$C$10,0)</f>
        <v>150000</v>
      </c>
    </row>
    <row r="157" customFormat="false" ht="18" hidden="false" customHeight="true" outlineLevel="0" collapsed="false">
      <c r="A157" s="68" t="n">
        <f aca="false">3</f>
        <v>3</v>
      </c>
      <c r="B157" s="68" t="n">
        <f aca="false">33</f>
        <v>33</v>
      </c>
      <c r="C157" s="18" t="n">
        <f aca="false">Motore_Operativo!C157</f>
        <v>47362</v>
      </c>
      <c r="D157" s="68" t="n">
        <f aca="false">Motore_Operativo!D157</f>
        <v>2029</v>
      </c>
      <c r="E157" s="68" t="n">
        <f aca="false">Motore_Operativo!E157</f>
        <v>9</v>
      </c>
      <c r="F157" s="15" t="n">
        <f aca="false">Motore_Operativo!AQ157+Motore_Operativo!BF157</f>
        <v>85765.980832619</v>
      </c>
      <c r="G157" s="15" t="n">
        <f aca="false">Motore_Operativo!BH157</f>
        <v>6050</v>
      </c>
      <c r="H157" s="15" t="n">
        <f aca="false">Motore_Operativo!BI157</f>
        <v>91815.980832619</v>
      </c>
      <c r="I157" s="15" t="n">
        <f aca="false">Motore_Operativo!CA157</f>
        <v>118978.903983233</v>
      </c>
      <c r="J157" s="15" t="n">
        <f aca="false">Motore_Operativo!CC157</f>
        <v>-27162.9231506143</v>
      </c>
      <c r="K157" s="15" t="n">
        <f aca="false">Motore_Operativo!CE157</f>
        <v>2500</v>
      </c>
      <c r="L157" s="15" t="n">
        <f aca="false">SUM(INDEX($K$125:$K$184,MAX(1,33-Parametri_v3!$C$59+1)):K157)/Parametri_v3!$C$59</f>
        <v>1875</v>
      </c>
      <c r="M157" s="15" t="n">
        <f aca="false">J157-L157</f>
        <v>-29037.9231506143</v>
      </c>
      <c r="N157" s="15" t="n">
        <f aca="false">CD157-(CD156)</f>
        <v>0</v>
      </c>
      <c r="O157" s="15" t="n">
        <f aca="false">(BG156)*Ipotesi!$C$110/12+CH157*Parametri_v3!$C$39/12</f>
        <v>0</v>
      </c>
      <c r="P157" s="15" t="n">
        <f aca="false">M157+N157-O157</f>
        <v>-29037.9231506143</v>
      </c>
      <c r="Q157" s="15" t="n">
        <f aca="false">SUM(P149:P157)+Parametri_v3!$C$54*9/12</f>
        <v>-315770.42276876</v>
      </c>
      <c r="R157" s="15" t="n">
        <f aca="false">Z148</f>
        <v>427550.84996487</v>
      </c>
      <c r="S157" s="15" t="n">
        <f aca="false">AA148</f>
        <v>0</v>
      </c>
      <c r="T157" s="15" t="n">
        <f aca="false">MIN(R157,MAX(0,Q157))</f>
        <v>0</v>
      </c>
      <c r="U157" s="15" t="n">
        <f aca="false">MIN(S157,MAX(0,Q157-T157)*Parametri_v3!$C$42)</f>
        <v>0</v>
      </c>
      <c r="V157" s="15" t="n">
        <f aca="false">MAX(0,Q157-T157-U157)*Ipotesi!$C$92</f>
        <v>0</v>
      </c>
      <c r="W157" s="15" t="n">
        <f aca="false">MAX(0,SUM(M149:M157)+Parametri_v3!$C$55*9/12)*Ipotesi!$C$93</f>
        <v>0</v>
      </c>
      <c r="X157" s="15" t="n">
        <f aca="false">V157+W157-(V156+W156)</f>
        <v>0</v>
      </c>
      <c r="Y157" s="15" t="n">
        <f aca="false">P157-X157</f>
        <v>-29037.9231506143</v>
      </c>
      <c r="Z157" s="15" t="n">
        <f aca="false">R157-T157+IF(AND(Parametri_v3!$C$40=1,D157-YEAR(Parametri_v3!$C$50)&lt;Parametri_v3!$C$41),MAX(0,-Q157),0)</f>
        <v>743321.272733631</v>
      </c>
      <c r="AA157" s="15" t="n">
        <f aca="false">S157-U157+IF(AND(Parametri_v3!$C$40=1,D157-YEAR(Parametri_v3!$C$50)&lt;Parametri_v3!$C$41),0,MAX(0,-Q157))</f>
        <v>0</v>
      </c>
      <c r="AB157" s="15" t="n">
        <f aca="false">F157*(1+Parametri_v3!$C$26)</f>
        <v>104634.496615795</v>
      </c>
      <c r="AC157" s="15" t="n">
        <f aca="false">(IF(33-(INT((Motore_Operativo!L157)/30))&lt;1,0,INDEX(Motore_Startup!$AB$125:$AB$184,MAX(1,33-(INT((Motore_Operativo!L157)/30)))))*(1-(MOD((Motore_Operativo!L157),30)/30))+IF(33-(INT((Motore_Operativo!L157)/30))-1&lt;1,0,INDEX(Motore_Startup!$AB$125:$AB$184,MAX(1,33-(INT((Motore_Operativo!L157)/30))-1)))*(MOD((Motore_Operativo!L157),30)/30))</f>
        <v>92632.0481390372</v>
      </c>
      <c r="AD157" s="15" t="n">
        <f aca="false">(AD156)+AB157-AC157</f>
        <v>301971.29514359</v>
      </c>
      <c r="AE157" s="15" t="n">
        <f aca="false">Motore_Operativo!BH157*(1+Parametri_v3!$C$26)</f>
        <v>7381</v>
      </c>
      <c r="AF157" s="15" t="n">
        <f aca="false">(IF(33-(INT((Parametri_v3!$C$29)/30))&lt;1,0,INDEX(Motore_Operativo!$BH$125:$BH$184,MAX(1,33-(INT((Parametri_v3!$C$29)/30)))))*(1-(MOD((Parametri_v3!$C$29),30)/30))+IF(33-(INT((Parametri_v3!$C$29)/30))-1&lt;1,0,INDEX(Motore_Operativo!$BH$125:$BH$184,MAX(1,33-(INT((Parametri_v3!$C$29)/30))-1)))*(MOD((Parametri_v3!$C$29),30)/30))*(1+Parametri_v3!$C$26)</f>
        <v>7381</v>
      </c>
      <c r="AG157" s="15" t="n">
        <f aca="false">(AG156)+AE157-AF157</f>
        <v>7381</v>
      </c>
      <c r="AH157" s="15" t="n">
        <f aca="false">(Motore_Operativo!CJ157)*(1+Parametri_v3!$C$27*Parametri_v3!$C$26)</f>
        <v>53065.1166947647</v>
      </c>
      <c r="AI157" s="15" t="n">
        <f aca="false">(IF(33-(INT((Ipotesi!$C$91)/30))&lt;1,0,INDEX(Motore_Startup!$AH$125:$AH$184,MAX(1,33-(INT((Ipotesi!$C$91)/30)))))*(1-(MOD((Ipotesi!$C$91),30)/30))+IF(33-(INT((Ipotesi!$C$91)/30))-1&lt;1,0,INDEX(Motore_Startup!$AH$125:$AH$184,MAX(1,33-(INT((Ipotesi!$C$91)/30))-1)))*(MOD((Ipotesi!$C$91),30)/30))</f>
        <v>51979.9811779166</v>
      </c>
      <c r="AJ157" s="15" t="n">
        <f aca="false">(AJ156)+AH157-AI157</f>
        <v>105590.047499921</v>
      </c>
      <c r="AK157" s="15" t="n">
        <f aca="false">(F157+ Motore_Operativo!BH157-(Motore_Operativo!CJ157)*Parametri_v3!$C$27-Motore_Operativo!CE157)*Parametri_v3!$C$26</f>
        <v>11289.6364049782</v>
      </c>
      <c r="AL157" s="15" t="n">
        <f aca="false">MAX(0,(AM156))</f>
        <v>10659.603734838</v>
      </c>
      <c r="AM157" s="15" t="n">
        <f aca="false">(AM156)+AK157-AL157</f>
        <v>11289.6364049782</v>
      </c>
      <c r="AN157" s="15" t="n">
        <f aca="false">SUM(X137:X148)</f>
        <v>0</v>
      </c>
      <c r="AO157" s="15" t="n">
        <f aca="false">SUM(AP137:AP148)</f>
        <v>0</v>
      </c>
      <c r="AP157" s="15" t="n">
        <f aca="false">MAX(0,AN157)*IF(9=Parametri_v3!$C$43,Parametri_v3!$C$45,IF(9=Parametri_v3!$C$44,1-Parametri_v3!$C$45,0))</f>
        <v>0</v>
      </c>
      <c r="AQ157" s="15" t="n">
        <f aca="false">MAX(0,AP157+IF(9=Parametri_v3!$C$43,MAX(0,AN157-AO157),0)-MAX(0,-(AR156)))</f>
        <v>0</v>
      </c>
      <c r="AR157" s="15" t="n">
        <f aca="false">(AR156)+X157-AQ157</f>
        <v>0</v>
      </c>
      <c r="AS157" s="15" t="n">
        <f aca="false">Motore_Operativo!AB157-AT157+AU157</f>
        <v>70559.9833333333</v>
      </c>
      <c r="AT157" s="15" t="n">
        <f aca="false">Motore_Operativo!CH157</f>
        <v>3713.68333333333</v>
      </c>
      <c r="AU157" s="15" t="n">
        <f aca="false">MIN(MAX(0,(AV156)+AT157),Parametri_v3!$C$60/12)</f>
        <v>0</v>
      </c>
      <c r="AV157" s="15" t="n">
        <f aca="false">(AV156)+AT157-AU157</f>
        <v>68030.65</v>
      </c>
      <c r="AW157" s="15" t="n">
        <f aca="false">IF(AND(Motore_Operativo!C157=Finanziamenti!$D$6,Finanziamenti!$F$6=1),Finanziamenti!$C$6,0)</f>
        <v>0</v>
      </c>
      <c r="AX157" s="15" t="n">
        <f aca="false">IF(AND(3&lt;&gt;7,3&lt;&gt;9,Finanziamenti!$F$8=1,OR(Parametri_v3!$C$6=0,Finanziamenti!$E$8=1),Motore_Operativo!C157=EDATE(Finanziamenti!$D$8,Ipotesi!E15*12)),Finanziamenti!$C$8*1,0)+IF(AND(3&lt;&gt;7,3&lt;&gt;9,Finanziamenti!$F$9=1,OR(Parametri_v3!$C$6=0,Finanziamenti!$E$9=1),Motore_Operativo!C157=EDATE(Finanziamenti!$D$9,Ipotesi!E15*12)),Finanziamenti!$C$9*Ipotesi!E16,0)</f>
        <v>0</v>
      </c>
      <c r="AY157" s="15" t="n">
        <f aca="false">0</f>
        <v>0</v>
      </c>
      <c r="AZ157" s="15" t="n">
        <f aca="false">Motore_Advisory!AY157*(1-Ipotesi!$C$95)*Ipotesi!$C$96</f>
        <v>0</v>
      </c>
      <c r="BA157" s="15" t="n">
        <f aca="false">MAX(0,MIN(CG157*MIN(1,IF(Motore_Operativo!C157&gt;=EDATE(Finanziamenti!$D$15,Ipotesi!E14*12),Finanziamenti!$C$15,0)+IF(Motore_Operativo!C157&gt;=EDATE(Finanziamenti!$D$16,Ipotesi!E14*12),Finanziamenti!$C$16,0)+IF(Motore_Operativo!C157&gt;=EDATE(Finanziamenti!$D$17,Ipotesi!E14*12),Finanziamenti!$C$17,0)),CA157*Ipotesi!$C$102)-(CC156))</f>
        <v>0</v>
      </c>
      <c r="BB157" s="15" t="n">
        <f aca="false">IF(AND(CF157&gt;0,Motore_Operativo!C157&gt;=IF(CF157=0,0,EDATE(CF157,Parametri_v3!$C$37)),MOD(((D157-YEAR(IF(CF157=0,0,EDATE(CF157,Parametri_v3!$C$37))))*12+E157-MONTH(IF(CF157=0,0,EDATE(CF157,Parametri_v3!$C$37)))),Parametri_v3!$C$38)=0),MIN(MAX(0,(BC156)+BA157-N157),(CC157-CD157)/(Ipotesi!$C$108*12/Parametri_v3!$C$38)),0)</f>
        <v>0</v>
      </c>
      <c r="BC157" s="15" t="n">
        <f aca="false">(BC156)+BA157-N157-BB157</f>
        <v>267079.244581432</v>
      </c>
      <c r="BD157" s="15" t="n">
        <f aca="false">(BH156)+AC157+AF157-AI157-AS157-K157*(1+Parametri_v3!$C$26)-AL157-AQ157-O157+AW157+AX157+AZ157+BA157-BB157</f>
        <v>690982.677275778</v>
      </c>
      <c r="BE157" s="15" t="n">
        <f aca="false">MAX(0,MIN(MAX(0,CH157-(BG156)),Parametri_v3!$C$30-BD157))</f>
        <v>0</v>
      </c>
      <c r="BF157" s="15" t="n">
        <f aca="false">IF(Motore_Operativo!C157&gt;=Parametri_v3!$C$63,(BG156),MIN((BG156),MAX(0,BD157-Parametri_v3!$C$30)))</f>
        <v>0</v>
      </c>
      <c r="BG157" s="15" t="n">
        <f aca="false">(BG156)+BE157-BF157</f>
        <v>0</v>
      </c>
      <c r="BH157" s="15" t="n">
        <f aca="false">BD157+BE157-BF157-AY157</f>
        <v>690982.677275778</v>
      </c>
      <c r="BI157" s="15" t="n">
        <f aca="false">MAX(0,Parametri_v3!$C$30-BH157)</f>
        <v>0</v>
      </c>
      <c r="BJ157" s="15" t="n">
        <f aca="false">(BJ156)+K157</f>
        <v>67500</v>
      </c>
      <c r="BK157" s="15" t="n">
        <f aca="false">(BK156)+L157</f>
        <v>29166.6666666667</v>
      </c>
      <c r="BL157" s="15" t="n">
        <f aca="false">BJ157-BK157</f>
        <v>38333.3333333333</v>
      </c>
      <c r="BM157" s="15" t="n">
        <f aca="false">(BM156)+Y157</f>
        <v>-743321.27273363</v>
      </c>
      <c r="BN157" s="15" t="n">
        <f aca="false">(BN156)+AW157+AX157+AZ157</f>
        <v>1330000</v>
      </c>
      <c r="BO157" s="15" t="n">
        <f aca="false">(BO156)+AY157</f>
        <v>0</v>
      </c>
      <c r="BP157" s="15" t="n">
        <f aca="false">0</f>
        <v>0</v>
      </c>
      <c r="BQ157" s="15" t="n">
        <f aca="false">BN157+BM157-BO157</f>
        <v>586678.72726637</v>
      </c>
      <c r="BR157" s="15" t="n">
        <f aca="false">BH157+AD157+BL157+MAX(0,-AM157)+MAX(0,-AR157)+AG157</f>
        <v>1038668.3057527</v>
      </c>
      <c r="BS157" s="15" t="n">
        <f aca="false">AJ157+AV157+MAX(0,AM157)+MAX(0,AR157)+BC157+BG157+BQ157</f>
        <v>1038668.3057527</v>
      </c>
      <c r="BT157" s="15" t="n">
        <f aca="false">BR157-BS157</f>
        <v>0</v>
      </c>
      <c r="BU157" s="15" t="n">
        <f aca="false">BH157-(BD157+BE157-BF157-AY157)</f>
        <v>0</v>
      </c>
      <c r="BV157" s="15" t="n">
        <f aca="false">MIN(Piano_SS!$C$6,(BV156)+IF(AND(Motore_Operativo!C157&gt;=EDATE(Parametri_v3!$C$24,Ipotesi!E14*12),Motore_Operativo!C157&lt;EDATE(Parametri_v3!$C$24,Parametri_v3!$C$25+Ipotesi!E14*12)),MAX(0,(Motore_Operativo!Y157+Motore_Operativo!X157*Parametri_v3!$C$14)*(1-Parametri_v3!$C$32))*Piano_SS!$D$6,0))</f>
        <v>300000</v>
      </c>
      <c r="BW157" s="15" t="n">
        <f aca="false">MIN(Piano_SS!$C$7,(BW156)+IF(AND(Motore_Operativo!C157&gt;=EDATE(Parametri_v3!$C$24,Ipotesi!E14*12),Motore_Operativo!C157&lt;EDATE(Parametri_v3!$C$24,Parametri_v3!$C$25+Ipotesi!E14*12)),MAX(0,(IF(33-(INT((Ipotesi!$C$91)/30))&lt;1,0,INDEX(Motore_Operativo!$BN$125:$BN$184,MAX(1,33-(INT((Ipotesi!$C$91)/30)))))*(1-(MOD((Ipotesi!$C$91),30)/30))+IF(33-(INT((Ipotesi!$C$91)/30))-1&lt;1,0,INDEX(Motore_Operativo!$BN$125:$BN$184,MAX(1,33-(INT((Ipotesi!$C$91)/30))-1)))*(MOD((Ipotesi!$C$91),30)/30)))*Piano_SS!$D$7,0))</f>
        <v>44070.0796097004</v>
      </c>
      <c r="BX157" s="15" t="n">
        <f aca="false">MIN(Piano_SS!$C$8,(BX156)+IF(AND(Motore_Operativo!C157&gt;=EDATE(Parametri_v3!$C$24,Ipotesi!E14*12),Motore_Operativo!C157&lt;EDATE(Parametri_v3!$C$24,Parametri_v3!$C$25+Ipotesi!E14*12)),MAX(0,Motore_Operativo!CE157)*Piano_SS!$D$8,0))</f>
        <v>50000</v>
      </c>
      <c r="BY157" s="15" t="n">
        <f aca="false">MIN(Piano_SS!$C$9,(BY156)+IF(AND(Motore_Operativo!C157&gt;=EDATE(Parametri_v3!$C$24,Ipotesi!E14*12),Motore_Operativo!C157&lt;EDATE(Parametri_v3!$C$24,Parametri_v3!$C$25+Ipotesi!E14*12)),MAX(0,((IF(33-(INT((Ipotesi!$C$91)/30))&lt;1,0,INDEX(Motore_Operativo!$BQ$125:$BQ$184,MAX(1,33-(INT((Ipotesi!$C$91)/30)))))*(1-(MOD((Ipotesi!$C$91),30)/30))+IF(33-(INT((Ipotesi!$C$91)/30))-1&lt;1,0,INDEX(Motore_Operativo!$BQ$125:$BQ$184,MAX(1,33-(INT((Ipotesi!$C$91)/30))-1)))*(MOD((Ipotesi!$C$91),30)/30))+(IF(33-(INT((Ipotesi!$C$91)/30))&lt;1,0,INDEX(Motore_Operativo!$BR$125:$BR$184,MAX(1,33-(INT((Ipotesi!$C$91)/30)))))*(1-(MOD((Ipotesi!$C$91),30)/30))+IF(33-(INT((Ipotesi!$C$91)/30))-1&lt;1,0,INDEX(Motore_Operativo!$BR$125:$BR$184,MAX(1,33-(INT((Ipotesi!$C$91)/30))-1)))*(MOD((Ipotesi!$C$91),30)/30))))*Piano_SS!$D$9,0))</f>
        <v>40000</v>
      </c>
      <c r="BZ157" s="15" t="n">
        <f aca="false">MIN(Piano_SS!$C$10,(BZ156)+IF(AND(Motore_Operativo!C157&gt;=EDATE(Parametri_v3!$C$24,Ipotesi!E14*12),Motore_Operativo!C157&lt;EDATE(Parametri_v3!$C$24,Parametri_v3!$C$25+Ipotesi!E14*12)),MAX(0,(IF(33-(INT((Ipotesi!$C$91)/30))&lt;1,0,INDEX(Motore_Operativo!$BO$125:$BO$184,MAX(1,33-(INT((Ipotesi!$C$91)/30)))))*(1-(MOD((Ipotesi!$C$91),30)/30))+IF(33-(INT((Ipotesi!$C$91)/30))-1&lt;1,0,INDEX(Motore_Operativo!$BO$125:$BO$184,MAX(1,33-(INT((Ipotesi!$C$91)/30))-1)))*(MOD((Ipotesi!$C$91),30)/30)))*Piano_SS!$D$10,0))</f>
        <v>30000</v>
      </c>
      <c r="CA157" s="15" t="n">
        <f aca="false">SUM(BV157:BZ157)</f>
        <v>464070.0796097</v>
      </c>
      <c r="CB157" s="15" t="n">
        <f aca="false">BV157*(1-Piano_SS!$E$6)+BW157*(1-Piano_SS!$E$7)+BX157*(1-Piano_SS!$E$8)+BY157*(1-Piano_SS!$E$9)+BZ157*(1-Piano_SS!$E$10)</f>
        <v>434070.0796097</v>
      </c>
      <c r="CC157" s="15" t="n">
        <f aca="false">(CC156)+BA157</f>
        <v>371256.06368776</v>
      </c>
      <c r="CD157" s="15" t="n">
        <f aca="false">IF(CA157=0,0,CC157*CB157/CA157*Ipotesi!$C$103*Parametri_v3!$C$64)</f>
        <v>104176.819106328</v>
      </c>
      <c r="CE157" s="18" t="n">
        <f aca="false">IF(BA157&gt;0,Motore_Operativo!C157,(CE156))</f>
        <v>47270</v>
      </c>
      <c r="CF157" s="18" t="n">
        <f aca="false">IF(AND(CC157&gt;0,OR(CC157&gt;=CG157-0.01,Motore_Operativo!C157&gt;=EDATE(MAX(Finanziamenti!$D$15:$D$17),Ipotesi!E14*12))),CE157,0)</f>
        <v>47270</v>
      </c>
      <c r="CG157" s="15" t="n">
        <f aca="false">IF(AND(3&lt;&gt;6,3&lt;&gt;9,Finanziamenti!$F$11=1,OR(Parametri_v3!$C$6=0,Finanziamenti!$E$11=1)),MIN(Finanziamenti!$C$11,Piano_SS!$C$12*Ipotesi!$C$102),0)</f>
        <v>400000</v>
      </c>
      <c r="CH157" s="15" t="n">
        <f aca="false">IF(AND(AND(3&lt;&gt;8,3&lt;&gt;9,Finanziamenti!$F$10=1,OR(Parametri_v3!$C$6=0,Finanziamenti!$E$10=1)),Motore_Operativo!C157&gt;=Finanziamenti!$D$10,Motore_Operativo!C157&lt;Parametri_v3!$C$63),Finanziamenti!$C$10,0)</f>
        <v>150000</v>
      </c>
    </row>
    <row r="158" customFormat="false" ht="18" hidden="false" customHeight="true" outlineLevel="0" collapsed="false">
      <c r="A158" s="68" t="n">
        <f aca="false">3</f>
        <v>3</v>
      </c>
      <c r="B158" s="68" t="n">
        <f aca="false">34</f>
        <v>34</v>
      </c>
      <c r="C158" s="18" t="n">
        <f aca="false">Motore_Operativo!C158</f>
        <v>47392</v>
      </c>
      <c r="D158" s="68" t="n">
        <f aca="false">Motore_Operativo!D158</f>
        <v>2029</v>
      </c>
      <c r="E158" s="68" t="n">
        <f aca="false">Motore_Operativo!E158</f>
        <v>10</v>
      </c>
      <c r="F158" s="15" t="n">
        <f aca="false">Motore_Operativo!AQ158+Motore_Operativo!BF158</f>
        <v>88988.172400306</v>
      </c>
      <c r="G158" s="15" t="n">
        <f aca="false">Motore_Operativo!BH158</f>
        <v>6050</v>
      </c>
      <c r="H158" s="15" t="n">
        <f aca="false">Motore_Operativo!BI158</f>
        <v>95038.172400306</v>
      </c>
      <c r="I158" s="15" t="n">
        <f aca="false">Motore_Operativo!CA158</f>
        <v>119430.01080271</v>
      </c>
      <c r="J158" s="15" t="n">
        <f aca="false">Motore_Operativo!CC158</f>
        <v>-24391.8384024035</v>
      </c>
      <c r="K158" s="15" t="n">
        <f aca="false">Motore_Operativo!CE158</f>
        <v>2500</v>
      </c>
      <c r="L158" s="15" t="n">
        <f aca="false">SUM(INDEX($K$125:$K$184,MAX(1,34-Parametri_v3!$C$59+1)):K158)/Parametri_v3!$C$59</f>
        <v>1944.44444444444</v>
      </c>
      <c r="M158" s="15" t="n">
        <f aca="false">J158-L158</f>
        <v>-26336.282846848</v>
      </c>
      <c r="N158" s="15" t="n">
        <f aca="false">CD158-(CD157)</f>
        <v>0</v>
      </c>
      <c r="O158" s="15" t="n">
        <f aca="false">(BG157)*Ipotesi!$C$110/12+CH158*Parametri_v3!$C$39/12</f>
        <v>0</v>
      </c>
      <c r="P158" s="15" t="n">
        <f aca="false">M158+N158-O158</f>
        <v>-26336.282846848</v>
      </c>
      <c r="Q158" s="15" t="n">
        <f aca="false">SUM(P149:P158)+Parametri_v3!$C$54*10/12</f>
        <v>-342106.705615608</v>
      </c>
      <c r="R158" s="15" t="n">
        <f aca="false">Z148</f>
        <v>427550.84996487</v>
      </c>
      <c r="S158" s="15" t="n">
        <f aca="false">AA148</f>
        <v>0</v>
      </c>
      <c r="T158" s="15" t="n">
        <f aca="false">MIN(R158,MAX(0,Q158))</f>
        <v>0</v>
      </c>
      <c r="U158" s="15" t="n">
        <f aca="false">MIN(S158,MAX(0,Q158-T158)*Parametri_v3!$C$42)</f>
        <v>0</v>
      </c>
      <c r="V158" s="15" t="n">
        <f aca="false">MAX(0,Q158-T158-U158)*Ipotesi!$C$92</f>
        <v>0</v>
      </c>
      <c r="W158" s="15" t="n">
        <f aca="false">MAX(0,SUM(M149:M158)+Parametri_v3!$C$55*10/12)*Ipotesi!$C$93</f>
        <v>0</v>
      </c>
      <c r="X158" s="15" t="n">
        <f aca="false">V158+W158-(V157+W157)</f>
        <v>0</v>
      </c>
      <c r="Y158" s="15" t="n">
        <f aca="false">P158-X158</f>
        <v>-26336.282846848</v>
      </c>
      <c r="Z158" s="15" t="n">
        <f aca="false">R158-T158+IF(AND(Parametri_v3!$C$40=1,D158-YEAR(Parametri_v3!$C$50)&lt;Parametri_v3!$C$41),MAX(0,-Q158),0)</f>
        <v>769657.555580479</v>
      </c>
      <c r="AA158" s="15" t="n">
        <f aca="false">S158-U158+IF(AND(Parametri_v3!$C$40=1,D158-YEAR(Parametri_v3!$C$50)&lt;Parametri_v3!$C$41),0,MAX(0,-Q158))</f>
        <v>0</v>
      </c>
      <c r="AB158" s="15" t="n">
        <f aca="false">F158*(1+Parametri_v3!$C$26)</f>
        <v>108565.570328373</v>
      </c>
      <c r="AC158" s="15" t="n">
        <f aca="false">(IF(34-(INT((Motore_Operativo!L158)/30))&lt;1,0,INDEX(Motore_Startup!$AB$125:$AB$184,MAX(1,34-(INT((Motore_Operativo!L158)/30)))))*(1-(MOD((Motore_Operativo!L158),30)/30))+IF(34-(INT((Motore_Operativo!L158)/30))-1&lt;1,0,INDEX(Motore_Startup!$AB$125:$AB$184,MAX(1,34-(INT((Motore_Operativo!L158)/30))-1)))*(MOD((Motore_Operativo!L158),30)/30))</f>
        <v>96668.0425867028</v>
      </c>
      <c r="AD158" s="15" t="n">
        <f aca="false">(AD157)+AB158-AC158</f>
        <v>313868.82288526</v>
      </c>
      <c r="AE158" s="15" t="n">
        <f aca="false">Motore_Operativo!BH158*(1+Parametri_v3!$C$26)</f>
        <v>7381</v>
      </c>
      <c r="AF158" s="15" t="n">
        <f aca="false">(IF(34-(INT((Parametri_v3!$C$29)/30))&lt;1,0,INDEX(Motore_Operativo!$BH$125:$BH$184,MAX(1,34-(INT((Parametri_v3!$C$29)/30)))))*(1-(MOD((Parametri_v3!$C$29),30)/30))+IF(34-(INT((Parametri_v3!$C$29)/30))-1&lt;1,0,INDEX(Motore_Operativo!$BH$125:$BH$184,MAX(1,34-(INT((Parametri_v3!$C$29)/30))-1)))*(MOD((Parametri_v3!$C$29),30)/30))*(1+Parametri_v3!$C$26)</f>
        <v>7381</v>
      </c>
      <c r="AG158" s="15" t="n">
        <f aca="false">(AG157)+AE158-AF158</f>
        <v>7381</v>
      </c>
      <c r="AH158" s="15" t="n">
        <f aca="false">(Motore_Operativo!CJ158)*(1+Parametri_v3!$C$27*Parametri_v3!$C$26)</f>
        <v>53600.5804894828</v>
      </c>
      <c r="AI158" s="15" t="n">
        <f aca="false">(IF(34-(INT((Ipotesi!$C$91)/30))&lt;1,0,INDEX(Motore_Startup!$AH$125:$AH$184,MAX(1,34-(INT((Ipotesi!$C$91)/30)))))*(1-(MOD((Ipotesi!$C$91),30)/30))+IF(34-(INT((Ipotesi!$C$91)/30))-1&lt;1,0,INDEX(Motore_Startup!$AH$125:$AH$184,MAX(1,34-(INT((Ipotesi!$C$91)/30))-1)))*(MOD((Ipotesi!$C$91),30)/30))</f>
        <v>52524.9308051562</v>
      </c>
      <c r="AJ158" s="15" t="n">
        <f aca="false">(AJ157)+AH158-AI158</f>
        <v>106665.697184247</v>
      </c>
      <c r="AK158" s="15" t="n">
        <f aca="false">(F158+ Motore_Operativo!BH158-(Motore_Operativo!CJ158)*Parametri_v3!$C$27-Motore_Operativo!CE158)*Parametri_v3!$C$26</f>
        <v>11914.1615746273</v>
      </c>
      <c r="AL158" s="15" t="n">
        <f aca="false">MAX(0,(AM157))</f>
        <v>11289.6364049782</v>
      </c>
      <c r="AM158" s="15" t="n">
        <f aca="false">(AM157)+AK158-AL158</f>
        <v>11914.1615746273</v>
      </c>
      <c r="AN158" s="15" t="n">
        <f aca="false">SUM(X137:X148)</f>
        <v>0</v>
      </c>
      <c r="AO158" s="15" t="n">
        <f aca="false">SUM(AP137:AP148)</f>
        <v>0</v>
      </c>
      <c r="AP158" s="15" t="n">
        <f aca="false">MAX(0,AN158)*IF(10=Parametri_v3!$C$43,Parametri_v3!$C$45,IF(10=Parametri_v3!$C$44,1-Parametri_v3!$C$45,0))</f>
        <v>0</v>
      </c>
      <c r="AQ158" s="15" t="n">
        <f aca="false">MAX(0,AP158+IF(10=Parametri_v3!$C$43,MAX(0,AN158-AO158),0)-MAX(0,-(AR157)))</f>
        <v>0</v>
      </c>
      <c r="AR158" s="15" t="n">
        <f aca="false">(AR157)+X158-AQ158</f>
        <v>0</v>
      </c>
      <c r="AS158" s="15" t="n">
        <f aca="false">Motore_Operativo!AB158-AT158+AU158</f>
        <v>70559.9833333333</v>
      </c>
      <c r="AT158" s="15" t="n">
        <f aca="false">Motore_Operativo!CH158</f>
        <v>3713.68333333333</v>
      </c>
      <c r="AU158" s="15" t="n">
        <f aca="false">MIN(MAX(0,(AV157)+AT158),Parametri_v3!$C$60/12)</f>
        <v>0</v>
      </c>
      <c r="AV158" s="15" t="n">
        <f aca="false">(AV157)+AT158-AU158</f>
        <v>71744.3333333333</v>
      </c>
      <c r="AW158" s="15" t="n">
        <f aca="false">IF(AND(Motore_Operativo!C158=Finanziamenti!$D$6,Finanziamenti!$F$6=1),Finanziamenti!$C$6,0)</f>
        <v>0</v>
      </c>
      <c r="AX158" s="15" t="n">
        <f aca="false">IF(AND(3&lt;&gt;7,3&lt;&gt;9,Finanziamenti!$F$8=1,OR(Parametri_v3!$C$6=0,Finanziamenti!$E$8=1),Motore_Operativo!C158=EDATE(Finanziamenti!$D$8,Ipotesi!E15*12)),Finanziamenti!$C$8*1,0)+IF(AND(3&lt;&gt;7,3&lt;&gt;9,Finanziamenti!$F$9=1,OR(Parametri_v3!$C$6=0,Finanziamenti!$E$9=1),Motore_Operativo!C158=EDATE(Finanziamenti!$D$9,Ipotesi!E15*12)),Finanziamenti!$C$9*Ipotesi!E16,0)</f>
        <v>0</v>
      </c>
      <c r="AY158" s="15" t="n">
        <f aca="false">0</f>
        <v>0</v>
      </c>
      <c r="AZ158" s="15" t="n">
        <f aca="false">Motore_Advisory!AY158*(1-Ipotesi!$C$95)*Ipotesi!$C$96</f>
        <v>0</v>
      </c>
      <c r="BA158" s="15" t="n">
        <f aca="false">MAX(0,MIN(CG158*MIN(1,IF(Motore_Operativo!C158&gt;=EDATE(Finanziamenti!$D$15,Ipotesi!E14*12),Finanziamenti!$C$15,0)+IF(Motore_Operativo!C158&gt;=EDATE(Finanziamenti!$D$16,Ipotesi!E14*12),Finanziamenti!$C$16,0)+IF(Motore_Operativo!C158&gt;=EDATE(Finanziamenti!$D$17,Ipotesi!E14*12),Finanziamenti!$C$17,0)),CA158*Ipotesi!$C$102)-(CC157))</f>
        <v>0</v>
      </c>
      <c r="BB158" s="15" t="n">
        <f aca="false">IF(AND(CF158&gt;0,Motore_Operativo!C158&gt;=IF(CF158=0,0,EDATE(CF158,Parametri_v3!$C$37)),MOD(((D158-YEAR(IF(CF158=0,0,EDATE(CF158,Parametri_v3!$C$37))))*12+E158-MONTH(IF(CF158=0,0,EDATE(CF158,Parametri_v3!$C$37)))),Parametri_v3!$C$38)=0),MIN(MAX(0,(BC157)+BA158-N158),(CC158-CD158)/(Ipotesi!$C$108*12/Parametri_v3!$C$38)),0)</f>
        <v>0</v>
      </c>
      <c r="BC158" s="15" t="n">
        <f aca="false">(BC157)+BA158-N158-BB158</f>
        <v>267079.244581432</v>
      </c>
      <c r="BD158" s="15" t="n">
        <f aca="false">(BH157)+AC158+AF158-AI158-AS158-K158*(1+Parametri_v3!$C$26)-AL158-AQ158-O158+AW158+AX158+AZ158+BA158-BB158</f>
        <v>657607.169319013</v>
      </c>
      <c r="BE158" s="15" t="n">
        <f aca="false">MAX(0,MIN(MAX(0,CH158-(BG157)),Parametri_v3!$C$30-BD158))</f>
        <v>0</v>
      </c>
      <c r="BF158" s="15" t="n">
        <f aca="false">IF(Motore_Operativo!C158&gt;=Parametri_v3!$C$63,(BG157),MIN((BG157),MAX(0,BD158-Parametri_v3!$C$30)))</f>
        <v>0</v>
      </c>
      <c r="BG158" s="15" t="n">
        <f aca="false">(BG157)+BE158-BF158</f>
        <v>0</v>
      </c>
      <c r="BH158" s="15" t="n">
        <f aca="false">BD158+BE158-BF158-AY158</f>
        <v>657607.169319013</v>
      </c>
      <c r="BI158" s="15" t="n">
        <f aca="false">MAX(0,Parametri_v3!$C$30-BH158)</f>
        <v>0</v>
      </c>
      <c r="BJ158" s="15" t="n">
        <f aca="false">(BJ157)+K158</f>
        <v>70000</v>
      </c>
      <c r="BK158" s="15" t="n">
        <f aca="false">(BK157)+L158</f>
        <v>31111.1111111111</v>
      </c>
      <c r="BL158" s="15" t="n">
        <f aca="false">BJ158-BK158</f>
        <v>38888.8888888889</v>
      </c>
      <c r="BM158" s="15" t="n">
        <f aca="false">(BM157)+Y158</f>
        <v>-769657.555580478</v>
      </c>
      <c r="BN158" s="15" t="n">
        <f aca="false">(BN157)+AW158+AX158+AZ158</f>
        <v>1330000</v>
      </c>
      <c r="BO158" s="15" t="n">
        <f aca="false">(BO157)+AY158</f>
        <v>0</v>
      </c>
      <c r="BP158" s="15" t="n">
        <f aca="false">0</f>
        <v>0</v>
      </c>
      <c r="BQ158" s="15" t="n">
        <f aca="false">BN158+BM158-BO158</f>
        <v>560342.444419522</v>
      </c>
      <c r="BR158" s="15" t="n">
        <f aca="false">BH158+AD158+BL158+MAX(0,-AM158)+MAX(0,-AR158)+AG158</f>
        <v>1017745.88109316</v>
      </c>
      <c r="BS158" s="15" t="n">
        <f aca="false">AJ158+AV158+MAX(0,AM158)+MAX(0,AR158)+BC158+BG158+BQ158</f>
        <v>1017745.88109316</v>
      </c>
      <c r="BT158" s="15" t="n">
        <f aca="false">BR158-BS158</f>
        <v>0</v>
      </c>
      <c r="BU158" s="15" t="n">
        <f aca="false">BH158-(BD158+BE158-BF158-AY158)</f>
        <v>0</v>
      </c>
      <c r="BV158" s="15" t="n">
        <f aca="false">MIN(Piano_SS!$C$6,(BV157)+IF(AND(Motore_Operativo!C158&gt;=EDATE(Parametri_v3!$C$24,Ipotesi!E14*12),Motore_Operativo!C158&lt;EDATE(Parametri_v3!$C$24,Parametri_v3!$C$25+Ipotesi!E14*12)),MAX(0,(Motore_Operativo!Y158+Motore_Operativo!X158*Parametri_v3!$C$14)*(1-Parametri_v3!$C$32))*Piano_SS!$D$6,0))</f>
        <v>300000</v>
      </c>
      <c r="BW158" s="15" t="n">
        <f aca="false">MIN(Piano_SS!$C$7,(BW157)+IF(AND(Motore_Operativo!C158&gt;=EDATE(Parametri_v3!$C$24,Ipotesi!E14*12),Motore_Operativo!C158&lt;EDATE(Parametri_v3!$C$24,Parametri_v3!$C$25+Ipotesi!E14*12)),MAX(0,(IF(34-(INT((Ipotesi!$C$91)/30))&lt;1,0,INDEX(Motore_Operativo!$BN$125:$BN$184,MAX(1,34-(INT((Ipotesi!$C$91)/30)))))*(1-(MOD((Ipotesi!$C$91),30)/30))+IF(34-(INT((Ipotesi!$C$91)/30))-1&lt;1,0,INDEX(Motore_Operativo!$BN$125:$BN$184,MAX(1,34-(INT((Ipotesi!$C$91)/30))-1)))*(MOD((Ipotesi!$C$91),30)/30)))*Piano_SS!$D$7,0))</f>
        <v>44070.0796097004</v>
      </c>
      <c r="BX158" s="15" t="n">
        <f aca="false">MIN(Piano_SS!$C$8,(BX157)+IF(AND(Motore_Operativo!C158&gt;=EDATE(Parametri_v3!$C$24,Ipotesi!E14*12),Motore_Operativo!C158&lt;EDATE(Parametri_v3!$C$24,Parametri_v3!$C$25+Ipotesi!E14*12)),MAX(0,Motore_Operativo!CE158)*Piano_SS!$D$8,0))</f>
        <v>50000</v>
      </c>
      <c r="BY158" s="15" t="n">
        <f aca="false">MIN(Piano_SS!$C$9,(BY157)+IF(AND(Motore_Operativo!C158&gt;=EDATE(Parametri_v3!$C$24,Ipotesi!E14*12),Motore_Operativo!C158&lt;EDATE(Parametri_v3!$C$24,Parametri_v3!$C$25+Ipotesi!E14*12)),MAX(0,((IF(34-(INT((Ipotesi!$C$91)/30))&lt;1,0,INDEX(Motore_Operativo!$BQ$125:$BQ$184,MAX(1,34-(INT((Ipotesi!$C$91)/30)))))*(1-(MOD((Ipotesi!$C$91),30)/30))+IF(34-(INT((Ipotesi!$C$91)/30))-1&lt;1,0,INDEX(Motore_Operativo!$BQ$125:$BQ$184,MAX(1,34-(INT((Ipotesi!$C$91)/30))-1)))*(MOD((Ipotesi!$C$91),30)/30))+(IF(34-(INT((Ipotesi!$C$91)/30))&lt;1,0,INDEX(Motore_Operativo!$BR$125:$BR$184,MAX(1,34-(INT((Ipotesi!$C$91)/30)))))*(1-(MOD((Ipotesi!$C$91),30)/30))+IF(34-(INT((Ipotesi!$C$91)/30))-1&lt;1,0,INDEX(Motore_Operativo!$BR$125:$BR$184,MAX(1,34-(INT((Ipotesi!$C$91)/30))-1)))*(MOD((Ipotesi!$C$91),30)/30))))*Piano_SS!$D$9,0))</f>
        <v>40000</v>
      </c>
      <c r="BZ158" s="15" t="n">
        <f aca="false">MIN(Piano_SS!$C$10,(BZ157)+IF(AND(Motore_Operativo!C158&gt;=EDATE(Parametri_v3!$C$24,Ipotesi!E14*12),Motore_Operativo!C158&lt;EDATE(Parametri_v3!$C$24,Parametri_v3!$C$25+Ipotesi!E14*12)),MAX(0,(IF(34-(INT((Ipotesi!$C$91)/30))&lt;1,0,INDEX(Motore_Operativo!$BO$125:$BO$184,MAX(1,34-(INT((Ipotesi!$C$91)/30)))))*(1-(MOD((Ipotesi!$C$91),30)/30))+IF(34-(INT((Ipotesi!$C$91)/30))-1&lt;1,0,INDEX(Motore_Operativo!$BO$125:$BO$184,MAX(1,34-(INT((Ipotesi!$C$91)/30))-1)))*(MOD((Ipotesi!$C$91),30)/30)))*Piano_SS!$D$10,0))</f>
        <v>30000</v>
      </c>
      <c r="CA158" s="15" t="n">
        <f aca="false">SUM(BV158:BZ158)</f>
        <v>464070.0796097</v>
      </c>
      <c r="CB158" s="15" t="n">
        <f aca="false">BV158*(1-Piano_SS!$E$6)+BW158*(1-Piano_SS!$E$7)+BX158*(1-Piano_SS!$E$8)+BY158*(1-Piano_SS!$E$9)+BZ158*(1-Piano_SS!$E$10)</f>
        <v>434070.0796097</v>
      </c>
      <c r="CC158" s="15" t="n">
        <f aca="false">(CC157)+BA158</f>
        <v>371256.06368776</v>
      </c>
      <c r="CD158" s="15" t="n">
        <f aca="false">IF(CA158=0,0,CC158*CB158/CA158*Ipotesi!$C$103*Parametri_v3!$C$64)</f>
        <v>104176.819106328</v>
      </c>
      <c r="CE158" s="18" t="n">
        <f aca="false">IF(BA158&gt;0,Motore_Operativo!C158,(CE157))</f>
        <v>47270</v>
      </c>
      <c r="CF158" s="18" t="n">
        <f aca="false">IF(AND(CC158&gt;0,OR(CC158&gt;=CG158-0.01,Motore_Operativo!C158&gt;=EDATE(MAX(Finanziamenti!$D$15:$D$17),Ipotesi!E14*12))),CE158,0)</f>
        <v>47270</v>
      </c>
      <c r="CG158" s="15" t="n">
        <f aca="false">IF(AND(3&lt;&gt;6,3&lt;&gt;9,Finanziamenti!$F$11=1,OR(Parametri_v3!$C$6=0,Finanziamenti!$E$11=1)),MIN(Finanziamenti!$C$11,Piano_SS!$C$12*Ipotesi!$C$102),0)</f>
        <v>400000</v>
      </c>
      <c r="CH158" s="15" t="n">
        <f aca="false">IF(AND(AND(3&lt;&gt;8,3&lt;&gt;9,Finanziamenti!$F$10=1,OR(Parametri_v3!$C$6=0,Finanziamenti!$E$10=1)),Motore_Operativo!C158&gt;=Finanziamenti!$D$10,Motore_Operativo!C158&lt;Parametri_v3!$C$63),Finanziamenti!$C$10,0)</f>
        <v>150000</v>
      </c>
    </row>
    <row r="159" customFormat="false" ht="18" hidden="false" customHeight="true" outlineLevel="0" collapsed="false">
      <c r="A159" s="68" t="n">
        <f aca="false">3</f>
        <v>3</v>
      </c>
      <c r="B159" s="68" t="n">
        <f aca="false">35</f>
        <v>35</v>
      </c>
      <c r="C159" s="18" t="n">
        <f aca="false">Motore_Operativo!C159</f>
        <v>47423</v>
      </c>
      <c r="D159" s="68" t="n">
        <f aca="false">Motore_Operativo!D159</f>
        <v>2029</v>
      </c>
      <c r="E159" s="68" t="n">
        <f aca="false">Motore_Operativo!E159</f>
        <v>11</v>
      </c>
      <c r="F159" s="15" t="n">
        <f aca="false">Motore_Operativo!AQ159+Motore_Operativo!BF159</f>
        <v>92182.1968228867</v>
      </c>
      <c r="G159" s="15" t="n">
        <f aca="false">Motore_Operativo!BH159</f>
        <v>6050</v>
      </c>
      <c r="H159" s="15" t="n">
        <f aca="false">Motore_Operativo!BI159</f>
        <v>98232.1968228867</v>
      </c>
      <c r="I159" s="15" t="n">
        <f aca="false">Motore_Operativo!CA159</f>
        <v>119877.174221871</v>
      </c>
      <c r="J159" s="15" t="n">
        <f aca="false">Motore_Operativo!CC159</f>
        <v>-21644.9773989842</v>
      </c>
      <c r="K159" s="15" t="n">
        <f aca="false">Motore_Operativo!CE159</f>
        <v>2500</v>
      </c>
      <c r="L159" s="15" t="n">
        <f aca="false">SUM(INDEX($K$125:$K$184,MAX(1,35-Parametri_v3!$C$59+1)):K159)/Parametri_v3!$C$59</f>
        <v>2013.88888888889</v>
      </c>
      <c r="M159" s="15" t="n">
        <f aca="false">J159-L159</f>
        <v>-23658.8662878731</v>
      </c>
      <c r="N159" s="15" t="n">
        <f aca="false">CD159-(CD158)</f>
        <v>0</v>
      </c>
      <c r="O159" s="15" t="n">
        <f aca="false">(BG158)*Ipotesi!$C$110/12+CH159*Parametri_v3!$C$39/12</f>
        <v>0</v>
      </c>
      <c r="P159" s="15" t="n">
        <f aca="false">M159+N159-O159</f>
        <v>-23658.8662878731</v>
      </c>
      <c r="Q159" s="15" t="n">
        <f aca="false">SUM(P149:P159)+Parametri_v3!$C$54*11/12</f>
        <v>-365765.571903481</v>
      </c>
      <c r="R159" s="15" t="n">
        <f aca="false">Z148</f>
        <v>427550.84996487</v>
      </c>
      <c r="S159" s="15" t="n">
        <f aca="false">AA148</f>
        <v>0</v>
      </c>
      <c r="T159" s="15" t="n">
        <f aca="false">MIN(R159,MAX(0,Q159))</f>
        <v>0</v>
      </c>
      <c r="U159" s="15" t="n">
        <f aca="false">MIN(S159,MAX(0,Q159-T159)*Parametri_v3!$C$42)</f>
        <v>0</v>
      </c>
      <c r="V159" s="15" t="n">
        <f aca="false">MAX(0,Q159-T159-U159)*Ipotesi!$C$92</f>
        <v>0</v>
      </c>
      <c r="W159" s="15" t="n">
        <f aca="false">MAX(0,SUM(M149:M159)+Parametri_v3!$C$55*11/12)*Ipotesi!$C$93</f>
        <v>0</v>
      </c>
      <c r="X159" s="15" t="n">
        <f aca="false">V159+W159-(V158+W158)</f>
        <v>0</v>
      </c>
      <c r="Y159" s="15" t="n">
        <f aca="false">P159-X159</f>
        <v>-23658.8662878731</v>
      </c>
      <c r="Z159" s="15" t="n">
        <f aca="false">R159-T159+IF(AND(Parametri_v3!$C$40=1,D159-YEAR(Parametri_v3!$C$50)&lt;Parametri_v3!$C$41),MAX(0,-Q159),0)</f>
        <v>793316.421868352</v>
      </c>
      <c r="AA159" s="15" t="n">
        <f aca="false">S159-U159+IF(AND(Parametri_v3!$C$40=1,D159-YEAR(Parametri_v3!$C$50)&lt;Parametri_v3!$C$41),0,MAX(0,-Q159))</f>
        <v>0</v>
      </c>
      <c r="AB159" s="15" t="n">
        <f aca="false">F159*(1+Parametri_v3!$C$26)</f>
        <v>112462.280123922</v>
      </c>
      <c r="AC159" s="15" t="n">
        <f aca="false">(IF(35-(INT((Motore_Operativo!L159)/30))&lt;1,0,INDEX(Motore_Startup!$AB$125:$AB$184,MAX(1,35-(INT((Motore_Operativo!L159)/30)))))*(1-(MOD((Motore_Operativo!L159),30)/30))+IF(35-(INT((Motore_Operativo!L159)/30))-1&lt;1,0,INDEX(Motore_Startup!$AB$125:$AB$184,MAX(1,35-(INT((Motore_Operativo!L159)/30))-1)))*(MOD((Motore_Operativo!L159),30)/30))</f>
        <v>100668.755941092</v>
      </c>
      <c r="AD159" s="15" t="n">
        <f aca="false">(AD158)+AB159-AC159</f>
        <v>325662.34706809</v>
      </c>
      <c r="AE159" s="15" t="n">
        <f aca="false">Motore_Operativo!BH159*(1+Parametri_v3!$C$26)</f>
        <v>7381</v>
      </c>
      <c r="AF159" s="15" t="n">
        <f aca="false">(IF(35-(INT((Parametri_v3!$C$29)/30))&lt;1,0,INDEX(Motore_Operativo!$BH$125:$BH$184,MAX(1,35-(INT((Parametri_v3!$C$29)/30)))))*(1-(MOD((Parametri_v3!$C$29),30)/30))+IF(35-(INT((Parametri_v3!$C$29)/30))-1&lt;1,0,INDEX(Motore_Operativo!$BH$125:$BH$184,MAX(1,35-(INT((Parametri_v3!$C$29)/30))-1)))*(MOD((Parametri_v3!$C$29),30)/30))*(1+Parametri_v3!$C$26)</f>
        <v>7381</v>
      </c>
      <c r="AG159" s="15" t="n">
        <f aca="false">(AG158)+AE159-AF159</f>
        <v>7381</v>
      </c>
      <c r="AH159" s="15" t="n">
        <f aca="false">(Motore_Operativo!CJ159)*(1+Parametri_v3!$C$27*Parametri_v3!$C$26)</f>
        <v>54131.3634680273</v>
      </c>
      <c r="AI159" s="15" t="n">
        <f aca="false">(IF(35-(INT((Ipotesi!$C$91)/30))&lt;1,0,INDEX(Motore_Startup!$AH$125:$AH$184,MAX(1,35-(INT((Ipotesi!$C$91)/30)))))*(1-(MOD((Ipotesi!$C$91),30)/30))+IF(35-(INT((Ipotesi!$C$91)/30))-1&lt;1,0,INDEX(Motore_Startup!$AH$125:$AH$184,MAX(1,35-(INT((Ipotesi!$C$91)/30))-1)))*(MOD((Ipotesi!$C$91),30)/30))</f>
        <v>53065.1166947647</v>
      </c>
      <c r="AJ159" s="15" t="n">
        <f aca="false">(AJ158)+AH159-AI159</f>
        <v>107731.94395751</v>
      </c>
      <c r="AK159" s="15" t="n">
        <f aca="false">(F159+ Motore_Operativo!BH159-(Motore_Operativo!CJ159)*Parametri_v3!$C$27-Motore_Operativo!CE159)*Parametri_v3!$C$26</f>
        <v>12533.2273882119</v>
      </c>
      <c r="AL159" s="15" t="n">
        <f aca="false">MAX(0,(AM158))</f>
        <v>11914.1615746273</v>
      </c>
      <c r="AM159" s="15" t="n">
        <f aca="false">(AM158)+AK159-AL159</f>
        <v>12533.2273882119</v>
      </c>
      <c r="AN159" s="15" t="n">
        <f aca="false">SUM(X137:X148)</f>
        <v>0</v>
      </c>
      <c r="AO159" s="15" t="n">
        <f aca="false">SUM(AP137:AP148)</f>
        <v>0</v>
      </c>
      <c r="AP159" s="15" t="n">
        <f aca="false">MAX(0,AN159)*IF(11=Parametri_v3!$C$43,Parametri_v3!$C$45,IF(11=Parametri_v3!$C$44,1-Parametri_v3!$C$45,0))</f>
        <v>0</v>
      </c>
      <c r="AQ159" s="15" t="n">
        <f aca="false">MAX(0,AP159+IF(11=Parametri_v3!$C$43,MAX(0,AN159-AO159),0)-MAX(0,-(AR158)))</f>
        <v>0</v>
      </c>
      <c r="AR159" s="15" t="n">
        <f aca="false">(AR158)+X159-AQ159</f>
        <v>0</v>
      </c>
      <c r="AS159" s="15" t="n">
        <f aca="false">Motore_Operativo!AB159-AT159+AU159</f>
        <v>70559.9833333333</v>
      </c>
      <c r="AT159" s="15" t="n">
        <f aca="false">Motore_Operativo!CH159</f>
        <v>3713.68333333333</v>
      </c>
      <c r="AU159" s="15" t="n">
        <f aca="false">MIN(MAX(0,(AV158)+AT159),Parametri_v3!$C$60/12)</f>
        <v>0</v>
      </c>
      <c r="AV159" s="15" t="n">
        <f aca="false">(AV158)+AT159-AU159</f>
        <v>75458.0166666667</v>
      </c>
      <c r="AW159" s="15" t="n">
        <f aca="false">IF(AND(Motore_Operativo!C159=Finanziamenti!$D$6,Finanziamenti!$F$6=1),Finanziamenti!$C$6,0)</f>
        <v>0</v>
      </c>
      <c r="AX159" s="15" t="n">
        <f aca="false">IF(AND(3&lt;&gt;7,3&lt;&gt;9,Finanziamenti!$F$8=1,OR(Parametri_v3!$C$6=0,Finanziamenti!$E$8=1),Motore_Operativo!C159=EDATE(Finanziamenti!$D$8,Ipotesi!E15*12)),Finanziamenti!$C$8*1,0)+IF(AND(3&lt;&gt;7,3&lt;&gt;9,Finanziamenti!$F$9=1,OR(Parametri_v3!$C$6=0,Finanziamenti!$E$9=1),Motore_Operativo!C159=EDATE(Finanziamenti!$D$9,Ipotesi!E15*12)),Finanziamenti!$C$9*Ipotesi!E16,0)</f>
        <v>0</v>
      </c>
      <c r="AY159" s="15" t="n">
        <f aca="false">0</f>
        <v>0</v>
      </c>
      <c r="AZ159" s="15" t="n">
        <f aca="false">Motore_Advisory!AY159*(1-Ipotesi!$C$95)*Ipotesi!$C$96</f>
        <v>0</v>
      </c>
      <c r="BA159" s="15" t="n">
        <f aca="false">MAX(0,MIN(CG159*MIN(1,IF(Motore_Operativo!C159&gt;=EDATE(Finanziamenti!$D$15,Ipotesi!E14*12),Finanziamenti!$C$15,0)+IF(Motore_Operativo!C159&gt;=EDATE(Finanziamenti!$D$16,Ipotesi!E14*12),Finanziamenti!$C$16,0)+IF(Motore_Operativo!C159&gt;=EDATE(Finanziamenti!$D$17,Ipotesi!E14*12),Finanziamenti!$C$17,0)),CA159*Ipotesi!$C$102)-(CC158))</f>
        <v>0</v>
      </c>
      <c r="BB159" s="15" t="n">
        <f aca="false">IF(AND(CF159&gt;0,Motore_Operativo!C159&gt;=IF(CF159=0,0,EDATE(CF159,Parametri_v3!$C$37)),MOD(((D159-YEAR(IF(CF159=0,0,EDATE(CF159,Parametri_v3!$C$37))))*12+E159-MONTH(IF(CF159=0,0,EDATE(CF159,Parametri_v3!$C$37)))),Parametri_v3!$C$38)=0),MIN(MAX(0,(BC158)+BA159-N159),(CC159-CD159)/(Ipotesi!$C$108*12/Parametri_v3!$C$38)),0)</f>
        <v>0</v>
      </c>
      <c r="BC159" s="15" t="n">
        <f aca="false">(BC158)+BA159-N159-BB159</f>
        <v>267079.244581432</v>
      </c>
      <c r="BD159" s="15" t="n">
        <f aca="false">(BH158)+AC159+AF159-AI159-AS159-K159*(1+Parametri_v3!$C$26)-AL159-AQ159-O159+AW159+AX159+AZ159+BA159-BB159</f>
        <v>627067.663657379</v>
      </c>
      <c r="BE159" s="15" t="n">
        <f aca="false">MAX(0,MIN(MAX(0,CH159-(BG158)),Parametri_v3!$C$30-BD159))</f>
        <v>0</v>
      </c>
      <c r="BF159" s="15" t="n">
        <f aca="false">IF(Motore_Operativo!C159&gt;=Parametri_v3!$C$63,(BG158),MIN((BG158),MAX(0,BD159-Parametri_v3!$C$30)))</f>
        <v>0</v>
      </c>
      <c r="BG159" s="15" t="n">
        <f aca="false">(BG158)+BE159-BF159</f>
        <v>0</v>
      </c>
      <c r="BH159" s="15" t="n">
        <f aca="false">BD159+BE159-BF159-AY159</f>
        <v>627067.663657379</v>
      </c>
      <c r="BI159" s="15" t="n">
        <f aca="false">MAX(0,Parametri_v3!$C$30-BH159)</f>
        <v>0</v>
      </c>
      <c r="BJ159" s="15" t="n">
        <f aca="false">(BJ158)+K159</f>
        <v>72500</v>
      </c>
      <c r="BK159" s="15" t="n">
        <f aca="false">(BK158)+L159</f>
        <v>33125</v>
      </c>
      <c r="BL159" s="15" t="n">
        <f aca="false">BJ159-BK159</f>
        <v>39375</v>
      </c>
      <c r="BM159" s="15" t="n">
        <f aca="false">(BM158)+Y159</f>
        <v>-793316.421868351</v>
      </c>
      <c r="BN159" s="15" t="n">
        <f aca="false">(BN158)+AW159+AX159+AZ159</f>
        <v>1330000</v>
      </c>
      <c r="BO159" s="15" t="n">
        <f aca="false">(BO158)+AY159</f>
        <v>0</v>
      </c>
      <c r="BP159" s="15" t="n">
        <f aca="false">0</f>
        <v>0</v>
      </c>
      <c r="BQ159" s="15" t="n">
        <f aca="false">BN159+BM159-BO159</f>
        <v>536683.578131649</v>
      </c>
      <c r="BR159" s="15" t="n">
        <f aca="false">BH159+AD159+BL159+MAX(0,-AM159)+MAX(0,-AR159)+AG159</f>
        <v>999486.010725469</v>
      </c>
      <c r="BS159" s="15" t="n">
        <f aca="false">AJ159+AV159+MAX(0,AM159)+MAX(0,AR159)+BC159+BG159+BQ159</f>
        <v>999486.01072547</v>
      </c>
      <c r="BT159" s="15" t="n">
        <f aca="false">BR159-BS159</f>
        <v>0</v>
      </c>
      <c r="BU159" s="15" t="n">
        <f aca="false">BH159-(BD159+BE159-BF159-AY159)</f>
        <v>0</v>
      </c>
      <c r="BV159" s="15" t="n">
        <f aca="false">MIN(Piano_SS!$C$6,(BV158)+IF(AND(Motore_Operativo!C159&gt;=EDATE(Parametri_v3!$C$24,Ipotesi!E14*12),Motore_Operativo!C159&lt;EDATE(Parametri_v3!$C$24,Parametri_v3!$C$25+Ipotesi!E14*12)),MAX(0,(Motore_Operativo!Y159+Motore_Operativo!X159*Parametri_v3!$C$14)*(1-Parametri_v3!$C$32))*Piano_SS!$D$6,0))</f>
        <v>300000</v>
      </c>
      <c r="BW159" s="15" t="n">
        <f aca="false">MIN(Piano_SS!$C$7,(BW158)+IF(AND(Motore_Operativo!C159&gt;=EDATE(Parametri_v3!$C$24,Ipotesi!E14*12),Motore_Operativo!C159&lt;EDATE(Parametri_v3!$C$24,Parametri_v3!$C$25+Ipotesi!E14*12)),MAX(0,(IF(35-(INT((Ipotesi!$C$91)/30))&lt;1,0,INDEX(Motore_Operativo!$BN$125:$BN$184,MAX(1,35-(INT((Ipotesi!$C$91)/30)))))*(1-(MOD((Ipotesi!$C$91),30)/30))+IF(35-(INT((Ipotesi!$C$91)/30))-1&lt;1,0,INDEX(Motore_Operativo!$BN$125:$BN$184,MAX(1,35-(INT((Ipotesi!$C$91)/30))-1)))*(MOD((Ipotesi!$C$91),30)/30)))*Piano_SS!$D$7,0))</f>
        <v>44070.0796097004</v>
      </c>
      <c r="BX159" s="15" t="n">
        <f aca="false">MIN(Piano_SS!$C$8,(BX158)+IF(AND(Motore_Operativo!C159&gt;=EDATE(Parametri_v3!$C$24,Ipotesi!E14*12),Motore_Operativo!C159&lt;EDATE(Parametri_v3!$C$24,Parametri_v3!$C$25+Ipotesi!E14*12)),MAX(0,Motore_Operativo!CE159)*Piano_SS!$D$8,0))</f>
        <v>50000</v>
      </c>
      <c r="BY159" s="15" t="n">
        <f aca="false">MIN(Piano_SS!$C$9,(BY158)+IF(AND(Motore_Operativo!C159&gt;=EDATE(Parametri_v3!$C$24,Ipotesi!E14*12),Motore_Operativo!C159&lt;EDATE(Parametri_v3!$C$24,Parametri_v3!$C$25+Ipotesi!E14*12)),MAX(0,((IF(35-(INT((Ipotesi!$C$91)/30))&lt;1,0,INDEX(Motore_Operativo!$BQ$125:$BQ$184,MAX(1,35-(INT((Ipotesi!$C$91)/30)))))*(1-(MOD((Ipotesi!$C$91),30)/30))+IF(35-(INT((Ipotesi!$C$91)/30))-1&lt;1,0,INDEX(Motore_Operativo!$BQ$125:$BQ$184,MAX(1,35-(INT((Ipotesi!$C$91)/30))-1)))*(MOD((Ipotesi!$C$91),30)/30))+(IF(35-(INT((Ipotesi!$C$91)/30))&lt;1,0,INDEX(Motore_Operativo!$BR$125:$BR$184,MAX(1,35-(INT((Ipotesi!$C$91)/30)))))*(1-(MOD((Ipotesi!$C$91),30)/30))+IF(35-(INT((Ipotesi!$C$91)/30))-1&lt;1,0,INDEX(Motore_Operativo!$BR$125:$BR$184,MAX(1,35-(INT((Ipotesi!$C$91)/30))-1)))*(MOD((Ipotesi!$C$91),30)/30))))*Piano_SS!$D$9,0))</f>
        <v>40000</v>
      </c>
      <c r="BZ159" s="15" t="n">
        <f aca="false">MIN(Piano_SS!$C$10,(BZ158)+IF(AND(Motore_Operativo!C159&gt;=EDATE(Parametri_v3!$C$24,Ipotesi!E14*12),Motore_Operativo!C159&lt;EDATE(Parametri_v3!$C$24,Parametri_v3!$C$25+Ipotesi!E14*12)),MAX(0,(IF(35-(INT((Ipotesi!$C$91)/30))&lt;1,0,INDEX(Motore_Operativo!$BO$125:$BO$184,MAX(1,35-(INT((Ipotesi!$C$91)/30)))))*(1-(MOD((Ipotesi!$C$91),30)/30))+IF(35-(INT((Ipotesi!$C$91)/30))-1&lt;1,0,INDEX(Motore_Operativo!$BO$125:$BO$184,MAX(1,35-(INT((Ipotesi!$C$91)/30))-1)))*(MOD((Ipotesi!$C$91),30)/30)))*Piano_SS!$D$10,0))</f>
        <v>30000</v>
      </c>
      <c r="CA159" s="15" t="n">
        <f aca="false">SUM(BV159:BZ159)</f>
        <v>464070.0796097</v>
      </c>
      <c r="CB159" s="15" t="n">
        <f aca="false">BV159*(1-Piano_SS!$E$6)+BW159*(1-Piano_SS!$E$7)+BX159*(1-Piano_SS!$E$8)+BY159*(1-Piano_SS!$E$9)+BZ159*(1-Piano_SS!$E$10)</f>
        <v>434070.0796097</v>
      </c>
      <c r="CC159" s="15" t="n">
        <f aca="false">(CC158)+BA159</f>
        <v>371256.06368776</v>
      </c>
      <c r="CD159" s="15" t="n">
        <f aca="false">IF(CA159=0,0,CC159*CB159/CA159*Ipotesi!$C$103*Parametri_v3!$C$64)</f>
        <v>104176.819106328</v>
      </c>
      <c r="CE159" s="18" t="n">
        <f aca="false">IF(BA159&gt;0,Motore_Operativo!C159,(CE158))</f>
        <v>47270</v>
      </c>
      <c r="CF159" s="18" t="n">
        <f aca="false">IF(AND(CC159&gt;0,OR(CC159&gt;=CG159-0.01,Motore_Operativo!C159&gt;=EDATE(MAX(Finanziamenti!$D$15:$D$17),Ipotesi!E14*12))),CE159,0)</f>
        <v>47270</v>
      </c>
      <c r="CG159" s="15" t="n">
        <f aca="false">IF(AND(3&lt;&gt;6,3&lt;&gt;9,Finanziamenti!$F$11=1,OR(Parametri_v3!$C$6=0,Finanziamenti!$E$11=1)),MIN(Finanziamenti!$C$11,Piano_SS!$C$12*Ipotesi!$C$102),0)</f>
        <v>400000</v>
      </c>
      <c r="CH159" s="15" t="n">
        <f aca="false">IF(AND(AND(3&lt;&gt;8,3&lt;&gt;9,Finanziamenti!$F$10=1,OR(Parametri_v3!$C$6=0,Finanziamenti!$E$10=1)),Motore_Operativo!C159&gt;=Finanziamenti!$D$10,Motore_Operativo!C159&lt;Parametri_v3!$C$63),Finanziamenti!$C$10,0)</f>
        <v>150000</v>
      </c>
    </row>
    <row r="160" customFormat="false" ht="18" hidden="false" customHeight="true" outlineLevel="0" collapsed="false">
      <c r="A160" s="68" t="n">
        <f aca="false">3</f>
        <v>3</v>
      </c>
      <c r="B160" s="68" t="n">
        <f aca="false">36</f>
        <v>36</v>
      </c>
      <c r="C160" s="18" t="n">
        <f aca="false">Motore_Operativo!C160</f>
        <v>47453</v>
      </c>
      <c r="D160" s="68" t="n">
        <f aca="false">Motore_Operativo!D160</f>
        <v>2029</v>
      </c>
      <c r="E160" s="68" t="n">
        <f aca="false">Motore_Operativo!E160</f>
        <v>12</v>
      </c>
      <c r="F160" s="15" t="n">
        <f aca="false">Motore_Operativo!AQ160+Motore_Operativo!BF160</f>
        <v>95348.3003265854</v>
      </c>
      <c r="G160" s="15" t="n">
        <f aca="false">Motore_Operativo!BH160</f>
        <v>6050</v>
      </c>
      <c r="H160" s="15" t="n">
        <f aca="false">Motore_Operativo!BI160</f>
        <v>101398.300326585</v>
      </c>
      <c r="I160" s="15" t="n">
        <f aca="false">Motore_Operativo!CA160</f>
        <v>120320.428712389</v>
      </c>
      <c r="J160" s="15" t="n">
        <f aca="false">Motore_Operativo!CC160</f>
        <v>-18922.1283858033</v>
      </c>
      <c r="K160" s="15" t="n">
        <f aca="false">Motore_Operativo!CE160</f>
        <v>2500</v>
      </c>
      <c r="L160" s="15" t="n">
        <f aca="false">SUM(INDEX($K$125:$K$184,MAX(1,36-Parametri_v3!$C$59+1)):K160)/Parametri_v3!$C$59</f>
        <v>2083.33333333333</v>
      </c>
      <c r="M160" s="15" t="n">
        <f aca="false">J160-L160</f>
        <v>-21005.4617191366</v>
      </c>
      <c r="N160" s="15" t="n">
        <f aca="false">CD160-(CD159)</f>
        <v>0</v>
      </c>
      <c r="O160" s="15" t="n">
        <f aca="false">(BG159)*Ipotesi!$C$110/12+CH160*Parametri_v3!$C$39/12</f>
        <v>0</v>
      </c>
      <c r="P160" s="15" t="n">
        <f aca="false">M160+N160-O160</f>
        <v>-21005.4617191366</v>
      </c>
      <c r="Q160" s="15" t="n">
        <f aca="false">SUM(P149:P160)+Parametri_v3!$C$54*12/12</f>
        <v>-386771.033622618</v>
      </c>
      <c r="R160" s="15" t="n">
        <f aca="false">Z148</f>
        <v>427550.84996487</v>
      </c>
      <c r="S160" s="15" t="n">
        <f aca="false">AA148</f>
        <v>0</v>
      </c>
      <c r="T160" s="15" t="n">
        <f aca="false">MIN(R160,MAX(0,Q160))</f>
        <v>0</v>
      </c>
      <c r="U160" s="15" t="n">
        <f aca="false">MIN(S160,MAX(0,Q160-T160)*Parametri_v3!$C$42)</f>
        <v>0</v>
      </c>
      <c r="V160" s="15" t="n">
        <f aca="false">MAX(0,Q160-T160-U160)*Ipotesi!$C$92</f>
        <v>0</v>
      </c>
      <c r="W160" s="15" t="n">
        <f aca="false">MAX(0,SUM(M149:M160)+Parametri_v3!$C$55*12/12)*Ipotesi!$C$93</f>
        <v>0</v>
      </c>
      <c r="X160" s="15" t="n">
        <f aca="false">V160+W160-(V159+W159)</f>
        <v>0</v>
      </c>
      <c r="Y160" s="15" t="n">
        <f aca="false">P160-X160</f>
        <v>-21005.4617191366</v>
      </c>
      <c r="Z160" s="15" t="n">
        <f aca="false">R160-T160+IF(AND(Parametri_v3!$C$40=1,D160-YEAR(Parametri_v3!$C$50)&lt;Parametri_v3!$C$41),MAX(0,-Q160),0)</f>
        <v>814321.883587488</v>
      </c>
      <c r="AA160" s="15" t="n">
        <f aca="false">S160-U160+IF(AND(Parametri_v3!$C$40=1,D160-YEAR(Parametri_v3!$C$50)&lt;Parametri_v3!$C$41),0,MAX(0,-Q160))</f>
        <v>0</v>
      </c>
      <c r="AB160" s="15" t="n">
        <f aca="false">F160*(1+Parametri_v3!$C$26)</f>
        <v>116324.926398434</v>
      </c>
      <c r="AC160" s="15" t="n">
        <f aca="false">(IF(36-(INT((Motore_Operativo!L160)/30))&lt;1,0,INDEX(Motore_Startup!$AB$125:$AB$184,MAX(1,36-(INT((Motore_Operativo!L160)/30)))))*(1-(MOD((Motore_Operativo!L160),30)/30))+IF(36-(INT((Motore_Operativo!L160)/30))-1&lt;1,0,INDEX(Motore_Startup!$AB$125:$AB$184,MAX(1,36-(INT((Motore_Operativo!L160)/30))-1)))*(MOD((Motore_Operativo!L160),30)/30))</f>
        <v>104634.496615795</v>
      </c>
      <c r="AD160" s="15" t="n">
        <f aca="false">(AD159)+AB160-AC160</f>
        <v>337352.776850729</v>
      </c>
      <c r="AE160" s="15" t="n">
        <f aca="false">Motore_Operativo!BH160*(1+Parametri_v3!$C$26)</f>
        <v>7381</v>
      </c>
      <c r="AF160" s="15" t="n">
        <f aca="false">(IF(36-(INT((Parametri_v3!$C$29)/30))&lt;1,0,INDEX(Motore_Operativo!$BH$125:$BH$184,MAX(1,36-(INT((Parametri_v3!$C$29)/30)))))*(1-(MOD((Parametri_v3!$C$29),30)/30))+IF(36-(INT((Parametri_v3!$C$29)/30))-1&lt;1,0,INDEX(Motore_Operativo!$BH$125:$BH$184,MAX(1,36-(INT((Parametri_v3!$C$29)/30))-1)))*(MOD((Parametri_v3!$C$29),30)/30))*(1+Parametri_v3!$C$26)</f>
        <v>7381</v>
      </c>
      <c r="AG160" s="15" t="n">
        <f aca="false">(AG159)+AE160-AF160</f>
        <v>7381</v>
      </c>
      <c r="AH160" s="15" t="n">
        <f aca="false">(Motore_Operativo!CJ160)*(1+Parametri_v3!$C$27*Parametri_v3!$C$26)</f>
        <v>54657.506548272</v>
      </c>
      <c r="AI160" s="15" t="n">
        <f aca="false">(IF(36-(INT((Ipotesi!$C$91)/30))&lt;1,0,INDEX(Motore_Startup!$AH$125:$AH$184,MAX(1,36-(INT((Ipotesi!$C$91)/30)))))*(1-(MOD((Ipotesi!$C$91),30)/30))+IF(36-(INT((Ipotesi!$C$91)/30))-1&lt;1,0,INDEX(Motore_Startup!$AH$125:$AH$184,MAX(1,36-(INT((Ipotesi!$C$91)/30))-1)))*(MOD((Ipotesi!$C$91),30)/30))</f>
        <v>53600.5804894828</v>
      </c>
      <c r="AJ160" s="15" t="n">
        <f aca="false">(AJ159)+AH160-AI160</f>
        <v>108788.870016299</v>
      </c>
      <c r="AK160" s="15" t="n">
        <f aca="false">(F160+ Motore_Operativo!BH160-(Motore_Operativo!CJ160)*Parametri_v3!$C$27-Motore_Operativo!CE160)*Parametri_v3!$C$26</f>
        <v>13146.8815692988</v>
      </c>
      <c r="AL160" s="15" t="n">
        <f aca="false">MAX(0,(AM159))</f>
        <v>12533.2273882119</v>
      </c>
      <c r="AM160" s="15" t="n">
        <f aca="false">(AM159)+AK160-AL160</f>
        <v>13146.8815692988</v>
      </c>
      <c r="AN160" s="15" t="n">
        <f aca="false">SUM(X137:X148)</f>
        <v>0</v>
      </c>
      <c r="AO160" s="15" t="n">
        <f aca="false">SUM(AP137:AP148)</f>
        <v>0</v>
      </c>
      <c r="AP160" s="15" t="n">
        <f aca="false">MAX(0,AN160)*IF(12=Parametri_v3!$C$43,Parametri_v3!$C$45,IF(12=Parametri_v3!$C$44,1-Parametri_v3!$C$45,0))</f>
        <v>0</v>
      </c>
      <c r="AQ160" s="15" t="n">
        <f aca="false">MAX(0,AP160+IF(12=Parametri_v3!$C$43,MAX(0,AN160-AO160),0)-MAX(0,-(AR159)))</f>
        <v>0</v>
      </c>
      <c r="AR160" s="15" t="n">
        <f aca="false">(AR159)+X160-AQ160</f>
        <v>0</v>
      </c>
      <c r="AS160" s="15" t="n">
        <f aca="false">Motore_Operativo!AB160-AT160+AU160</f>
        <v>70559.9833333333</v>
      </c>
      <c r="AT160" s="15" t="n">
        <f aca="false">Motore_Operativo!CH160</f>
        <v>3713.68333333333</v>
      </c>
      <c r="AU160" s="15" t="n">
        <f aca="false">MIN(MAX(0,(AV159)+AT160),Parametri_v3!$C$60/12)</f>
        <v>0</v>
      </c>
      <c r="AV160" s="15" t="n">
        <f aca="false">(AV159)+AT160-AU160</f>
        <v>79171.7</v>
      </c>
      <c r="AW160" s="15" t="n">
        <f aca="false">IF(AND(Motore_Operativo!C160=Finanziamenti!$D$6,Finanziamenti!$F$6=1),Finanziamenti!$C$6,0)</f>
        <v>0</v>
      </c>
      <c r="AX160" s="15" t="n">
        <f aca="false">IF(AND(3&lt;&gt;7,3&lt;&gt;9,Finanziamenti!$F$8=1,OR(Parametri_v3!$C$6=0,Finanziamenti!$E$8=1),Motore_Operativo!C160=EDATE(Finanziamenti!$D$8,Ipotesi!E15*12)),Finanziamenti!$C$8*1,0)+IF(AND(3&lt;&gt;7,3&lt;&gt;9,Finanziamenti!$F$9=1,OR(Parametri_v3!$C$6=0,Finanziamenti!$E$9=1),Motore_Operativo!C160=EDATE(Finanziamenti!$D$9,Ipotesi!E15*12)),Finanziamenti!$C$9*Ipotesi!E16,0)</f>
        <v>0</v>
      </c>
      <c r="AY160" s="15" t="n">
        <f aca="false">0</f>
        <v>0</v>
      </c>
      <c r="AZ160" s="15" t="n">
        <f aca="false">Motore_Advisory!AY160*(1-Ipotesi!$C$95)*Ipotesi!$C$96</f>
        <v>0</v>
      </c>
      <c r="BA160" s="15" t="n">
        <f aca="false">MAX(0,MIN(CG160*MIN(1,IF(Motore_Operativo!C160&gt;=EDATE(Finanziamenti!$D$15,Ipotesi!E14*12),Finanziamenti!$C$15,0)+IF(Motore_Operativo!C160&gt;=EDATE(Finanziamenti!$D$16,Ipotesi!E14*12),Finanziamenti!$C$16,0)+IF(Motore_Operativo!C160&gt;=EDATE(Finanziamenti!$D$17,Ipotesi!E14*12),Finanziamenti!$C$17,0)),CA160*Ipotesi!$C$102)-(CC159))</f>
        <v>0</v>
      </c>
      <c r="BB160" s="15" t="n">
        <f aca="false">IF(AND(CF160&gt;0,Motore_Operativo!C160&gt;=IF(CF160=0,0,EDATE(CF160,Parametri_v3!$C$37)),MOD(((D160-YEAR(IF(CF160=0,0,EDATE(CF160,Parametri_v3!$C$37))))*12+E160-MONTH(IF(CF160=0,0,EDATE(CF160,Parametri_v3!$C$37)))),Parametri_v3!$C$38)=0),MIN(MAX(0,(BC159)+BA160-N160),(CC160-CD160)/(Ipotesi!$C$108*12/Parametri_v3!$C$38)),0)</f>
        <v>0</v>
      </c>
      <c r="BC160" s="15" t="n">
        <f aca="false">(BC159)+BA160-N160-BB160</f>
        <v>267079.244581432</v>
      </c>
      <c r="BD160" s="15" t="n">
        <f aca="false">(BH159)+AC160+AF160-AI160-AS160-K160*(1+Parametri_v3!$C$26)-AL160-AQ160-O160+AW160+AX160+AZ160+BA160-BB160</f>
        <v>599339.369062146</v>
      </c>
      <c r="BE160" s="15" t="n">
        <f aca="false">MAX(0,MIN(MAX(0,CH160-(BG159)),Parametri_v3!$C$30-BD160))</f>
        <v>0</v>
      </c>
      <c r="BF160" s="15" t="n">
        <f aca="false">IF(Motore_Operativo!C160&gt;=Parametri_v3!$C$63,(BG159),MIN((BG159),MAX(0,BD160-Parametri_v3!$C$30)))</f>
        <v>0</v>
      </c>
      <c r="BG160" s="15" t="n">
        <f aca="false">(BG159)+BE160-BF160</f>
        <v>0</v>
      </c>
      <c r="BH160" s="15" t="n">
        <f aca="false">BD160+BE160-BF160-AY160</f>
        <v>599339.369062146</v>
      </c>
      <c r="BI160" s="15" t="n">
        <f aca="false">MAX(0,Parametri_v3!$C$30-BH160)</f>
        <v>0</v>
      </c>
      <c r="BJ160" s="15" t="n">
        <f aca="false">(BJ159)+K160</f>
        <v>75000</v>
      </c>
      <c r="BK160" s="15" t="n">
        <f aca="false">(BK159)+L160</f>
        <v>35208.3333333333</v>
      </c>
      <c r="BL160" s="15" t="n">
        <f aca="false">BJ160-BK160</f>
        <v>39791.6666666667</v>
      </c>
      <c r="BM160" s="15" t="n">
        <f aca="false">(BM159)+Y160</f>
        <v>-814321.883587488</v>
      </c>
      <c r="BN160" s="15" t="n">
        <f aca="false">(BN159)+AW160+AX160+AZ160</f>
        <v>1330000</v>
      </c>
      <c r="BO160" s="15" t="n">
        <f aca="false">(BO159)+AY160</f>
        <v>0</v>
      </c>
      <c r="BP160" s="15" t="n">
        <f aca="false">0</f>
        <v>0</v>
      </c>
      <c r="BQ160" s="15" t="n">
        <f aca="false">BN160+BM160-BO160</f>
        <v>515678.116412512</v>
      </c>
      <c r="BR160" s="15" t="n">
        <f aca="false">BH160+AD160+BL160+MAX(0,-AM160)+MAX(0,-AR160)+AG160</f>
        <v>983864.812579542</v>
      </c>
      <c r="BS160" s="15" t="n">
        <f aca="false">AJ160+AV160+MAX(0,AM160)+MAX(0,AR160)+BC160+BG160+BQ160</f>
        <v>983864.812579542</v>
      </c>
      <c r="BT160" s="15" t="n">
        <f aca="false">BR160-BS160</f>
        <v>0</v>
      </c>
      <c r="BU160" s="15" t="n">
        <f aca="false">BH160-(BD160+BE160-BF160-AY160)</f>
        <v>0</v>
      </c>
      <c r="BV160" s="15" t="n">
        <f aca="false">MIN(Piano_SS!$C$6,(BV159)+IF(AND(Motore_Operativo!C160&gt;=EDATE(Parametri_v3!$C$24,Ipotesi!E14*12),Motore_Operativo!C160&lt;EDATE(Parametri_v3!$C$24,Parametri_v3!$C$25+Ipotesi!E14*12)),MAX(0,(Motore_Operativo!Y160+Motore_Operativo!X160*Parametri_v3!$C$14)*(1-Parametri_v3!$C$32))*Piano_SS!$D$6,0))</f>
        <v>300000</v>
      </c>
      <c r="BW160" s="15" t="n">
        <f aca="false">MIN(Piano_SS!$C$7,(BW159)+IF(AND(Motore_Operativo!C160&gt;=EDATE(Parametri_v3!$C$24,Ipotesi!E14*12),Motore_Operativo!C160&lt;EDATE(Parametri_v3!$C$24,Parametri_v3!$C$25+Ipotesi!E14*12)),MAX(0,(IF(36-(INT((Ipotesi!$C$91)/30))&lt;1,0,INDEX(Motore_Operativo!$BN$125:$BN$184,MAX(1,36-(INT((Ipotesi!$C$91)/30)))))*(1-(MOD((Ipotesi!$C$91),30)/30))+IF(36-(INT((Ipotesi!$C$91)/30))-1&lt;1,0,INDEX(Motore_Operativo!$BN$125:$BN$184,MAX(1,36-(INT((Ipotesi!$C$91)/30))-1)))*(MOD((Ipotesi!$C$91),30)/30)))*Piano_SS!$D$7,0))</f>
        <v>44070.0796097004</v>
      </c>
      <c r="BX160" s="15" t="n">
        <f aca="false">MIN(Piano_SS!$C$8,(BX159)+IF(AND(Motore_Operativo!C160&gt;=EDATE(Parametri_v3!$C$24,Ipotesi!E14*12),Motore_Operativo!C160&lt;EDATE(Parametri_v3!$C$24,Parametri_v3!$C$25+Ipotesi!E14*12)),MAX(0,Motore_Operativo!CE160)*Piano_SS!$D$8,0))</f>
        <v>50000</v>
      </c>
      <c r="BY160" s="15" t="n">
        <f aca="false">MIN(Piano_SS!$C$9,(BY159)+IF(AND(Motore_Operativo!C160&gt;=EDATE(Parametri_v3!$C$24,Ipotesi!E14*12),Motore_Operativo!C160&lt;EDATE(Parametri_v3!$C$24,Parametri_v3!$C$25+Ipotesi!E14*12)),MAX(0,((IF(36-(INT((Ipotesi!$C$91)/30))&lt;1,0,INDEX(Motore_Operativo!$BQ$125:$BQ$184,MAX(1,36-(INT((Ipotesi!$C$91)/30)))))*(1-(MOD((Ipotesi!$C$91),30)/30))+IF(36-(INT((Ipotesi!$C$91)/30))-1&lt;1,0,INDEX(Motore_Operativo!$BQ$125:$BQ$184,MAX(1,36-(INT((Ipotesi!$C$91)/30))-1)))*(MOD((Ipotesi!$C$91),30)/30))+(IF(36-(INT((Ipotesi!$C$91)/30))&lt;1,0,INDEX(Motore_Operativo!$BR$125:$BR$184,MAX(1,36-(INT((Ipotesi!$C$91)/30)))))*(1-(MOD((Ipotesi!$C$91),30)/30))+IF(36-(INT((Ipotesi!$C$91)/30))-1&lt;1,0,INDEX(Motore_Operativo!$BR$125:$BR$184,MAX(1,36-(INT((Ipotesi!$C$91)/30))-1)))*(MOD((Ipotesi!$C$91),30)/30))))*Piano_SS!$D$9,0))</f>
        <v>40000</v>
      </c>
      <c r="BZ160" s="15" t="n">
        <f aca="false">MIN(Piano_SS!$C$10,(BZ159)+IF(AND(Motore_Operativo!C160&gt;=EDATE(Parametri_v3!$C$24,Ipotesi!E14*12),Motore_Operativo!C160&lt;EDATE(Parametri_v3!$C$24,Parametri_v3!$C$25+Ipotesi!E14*12)),MAX(0,(IF(36-(INT((Ipotesi!$C$91)/30))&lt;1,0,INDEX(Motore_Operativo!$BO$125:$BO$184,MAX(1,36-(INT((Ipotesi!$C$91)/30)))))*(1-(MOD((Ipotesi!$C$91),30)/30))+IF(36-(INT((Ipotesi!$C$91)/30))-1&lt;1,0,INDEX(Motore_Operativo!$BO$125:$BO$184,MAX(1,36-(INT((Ipotesi!$C$91)/30))-1)))*(MOD((Ipotesi!$C$91),30)/30)))*Piano_SS!$D$10,0))</f>
        <v>30000</v>
      </c>
      <c r="CA160" s="15" t="n">
        <f aca="false">SUM(BV160:BZ160)</f>
        <v>464070.0796097</v>
      </c>
      <c r="CB160" s="15" t="n">
        <f aca="false">BV160*(1-Piano_SS!$E$6)+BW160*(1-Piano_SS!$E$7)+BX160*(1-Piano_SS!$E$8)+BY160*(1-Piano_SS!$E$9)+BZ160*(1-Piano_SS!$E$10)</f>
        <v>434070.0796097</v>
      </c>
      <c r="CC160" s="15" t="n">
        <f aca="false">(CC159)+BA160</f>
        <v>371256.06368776</v>
      </c>
      <c r="CD160" s="15" t="n">
        <f aca="false">IF(CA160=0,0,CC160*CB160/CA160*Ipotesi!$C$103*Parametri_v3!$C$64)</f>
        <v>104176.819106328</v>
      </c>
      <c r="CE160" s="18" t="n">
        <f aca="false">IF(BA160&gt;0,Motore_Operativo!C160,(CE159))</f>
        <v>47270</v>
      </c>
      <c r="CF160" s="18" t="n">
        <f aca="false">IF(AND(CC160&gt;0,OR(CC160&gt;=CG160-0.01,Motore_Operativo!C160&gt;=EDATE(MAX(Finanziamenti!$D$15:$D$17),Ipotesi!E14*12))),CE160,0)</f>
        <v>47270</v>
      </c>
      <c r="CG160" s="15" t="n">
        <f aca="false">IF(AND(3&lt;&gt;6,3&lt;&gt;9,Finanziamenti!$F$11=1,OR(Parametri_v3!$C$6=0,Finanziamenti!$E$11=1)),MIN(Finanziamenti!$C$11,Piano_SS!$C$12*Ipotesi!$C$102),0)</f>
        <v>400000</v>
      </c>
      <c r="CH160" s="15" t="n">
        <f aca="false">IF(AND(AND(3&lt;&gt;8,3&lt;&gt;9,Finanziamenti!$F$10=1,OR(Parametri_v3!$C$6=0,Finanziamenti!$E$10=1)),Motore_Operativo!C160&gt;=Finanziamenti!$D$10,Motore_Operativo!C160&lt;Parametri_v3!$C$63),Finanziamenti!$C$10,0)</f>
        <v>150000</v>
      </c>
    </row>
    <row r="161" customFormat="false" ht="18" hidden="false" customHeight="true" outlineLevel="0" collapsed="false">
      <c r="A161" s="68" t="n">
        <f aca="false">3</f>
        <v>3</v>
      </c>
      <c r="B161" s="68" t="n">
        <f aca="false">37</f>
        <v>37</v>
      </c>
      <c r="C161" s="18" t="n">
        <f aca="false">Motore_Operativo!C161</f>
        <v>47484</v>
      </c>
      <c r="D161" s="68" t="n">
        <f aca="false">Motore_Operativo!D161</f>
        <v>2030</v>
      </c>
      <c r="E161" s="68" t="n">
        <f aca="false">Motore_Operativo!E161</f>
        <v>1</v>
      </c>
      <c r="F161" s="15" t="n">
        <f aca="false">Motore_Operativo!AQ161+Motore_Operativo!BF161</f>
        <v>126785.696531217</v>
      </c>
      <c r="G161" s="15" t="n">
        <f aca="false">Motore_Operativo!BH161</f>
        <v>9024.16666666667</v>
      </c>
      <c r="H161" s="15" t="n">
        <f aca="false">Motore_Operativo!BI161</f>
        <v>135809.863197883</v>
      </c>
      <c r="I161" s="15" t="n">
        <f aca="false">Motore_Operativo!CA161</f>
        <v>156929.87313937</v>
      </c>
      <c r="J161" s="15" t="n">
        <f aca="false">Motore_Operativo!CC161</f>
        <v>-21120.0099414871</v>
      </c>
      <c r="K161" s="15" t="n">
        <f aca="false">Motore_Operativo!CE161</f>
        <v>3333.33333333333</v>
      </c>
      <c r="L161" s="15" t="n">
        <f aca="false">SUM(INDEX($K$125:$K$184,MAX(1,37-Parametri_v3!$C$59+1)):K161)/Parametri_v3!$C$59</f>
        <v>2129.62962962963</v>
      </c>
      <c r="M161" s="15" t="n">
        <f aca="false">J161-L161</f>
        <v>-23249.6395711167</v>
      </c>
      <c r="N161" s="15" t="n">
        <f aca="false">CD161-(CD160)</f>
        <v>0</v>
      </c>
      <c r="O161" s="15" t="n">
        <f aca="false">(BG160)*Ipotesi!$C$110/12+CH161*Parametri_v3!$C$39/12</f>
        <v>0</v>
      </c>
      <c r="P161" s="15" t="n">
        <f aca="false">M161+N161-O161</f>
        <v>-23249.6395711167</v>
      </c>
      <c r="Q161" s="15" t="n">
        <f aca="false">SUM(P161)+Parametri_v3!$C$54*1/12</f>
        <v>-23249.6395711167</v>
      </c>
      <c r="R161" s="15" t="n">
        <f aca="false">Z160</f>
        <v>814321.883587488</v>
      </c>
      <c r="S161" s="15" t="n">
        <f aca="false">AA160</f>
        <v>0</v>
      </c>
      <c r="T161" s="15" t="n">
        <f aca="false">MIN(R161,MAX(0,Q161))</f>
        <v>0</v>
      </c>
      <c r="U161" s="15" t="n">
        <f aca="false">MIN(S161,MAX(0,Q161-T161)*Parametri_v3!$C$42)</f>
        <v>0</v>
      </c>
      <c r="V161" s="15" t="n">
        <f aca="false">MAX(0,Q161-T161-U161)*Ipotesi!$C$92</f>
        <v>0</v>
      </c>
      <c r="W161" s="15" t="n">
        <f aca="false">MAX(0,SUM(M161)+Parametri_v3!$C$55*1/12)*Ipotesi!$C$93</f>
        <v>0</v>
      </c>
      <c r="X161" s="15" t="n">
        <f aca="false">V161+W161-(0)</f>
        <v>0</v>
      </c>
      <c r="Y161" s="15" t="n">
        <f aca="false">P161-X161</f>
        <v>-23249.6395711167</v>
      </c>
      <c r="Z161" s="15" t="n">
        <f aca="false">R161-T161+IF(AND(Parametri_v3!$C$40=1,D161-YEAR(Parametri_v3!$C$50)&lt;Parametri_v3!$C$41),MAX(0,-Q161),0)</f>
        <v>814321.883587488</v>
      </c>
      <c r="AA161" s="15" t="n">
        <f aca="false">S161-U161+IF(AND(Parametri_v3!$C$40=1,D161-YEAR(Parametri_v3!$C$50)&lt;Parametri_v3!$C$41),0,MAX(0,-Q161))</f>
        <v>23249.6395711167</v>
      </c>
      <c r="AB161" s="15" t="n">
        <f aca="false">F161*(1+Parametri_v3!$C$26)</f>
        <v>154678.549768084</v>
      </c>
      <c r="AC161" s="15" t="n">
        <f aca="false">(IF(37-(INT((Motore_Operativo!L161)/30))&lt;1,0,INDEX(Motore_Startup!$AB$125:$AB$184,MAX(1,37-(INT((Motore_Operativo!L161)/30)))))*(1-(MOD((Motore_Operativo!L161),30)/30))+IF(37-(INT((Motore_Operativo!L161)/30))-1&lt;1,0,INDEX(Motore_Startup!$AB$125:$AB$184,MAX(1,37-(INT((Motore_Operativo!L161)/30))-1)))*(MOD((Motore_Operativo!L161),30)/30))</f>
        <v>108565.570328373</v>
      </c>
      <c r="AD161" s="15" t="n">
        <f aca="false">(AD160)+AB161-AC161</f>
        <v>383465.75629044</v>
      </c>
      <c r="AE161" s="15" t="n">
        <f aca="false">Motore_Operativo!BH161*(1+Parametri_v3!$C$26)</f>
        <v>11009.4833333333</v>
      </c>
      <c r="AF161" s="15" t="n">
        <f aca="false">(IF(37-(INT((Parametri_v3!$C$29)/30))&lt;1,0,INDEX(Motore_Operativo!$BH$125:$BH$184,MAX(1,37-(INT((Parametri_v3!$C$29)/30)))))*(1-(MOD((Parametri_v3!$C$29),30)/30))+IF(37-(INT((Parametri_v3!$C$29)/30))-1&lt;1,0,INDEX(Motore_Operativo!$BH$125:$BH$184,MAX(1,37-(INT((Parametri_v3!$C$29)/30))-1)))*(MOD((Parametri_v3!$C$29),30)/30))*(1+Parametri_v3!$C$26)</f>
        <v>7381</v>
      </c>
      <c r="AG161" s="15" t="n">
        <f aca="false">(AG160)+AE161-AF161</f>
        <v>11009.4833333333</v>
      </c>
      <c r="AH161" s="15" t="n">
        <f aca="false">(Motore_Operativo!CJ161)*(1+Parametri_v3!$C$27*Parametri_v3!$C$26)</f>
        <v>71762.2087578909</v>
      </c>
      <c r="AI161" s="15" t="n">
        <f aca="false">(IF(37-(INT((Ipotesi!$C$91)/30))&lt;1,0,INDEX(Motore_Startup!$AH$125:$AH$184,MAX(1,37-(INT((Ipotesi!$C$91)/30)))))*(1-(MOD((Ipotesi!$C$91),30)/30))+IF(37-(INT((Ipotesi!$C$91)/30))-1&lt;1,0,INDEX(Motore_Startup!$AH$125:$AH$184,MAX(1,37-(INT((Ipotesi!$C$91)/30))-1)))*(MOD((Ipotesi!$C$91),30)/30))</f>
        <v>54131.3634680273</v>
      </c>
      <c r="AJ161" s="15" t="n">
        <f aca="false">(AJ160)+AH161-AI161</f>
        <v>126419.715306163</v>
      </c>
      <c r="AK161" s="15" t="n">
        <f aca="false">(F161+ Motore_Operativo!BH161-(Motore_Operativo!CJ161)*Parametri_v3!$C$27-Motore_Operativo!CE161)*Parametri_v3!$C$26</f>
        <v>17839.4169933471</v>
      </c>
      <c r="AL161" s="15" t="n">
        <f aca="false">MAX(0,(AM160))</f>
        <v>13146.8815692988</v>
      </c>
      <c r="AM161" s="15" t="n">
        <f aca="false">(AM160)+AK161-AL161</f>
        <v>17839.4169933471</v>
      </c>
      <c r="AN161" s="15" t="n">
        <f aca="false">SUM(X149:X160)</f>
        <v>0</v>
      </c>
      <c r="AO161" s="15" t="n">
        <f aca="false">SUM(AP149:AP160)</f>
        <v>0</v>
      </c>
      <c r="AP161" s="15" t="n">
        <f aca="false">MAX(0,AN161)*IF(1=Parametri_v3!$C$43,Parametri_v3!$C$45,IF(1=Parametri_v3!$C$44,1-Parametri_v3!$C$45,0))</f>
        <v>0</v>
      </c>
      <c r="AQ161" s="15" t="n">
        <f aca="false">MAX(0,AP161+IF(1=Parametri_v3!$C$43,MAX(0,AN161-AO161),0)-MAX(0,-(AR160)))</f>
        <v>0</v>
      </c>
      <c r="AR161" s="15" t="n">
        <f aca="false">(AR160)+X161-AQ161</f>
        <v>0</v>
      </c>
      <c r="AS161" s="15" t="n">
        <f aca="false">Motore_Operativo!AB161-AT161+AU161</f>
        <v>91649.4297604167</v>
      </c>
      <c r="AT161" s="15" t="n">
        <f aca="false">Motore_Operativo!CH161</f>
        <v>4823.65419791667</v>
      </c>
      <c r="AU161" s="15" t="n">
        <f aca="false">MIN(MAX(0,(AV160)+AT161),Parametri_v3!$C$60/12)</f>
        <v>0</v>
      </c>
      <c r="AV161" s="15" t="n">
        <f aca="false">(AV160)+AT161-AU161</f>
        <v>83995.3541979167</v>
      </c>
      <c r="AW161" s="15" t="n">
        <f aca="false">IF(AND(Motore_Operativo!C161=Finanziamenti!$D$6,Finanziamenti!$F$6=1),Finanziamenti!$C$6,0)</f>
        <v>0</v>
      </c>
      <c r="AX161" s="15" t="n">
        <f aca="false">IF(AND(3&lt;&gt;7,3&lt;&gt;9,Finanziamenti!$F$8=1,OR(Parametri_v3!$C$6=0,Finanziamenti!$E$8=1),Motore_Operativo!C161=EDATE(Finanziamenti!$D$8,Ipotesi!E15*12)),Finanziamenti!$C$8*1,0)+IF(AND(3&lt;&gt;7,3&lt;&gt;9,Finanziamenti!$F$9=1,OR(Parametri_v3!$C$6=0,Finanziamenti!$E$9=1),Motore_Operativo!C161=EDATE(Finanziamenti!$D$9,Ipotesi!E15*12)),Finanziamenti!$C$9*Ipotesi!E16,0)</f>
        <v>0</v>
      </c>
      <c r="AY161" s="15" t="n">
        <f aca="false">0</f>
        <v>0</v>
      </c>
      <c r="AZ161" s="15" t="n">
        <f aca="false">Motore_Advisory!AY161*(1-Ipotesi!$C$95)*Ipotesi!$C$96</f>
        <v>0</v>
      </c>
      <c r="BA161" s="15" t="n">
        <f aca="false">MAX(0,MIN(CG161*MIN(1,IF(Motore_Operativo!C161&gt;=EDATE(Finanziamenti!$D$15,Ipotesi!E14*12),Finanziamenti!$C$15,0)+IF(Motore_Operativo!C161&gt;=EDATE(Finanziamenti!$D$16,Ipotesi!E14*12),Finanziamenti!$C$16,0)+IF(Motore_Operativo!C161&gt;=EDATE(Finanziamenti!$D$17,Ipotesi!E14*12),Finanziamenti!$C$17,0)),CA161*Ipotesi!$C$102)-(CC160))</f>
        <v>0</v>
      </c>
      <c r="BB161" s="15" t="n">
        <f aca="false">IF(AND(CF161&gt;0,Motore_Operativo!C161&gt;=IF(CF161=0,0,EDATE(CF161,Parametri_v3!$C$37)),MOD(((D161-YEAR(IF(CF161=0,0,EDATE(CF161,Parametri_v3!$C$37))))*12+E161-MONTH(IF(CF161=0,0,EDATE(CF161,Parametri_v3!$C$37)))),Parametri_v3!$C$38)=0),MIN(MAX(0,(BC160)+BA161-N161),(CC161-CD161)/(Ipotesi!$C$108*12/Parametri_v3!$C$38)),0)</f>
        <v>0</v>
      </c>
      <c r="BC161" s="15" t="n">
        <f aca="false">(BC160)+BA161-N161-BB161</f>
        <v>267079.244581432</v>
      </c>
      <c r="BD161" s="15" t="n">
        <f aca="false">(BH160)+AC161+AF161-AI161-AS161-K161*(1+Parametri_v3!$C$26)-AL161-AQ161-O161+AW161+AX161+AZ161+BA161-BB161</f>
        <v>552291.59792611</v>
      </c>
      <c r="BE161" s="15" t="n">
        <f aca="false">MAX(0,MIN(MAX(0,CH161-(BG160)),Parametri_v3!$C$30-BD161))</f>
        <v>0</v>
      </c>
      <c r="BF161" s="15" t="n">
        <f aca="false">IF(Motore_Operativo!C161&gt;=Parametri_v3!$C$63,(BG160),MIN((BG160),MAX(0,BD161-Parametri_v3!$C$30)))</f>
        <v>0</v>
      </c>
      <c r="BG161" s="15" t="n">
        <f aca="false">(BG160)+BE161-BF161</f>
        <v>0</v>
      </c>
      <c r="BH161" s="15" t="n">
        <f aca="false">BD161+BE161-BF161-AY161</f>
        <v>552291.59792611</v>
      </c>
      <c r="BI161" s="15" t="n">
        <f aca="false">MAX(0,Parametri_v3!$C$30-BH161)</f>
        <v>0</v>
      </c>
      <c r="BJ161" s="15" t="n">
        <f aca="false">(BJ160)+K161</f>
        <v>78333.3333333333</v>
      </c>
      <c r="BK161" s="15" t="n">
        <f aca="false">(BK160)+L161</f>
        <v>37337.962962963</v>
      </c>
      <c r="BL161" s="15" t="n">
        <f aca="false">BJ161-BK161</f>
        <v>40995.3703703704</v>
      </c>
      <c r="BM161" s="15" t="n">
        <f aca="false">(BM160)+Y161</f>
        <v>-837571.523158605</v>
      </c>
      <c r="BN161" s="15" t="n">
        <f aca="false">(BN160)+AW161+AX161+AZ161</f>
        <v>1330000</v>
      </c>
      <c r="BO161" s="15" t="n">
        <f aca="false">(BO160)+AY161</f>
        <v>0</v>
      </c>
      <c r="BP161" s="15" t="n">
        <f aca="false">0</f>
        <v>0</v>
      </c>
      <c r="BQ161" s="15" t="n">
        <f aca="false">BN161+BM161-BO161</f>
        <v>492428.476841395</v>
      </c>
      <c r="BR161" s="15" t="n">
        <f aca="false">BH161+AD161+BL161+MAX(0,-AM161)+MAX(0,-AR161)+AG161</f>
        <v>987762.207920254</v>
      </c>
      <c r="BS161" s="15" t="n">
        <f aca="false">AJ161+AV161+MAX(0,AM161)+MAX(0,AR161)+BC161+BG161+BQ161</f>
        <v>987762.207920254</v>
      </c>
      <c r="BT161" s="15" t="n">
        <f aca="false">BR161-BS161</f>
        <v>0</v>
      </c>
      <c r="BU161" s="15" t="n">
        <f aca="false">BH161-(BD161+BE161-BF161-AY161)</f>
        <v>0</v>
      </c>
      <c r="BV161" s="15" t="n">
        <f aca="false">MIN(Piano_SS!$C$6,(BV160)+IF(AND(Motore_Operativo!C161&gt;=EDATE(Parametri_v3!$C$24,Ipotesi!E14*12),Motore_Operativo!C161&lt;EDATE(Parametri_v3!$C$24,Parametri_v3!$C$25+Ipotesi!E14*12)),MAX(0,(Motore_Operativo!Y161+Motore_Operativo!X161*Parametri_v3!$C$14)*(1-Parametri_v3!$C$32))*Piano_SS!$D$6,0))</f>
        <v>300000</v>
      </c>
      <c r="BW161" s="15" t="n">
        <f aca="false">MIN(Piano_SS!$C$7,(BW160)+IF(AND(Motore_Operativo!C161&gt;=EDATE(Parametri_v3!$C$24,Ipotesi!E14*12),Motore_Operativo!C161&lt;EDATE(Parametri_v3!$C$24,Parametri_v3!$C$25+Ipotesi!E14*12)),MAX(0,(IF(37-(INT((Ipotesi!$C$91)/30))&lt;1,0,INDEX(Motore_Operativo!$BN$125:$BN$184,MAX(1,37-(INT((Ipotesi!$C$91)/30)))))*(1-(MOD((Ipotesi!$C$91),30)/30))+IF(37-(INT((Ipotesi!$C$91)/30))-1&lt;1,0,INDEX(Motore_Operativo!$BN$125:$BN$184,MAX(1,37-(INT((Ipotesi!$C$91)/30))-1)))*(MOD((Ipotesi!$C$91),30)/30)))*Piano_SS!$D$7,0))</f>
        <v>44070.0796097004</v>
      </c>
      <c r="BX161" s="15" t="n">
        <f aca="false">MIN(Piano_SS!$C$8,(BX160)+IF(AND(Motore_Operativo!C161&gt;=EDATE(Parametri_v3!$C$24,Ipotesi!E14*12),Motore_Operativo!C161&lt;EDATE(Parametri_v3!$C$24,Parametri_v3!$C$25+Ipotesi!E14*12)),MAX(0,Motore_Operativo!CE161)*Piano_SS!$D$8,0))</f>
        <v>50000</v>
      </c>
      <c r="BY161" s="15" t="n">
        <f aca="false">MIN(Piano_SS!$C$9,(BY160)+IF(AND(Motore_Operativo!C161&gt;=EDATE(Parametri_v3!$C$24,Ipotesi!E14*12),Motore_Operativo!C161&lt;EDATE(Parametri_v3!$C$24,Parametri_v3!$C$25+Ipotesi!E14*12)),MAX(0,((IF(37-(INT((Ipotesi!$C$91)/30))&lt;1,0,INDEX(Motore_Operativo!$BQ$125:$BQ$184,MAX(1,37-(INT((Ipotesi!$C$91)/30)))))*(1-(MOD((Ipotesi!$C$91),30)/30))+IF(37-(INT((Ipotesi!$C$91)/30))-1&lt;1,0,INDEX(Motore_Operativo!$BQ$125:$BQ$184,MAX(1,37-(INT((Ipotesi!$C$91)/30))-1)))*(MOD((Ipotesi!$C$91),30)/30))+(IF(37-(INT((Ipotesi!$C$91)/30))&lt;1,0,INDEX(Motore_Operativo!$BR$125:$BR$184,MAX(1,37-(INT((Ipotesi!$C$91)/30)))))*(1-(MOD((Ipotesi!$C$91),30)/30))+IF(37-(INT((Ipotesi!$C$91)/30))-1&lt;1,0,INDEX(Motore_Operativo!$BR$125:$BR$184,MAX(1,37-(INT((Ipotesi!$C$91)/30))-1)))*(MOD((Ipotesi!$C$91),30)/30))))*Piano_SS!$D$9,0))</f>
        <v>40000</v>
      </c>
      <c r="BZ161" s="15" t="n">
        <f aca="false">MIN(Piano_SS!$C$10,(BZ160)+IF(AND(Motore_Operativo!C161&gt;=EDATE(Parametri_v3!$C$24,Ipotesi!E14*12),Motore_Operativo!C161&lt;EDATE(Parametri_v3!$C$24,Parametri_v3!$C$25+Ipotesi!E14*12)),MAX(0,(IF(37-(INT((Ipotesi!$C$91)/30))&lt;1,0,INDEX(Motore_Operativo!$BO$125:$BO$184,MAX(1,37-(INT((Ipotesi!$C$91)/30)))))*(1-(MOD((Ipotesi!$C$91),30)/30))+IF(37-(INT((Ipotesi!$C$91)/30))-1&lt;1,0,INDEX(Motore_Operativo!$BO$125:$BO$184,MAX(1,37-(INT((Ipotesi!$C$91)/30))-1)))*(MOD((Ipotesi!$C$91),30)/30)))*Piano_SS!$D$10,0))</f>
        <v>30000</v>
      </c>
      <c r="CA161" s="15" t="n">
        <f aca="false">SUM(BV161:BZ161)</f>
        <v>464070.0796097</v>
      </c>
      <c r="CB161" s="15" t="n">
        <f aca="false">BV161*(1-Piano_SS!$E$6)+BW161*(1-Piano_SS!$E$7)+BX161*(1-Piano_SS!$E$8)+BY161*(1-Piano_SS!$E$9)+BZ161*(1-Piano_SS!$E$10)</f>
        <v>434070.0796097</v>
      </c>
      <c r="CC161" s="15" t="n">
        <f aca="false">(CC160)+BA161</f>
        <v>371256.06368776</v>
      </c>
      <c r="CD161" s="15" t="n">
        <f aca="false">IF(CA161=0,0,CC161*CB161/CA161*Ipotesi!$C$103*Parametri_v3!$C$64)</f>
        <v>104176.819106328</v>
      </c>
      <c r="CE161" s="18" t="n">
        <f aca="false">IF(BA161&gt;0,Motore_Operativo!C161,(CE160))</f>
        <v>47270</v>
      </c>
      <c r="CF161" s="18" t="n">
        <f aca="false">IF(AND(CC161&gt;0,OR(CC161&gt;=CG161-0.01,Motore_Operativo!C161&gt;=EDATE(MAX(Finanziamenti!$D$15:$D$17),Ipotesi!E14*12))),CE161,0)</f>
        <v>47270</v>
      </c>
      <c r="CG161" s="15" t="n">
        <f aca="false">IF(AND(3&lt;&gt;6,3&lt;&gt;9,Finanziamenti!$F$11=1,OR(Parametri_v3!$C$6=0,Finanziamenti!$E$11=1)),MIN(Finanziamenti!$C$11,Piano_SS!$C$12*Ipotesi!$C$102),0)</f>
        <v>400000</v>
      </c>
      <c r="CH161" s="15" t="n">
        <f aca="false">IF(AND(AND(3&lt;&gt;8,3&lt;&gt;9,Finanziamenti!$F$10=1,OR(Parametri_v3!$C$6=0,Finanziamenti!$E$10=1)),Motore_Operativo!C161&gt;=Finanziamenti!$D$10,Motore_Operativo!C161&lt;Parametri_v3!$C$63),Finanziamenti!$C$10,0)</f>
        <v>150000</v>
      </c>
    </row>
    <row r="162" customFormat="false" ht="18" hidden="false" customHeight="true" outlineLevel="0" collapsed="false">
      <c r="A162" s="68" t="n">
        <f aca="false">3</f>
        <v>3</v>
      </c>
      <c r="B162" s="68" t="n">
        <f aca="false">38</f>
        <v>38</v>
      </c>
      <c r="C162" s="18" t="n">
        <f aca="false">Motore_Operativo!C162</f>
        <v>47515</v>
      </c>
      <c r="D162" s="68" t="n">
        <f aca="false">Motore_Operativo!D162</f>
        <v>2030</v>
      </c>
      <c r="E162" s="68" t="n">
        <f aca="false">Motore_Operativo!E162</f>
        <v>2</v>
      </c>
      <c r="F162" s="15" t="n">
        <f aca="false">Motore_Operativo!AQ162+Motore_Operativo!BF162</f>
        <v>129533.602685449</v>
      </c>
      <c r="G162" s="15" t="n">
        <f aca="false">Motore_Operativo!BH162</f>
        <v>9024.16666666667</v>
      </c>
      <c r="H162" s="15" t="n">
        <f aca="false">Motore_Operativo!BI162</f>
        <v>138557.769352116</v>
      </c>
      <c r="I162" s="15" t="n">
        <f aca="false">Motore_Operativo!CA162</f>
        <v>157314.580000963</v>
      </c>
      <c r="J162" s="15" t="n">
        <f aca="false">Motore_Operativo!CC162</f>
        <v>-18756.8106488469</v>
      </c>
      <c r="K162" s="15" t="n">
        <f aca="false">Motore_Operativo!CE162</f>
        <v>3333.33333333333</v>
      </c>
      <c r="L162" s="15" t="n">
        <f aca="false">SUM(INDEX($K$125:$K$184,MAX(1,38-Parametri_v3!$C$59+1)):K162)/Parametri_v3!$C$59</f>
        <v>2175.92592592593</v>
      </c>
      <c r="M162" s="15" t="n">
        <f aca="false">J162-L162</f>
        <v>-20932.7365747728</v>
      </c>
      <c r="N162" s="15" t="n">
        <f aca="false">CD162-(CD161)</f>
        <v>0</v>
      </c>
      <c r="O162" s="15" t="n">
        <f aca="false">(BG161)*Ipotesi!$C$110/12+CH162*Parametri_v3!$C$39/12</f>
        <v>0</v>
      </c>
      <c r="P162" s="15" t="n">
        <f aca="false">M162+N162-O162</f>
        <v>-20932.7365747728</v>
      </c>
      <c r="Q162" s="15" t="n">
        <f aca="false">SUM(P161:P162)+Parametri_v3!$C$54*2/12</f>
        <v>-44182.3761458895</v>
      </c>
      <c r="R162" s="15" t="n">
        <f aca="false">Z160</f>
        <v>814321.883587488</v>
      </c>
      <c r="S162" s="15" t="n">
        <f aca="false">AA160</f>
        <v>0</v>
      </c>
      <c r="T162" s="15" t="n">
        <f aca="false">MIN(R162,MAX(0,Q162))</f>
        <v>0</v>
      </c>
      <c r="U162" s="15" t="n">
        <f aca="false">MIN(S162,MAX(0,Q162-T162)*Parametri_v3!$C$42)</f>
        <v>0</v>
      </c>
      <c r="V162" s="15" t="n">
        <f aca="false">MAX(0,Q162-T162-U162)*Ipotesi!$C$92</f>
        <v>0</v>
      </c>
      <c r="W162" s="15" t="n">
        <f aca="false">MAX(0,SUM(M161:M162)+Parametri_v3!$C$55*2/12)*Ipotesi!$C$93</f>
        <v>0</v>
      </c>
      <c r="X162" s="15" t="n">
        <f aca="false">V162+W162-(V161+W161)</f>
        <v>0</v>
      </c>
      <c r="Y162" s="15" t="n">
        <f aca="false">P162-X162</f>
        <v>-20932.7365747728</v>
      </c>
      <c r="Z162" s="15" t="n">
        <f aca="false">R162-T162+IF(AND(Parametri_v3!$C$40=1,D162-YEAR(Parametri_v3!$C$50)&lt;Parametri_v3!$C$41),MAX(0,-Q162),0)</f>
        <v>814321.883587488</v>
      </c>
      <c r="AA162" s="15" t="n">
        <f aca="false">S162-U162+IF(AND(Parametri_v3!$C$40=1,D162-YEAR(Parametri_v3!$C$50)&lt;Parametri_v3!$C$41),0,MAX(0,-Q162))</f>
        <v>44182.3761458895</v>
      </c>
      <c r="AB162" s="15" t="n">
        <f aca="false">F162*(1+Parametri_v3!$C$26)</f>
        <v>158030.995276248</v>
      </c>
      <c r="AC162" s="15" t="n">
        <f aca="false">(IF(38-(INT((Motore_Operativo!L162)/30))&lt;1,0,INDEX(Motore_Startup!$AB$125:$AB$184,MAX(1,38-(INT((Motore_Operativo!L162)/30)))))*(1-(MOD((Motore_Operativo!L162),30)/30))+IF(38-(INT((Motore_Operativo!L162)/30))-1&lt;1,0,INDEX(Motore_Startup!$AB$125:$AB$184,MAX(1,38-(INT((Motore_Operativo!L162)/30))-1)))*(MOD((Motore_Operativo!L162),30)/30))</f>
        <v>112462.280123922</v>
      </c>
      <c r="AD162" s="15" t="n">
        <f aca="false">(AD161)+AB162-AC162</f>
        <v>429034.471442767</v>
      </c>
      <c r="AE162" s="15" t="n">
        <f aca="false">Motore_Operativo!BH162*(1+Parametri_v3!$C$26)</f>
        <v>11009.4833333333</v>
      </c>
      <c r="AF162" s="15" t="n">
        <f aca="false">(IF(38-(INT((Parametri_v3!$C$29)/30))&lt;1,0,INDEX(Motore_Operativo!$BH$125:$BH$184,MAX(1,38-(INT((Parametri_v3!$C$29)/30)))))*(1-(MOD((Parametri_v3!$C$29),30)/30))+IF(38-(INT((Parametri_v3!$C$29)/30))-1&lt;1,0,INDEX(Motore_Operativo!$BH$125:$BH$184,MAX(1,38-(INT((Parametri_v3!$C$29)/30))-1)))*(MOD((Parametri_v3!$C$29),30)/30))*(1+Parametri_v3!$C$26)</f>
        <v>11009.4833333333</v>
      </c>
      <c r="AG162" s="15" t="n">
        <f aca="false">(AG161)+AE162-AF162</f>
        <v>11009.4833333333</v>
      </c>
      <c r="AH162" s="15" t="n">
        <f aca="false">(Motore_Operativo!CJ162)*(1+Parametri_v3!$C$27*Parametri_v3!$C$26)</f>
        <v>72218.8558026013</v>
      </c>
      <c r="AI162" s="15" t="n">
        <f aca="false">(IF(38-(INT((Ipotesi!$C$91)/30))&lt;1,0,INDEX(Motore_Startup!$AH$125:$AH$184,MAX(1,38-(INT((Ipotesi!$C$91)/30)))))*(1-(MOD((Ipotesi!$C$91),30)/30))+IF(38-(INT((Ipotesi!$C$91)/30))-1&lt;1,0,INDEX(Motore_Startup!$AH$125:$AH$184,MAX(1,38-(INT((Ipotesi!$C$91)/30))-1)))*(MOD((Ipotesi!$C$91),30)/30))</f>
        <v>54657.506548272</v>
      </c>
      <c r="AJ162" s="15" t="n">
        <f aca="false">(AJ161)+AH162-AI162</f>
        <v>143981.064560492</v>
      </c>
      <c r="AK162" s="15" t="n">
        <f aca="false">(F162+ Motore_Operativo!BH162-(Motore_Operativo!CJ162)*Parametri_v3!$C$27-Motore_Operativo!CE162)*Parametri_v3!$C$26</f>
        <v>18372.0161641605</v>
      </c>
      <c r="AL162" s="15" t="n">
        <f aca="false">MAX(0,(AM161))</f>
        <v>17839.4169933471</v>
      </c>
      <c r="AM162" s="15" t="n">
        <f aca="false">(AM161)+AK162-AL162</f>
        <v>18372.0161641605</v>
      </c>
      <c r="AN162" s="15" t="n">
        <f aca="false">SUM(X149:X160)</f>
        <v>0</v>
      </c>
      <c r="AO162" s="15" t="n">
        <f aca="false">SUM(AP149:AP160)</f>
        <v>0</v>
      </c>
      <c r="AP162" s="15" t="n">
        <f aca="false">MAX(0,AN162)*IF(2=Parametri_v3!$C$43,Parametri_v3!$C$45,IF(2=Parametri_v3!$C$44,1-Parametri_v3!$C$45,0))</f>
        <v>0</v>
      </c>
      <c r="AQ162" s="15" t="n">
        <f aca="false">MAX(0,AP162+IF(2=Parametri_v3!$C$43,MAX(0,AN162-AO162),0)-MAX(0,-(AR161)))</f>
        <v>0</v>
      </c>
      <c r="AR162" s="15" t="n">
        <f aca="false">(AR161)+X162-AQ162</f>
        <v>0</v>
      </c>
      <c r="AS162" s="15" t="n">
        <f aca="false">Motore_Operativo!AB162-AT162+AU162</f>
        <v>91649.4297604167</v>
      </c>
      <c r="AT162" s="15" t="n">
        <f aca="false">Motore_Operativo!CH162</f>
        <v>4823.65419791667</v>
      </c>
      <c r="AU162" s="15" t="n">
        <f aca="false">MIN(MAX(0,(AV161)+AT162),Parametri_v3!$C$60/12)</f>
        <v>0</v>
      </c>
      <c r="AV162" s="15" t="n">
        <f aca="false">(AV161)+AT162-AU162</f>
        <v>88819.0083958333</v>
      </c>
      <c r="AW162" s="15" t="n">
        <f aca="false">IF(AND(Motore_Operativo!C162=Finanziamenti!$D$6,Finanziamenti!$F$6=1),Finanziamenti!$C$6,0)</f>
        <v>0</v>
      </c>
      <c r="AX162" s="15" t="n">
        <f aca="false">IF(AND(3&lt;&gt;7,3&lt;&gt;9,Finanziamenti!$F$8=1,OR(Parametri_v3!$C$6=0,Finanziamenti!$E$8=1),Motore_Operativo!C162=EDATE(Finanziamenti!$D$8,Ipotesi!E15*12)),Finanziamenti!$C$8*1,0)+IF(AND(3&lt;&gt;7,3&lt;&gt;9,Finanziamenti!$F$9=1,OR(Parametri_v3!$C$6=0,Finanziamenti!$E$9=1),Motore_Operativo!C162=EDATE(Finanziamenti!$D$9,Ipotesi!E15*12)),Finanziamenti!$C$9*Ipotesi!E16,0)</f>
        <v>0</v>
      </c>
      <c r="AY162" s="15" t="n">
        <f aca="false">0</f>
        <v>0</v>
      </c>
      <c r="AZ162" s="15" t="n">
        <f aca="false">Motore_Advisory!AY162*(1-Ipotesi!$C$95)*Ipotesi!$C$96</f>
        <v>0</v>
      </c>
      <c r="BA162" s="15" t="n">
        <f aca="false">MAX(0,MIN(CG162*MIN(1,IF(Motore_Operativo!C162&gt;=EDATE(Finanziamenti!$D$15,Ipotesi!E14*12),Finanziamenti!$C$15,0)+IF(Motore_Operativo!C162&gt;=EDATE(Finanziamenti!$D$16,Ipotesi!E14*12),Finanziamenti!$C$16,0)+IF(Motore_Operativo!C162&gt;=EDATE(Finanziamenti!$D$17,Ipotesi!E14*12),Finanziamenti!$C$17,0)),CA162*Ipotesi!$C$102)-(CC161))</f>
        <v>0</v>
      </c>
      <c r="BB162" s="15" t="n">
        <f aca="false">IF(AND(CF162&gt;0,Motore_Operativo!C162&gt;=IF(CF162=0,0,EDATE(CF162,Parametri_v3!$C$37)),MOD(((D162-YEAR(IF(CF162=0,0,EDATE(CF162,Parametri_v3!$C$37))))*12+E162-MONTH(IF(CF162=0,0,EDATE(CF162,Parametri_v3!$C$37)))),Parametri_v3!$C$38)=0),MIN(MAX(0,(BC161)+BA162-N162),(CC162-CD162)/(Ipotesi!$C$108*12/Parametri_v3!$C$38)),0)</f>
        <v>0</v>
      </c>
      <c r="BC162" s="15" t="n">
        <f aca="false">(BC161)+BA162-N162-BB162</f>
        <v>267079.244581432</v>
      </c>
      <c r="BD162" s="15" t="n">
        <f aca="false">(BH161)+AC162+AF162-AI162-AS162-K162*(1+Parametri_v3!$C$26)-AL162-AQ162-O162+AW162+AX162+AZ162+BA162-BB162</f>
        <v>507550.341414663</v>
      </c>
      <c r="BE162" s="15" t="n">
        <f aca="false">MAX(0,MIN(MAX(0,CH162-(BG161)),Parametri_v3!$C$30-BD162))</f>
        <v>0</v>
      </c>
      <c r="BF162" s="15" t="n">
        <f aca="false">IF(Motore_Operativo!C162&gt;=Parametri_v3!$C$63,(BG161),MIN((BG161),MAX(0,BD162-Parametri_v3!$C$30)))</f>
        <v>0</v>
      </c>
      <c r="BG162" s="15" t="n">
        <f aca="false">(BG161)+BE162-BF162</f>
        <v>0</v>
      </c>
      <c r="BH162" s="15" t="n">
        <f aca="false">BD162+BE162-BF162-AY162</f>
        <v>507550.341414663</v>
      </c>
      <c r="BI162" s="15" t="n">
        <f aca="false">MAX(0,Parametri_v3!$C$30-BH162)</f>
        <v>0</v>
      </c>
      <c r="BJ162" s="15" t="n">
        <f aca="false">(BJ161)+K162</f>
        <v>81666.6666666667</v>
      </c>
      <c r="BK162" s="15" t="n">
        <f aca="false">(BK161)+L162</f>
        <v>39513.8888888889</v>
      </c>
      <c r="BL162" s="15" t="n">
        <f aca="false">BJ162-BK162</f>
        <v>42152.7777777778</v>
      </c>
      <c r="BM162" s="15" t="n">
        <f aca="false">(BM161)+Y162</f>
        <v>-858504.259733378</v>
      </c>
      <c r="BN162" s="15" t="n">
        <f aca="false">(BN161)+AW162+AX162+AZ162</f>
        <v>1330000</v>
      </c>
      <c r="BO162" s="15" t="n">
        <f aca="false">(BO161)+AY162</f>
        <v>0</v>
      </c>
      <c r="BP162" s="15" t="n">
        <f aca="false">0</f>
        <v>0</v>
      </c>
      <c r="BQ162" s="15" t="n">
        <f aca="false">BN162+BM162-BO162</f>
        <v>471495.740266623</v>
      </c>
      <c r="BR162" s="15" t="n">
        <f aca="false">BH162+AD162+BL162+MAX(0,-AM162)+MAX(0,-AR162)+AG162</f>
        <v>989747.073968541</v>
      </c>
      <c r="BS162" s="15" t="n">
        <f aca="false">AJ162+AV162+MAX(0,AM162)+MAX(0,AR162)+BC162+BG162+BQ162</f>
        <v>989747.073968541</v>
      </c>
      <c r="BT162" s="15" t="n">
        <f aca="false">BR162-BS162</f>
        <v>0</v>
      </c>
      <c r="BU162" s="15" t="n">
        <f aca="false">BH162-(BD162+BE162-BF162-AY162)</f>
        <v>0</v>
      </c>
      <c r="BV162" s="15" t="n">
        <f aca="false">MIN(Piano_SS!$C$6,(BV161)+IF(AND(Motore_Operativo!C162&gt;=EDATE(Parametri_v3!$C$24,Ipotesi!E14*12),Motore_Operativo!C162&lt;EDATE(Parametri_v3!$C$24,Parametri_v3!$C$25+Ipotesi!E14*12)),MAX(0,(Motore_Operativo!Y162+Motore_Operativo!X162*Parametri_v3!$C$14)*(1-Parametri_v3!$C$32))*Piano_SS!$D$6,0))</f>
        <v>300000</v>
      </c>
      <c r="BW162" s="15" t="n">
        <f aca="false">MIN(Piano_SS!$C$7,(BW161)+IF(AND(Motore_Operativo!C162&gt;=EDATE(Parametri_v3!$C$24,Ipotesi!E14*12),Motore_Operativo!C162&lt;EDATE(Parametri_v3!$C$24,Parametri_v3!$C$25+Ipotesi!E14*12)),MAX(0,(IF(38-(INT((Ipotesi!$C$91)/30))&lt;1,0,INDEX(Motore_Operativo!$BN$125:$BN$184,MAX(1,38-(INT((Ipotesi!$C$91)/30)))))*(1-(MOD((Ipotesi!$C$91),30)/30))+IF(38-(INT((Ipotesi!$C$91)/30))-1&lt;1,0,INDEX(Motore_Operativo!$BN$125:$BN$184,MAX(1,38-(INT((Ipotesi!$C$91)/30))-1)))*(MOD((Ipotesi!$C$91),30)/30)))*Piano_SS!$D$7,0))</f>
        <v>44070.0796097004</v>
      </c>
      <c r="BX162" s="15" t="n">
        <f aca="false">MIN(Piano_SS!$C$8,(BX161)+IF(AND(Motore_Operativo!C162&gt;=EDATE(Parametri_v3!$C$24,Ipotesi!E14*12),Motore_Operativo!C162&lt;EDATE(Parametri_v3!$C$24,Parametri_v3!$C$25+Ipotesi!E14*12)),MAX(0,Motore_Operativo!CE162)*Piano_SS!$D$8,0))</f>
        <v>50000</v>
      </c>
      <c r="BY162" s="15" t="n">
        <f aca="false">MIN(Piano_SS!$C$9,(BY161)+IF(AND(Motore_Operativo!C162&gt;=EDATE(Parametri_v3!$C$24,Ipotesi!E14*12),Motore_Operativo!C162&lt;EDATE(Parametri_v3!$C$24,Parametri_v3!$C$25+Ipotesi!E14*12)),MAX(0,((IF(38-(INT((Ipotesi!$C$91)/30))&lt;1,0,INDEX(Motore_Operativo!$BQ$125:$BQ$184,MAX(1,38-(INT((Ipotesi!$C$91)/30)))))*(1-(MOD((Ipotesi!$C$91),30)/30))+IF(38-(INT((Ipotesi!$C$91)/30))-1&lt;1,0,INDEX(Motore_Operativo!$BQ$125:$BQ$184,MAX(1,38-(INT((Ipotesi!$C$91)/30))-1)))*(MOD((Ipotesi!$C$91),30)/30))+(IF(38-(INT((Ipotesi!$C$91)/30))&lt;1,0,INDEX(Motore_Operativo!$BR$125:$BR$184,MAX(1,38-(INT((Ipotesi!$C$91)/30)))))*(1-(MOD((Ipotesi!$C$91),30)/30))+IF(38-(INT((Ipotesi!$C$91)/30))-1&lt;1,0,INDEX(Motore_Operativo!$BR$125:$BR$184,MAX(1,38-(INT((Ipotesi!$C$91)/30))-1)))*(MOD((Ipotesi!$C$91),30)/30))))*Piano_SS!$D$9,0))</f>
        <v>40000</v>
      </c>
      <c r="BZ162" s="15" t="n">
        <f aca="false">MIN(Piano_SS!$C$10,(BZ161)+IF(AND(Motore_Operativo!C162&gt;=EDATE(Parametri_v3!$C$24,Ipotesi!E14*12),Motore_Operativo!C162&lt;EDATE(Parametri_v3!$C$24,Parametri_v3!$C$25+Ipotesi!E14*12)),MAX(0,(IF(38-(INT((Ipotesi!$C$91)/30))&lt;1,0,INDEX(Motore_Operativo!$BO$125:$BO$184,MAX(1,38-(INT((Ipotesi!$C$91)/30)))))*(1-(MOD((Ipotesi!$C$91),30)/30))+IF(38-(INT((Ipotesi!$C$91)/30))-1&lt;1,0,INDEX(Motore_Operativo!$BO$125:$BO$184,MAX(1,38-(INT((Ipotesi!$C$91)/30))-1)))*(MOD((Ipotesi!$C$91),30)/30)))*Piano_SS!$D$10,0))</f>
        <v>30000</v>
      </c>
      <c r="CA162" s="15" t="n">
        <f aca="false">SUM(BV162:BZ162)</f>
        <v>464070.0796097</v>
      </c>
      <c r="CB162" s="15" t="n">
        <f aca="false">BV162*(1-Piano_SS!$E$6)+BW162*(1-Piano_SS!$E$7)+BX162*(1-Piano_SS!$E$8)+BY162*(1-Piano_SS!$E$9)+BZ162*(1-Piano_SS!$E$10)</f>
        <v>434070.0796097</v>
      </c>
      <c r="CC162" s="15" t="n">
        <f aca="false">(CC161)+BA162</f>
        <v>371256.06368776</v>
      </c>
      <c r="CD162" s="15" t="n">
        <f aca="false">IF(CA162=0,0,CC162*CB162/CA162*Ipotesi!$C$103*Parametri_v3!$C$64)</f>
        <v>104176.819106328</v>
      </c>
      <c r="CE162" s="18" t="n">
        <f aca="false">IF(BA162&gt;0,Motore_Operativo!C162,(CE161))</f>
        <v>47270</v>
      </c>
      <c r="CF162" s="18" t="n">
        <f aca="false">IF(AND(CC162&gt;0,OR(CC162&gt;=CG162-0.01,Motore_Operativo!C162&gt;=EDATE(MAX(Finanziamenti!$D$15:$D$17),Ipotesi!E14*12))),CE162,0)</f>
        <v>47270</v>
      </c>
      <c r="CG162" s="15" t="n">
        <f aca="false">IF(AND(3&lt;&gt;6,3&lt;&gt;9,Finanziamenti!$F$11=1,OR(Parametri_v3!$C$6=0,Finanziamenti!$E$11=1)),MIN(Finanziamenti!$C$11,Piano_SS!$C$12*Ipotesi!$C$102),0)</f>
        <v>400000</v>
      </c>
      <c r="CH162" s="15" t="n">
        <f aca="false">IF(AND(AND(3&lt;&gt;8,3&lt;&gt;9,Finanziamenti!$F$10=1,OR(Parametri_v3!$C$6=0,Finanziamenti!$E$10=1)),Motore_Operativo!C162&gt;=Finanziamenti!$D$10,Motore_Operativo!C162&lt;Parametri_v3!$C$63),Finanziamenti!$C$10,0)</f>
        <v>150000</v>
      </c>
    </row>
    <row r="163" customFormat="false" ht="18" hidden="false" customHeight="true" outlineLevel="0" collapsed="false">
      <c r="A163" s="68" t="n">
        <f aca="false">3</f>
        <v>3</v>
      </c>
      <c r="B163" s="68" t="n">
        <f aca="false">39</f>
        <v>39</v>
      </c>
      <c r="C163" s="18" t="n">
        <f aca="false">Motore_Operativo!C163</f>
        <v>47543</v>
      </c>
      <c r="D163" s="68" t="n">
        <f aca="false">Motore_Operativo!D163</f>
        <v>2030</v>
      </c>
      <c r="E163" s="68" t="n">
        <f aca="false">Motore_Operativo!E163</f>
        <v>3</v>
      </c>
      <c r="F163" s="15" t="n">
        <f aca="false">Motore_Operativo!AQ163+Motore_Operativo!BF163</f>
        <v>132257.487713142</v>
      </c>
      <c r="G163" s="15" t="n">
        <f aca="false">Motore_Operativo!BH163</f>
        <v>9024.16666666667</v>
      </c>
      <c r="H163" s="15" t="n">
        <f aca="false">Motore_Operativo!BI163</f>
        <v>141281.654379809</v>
      </c>
      <c r="I163" s="15" t="n">
        <f aca="false">Motore_Operativo!CA163</f>
        <v>157695.92390484</v>
      </c>
      <c r="J163" s="15" t="n">
        <f aca="false">Motore_Operativo!CC163</f>
        <v>-16414.2695250314</v>
      </c>
      <c r="K163" s="15" t="n">
        <f aca="false">Motore_Operativo!CE163</f>
        <v>3333.33333333333</v>
      </c>
      <c r="L163" s="15" t="n">
        <f aca="false">SUM(INDEX($K$125:$K$184,MAX(1,39-Parametri_v3!$C$59+1)):K163)/Parametri_v3!$C$59</f>
        <v>2222.22222222222</v>
      </c>
      <c r="M163" s="15" t="n">
        <f aca="false">J163-L163</f>
        <v>-18636.4917472536</v>
      </c>
      <c r="N163" s="15" t="n">
        <f aca="false">CD163-(CD162)</f>
        <v>0</v>
      </c>
      <c r="O163" s="15" t="n">
        <f aca="false">(BG162)*Ipotesi!$C$110/12+CH163*Parametri_v3!$C$39/12</f>
        <v>0</v>
      </c>
      <c r="P163" s="15" t="n">
        <f aca="false">M163+N163-O163</f>
        <v>-18636.4917472536</v>
      </c>
      <c r="Q163" s="15" t="n">
        <f aca="false">SUM(P161:P163)+Parametri_v3!$C$54*3/12</f>
        <v>-62818.8678931431</v>
      </c>
      <c r="R163" s="15" t="n">
        <f aca="false">Z160</f>
        <v>814321.883587488</v>
      </c>
      <c r="S163" s="15" t="n">
        <f aca="false">AA160</f>
        <v>0</v>
      </c>
      <c r="T163" s="15" t="n">
        <f aca="false">MIN(R163,MAX(0,Q163))</f>
        <v>0</v>
      </c>
      <c r="U163" s="15" t="n">
        <f aca="false">MIN(S163,MAX(0,Q163-T163)*Parametri_v3!$C$42)</f>
        <v>0</v>
      </c>
      <c r="V163" s="15" t="n">
        <f aca="false">MAX(0,Q163-T163-U163)*Ipotesi!$C$92</f>
        <v>0</v>
      </c>
      <c r="W163" s="15" t="n">
        <f aca="false">MAX(0,SUM(M161:M163)+Parametri_v3!$C$55*3/12)*Ipotesi!$C$93</f>
        <v>0</v>
      </c>
      <c r="X163" s="15" t="n">
        <f aca="false">V163+W163-(V162+W162)</f>
        <v>0</v>
      </c>
      <c r="Y163" s="15" t="n">
        <f aca="false">P163-X163</f>
        <v>-18636.4917472536</v>
      </c>
      <c r="Z163" s="15" t="n">
        <f aca="false">R163-T163+IF(AND(Parametri_v3!$C$40=1,D163-YEAR(Parametri_v3!$C$50)&lt;Parametri_v3!$C$41),MAX(0,-Q163),0)</f>
        <v>814321.883587488</v>
      </c>
      <c r="AA163" s="15" t="n">
        <f aca="false">S163-U163+IF(AND(Parametri_v3!$C$40=1,D163-YEAR(Parametri_v3!$C$50)&lt;Parametri_v3!$C$41),0,MAX(0,-Q163))</f>
        <v>62818.8678931431</v>
      </c>
      <c r="AB163" s="15" t="n">
        <f aca="false">F163*(1+Parametri_v3!$C$26)</f>
        <v>161354.135010033</v>
      </c>
      <c r="AC163" s="15" t="n">
        <f aca="false">(IF(39-(INT((Motore_Operativo!L163)/30))&lt;1,0,INDEX(Motore_Startup!$AB$125:$AB$184,MAX(1,39-(INT((Motore_Operativo!L163)/30)))))*(1-(MOD((Motore_Operativo!L163),30)/30))+IF(39-(INT((Motore_Operativo!L163)/30))-1&lt;1,0,INDEX(Motore_Startup!$AB$125:$AB$184,MAX(1,39-(INT((Motore_Operativo!L163)/30))-1)))*(MOD((Motore_Operativo!L163),30)/30))</f>
        <v>116324.926398434</v>
      </c>
      <c r="AD163" s="15" t="n">
        <f aca="false">(AD162)+AB163-AC163</f>
        <v>474063.680054366</v>
      </c>
      <c r="AE163" s="15" t="n">
        <f aca="false">Motore_Operativo!BH163*(1+Parametri_v3!$C$26)</f>
        <v>11009.4833333333</v>
      </c>
      <c r="AF163" s="15" t="n">
        <f aca="false">(IF(39-(INT((Parametri_v3!$C$29)/30))&lt;1,0,INDEX(Motore_Operativo!$BH$125:$BH$184,MAX(1,39-(INT((Parametri_v3!$C$29)/30)))))*(1-(MOD((Parametri_v3!$C$29),30)/30))+IF(39-(INT((Parametri_v3!$C$29)/30))-1&lt;1,0,INDEX(Motore_Operativo!$BH$125:$BH$184,MAX(1,39-(INT((Parametri_v3!$C$29)/30))-1)))*(MOD((Parametri_v3!$C$29),30)/30))*(1+Parametri_v3!$C$26)</f>
        <v>11009.4833333333</v>
      </c>
      <c r="AG163" s="15" t="n">
        <f aca="false">(AG162)+AE163-AF163</f>
        <v>11009.4833333333</v>
      </c>
      <c r="AH163" s="15" t="n">
        <f aca="false">(Motore_Operativo!CJ163)*(1+Parametri_v3!$C$27*Parametri_v3!$C$26)</f>
        <v>72671.5110165033</v>
      </c>
      <c r="AI163" s="15" t="n">
        <f aca="false">(IF(39-(INT((Ipotesi!$C$91)/30))&lt;1,0,INDEX(Motore_Startup!$AH$125:$AH$184,MAX(1,39-(INT((Ipotesi!$C$91)/30)))))*(1-(MOD((Ipotesi!$C$91),30)/30))+IF(39-(INT((Ipotesi!$C$91)/30))-1&lt;1,0,INDEX(Motore_Startup!$AH$125:$AH$184,MAX(1,39-(INT((Ipotesi!$C$91)/30))-1)))*(MOD((Ipotesi!$C$91),30)/30))</f>
        <v>71762.2087578909</v>
      </c>
      <c r="AJ163" s="15" t="n">
        <f aca="false">(AJ162)+AH163-AI163</f>
        <v>144890.366819105</v>
      </c>
      <c r="AK163" s="15" t="n">
        <f aca="false">(F163+ Motore_Operativo!BH163-(Motore_Operativo!CJ163)*Parametri_v3!$C$27-Motore_Operativo!CE163)*Parametri_v3!$C$26</f>
        <v>18899.9595602278</v>
      </c>
      <c r="AL163" s="15" t="n">
        <f aca="false">MAX(0,(AM162))</f>
        <v>18372.0161641605</v>
      </c>
      <c r="AM163" s="15" t="n">
        <f aca="false">(AM162)+AK163-AL163</f>
        <v>18899.9595602278</v>
      </c>
      <c r="AN163" s="15" t="n">
        <f aca="false">SUM(X149:X160)</f>
        <v>0</v>
      </c>
      <c r="AO163" s="15" t="n">
        <f aca="false">SUM(AP149:AP160)</f>
        <v>0</v>
      </c>
      <c r="AP163" s="15" t="n">
        <f aca="false">MAX(0,AN163)*IF(3=Parametri_v3!$C$43,Parametri_v3!$C$45,IF(3=Parametri_v3!$C$44,1-Parametri_v3!$C$45,0))</f>
        <v>0</v>
      </c>
      <c r="AQ163" s="15" t="n">
        <f aca="false">MAX(0,AP163+IF(3=Parametri_v3!$C$43,MAX(0,AN163-AO163),0)-MAX(0,-(AR162)))</f>
        <v>0</v>
      </c>
      <c r="AR163" s="15" t="n">
        <f aca="false">(AR162)+X163-AQ163</f>
        <v>0</v>
      </c>
      <c r="AS163" s="15" t="n">
        <f aca="false">Motore_Operativo!AB163-AT163+AU163</f>
        <v>91649.4297604167</v>
      </c>
      <c r="AT163" s="15" t="n">
        <f aca="false">Motore_Operativo!CH163</f>
        <v>4823.65419791667</v>
      </c>
      <c r="AU163" s="15" t="n">
        <f aca="false">MIN(MAX(0,(AV162)+AT163),Parametri_v3!$C$60/12)</f>
        <v>0</v>
      </c>
      <c r="AV163" s="15" t="n">
        <f aca="false">(AV162)+AT163-AU163</f>
        <v>93642.66259375</v>
      </c>
      <c r="AW163" s="15" t="n">
        <f aca="false">IF(AND(Motore_Operativo!C163=Finanziamenti!$D$6,Finanziamenti!$F$6=1),Finanziamenti!$C$6,0)</f>
        <v>0</v>
      </c>
      <c r="AX163" s="15" t="n">
        <f aca="false">IF(AND(3&lt;&gt;7,3&lt;&gt;9,Finanziamenti!$F$8=1,OR(Parametri_v3!$C$6=0,Finanziamenti!$E$8=1),Motore_Operativo!C163=EDATE(Finanziamenti!$D$8,Ipotesi!E15*12)),Finanziamenti!$C$8*1,0)+IF(AND(3&lt;&gt;7,3&lt;&gt;9,Finanziamenti!$F$9=1,OR(Parametri_v3!$C$6=0,Finanziamenti!$E$9=1),Motore_Operativo!C163=EDATE(Finanziamenti!$D$9,Ipotesi!E15*12)),Finanziamenti!$C$9*Ipotesi!E16,0)</f>
        <v>0</v>
      </c>
      <c r="AY163" s="15" t="n">
        <f aca="false">0</f>
        <v>0</v>
      </c>
      <c r="AZ163" s="15" t="n">
        <f aca="false">Motore_Advisory!AY163*(1-Ipotesi!$C$95)*Ipotesi!$C$96</f>
        <v>0</v>
      </c>
      <c r="BA163" s="15" t="n">
        <f aca="false">MAX(0,MIN(CG163*MIN(1,IF(Motore_Operativo!C163&gt;=EDATE(Finanziamenti!$D$15,Ipotesi!E14*12),Finanziamenti!$C$15,0)+IF(Motore_Operativo!C163&gt;=EDATE(Finanziamenti!$D$16,Ipotesi!E14*12),Finanziamenti!$C$16,0)+IF(Motore_Operativo!C163&gt;=EDATE(Finanziamenti!$D$17,Ipotesi!E14*12),Finanziamenti!$C$17,0)),CA163*Ipotesi!$C$102)-(CC162))</f>
        <v>0</v>
      </c>
      <c r="BB163" s="15" t="n">
        <f aca="false">IF(AND(CF163&gt;0,Motore_Operativo!C163&gt;=IF(CF163=0,0,EDATE(CF163,Parametri_v3!$C$37)),MOD(((D163-YEAR(IF(CF163=0,0,EDATE(CF163,Parametri_v3!$C$37))))*12+E163-MONTH(IF(CF163=0,0,EDATE(CF163,Parametri_v3!$C$37)))),Parametri_v3!$C$38)=0),MIN(MAX(0,(BC162)+BA163-N163),(CC163-CD163)/(Ipotesi!$C$108*12/Parametri_v3!$C$38)),0)</f>
        <v>0</v>
      </c>
      <c r="BC163" s="15" t="n">
        <f aca="false">(BC162)+BA163-N163-BB163</f>
        <v>267079.244581432</v>
      </c>
      <c r="BD163" s="15" t="n">
        <f aca="false">(BH162)+AC163+AF163-AI163-AS163-K163*(1+Parametri_v3!$C$26)-AL163-AQ163-O163+AW163+AX163+AZ163+BA163-BB163</f>
        <v>449034.429797295</v>
      </c>
      <c r="BE163" s="15" t="n">
        <f aca="false">MAX(0,MIN(MAX(0,CH163-(BG162)),Parametri_v3!$C$30-BD163))</f>
        <v>0</v>
      </c>
      <c r="BF163" s="15" t="n">
        <f aca="false">IF(Motore_Operativo!C163&gt;=Parametri_v3!$C$63,(BG162),MIN((BG162),MAX(0,BD163-Parametri_v3!$C$30)))</f>
        <v>0</v>
      </c>
      <c r="BG163" s="15" t="n">
        <f aca="false">(BG162)+BE163-BF163</f>
        <v>0</v>
      </c>
      <c r="BH163" s="15" t="n">
        <f aca="false">BD163+BE163-BF163-AY163</f>
        <v>449034.429797295</v>
      </c>
      <c r="BI163" s="15" t="n">
        <f aca="false">MAX(0,Parametri_v3!$C$30-BH163)</f>
        <v>0</v>
      </c>
      <c r="BJ163" s="15" t="n">
        <f aca="false">(BJ162)+K163</f>
        <v>85000</v>
      </c>
      <c r="BK163" s="15" t="n">
        <f aca="false">(BK162)+L163</f>
        <v>41736.1111111111</v>
      </c>
      <c r="BL163" s="15" t="n">
        <f aca="false">BJ163-BK163</f>
        <v>43263.8888888889</v>
      </c>
      <c r="BM163" s="15" t="n">
        <f aca="false">(BM162)+Y163</f>
        <v>-877140.751480631</v>
      </c>
      <c r="BN163" s="15" t="n">
        <f aca="false">(BN162)+AW163+AX163+AZ163</f>
        <v>1330000</v>
      </c>
      <c r="BO163" s="15" t="n">
        <f aca="false">(BO162)+AY163</f>
        <v>0</v>
      </c>
      <c r="BP163" s="15" t="n">
        <f aca="false">0</f>
        <v>0</v>
      </c>
      <c r="BQ163" s="15" t="n">
        <f aca="false">BN163+BM163-BO163</f>
        <v>452859.248519369</v>
      </c>
      <c r="BR163" s="15" t="n">
        <f aca="false">BH163+AD163+BL163+MAX(0,-AM163)+MAX(0,-AR163)+AG163</f>
        <v>977371.482073883</v>
      </c>
      <c r="BS163" s="15" t="n">
        <f aca="false">AJ163+AV163+MAX(0,AM163)+MAX(0,AR163)+BC163+BG163+BQ163</f>
        <v>977371.482073884</v>
      </c>
      <c r="BT163" s="15" t="n">
        <f aca="false">BR163-BS163</f>
        <v>0</v>
      </c>
      <c r="BU163" s="15" t="n">
        <f aca="false">BH163-(BD163+BE163-BF163-AY163)</f>
        <v>0</v>
      </c>
      <c r="BV163" s="15" t="n">
        <f aca="false">MIN(Piano_SS!$C$6,(BV162)+IF(AND(Motore_Operativo!C163&gt;=EDATE(Parametri_v3!$C$24,Ipotesi!E14*12),Motore_Operativo!C163&lt;EDATE(Parametri_v3!$C$24,Parametri_v3!$C$25+Ipotesi!E14*12)),MAX(0,(Motore_Operativo!Y163+Motore_Operativo!X163*Parametri_v3!$C$14)*(1-Parametri_v3!$C$32))*Piano_SS!$D$6,0))</f>
        <v>300000</v>
      </c>
      <c r="BW163" s="15" t="n">
        <f aca="false">MIN(Piano_SS!$C$7,(BW162)+IF(AND(Motore_Operativo!C163&gt;=EDATE(Parametri_v3!$C$24,Ipotesi!E14*12),Motore_Operativo!C163&lt;EDATE(Parametri_v3!$C$24,Parametri_v3!$C$25+Ipotesi!E14*12)),MAX(0,(IF(39-(INT((Ipotesi!$C$91)/30))&lt;1,0,INDEX(Motore_Operativo!$BN$125:$BN$184,MAX(1,39-(INT((Ipotesi!$C$91)/30)))))*(1-(MOD((Ipotesi!$C$91),30)/30))+IF(39-(INT((Ipotesi!$C$91)/30))-1&lt;1,0,INDEX(Motore_Operativo!$BN$125:$BN$184,MAX(1,39-(INT((Ipotesi!$C$91)/30))-1)))*(MOD((Ipotesi!$C$91),30)/30)))*Piano_SS!$D$7,0))</f>
        <v>44070.0796097004</v>
      </c>
      <c r="BX163" s="15" t="n">
        <f aca="false">MIN(Piano_SS!$C$8,(BX162)+IF(AND(Motore_Operativo!C163&gt;=EDATE(Parametri_v3!$C$24,Ipotesi!E14*12),Motore_Operativo!C163&lt;EDATE(Parametri_v3!$C$24,Parametri_v3!$C$25+Ipotesi!E14*12)),MAX(0,Motore_Operativo!CE163)*Piano_SS!$D$8,0))</f>
        <v>50000</v>
      </c>
      <c r="BY163" s="15" t="n">
        <f aca="false">MIN(Piano_SS!$C$9,(BY162)+IF(AND(Motore_Operativo!C163&gt;=EDATE(Parametri_v3!$C$24,Ipotesi!E14*12),Motore_Operativo!C163&lt;EDATE(Parametri_v3!$C$24,Parametri_v3!$C$25+Ipotesi!E14*12)),MAX(0,((IF(39-(INT((Ipotesi!$C$91)/30))&lt;1,0,INDEX(Motore_Operativo!$BQ$125:$BQ$184,MAX(1,39-(INT((Ipotesi!$C$91)/30)))))*(1-(MOD((Ipotesi!$C$91),30)/30))+IF(39-(INT((Ipotesi!$C$91)/30))-1&lt;1,0,INDEX(Motore_Operativo!$BQ$125:$BQ$184,MAX(1,39-(INT((Ipotesi!$C$91)/30))-1)))*(MOD((Ipotesi!$C$91),30)/30))+(IF(39-(INT((Ipotesi!$C$91)/30))&lt;1,0,INDEX(Motore_Operativo!$BR$125:$BR$184,MAX(1,39-(INT((Ipotesi!$C$91)/30)))))*(1-(MOD((Ipotesi!$C$91),30)/30))+IF(39-(INT((Ipotesi!$C$91)/30))-1&lt;1,0,INDEX(Motore_Operativo!$BR$125:$BR$184,MAX(1,39-(INT((Ipotesi!$C$91)/30))-1)))*(MOD((Ipotesi!$C$91),30)/30))))*Piano_SS!$D$9,0))</f>
        <v>40000</v>
      </c>
      <c r="BZ163" s="15" t="n">
        <f aca="false">MIN(Piano_SS!$C$10,(BZ162)+IF(AND(Motore_Operativo!C163&gt;=EDATE(Parametri_v3!$C$24,Ipotesi!E14*12),Motore_Operativo!C163&lt;EDATE(Parametri_v3!$C$24,Parametri_v3!$C$25+Ipotesi!E14*12)),MAX(0,(IF(39-(INT((Ipotesi!$C$91)/30))&lt;1,0,INDEX(Motore_Operativo!$BO$125:$BO$184,MAX(1,39-(INT((Ipotesi!$C$91)/30)))))*(1-(MOD((Ipotesi!$C$91),30)/30))+IF(39-(INT((Ipotesi!$C$91)/30))-1&lt;1,0,INDEX(Motore_Operativo!$BO$125:$BO$184,MAX(1,39-(INT((Ipotesi!$C$91)/30))-1)))*(MOD((Ipotesi!$C$91),30)/30)))*Piano_SS!$D$10,0))</f>
        <v>30000</v>
      </c>
      <c r="CA163" s="15" t="n">
        <f aca="false">SUM(BV163:BZ163)</f>
        <v>464070.0796097</v>
      </c>
      <c r="CB163" s="15" t="n">
        <f aca="false">BV163*(1-Piano_SS!$E$6)+BW163*(1-Piano_SS!$E$7)+BX163*(1-Piano_SS!$E$8)+BY163*(1-Piano_SS!$E$9)+BZ163*(1-Piano_SS!$E$10)</f>
        <v>434070.0796097</v>
      </c>
      <c r="CC163" s="15" t="n">
        <f aca="false">(CC162)+BA163</f>
        <v>371256.06368776</v>
      </c>
      <c r="CD163" s="15" t="n">
        <f aca="false">IF(CA163=0,0,CC163*CB163/CA163*Ipotesi!$C$103*Parametri_v3!$C$64)</f>
        <v>104176.819106328</v>
      </c>
      <c r="CE163" s="18" t="n">
        <f aca="false">IF(BA163&gt;0,Motore_Operativo!C163,(CE162))</f>
        <v>47270</v>
      </c>
      <c r="CF163" s="18" t="n">
        <f aca="false">IF(AND(CC163&gt;0,OR(CC163&gt;=CG163-0.01,Motore_Operativo!C163&gt;=EDATE(MAX(Finanziamenti!$D$15:$D$17),Ipotesi!E14*12))),CE163,0)</f>
        <v>47270</v>
      </c>
      <c r="CG163" s="15" t="n">
        <f aca="false">IF(AND(3&lt;&gt;6,3&lt;&gt;9,Finanziamenti!$F$11=1,OR(Parametri_v3!$C$6=0,Finanziamenti!$E$11=1)),MIN(Finanziamenti!$C$11,Piano_SS!$C$12*Ipotesi!$C$102),0)</f>
        <v>400000</v>
      </c>
      <c r="CH163" s="15" t="n">
        <f aca="false">IF(AND(AND(3&lt;&gt;8,3&lt;&gt;9,Finanziamenti!$F$10=1,OR(Parametri_v3!$C$6=0,Finanziamenti!$E$10=1)),Motore_Operativo!C163&gt;=Finanziamenti!$D$10,Motore_Operativo!C163&lt;Parametri_v3!$C$63),Finanziamenti!$C$10,0)</f>
        <v>150000</v>
      </c>
    </row>
    <row r="164" customFormat="false" ht="18" hidden="false" customHeight="true" outlineLevel="0" collapsed="false">
      <c r="A164" s="68" t="n">
        <f aca="false">3</f>
        <v>3</v>
      </c>
      <c r="B164" s="68" t="n">
        <f aca="false">40</f>
        <v>40</v>
      </c>
      <c r="C164" s="18" t="n">
        <f aca="false">Motore_Operativo!C164</f>
        <v>47574</v>
      </c>
      <c r="D164" s="68" t="n">
        <f aca="false">Motore_Operativo!D164</f>
        <v>2030</v>
      </c>
      <c r="E164" s="68" t="n">
        <f aca="false">Motore_Operativo!E164</f>
        <v>4</v>
      </c>
      <c r="F164" s="15" t="n">
        <f aca="false">Motore_Operativo!AQ164+Motore_Operativo!BF164</f>
        <v>135536.689646682</v>
      </c>
      <c r="G164" s="15" t="n">
        <f aca="false">Motore_Operativo!BH164</f>
        <v>9024.16666666667</v>
      </c>
      <c r="H164" s="15" t="n">
        <f aca="false">Motore_Operativo!BI164</f>
        <v>144560.856313349</v>
      </c>
      <c r="I164" s="15" t="n">
        <f aca="false">Motore_Operativo!CA164</f>
        <v>158155.012175536</v>
      </c>
      <c r="J164" s="15" t="n">
        <f aca="false">Motore_Operativo!CC164</f>
        <v>-13594.1558621868</v>
      </c>
      <c r="K164" s="15" t="n">
        <f aca="false">Motore_Operativo!CE164</f>
        <v>3333.33333333333</v>
      </c>
      <c r="L164" s="15" t="n">
        <f aca="false">SUM(INDEX($K$125:$K$184,MAX(1,40-Parametri_v3!$C$59+1)):K164)/Parametri_v3!$C$59</f>
        <v>2268.51851851852</v>
      </c>
      <c r="M164" s="15" t="n">
        <f aca="false">J164-L164</f>
        <v>-15862.6743807053</v>
      </c>
      <c r="N164" s="15" t="n">
        <f aca="false">CD164-(CD163)</f>
        <v>0</v>
      </c>
      <c r="O164" s="15" t="n">
        <f aca="false">(BG163)*Ipotesi!$C$110/12+CH164*Parametri_v3!$C$39/12</f>
        <v>0</v>
      </c>
      <c r="P164" s="15" t="n">
        <f aca="false">M164+N164-O164</f>
        <v>-15862.6743807053</v>
      </c>
      <c r="Q164" s="15" t="n">
        <f aca="false">SUM(P161:P164)+Parametri_v3!$C$54*4/12</f>
        <v>-78681.5422738484</v>
      </c>
      <c r="R164" s="15" t="n">
        <f aca="false">Z160</f>
        <v>814321.883587488</v>
      </c>
      <c r="S164" s="15" t="n">
        <f aca="false">AA160</f>
        <v>0</v>
      </c>
      <c r="T164" s="15" t="n">
        <f aca="false">MIN(R164,MAX(0,Q164))</f>
        <v>0</v>
      </c>
      <c r="U164" s="15" t="n">
        <f aca="false">MIN(S164,MAX(0,Q164-T164)*Parametri_v3!$C$42)</f>
        <v>0</v>
      </c>
      <c r="V164" s="15" t="n">
        <f aca="false">MAX(0,Q164-T164-U164)*Ipotesi!$C$92</f>
        <v>0</v>
      </c>
      <c r="W164" s="15" t="n">
        <f aca="false">MAX(0,SUM(M161:M164)+Parametri_v3!$C$55*4/12)*Ipotesi!$C$93</f>
        <v>0</v>
      </c>
      <c r="X164" s="15" t="n">
        <f aca="false">V164+W164-(V163+W163)</f>
        <v>0</v>
      </c>
      <c r="Y164" s="15" t="n">
        <f aca="false">P164-X164</f>
        <v>-15862.6743807053</v>
      </c>
      <c r="Z164" s="15" t="n">
        <f aca="false">R164-T164+IF(AND(Parametri_v3!$C$40=1,D164-YEAR(Parametri_v3!$C$50)&lt;Parametri_v3!$C$41),MAX(0,-Q164),0)</f>
        <v>814321.883587488</v>
      </c>
      <c r="AA164" s="15" t="n">
        <f aca="false">S164-U164+IF(AND(Parametri_v3!$C$40=1,D164-YEAR(Parametri_v3!$C$50)&lt;Parametri_v3!$C$41),0,MAX(0,-Q164))</f>
        <v>78681.5422738484</v>
      </c>
      <c r="AB164" s="15" t="n">
        <f aca="false">F164*(1+Parametri_v3!$C$26)</f>
        <v>165354.761368952</v>
      </c>
      <c r="AC164" s="15" t="n">
        <f aca="false">(IF(40-(INT((Motore_Operativo!L164)/30))&lt;1,0,INDEX(Motore_Startup!$AB$125:$AB$184,MAX(1,40-(INT((Motore_Operativo!L164)/30)))))*(1-(MOD((Motore_Operativo!L164),30)/30))+IF(40-(INT((Motore_Operativo!L164)/30))-1&lt;1,0,INDEX(Motore_Startup!$AB$125:$AB$184,MAX(1,40-(INT((Motore_Operativo!L164)/30))-1)))*(MOD((Motore_Operativo!L164),30)/30))</f>
        <v>154678.549768084</v>
      </c>
      <c r="AD164" s="15" t="n">
        <f aca="false">(AD163)+AB164-AC164</f>
        <v>484739.891655234</v>
      </c>
      <c r="AE164" s="15" t="n">
        <f aca="false">Motore_Operativo!BH164*(1+Parametri_v3!$C$26)</f>
        <v>11009.4833333333</v>
      </c>
      <c r="AF164" s="15" t="n">
        <f aca="false">(IF(40-(INT((Parametri_v3!$C$29)/30))&lt;1,0,INDEX(Motore_Operativo!$BH$125:$BH$184,MAX(1,40-(INT((Parametri_v3!$C$29)/30)))))*(1-(MOD((Parametri_v3!$C$29),30)/30))+IF(40-(INT((Parametri_v3!$C$29)/30))-1&lt;1,0,INDEX(Motore_Operativo!$BH$125:$BH$184,MAX(1,40-(INT((Parametri_v3!$C$29)/30))-1)))*(MOD((Parametri_v3!$C$29),30)/30))*(1+Parametri_v3!$C$26)</f>
        <v>11009.4833333333</v>
      </c>
      <c r="AG164" s="15" t="n">
        <f aca="false">(AG163)+AE164-AF164</f>
        <v>11009.4833333333</v>
      </c>
      <c r="AH164" s="15" t="n">
        <f aca="false">(Motore_Operativo!CJ164)*(1+Parametri_v3!$C$27*Parametri_v3!$C$26)</f>
        <v>73216.448793819</v>
      </c>
      <c r="AI164" s="15" t="n">
        <f aca="false">(IF(40-(INT((Ipotesi!$C$91)/30))&lt;1,0,INDEX(Motore_Startup!$AH$125:$AH$184,MAX(1,40-(INT((Ipotesi!$C$91)/30)))))*(1-(MOD((Ipotesi!$C$91),30)/30))+IF(40-(INT((Ipotesi!$C$91)/30))-1&lt;1,0,INDEX(Motore_Startup!$AH$125:$AH$184,MAX(1,40-(INT((Ipotesi!$C$91)/30))-1)))*(MOD((Ipotesi!$C$91),30)/30))</f>
        <v>72218.8558026013</v>
      </c>
      <c r="AJ164" s="15" t="n">
        <f aca="false">(AJ163)+AH164-AI164</f>
        <v>145887.959810322</v>
      </c>
      <c r="AK164" s="15" t="n">
        <f aca="false">(F164+ Motore_Operativo!BH164-(Motore_Operativo!CJ164)*Parametri_v3!$C$27-Motore_Operativo!CE164)*Parametri_v3!$C$26</f>
        <v>19535.5344789866</v>
      </c>
      <c r="AL164" s="15" t="n">
        <f aca="false">MAX(0,(AM163))</f>
        <v>18899.9595602278</v>
      </c>
      <c r="AM164" s="15" t="n">
        <f aca="false">(AM163)+AK164-AL164</f>
        <v>19535.5344789866</v>
      </c>
      <c r="AN164" s="15" t="n">
        <f aca="false">SUM(X149:X160)</f>
        <v>0</v>
      </c>
      <c r="AO164" s="15" t="n">
        <f aca="false">SUM(AP149:AP160)</f>
        <v>0</v>
      </c>
      <c r="AP164" s="15" t="n">
        <f aca="false">MAX(0,AN164)*IF(4=Parametri_v3!$C$43,Parametri_v3!$C$45,IF(4=Parametri_v3!$C$44,1-Parametri_v3!$C$45,0))</f>
        <v>0</v>
      </c>
      <c r="AQ164" s="15" t="n">
        <f aca="false">MAX(0,AP164+IF(4=Parametri_v3!$C$43,MAX(0,AN164-AO164),0)-MAX(0,-(AR163)))</f>
        <v>0</v>
      </c>
      <c r="AR164" s="15" t="n">
        <f aca="false">(AR163)+X164-AQ164</f>
        <v>0</v>
      </c>
      <c r="AS164" s="15" t="n">
        <f aca="false">Motore_Operativo!AB164-AT164+AU164</f>
        <v>91649.4297604167</v>
      </c>
      <c r="AT164" s="15" t="n">
        <f aca="false">Motore_Operativo!CH164</f>
        <v>4823.65419791667</v>
      </c>
      <c r="AU164" s="15" t="n">
        <f aca="false">MIN(MAX(0,(AV163)+AT164),Parametri_v3!$C$60/12)</f>
        <v>0</v>
      </c>
      <c r="AV164" s="15" t="n">
        <f aca="false">(AV163)+AT164-AU164</f>
        <v>98466.3167916667</v>
      </c>
      <c r="AW164" s="15" t="n">
        <f aca="false">IF(AND(Motore_Operativo!C164=Finanziamenti!$D$6,Finanziamenti!$F$6=1),Finanziamenti!$C$6,0)</f>
        <v>0</v>
      </c>
      <c r="AX164" s="15" t="n">
        <f aca="false">IF(AND(3&lt;&gt;7,3&lt;&gt;9,Finanziamenti!$F$8=1,OR(Parametri_v3!$C$6=0,Finanziamenti!$E$8=1),Motore_Operativo!C164=EDATE(Finanziamenti!$D$8,Ipotesi!E15*12)),Finanziamenti!$C$8*1,0)+IF(AND(3&lt;&gt;7,3&lt;&gt;9,Finanziamenti!$F$9=1,OR(Parametri_v3!$C$6=0,Finanziamenti!$E$9=1),Motore_Operativo!C164=EDATE(Finanziamenti!$D$9,Ipotesi!E15*12)),Finanziamenti!$C$9*Ipotesi!E16,0)</f>
        <v>0</v>
      </c>
      <c r="AY164" s="15" t="n">
        <f aca="false">0</f>
        <v>0</v>
      </c>
      <c r="AZ164" s="15" t="n">
        <f aca="false">Motore_Advisory!AY164*(1-Ipotesi!$C$95)*Ipotesi!$C$96</f>
        <v>0</v>
      </c>
      <c r="BA164" s="15" t="n">
        <f aca="false">MAX(0,MIN(CG164*MIN(1,IF(Motore_Operativo!C164&gt;=EDATE(Finanziamenti!$D$15,Ipotesi!E14*12),Finanziamenti!$C$15,0)+IF(Motore_Operativo!C164&gt;=EDATE(Finanziamenti!$D$16,Ipotesi!E14*12),Finanziamenti!$C$16,0)+IF(Motore_Operativo!C164&gt;=EDATE(Finanziamenti!$D$17,Ipotesi!E14*12),Finanziamenti!$C$17,0)),CA164*Ipotesi!$C$102)-(CC163))</f>
        <v>0</v>
      </c>
      <c r="BB164" s="15" t="n">
        <f aca="false">IF(AND(CF164&gt;0,Motore_Operativo!C164&gt;=IF(CF164=0,0,EDATE(CF164,Parametri_v3!$C$37)),MOD(((D164-YEAR(IF(CF164=0,0,EDATE(CF164,Parametri_v3!$C$37))))*12+E164-MONTH(IF(CF164=0,0,EDATE(CF164,Parametri_v3!$C$37)))),Parametri_v3!$C$38)=0),MIN(MAX(0,(BC163)+BA164-N164),(CC164-CD164)/(Ipotesi!$C$108*12/Parametri_v3!$C$38)),0)</f>
        <v>0</v>
      </c>
      <c r="BC164" s="15" t="n">
        <f aca="false">(BC163)+BA164-N164-BB164</f>
        <v>267079.244581432</v>
      </c>
      <c r="BD164" s="15" t="n">
        <f aca="false">(BH163)+AC164+AF164-AI164-AS164-K164*(1+Parametri_v3!$C$26)-AL164-AQ164-O164+AW164+AX164+AZ164+BA164-BB164</f>
        <v>427887.5511088</v>
      </c>
      <c r="BE164" s="15" t="n">
        <f aca="false">MAX(0,MIN(MAX(0,CH164-(BG163)),Parametri_v3!$C$30-BD164))</f>
        <v>0</v>
      </c>
      <c r="BF164" s="15" t="n">
        <f aca="false">IF(Motore_Operativo!C164&gt;=Parametri_v3!$C$63,(BG163),MIN((BG163),MAX(0,BD164-Parametri_v3!$C$30)))</f>
        <v>0</v>
      </c>
      <c r="BG164" s="15" t="n">
        <f aca="false">(BG163)+BE164-BF164</f>
        <v>0</v>
      </c>
      <c r="BH164" s="15" t="n">
        <f aca="false">BD164+BE164-BF164-AY164</f>
        <v>427887.5511088</v>
      </c>
      <c r="BI164" s="15" t="n">
        <f aca="false">MAX(0,Parametri_v3!$C$30-BH164)</f>
        <v>0</v>
      </c>
      <c r="BJ164" s="15" t="n">
        <f aca="false">(BJ163)+K164</f>
        <v>88333.3333333333</v>
      </c>
      <c r="BK164" s="15" t="n">
        <f aca="false">(BK163)+L164</f>
        <v>44004.6296296296</v>
      </c>
      <c r="BL164" s="15" t="n">
        <f aca="false">BJ164-BK164</f>
        <v>44328.7037037037</v>
      </c>
      <c r="BM164" s="15" t="n">
        <f aca="false">(BM163)+Y164</f>
        <v>-893003.425861336</v>
      </c>
      <c r="BN164" s="15" t="n">
        <f aca="false">(BN163)+AW164+AX164+AZ164</f>
        <v>1330000</v>
      </c>
      <c r="BO164" s="15" t="n">
        <f aca="false">(BO163)+AY164</f>
        <v>0</v>
      </c>
      <c r="BP164" s="15" t="n">
        <f aca="false">0</f>
        <v>0</v>
      </c>
      <c r="BQ164" s="15" t="n">
        <f aca="false">BN164+BM164-BO164</f>
        <v>436996.574138664</v>
      </c>
      <c r="BR164" s="15" t="n">
        <f aca="false">BH164+AD164+BL164+MAX(0,-AM164)+MAX(0,-AR164)+AG164</f>
        <v>967965.629801071</v>
      </c>
      <c r="BS164" s="15" t="n">
        <f aca="false">AJ164+AV164+MAX(0,AM164)+MAX(0,AR164)+BC164+BG164+BQ164</f>
        <v>967965.629801071</v>
      </c>
      <c r="BT164" s="15" t="n">
        <f aca="false">BR164-BS164</f>
        <v>0</v>
      </c>
      <c r="BU164" s="15" t="n">
        <f aca="false">BH164-(BD164+BE164-BF164-AY164)</f>
        <v>0</v>
      </c>
      <c r="BV164" s="15" t="n">
        <f aca="false">MIN(Piano_SS!$C$6,(BV163)+IF(AND(Motore_Operativo!C164&gt;=EDATE(Parametri_v3!$C$24,Ipotesi!E14*12),Motore_Operativo!C164&lt;EDATE(Parametri_v3!$C$24,Parametri_v3!$C$25+Ipotesi!E14*12)),MAX(0,(Motore_Operativo!Y164+Motore_Operativo!X164*Parametri_v3!$C$14)*(1-Parametri_v3!$C$32))*Piano_SS!$D$6,0))</f>
        <v>300000</v>
      </c>
      <c r="BW164" s="15" t="n">
        <f aca="false">MIN(Piano_SS!$C$7,(BW163)+IF(AND(Motore_Operativo!C164&gt;=EDATE(Parametri_v3!$C$24,Ipotesi!E14*12),Motore_Operativo!C164&lt;EDATE(Parametri_v3!$C$24,Parametri_v3!$C$25+Ipotesi!E14*12)),MAX(0,(IF(40-(INT((Ipotesi!$C$91)/30))&lt;1,0,INDEX(Motore_Operativo!$BN$125:$BN$184,MAX(1,40-(INT((Ipotesi!$C$91)/30)))))*(1-(MOD((Ipotesi!$C$91),30)/30))+IF(40-(INT((Ipotesi!$C$91)/30))-1&lt;1,0,INDEX(Motore_Operativo!$BN$125:$BN$184,MAX(1,40-(INT((Ipotesi!$C$91)/30))-1)))*(MOD((Ipotesi!$C$91),30)/30)))*Piano_SS!$D$7,0))</f>
        <v>44070.0796097004</v>
      </c>
      <c r="BX164" s="15" t="n">
        <f aca="false">MIN(Piano_SS!$C$8,(BX163)+IF(AND(Motore_Operativo!C164&gt;=EDATE(Parametri_v3!$C$24,Ipotesi!E14*12),Motore_Operativo!C164&lt;EDATE(Parametri_v3!$C$24,Parametri_v3!$C$25+Ipotesi!E14*12)),MAX(0,Motore_Operativo!CE164)*Piano_SS!$D$8,0))</f>
        <v>50000</v>
      </c>
      <c r="BY164" s="15" t="n">
        <f aca="false">MIN(Piano_SS!$C$9,(BY163)+IF(AND(Motore_Operativo!C164&gt;=EDATE(Parametri_v3!$C$24,Ipotesi!E14*12),Motore_Operativo!C164&lt;EDATE(Parametri_v3!$C$24,Parametri_v3!$C$25+Ipotesi!E14*12)),MAX(0,((IF(40-(INT((Ipotesi!$C$91)/30))&lt;1,0,INDEX(Motore_Operativo!$BQ$125:$BQ$184,MAX(1,40-(INT((Ipotesi!$C$91)/30)))))*(1-(MOD((Ipotesi!$C$91),30)/30))+IF(40-(INT((Ipotesi!$C$91)/30))-1&lt;1,0,INDEX(Motore_Operativo!$BQ$125:$BQ$184,MAX(1,40-(INT((Ipotesi!$C$91)/30))-1)))*(MOD((Ipotesi!$C$91),30)/30))+(IF(40-(INT((Ipotesi!$C$91)/30))&lt;1,0,INDEX(Motore_Operativo!$BR$125:$BR$184,MAX(1,40-(INT((Ipotesi!$C$91)/30)))))*(1-(MOD((Ipotesi!$C$91),30)/30))+IF(40-(INT((Ipotesi!$C$91)/30))-1&lt;1,0,INDEX(Motore_Operativo!$BR$125:$BR$184,MAX(1,40-(INT((Ipotesi!$C$91)/30))-1)))*(MOD((Ipotesi!$C$91),30)/30))))*Piano_SS!$D$9,0))</f>
        <v>40000</v>
      </c>
      <c r="BZ164" s="15" t="n">
        <f aca="false">MIN(Piano_SS!$C$10,(BZ163)+IF(AND(Motore_Operativo!C164&gt;=EDATE(Parametri_v3!$C$24,Ipotesi!E14*12),Motore_Operativo!C164&lt;EDATE(Parametri_v3!$C$24,Parametri_v3!$C$25+Ipotesi!E14*12)),MAX(0,(IF(40-(INT((Ipotesi!$C$91)/30))&lt;1,0,INDEX(Motore_Operativo!$BO$125:$BO$184,MAX(1,40-(INT((Ipotesi!$C$91)/30)))))*(1-(MOD((Ipotesi!$C$91),30)/30))+IF(40-(INT((Ipotesi!$C$91)/30))-1&lt;1,0,INDEX(Motore_Operativo!$BO$125:$BO$184,MAX(1,40-(INT((Ipotesi!$C$91)/30))-1)))*(MOD((Ipotesi!$C$91),30)/30)))*Piano_SS!$D$10,0))</f>
        <v>30000</v>
      </c>
      <c r="CA164" s="15" t="n">
        <f aca="false">SUM(BV164:BZ164)</f>
        <v>464070.0796097</v>
      </c>
      <c r="CB164" s="15" t="n">
        <f aca="false">BV164*(1-Piano_SS!$E$6)+BW164*(1-Piano_SS!$E$7)+BX164*(1-Piano_SS!$E$8)+BY164*(1-Piano_SS!$E$9)+BZ164*(1-Piano_SS!$E$10)</f>
        <v>434070.0796097</v>
      </c>
      <c r="CC164" s="15" t="n">
        <f aca="false">(CC163)+BA164</f>
        <v>371256.06368776</v>
      </c>
      <c r="CD164" s="15" t="n">
        <f aca="false">IF(CA164=0,0,CC164*CB164/CA164*Ipotesi!$C$103*Parametri_v3!$C$64)</f>
        <v>104176.819106328</v>
      </c>
      <c r="CE164" s="18" t="n">
        <f aca="false">IF(BA164&gt;0,Motore_Operativo!C164,(CE163))</f>
        <v>47270</v>
      </c>
      <c r="CF164" s="18" t="n">
        <f aca="false">IF(AND(CC164&gt;0,OR(CC164&gt;=CG164-0.01,Motore_Operativo!C164&gt;=EDATE(MAX(Finanziamenti!$D$15:$D$17),Ipotesi!E14*12))),CE164,0)</f>
        <v>47270</v>
      </c>
      <c r="CG164" s="15" t="n">
        <f aca="false">IF(AND(3&lt;&gt;6,3&lt;&gt;9,Finanziamenti!$F$11=1,OR(Parametri_v3!$C$6=0,Finanziamenti!$E$11=1)),MIN(Finanziamenti!$C$11,Piano_SS!$C$12*Ipotesi!$C$102),0)</f>
        <v>400000</v>
      </c>
      <c r="CH164" s="15" t="n">
        <f aca="false">IF(AND(AND(3&lt;&gt;8,3&lt;&gt;9,Finanziamenti!$F$10=1,OR(Parametri_v3!$C$6=0,Finanziamenti!$E$10=1)),Motore_Operativo!C164&gt;=Finanziamenti!$D$10,Motore_Operativo!C164&lt;Parametri_v3!$C$63),Finanziamenti!$C$10,0)</f>
        <v>150000</v>
      </c>
    </row>
    <row r="165" customFormat="false" ht="18" hidden="false" customHeight="true" outlineLevel="0" collapsed="false">
      <c r="A165" s="68" t="n">
        <f aca="false">3</f>
        <v>3</v>
      </c>
      <c r="B165" s="68" t="n">
        <f aca="false">41</f>
        <v>41</v>
      </c>
      <c r="C165" s="18" t="n">
        <f aca="false">Motore_Operativo!C165</f>
        <v>47604</v>
      </c>
      <c r="D165" s="68" t="n">
        <f aca="false">Motore_Operativo!D165</f>
        <v>2030</v>
      </c>
      <c r="E165" s="68" t="n">
        <f aca="false">Motore_Operativo!E165</f>
        <v>5</v>
      </c>
      <c r="F165" s="15" t="n">
        <f aca="false">Motore_Operativo!AQ165+Motore_Operativo!BF165</f>
        <v>139366.354121723</v>
      </c>
      <c r="G165" s="15" t="n">
        <f aca="false">Motore_Operativo!BH165</f>
        <v>9024.16666666667</v>
      </c>
      <c r="H165" s="15" t="n">
        <f aca="false">Motore_Operativo!BI165</f>
        <v>148390.520788389</v>
      </c>
      <c r="I165" s="15" t="n">
        <f aca="false">Motore_Operativo!CA165</f>
        <v>158691.165202041</v>
      </c>
      <c r="J165" s="15" t="n">
        <f aca="false">Motore_Operativo!CC165</f>
        <v>-10300.644413652</v>
      </c>
      <c r="K165" s="15" t="n">
        <f aca="false">Motore_Operativo!CE165</f>
        <v>3333.33333333333</v>
      </c>
      <c r="L165" s="15" t="n">
        <f aca="false">SUM(INDEX($K$125:$K$184,MAX(1,41-Parametri_v3!$C$59+1)):K165)/Parametri_v3!$C$59</f>
        <v>2314.81481481482</v>
      </c>
      <c r="M165" s="15" t="n">
        <f aca="false">J165-L165</f>
        <v>-12615.4592284668</v>
      </c>
      <c r="N165" s="15" t="n">
        <f aca="false">CD165-(CD164)</f>
        <v>0</v>
      </c>
      <c r="O165" s="15" t="n">
        <f aca="false">(BG164)*Ipotesi!$C$110/12+CH165*Parametri_v3!$C$39/12</f>
        <v>0</v>
      </c>
      <c r="P165" s="15" t="n">
        <f aca="false">M165+N165-O165</f>
        <v>-12615.4592284668</v>
      </c>
      <c r="Q165" s="15" t="n">
        <f aca="false">SUM(P161:P165)+Parametri_v3!$C$54*5/12</f>
        <v>-91297.0015023152</v>
      </c>
      <c r="R165" s="15" t="n">
        <f aca="false">Z160</f>
        <v>814321.883587488</v>
      </c>
      <c r="S165" s="15" t="n">
        <f aca="false">AA160</f>
        <v>0</v>
      </c>
      <c r="T165" s="15" t="n">
        <f aca="false">MIN(R165,MAX(0,Q165))</f>
        <v>0</v>
      </c>
      <c r="U165" s="15" t="n">
        <f aca="false">MIN(S165,MAX(0,Q165-T165)*Parametri_v3!$C$42)</f>
        <v>0</v>
      </c>
      <c r="V165" s="15" t="n">
        <f aca="false">MAX(0,Q165-T165-U165)*Ipotesi!$C$92</f>
        <v>0</v>
      </c>
      <c r="W165" s="15" t="n">
        <f aca="false">MAX(0,SUM(M161:M165)+Parametri_v3!$C$55*5/12)*Ipotesi!$C$93</f>
        <v>0</v>
      </c>
      <c r="X165" s="15" t="n">
        <f aca="false">V165+W165-(V164+W164)</f>
        <v>0</v>
      </c>
      <c r="Y165" s="15" t="n">
        <f aca="false">P165-X165</f>
        <v>-12615.4592284668</v>
      </c>
      <c r="Z165" s="15" t="n">
        <f aca="false">R165-T165+IF(AND(Parametri_v3!$C$40=1,D165-YEAR(Parametri_v3!$C$50)&lt;Parametri_v3!$C$41),MAX(0,-Q165),0)</f>
        <v>814321.883587488</v>
      </c>
      <c r="AA165" s="15" t="n">
        <f aca="false">S165-U165+IF(AND(Parametri_v3!$C$40=1,D165-YEAR(Parametri_v3!$C$50)&lt;Parametri_v3!$C$41),0,MAX(0,-Q165))</f>
        <v>91297.0015023152</v>
      </c>
      <c r="AB165" s="15" t="n">
        <f aca="false">F165*(1+Parametri_v3!$C$26)</f>
        <v>170026.952028501</v>
      </c>
      <c r="AC165" s="15" t="n">
        <f aca="false">(IF(41-(INT((Motore_Operativo!L165)/30))&lt;1,0,INDEX(Motore_Startup!$AB$125:$AB$184,MAX(1,41-(INT((Motore_Operativo!L165)/30)))))*(1-(MOD((Motore_Operativo!L165),30)/30))+IF(41-(INT((Motore_Operativo!L165)/30))-1&lt;1,0,INDEX(Motore_Startup!$AB$125:$AB$184,MAX(1,41-(INT((Motore_Operativo!L165)/30))-1)))*(MOD((Motore_Operativo!L165),30)/30))</f>
        <v>158030.995276248</v>
      </c>
      <c r="AD165" s="15" t="n">
        <f aca="false">(AD164)+AB165-AC165</f>
        <v>496735.848407487</v>
      </c>
      <c r="AE165" s="15" t="n">
        <f aca="false">Motore_Operativo!BH165*(1+Parametri_v3!$C$26)</f>
        <v>11009.4833333333</v>
      </c>
      <c r="AF165" s="15" t="n">
        <f aca="false">(IF(41-(INT((Parametri_v3!$C$29)/30))&lt;1,0,INDEX(Motore_Operativo!$BH$125:$BH$184,MAX(1,41-(INT((Parametri_v3!$C$29)/30)))))*(1-(MOD((Parametri_v3!$C$29),30)/30))+IF(41-(INT((Parametri_v3!$C$29)/30))-1&lt;1,0,INDEX(Motore_Operativo!$BH$125:$BH$184,MAX(1,41-(INT((Parametri_v3!$C$29)/30))-1)))*(MOD((Parametri_v3!$C$29),30)/30))*(1+Parametri_v3!$C$26)</f>
        <v>11009.4833333333</v>
      </c>
      <c r="AG165" s="15" t="n">
        <f aca="false">(AG164)+AE165-AF165</f>
        <v>11009.4833333333</v>
      </c>
      <c r="AH165" s="15" t="n">
        <f aca="false">(Motore_Operativo!CJ165)*(1+Parametri_v3!$C$27*Parametri_v3!$C$26)</f>
        <v>73852.8624362812</v>
      </c>
      <c r="AI165" s="15" t="n">
        <f aca="false">(IF(41-(INT((Ipotesi!$C$91)/30))&lt;1,0,INDEX(Motore_Startup!$AH$125:$AH$184,MAX(1,41-(INT((Ipotesi!$C$91)/30)))))*(1-(MOD((Ipotesi!$C$91),30)/30))+IF(41-(INT((Ipotesi!$C$91)/30))-1&lt;1,0,INDEX(Motore_Startup!$AH$125:$AH$184,MAX(1,41-(INT((Ipotesi!$C$91)/30))-1)))*(MOD((Ipotesi!$C$91),30)/30))</f>
        <v>72671.5110165033</v>
      </c>
      <c r="AJ165" s="15" t="n">
        <f aca="false">(AJ164)+AH165-AI165</f>
        <v>147069.3112301</v>
      </c>
      <c r="AK165" s="15" t="n">
        <f aca="false">(F165+ Motore_Operativo!BH165-(Motore_Operativo!CJ165)*Parametri_v3!$C$27-Motore_Operativo!CE165)*Parametri_v3!$C$26</f>
        <v>20277.8000475389</v>
      </c>
      <c r="AL165" s="15" t="n">
        <f aca="false">MAX(0,(AM164))</f>
        <v>19535.5344789866</v>
      </c>
      <c r="AM165" s="15" t="n">
        <f aca="false">(AM164)+AK165-AL165</f>
        <v>20277.8000475389</v>
      </c>
      <c r="AN165" s="15" t="n">
        <f aca="false">SUM(X149:X160)</f>
        <v>0</v>
      </c>
      <c r="AO165" s="15" t="n">
        <f aca="false">SUM(AP149:AP160)</f>
        <v>0</v>
      </c>
      <c r="AP165" s="15" t="n">
        <f aca="false">MAX(0,AN165)*IF(5=Parametri_v3!$C$43,Parametri_v3!$C$45,IF(5=Parametri_v3!$C$44,1-Parametri_v3!$C$45,0))</f>
        <v>0</v>
      </c>
      <c r="AQ165" s="15" t="n">
        <f aca="false">MAX(0,AP165+IF(5=Parametri_v3!$C$43,MAX(0,AN165-AO165),0)-MAX(0,-(AR164)))</f>
        <v>0</v>
      </c>
      <c r="AR165" s="15" t="n">
        <f aca="false">(AR164)+X165-AQ165</f>
        <v>0</v>
      </c>
      <c r="AS165" s="15" t="n">
        <f aca="false">Motore_Operativo!AB165-AT165+AU165</f>
        <v>91649.4297604167</v>
      </c>
      <c r="AT165" s="15" t="n">
        <f aca="false">Motore_Operativo!CH165</f>
        <v>4823.65419791667</v>
      </c>
      <c r="AU165" s="15" t="n">
        <f aca="false">MIN(MAX(0,(AV164)+AT165),Parametri_v3!$C$60/12)</f>
        <v>0</v>
      </c>
      <c r="AV165" s="15" t="n">
        <f aca="false">(AV164)+AT165-AU165</f>
        <v>103289.970989583</v>
      </c>
      <c r="AW165" s="15" t="n">
        <f aca="false">IF(AND(Motore_Operativo!C165=Finanziamenti!$D$6,Finanziamenti!$F$6=1),Finanziamenti!$C$6,0)</f>
        <v>0</v>
      </c>
      <c r="AX165" s="15" t="n">
        <f aca="false">IF(AND(3&lt;&gt;7,3&lt;&gt;9,Finanziamenti!$F$8=1,OR(Parametri_v3!$C$6=0,Finanziamenti!$E$8=1),Motore_Operativo!C165=EDATE(Finanziamenti!$D$8,Ipotesi!E15*12)),Finanziamenti!$C$8*1,0)+IF(AND(3&lt;&gt;7,3&lt;&gt;9,Finanziamenti!$F$9=1,OR(Parametri_v3!$C$6=0,Finanziamenti!$E$9=1),Motore_Operativo!C165=EDATE(Finanziamenti!$D$9,Ipotesi!E15*12)),Finanziamenti!$C$9*Ipotesi!E16,0)</f>
        <v>0</v>
      </c>
      <c r="AY165" s="15" t="n">
        <f aca="false">0</f>
        <v>0</v>
      </c>
      <c r="AZ165" s="15" t="n">
        <f aca="false">Motore_Advisory!AY165*(1-Ipotesi!$C$95)*Ipotesi!$C$96</f>
        <v>0</v>
      </c>
      <c r="BA165" s="15" t="n">
        <f aca="false">MAX(0,MIN(CG165*MIN(1,IF(Motore_Operativo!C165&gt;=EDATE(Finanziamenti!$D$15,Ipotesi!E14*12),Finanziamenti!$C$15,0)+IF(Motore_Operativo!C165&gt;=EDATE(Finanziamenti!$D$16,Ipotesi!E14*12),Finanziamenti!$C$16,0)+IF(Motore_Operativo!C165&gt;=EDATE(Finanziamenti!$D$17,Ipotesi!E14*12),Finanziamenti!$C$17,0)),CA165*Ipotesi!$C$102)-(CC164))</f>
        <v>0</v>
      </c>
      <c r="BB165" s="15" t="n">
        <f aca="false">IF(AND(CF165&gt;0,Motore_Operativo!C165&gt;=IF(CF165=0,0,EDATE(CF165,Parametri_v3!$C$37)),MOD(((D165-YEAR(IF(CF165=0,0,EDATE(CF165,Parametri_v3!$C$37))))*12+E165-MONTH(IF(CF165=0,0,EDATE(CF165,Parametri_v3!$C$37)))),Parametri_v3!$C$38)=0),MIN(MAX(0,(BC164)+BA165-N165),(CC165-CD165)/(Ipotesi!$C$108*12/Parametri_v3!$C$38)),0)</f>
        <v>0</v>
      </c>
      <c r="BC165" s="15" t="n">
        <f aca="false">(BC164)+BA165-N165-BB165</f>
        <v>267079.244581432</v>
      </c>
      <c r="BD165" s="15" t="n">
        <f aca="false">(BH164)+AC165+AF165-AI165-AS165-K165*(1+Parametri_v3!$C$26)-AL165-AQ165-O165+AW165+AX165+AZ165+BA165-BB165</f>
        <v>409004.887795809</v>
      </c>
      <c r="BE165" s="15" t="n">
        <f aca="false">MAX(0,MIN(MAX(0,CH165-(BG164)),Parametri_v3!$C$30-BD165))</f>
        <v>0</v>
      </c>
      <c r="BF165" s="15" t="n">
        <f aca="false">IF(Motore_Operativo!C165&gt;=Parametri_v3!$C$63,(BG164),MIN((BG164),MAX(0,BD165-Parametri_v3!$C$30)))</f>
        <v>0</v>
      </c>
      <c r="BG165" s="15" t="n">
        <f aca="false">(BG164)+BE165-BF165</f>
        <v>0</v>
      </c>
      <c r="BH165" s="15" t="n">
        <f aca="false">BD165+BE165-BF165-AY165</f>
        <v>409004.887795809</v>
      </c>
      <c r="BI165" s="15" t="n">
        <f aca="false">MAX(0,Parametri_v3!$C$30-BH165)</f>
        <v>0</v>
      </c>
      <c r="BJ165" s="15" t="n">
        <f aca="false">(BJ164)+K165</f>
        <v>91666.6666666666</v>
      </c>
      <c r="BK165" s="15" t="n">
        <f aca="false">(BK164)+L165</f>
        <v>46319.4444444444</v>
      </c>
      <c r="BL165" s="15" t="n">
        <f aca="false">BJ165-BK165</f>
        <v>45347.2222222222</v>
      </c>
      <c r="BM165" s="15" t="n">
        <f aca="false">(BM164)+Y165</f>
        <v>-905618.885089803</v>
      </c>
      <c r="BN165" s="15" t="n">
        <f aca="false">(BN164)+AW165+AX165+AZ165</f>
        <v>1330000</v>
      </c>
      <c r="BO165" s="15" t="n">
        <f aca="false">(BO164)+AY165</f>
        <v>0</v>
      </c>
      <c r="BP165" s="15" t="n">
        <f aca="false">0</f>
        <v>0</v>
      </c>
      <c r="BQ165" s="15" t="n">
        <f aca="false">BN165+BM165-BO165</f>
        <v>424381.114910197</v>
      </c>
      <c r="BR165" s="15" t="n">
        <f aca="false">BH165+AD165+BL165+MAX(0,-AM165)+MAX(0,-AR165)+AG165</f>
        <v>962097.441758851</v>
      </c>
      <c r="BS165" s="15" t="n">
        <f aca="false">AJ165+AV165+MAX(0,AM165)+MAX(0,AR165)+BC165+BG165+BQ165</f>
        <v>962097.441758852</v>
      </c>
      <c r="BT165" s="15" t="n">
        <f aca="false">BR165-BS165</f>
        <v>0</v>
      </c>
      <c r="BU165" s="15" t="n">
        <f aca="false">BH165-(BD165+BE165-BF165-AY165)</f>
        <v>0</v>
      </c>
      <c r="BV165" s="15" t="n">
        <f aca="false">MIN(Piano_SS!$C$6,(BV164)+IF(AND(Motore_Operativo!C165&gt;=EDATE(Parametri_v3!$C$24,Ipotesi!E14*12),Motore_Operativo!C165&lt;EDATE(Parametri_v3!$C$24,Parametri_v3!$C$25+Ipotesi!E14*12)),MAX(0,(Motore_Operativo!Y165+Motore_Operativo!X165*Parametri_v3!$C$14)*(1-Parametri_v3!$C$32))*Piano_SS!$D$6,0))</f>
        <v>300000</v>
      </c>
      <c r="BW165" s="15" t="n">
        <f aca="false">MIN(Piano_SS!$C$7,(BW164)+IF(AND(Motore_Operativo!C165&gt;=EDATE(Parametri_v3!$C$24,Ipotesi!E14*12),Motore_Operativo!C165&lt;EDATE(Parametri_v3!$C$24,Parametri_v3!$C$25+Ipotesi!E14*12)),MAX(0,(IF(41-(INT((Ipotesi!$C$91)/30))&lt;1,0,INDEX(Motore_Operativo!$BN$125:$BN$184,MAX(1,41-(INT((Ipotesi!$C$91)/30)))))*(1-(MOD((Ipotesi!$C$91),30)/30))+IF(41-(INT((Ipotesi!$C$91)/30))-1&lt;1,0,INDEX(Motore_Operativo!$BN$125:$BN$184,MAX(1,41-(INT((Ipotesi!$C$91)/30))-1)))*(MOD((Ipotesi!$C$91),30)/30)))*Piano_SS!$D$7,0))</f>
        <v>44070.0796097004</v>
      </c>
      <c r="BX165" s="15" t="n">
        <f aca="false">MIN(Piano_SS!$C$8,(BX164)+IF(AND(Motore_Operativo!C165&gt;=EDATE(Parametri_v3!$C$24,Ipotesi!E14*12),Motore_Operativo!C165&lt;EDATE(Parametri_v3!$C$24,Parametri_v3!$C$25+Ipotesi!E14*12)),MAX(0,Motore_Operativo!CE165)*Piano_SS!$D$8,0))</f>
        <v>50000</v>
      </c>
      <c r="BY165" s="15" t="n">
        <f aca="false">MIN(Piano_SS!$C$9,(BY164)+IF(AND(Motore_Operativo!C165&gt;=EDATE(Parametri_v3!$C$24,Ipotesi!E14*12),Motore_Operativo!C165&lt;EDATE(Parametri_v3!$C$24,Parametri_v3!$C$25+Ipotesi!E14*12)),MAX(0,((IF(41-(INT((Ipotesi!$C$91)/30))&lt;1,0,INDEX(Motore_Operativo!$BQ$125:$BQ$184,MAX(1,41-(INT((Ipotesi!$C$91)/30)))))*(1-(MOD((Ipotesi!$C$91),30)/30))+IF(41-(INT((Ipotesi!$C$91)/30))-1&lt;1,0,INDEX(Motore_Operativo!$BQ$125:$BQ$184,MAX(1,41-(INT((Ipotesi!$C$91)/30))-1)))*(MOD((Ipotesi!$C$91),30)/30))+(IF(41-(INT((Ipotesi!$C$91)/30))&lt;1,0,INDEX(Motore_Operativo!$BR$125:$BR$184,MAX(1,41-(INT((Ipotesi!$C$91)/30)))))*(1-(MOD((Ipotesi!$C$91),30)/30))+IF(41-(INT((Ipotesi!$C$91)/30))-1&lt;1,0,INDEX(Motore_Operativo!$BR$125:$BR$184,MAX(1,41-(INT((Ipotesi!$C$91)/30))-1)))*(MOD((Ipotesi!$C$91),30)/30))))*Piano_SS!$D$9,0))</f>
        <v>40000</v>
      </c>
      <c r="BZ165" s="15" t="n">
        <f aca="false">MIN(Piano_SS!$C$10,(BZ164)+IF(AND(Motore_Operativo!C165&gt;=EDATE(Parametri_v3!$C$24,Ipotesi!E14*12),Motore_Operativo!C165&lt;EDATE(Parametri_v3!$C$24,Parametri_v3!$C$25+Ipotesi!E14*12)),MAX(0,(IF(41-(INT((Ipotesi!$C$91)/30))&lt;1,0,INDEX(Motore_Operativo!$BO$125:$BO$184,MAX(1,41-(INT((Ipotesi!$C$91)/30)))))*(1-(MOD((Ipotesi!$C$91),30)/30))+IF(41-(INT((Ipotesi!$C$91)/30))-1&lt;1,0,INDEX(Motore_Operativo!$BO$125:$BO$184,MAX(1,41-(INT((Ipotesi!$C$91)/30))-1)))*(MOD((Ipotesi!$C$91),30)/30)))*Piano_SS!$D$10,0))</f>
        <v>30000</v>
      </c>
      <c r="CA165" s="15" t="n">
        <f aca="false">SUM(BV165:BZ165)</f>
        <v>464070.0796097</v>
      </c>
      <c r="CB165" s="15" t="n">
        <f aca="false">BV165*(1-Piano_SS!$E$6)+BW165*(1-Piano_SS!$E$7)+BX165*(1-Piano_SS!$E$8)+BY165*(1-Piano_SS!$E$9)+BZ165*(1-Piano_SS!$E$10)</f>
        <v>434070.0796097</v>
      </c>
      <c r="CC165" s="15" t="n">
        <f aca="false">(CC164)+BA165</f>
        <v>371256.06368776</v>
      </c>
      <c r="CD165" s="15" t="n">
        <f aca="false">IF(CA165=0,0,CC165*CB165/CA165*Ipotesi!$C$103*Parametri_v3!$C$64)</f>
        <v>104176.819106328</v>
      </c>
      <c r="CE165" s="18" t="n">
        <f aca="false">IF(BA165&gt;0,Motore_Operativo!C165,(CE164))</f>
        <v>47270</v>
      </c>
      <c r="CF165" s="18" t="n">
        <f aca="false">IF(AND(CC165&gt;0,OR(CC165&gt;=CG165-0.01,Motore_Operativo!C165&gt;=EDATE(MAX(Finanziamenti!$D$15:$D$17),Ipotesi!E14*12))),CE165,0)</f>
        <v>47270</v>
      </c>
      <c r="CG165" s="15" t="n">
        <f aca="false">IF(AND(3&lt;&gt;6,3&lt;&gt;9,Finanziamenti!$F$11=1,OR(Parametri_v3!$C$6=0,Finanziamenti!$E$11=1)),MIN(Finanziamenti!$C$11,Piano_SS!$C$12*Ipotesi!$C$102),0)</f>
        <v>400000</v>
      </c>
      <c r="CH165" s="15" t="n">
        <f aca="false">IF(AND(AND(3&lt;&gt;8,3&lt;&gt;9,Finanziamenti!$F$10=1,OR(Parametri_v3!$C$6=0,Finanziamenti!$E$10=1)),Motore_Operativo!C165&gt;=Finanziamenti!$D$10,Motore_Operativo!C165&lt;Parametri_v3!$C$63),Finanziamenti!$C$10,0)</f>
        <v>150000</v>
      </c>
    </row>
    <row r="166" customFormat="false" ht="18" hidden="false" customHeight="true" outlineLevel="0" collapsed="false">
      <c r="A166" s="68" t="n">
        <f aca="false">3</f>
        <v>3</v>
      </c>
      <c r="B166" s="68" t="n">
        <f aca="false">42</f>
        <v>42</v>
      </c>
      <c r="C166" s="18" t="n">
        <f aca="false">Motore_Operativo!C166</f>
        <v>47635</v>
      </c>
      <c r="D166" s="68" t="n">
        <f aca="false">Motore_Operativo!D166</f>
        <v>2030</v>
      </c>
      <c r="E166" s="68" t="n">
        <f aca="false">Motore_Operativo!E166</f>
        <v>6</v>
      </c>
      <c r="F166" s="15" t="n">
        <f aca="false">Motore_Operativo!AQ166+Motore_Operativo!BF166</f>
        <v>143162.541159835</v>
      </c>
      <c r="G166" s="15" t="n">
        <f aca="false">Motore_Operativo!BH166</f>
        <v>9024.16666666667</v>
      </c>
      <c r="H166" s="15" t="n">
        <f aca="false">Motore_Operativo!BI166</f>
        <v>152186.707826502</v>
      </c>
      <c r="I166" s="15" t="n">
        <f aca="false">Motore_Operativo!CA166</f>
        <v>159222.631387377</v>
      </c>
      <c r="J166" s="15" t="n">
        <f aca="false">Motore_Operativo!CC166</f>
        <v>-7035.92356087515</v>
      </c>
      <c r="K166" s="15" t="n">
        <f aca="false">Motore_Operativo!CE166</f>
        <v>3333.33333333333</v>
      </c>
      <c r="L166" s="15" t="n">
        <f aca="false">SUM(INDEX($K$125:$K$184,MAX(1,42-Parametri_v3!$C$59+1)):K166)/Parametri_v3!$C$59</f>
        <v>2361.11111111111</v>
      </c>
      <c r="M166" s="15" t="n">
        <f aca="false">J166-L166</f>
        <v>-9397.03467198626</v>
      </c>
      <c r="N166" s="15" t="n">
        <f aca="false">CD166-(CD165)</f>
        <v>0</v>
      </c>
      <c r="O166" s="15" t="n">
        <f aca="false">(BG165)*Ipotesi!$C$110/12+CH166*Parametri_v3!$C$39/12</f>
        <v>0</v>
      </c>
      <c r="P166" s="15" t="n">
        <f aca="false">M166+N166-O166</f>
        <v>-9397.03467198626</v>
      </c>
      <c r="Q166" s="15" t="n">
        <f aca="false">SUM(P161:P166)+Parametri_v3!$C$54*6/12</f>
        <v>-100694.036174301</v>
      </c>
      <c r="R166" s="15" t="n">
        <f aca="false">Z160</f>
        <v>814321.883587488</v>
      </c>
      <c r="S166" s="15" t="n">
        <f aca="false">AA160</f>
        <v>0</v>
      </c>
      <c r="T166" s="15" t="n">
        <f aca="false">MIN(R166,MAX(0,Q166))</f>
        <v>0</v>
      </c>
      <c r="U166" s="15" t="n">
        <f aca="false">MIN(S166,MAX(0,Q166-T166)*Parametri_v3!$C$42)</f>
        <v>0</v>
      </c>
      <c r="V166" s="15" t="n">
        <f aca="false">MAX(0,Q166-T166-U166)*Ipotesi!$C$92</f>
        <v>0</v>
      </c>
      <c r="W166" s="15" t="n">
        <f aca="false">MAX(0,SUM(M161:M166)+Parametri_v3!$C$55*6/12)*Ipotesi!$C$93</f>
        <v>0</v>
      </c>
      <c r="X166" s="15" t="n">
        <f aca="false">V166+W166-(V165+W165)</f>
        <v>0</v>
      </c>
      <c r="Y166" s="15" t="n">
        <f aca="false">P166-X166</f>
        <v>-9397.03467198626</v>
      </c>
      <c r="Z166" s="15" t="n">
        <f aca="false">R166-T166+IF(AND(Parametri_v3!$C$40=1,D166-YEAR(Parametri_v3!$C$50)&lt;Parametri_v3!$C$41),MAX(0,-Q166),0)</f>
        <v>814321.883587488</v>
      </c>
      <c r="AA166" s="15" t="n">
        <f aca="false">S166-U166+IF(AND(Parametri_v3!$C$40=1,D166-YEAR(Parametri_v3!$C$50)&lt;Parametri_v3!$C$41),0,MAX(0,-Q166))</f>
        <v>100694.036174301</v>
      </c>
      <c r="AB166" s="15" t="n">
        <f aca="false">F166*(1+Parametri_v3!$C$26)</f>
        <v>174658.300214999</v>
      </c>
      <c r="AC166" s="15" t="n">
        <f aca="false">(IF(42-(INT((Motore_Operativo!L166)/30))&lt;1,0,INDEX(Motore_Startup!$AB$125:$AB$184,MAX(1,42-(INT((Motore_Operativo!L166)/30)))))*(1-(MOD((Motore_Operativo!L166),30)/30))+IF(42-(INT((Motore_Operativo!L166)/30))-1&lt;1,0,INDEX(Motore_Startup!$AB$125:$AB$184,MAX(1,42-(INT((Motore_Operativo!L166)/30))-1)))*(MOD((Motore_Operativo!L166),30)/30))</f>
        <v>161354.135010033</v>
      </c>
      <c r="AD166" s="15" t="n">
        <f aca="false">(AD165)+AB166-AC166</f>
        <v>510040.013612453</v>
      </c>
      <c r="AE166" s="15" t="n">
        <f aca="false">Motore_Operativo!BH166*(1+Parametri_v3!$C$26)</f>
        <v>11009.4833333333</v>
      </c>
      <c r="AF166" s="15" t="n">
        <f aca="false">(IF(42-(INT((Parametri_v3!$C$29)/30))&lt;1,0,INDEX(Motore_Operativo!$BH$125:$BH$184,MAX(1,42-(INT((Parametri_v3!$C$29)/30)))))*(1-(MOD((Parametri_v3!$C$29),30)/30))+IF(42-(INT((Parametri_v3!$C$29)/30))-1&lt;1,0,INDEX(Motore_Operativo!$BH$125:$BH$184,MAX(1,42-(INT((Parametri_v3!$C$29)/30))-1)))*(MOD((Parametri_v3!$C$29),30)/30))*(1+Parametri_v3!$C$26)</f>
        <v>11009.4833333333</v>
      </c>
      <c r="AG166" s="15" t="n">
        <f aca="false">(AG165)+AE166-AF166</f>
        <v>11009.4833333333</v>
      </c>
      <c r="AH166" s="15" t="n">
        <f aca="false">(Motore_Operativo!CJ166)*(1+Parametri_v3!$C$27*Parametri_v3!$C$26)</f>
        <v>74483.7127982748</v>
      </c>
      <c r="AI166" s="15" t="n">
        <f aca="false">(IF(42-(INT((Ipotesi!$C$91)/30))&lt;1,0,INDEX(Motore_Startup!$AH$125:$AH$184,MAX(1,42-(INT((Ipotesi!$C$91)/30)))))*(1-(MOD((Ipotesi!$C$91),30)/30))+IF(42-(INT((Ipotesi!$C$91)/30))-1&lt;1,0,INDEX(Motore_Startup!$AH$125:$AH$184,MAX(1,42-(INT((Ipotesi!$C$91)/30))-1)))*(MOD((Ipotesi!$C$91),30)/30))</f>
        <v>73216.448793819</v>
      </c>
      <c r="AJ166" s="15" t="n">
        <f aca="false">(AJ165)+AH166-AI166</f>
        <v>148336.575234556</v>
      </c>
      <c r="AK166" s="15" t="n">
        <f aca="false">(F166+ Motore_Operativo!BH166-(Motore_Operativo!CJ166)*Parametri_v3!$C$27-Motore_Operativo!CE166)*Parametri_v3!$C$26</f>
        <v>21013.5770192659</v>
      </c>
      <c r="AL166" s="15" t="n">
        <f aca="false">MAX(0,(AM165))</f>
        <v>20277.8000475389</v>
      </c>
      <c r="AM166" s="15" t="n">
        <f aca="false">(AM165)+AK166-AL166</f>
        <v>21013.5770192659</v>
      </c>
      <c r="AN166" s="15" t="n">
        <f aca="false">SUM(X149:X160)</f>
        <v>0</v>
      </c>
      <c r="AO166" s="15" t="n">
        <f aca="false">SUM(AP149:AP160)</f>
        <v>0</v>
      </c>
      <c r="AP166" s="15" t="n">
        <f aca="false">MAX(0,AN166)*IF(6=Parametri_v3!$C$43,Parametri_v3!$C$45,IF(6=Parametri_v3!$C$44,1-Parametri_v3!$C$45,0))</f>
        <v>0</v>
      </c>
      <c r="AQ166" s="15" t="n">
        <f aca="false">MAX(0,AP166+IF(6=Parametri_v3!$C$43,MAX(0,AN166-AO166),0)-MAX(0,-(AR165)))</f>
        <v>0</v>
      </c>
      <c r="AR166" s="15" t="n">
        <f aca="false">(AR165)+X166-AQ166</f>
        <v>0</v>
      </c>
      <c r="AS166" s="15" t="n">
        <f aca="false">Motore_Operativo!AB166-AT166+AU166</f>
        <v>91649.4297604167</v>
      </c>
      <c r="AT166" s="15" t="n">
        <f aca="false">Motore_Operativo!CH166</f>
        <v>4823.65419791667</v>
      </c>
      <c r="AU166" s="15" t="n">
        <f aca="false">MIN(MAX(0,(AV165)+AT166),Parametri_v3!$C$60/12)</f>
        <v>0</v>
      </c>
      <c r="AV166" s="15" t="n">
        <f aca="false">(AV165)+AT166-AU166</f>
        <v>108113.6251875</v>
      </c>
      <c r="AW166" s="15" t="n">
        <f aca="false">IF(AND(Motore_Operativo!C166=Finanziamenti!$D$6,Finanziamenti!$F$6=1),Finanziamenti!$C$6,0)</f>
        <v>0</v>
      </c>
      <c r="AX166" s="15" t="n">
        <f aca="false">IF(AND(3&lt;&gt;7,3&lt;&gt;9,Finanziamenti!$F$8=1,OR(Parametri_v3!$C$6=0,Finanziamenti!$E$8=1),Motore_Operativo!C166=EDATE(Finanziamenti!$D$8,Ipotesi!E15*12)),Finanziamenti!$C$8*1,0)+IF(AND(3&lt;&gt;7,3&lt;&gt;9,Finanziamenti!$F$9=1,OR(Parametri_v3!$C$6=0,Finanziamenti!$E$9=1),Motore_Operativo!C166=EDATE(Finanziamenti!$D$9,Ipotesi!E15*12)),Finanziamenti!$C$9*Ipotesi!E16,0)</f>
        <v>0</v>
      </c>
      <c r="AY166" s="15" t="n">
        <f aca="false">0</f>
        <v>0</v>
      </c>
      <c r="AZ166" s="15" t="n">
        <f aca="false">Motore_Advisory!AY166*(1-Ipotesi!$C$95)*Ipotesi!$C$96</f>
        <v>35707.0162944445</v>
      </c>
      <c r="BA166" s="15" t="n">
        <f aca="false">MAX(0,MIN(CG166*MIN(1,IF(Motore_Operativo!C166&gt;=EDATE(Finanziamenti!$D$15,Ipotesi!E14*12),Finanziamenti!$C$15,0)+IF(Motore_Operativo!C166&gt;=EDATE(Finanziamenti!$D$16,Ipotesi!E14*12),Finanziamenti!$C$16,0)+IF(Motore_Operativo!C166&gt;=EDATE(Finanziamenti!$D$17,Ipotesi!E14*12),Finanziamenti!$C$17,0)),CA166*Ipotesi!$C$102)-(CC165))</f>
        <v>0</v>
      </c>
      <c r="BB166" s="15" t="n">
        <f aca="false">IF(AND(CF166&gt;0,Motore_Operativo!C166&gt;=IF(CF166=0,0,EDATE(CF166,Parametri_v3!$C$37)),MOD(((D166-YEAR(IF(CF166=0,0,EDATE(CF166,Parametri_v3!$C$37))))*12+E166-MONTH(IF(CF166=0,0,EDATE(CF166,Parametri_v3!$C$37)))),Parametri_v3!$C$38)=0),MIN(MAX(0,(BC165)+BA166-N166),(CC166-CD166)/(Ipotesi!$C$108*12/Parametri_v3!$C$38)),0)</f>
        <v>13353.9622290716</v>
      </c>
      <c r="BC166" s="15" t="n">
        <f aca="false">(BC165)+BA166-N166-BB166</f>
        <v>253725.282352361</v>
      </c>
      <c r="BD166" s="15" t="n">
        <f aca="false">(BH165)+AC166+AF166-AI166-AS166-K166*(1+Parametri_v3!$C$26)-AL166-AQ166-O166+AW166+AX166+AZ166+BA166-BB166</f>
        <v>414511.214936106</v>
      </c>
      <c r="BE166" s="15" t="n">
        <f aca="false">MAX(0,MIN(MAX(0,CH166-(BG165)),Parametri_v3!$C$30-BD166))</f>
        <v>0</v>
      </c>
      <c r="BF166" s="15" t="n">
        <f aca="false">IF(Motore_Operativo!C166&gt;=Parametri_v3!$C$63,(BG165),MIN((BG165),MAX(0,BD166-Parametri_v3!$C$30)))</f>
        <v>0</v>
      </c>
      <c r="BG166" s="15" t="n">
        <f aca="false">(BG165)+BE166-BF166</f>
        <v>0</v>
      </c>
      <c r="BH166" s="15" t="n">
        <f aca="false">BD166+BE166-BF166-AY166</f>
        <v>414511.214936106</v>
      </c>
      <c r="BI166" s="15" t="n">
        <f aca="false">MAX(0,Parametri_v3!$C$30-BH166)</f>
        <v>0</v>
      </c>
      <c r="BJ166" s="15" t="n">
        <f aca="false">(BJ165)+K166</f>
        <v>95000</v>
      </c>
      <c r="BK166" s="15" t="n">
        <f aca="false">(BK165)+L166</f>
        <v>48680.5555555556</v>
      </c>
      <c r="BL166" s="15" t="n">
        <f aca="false">BJ166-BK166</f>
        <v>46319.4444444444</v>
      </c>
      <c r="BM166" s="15" t="n">
        <f aca="false">(BM165)+Y166</f>
        <v>-915015.91976179</v>
      </c>
      <c r="BN166" s="15" t="n">
        <f aca="false">(BN165)+AW166+AX166+AZ166</f>
        <v>1365707.01629444</v>
      </c>
      <c r="BO166" s="15" t="n">
        <f aca="false">(BO165)+AY166</f>
        <v>0</v>
      </c>
      <c r="BP166" s="15" t="n">
        <f aca="false">0</f>
        <v>0</v>
      </c>
      <c r="BQ166" s="15" t="n">
        <f aca="false">BN166+BM166-BO166</f>
        <v>450691.096532655</v>
      </c>
      <c r="BR166" s="15" t="n">
        <f aca="false">BH166+AD166+BL166+MAX(0,-AM166)+MAX(0,-AR166)+AG166</f>
        <v>981880.156326337</v>
      </c>
      <c r="BS166" s="15" t="n">
        <f aca="false">AJ166+AV166+MAX(0,AM166)+MAX(0,AR166)+BC166+BG166+BQ166</f>
        <v>981880.156326338</v>
      </c>
      <c r="BT166" s="15" t="n">
        <f aca="false">BR166-BS166</f>
        <v>0</v>
      </c>
      <c r="BU166" s="15" t="n">
        <f aca="false">BH166-(BD166+BE166-BF166-AY166)</f>
        <v>0</v>
      </c>
      <c r="BV166" s="15" t="n">
        <f aca="false">MIN(Piano_SS!$C$6,(BV165)+IF(AND(Motore_Operativo!C166&gt;=EDATE(Parametri_v3!$C$24,Ipotesi!E14*12),Motore_Operativo!C166&lt;EDATE(Parametri_v3!$C$24,Parametri_v3!$C$25+Ipotesi!E14*12)),MAX(0,(Motore_Operativo!Y166+Motore_Operativo!X166*Parametri_v3!$C$14)*(1-Parametri_v3!$C$32))*Piano_SS!$D$6,0))</f>
        <v>300000</v>
      </c>
      <c r="BW166" s="15" t="n">
        <f aca="false">MIN(Piano_SS!$C$7,(BW165)+IF(AND(Motore_Operativo!C166&gt;=EDATE(Parametri_v3!$C$24,Ipotesi!E14*12),Motore_Operativo!C166&lt;EDATE(Parametri_v3!$C$24,Parametri_v3!$C$25+Ipotesi!E14*12)),MAX(0,(IF(42-(INT((Ipotesi!$C$91)/30))&lt;1,0,INDEX(Motore_Operativo!$BN$125:$BN$184,MAX(1,42-(INT((Ipotesi!$C$91)/30)))))*(1-(MOD((Ipotesi!$C$91),30)/30))+IF(42-(INT((Ipotesi!$C$91)/30))-1&lt;1,0,INDEX(Motore_Operativo!$BN$125:$BN$184,MAX(1,42-(INT((Ipotesi!$C$91)/30))-1)))*(MOD((Ipotesi!$C$91),30)/30)))*Piano_SS!$D$7,0))</f>
        <v>44070.0796097004</v>
      </c>
      <c r="BX166" s="15" t="n">
        <f aca="false">MIN(Piano_SS!$C$8,(BX165)+IF(AND(Motore_Operativo!C166&gt;=EDATE(Parametri_v3!$C$24,Ipotesi!E14*12),Motore_Operativo!C166&lt;EDATE(Parametri_v3!$C$24,Parametri_v3!$C$25+Ipotesi!E14*12)),MAX(0,Motore_Operativo!CE166)*Piano_SS!$D$8,0))</f>
        <v>50000</v>
      </c>
      <c r="BY166" s="15" t="n">
        <f aca="false">MIN(Piano_SS!$C$9,(BY165)+IF(AND(Motore_Operativo!C166&gt;=EDATE(Parametri_v3!$C$24,Ipotesi!E14*12),Motore_Operativo!C166&lt;EDATE(Parametri_v3!$C$24,Parametri_v3!$C$25+Ipotesi!E14*12)),MAX(0,((IF(42-(INT((Ipotesi!$C$91)/30))&lt;1,0,INDEX(Motore_Operativo!$BQ$125:$BQ$184,MAX(1,42-(INT((Ipotesi!$C$91)/30)))))*(1-(MOD((Ipotesi!$C$91),30)/30))+IF(42-(INT((Ipotesi!$C$91)/30))-1&lt;1,0,INDEX(Motore_Operativo!$BQ$125:$BQ$184,MAX(1,42-(INT((Ipotesi!$C$91)/30))-1)))*(MOD((Ipotesi!$C$91),30)/30))+(IF(42-(INT((Ipotesi!$C$91)/30))&lt;1,0,INDEX(Motore_Operativo!$BR$125:$BR$184,MAX(1,42-(INT((Ipotesi!$C$91)/30)))))*(1-(MOD((Ipotesi!$C$91),30)/30))+IF(42-(INT((Ipotesi!$C$91)/30))-1&lt;1,0,INDEX(Motore_Operativo!$BR$125:$BR$184,MAX(1,42-(INT((Ipotesi!$C$91)/30))-1)))*(MOD((Ipotesi!$C$91),30)/30))))*Piano_SS!$D$9,0))</f>
        <v>40000</v>
      </c>
      <c r="BZ166" s="15" t="n">
        <f aca="false">MIN(Piano_SS!$C$10,(BZ165)+IF(AND(Motore_Operativo!C166&gt;=EDATE(Parametri_v3!$C$24,Ipotesi!E14*12),Motore_Operativo!C166&lt;EDATE(Parametri_v3!$C$24,Parametri_v3!$C$25+Ipotesi!E14*12)),MAX(0,(IF(42-(INT((Ipotesi!$C$91)/30))&lt;1,0,INDEX(Motore_Operativo!$BO$125:$BO$184,MAX(1,42-(INT((Ipotesi!$C$91)/30)))))*(1-(MOD((Ipotesi!$C$91),30)/30))+IF(42-(INT((Ipotesi!$C$91)/30))-1&lt;1,0,INDEX(Motore_Operativo!$BO$125:$BO$184,MAX(1,42-(INT((Ipotesi!$C$91)/30))-1)))*(MOD((Ipotesi!$C$91),30)/30)))*Piano_SS!$D$10,0))</f>
        <v>30000</v>
      </c>
      <c r="CA166" s="15" t="n">
        <f aca="false">SUM(BV166:BZ166)</f>
        <v>464070.0796097</v>
      </c>
      <c r="CB166" s="15" t="n">
        <f aca="false">BV166*(1-Piano_SS!$E$6)+BW166*(1-Piano_SS!$E$7)+BX166*(1-Piano_SS!$E$8)+BY166*(1-Piano_SS!$E$9)+BZ166*(1-Piano_SS!$E$10)</f>
        <v>434070.0796097</v>
      </c>
      <c r="CC166" s="15" t="n">
        <f aca="false">(CC165)+BA166</f>
        <v>371256.06368776</v>
      </c>
      <c r="CD166" s="15" t="n">
        <f aca="false">IF(CA166=0,0,CC166*CB166/CA166*Ipotesi!$C$103*Parametri_v3!$C$64)</f>
        <v>104176.819106328</v>
      </c>
      <c r="CE166" s="18" t="n">
        <f aca="false">IF(BA166&gt;0,Motore_Operativo!C166,(CE165))</f>
        <v>47270</v>
      </c>
      <c r="CF166" s="18" t="n">
        <f aca="false">IF(AND(CC166&gt;0,OR(CC166&gt;=CG166-0.01,Motore_Operativo!C166&gt;=EDATE(MAX(Finanziamenti!$D$15:$D$17),Ipotesi!E14*12))),CE166,0)</f>
        <v>47270</v>
      </c>
      <c r="CG166" s="15" t="n">
        <f aca="false">IF(AND(3&lt;&gt;6,3&lt;&gt;9,Finanziamenti!$F$11=1,OR(Parametri_v3!$C$6=0,Finanziamenti!$E$11=1)),MIN(Finanziamenti!$C$11,Piano_SS!$C$12*Ipotesi!$C$102),0)</f>
        <v>400000</v>
      </c>
      <c r="CH166" s="15" t="n">
        <f aca="false">IF(AND(AND(3&lt;&gt;8,3&lt;&gt;9,Finanziamenti!$F$10=1,OR(Parametri_v3!$C$6=0,Finanziamenti!$E$10=1)),Motore_Operativo!C166&gt;=Finanziamenti!$D$10,Motore_Operativo!C166&lt;Parametri_v3!$C$63),Finanziamenti!$C$10,0)</f>
        <v>150000</v>
      </c>
    </row>
    <row r="167" customFormat="false" ht="18" hidden="false" customHeight="true" outlineLevel="0" collapsed="false">
      <c r="A167" s="68" t="n">
        <f aca="false">3</f>
        <v>3</v>
      </c>
      <c r="B167" s="68" t="n">
        <f aca="false">43</f>
        <v>43</v>
      </c>
      <c r="C167" s="18" t="n">
        <f aca="false">Motore_Operativo!C167</f>
        <v>47665</v>
      </c>
      <c r="D167" s="68" t="n">
        <f aca="false">Motore_Operativo!D167</f>
        <v>2030</v>
      </c>
      <c r="E167" s="68" t="n">
        <f aca="false">Motore_Operativo!E167</f>
        <v>7</v>
      </c>
      <c r="F167" s="15" t="n">
        <f aca="false">Motore_Operativo!AQ167+Motore_Operativo!BF167</f>
        <v>146925.543407749</v>
      </c>
      <c r="G167" s="15" t="n">
        <f aca="false">Motore_Operativo!BH167</f>
        <v>9024.16666666667</v>
      </c>
      <c r="H167" s="15" t="n">
        <f aca="false">Motore_Operativo!BI167</f>
        <v>155949.710074416</v>
      </c>
      <c r="I167" s="15" t="n">
        <f aca="false">Motore_Operativo!CA167</f>
        <v>159749.451702085</v>
      </c>
      <c r="J167" s="15" t="n">
        <f aca="false">Motore_Operativo!CC167</f>
        <v>-3799.74162766893</v>
      </c>
      <c r="K167" s="15" t="n">
        <f aca="false">Motore_Operativo!CE167</f>
        <v>3333.33333333333</v>
      </c>
      <c r="L167" s="15" t="n">
        <f aca="false">SUM(INDEX($K$125:$K$184,MAX(1,43-Parametri_v3!$C$59+1)):K167)/Parametri_v3!$C$59</f>
        <v>2407.40740740741</v>
      </c>
      <c r="M167" s="15" t="n">
        <f aca="false">J167-L167</f>
        <v>-6207.14903507634</v>
      </c>
      <c r="N167" s="15" t="n">
        <f aca="false">CD167-(CD166)</f>
        <v>0</v>
      </c>
      <c r="O167" s="15" t="n">
        <f aca="false">(BG166)*Ipotesi!$C$110/12+CH167*Parametri_v3!$C$39/12</f>
        <v>0</v>
      </c>
      <c r="P167" s="15" t="n">
        <f aca="false">M167+N167-O167</f>
        <v>-6207.14903507634</v>
      </c>
      <c r="Q167" s="15" t="n">
        <f aca="false">SUM(P161:P167)+Parametri_v3!$C$54*7/12</f>
        <v>-106901.185209378</v>
      </c>
      <c r="R167" s="15" t="n">
        <f aca="false">Z160</f>
        <v>814321.883587488</v>
      </c>
      <c r="S167" s="15" t="n">
        <f aca="false">AA160</f>
        <v>0</v>
      </c>
      <c r="T167" s="15" t="n">
        <f aca="false">MIN(R167,MAX(0,Q167))</f>
        <v>0</v>
      </c>
      <c r="U167" s="15" t="n">
        <f aca="false">MIN(S167,MAX(0,Q167-T167)*Parametri_v3!$C$42)</f>
        <v>0</v>
      </c>
      <c r="V167" s="15" t="n">
        <f aca="false">MAX(0,Q167-T167-U167)*Ipotesi!$C$92</f>
        <v>0</v>
      </c>
      <c r="W167" s="15" t="n">
        <f aca="false">MAX(0,SUM(M161:M167)+Parametri_v3!$C$55*7/12)*Ipotesi!$C$93</f>
        <v>0</v>
      </c>
      <c r="X167" s="15" t="n">
        <f aca="false">V167+W167-(V166+W166)</f>
        <v>0</v>
      </c>
      <c r="Y167" s="15" t="n">
        <f aca="false">P167-X167</f>
        <v>-6207.14903507634</v>
      </c>
      <c r="Z167" s="15" t="n">
        <f aca="false">R167-T167+IF(AND(Parametri_v3!$C$40=1,D167-YEAR(Parametri_v3!$C$50)&lt;Parametri_v3!$C$41),MAX(0,-Q167),0)</f>
        <v>814321.883587488</v>
      </c>
      <c r="AA167" s="15" t="n">
        <f aca="false">S167-U167+IF(AND(Parametri_v3!$C$40=1,D167-YEAR(Parametri_v3!$C$50)&lt;Parametri_v3!$C$41),0,MAX(0,-Q167))</f>
        <v>106901.185209378</v>
      </c>
      <c r="AB167" s="15" t="n">
        <f aca="false">F167*(1+Parametri_v3!$C$26)</f>
        <v>179249.162957454</v>
      </c>
      <c r="AC167" s="15" t="n">
        <f aca="false">(IF(43-(INT((Motore_Operativo!L167)/30))&lt;1,0,INDEX(Motore_Startup!$AB$125:$AB$184,MAX(1,43-(INT((Motore_Operativo!L167)/30)))))*(1-(MOD((Motore_Operativo!L167),30)/30))+IF(43-(INT((Motore_Operativo!L167)/30))-1&lt;1,0,INDEX(Motore_Startup!$AB$125:$AB$184,MAX(1,43-(INT((Motore_Operativo!L167)/30))-1)))*(MOD((Motore_Operativo!L167),30)/30))</f>
        <v>165354.761368952</v>
      </c>
      <c r="AD167" s="15" t="n">
        <f aca="false">(AD166)+AB167-AC167</f>
        <v>523934.415200955</v>
      </c>
      <c r="AE167" s="15" t="n">
        <f aca="false">Motore_Operativo!BH167*(1+Parametri_v3!$C$26)</f>
        <v>11009.4833333333</v>
      </c>
      <c r="AF167" s="15" t="n">
        <f aca="false">(IF(43-(INT((Parametri_v3!$C$29)/30))&lt;1,0,INDEX(Motore_Operativo!$BH$125:$BH$184,MAX(1,43-(INT((Parametri_v3!$C$29)/30)))))*(1-(MOD((Parametri_v3!$C$29),30)/30))+IF(43-(INT((Parametri_v3!$C$29)/30))-1&lt;1,0,INDEX(Motore_Operativo!$BH$125:$BH$184,MAX(1,43-(INT((Parametri_v3!$C$29)/30))-1)))*(MOD((Parametri_v3!$C$29),30)/30))*(1+Parametri_v3!$C$26)</f>
        <v>11009.4833333333</v>
      </c>
      <c r="AG167" s="15" t="n">
        <f aca="false">(AG166)+AE167-AF167</f>
        <v>11009.4833333333</v>
      </c>
      <c r="AH167" s="15" t="n">
        <f aca="false">(Motore_Operativo!CJ167)*(1+Parametri_v3!$C$27*Parametri_v3!$C$26)</f>
        <v>75109.0485118331</v>
      </c>
      <c r="AI167" s="15" t="n">
        <f aca="false">(IF(43-(INT((Ipotesi!$C$91)/30))&lt;1,0,INDEX(Motore_Startup!$AH$125:$AH$184,MAX(1,43-(INT((Ipotesi!$C$91)/30)))))*(1-(MOD((Ipotesi!$C$91),30)/30))+IF(43-(INT((Ipotesi!$C$91)/30))-1&lt;1,0,INDEX(Motore_Startup!$AH$125:$AH$184,MAX(1,43-(INT((Ipotesi!$C$91)/30))-1)))*(MOD((Ipotesi!$C$91),30)/30))</f>
        <v>73852.8624362812</v>
      </c>
      <c r="AJ167" s="15" t="n">
        <f aca="false">(AJ166)+AH167-AI167</f>
        <v>149592.761310108</v>
      </c>
      <c r="AK167" s="15" t="n">
        <f aca="false">(F167+ Motore_Operativo!BH167-(Motore_Operativo!CJ167)*Parametri_v3!$C$27-Motore_Operativo!CE167)*Parametri_v3!$C$26</f>
        <v>21742.9221149566</v>
      </c>
      <c r="AL167" s="15" t="n">
        <f aca="false">MAX(0,(AM166))</f>
        <v>21013.5770192659</v>
      </c>
      <c r="AM167" s="15" t="n">
        <f aca="false">(AM166)+AK167-AL167</f>
        <v>21742.9221149566</v>
      </c>
      <c r="AN167" s="15" t="n">
        <f aca="false">SUM(X149:X160)</f>
        <v>0</v>
      </c>
      <c r="AO167" s="15" t="n">
        <f aca="false">SUM(AP149:AP160)</f>
        <v>0</v>
      </c>
      <c r="AP167" s="15" t="n">
        <f aca="false">MAX(0,AN167)*IF(7=Parametri_v3!$C$43,Parametri_v3!$C$45,IF(7=Parametri_v3!$C$44,1-Parametri_v3!$C$45,0))</f>
        <v>0</v>
      </c>
      <c r="AQ167" s="15" t="n">
        <f aca="false">MAX(0,AP167+IF(7=Parametri_v3!$C$43,MAX(0,AN167-AO167),0)-MAX(0,-(AR166)))</f>
        <v>0</v>
      </c>
      <c r="AR167" s="15" t="n">
        <f aca="false">(AR166)+X167-AQ167</f>
        <v>0</v>
      </c>
      <c r="AS167" s="15" t="n">
        <f aca="false">Motore_Operativo!AB167-AT167+AU167</f>
        <v>91649.4297604167</v>
      </c>
      <c r="AT167" s="15" t="n">
        <f aca="false">Motore_Operativo!CH167</f>
        <v>4823.65419791667</v>
      </c>
      <c r="AU167" s="15" t="n">
        <f aca="false">MIN(MAX(0,(AV166)+AT167),Parametri_v3!$C$60/12)</f>
        <v>0</v>
      </c>
      <c r="AV167" s="15" t="n">
        <f aca="false">(AV166)+AT167-AU167</f>
        <v>112937.279385417</v>
      </c>
      <c r="AW167" s="15" t="n">
        <f aca="false">IF(AND(Motore_Operativo!C167=Finanziamenti!$D$6,Finanziamenti!$F$6=1),Finanziamenti!$C$6,0)</f>
        <v>0</v>
      </c>
      <c r="AX167" s="15" t="n">
        <f aca="false">IF(AND(3&lt;&gt;7,3&lt;&gt;9,Finanziamenti!$F$8=1,OR(Parametri_v3!$C$6=0,Finanziamenti!$E$8=1),Motore_Operativo!C167=EDATE(Finanziamenti!$D$8,Ipotesi!E15*12)),Finanziamenti!$C$8*1,0)+IF(AND(3&lt;&gt;7,3&lt;&gt;9,Finanziamenti!$F$9=1,OR(Parametri_v3!$C$6=0,Finanziamenti!$E$9=1),Motore_Operativo!C167=EDATE(Finanziamenti!$D$9,Ipotesi!E15*12)),Finanziamenti!$C$9*Ipotesi!E16,0)</f>
        <v>0</v>
      </c>
      <c r="AY167" s="15" t="n">
        <f aca="false">0</f>
        <v>0</v>
      </c>
      <c r="AZ167" s="15" t="n">
        <f aca="false">Motore_Advisory!AY167*(1-Ipotesi!$C$95)*Ipotesi!$C$96</f>
        <v>0</v>
      </c>
      <c r="BA167" s="15" t="n">
        <f aca="false">MAX(0,MIN(CG167*MIN(1,IF(Motore_Operativo!C167&gt;=EDATE(Finanziamenti!$D$15,Ipotesi!E14*12),Finanziamenti!$C$15,0)+IF(Motore_Operativo!C167&gt;=EDATE(Finanziamenti!$D$16,Ipotesi!E14*12),Finanziamenti!$C$16,0)+IF(Motore_Operativo!C167&gt;=EDATE(Finanziamenti!$D$17,Ipotesi!E14*12),Finanziamenti!$C$17,0)),CA167*Ipotesi!$C$102)-(CC166))</f>
        <v>0</v>
      </c>
      <c r="BB167" s="15" t="n">
        <f aca="false">IF(AND(CF167&gt;0,Motore_Operativo!C167&gt;=IF(CF167=0,0,EDATE(CF167,Parametri_v3!$C$37)),MOD(((D167-YEAR(IF(CF167=0,0,EDATE(CF167,Parametri_v3!$C$37))))*12+E167-MONTH(IF(CF167=0,0,EDATE(CF167,Parametri_v3!$C$37)))),Parametri_v3!$C$38)=0),MIN(MAX(0,(BC166)+BA167-N167),(CC167-CD167)/(Ipotesi!$C$108*12/Parametri_v3!$C$38)),0)</f>
        <v>0</v>
      </c>
      <c r="BC167" s="15" t="n">
        <f aca="false">(BC166)+BA167-N167-BB167</f>
        <v>253725.282352361</v>
      </c>
      <c r="BD167" s="15" t="n">
        <f aca="false">(BH166)+AC167+AF167-AI167-AS167-K167*(1+Parametri_v3!$C$26)-AL167-AQ167-O167+AW167+AX167+AZ167+BA167-BB167</f>
        <v>400292.923755761</v>
      </c>
      <c r="BE167" s="15" t="n">
        <f aca="false">MAX(0,MIN(MAX(0,CH167-(BG166)),Parametri_v3!$C$30-BD167))</f>
        <v>0</v>
      </c>
      <c r="BF167" s="15" t="n">
        <f aca="false">IF(Motore_Operativo!C167&gt;=Parametri_v3!$C$63,(BG166),MIN((BG166),MAX(0,BD167-Parametri_v3!$C$30)))</f>
        <v>0</v>
      </c>
      <c r="BG167" s="15" t="n">
        <f aca="false">(BG166)+BE167-BF167</f>
        <v>0</v>
      </c>
      <c r="BH167" s="15" t="n">
        <f aca="false">BD167+BE167-BF167-AY167</f>
        <v>400292.923755761</v>
      </c>
      <c r="BI167" s="15" t="n">
        <f aca="false">MAX(0,Parametri_v3!$C$30-BH167)</f>
        <v>0</v>
      </c>
      <c r="BJ167" s="15" t="n">
        <f aca="false">(BJ166)+K167</f>
        <v>98333.3333333333</v>
      </c>
      <c r="BK167" s="15" t="n">
        <f aca="false">(BK166)+L167</f>
        <v>51087.962962963</v>
      </c>
      <c r="BL167" s="15" t="n">
        <f aca="false">BJ167-BK167</f>
        <v>47245.3703703703</v>
      </c>
      <c r="BM167" s="15" t="n">
        <f aca="false">(BM166)+Y167</f>
        <v>-921223.068796866</v>
      </c>
      <c r="BN167" s="15" t="n">
        <f aca="false">(BN166)+AW167+AX167+AZ167</f>
        <v>1365707.01629444</v>
      </c>
      <c r="BO167" s="15" t="n">
        <f aca="false">(BO166)+AY167</f>
        <v>0</v>
      </c>
      <c r="BP167" s="15" t="n">
        <f aca="false">0</f>
        <v>0</v>
      </c>
      <c r="BQ167" s="15" t="n">
        <f aca="false">BN167+BM167-BO167</f>
        <v>444483.947497579</v>
      </c>
      <c r="BR167" s="15" t="n">
        <f aca="false">BH167+AD167+BL167+MAX(0,-AM167)+MAX(0,-AR167)+AG167</f>
        <v>982482.19266042</v>
      </c>
      <c r="BS167" s="15" t="n">
        <f aca="false">AJ167+AV167+MAX(0,AM167)+MAX(0,AR167)+BC167+BG167+BQ167</f>
        <v>982482.192660421</v>
      </c>
      <c r="BT167" s="15" t="n">
        <f aca="false">BR167-BS167</f>
        <v>0</v>
      </c>
      <c r="BU167" s="15" t="n">
        <f aca="false">BH167-(BD167+BE167-BF167-AY167)</f>
        <v>0</v>
      </c>
      <c r="BV167" s="15" t="n">
        <f aca="false">MIN(Piano_SS!$C$6,(BV166)+IF(AND(Motore_Operativo!C167&gt;=EDATE(Parametri_v3!$C$24,Ipotesi!E14*12),Motore_Operativo!C167&lt;EDATE(Parametri_v3!$C$24,Parametri_v3!$C$25+Ipotesi!E14*12)),MAX(0,(Motore_Operativo!Y167+Motore_Operativo!X167*Parametri_v3!$C$14)*(1-Parametri_v3!$C$32))*Piano_SS!$D$6,0))</f>
        <v>300000</v>
      </c>
      <c r="BW167" s="15" t="n">
        <f aca="false">MIN(Piano_SS!$C$7,(BW166)+IF(AND(Motore_Operativo!C167&gt;=EDATE(Parametri_v3!$C$24,Ipotesi!E14*12),Motore_Operativo!C167&lt;EDATE(Parametri_v3!$C$24,Parametri_v3!$C$25+Ipotesi!E14*12)),MAX(0,(IF(43-(INT((Ipotesi!$C$91)/30))&lt;1,0,INDEX(Motore_Operativo!$BN$125:$BN$184,MAX(1,43-(INT((Ipotesi!$C$91)/30)))))*(1-(MOD((Ipotesi!$C$91),30)/30))+IF(43-(INT((Ipotesi!$C$91)/30))-1&lt;1,0,INDEX(Motore_Operativo!$BN$125:$BN$184,MAX(1,43-(INT((Ipotesi!$C$91)/30))-1)))*(MOD((Ipotesi!$C$91),30)/30)))*Piano_SS!$D$7,0))</f>
        <v>44070.0796097004</v>
      </c>
      <c r="BX167" s="15" t="n">
        <f aca="false">MIN(Piano_SS!$C$8,(BX166)+IF(AND(Motore_Operativo!C167&gt;=EDATE(Parametri_v3!$C$24,Ipotesi!E14*12),Motore_Operativo!C167&lt;EDATE(Parametri_v3!$C$24,Parametri_v3!$C$25+Ipotesi!E14*12)),MAX(0,Motore_Operativo!CE167)*Piano_SS!$D$8,0))</f>
        <v>50000</v>
      </c>
      <c r="BY167" s="15" t="n">
        <f aca="false">MIN(Piano_SS!$C$9,(BY166)+IF(AND(Motore_Operativo!C167&gt;=EDATE(Parametri_v3!$C$24,Ipotesi!E14*12),Motore_Operativo!C167&lt;EDATE(Parametri_v3!$C$24,Parametri_v3!$C$25+Ipotesi!E14*12)),MAX(0,((IF(43-(INT((Ipotesi!$C$91)/30))&lt;1,0,INDEX(Motore_Operativo!$BQ$125:$BQ$184,MAX(1,43-(INT((Ipotesi!$C$91)/30)))))*(1-(MOD((Ipotesi!$C$91),30)/30))+IF(43-(INT((Ipotesi!$C$91)/30))-1&lt;1,0,INDEX(Motore_Operativo!$BQ$125:$BQ$184,MAX(1,43-(INT((Ipotesi!$C$91)/30))-1)))*(MOD((Ipotesi!$C$91),30)/30))+(IF(43-(INT((Ipotesi!$C$91)/30))&lt;1,0,INDEX(Motore_Operativo!$BR$125:$BR$184,MAX(1,43-(INT((Ipotesi!$C$91)/30)))))*(1-(MOD((Ipotesi!$C$91),30)/30))+IF(43-(INT((Ipotesi!$C$91)/30))-1&lt;1,0,INDEX(Motore_Operativo!$BR$125:$BR$184,MAX(1,43-(INT((Ipotesi!$C$91)/30))-1)))*(MOD((Ipotesi!$C$91),30)/30))))*Piano_SS!$D$9,0))</f>
        <v>40000</v>
      </c>
      <c r="BZ167" s="15" t="n">
        <f aca="false">MIN(Piano_SS!$C$10,(BZ166)+IF(AND(Motore_Operativo!C167&gt;=EDATE(Parametri_v3!$C$24,Ipotesi!E14*12),Motore_Operativo!C167&lt;EDATE(Parametri_v3!$C$24,Parametri_v3!$C$25+Ipotesi!E14*12)),MAX(0,(IF(43-(INT((Ipotesi!$C$91)/30))&lt;1,0,INDEX(Motore_Operativo!$BO$125:$BO$184,MAX(1,43-(INT((Ipotesi!$C$91)/30)))))*(1-(MOD((Ipotesi!$C$91),30)/30))+IF(43-(INT((Ipotesi!$C$91)/30))-1&lt;1,0,INDEX(Motore_Operativo!$BO$125:$BO$184,MAX(1,43-(INT((Ipotesi!$C$91)/30))-1)))*(MOD((Ipotesi!$C$91),30)/30)))*Piano_SS!$D$10,0))</f>
        <v>30000</v>
      </c>
      <c r="CA167" s="15" t="n">
        <f aca="false">SUM(BV167:BZ167)</f>
        <v>464070.0796097</v>
      </c>
      <c r="CB167" s="15" t="n">
        <f aca="false">BV167*(1-Piano_SS!$E$6)+BW167*(1-Piano_SS!$E$7)+BX167*(1-Piano_SS!$E$8)+BY167*(1-Piano_SS!$E$9)+BZ167*(1-Piano_SS!$E$10)</f>
        <v>434070.0796097</v>
      </c>
      <c r="CC167" s="15" t="n">
        <f aca="false">(CC166)+BA167</f>
        <v>371256.06368776</v>
      </c>
      <c r="CD167" s="15" t="n">
        <f aca="false">IF(CA167=0,0,CC167*CB167/CA167*Ipotesi!$C$103*Parametri_v3!$C$64)</f>
        <v>104176.819106328</v>
      </c>
      <c r="CE167" s="18" t="n">
        <f aca="false">IF(BA167&gt;0,Motore_Operativo!C167,(CE166))</f>
        <v>47270</v>
      </c>
      <c r="CF167" s="18" t="n">
        <f aca="false">IF(AND(CC167&gt;0,OR(CC167&gt;=CG167-0.01,Motore_Operativo!C167&gt;=EDATE(MAX(Finanziamenti!$D$15:$D$17),Ipotesi!E14*12))),CE167,0)</f>
        <v>47270</v>
      </c>
      <c r="CG167" s="15" t="n">
        <f aca="false">IF(AND(3&lt;&gt;6,3&lt;&gt;9,Finanziamenti!$F$11=1,OR(Parametri_v3!$C$6=0,Finanziamenti!$E$11=1)),MIN(Finanziamenti!$C$11,Piano_SS!$C$12*Ipotesi!$C$102),0)</f>
        <v>400000</v>
      </c>
      <c r="CH167" s="15" t="n">
        <f aca="false">IF(AND(AND(3&lt;&gt;8,3&lt;&gt;9,Finanziamenti!$F$10=1,OR(Parametri_v3!$C$6=0,Finanziamenti!$E$10=1)),Motore_Operativo!C167&gt;=Finanziamenti!$D$10,Motore_Operativo!C167&lt;Parametri_v3!$C$63),Finanziamenti!$C$10,0)</f>
        <v>150000</v>
      </c>
    </row>
    <row r="168" customFormat="false" ht="18" hidden="false" customHeight="true" outlineLevel="0" collapsed="false">
      <c r="A168" s="68" t="n">
        <f aca="false">3</f>
        <v>3</v>
      </c>
      <c r="B168" s="68" t="n">
        <f aca="false">44</f>
        <v>44</v>
      </c>
      <c r="C168" s="18" t="n">
        <f aca="false">Motore_Operativo!C168</f>
        <v>47696</v>
      </c>
      <c r="D168" s="68" t="n">
        <f aca="false">Motore_Operativo!D168</f>
        <v>2030</v>
      </c>
      <c r="E168" s="68" t="n">
        <f aca="false">Motore_Operativo!E168</f>
        <v>8</v>
      </c>
      <c r="F168" s="15" t="n">
        <f aca="false">Motore_Operativo!AQ168+Motore_Operativo!BF168</f>
        <v>150655.650953991</v>
      </c>
      <c r="G168" s="15" t="n">
        <f aca="false">Motore_Operativo!BH168</f>
        <v>9024.16666666667</v>
      </c>
      <c r="H168" s="15" t="n">
        <f aca="false">Motore_Operativo!BI168</f>
        <v>159679.817620657</v>
      </c>
      <c r="I168" s="15" t="n">
        <f aca="false">Motore_Operativo!CA168</f>
        <v>160271.666758559</v>
      </c>
      <c r="J168" s="15" t="n">
        <f aca="false">Motore_Operativo!CC168</f>
        <v>-591.849137901445</v>
      </c>
      <c r="K168" s="15" t="n">
        <f aca="false">Motore_Operativo!CE168</f>
        <v>3333.33333333333</v>
      </c>
      <c r="L168" s="15" t="n">
        <f aca="false">SUM(INDEX($K$125:$K$184,MAX(1,44-Parametri_v3!$C$59+1)):K168)/Parametri_v3!$C$59</f>
        <v>2453.7037037037</v>
      </c>
      <c r="M168" s="15" t="n">
        <f aca="false">J168-L168</f>
        <v>-3045.55284160515</v>
      </c>
      <c r="N168" s="15" t="n">
        <f aca="false">CD168-(CD167)</f>
        <v>0</v>
      </c>
      <c r="O168" s="15" t="n">
        <f aca="false">(BG167)*Ipotesi!$C$110/12+CH168*Parametri_v3!$C$39/12</f>
        <v>0</v>
      </c>
      <c r="P168" s="15" t="n">
        <f aca="false">M168+N168-O168</f>
        <v>-3045.55284160515</v>
      </c>
      <c r="Q168" s="15" t="n">
        <f aca="false">SUM(P161:P168)+Parametri_v3!$C$54*8/12</f>
        <v>-109946.738050983</v>
      </c>
      <c r="R168" s="15" t="n">
        <f aca="false">Z160</f>
        <v>814321.883587488</v>
      </c>
      <c r="S168" s="15" t="n">
        <f aca="false">AA160</f>
        <v>0</v>
      </c>
      <c r="T168" s="15" t="n">
        <f aca="false">MIN(R168,MAX(0,Q168))</f>
        <v>0</v>
      </c>
      <c r="U168" s="15" t="n">
        <f aca="false">MIN(S168,MAX(0,Q168-T168)*Parametri_v3!$C$42)</f>
        <v>0</v>
      </c>
      <c r="V168" s="15" t="n">
        <f aca="false">MAX(0,Q168-T168-U168)*Ipotesi!$C$92</f>
        <v>0</v>
      </c>
      <c r="W168" s="15" t="n">
        <f aca="false">MAX(0,SUM(M161:M168)+Parametri_v3!$C$55*8/12)*Ipotesi!$C$93</f>
        <v>0</v>
      </c>
      <c r="X168" s="15" t="n">
        <f aca="false">V168+W168-(V167+W167)</f>
        <v>0</v>
      </c>
      <c r="Y168" s="15" t="n">
        <f aca="false">P168-X168</f>
        <v>-3045.55284160515</v>
      </c>
      <c r="Z168" s="15" t="n">
        <f aca="false">R168-T168+IF(AND(Parametri_v3!$C$40=1,D168-YEAR(Parametri_v3!$C$50)&lt;Parametri_v3!$C$41),MAX(0,-Q168),0)</f>
        <v>814321.883587488</v>
      </c>
      <c r="AA168" s="15" t="n">
        <f aca="false">S168-U168+IF(AND(Parametri_v3!$C$40=1,D168-YEAR(Parametri_v3!$C$50)&lt;Parametri_v3!$C$41),0,MAX(0,-Q168))</f>
        <v>109946.738050983</v>
      </c>
      <c r="AB168" s="15" t="n">
        <f aca="false">F168*(1+Parametri_v3!$C$26)</f>
        <v>183799.894163869</v>
      </c>
      <c r="AC168" s="15" t="n">
        <f aca="false">(IF(44-(INT((Motore_Operativo!L168)/30))&lt;1,0,INDEX(Motore_Startup!$AB$125:$AB$184,MAX(1,44-(INT((Motore_Operativo!L168)/30)))))*(1-(MOD((Motore_Operativo!L168),30)/30))+IF(44-(INT((Motore_Operativo!L168)/30))-1&lt;1,0,INDEX(Motore_Startup!$AB$125:$AB$184,MAX(1,44-(INT((Motore_Operativo!L168)/30))-1)))*(MOD((Motore_Operativo!L168),30)/30))</f>
        <v>170026.952028501</v>
      </c>
      <c r="AD168" s="15" t="n">
        <f aca="false">(AD167)+AB168-AC168</f>
        <v>537707.357336322</v>
      </c>
      <c r="AE168" s="15" t="n">
        <f aca="false">Motore_Operativo!BH168*(1+Parametri_v3!$C$26)</f>
        <v>11009.4833333333</v>
      </c>
      <c r="AF168" s="15" t="n">
        <f aca="false">(IF(44-(INT((Parametri_v3!$C$29)/30))&lt;1,0,INDEX(Motore_Operativo!$BH$125:$BH$184,MAX(1,44-(INT((Parametri_v3!$C$29)/30)))))*(1-(MOD((Parametri_v3!$C$29),30)/30))+IF(44-(INT((Parametri_v3!$C$29)/30))-1&lt;1,0,INDEX(Motore_Operativo!$BH$125:$BH$184,MAX(1,44-(INT((Parametri_v3!$C$29)/30))-1)))*(MOD((Parametri_v3!$C$29),30)/30))*(1+Parametri_v3!$C$26)</f>
        <v>11009.4833333333</v>
      </c>
      <c r="AG168" s="15" t="n">
        <f aca="false">(AG167)+AE168-AF168</f>
        <v>11009.4833333333</v>
      </c>
      <c r="AH168" s="15" t="n">
        <f aca="false">(Motore_Operativo!CJ168)*(1+Parametri_v3!$C$27*Parametri_v3!$C$26)</f>
        <v>75728.9177838675</v>
      </c>
      <c r="AI168" s="15" t="n">
        <f aca="false">(IF(44-(INT((Ipotesi!$C$91)/30))&lt;1,0,INDEX(Motore_Startup!$AH$125:$AH$184,MAX(1,44-(INT((Ipotesi!$C$91)/30)))))*(1-(MOD((Ipotesi!$C$91),30)/30))+IF(44-(INT((Ipotesi!$C$91)/30))-1&lt;1,0,INDEX(Motore_Startup!$AH$125:$AH$184,MAX(1,44-(INT((Ipotesi!$C$91)/30))-1)))*(MOD((Ipotesi!$C$91),30)/30))</f>
        <v>74483.7127982748</v>
      </c>
      <c r="AJ168" s="15" t="n">
        <f aca="false">(AJ167)+AH168-AI168</f>
        <v>150837.966295701</v>
      </c>
      <c r="AK168" s="15" t="n">
        <f aca="false">(F168+ Motore_Operativo!BH168-(Motore_Operativo!CJ168)*Parametri_v3!$C$27-Motore_Operativo!CE168)*Parametri_v3!$C$26</f>
        <v>22465.8915595691</v>
      </c>
      <c r="AL168" s="15" t="n">
        <f aca="false">MAX(0,(AM167))</f>
        <v>21742.9221149566</v>
      </c>
      <c r="AM168" s="15" t="n">
        <f aca="false">(AM167)+AK168-AL168</f>
        <v>22465.8915595691</v>
      </c>
      <c r="AN168" s="15" t="n">
        <f aca="false">SUM(X149:X160)</f>
        <v>0</v>
      </c>
      <c r="AO168" s="15" t="n">
        <f aca="false">SUM(AP149:AP160)</f>
        <v>0</v>
      </c>
      <c r="AP168" s="15" t="n">
        <f aca="false">MAX(0,AN168)*IF(8=Parametri_v3!$C$43,Parametri_v3!$C$45,IF(8=Parametri_v3!$C$44,1-Parametri_v3!$C$45,0))</f>
        <v>0</v>
      </c>
      <c r="AQ168" s="15" t="n">
        <f aca="false">MAX(0,AP168+IF(8=Parametri_v3!$C$43,MAX(0,AN168-AO168),0)-MAX(0,-(AR167)))</f>
        <v>0</v>
      </c>
      <c r="AR168" s="15" t="n">
        <f aca="false">(AR167)+X168-AQ168</f>
        <v>0</v>
      </c>
      <c r="AS168" s="15" t="n">
        <f aca="false">Motore_Operativo!AB168-AT168+AU168</f>
        <v>91649.4297604167</v>
      </c>
      <c r="AT168" s="15" t="n">
        <f aca="false">Motore_Operativo!CH168</f>
        <v>4823.65419791667</v>
      </c>
      <c r="AU168" s="15" t="n">
        <f aca="false">MIN(MAX(0,(AV167)+AT168),Parametri_v3!$C$60/12)</f>
        <v>0</v>
      </c>
      <c r="AV168" s="15" t="n">
        <f aca="false">(AV167)+AT168-AU168</f>
        <v>117760.933583333</v>
      </c>
      <c r="AW168" s="15" t="n">
        <f aca="false">IF(AND(Motore_Operativo!C168=Finanziamenti!$D$6,Finanziamenti!$F$6=1),Finanziamenti!$C$6,0)</f>
        <v>0</v>
      </c>
      <c r="AX168" s="15" t="n">
        <f aca="false">IF(AND(3&lt;&gt;7,3&lt;&gt;9,Finanziamenti!$F$8=1,OR(Parametri_v3!$C$6=0,Finanziamenti!$E$8=1),Motore_Operativo!C168=EDATE(Finanziamenti!$D$8,Ipotesi!E15*12)),Finanziamenti!$C$8*1,0)+IF(AND(3&lt;&gt;7,3&lt;&gt;9,Finanziamenti!$F$9=1,OR(Parametri_v3!$C$6=0,Finanziamenti!$E$9=1),Motore_Operativo!C168=EDATE(Finanziamenti!$D$9,Ipotesi!E15*12)),Finanziamenti!$C$9*Ipotesi!E16,0)</f>
        <v>0</v>
      </c>
      <c r="AY168" s="15" t="n">
        <f aca="false">0</f>
        <v>0</v>
      </c>
      <c r="AZ168" s="15" t="n">
        <f aca="false">Motore_Advisory!AY168*(1-Ipotesi!$C$95)*Ipotesi!$C$96</f>
        <v>0</v>
      </c>
      <c r="BA168" s="15" t="n">
        <f aca="false">MAX(0,MIN(CG168*MIN(1,IF(Motore_Operativo!C168&gt;=EDATE(Finanziamenti!$D$15,Ipotesi!E14*12),Finanziamenti!$C$15,0)+IF(Motore_Operativo!C168&gt;=EDATE(Finanziamenti!$D$16,Ipotesi!E14*12),Finanziamenti!$C$16,0)+IF(Motore_Operativo!C168&gt;=EDATE(Finanziamenti!$D$17,Ipotesi!E14*12),Finanziamenti!$C$17,0)),CA168*Ipotesi!$C$102)-(CC167))</f>
        <v>0</v>
      </c>
      <c r="BB168" s="15" t="n">
        <f aca="false">IF(AND(CF168&gt;0,Motore_Operativo!C168&gt;=IF(CF168=0,0,EDATE(CF168,Parametri_v3!$C$37)),MOD(((D168-YEAR(IF(CF168=0,0,EDATE(CF168,Parametri_v3!$C$37))))*12+E168-MONTH(IF(CF168=0,0,EDATE(CF168,Parametri_v3!$C$37)))),Parametri_v3!$C$38)=0),MIN(MAX(0,(BC167)+BA168-N168),(CC168-CD168)/(Ipotesi!$C$108*12/Parametri_v3!$C$38)),0)</f>
        <v>0</v>
      </c>
      <c r="BC168" s="15" t="n">
        <f aca="false">(BC167)+BA168-N168-BB168</f>
        <v>253725.282352361</v>
      </c>
      <c r="BD168" s="15" t="n">
        <f aca="false">(BH167)+AC168+AF168-AI168-AS168-K168*(1+Parametri_v3!$C$26)-AL168-AQ168-O168+AW168+AX168+AZ168+BA168-BB168</f>
        <v>389386.627777281</v>
      </c>
      <c r="BE168" s="15" t="n">
        <f aca="false">MAX(0,MIN(MAX(0,CH168-(BG167)),Parametri_v3!$C$30-BD168))</f>
        <v>0</v>
      </c>
      <c r="BF168" s="15" t="n">
        <f aca="false">IF(Motore_Operativo!C168&gt;=Parametri_v3!$C$63,(BG167),MIN((BG167),MAX(0,BD168-Parametri_v3!$C$30)))</f>
        <v>0</v>
      </c>
      <c r="BG168" s="15" t="n">
        <f aca="false">(BG167)+BE168-BF168</f>
        <v>0</v>
      </c>
      <c r="BH168" s="15" t="n">
        <f aca="false">BD168+BE168-BF168-AY168</f>
        <v>389386.627777281</v>
      </c>
      <c r="BI168" s="15" t="n">
        <f aca="false">MAX(0,Parametri_v3!$C$30-BH168)</f>
        <v>0</v>
      </c>
      <c r="BJ168" s="15" t="n">
        <f aca="false">(BJ167)+K168</f>
        <v>101666.666666667</v>
      </c>
      <c r="BK168" s="15" t="n">
        <f aca="false">(BK167)+L168</f>
        <v>53541.6666666667</v>
      </c>
      <c r="BL168" s="15" t="n">
        <f aca="false">BJ168-BK168</f>
        <v>48125</v>
      </c>
      <c r="BM168" s="15" t="n">
        <f aca="false">(BM167)+Y168</f>
        <v>-924268.621638471</v>
      </c>
      <c r="BN168" s="15" t="n">
        <f aca="false">(BN167)+AW168+AX168+AZ168</f>
        <v>1365707.01629444</v>
      </c>
      <c r="BO168" s="15" t="n">
        <f aca="false">(BO167)+AY168</f>
        <v>0</v>
      </c>
      <c r="BP168" s="15" t="n">
        <f aca="false">0</f>
        <v>0</v>
      </c>
      <c r="BQ168" s="15" t="n">
        <f aca="false">BN168+BM168-BO168</f>
        <v>441438.394655973</v>
      </c>
      <c r="BR168" s="15" t="n">
        <f aca="false">BH168+AD168+BL168+MAX(0,-AM168)+MAX(0,-AR168)+AG168</f>
        <v>986228.468446936</v>
      </c>
      <c r="BS168" s="15" t="n">
        <f aca="false">AJ168+AV168+MAX(0,AM168)+MAX(0,AR168)+BC168+BG168+BQ168</f>
        <v>986228.468446937</v>
      </c>
      <c r="BT168" s="15" t="n">
        <f aca="false">BR168-BS168</f>
        <v>0</v>
      </c>
      <c r="BU168" s="15" t="n">
        <f aca="false">BH168-(BD168+BE168-BF168-AY168)</f>
        <v>0</v>
      </c>
      <c r="BV168" s="15" t="n">
        <f aca="false">MIN(Piano_SS!$C$6,(BV167)+IF(AND(Motore_Operativo!C168&gt;=EDATE(Parametri_v3!$C$24,Ipotesi!E14*12),Motore_Operativo!C168&lt;EDATE(Parametri_v3!$C$24,Parametri_v3!$C$25+Ipotesi!E14*12)),MAX(0,(Motore_Operativo!Y168+Motore_Operativo!X168*Parametri_v3!$C$14)*(1-Parametri_v3!$C$32))*Piano_SS!$D$6,0))</f>
        <v>300000</v>
      </c>
      <c r="BW168" s="15" t="n">
        <f aca="false">MIN(Piano_SS!$C$7,(BW167)+IF(AND(Motore_Operativo!C168&gt;=EDATE(Parametri_v3!$C$24,Ipotesi!E14*12),Motore_Operativo!C168&lt;EDATE(Parametri_v3!$C$24,Parametri_v3!$C$25+Ipotesi!E14*12)),MAX(0,(IF(44-(INT((Ipotesi!$C$91)/30))&lt;1,0,INDEX(Motore_Operativo!$BN$125:$BN$184,MAX(1,44-(INT((Ipotesi!$C$91)/30)))))*(1-(MOD((Ipotesi!$C$91),30)/30))+IF(44-(INT((Ipotesi!$C$91)/30))-1&lt;1,0,INDEX(Motore_Operativo!$BN$125:$BN$184,MAX(1,44-(INT((Ipotesi!$C$91)/30))-1)))*(MOD((Ipotesi!$C$91),30)/30)))*Piano_SS!$D$7,0))</f>
        <v>44070.0796097004</v>
      </c>
      <c r="BX168" s="15" t="n">
        <f aca="false">MIN(Piano_SS!$C$8,(BX167)+IF(AND(Motore_Operativo!C168&gt;=EDATE(Parametri_v3!$C$24,Ipotesi!E14*12),Motore_Operativo!C168&lt;EDATE(Parametri_v3!$C$24,Parametri_v3!$C$25+Ipotesi!E14*12)),MAX(0,Motore_Operativo!CE168)*Piano_SS!$D$8,0))</f>
        <v>50000</v>
      </c>
      <c r="BY168" s="15" t="n">
        <f aca="false">MIN(Piano_SS!$C$9,(BY167)+IF(AND(Motore_Operativo!C168&gt;=EDATE(Parametri_v3!$C$24,Ipotesi!E14*12),Motore_Operativo!C168&lt;EDATE(Parametri_v3!$C$24,Parametri_v3!$C$25+Ipotesi!E14*12)),MAX(0,((IF(44-(INT((Ipotesi!$C$91)/30))&lt;1,0,INDEX(Motore_Operativo!$BQ$125:$BQ$184,MAX(1,44-(INT((Ipotesi!$C$91)/30)))))*(1-(MOD((Ipotesi!$C$91),30)/30))+IF(44-(INT((Ipotesi!$C$91)/30))-1&lt;1,0,INDEX(Motore_Operativo!$BQ$125:$BQ$184,MAX(1,44-(INT((Ipotesi!$C$91)/30))-1)))*(MOD((Ipotesi!$C$91),30)/30))+(IF(44-(INT((Ipotesi!$C$91)/30))&lt;1,0,INDEX(Motore_Operativo!$BR$125:$BR$184,MAX(1,44-(INT((Ipotesi!$C$91)/30)))))*(1-(MOD((Ipotesi!$C$91),30)/30))+IF(44-(INT((Ipotesi!$C$91)/30))-1&lt;1,0,INDEX(Motore_Operativo!$BR$125:$BR$184,MAX(1,44-(INT((Ipotesi!$C$91)/30))-1)))*(MOD((Ipotesi!$C$91),30)/30))))*Piano_SS!$D$9,0))</f>
        <v>40000</v>
      </c>
      <c r="BZ168" s="15" t="n">
        <f aca="false">MIN(Piano_SS!$C$10,(BZ167)+IF(AND(Motore_Operativo!C168&gt;=EDATE(Parametri_v3!$C$24,Ipotesi!E14*12),Motore_Operativo!C168&lt;EDATE(Parametri_v3!$C$24,Parametri_v3!$C$25+Ipotesi!E14*12)),MAX(0,(IF(44-(INT((Ipotesi!$C$91)/30))&lt;1,0,INDEX(Motore_Operativo!$BO$125:$BO$184,MAX(1,44-(INT((Ipotesi!$C$91)/30)))))*(1-(MOD((Ipotesi!$C$91),30)/30))+IF(44-(INT((Ipotesi!$C$91)/30))-1&lt;1,0,INDEX(Motore_Operativo!$BO$125:$BO$184,MAX(1,44-(INT((Ipotesi!$C$91)/30))-1)))*(MOD((Ipotesi!$C$91),30)/30)))*Piano_SS!$D$10,0))</f>
        <v>30000</v>
      </c>
      <c r="CA168" s="15" t="n">
        <f aca="false">SUM(BV168:BZ168)</f>
        <v>464070.0796097</v>
      </c>
      <c r="CB168" s="15" t="n">
        <f aca="false">BV168*(1-Piano_SS!$E$6)+BW168*(1-Piano_SS!$E$7)+BX168*(1-Piano_SS!$E$8)+BY168*(1-Piano_SS!$E$9)+BZ168*(1-Piano_SS!$E$10)</f>
        <v>434070.0796097</v>
      </c>
      <c r="CC168" s="15" t="n">
        <f aca="false">(CC167)+BA168</f>
        <v>371256.06368776</v>
      </c>
      <c r="CD168" s="15" t="n">
        <f aca="false">IF(CA168=0,0,CC168*CB168/CA168*Ipotesi!$C$103*Parametri_v3!$C$64)</f>
        <v>104176.819106328</v>
      </c>
      <c r="CE168" s="18" t="n">
        <f aca="false">IF(BA168&gt;0,Motore_Operativo!C168,(CE167))</f>
        <v>47270</v>
      </c>
      <c r="CF168" s="18" t="n">
        <f aca="false">IF(AND(CC168&gt;0,OR(CC168&gt;=CG168-0.01,Motore_Operativo!C168&gt;=EDATE(MAX(Finanziamenti!$D$15:$D$17),Ipotesi!E14*12))),CE168,0)</f>
        <v>47270</v>
      </c>
      <c r="CG168" s="15" t="n">
        <f aca="false">IF(AND(3&lt;&gt;6,3&lt;&gt;9,Finanziamenti!$F$11=1,OR(Parametri_v3!$C$6=0,Finanziamenti!$E$11=1)),MIN(Finanziamenti!$C$11,Piano_SS!$C$12*Ipotesi!$C$102),0)</f>
        <v>400000</v>
      </c>
      <c r="CH168" s="15" t="n">
        <f aca="false">IF(AND(AND(3&lt;&gt;8,3&lt;&gt;9,Finanziamenti!$F$10=1,OR(Parametri_v3!$C$6=0,Finanziamenti!$E$10=1)),Motore_Operativo!C168&gt;=Finanziamenti!$D$10,Motore_Operativo!C168&lt;Parametri_v3!$C$63),Finanziamenti!$C$10,0)</f>
        <v>150000</v>
      </c>
    </row>
    <row r="169" customFormat="false" ht="18" hidden="false" customHeight="true" outlineLevel="0" collapsed="false">
      <c r="A169" s="68" t="n">
        <f aca="false">3</f>
        <v>3</v>
      </c>
      <c r="B169" s="68" t="n">
        <f aca="false">45</f>
        <v>45</v>
      </c>
      <c r="C169" s="18" t="n">
        <f aca="false">Motore_Operativo!C169</f>
        <v>47727</v>
      </c>
      <c r="D169" s="68" t="n">
        <f aca="false">Motore_Operativo!D169</f>
        <v>2030</v>
      </c>
      <c r="E169" s="68" t="n">
        <f aca="false">Motore_Operativo!E169</f>
        <v>9</v>
      </c>
      <c r="F169" s="15" t="n">
        <f aca="false">Motore_Operativo!AQ169+Motore_Operativo!BF169</f>
        <v>154353.151351243</v>
      </c>
      <c r="G169" s="15" t="n">
        <f aca="false">Motore_Operativo!BH169</f>
        <v>9024.16666666667</v>
      </c>
      <c r="H169" s="15" t="n">
        <f aca="false">Motore_Operativo!BI169</f>
        <v>163377.31801791</v>
      </c>
      <c r="I169" s="15" t="n">
        <f aca="false">Motore_Operativo!CA169</f>
        <v>160789.316814174</v>
      </c>
      <c r="J169" s="15" t="n">
        <f aca="false">Motore_Operativo!CC169</f>
        <v>2588.00120373597</v>
      </c>
      <c r="K169" s="15" t="n">
        <f aca="false">Motore_Operativo!CE169</f>
        <v>3333.33333333333</v>
      </c>
      <c r="L169" s="15" t="n">
        <f aca="false">SUM(INDEX($K$125:$K$184,MAX(1,45-Parametri_v3!$C$59+1)):K169)/Parametri_v3!$C$59</f>
        <v>2500</v>
      </c>
      <c r="M169" s="15" t="n">
        <f aca="false">J169-L169</f>
        <v>88.0012037359702</v>
      </c>
      <c r="N169" s="15" t="n">
        <f aca="false">CD169-(CD168)</f>
        <v>0</v>
      </c>
      <c r="O169" s="15" t="n">
        <f aca="false">(BG168)*Ipotesi!$C$110/12+CH169*Parametri_v3!$C$39/12</f>
        <v>0</v>
      </c>
      <c r="P169" s="15" t="n">
        <f aca="false">M169+N169-O169</f>
        <v>88.0012037359702</v>
      </c>
      <c r="Q169" s="15" t="n">
        <f aca="false">SUM(P161:P169)+Parametri_v3!$C$54*9/12</f>
        <v>-109858.736847247</v>
      </c>
      <c r="R169" s="15" t="n">
        <f aca="false">Z160</f>
        <v>814321.883587488</v>
      </c>
      <c r="S169" s="15" t="n">
        <f aca="false">AA160</f>
        <v>0</v>
      </c>
      <c r="T169" s="15" t="n">
        <f aca="false">MIN(R169,MAX(0,Q169))</f>
        <v>0</v>
      </c>
      <c r="U169" s="15" t="n">
        <f aca="false">MIN(S169,MAX(0,Q169-T169)*Parametri_v3!$C$42)</f>
        <v>0</v>
      </c>
      <c r="V169" s="15" t="n">
        <f aca="false">MAX(0,Q169-T169-U169)*Ipotesi!$C$92</f>
        <v>0</v>
      </c>
      <c r="W169" s="15" t="n">
        <f aca="false">MAX(0,SUM(M161:M169)+Parametri_v3!$C$55*9/12)*Ipotesi!$C$93</f>
        <v>0</v>
      </c>
      <c r="X169" s="15" t="n">
        <f aca="false">V169+W169-(V168+W168)</f>
        <v>0</v>
      </c>
      <c r="Y169" s="15" t="n">
        <f aca="false">P169-X169</f>
        <v>88.0012037359702</v>
      </c>
      <c r="Z169" s="15" t="n">
        <f aca="false">R169-T169+IF(AND(Parametri_v3!$C$40=1,D169-YEAR(Parametri_v3!$C$50)&lt;Parametri_v3!$C$41),MAX(0,-Q169),0)</f>
        <v>814321.883587488</v>
      </c>
      <c r="AA169" s="15" t="n">
        <f aca="false">S169-U169+IF(AND(Parametri_v3!$C$40=1,D169-YEAR(Parametri_v3!$C$50)&lt;Parametri_v3!$C$41),0,MAX(0,-Q169))</f>
        <v>109858.736847247</v>
      </c>
      <c r="AB169" s="15" t="n">
        <f aca="false">F169*(1+Parametri_v3!$C$26)</f>
        <v>188310.844648517</v>
      </c>
      <c r="AC169" s="15" t="n">
        <f aca="false">(IF(45-(INT((Motore_Operativo!L169)/30))&lt;1,0,INDEX(Motore_Startup!$AB$125:$AB$184,MAX(1,45-(INT((Motore_Operativo!L169)/30)))))*(1-(MOD((Motore_Operativo!L169),30)/30))+IF(45-(INT((Motore_Operativo!L169)/30))-1&lt;1,0,INDEX(Motore_Startup!$AB$125:$AB$184,MAX(1,45-(INT((Motore_Operativo!L169)/30))-1)))*(MOD((Motore_Operativo!L169),30)/30))</f>
        <v>174658.300214999</v>
      </c>
      <c r="AD169" s="15" t="n">
        <f aca="false">(AD168)+AB169-AC169</f>
        <v>551359.90176984</v>
      </c>
      <c r="AE169" s="15" t="n">
        <f aca="false">Motore_Operativo!BH169*(1+Parametri_v3!$C$26)</f>
        <v>11009.4833333333</v>
      </c>
      <c r="AF169" s="15" t="n">
        <f aca="false">(IF(45-(INT((Parametri_v3!$C$29)/30))&lt;1,0,INDEX(Motore_Operativo!$BH$125:$BH$184,MAX(1,45-(INT((Parametri_v3!$C$29)/30)))))*(1-(MOD((Parametri_v3!$C$29),30)/30))+IF(45-(INT((Parametri_v3!$C$29)/30))-1&lt;1,0,INDEX(Motore_Operativo!$BH$125:$BH$184,MAX(1,45-(INT((Parametri_v3!$C$29)/30))-1)))*(MOD((Parametri_v3!$C$29),30)/30))*(1+Parametri_v3!$C$26)</f>
        <v>11009.4833333333</v>
      </c>
      <c r="AG169" s="15" t="n">
        <f aca="false">(AG168)+AE169-AF169</f>
        <v>11009.4833333333</v>
      </c>
      <c r="AH169" s="15" t="n">
        <f aca="false">(Motore_Operativo!CJ169)*(1+Parametri_v3!$C$27*Parametri_v3!$C$26)</f>
        <v>76343.368399883</v>
      </c>
      <c r="AI169" s="15" t="n">
        <f aca="false">(IF(45-(INT((Ipotesi!$C$91)/30))&lt;1,0,INDEX(Motore_Startup!$AH$125:$AH$184,MAX(1,45-(INT((Ipotesi!$C$91)/30)))))*(1-(MOD((Ipotesi!$C$91),30)/30))+IF(45-(INT((Ipotesi!$C$91)/30))-1&lt;1,0,INDEX(Motore_Startup!$AH$125:$AH$184,MAX(1,45-(INT((Ipotesi!$C$91)/30))-1)))*(MOD((Ipotesi!$C$91),30)/30))</f>
        <v>75109.0485118331</v>
      </c>
      <c r="AJ169" s="15" t="n">
        <f aca="false">(AJ168)+AH169-AI169</f>
        <v>152072.286183751</v>
      </c>
      <c r="AK169" s="15" t="n">
        <f aca="false">(F169+ Motore_Operativo!BH169-(Motore_Operativo!CJ169)*Parametri_v3!$C$27-Motore_Operativo!CE169)*Parametri_v3!$C$26</f>
        <v>23182.5410865647</v>
      </c>
      <c r="AL169" s="15" t="n">
        <f aca="false">MAX(0,(AM168))</f>
        <v>22465.8915595691</v>
      </c>
      <c r="AM169" s="15" t="n">
        <f aca="false">(AM168)+AK169-AL169</f>
        <v>23182.5410865647</v>
      </c>
      <c r="AN169" s="15" t="n">
        <f aca="false">SUM(X149:X160)</f>
        <v>0</v>
      </c>
      <c r="AO169" s="15" t="n">
        <f aca="false">SUM(AP149:AP160)</f>
        <v>0</v>
      </c>
      <c r="AP169" s="15" t="n">
        <f aca="false">MAX(0,AN169)*IF(9=Parametri_v3!$C$43,Parametri_v3!$C$45,IF(9=Parametri_v3!$C$44,1-Parametri_v3!$C$45,0))</f>
        <v>0</v>
      </c>
      <c r="AQ169" s="15" t="n">
        <f aca="false">MAX(0,AP169+IF(9=Parametri_v3!$C$43,MAX(0,AN169-AO169),0)-MAX(0,-(AR168)))</f>
        <v>0</v>
      </c>
      <c r="AR169" s="15" t="n">
        <f aca="false">(AR168)+X169-AQ169</f>
        <v>0</v>
      </c>
      <c r="AS169" s="15" t="n">
        <f aca="false">Motore_Operativo!AB169-AT169+AU169</f>
        <v>91649.4297604167</v>
      </c>
      <c r="AT169" s="15" t="n">
        <f aca="false">Motore_Operativo!CH169</f>
        <v>4823.65419791667</v>
      </c>
      <c r="AU169" s="15" t="n">
        <f aca="false">MIN(MAX(0,(AV168)+AT169),Parametri_v3!$C$60/12)</f>
        <v>0</v>
      </c>
      <c r="AV169" s="15" t="n">
        <f aca="false">(AV168)+AT169-AU169</f>
        <v>122584.58778125</v>
      </c>
      <c r="AW169" s="15" t="n">
        <f aca="false">IF(AND(Motore_Operativo!C169=Finanziamenti!$D$6,Finanziamenti!$F$6=1),Finanziamenti!$C$6,0)</f>
        <v>0</v>
      </c>
      <c r="AX169" s="15" t="n">
        <f aca="false">IF(AND(3&lt;&gt;7,3&lt;&gt;9,Finanziamenti!$F$8=1,OR(Parametri_v3!$C$6=0,Finanziamenti!$E$8=1),Motore_Operativo!C169=EDATE(Finanziamenti!$D$8,Ipotesi!E15*12)),Finanziamenti!$C$8*1,0)+IF(AND(3&lt;&gt;7,3&lt;&gt;9,Finanziamenti!$F$9=1,OR(Parametri_v3!$C$6=0,Finanziamenti!$E$9=1),Motore_Operativo!C169=EDATE(Finanziamenti!$D$9,Ipotesi!E15*12)),Finanziamenti!$C$9*Ipotesi!E16,0)</f>
        <v>0</v>
      </c>
      <c r="AY169" s="15" t="n">
        <f aca="false">0</f>
        <v>0</v>
      </c>
      <c r="AZ169" s="15" t="n">
        <f aca="false">Motore_Advisory!AY169*(1-Ipotesi!$C$95)*Ipotesi!$C$96</f>
        <v>0</v>
      </c>
      <c r="BA169" s="15" t="n">
        <f aca="false">MAX(0,MIN(CG169*MIN(1,IF(Motore_Operativo!C169&gt;=EDATE(Finanziamenti!$D$15,Ipotesi!E14*12),Finanziamenti!$C$15,0)+IF(Motore_Operativo!C169&gt;=EDATE(Finanziamenti!$D$16,Ipotesi!E14*12),Finanziamenti!$C$16,0)+IF(Motore_Operativo!C169&gt;=EDATE(Finanziamenti!$D$17,Ipotesi!E14*12),Finanziamenti!$C$17,0)),CA169*Ipotesi!$C$102)-(CC168))</f>
        <v>0</v>
      </c>
      <c r="BB169" s="15" t="n">
        <f aca="false">IF(AND(CF169&gt;0,Motore_Operativo!C169&gt;=IF(CF169=0,0,EDATE(CF169,Parametri_v3!$C$37)),MOD(((D169-YEAR(IF(CF169=0,0,EDATE(CF169,Parametri_v3!$C$37))))*12+E169-MONTH(IF(CF169=0,0,EDATE(CF169,Parametri_v3!$C$37)))),Parametri_v3!$C$38)=0),MIN(MAX(0,(BC168)+BA169-N169),(CC169-CD169)/(Ipotesi!$C$108*12/Parametri_v3!$C$38)),0)</f>
        <v>0</v>
      </c>
      <c r="BC169" s="15" t="n">
        <f aca="false">(BC168)+BA169-N169-BB169</f>
        <v>253725.282352361</v>
      </c>
      <c r="BD169" s="15" t="n">
        <f aca="false">(BH168)+AC169+AF169-AI169-AS169-K169*(1+Parametri_v3!$C$26)-AL169-AQ169-O169+AW169+AX169+AZ169+BA169-BB169</f>
        <v>381763.374827128</v>
      </c>
      <c r="BE169" s="15" t="n">
        <f aca="false">MAX(0,MIN(MAX(0,CH169-(BG168)),Parametri_v3!$C$30-BD169))</f>
        <v>0</v>
      </c>
      <c r="BF169" s="15" t="n">
        <f aca="false">IF(Motore_Operativo!C169&gt;=Parametri_v3!$C$63,(BG168),MIN((BG168),MAX(0,BD169-Parametri_v3!$C$30)))</f>
        <v>0</v>
      </c>
      <c r="BG169" s="15" t="n">
        <f aca="false">(BG168)+BE169-BF169</f>
        <v>0</v>
      </c>
      <c r="BH169" s="15" t="n">
        <f aca="false">BD169+BE169-BF169-AY169</f>
        <v>381763.374827128</v>
      </c>
      <c r="BI169" s="15" t="n">
        <f aca="false">MAX(0,Parametri_v3!$C$30-BH169)</f>
        <v>0</v>
      </c>
      <c r="BJ169" s="15" t="n">
        <f aca="false">(BJ168)+K169</f>
        <v>105000</v>
      </c>
      <c r="BK169" s="15" t="n">
        <f aca="false">(BK168)+L169</f>
        <v>56041.6666666667</v>
      </c>
      <c r="BL169" s="15" t="n">
        <f aca="false">BJ169-BK169</f>
        <v>48958.3333333333</v>
      </c>
      <c r="BM169" s="15" t="n">
        <f aca="false">(BM168)+Y169</f>
        <v>-924180.620434735</v>
      </c>
      <c r="BN169" s="15" t="n">
        <f aca="false">(BN168)+AW169+AX169+AZ169</f>
        <v>1365707.01629444</v>
      </c>
      <c r="BO169" s="15" t="n">
        <f aca="false">(BO168)+AY169</f>
        <v>0</v>
      </c>
      <c r="BP169" s="15" t="n">
        <f aca="false">0</f>
        <v>0</v>
      </c>
      <c r="BQ169" s="15" t="n">
        <f aca="false">BN169+BM169-BO169</f>
        <v>441526.395859709</v>
      </c>
      <c r="BR169" s="15" t="n">
        <f aca="false">BH169+AD169+BL169+MAX(0,-AM169)+MAX(0,-AR169)+AG169</f>
        <v>993091.093263634</v>
      </c>
      <c r="BS169" s="15" t="n">
        <f aca="false">AJ169+AV169+MAX(0,AM169)+MAX(0,AR169)+BC169+BG169+BQ169</f>
        <v>993091.093263635</v>
      </c>
      <c r="BT169" s="15" t="n">
        <f aca="false">BR169-BS169</f>
        <v>0</v>
      </c>
      <c r="BU169" s="15" t="n">
        <f aca="false">BH169-(BD169+BE169-BF169-AY169)</f>
        <v>0</v>
      </c>
      <c r="BV169" s="15" t="n">
        <f aca="false">MIN(Piano_SS!$C$6,(BV168)+IF(AND(Motore_Operativo!C169&gt;=EDATE(Parametri_v3!$C$24,Ipotesi!E14*12),Motore_Operativo!C169&lt;EDATE(Parametri_v3!$C$24,Parametri_v3!$C$25+Ipotesi!E14*12)),MAX(0,(Motore_Operativo!Y169+Motore_Operativo!X169*Parametri_v3!$C$14)*(1-Parametri_v3!$C$32))*Piano_SS!$D$6,0))</f>
        <v>300000</v>
      </c>
      <c r="BW169" s="15" t="n">
        <f aca="false">MIN(Piano_SS!$C$7,(BW168)+IF(AND(Motore_Operativo!C169&gt;=EDATE(Parametri_v3!$C$24,Ipotesi!E14*12),Motore_Operativo!C169&lt;EDATE(Parametri_v3!$C$24,Parametri_v3!$C$25+Ipotesi!E14*12)),MAX(0,(IF(45-(INT((Ipotesi!$C$91)/30))&lt;1,0,INDEX(Motore_Operativo!$BN$125:$BN$184,MAX(1,45-(INT((Ipotesi!$C$91)/30)))))*(1-(MOD((Ipotesi!$C$91),30)/30))+IF(45-(INT((Ipotesi!$C$91)/30))-1&lt;1,0,INDEX(Motore_Operativo!$BN$125:$BN$184,MAX(1,45-(INT((Ipotesi!$C$91)/30))-1)))*(MOD((Ipotesi!$C$91),30)/30)))*Piano_SS!$D$7,0))</f>
        <v>44070.0796097004</v>
      </c>
      <c r="BX169" s="15" t="n">
        <f aca="false">MIN(Piano_SS!$C$8,(BX168)+IF(AND(Motore_Operativo!C169&gt;=EDATE(Parametri_v3!$C$24,Ipotesi!E14*12),Motore_Operativo!C169&lt;EDATE(Parametri_v3!$C$24,Parametri_v3!$C$25+Ipotesi!E14*12)),MAX(0,Motore_Operativo!CE169)*Piano_SS!$D$8,0))</f>
        <v>50000</v>
      </c>
      <c r="BY169" s="15" t="n">
        <f aca="false">MIN(Piano_SS!$C$9,(BY168)+IF(AND(Motore_Operativo!C169&gt;=EDATE(Parametri_v3!$C$24,Ipotesi!E14*12),Motore_Operativo!C169&lt;EDATE(Parametri_v3!$C$24,Parametri_v3!$C$25+Ipotesi!E14*12)),MAX(0,((IF(45-(INT((Ipotesi!$C$91)/30))&lt;1,0,INDEX(Motore_Operativo!$BQ$125:$BQ$184,MAX(1,45-(INT((Ipotesi!$C$91)/30)))))*(1-(MOD((Ipotesi!$C$91),30)/30))+IF(45-(INT((Ipotesi!$C$91)/30))-1&lt;1,0,INDEX(Motore_Operativo!$BQ$125:$BQ$184,MAX(1,45-(INT((Ipotesi!$C$91)/30))-1)))*(MOD((Ipotesi!$C$91),30)/30))+(IF(45-(INT((Ipotesi!$C$91)/30))&lt;1,0,INDEX(Motore_Operativo!$BR$125:$BR$184,MAX(1,45-(INT((Ipotesi!$C$91)/30)))))*(1-(MOD((Ipotesi!$C$91),30)/30))+IF(45-(INT((Ipotesi!$C$91)/30))-1&lt;1,0,INDEX(Motore_Operativo!$BR$125:$BR$184,MAX(1,45-(INT((Ipotesi!$C$91)/30))-1)))*(MOD((Ipotesi!$C$91),30)/30))))*Piano_SS!$D$9,0))</f>
        <v>40000</v>
      </c>
      <c r="BZ169" s="15" t="n">
        <f aca="false">MIN(Piano_SS!$C$10,(BZ168)+IF(AND(Motore_Operativo!C169&gt;=EDATE(Parametri_v3!$C$24,Ipotesi!E14*12),Motore_Operativo!C169&lt;EDATE(Parametri_v3!$C$24,Parametri_v3!$C$25+Ipotesi!E14*12)),MAX(0,(IF(45-(INT((Ipotesi!$C$91)/30))&lt;1,0,INDEX(Motore_Operativo!$BO$125:$BO$184,MAX(1,45-(INT((Ipotesi!$C$91)/30)))))*(1-(MOD((Ipotesi!$C$91),30)/30))+IF(45-(INT((Ipotesi!$C$91)/30))-1&lt;1,0,INDEX(Motore_Operativo!$BO$125:$BO$184,MAX(1,45-(INT((Ipotesi!$C$91)/30))-1)))*(MOD((Ipotesi!$C$91),30)/30)))*Piano_SS!$D$10,0))</f>
        <v>30000</v>
      </c>
      <c r="CA169" s="15" t="n">
        <f aca="false">SUM(BV169:BZ169)</f>
        <v>464070.0796097</v>
      </c>
      <c r="CB169" s="15" t="n">
        <f aca="false">BV169*(1-Piano_SS!$E$6)+BW169*(1-Piano_SS!$E$7)+BX169*(1-Piano_SS!$E$8)+BY169*(1-Piano_SS!$E$9)+BZ169*(1-Piano_SS!$E$10)</f>
        <v>434070.0796097</v>
      </c>
      <c r="CC169" s="15" t="n">
        <f aca="false">(CC168)+BA169</f>
        <v>371256.06368776</v>
      </c>
      <c r="CD169" s="15" t="n">
        <f aca="false">IF(CA169=0,0,CC169*CB169/CA169*Ipotesi!$C$103*Parametri_v3!$C$64)</f>
        <v>104176.819106328</v>
      </c>
      <c r="CE169" s="18" t="n">
        <f aca="false">IF(BA169&gt;0,Motore_Operativo!C169,(CE168))</f>
        <v>47270</v>
      </c>
      <c r="CF169" s="18" t="n">
        <f aca="false">IF(AND(CC169&gt;0,OR(CC169&gt;=CG169-0.01,Motore_Operativo!C169&gt;=EDATE(MAX(Finanziamenti!$D$15:$D$17),Ipotesi!E14*12))),CE169,0)</f>
        <v>47270</v>
      </c>
      <c r="CG169" s="15" t="n">
        <f aca="false">IF(AND(3&lt;&gt;6,3&lt;&gt;9,Finanziamenti!$F$11=1,OR(Parametri_v3!$C$6=0,Finanziamenti!$E$11=1)),MIN(Finanziamenti!$C$11,Piano_SS!$C$12*Ipotesi!$C$102),0)</f>
        <v>400000</v>
      </c>
      <c r="CH169" s="15" t="n">
        <f aca="false">IF(AND(AND(3&lt;&gt;8,3&lt;&gt;9,Finanziamenti!$F$10=1,OR(Parametri_v3!$C$6=0,Finanziamenti!$E$10=1)),Motore_Operativo!C169&gt;=Finanziamenti!$D$10,Motore_Operativo!C169&lt;Parametri_v3!$C$63),Finanziamenti!$C$10,0)</f>
        <v>150000</v>
      </c>
    </row>
    <row r="170" customFormat="false" ht="18" hidden="false" customHeight="true" outlineLevel="0" collapsed="false">
      <c r="A170" s="68" t="n">
        <f aca="false">3</f>
        <v>3</v>
      </c>
      <c r="B170" s="68" t="n">
        <f aca="false">46</f>
        <v>46</v>
      </c>
      <c r="C170" s="18" t="n">
        <f aca="false">Motore_Operativo!C170</f>
        <v>47757</v>
      </c>
      <c r="D170" s="68" t="n">
        <f aca="false">Motore_Operativo!D170</f>
        <v>2030</v>
      </c>
      <c r="E170" s="68" t="n">
        <f aca="false">Motore_Operativo!E170</f>
        <v>10</v>
      </c>
      <c r="F170" s="15" t="n">
        <f aca="false">Motore_Operativo!AQ170+Motore_Operativo!BF170</f>
        <v>158018.329638519</v>
      </c>
      <c r="G170" s="15" t="n">
        <f aca="false">Motore_Operativo!BH170</f>
        <v>9024.16666666667</v>
      </c>
      <c r="H170" s="15" t="n">
        <f aca="false">Motore_Operativo!BI170</f>
        <v>167042.496305185</v>
      </c>
      <c r="I170" s="15" t="n">
        <f aca="false">Motore_Operativo!CA170</f>
        <v>161302.441774393</v>
      </c>
      <c r="J170" s="15" t="n">
        <f aca="false">Motore_Operativo!CC170</f>
        <v>5740.05453079267</v>
      </c>
      <c r="K170" s="15" t="n">
        <f aca="false">Motore_Operativo!CE170</f>
        <v>3333.33333333333</v>
      </c>
      <c r="L170" s="15" t="n">
        <f aca="false">SUM(INDEX($K$125:$K$184,MAX(1,46-Parametri_v3!$C$59+1)):K170)/Parametri_v3!$C$59</f>
        <v>2546.2962962963</v>
      </c>
      <c r="M170" s="15" t="n">
        <f aca="false">J170-L170</f>
        <v>3193.75823449637</v>
      </c>
      <c r="N170" s="15" t="n">
        <f aca="false">CD170-(CD169)</f>
        <v>0</v>
      </c>
      <c r="O170" s="15" t="n">
        <f aca="false">(BG169)*Ipotesi!$C$110/12+CH170*Parametri_v3!$C$39/12</f>
        <v>0</v>
      </c>
      <c r="P170" s="15" t="n">
        <f aca="false">M170+N170-O170</f>
        <v>3193.75823449637</v>
      </c>
      <c r="Q170" s="15" t="n">
        <f aca="false">SUM(P161:P170)+Parametri_v3!$C$54*10/12</f>
        <v>-106664.978612751</v>
      </c>
      <c r="R170" s="15" t="n">
        <f aca="false">Z160</f>
        <v>814321.883587488</v>
      </c>
      <c r="S170" s="15" t="n">
        <f aca="false">AA160</f>
        <v>0</v>
      </c>
      <c r="T170" s="15" t="n">
        <f aca="false">MIN(R170,MAX(0,Q170))</f>
        <v>0</v>
      </c>
      <c r="U170" s="15" t="n">
        <f aca="false">MIN(S170,MAX(0,Q170-T170)*Parametri_v3!$C$42)</f>
        <v>0</v>
      </c>
      <c r="V170" s="15" t="n">
        <f aca="false">MAX(0,Q170-T170-U170)*Ipotesi!$C$92</f>
        <v>0</v>
      </c>
      <c r="W170" s="15" t="n">
        <f aca="false">MAX(0,SUM(M161:M170)+Parametri_v3!$C$55*10/12)*Ipotesi!$C$93</f>
        <v>0</v>
      </c>
      <c r="X170" s="15" t="n">
        <f aca="false">V170+W170-(V169+W169)</f>
        <v>0</v>
      </c>
      <c r="Y170" s="15" t="n">
        <f aca="false">P170-X170</f>
        <v>3193.75823449637</v>
      </c>
      <c r="Z170" s="15" t="n">
        <f aca="false">R170-T170+IF(AND(Parametri_v3!$C$40=1,D170-YEAR(Parametri_v3!$C$50)&lt;Parametri_v3!$C$41),MAX(0,-Q170),0)</f>
        <v>814321.883587488</v>
      </c>
      <c r="AA170" s="15" t="n">
        <f aca="false">S170-U170+IF(AND(Parametri_v3!$C$40=1,D170-YEAR(Parametri_v3!$C$50)&lt;Parametri_v3!$C$41),0,MAX(0,-Q170))</f>
        <v>106664.978612751</v>
      </c>
      <c r="AB170" s="15" t="n">
        <f aca="false">F170*(1+Parametri_v3!$C$26)</f>
        <v>192782.362158993</v>
      </c>
      <c r="AC170" s="15" t="n">
        <f aca="false">(IF(46-(INT((Motore_Operativo!L170)/30))&lt;1,0,INDEX(Motore_Startup!$AB$125:$AB$184,MAX(1,46-(INT((Motore_Operativo!L170)/30)))))*(1-(MOD((Motore_Operativo!L170),30)/30))+IF(46-(INT((Motore_Operativo!L170)/30))-1&lt;1,0,INDEX(Motore_Startup!$AB$125:$AB$184,MAX(1,46-(INT((Motore_Operativo!L170)/30))-1)))*(MOD((Motore_Operativo!L170),30)/30))</f>
        <v>179249.162957454</v>
      </c>
      <c r="AD170" s="15" t="n">
        <f aca="false">(AD169)+AB170-AC170</f>
        <v>564893.100971378</v>
      </c>
      <c r="AE170" s="15" t="n">
        <f aca="false">Motore_Operativo!BH170*(1+Parametri_v3!$C$26)</f>
        <v>11009.4833333333</v>
      </c>
      <c r="AF170" s="15" t="n">
        <f aca="false">(IF(46-(INT((Parametri_v3!$C$29)/30))&lt;1,0,INDEX(Motore_Operativo!$BH$125:$BH$184,MAX(1,46-(INT((Parametri_v3!$C$29)/30)))))*(1-(MOD((Parametri_v3!$C$29),30)/30))+IF(46-(INT((Parametri_v3!$C$29)/30))-1&lt;1,0,INDEX(Motore_Operativo!$BH$125:$BH$184,MAX(1,46-(INT((Parametri_v3!$C$29)/30))-1)))*(MOD((Parametri_v3!$C$29),30)/30))*(1+Parametri_v3!$C$26)</f>
        <v>11009.4833333333</v>
      </c>
      <c r="AG170" s="15" t="n">
        <f aca="false">(AG169)+AE170-AF170</f>
        <v>11009.4833333333</v>
      </c>
      <c r="AH170" s="15" t="n">
        <f aca="false">(Motore_Operativo!CJ170)*(1+Parametri_v3!$C$27*Parametri_v3!$C$26)</f>
        <v>76952.4477276624</v>
      </c>
      <c r="AI170" s="15" t="n">
        <f aca="false">(IF(46-(INT((Ipotesi!$C$91)/30))&lt;1,0,INDEX(Motore_Startup!$AH$125:$AH$184,MAX(1,46-(INT((Ipotesi!$C$91)/30)))))*(1-(MOD((Ipotesi!$C$91),30)/30))+IF(46-(INT((Ipotesi!$C$91)/30))-1&lt;1,0,INDEX(Motore_Startup!$AH$125:$AH$184,MAX(1,46-(INT((Ipotesi!$C$91)/30))-1)))*(MOD((Ipotesi!$C$91),30)/30))</f>
        <v>75728.9177838675</v>
      </c>
      <c r="AJ170" s="15" t="n">
        <f aca="false">(AJ169)+AH170-AI170</f>
        <v>153295.816127545</v>
      </c>
      <c r="AK170" s="15" t="n">
        <f aca="false">(F170+ Motore_Operativo!BH170-(Motore_Operativo!CJ170)*Parametri_v3!$C$27-Motore_Operativo!CE170)*Parametri_v3!$C$26</f>
        <v>23892.9259422043</v>
      </c>
      <c r="AL170" s="15" t="n">
        <f aca="false">MAX(0,(AM169))</f>
        <v>23182.5410865647</v>
      </c>
      <c r="AM170" s="15" t="n">
        <f aca="false">(AM169)+AK170-AL170</f>
        <v>23892.9259422043</v>
      </c>
      <c r="AN170" s="15" t="n">
        <f aca="false">SUM(X149:X160)</f>
        <v>0</v>
      </c>
      <c r="AO170" s="15" t="n">
        <f aca="false">SUM(AP149:AP160)</f>
        <v>0</v>
      </c>
      <c r="AP170" s="15" t="n">
        <f aca="false">MAX(0,AN170)*IF(10=Parametri_v3!$C$43,Parametri_v3!$C$45,IF(10=Parametri_v3!$C$44,1-Parametri_v3!$C$45,0))</f>
        <v>0</v>
      </c>
      <c r="AQ170" s="15" t="n">
        <f aca="false">MAX(0,AP170+IF(10=Parametri_v3!$C$43,MAX(0,AN170-AO170),0)-MAX(0,-(AR169)))</f>
        <v>0</v>
      </c>
      <c r="AR170" s="15" t="n">
        <f aca="false">(AR169)+X170-AQ170</f>
        <v>0</v>
      </c>
      <c r="AS170" s="15" t="n">
        <f aca="false">Motore_Operativo!AB170-AT170+AU170</f>
        <v>91649.4297604167</v>
      </c>
      <c r="AT170" s="15" t="n">
        <f aca="false">Motore_Operativo!CH170</f>
        <v>4823.65419791667</v>
      </c>
      <c r="AU170" s="15" t="n">
        <f aca="false">MIN(MAX(0,(AV169)+AT170),Parametri_v3!$C$60/12)</f>
        <v>0</v>
      </c>
      <c r="AV170" s="15" t="n">
        <f aca="false">(AV169)+AT170-AU170</f>
        <v>127408.241979167</v>
      </c>
      <c r="AW170" s="15" t="n">
        <f aca="false">IF(AND(Motore_Operativo!C170=Finanziamenti!$D$6,Finanziamenti!$F$6=1),Finanziamenti!$C$6,0)</f>
        <v>0</v>
      </c>
      <c r="AX170" s="15" t="n">
        <f aca="false">IF(AND(3&lt;&gt;7,3&lt;&gt;9,Finanziamenti!$F$8=1,OR(Parametri_v3!$C$6=0,Finanziamenti!$E$8=1),Motore_Operativo!C170=EDATE(Finanziamenti!$D$8,Ipotesi!E15*12)),Finanziamenti!$C$8*1,0)+IF(AND(3&lt;&gt;7,3&lt;&gt;9,Finanziamenti!$F$9=1,OR(Parametri_v3!$C$6=0,Finanziamenti!$E$9=1),Motore_Operativo!C170=EDATE(Finanziamenti!$D$9,Ipotesi!E15*12)),Finanziamenti!$C$9*Ipotesi!E16,0)</f>
        <v>0</v>
      </c>
      <c r="AY170" s="15" t="n">
        <f aca="false">0</f>
        <v>0</v>
      </c>
      <c r="AZ170" s="15" t="n">
        <f aca="false">Motore_Advisory!AY170*(1-Ipotesi!$C$95)*Ipotesi!$C$96</f>
        <v>0</v>
      </c>
      <c r="BA170" s="15" t="n">
        <f aca="false">MAX(0,MIN(CG170*MIN(1,IF(Motore_Operativo!C170&gt;=EDATE(Finanziamenti!$D$15,Ipotesi!E14*12),Finanziamenti!$C$15,0)+IF(Motore_Operativo!C170&gt;=EDATE(Finanziamenti!$D$16,Ipotesi!E14*12),Finanziamenti!$C$16,0)+IF(Motore_Operativo!C170&gt;=EDATE(Finanziamenti!$D$17,Ipotesi!E14*12),Finanziamenti!$C$17,0)),CA170*Ipotesi!$C$102)-(CC169))</f>
        <v>0</v>
      </c>
      <c r="BB170" s="15" t="n">
        <f aca="false">IF(AND(CF170&gt;0,Motore_Operativo!C170&gt;=IF(CF170=0,0,EDATE(CF170,Parametri_v3!$C$37)),MOD(((D170-YEAR(IF(CF170=0,0,EDATE(CF170,Parametri_v3!$C$37))))*12+E170-MONTH(IF(CF170=0,0,EDATE(CF170,Parametri_v3!$C$37)))),Parametri_v3!$C$38)=0),MIN(MAX(0,(BC169)+BA170-N170),(CC170-CD170)/(Ipotesi!$C$108*12/Parametri_v3!$C$38)),0)</f>
        <v>0</v>
      </c>
      <c r="BC170" s="15" t="n">
        <f aca="false">(BC169)+BA170-N170-BB170</f>
        <v>253725.282352361</v>
      </c>
      <c r="BD170" s="15" t="n">
        <f aca="false">(BH169)+AC170+AF170-AI170-AS170-K170*(1+Parametri_v3!$C$26)-AL170-AQ170-O170+AW170+AX170+AZ170+BA170-BB170</f>
        <v>377394.4658204</v>
      </c>
      <c r="BE170" s="15" t="n">
        <f aca="false">MAX(0,MIN(MAX(0,CH170-(BG169)),Parametri_v3!$C$30-BD170))</f>
        <v>0</v>
      </c>
      <c r="BF170" s="15" t="n">
        <f aca="false">IF(Motore_Operativo!C170&gt;=Parametri_v3!$C$63,(BG169),MIN((BG169),MAX(0,BD170-Parametri_v3!$C$30)))</f>
        <v>0</v>
      </c>
      <c r="BG170" s="15" t="n">
        <f aca="false">(BG169)+BE170-BF170</f>
        <v>0</v>
      </c>
      <c r="BH170" s="15" t="n">
        <f aca="false">BD170+BE170-BF170-AY170</f>
        <v>377394.4658204</v>
      </c>
      <c r="BI170" s="15" t="n">
        <f aca="false">MAX(0,Parametri_v3!$C$30-BH170)</f>
        <v>0</v>
      </c>
      <c r="BJ170" s="15" t="n">
        <f aca="false">(BJ169)+K170</f>
        <v>108333.333333333</v>
      </c>
      <c r="BK170" s="15" t="n">
        <f aca="false">(BK169)+L170</f>
        <v>58587.962962963</v>
      </c>
      <c r="BL170" s="15" t="n">
        <f aca="false">BJ170-BK170</f>
        <v>49745.3703703703</v>
      </c>
      <c r="BM170" s="15" t="n">
        <f aca="false">(BM169)+Y170</f>
        <v>-920986.862200239</v>
      </c>
      <c r="BN170" s="15" t="n">
        <f aca="false">(BN169)+AW170+AX170+AZ170</f>
        <v>1365707.01629444</v>
      </c>
      <c r="BO170" s="15" t="n">
        <f aca="false">(BO169)+AY170</f>
        <v>0</v>
      </c>
      <c r="BP170" s="15" t="n">
        <f aca="false">0</f>
        <v>0</v>
      </c>
      <c r="BQ170" s="15" t="n">
        <f aca="false">BN170+BM170-BO170</f>
        <v>444720.154094206</v>
      </c>
      <c r="BR170" s="15" t="n">
        <f aca="false">BH170+AD170+BL170+MAX(0,-AM170)+MAX(0,-AR170)+AG170</f>
        <v>1003042.42049548</v>
      </c>
      <c r="BS170" s="15" t="n">
        <f aca="false">AJ170+AV170+MAX(0,AM170)+MAX(0,AR170)+BC170+BG170+BQ170</f>
        <v>1003042.42049548</v>
      </c>
      <c r="BT170" s="15" t="n">
        <f aca="false">BR170-BS170</f>
        <v>0</v>
      </c>
      <c r="BU170" s="15" t="n">
        <f aca="false">BH170-(BD170+BE170-BF170-AY170)</f>
        <v>0</v>
      </c>
      <c r="BV170" s="15" t="n">
        <f aca="false">MIN(Piano_SS!$C$6,(BV169)+IF(AND(Motore_Operativo!C170&gt;=EDATE(Parametri_v3!$C$24,Ipotesi!E14*12),Motore_Operativo!C170&lt;EDATE(Parametri_v3!$C$24,Parametri_v3!$C$25+Ipotesi!E14*12)),MAX(0,(Motore_Operativo!Y170+Motore_Operativo!X170*Parametri_v3!$C$14)*(1-Parametri_v3!$C$32))*Piano_SS!$D$6,0))</f>
        <v>300000</v>
      </c>
      <c r="BW170" s="15" t="n">
        <f aca="false">MIN(Piano_SS!$C$7,(BW169)+IF(AND(Motore_Operativo!C170&gt;=EDATE(Parametri_v3!$C$24,Ipotesi!E14*12),Motore_Operativo!C170&lt;EDATE(Parametri_v3!$C$24,Parametri_v3!$C$25+Ipotesi!E14*12)),MAX(0,(IF(46-(INT((Ipotesi!$C$91)/30))&lt;1,0,INDEX(Motore_Operativo!$BN$125:$BN$184,MAX(1,46-(INT((Ipotesi!$C$91)/30)))))*(1-(MOD((Ipotesi!$C$91),30)/30))+IF(46-(INT((Ipotesi!$C$91)/30))-1&lt;1,0,INDEX(Motore_Operativo!$BN$125:$BN$184,MAX(1,46-(INT((Ipotesi!$C$91)/30))-1)))*(MOD((Ipotesi!$C$91),30)/30)))*Piano_SS!$D$7,0))</f>
        <v>44070.0796097004</v>
      </c>
      <c r="BX170" s="15" t="n">
        <f aca="false">MIN(Piano_SS!$C$8,(BX169)+IF(AND(Motore_Operativo!C170&gt;=EDATE(Parametri_v3!$C$24,Ipotesi!E14*12),Motore_Operativo!C170&lt;EDATE(Parametri_v3!$C$24,Parametri_v3!$C$25+Ipotesi!E14*12)),MAX(0,Motore_Operativo!CE170)*Piano_SS!$D$8,0))</f>
        <v>50000</v>
      </c>
      <c r="BY170" s="15" t="n">
        <f aca="false">MIN(Piano_SS!$C$9,(BY169)+IF(AND(Motore_Operativo!C170&gt;=EDATE(Parametri_v3!$C$24,Ipotesi!E14*12),Motore_Operativo!C170&lt;EDATE(Parametri_v3!$C$24,Parametri_v3!$C$25+Ipotesi!E14*12)),MAX(0,((IF(46-(INT((Ipotesi!$C$91)/30))&lt;1,0,INDEX(Motore_Operativo!$BQ$125:$BQ$184,MAX(1,46-(INT((Ipotesi!$C$91)/30)))))*(1-(MOD((Ipotesi!$C$91),30)/30))+IF(46-(INT((Ipotesi!$C$91)/30))-1&lt;1,0,INDEX(Motore_Operativo!$BQ$125:$BQ$184,MAX(1,46-(INT((Ipotesi!$C$91)/30))-1)))*(MOD((Ipotesi!$C$91),30)/30))+(IF(46-(INT((Ipotesi!$C$91)/30))&lt;1,0,INDEX(Motore_Operativo!$BR$125:$BR$184,MAX(1,46-(INT((Ipotesi!$C$91)/30)))))*(1-(MOD((Ipotesi!$C$91),30)/30))+IF(46-(INT((Ipotesi!$C$91)/30))-1&lt;1,0,INDEX(Motore_Operativo!$BR$125:$BR$184,MAX(1,46-(INT((Ipotesi!$C$91)/30))-1)))*(MOD((Ipotesi!$C$91),30)/30))))*Piano_SS!$D$9,0))</f>
        <v>40000</v>
      </c>
      <c r="BZ170" s="15" t="n">
        <f aca="false">MIN(Piano_SS!$C$10,(BZ169)+IF(AND(Motore_Operativo!C170&gt;=EDATE(Parametri_v3!$C$24,Ipotesi!E14*12),Motore_Operativo!C170&lt;EDATE(Parametri_v3!$C$24,Parametri_v3!$C$25+Ipotesi!E14*12)),MAX(0,(IF(46-(INT((Ipotesi!$C$91)/30))&lt;1,0,INDEX(Motore_Operativo!$BO$125:$BO$184,MAX(1,46-(INT((Ipotesi!$C$91)/30)))))*(1-(MOD((Ipotesi!$C$91),30)/30))+IF(46-(INT((Ipotesi!$C$91)/30))-1&lt;1,0,INDEX(Motore_Operativo!$BO$125:$BO$184,MAX(1,46-(INT((Ipotesi!$C$91)/30))-1)))*(MOD((Ipotesi!$C$91),30)/30)))*Piano_SS!$D$10,0))</f>
        <v>30000</v>
      </c>
      <c r="CA170" s="15" t="n">
        <f aca="false">SUM(BV170:BZ170)</f>
        <v>464070.0796097</v>
      </c>
      <c r="CB170" s="15" t="n">
        <f aca="false">BV170*(1-Piano_SS!$E$6)+BW170*(1-Piano_SS!$E$7)+BX170*(1-Piano_SS!$E$8)+BY170*(1-Piano_SS!$E$9)+BZ170*(1-Piano_SS!$E$10)</f>
        <v>434070.0796097</v>
      </c>
      <c r="CC170" s="15" t="n">
        <f aca="false">(CC169)+BA170</f>
        <v>371256.06368776</v>
      </c>
      <c r="CD170" s="15" t="n">
        <f aca="false">IF(CA170=0,0,CC170*CB170/CA170*Ipotesi!$C$103*Parametri_v3!$C$64)</f>
        <v>104176.819106328</v>
      </c>
      <c r="CE170" s="18" t="n">
        <f aca="false">IF(BA170&gt;0,Motore_Operativo!C170,(CE169))</f>
        <v>47270</v>
      </c>
      <c r="CF170" s="18" t="n">
        <f aca="false">IF(AND(CC170&gt;0,OR(CC170&gt;=CG170-0.01,Motore_Operativo!C170&gt;=EDATE(MAX(Finanziamenti!$D$15:$D$17),Ipotesi!E14*12))),CE170,0)</f>
        <v>47270</v>
      </c>
      <c r="CG170" s="15" t="n">
        <f aca="false">IF(AND(3&lt;&gt;6,3&lt;&gt;9,Finanziamenti!$F$11=1,OR(Parametri_v3!$C$6=0,Finanziamenti!$E$11=1)),MIN(Finanziamenti!$C$11,Piano_SS!$C$12*Ipotesi!$C$102),0)</f>
        <v>400000</v>
      </c>
      <c r="CH170" s="15" t="n">
        <f aca="false">IF(AND(AND(3&lt;&gt;8,3&lt;&gt;9,Finanziamenti!$F$10=1,OR(Parametri_v3!$C$6=0,Finanziamenti!$E$10=1)),Motore_Operativo!C170&gt;=Finanziamenti!$D$10,Motore_Operativo!C170&lt;Parametri_v3!$C$63),Finanziamenti!$C$10,0)</f>
        <v>150000</v>
      </c>
    </row>
    <row r="171" customFormat="false" ht="18" hidden="false" customHeight="true" outlineLevel="0" collapsed="false">
      <c r="A171" s="68" t="n">
        <f aca="false">3</f>
        <v>3</v>
      </c>
      <c r="B171" s="68" t="n">
        <f aca="false">47</f>
        <v>47</v>
      </c>
      <c r="C171" s="18" t="n">
        <f aca="false">Motore_Operativo!C171</f>
        <v>47788</v>
      </c>
      <c r="D171" s="68" t="n">
        <f aca="false">Motore_Operativo!D171</f>
        <v>2030</v>
      </c>
      <c r="E171" s="68" t="n">
        <f aca="false">Motore_Operativo!E171</f>
        <v>11</v>
      </c>
      <c r="F171" s="15" t="n">
        <f aca="false">Motore_Operativo!AQ171+Motore_Operativo!BF171</f>
        <v>161651.468363127</v>
      </c>
      <c r="G171" s="15" t="n">
        <f aca="false">Motore_Operativo!BH171</f>
        <v>9024.16666666667</v>
      </c>
      <c r="H171" s="15" t="n">
        <f aca="false">Motore_Operativo!BI171</f>
        <v>170675.635029794</v>
      </c>
      <c r="I171" s="15" t="n">
        <f aca="false">Motore_Operativo!CA171</f>
        <v>161811.081195838</v>
      </c>
      <c r="J171" s="15" t="n">
        <f aca="false">Motore_Operativo!CC171</f>
        <v>8864.55383395578</v>
      </c>
      <c r="K171" s="15" t="n">
        <f aca="false">Motore_Operativo!CE171</f>
        <v>3333.33333333333</v>
      </c>
      <c r="L171" s="15" t="n">
        <f aca="false">SUM(INDEX($K$125:$K$184,MAX(1,47-Parametri_v3!$C$59+1)):K171)/Parametri_v3!$C$59</f>
        <v>2592.59259259259</v>
      </c>
      <c r="M171" s="15" t="n">
        <f aca="false">J171-L171</f>
        <v>6271.96124136319</v>
      </c>
      <c r="N171" s="15" t="n">
        <f aca="false">CD171-(CD170)</f>
        <v>0</v>
      </c>
      <c r="O171" s="15" t="n">
        <f aca="false">(BG170)*Ipotesi!$C$110/12+CH171*Parametri_v3!$C$39/12</f>
        <v>0</v>
      </c>
      <c r="P171" s="15" t="n">
        <f aca="false">M171+N171-O171</f>
        <v>6271.96124136319</v>
      </c>
      <c r="Q171" s="15" t="n">
        <f aca="false">SUM(P161:P171)+Parametri_v3!$C$54*11/12</f>
        <v>-100393.017371387</v>
      </c>
      <c r="R171" s="15" t="n">
        <f aca="false">Z160</f>
        <v>814321.883587488</v>
      </c>
      <c r="S171" s="15" t="n">
        <f aca="false">AA160</f>
        <v>0</v>
      </c>
      <c r="T171" s="15" t="n">
        <f aca="false">MIN(R171,MAX(0,Q171))</f>
        <v>0</v>
      </c>
      <c r="U171" s="15" t="n">
        <f aca="false">MIN(S171,MAX(0,Q171-T171)*Parametri_v3!$C$42)</f>
        <v>0</v>
      </c>
      <c r="V171" s="15" t="n">
        <f aca="false">MAX(0,Q171-T171-U171)*Ipotesi!$C$92</f>
        <v>0</v>
      </c>
      <c r="W171" s="15" t="n">
        <f aca="false">MAX(0,SUM(M161:M171)+Parametri_v3!$C$55*11/12)*Ipotesi!$C$93</f>
        <v>0</v>
      </c>
      <c r="X171" s="15" t="n">
        <f aca="false">V171+W171-(V170+W170)</f>
        <v>0</v>
      </c>
      <c r="Y171" s="15" t="n">
        <f aca="false">P171-X171</f>
        <v>6271.96124136319</v>
      </c>
      <c r="Z171" s="15" t="n">
        <f aca="false">R171-T171+IF(AND(Parametri_v3!$C$40=1,D171-YEAR(Parametri_v3!$C$50)&lt;Parametri_v3!$C$41),MAX(0,-Q171),0)</f>
        <v>814321.883587488</v>
      </c>
      <c r="AA171" s="15" t="n">
        <f aca="false">S171-U171+IF(AND(Parametri_v3!$C$40=1,D171-YEAR(Parametri_v3!$C$50)&lt;Parametri_v3!$C$41),0,MAX(0,-Q171))</f>
        <v>100393.017371387</v>
      </c>
      <c r="AB171" s="15" t="n">
        <f aca="false">F171*(1+Parametri_v3!$C$26)</f>
        <v>197214.791403015</v>
      </c>
      <c r="AC171" s="15" t="n">
        <f aca="false">(IF(47-(INT((Motore_Operativo!L171)/30))&lt;1,0,INDEX(Motore_Startup!$AB$125:$AB$184,MAX(1,47-(INT((Motore_Operativo!L171)/30)))))*(1-(MOD((Motore_Operativo!L171),30)/30))+IF(47-(INT((Motore_Operativo!L171)/30))-1&lt;1,0,INDEX(Motore_Startup!$AB$125:$AB$184,MAX(1,47-(INT((Motore_Operativo!L171)/30))-1)))*(MOD((Motore_Operativo!L171),30)/30))</f>
        <v>183799.894163869</v>
      </c>
      <c r="AD171" s="15" t="n">
        <f aca="false">(AD170)+AB171-AC171</f>
        <v>578307.998210525</v>
      </c>
      <c r="AE171" s="15" t="n">
        <f aca="false">Motore_Operativo!BH171*(1+Parametri_v3!$C$26)</f>
        <v>11009.4833333333</v>
      </c>
      <c r="AF171" s="15" t="n">
        <f aca="false">(IF(47-(INT((Parametri_v3!$C$29)/30))&lt;1,0,INDEX(Motore_Operativo!$BH$125:$BH$184,MAX(1,47-(INT((Parametri_v3!$C$29)/30)))))*(1-(MOD((Parametri_v3!$C$29),30)/30))+IF(47-(INT((Parametri_v3!$C$29)/30))-1&lt;1,0,INDEX(Motore_Operativo!$BH$125:$BH$184,MAX(1,47-(INT((Parametri_v3!$C$29)/30))-1)))*(MOD((Parametri_v3!$C$29),30)/30))*(1+Parametri_v3!$C$26)</f>
        <v>11009.4833333333</v>
      </c>
      <c r="AG171" s="15" t="n">
        <f aca="false">(AG170)+AE171-AF171</f>
        <v>11009.4833333333</v>
      </c>
      <c r="AH171" s="15" t="n">
        <f aca="false">(Motore_Operativo!CJ171)*(1+Parametri_v3!$C$27*Parametri_v3!$C$26)</f>
        <v>77556.2027209178</v>
      </c>
      <c r="AI171" s="15" t="n">
        <f aca="false">(IF(47-(INT((Ipotesi!$C$91)/30))&lt;1,0,INDEX(Motore_Startup!$AH$125:$AH$184,MAX(1,47-(INT((Ipotesi!$C$91)/30)))))*(1-(MOD((Ipotesi!$C$91),30)/30))+IF(47-(INT((Ipotesi!$C$91)/30))-1&lt;1,0,INDEX(Motore_Startup!$AH$125:$AH$184,MAX(1,47-(INT((Ipotesi!$C$91)/30))-1)))*(MOD((Ipotesi!$C$91),30)/30))</f>
        <v>76343.368399883</v>
      </c>
      <c r="AJ171" s="15" t="n">
        <f aca="false">(AJ170)+AH171-AI171</f>
        <v>154508.65044858</v>
      </c>
      <c r="AK171" s="15" t="n">
        <f aca="false">(F171+ Motore_Operativo!BH171-(Motore_Operativo!CJ171)*Parametri_v3!$C$27-Motore_Operativo!CE171)*Parametri_v3!$C$26</f>
        <v>24597.1008898079</v>
      </c>
      <c r="AL171" s="15" t="n">
        <f aca="false">MAX(0,(AM170))</f>
        <v>23892.9259422043</v>
      </c>
      <c r="AM171" s="15" t="n">
        <f aca="false">(AM170)+AK171-AL171</f>
        <v>24597.1008898079</v>
      </c>
      <c r="AN171" s="15" t="n">
        <f aca="false">SUM(X149:X160)</f>
        <v>0</v>
      </c>
      <c r="AO171" s="15" t="n">
        <f aca="false">SUM(AP149:AP160)</f>
        <v>0</v>
      </c>
      <c r="AP171" s="15" t="n">
        <f aca="false">MAX(0,AN171)*IF(11=Parametri_v3!$C$43,Parametri_v3!$C$45,IF(11=Parametri_v3!$C$44,1-Parametri_v3!$C$45,0))</f>
        <v>0</v>
      </c>
      <c r="AQ171" s="15" t="n">
        <f aca="false">MAX(0,AP171+IF(11=Parametri_v3!$C$43,MAX(0,AN171-AO171),0)-MAX(0,-(AR170)))</f>
        <v>0</v>
      </c>
      <c r="AR171" s="15" t="n">
        <f aca="false">(AR170)+X171-AQ171</f>
        <v>0</v>
      </c>
      <c r="AS171" s="15" t="n">
        <f aca="false">Motore_Operativo!AB171-AT171+AU171</f>
        <v>91649.4297604167</v>
      </c>
      <c r="AT171" s="15" t="n">
        <f aca="false">Motore_Operativo!CH171</f>
        <v>4823.65419791667</v>
      </c>
      <c r="AU171" s="15" t="n">
        <f aca="false">MIN(MAX(0,(AV170)+AT171),Parametri_v3!$C$60/12)</f>
        <v>0</v>
      </c>
      <c r="AV171" s="15" t="n">
        <f aca="false">(AV170)+AT171-AU171</f>
        <v>132231.896177083</v>
      </c>
      <c r="AW171" s="15" t="n">
        <f aca="false">IF(AND(Motore_Operativo!C171=Finanziamenti!$D$6,Finanziamenti!$F$6=1),Finanziamenti!$C$6,0)</f>
        <v>0</v>
      </c>
      <c r="AX171" s="15" t="n">
        <f aca="false">IF(AND(3&lt;&gt;7,3&lt;&gt;9,Finanziamenti!$F$8=1,OR(Parametri_v3!$C$6=0,Finanziamenti!$E$8=1),Motore_Operativo!C171=EDATE(Finanziamenti!$D$8,Ipotesi!E15*12)),Finanziamenti!$C$8*1,0)+IF(AND(3&lt;&gt;7,3&lt;&gt;9,Finanziamenti!$F$9=1,OR(Parametri_v3!$C$6=0,Finanziamenti!$E$9=1),Motore_Operativo!C171=EDATE(Finanziamenti!$D$9,Ipotesi!E15*12)),Finanziamenti!$C$9*Ipotesi!E16,0)</f>
        <v>0</v>
      </c>
      <c r="AY171" s="15" t="n">
        <f aca="false">0</f>
        <v>0</v>
      </c>
      <c r="AZ171" s="15" t="n">
        <f aca="false">Motore_Advisory!AY171*(1-Ipotesi!$C$95)*Ipotesi!$C$96</f>
        <v>0</v>
      </c>
      <c r="BA171" s="15" t="n">
        <f aca="false">MAX(0,MIN(CG171*MIN(1,IF(Motore_Operativo!C171&gt;=EDATE(Finanziamenti!$D$15,Ipotesi!E14*12),Finanziamenti!$C$15,0)+IF(Motore_Operativo!C171&gt;=EDATE(Finanziamenti!$D$16,Ipotesi!E14*12),Finanziamenti!$C$16,0)+IF(Motore_Operativo!C171&gt;=EDATE(Finanziamenti!$D$17,Ipotesi!E14*12),Finanziamenti!$C$17,0)),CA171*Ipotesi!$C$102)-(CC170))</f>
        <v>0</v>
      </c>
      <c r="BB171" s="15" t="n">
        <f aca="false">IF(AND(CF171&gt;0,Motore_Operativo!C171&gt;=IF(CF171=0,0,EDATE(CF171,Parametri_v3!$C$37)),MOD(((D171-YEAR(IF(CF171=0,0,EDATE(CF171,Parametri_v3!$C$37))))*12+E171-MONTH(IF(CF171=0,0,EDATE(CF171,Parametri_v3!$C$37)))),Parametri_v3!$C$38)=0),MIN(MAX(0,(BC170)+BA171-N171),(CC171-CD171)/(Ipotesi!$C$108*12/Parametri_v3!$C$38)),0)</f>
        <v>0</v>
      </c>
      <c r="BC171" s="15" t="n">
        <f aca="false">(BC170)+BA171-N171-BB171</f>
        <v>253725.282352361</v>
      </c>
      <c r="BD171" s="15" t="n">
        <f aca="false">(BH170)+AC171+AF171-AI171-AS171-K171*(1+Parametri_v3!$C$26)-AL171-AQ171-O171+AW171+AX171+AZ171+BA171-BB171</f>
        <v>376251.452548431</v>
      </c>
      <c r="BE171" s="15" t="n">
        <f aca="false">MAX(0,MIN(MAX(0,CH171-(BG170)),Parametri_v3!$C$30-BD171))</f>
        <v>0</v>
      </c>
      <c r="BF171" s="15" t="n">
        <f aca="false">IF(Motore_Operativo!C171&gt;=Parametri_v3!$C$63,(BG170),MIN((BG170),MAX(0,BD171-Parametri_v3!$C$30)))</f>
        <v>0</v>
      </c>
      <c r="BG171" s="15" t="n">
        <f aca="false">(BG170)+BE171-BF171</f>
        <v>0</v>
      </c>
      <c r="BH171" s="15" t="n">
        <f aca="false">BD171+BE171-BF171-AY171</f>
        <v>376251.452548431</v>
      </c>
      <c r="BI171" s="15" t="n">
        <f aca="false">MAX(0,Parametri_v3!$C$30-BH171)</f>
        <v>0</v>
      </c>
      <c r="BJ171" s="15" t="n">
        <f aca="false">(BJ170)+K171</f>
        <v>111666.666666667</v>
      </c>
      <c r="BK171" s="15" t="n">
        <f aca="false">(BK170)+L171</f>
        <v>61180.5555555556</v>
      </c>
      <c r="BL171" s="15" t="n">
        <f aca="false">BJ171-BK171</f>
        <v>50486.1111111111</v>
      </c>
      <c r="BM171" s="15" t="n">
        <f aca="false">(BM170)+Y171</f>
        <v>-914714.900958876</v>
      </c>
      <c r="BN171" s="15" t="n">
        <f aca="false">(BN170)+AW171+AX171+AZ171</f>
        <v>1365707.01629444</v>
      </c>
      <c r="BO171" s="15" t="n">
        <f aca="false">(BO170)+AY171</f>
        <v>0</v>
      </c>
      <c r="BP171" s="15" t="n">
        <f aca="false">0</f>
        <v>0</v>
      </c>
      <c r="BQ171" s="15" t="n">
        <f aca="false">BN171+BM171-BO171</f>
        <v>450992.115335569</v>
      </c>
      <c r="BR171" s="15" t="n">
        <f aca="false">BH171+AD171+BL171+MAX(0,-AM171)+MAX(0,-AR171)+AG171</f>
        <v>1016055.0452034</v>
      </c>
      <c r="BS171" s="15" t="n">
        <f aca="false">AJ171+AV171+MAX(0,AM171)+MAX(0,AR171)+BC171+BG171+BQ171</f>
        <v>1016055.0452034</v>
      </c>
      <c r="BT171" s="15" t="n">
        <f aca="false">BR171-BS171</f>
        <v>0</v>
      </c>
      <c r="BU171" s="15" t="n">
        <f aca="false">BH171-(BD171+BE171-BF171-AY171)</f>
        <v>0</v>
      </c>
      <c r="BV171" s="15" t="n">
        <f aca="false">MIN(Piano_SS!$C$6,(BV170)+IF(AND(Motore_Operativo!C171&gt;=EDATE(Parametri_v3!$C$24,Ipotesi!E14*12),Motore_Operativo!C171&lt;EDATE(Parametri_v3!$C$24,Parametri_v3!$C$25+Ipotesi!E14*12)),MAX(0,(Motore_Operativo!Y171+Motore_Operativo!X171*Parametri_v3!$C$14)*(1-Parametri_v3!$C$32))*Piano_SS!$D$6,0))</f>
        <v>300000</v>
      </c>
      <c r="BW171" s="15" t="n">
        <f aca="false">MIN(Piano_SS!$C$7,(BW170)+IF(AND(Motore_Operativo!C171&gt;=EDATE(Parametri_v3!$C$24,Ipotesi!E14*12),Motore_Operativo!C171&lt;EDATE(Parametri_v3!$C$24,Parametri_v3!$C$25+Ipotesi!E14*12)),MAX(0,(IF(47-(INT((Ipotesi!$C$91)/30))&lt;1,0,INDEX(Motore_Operativo!$BN$125:$BN$184,MAX(1,47-(INT((Ipotesi!$C$91)/30)))))*(1-(MOD((Ipotesi!$C$91),30)/30))+IF(47-(INT((Ipotesi!$C$91)/30))-1&lt;1,0,INDEX(Motore_Operativo!$BN$125:$BN$184,MAX(1,47-(INT((Ipotesi!$C$91)/30))-1)))*(MOD((Ipotesi!$C$91),30)/30)))*Piano_SS!$D$7,0))</f>
        <v>44070.0796097004</v>
      </c>
      <c r="BX171" s="15" t="n">
        <f aca="false">MIN(Piano_SS!$C$8,(BX170)+IF(AND(Motore_Operativo!C171&gt;=EDATE(Parametri_v3!$C$24,Ipotesi!E14*12),Motore_Operativo!C171&lt;EDATE(Parametri_v3!$C$24,Parametri_v3!$C$25+Ipotesi!E14*12)),MAX(0,Motore_Operativo!CE171)*Piano_SS!$D$8,0))</f>
        <v>50000</v>
      </c>
      <c r="BY171" s="15" t="n">
        <f aca="false">MIN(Piano_SS!$C$9,(BY170)+IF(AND(Motore_Operativo!C171&gt;=EDATE(Parametri_v3!$C$24,Ipotesi!E14*12),Motore_Operativo!C171&lt;EDATE(Parametri_v3!$C$24,Parametri_v3!$C$25+Ipotesi!E14*12)),MAX(0,((IF(47-(INT((Ipotesi!$C$91)/30))&lt;1,0,INDEX(Motore_Operativo!$BQ$125:$BQ$184,MAX(1,47-(INT((Ipotesi!$C$91)/30)))))*(1-(MOD((Ipotesi!$C$91),30)/30))+IF(47-(INT((Ipotesi!$C$91)/30))-1&lt;1,0,INDEX(Motore_Operativo!$BQ$125:$BQ$184,MAX(1,47-(INT((Ipotesi!$C$91)/30))-1)))*(MOD((Ipotesi!$C$91),30)/30))+(IF(47-(INT((Ipotesi!$C$91)/30))&lt;1,0,INDEX(Motore_Operativo!$BR$125:$BR$184,MAX(1,47-(INT((Ipotesi!$C$91)/30)))))*(1-(MOD((Ipotesi!$C$91),30)/30))+IF(47-(INT((Ipotesi!$C$91)/30))-1&lt;1,0,INDEX(Motore_Operativo!$BR$125:$BR$184,MAX(1,47-(INT((Ipotesi!$C$91)/30))-1)))*(MOD((Ipotesi!$C$91),30)/30))))*Piano_SS!$D$9,0))</f>
        <v>40000</v>
      </c>
      <c r="BZ171" s="15" t="n">
        <f aca="false">MIN(Piano_SS!$C$10,(BZ170)+IF(AND(Motore_Operativo!C171&gt;=EDATE(Parametri_v3!$C$24,Ipotesi!E14*12),Motore_Operativo!C171&lt;EDATE(Parametri_v3!$C$24,Parametri_v3!$C$25+Ipotesi!E14*12)),MAX(0,(IF(47-(INT((Ipotesi!$C$91)/30))&lt;1,0,INDEX(Motore_Operativo!$BO$125:$BO$184,MAX(1,47-(INT((Ipotesi!$C$91)/30)))))*(1-(MOD((Ipotesi!$C$91),30)/30))+IF(47-(INT((Ipotesi!$C$91)/30))-1&lt;1,0,INDEX(Motore_Operativo!$BO$125:$BO$184,MAX(1,47-(INT((Ipotesi!$C$91)/30))-1)))*(MOD((Ipotesi!$C$91),30)/30)))*Piano_SS!$D$10,0))</f>
        <v>30000</v>
      </c>
      <c r="CA171" s="15" t="n">
        <f aca="false">SUM(BV171:BZ171)</f>
        <v>464070.0796097</v>
      </c>
      <c r="CB171" s="15" t="n">
        <f aca="false">BV171*(1-Piano_SS!$E$6)+BW171*(1-Piano_SS!$E$7)+BX171*(1-Piano_SS!$E$8)+BY171*(1-Piano_SS!$E$9)+BZ171*(1-Piano_SS!$E$10)</f>
        <v>434070.0796097</v>
      </c>
      <c r="CC171" s="15" t="n">
        <f aca="false">(CC170)+BA171</f>
        <v>371256.06368776</v>
      </c>
      <c r="CD171" s="15" t="n">
        <f aca="false">IF(CA171=0,0,CC171*CB171/CA171*Ipotesi!$C$103*Parametri_v3!$C$64)</f>
        <v>104176.819106328</v>
      </c>
      <c r="CE171" s="18" t="n">
        <f aca="false">IF(BA171&gt;0,Motore_Operativo!C171,(CE170))</f>
        <v>47270</v>
      </c>
      <c r="CF171" s="18" t="n">
        <f aca="false">IF(AND(CC171&gt;0,OR(CC171&gt;=CG171-0.01,Motore_Operativo!C171&gt;=EDATE(MAX(Finanziamenti!$D$15:$D$17),Ipotesi!E14*12))),CE171,0)</f>
        <v>47270</v>
      </c>
      <c r="CG171" s="15" t="n">
        <f aca="false">IF(AND(3&lt;&gt;6,3&lt;&gt;9,Finanziamenti!$F$11=1,OR(Parametri_v3!$C$6=0,Finanziamenti!$E$11=1)),MIN(Finanziamenti!$C$11,Piano_SS!$C$12*Ipotesi!$C$102),0)</f>
        <v>400000</v>
      </c>
      <c r="CH171" s="15" t="n">
        <f aca="false">IF(AND(AND(3&lt;&gt;8,3&lt;&gt;9,Finanziamenti!$F$10=1,OR(Parametri_v3!$C$6=0,Finanziamenti!$E$10=1)),Motore_Operativo!C171&gt;=Finanziamenti!$D$10,Motore_Operativo!C171&lt;Parametri_v3!$C$63),Finanziamenti!$C$10,0)</f>
        <v>150000</v>
      </c>
    </row>
    <row r="172" customFormat="false" ht="18" hidden="false" customHeight="true" outlineLevel="0" collapsed="false">
      <c r="A172" s="68" t="n">
        <f aca="false">3</f>
        <v>3</v>
      </c>
      <c r="B172" s="68" t="n">
        <f aca="false">48</f>
        <v>48</v>
      </c>
      <c r="C172" s="18" t="n">
        <f aca="false">Motore_Operativo!C172</f>
        <v>47818</v>
      </c>
      <c r="D172" s="68" t="n">
        <f aca="false">Motore_Operativo!D172</f>
        <v>2030</v>
      </c>
      <c r="E172" s="68" t="n">
        <f aca="false">Motore_Operativo!E172</f>
        <v>12</v>
      </c>
      <c r="F172" s="15" t="n">
        <f aca="false">Motore_Operativo!AQ172+Motore_Operativo!BF172</f>
        <v>165252.84760246</v>
      </c>
      <c r="G172" s="15" t="n">
        <f aca="false">Motore_Operativo!BH172</f>
        <v>9024.16666666667</v>
      </c>
      <c r="H172" s="15" t="n">
        <f aca="false">Motore_Operativo!BI172</f>
        <v>174277.014269127</v>
      </c>
      <c r="I172" s="15" t="n">
        <f aca="false">Motore_Operativo!CA172</f>
        <v>162315.274289344</v>
      </c>
      <c r="J172" s="15" t="n">
        <f aca="false">Motore_Operativo!CC172</f>
        <v>11961.7399797824</v>
      </c>
      <c r="K172" s="15" t="n">
        <f aca="false">Motore_Operativo!CE172</f>
        <v>3333.33333333333</v>
      </c>
      <c r="L172" s="15" t="n">
        <f aca="false">SUM(INDEX($K$125:$K$184,MAX(1,48-Parametri_v3!$C$59+1)):K172)/Parametri_v3!$C$59</f>
        <v>2638.88888888889</v>
      </c>
      <c r="M172" s="15" t="n">
        <f aca="false">J172-L172</f>
        <v>9322.85109089352</v>
      </c>
      <c r="N172" s="15" t="n">
        <f aca="false">CD172-(CD171)</f>
        <v>0</v>
      </c>
      <c r="O172" s="15" t="n">
        <f aca="false">(BG171)*Ipotesi!$C$110/12+CH172*Parametri_v3!$C$39/12</f>
        <v>0</v>
      </c>
      <c r="P172" s="15" t="n">
        <f aca="false">M172+N172-O172</f>
        <v>9322.85109089352</v>
      </c>
      <c r="Q172" s="15" t="n">
        <f aca="false">SUM(P161:P172)+Parametri_v3!$C$54*12/12</f>
        <v>-91070.1662804939</v>
      </c>
      <c r="R172" s="15" t="n">
        <f aca="false">Z160</f>
        <v>814321.883587488</v>
      </c>
      <c r="S172" s="15" t="n">
        <f aca="false">AA160</f>
        <v>0</v>
      </c>
      <c r="T172" s="15" t="n">
        <f aca="false">MIN(R172,MAX(0,Q172))</f>
        <v>0</v>
      </c>
      <c r="U172" s="15" t="n">
        <f aca="false">MIN(S172,MAX(0,Q172-T172)*Parametri_v3!$C$42)</f>
        <v>0</v>
      </c>
      <c r="V172" s="15" t="n">
        <f aca="false">MAX(0,Q172-T172-U172)*Ipotesi!$C$92</f>
        <v>0</v>
      </c>
      <c r="W172" s="15" t="n">
        <f aca="false">MAX(0,SUM(M161:M172)+Parametri_v3!$C$55*12/12)*Ipotesi!$C$93</f>
        <v>0</v>
      </c>
      <c r="X172" s="15" t="n">
        <f aca="false">V172+W172-(V171+W171)</f>
        <v>0</v>
      </c>
      <c r="Y172" s="15" t="n">
        <f aca="false">P172-X172</f>
        <v>9322.85109089352</v>
      </c>
      <c r="Z172" s="15" t="n">
        <f aca="false">R172-T172+IF(AND(Parametri_v3!$C$40=1,D172-YEAR(Parametri_v3!$C$50)&lt;Parametri_v3!$C$41),MAX(0,-Q172),0)</f>
        <v>814321.883587488</v>
      </c>
      <c r="AA172" s="15" t="n">
        <f aca="false">S172-U172+IF(AND(Parametri_v3!$C$40=1,D172-YEAR(Parametri_v3!$C$50)&lt;Parametri_v3!$C$41),0,MAX(0,-Q172))</f>
        <v>91070.1662804939</v>
      </c>
      <c r="AB172" s="15" t="n">
        <f aca="false">F172*(1+Parametri_v3!$C$26)</f>
        <v>201608.474075001</v>
      </c>
      <c r="AC172" s="15" t="n">
        <f aca="false">(IF(48-(INT((Motore_Operativo!L172)/30))&lt;1,0,INDEX(Motore_Startup!$AB$125:$AB$184,MAX(1,48-(INT((Motore_Operativo!L172)/30)))))*(1-(MOD((Motore_Operativo!L172),30)/30))+IF(48-(INT((Motore_Operativo!L172)/30))-1&lt;1,0,INDEX(Motore_Startup!$AB$125:$AB$184,MAX(1,48-(INT((Motore_Operativo!L172)/30))-1)))*(MOD((Motore_Operativo!L172),30)/30))</f>
        <v>188310.844648517</v>
      </c>
      <c r="AD172" s="15" t="n">
        <f aca="false">(AD171)+AB172-AC172</f>
        <v>591605.627637009</v>
      </c>
      <c r="AE172" s="15" t="n">
        <f aca="false">Motore_Operativo!BH172*(1+Parametri_v3!$C$26)</f>
        <v>11009.4833333333</v>
      </c>
      <c r="AF172" s="15" t="n">
        <f aca="false">(IF(48-(INT((Parametri_v3!$C$29)/30))&lt;1,0,INDEX(Motore_Operativo!$BH$125:$BH$184,MAX(1,48-(INT((Parametri_v3!$C$29)/30)))))*(1-(MOD((Parametri_v3!$C$29),30)/30))+IF(48-(INT((Parametri_v3!$C$29)/30))-1&lt;1,0,INDEX(Motore_Operativo!$BH$125:$BH$184,MAX(1,48-(INT((Parametri_v3!$C$29)/30))-1)))*(MOD((Parametri_v3!$C$29),30)/30))*(1+Parametri_v3!$C$26)</f>
        <v>11009.4833333333</v>
      </c>
      <c r="AG172" s="15" t="n">
        <f aca="false">(AG171)+AE172-AF172</f>
        <v>11009.4833333333</v>
      </c>
      <c r="AH172" s="15" t="n">
        <f aca="false">(Motore_Operativo!CJ172)*(1+Parametri_v3!$C$27*Parametri_v3!$C$26)</f>
        <v>78154.6799229102</v>
      </c>
      <c r="AI172" s="15" t="n">
        <f aca="false">(IF(48-(INT((Ipotesi!$C$91)/30))&lt;1,0,INDEX(Motore_Startup!$AH$125:$AH$184,MAX(1,48-(INT((Ipotesi!$C$91)/30)))))*(1-(MOD((Ipotesi!$C$91),30)/30))+IF(48-(INT((Ipotesi!$C$91)/30))-1&lt;1,0,INDEX(Motore_Startup!$AH$125:$AH$184,MAX(1,48-(INT((Ipotesi!$C$91)/30))-1)))*(MOD((Ipotesi!$C$91),30)/30))</f>
        <v>76952.4477276624</v>
      </c>
      <c r="AJ172" s="15" t="n">
        <f aca="false">(AJ171)+AH172-AI172</f>
        <v>155710.882643828</v>
      </c>
      <c r="AK172" s="15" t="n">
        <f aca="false">(F172+ Motore_Operativo!BH172-(Motore_Operativo!CJ172)*Parametri_v3!$C$27-Motore_Operativo!CE172)*Parametri_v3!$C$26</f>
        <v>25295.1202139755</v>
      </c>
      <c r="AL172" s="15" t="n">
        <f aca="false">MAX(0,(AM171))</f>
        <v>24597.1008898079</v>
      </c>
      <c r="AM172" s="15" t="n">
        <f aca="false">(AM171)+AK172-AL172</f>
        <v>25295.1202139755</v>
      </c>
      <c r="AN172" s="15" t="n">
        <f aca="false">SUM(X149:X160)</f>
        <v>0</v>
      </c>
      <c r="AO172" s="15" t="n">
        <f aca="false">SUM(AP149:AP160)</f>
        <v>0</v>
      </c>
      <c r="AP172" s="15" t="n">
        <f aca="false">MAX(0,AN172)*IF(12=Parametri_v3!$C$43,Parametri_v3!$C$45,IF(12=Parametri_v3!$C$44,1-Parametri_v3!$C$45,0))</f>
        <v>0</v>
      </c>
      <c r="AQ172" s="15" t="n">
        <f aca="false">MAX(0,AP172+IF(12=Parametri_v3!$C$43,MAX(0,AN172-AO172),0)-MAX(0,-(AR171)))</f>
        <v>0</v>
      </c>
      <c r="AR172" s="15" t="n">
        <f aca="false">(AR171)+X172-AQ172</f>
        <v>0</v>
      </c>
      <c r="AS172" s="15" t="n">
        <f aca="false">Motore_Operativo!AB172-AT172+AU172</f>
        <v>91649.4297604167</v>
      </c>
      <c r="AT172" s="15" t="n">
        <f aca="false">Motore_Operativo!CH172</f>
        <v>4823.65419791667</v>
      </c>
      <c r="AU172" s="15" t="n">
        <f aca="false">MIN(MAX(0,(AV171)+AT172),Parametri_v3!$C$60/12)</f>
        <v>0</v>
      </c>
      <c r="AV172" s="15" t="n">
        <f aca="false">(AV171)+AT172-AU172</f>
        <v>137055.550375</v>
      </c>
      <c r="AW172" s="15" t="n">
        <f aca="false">IF(AND(Motore_Operativo!C172=Finanziamenti!$D$6,Finanziamenti!$F$6=1),Finanziamenti!$C$6,0)</f>
        <v>0</v>
      </c>
      <c r="AX172" s="15" t="n">
        <f aca="false">IF(AND(3&lt;&gt;7,3&lt;&gt;9,Finanziamenti!$F$8=1,OR(Parametri_v3!$C$6=0,Finanziamenti!$E$8=1),Motore_Operativo!C172=EDATE(Finanziamenti!$D$8,Ipotesi!E15*12)),Finanziamenti!$C$8*1,0)+IF(AND(3&lt;&gt;7,3&lt;&gt;9,Finanziamenti!$F$9=1,OR(Parametri_v3!$C$6=0,Finanziamenti!$E$9=1),Motore_Operativo!C172=EDATE(Finanziamenti!$D$9,Ipotesi!E15*12)),Finanziamenti!$C$9*Ipotesi!E16,0)</f>
        <v>0</v>
      </c>
      <c r="AY172" s="15" t="n">
        <f aca="false">0</f>
        <v>0</v>
      </c>
      <c r="AZ172" s="15" t="n">
        <f aca="false">Motore_Advisory!AY172*(1-Ipotesi!$C$95)*Ipotesi!$C$96</f>
        <v>0</v>
      </c>
      <c r="BA172" s="15" t="n">
        <f aca="false">MAX(0,MIN(CG172*MIN(1,IF(Motore_Operativo!C172&gt;=EDATE(Finanziamenti!$D$15,Ipotesi!E14*12),Finanziamenti!$C$15,0)+IF(Motore_Operativo!C172&gt;=EDATE(Finanziamenti!$D$16,Ipotesi!E14*12),Finanziamenti!$C$16,0)+IF(Motore_Operativo!C172&gt;=EDATE(Finanziamenti!$D$17,Ipotesi!E14*12),Finanziamenti!$C$17,0)),CA172*Ipotesi!$C$102)-(CC171))</f>
        <v>0</v>
      </c>
      <c r="BB172" s="15" t="n">
        <f aca="false">IF(AND(CF172&gt;0,Motore_Operativo!C172&gt;=IF(CF172=0,0,EDATE(CF172,Parametri_v3!$C$37)),MOD(((D172-YEAR(IF(CF172=0,0,EDATE(CF172,Parametri_v3!$C$37))))*12+E172-MONTH(IF(CF172=0,0,EDATE(CF172,Parametri_v3!$C$37)))),Parametri_v3!$C$38)=0),MIN(MAX(0,(BC171)+BA172-N172),(CC172-CD172)/(Ipotesi!$C$108*12/Parametri_v3!$C$38)),0)</f>
        <v>13353.9622290716</v>
      </c>
      <c r="BC172" s="15" t="n">
        <f aca="false">(BC171)+BA172-N172-BB172</f>
        <v>240371.320123289</v>
      </c>
      <c r="BD172" s="15" t="n">
        <f aca="false">(BH171)+AC172+AF172-AI172-AS172-K172*(1+Parametri_v3!$C$26)-AL172-AQ172-O172+AW172+AX172+AZ172+BA172-BB172</f>
        <v>364952.173256656</v>
      </c>
      <c r="BE172" s="15" t="n">
        <f aca="false">MAX(0,MIN(MAX(0,CH172-(BG171)),Parametri_v3!$C$30-BD172))</f>
        <v>0</v>
      </c>
      <c r="BF172" s="15" t="n">
        <f aca="false">IF(Motore_Operativo!C172&gt;=Parametri_v3!$C$63,(BG171),MIN((BG171),MAX(0,BD172-Parametri_v3!$C$30)))</f>
        <v>0</v>
      </c>
      <c r="BG172" s="15" t="n">
        <f aca="false">(BG171)+BE172-BF172</f>
        <v>0</v>
      </c>
      <c r="BH172" s="15" t="n">
        <f aca="false">BD172+BE172-BF172-AY172</f>
        <v>364952.173256656</v>
      </c>
      <c r="BI172" s="15" t="n">
        <f aca="false">MAX(0,Parametri_v3!$C$30-BH172)</f>
        <v>0</v>
      </c>
      <c r="BJ172" s="15" t="n">
        <f aca="false">(BJ171)+K172</f>
        <v>115000</v>
      </c>
      <c r="BK172" s="15" t="n">
        <f aca="false">(BK171)+L172</f>
        <v>63819.4444444444</v>
      </c>
      <c r="BL172" s="15" t="n">
        <f aca="false">BJ172-BK172</f>
        <v>51180.5555555555</v>
      </c>
      <c r="BM172" s="15" t="n">
        <f aca="false">(BM171)+Y172</f>
        <v>-905392.049867982</v>
      </c>
      <c r="BN172" s="15" t="n">
        <f aca="false">(BN171)+AW172+AX172+AZ172</f>
        <v>1365707.01629444</v>
      </c>
      <c r="BO172" s="15" t="n">
        <f aca="false">(BO171)+AY172</f>
        <v>0</v>
      </c>
      <c r="BP172" s="15" t="n">
        <f aca="false">0</f>
        <v>0</v>
      </c>
      <c r="BQ172" s="15" t="n">
        <f aca="false">BN172+BM172-BO172</f>
        <v>460314.966426462</v>
      </c>
      <c r="BR172" s="15" t="n">
        <f aca="false">BH172+AD172+BL172+MAX(0,-AM172)+MAX(0,-AR172)+AG172</f>
        <v>1018747.83978255</v>
      </c>
      <c r="BS172" s="15" t="n">
        <f aca="false">AJ172+AV172+MAX(0,AM172)+MAX(0,AR172)+BC172+BG172+BQ172</f>
        <v>1018747.83978256</v>
      </c>
      <c r="BT172" s="15" t="n">
        <f aca="false">BR172-BS172</f>
        <v>0</v>
      </c>
      <c r="BU172" s="15" t="n">
        <f aca="false">BH172-(BD172+BE172-BF172-AY172)</f>
        <v>0</v>
      </c>
      <c r="BV172" s="15" t="n">
        <f aca="false">MIN(Piano_SS!$C$6,(BV171)+IF(AND(Motore_Operativo!C172&gt;=EDATE(Parametri_v3!$C$24,Ipotesi!E14*12),Motore_Operativo!C172&lt;EDATE(Parametri_v3!$C$24,Parametri_v3!$C$25+Ipotesi!E14*12)),MAX(0,(Motore_Operativo!Y172+Motore_Operativo!X172*Parametri_v3!$C$14)*(1-Parametri_v3!$C$32))*Piano_SS!$D$6,0))</f>
        <v>300000</v>
      </c>
      <c r="BW172" s="15" t="n">
        <f aca="false">MIN(Piano_SS!$C$7,(BW171)+IF(AND(Motore_Operativo!C172&gt;=EDATE(Parametri_v3!$C$24,Ipotesi!E14*12),Motore_Operativo!C172&lt;EDATE(Parametri_v3!$C$24,Parametri_v3!$C$25+Ipotesi!E14*12)),MAX(0,(IF(48-(INT((Ipotesi!$C$91)/30))&lt;1,0,INDEX(Motore_Operativo!$BN$125:$BN$184,MAX(1,48-(INT((Ipotesi!$C$91)/30)))))*(1-(MOD((Ipotesi!$C$91),30)/30))+IF(48-(INT((Ipotesi!$C$91)/30))-1&lt;1,0,INDEX(Motore_Operativo!$BN$125:$BN$184,MAX(1,48-(INT((Ipotesi!$C$91)/30))-1)))*(MOD((Ipotesi!$C$91),30)/30)))*Piano_SS!$D$7,0))</f>
        <v>44070.0796097004</v>
      </c>
      <c r="BX172" s="15" t="n">
        <f aca="false">MIN(Piano_SS!$C$8,(BX171)+IF(AND(Motore_Operativo!C172&gt;=EDATE(Parametri_v3!$C$24,Ipotesi!E14*12),Motore_Operativo!C172&lt;EDATE(Parametri_v3!$C$24,Parametri_v3!$C$25+Ipotesi!E14*12)),MAX(0,Motore_Operativo!CE172)*Piano_SS!$D$8,0))</f>
        <v>50000</v>
      </c>
      <c r="BY172" s="15" t="n">
        <f aca="false">MIN(Piano_SS!$C$9,(BY171)+IF(AND(Motore_Operativo!C172&gt;=EDATE(Parametri_v3!$C$24,Ipotesi!E14*12),Motore_Operativo!C172&lt;EDATE(Parametri_v3!$C$24,Parametri_v3!$C$25+Ipotesi!E14*12)),MAX(0,((IF(48-(INT((Ipotesi!$C$91)/30))&lt;1,0,INDEX(Motore_Operativo!$BQ$125:$BQ$184,MAX(1,48-(INT((Ipotesi!$C$91)/30)))))*(1-(MOD((Ipotesi!$C$91),30)/30))+IF(48-(INT((Ipotesi!$C$91)/30))-1&lt;1,0,INDEX(Motore_Operativo!$BQ$125:$BQ$184,MAX(1,48-(INT((Ipotesi!$C$91)/30))-1)))*(MOD((Ipotesi!$C$91),30)/30))+(IF(48-(INT((Ipotesi!$C$91)/30))&lt;1,0,INDEX(Motore_Operativo!$BR$125:$BR$184,MAX(1,48-(INT((Ipotesi!$C$91)/30)))))*(1-(MOD((Ipotesi!$C$91),30)/30))+IF(48-(INT((Ipotesi!$C$91)/30))-1&lt;1,0,INDEX(Motore_Operativo!$BR$125:$BR$184,MAX(1,48-(INT((Ipotesi!$C$91)/30))-1)))*(MOD((Ipotesi!$C$91),30)/30))))*Piano_SS!$D$9,0))</f>
        <v>40000</v>
      </c>
      <c r="BZ172" s="15" t="n">
        <f aca="false">MIN(Piano_SS!$C$10,(BZ171)+IF(AND(Motore_Operativo!C172&gt;=EDATE(Parametri_v3!$C$24,Ipotesi!E14*12),Motore_Operativo!C172&lt;EDATE(Parametri_v3!$C$24,Parametri_v3!$C$25+Ipotesi!E14*12)),MAX(0,(IF(48-(INT((Ipotesi!$C$91)/30))&lt;1,0,INDEX(Motore_Operativo!$BO$125:$BO$184,MAX(1,48-(INT((Ipotesi!$C$91)/30)))))*(1-(MOD((Ipotesi!$C$91),30)/30))+IF(48-(INT((Ipotesi!$C$91)/30))-1&lt;1,0,INDEX(Motore_Operativo!$BO$125:$BO$184,MAX(1,48-(INT((Ipotesi!$C$91)/30))-1)))*(MOD((Ipotesi!$C$91),30)/30)))*Piano_SS!$D$10,0))</f>
        <v>30000</v>
      </c>
      <c r="CA172" s="15" t="n">
        <f aca="false">SUM(BV172:BZ172)</f>
        <v>464070.0796097</v>
      </c>
      <c r="CB172" s="15" t="n">
        <f aca="false">BV172*(1-Piano_SS!$E$6)+BW172*(1-Piano_SS!$E$7)+BX172*(1-Piano_SS!$E$8)+BY172*(1-Piano_SS!$E$9)+BZ172*(1-Piano_SS!$E$10)</f>
        <v>434070.0796097</v>
      </c>
      <c r="CC172" s="15" t="n">
        <f aca="false">(CC171)+BA172</f>
        <v>371256.06368776</v>
      </c>
      <c r="CD172" s="15" t="n">
        <f aca="false">IF(CA172=0,0,CC172*CB172/CA172*Ipotesi!$C$103*Parametri_v3!$C$64)</f>
        <v>104176.819106328</v>
      </c>
      <c r="CE172" s="18" t="n">
        <f aca="false">IF(BA172&gt;0,Motore_Operativo!C172,(CE171))</f>
        <v>47270</v>
      </c>
      <c r="CF172" s="18" t="n">
        <f aca="false">IF(AND(CC172&gt;0,OR(CC172&gt;=CG172-0.01,Motore_Operativo!C172&gt;=EDATE(MAX(Finanziamenti!$D$15:$D$17),Ipotesi!E14*12))),CE172,0)</f>
        <v>47270</v>
      </c>
      <c r="CG172" s="15" t="n">
        <f aca="false">IF(AND(3&lt;&gt;6,3&lt;&gt;9,Finanziamenti!$F$11=1,OR(Parametri_v3!$C$6=0,Finanziamenti!$E$11=1)),MIN(Finanziamenti!$C$11,Piano_SS!$C$12*Ipotesi!$C$102),0)</f>
        <v>400000</v>
      </c>
      <c r="CH172" s="15" t="n">
        <f aca="false">IF(AND(AND(3&lt;&gt;8,3&lt;&gt;9,Finanziamenti!$F$10=1,OR(Parametri_v3!$C$6=0,Finanziamenti!$E$10=1)),Motore_Operativo!C172&gt;=Finanziamenti!$D$10,Motore_Operativo!C172&lt;Parametri_v3!$C$63),Finanziamenti!$C$10,0)</f>
        <v>150000</v>
      </c>
    </row>
    <row r="173" customFormat="false" ht="18" hidden="false" customHeight="true" outlineLevel="0" collapsed="false">
      <c r="A173" s="68" t="n">
        <f aca="false">3</f>
        <v>3</v>
      </c>
      <c r="B173" s="68" t="n">
        <f aca="false">49</f>
        <v>49</v>
      </c>
      <c r="C173" s="18" t="n">
        <f aca="false">Motore_Operativo!C173</f>
        <v>47849</v>
      </c>
      <c r="D173" s="68" t="n">
        <f aca="false">Motore_Operativo!D173</f>
        <v>2031</v>
      </c>
      <c r="E173" s="68" t="n">
        <f aca="false">Motore_Operativo!E173</f>
        <v>1</v>
      </c>
      <c r="F173" s="15" t="n">
        <f aca="false">Motore_Operativo!AQ173+Motore_Operativo!BF173</f>
        <v>197862.887237668</v>
      </c>
      <c r="G173" s="15" t="n">
        <f aca="false">Motore_Operativo!BH173</f>
        <v>12152.6086956522</v>
      </c>
      <c r="H173" s="15" t="n">
        <f aca="false">Motore_Operativo!BI173</f>
        <v>210015.49593332</v>
      </c>
      <c r="I173" s="15" t="n">
        <f aca="false">Motore_Operativo!CA173</f>
        <v>199884.077461643</v>
      </c>
      <c r="J173" s="15" t="n">
        <f aca="false">Motore_Operativo!CC173</f>
        <v>10131.4184716766</v>
      </c>
      <c r="K173" s="15" t="n">
        <f aca="false">Motore_Operativo!CE173</f>
        <v>4166.66666666667</v>
      </c>
      <c r="L173" s="15" t="n">
        <f aca="false">SUM(INDEX($K$125:$K$184,MAX(1,49-Parametri_v3!$C$59+1)):K173)/Parametri_v3!$C$59</f>
        <v>2696.75925925926</v>
      </c>
      <c r="M173" s="15" t="n">
        <f aca="false">J173-L173</f>
        <v>7434.65921241736</v>
      </c>
      <c r="N173" s="15" t="n">
        <f aca="false">CD173-(CD172)</f>
        <v>0</v>
      </c>
      <c r="O173" s="15" t="n">
        <f aca="false">(BG172)*Ipotesi!$C$110/12+CH173*Parametri_v3!$C$39/12</f>
        <v>0</v>
      </c>
      <c r="P173" s="15" t="n">
        <f aca="false">M173+N173-O173</f>
        <v>7434.65921241736</v>
      </c>
      <c r="Q173" s="15" t="n">
        <f aca="false">SUM(P173)+Parametri_v3!$C$54*1/12</f>
        <v>7434.65921241736</v>
      </c>
      <c r="R173" s="15" t="n">
        <f aca="false">Z172</f>
        <v>814321.883587488</v>
      </c>
      <c r="S173" s="15" t="n">
        <f aca="false">AA172</f>
        <v>91070.1662804939</v>
      </c>
      <c r="T173" s="15" t="n">
        <f aca="false">MIN(R173,MAX(0,Q173))</f>
        <v>7434.65921241736</v>
      </c>
      <c r="U173" s="15" t="n">
        <f aca="false">MIN(S173,MAX(0,Q173-T173)*Parametri_v3!$C$42)</f>
        <v>0</v>
      </c>
      <c r="V173" s="15" t="n">
        <f aca="false">MAX(0,Q173-T173-U173)*Ipotesi!$C$92</f>
        <v>0</v>
      </c>
      <c r="W173" s="15" t="n">
        <f aca="false">MAX(0,SUM(M173)+Parametri_v3!$C$55*1/12)*Ipotesi!$C$93</f>
        <v>289.951709284277</v>
      </c>
      <c r="X173" s="15" t="n">
        <f aca="false">V173+W173-(0)</f>
        <v>289.951709284277</v>
      </c>
      <c r="Y173" s="15" t="n">
        <f aca="false">P173-X173</f>
        <v>7144.70750313308</v>
      </c>
      <c r="Z173" s="15" t="n">
        <f aca="false">R173-T173+IF(AND(Parametri_v3!$C$40=1,D173-YEAR(Parametri_v3!$C$50)&lt;Parametri_v3!$C$41),MAX(0,-Q173),0)</f>
        <v>806887.224375071</v>
      </c>
      <c r="AA173" s="15" t="n">
        <f aca="false">S173-U173+IF(AND(Parametri_v3!$C$40=1,D173-YEAR(Parametri_v3!$C$50)&lt;Parametri_v3!$C$41),0,MAX(0,-Q173))</f>
        <v>91070.1662804939</v>
      </c>
      <c r="AB173" s="15" t="n">
        <f aca="false">F173*(1+Parametri_v3!$C$26)</f>
        <v>241392.722429954</v>
      </c>
      <c r="AC173" s="15" t="n">
        <f aca="false">(IF(49-(INT((Motore_Operativo!L173)/30))&lt;1,0,INDEX(Motore_Startup!$AB$125:$AB$184,MAX(1,49-(INT((Motore_Operativo!L173)/30)))))*(1-(MOD((Motore_Operativo!L173),30)/30))+IF(49-(INT((Motore_Operativo!L173)/30))-1&lt;1,0,INDEX(Motore_Startup!$AB$125:$AB$184,MAX(1,49-(INT((Motore_Operativo!L173)/30))-1)))*(MOD((Motore_Operativo!L173),30)/30))</f>
        <v>192782.362158993</v>
      </c>
      <c r="AD173" s="15" t="n">
        <f aca="false">(AD172)+AB173-AC173</f>
        <v>640215.987907971</v>
      </c>
      <c r="AE173" s="15" t="n">
        <f aca="false">Motore_Operativo!BH173*(1+Parametri_v3!$C$26)</f>
        <v>14826.1826086957</v>
      </c>
      <c r="AF173" s="15" t="n">
        <f aca="false">(IF(49-(INT((Parametri_v3!$C$29)/30))&lt;1,0,INDEX(Motore_Operativo!$BH$125:$BH$184,MAX(1,49-(INT((Parametri_v3!$C$29)/30)))))*(1-(MOD((Parametri_v3!$C$29),30)/30))+IF(49-(INT((Parametri_v3!$C$29)/30))-1&lt;1,0,INDEX(Motore_Operativo!$BH$125:$BH$184,MAX(1,49-(INT((Parametri_v3!$C$29)/30))-1)))*(MOD((Parametri_v3!$C$29),30)/30))*(1+Parametri_v3!$C$26)</f>
        <v>11009.4833333333</v>
      </c>
      <c r="AG173" s="15" t="n">
        <f aca="false">(AG172)+AE173-AF173</f>
        <v>14826.1826086956</v>
      </c>
      <c r="AH173" s="15" t="n">
        <f aca="false">(Motore_Operativo!CJ173)*(1+Parametri_v3!$C$27*Parametri_v3!$C$26)</f>
        <v>95442.8112301411</v>
      </c>
      <c r="AI173" s="15" t="n">
        <f aca="false">(IF(49-(INT((Ipotesi!$C$91)/30))&lt;1,0,INDEX(Motore_Startup!$AH$125:$AH$184,MAX(1,49-(INT((Ipotesi!$C$91)/30)))))*(1-(MOD((Ipotesi!$C$91),30)/30))+IF(49-(INT((Ipotesi!$C$91)/30))-1&lt;1,0,INDEX(Motore_Startup!$AH$125:$AH$184,MAX(1,49-(INT((Ipotesi!$C$91)/30))-1)))*(MOD((Ipotesi!$C$91),30)/30))</f>
        <v>77556.2027209178</v>
      </c>
      <c r="AJ173" s="15" t="n">
        <f aca="false">(AJ172)+AH173-AI173</f>
        <v>173597.491153051</v>
      </c>
      <c r="AK173" s="15" t="n">
        <f aca="false">(F173+ Motore_Operativo!BH173-(Motore_Operativo!CJ173)*Parametri_v3!$C$27-Motore_Operativo!CE173)*Parametri_v3!$C$26</f>
        <v>30250.6803493322</v>
      </c>
      <c r="AL173" s="15" t="n">
        <f aca="false">MAX(0,(AM172))</f>
        <v>25295.1202139755</v>
      </c>
      <c r="AM173" s="15" t="n">
        <f aca="false">(AM172)+AK173-AL173</f>
        <v>30250.6803493322</v>
      </c>
      <c r="AN173" s="15" t="n">
        <f aca="false">SUM(X161:X172)</f>
        <v>0</v>
      </c>
      <c r="AO173" s="15" t="n">
        <f aca="false">SUM(AP161:AP172)</f>
        <v>0</v>
      </c>
      <c r="AP173" s="15" t="n">
        <f aca="false">MAX(0,AN173)*IF(1=Parametri_v3!$C$43,Parametri_v3!$C$45,IF(1=Parametri_v3!$C$44,1-Parametri_v3!$C$45,0))</f>
        <v>0</v>
      </c>
      <c r="AQ173" s="15" t="n">
        <f aca="false">MAX(0,AP173+IF(1=Parametri_v3!$C$43,MAX(0,AN173-AO173),0)-MAX(0,-(AR172)))</f>
        <v>0</v>
      </c>
      <c r="AR173" s="15" t="n">
        <f aca="false">(AR172)+X173-AQ173</f>
        <v>289.951709284277</v>
      </c>
      <c r="AS173" s="15" t="n">
        <f aca="false">Motore_Operativo!AB173-AT173+AU173</f>
        <v>113503.461904792</v>
      </c>
      <c r="AT173" s="15" t="n">
        <f aca="false">Motore_Operativo!CH173</f>
        <v>5973.86641604167</v>
      </c>
      <c r="AU173" s="15" t="n">
        <f aca="false">MIN(MAX(0,(AV172)+AT173),Parametri_v3!$C$60/12)</f>
        <v>0</v>
      </c>
      <c r="AV173" s="15" t="n">
        <f aca="false">(AV172)+AT173-AU173</f>
        <v>143029.416791042</v>
      </c>
      <c r="AW173" s="15" t="n">
        <f aca="false">IF(AND(Motore_Operativo!C173=Finanziamenti!$D$6,Finanziamenti!$F$6=1),Finanziamenti!$C$6,0)</f>
        <v>0</v>
      </c>
      <c r="AX173" s="15" t="n">
        <f aca="false">IF(AND(3&lt;&gt;7,3&lt;&gt;9,Finanziamenti!$F$8=1,OR(Parametri_v3!$C$6=0,Finanziamenti!$E$8=1),Motore_Operativo!C173=EDATE(Finanziamenti!$D$8,Ipotesi!E15*12)),Finanziamenti!$C$8*1,0)+IF(AND(3&lt;&gt;7,3&lt;&gt;9,Finanziamenti!$F$9=1,OR(Parametri_v3!$C$6=0,Finanziamenti!$E$9=1),Motore_Operativo!C173=EDATE(Finanziamenti!$D$9,Ipotesi!E15*12)),Finanziamenti!$C$9*Ipotesi!E16,0)</f>
        <v>0</v>
      </c>
      <c r="AY173" s="15" t="n">
        <f aca="false">0</f>
        <v>0</v>
      </c>
      <c r="AZ173" s="15" t="n">
        <f aca="false">Motore_Advisory!AY173*(1-Ipotesi!$C$95)*Ipotesi!$C$96</f>
        <v>0</v>
      </c>
      <c r="BA173" s="15" t="n">
        <f aca="false">MAX(0,MIN(CG173*MIN(1,IF(Motore_Operativo!C173&gt;=EDATE(Finanziamenti!$D$15,Ipotesi!E14*12),Finanziamenti!$C$15,0)+IF(Motore_Operativo!C173&gt;=EDATE(Finanziamenti!$D$16,Ipotesi!E14*12),Finanziamenti!$C$16,0)+IF(Motore_Operativo!C173&gt;=EDATE(Finanziamenti!$D$17,Ipotesi!E14*12),Finanziamenti!$C$17,0)),CA173*Ipotesi!$C$102)-(CC172))</f>
        <v>0</v>
      </c>
      <c r="BB173" s="15" t="n">
        <f aca="false">IF(AND(CF173&gt;0,Motore_Operativo!C173&gt;=IF(CF173=0,0,EDATE(CF173,Parametri_v3!$C$37)),MOD(((D173-YEAR(IF(CF173=0,0,EDATE(CF173,Parametri_v3!$C$37))))*12+E173-MONTH(IF(CF173=0,0,EDATE(CF173,Parametri_v3!$C$37)))),Parametri_v3!$C$38)=0),MIN(MAX(0,(BC172)+BA173-N173),(CC173-CD173)/(Ipotesi!$C$108*12/Parametri_v3!$C$38)),0)</f>
        <v>0</v>
      </c>
      <c r="BC173" s="15" t="n">
        <f aca="false">(BC172)+BA173-N173-BB173</f>
        <v>240371.320123289</v>
      </c>
      <c r="BD173" s="15" t="n">
        <f aca="false">(BH172)+AC173+AF173-AI173-AS173-K173*(1+Parametri_v3!$C$26)-AL173-AQ173-O173+AW173+AX173+AZ173+BA173-BB173</f>
        <v>347305.900575964</v>
      </c>
      <c r="BE173" s="15" t="n">
        <f aca="false">MAX(0,MIN(MAX(0,CH173-(BG172)),Parametri_v3!$C$30-BD173))</f>
        <v>0</v>
      </c>
      <c r="BF173" s="15" t="n">
        <f aca="false">IF(Motore_Operativo!C173&gt;=Parametri_v3!$C$63,(BG172),MIN((BG172),MAX(0,BD173-Parametri_v3!$C$30)))</f>
        <v>0</v>
      </c>
      <c r="BG173" s="15" t="n">
        <f aca="false">(BG172)+BE173-BF173</f>
        <v>0</v>
      </c>
      <c r="BH173" s="15" t="n">
        <f aca="false">BD173+BE173-BF173-AY173</f>
        <v>347305.900575964</v>
      </c>
      <c r="BI173" s="15" t="n">
        <f aca="false">MAX(0,Parametri_v3!$C$30-BH173)</f>
        <v>0</v>
      </c>
      <c r="BJ173" s="15" t="n">
        <f aca="false">(BJ172)+K173</f>
        <v>119166.666666667</v>
      </c>
      <c r="BK173" s="15" t="n">
        <f aca="false">(BK172)+L173</f>
        <v>66516.2037037037</v>
      </c>
      <c r="BL173" s="15" t="n">
        <f aca="false">BJ173-BK173</f>
        <v>52650.4629629629</v>
      </c>
      <c r="BM173" s="15" t="n">
        <f aca="false">(BM172)+Y173</f>
        <v>-898247.342364849</v>
      </c>
      <c r="BN173" s="15" t="n">
        <f aca="false">(BN172)+AW173+AX173+AZ173</f>
        <v>1365707.01629444</v>
      </c>
      <c r="BO173" s="15" t="n">
        <f aca="false">(BO172)+AY173</f>
        <v>0</v>
      </c>
      <c r="BP173" s="15" t="n">
        <f aca="false">0</f>
        <v>0</v>
      </c>
      <c r="BQ173" s="15" t="n">
        <f aca="false">BN173+BM173-BO173</f>
        <v>467459.673929596</v>
      </c>
      <c r="BR173" s="15" t="n">
        <f aca="false">BH173+AD173+BL173+MAX(0,-AM173)+MAX(0,-AR173)+AG173</f>
        <v>1054998.53405559</v>
      </c>
      <c r="BS173" s="15" t="n">
        <f aca="false">AJ173+AV173+MAX(0,AM173)+MAX(0,AR173)+BC173+BG173+BQ173</f>
        <v>1054998.53405559</v>
      </c>
      <c r="BT173" s="15" t="n">
        <f aca="false">BR173-BS173</f>
        <v>0</v>
      </c>
      <c r="BU173" s="15" t="n">
        <f aca="false">BH173-(BD173+BE173-BF173-AY173)</f>
        <v>0</v>
      </c>
      <c r="BV173" s="15" t="n">
        <f aca="false">MIN(Piano_SS!$C$6,(BV172)+IF(AND(Motore_Operativo!C173&gt;=EDATE(Parametri_v3!$C$24,Ipotesi!E14*12),Motore_Operativo!C173&lt;EDATE(Parametri_v3!$C$24,Parametri_v3!$C$25+Ipotesi!E14*12)),MAX(0,(Motore_Operativo!Y173+Motore_Operativo!X173*Parametri_v3!$C$14)*(1-Parametri_v3!$C$32))*Piano_SS!$D$6,0))</f>
        <v>300000</v>
      </c>
      <c r="BW173" s="15" t="n">
        <f aca="false">MIN(Piano_SS!$C$7,(BW172)+IF(AND(Motore_Operativo!C173&gt;=EDATE(Parametri_v3!$C$24,Ipotesi!E14*12),Motore_Operativo!C173&lt;EDATE(Parametri_v3!$C$24,Parametri_v3!$C$25+Ipotesi!E14*12)),MAX(0,(IF(49-(INT((Ipotesi!$C$91)/30))&lt;1,0,INDEX(Motore_Operativo!$BN$125:$BN$184,MAX(1,49-(INT((Ipotesi!$C$91)/30)))))*(1-(MOD((Ipotesi!$C$91),30)/30))+IF(49-(INT((Ipotesi!$C$91)/30))-1&lt;1,0,INDEX(Motore_Operativo!$BN$125:$BN$184,MAX(1,49-(INT((Ipotesi!$C$91)/30))-1)))*(MOD((Ipotesi!$C$91),30)/30)))*Piano_SS!$D$7,0))</f>
        <v>44070.0796097004</v>
      </c>
      <c r="BX173" s="15" t="n">
        <f aca="false">MIN(Piano_SS!$C$8,(BX172)+IF(AND(Motore_Operativo!C173&gt;=EDATE(Parametri_v3!$C$24,Ipotesi!E14*12),Motore_Operativo!C173&lt;EDATE(Parametri_v3!$C$24,Parametri_v3!$C$25+Ipotesi!E14*12)),MAX(0,Motore_Operativo!CE173)*Piano_SS!$D$8,0))</f>
        <v>50000</v>
      </c>
      <c r="BY173" s="15" t="n">
        <f aca="false">MIN(Piano_SS!$C$9,(BY172)+IF(AND(Motore_Operativo!C173&gt;=EDATE(Parametri_v3!$C$24,Ipotesi!E14*12),Motore_Operativo!C173&lt;EDATE(Parametri_v3!$C$24,Parametri_v3!$C$25+Ipotesi!E14*12)),MAX(0,((IF(49-(INT((Ipotesi!$C$91)/30))&lt;1,0,INDEX(Motore_Operativo!$BQ$125:$BQ$184,MAX(1,49-(INT((Ipotesi!$C$91)/30)))))*(1-(MOD((Ipotesi!$C$91),30)/30))+IF(49-(INT((Ipotesi!$C$91)/30))-1&lt;1,0,INDEX(Motore_Operativo!$BQ$125:$BQ$184,MAX(1,49-(INT((Ipotesi!$C$91)/30))-1)))*(MOD((Ipotesi!$C$91),30)/30))+(IF(49-(INT((Ipotesi!$C$91)/30))&lt;1,0,INDEX(Motore_Operativo!$BR$125:$BR$184,MAX(1,49-(INT((Ipotesi!$C$91)/30)))))*(1-(MOD((Ipotesi!$C$91),30)/30))+IF(49-(INT((Ipotesi!$C$91)/30))-1&lt;1,0,INDEX(Motore_Operativo!$BR$125:$BR$184,MAX(1,49-(INT((Ipotesi!$C$91)/30))-1)))*(MOD((Ipotesi!$C$91),30)/30))))*Piano_SS!$D$9,0))</f>
        <v>40000</v>
      </c>
      <c r="BZ173" s="15" t="n">
        <f aca="false">MIN(Piano_SS!$C$10,(BZ172)+IF(AND(Motore_Operativo!C173&gt;=EDATE(Parametri_v3!$C$24,Ipotesi!E14*12),Motore_Operativo!C173&lt;EDATE(Parametri_v3!$C$24,Parametri_v3!$C$25+Ipotesi!E14*12)),MAX(0,(IF(49-(INT((Ipotesi!$C$91)/30))&lt;1,0,INDEX(Motore_Operativo!$BO$125:$BO$184,MAX(1,49-(INT((Ipotesi!$C$91)/30)))))*(1-(MOD((Ipotesi!$C$91),30)/30))+IF(49-(INT((Ipotesi!$C$91)/30))-1&lt;1,0,INDEX(Motore_Operativo!$BO$125:$BO$184,MAX(1,49-(INT((Ipotesi!$C$91)/30))-1)))*(MOD((Ipotesi!$C$91),30)/30)))*Piano_SS!$D$10,0))</f>
        <v>30000</v>
      </c>
      <c r="CA173" s="15" t="n">
        <f aca="false">SUM(BV173:BZ173)</f>
        <v>464070.0796097</v>
      </c>
      <c r="CB173" s="15" t="n">
        <f aca="false">BV173*(1-Piano_SS!$E$6)+BW173*(1-Piano_SS!$E$7)+BX173*(1-Piano_SS!$E$8)+BY173*(1-Piano_SS!$E$9)+BZ173*(1-Piano_SS!$E$10)</f>
        <v>434070.0796097</v>
      </c>
      <c r="CC173" s="15" t="n">
        <f aca="false">(CC172)+BA173</f>
        <v>371256.06368776</v>
      </c>
      <c r="CD173" s="15" t="n">
        <f aca="false">IF(CA173=0,0,CC173*CB173/CA173*Ipotesi!$C$103*Parametri_v3!$C$64)</f>
        <v>104176.819106328</v>
      </c>
      <c r="CE173" s="18" t="n">
        <f aca="false">IF(BA173&gt;0,Motore_Operativo!C173,(CE172))</f>
        <v>47270</v>
      </c>
      <c r="CF173" s="18" t="n">
        <f aca="false">IF(AND(CC173&gt;0,OR(CC173&gt;=CG173-0.01,Motore_Operativo!C173&gt;=EDATE(MAX(Finanziamenti!$D$15:$D$17),Ipotesi!E14*12))),CE173,0)</f>
        <v>47270</v>
      </c>
      <c r="CG173" s="15" t="n">
        <f aca="false">IF(AND(3&lt;&gt;6,3&lt;&gt;9,Finanziamenti!$F$11=1,OR(Parametri_v3!$C$6=0,Finanziamenti!$E$11=1)),MIN(Finanziamenti!$C$11,Piano_SS!$C$12*Ipotesi!$C$102),0)</f>
        <v>400000</v>
      </c>
      <c r="CH173" s="15" t="n">
        <f aca="false">IF(AND(AND(3&lt;&gt;8,3&lt;&gt;9,Finanziamenti!$F$10=1,OR(Parametri_v3!$C$6=0,Finanziamenti!$E$10=1)),Motore_Operativo!C173&gt;=Finanziamenti!$D$10,Motore_Operativo!C173&lt;Parametri_v3!$C$63),Finanziamenti!$C$10,0)</f>
        <v>150000</v>
      </c>
    </row>
    <row r="174" customFormat="false" ht="18" hidden="false" customHeight="true" outlineLevel="0" collapsed="false">
      <c r="A174" s="68" t="n">
        <f aca="false">3</f>
        <v>3</v>
      </c>
      <c r="B174" s="68" t="n">
        <f aca="false">50</f>
        <v>50</v>
      </c>
      <c r="C174" s="18" t="n">
        <f aca="false">Motore_Operativo!C174</f>
        <v>47880</v>
      </c>
      <c r="D174" s="68" t="n">
        <f aca="false">Motore_Operativo!D174</f>
        <v>2031</v>
      </c>
      <c r="E174" s="68" t="n">
        <f aca="false">Motore_Operativo!E174</f>
        <v>2</v>
      </c>
      <c r="F174" s="15" t="n">
        <f aca="false">Motore_Operativo!AQ174+Motore_Operativo!BF174</f>
        <v>201171.165167742</v>
      </c>
      <c r="G174" s="15" t="n">
        <f aca="false">Motore_Operativo!BH174</f>
        <v>12152.6086956522</v>
      </c>
      <c r="H174" s="15" t="n">
        <f aca="false">Motore_Operativo!BI174</f>
        <v>213323.773863394</v>
      </c>
      <c r="I174" s="15" t="n">
        <f aca="false">Motore_Operativo!CA174</f>
        <v>200347.236371854</v>
      </c>
      <c r="J174" s="15" t="n">
        <f aca="false">Motore_Operativo!CC174</f>
        <v>12976.5374915408</v>
      </c>
      <c r="K174" s="15" t="n">
        <f aca="false">Motore_Operativo!CE174</f>
        <v>4166.66666666667</v>
      </c>
      <c r="L174" s="15" t="n">
        <f aca="false">SUM(INDEX($K$125:$K$184,MAX(1,50-Parametri_v3!$C$59+1)):K174)/Parametri_v3!$C$59</f>
        <v>2754.62962962963</v>
      </c>
      <c r="M174" s="15" t="n">
        <f aca="false">J174-L174</f>
        <v>10221.9078619112</v>
      </c>
      <c r="N174" s="15" t="n">
        <f aca="false">CD174-(CD173)</f>
        <v>0</v>
      </c>
      <c r="O174" s="15" t="n">
        <f aca="false">(BG173)*Ipotesi!$C$110/12+CH174*Parametri_v3!$C$39/12</f>
        <v>0</v>
      </c>
      <c r="P174" s="15" t="n">
        <f aca="false">M174+N174-O174</f>
        <v>10221.9078619112</v>
      </c>
      <c r="Q174" s="15" t="n">
        <f aca="false">SUM(P173:P174)+Parametri_v3!$C$54*2/12</f>
        <v>17656.5670743286</v>
      </c>
      <c r="R174" s="15" t="n">
        <f aca="false">Z172</f>
        <v>814321.883587488</v>
      </c>
      <c r="S174" s="15" t="n">
        <f aca="false">AA172</f>
        <v>91070.1662804939</v>
      </c>
      <c r="T174" s="15" t="n">
        <f aca="false">MIN(R174,MAX(0,Q174))</f>
        <v>17656.5670743286</v>
      </c>
      <c r="U174" s="15" t="n">
        <f aca="false">MIN(S174,MAX(0,Q174-T174)*Parametri_v3!$C$42)</f>
        <v>0</v>
      </c>
      <c r="V174" s="15" t="n">
        <f aca="false">MAX(0,Q174-T174-U174)*Ipotesi!$C$92</f>
        <v>0</v>
      </c>
      <c r="W174" s="15" t="n">
        <f aca="false">MAX(0,SUM(M173:M174)+Parametri_v3!$C$55*2/12)*Ipotesi!$C$93</f>
        <v>688.606115898814</v>
      </c>
      <c r="X174" s="15" t="n">
        <f aca="false">V174+W174-(V173+W173)</f>
        <v>398.654406614537</v>
      </c>
      <c r="Y174" s="15" t="n">
        <f aca="false">P174-X174</f>
        <v>9823.25345529667</v>
      </c>
      <c r="Z174" s="15" t="n">
        <f aca="false">R174-T174+IF(AND(Parametri_v3!$C$40=1,D174-YEAR(Parametri_v3!$C$50)&lt;Parametri_v3!$C$41),MAX(0,-Q174),0)</f>
        <v>796665.31651316</v>
      </c>
      <c r="AA174" s="15" t="n">
        <f aca="false">S174-U174+IF(AND(Parametri_v3!$C$40=1,D174-YEAR(Parametri_v3!$C$50)&lt;Parametri_v3!$C$41),0,MAX(0,-Q174))</f>
        <v>91070.1662804939</v>
      </c>
      <c r="AB174" s="15" t="n">
        <f aca="false">F174*(1+Parametri_v3!$C$26)</f>
        <v>245428.821504645</v>
      </c>
      <c r="AC174" s="15" t="n">
        <f aca="false">(IF(50-(INT((Motore_Operativo!L174)/30))&lt;1,0,INDEX(Motore_Startup!$AB$125:$AB$184,MAX(1,50-(INT((Motore_Operativo!L174)/30)))))*(1-(MOD((Motore_Operativo!L174),30)/30))+IF(50-(INT((Motore_Operativo!L174)/30))-1&lt;1,0,INDEX(Motore_Startup!$AB$125:$AB$184,MAX(1,50-(INT((Motore_Operativo!L174)/30))-1)))*(MOD((Motore_Operativo!L174),30)/30))</f>
        <v>197214.791403015</v>
      </c>
      <c r="AD174" s="15" t="n">
        <f aca="false">(AD173)+AB174-AC174</f>
        <v>688430.018009602</v>
      </c>
      <c r="AE174" s="15" t="n">
        <f aca="false">Motore_Operativo!BH174*(1+Parametri_v3!$C$26)</f>
        <v>14826.1826086957</v>
      </c>
      <c r="AF174" s="15" t="n">
        <f aca="false">(IF(50-(INT((Parametri_v3!$C$29)/30))&lt;1,0,INDEX(Motore_Operativo!$BH$125:$BH$184,MAX(1,50-(INT((Parametri_v3!$C$29)/30)))))*(1-(MOD((Parametri_v3!$C$29),30)/30))+IF(50-(INT((Parametri_v3!$C$29)/30))-1&lt;1,0,INDEX(Motore_Operativo!$BH$125:$BH$184,MAX(1,50-(INT((Parametri_v3!$C$29)/30))-1)))*(MOD((Parametri_v3!$C$29),30)/30))*(1+Parametri_v3!$C$26)</f>
        <v>14826.1826086957</v>
      </c>
      <c r="AG174" s="15" t="n">
        <f aca="false">(AG173)+AE174-AF174</f>
        <v>14826.1826086956</v>
      </c>
      <c r="AH174" s="15" t="n">
        <f aca="false">(Motore_Operativo!CJ174)*(1+Parametri_v3!$C$27*Parametri_v3!$C$26)</f>
        <v>95992.5808565609</v>
      </c>
      <c r="AI174" s="15" t="n">
        <f aca="false">(IF(50-(INT((Ipotesi!$C$91)/30))&lt;1,0,INDEX(Motore_Startup!$AH$125:$AH$184,MAX(1,50-(INT((Ipotesi!$C$91)/30)))))*(1-(MOD((Ipotesi!$C$91),30)/30))+IF(50-(INT((Ipotesi!$C$91)/30))-1&lt;1,0,INDEX(Motore_Startup!$AH$125:$AH$184,MAX(1,50-(INT((Ipotesi!$C$91)/30))-1)))*(MOD((Ipotesi!$C$91),30)/30))</f>
        <v>78154.6799229102</v>
      </c>
      <c r="AJ174" s="15" t="n">
        <f aca="false">(AJ173)+AH174-AI174</f>
        <v>191435.392086702</v>
      </c>
      <c r="AK174" s="15" t="n">
        <f aca="false">(F174+ Motore_Operativo!BH174-(Motore_Operativo!CJ174)*Parametri_v3!$C$27-Motore_Operativo!CE174)*Parametri_v3!$C$26</f>
        <v>30891.8907777393</v>
      </c>
      <c r="AL174" s="15" t="n">
        <f aca="false">MAX(0,(AM173))</f>
        <v>30250.6803493322</v>
      </c>
      <c r="AM174" s="15" t="n">
        <f aca="false">(AM173)+AK174-AL174</f>
        <v>30891.8907777393</v>
      </c>
      <c r="AN174" s="15" t="n">
        <f aca="false">SUM(X161:X172)</f>
        <v>0</v>
      </c>
      <c r="AO174" s="15" t="n">
        <f aca="false">SUM(AP161:AP172)</f>
        <v>0</v>
      </c>
      <c r="AP174" s="15" t="n">
        <f aca="false">MAX(0,AN174)*IF(2=Parametri_v3!$C$43,Parametri_v3!$C$45,IF(2=Parametri_v3!$C$44,1-Parametri_v3!$C$45,0))</f>
        <v>0</v>
      </c>
      <c r="AQ174" s="15" t="n">
        <f aca="false">MAX(0,AP174+IF(2=Parametri_v3!$C$43,MAX(0,AN174-AO174),0)-MAX(0,-(AR173)))</f>
        <v>0</v>
      </c>
      <c r="AR174" s="15" t="n">
        <f aca="false">(AR173)+X174-AQ174</f>
        <v>688.606115898814</v>
      </c>
      <c r="AS174" s="15" t="n">
        <f aca="false">Motore_Operativo!AB174-AT174+AU174</f>
        <v>113503.461904792</v>
      </c>
      <c r="AT174" s="15" t="n">
        <f aca="false">Motore_Operativo!CH174</f>
        <v>5973.86641604167</v>
      </c>
      <c r="AU174" s="15" t="n">
        <f aca="false">MIN(MAX(0,(AV173)+AT174),Parametri_v3!$C$60/12)</f>
        <v>0</v>
      </c>
      <c r="AV174" s="15" t="n">
        <f aca="false">(AV173)+AT174-AU174</f>
        <v>149003.283207083</v>
      </c>
      <c r="AW174" s="15" t="n">
        <f aca="false">IF(AND(Motore_Operativo!C174=Finanziamenti!$D$6,Finanziamenti!$F$6=1),Finanziamenti!$C$6,0)</f>
        <v>0</v>
      </c>
      <c r="AX174" s="15" t="n">
        <f aca="false">IF(AND(3&lt;&gt;7,3&lt;&gt;9,Finanziamenti!$F$8=1,OR(Parametri_v3!$C$6=0,Finanziamenti!$E$8=1),Motore_Operativo!C174=EDATE(Finanziamenti!$D$8,Ipotesi!E15*12)),Finanziamenti!$C$8*1,0)+IF(AND(3&lt;&gt;7,3&lt;&gt;9,Finanziamenti!$F$9=1,OR(Parametri_v3!$C$6=0,Finanziamenti!$E$9=1),Motore_Operativo!C174=EDATE(Finanziamenti!$D$9,Ipotesi!E15*12)),Finanziamenti!$C$9*Ipotesi!E16,0)</f>
        <v>0</v>
      </c>
      <c r="AY174" s="15" t="n">
        <f aca="false">0</f>
        <v>0</v>
      </c>
      <c r="AZ174" s="15" t="n">
        <f aca="false">Motore_Advisory!AY174*(1-Ipotesi!$C$95)*Ipotesi!$C$96</f>
        <v>0</v>
      </c>
      <c r="BA174" s="15" t="n">
        <f aca="false">MAX(0,MIN(CG174*MIN(1,IF(Motore_Operativo!C174&gt;=EDATE(Finanziamenti!$D$15,Ipotesi!E14*12),Finanziamenti!$C$15,0)+IF(Motore_Operativo!C174&gt;=EDATE(Finanziamenti!$D$16,Ipotesi!E14*12),Finanziamenti!$C$16,0)+IF(Motore_Operativo!C174&gt;=EDATE(Finanziamenti!$D$17,Ipotesi!E14*12),Finanziamenti!$C$17,0)),CA174*Ipotesi!$C$102)-(CC173))</f>
        <v>0</v>
      </c>
      <c r="BB174" s="15" t="n">
        <f aca="false">IF(AND(CF174&gt;0,Motore_Operativo!C174&gt;=IF(CF174=0,0,EDATE(CF174,Parametri_v3!$C$37)),MOD(((D174-YEAR(IF(CF174=0,0,EDATE(CF174,Parametri_v3!$C$37))))*12+E174-MONTH(IF(CF174=0,0,EDATE(CF174,Parametri_v3!$C$37)))),Parametri_v3!$C$38)=0),MIN(MAX(0,(BC173)+BA174-N174),(CC174-CD174)/(Ipotesi!$C$108*12/Parametri_v3!$C$38)),0)</f>
        <v>0</v>
      </c>
      <c r="BC174" s="15" t="n">
        <f aca="false">(BC173)+BA174-N174-BB174</f>
        <v>240371.320123289</v>
      </c>
      <c r="BD174" s="15" t="n">
        <f aca="false">(BH173)+AC174+AF174-AI174-AS174-K174*(1+Parametri_v3!$C$26)-AL174-AQ174-O174+AW174+AX174+AZ174+BA174-BB174</f>
        <v>332354.719077307</v>
      </c>
      <c r="BE174" s="15" t="n">
        <f aca="false">MAX(0,MIN(MAX(0,CH174-(BG173)),Parametri_v3!$C$30-BD174))</f>
        <v>0</v>
      </c>
      <c r="BF174" s="15" t="n">
        <f aca="false">IF(Motore_Operativo!C174&gt;=Parametri_v3!$C$63,(BG173),MIN((BG173),MAX(0,BD174-Parametri_v3!$C$30)))</f>
        <v>0</v>
      </c>
      <c r="BG174" s="15" t="n">
        <f aca="false">(BG173)+BE174-BF174</f>
        <v>0</v>
      </c>
      <c r="BH174" s="15" t="n">
        <f aca="false">BD174+BE174-BF174-AY174</f>
        <v>332354.719077307</v>
      </c>
      <c r="BI174" s="15" t="n">
        <f aca="false">MAX(0,Parametri_v3!$C$30-BH174)</f>
        <v>0</v>
      </c>
      <c r="BJ174" s="15" t="n">
        <f aca="false">(BJ173)+K174</f>
        <v>123333.333333333</v>
      </c>
      <c r="BK174" s="15" t="n">
        <f aca="false">(BK173)+L174</f>
        <v>69270.8333333333</v>
      </c>
      <c r="BL174" s="15" t="n">
        <f aca="false">BJ174-BK174</f>
        <v>54062.4999999999</v>
      </c>
      <c r="BM174" s="15" t="n">
        <f aca="false">(BM173)+Y174</f>
        <v>-888424.088909552</v>
      </c>
      <c r="BN174" s="15" t="n">
        <f aca="false">(BN173)+AW174+AX174+AZ174</f>
        <v>1365707.01629444</v>
      </c>
      <c r="BO174" s="15" t="n">
        <f aca="false">(BO173)+AY174</f>
        <v>0</v>
      </c>
      <c r="BP174" s="15" t="n">
        <f aca="false">0</f>
        <v>0</v>
      </c>
      <c r="BQ174" s="15" t="n">
        <f aca="false">BN174+BM174-BO174</f>
        <v>477282.927384892</v>
      </c>
      <c r="BR174" s="15" t="n">
        <f aca="false">BH174+AD174+BL174+MAX(0,-AM174)+MAX(0,-AR174)+AG174</f>
        <v>1089673.4196956</v>
      </c>
      <c r="BS174" s="15" t="n">
        <f aca="false">AJ174+AV174+MAX(0,AM174)+MAX(0,AR174)+BC174+BG174+BQ174</f>
        <v>1089673.4196956</v>
      </c>
      <c r="BT174" s="15" t="n">
        <f aca="false">BR174-BS174</f>
        <v>0</v>
      </c>
      <c r="BU174" s="15" t="n">
        <f aca="false">BH174-(BD174+BE174-BF174-AY174)</f>
        <v>0</v>
      </c>
      <c r="BV174" s="15" t="n">
        <f aca="false">MIN(Piano_SS!$C$6,(BV173)+IF(AND(Motore_Operativo!C174&gt;=EDATE(Parametri_v3!$C$24,Ipotesi!E14*12),Motore_Operativo!C174&lt;EDATE(Parametri_v3!$C$24,Parametri_v3!$C$25+Ipotesi!E14*12)),MAX(0,(Motore_Operativo!Y174+Motore_Operativo!X174*Parametri_v3!$C$14)*(1-Parametri_v3!$C$32))*Piano_SS!$D$6,0))</f>
        <v>300000</v>
      </c>
      <c r="BW174" s="15" t="n">
        <f aca="false">MIN(Piano_SS!$C$7,(BW173)+IF(AND(Motore_Operativo!C174&gt;=EDATE(Parametri_v3!$C$24,Ipotesi!E14*12),Motore_Operativo!C174&lt;EDATE(Parametri_v3!$C$24,Parametri_v3!$C$25+Ipotesi!E14*12)),MAX(0,(IF(50-(INT((Ipotesi!$C$91)/30))&lt;1,0,INDEX(Motore_Operativo!$BN$125:$BN$184,MAX(1,50-(INT((Ipotesi!$C$91)/30)))))*(1-(MOD((Ipotesi!$C$91),30)/30))+IF(50-(INT((Ipotesi!$C$91)/30))-1&lt;1,0,INDEX(Motore_Operativo!$BN$125:$BN$184,MAX(1,50-(INT((Ipotesi!$C$91)/30))-1)))*(MOD((Ipotesi!$C$91),30)/30)))*Piano_SS!$D$7,0))</f>
        <v>44070.0796097004</v>
      </c>
      <c r="BX174" s="15" t="n">
        <f aca="false">MIN(Piano_SS!$C$8,(BX173)+IF(AND(Motore_Operativo!C174&gt;=EDATE(Parametri_v3!$C$24,Ipotesi!E14*12),Motore_Operativo!C174&lt;EDATE(Parametri_v3!$C$24,Parametri_v3!$C$25+Ipotesi!E14*12)),MAX(0,Motore_Operativo!CE174)*Piano_SS!$D$8,0))</f>
        <v>50000</v>
      </c>
      <c r="BY174" s="15" t="n">
        <f aca="false">MIN(Piano_SS!$C$9,(BY173)+IF(AND(Motore_Operativo!C174&gt;=EDATE(Parametri_v3!$C$24,Ipotesi!E14*12),Motore_Operativo!C174&lt;EDATE(Parametri_v3!$C$24,Parametri_v3!$C$25+Ipotesi!E14*12)),MAX(0,((IF(50-(INT((Ipotesi!$C$91)/30))&lt;1,0,INDEX(Motore_Operativo!$BQ$125:$BQ$184,MAX(1,50-(INT((Ipotesi!$C$91)/30)))))*(1-(MOD((Ipotesi!$C$91),30)/30))+IF(50-(INT((Ipotesi!$C$91)/30))-1&lt;1,0,INDEX(Motore_Operativo!$BQ$125:$BQ$184,MAX(1,50-(INT((Ipotesi!$C$91)/30))-1)))*(MOD((Ipotesi!$C$91),30)/30))+(IF(50-(INT((Ipotesi!$C$91)/30))&lt;1,0,INDEX(Motore_Operativo!$BR$125:$BR$184,MAX(1,50-(INT((Ipotesi!$C$91)/30)))))*(1-(MOD((Ipotesi!$C$91),30)/30))+IF(50-(INT((Ipotesi!$C$91)/30))-1&lt;1,0,INDEX(Motore_Operativo!$BR$125:$BR$184,MAX(1,50-(INT((Ipotesi!$C$91)/30))-1)))*(MOD((Ipotesi!$C$91),30)/30))))*Piano_SS!$D$9,0))</f>
        <v>40000</v>
      </c>
      <c r="BZ174" s="15" t="n">
        <f aca="false">MIN(Piano_SS!$C$10,(BZ173)+IF(AND(Motore_Operativo!C174&gt;=EDATE(Parametri_v3!$C$24,Ipotesi!E14*12),Motore_Operativo!C174&lt;EDATE(Parametri_v3!$C$24,Parametri_v3!$C$25+Ipotesi!E14*12)),MAX(0,(IF(50-(INT((Ipotesi!$C$91)/30))&lt;1,0,INDEX(Motore_Operativo!$BO$125:$BO$184,MAX(1,50-(INT((Ipotesi!$C$91)/30)))))*(1-(MOD((Ipotesi!$C$91),30)/30))+IF(50-(INT((Ipotesi!$C$91)/30))-1&lt;1,0,INDEX(Motore_Operativo!$BO$125:$BO$184,MAX(1,50-(INT((Ipotesi!$C$91)/30))-1)))*(MOD((Ipotesi!$C$91),30)/30)))*Piano_SS!$D$10,0))</f>
        <v>30000</v>
      </c>
      <c r="CA174" s="15" t="n">
        <f aca="false">SUM(BV174:BZ174)</f>
        <v>464070.0796097</v>
      </c>
      <c r="CB174" s="15" t="n">
        <f aca="false">BV174*(1-Piano_SS!$E$6)+BW174*(1-Piano_SS!$E$7)+BX174*(1-Piano_SS!$E$8)+BY174*(1-Piano_SS!$E$9)+BZ174*(1-Piano_SS!$E$10)</f>
        <v>434070.0796097</v>
      </c>
      <c r="CC174" s="15" t="n">
        <f aca="false">(CC173)+BA174</f>
        <v>371256.06368776</v>
      </c>
      <c r="CD174" s="15" t="n">
        <f aca="false">IF(CA174=0,0,CC174*CB174/CA174*Ipotesi!$C$103*Parametri_v3!$C$64)</f>
        <v>104176.819106328</v>
      </c>
      <c r="CE174" s="18" t="n">
        <f aca="false">IF(BA174&gt;0,Motore_Operativo!C174,(CE173))</f>
        <v>47270</v>
      </c>
      <c r="CF174" s="18" t="n">
        <f aca="false">IF(AND(CC174&gt;0,OR(CC174&gt;=CG174-0.01,Motore_Operativo!C174&gt;=EDATE(MAX(Finanziamenti!$D$15:$D$17),Ipotesi!E14*12))),CE174,0)</f>
        <v>47270</v>
      </c>
      <c r="CG174" s="15" t="n">
        <f aca="false">IF(AND(3&lt;&gt;6,3&lt;&gt;9,Finanziamenti!$F$11=1,OR(Parametri_v3!$C$6=0,Finanziamenti!$E$11=1)),MIN(Finanziamenti!$C$11,Piano_SS!$C$12*Ipotesi!$C$102),0)</f>
        <v>400000</v>
      </c>
      <c r="CH174" s="15" t="n">
        <f aca="false">IF(AND(AND(3&lt;&gt;8,3&lt;&gt;9,Finanziamenti!$F$10=1,OR(Parametri_v3!$C$6=0,Finanziamenti!$E$10=1)),Motore_Operativo!C174&gt;=Finanziamenti!$D$10,Motore_Operativo!C174&lt;Parametri_v3!$C$63),Finanziamenti!$C$10,0)</f>
        <v>150000</v>
      </c>
    </row>
    <row r="175" customFormat="false" ht="18" hidden="false" customHeight="true" outlineLevel="0" collapsed="false">
      <c r="A175" s="68" t="n">
        <f aca="false">3</f>
        <v>3</v>
      </c>
      <c r="B175" s="68" t="n">
        <f aca="false">51</f>
        <v>51</v>
      </c>
      <c r="C175" s="18" t="n">
        <f aca="false">Motore_Operativo!C175</f>
        <v>47908</v>
      </c>
      <c r="D175" s="68" t="n">
        <f aca="false">Motore_Operativo!D175</f>
        <v>2031</v>
      </c>
      <c r="E175" s="68" t="n">
        <f aca="false">Motore_Operativo!E175</f>
        <v>3</v>
      </c>
      <c r="F175" s="15" t="n">
        <f aca="false">Motore_Operativo!AQ175+Motore_Operativo!BF175</f>
        <v>204450.523419222</v>
      </c>
      <c r="G175" s="15" t="n">
        <f aca="false">Motore_Operativo!BH175</f>
        <v>12152.6086956522</v>
      </c>
      <c r="H175" s="15" t="n">
        <f aca="false">Motore_Operativo!BI175</f>
        <v>216603.132114874</v>
      </c>
      <c r="I175" s="15" t="n">
        <f aca="false">Motore_Operativo!CA175</f>
        <v>200806.346527061</v>
      </c>
      <c r="J175" s="15" t="n">
        <f aca="false">Motore_Operativo!CC175</f>
        <v>15796.7855878136</v>
      </c>
      <c r="K175" s="15" t="n">
        <f aca="false">Motore_Operativo!CE175</f>
        <v>4166.66666666667</v>
      </c>
      <c r="L175" s="15" t="n">
        <f aca="false">SUM(INDEX($K$125:$K$184,MAX(1,51-Parametri_v3!$C$59+1)):K175)/Parametri_v3!$C$59</f>
        <v>2812.5</v>
      </c>
      <c r="M175" s="15" t="n">
        <f aca="false">J175-L175</f>
        <v>12984.2855878136</v>
      </c>
      <c r="N175" s="15" t="n">
        <f aca="false">CD175-(CD174)</f>
        <v>0</v>
      </c>
      <c r="O175" s="15" t="n">
        <f aca="false">(BG174)*Ipotesi!$C$110/12+CH175*Parametri_v3!$C$39/12</f>
        <v>0</v>
      </c>
      <c r="P175" s="15" t="n">
        <f aca="false">M175+N175-O175</f>
        <v>12984.2855878136</v>
      </c>
      <c r="Q175" s="15" t="n">
        <f aca="false">SUM(P173:P175)+Parametri_v3!$C$54*3/12</f>
        <v>30640.8526621421</v>
      </c>
      <c r="R175" s="15" t="n">
        <f aca="false">Z172</f>
        <v>814321.883587488</v>
      </c>
      <c r="S175" s="15" t="n">
        <f aca="false">AA172</f>
        <v>91070.1662804939</v>
      </c>
      <c r="T175" s="15" t="n">
        <f aca="false">MIN(R175,MAX(0,Q175))</f>
        <v>30640.8526621421</v>
      </c>
      <c r="U175" s="15" t="n">
        <f aca="false">MIN(S175,MAX(0,Q175-T175)*Parametri_v3!$C$42)</f>
        <v>0</v>
      </c>
      <c r="V175" s="15" t="n">
        <f aca="false">MAX(0,Q175-T175-U175)*Ipotesi!$C$92</f>
        <v>0</v>
      </c>
      <c r="W175" s="15" t="n">
        <f aca="false">MAX(0,SUM(M173:M175)+Parametri_v3!$C$55*3/12)*Ipotesi!$C$93</f>
        <v>1194.99325382354</v>
      </c>
      <c r="X175" s="15" t="n">
        <f aca="false">V175+W175-(V174+W174)</f>
        <v>506.387137924729</v>
      </c>
      <c r="Y175" s="15" t="n">
        <f aca="false">P175-X175</f>
        <v>12477.8984498888</v>
      </c>
      <c r="Z175" s="15" t="n">
        <f aca="false">R175-T175+IF(AND(Parametri_v3!$C$40=1,D175-YEAR(Parametri_v3!$C$50)&lt;Parametri_v3!$C$41),MAX(0,-Q175),0)</f>
        <v>783681.030925346</v>
      </c>
      <c r="AA175" s="15" t="n">
        <f aca="false">S175-U175+IF(AND(Parametri_v3!$C$40=1,D175-YEAR(Parametri_v3!$C$50)&lt;Parametri_v3!$C$41),0,MAX(0,-Q175))</f>
        <v>91070.1662804939</v>
      </c>
      <c r="AB175" s="15" t="n">
        <f aca="false">F175*(1+Parametri_v3!$C$26)</f>
        <v>249429.638571451</v>
      </c>
      <c r="AC175" s="15" t="n">
        <f aca="false">(IF(51-(INT((Motore_Operativo!L175)/30))&lt;1,0,INDEX(Motore_Startup!$AB$125:$AB$184,MAX(1,51-(INT((Motore_Operativo!L175)/30)))))*(1-(MOD((Motore_Operativo!L175),30)/30))+IF(51-(INT((Motore_Operativo!L175)/30))-1&lt;1,0,INDEX(Motore_Startup!$AB$125:$AB$184,MAX(1,51-(INT((Motore_Operativo!L175)/30))-1)))*(MOD((Motore_Operativo!L175),30)/30))</f>
        <v>201608.474075001</v>
      </c>
      <c r="AD175" s="15" t="n">
        <f aca="false">(AD174)+AB175-AC175</f>
        <v>736251.182506051</v>
      </c>
      <c r="AE175" s="15" t="n">
        <f aca="false">Motore_Operativo!BH175*(1+Parametri_v3!$C$26)</f>
        <v>14826.1826086957</v>
      </c>
      <c r="AF175" s="15" t="n">
        <f aca="false">(IF(51-(INT((Parametri_v3!$C$29)/30))&lt;1,0,INDEX(Motore_Operativo!$BH$125:$BH$184,MAX(1,51-(INT((Parametri_v3!$C$29)/30)))))*(1-(MOD((Parametri_v3!$C$29),30)/30))+IF(51-(INT((Parametri_v3!$C$29)/30))-1&lt;1,0,INDEX(Motore_Operativo!$BH$125:$BH$184,MAX(1,51-(INT((Parametri_v3!$C$29)/30))-1)))*(MOD((Parametri_v3!$C$29),30)/30))*(1+Parametri_v3!$C$26)</f>
        <v>14826.1826086957</v>
      </c>
      <c r="AG175" s="15" t="n">
        <f aca="false">(AG174)+AE175-AF175</f>
        <v>14826.1826086956</v>
      </c>
      <c r="AH175" s="15" t="n">
        <f aca="false">(Motore_Operativo!CJ175)*(1+Parametri_v3!$C$27*Parametri_v3!$C$26)</f>
        <v>96537.5446107919</v>
      </c>
      <c r="AI175" s="15" t="n">
        <f aca="false">(IF(51-(INT((Ipotesi!$C$91)/30))&lt;1,0,INDEX(Motore_Startup!$AH$125:$AH$184,MAX(1,51-(INT((Ipotesi!$C$91)/30)))))*(1-(MOD((Ipotesi!$C$91),30)/30))+IF(51-(INT((Ipotesi!$C$91)/30))-1&lt;1,0,INDEX(Motore_Startup!$AH$125:$AH$184,MAX(1,51-(INT((Ipotesi!$C$91)/30))-1)))*(MOD((Ipotesi!$C$91),30)/30))</f>
        <v>95442.8112301411</v>
      </c>
      <c r="AJ175" s="15" t="n">
        <f aca="false">(AJ174)+AH175-AI175</f>
        <v>192530.125467353</v>
      </c>
      <c r="AK175" s="15" t="n">
        <f aca="false">(F175+ Motore_Operativo!BH175-(Motore_Operativo!CJ175)*Parametri_v3!$C$27-Motore_Operativo!CE175)*Parametri_v3!$C$26</f>
        <v>31527.4959940412</v>
      </c>
      <c r="AL175" s="15" t="n">
        <f aca="false">MAX(0,(AM174))</f>
        <v>30891.8907777393</v>
      </c>
      <c r="AM175" s="15" t="n">
        <f aca="false">(AM174)+AK175-AL175</f>
        <v>31527.4959940412</v>
      </c>
      <c r="AN175" s="15" t="n">
        <f aca="false">SUM(X161:X172)</f>
        <v>0</v>
      </c>
      <c r="AO175" s="15" t="n">
        <f aca="false">SUM(AP161:AP172)</f>
        <v>0</v>
      </c>
      <c r="AP175" s="15" t="n">
        <f aca="false">MAX(0,AN175)*IF(3=Parametri_v3!$C$43,Parametri_v3!$C$45,IF(3=Parametri_v3!$C$44,1-Parametri_v3!$C$45,0))</f>
        <v>0</v>
      </c>
      <c r="AQ175" s="15" t="n">
        <f aca="false">MAX(0,AP175+IF(3=Parametri_v3!$C$43,MAX(0,AN175-AO175),0)-MAX(0,-(AR174)))</f>
        <v>0</v>
      </c>
      <c r="AR175" s="15" t="n">
        <f aca="false">(AR174)+X175-AQ175</f>
        <v>1194.99325382354</v>
      </c>
      <c r="AS175" s="15" t="n">
        <f aca="false">Motore_Operativo!AB175-AT175+AU175</f>
        <v>113503.461904792</v>
      </c>
      <c r="AT175" s="15" t="n">
        <f aca="false">Motore_Operativo!CH175</f>
        <v>5973.86641604167</v>
      </c>
      <c r="AU175" s="15" t="n">
        <f aca="false">MIN(MAX(0,(AV174)+AT175),Parametri_v3!$C$60/12)</f>
        <v>0</v>
      </c>
      <c r="AV175" s="15" t="n">
        <f aca="false">(AV174)+AT175-AU175</f>
        <v>154977.149623125</v>
      </c>
      <c r="AW175" s="15" t="n">
        <f aca="false">IF(AND(Motore_Operativo!C175=Finanziamenti!$D$6,Finanziamenti!$F$6=1),Finanziamenti!$C$6,0)</f>
        <v>0</v>
      </c>
      <c r="AX175" s="15" t="n">
        <f aca="false">IF(AND(3&lt;&gt;7,3&lt;&gt;9,Finanziamenti!$F$8=1,OR(Parametri_v3!$C$6=0,Finanziamenti!$E$8=1),Motore_Operativo!C175=EDATE(Finanziamenti!$D$8,Ipotesi!E15*12)),Finanziamenti!$C$8*1,0)+IF(AND(3&lt;&gt;7,3&lt;&gt;9,Finanziamenti!$F$9=1,OR(Parametri_v3!$C$6=0,Finanziamenti!$E$9=1),Motore_Operativo!C175=EDATE(Finanziamenti!$D$9,Ipotesi!E15*12)),Finanziamenti!$C$9*Ipotesi!E16,0)</f>
        <v>0</v>
      </c>
      <c r="AY175" s="15" t="n">
        <f aca="false">0</f>
        <v>0</v>
      </c>
      <c r="AZ175" s="15" t="n">
        <f aca="false">Motore_Advisory!AY175*(1-Ipotesi!$C$95)*Ipotesi!$C$96</f>
        <v>0</v>
      </c>
      <c r="BA175" s="15" t="n">
        <f aca="false">MAX(0,MIN(CG175*MIN(1,IF(Motore_Operativo!C175&gt;=EDATE(Finanziamenti!$D$15,Ipotesi!E14*12),Finanziamenti!$C$15,0)+IF(Motore_Operativo!C175&gt;=EDATE(Finanziamenti!$D$16,Ipotesi!E14*12),Finanziamenti!$C$16,0)+IF(Motore_Operativo!C175&gt;=EDATE(Finanziamenti!$D$17,Ipotesi!E14*12),Finanziamenti!$C$17,0)),CA175*Ipotesi!$C$102)-(CC174))</f>
        <v>0</v>
      </c>
      <c r="BB175" s="15" t="n">
        <f aca="false">IF(AND(CF175&gt;0,Motore_Operativo!C175&gt;=IF(CF175=0,0,EDATE(CF175,Parametri_v3!$C$37)),MOD(((D175-YEAR(IF(CF175=0,0,EDATE(CF175,Parametri_v3!$C$37))))*12+E175-MONTH(IF(CF175=0,0,EDATE(CF175,Parametri_v3!$C$37)))),Parametri_v3!$C$38)=0),MIN(MAX(0,(BC174)+BA175-N175),(CC175-CD175)/(Ipotesi!$C$108*12/Parametri_v3!$C$38)),0)</f>
        <v>0</v>
      </c>
      <c r="BC175" s="15" t="n">
        <f aca="false">(BC174)+BA175-N175-BB175</f>
        <v>240371.320123289</v>
      </c>
      <c r="BD175" s="15" t="n">
        <f aca="false">(BH174)+AC175+AF175-AI175-AS175-K175*(1+Parametri_v3!$C$26)-AL175-AQ175-O175+AW175+AX175+AZ175+BA175-BB175</f>
        <v>303867.878514998</v>
      </c>
      <c r="BE175" s="15" t="n">
        <f aca="false">MAX(0,MIN(MAX(0,CH175-(BG174)),Parametri_v3!$C$30-BD175))</f>
        <v>0</v>
      </c>
      <c r="BF175" s="15" t="n">
        <f aca="false">IF(Motore_Operativo!C175&gt;=Parametri_v3!$C$63,(BG174),MIN((BG174),MAX(0,BD175-Parametri_v3!$C$30)))</f>
        <v>0</v>
      </c>
      <c r="BG175" s="15" t="n">
        <f aca="false">(BG174)+BE175-BF175</f>
        <v>0</v>
      </c>
      <c r="BH175" s="15" t="n">
        <f aca="false">BD175+BE175-BF175-AY175</f>
        <v>303867.878514998</v>
      </c>
      <c r="BI175" s="15" t="n">
        <f aca="false">MAX(0,Parametri_v3!$C$30-BH175)</f>
        <v>0</v>
      </c>
      <c r="BJ175" s="15" t="n">
        <f aca="false">(BJ174)+K175</f>
        <v>127500</v>
      </c>
      <c r="BK175" s="15" t="n">
        <f aca="false">(BK174)+L175</f>
        <v>72083.3333333333</v>
      </c>
      <c r="BL175" s="15" t="n">
        <f aca="false">BJ175-BK175</f>
        <v>55416.6666666666</v>
      </c>
      <c r="BM175" s="15" t="n">
        <f aca="false">(BM174)+Y175</f>
        <v>-875946.190459664</v>
      </c>
      <c r="BN175" s="15" t="n">
        <f aca="false">(BN174)+AW175+AX175+AZ175</f>
        <v>1365707.01629444</v>
      </c>
      <c r="BO175" s="15" t="n">
        <f aca="false">(BO174)+AY175</f>
        <v>0</v>
      </c>
      <c r="BP175" s="15" t="n">
        <f aca="false">0</f>
        <v>0</v>
      </c>
      <c r="BQ175" s="15" t="n">
        <f aca="false">BN175+BM175-BO175</f>
        <v>489760.825834781</v>
      </c>
      <c r="BR175" s="15" t="n">
        <f aca="false">BH175+AD175+BL175+MAX(0,-AM175)+MAX(0,-AR175)+AG175</f>
        <v>1110361.91029641</v>
      </c>
      <c r="BS175" s="15" t="n">
        <f aca="false">AJ175+AV175+MAX(0,AM175)+MAX(0,AR175)+BC175+BG175+BQ175</f>
        <v>1110361.91029641</v>
      </c>
      <c r="BT175" s="15" t="n">
        <f aca="false">BR175-BS175</f>
        <v>0</v>
      </c>
      <c r="BU175" s="15" t="n">
        <f aca="false">BH175-(BD175+BE175-BF175-AY175)</f>
        <v>0</v>
      </c>
      <c r="BV175" s="15" t="n">
        <f aca="false">MIN(Piano_SS!$C$6,(BV174)+IF(AND(Motore_Operativo!C175&gt;=EDATE(Parametri_v3!$C$24,Ipotesi!E14*12),Motore_Operativo!C175&lt;EDATE(Parametri_v3!$C$24,Parametri_v3!$C$25+Ipotesi!E14*12)),MAX(0,(Motore_Operativo!Y175+Motore_Operativo!X175*Parametri_v3!$C$14)*(1-Parametri_v3!$C$32))*Piano_SS!$D$6,0))</f>
        <v>300000</v>
      </c>
      <c r="BW175" s="15" t="n">
        <f aca="false">MIN(Piano_SS!$C$7,(BW174)+IF(AND(Motore_Operativo!C175&gt;=EDATE(Parametri_v3!$C$24,Ipotesi!E14*12),Motore_Operativo!C175&lt;EDATE(Parametri_v3!$C$24,Parametri_v3!$C$25+Ipotesi!E14*12)),MAX(0,(IF(51-(INT((Ipotesi!$C$91)/30))&lt;1,0,INDEX(Motore_Operativo!$BN$125:$BN$184,MAX(1,51-(INT((Ipotesi!$C$91)/30)))))*(1-(MOD((Ipotesi!$C$91),30)/30))+IF(51-(INT((Ipotesi!$C$91)/30))-1&lt;1,0,INDEX(Motore_Operativo!$BN$125:$BN$184,MAX(1,51-(INT((Ipotesi!$C$91)/30))-1)))*(MOD((Ipotesi!$C$91),30)/30)))*Piano_SS!$D$7,0))</f>
        <v>44070.0796097004</v>
      </c>
      <c r="BX175" s="15" t="n">
        <f aca="false">MIN(Piano_SS!$C$8,(BX174)+IF(AND(Motore_Operativo!C175&gt;=EDATE(Parametri_v3!$C$24,Ipotesi!E14*12),Motore_Operativo!C175&lt;EDATE(Parametri_v3!$C$24,Parametri_v3!$C$25+Ipotesi!E14*12)),MAX(0,Motore_Operativo!CE175)*Piano_SS!$D$8,0))</f>
        <v>50000</v>
      </c>
      <c r="BY175" s="15" t="n">
        <f aca="false">MIN(Piano_SS!$C$9,(BY174)+IF(AND(Motore_Operativo!C175&gt;=EDATE(Parametri_v3!$C$24,Ipotesi!E14*12),Motore_Operativo!C175&lt;EDATE(Parametri_v3!$C$24,Parametri_v3!$C$25+Ipotesi!E14*12)),MAX(0,((IF(51-(INT((Ipotesi!$C$91)/30))&lt;1,0,INDEX(Motore_Operativo!$BQ$125:$BQ$184,MAX(1,51-(INT((Ipotesi!$C$91)/30)))))*(1-(MOD((Ipotesi!$C$91),30)/30))+IF(51-(INT((Ipotesi!$C$91)/30))-1&lt;1,0,INDEX(Motore_Operativo!$BQ$125:$BQ$184,MAX(1,51-(INT((Ipotesi!$C$91)/30))-1)))*(MOD((Ipotesi!$C$91),30)/30))+(IF(51-(INT((Ipotesi!$C$91)/30))&lt;1,0,INDEX(Motore_Operativo!$BR$125:$BR$184,MAX(1,51-(INT((Ipotesi!$C$91)/30)))))*(1-(MOD((Ipotesi!$C$91),30)/30))+IF(51-(INT((Ipotesi!$C$91)/30))-1&lt;1,0,INDEX(Motore_Operativo!$BR$125:$BR$184,MAX(1,51-(INT((Ipotesi!$C$91)/30))-1)))*(MOD((Ipotesi!$C$91),30)/30))))*Piano_SS!$D$9,0))</f>
        <v>40000</v>
      </c>
      <c r="BZ175" s="15" t="n">
        <f aca="false">MIN(Piano_SS!$C$10,(BZ174)+IF(AND(Motore_Operativo!C175&gt;=EDATE(Parametri_v3!$C$24,Ipotesi!E14*12),Motore_Operativo!C175&lt;EDATE(Parametri_v3!$C$24,Parametri_v3!$C$25+Ipotesi!E14*12)),MAX(0,(IF(51-(INT((Ipotesi!$C$91)/30))&lt;1,0,INDEX(Motore_Operativo!$BO$125:$BO$184,MAX(1,51-(INT((Ipotesi!$C$91)/30)))))*(1-(MOD((Ipotesi!$C$91),30)/30))+IF(51-(INT((Ipotesi!$C$91)/30))-1&lt;1,0,INDEX(Motore_Operativo!$BO$125:$BO$184,MAX(1,51-(INT((Ipotesi!$C$91)/30))-1)))*(MOD((Ipotesi!$C$91),30)/30)))*Piano_SS!$D$10,0))</f>
        <v>30000</v>
      </c>
      <c r="CA175" s="15" t="n">
        <f aca="false">SUM(BV175:BZ175)</f>
        <v>464070.0796097</v>
      </c>
      <c r="CB175" s="15" t="n">
        <f aca="false">BV175*(1-Piano_SS!$E$6)+BW175*(1-Piano_SS!$E$7)+BX175*(1-Piano_SS!$E$8)+BY175*(1-Piano_SS!$E$9)+BZ175*(1-Piano_SS!$E$10)</f>
        <v>434070.0796097</v>
      </c>
      <c r="CC175" s="15" t="n">
        <f aca="false">(CC174)+BA175</f>
        <v>371256.06368776</v>
      </c>
      <c r="CD175" s="15" t="n">
        <f aca="false">IF(CA175=0,0,CC175*CB175/CA175*Ipotesi!$C$103*Parametri_v3!$C$64)</f>
        <v>104176.819106328</v>
      </c>
      <c r="CE175" s="18" t="n">
        <f aca="false">IF(BA175&gt;0,Motore_Operativo!C175,(CE174))</f>
        <v>47270</v>
      </c>
      <c r="CF175" s="18" t="n">
        <f aca="false">IF(AND(CC175&gt;0,OR(CC175&gt;=CG175-0.01,Motore_Operativo!C175&gt;=EDATE(MAX(Finanziamenti!$D$15:$D$17),Ipotesi!E14*12))),CE175,0)</f>
        <v>47270</v>
      </c>
      <c r="CG175" s="15" t="n">
        <f aca="false">IF(AND(3&lt;&gt;6,3&lt;&gt;9,Finanziamenti!$F$11=1,OR(Parametri_v3!$C$6=0,Finanziamenti!$E$11=1)),MIN(Finanziamenti!$C$11,Piano_SS!$C$12*Ipotesi!$C$102),0)</f>
        <v>400000</v>
      </c>
      <c r="CH175" s="15" t="n">
        <f aca="false">IF(AND(AND(3&lt;&gt;8,3&lt;&gt;9,Finanziamenti!$F$10=1,OR(Parametri_v3!$C$6=0,Finanziamenti!$E$10=1)),Motore_Operativo!C175&gt;=Finanziamenti!$D$10,Motore_Operativo!C175&lt;Parametri_v3!$C$63),Finanziamenti!$C$10,0)</f>
        <v>150000</v>
      </c>
    </row>
    <row r="176" customFormat="false" ht="18" hidden="false" customHeight="true" outlineLevel="0" collapsed="false">
      <c r="A176" s="68" t="n">
        <f aca="false">3</f>
        <v>3</v>
      </c>
      <c r="B176" s="68" t="n">
        <f aca="false">52</f>
        <v>52</v>
      </c>
      <c r="C176" s="18" t="n">
        <f aca="false">Motore_Operativo!C176</f>
        <v>47939</v>
      </c>
      <c r="D176" s="68" t="n">
        <f aca="false">Motore_Operativo!D176</f>
        <v>2031</v>
      </c>
      <c r="E176" s="68" t="n">
        <f aca="false">Motore_Operativo!E176</f>
        <v>4</v>
      </c>
      <c r="F176" s="15" t="n">
        <f aca="false">Motore_Operativo!AQ176+Motore_Operativo!BF176</f>
        <v>208262.661984225</v>
      </c>
      <c r="G176" s="15" t="n">
        <f aca="false">Motore_Operativo!BH176</f>
        <v>12152.6086956522</v>
      </c>
      <c r="H176" s="15" t="n">
        <f aca="false">Motore_Operativo!BI176</f>
        <v>220415.270679877</v>
      </c>
      <c r="I176" s="15" t="n">
        <f aca="false">Motore_Operativo!CA176</f>
        <v>201340.045926161</v>
      </c>
      <c r="J176" s="15" t="n">
        <f aca="false">Motore_Operativo!CC176</f>
        <v>19075.2247537162</v>
      </c>
      <c r="K176" s="15" t="n">
        <f aca="false">Motore_Operativo!CE176</f>
        <v>4166.66666666667</v>
      </c>
      <c r="L176" s="15" t="n">
        <f aca="false">SUM(INDEX($K$125:$K$184,MAX(1,52-Parametri_v3!$C$59+1)):K176)/Parametri_v3!$C$59</f>
        <v>2870.37037037037</v>
      </c>
      <c r="M176" s="15" t="n">
        <f aca="false">J176-L176</f>
        <v>16204.8543833459</v>
      </c>
      <c r="N176" s="15" t="n">
        <f aca="false">CD176-(CD175)</f>
        <v>0</v>
      </c>
      <c r="O176" s="15" t="n">
        <f aca="false">(BG175)*Ipotesi!$C$110/12+CH176*Parametri_v3!$C$39/12</f>
        <v>0</v>
      </c>
      <c r="P176" s="15" t="n">
        <f aca="false">M176+N176-O176</f>
        <v>16204.8543833459</v>
      </c>
      <c r="Q176" s="15" t="n">
        <f aca="false">SUM(P173:P176)+Parametri_v3!$C$54*4/12</f>
        <v>46845.707045488</v>
      </c>
      <c r="R176" s="15" t="n">
        <f aca="false">Z172</f>
        <v>814321.883587488</v>
      </c>
      <c r="S176" s="15" t="n">
        <f aca="false">AA172</f>
        <v>91070.1662804939</v>
      </c>
      <c r="T176" s="15" t="n">
        <f aca="false">MIN(R176,MAX(0,Q176))</f>
        <v>46845.707045488</v>
      </c>
      <c r="U176" s="15" t="n">
        <f aca="false">MIN(S176,MAX(0,Q176-T176)*Parametri_v3!$C$42)</f>
        <v>0</v>
      </c>
      <c r="V176" s="15" t="n">
        <f aca="false">MAX(0,Q176-T176-U176)*Ipotesi!$C$92</f>
        <v>0</v>
      </c>
      <c r="W176" s="15" t="n">
        <f aca="false">MAX(0,SUM(M173:M176)+Parametri_v3!$C$55*4/12)*Ipotesi!$C$93</f>
        <v>1826.98257477403</v>
      </c>
      <c r="X176" s="15" t="n">
        <f aca="false">V176+W176-(V175+W175)</f>
        <v>631.989320950489</v>
      </c>
      <c r="Y176" s="15" t="n">
        <f aca="false">P176-X176</f>
        <v>15572.8650623954</v>
      </c>
      <c r="Z176" s="15" t="n">
        <f aca="false">R176-T176+IF(AND(Parametri_v3!$C$40=1,D176-YEAR(Parametri_v3!$C$50)&lt;Parametri_v3!$C$41),MAX(0,-Q176),0)</f>
        <v>767476.176542</v>
      </c>
      <c r="AA176" s="15" t="n">
        <f aca="false">S176-U176+IF(AND(Parametri_v3!$C$40=1,D176-YEAR(Parametri_v3!$C$50)&lt;Parametri_v3!$C$41),0,MAX(0,-Q176))</f>
        <v>91070.1662804939</v>
      </c>
      <c r="AB176" s="15" t="n">
        <f aca="false">F176*(1+Parametri_v3!$C$26)</f>
        <v>254080.447620755</v>
      </c>
      <c r="AC176" s="15" t="n">
        <f aca="false">(IF(52-(INT((Motore_Operativo!L176)/30))&lt;1,0,INDEX(Motore_Startup!$AB$125:$AB$184,MAX(1,52-(INT((Motore_Operativo!L176)/30)))))*(1-(MOD((Motore_Operativo!L176),30)/30))+IF(52-(INT((Motore_Operativo!L176)/30))-1&lt;1,0,INDEX(Motore_Startup!$AB$125:$AB$184,MAX(1,52-(INT((Motore_Operativo!L176)/30))-1)))*(MOD((Motore_Operativo!L176),30)/30))</f>
        <v>241392.722429954</v>
      </c>
      <c r="AD176" s="15" t="n">
        <f aca="false">(AD175)+AB176-AC176</f>
        <v>748938.907696851</v>
      </c>
      <c r="AE176" s="15" t="n">
        <f aca="false">Motore_Operativo!BH176*(1+Parametri_v3!$C$26)</f>
        <v>14826.1826086957</v>
      </c>
      <c r="AF176" s="15" t="n">
        <f aca="false">(IF(52-(INT((Parametri_v3!$C$29)/30))&lt;1,0,INDEX(Motore_Operativo!$BH$125:$BH$184,MAX(1,52-(INT((Parametri_v3!$C$29)/30)))))*(1-(MOD((Parametri_v3!$C$29),30)/30))+IF(52-(INT((Parametri_v3!$C$29)/30))-1&lt;1,0,INDEX(Motore_Operativo!$BH$125:$BH$184,MAX(1,52-(INT((Parametri_v3!$C$29)/30))-1)))*(MOD((Parametri_v3!$C$29),30)/30))*(1+Parametri_v3!$C$26)</f>
        <v>14826.1826086957</v>
      </c>
      <c r="AG176" s="15" t="n">
        <f aca="false">(AG175)+AE176-AF176</f>
        <v>14826.1826086956</v>
      </c>
      <c r="AH176" s="15" t="n">
        <f aca="false">(Motore_Operativo!CJ176)*(1+Parametri_v3!$C$27*Parametri_v3!$C$26)</f>
        <v>97171.0457975241</v>
      </c>
      <c r="AI176" s="15" t="n">
        <f aca="false">(IF(52-(INT((Ipotesi!$C$91)/30))&lt;1,0,INDEX(Motore_Startup!$AH$125:$AH$184,MAX(1,52-(INT((Ipotesi!$C$91)/30)))))*(1-(MOD((Ipotesi!$C$91),30)/30))+IF(52-(INT((Ipotesi!$C$91)/30))-1&lt;1,0,INDEX(Motore_Startup!$AH$125:$AH$184,MAX(1,52-(INT((Ipotesi!$C$91)/30))-1)))*(MOD((Ipotesi!$C$91),30)/30))</f>
        <v>95992.5808565609</v>
      </c>
      <c r="AJ176" s="15" t="n">
        <f aca="false">(AJ175)+AH176-AI176</f>
        <v>193708.590408316</v>
      </c>
      <c r="AK176" s="15" t="n">
        <f aca="false">(F176+ Motore_Operativo!BH176-(Motore_Operativo!CJ176)*Parametri_v3!$C$27-Motore_Operativo!CE176)*Parametri_v3!$C$26</f>
        <v>32266.3646907101</v>
      </c>
      <c r="AL176" s="15" t="n">
        <f aca="false">MAX(0,(AM175))</f>
        <v>31527.4959940412</v>
      </c>
      <c r="AM176" s="15" t="n">
        <f aca="false">(AM175)+AK176-AL176</f>
        <v>32266.3646907101</v>
      </c>
      <c r="AN176" s="15" t="n">
        <f aca="false">SUM(X161:X172)</f>
        <v>0</v>
      </c>
      <c r="AO176" s="15" t="n">
        <f aca="false">SUM(AP161:AP172)</f>
        <v>0</v>
      </c>
      <c r="AP176" s="15" t="n">
        <f aca="false">MAX(0,AN176)*IF(4=Parametri_v3!$C$43,Parametri_v3!$C$45,IF(4=Parametri_v3!$C$44,1-Parametri_v3!$C$45,0))</f>
        <v>0</v>
      </c>
      <c r="AQ176" s="15" t="n">
        <f aca="false">MAX(0,AP176+IF(4=Parametri_v3!$C$43,MAX(0,AN176-AO176),0)-MAX(0,-(AR175)))</f>
        <v>0</v>
      </c>
      <c r="AR176" s="15" t="n">
        <f aca="false">(AR175)+X176-AQ176</f>
        <v>1826.98257477403</v>
      </c>
      <c r="AS176" s="15" t="n">
        <f aca="false">Motore_Operativo!AB176-AT176+AU176</f>
        <v>113503.461904792</v>
      </c>
      <c r="AT176" s="15" t="n">
        <f aca="false">Motore_Operativo!CH176</f>
        <v>5973.86641604167</v>
      </c>
      <c r="AU176" s="15" t="n">
        <f aca="false">MIN(MAX(0,(AV175)+AT176),Parametri_v3!$C$60/12)</f>
        <v>0</v>
      </c>
      <c r="AV176" s="15" t="n">
        <f aca="false">(AV175)+AT176-AU176</f>
        <v>160951.016039167</v>
      </c>
      <c r="AW176" s="15" t="n">
        <f aca="false">IF(AND(Motore_Operativo!C176=Finanziamenti!$D$6,Finanziamenti!$F$6=1),Finanziamenti!$C$6,0)</f>
        <v>0</v>
      </c>
      <c r="AX176" s="15" t="n">
        <f aca="false">IF(AND(3&lt;&gt;7,3&lt;&gt;9,Finanziamenti!$F$8=1,OR(Parametri_v3!$C$6=0,Finanziamenti!$E$8=1),Motore_Operativo!C176=EDATE(Finanziamenti!$D$8,Ipotesi!E15*12)),Finanziamenti!$C$8*1,0)+IF(AND(3&lt;&gt;7,3&lt;&gt;9,Finanziamenti!$F$9=1,OR(Parametri_v3!$C$6=0,Finanziamenti!$E$9=1),Motore_Operativo!C176=EDATE(Finanziamenti!$D$9,Ipotesi!E15*12)),Finanziamenti!$C$9*Ipotesi!E16,0)</f>
        <v>0</v>
      </c>
      <c r="AY176" s="15" t="n">
        <f aca="false">0</f>
        <v>0</v>
      </c>
      <c r="AZ176" s="15" t="n">
        <f aca="false">Motore_Advisory!AY176*(1-Ipotesi!$C$95)*Ipotesi!$C$96</f>
        <v>0</v>
      </c>
      <c r="BA176" s="15" t="n">
        <f aca="false">MAX(0,MIN(CG176*MIN(1,IF(Motore_Operativo!C176&gt;=EDATE(Finanziamenti!$D$15,Ipotesi!E14*12),Finanziamenti!$C$15,0)+IF(Motore_Operativo!C176&gt;=EDATE(Finanziamenti!$D$16,Ipotesi!E14*12),Finanziamenti!$C$16,0)+IF(Motore_Operativo!C176&gt;=EDATE(Finanziamenti!$D$17,Ipotesi!E14*12),Finanziamenti!$C$17,0)),CA176*Ipotesi!$C$102)-(CC175))</f>
        <v>0</v>
      </c>
      <c r="BB176" s="15" t="n">
        <f aca="false">IF(AND(CF176&gt;0,Motore_Operativo!C176&gt;=IF(CF176=0,0,EDATE(CF176,Parametri_v3!$C$37)),MOD(((D176-YEAR(IF(CF176=0,0,EDATE(CF176,Parametri_v3!$C$37))))*12+E176-MONTH(IF(CF176=0,0,EDATE(CF176,Parametri_v3!$C$37)))),Parametri_v3!$C$38)=0),MIN(MAX(0,(BC175)+BA176-N176),(CC176-CD176)/(Ipotesi!$C$108*12/Parametri_v3!$C$38)),0)</f>
        <v>0</v>
      </c>
      <c r="BC176" s="15" t="n">
        <f aca="false">(BC175)+BA176-N176-BB176</f>
        <v>240371.320123289</v>
      </c>
      <c r="BD176" s="15" t="n">
        <f aca="false">(BH175)+AC176+AF176-AI176-AS176-K176*(1+Parametri_v3!$C$26)-AL176-AQ176-O176+AW176+AX176+AZ176+BA176-BB176</f>
        <v>313979.911464921</v>
      </c>
      <c r="BE176" s="15" t="n">
        <f aca="false">MAX(0,MIN(MAX(0,CH176-(BG175)),Parametri_v3!$C$30-BD176))</f>
        <v>0</v>
      </c>
      <c r="BF176" s="15" t="n">
        <f aca="false">IF(Motore_Operativo!C176&gt;=Parametri_v3!$C$63,(BG175),MIN((BG175),MAX(0,BD176-Parametri_v3!$C$30)))</f>
        <v>0</v>
      </c>
      <c r="BG176" s="15" t="n">
        <f aca="false">(BG175)+BE176-BF176</f>
        <v>0</v>
      </c>
      <c r="BH176" s="15" t="n">
        <f aca="false">BD176+BE176-BF176-AY176</f>
        <v>313979.911464921</v>
      </c>
      <c r="BI176" s="15" t="n">
        <f aca="false">MAX(0,Parametri_v3!$C$30-BH176)</f>
        <v>0</v>
      </c>
      <c r="BJ176" s="15" t="n">
        <f aca="false">(BJ175)+K176</f>
        <v>131666.666666667</v>
      </c>
      <c r="BK176" s="15" t="n">
        <f aca="false">(BK175)+L176</f>
        <v>74953.7037037037</v>
      </c>
      <c r="BL176" s="15" t="n">
        <f aca="false">BJ176-BK176</f>
        <v>56712.9629629629</v>
      </c>
      <c r="BM176" s="15" t="n">
        <f aca="false">(BM175)+Y176</f>
        <v>-860373.325397268</v>
      </c>
      <c r="BN176" s="15" t="n">
        <f aca="false">(BN175)+AW176+AX176+AZ176</f>
        <v>1365707.01629444</v>
      </c>
      <c r="BO176" s="15" t="n">
        <f aca="false">(BO175)+AY176</f>
        <v>0</v>
      </c>
      <c r="BP176" s="15" t="n">
        <f aca="false">0</f>
        <v>0</v>
      </c>
      <c r="BQ176" s="15" t="n">
        <f aca="false">BN176+BM176-BO176</f>
        <v>505333.690897176</v>
      </c>
      <c r="BR176" s="15" t="n">
        <f aca="false">BH176+AD176+BL176+MAX(0,-AM176)+MAX(0,-AR176)+AG176</f>
        <v>1134457.96473343</v>
      </c>
      <c r="BS176" s="15" t="n">
        <f aca="false">AJ176+AV176+MAX(0,AM176)+MAX(0,AR176)+BC176+BG176+BQ176</f>
        <v>1134457.96473343</v>
      </c>
      <c r="BT176" s="15" t="n">
        <f aca="false">BR176-BS176</f>
        <v>0</v>
      </c>
      <c r="BU176" s="15" t="n">
        <f aca="false">BH176-(BD176+BE176-BF176-AY176)</f>
        <v>0</v>
      </c>
      <c r="BV176" s="15" t="n">
        <f aca="false">MIN(Piano_SS!$C$6,(BV175)+IF(AND(Motore_Operativo!C176&gt;=EDATE(Parametri_v3!$C$24,Ipotesi!E14*12),Motore_Operativo!C176&lt;EDATE(Parametri_v3!$C$24,Parametri_v3!$C$25+Ipotesi!E14*12)),MAX(0,(Motore_Operativo!Y176+Motore_Operativo!X176*Parametri_v3!$C$14)*(1-Parametri_v3!$C$32))*Piano_SS!$D$6,0))</f>
        <v>300000</v>
      </c>
      <c r="BW176" s="15" t="n">
        <f aca="false">MIN(Piano_SS!$C$7,(BW175)+IF(AND(Motore_Operativo!C176&gt;=EDATE(Parametri_v3!$C$24,Ipotesi!E14*12),Motore_Operativo!C176&lt;EDATE(Parametri_v3!$C$24,Parametri_v3!$C$25+Ipotesi!E14*12)),MAX(0,(IF(52-(INT((Ipotesi!$C$91)/30))&lt;1,0,INDEX(Motore_Operativo!$BN$125:$BN$184,MAX(1,52-(INT((Ipotesi!$C$91)/30)))))*(1-(MOD((Ipotesi!$C$91),30)/30))+IF(52-(INT((Ipotesi!$C$91)/30))-1&lt;1,0,INDEX(Motore_Operativo!$BN$125:$BN$184,MAX(1,52-(INT((Ipotesi!$C$91)/30))-1)))*(MOD((Ipotesi!$C$91),30)/30)))*Piano_SS!$D$7,0))</f>
        <v>44070.0796097004</v>
      </c>
      <c r="BX176" s="15" t="n">
        <f aca="false">MIN(Piano_SS!$C$8,(BX175)+IF(AND(Motore_Operativo!C176&gt;=EDATE(Parametri_v3!$C$24,Ipotesi!E14*12),Motore_Operativo!C176&lt;EDATE(Parametri_v3!$C$24,Parametri_v3!$C$25+Ipotesi!E14*12)),MAX(0,Motore_Operativo!CE176)*Piano_SS!$D$8,0))</f>
        <v>50000</v>
      </c>
      <c r="BY176" s="15" t="n">
        <f aca="false">MIN(Piano_SS!$C$9,(BY175)+IF(AND(Motore_Operativo!C176&gt;=EDATE(Parametri_v3!$C$24,Ipotesi!E14*12),Motore_Operativo!C176&lt;EDATE(Parametri_v3!$C$24,Parametri_v3!$C$25+Ipotesi!E14*12)),MAX(0,((IF(52-(INT((Ipotesi!$C$91)/30))&lt;1,0,INDEX(Motore_Operativo!$BQ$125:$BQ$184,MAX(1,52-(INT((Ipotesi!$C$91)/30)))))*(1-(MOD((Ipotesi!$C$91),30)/30))+IF(52-(INT((Ipotesi!$C$91)/30))-1&lt;1,0,INDEX(Motore_Operativo!$BQ$125:$BQ$184,MAX(1,52-(INT((Ipotesi!$C$91)/30))-1)))*(MOD((Ipotesi!$C$91),30)/30))+(IF(52-(INT((Ipotesi!$C$91)/30))&lt;1,0,INDEX(Motore_Operativo!$BR$125:$BR$184,MAX(1,52-(INT((Ipotesi!$C$91)/30)))))*(1-(MOD((Ipotesi!$C$91),30)/30))+IF(52-(INT((Ipotesi!$C$91)/30))-1&lt;1,0,INDEX(Motore_Operativo!$BR$125:$BR$184,MAX(1,52-(INT((Ipotesi!$C$91)/30))-1)))*(MOD((Ipotesi!$C$91),30)/30))))*Piano_SS!$D$9,0))</f>
        <v>40000</v>
      </c>
      <c r="BZ176" s="15" t="n">
        <f aca="false">MIN(Piano_SS!$C$10,(BZ175)+IF(AND(Motore_Operativo!C176&gt;=EDATE(Parametri_v3!$C$24,Ipotesi!E14*12),Motore_Operativo!C176&lt;EDATE(Parametri_v3!$C$24,Parametri_v3!$C$25+Ipotesi!E14*12)),MAX(0,(IF(52-(INT((Ipotesi!$C$91)/30))&lt;1,0,INDEX(Motore_Operativo!$BO$125:$BO$184,MAX(1,52-(INT((Ipotesi!$C$91)/30)))))*(1-(MOD((Ipotesi!$C$91),30)/30))+IF(52-(INT((Ipotesi!$C$91)/30))-1&lt;1,0,INDEX(Motore_Operativo!$BO$125:$BO$184,MAX(1,52-(INT((Ipotesi!$C$91)/30))-1)))*(MOD((Ipotesi!$C$91),30)/30)))*Piano_SS!$D$10,0))</f>
        <v>30000</v>
      </c>
      <c r="CA176" s="15" t="n">
        <f aca="false">SUM(BV176:BZ176)</f>
        <v>464070.0796097</v>
      </c>
      <c r="CB176" s="15" t="n">
        <f aca="false">BV176*(1-Piano_SS!$E$6)+BW176*(1-Piano_SS!$E$7)+BX176*(1-Piano_SS!$E$8)+BY176*(1-Piano_SS!$E$9)+BZ176*(1-Piano_SS!$E$10)</f>
        <v>434070.0796097</v>
      </c>
      <c r="CC176" s="15" t="n">
        <f aca="false">(CC175)+BA176</f>
        <v>371256.06368776</v>
      </c>
      <c r="CD176" s="15" t="n">
        <f aca="false">IF(CA176=0,0,CC176*CB176/CA176*Ipotesi!$C$103*Parametri_v3!$C$64)</f>
        <v>104176.819106328</v>
      </c>
      <c r="CE176" s="18" t="n">
        <f aca="false">IF(BA176&gt;0,Motore_Operativo!C176,(CE175))</f>
        <v>47270</v>
      </c>
      <c r="CF176" s="18" t="n">
        <f aca="false">IF(AND(CC176&gt;0,OR(CC176&gt;=CG176-0.01,Motore_Operativo!C176&gt;=EDATE(MAX(Finanziamenti!$D$15:$D$17),Ipotesi!E14*12))),CE176,0)</f>
        <v>47270</v>
      </c>
      <c r="CG176" s="15" t="n">
        <f aca="false">IF(AND(3&lt;&gt;6,3&lt;&gt;9,Finanziamenti!$F$11=1,OR(Parametri_v3!$C$6=0,Finanziamenti!$E$11=1)),MIN(Finanziamenti!$C$11,Piano_SS!$C$12*Ipotesi!$C$102),0)</f>
        <v>400000</v>
      </c>
      <c r="CH176" s="15" t="n">
        <f aca="false">IF(AND(AND(3&lt;&gt;8,3&lt;&gt;9,Finanziamenti!$F$10=1,OR(Parametri_v3!$C$6=0,Finanziamenti!$E$10=1)),Motore_Operativo!C176&gt;=Finanziamenti!$D$10,Motore_Operativo!C176&lt;Parametri_v3!$C$63),Finanziamenti!$C$10,0)</f>
        <v>150000</v>
      </c>
    </row>
    <row r="177" customFormat="false" ht="18" hidden="false" customHeight="true" outlineLevel="0" collapsed="false">
      <c r="A177" s="68" t="n">
        <f aca="false">3</f>
        <v>3</v>
      </c>
      <c r="B177" s="68" t="n">
        <f aca="false">53</f>
        <v>53</v>
      </c>
      <c r="C177" s="18" t="n">
        <f aca="false">Motore_Operativo!C177</f>
        <v>47969</v>
      </c>
      <c r="D177" s="68" t="n">
        <f aca="false">Motore_Operativo!D177</f>
        <v>2031</v>
      </c>
      <c r="E177" s="68" t="n">
        <f aca="false">Motore_Operativo!E177</f>
        <v>5</v>
      </c>
      <c r="F177" s="15" t="n">
        <f aca="false">Motore_Operativo!AQ177+Motore_Operativo!BF177</f>
        <v>212602.923504526</v>
      </c>
      <c r="G177" s="15" t="n">
        <f aca="false">Motore_Operativo!BH177</f>
        <v>12152.6086956522</v>
      </c>
      <c r="H177" s="15" t="n">
        <f aca="false">Motore_Operativo!BI177</f>
        <v>224755.532200179</v>
      </c>
      <c r="I177" s="15" t="n">
        <f aca="false">Motore_Operativo!CA177</f>
        <v>201947.682539003</v>
      </c>
      <c r="J177" s="15" t="n">
        <f aca="false">Motore_Operativo!CC177</f>
        <v>22807.8496611753</v>
      </c>
      <c r="K177" s="15" t="n">
        <f aca="false">Motore_Operativo!CE177</f>
        <v>4166.66666666667</v>
      </c>
      <c r="L177" s="15" t="n">
        <f aca="false">SUM(INDEX($K$125:$K$184,MAX(1,53-Parametri_v3!$C$59+1)):K177)/Parametri_v3!$C$59</f>
        <v>2928.24074074074</v>
      </c>
      <c r="M177" s="15" t="n">
        <f aca="false">J177-L177</f>
        <v>19879.6089204346</v>
      </c>
      <c r="N177" s="15" t="n">
        <f aca="false">CD177-(CD176)</f>
        <v>0</v>
      </c>
      <c r="O177" s="15" t="n">
        <f aca="false">(BG176)*Ipotesi!$C$110/12+CH177*Parametri_v3!$C$39/12</f>
        <v>0</v>
      </c>
      <c r="P177" s="15" t="n">
        <f aca="false">M177+N177-O177</f>
        <v>19879.6089204346</v>
      </c>
      <c r="Q177" s="15" t="n">
        <f aca="false">SUM(P173:P177)+Parametri_v3!$C$54*5/12</f>
        <v>66725.3159659226</v>
      </c>
      <c r="R177" s="15" t="n">
        <f aca="false">Z172</f>
        <v>814321.883587488</v>
      </c>
      <c r="S177" s="15" t="n">
        <f aca="false">AA172</f>
        <v>91070.1662804939</v>
      </c>
      <c r="T177" s="15" t="n">
        <f aca="false">MIN(R177,MAX(0,Q177))</f>
        <v>66725.3159659226</v>
      </c>
      <c r="U177" s="15" t="n">
        <f aca="false">MIN(S177,MAX(0,Q177-T177)*Parametri_v3!$C$42)</f>
        <v>0</v>
      </c>
      <c r="V177" s="15" t="n">
        <f aca="false">MAX(0,Q177-T177-U177)*Ipotesi!$C$92</f>
        <v>0</v>
      </c>
      <c r="W177" s="15" t="n">
        <f aca="false">MAX(0,SUM(M173:M177)+Parametri_v3!$C$55*5/12)*Ipotesi!$C$93</f>
        <v>2602.28732267098</v>
      </c>
      <c r="X177" s="15" t="n">
        <f aca="false">V177+W177-(V176+W176)</f>
        <v>775.304747896948</v>
      </c>
      <c r="Y177" s="15" t="n">
        <f aca="false">P177-X177</f>
        <v>19104.3041725376</v>
      </c>
      <c r="Z177" s="15" t="n">
        <f aca="false">R177-T177+IF(AND(Parametri_v3!$C$40=1,D177-YEAR(Parametri_v3!$C$50)&lt;Parametri_v3!$C$41),MAX(0,-Q177),0)</f>
        <v>747596.567621566</v>
      </c>
      <c r="AA177" s="15" t="n">
        <f aca="false">S177-U177+IF(AND(Parametri_v3!$C$40=1,D177-YEAR(Parametri_v3!$C$50)&lt;Parametri_v3!$C$41),0,MAX(0,-Q177))</f>
        <v>91070.1662804939</v>
      </c>
      <c r="AB177" s="15" t="n">
        <f aca="false">F177*(1+Parametri_v3!$C$26)</f>
        <v>259375.566675522</v>
      </c>
      <c r="AC177" s="15" t="n">
        <f aca="false">(IF(53-(INT((Motore_Operativo!L177)/30))&lt;1,0,INDEX(Motore_Startup!$AB$125:$AB$184,MAX(1,53-(INT((Motore_Operativo!L177)/30)))))*(1-(MOD((Motore_Operativo!L177),30)/30))+IF(53-(INT((Motore_Operativo!L177)/30))-1&lt;1,0,INDEX(Motore_Startup!$AB$125:$AB$184,MAX(1,53-(INT((Motore_Operativo!L177)/30))-1)))*(MOD((Motore_Operativo!L177),30)/30))</f>
        <v>245428.821504645</v>
      </c>
      <c r="AD177" s="15" t="n">
        <f aca="false">(AD176)+AB177-AC177</f>
        <v>762885.652867728</v>
      </c>
      <c r="AE177" s="15" t="n">
        <f aca="false">Motore_Operativo!BH177*(1+Parametri_v3!$C$26)</f>
        <v>14826.1826086957</v>
      </c>
      <c r="AF177" s="15" t="n">
        <f aca="false">(IF(53-(INT((Parametri_v3!$C$29)/30))&lt;1,0,INDEX(Motore_Operativo!$BH$125:$BH$184,MAX(1,53-(INT((Parametri_v3!$C$29)/30)))))*(1-(MOD((Parametri_v3!$C$29),30)/30))+IF(53-(INT((Parametri_v3!$C$29)/30))-1&lt;1,0,INDEX(Motore_Operativo!$BH$125:$BH$184,MAX(1,53-(INT((Parametri_v3!$C$29)/30))-1)))*(MOD((Parametri_v3!$C$29),30)/30))*(1+Parametri_v3!$C$26)</f>
        <v>14826.1826086957</v>
      </c>
      <c r="AG177" s="15" t="n">
        <f aca="false">(AG176)+AE177-AF177</f>
        <v>14826.1826086956</v>
      </c>
      <c r="AH177" s="15" t="n">
        <f aca="false">(Motore_Operativo!CJ177)*(1+Parametri_v3!$C$27*Parametri_v3!$C$26)</f>
        <v>97892.3104569677</v>
      </c>
      <c r="AI177" s="15" t="n">
        <f aca="false">(IF(53-(INT((Ipotesi!$C$91)/30))&lt;1,0,INDEX(Motore_Startup!$AH$125:$AH$184,MAX(1,53-(INT((Ipotesi!$C$91)/30)))))*(1-(MOD((Ipotesi!$C$91),30)/30))+IF(53-(INT((Ipotesi!$C$91)/30))-1&lt;1,0,INDEX(Motore_Startup!$AH$125:$AH$184,MAX(1,53-(INT((Ipotesi!$C$91)/30))-1)))*(MOD((Ipotesi!$C$91),30)/30))</f>
        <v>96537.5446107919</v>
      </c>
      <c r="AJ177" s="15" t="n">
        <f aca="false">(AJ176)+AH177-AI177</f>
        <v>195063.356254492</v>
      </c>
      <c r="AK177" s="15" t="n">
        <f aca="false">(F177+ Motore_Operativo!BH177-(Motore_Operativo!CJ177)*Parametri_v3!$C$27-Motore_Operativo!CE177)*Parametri_v3!$C$26</f>
        <v>33107.5941785748</v>
      </c>
      <c r="AL177" s="15" t="n">
        <f aca="false">MAX(0,(AM176))</f>
        <v>32266.3646907101</v>
      </c>
      <c r="AM177" s="15" t="n">
        <f aca="false">(AM176)+AK177-AL177</f>
        <v>33107.5941785748</v>
      </c>
      <c r="AN177" s="15" t="n">
        <f aca="false">SUM(X161:X172)</f>
        <v>0</v>
      </c>
      <c r="AO177" s="15" t="n">
        <f aca="false">SUM(AP161:AP172)</f>
        <v>0</v>
      </c>
      <c r="AP177" s="15" t="n">
        <f aca="false">MAX(0,AN177)*IF(5=Parametri_v3!$C$43,Parametri_v3!$C$45,IF(5=Parametri_v3!$C$44,1-Parametri_v3!$C$45,0))</f>
        <v>0</v>
      </c>
      <c r="AQ177" s="15" t="n">
        <f aca="false">MAX(0,AP177+IF(5=Parametri_v3!$C$43,MAX(0,AN177-AO177),0)-MAX(0,-(AR176)))</f>
        <v>0</v>
      </c>
      <c r="AR177" s="15" t="n">
        <f aca="false">(AR176)+X177-AQ177</f>
        <v>2602.28732267098</v>
      </c>
      <c r="AS177" s="15" t="n">
        <f aca="false">Motore_Operativo!AB177-AT177+AU177</f>
        <v>113503.461904792</v>
      </c>
      <c r="AT177" s="15" t="n">
        <f aca="false">Motore_Operativo!CH177</f>
        <v>5973.86641604167</v>
      </c>
      <c r="AU177" s="15" t="n">
        <f aca="false">MIN(MAX(0,(AV176)+AT177),Parametri_v3!$C$60/12)</f>
        <v>0</v>
      </c>
      <c r="AV177" s="15" t="n">
        <f aca="false">(AV176)+AT177-AU177</f>
        <v>166924.882455208</v>
      </c>
      <c r="AW177" s="15" t="n">
        <f aca="false">IF(AND(Motore_Operativo!C177=Finanziamenti!$D$6,Finanziamenti!$F$6=1),Finanziamenti!$C$6,0)</f>
        <v>0</v>
      </c>
      <c r="AX177" s="15" t="n">
        <f aca="false">IF(AND(3&lt;&gt;7,3&lt;&gt;9,Finanziamenti!$F$8=1,OR(Parametri_v3!$C$6=0,Finanziamenti!$E$8=1),Motore_Operativo!C177=EDATE(Finanziamenti!$D$8,Ipotesi!E15*12)),Finanziamenti!$C$8*1,0)+IF(AND(3&lt;&gt;7,3&lt;&gt;9,Finanziamenti!$F$9=1,OR(Parametri_v3!$C$6=0,Finanziamenti!$E$9=1),Motore_Operativo!C177=EDATE(Finanziamenti!$D$9,Ipotesi!E15*12)),Finanziamenti!$C$9*Ipotesi!E16,0)</f>
        <v>0</v>
      </c>
      <c r="AY177" s="15" t="n">
        <f aca="false">0</f>
        <v>0</v>
      </c>
      <c r="AZ177" s="15" t="n">
        <f aca="false">Motore_Advisory!AY177*(1-Ipotesi!$C$95)*Ipotesi!$C$96</f>
        <v>0</v>
      </c>
      <c r="BA177" s="15" t="n">
        <f aca="false">MAX(0,MIN(CG177*MIN(1,IF(Motore_Operativo!C177&gt;=EDATE(Finanziamenti!$D$15,Ipotesi!E14*12),Finanziamenti!$C$15,0)+IF(Motore_Operativo!C177&gt;=EDATE(Finanziamenti!$D$16,Ipotesi!E14*12),Finanziamenti!$C$16,0)+IF(Motore_Operativo!C177&gt;=EDATE(Finanziamenti!$D$17,Ipotesi!E14*12),Finanziamenti!$C$17,0)),CA177*Ipotesi!$C$102)-(CC176))</f>
        <v>0</v>
      </c>
      <c r="BB177" s="15" t="n">
        <f aca="false">IF(AND(CF177&gt;0,Motore_Operativo!C177&gt;=IF(CF177=0,0,EDATE(CF177,Parametri_v3!$C$37)),MOD(((D177-YEAR(IF(CF177=0,0,EDATE(CF177,Parametri_v3!$C$37))))*12+E177-MONTH(IF(CF177=0,0,EDATE(CF177,Parametri_v3!$C$37)))),Parametri_v3!$C$38)=0),MIN(MAX(0,(BC176)+BA177-N177),(CC177-CD177)/(Ipotesi!$C$108*12/Parametri_v3!$C$38)),0)</f>
        <v>0</v>
      </c>
      <c r="BC177" s="15" t="n">
        <f aca="false">(BC176)+BA177-N177-BB177</f>
        <v>240371.320123289</v>
      </c>
      <c r="BD177" s="15" t="n">
        <f aca="false">(BH176)+AC177+AF177-AI177-AS177-K177*(1+Parametri_v3!$C$26)-AL177-AQ177-O177+AW177+AX177+AZ177+BA177-BB177</f>
        <v>326844.211038635</v>
      </c>
      <c r="BE177" s="15" t="n">
        <f aca="false">MAX(0,MIN(MAX(0,CH177-(BG176)),Parametri_v3!$C$30-BD177))</f>
        <v>0</v>
      </c>
      <c r="BF177" s="15" t="n">
        <f aca="false">IF(Motore_Operativo!C177&gt;=Parametri_v3!$C$63,(BG176),MIN((BG176),MAX(0,BD177-Parametri_v3!$C$30)))</f>
        <v>0</v>
      </c>
      <c r="BG177" s="15" t="n">
        <f aca="false">(BG176)+BE177-BF177</f>
        <v>0</v>
      </c>
      <c r="BH177" s="15" t="n">
        <f aca="false">BD177+BE177-BF177-AY177</f>
        <v>326844.211038635</v>
      </c>
      <c r="BI177" s="15" t="n">
        <f aca="false">MAX(0,Parametri_v3!$C$30-BH177)</f>
        <v>0</v>
      </c>
      <c r="BJ177" s="15" t="n">
        <f aca="false">(BJ176)+K177</f>
        <v>135833.333333333</v>
      </c>
      <c r="BK177" s="15" t="n">
        <f aca="false">(BK176)+L177</f>
        <v>77881.9444444445</v>
      </c>
      <c r="BL177" s="15" t="n">
        <f aca="false">BJ177-BK177</f>
        <v>57951.3888888888</v>
      </c>
      <c r="BM177" s="15" t="n">
        <f aca="false">(BM176)+Y177</f>
        <v>-841269.021224731</v>
      </c>
      <c r="BN177" s="15" t="n">
        <f aca="false">(BN176)+AW177+AX177+AZ177</f>
        <v>1365707.01629444</v>
      </c>
      <c r="BO177" s="15" t="n">
        <f aca="false">(BO176)+AY177</f>
        <v>0</v>
      </c>
      <c r="BP177" s="15" t="n">
        <f aca="false">0</f>
        <v>0</v>
      </c>
      <c r="BQ177" s="15" t="n">
        <f aca="false">BN177+BM177-BO177</f>
        <v>524437.995069714</v>
      </c>
      <c r="BR177" s="15" t="n">
        <f aca="false">BH177+AD177+BL177+MAX(0,-AM177)+MAX(0,-AR177)+AG177</f>
        <v>1162507.43540395</v>
      </c>
      <c r="BS177" s="15" t="n">
        <f aca="false">AJ177+AV177+MAX(0,AM177)+MAX(0,AR177)+BC177+BG177+BQ177</f>
        <v>1162507.43540395</v>
      </c>
      <c r="BT177" s="15" t="n">
        <f aca="false">BR177-BS177</f>
        <v>0</v>
      </c>
      <c r="BU177" s="15" t="n">
        <f aca="false">BH177-(BD177+BE177-BF177-AY177)</f>
        <v>0</v>
      </c>
      <c r="BV177" s="15" t="n">
        <f aca="false">MIN(Piano_SS!$C$6,(BV176)+IF(AND(Motore_Operativo!C177&gt;=EDATE(Parametri_v3!$C$24,Ipotesi!E14*12),Motore_Operativo!C177&lt;EDATE(Parametri_v3!$C$24,Parametri_v3!$C$25+Ipotesi!E14*12)),MAX(0,(Motore_Operativo!Y177+Motore_Operativo!X177*Parametri_v3!$C$14)*(1-Parametri_v3!$C$32))*Piano_SS!$D$6,0))</f>
        <v>300000</v>
      </c>
      <c r="BW177" s="15" t="n">
        <f aca="false">MIN(Piano_SS!$C$7,(BW176)+IF(AND(Motore_Operativo!C177&gt;=EDATE(Parametri_v3!$C$24,Ipotesi!E14*12),Motore_Operativo!C177&lt;EDATE(Parametri_v3!$C$24,Parametri_v3!$C$25+Ipotesi!E14*12)),MAX(0,(IF(53-(INT((Ipotesi!$C$91)/30))&lt;1,0,INDEX(Motore_Operativo!$BN$125:$BN$184,MAX(1,53-(INT((Ipotesi!$C$91)/30)))))*(1-(MOD((Ipotesi!$C$91),30)/30))+IF(53-(INT((Ipotesi!$C$91)/30))-1&lt;1,0,INDEX(Motore_Operativo!$BN$125:$BN$184,MAX(1,53-(INT((Ipotesi!$C$91)/30))-1)))*(MOD((Ipotesi!$C$91),30)/30)))*Piano_SS!$D$7,0))</f>
        <v>44070.0796097004</v>
      </c>
      <c r="BX177" s="15" t="n">
        <f aca="false">MIN(Piano_SS!$C$8,(BX176)+IF(AND(Motore_Operativo!C177&gt;=EDATE(Parametri_v3!$C$24,Ipotesi!E14*12),Motore_Operativo!C177&lt;EDATE(Parametri_v3!$C$24,Parametri_v3!$C$25+Ipotesi!E14*12)),MAX(0,Motore_Operativo!CE177)*Piano_SS!$D$8,0))</f>
        <v>50000</v>
      </c>
      <c r="BY177" s="15" t="n">
        <f aca="false">MIN(Piano_SS!$C$9,(BY176)+IF(AND(Motore_Operativo!C177&gt;=EDATE(Parametri_v3!$C$24,Ipotesi!E14*12),Motore_Operativo!C177&lt;EDATE(Parametri_v3!$C$24,Parametri_v3!$C$25+Ipotesi!E14*12)),MAX(0,((IF(53-(INT((Ipotesi!$C$91)/30))&lt;1,0,INDEX(Motore_Operativo!$BQ$125:$BQ$184,MAX(1,53-(INT((Ipotesi!$C$91)/30)))))*(1-(MOD((Ipotesi!$C$91),30)/30))+IF(53-(INT((Ipotesi!$C$91)/30))-1&lt;1,0,INDEX(Motore_Operativo!$BQ$125:$BQ$184,MAX(1,53-(INT((Ipotesi!$C$91)/30))-1)))*(MOD((Ipotesi!$C$91),30)/30))+(IF(53-(INT((Ipotesi!$C$91)/30))&lt;1,0,INDEX(Motore_Operativo!$BR$125:$BR$184,MAX(1,53-(INT((Ipotesi!$C$91)/30)))))*(1-(MOD((Ipotesi!$C$91),30)/30))+IF(53-(INT((Ipotesi!$C$91)/30))-1&lt;1,0,INDEX(Motore_Operativo!$BR$125:$BR$184,MAX(1,53-(INT((Ipotesi!$C$91)/30))-1)))*(MOD((Ipotesi!$C$91),30)/30))))*Piano_SS!$D$9,0))</f>
        <v>40000</v>
      </c>
      <c r="BZ177" s="15" t="n">
        <f aca="false">MIN(Piano_SS!$C$10,(BZ176)+IF(AND(Motore_Operativo!C177&gt;=EDATE(Parametri_v3!$C$24,Ipotesi!E14*12),Motore_Operativo!C177&lt;EDATE(Parametri_v3!$C$24,Parametri_v3!$C$25+Ipotesi!E14*12)),MAX(0,(IF(53-(INT((Ipotesi!$C$91)/30))&lt;1,0,INDEX(Motore_Operativo!$BO$125:$BO$184,MAX(1,53-(INT((Ipotesi!$C$91)/30)))))*(1-(MOD((Ipotesi!$C$91),30)/30))+IF(53-(INT((Ipotesi!$C$91)/30))-1&lt;1,0,INDEX(Motore_Operativo!$BO$125:$BO$184,MAX(1,53-(INT((Ipotesi!$C$91)/30))-1)))*(MOD((Ipotesi!$C$91),30)/30)))*Piano_SS!$D$10,0))</f>
        <v>30000</v>
      </c>
      <c r="CA177" s="15" t="n">
        <f aca="false">SUM(BV177:BZ177)</f>
        <v>464070.0796097</v>
      </c>
      <c r="CB177" s="15" t="n">
        <f aca="false">BV177*(1-Piano_SS!$E$6)+BW177*(1-Piano_SS!$E$7)+BX177*(1-Piano_SS!$E$8)+BY177*(1-Piano_SS!$E$9)+BZ177*(1-Piano_SS!$E$10)</f>
        <v>434070.0796097</v>
      </c>
      <c r="CC177" s="15" t="n">
        <f aca="false">(CC176)+BA177</f>
        <v>371256.06368776</v>
      </c>
      <c r="CD177" s="15" t="n">
        <f aca="false">IF(CA177=0,0,CC177*CB177/CA177*Ipotesi!$C$103*Parametri_v3!$C$64)</f>
        <v>104176.819106328</v>
      </c>
      <c r="CE177" s="18" t="n">
        <f aca="false">IF(BA177&gt;0,Motore_Operativo!C177,(CE176))</f>
        <v>47270</v>
      </c>
      <c r="CF177" s="18" t="n">
        <f aca="false">IF(AND(CC177&gt;0,OR(CC177&gt;=CG177-0.01,Motore_Operativo!C177&gt;=EDATE(MAX(Finanziamenti!$D$15:$D$17),Ipotesi!E14*12))),CE177,0)</f>
        <v>47270</v>
      </c>
      <c r="CG177" s="15" t="n">
        <f aca="false">IF(AND(3&lt;&gt;6,3&lt;&gt;9,Finanziamenti!$F$11=1,OR(Parametri_v3!$C$6=0,Finanziamenti!$E$11=1)),MIN(Finanziamenti!$C$11,Piano_SS!$C$12*Ipotesi!$C$102),0)</f>
        <v>400000</v>
      </c>
      <c r="CH177" s="15" t="n">
        <f aca="false">IF(AND(AND(3&lt;&gt;8,3&lt;&gt;9,Finanziamenti!$F$10=1,OR(Parametri_v3!$C$6=0,Finanziamenti!$E$10=1)),Motore_Operativo!C177&gt;=Finanziamenti!$D$10,Motore_Operativo!C177&lt;Parametri_v3!$C$63),Finanziamenti!$C$10,0)</f>
        <v>150000</v>
      </c>
    </row>
    <row r="178" customFormat="false" ht="18" hidden="false" customHeight="true" outlineLevel="0" collapsed="false">
      <c r="A178" s="68" t="n">
        <f aca="false">3</f>
        <v>3</v>
      </c>
      <c r="B178" s="68" t="n">
        <f aca="false">54</f>
        <v>54</v>
      </c>
      <c r="C178" s="18" t="n">
        <f aca="false">Motore_Operativo!C178</f>
        <v>48000</v>
      </c>
      <c r="D178" s="68" t="n">
        <f aca="false">Motore_Operativo!D178</f>
        <v>2031</v>
      </c>
      <c r="E178" s="68" t="n">
        <f aca="false">Motore_Operativo!E178</f>
        <v>6</v>
      </c>
      <c r="F178" s="15" t="n">
        <f aca="false">Motore_Operativo!AQ178+Motore_Operativo!BF178</f>
        <v>216905.244147176</v>
      </c>
      <c r="G178" s="15" t="n">
        <f aca="false">Motore_Operativo!BH178</f>
        <v>12152.6086956522</v>
      </c>
      <c r="H178" s="15" t="n">
        <f aca="false">Motore_Operativo!BI178</f>
        <v>229057.852842828</v>
      </c>
      <c r="I178" s="15" t="n">
        <f aca="false">Motore_Operativo!CA178</f>
        <v>202550.007428974</v>
      </c>
      <c r="J178" s="15" t="n">
        <f aca="false">Motore_Operativo!CC178</f>
        <v>26507.8454138535</v>
      </c>
      <c r="K178" s="15" t="n">
        <f aca="false">Motore_Operativo!CE178</f>
        <v>4166.66666666667</v>
      </c>
      <c r="L178" s="15" t="n">
        <f aca="false">SUM(INDEX($K$125:$K$184,MAX(1,54-Parametri_v3!$C$59+1)):K178)/Parametri_v3!$C$59</f>
        <v>2986.11111111111</v>
      </c>
      <c r="M178" s="15" t="n">
        <f aca="false">J178-L178</f>
        <v>23521.7343027424</v>
      </c>
      <c r="N178" s="15" t="n">
        <f aca="false">CD178-(CD177)</f>
        <v>0</v>
      </c>
      <c r="O178" s="15" t="n">
        <f aca="false">(BG177)*Ipotesi!$C$110/12+CH178*Parametri_v3!$C$39/12</f>
        <v>0</v>
      </c>
      <c r="P178" s="15" t="n">
        <f aca="false">M178+N178-O178</f>
        <v>23521.7343027424</v>
      </c>
      <c r="Q178" s="15" t="n">
        <f aca="false">SUM(P173:P178)+Parametri_v3!$C$54*6/12</f>
        <v>90247.050268665</v>
      </c>
      <c r="R178" s="15" t="n">
        <f aca="false">Z172</f>
        <v>814321.883587488</v>
      </c>
      <c r="S178" s="15" t="n">
        <f aca="false">AA172</f>
        <v>91070.1662804939</v>
      </c>
      <c r="T178" s="15" t="n">
        <f aca="false">MIN(R178,MAX(0,Q178))</f>
        <v>90247.050268665</v>
      </c>
      <c r="U178" s="15" t="n">
        <f aca="false">MIN(S178,MAX(0,Q178-T178)*Parametri_v3!$C$42)</f>
        <v>0</v>
      </c>
      <c r="V178" s="15" t="n">
        <f aca="false">MAX(0,Q178-T178-U178)*Ipotesi!$C$92</f>
        <v>0</v>
      </c>
      <c r="W178" s="15" t="n">
        <f aca="false">MAX(0,SUM(M173:M178)+Parametri_v3!$C$55*6/12)*Ipotesi!$C$93</f>
        <v>3519.63496047793</v>
      </c>
      <c r="X178" s="15" t="n">
        <f aca="false">V178+W178-(V177+W177)</f>
        <v>917.347637806955</v>
      </c>
      <c r="Y178" s="15" t="n">
        <f aca="false">P178-X178</f>
        <v>22604.3866649355</v>
      </c>
      <c r="Z178" s="15" t="n">
        <f aca="false">R178-T178+IF(AND(Parametri_v3!$C$40=1,D178-YEAR(Parametri_v3!$C$50)&lt;Parametri_v3!$C$41),MAX(0,-Q178),0)</f>
        <v>724074.833318823</v>
      </c>
      <c r="AA178" s="15" t="n">
        <f aca="false">S178-U178+IF(AND(Parametri_v3!$C$40=1,D178-YEAR(Parametri_v3!$C$50)&lt;Parametri_v3!$C$41),0,MAX(0,-Q178))</f>
        <v>91070.1662804939</v>
      </c>
      <c r="AB178" s="15" t="n">
        <f aca="false">F178*(1+Parametri_v3!$C$26)</f>
        <v>264624.397859554</v>
      </c>
      <c r="AC178" s="15" t="n">
        <f aca="false">(IF(54-(INT((Motore_Operativo!L178)/30))&lt;1,0,INDEX(Motore_Startup!$AB$125:$AB$184,MAX(1,54-(INT((Motore_Operativo!L178)/30)))))*(1-(MOD((Motore_Operativo!L178),30)/30))+IF(54-(INT((Motore_Operativo!L178)/30))-1&lt;1,0,INDEX(Motore_Startup!$AB$125:$AB$184,MAX(1,54-(INT((Motore_Operativo!L178)/30))-1)))*(MOD((Motore_Operativo!L178),30)/30))</f>
        <v>249429.638571451</v>
      </c>
      <c r="AD178" s="15" t="n">
        <f aca="false">(AD177)+AB178-AC178</f>
        <v>778080.412155831</v>
      </c>
      <c r="AE178" s="15" t="n">
        <f aca="false">Motore_Operativo!BH178*(1+Parametri_v3!$C$26)</f>
        <v>14826.1826086957</v>
      </c>
      <c r="AF178" s="15" t="n">
        <f aca="false">(IF(54-(INT((Parametri_v3!$C$29)/30))&lt;1,0,INDEX(Motore_Operativo!$BH$125:$BH$184,MAX(1,54-(INT((Parametri_v3!$C$29)/30)))))*(1-(MOD((Parametri_v3!$C$29),30)/30))+IF(54-(INT((Parametri_v3!$C$29)/30))-1&lt;1,0,INDEX(Motore_Operativo!$BH$125:$BH$184,MAX(1,54-(INT((Parametri_v3!$C$29)/30))-1)))*(MOD((Parametri_v3!$C$29),30)/30))*(1+Parametri_v3!$C$26)</f>
        <v>14826.1826086957</v>
      </c>
      <c r="AG178" s="15" t="n">
        <f aca="false">(AG177)+AE178-AF178</f>
        <v>14826.1826086956</v>
      </c>
      <c r="AH178" s="15" t="n">
        <f aca="false">(Motore_Operativo!CJ178)*(1+Parametri_v3!$C$27*Parametri_v3!$C$26)</f>
        <v>98607.2701013631</v>
      </c>
      <c r="AI178" s="15" t="n">
        <f aca="false">(IF(54-(INT((Ipotesi!$C$91)/30))&lt;1,0,INDEX(Motore_Startup!$AH$125:$AH$184,MAX(1,54-(INT((Ipotesi!$C$91)/30)))))*(1-(MOD((Ipotesi!$C$91),30)/30))+IF(54-(INT((Ipotesi!$C$91)/30))-1&lt;1,0,INDEX(Motore_Startup!$AH$125:$AH$184,MAX(1,54-(INT((Ipotesi!$C$91)/30))-1)))*(MOD((Ipotesi!$C$91),30)/30))</f>
        <v>97171.0457975241</v>
      </c>
      <c r="AJ178" s="15" t="n">
        <f aca="false">(AJ177)+AH178-AI178</f>
        <v>196499.580558331</v>
      </c>
      <c r="AK178" s="15" t="n">
        <f aca="false">(F178+ Motore_Operativo!BH178-(Motore_Operativo!CJ178)*Parametri_v3!$C$27-Motore_Operativo!CE178)*Parametri_v3!$C$26</f>
        <v>33941.4699655331</v>
      </c>
      <c r="AL178" s="15" t="n">
        <f aca="false">MAX(0,(AM177))</f>
        <v>33107.5941785748</v>
      </c>
      <c r="AM178" s="15" t="n">
        <f aca="false">(AM177)+AK178-AL178</f>
        <v>33941.4699655331</v>
      </c>
      <c r="AN178" s="15" t="n">
        <f aca="false">SUM(X161:X172)</f>
        <v>0</v>
      </c>
      <c r="AO178" s="15" t="n">
        <f aca="false">SUM(AP161:AP172)</f>
        <v>0</v>
      </c>
      <c r="AP178" s="15" t="n">
        <f aca="false">MAX(0,AN178)*IF(6=Parametri_v3!$C$43,Parametri_v3!$C$45,IF(6=Parametri_v3!$C$44,1-Parametri_v3!$C$45,0))</f>
        <v>0</v>
      </c>
      <c r="AQ178" s="15" t="n">
        <f aca="false">MAX(0,AP178+IF(6=Parametri_v3!$C$43,MAX(0,AN178-AO178),0)-MAX(0,-(AR177)))</f>
        <v>0</v>
      </c>
      <c r="AR178" s="15" t="n">
        <f aca="false">(AR177)+X178-AQ178</f>
        <v>3519.63496047793</v>
      </c>
      <c r="AS178" s="15" t="n">
        <f aca="false">Motore_Operativo!AB178-AT178+AU178</f>
        <v>113503.461904792</v>
      </c>
      <c r="AT178" s="15" t="n">
        <f aca="false">Motore_Operativo!CH178</f>
        <v>5973.86641604167</v>
      </c>
      <c r="AU178" s="15" t="n">
        <f aca="false">MIN(MAX(0,(AV177)+AT178),Parametri_v3!$C$60/12)</f>
        <v>0</v>
      </c>
      <c r="AV178" s="15" t="n">
        <f aca="false">(AV177)+AT178-AU178</f>
        <v>172898.74887125</v>
      </c>
      <c r="AW178" s="15" t="n">
        <f aca="false">IF(AND(Motore_Operativo!C178=Finanziamenti!$D$6,Finanziamenti!$F$6=1),Finanziamenti!$C$6,0)</f>
        <v>0</v>
      </c>
      <c r="AX178" s="15" t="n">
        <f aca="false">IF(AND(3&lt;&gt;7,3&lt;&gt;9,Finanziamenti!$F$8=1,OR(Parametri_v3!$C$6=0,Finanziamenti!$E$8=1),Motore_Operativo!C178=EDATE(Finanziamenti!$D$8,Ipotesi!E15*12)),Finanziamenti!$C$8*1,0)+IF(AND(3&lt;&gt;7,3&lt;&gt;9,Finanziamenti!$F$9=1,OR(Parametri_v3!$C$6=0,Finanziamenti!$E$9=1),Motore_Operativo!C178=EDATE(Finanziamenti!$D$9,Ipotesi!E15*12)),Finanziamenti!$C$9*Ipotesi!E16,0)</f>
        <v>0</v>
      </c>
      <c r="AY178" s="15" t="n">
        <f aca="false">0</f>
        <v>0</v>
      </c>
      <c r="AZ178" s="15" t="n">
        <f aca="false">Motore_Advisory!AY178*(1-Ipotesi!$C$95)*Ipotesi!$C$96</f>
        <v>69723.3931391231</v>
      </c>
      <c r="BA178" s="15" t="n">
        <f aca="false">MAX(0,MIN(CG178*MIN(1,IF(Motore_Operativo!C178&gt;=EDATE(Finanziamenti!$D$15,Ipotesi!E14*12),Finanziamenti!$C$15,0)+IF(Motore_Operativo!C178&gt;=EDATE(Finanziamenti!$D$16,Ipotesi!E14*12),Finanziamenti!$C$16,0)+IF(Motore_Operativo!C178&gt;=EDATE(Finanziamenti!$D$17,Ipotesi!E14*12),Finanziamenti!$C$17,0)),CA178*Ipotesi!$C$102)-(CC177))</f>
        <v>0</v>
      </c>
      <c r="BB178" s="15" t="n">
        <f aca="false">IF(AND(CF178&gt;0,Motore_Operativo!C178&gt;=IF(CF178=0,0,EDATE(CF178,Parametri_v3!$C$37)),MOD(((D178-YEAR(IF(CF178=0,0,EDATE(CF178,Parametri_v3!$C$37))))*12+E178-MONTH(IF(CF178=0,0,EDATE(CF178,Parametri_v3!$C$37)))),Parametri_v3!$C$38)=0),MIN(MAX(0,(BC177)+BA178-N178),(CC178-CD178)/(Ipotesi!$C$108*12/Parametri_v3!$C$38)),0)</f>
        <v>13353.9622290716</v>
      </c>
      <c r="BC178" s="15" t="n">
        <f aca="false">(BC177)+BA178-N178-BB178</f>
        <v>227017.357894217</v>
      </c>
      <c r="BD178" s="15" t="n">
        <f aca="false">(BH177)+AC178+AF178-AI178-AS178-K178*(1+Parametri_v3!$C$26)-AL178-AQ178-O178+AW178+AX178+AZ178+BA178-BB178</f>
        <v>398604.02791461</v>
      </c>
      <c r="BE178" s="15" t="n">
        <f aca="false">MAX(0,MIN(MAX(0,CH178-(BG177)),Parametri_v3!$C$30-BD178))</f>
        <v>0</v>
      </c>
      <c r="BF178" s="15" t="n">
        <f aca="false">IF(Motore_Operativo!C178&gt;=Parametri_v3!$C$63,(BG177),MIN((BG177),MAX(0,BD178-Parametri_v3!$C$30)))</f>
        <v>0</v>
      </c>
      <c r="BG178" s="15" t="n">
        <f aca="false">(BG177)+BE178-BF178</f>
        <v>0</v>
      </c>
      <c r="BH178" s="15" t="n">
        <f aca="false">BD178+BE178-BF178-AY178</f>
        <v>398604.02791461</v>
      </c>
      <c r="BI178" s="15" t="n">
        <f aca="false">MAX(0,Parametri_v3!$C$30-BH178)</f>
        <v>0</v>
      </c>
      <c r="BJ178" s="15" t="n">
        <f aca="false">(BJ177)+K178</f>
        <v>140000</v>
      </c>
      <c r="BK178" s="15" t="n">
        <f aca="false">(BK177)+L178</f>
        <v>80868.0555555556</v>
      </c>
      <c r="BL178" s="15" t="n">
        <f aca="false">BJ178-BK178</f>
        <v>59131.9444444444</v>
      </c>
      <c r="BM178" s="15" t="n">
        <f aca="false">(BM177)+Y178</f>
        <v>-818664.634559795</v>
      </c>
      <c r="BN178" s="15" t="n">
        <f aca="false">(BN177)+AW178+AX178+AZ178</f>
        <v>1435430.40943357</v>
      </c>
      <c r="BO178" s="15" t="n">
        <f aca="false">(BO177)+AY178</f>
        <v>0</v>
      </c>
      <c r="BP178" s="15" t="n">
        <f aca="false">0</f>
        <v>0</v>
      </c>
      <c r="BQ178" s="15" t="n">
        <f aca="false">BN178+BM178-BO178</f>
        <v>616765.774873772</v>
      </c>
      <c r="BR178" s="15" t="n">
        <f aca="false">BH178+AD178+BL178+MAX(0,-AM178)+MAX(0,-AR178)+AG178</f>
        <v>1250642.56712358</v>
      </c>
      <c r="BS178" s="15" t="n">
        <f aca="false">AJ178+AV178+MAX(0,AM178)+MAX(0,AR178)+BC178+BG178+BQ178</f>
        <v>1250642.56712358</v>
      </c>
      <c r="BT178" s="15" t="n">
        <f aca="false">BR178-BS178</f>
        <v>0</v>
      </c>
      <c r="BU178" s="15" t="n">
        <f aca="false">BH178-(BD178+BE178-BF178-AY178)</f>
        <v>0</v>
      </c>
      <c r="BV178" s="15" t="n">
        <f aca="false">MIN(Piano_SS!$C$6,(BV177)+IF(AND(Motore_Operativo!C178&gt;=EDATE(Parametri_v3!$C$24,Ipotesi!E14*12),Motore_Operativo!C178&lt;EDATE(Parametri_v3!$C$24,Parametri_v3!$C$25+Ipotesi!E14*12)),MAX(0,(Motore_Operativo!Y178+Motore_Operativo!X178*Parametri_v3!$C$14)*(1-Parametri_v3!$C$32))*Piano_SS!$D$6,0))</f>
        <v>300000</v>
      </c>
      <c r="BW178" s="15" t="n">
        <f aca="false">MIN(Piano_SS!$C$7,(BW177)+IF(AND(Motore_Operativo!C178&gt;=EDATE(Parametri_v3!$C$24,Ipotesi!E14*12),Motore_Operativo!C178&lt;EDATE(Parametri_v3!$C$24,Parametri_v3!$C$25+Ipotesi!E14*12)),MAX(0,(IF(54-(INT((Ipotesi!$C$91)/30))&lt;1,0,INDEX(Motore_Operativo!$BN$125:$BN$184,MAX(1,54-(INT((Ipotesi!$C$91)/30)))))*(1-(MOD((Ipotesi!$C$91),30)/30))+IF(54-(INT((Ipotesi!$C$91)/30))-1&lt;1,0,INDEX(Motore_Operativo!$BN$125:$BN$184,MAX(1,54-(INT((Ipotesi!$C$91)/30))-1)))*(MOD((Ipotesi!$C$91),30)/30)))*Piano_SS!$D$7,0))</f>
        <v>44070.0796097004</v>
      </c>
      <c r="BX178" s="15" t="n">
        <f aca="false">MIN(Piano_SS!$C$8,(BX177)+IF(AND(Motore_Operativo!C178&gt;=EDATE(Parametri_v3!$C$24,Ipotesi!E14*12),Motore_Operativo!C178&lt;EDATE(Parametri_v3!$C$24,Parametri_v3!$C$25+Ipotesi!E14*12)),MAX(0,Motore_Operativo!CE178)*Piano_SS!$D$8,0))</f>
        <v>50000</v>
      </c>
      <c r="BY178" s="15" t="n">
        <f aca="false">MIN(Piano_SS!$C$9,(BY177)+IF(AND(Motore_Operativo!C178&gt;=EDATE(Parametri_v3!$C$24,Ipotesi!E14*12),Motore_Operativo!C178&lt;EDATE(Parametri_v3!$C$24,Parametri_v3!$C$25+Ipotesi!E14*12)),MAX(0,((IF(54-(INT((Ipotesi!$C$91)/30))&lt;1,0,INDEX(Motore_Operativo!$BQ$125:$BQ$184,MAX(1,54-(INT((Ipotesi!$C$91)/30)))))*(1-(MOD((Ipotesi!$C$91),30)/30))+IF(54-(INT((Ipotesi!$C$91)/30))-1&lt;1,0,INDEX(Motore_Operativo!$BQ$125:$BQ$184,MAX(1,54-(INT((Ipotesi!$C$91)/30))-1)))*(MOD((Ipotesi!$C$91),30)/30))+(IF(54-(INT((Ipotesi!$C$91)/30))&lt;1,0,INDEX(Motore_Operativo!$BR$125:$BR$184,MAX(1,54-(INT((Ipotesi!$C$91)/30)))))*(1-(MOD((Ipotesi!$C$91),30)/30))+IF(54-(INT((Ipotesi!$C$91)/30))-1&lt;1,0,INDEX(Motore_Operativo!$BR$125:$BR$184,MAX(1,54-(INT((Ipotesi!$C$91)/30))-1)))*(MOD((Ipotesi!$C$91),30)/30))))*Piano_SS!$D$9,0))</f>
        <v>40000</v>
      </c>
      <c r="BZ178" s="15" t="n">
        <f aca="false">MIN(Piano_SS!$C$10,(BZ177)+IF(AND(Motore_Operativo!C178&gt;=EDATE(Parametri_v3!$C$24,Ipotesi!E14*12),Motore_Operativo!C178&lt;EDATE(Parametri_v3!$C$24,Parametri_v3!$C$25+Ipotesi!E14*12)),MAX(0,(IF(54-(INT((Ipotesi!$C$91)/30))&lt;1,0,INDEX(Motore_Operativo!$BO$125:$BO$184,MAX(1,54-(INT((Ipotesi!$C$91)/30)))))*(1-(MOD((Ipotesi!$C$91),30)/30))+IF(54-(INT((Ipotesi!$C$91)/30))-1&lt;1,0,INDEX(Motore_Operativo!$BO$125:$BO$184,MAX(1,54-(INT((Ipotesi!$C$91)/30))-1)))*(MOD((Ipotesi!$C$91),30)/30)))*Piano_SS!$D$10,0))</f>
        <v>30000</v>
      </c>
      <c r="CA178" s="15" t="n">
        <f aca="false">SUM(BV178:BZ178)</f>
        <v>464070.0796097</v>
      </c>
      <c r="CB178" s="15" t="n">
        <f aca="false">BV178*(1-Piano_SS!$E$6)+BW178*(1-Piano_SS!$E$7)+BX178*(1-Piano_SS!$E$8)+BY178*(1-Piano_SS!$E$9)+BZ178*(1-Piano_SS!$E$10)</f>
        <v>434070.0796097</v>
      </c>
      <c r="CC178" s="15" t="n">
        <f aca="false">(CC177)+BA178</f>
        <v>371256.06368776</v>
      </c>
      <c r="CD178" s="15" t="n">
        <f aca="false">IF(CA178=0,0,CC178*CB178/CA178*Ipotesi!$C$103*Parametri_v3!$C$64)</f>
        <v>104176.819106328</v>
      </c>
      <c r="CE178" s="18" t="n">
        <f aca="false">IF(BA178&gt;0,Motore_Operativo!C178,(CE177))</f>
        <v>47270</v>
      </c>
      <c r="CF178" s="18" t="n">
        <f aca="false">IF(AND(CC178&gt;0,OR(CC178&gt;=CG178-0.01,Motore_Operativo!C178&gt;=EDATE(MAX(Finanziamenti!$D$15:$D$17),Ipotesi!E14*12))),CE178,0)</f>
        <v>47270</v>
      </c>
      <c r="CG178" s="15" t="n">
        <f aca="false">IF(AND(3&lt;&gt;6,3&lt;&gt;9,Finanziamenti!$F$11=1,OR(Parametri_v3!$C$6=0,Finanziamenti!$E$11=1)),MIN(Finanziamenti!$C$11,Piano_SS!$C$12*Ipotesi!$C$102),0)</f>
        <v>400000</v>
      </c>
      <c r="CH178" s="15" t="n">
        <f aca="false">IF(AND(AND(3&lt;&gt;8,3&lt;&gt;9,Finanziamenti!$F$10=1,OR(Parametri_v3!$C$6=0,Finanziamenti!$E$10=1)),Motore_Operativo!C178&gt;=Finanziamenti!$D$10,Motore_Operativo!C178&lt;Parametri_v3!$C$63),Finanziamenti!$C$10,0)</f>
        <v>150000</v>
      </c>
    </row>
    <row r="179" customFormat="false" ht="18" hidden="false" customHeight="true" outlineLevel="0" collapsed="false">
      <c r="A179" s="68" t="n">
        <f aca="false">3</f>
        <v>3</v>
      </c>
      <c r="B179" s="68" t="n">
        <f aca="false">55</f>
        <v>55</v>
      </c>
      <c r="C179" s="18" t="n">
        <f aca="false">Motore_Operativo!C179</f>
        <v>48030</v>
      </c>
      <c r="D179" s="68" t="n">
        <f aca="false">Motore_Operativo!D179</f>
        <v>2031</v>
      </c>
      <c r="E179" s="68" t="n">
        <f aca="false">Motore_Operativo!E179</f>
        <v>7</v>
      </c>
      <c r="F179" s="15" t="n">
        <f aca="false">Motore_Operativo!AQ179+Motore_Operativo!BF179</f>
        <v>221169.955576564</v>
      </c>
      <c r="G179" s="15" t="n">
        <f aca="false">Motore_Operativo!BH179</f>
        <v>12152.6086956522</v>
      </c>
      <c r="H179" s="15" t="n">
        <f aca="false">Motore_Operativo!BI179</f>
        <v>233322.564272216</v>
      </c>
      <c r="I179" s="15" t="n">
        <f aca="false">Motore_Operativo!CA179</f>
        <v>203147.067029089</v>
      </c>
      <c r="J179" s="15" t="n">
        <f aca="false">Motore_Operativo!CC179</f>
        <v>30175.4972431278</v>
      </c>
      <c r="K179" s="15" t="n">
        <f aca="false">Motore_Operativo!CE179</f>
        <v>4166.66666666667</v>
      </c>
      <c r="L179" s="15" t="n">
        <f aca="false">SUM(INDEX($K$125:$K$184,MAX(1,55-Parametri_v3!$C$59+1)):K179)/Parametri_v3!$C$59</f>
        <v>3043.98148148148</v>
      </c>
      <c r="M179" s="15" t="n">
        <f aca="false">J179-L179</f>
        <v>27131.5157616463</v>
      </c>
      <c r="N179" s="15" t="n">
        <f aca="false">CD179-(CD178)</f>
        <v>0</v>
      </c>
      <c r="O179" s="15" t="n">
        <f aca="false">(BG178)*Ipotesi!$C$110/12+CH179*Parametri_v3!$C$39/12</f>
        <v>0</v>
      </c>
      <c r="P179" s="15" t="n">
        <f aca="false">M179+N179-O179</f>
        <v>27131.5157616463</v>
      </c>
      <c r="Q179" s="15" t="n">
        <f aca="false">SUM(P173:P179)+Parametri_v3!$C$54*7/12</f>
        <v>117378.566030311</v>
      </c>
      <c r="R179" s="15" t="n">
        <f aca="false">Z172</f>
        <v>814321.883587488</v>
      </c>
      <c r="S179" s="15" t="n">
        <f aca="false">AA172</f>
        <v>91070.1662804939</v>
      </c>
      <c r="T179" s="15" t="n">
        <f aca="false">MIN(R179,MAX(0,Q179))</f>
        <v>117378.566030311</v>
      </c>
      <c r="U179" s="15" t="n">
        <f aca="false">MIN(S179,MAX(0,Q179-T179)*Parametri_v3!$C$42)</f>
        <v>0</v>
      </c>
      <c r="V179" s="15" t="n">
        <f aca="false">MAX(0,Q179-T179-U179)*Ipotesi!$C$92</f>
        <v>0</v>
      </c>
      <c r="W179" s="15" t="n">
        <f aca="false">MAX(0,SUM(M173:M179)+Parametri_v3!$C$55*7/12)*Ipotesi!$C$93</f>
        <v>4577.76407518214</v>
      </c>
      <c r="X179" s="15" t="n">
        <f aca="false">V179+W179-(V178+W178)</f>
        <v>1058.12911470421</v>
      </c>
      <c r="Y179" s="15" t="n">
        <f aca="false">P179-X179</f>
        <v>26073.3866469421</v>
      </c>
      <c r="Z179" s="15" t="n">
        <f aca="false">R179-T179+IF(AND(Parametri_v3!$C$40=1,D179-YEAR(Parametri_v3!$C$50)&lt;Parametri_v3!$C$41),MAX(0,-Q179),0)</f>
        <v>696943.317557177</v>
      </c>
      <c r="AA179" s="15" t="n">
        <f aca="false">S179-U179+IF(AND(Parametri_v3!$C$40=1,D179-YEAR(Parametri_v3!$C$50)&lt;Parametri_v3!$C$41),0,MAX(0,-Q179))</f>
        <v>91070.1662804939</v>
      </c>
      <c r="AB179" s="15" t="n">
        <f aca="false">F179*(1+Parametri_v3!$C$26)</f>
        <v>269827.345803408</v>
      </c>
      <c r="AC179" s="15" t="n">
        <f aca="false">(IF(55-(INT((Motore_Operativo!L179)/30))&lt;1,0,INDEX(Motore_Startup!$AB$125:$AB$184,MAX(1,55-(INT((Motore_Operativo!L179)/30)))))*(1-(MOD((Motore_Operativo!L179),30)/30))+IF(55-(INT((Motore_Operativo!L179)/30))-1&lt;1,0,INDEX(Motore_Startup!$AB$125:$AB$184,MAX(1,55-(INT((Motore_Operativo!L179)/30))-1)))*(MOD((Motore_Operativo!L179),30)/30))</f>
        <v>254080.447620755</v>
      </c>
      <c r="AD179" s="15" t="n">
        <f aca="false">(AD178)+AB179-AC179</f>
        <v>793827.310338485</v>
      </c>
      <c r="AE179" s="15" t="n">
        <f aca="false">Motore_Operativo!BH179*(1+Parametri_v3!$C$26)</f>
        <v>14826.1826086957</v>
      </c>
      <c r="AF179" s="15" t="n">
        <f aca="false">(IF(55-(INT((Parametri_v3!$C$29)/30))&lt;1,0,INDEX(Motore_Operativo!$BH$125:$BH$184,MAX(1,55-(INT((Parametri_v3!$C$29)/30)))))*(1-(MOD((Parametri_v3!$C$29),30)/30))+IF(55-(INT((Parametri_v3!$C$29)/30))-1&lt;1,0,INDEX(Motore_Operativo!$BH$125:$BH$184,MAX(1,55-(INT((Parametri_v3!$C$29)/30))-1)))*(MOD((Parametri_v3!$C$29),30)/30))*(1+Parametri_v3!$C$26)</f>
        <v>14826.1826086957</v>
      </c>
      <c r="AG179" s="15" t="n">
        <f aca="false">(AG178)+AE179-AF179</f>
        <v>14826.1826086956</v>
      </c>
      <c r="AH179" s="15" t="n">
        <f aca="false">(Motore_Operativo!CJ179)*(1+Parametri_v3!$C$27*Parametri_v3!$C$26)</f>
        <v>99315.979846699</v>
      </c>
      <c r="AI179" s="15" t="n">
        <f aca="false">(IF(55-(INT((Ipotesi!$C$91)/30))&lt;1,0,INDEX(Motore_Startup!$AH$125:$AH$184,MAX(1,55-(INT((Ipotesi!$C$91)/30)))))*(1-(MOD((Ipotesi!$C$91),30)/30))+IF(55-(INT((Ipotesi!$C$91)/30))-1&lt;1,0,INDEX(Motore_Startup!$AH$125:$AH$184,MAX(1,55-(INT((Ipotesi!$C$91)/30))-1)))*(MOD((Ipotesi!$C$91),30)/30))</f>
        <v>97892.3104569677</v>
      </c>
      <c r="AJ179" s="15" t="n">
        <f aca="false">(AJ178)+AH179-AI179</f>
        <v>197923.249948062</v>
      </c>
      <c r="AK179" s="15" t="n">
        <f aca="false">(F179+ Motore_Operativo!BH179-(Motore_Operativo!CJ179)*Parametri_v3!$C$27-Motore_Operativo!CE179)*Parametri_v3!$C$26</f>
        <v>34768.0563347772</v>
      </c>
      <c r="AL179" s="15" t="n">
        <f aca="false">MAX(0,(AM178))</f>
        <v>33941.4699655331</v>
      </c>
      <c r="AM179" s="15" t="n">
        <f aca="false">(AM178)+AK179-AL179</f>
        <v>34768.0563347772</v>
      </c>
      <c r="AN179" s="15" t="n">
        <f aca="false">SUM(X161:X172)</f>
        <v>0</v>
      </c>
      <c r="AO179" s="15" t="n">
        <f aca="false">SUM(AP161:AP172)</f>
        <v>0</v>
      </c>
      <c r="AP179" s="15" t="n">
        <f aca="false">MAX(0,AN179)*IF(7=Parametri_v3!$C$43,Parametri_v3!$C$45,IF(7=Parametri_v3!$C$44,1-Parametri_v3!$C$45,0))</f>
        <v>0</v>
      </c>
      <c r="AQ179" s="15" t="n">
        <f aca="false">MAX(0,AP179+IF(7=Parametri_v3!$C$43,MAX(0,AN179-AO179),0)-MAX(0,-(AR178)))</f>
        <v>0</v>
      </c>
      <c r="AR179" s="15" t="n">
        <f aca="false">(AR178)+X179-AQ179</f>
        <v>4577.76407518214</v>
      </c>
      <c r="AS179" s="15" t="n">
        <f aca="false">Motore_Operativo!AB179-AT179+AU179</f>
        <v>113503.461904792</v>
      </c>
      <c r="AT179" s="15" t="n">
        <f aca="false">Motore_Operativo!CH179</f>
        <v>5973.86641604167</v>
      </c>
      <c r="AU179" s="15" t="n">
        <f aca="false">MIN(MAX(0,(AV178)+AT179),Parametri_v3!$C$60/12)</f>
        <v>0</v>
      </c>
      <c r="AV179" s="15" t="n">
        <f aca="false">(AV178)+AT179-AU179</f>
        <v>178872.615287292</v>
      </c>
      <c r="AW179" s="15" t="n">
        <f aca="false">IF(AND(Motore_Operativo!C179=Finanziamenti!$D$6,Finanziamenti!$F$6=1),Finanziamenti!$C$6,0)</f>
        <v>0</v>
      </c>
      <c r="AX179" s="15" t="n">
        <f aca="false">IF(AND(3&lt;&gt;7,3&lt;&gt;9,Finanziamenti!$F$8=1,OR(Parametri_v3!$C$6=0,Finanziamenti!$E$8=1),Motore_Operativo!C179=EDATE(Finanziamenti!$D$8,Ipotesi!E15*12)),Finanziamenti!$C$8*1,0)+IF(AND(3&lt;&gt;7,3&lt;&gt;9,Finanziamenti!$F$9=1,OR(Parametri_v3!$C$6=0,Finanziamenti!$E$9=1),Motore_Operativo!C179=EDATE(Finanziamenti!$D$9,Ipotesi!E15*12)),Finanziamenti!$C$9*Ipotesi!E16,0)</f>
        <v>0</v>
      </c>
      <c r="AY179" s="15" t="n">
        <f aca="false">0</f>
        <v>0</v>
      </c>
      <c r="AZ179" s="15" t="n">
        <f aca="false">Motore_Advisory!AY179*(1-Ipotesi!$C$95)*Ipotesi!$C$96</f>
        <v>0</v>
      </c>
      <c r="BA179" s="15" t="n">
        <f aca="false">MAX(0,MIN(CG179*MIN(1,IF(Motore_Operativo!C179&gt;=EDATE(Finanziamenti!$D$15,Ipotesi!E14*12),Finanziamenti!$C$15,0)+IF(Motore_Operativo!C179&gt;=EDATE(Finanziamenti!$D$16,Ipotesi!E14*12),Finanziamenti!$C$16,0)+IF(Motore_Operativo!C179&gt;=EDATE(Finanziamenti!$D$17,Ipotesi!E14*12),Finanziamenti!$C$17,0)),CA179*Ipotesi!$C$102)-(CC178))</f>
        <v>0</v>
      </c>
      <c r="BB179" s="15" t="n">
        <f aca="false">IF(AND(CF179&gt;0,Motore_Operativo!C179&gt;=IF(CF179=0,0,EDATE(CF179,Parametri_v3!$C$37)),MOD(((D179-YEAR(IF(CF179=0,0,EDATE(CF179,Parametri_v3!$C$37))))*12+E179-MONTH(IF(CF179=0,0,EDATE(CF179,Parametri_v3!$C$37)))),Parametri_v3!$C$38)=0),MIN(MAX(0,(BC178)+BA179-N179),(CC179-CD179)/(Ipotesi!$C$108*12/Parametri_v3!$C$38)),0)</f>
        <v>0</v>
      </c>
      <c r="BC179" s="15" t="n">
        <f aca="false">(BC178)+BA179-N179-BB179</f>
        <v>227017.357894217</v>
      </c>
      <c r="BD179" s="15" t="n">
        <f aca="false">(BH178)+AC179+AF179-AI179-AS179-K179*(1+Parametri_v3!$C$26)-AL179-AQ179-O179+AW179+AX179+AZ179+BA179-BB179</f>
        <v>417090.082483434</v>
      </c>
      <c r="BE179" s="15" t="n">
        <f aca="false">MAX(0,MIN(MAX(0,CH179-(BG178)),Parametri_v3!$C$30-BD179))</f>
        <v>0</v>
      </c>
      <c r="BF179" s="15" t="n">
        <f aca="false">IF(Motore_Operativo!C179&gt;=Parametri_v3!$C$63,(BG178),MIN((BG178),MAX(0,BD179-Parametri_v3!$C$30)))</f>
        <v>0</v>
      </c>
      <c r="BG179" s="15" t="n">
        <f aca="false">(BG178)+BE179-BF179</f>
        <v>0</v>
      </c>
      <c r="BH179" s="15" t="n">
        <f aca="false">BD179+BE179-BF179-AY179</f>
        <v>417090.082483434</v>
      </c>
      <c r="BI179" s="15" t="n">
        <f aca="false">MAX(0,Parametri_v3!$C$30-BH179)</f>
        <v>0</v>
      </c>
      <c r="BJ179" s="15" t="n">
        <f aca="false">(BJ178)+K179</f>
        <v>144166.666666667</v>
      </c>
      <c r="BK179" s="15" t="n">
        <f aca="false">(BK178)+L179</f>
        <v>83912.0370370371</v>
      </c>
      <c r="BL179" s="15" t="n">
        <f aca="false">BJ179-BK179</f>
        <v>60254.6296296296</v>
      </c>
      <c r="BM179" s="15" t="n">
        <f aca="false">(BM178)+Y179</f>
        <v>-792591.247912853</v>
      </c>
      <c r="BN179" s="15" t="n">
        <f aca="false">(BN178)+AW179+AX179+AZ179</f>
        <v>1435430.40943357</v>
      </c>
      <c r="BO179" s="15" t="n">
        <f aca="false">(BO178)+AY179</f>
        <v>0</v>
      </c>
      <c r="BP179" s="15" t="n">
        <f aca="false">0</f>
        <v>0</v>
      </c>
      <c r="BQ179" s="15" t="n">
        <f aca="false">BN179+BM179-BO179</f>
        <v>642839.161520715</v>
      </c>
      <c r="BR179" s="15" t="n">
        <f aca="false">BH179+AD179+BL179+MAX(0,-AM179)+MAX(0,-AR179)+AG179</f>
        <v>1285998.20506024</v>
      </c>
      <c r="BS179" s="15" t="n">
        <f aca="false">AJ179+AV179+MAX(0,AM179)+MAX(0,AR179)+BC179+BG179+BQ179</f>
        <v>1285998.20506025</v>
      </c>
      <c r="BT179" s="15" t="n">
        <f aca="false">BR179-BS179</f>
        <v>0</v>
      </c>
      <c r="BU179" s="15" t="n">
        <f aca="false">BH179-(BD179+BE179-BF179-AY179)</f>
        <v>0</v>
      </c>
      <c r="BV179" s="15" t="n">
        <f aca="false">MIN(Piano_SS!$C$6,(BV178)+IF(AND(Motore_Operativo!C179&gt;=EDATE(Parametri_v3!$C$24,Ipotesi!E14*12),Motore_Operativo!C179&lt;EDATE(Parametri_v3!$C$24,Parametri_v3!$C$25+Ipotesi!E14*12)),MAX(0,(Motore_Operativo!Y179+Motore_Operativo!X179*Parametri_v3!$C$14)*(1-Parametri_v3!$C$32))*Piano_SS!$D$6,0))</f>
        <v>300000</v>
      </c>
      <c r="BW179" s="15" t="n">
        <f aca="false">MIN(Piano_SS!$C$7,(BW178)+IF(AND(Motore_Operativo!C179&gt;=EDATE(Parametri_v3!$C$24,Ipotesi!E14*12),Motore_Operativo!C179&lt;EDATE(Parametri_v3!$C$24,Parametri_v3!$C$25+Ipotesi!E14*12)),MAX(0,(IF(55-(INT((Ipotesi!$C$91)/30))&lt;1,0,INDEX(Motore_Operativo!$BN$125:$BN$184,MAX(1,55-(INT((Ipotesi!$C$91)/30)))))*(1-(MOD((Ipotesi!$C$91),30)/30))+IF(55-(INT((Ipotesi!$C$91)/30))-1&lt;1,0,INDEX(Motore_Operativo!$BN$125:$BN$184,MAX(1,55-(INT((Ipotesi!$C$91)/30))-1)))*(MOD((Ipotesi!$C$91),30)/30)))*Piano_SS!$D$7,0))</f>
        <v>44070.0796097004</v>
      </c>
      <c r="BX179" s="15" t="n">
        <f aca="false">MIN(Piano_SS!$C$8,(BX178)+IF(AND(Motore_Operativo!C179&gt;=EDATE(Parametri_v3!$C$24,Ipotesi!E14*12),Motore_Operativo!C179&lt;EDATE(Parametri_v3!$C$24,Parametri_v3!$C$25+Ipotesi!E14*12)),MAX(0,Motore_Operativo!CE179)*Piano_SS!$D$8,0))</f>
        <v>50000</v>
      </c>
      <c r="BY179" s="15" t="n">
        <f aca="false">MIN(Piano_SS!$C$9,(BY178)+IF(AND(Motore_Operativo!C179&gt;=EDATE(Parametri_v3!$C$24,Ipotesi!E14*12),Motore_Operativo!C179&lt;EDATE(Parametri_v3!$C$24,Parametri_v3!$C$25+Ipotesi!E14*12)),MAX(0,((IF(55-(INT((Ipotesi!$C$91)/30))&lt;1,0,INDEX(Motore_Operativo!$BQ$125:$BQ$184,MAX(1,55-(INT((Ipotesi!$C$91)/30)))))*(1-(MOD((Ipotesi!$C$91),30)/30))+IF(55-(INT((Ipotesi!$C$91)/30))-1&lt;1,0,INDEX(Motore_Operativo!$BQ$125:$BQ$184,MAX(1,55-(INT((Ipotesi!$C$91)/30))-1)))*(MOD((Ipotesi!$C$91),30)/30))+(IF(55-(INT((Ipotesi!$C$91)/30))&lt;1,0,INDEX(Motore_Operativo!$BR$125:$BR$184,MAX(1,55-(INT((Ipotesi!$C$91)/30)))))*(1-(MOD((Ipotesi!$C$91),30)/30))+IF(55-(INT((Ipotesi!$C$91)/30))-1&lt;1,0,INDEX(Motore_Operativo!$BR$125:$BR$184,MAX(1,55-(INT((Ipotesi!$C$91)/30))-1)))*(MOD((Ipotesi!$C$91),30)/30))))*Piano_SS!$D$9,0))</f>
        <v>40000</v>
      </c>
      <c r="BZ179" s="15" t="n">
        <f aca="false">MIN(Piano_SS!$C$10,(BZ178)+IF(AND(Motore_Operativo!C179&gt;=EDATE(Parametri_v3!$C$24,Ipotesi!E14*12),Motore_Operativo!C179&lt;EDATE(Parametri_v3!$C$24,Parametri_v3!$C$25+Ipotesi!E14*12)),MAX(0,(IF(55-(INT((Ipotesi!$C$91)/30))&lt;1,0,INDEX(Motore_Operativo!$BO$125:$BO$184,MAX(1,55-(INT((Ipotesi!$C$91)/30)))))*(1-(MOD((Ipotesi!$C$91),30)/30))+IF(55-(INT((Ipotesi!$C$91)/30))-1&lt;1,0,INDEX(Motore_Operativo!$BO$125:$BO$184,MAX(1,55-(INT((Ipotesi!$C$91)/30))-1)))*(MOD((Ipotesi!$C$91),30)/30)))*Piano_SS!$D$10,0))</f>
        <v>30000</v>
      </c>
      <c r="CA179" s="15" t="n">
        <f aca="false">SUM(BV179:BZ179)</f>
        <v>464070.0796097</v>
      </c>
      <c r="CB179" s="15" t="n">
        <f aca="false">BV179*(1-Piano_SS!$E$6)+BW179*(1-Piano_SS!$E$7)+BX179*(1-Piano_SS!$E$8)+BY179*(1-Piano_SS!$E$9)+BZ179*(1-Piano_SS!$E$10)</f>
        <v>434070.0796097</v>
      </c>
      <c r="CC179" s="15" t="n">
        <f aca="false">(CC178)+BA179</f>
        <v>371256.06368776</v>
      </c>
      <c r="CD179" s="15" t="n">
        <f aca="false">IF(CA179=0,0,CC179*CB179/CA179*Ipotesi!$C$103*Parametri_v3!$C$64)</f>
        <v>104176.819106328</v>
      </c>
      <c r="CE179" s="18" t="n">
        <f aca="false">IF(BA179&gt;0,Motore_Operativo!C179,(CE178))</f>
        <v>47270</v>
      </c>
      <c r="CF179" s="18" t="n">
        <f aca="false">IF(AND(CC179&gt;0,OR(CC179&gt;=CG179-0.01,Motore_Operativo!C179&gt;=EDATE(MAX(Finanziamenti!$D$15:$D$17),Ipotesi!E14*12))),CE179,0)</f>
        <v>47270</v>
      </c>
      <c r="CG179" s="15" t="n">
        <f aca="false">IF(AND(3&lt;&gt;6,3&lt;&gt;9,Finanziamenti!$F$11=1,OR(Parametri_v3!$C$6=0,Finanziamenti!$E$11=1)),MIN(Finanziamenti!$C$11,Piano_SS!$C$12*Ipotesi!$C$102),0)</f>
        <v>400000</v>
      </c>
      <c r="CH179" s="15" t="n">
        <f aca="false">IF(AND(AND(3&lt;&gt;8,3&lt;&gt;9,Finanziamenti!$F$10=1,OR(Parametri_v3!$C$6=0,Finanziamenti!$E$10=1)),Motore_Operativo!C179&gt;=Finanziamenti!$D$10,Motore_Operativo!C179&lt;Parametri_v3!$C$63),Finanziamenti!$C$10,0)</f>
        <v>150000</v>
      </c>
    </row>
    <row r="180" customFormat="false" ht="18" hidden="false" customHeight="true" outlineLevel="0" collapsed="false">
      <c r="A180" s="68" t="n">
        <f aca="false">3</f>
        <v>3</v>
      </c>
      <c r="B180" s="68" t="n">
        <f aca="false">56</f>
        <v>56</v>
      </c>
      <c r="C180" s="18" t="n">
        <f aca="false">Motore_Operativo!C180</f>
        <v>48061</v>
      </c>
      <c r="D180" s="68" t="n">
        <f aca="false">Motore_Operativo!D180</f>
        <v>2031</v>
      </c>
      <c r="E180" s="68" t="n">
        <f aca="false">Motore_Operativo!E180</f>
        <v>8</v>
      </c>
      <c r="F180" s="15" t="n">
        <f aca="false">Motore_Operativo!AQ180+Motore_Operativo!BF180</f>
        <v>225397.386557803</v>
      </c>
      <c r="G180" s="15" t="n">
        <f aca="false">Motore_Operativo!BH180</f>
        <v>12152.6086956522</v>
      </c>
      <c r="H180" s="15" t="n">
        <f aca="false">Motore_Operativo!BI180</f>
        <v>237549.995253455</v>
      </c>
      <c r="I180" s="15" t="n">
        <f aca="false">Motore_Operativo!CA180</f>
        <v>203738.907366462</v>
      </c>
      <c r="J180" s="15" t="n">
        <f aca="false">Motore_Operativo!CC180</f>
        <v>33811.0878869932</v>
      </c>
      <c r="K180" s="15" t="n">
        <f aca="false">Motore_Operativo!CE180</f>
        <v>4166.66666666667</v>
      </c>
      <c r="L180" s="15" t="n">
        <f aca="false">SUM(INDEX($K$125:$K$184,MAX(1,56-Parametri_v3!$C$59+1)):K180)/Parametri_v3!$C$59</f>
        <v>3101.85185185185</v>
      </c>
      <c r="M180" s="15" t="n">
        <f aca="false">J180-L180</f>
        <v>30709.2360351414</v>
      </c>
      <c r="N180" s="15" t="n">
        <f aca="false">CD180-(CD179)</f>
        <v>0</v>
      </c>
      <c r="O180" s="15" t="n">
        <f aca="false">(BG179)*Ipotesi!$C$110/12+CH180*Parametri_v3!$C$39/12</f>
        <v>0</v>
      </c>
      <c r="P180" s="15" t="n">
        <f aca="false">M180+N180-O180</f>
        <v>30709.2360351414</v>
      </c>
      <c r="Q180" s="15" t="n">
        <f aca="false">SUM(P173:P180)+Parametri_v3!$C$54*8/12</f>
        <v>148087.802065453</v>
      </c>
      <c r="R180" s="15" t="n">
        <f aca="false">Z172</f>
        <v>814321.883587488</v>
      </c>
      <c r="S180" s="15" t="n">
        <f aca="false">AA172</f>
        <v>91070.1662804939</v>
      </c>
      <c r="T180" s="15" t="n">
        <f aca="false">MIN(R180,MAX(0,Q180))</f>
        <v>148087.802065453</v>
      </c>
      <c r="U180" s="15" t="n">
        <f aca="false">MIN(S180,MAX(0,Q180-T180)*Parametri_v3!$C$42)</f>
        <v>0</v>
      </c>
      <c r="V180" s="15" t="n">
        <f aca="false">MAX(0,Q180-T180-U180)*Ipotesi!$C$92</f>
        <v>0</v>
      </c>
      <c r="W180" s="15" t="n">
        <f aca="false">MAX(0,SUM(M173:M180)+Parametri_v3!$C$55*8/12)*Ipotesi!$C$93</f>
        <v>5775.42428055265</v>
      </c>
      <c r="X180" s="15" t="n">
        <f aca="false">V180+W180-(V179+W179)</f>
        <v>1197.66020537051</v>
      </c>
      <c r="Y180" s="15" t="n">
        <f aca="false">P180-X180</f>
        <v>29511.5758297709</v>
      </c>
      <c r="Z180" s="15" t="n">
        <f aca="false">R180-T180+IF(AND(Parametri_v3!$C$40=1,D180-YEAR(Parametri_v3!$C$50)&lt;Parametri_v3!$C$41),MAX(0,-Q180),0)</f>
        <v>666234.081522036</v>
      </c>
      <c r="AA180" s="15" t="n">
        <f aca="false">S180-U180+IF(AND(Parametri_v3!$C$40=1,D180-YEAR(Parametri_v3!$C$50)&lt;Parametri_v3!$C$41),0,MAX(0,-Q180))</f>
        <v>91070.1662804939</v>
      </c>
      <c r="AB180" s="15" t="n">
        <f aca="false">F180*(1+Parametri_v3!$C$26)</f>
        <v>274984.81160052</v>
      </c>
      <c r="AC180" s="15" t="n">
        <f aca="false">(IF(56-(INT((Motore_Operativo!L180)/30))&lt;1,0,INDEX(Motore_Startup!$AB$125:$AB$184,MAX(1,56-(INT((Motore_Operativo!L180)/30)))))*(1-(MOD((Motore_Operativo!L180),30)/30))+IF(56-(INT((Motore_Operativo!L180)/30))-1&lt;1,0,INDEX(Motore_Startup!$AB$125:$AB$184,MAX(1,56-(INT((Motore_Operativo!L180)/30))-1)))*(MOD((Motore_Operativo!L180),30)/30))</f>
        <v>259375.566675522</v>
      </c>
      <c r="AD180" s="15" t="n">
        <f aca="false">(AD179)+AB180-AC180</f>
        <v>809436.555263482</v>
      </c>
      <c r="AE180" s="15" t="n">
        <f aca="false">Motore_Operativo!BH180*(1+Parametri_v3!$C$26)</f>
        <v>14826.1826086957</v>
      </c>
      <c r="AF180" s="15" t="n">
        <f aca="false">(IF(56-(INT((Parametri_v3!$C$29)/30))&lt;1,0,INDEX(Motore_Operativo!$BH$125:$BH$184,MAX(1,56-(INT((Parametri_v3!$C$29)/30)))))*(1-(MOD((Parametri_v3!$C$29),30)/30))+IF(56-(INT((Parametri_v3!$C$29)/30))-1&lt;1,0,INDEX(Motore_Operativo!$BH$125:$BH$184,MAX(1,56-(INT((Parametri_v3!$C$29)/30))-1)))*(MOD((Parametri_v3!$C$29),30)/30))*(1+Parametri_v3!$C$26)</f>
        <v>14826.1826086957</v>
      </c>
      <c r="AG180" s="15" t="n">
        <f aca="false">(AG179)+AE180-AF180</f>
        <v>14826.1826086956</v>
      </c>
      <c r="AH180" s="15" t="n">
        <f aca="false">(Motore_Operativo!CJ180)*(1+Parametri_v3!$C$27*Parametri_v3!$C$26)</f>
        <v>100018.494327161</v>
      </c>
      <c r="AI180" s="15" t="n">
        <f aca="false">(IF(56-(INT((Ipotesi!$C$91)/30))&lt;1,0,INDEX(Motore_Startup!$AH$125:$AH$184,MAX(1,56-(INT((Ipotesi!$C$91)/30)))))*(1-(MOD((Ipotesi!$C$91),30)/30))+IF(56-(INT((Ipotesi!$C$91)/30))-1&lt;1,0,INDEX(Motore_Startup!$AH$125:$AH$184,MAX(1,56-(INT((Ipotesi!$C$91)/30))-1)))*(MOD((Ipotesi!$C$91),30)/30))</f>
        <v>98607.2701013631</v>
      </c>
      <c r="AJ180" s="15" t="n">
        <f aca="false">(AJ179)+AH180-AI180</f>
        <v>199334.47417386</v>
      </c>
      <c r="AK180" s="15" t="n">
        <f aca="false">(F180+ Motore_Operativo!BH180-(Motore_Operativo!CJ180)*Parametri_v3!$C$27-Motore_Operativo!CE180)*Parametri_v3!$C$26</f>
        <v>35587.4170075609</v>
      </c>
      <c r="AL180" s="15" t="n">
        <f aca="false">MAX(0,(AM179))</f>
        <v>34768.0563347772</v>
      </c>
      <c r="AM180" s="15" t="n">
        <f aca="false">(AM179)+AK180-AL180</f>
        <v>35587.4170075609</v>
      </c>
      <c r="AN180" s="15" t="n">
        <f aca="false">SUM(X161:X172)</f>
        <v>0</v>
      </c>
      <c r="AO180" s="15" t="n">
        <f aca="false">SUM(AP161:AP172)</f>
        <v>0</v>
      </c>
      <c r="AP180" s="15" t="n">
        <f aca="false">MAX(0,AN180)*IF(8=Parametri_v3!$C$43,Parametri_v3!$C$45,IF(8=Parametri_v3!$C$44,1-Parametri_v3!$C$45,0))</f>
        <v>0</v>
      </c>
      <c r="AQ180" s="15" t="n">
        <f aca="false">MAX(0,AP180+IF(8=Parametri_v3!$C$43,MAX(0,AN180-AO180),0)-MAX(0,-(AR179)))</f>
        <v>0</v>
      </c>
      <c r="AR180" s="15" t="n">
        <f aca="false">(AR179)+X180-AQ180</f>
        <v>5775.42428055265</v>
      </c>
      <c r="AS180" s="15" t="n">
        <f aca="false">Motore_Operativo!AB180-AT180+AU180</f>
        <v>113503.461904792</v>
      </c>
      <c r="AT180" s="15" t="n">
        <f aca="false">Motore_Operativo!CH180</f>
        <v>5973.86641604167</v>
      </c>
      <c r="AU180" s="15" t="n">
        <f aca="false">MIN(MAX(0,(AV179)+AT180),Parametri_v3!$C$60/12)</f>
        <v>0</v>
      </c>
      <c r="AV180" s="15" t="n">
        <f aca="false">(AV179)+AT180-AU180</f>
        <v>184846.481703333</v>
      </c>
      <c r="AW180" s="15" t="n">
        <f aca="false">IF(AND(Motore_Operativo!C180=Finanziamenti!$D$6,Finanziamenti!$F$6=1),Finanziamenti!$C$6,0)</f>
        <v>0</v>
      </c>
      <c r="AX180" s="15" t="n">
        <f aca="false">IF(AND(3&lt;&gt;7,3&lt;&gt;9,Finanziamenti!$F$8=1,OR(Parametri_v3!$C$6=0,Finanziamenti!$E$8=1),Motore_Operativo!C180=EDATE(Finanziamenti!$D$8,Ipotesi!E15*12)),Finanziamenti!$C$8*1,0)+IF(AND(3&lt;&gt;7,3&lt;&gt;9,Finanziamenti!$F$9=1,OR(Parametri_v3!$C$6=0,Finanziamenti!$E$9=1),Motore_Operativo!C180=EDATE(Finanziamenti!$D$9,Ipotesi!E15*12)),Finanziamenti!$C$9*Ipotesi!E16,0)</f>
        <v>0</v>
      </c>
      <c r="AY180" s="15" t="n">
        <f aca="false">0</f>
        <v>0</v>
      </c>
      <c r="AZ180" s="15" t="n">
        <f aca="false">Motore_Advisory!AY180*(1-Ipotesi!$C$95)*Ipotesi!$C$96</f>
        <v>0</v>
      </c>
      <c r="BA180" s="15" t="n">
        <f aca="false">MAX(0,MIN(CG180*MIN(1,IF(Motore_Operativo!C180&gt;=EDATE(Finanziamenti!$D$15,Ipotesi!E14*12),Finanziamenti!$C$15,0)+IF(Motore_Operativo!C180&gt;=EDATE(Finanziamenti!$D$16,Ipotesi!E14*12),Finanziamenti!$C$16,0)+IF(Motore_Operativo!C180&gt;=EDATE(Finanziamenti!$D$17,Ipotesi!E14*12),Finanziamenti!$C$17,0)),CA180*Ipotesi!$C$102)-(CC179))</f>
        <v>0</v>
      </c>
      <c r="BB180" s="15" t="n">
        <f aca="false">IF(AND(CF180&gt;0,Motore_Operativo!C180&gt;=IF(CF180=0,0,EDATE(CF180,Parametri_v3!$C$37)),MOD(((D180-YEAR(IF(CF180=0,0,EDATE(CF180,Parametri_v3!$C$37))))*12+E180-MONTH(IF(CF180=0,0,EDATE(CF180,Parametri_v3!$C$37)))),Parametri_v3!$C$38)=0),MIN(MAX(0,(BC179)+BA180-N180),(CC180-CD180)/(Ipotesi!$C$108*12/Parametri_v3!$C$38)),0)</f>
        <v>0</v>
      </c>
      <c r="BC180" s="15" t="n">
        <f aca="false">(BC179)+BA180-N180-BB180</f>
        <v>227017.357894217</v>
      </c>
      <c r="BD180" s="15" t="n">
        <f aca="false">(BH179)+AC180+AF180-AI180-AS180-K180*(1+Parametri_v3!$C$26)-AL180-AQ180-O180+AW180+AX180+AZ180+BA180-BB180</f>
        <v>439329.710093387</v>
      </c>
      <c r="BE180" s="15" t="n">
        <f aca="false">MAX(0,MIN(MAX(0,CH180-(BG179)),Parametri_v3!$C$30-BD180))</f>
        <v>0</v>
      </c>
      <c r="BF180" s="15" t="n">
        <f aca="false">IF(Motore_Operativo!C180&gt;=Parametri_v3!$C$63,(BG179),MIN((BG179),MAX(0,BD180-Parametri_v3!$C$30)))</f>
        <v>0</v>
      </c>
      <c r="BG180" s="15" t="n">
        <f aca="false">(BG179)+BE180-BF180</f>
        <v>0</v>
      </c>
      <c r="BH180" s="15" t="n">
        <f aca="false">BD180+BE180-BF180-AY180</f>
        <v>439329.710093387</v>
      </c>
      <c r="BI180" s="15" t="n">
        <f aca="false">MAX(0,Parametri_v3!$C$30-BH180)</f>
        <v>0</v>
      </c>
      <c r="BJ180" s="15" t="n">
        <f aca="false">(BJ179)+K180</f>
        <v>148333.333333333</v>
      </c>
      <c r="BK180" s="15" t="n">
        <f aca="false">(BK179)+L180</f>
        <v>87013.8888888889</v>
      </c>
      <c r="BL180" s="15" t="n">
        <f aca="false">BJ180-BK180</f>
        <v>61319.4444444444</v>
      </c>
      <c r="BM180" s="15" t="n">
        <f aca="false">(BM179)+Y180</f>
        <v>-763079.672083082</v>
      </c>
      <c r="BN180" s="15" t="n">
        <f aca="false">(BN179)+AW180+AX180+AZ180</f>
        <v>1435430.40943357</v>
      </c>
      <c r="BO180" s="15" t="n">
        <f aca="false">(BO179)+AY180</f>
        <v>0</v>
      </c>
      <c r="BP180" s="15" t="n">
        <f aca="false">0</f>
        <v>0</v>
      </c>
      <c r="BQ180" s="15" t="n">
        <f aca="false">BN180+BM180-BO180</f>
        <v>672350.737350485</v>
      </c>
      <c r="BR180" s="15" t="n">
        <f aca="false">BH180+AD180+BL180+MAX(0,-AM180)+MAX(0,-AR180)+AG180</f>
        <v>1324911.89241001</v>
      </c>
      <c r="BS180" s="15" t="n">
        <f aca="false">AJ180+AV180+MAX(0,AM180)+MAX(0,AR180)+BC180+BG180+BQ180</f>
        <v>1324911.89241001</v>
      </c>
      <c r="BT180" s="15" t="n">
        <f aca="false">BR180-BS180</f>
        <v>0</v>
      </c>
      <c r="BU180" s="15" t="n">
        <f aca="false">BH180-(BD180+BE180-BF180-AY180)</f>
        <v>0</v>
      </c>
      <c r="BV180" s="15" t="n">
        <f aca="false">MIN(Piano_SS!$C$6,(BV179)+IF(AND(Motore_Operativo!C180&gt;=EDATE(Parametri_v3!$C$24,Ipotesi!E14*12),Motore_Operativo!C180&lt;EDATE(Parametri_v3!$C$24,Parametri_v3!$C$25+Ipotesi!E14*12)),MAX(0,(Motore_Operativo!Y180+Motore_Operativo!X180*Parametri_v3!$C$14)*(1-Parametri_v3!$C$32))*Piano_SS!$D$6,0))</f>
        <v>300000</v>
      </c>
      <c r="BW180" s="15" t="n">
        <f aca="false">MIN(Piano_SS!$C$7,(BW179)+IF(AND(Motore_Operativo!C180&gt;=EDATE(Parametri_v3!$C$24,Ipotesi!E14*12),Motore_Operativo!C180&lt;EDATE(Parametri_v3!$C$24,Parametri_v3!$C$25+Ipotesi!E14*12)),MAX(0,(IF(56-(INT((Ipotesi!$C$91)/30))&lt;1,0,INDEX(Motore_Operativo!$BN$125:$BN$184,MAX(1,56-(INT((Ipotesi!$C$91)/30)))))*(1-(MOD((Ipotesi!$C$91),30)/30))+IF(56-(INT((Ipotesi!$C$91)/30))-1&lt;1,0,INDEX(Motore_Operativo!$BN$125:$BN$184,MAX(1,56-(INT((Ipotesi!$C$91)/30))-1)))*(MOD((Ipotesi!$C$91),30)/30)))*Piano_SS!$D$7,0))</f>
        <v>44070.0796097004</v>
      </c>
      <c r="BX180" s="15" t="n">
        <f aca="false">MIN(Piano_SS!$C$8,(BX179)+IF(AND(Motore_Operativo!C180&gt;=EDATE(Parametri_v3!$C$24,Ipotesi!E14*12),Motore_Operativo!C180&lt;EDATE(Parametri_v3!$C$24,Parametri_v3!$C$25+Ipotesi!E14*12)),MAX(0,Motore_Operativo!CE180)*Piano_SS!$D$8,0))</f>
        <v>50000</v>
      </c>
      <c r="BY180" s="15" t="n">
        <f aca="false">MIN(Piano_SS!$C$9,(BY179)+IF(AND(Motore_Operativo!C180&gt;=EDATE(Parametri_v3!$C$24,Ipotesi!E14*12),Motore_Operativo!C180&lt;EDATE(Parametri_v3!$C$24,Parametri_v3!$C$25+Ipotesi!E14*12)),MAX(0,((IF(56-(INT((Ipotesi!$C$91)/30))&lt;1,0,INDEX(Motore_Operativo!$BQ$125:$BQ$184,MAX(1,56-(INT((Ipotesi!$C$91)/30)))))*(1-(MOD((Ipotesi!$C$91),30)/30))+IF(56-(INT((Ipotesi!$C$91)/30))-1&lt;1,0,INDEX(Motore_Operativo!$BQ$125:$BQ$184,MAX(1,56-(INT((Ipotesi!$C$91)/30))-1)))*(MOD((Ipotesi!$C$91),30)/30))+(IF(56-(INT((Ipotesi!$C$91)/30))&lt;1,0,INDEX(Motore_Operativo!$BR$125:$BR$184,MAX(1,56-(INT((Ipotesi!$C$91)/30)))))*(1-(MOD((Ipotesi!$C$91),30)/30))+IF(56-(INT((Ipotesi!$C$91)/30))-1&lt;1,0,INDEX(Motore_Operativo!$BR$125:$BR$184,MAX(1,56-(INT((Ipotesi!$C$91)/30))-1)))*(MOD((Ipotesi!$C$91),30)/30))))*Piano_SS!$D$9,0))</f>
        <v>40000</v>
      </c>
      <c r="BZ180" s="15" t="n">
        <f aca="false">MIN(Piano_SS!$C$10,(BZ179)+IF(AND(Motore_Operativo!C180&gt;=EDATE(Parametri_v3!$C$24,Ipotesi!E14*12),Motore_Operativo!C180&lt;EDATE(Parametri_v3!$C$24,Parametri_v3!$C$25+Ipotesi!E14*12)),MAX(0,(IF(56-(INT((Ipotesi!$C$91)/30))&lt;1,0,INDEX(Motore_Operativo!$BO$125:$BO$184,MAX(1,56-(INT((Ipotesi!$C$91)/30)))))*(1-(MOD((Ipotesi!$C$91),30)/30))+IF(56-(INT((Ipotesi!$C$91)/30))-1&lt;1,0,INDEX(Motore_Operativo!$BO$125:$BO$184,MAX(1,56-(INT((Ipotesi!$C$91)/30))-1)))*(MOD((Ipotesi!$C$91),30)/30)))*Piano_SS!$D$10,0))</f>
        <v>30000</v>
      </c>
      <c r="CA180" s="15" t="n">
        <f aca="false">SUM(BV180:BZ180)</f>
        <v>464070.0796097</v>
      </c>
      <c r="CB180" s="15" t="n">
        <f aca="false">BV180*(1-Piano_SS!$E$6)+BW180*(1-Piano_SS!$E$7)+BX180*(1-Piano_SS!$E$8)+BY180*(1-Piano_SS!$E$9)+BZ180*(1-Piano_SS!$E$10)</f>
        <v>434070.0796097</v>
      </c>
      <c r="CC180" s="15" t="n">
        <f aca="false">(CC179)+BA180</f>
        <v>371256.06368776</v>
      </c>
      <c r="CD180" s="15" t="n">
        <f aca="false">IF(CA180=0,0,CC180*CB180/CA180*Ipotesi!$C$103*Parametri_v3!$C$64)</f>
        <v>104176.819106328</v>
      </c>
      <c r="CE180" s="18" t="n">
        <f aca="false">IF(BA180&gt;0,Motore_Operativo!C180,(CE179))</f>
        <v>47270</v>
      </c>
      <c r="CF180" s="18" t="n">
        <f aca="false">IF(AND(CC180&gt;0,OR(CC180&gt;=CG180-0.01,Motore_Operativo!C180&gt;=EDATE(MAX(Finanziamenti!$D$15:$D$17),Ipotesi!E14*12))),CE180,0)</f>
        <v>47270</v>
      </c>
      <c r="CG180" s="15" t="n">
        <f aca="false">IF(AND(3&lt;&gt;6,3&lt;&gt;9,Finanziamenti!$F$11=1,OR(Parametri_v3!$C$6=0,Finanziamenti!$E$11=1)),MIN(Finanziamenti!$C$11,Piano_SS!$C$12*Ipotesi!$C$102),0)</f>
        <v>400000</v>
      </c>
      <c r="CH180" s="15" t="n">
        <f aca="false">IF(AND(AND(3&lt;&gt;8,3&lt;&gt;9,Finanziamenti!$F$10=1,OR(Parametri_v3!$C$6=0,Finanziamenti!$E$10=1)),Motore_Operativo!C180&gt;=Finanziamenti!$D$10,Motore_Operativo!C180&lt;Parametri_v3!$C$63),Finanziamenti!$C$10,0)</f>
        <v>150000</v>
      </c>
    </row>
    <row r="181" customFormat="false" ht="18" hidden="false" customHeight="true" outlineLevel="0" collapsed="false">
      <c r="A181" s="68" t="n">
        <f aca="false">3</f>
        <v>3</v>
      </c>
      <c r="B181" s="68" t="n">
        <f aca="false">57</f>
        <v>57</v>
      </c>
      <c r="C181" s="18" t="n">
        <f aca="false">Motore_Operativo!C181</f>
        <v>48092</v>
      </c>
      <c r="D181" s="68" t="n">
        <f aca="false">Motore_Operativo!D181</f>
        <v>2031</v>
      </c>
      <c r="E181" s="68" t="n">
        <f aca="false">Motore_Operativo!E181</f>
        <v>9</v>
      </c>
      <c r="F181" s="15" t="n">
        <f aca="false">Motore_Operativo!AQ181+Motore_Operativo!BF181</f>
        <v>229587.862982066</v>
      </c>
      <c r="G181" s="15" t="n">
        <f aca="false">Motore_Operativo!BH181</f>
        <v>12152.6086956522</v>
      </c>
      <c r="H181" s="15" t="n">
        <f aca="false">Motore_Operativo!BI181</f>
        <v>241740.471677718</v>
      </c>
      <c r="I181" s="15" t="n">
        <f aca="false">Motore_Operativo!CA181</f>
        <v>204325.574065859</v>
      </c>
      <c r="J181" s="15" t="n">
        <f aca="false">Motore_Operativo!CC181</f>
        <v>37414.8976118595</v>
      </c>
      <c r="K181" s="15" t="n">
        <f aca="false">Motore_Operativo!CE181</f>
        <v>4166.66666666667</v>
      </c>
      <c r="L181" s="15" t="n">
        <f aca="false">SUM(INDEX($K$125:$K$184,MAX(1,57-Parametri_v3!$C$59+1)):K181)/Parametri_v3!$C$59</f>
        <v>3159.72222222222</v>
      </c>
      <c r="M181" s="15" t="n">
        <f aca="false">J181-L181</f>
        <v>34255.1753896373</v>
      </c>
      <c r="N181" s="15" t="n">
        <f aca="false">CD181-(CD180)</f>
        <v>0</v>
      </c>
      <c r="O181" s="15" t="n">
        <f aca="false">(BG180)*Ipotesi!$C$110/12+CH181*Parametri_v3!$C$39/12</f>
        <v>0</v>
      </c>
      <c r="P181" s="15" t="n">
        <f aca="false">M181+N181-O181</f>
        <v>34255.1753896373</v>
      </c>
      <c r="Q181" s="15" t="n">
        <f aca="false">SUM(P173:P181)+Parametri_v3!$C$54*9/12</f>
        <v>182342.97745509</v>
      </c>
      <c r="R181" s="15" t="n">
        <f aca="false">Z172</f>
        <v>814321.883587488</v>
      </c>
      <c r="S181" s="15" t="n">
        <f aca="false">AA172</f>
        <v>91070.1662804939</v>
      </c>
      <c r="T181" s="15" t="n">
        <f aca="false">MIN(R181,MAX(0,Q181))</f>
        <v>182342.97745509</v>
      </c>
      <c r="U181" s="15" t="n">
        <f aca="false">MIN(S181,MAX(0,Q181-T181)*Parametri_v3!$C$42)</f>
        <v>0</v>
      </c>
      <c r="V181" s="15" t="n">
        <f aca="false">MAX(0,Q181-T181-U181)*Ipotesi!$C$92</f>
        <v>0</v>
      </c>
      <c r="W181" s="15" t="n">
        <f aca="false">MAX(0,SUM(M173:M181)+Parametri_v3!$C$55*9/12)*Ipotesi!$C$93</f>
        <v>7111.37612074851</v>
      </c>
      <c r="X181" s="15" t="n">
        <f aca="false">V181+W181-(V180+W180)</f>
        <v>1335.95184019585</v>
      </c>
      <c r="Y181" s="15" t="n">
        <f aca="false">P181-X181</f>
        <v>32919.2235494414</v>
      </c>
      <c r="Z181" s="15" t="n">
        <f aca="false">R181-T181+IF(AND(Parametri_v3!$C$40=1,D181-YEAR(Parametri_v3!$C$50)&lt;Parametri_v3!$C$41),MAX(0,-Q181),0)</f>
        <v>631978.906132398</v>
      </c>
      <c r="AA181" s="15" t="n">
        <f aca="false">S181-U181+IF(AND(Parametri_v3!$C$40=1,D181-YEAR(Parametri_v3!$C$50)&lt;Parametri_v3!$C$41),0,MAX(0,-Q181))</f>
        <v>91070.1662804939</v>
      </c>
      <c r="AB181" s="15" t="n">
        <f aca="false">F181*(1+Parametri_v3!$C$26)</f>
        <v>280097.192838121</v>
      </c>
      <c r="AC181" s="15" t="n">
        <f aca="false">(IF(57-(INT((Motore_Operativo!L181)/30))&lt;1,0,INDEX(Motore_Startup!$AB$125:$AB$184,MAX(1,57-(INT((Motore_Operativo!L181)/30)))))*(1-(MOD((Motore_Operativo!L181),30)/30))+IF(57-(INT((Motore_Operativo!L181)/30))-1&lt;1,0,INDEX(Motore_Startup!$AB$125:$AB$184,MAX(1,57-(INT((Motore_Operativo!L181)/30))-1)))*(MOD((Motore_Operativo!L181),30)/30))</f>
        <v>264624.397859554</v>
      </c>
      <c r="AD181" s="15" t="n">
        <f aca="false">(AD180)+AB181-AC181</f>
        <v>824909.350242049</v>
      </c>
      <c r="AE181" s="15" t="n">
        <f aca="false">Motore_Operativo!BH181*(1+Parametri_v3!$C$26)</f>
        <v>14826.1826086957</v>
      </c>
      <c r="AF181" s="15" t="n">
        <f aca="false">(IF(57-(INT((Parametri_v3!$C$29)/30))&lt;1,0,INDEX(Motore_Operativo!$BH$125:$BH$184,MAX(1,57-(INT((Parametri_v3!$C$29)/30)))))*(1-(MOD((Parametri_v3!$C$29),30)/30))+IF(57-(INT((Parametri_v3!$C$29)/30))-1&lt;1,0,INDEX(Motore_Operativo!$BH$125:$BH$184,MAX(1,57-(INT((Parametri_v3!$C$29)/30))-1)))*(MOD((Parametri_v3!$C$29),30)/30))*(1+Parametri_v3!$C$26)</f>
        <v>14826.1826086957</v>
      </c>
      <c r="AG181" s="15" t="n">
        <f aca="false">(AG180)+AE181-AF181</f>
        <v>14826.1826086956</v>
      </c>
      <c r="AH181" s="15" t="n">
        <f aca="false">(Motore_Operativo!CJ181)*(1+Parametri_v3!$C$27*Parametri_v3!$C$26)</f>
        <v>100714.867699345</v>
      </c>
      <c r="AI181" s="15" t="n">
        <f aca="false">(IF(57-(INT((Ipotesi!$C$91)/30))&lt;1,0,INDEX(Motore_Startup!$AH$125:$AH$184,MAX(1,57-(INT((Ipotesi!$C$91)/30)))))*(1-(MOD((Ipotesi!$C$91),30)/30))+IF(57-(INT((Ipotesi!$C$91)/30))-1&lt;1,0,INDEX(Motore_Startup!$AH$125:$AH$184,MAX(1,57-(INT((Ipotesi!$C$91)/30))-1)))*(MOD((Ipotesi!$C$91),30)/30))</f>
        <v>99315.979846699</v>
      </c>
      <c r="AJ181" s="15" t="n">
        <f aca="false">(AJ180)+AH181-AI181</f>
        <v>200733.362026507</v>
      </c>
      <c r="AK181" s="15" t="n">
        <f aca="false">(F181+ Motore_Operativo!BH181-(Motore_Operativo!CJ181)*Parametri_v3!$C$27-Motore_Operativo!CE181)*Parametri_v3!$C$26</f>
        <v>36399.6151481116</v>
      </c>
      <c r="AL181" s="15" t="n">
        <f aca="false">MAX(0,(AM180))</f>
        <v>35587.4170075609</v>
      </c>
      <c r="AM181" s="15" t="n">
        <f aca="false">(AM180)+AK181-AL181</f>
        <v>36399.6151481116</v>
      </c>
      <c r="AN181" s="15" t="n">
        <f aca="false">SUM(X161:X172)</f>
        <v>0</v>
      </c>
      <c r="AO181" s="15" t="n">
        <f aca="false">SUM(AP161:AP172)</f>
        <v>0</v>
      </c>
      <c r="AP181" s="15" t="n">
        <f aca="false">MAX(0,AN181)*IF(9=Parametri_v3!$C$43,Parametri_v3!$C$45,IF(9=Parametri_v3!$C$44,1-Parametri_v3!$C$45,0))</f>
        <v>0</v>
      </c>
      <c r="AQ181" s="15" t="n">
        <f aca="false">MAX(0,AP181+IF(9=Parametri_v3!$C$43,MAX(0,AN181-AO181),0)-MAX(0,-(AR180)))</f>
        <v>0</v>
      </c>
      <c r="AR181" s="15" t="n">
        <f aca="false">(AR180)+X181-AQ181</f>
        <v>7111.37612074851</v>
      </c>
      <c r="AS181" s="15" t="n">
        <f aca="false">Motore_Operativo!AB181-AT181+AU181</f>
        <v>113503.461904792</v>
      </c>
      <c r="AT181" s="15" t="n">
        <f aca="false">Motore_Operativo!CH181</f>
        <v>5973.86641604167</v>
      </c>
      <c r="AU181" s="15" t="n">
        <f aca="false">MIN(MAX(0,(AV180)+AT181),Parametri_v3!$C$60/12)</f>
        <v>0</v>
      </c>
      <c r="AV181" s="15" t="n">
        <f aca="false">(AV180)+AT181-AU181</f>
        <v>190820.348119375</v>
      </c>
      <c r="AW181" s="15" t="n">
        <f aca="false">IF(AND(Motore_Operativo!C181=Finanziamenti!$D$6,Finanziamenti!$F$6=1),Finanziamenti!$C$6,0)</f>
        <v>0</v>
      </c>
      <c r="AX181" s="15" t="n">
        <f aca="false">IF(AND(3&lt;&gt;7,3&lt;&gt;9,Finanziamenti!$F$8=1,OR(Parametri_v3!$C$6=0,Finanziamenti!$E$8=1),Motore_Operativo!C181=EDATE(Finanziamenti!$D$8,Ipotesi!E15*12)),Finanziamenti!$C$8*1,0)+IF(AND(3&lt;&gt;7,3&lt;&gt;9,Finanziamenti!$F$9=1,OR(Parametri_v3!$C$6=0,Finanziamenti!$E$9=1),Motore_Operativo!C181=EDATE(Finanziamenti!$D$9,Ipotesi!E15*12)),Finanziamenti!$C$9*Ipotesi!E16,0)</f>
        <v>0</v>
      </c>
      <c r="AY181" s="15" t="n">
        <f aca="false">0</f>
        <v>0</v>
      </c>
      <c r="AZ181" s="15" t="n">
        <f aca="false">Motore_Advisory!AY181*(1-Ipotesi!$C$95)*Ipotesi!$C$96</f>
        <v>0</v>
      </c>
      <c r="BA181" s="15" t="n">
        <f aca="false">MAX(0,MIN(CG181*MIN(1,IF(Motore_Operativo!C181&gt;=EDATE(Finanziamenti!$D$15,Ipotesi!E14*12),Finanziamenti!$C$15,0)+IF(Motore_Operativo!C181&gt;=EDATE(Finanziamenti!$D$16,Ipotesi!E14*12),Finanziamenti!$C$16,0)+IF(Motore_Operativo!C181&gt;=EDATE(Finanziamenti!$D$17,Ipotesi!E14*12),Finanziamenti!$C$17,0)),CA181*Ipotesi!$C$102)-(CC180))</f>
        <v>0</v>
      </c>
      <c r="BB181" s="15" t="n">
        <f aca="false">IF(AND(CF181&gt;0,Motore_Operativo!C181&gt;=IF(CF181=0,0,EDATE(CF181,Parametri_v3!$C$37)),MOD(((D181-YEAR(IF(CF181=0,0,EDATE(CF181,Parametri_v3!$C$37))))*12+E181-MONTH(IF(CF181=0,0,EDATE(CF181,Parametri_v3!$C$37)))),Parametri_v3!$C$38)=0),MIN(MAX(0,(BC180)+BA181-N181),(CC181-CD181)/(Ipotesi!$C$108*12/Parametri_v3!$C$38)),0)</f>
        <v>0</v>
      </c>
      <c r="BC181" s="15" t="n">
        <f aca="false">(BC180)+BA181-N181-BB181</f>
        <v>227017.357894217</v>
      </c>
      <c r="BD181" s="15" t="n">
        <f aca="false">(BH180)+AC181+AF181-AI181-AS181-K181*(1+Parametri_v3!$C$26)-AL181-AQ181-O181+AW181+AX181+AZ181+BA181-BB181</f>
        <v>465290.098469252</v>
      </c>
      <c r="BE181" s="15" t="n">
        <f aca="false">MAX(0,MIN(MAX(0,CH181-(BG180)),Parametri_v3!$C$30-BD181))</f>
        <v>0</v>
      </c>
      <c r="BF181" s="15" t="n">
        <f aca="false">IF(Motore_Operativo!C181&gt;=Parametri_v3!$C$63,(BG180),MIN((BG180),MAX(0,BD181-Parametri_v3!$C$30)))</f>
        <v>0</v>
      </c>
      <c r="BG181" s="15" t="n">
        <f aca="false">(BG180)+BE181-BF181</f>
        <v>0</v>
      </c>
      <c r="BH181" s="15" t="n">
        <f aca="false">BD181+BE181-BF181-AY181</f>
        <v>465290.098469252</v>
      </c>
      <c r="BI181" s="15" t="n">
        <f aca="false">MAX(0,Parametri_v3!$C$30-BH181)</f>
        <v>0</v>
      </c>
      <c r="BJ181" s="15" t="n">
        <f aca="false">(BJ180)+K181</f>
        <v>152500</v>
      </c>
      <c r="BK181" s="15" t="n">
        <f aca="false">(BK180)+L181</f>
        <v>90173.6111111111</v>
      </c>
      <c r="BL181" s="15" t="n">
        <f aca="false">BJ181-BK181</f>
        <v>62326.3888888888</v>
      </c>
      <c r="BM181" s="15" t="n">
        <f aca="false">(BM180)+Y181</f>
        <v>-730160.448533641</v>
      </c>
      <c r="BN181" s="15" t="n">
        <f aca="false">(BN180)+AW181+AX181+AZ181</f>
        <v>1435430.40943357</v>
      </c>
      <c r="BO181" s="15" t="n">
        <f aca="false">(BO180)+AY181</f>
        <v>0</v>
      </c>
      <c r="BP181" s="15" t="n">
        <f aca="false">0</f>
        <v>0</v>
      </c>
      <c r="BQ181" s="15" t="n">
        <f aca="false">BN181+BM181-BO181</f>
        <v>705269.960899927</v>
      </c>
      <c r="BR181" s="15" t="n">
        <f aca="false">BH181+AD181+BL181+MAX(0,-AM181)+MAX(0,-AR181)+AG181</f>
        <v>1367352.02020889</v>
      </c>
      <c r="BS181" s="15" t="n">
        <f aca="false">AJ181+AV181+MAX(0,AM181)+MAX(0,AR181)+BC181+BG181+BQ181</f>
        <v>1367352.02020889</v>
      </c>
      <c r="BT181" s="15" t="n">
        <f aca="false">BR181-BS181</f>
        <v>0</v>
      </c>
      <c r="BU181" s="15" t="n">
        <f aca="false">BH181-(BD181+BE181-BF181-AY181)</f>
        <v>0</v>
      </c>
      <c r="BV181" s="15" t="n">
        <f aca="false">MIN(Piano_SS!$C$6,(BV180)+IF(AND(Motore_Operativo!C181&gt;=EDATE(Parametri_v3!$C$24,Ipotesi!E14*12),Motore_Operativo!C181&lt;EDATE(Parametri_v3!$C$24,Parametri_v3!$C$25+Ipotesi!E14*12)),MAX(0,(Motore_Operativo!Y181+Motore_Operativo!X181*Parametri_v3!$C$14)*(1-Parametri_v3!$C$32))*Piano_SS!$D$6,0))</f>
        <v>300000</v>
      </c>
      <c r="BW181" s="15" t="n">
        <f aca="false">MIN(Piano_SS!$C$7,(BW180)+IF(AND(Motore_Operativo!C181&gt;=EDATE(Parametri_v3!$C$24,Ipotesi!E14*12),Motore_Operativo!C181&lt;EDATE(Parametri_v3!$C$24,Parametri_v3!$C$25+Ipotesi!E14*12)),MAX(0,(IF(57-(INT((Ipotesi!$C$91)/30))&lt;1,0,INDEX(Motore_Operativo!$BN$125:$BN$184,MAX(1,57-(INT((Ipotesi!$C$91)/30)))))*(1-(MOD((Ipotesi!$C$91),30)/30))+IF(57-(INT((Ipotesi!$C$91)/30))-1&lt;1,0,INDEX(Motore_Operativo!$BN$125:$BN$184,MAX(1,57-(INT((Ipotesi!$C$91)/30))-1)))*(MOD((Ipotesi!$C$91),30)/30)))*Piano_SS!$D$7,0))</f>
        <v>44070.0796097004</v>
      </c>
      <c r="BX181" s="15" t="n">
        <f aca="false">MIN(Piano_SS!$C$8,(BX180)+IF(AND(Motore_Operativo!C181&gt;=EDATE(Parametri_v3!$C$24,Ipotesi!E14*12),Motore_Operativo!C181&lt;EDATE(Parametri_v3!$C$24,Parametri_v3!$C$25+Ipotesi!E14*12)),MAX(0,Motore_Operativo!CE181)*Piano_SS!$D$8,0))</f>
        <v>50000</v>
      </c>
      <c r="BY181" s="15" t="n">
        <f aca="false">MIN(Piano_SS!$C$9,(BY180)+IF(AND(Motore_Operativo!C181&gt;=EDATE(Parametri_v3!$C$24,Ipotesi!E14*12),Motore_Operativo!C181&lt;EDATE(Parametri_v3!$C$24,Parametri_v3!$C$25+Ipotesi!E14*12)),MAX(0,((IF(57-(INT((Ipotesi!$C$91)/30))&lt;1,0,INDEX(Motore_Operativo!$BQ$125:$BQ$184,MAX(1,57-(INT((Ipotesi!$C$91)/30)))))*(1-(MOD((Ipotesi!$C$91),30)/30))+IF(57-(INT((Ipotesi!$C$91)/30))-1&lt;1,0,INDEX(Motore_Operativo!$BQ$125:$BQ$184,MAX(1,57-(INT((Ipotesi!$C$91)/30))-1)))*(MOD((Ipotesi!$C$91),30)/30))+(IF(57-(INT((Ipotesi!$C$91)/30))&lt;1,0,INDEX(Motore_Operativo!$BR$125:$BR$184,MAX(1,57-(INT((Ipotesi!$C$91)/30)))))*(1-(MOD((Ipotesi!$C$91),30)/30))+IF(57-(INT((Ipotesi!$C$91)/30))-1&lt;1,0,INDEX(Motore_Operativo!$BR$125:$BR$184,MAX(1,57-(INT((Ipotesi!$C$91)/30))-1)))*(MOD((Ipotesi!$C$91),30)/30))))*Piano_SS!$D$9,0))</f>
        <v>40000</v>
      </c>
      <c r="BZ181" s="15" t="n">
        <f aca="false">MIN(Piano_SS!$C$10,(BZ180)+IF(AND(Motore_Operativo!C181&gt;=EDATE(Parametri_v3!$C$24,Ipotesi!E14*12),Motore_Operativo!C181&lt;EDATE(Parametri_v3!$C$24,Parametri_v3!$C$25+Ipotesi!E14*12)),MAX(0,(IF(57-(INT((Ipotesi!$C$91)/30))&lt;1,0,INDEX(Motore_Operativo!$BO$125:$BO$184,MAX(1,57-(INT((Ipotesi!$C$91)/30)))))*(1-(MOD((Ipotesi!$C$91),30)/30))+IF(57-(INT((Ipotesi!$C$91)/30))-1&lt;1,0,INDEX(Motore_Operativo!$BO$125:$BO$184,MAX(1,57-(INT((Ipotesi!$C$91)/30))-1)))*(MOD((Ipotesi!$C$91),30)/30)))*Piano_SS!$D$10,0))</f>
        <v>30000</v>
      </c>
      <c r="CA181" s="15" t="n">
        <f aca="false">SUM(BV181:BZ181)</f>
        <v>464070.0796097</v>
      </c>
      <c r="CB181" s="15" t="n">
        <f aca="false">BV181*(1-Piano_SS!$E$6)+BW181*(1-Piano_SS!$E$7)+BX181*(1-Piano_SS!$E$8)+BY181*(1-Piano_SS!$E$9)+BZ181*(1-Piano_SS!$E$10)</f>
        <v>434070.0796097</v>
      </c>
      <c r="CC181" s="15" t="n">
        <f aca="false">(CC180)+BA181</f>
        <v>371256.06368776</v>
      </c>
      <c r="CD181" s="15" t="n">
        <f aca="false">IF(CA181=0,0,CC181*CB181/CA181*Ipotesi!$C$103*Parametri_v3!$C$64)</f>
        <v>104176.819106328</v>
      </c>
      <c r="CE181" s="18" t="n">
        <f aca="false">IF(BA181&gt;0,Motore_Operativo!C181,(CE180))</f>
        <v>47270</v>
      </c>
      <c r="CF181" s="18" t="n">
        <f aca="false">IF(AND(CC181&gt;0,OR(CC181&gt;=CG181-0.01,Motore_Operativo!C181&gt;=EDATE(MAX(Finanziamenti!$D$15:$D$17),Ipotesi!E14*12))),CE181,0)</f>
        <v>47270</v>
      </c>
      <c r="CG181" s="15" t="n">
        <f aca="false">IF(AND(3&lt;&gt;6,3&lt;&gt;9,Finanziamenti!$F$11=1,OR(Parametri_v3!$C$6=0,Finanziamenti!$E$11=1)),MIN(Finanziamenti!$C$11,Piano_SS!$C$12*Ipotesi!$C$102),0)</f>
        <v>400000</v>
      </c>
      <c r="CH181" s="15" t="n">
        <f aca="false">IF(AND(AND(3&lt;&gt;8,3&lt;&gt;9,Finanziamenti!$F$10=1,OR(Parametri_v3!$C$6=0,Finanziamenti!$E$10=1)),Motore_Operativo!C181&gt;=Finanziamenti!$D$10,Motore_Operativo!C181&lt;Parametri_v3!$C$63),Finanziamenti!$C$10,0)</f>
        <v>150000</v>
      </c>
    </row>
    <row r="182" customFormat="false" ht="18" hidden="false" customHeight="true" outlineLevel="0" collapsed="false">
      <c r="A182" s="68" t="n">
        <f aca="false">3</f>
        <v>3</v>
      </c>
      <c r="B182" s="68" t="n">
        <f aca="false">58</f>
        <v>58</v>
      </c>
      <c r="C182" s="18" t="n">
        <f aca="false">Motore_Operativo!C182</f>
        <v>48122</v>
      </c>
      <c r="D182" s="68" t="n">
        <f aca="false">Motore_Operativo!D182</f>
        <v>2031</v>
      </c>
      <c r="E182" s="68" t="n">
        <f aca="false">Motore_Operativo!E182</f>
        <v>10</v>
      </c>
      <c r="F182" s="15" t="n">
        <f aca="false">Motore_Operativo!AQ182+Motore_Operativo!BF182</f>
        <v>233583.618222926</v>
      </c>
      <c r="G182" s="15" t="n">
        <f aca="false">Motore_Operativo!BH182</f>
        <v>12152.6086956522</v>
      </c>
      <c r="H182" s="15" t="n">
        <f aca="false">Motore_Operativo!BI182</f>
        <v>245736.226918578</v>
      </c>
      <c r="I182" s="15" t="n">
        <f aca="false">Motore_Operativo!CA182</f>
        <v>204884.979799579</v>
      </c>
      <c r="J182" s="15" t="n">
        <f aca="false">Motore_Operativo!CC182</f>
        <v>40851.2471189987</v>
      </c>
      <c r="K182" s="15" t="n">
        <f aca="false">Motore_Operativo!CE182</f>
        <v>4166.66666666667</v>
      </c>
      <c r="L182" s="15" t="n">
        <f aca="false">SUM(INDEX($K$125:$K$184,MAX(1,58-Parametri_v3!$C$59+1)):K182)/Parametri_v3!$C$59</f>
        <v>3217.59259259259</v>
      </c>
      <c r="M182" s="15" t="n">
        <f aca="false">J182-L182</f>
        <v>37633.6545264061</v>
      </c>
      <c r="N182" s="15" t="n">
        <f aca="false">CD182-(CD181)</f>
        <v>0</v>
      </c>
      <c r="O182" s="15" t="n">
        <f aca="false">(BG181)*Ipotesi!$C$110/12+CH182*Parametri_v3!$C$39/12</f>
        <v>0</v>
      </c>
      <c r="P182" s="15" t="n">
        <f aca="false">M182+N182-O182</f>
        <v>37633.6545264061</v>
      </c>
      <c r="Q182" s="15" t="n">
        <f aca="false">SUM(P173:P182)+Parametri_v3!$C$54*10/12</f>
        <v>219976.631981496</v>
      </c>
      <c r="R182" s="15" t="n">
        <f aca="false">Z172</f>
        <v>814321.883587488</v>
      </c>
      <c r="S182" s="15" t="n">
        <f aca="false">AA172</f>
        <v>91070.1662804939</v>
      </c>
      <c r="T182" s="15" t="n">
        <f aca="false">MIN(R182,MAX(0,Q182))</f>
        <v>219976.631981496</v>
      </c>
      <c r="U182" s="15" t="n">
        <f aca="false">MIN(S182,MAX(0,Q182-T182)*Parametri_v3!$C$42)</f>
        <v>0</v>
      </c>
      <c r="V182" s="15" t="n">
        <f aca="false">MAX(0,Q182-T182-U182)*Ipotesi!$C$92</f>
        <v>0</v>
      </c>
      <c r="W182" s="15" t="n">
        <f aca="false">MAX(0,SUM(M173:M182)+Parametri_v3!$C$55*10/12)*Ipotesi!$C$93</f>
        <v>8579.08864727834</v>
      </c>
      <c r="X182" s="15" t="n">
        <f aca="false">V182+W182-(V181+W181)</f>
        <v>1467.71252652984</v>
      </c>
      <c r="Y182" s="15" t="n">
        <f aca="false">P182-X182</f>
        <v>36165.9419998763</v>
      </c>
      <c r="Z182" s="15" t="n">
        <f aca="false">R182-T182+IF(AND(Parametri_v3!$C$40=1,D182-YEAR(Parametri_v3!$C$50)&lt;Parametri_v3!$C$41),MAX(0,-Q182),0)</f>
        <v>594345.251605992</v>
      </c>
      <c r="AA182" s="15" t="n">
        <f aca="false">S182-U182+IF(AND(Parametri_v3!$C$40=1,D182-YEAR(Parametri_v3!$C$50)&lt;Parametri_v3!$C$41),0,MAX(0,-Q182))</f>
        <v>91070.1662804939</v>
      </c>
      <c r="AB182" s="15" t="n">
        <f aca="false">F182*(1+Parametri_v3!$C$26)</f>
        <v>284972.014231969</v>
      </c>
      <c r="AC182" s="15" t="n">
        <f aca="false">(IF(58-(INT((Motore_Operativo!L182)/30))&lt;1,0,INDEX(Motore_Startup!$AB$125:$AB$184,MAX(1,58-(INT((Motore_Operativo!L182)/30)))))*(1-(MOD((Motore_Operativo!L182),30)/30))+IF(58-(INT((Motore_Operativo!L182)/30))-1&lt;1,0,INDEX(Motore_Startup!$AB$125:$AB$184,MAX(1,58-(INT((Motore_Operativo!L182)/30))-1)))*(MOD((Motore_Operativo!L182),30)/30))</f>
        <v>269827.345803408</v>
      </c>
      <c r="AD182" s="15" t="n">
        <f aca="false">(AD181)+AB182-AC182</f>
        <v>840054.01867061</v>
      </c>
      <c r="AE182" s="15" t="n">
        <f aca="false">Motore_Operativo!BH182*(1+Parametri_v3!$C$26)</f>
        <v>14826.1826086957</v>
      </c>
      <c r="AF182" s="15" t="n">
        <f aca="false">(IF(58-(INT((Parametri_v3!$C$29)/30))&lt;1,0,INDEX(Motore_Operativo!$BH$125:$BH$184,MAX(1,58-(INT((Parametri_v3!$C$29)/30)))))*(1-(MOD((Parametri_v3!$C$29),30)/30))+IF(58-(INT((Parametri_v3!$C$29)/30))-1&lt;1,0,INDEX(Motore_Operativo!$BH$125:$BH$184,MAX(1,58-(INT((Parametri_v3!$C$29)/30))-1)))*(MOD((Parametri_v3!$C$29),30)/30))*(1+Parametri_v3!$C$26)</f>
        <v>14826.1826086957</v>
      </c>
      <c r="AG182" s="15" t="n">
        <f aca="false">(AG181)+AE182-AF182</f>
        <v>14826.1826086956</v>
      </c>
      <c r="AH182" s="15" t="n">
        <f aca="false">(Motore_Operativo!CJ182)*(1+Parametri_v3!$C$27*Parametri_v3!$C$26)</f>
        <v>101378.882305271</v>
      </c>
      <c r="AI182" s="15" t="n">
        <f aca="false">(IF(58-(INT((Ipotesi!$C$91)/30))&lt;1,0,INDEX(Motore_Startup!$AH$125:$AH$184,MAX(1,58-(INT((Ipotesi!$C$91)/30)))))*(1-(MOD((Ipotesi!$C$91),30)/30))+IF(58-(INT((Ipotesi!$C$91)/30))-1&lt;1,0,INDEX(Motore_Startup!$AH$125:$AH$184,MAX(1,58-(INT((Ipotesi!$C$91)/30))-1)))*(MOD((Ipotesi!$C$91),30)/30))</f>
        <v>100018.494327161</v>
      </c>
      <c r="AJ182" s="15" t="n">
        <f aca="false">(AJ181)+AH182-AI182</f>
        <v>202093.750004617</v>
      </c>
      <c r="AK182" s="15" t="n">
        <f aca="false">(F182+ Motore_Operativo!BH182-(Motore_Operativo!CJ182)*Parametri_v3!$C$27-Motore_Operativo!CE182)*Parametri_v3!$C$26</f>
        <v>37174.072428895</v>
      </c>
      <c r="AL182" s="15" t="n">
        <f aca="false">MAX(0,(AM181))</f>
        <v>36399.6151481116</v>
      </c>
      <c r="AM182" s="15" t="n">
        <f aca="false">(AM181)+AK182-AL182</f>
        <v>37174.072428895</v>
      </c>
      <c r="AN182" s="15" t="n">
        <f aca="false">SUM(X161:X172)</f>
        <v>0</v>
      </c>
      <c r="AO182" s="15" t="n">
        <f aca="false">SUM(AP161:AP172)</f>
        <v>0</v>
      </c>
      <c r="AP182" s="15" t="n">
        <f aca="false">MAX(0,AN182)*IF(10=Parametri_v3!$C$43,Parametri_v3!$C$45,IF(10=Parametri_v3!$C$44,1-Parametri_v3!$C$45,0))</f>
        <v>0</v>
      </c>
      <c r="AQ182" s="15" t="n">
        <f aca="false">MAX(0,AP182+IF(10=Parametri_v3!$C$43,MAX(0,AN182-AO182),0)-MAX(0,-(AR181)))</f>
        <v>0</v>
      </c>
      <c r="AR182" s="15" t="n">
        <f aca="false">(AR181)+X182-AQ182</f>
        <v>8579.08864727834</v>
      </c>
      <c r="AS182" s="15" t="n">
        <f aca="false">Motore_Operativo!AB182-AT182+AU182</f>
        <v>113503.461904792</v>
      </c>
      <c r="AT182" s="15" t="n">
        <f aca="false">Motore_Operativo!CH182</f>
        <v>5973.86641604167</v>
      </c>
      <c r="AU182" s="15" t="n">
        <f aca="false">MIN(MAX(0,(AV181)+AT182),Parametri_v3!$C$60/12)</f>
        <v>0</v>
      </c>
      <c r="AV182" s="15" t="n">
        <f aca="false">(AV181)+AT182-AU182</f>
        <v>196794.214535417</v>
      </c>
      <c r="AW182" s="15" t="n">
        <f aca="false">IF(AND(Motore_Operativo!C182=Finanziamenti!$D$6,Finanziamenti!$F$6=1),Finanziamenti!$C$6,0)</f>
        <v>0</v>
      </c>
      <c r="AX182" s="15" t="n">
        <f aca="false">IF(AND(3&lt;&gt;7,3&lt;&gt;9,Finanziamenti!$F$8=1,OR(Parametri_v3!$C$6=0,Finanziamenti!$E$8=1),Motore_Operativo!C182=EDATE(Finanziamenti!$D$8,Ipotesi!E15*12)),Finanziamenti!$C$8*1,0)+IF(AND(3&lt;&gt;7,3&lt;&gt;9,Finanziamenti!$F$9=1,OR(Parametri_v3!$C$6=0,Finanziamenti!$E$9=1),Motore_Operativo!C182=EDATE(Finanziamenti!$D$9,Ipotesi!E15*12)),Finanziamenti!$C$9*Ipotesi!E16,0)</f>
        <v>0</v>
      </c>
      <c r="AY182" s="15" t="n">
        <f aca="false">0</f>
        <v>0</v>
      </c>
      <c r="AZ182" s="15" t="n">
        <f aca="false">Motore_Advisory!AY182*(1-Ipotesi!$C$95)*Ipotesi!$C$96</f>
        <v>0</v>
      </c>
      <c r="BA182" s="15" t="n">
        <f aca="false">MAX(0,MIN(CG182*MIN(1,IF(Motore_Operativo!C182&gt;=EDATE(Finanziamenti!$D$15,Ipotesi!E14*12),Finanziamenti!$C$15,0)+IF(Motore_Operativo!C182&gt;=EDATE(Finanziamenti!$D$16,Ipotesi!E14*12),Finanziamenti!$C$16,0)+IF(Motore_Operativo!C182&gt;=EDATE(Finanziamenti!$D$17,Ipotesi!E14*12),Finanziamenti!$C$17,0)),CA182*Ipotesi!$C$102)-(CC181))</f>
        <v>0</v>
      </c>
      <c r="BB182" s="15" t="n">
        <f aca="false">IF(AND(CF182&gt;0,Motore_Operativo!C182&gt;=IF(CF182=0,0,EDATE(CF182,Parametri_v3!$C$37)),MOD(((D182-YEAR(IF(CF182=0,0,EDATE(CF182,Parametri_v3!$C$37))))*12+E182-MONTH(IF(CF182=0,0,EDATE(CF182,Parametri_v3!$C$37)))),Parametri_v3!$C$38)=0),MIN(MAX(0,(BC181)+BA182-N182),(CC182-CD182)/(Ipotesi!$C$108*12/Parametri_v3!$C$38)),0)</f>
        <v>0</v>
      </c>
      <c r="BC182" s="15" t="n">
        <f aca="false">(BC181)+BA182-N182-BB182</f>
        <v>227017.357894217</v>
      </c>
      <c r="BD182" s="15" t="n">
        <f aca="false">(BH181)+AC182+AF182-AI182-AS182-K182*(1+Parametri_v3!$C$26)-AL182-AQ182-O182+AW182+AX182+AZ182+BA182-BB182</f>
        <v>494938.722167958</v>
      </c>
      <c r="BE182" s="15" t="n">
        <f aca="false">MAX(0,MIN(MAX(0,CH182-(BG181)),Parametri_v3!$C$30-BD182))</f>
        <v>0</v>
      </c>
      <c r="BF182" s="15" t="n">
        <f aca="false">IF(Motore_Operativo!C182&gt;=Parametri_v3!$C$63,(BG181),MIN((BG181),MAX(0,BD182-Parametri_v3!$C$30)))</f>
        <v>0</v>
      </c>
      <c r="BG182" s="15" t="n">
        <f aca="false">(BG181)+BE182-BF182</f>
        <v>0</v>
      </c>
      <c r="BH182" s="15" t="n">
        <f aca="false">BD182+BE182-BF182-AY182</f>
        <v>494938.722167958</v>
      </c>
      <c r="BI182" s="15" t="n">
        <f aca="false">MAX(0,Parametri_v3!$C$30-BH182)</f>
        <v>0</v>
      </c>
      <c r="BJ182" s="15" t="n">
        <f aca="false">(BJ181)+K182</f>
        <v>156666.666666667</v>
      </c>
      <c r="BK182" s="15" t="n">
        <f aca="false">(BK181)+L182</f>
        <v>93391.2037037037</v>
      </c>
      <c r="BL182" s="15" t="n">
        <f aca="false">BJ182-BK182</f>
        <v>63275.4629629629</v>
      </c>
      <c r="BM182" s="15" t="n">
        <f aca="false">(BM181)+Y182</f>
        <v>-693994.506533764</v>
      </c>
      <c r="BN182" s="15" t="n">
        <f aca="false">(BN181)+AW182+AX182+AZ182</f>
        <v>1435430.40943357</v>
      </c>
      <c r="BO182" s="15" t="n">
        <f aca="false">(BO181)+AY182</f>
        <v>0</v>
      </c>
      <c r="BP182" s="15" t="n">
        <f aca="false">0</f>
        <v>0</v>
      </c>
      <c r="BQ182" s="15" t="n">
        <f aca="false">BN182+BM182-BO182</f>
        <v>741435.902899803</v>
      </c>
      <c r="BR182" s="15" t="n">
        <f aca="false">BH182+AD182+BL182+MAX(0,-AM182)+MAX(0,-AR182)+AG182</f>
        <v>1413094.38641023</v>
      </c>
      <c r="BS182" s="15" t="n">
        <f aca="false">AJ182+AV182+MAX(0,AM182)+MAX(0,AR182)+BC182+BG182+BQ182</f>
        <v>1413094.38641023</v>
      </c>
      <c r="BT182" s="15" t="n">
        <f aca="false">BR182-BS182</f>
        <v>0</v>
      </c>
      <c r="BU182" s="15" t="n">
        <f aca="false">BH182-(BD182+BE182-BF182-AY182)</f>
        <v>0</v>
      </c>
      <c r="BV182" s="15" t="n">
        <f aca="false">MIN(Piano_SS!$C$6,(BV181)+IF(AND(Motore_Operativo!C182&gt;=EDATE(Parametri_v3!$C$24,Ipotesi!E14*12),Motore_Operativo!C182&lt;EDATE(Parametri_v3!$C$24,Parametri_v3!$C$25+Ipotesi!E14*12)),MAX(0,(Motore_Operativo!Y182+Motore_Operativo!X182*Parametri_v3!$C$14)*(1-Parametri_v3!$C$32))*Piano_SS!$D$6,0))</f>
        <v>300000</v>
      </c>
      <c r="BW182" s="15" t="n">
        <f aca="false">MIN(Piano_SS!$C$7,(BW181)+IF(AND(Motore_Operativo!C182&gt;=EDATE(Parametri_v3!$C$24,Ipotesi!E14*12),Motore_Operativo!C182&lt;EDATE(Parametri_v3!$C$24,Parametri_v3!$C$25+Ipotesi!E14*12)),MAX(0,(IF(58-(INT((Ipotesi!$C$91)/30))&lt;1,0,INDEX(Motore_Operativo!$BN$125:$BN$184,MAX(1,58-(INT((Ipotesi!$C$91)/30)))))*(1-(MOD((Ipotesi!$C$91),30)/30))+IF(58-(INT((Ipotesi!$C$91)/30))-1&lt;1,0,INDEX(Motore_Operativo!$BN$125:$BN$184,MAX(1,58-(INT((Ipotesi!$C$91)/30))-1)))*(MOD((Ipotesi!$C$91),30)/30)))*Piano_SS!$D$7,0))</f>
        <v>44070.0796097004</v>
      </c>
      <c r="BX182" s="15" t="n">
        <f aca="false">MIN(Piano_SS!$C$8,(BX181)+IF(AND(Motore_Operativo!C182&gt;=EDATE(Parametri_v3!$C$24,Ipotesi!E14*12),Motore_Operativo!C182&lt;EDATE(Parametri_v3!$C$24,Parametri_v3!$C$25+Ipotesi!E14*12)),MAX(0,Motore_Operativo!CE182)*Piano_SS!$D$8,0))</f>
        <v>50000</v>
      </c>
      <c r="BY182" s="15" t="n">
        <f aca="false">MIN(Piano_SS!$C$9,(BY181)+IF(AND(Motore_Operativo!C182&gt;=EDATE(Parametri_v3!$C$24,Ipotesi!E14*12),Motore_Operativo!C182&lt;EDATE(Parametri_v3!$C$24,Parametri_v3!$C$25+Ipotesi!E14*12)),MAX(0,((IF(58-(INT((Ipotesi!$C$91)/30))&lt;1,0,INDEX(Motore_Operativo!$BQ$125:$BQ$184,MAX(1,58-(INT((Ipotesi!$C$91)/30)))))*(1-(MOD((Ipotesi!$C$91),30)/30))+IF(58-(INT((Ipotesi!$C$91)/30))-1&lt;1,0,INDEX(Motore_Operativo!$BQ$125:$BQ$184,MAX(1,58-(INT((Ipotesi!$C$91)/30))-1)))*(MOD((Ipotesi!$C$91),30)/30))+(IF(58-(INT((Ipotesi!$C$91)/30))&lt;1,0,INDEX(Motore_Operativo!$BR$125:$BR$184,MAX(1,58-(INT((Ipotesi!$C$91)/30)))))*(1-(MOD((Ipotesi!$C$91),30)/30))+IF(58-(INT((Ipotesi!$C$91)/30))-1&lt;1,0,INDEX(Motore_Operativo!$BR$125:$BR$184,MAX(1,58-(INT((Ipotesi!$C$91)/30))-1)))*(MOD((Ipotesi!$C$91),30)/30))))*Piano_SS!$D$9,0))</f>
        <v>40000</v>
      </c>
      <c r="BZ182" s="15" t="n">
        <f aca="false">MIN(Piano_SS!$C$10,(BZ181)+IF(AND(Motore_Operativo!C182&gt;=EDATE(Parametri_v3!$C$24,Ipotesi!E14*12),Motore_Operativo!C182&lt;EDATE(Parametri_v3!$C$24,Parametri_v3!$C$25+Ipotesi!E14*12)),MAX(0,(IF(58-(INT((Ipotesi!$C$91)/30))&lt;1,0,INDEX(Motore_Operativo!$BO$125:$BO$184,MAX(1,58-(INT((Ipotesi!$C$91)/30)))))*(1-(MOD((Ipotesi!$C$91),30)/30))+IF(58-(INT((Ipotesi!$C$91)/30))-1&lt;1,0,INDEX(Motore_Operativo!$BO$125:$BO$184,MAX(1,58-(INT((Ipotesi!$C$91)/30))-1)))*(MOD((Ipotesi!$C$91),30)/30)))*Piano_SS!$D$10,0))</f>
        <v>30000</v>
      </c>
      <c r="CA182" s="15" t="n">
        <f aca="false">SUM(BV182:BZ182)</f>
        <v>464070.0796097</v>
      </c>
      <c r="CB182" s="15" t="n">
        <f aca="false">BV182*(1-Piano_SS!$E$6)+BW182*(1-Piano_SS!$E$7)+BX182*(1-Piano_SS!$E$8)+BY182*(1-Piano_SS!$E$9)+BZ182*(1-Piano_SS!$E$10)</f>
        <v>434070.0796097</v>
      </c>
      <c r="CC182" s="15" t="n">
        <f aca="false">(CC181)+BA182</f>
        <v>371256.06368776</v>
      </c>
      <c r="CD182" s="15" t="n">
        <f aca="false">IF(CA182=0,0,CC182*CB182/CA182*Ipotesi!$C$103*Parametri_v3!$C$64)</f>
        <v>104176.819106328</v>
      </c>
      <c r="CE182" s="18" t="n">
        <f aca="false">IF(BA182&gt;0,Motore_Operativo!C182,(CE181))</f>
        <v>47270</v>
      </c>
      <c r="CF182" s="18" t="n">
        <f aca="false">IF(AND(CC182&gt;0,OR(CC182&gt;=CG182-0.01,Motore_Operativo!C182&gt;=EDATE(MAX(Finanziamenti!$D$15:$D$17),Ipotesi!E14*12))),CE182,0)</f>
        <v>47270</v>
      </c>
      <c r="CG182" s="15" t="n">
        <f aca="false">IF(AND(3&lt;&gt;6,3&lt;&gt;9,Finanziamenti!$F$11=1,OR(Parametri_v3!$C$6=0,Finanziamenti!$E$11=1)),MIN(Finanziamenti!$C$11,Piano_SS!$C$12*Ipotesi!$C$102),0)</f>
        <v>400000</v>
      </c>
      <c r="CH182" s="15" t="n">
        <f aca="false">IF(AND(AND(3&lt;&gt;8,3&lt;&gt;9,Finanziamenti!$F$10=1,OR(Parametri_v3!$C$6=0,Finanziamenti!$E$10=1)),Motore_Operativo!C182&gt;=Finanziamenti!$D$10,Motore_Operativo!C182&lt;Parametri_v3!$C$63),Finanziamenti!$C$10,0)</f>
        <v>150000</v>
      </c>
    </row>
    <row r="183" customFormat="false" ht="18" hidden="false" customHeight="true" outlineLevel="0" collapsed="false">
      <c r="A183" s="68" t="n">
        <f aca="false">3</f>
        <v>3</v>
      </c>
      <c r="B183" s="68" t="n">
        <f aca="false">59</f>
        <v>59</v>
      </c>
      <c r="C183" s="18" t="n">
        <f aca="false">Motore_Operativo!C183</f>
        <v>48153</v>
      </c>
      <c r="D183" s="68" t="n">
        <f aca="false">Motore_Operativo!D183</f>
        <v>2031</v>
      </c>
      <c r="E183" s="68" t="n">
        <f aca="false">Motore_Operativo!E183</f>
        <v>11</v>
      </c>
      <c r="F183" s="15" t="n">
        <f aca="false">Motore_Operativo!AQ183+Motore_Operativo!BF183</f>
        <v>235493.333333333</v>
      </c>
      <c r="G183" s="15" t="n">
        <f aca="false">Motore_Operativo!BH183</f>
        <v>12152.6086956522</v>
      </c>
      <c r="H183" s="15" t="n">
        <f aca="false">Motore_Operativo!BI183</f>
        <v>247645.942028986</v>
      </c>
      <c r="I183" s="15" t="n">
        <f aca="false">Motore_Operativo!CA183</f>
        <v>205152.339915036</v>
      </c>
      <c r="J183" s="15" t="n">
        <f aca="false">Motore_Operativo!CC183</f>
        <v>42493.6021139493</v>
      </c>
      <c r="K183" s="15" t="n">
        <f aca="false">Motore_Operativo!CE183</f>
        <v>4166.66666666667</v>
      </c>
      <c r="L183" s="15" t="n">
        <f aca="false">SUM(INDEX($K$125:$K$184,MAX(1,59-Parametri_v3!$C$59+1)):K183)/Parametri_v3!$C$59</f>
        <v>3275.46296296296</v>
      </c>
      <c r="M183" s="15" t="n">
        <f aca="false">J183-L183</f>
        <v>39218.1391509863</v>
      </c>
      <c r="N183" s="15" t="n">
        <f aca="false">CD183-(CD182)</f>
        <v>0</v>
      </c>
      <c r="O183" s="15" t="n">
        <f aca="false">(BG182)*Ipotesi!$C$110/12+CH183*Parametri_v3!$C$39/12</f>
        <v>0</v>
      </c>
      <c r="P183" s="15" t="n">
        <f aca="false">M183+N183-O183</f>
        <v>39218.1391509863</v>
      </c>
      <c r="Q183" s="15" t="n">
        <f aca="false">SUM(P173:P183)+Parametri_v3!$C$54*11/12</f>
        <v>259194.771132482</v>
      </c>
      <c r="R183" s="15" t="n">
        <f aca="false">Z172</f>
        <v>814321.883587488</v>
      </c>
      <c r="S183" s="15" t="n">
        <f aca="false">AA172</f>
        <v>91070.1662804939</v>
      </c>
      <c r="T183" s="15" t="n">
        <f aca="false">MIN(R183,MAX(0,Q183))</f>
        <v>259194.771132482</v>
      </c>
      <c r="U183" s="15" t="n">
        <f aca="false">MIN(S183,MAX(0,Q183-T183)*Parametri_v3!$C$42)</f>
        <v>0</v>
      </c>
      <c r="V183" s="15" t="n">
        <f aca="false">MAX(0,Q183-T183-U183)*Ipotesi!$C$92</f>
        <v>0</v>
      </c>
      <c r="W183" s="15" t="n">
        <f aca="false">MAX(0,SUM(M173:M183)+Parametri_v3!$C$55*11/12)*Ipotesi!$C$93</f>
        <v>10108.5960741668</v>
      </c>
      <c r="X183" s="15" t="n">
        <f aca="false">V183+W183-(V182+W182)</f>
        <v>1529.50742688847</v>
      </c>
      <c r="Y183" s="15" t="n">
        <f aca="false">P183-X183</f>
        <v>37688.6317240979</v>
      </c>
      <c r="Z183" s="15" t="n">
        <f aca="false">R183-T183+IF(AND(Parametri_v3!$C$40=1,D183-YEAR(Parametri_v3!$C$50)&lt;Parametri_v3!$C$41),MAX(0,-Q183),0)</f>
        <v>555127.112455006</v>
      </c>
      <c r="AA183" s="15" t="n">
        <f aca="false">S183-U183+IF(AND(Parametri_v3!$C$40=1,D183-YEAR(Parametri_v3!$C$50)&lt;Parametri_v3!$C$41),0,MAX(0,-Q183))</f>
        <v>91070.1662804939</v>
      </c>
      <c r="AB183" s="15" t="n">
        <f aca="false">F183*(1+Parametri_v3!$C$26)</f>
        <v>287301.866666667</v>
      </c>
      <c r="AC183" s="15" t="n">
        <f aca="false">(IF(59-(INT((Motore_Operativo!L183)/30))&lt;1,0,INDEX(Motore_Startup!$AB$125:$AB$184,MAX(1,59-(INT((Motore_Operativo!L183)/30)))))*(1-(MOD((Motore_Operativo!L183),30)/30))+IF(59-(INT((Motore_Operativo!L183)/30))-1&lt;1,0,INDEX(Motore_Startup!$AB$125:$AB$184,MAX(1,59-(INT((Motore_Operativo!L183)/30))-1)))*(MOD((Motore_Operativo!L183),30)/30))</f>
        <v>274984.81160052</v>
      </c>
      <c r="AD183" s="15" t="n">
        <f aca="false">(AD182)+AB183-AC183</f>
        <v>852371.073736757</v>
      </c>
      <c r="AE183" s="15" t="n">
        <f aca="false">Motore_Operativo!BH183*(1+Parametri_v3!$C$26)</f>
        <v>14826.1826086957</v>
      </c>
      <c r="AF183" s="15" t="n">
        <f aca="false">(IF(59-(INT((Parametri_v3!$C$29)/30))&lt;1,0,INDEX(Motore_Operativo!$BH$125:$BH$184,MAX(1,59-(INT((Parametri_v3!$C$29)/30)))))*(1-(MOD((Parametri_v3!$C$29),30)/30))+IF(59-(INT((Parametri_v3!$C$29)/30))-1&lt;1,0,INDEX(Motore_Operativo!$BH$125:$BH$184,MAX(1,59-(INT((Parametri_v3!$C$29)/30))-1)))*(MOD((Parametri_v3!$C$29),30)/30))*(1+Parametri_v3!$C$26)</f>
        <v>14826.1826086957</v>
      </c>
      <c r="AG183" s="15" t="n">
        <f aca="false">(AG182)+AE183-AF183</f>
        <v>14826.1826086956</v>
      </c>
      <c r="AH183" s="15" t="n">
        <f aca="false">(Motore_Operativo!CJ183)*(1+Parametri_v3!$C$27*Parametri_v3!$C$26)</f>
        <v>101696.238762319</v>
      </c>
      <c r="AI183" s="15" t="n">
        <f aca="false">(IF(59-(INT((Ipotesi!$C$91)/30))&lt;1,0,INDEX(Motore_Startup!$AH$125:$AH$184,MAX(1,59-(INT((Ipotesi!$C$91)/30)))))*(1-(MOD((Ipotesi!$C$91),30)/30))+IF(59-(INT((Ipotesi!$C$91)/30))-1&lt;1,0,INDEX(Motore_Startup!$AH$125:$AH$184,MAX(1,59-(INT((Ipotesi!$C$91)/30))-1)))*(MOD((Ipotesi!$C$91),30)/30))</f>
        <v>100714.867699345</v>
      </c>
      <c r="AJ183" s="15" t="n">
        <f aca="false">(AJ182)+AH183-AI183</f>
        <v>203075.12106759</v>
      </c>
      <c r="AK183" s="15" t="n">
        <f aca="false">(F183+ Motore_Operativo!BH183-(Motore_Operativo!CJ183)*Parametri_v3!$C$27-Motore_Operativo!CE183)*Parametri_v3!$C$26</f>
        <v>37544.2134115942</v>
      </c>
      <c r="AL183" s="15" t="n">
        <f aca="false">MAX(0,(AM182))</f>
        <v>37174.072428895</v>
      </c>
      <c r="AM183" s="15" t="n">
        <f aca="false">(AM182)+AK183-AL183</f>
        <v>37544.2134115942</v>
      </c>
      <c r="AN183" s="15" t="n">
        <f aca="false">SUM(X161:X172)</f>
        <v>0</v>
      </c>
      <c r="AO183" s="15" t="n">
        <f aca="false">SUM(AP161:AP172)</f>
        <v>0</v>
      </c>
      <c r="AP183" s="15" t="n">
        <f aca="false">MAX(0,AN183)*IF(11=Parametri_v3!$C$43,Parametri_v3!$C$45,IF(11=Parametri_v3!$C$44,1-Parametri_v3!$C$45,0))</f>
        <v>0</v>
      </c>
      <c r="AQ183" s="15" t="n">
        <f aca="false">MAX(0,AP183+IF(11=Parametri_v3!$C$43,MAX(0,AN183-AO183),0)-MAX(0,-(AR182)))</f>
        <v>0</v>
      </c>
      <c r="AR183" s="15" t="n">
        <f aca="false">(AR182)+X183-AQ183</f>
        <v>10108.5960741668</v>
      </c>
      <c r="AS183" s="15" t="n">
        <f aca="false">Motore_Operativo!AB183-AT183+AU183</f>
        <v>113503.461904792</v>
      </c>
      <c r="AT183" s="15" t="n">
        <f aca="false">Motore_Operativo!CH183</f>
        <v>5973.86641604167</v>
      </c>
      <c r="AU183" s="15" t="n">
        <f aca="false">MIN(MAX(0,(AV182)+AT183),Parametri_v3!$C$60/12)</f>
        <v>0</v>
      </c>
      <c r="AV183" s="15" t="n">
        <f aca="false">(AV182)+AT183-AU183</f>
        <v>202768.080951459</v>
      </c>
      <c r="AW183" s="15" t="n">
        <f aca="false">IF(AND(Motore_Operativo!C183=Finanziamenti!$D$6,Finanziamenti!$F$6=1),Finanziamenti!$C$6,0)</f>
        <v>0</v>
      </c>
      <c r="AX183" s="15" t="n">
        <f aca="false">IF(AND(3&lt;&gt;7,3&lt;&gt;9,Finanziamenti!$F$8=1,OR(Parametri_v3!$C$6=0,Finanziamenti!$E$8=1),Motore_Operativo!C183=EDATE(Finanziamenti!$D$8,Ipotesi!E15*12)),Finanziamenti!$C$8*1,0)+IF(AND(3&lt;&gt;7,3&lt;&gt;9,Finanziamenti!$F$9=1,OR(Parametri_v3!$C$6=0,Finanziamenti!$E$9=1),Motore_Operativo!C183=EDATE(Finanziamenti!$D$9,Ipotesi!E15*12)),Finanziamenti!$C$9*Ipotesi!E16,0)</f>
        <v>0</v>
      </c>
      <c r="AY183" s="15" t="n">
        <f aca="false">0</f>
        <v>0</v>
      </c>
      <c r="AZ183" s="15" t="n">
        <f aca="false">Motore_Advisory!AY183*(1-Ipotesi!$C$95)*Ipotesi!$C$96</f>
        <v>0</v>
      </c>
      <c r="BA183" s="15" t="n">
        <f aca="false">MAX(0,MIN(CG183*MIN(1,IF(Motore_Operativo!C183&gt;=EDATE(Finanziamenti!$D$15,Ipotesi!E14*12),Finanziamenti!$C$15,0)+IF(Motore_Operativo!C183&gt;=EDATE(Finanziamenti!$D$16,Ipotesi!E14*12),Finanziamenti!$C$16,0)+IF(Motore_Operativo!C183&gt;=EDATE(Finanziamenti!$D$17,Ipotesi!E14*12),Finanziamenti!$C$17,0)),CA183*Ipotesi!$C$102)-(CC182))</f>
        <v>0</v>
      </c>
      <c r="BB183" s="15" t="n">
        <f aca="false">IF(AND(CF183&gt;0,Motore_Operativo!C183&gt;=IF(CF183=0,0,EDATE(CF183,Parametri_v3!$C$37)),MOD(((D183-YEAR(IF(CF183=0,0,EDATE(CF183,Parametri_v3!$C$37))))*12+E183-MONTH(IF(CF183=0,0,EDATE(CF183,Parametri_v3!$C$37)))),Parametri_v3!$C$38)=0),MIN(MAX(0,(BC182)+BA183-N183),(CC183-CD183)/(Ipotesi!$C$108*12/Parametri_v3!$C$38)),0)</f>
        <v>0</v>
      </c>
      <c r="BC183" s="15" t="n">
        <f aca="false">(BC182)+BA183-N183-BB183</f>
        <v>227017.357894217</v>
      </c>
      <c r="BD183" s="15" t="n">
        <f aca="false">(BH182)+AC183+AF183-AI183-AS183-K183*(1+Parametri_v3!$C$26)-AL183-AQ183-O183+AW183+AX183+AZ183+BA183-BB183</f>
        <v>528273.981010808</v>
      </c>
      <c r="BE183" s="15" t="n">
        <f aca="false">MAX(0,MIN(MAX(0,CH183-(BG182)),Parametri_v3!$C$30-BD183))</f>
        <v>0</v>
      </c>
      <c r="BF183" s="15" t="n">
        <f aca="false">IF(Motore_Operativo!C183&gt;=Parametri_v3!$C$63,(BG182),MIN((BG182),MAX(0,BD183-Parametri_v3!$C$30)))</f>
        <v>0</v>
      </c>
      <c r="BG183" s="15" t="n">
        <f aca="false">(BG182)+BE183-BF183</f>
        <v>0</v>
      </c>
      <c r="BH183" s="15" t="n">
        <f aca="false">BD183+BE183-BF183-AY183</f>
        <v>528273.981010808</v>
      </c>
      <c r="BI183" s="15" t="n">
        <f aca="false">MAX(0,Parametri_v3!$C$30-BH183)</f>
        <v>0</v>
      </c>
      <c r="BJ183" s="15" t="n">
        <f aca="false">(BJ182)+K183</f>
        <v>160833.333333333</v>
      </c>
      <c r="BK183" s="15" t="n">
        <f aca="false">(BK182)+L183</f>
        <v>96666.6666666667</v>
      </c>
      <c r="BL183" s="15" t="n">
        <f aca="false">BJ183-BK183</f>
        <v>64166.6666666665</v>
      </c>
      <c r="BM183" s="15" t="n">
        <f aca="false">(BM182)+Y183</f>
        <v>-656305.874809666</v>
      </c>
      <c r="BN183" s="15" t="n">
        <f aca="false">(BN182)+AW183+AX183+AZ183</f>
        <v>1435430.40943357</v>
      </c>
      <c r="BO183" s="15" t="n">
        <f aca="false">(BO182)+AY183</f>
        <v>0</v>
      </c>
      <c r="BP183" s="15" t="n">
        <f aca="false">0</f>
        <v>0</v>
      </c>
      <c r="BQ183" s="15" t="n">
        <f aca="false">BN183+BM183-BO183</f>
        <v>779124.534623901</v>
      </c>
      <c r="BR183" s="15" t="n">
        <f aca="false">BH183+AD183+BL183+MAX(0,-AM183)+MAX(0,-AR183)+AG183</f>
        <v>1459637.90402293</v>
      </c>
      <c r="BS183" s="15" t="n">
        <f aca="false">AJ183+AV183+MAX(0,AM183)+MAX(0,AR183)+BC183+BG183+BQ183</f>
        <v>1459637.90402293</v>
      </c>
      <c r="BT183" s="15" t="n">
        <f aca="false">BR183-BS183</f>
        <v>0</v>
      </c>
      <c r="BU183" s="15" t="n">
        <f aca="false">BH183-(BD183+BE183-BF183-AY183)</f>
        <v>0</v>
      </c>
      <c r="BV183" s="15" t="n">
        <f aca="false">MIN(Piano_SS!$C$6,(BV182)+IF(AND(Motore_Operativo!C183&gt;=EDATE(Parametri_v3!$C$24,Ipotesi!E14*12),Motore_Operativo!C183&lt;EDATE(Parametri_v3!$C$24,Parametri_v3!$C$25+Ipotesi!E14*12)),MAX(0,(Motore_Operativo!Y183+Motore_Operativo!X183*Parametri_v3!$C$14)*(1-Parametri_v3!$C$32))*Piano_SS!$D$6,0))</f>
        <v>300000</v>
      </c>
      <c r="BW183" s="15" t="n">
        <f aca="false">MIN(Piano_SS!$C$7,(BW182)+IF(AND(Motore_Operativo!C183&gt;=EDATE(Parametri_v3!$C$24,Ipotesi!E14*12),Motore_Operativo!C183&lt;EDATE(Parametri_v3!$C$24,Parametri_v3!$C$25+Ipotesi!E14*12)),MAX(0,(IF(59-(INT((Ipotesi!$C$91)/30))&lt;1,0,INDEX(Motore_Operativo!$BN$125:$BN$184,MAX(1,59-(INT((Ipotesi!$C$91)/30)))))*(1-(MOD((Ipotesi!$C$91),30)/30))+IF(59-(INT((Ipotesi!$C$91)/30))-1&lt;1,0,INDEX(Motore_Operativo!$BN$125:$BN$184,MAX(1,59-(INT((Ipotesi!$C$91)/30))-1)))*(MOD((Ipotesi!$C$91),30)/30)))*Piano_SS!$D$7,0))</f>
        <v>44070.0796097004</v>
      </c>
      <c r="BX183" s="15" t="n">
        <f aca="false">MIN(Piano_SS!$C$8,(BX182)+IF(AND(Motore_Operativo!C183&gt;=EDATE(Parametri_v3!$C$24,Ipotesi!E14*12),Motore_Operativo!C183&lt;EDATE(Parametri_v3!$C$24,Parametri_v3!$C$25+Ipotesi!E14*12)),MAX(0,Motore_Operativo!CE183)*Piano_SS!$D$8,0))</f>
        <v>50000</v>
      </c>
      <c r="BY183" s="15" t="n">
        <f aca="false">MIN(Piano_SS!$C$9,(BY182)+IF(AND(Motore_Operativo!C183&gt;=EDATE(Parametri_v3!$C$24,Ipotesi!E14*12),Motore_Operativo!C183&lt;EDATE(Parametri_v3!$C$24,Parametri_v3!$C$25+Ipotesi!E14*12)),MAX(0,((IF(59-(INT((Ipotesi!$C$91)/30))&lt;1,0,INDEX(Motore_Operativo!$BQ$125:$BQ$184,MAX(1,59-(INT((Ipotesi!$C$91)/30)))))*(1-(MOD((Ipotesi!$C$91),30)/30))+IF(59-(INT((Ipotesi!$C$91)/30))-1&lt;1,0,INDEX(Motore_Operativo!$BQ$125:$BQ$184,MAX(1,59-(INT((Ipotesi!$C$91)/30))-1)))*(MOD((Ipotesi!$C$91),30)/30))+(IF(59-(INT((Ipotesi!$C$91)/30))&lt;1,0,INDEX(Motore_Operativo!$BR$125:$BR$184,MAX(1,59-(INT((Ipotesi!$C$91)/30)))))*(1-(MOD((Ipotesi!$C$91),30)/30))+IF(59-(INT((Ipotesi!$C$91)/30))-1&lt;1,0,INDEX(Motore_Operativo!$BR$125:$BR$184,MAX(1,59-(INT((Ipotesi!$C$91)/30))-1)))*(MOD((Ipotesi!$C$91),30)/30))))*Piano_SS!$D$9,0))</f>
        <v>40000</v>
      </c>
      <c r="BZ183" s="15" t="n">
        <f aca="false">MIN(Piano_SS!$C$10,(BZ182)+IF(AND(Motore_Operativo!C183&gt;=EDATE(Parametri_v3!$C$24,Ipotesi!E14*12),Motore_Operativo!C183&lt;EDATE(Parametri_v3!$C$24,Parametri_v3!$C$25+Ipotesi!E14*12)),MAX(0,(IF(59-(INT((Ipotesi!$C$91)/30))&lt;1,0,INDEX(Motore_Operativo!$BO$125:$BO$184,MAX(1,59-(INT((Ipotesi!$C$91)/30)))))*(1-(MOD((Ipotesi!$C$91),30)/30))+IF(59-(INT((Ipotesi!$C$91)/30))-1&lt;1,0,INDEX(Motore_Operativo!$BO$125:$BO$184,MAX(1,59-(INT((Ipotesi!$C$91)/30))-1)))*(MOD((Ipotesi!$C$91),30)/30)))*Piano_SS!$D$10,0))</f>
        <v>30000</v>
      </c>
      <c r="CA183" s="15" t="n">
        <f aca="false">SUM(BV183:BZ183)</f>
        <v>464070.0796097</v>
      </c>
      <c r="CB183" s="15" t="n">
        <f aca="false">BV183*(1-Piano_SS!$E$6)+BW183*(1-Piano_SS!$E$7)+BX183*(1-Piano_SS!$E$8)+BY183*(1-Piano_SS!$E$9)+BZ183*(1-Piano_SS!$E$10)</f>
        <v>434070.0796097</v>
      </c>
      <c r="CC183" s="15" t="n">
        <f aca="false">(CC182)+BA183</f>
        <v>371256.06368776</v>
      </c>
      <c r="CD183" s="15" t="n">
        <f aca="false">IF(CA183=0,0,CC183*CB183/CA183*Ipotesi!$C$103*Parametri_v3!$C$64)</f>
        <v>104176.819106328</v>
      </c>
      <c r="CE183" s="18" t="n">
        <f aca="false">IF(BA183&gt;0,Motore_Operativo!C183,(CE182))</f>
        <v>47270</v>
      </c>
      <c r="CF183" s="18" t="n">
        <f aca="false">IF(AND(CC183&gt;0,OR(CC183&gt;=CG183-0.01,Motore_Operativo!C183&gt;=EDATE(MAX(Finanziamenti!$D$15:$D$17),Ipotesi!E14*12))),CE183,0)</f>
        <v>47270</v>
      </c>
      <c r="CG183" s="15" t="n">
        <f aca="false">IF(AND(3&lt;&gt;6,3&lt;&gt;9,Finanziamenti!$F$11=1,OR(Parametri_v3!$C$6=0,Finanziamenti!$E$11=1)),MIN(Finanziamenti!$C$11,Piano_SS!$C$12*Ipotesi!$C$102),0)</f>
        <v>400000</v>
      </c>
      <c r="CH183" s="15" t="n">
        <f aca="false">IF(AND(AND(3&lt;&gt;8,3&lt;&gt;9,Finanziamenti!$F$10=1,OR(Parametri_v3!$C$6=0,Finanziamenti!$E$10=1)),Motore_Operativo!C183&gt;=Finanziamenti!$D$10,Motore_Operativo!C183&lt;Parametri_v3!$C$63),Finanziamenti!$C$10,0)</f>
        <v>150000</v>
      </c>
    </row>
    <row r="184" customFormat="false" ht="18" hidden="false" customHeight="true" outlineLevel="0" collapsed="false">
      <c r="A184" s="68" t="n">
        <f aca="false">3</f>
        <v>3</v>
      </c>
      <c r="B184" s="68" t="n">
        <f aca="false">60</f>
        <v>60</v>
      </c>
      <c r="C184" s="18" t="n">
        <f aca="false">Motore_Operativo!C184</f>
        <v>48183</v>
      </c>
      <c r="D184" s="68" t="n">
        <f aca="false">Motore_Operativo!D184</f>
        <v>2031</v>
      </c>
      <c r="E184" s="68" t="n">
        <f aca="false">Motore_Operativo!E184</f>
        <v>12</v>
      </c>
      <c r="F184" s="15" t="n">
        <f aca="false">Motore_Operativo!AQ184+Motore_Operativo!BF184</f>
        <v>235493.333333333</v>
      </c>
      <c r="G184" s="15" t="n">
        <f aca="false">Motore_Operativo!BH184</f>
        <v>12152.6086956522</v>
      </c>
      <c r="H184" s="15" t="n">
        <f aca="false">Motore_Operativo!BI184</f>
        <v>247645.942028986</v>
      </c>
      <c r="I184" s="15" t="n">
        <f aca="false">Motore_Operativo!CA184</f>
        <v>205152.339915036</v>
      </c>
      <c r="J184" s="15" t="n">
        <f aca="false">Motore_Operativo!CC184</f>
        <v>42493.6021139493</v>
      </c>
      <c r="K184" s="15" t="n">
        <f aca="false">Motore_Operativo!CE184</f>
        <v>4166.66666666667</v>
      </c>
      <c r="L184" s="15" t="n">
        <f aca="false">SUM(INDEX($K$125:$K$184,MAX(1,60-Parametri_v3!$C$59+1)):K184)/Parametri_v3!$C$59</f>
        <v>3333.33333333333</v>
      </c>
      <c r="M184" s="15" t="n">
        <f aca="false">J184-L184</f>
        <v>39160.2687806159</v>
      </c>
      <c r="N184" s="15" t="n">
        <f aca="false">CD184-(CD183)</f>
        <v>0</v>
      </c>
      <c r="O184" s="15" t="n">
        <f aca="false">(BG183)*Ipotesi!$C$110/12+CH184*Parametri_v3!$C$39/12</f>
        <v>0</v>
      </c>
      <c r="P184" s="15" t="n">
        <f aca="false">M184+N184-O184</f>
        <v>39160.2687806159</v>
      </c>
      <c r="Q184" s="15" t="n">
        <f aca="false">SUM(P173:P184)+Parametri_v3!$C$54*12/12</f>
        <v>298355.039913098</v>
      </c>
      <c r="R184" s="15" t="n">
        <f aca="false">Z172</f>
        <v>814321.883587488</v>
      </c>
      <c r="S184" s="15" t="n">
        <f aca="false">AA172</f>
        <v>91070.1662804939</v>
      </c>
      <c r="T184" s="15" t="n">
        <f aca="false">MIN(R184,MAX(0,Q184))</f>
        <v>298355.039913098</v>
      </c>
      <c r="U184" s="15" t="n">
        <f aca="false">MIN(S184,MAX(0,Q184-T184)*Parametri_v3!$C$42)</f>
        <v>0</v>
      </c>
      <c r="V184" s="15" t="n">
        <f aca="false">MAX(0,Q184-T184-U184)*Ipotesi!$C$92</f>
        <v>0</v>
      </c>
      <c r="W184" s="15" t="n">
        <f aca="false">MAX(0,SUM(M173:M184)+Parametri_v3!$C$55*12/12)*Ipotesi!$C$93</f>
        <v>11635.8465566108</v>
      </c>
      <c r="X184" s="15" t="n">
        <f aca="false">V184+W184-(V183+W183)</f>
        <v>1527.25048244402</v>
      </c>
      <c r="Y184" s="15" t="n">
        <f aca="false">P184-X184</f>
        <v>37633.0182981719</v>
      </c>
      <c r="Z184" s="15" t="n">
        <f aca="false">R184-T184+IF(AND(Parametri_v3!$C$40=1,D184-YEAR(Parametri_v3!$C$50)&lt;Parametri_v3!$C$41),MAX(0,-Q184),0)</f>
        <v>515966.84367439</v>
      </c>
      <c r="AA184" s="15" t="n">
        <f aca="false">S184-U184+IF(AND(Parametri_v3!$C$40=1,D184-YEAR(Parametri_v3!$C$50)&lt;Parametri_v3!$C$41),0,MAX(0,-Q184))</f>
        <v>91070.1662804939</v>
      </c>
      <c r="AB184" s="15" t="n">
        <f aca="false">F184*(1+Parametri_v3!$C$26)</f>
        <v>287301.866666667</v>
      </c>
      <c r="AC184" s="15" t="n">
        <f aca="false">(IF(60-(INT((Motore_Operativo!L184)/30))&lt;1,0,INDEX(Motore_Startup!$AB$125:$AB$184,MAX(1,60-(INT((Motore_Operativo!L184)/30)))))*(1-(MOD((Motore_Operativo!L184),30)/30))+IF(60-(INT((Motore_Operativo!L184)/30))-1&lt;1,0,INDEX(Motore_Startup!$AB$125:$AB$184,MAX(1,60-(INT((Motore_Operativo!L184)/30))-1)))*(MOD((Motore_Operativo!L184),30)/30))</f>
        <v>280097.192838121</v>
      </c>
      <c r="AD184" s="15" t="n">
        <f aca="false">(AD183)+AB184-AC184</f>
        <v>859575.747565303</v>
      </c>
      <c r="AE184" s="15" t="n">
        <f aca="false">Motore_Operativo!BH184*(1+Parametri_v3!$C$26)</f>
        <v>14826.1826086957</v>
      </c>
      <c r="AF184" s="15" t="n">
        <f aca="false">(IF(60-(INT((Parametri_v3!$C$29)/30))&lt;1,0,INDEX(Motore_Operativo!$BH$125:$BH$184,MAX(1,60-(INT((Parametri_v3!$C$29)/30)))))*(1-(MOD((Parametri_v3!$C$29),30)/30))+IF(60-(INT((Parametri_v3!$C$29)/30))-1&lt;1,0,INDEX(Motore_Operativo!$BH$125:$BH$184,MAX(1,60-(INT((Parametri_v3!$C$29)/30))-1)))*(MOD((Parametri_v3!$C$29),30)/30))*(1+Parametri_v3!$C$26)</f>
        <v>14826.1826086957</v>
      </c>
      <c r="AG184" s="15" t="n">
        <f aca="false">(AG183)+AE184-AF184</f>
        <v>14826.1826086956</v>
      </c>
      <c r="AH184" s="15" t="n">
        <f aca="false">(Motore_Operativo!CJ184)*(1+Parametri_v3!$C$27*Parametri_v3!$C$26)</f>
        <v>101696.238762319</v>
      </c>
      <c r="AI184" s="15" t="n">
        <f aca="false">(IF(60-(INT((Ipotesi!$C$91)/30))&lt;1,0,INDEX(Motore_Startup!$AH$125:$AH$184,MAX(1,60-(INT((Ipotesi!$C$91)/30)))))*(1-(MOD((Ipotesi!$C$91),30)/30))+IF(60-(INT((Ipotesi!$C$91)/30))-1&lt;1,0,INDEX(Motore_Startup!$AH$125:$AH$184,MAX(1,60-(INT((Ipotesi!$C$91)/30))-1)))*(MOD((Ipotesi!$C$91),30)/30))</f>
        <v>101378.882305271</v>
      </c>
      <c r="AJ184" s="15" t="n">
        <f aca="false">(AJ183)+AH184-AI184</f>
        <v>203392.477524638</v>
      </c>
      <c r="AK184" s="15" t="n">
        <f aca="false">(F184+ Motore_Operativo!BH184-(Motore_Operativo!CJ184)*Parametri_v3!$C$27-Motore_Operativo!CE184)*Parametri_v3!$C$26</f>
        <v>37544.2134115942</v>
      </c>
      <c r="AL184" s="15" t="n">
        <f aca="false">MAX(0,(AM183))</f>
        <v>37544.2134115942</v>
      </c>
      <c r="AM184" s="15" t="n">
        <f aca="false">(AM183)+AK184-AL184</f>
        <v>37544.2134115942</v>
      </c>
      <c r="AN184" s="15" t="n">
        <f aca="false">SUM(X161:X172)</f>
        <v>0</v>
      </c>
      <c r="AO184" s="15" t="n">
        <f aca="false">SUM(AP161:AP172)</f>
        <v>0</v>
      </c>
      <c r="AP184" s="15" t="n">
        <f aca="false">MAX(0,AN184)*IF(12=Parametri_v3!$C$43,Parametri_v3!$C$45,IF(12=Parametri_v3!$C$44,1-Parametri_v3!$C$45,0))</f>
        <v>0</v>
      </c>
      <c r="AQ184" s="15" t="n">
        <f aca="false">MAX(0,AP184+IF(12=Parametri_v3!$C$43,MAX(0,AN184-AO184),0)-MAX(0,-(AR183)))</f>
        <v>0</v>
      </c>
      <c r="AR184" s="15" t="n">
        <f aca="false">(AR183)+X184-AQ184</f>
        <v>11635.8465566108</v>
      </c>
      <c r="AS184" s="15" t="n">
        <f aca="false">Motore_Operativo!AB184-AT184+AU184</f>
        <v>113503.461904792</v>
      </c>
      <c r="AT184" s="15" t="n">
        <f aca="false">Motore_Operativo!CH184</f>
        <v>5973.86641604167</v>
      </c>
      <c r="AU184" s="15" t="n">
        <f aca="false">MIN(MAX(0,(AV183)+AT184),Parametri_v3!$C$60/12)</f>
        <v>0</v>
      </c>
      <c r="AV184" s="15" t="n">
        <f aca="false">(AV183)+AT184-AU184</f>
        <v>208741.9473675</v>
      </c>
      <c r="AW184" s="15" t="n">
        <f aca="false">IF(AND(Motore_Operativo!C184=Finanziamenti!$D$6,Finanziamenti!$F$6=1),Finanziamenti!$C$6,0)</f>
        <v>0</v>
      </c>
      <c r="AX184" s="15" t="n">
        <f aca="false">IF(AND(3&lt;&gt;7,3&lt;&gt;9,Finanziamenti!$F$8=1,OR(Parametri_v3!$C$6=0,Finanziamenti!$E$8=1),Motore_Operativo!C184=EDATE(Finanziamenti!$D$8,Ipotesi!E15*12)),Finanziamenti!$C$8*1,0)+IF(AND(3&lt;&gt;7,3&lt;&gt;9,Finanziamenti!$F$9=1,OR(Parametri_v3!$C$6=0,Finanziamenti!$E$9=1),Motore_Operativo!C184=EDATE(Finanziamenti!$D$9,Ipotesi!E15*12)),Finanziamenti!$C$9*Ipotesi!E16,0)</f>
        <v>0</v>
      </c>
      <c r="AY184" s="15" t="n">
        <f aca="false">0</f>
        <v>0</v>
      </c>
      <c r="AZ184" s="15" t="n">
        <f aca="false">Motore_Advisory!AY184*(1-Ipotesi!$C$95)*Ipotesi!$C$96</f>
        <v>0</v>
      </c>
      <c r="BA184" s="15" t="n">
        <f aca="false">MAX(0,MIN(CG184*MIN(1,IF(Motore_Operativo!C184&gt;=EDATE(Finanziamenti!$D$15,Ipotesi!E14*12),Finanziamenti!$C$15,0)+IF(Motore_Operativo!C184&gt;=EDATE(Finanziamenti!$D$16,Ipotesi!E14*12),Finanziamenti!$C$16,0)+IF(Motore_Operativo!C184&gt;=EDATE(Finanziamenti!$D$17,Ipotesi!E14*12),Finanziamenti!$C$17,0)),CA184*Ipotesi!$C$102)-(CC183))</f>
        <v>0</v>
      </c>
      <c r="BB184" s="15" t="n">
        <f aca="false">IF(AND(CF184&gt;0,Motore_Operativo!C184&gt;=IF(CF184=0,0,EDATE(CF184,Parametri_v3!$C$37)),MOD(((D184-YEAR(IF(CF184=0,0,EDATE(CF184,Parametri_v3!$C$37))))*12+E184-MONTH(IF(CF184=0,0,EDATE(CF184,Parametri_v3!$C$37)))),Parametri_v3!$C$38)=0),MIN(MAX(0,(BC183)+BA184-N184),(CC184-CD184)/(Ipotesi!$C$108*12/Parametri_v3!$C$38)),0)</f>
        <v>13353.9622290716</v>
      </c>
      <c r="BC184" s="15" t="n">
        <f aca="false">(BC183)+BA184-N184-BB184</f>
        <v>213663.395665146</v>
      </c>
      <c r="BD184" s="15" t="n">
        <f aca="false">(BH183)+AC184+AF184-AI184-AS184-K184*(1+Parametri_v3!$C$26)-AL184-AQ184-O184+AW184+AX184+AZ184+BA184-BB184</f>
        <v>552333.503273562</v>
      </c>
      <c r="BE184" s="15" t="n">
        <f aca="false">MAX(0,MIN(MAX(0,CH184-(BG183)),Parametri_v3!$C$30-BD184))</f>
        <v>0</v>
      </c>
      <c r="BF184" s="15" t="n">
        <f aca="false">IF(Motore_Operativo!C184&gt;=Parametri_v3!$C$63,(BG183),MIN((BG183),MAX(0,BD184-Parametri_v3!$C$30)))</f>
        <v>0</v>
      </c>
      <c r="BG184" s="15" t="n">
        <f aca="false">(BG183)+BE184-BF184</f>
        <v>0</v>
      </c>
      <c r="BH184" s="15" t="n">
        <f aca="false">BD184+BE184-BF184-AY184</f>
        <v>552333.503273562</v>
      </c>
      <c r="BI184" s="15" t="n">
        <f aca="false">MAX(0,Parametri_v3!$C$30-BH184)</f>
        <v>0</v>
      </c>
      <c r="BJ184" s="15" t="n">
        <f aca="false">(BJ183)+K184</f>
        <v>165000</v>
      </c>
      <c r="BK184" s="15" t="n">
        <f aca="false">(BK183)+L184</f>
        <v>100000</v>
      </c>
      <c r="BL184" s="15" t="n">
        <f aca="false">BJ184-BK184</f>
        <v>64999.9999999999</v>
      </c>
      <c r="BM184" s="15" t="n">
        <f aca="false">(BM183)+Y184</f>
        <v>-618672.856511495</v>
      </c>
      <c r="BN184" s="15" t="n">
        <f aca="false">(BN183)+AW184+AX184+AZ184</f>
        <v>1435430.40943357</v>
      </c>
      <c r="BO184" s="15" t="n">
        <f aca="false">(BO183)+AY184</f>
        <v>0</v>
      </c>
      <c r="BP184" s="15" t="n">
        <f aca="false">0</f>
        <v>0</v>
      </c>
      <c r="BQ184" s="15" t="n">
        <f aca="false">BN184+BM184-BO184</f>
        <v>816757.552922073</v>
      </c>
      <c r="BR184" s="15" t="n">
        <f aca="false">BH184+AD184+BL184+MAX(0,-AM184)+MAX(0,-AR184)+AG184</f>
        <v>1491735.43344756</v>
      </c>
      <c r="BS184" s="15" t="n">
        <f aca="false">AJ184+AV184+MAX(0,AM184)+MAX(0,AR184)+BC184+BG184+BQ184</f>
        <v>1491735.43344756</v>
      </c>
      <c r="BT184" s="15" t="n">
        <f aca="false">BR184-BS184</f>
        <v>0</v>
      </c>
      <c r="BU184" s="15" t="n">
        <f aca="false">BH184-(BD184+BE184-BF184-AY184)</f>
        <v>0</v>
      </c>
      <c r="BV184" s="15" t="n">
        <f aca="false">MIN(Piano_SS!$C$6,(BV183)+IF(AND(Motore_Operativo!C184&gt;=EDATE(Parametri_v3!$C$24,Ipotesi!E14*12),Motore_Operativo!C184&lt;EDATE(Parametri_v3!$C$24,Parametri_v3!$C$25+Ipotesi!E14*12)),MAX(0,(Motore_Operativo!Y184+Motore_Operativo!X184*Parametri_v3!$C$14)*(1-Parametri_v3!$C$32))*Piano_SS!$D$6,0))</f>
        <v>300000</v>
      </c>
      <c r="BW184" s="15" t="n">
        <f aca="false">MIN(Piano_SS!$C$7,(BW183)+IF(AND(Motore_Operativo!C184&gt;=EDATE(Parametri_v3!$C$24,Ipotesi!E14*12),Motore_Operativo!C184&lt;EDATE(Parametri_v3!$C$24,Parametri_v3!$C$25+Ipotesi!E14*12)),MAX(0,(IF(60-(INT((Ipotesi!$C$91)/30))&lt;1,0,INDEX(Motore_Operativo!$BN$125:$BN$184,MAX(1,60-(INT((Ipotesi!$C$91)/30)))))*(1-(MOD((Ipotesi!$C$91),30)/30))+IF(60-(INT((Ipotesi!$C$91)/30))-1&lt;1,0,INDEX(Motore_Operativo!$BN$125:$BN$184,MAX(1,60-(INT((Ipotesi!$C$91)/30))-1)))*(MOD((Ipotesi!$C$91),30)/30)))*Piano_SS!$D$7,0))</f>
        <v>44070.0796097004</v>
      </c>
      <c r="BX184" s="15" t="n">
        <f aca="false">MIN(Piano_SS!$C$8,(BX183)+IF(AND(Motore_Operativo!C184&gt;=EDATE(Parametri_v3!$C$24,Ipotesi!E14*12),Motore_Operativo!C184&lt;EDATE(Parametri_v3!$C$24,Parametri_v3!$C$25+Ipotesi!E14*12)),MAX(0,Motore_Operativo!CE184)*Piano_SS!$D$8,0))</f>
        <v>50000</v>
      </c>
      <c r="BY184" s="15" t="n">
        <f aca="false">MIN(Piano_SS!$C$9,(BY183)+IF(AND(Motore_Operativo!C184&gt;=EDATE(Parametri_v3!$C$24,Ipotesi!E14*12),Motore_Operativo!C184&lt;EDATE(Parametri_v3!$C$24,Parametri_v3!$C$25+Ipotesi!E14*12)),MAX(0,((IF(60-(INT((Ipotesi!$C$91)/30))&lt;1,0,INDEX(Motore_Operativo!$BQ$125:$BQ$184,MAX(1,60-(INT((Ipotesi!$C$91)/30)))))*(1-(MOD((Ipotesi!$C$91),30)/30))+IF(60-(INT((Ipotesi!$C$91)/30))-1&lt;1,0,INDEX(Motore_Operativo!$BQ$125:$BQ$184,MAX(1,60-(INT((Ipotesi!$C$91)/30))-1)))*(MOD((Ipotesi!$C$91),30)/30))+(IF(60-(INT((Ipotesi!$C$91)/30))&lt;1,0,INDEX(Motore_Operativo!$BR$125:$BR$184,MAX(1,60-(INT((Ipotesi!$C$91)/30)))))*(1-(MOD((Ipotesi!$C$91),30)/30))+IF(60-(INT((Ipotesi!$C$91)/30))-1&lt;1,0,INDEX(Motore_Operativo!$BR$125:$BR$184,MAX(1,60-(INT((Ipotesi!$C$91)/30))-1)))*(MOD((Ipotesi!$C$91),30)/30))))*Piano_SS!$D$9,0))</f>
        <v>40000</v>
      </c>
      <c r="BZ184" s="15" t="n">
        <f aca="false">MIN(Piano_SS!$C$10,(BZ183)+IF(AND(Motore_Operativo!C184&gt;=EDATE(Parametri_v3!$C$24,Ipotesi!E14*12),Motore_Operativo!C184&lt;EDATE(Parametri_v3!$C$24,Parametri_v3!$C$25+Ipotesi!E14*12)),MAX(0,(IF(60-(INT((Ipotesi!$C$91)/30))&lt;1,0,INDEX(Motore_Operativo!$BO$125:$BO$184,MAX(1,60-(INT((Ipotesi!$C$91)/30)))))*(1-(MOD((Ipotesi!$C$91),30)/30))+IF(60-(INT((Ipotesi!$C$91)/30))-1&lt;1,0,INDEX(Motore_Operativo!$BO$125:$BO$184,MAX(1,60-(INT((Ipotesi!$C$91)/30))-1)))*(MOD((Ipotesi!$C$91),30)/30)))*Piano_SS!$D$10,0))</f>
        <v>30000</v>
      </c>
      <c r="CA184" s="15" t="n">
        <f aca="false">SUM(BV184:BZ184)</f>
        <v>464070.0796097</v>
      </c>
      <c r="CB184" s="15" t="n">
        <f aca="false">BV184*(1-Piano_SS!$E$6)+BW184*(1-Piano_SS!$E$7)+BX184*(1-Piano_SS!$E$8)+BY184*(1-Piano_SS!$E$9)+BZ184*(1-Piano_SS!$E$10)</f>
        <v>434070.0796097</v>
      </c>
      <c r="CC184" s="15" t="n">
        <f aca="false">(CC183)+BA184</f>
        <v>371256.06368776</v>
      </c>
      <c r="CD184" s="15" t="n">
        <f aca="false">IF(CA184=0,0,CC184*CB184/CA184*Ipotesi!$C$103*Parametri_v3!$C$64)</f>
        <v>104176.819106328</v>
      </c>
      <c r="CE184" s="18" t="n">
        <f aca="false">IF(BA184&gt;0,Motore_Operativo!C184,(CE183))</f>
        <v>47270</v>
      </c>
      <c r="CF184" s="18" t="n">
        <f aca="false">IF(AND(CC184&gt;0,OR(CC184&gt;=CG184-0.01,Motore_Operativo!C184&gt;=EDATE(MAX(Finanziamenti!$D$15:$D$17),Ipotesi!E14*12))),CE184,0)</f>
        <v>47270</v>
      </c>
      <c r="CG184" s="15" t="n">
        <f aca="false">IF(AND(3&lt;&gt;6,3&lt;&gt;9,Finanziamenti!$F$11=1,OR(Parametri_v3!$C$6=0,Finanziamenti!$E$11=1)),MIN(Finanziamenti!$C$11,Piano_SS!$C$12*Ipotesi!$C$102),0)</f>
        <v>400000</v>
      </c>
      <c r="CH184" s="15" t="n">
        <f aca="false">IF(AND(AND(3&lt;&gt;8,3&lt;&gt;9,Finanziamenti!$F$10=1,OR(Parametri_v3!$C$6=0,Finanziamenti!$E$10=1)),Motore_Operativo!C184&gt;=Finanziamenti!$D$10,Motore_Operativo!C184&lt;Parametri_v3!$C$63),Finanziamenti!$C$10,0)</f>
        <v>150000</v>
      </c>
    </row>
    <row r="185" customFormat="false" ht="18" hidden="false" customHeight="true" outlineLevel="0" collapsed="false">
      <c r="A185" s="68" t="n">
        <f aca="false">4</f>
        <v>4</v>
      </c>
      <c r="B185" s="68" t="n">
        <f aca="false">1</f>
        <v>1</v>
      </c>
      <c r="C185" s="18" t="n">
        <f aca="false">Motore_Operativo!C185</f>
        <v>46388</v>
      </c>
      <c r="D185" s="68" t="n">
        <f aca="false">Motore_Operativo!D185</f>
        <v>2027</v>
      </c>
      <c r="E185" s="68" t="n">
        <f aca="false">Motore_Operativo!E185</f>
        <v>1</v>
      </c>
      <c r="F185" s="15" t="n">
        <f aca="false">Motore_Operativo!AQ185+Motore_Operativo!BF185</f>
        <v>3712.5</v>
      </c>
      <c r="G185" s="15" t="n">
        <f aca="false">Motore_Operativo!BH185</f>
        <v>825</v>
      </c>
      <c r="H185" s="15" t="n">
        <f aca="false">Motore_Operativo!BI185</f>
        <v>4537.5</v>
      </c>
      <c r="I185" s="15" t="n">
        <f aca="false">Motore_Operativo!CA185</f>
        <v>27487.0833333333</v>
      </c>
      <c r="J185" s="15" t="n">
        <f aca="false">Motore_Operativo!CC185</f>
        <v>-22949.5833333333</v>
      </c>
      <c r="K185" s="15" t="n">
        <f aca="false">Motore_Operativo!CE185</f>
        <v>1666.66666666667</v>
      </c>
      <c r="L185" s="15" t="n">
        <f aca="false">SUM(INDEX($K$185:$K$244,MAX(1,1-Parametri_v3!$C$59+1)):K185)/Parametri_v3!$C$59</f>
        <v>46.2962962962963</v>
      </c>
      <c r="M185" s="15" t="n">
        <f aca="false">J185-L185</f>
        <v>-22995.8796296296</v>
      </c>
      <c r="N185" s="15" t="n">
        <f aca="false">CD185-(0)</f>
        <v>0</v>
      </c>
      <c r="O185" s="15" t="n">
        <f aca="false">(0)*Ipotesi!$C$110/12+CH185*Parametri_v3!$C$39/12</f>
        <v>0</v>
      </c>
      <c r="P185" s="15" t="n">
        <f aca="false">M185+N185-O185</f>
        <v>-22995.8796296296</v>
      </c>
      <c r="Q185" s="15" t="n">
        <f aca="false">SUM(P185)+Parametri_v3!$C$54*1/12</f>
        <v>-22995.8796296296</v>
      </c>
      <c r="R185" s="15" t="n">
        <f aca="false">0</f>
        <v>0</v>
      </c>
      <c r="S185" s="15" t="n">
        <f aca="false">0</f>
        <v>0</v>
      </c>
      <c r="T185" s="15" t="n">
        <f aca="false">MIN(R185,MAX(0,Q185))</f>
        <v>0</v>
      </c>
      <c r="U185" s="15" t="n">
        <f aca="false">MIN(S185,MAX(0,Q185-T185)*Parametri_v3!$C$42)</f>
        <v>0</v>
      </c>
      <c r="V185" s="15" t="n">
        <f aca="false">MAX(0,Q185-T185-U185)*Ipotesi!$C$92</f>
        <v>0</v>
      </c>
      <c r="W185" s="15" t="n">
        <f aca="false">MAX(0,SUM(M185)+Parametri_v3!$C$55*1/12)*Ipotesi!$C$93</f>
        <v>0</v>
      </c>
      <c r="X185" s="15" t="n">
        <f aca="false">V185+W185-(0)</f>
        <v>0</v>
      </c>
      <c r="Y185" s="15" t="n">
        <f aca="false">P185-X185</f>
        <v>-22995.8796296296</v>
      </c>
      <c r="Z185" s="15" t="n">
        <f aca="false">R185-T185+IF(AND(Parametri_v3!$C$40=1,D185-YEAR(Parametri_v3!$C$50)&lt;Parametri_v3!$C$41),MAX(0,-Q185),0)</f>
        <v>22995.8796296296</v>
      </c>
      <c r="AA185" s="15" t="n">
        <f aca="false">S185-U185+IF(AND(Parametri_v3!$C$40=1,D185-YEAR(Parametri_v3!$C$50)&lt;Parametri_v3!$C$41),0,MAX(0,-Q185))</f>
        <v>0</v>
      </c>
      <c r="AB185" s="15" t="n">
        <f aca="false">F185*(1+Parametri_v3!$C$26)</f>
        <v>4529.25</v>
      </c>
      <c r="AC185" s="15" t="n">
        <f aca="false">(IF(1-(INT((Motore_Operativo!L185)/30))&lt;1,0,INDEX(Motore_Startup!$AB$185:$AB$244,MAX(1,1-(INT((Motore_Operativo!L185)/30)))))*(1-(MOD((Motore_Operativo!L185),30)/30))+IF(1-(INT((Motore_Operativo!L185)/30))-1&lt;1,0,INDEX(Motore_Startup!$AB$185:$AB$244,MAX(1,1-(INT((Motore_Operativo!L185)/30))-1)))*(MOD((Motore_Operativo!L185),30)/30))</f>
        <v>0</v>
      </c>
      <c r="AD185" s="15" t="n">
        <f aca="false">(0)+AB185-AC185</f>
        <v>4529.25</v>
      </c>
      <c r="AE185" s="15" t="n">
        <f aca="false">Motore_Operativo!BH185*(1+Parametri_v3!$C$26)</f>
        <v>1006.5</v>
      </c>
      <c r="AF185" s="15" t="n">
        <f aca="false">(IF(1-(INT((Parametri_v3!$C$29)/30))&lt;1,0,INDEX(Motore_Operativo!$BH$185:$BH$244,MAX(1,1-(INT((Parametri_v3!$C$29)/30)))))*(1-(MOD((Parametri_v3!$C$29),30)/30))+IF(1-(INT((Parametri_v3!$C$29)/30))-1&lt;1,0,INDEX(Motore_Operativo!$BH$185:$BH$244,MAX(1,1-(INT((Parametri_v3!$C$29)/30))-1)))*(MOD((Parametri_v3!$C$29),30)/30))*(1+Parametri_v3!$C$26)</f>
        <v>0</v>
      </c>
      <c r="AG185" s="15" t="n">
        <f aca="false">(0)+AE185-AF185</f>
        <v>1006.5</v>
      </c>
      <c r="AH185" s="15" t="n">
        <f aca="false">(Motore_Operativo!CJ185)*(1+Parametri_v3!$C$27*Parametri_v3!$C$26)</f>
        <v>11360.0845833333</v>
      </c>
      <c r="AI185" s="15" t="n">
        <f aca="false">(IF(1-(INT((Ipotesi!$C$91)/30))&lt;1,0,INDEX(Motore_Startup!$AH$185:$AH$244,MAX(1,1-(INT((Ipotesi!$C$91)/30)))))*(1-(MOD((Ipotesi!$C$91),30)/30))+IF(1-(INT((Ipotesi!$C$91)/30))-1&lt;1,0,INDEX(Motore_Startup!$AH$185:$AH$244,MAX(1,1-(INT((Ipotesi!$C$91)/30))-1)))*(MOD((Ipotesi!$C$91),30)/30))</f>
        <v>0</v>
      </c>
      <c r="AJ185" s="15" t="n">
        <f aca="false">(0)+AH185-AI185</f>
        <v>11360.0845833333</v>
      </c>
      <c r="AK185" s="15" t="n">
        <f aca="false">(F185+ Motore_Operativo!BH185-(Motore_Operativo!CJ185)*Parametri_v3!$C$27-Motore_Operativo!CE185)*Parametri_v3!$C$26</f>
        <v>-1158.08458333333</v>
      </c>
      <c r="AL185" s="15" t="n">
        <f aca="false">MAX(0,(0))</f>
        <v>0</v>
      </c>
      <c r="AM185" s="15" t="n">
        <f aca="false">(0)+AK185-AL185</f>
        <v>-1158.08458333333</v>
      </c>
      <c r="AN185" s="15" t="n">
        <f aca="false">0</f>
        <v>0</v>
      </c>
      <c r="AO185" s="15" t="n">
        <f aca="false">0</f>
        <v>0</v>
      </c>
      <c r="AP185" s="15" t="n">
        <f aca="false">MAX(0,AN185)*IF(1=Parametri_v3!$C$43,Parametri_v3!$C$45,IF(1=Parametri_v3!$C$44,1-Parametri_v3!$C$45,0))</f>
        <v>0</v>
      </c>
      <c r="AQ185" s="15" t="n">
        <f aca="false">MAX(0,AP185+IF(1=Parametri_v3!$C$43,MAX(0,AN185-AO185),0)-MAX(0,-(0)))</f>
        <v>0</v>
      </c>
      <c r="AR185" s="15" t="n">
        <f aca="false">(0)+X185-AQ185</f>
        <v>0</v>
      </c>
      <c r="AS185" s="15" t="n">
        <f aca="false">Motore_Operativo!AB185-AT185+AU185</f>
        <v>17020.8333333333</v>
      </c>
      <c r="AT185" s="15" t="n">
        <f aca="false">Motore_Operativo!CH185</f>
        <v>895.833333333334</v>
      </c>
      <c r="AU185" s="15" t="n">
        <f aca="false">MIN(MAX(0,(0)+AT185),Parametri_v3!$C$60/12)</f>
        <v>0</v>
      </c>
      <c r="AV185" s="15" t="n">
        <f aca="false">(0)+AT185-AU185</f>
        <v>895.833333333334</v>
      </c>
      <c r="AW185" s="15" t="n">
        <f aca="false">IF(AND(Motore_Operativo!C185=Finanziamenti!$D$6,Finanziamenti!$F$6=1),Finanziamenti!$C$6,0)</f>
        <v>130000</v>
      </c>
      <c r="AX185" s="15" t="n">
        <f aca="false">IF(AND(4&lt;&gt;7,4&lt;&gt;9,Finanziamenti!$F$8=1,OR(Parametri_v3!$C$6=0,Finanziamenti!$E$8=1),Motore_Operativo!C185=EDATE(Finanziamenti!$D$8,Ipotesi!F15*12)),Finanziamenti!$C$8*1,0)+IF(AND(4&lt;&gt;7,4&lt;&gt;9,Finanziamenti!$F$9=1,OR(Parametri_v3!$C$6=0,Finanziamenti!$E$9=1),Motore_Operativo!C185=EDATE(Finanziamenti!$D$9,Ipotesi!F15*12)),Finanziamenti!$C$9*Ipotesi!F16,0)</f>
        <v>0</v>
      </c>
      <c r="AY185" s="15" t="n">
        <f aca="false">0</f>
        <v>0</v>
      </c>
      <c r="AZ185" s="15" t="n">
        <f aca="false">Motore_Advisory!AY185*(1-Ipotesi!$C$95)*Ipotesi!$C$96</f>
        <v>0</v>
      </c>
      <c r="BA185" s="15" t="n">
        <f aca="false">MAX(0,MIN(CG185*MIN(1,IF(Motore_Operativo!C185&gt;=EDATE(Finanziamenti!$D$15,Ipotesi!F14*12),Finanziamenti!$C$15,0)+IF(Motore_Operativo!C185&gt;=EDATE(Finanziamenti!$D$16,Ipotesi!F14*12),Finanziamenti!$C$16,0)+IF(Motore_Operativo!C185&gt;=EDATE(Finanziamenti!$D$17,Ipotesi!F14*12),Finanziamenti!$C$17,0)),CA185*Ipotesi!$C$102)-(0))</f>
        <v>0</v>
      </c>
      <c r="BB185" s="15" t="n">
        <f aca="false">IF(AND(CF185&gt;0,Motore_Operativo!C185&gt;=IF(CF185=0,0,EDATE(CF185,Parametri_v3!$C$37)),MOD(((D185-YEAR(IF(CF185=0,0,EDATE(CF185,Parametri_v3!$C$37))))*12+E185-MONTH(IF(CF185=0,0,EDATE(CF185,Parametri_v3!$C$37)))),Parametri_v3!$C$38)=0),MIN(MAX(0,(0)+BA185-N185),(CC185-CD185)/(Ipotesi!$C$108*12/Parametri_v3!$C$38)),0)</f>
        <v>0</v>
      </c>
      <c r="BC185" s="15" t="n">
        <f aca="false">(0)+BA185-N185-BB185</f>
        <v>0</v>
      </c>
      <c r="BD185" s="15" t="n">
        <f aca="false">(0)+AC185+AF185-AI185-AS185-K185*(1+Parametri_v3!$C$26)-AL185-AQ185-O185+AW185+AX185+AZ185+BA185-BB185</f>
        <v>110945.833333333</v>
      </c>
      <c r="BE185" s="15" t="n">
        <f aca="false">MAX(0,MIN(MAX(0,CH185-(0)),Parametri_v3!$C$30-BD185))</f>
        <v>0</v>
      </c>
      <c r="BF185" s="15" t="n">
        <f aca="false">IF(Motore_Operativo!C185&gt;=Parametri_v3!$C$63,(0),MIN((0),MAX(0,BD185-Parametri_v3!$C$30)))</f>
        <v>0</v>
      </c>
      <c r="BG185" s="15" t="n">
        <f aca="false">(0)+BE185-BF185</f>
        <v>0</v>
      </c>
      <c r="BH185" s="15" t="n">
        <f aca="false">BD185+BE185-BF185-AY185</f>
        <v>110945.833333333</v>
      </c>
      <c r="BI185" s="15" t="n">
        <f aca="false">MAX(0,Parametri_v3!$C$30-BH185)</f>
        <v>0</v>
      </c>
      <c r="BJ185" s="15" t="n">
        <f aca="false">(0)+K185</f>
        <v>1666.66666666667</v>
      </c>
      <c r="BK185" s="15" t="n">
        <f aca="false">(0)+L185</f>
        <v>46.2962962962963</v>
      </c>
      <c r="BL185" s="15" t="n">
        <f aca="false">BJ185-BK185</f>
        <v>1620.37037037037</v>
      </c>
      <c r="BM185" s="15" t="n">
        <f aca="false">(0)+Y185</f>
        <v>-22995.8796296296</v>
      </c>
      <c r="BN185" s="15" t="n">
        <f aca="false">(0)+AW185+AX185+AZ185</f>
        <v>130000</v>
      </c>
      <c r="BO185" s="15" t="n">
        <f aca="false">(0)+AY185</f>
        <v>0</v>
      </c>
      <c r="BP185" s="15" t="n">
        <f aca="false">0</f>
        <v>0</v>
      </c>
      <c r="BQ185" s="15" t="n">
        <f aca="false">BN185+BM185-BO185</f>
        <v>107004.12037037</v>
      </c>
      <c r="BR185" s="15" t="n">
        <f aca="false">BH185+AD185+BL185+MAX(0,-AM185)+MAX(0,-AR185)+AG185</f>
        <v>119260.038287037</v>
      </c>
      <c r="BS185" s="15" t="n">
        <f aca="false">AJ185+AV185+MAX(0,AM185)+MAX(0,AR185)+BC185+BG185+BQ185</f>
        <v>119260.038287037</v>
      </c>
      <c r="BT185" s="15" t="n">
        <f aca="false">BR185-BS185</f>
        <v>0</v>
      </c>
      <c r="BU185" s="15" t="n">
        <f aca="false">BH185-(BD185+BE185-BF185-AY185)</f>
        <v>0</v>
      </c>
      <c r="BV185" s="15" t="n">
        <f aca="false">MIN(Piano_SS!$C$6,(0)+IF(AND(Motore_Operativo!C185&gt;=EDATE(Parametri_v3!$C$24,Ipotesi!F14*12),Motore_Operativo!C185&lt;EDATE(Parametri_v3!$C$24,Parametri_v3!$C$25+Ipotesi!F14*12)),MAX(0,(Motore_Operativo!Y185+Motore_Operativo!X185*Parametri_v3!$C$14)*(1-Parametri_v3!$C$32))*Piano_SS!$D$6,0))</f>
        <v>0</v>
      </c>
      <c r="BW185" s="15" t="n">
        <f aca="false">MIN(Piano_SS!$C$7,(0)+IF(AND(Motore_Operativo!C185&gt;=EDATE(Parametri_v3!$C$24,Ipotesi!F14*12),Motore_Operativo!C185&lt;EDATE(Parametri_v3!$C$24,Parametri_v3!$C$25+Ipotesi!F14*12)),MAX(0,(IF(1-(INT((Ipotesi!$C$91)/30))&lt;1,0,INDEX(Motore_Operativo!$BN$185:$BN$244,MAX(1,1-(INT((Ipotesi!$C$91)/30)))))*(1-(MOD((Ipotesi!$C$91),30)/30))+IF(1-(INT((Ipotesi!$C$91)/30))-1&lt;1,0,INDEX(Motore_Operativo!$BN$185:$BN$244,MAX(1,1-(INT((Ipotesi!$C$91)/30))-1)))*(MOD((Ipotesi!$C$91),30)/30)))*Piano_SS!$D$7,0))</f>
        <v>0</v>
      </c>
      <c r="BX185" s="15" t="n">
        <f aca="false">MIN(Piano_SS!$C$8,(0)+IF(AND(Motore_Operativo!C185&gt;=EDATE(Parametri_v3!$C$24,Ipotesi!F14*12),Motore_Operativo!C185&lt;EDATE(Parametri_v3!$C$24,Parametri_v3!$C$25+Ipotesi!F14*12)),MAX(0,Motore_Operativo!CE185)*Piano_SS!$D$8,0))</f>
        <v>0</v>
      </c>
      <c r="BY185" s="15" t="n">
        <f aca="false">MIN(Piano_SS!$C$9,(0)+IF(AND(Motore_Operativo!C185&gt;=EDATE(Parametri_v3!$C$24,Ipotesi!F14*12),Motore_Operativo!C185&lt;EDATE(Parametri_v3!$C$24,Parametri_v3!$C$25+Ipotesi!F14*12)),MAX(0,((IF(1-(INT((Ipotesi!$C$91)/30))&lt;1,0,INDEX(Motore_Operativo!$BQ$185:$BQ$244,MAX(1,1-(INT((Ipotesi!$C$91)/30)))))*(1-(MOD((Ipotesi!$C$91),30)/30))+IF(1-(INT((Ipotesi!$C$91)/30))-1&lt;1,0,INDEX(Motore_Operativo!$BQ$185:$BQ$244,MAX(1,1-(INT((Ipotesi!$C$91)/30))-1)))*(MOD((Ipotesi!$C$91),30)/30))+(IF(1-(INT((Ipotesi!$C$91)/30))&lt;1,0,INDEX(Motore_Operativo!$BR$185:$BR$244,MAX(1,1-(INT((Ipotesi!$C$91)/30)))))*(1-(MOD((Ipotesi!$C$91),30)/30))+IF(1-(INT((Ipotesi!$C$91)/30))-1&lt;1,0,INDEX(Motore_Operativo!$BR$185:$BR$244,MAX(1,1-(INT((Ipotesi!$C$91)/30))-1)))*(MOD((Ipotesi!$C$91),30)/30))))*Piano_SS!$D$9,0))</f>
        <v>0</v>
      </c>
      <c r="BZ185" s="15" t="n">
        <f aca="false">MIN(Piano_SS!$C$10,(0)+IF(AND(Motore_Operativo!C185&gt;=EDATE(Parametri_v3!$C$24,Ipotesi!F14*12),Motore_Operativo!C185&lt;EDATE(Parametri_v3!$C$24,Parametri_v3!$C$25+Ipotesi!F14*12)),MAX(0,(IF(1-(INT((Ipotesi!$C$91)/30))&lt;1,0,INDEX(Motore_Operativo!$BO$185:$BO$244,MAX(1,1-(INT((Ipotesi!$C$91)/30)))))*(1-(MOD((Ipotesi!$C$91),30)/30))+IF(1-(INT((Ipotesi!$C$91)/30))-1&lt;1,0,INDEX(Motore_Operativo!$BO$185:$BO$244,MAX(1,1-(INT((Ipotesi!$C$91)/30))-1)))*(MOD((Ipotesi!$C$91),30)/30)))*Piano_SS!$D$10,0))</f>
        <v>0</v>
      </c>
      <c r="CA185" s="15" t="n">
        <f aca="false">SUM(BV185:BZ185)</f>
        <v>0</v>
      </c>
      <c r="CB185" s="15" t="n">
        <f aca="false">BV185*(1-Piano_SS!$E$6)+BW185*(1-Piano_SS!$E$7)+BX185*(1-Piano_SS!$E$8)+BY185*(1-Piano_SS!$E$9)+BZ185*(1-Piano_SS!$E$10)</f>
        <v>0</v>
      </c>
      <c r="CC185" s="15" t="n">
        <f aca="false">(0)+BA185</f>
        <v>0</v>
      </c>
      <c r="CD185" s="15" t="n">
        <f aca="false">IF(CA185=0,0,CC185*CB185/CA185*Ipotesi!$C$103*Parametri_v3!$C$64)</f>
        <v>0</v>
      </c>
      <c r="CE185" s="18" t="n">
        <f aca="false">IF(BA185&gt;0,Motore_Operativo!C185,(0))</f>
        <v>0</v>
      </c>
      <c r="CF185" s="18" t="n">
        <f aca="false">IF(AND(CC185&gt;0,OR(CC185&gt;=CG185-0.01,Motore_Operativo!C185&gt;=EDATE(MAX(Finanziamenti!$D$15:$D$17),Ipotesi!F14*12))),CE185,0)</f>
        <v>0</v>
      </c>
      <c r="CG185" s="15" t="n">
        <f aca="false">IF(AND(4&lt;&gt;6,4&lt;&gt;9,Finanziamenti!$F$11=1,OR(Parametri_v3!$C$6=0,Finanziamenti!$E$11=1)),MIN(Finanziamenti!$C$11,Piano_SS!$C$12*Ipotesi!$C$102),0)</f>
        <v>400000</v>
      </c>
      <c r="CH185" s="15" t="n">
        <f aca="false">IF(AND(AND(4&lt;&gt;8,4&lt;&gt;9,Finanziamenti!$F$10=1,OR(Parametri_v3!$C$6=0,Finanziamenti!$E$10=1)),Motore_Operativo!C185&gt;=Finanziamenti!$D$10,Motore_Operativo!C185&lt;Parametri_v3!$C$63),Finanziamenti!$C$10,0)</f>
        <v>150000</v>
      </c>
    </row>
    <row r="186" customFormat="false" ht="18" hidden="false" customHeight="true" outlineLevel="0" collapsed="false">
      <c r="A186" s="68" t="n">
        <f aca="false">4</f>
        <v>4</v>
      </c>
      <c r="B186" s="68" t="n">
        <f aca="false">2</f>
        <v>2</v>
      </c>
      <c r="C186" s="18" t="n">
        <f aca="false">Motore_Operativo!C186</f>
        <v>46419</v>
      </c>
      <c r="D186" s="68" t="n">
        <f aca="false">Motore_Operativo!D186</f>
        <v>2027</v>
      </c>
      <c r="E186" s="68" t="n">
        <f aca="false">Motore_Operativo!E186</f>
        <v>2</v>
      </c>
      <c r="F186" s="15" t="n">
        <f aca="false">Motore_Operativo!AQ186+Motore_Operativo!BF186</f>
        <v>3712.5</v>
      </c>
      <c r="G186" s="15" t="n">
        <f aca="false">Motore_Operativo!BH186</f>
        <v>825</v>
      </c>
      <c r="H186" s="15" t="n">
        <f aca="false">Motore_Operativo!BI186</f>
        <v>4537.5</v>
      </c>
      <c r="I186" s="15" t="n">
        <f aca="false">Motore_Operativo!CA186</f>
        <v>27487.0833333333</v>
      </c>
      <c r="J186" s="15" t="n">
        <f aca="false">Motore_Operativo!CC186</f>
        <v>-22949.5833333333</v>
      </c>
      <c r="K186" s="15" t="n">
        <f aca="false">Motore_Operativo!CE186</f>
        <v>1666.66666666667</v>
      </c>
      <c r="L186" s="15" t="n">
        <f aca="false">SUM(INDEX($K$185:$K$244,MAX(1,2-Parametri_v3!$C$59+1)):K186)/Parametri_v3!$C$59</f>
        <v>92.5925925925926</v>
      </c>
      <c r="M186" s="15" t="n">
        <f aca="false">J186-L186</f>
        <v>-23042.1759259259</v>
      </c>
      <c r="N186" s="15" t="n">
        <f aca="false">CD186-(CD185)</f>
        <v>0</v>
      </c>
      <c r="O186" s="15" t="n">
        <f aca="false">(BG185)*Ipotesi!$C$110/12+CH186*Parametri_v3!$C$39/12</f>
        <v>0</v>
      </c>
      <c r="P186" s="15" t="n">
        <f aca="false">M186+N186-O186</f>
        <v>-23042.1759259259</v>
      </c>
      <c r="Q186" s="15" t="n">
        <f aca="false">SUM(P185:P186)+Parametri_v3!$C$54*2/12</f>
        <v>-46038.0555555556</v>
      </c>
      <c r="R186" s="15" t="n">
        <f aca="false">0</f>
        <v>0</v>
      </c>
      <c r="S186" s="15" t="n">
        <f aca="false">0</f>
        <v>0</v>
      </c>
      <c r="T186" s="15" t="n">
        <f aca="false">MIN(R186,MAX(0,Q186))</f>
        <v>0</v>
      </c>
      <c r="U186" s="15" t="n">
        <f aca="false">MIN(S186,MAX(0,Q186-T186)*Parametri_v3!$C$42)</f>
        <v>0</v>
      </c>
      <c r="V186" s="15" t="n">
        <f aca="false">MAX(0,Q186-T186-U186)*Ipotesi!$C$92</f>
        <v>0</v>
      </c>
      <c r="W186" s="15" t="n">
        <f aca="false">MAX(0,SUM(M185:M186)+Parametri_v3!$C$55*2/12)*Ipotesi!$C$93</f>
        <v>0</v>
      </c>
      <c r="X186" s="15" t="n">
        <f aca="false">V186+W186-(V185+W185)</f>
        <v>0</v>
      </c>
      <c r="Y186" s="15" t="n">
        <f aca="false">P186-X186</f>
        <v>-23042.1759259259</v>
      </c>
      <c r="Z186" s="15" t="n">
        <f aca="false">R186-T186+IF(AND(Parametri_v3!$C$40=1,D186-YEAR(Parametri_v3!$C$50)&lt;Parametri_v3!$C$41),MAX(0,-Q186),0)</f>
        <v>46038.0555555556</v>
      </c>
      <c r="AA186" s="15" t="n">
        <f aca="false">S186-U186+IF(AND(Parametri_v3!$C$40=1,D186-YEAR(Parametri_v3!$C$50)&lt;Parametri_v3!$C$41),0,MAX(0,-Q186))</f>
        <v>0</v>
      </c>
      <c r="AB186" s="15" t="n">
        <f aca="false">F186*(1+Parametri_v3!$C$26)</f>
        <v>4529.25</v>
      </c>
      <c r="AC186" s="15" t="n">
        <f aca="false">(IF(2-(INT((Motore_Operativo!L186)/30))&lt;1,0,INDEX(Motore_Startup!$AB$185:$AB$244,MAX(1,2-(INT((Motore_Operativo!L186)/30)))))*(1-(MOD((Motore_Operativo!L186),30)/30))+IF(2-(INT((Motore_Operativo!L186)/30))-1&lt;1,0,INDEX(Motore_Startup!$AB$185:$AB$244,MAX(1,2-(INT((Motore_Operativo!L186)/30))-1)))*(MOD((Motore_Operativo!L186),30)/30))</f>
        <v>0</v>
      </c>
      <c r="AD186" s="15" t="n">
        <f aca="false">(AD185)+AB186-AC186</f>
        <v>9058.5</v>
      </c>
      <c r="AE186" s="15" t="n">
        <f aca="false">Motore_Operativo!BH186*(1+Parametri_v3!$C$26)</f>
        <v>1006.5</v>
      </c>
      <c r="AF186" s="15" t="n">
        <f aca="false">(IF(2-(INT((Parametri_v3!$C$29)/30))&lt;1,0,INDEX(Motore_Operativo!$BH$185:$BH$244,MAX(1,2-(INT((Parametri_v3!$C$29)/30)))))*(1-(MOD((Parametri_v3!$C$29),30)/30))+IF(2-(INT((Parametri_v3!$C$29)/30))-1&lt;1,0,INDEX(Motore_Operativo!$BH$185:$BH$244,MAX(1,2-(INT((Parametri_v3!$C$29)/30))-1)))*(MOD((Parametri_v3!$C$29),30)/30))*(1+Parametri_v3!$C$26)</f>
        <v>1006.5</v>
      </c>
      <c r="AG186" s="15" t="n">
        <f aca="false">(AG185)+AE186-AF186</f>
        <v>1006.5</v>
      </c>
      <c r="AH186" s="15" t="n">
        <f aca="false">(Motore_Operativo!CJ186)*(1+Parametri_v3!$C$27*Parametri_v3!$C$26)</f>
        <v>11360.0845833333</v>
      </c>
      <c r="AI186" s="15" t="n">
        <f aca="false">(IF(2-(INT((Ipotesi!$C$91)/30))&lt;1,0,INDEX(Motore_Startup!$AH$185:$AH$244,MAX(1,2-(INT((Ipotesi!$C$91)/30)))))*(1-(MOD((Ipotesi!$C$91),30)/30))+IF(2-(INT((Ipotesi!$C$91)/30))-1&lt;1,0,INDEX(Motore_Startup!$AH$185:$AH$244,MAX(1,2-(INT((Ipotesi!$C$91)/30))-1)))*(MOD((Ipotesi!$C$91),30)/30))</f>
        <v>0</v>
      </c>
      <c r="AJ186" s="15" t="n">
        <f aca="false">(AJ185)+AH186-AI186</f>
        <v>22720.1691666667</v>
      </c>
      <c r="AK186" s="15" t="n">
        <f aca="false">(F186+ Motore_Operativo!BH186-(Motore_Operativo!CJ186)*Parametri_v3!$C$27-Motore_Operativo!CE186)*Parametri_v3!$C$26</f>
        <v>-1158.08458333333</v>
      </c>
      <c r="AL186" s="15" t="n">
        <f aca="false">MAX(0,(AM185))</f>
        <v>0</v>
      </c>
      <c r="AM186" s="15" t="n">
        <f aca="false">(AM185)+AK186-AL186</f>
        <v>-2316.16916666667</v>
      </c>
      <c r="AN186" s="15" t="n">
        <f aca="false">0</f>
        <v>0</v>
      </c>
      <c r="AO186" s="15" t="n">
        <f aca="false">0</f>
        <v>0</v>
      </c>
      <c r="AP186" s="15" t="n">
        <f aca="false">MAX(0,AN186)*IF(2=Parametri_v3!$C$43,Parametri_v3!$C$45,IF(2=Parametri_v3!$C$44,1-Parametri_v3!$C$45,0))</f>
        <v>0</v>
      </c>
      <c r="AQ186" s="15" t="n">
        <f aca="false">MAX(0,AP186+IF(2=Parametri_v3!$C$43,MAX(0,AN186-AO186),0)-MAX(0,-(AR185)))</f>
        <v>0</v>
      </c>
      <c r="AR186" s="15" t="n">
        <f aca="false">(AR185)+X186-AQ186</f>
        <v>0</v>
      </c>
      <c r="AS186" s="15" t="n">
        <f aca="false">Motore_Operativo!AB186-AT186+AU186</f>
        <v>17020.8333333333</v>
      </c>
      <c r="AT186" s="15" t="n">
        <f aca="false">Motore_Operativo!CH186</f>
        <v>895.833333333334</v>
      </c>
      <c r="AU186" s="15" t="n">
        <f aca="false">MIN(MAX(0,(AV185)+AT186),Parametri_v3!$C$60/12)</f>
        <v>0</v>
      </c>
      <c r="AV186" s="15" t="n">
        <f aca="false">(AV185)+AT186-AU186</f>
        <v>1791.66666666667</v>
      </c>
      <c r="AW186" s="15" t="n">
        <f aca="false">IF(AND(Motore_Operativo!C186=Finanziamenti!$D$6,Finanziamenti!$F$6=1),Finanziamenti!$C$6,0)</f>
        <v>0</v>
      </c>
      <c r="AX186" s="15" t="n">
        <f aca="false">IF(AND(4&lt;&gt;7,4&lt;&gt;9,Finanziamenti!$F$8=1,OR(Parametri_v3!$C$6=0,Finanziamenti!$E$8=1),Motore_Operativo!C186=EDATE(Finanziamenti!$D$8,Ipotesi!F15*12)),Finanziamenti!$C$8*1,0)+IF(AND(4&lt;&gt;7,4&lt;&gt;9,Finanziamenti!$F$9=1,OR(Parametri_v3!$C$6=0,Finanziamenti!$E$9=1),Motore_Operativo!C186=EDATE(Finanziamenti!$D$9,Ipotesi!F15*12)),Finanziamenti!$C$9*Ipotesi!F16,0)</f>
        <v>0</v>
      </c>
      <c r="AY186" s="15" t="n">
        <f aca="false">0</f>
        <v>0</v>
      </c>
      <c r="AZ186" s="15" t="n">
        <f aca="false">Motore_Advisory!AY186*(1-Ipotesi!$C$95)*Ipotesi!$C$96</f>
        <v>0</v>
      </c>
      <c r="BA186" s="15" t="n">
        <f aca="false">MAX(0,MIN(CG186*MIN(1,IF(Motore_Operativo!C186&gt;=EDATE(Finanziamenti!$D$15,Ipotesi!F14*12),Finanziamenti!$C$15,0)+IF(Motore_Operativo!C186&gt;=EDATE(Finanziamenti!$D$16,Ipotesi!F14*12),Finanziamenti!$C$16,0)+IF(Motore_Operativo!C186&gt;=EDATE(Finanziamenti!$D$17,Ipotesi!F14*12),Finanziamenti!$C$17,0)),CA186*Ipotesi!$C$102)-(CC185))</f>
        <v>0</v>
      </c>
      <c r="BB186" s="15" t="n">
        <f aca="false">IF(AND(CF186&gt;0,Motore_Operativo!C186&gt;=IF(CF186=0,0,EDATE(CF186,Parametri_v3!$C$37)),MOD(((D186-YEAR(IF(CF186=0,0,EDATE(CF186,Parametri_v3!$C$37))))*12+E186-MONTH(IF(CF186=0,0,EDATE(CF186,Parametri_v3!$C$37)))),Parametri_v3!$C$38)=0),MIN(MAX(0,(BC185)+BA186-N186),(CC186-CD186)/(Ipotesi!$C$108*12/Parametri_v3!$C$38)),0)</f>
        <v>0</v>
      </c>
      <c r="BC186" s="15" t="n">
        <f aca="false">(BC185)+BA186-N186-BB186</f>
        <v>0</v>
      </c>
      <c r="BD186" s="15" t="n">
        <f aca="false">(BH185)+AC186+AF186-AI186-AS186-K186*(1+Parametri_v3!$C$26)-AL186-AQ186-O186+AW186+AX186+AZ186+BA186-BB186</f>
        <v>92898.1666666667</v>
      </c>
      <c r="BE186" s="15" t="n">
        <f aca="false">MAX(0,MIN(MAX(0,CH186-(BG185)),Parametri_v3!$C$30-BD186))</f>
        <v>0</v>
      </c>
      <c r="BF186" s="15" t="n">
        <f aca="false">IF(Motore_Operativo!C186&gt;=Parametri_v3!$C$63,(BG185),MIN((BG185),MAX(0,BD186-Parametri_v3!$C$30)))</f>
        <v>0</v>
      </c>
      <c r="BG186" s="15" t="n">
        <f aca="false">(BG185)+BE186-BF186</f>
        <v>0</v>
      </c>
      <c r="BH186" s="15" t="n">
        <f aca="false">BD186+BE186-BF186-AY186</f>
        <v>92898.1666666667</v>
      </c>
      <c r="BI186" s="15" t="n">
        <f aca="false">MAX(0,Parametri_v3!$C$30-BH186)</f>
        <v>0</v>
      </c>
      <c r="BJ186" s="15" t="n">
        <f aca="false">(BJ185)+K186</f>
        <v>3333.33333333333</v>
      </c>
      <c r="BK186" s="15" t="n">
        <f aca="false">(BK185)+L186</f>
        <v>138.888888888889</v>
      </c>
      <c r="BL186" s="15" t="n">
        <f aca="false">BJ186-BK186</f>
        <v>3194.44444444445</v>
      </c>
      <c r="BM186" s="15" t="n">
        <f aca="false">(BM185)+Y186</f>
        <v>-46038.0555555556</v>
      </c>
      <c r="BN186" s="15" t="n">
        <f aca="false">(BN185)+AW186+AX186+AZ186</f>
        <v>130000</v>
      </c>
      <c r="BO186" s="15" t="n">
        <f aca="false">(BO185)+AY186</f>
        <v>0</v>
      </c>
      <c r="BP186" s="15" t="n">
        <f aca="false">0</f>
        <v>0</v>
      </c>
      <c r="BQ186" s="15" t="n">
        <f aca="false">BN186+BM186-BO186</f>
        <v>83961.9444444445</v>
      </c>
      <c r="BR186" s="15" t="n">
        <f aca="false">BH186+AD186+BL186+MAX(0,-AM186)+MAX(0,-AR186)+AG186</f>
        <v>108473.780277778</v>
      </c>
      <c r="BS186" s="15" t="n">
        <f aca="false">AJ186+AV186+MAX(0,AM186)+MAX(0,AR186)+BC186+BG186+BQ186</f>
        <v>108473.780277778</v>
      </c>
      <c r="BT186" s="15" t="n">
        <f aca="false">BR186-BS186</f>
        <v>0</v>
      </c>
      <c r="BU186" s="15" t="n">
        <f aca="false">BH186-(BD186+BE186-BF186-AY186)</f>
        <v>0</v>
      </c>
      <c r="BV186" s="15" t="n">
        <f aca="false">MIN(Piano_SS!$C$6,(BV185)+IF(AND(Motore_Operativo!C186&gt;=EDATE(Parametri_v3!$C$24,Ipotesi!F14*12),Motore_Operativo!C186&lt;EDATE(Parametri_v3!$C$24,Parametri_v3!$C$25+Ipotesi!F14*12)),MAX(0,(Motore_Operativo!Y186+Motore_Operativo!X186*Parametri_v3!$C$14)*(1-Parametri_v3!$C$32))*Piano_SS!$D$6,0))</f>
        <v>0</v>
      </c>
      <c r="BW186" s="15" t="n">
        <f aca="false">MIN(Piano_SS!$C$7,(BW185)+IF(AND(Motore_Operativo!C186&gt;=EDATE(Parametri_v3!$C$24,Ipotesi!F14*12),Motore_Operativo!C186&lt;EDATE(Parametri_v3!$C$24,Parametri_v3!$C$25+Ipotesi!F14*12)),MAX(0,(IF(2-(INT((Ipotesi!$C$91)/30))&lt;1,0,INDEX(Motore_Operativo!$BN$185:$BN$244,MAX(1,2-(INT((Ipotesi!$C$91)/30)))))*(1-(MOD((Ipotesi!$C$91),30)/30))+IF(2-(INT((Ipotesi!$C$91)/30))-1&lt;1,0,INDEX(Motore_Operativo!$BN$185:$BN$244,MAX(1,2-(INT((Ipotesi!$C$91)/30))-1)))*(MOD((Ipotesi!$C$91),30)/30)))*Piano_SS!$D$7,0))</f>
        <v>0</v>
      </c>
      <c r="BX186" s="15" t="n">
        <f aca="false">MIN(Piano_SS!$C$8,(BX185)+IF(AND(Motore_Operativo!C186&gt;=EDATE(Parametri_v3!$C$24,Ipotesi!F14*12),Motore_Operativo!C186&lt;EDATE(Parametri_v3!$C$24,Parametri_v3!$C$25+Ipotesi!F14*12)),MAX(0,Motore_Operativo!CE186)*Piano_SS!$D$8,0))</f>
        <v>0</v>
      </c>
      <c r="BY186" s="15" t="n">
        <f aca="false">MIN(Piano_SS!$C$9,(BY185)+IF(AND(Motore_Operativo!C186&gt;=EDATE(Parametri_v3!$C$24,Ipotesi!F14*12),Motore_Operativo!C186&lt;EDATE(Parametri_v3!$C$24,Parametri_v3!$C$25+Ipotesi!F14*12)),MAX(0,((IF(2-(INT((Ipotesi!$C$91)/30))&lt;1,0,INDEX(Motore_Operativo!$BQ$185:$BQ$244,MAX(1,2-(INT((Ipotesi!$C$91)/30)))))*(1-(MOD((Ipotesi!$C$91),30)/30))+IF(2-(INT((Ipotesi!$C$91)/30))-1&lt;1,0,INDEX(Motore_Operativo!$BQ$185:$BQ$244,MAX(1,2-(INT((Ipotesi!$C$91)/30))-1)))*(MOD((Ipotesi!$C$91),30)/30))+(IF(2-(INT((Ipotesi!$C$91)/30))&lt;1,0,INDEX(Motore_Operativo!$BR$185:$BR$244,MAX(1,2-(INT((Ipotesi!$C$91)/30)))))*(1-(MOD((Ipotesi!$C$91),30)/30))+IF(2-(INT((Ipotesi!$C$91)/30))-1&lt;1,0,INDEX(Motore_Operativo!$BR$185:$BR$244,MAX(1,2-(INT((Ipotesi!$C$91)/30))-1)))*(MOD((Ipotesi!$C$91),30)/30))))*Piano_SS!$D$9,0))</f>
        <v>0</v>
      </c>
      <c r="BZ186" s="15" t="n">
        <f aca="false">MIN(Piano_SS!$C$10,(BZ185)+IF(AND(Motore_Operativo!C186&gt;=EDATE(Parametri_v3!$C$24,Ipotesi!F14*12),Motore_Operativo!C186&lt;EDATE(Parametri_v3!$C$24,Parametri_v3!$C$25+Ipotesi!F14*12)),MAX(0,(IF(2-(INT((Ipotesi!$C$91)/30))&lt;1,0,INDEX(Motore_Operativo!$BO$185:$BO$244,MAX(1,2-(INT((Ipotesi!$C$91)/30)))))*(1-(MOD((Ipotesi!$C$91),30)/30))+IF(2-(INT((Ipotesi!$C$91)/30))-1&lt;1,0,INDEX(Motore_Operativo!$BO$185:$BO$244,MAX(1,2-(INT((Ipotesi!$C$91)/30))-1)))*(MOD((Ipotesi!$C$91),30)/30)))*Piano_SS!$D$10,0))</f>
        <v>0</v>
      </c>
      <c r="CA186" s="15" t="n">
        <f aca="false">SUM(BV186:BZ186)</f>
        <v>0</v>
      </c>
      <c r="CB186" s="15" t="n">
        <f aca="false">BV186*(1-Piano_SS!$E$6)+BW186*(1-Piano_SS!$E$7)+BX186*(1-Piano_SS!$E$8)+BY186*(1-Piano_SS!$E$9)+BZ186*(1-Piano_SS!$E$10)</f>
        <v>0</v>
      </c>
      <c r="CC186" s="15" t="n">
        <f aca="false">(CC185)+BA186</f>
        <v>0</v>
      </c>
      <c r="CD186" s="15" t="n">
        <f aca="false">IF(CA186=0,0,CC186*CB186/CA186*Ipotesi!$C$103*Parametri_v3!$C$64)</f>
        <v>0</v>
      </c>
      <c r="CE186" s="18" t="n">
        <f aca="false">IF(BA186&gt;0,Motore_Operativo!C186,(CE185))</f>
        <v>0</v>
      </c>
      <c r="CF186" s="18" t="n">
        <f aca="false">IF(AND(CC186&gt;0,OR(CC186&gt;=CG186-0.01,Motore_Operativo!C186&gt;=EDATE(MAX(Finanziamenti!$D$15:$D$17),Ipotesi!F14*12))),CE186,0)</f>
        <v>0</v>
      </c>
      <c r="CG186" s="15" t="n">
        <f aca="false">IF(AND(4&lt;&gt;6,4&lt;&gt;9,Finanziamenti!$F$11=1,OR(Parametri_v3!$C$6=0,Finanziamenti!$E$11=1)),MIN(Finanziamenti!$C$11,Piano_SS!$C$12*Ipotesi!$C$102),0)</f>
        <v>400000</v>
      </c>
      <c r="CH186" s="15" t="n">
        <f aca="false">IF(AND(AND(4&lt;&gt;8,4&lt;&gt;9,Finanziamenti!$F$10=1,OR(Parametri_v3!$C$6=0,Finanziamenti!$E$10=1)),Motore_Operativo!C186&gt;=Finanziamenti!$D$10,Motore_Operativo!C186&lt;Parametri_v3!$C$63),Finanziamenti!$C$10,0)</f>
        <v>150000</v>
      </c>
    </row>
    <row r="187" customFormat="false" ht="18" hidden="false" customHeight="true" outlineLevel="0" collapsed="false">
      <c r="A187" s="68" t="n">
        <f aca="false">4</f>
        <v>4</v>
      </c>
      <c r="B187" s="68" t="n">
        <f aca="false">3</f>
        <v>3</v>
      </c>
      <c r="C187" s="18" t="n">
        <f aca="false">Motore_Operativo!C187</f>
        <v>46447</v>
      </c>
      <c r="D187" s="68" t="n">
        <f aca="false">Motore_Operativo!D187</f>
        <v>2027</v>
      </c>
      <c r="E187" s="68" t="n">
        <f aca="false">Motore_Operativo!E187</f>
        <v>3</v>
      </c>
      <c r="F187" s="15" t="n">
        <f aca="false">Motore_Operativo!AQ187+Motore_Operativo!BF187</f>
        <v>3712.5</v>
      </c>
      <c r="G187" s="15" t="n">
        <f aca="false">Motore_Operativo!BH187</f>
        <v>825</v>
      </c>
      <c r="H187" s="15" t="n">
        <f aca="false">Motore_Operativo!BI187</f>
        <v>4537.5</v>
      </c>
      <c r="I187" s="15" t="n">
        <f aca="false">Motore_Operativo!CA187</f>
        <v>27487.0833333333</v>
      </c>
      <c r="J187" s="15" t="n">
        <f aca="false">Motore_Operativo!CC187</f>
        <v>-22949.5833333333</v>
      </c>
      <c r="K187" s="15" t="n">
        <f aca="false">Motore_Operativo!CE187</f>
        <v>1666.66666666667</v>
      </c>
      <c r="L187" s="15" t="n">
        <f aca="false">SUM(INDEX($K$185:$K$244,MAX(1,3-Parametri_v3!$C$59+1)):K187)/Parametri_v3!$C$59</f>
        <v>138.888888888889</v>
      </c>
      <c r="M187" s="15" t="n">
        <f aca="false">J187-L187</f>
        <v>-23088.4722222222</v>
      </c>
      <c r="N187" s="15" t="n">
        <f aca="false">CD187-(CD186)</f>
        <v>0</v>
      </c>
      <c r="O187" s="15" t="n">
        <f aca="false">(BG186)*Ipotesi!$C$110/12+CH187*Parametri_v3!$C$39/12</f>
        <v>0</v>
      </c>
      <c r="P187" s="15" t="n">
        <f aca="false">M187+N187-O187</f>
        <v>-23088.4722222222</v>
      </c>
      <c r="Q187" s="15" t="n">
        <f aca="false">SUM(P185:P187)+Parametri_v3!$C$54*3/12</f>
        <v>-69126.5277777778</v>
      </c>
      <c r="R187" s="15" t="n">
        <f aca="false">0</f>
        <v>0</v>
      </c>
      <c r="S187" s="15" t="n">
        <f aca="false">0</f>
        <v>0</v>
      </c>
      <c r="T187" s="15" t="n">
        <f aca="false">MIN(R187,MAX(0,Q187))</f>
        <v>0</v>
      </c>
      <c r="U187" s="15" t="n">
        <f aca="false">MIN(S187,MAX(0,Q187-T187)*Parametri_v3!$C$42)</f>
        <v>0</v>
      </c>
      <c r="V187" s="15" t="n">
        <f aca="false">MAX(0,Q187-T187-U187)*Ipotesi!$C$92</f>
        <v>0</v>
      </c>
      <c r="W187" s="15" t="n">
        <f aca="false">MAX(0,SUM(M185:M187)+Parametri_v3!$C$55*3/12)*Ipotesi!$C$93</f>
        <v>0</v>
      </c>
      <c r="X187" s="15" t="n">
        <f aca="false">V187+W187-(V186+W186)</f>
        <v>0</v>
      </c>
      <c r="Y187" s="15" t="n">
        <f aca="false">P187-X187</f>
        <v>-23088.4722222222</v>
      </c>
      <c r="Z187" s="15" t="n">
        <f aca="false">R187-T187+IF(AND(Parametri_v3!$C$40=1,D187-YEAR(Parametri_v3!$C$50)&lt;Parametri_v3!$C$41),MAX(0,-Q187),0)</f>
        <v>69126.5277777778</v>
      </c>
      <c r="AA187" s="15" t="n">
        <f aca="false">S187-U187+IF(AND(Parametri_v3!$C$40=1,D187-YEAR(Parametri_v3!$C$50)&lt;Parametri_v3!$C$41),0,MAX(0,-Q187))</f>
        <v>0</v>
      </c>
      <c r="AB187" s="15" t="n">
        <f aca="false">F187*(1+Parametri_v3!$C$26)</f>
        <v>4529.25</v>
      </c>
      <c r="AC187" s="15" t="n">
        <f aca="false">(IF(3-(INT((Motore_Operativo!L187)/30))&lt;1,0,INDEX(Motore_Startup!$AB$185:$AB$244,MAX(1,3-(INT((Motore_Operativo!L187)/30)))))*(1-(MOD((Motore_Operativo!L187),30)/30))+IF(3-(INT((Motore_Operativo!L187)/30))-1&lt;1,0,INDEX(Motore_Startup!$AB$185:$AB$244,MAX(1,3-(INT((Motore_Operativo!L187)/30))-1)))*(MOD((Motore_Operativo!L187),30)/30))</f>
        <v>0</v>
      </c>
      <c r="AD187" s="15" t="n">
        <f aca="false">(AD186)+AB187-AC187</f>
        <v>13587.75</v>
      </c>
      <c r="AE187" s="15" t="n">
        <f aca="false">Motore_Operativo!BH187*(1+Parametri_v3!$C$26)</f>
        <v>1006.5</v>
      </c>
      <c r="AF187" s="15" t="n">
        <f aca="false">(IF(3-(INT((Parametri_v3!$C$29)/30))&lt;1,0,INDEX(Motore_Operativo!$BH$185:$BH$244,MAX(1,3-(INT((Parametri_v3!$C$29)/30)))))*(1-(MOD((Parametri_v3!$C$29),30)/30))+IF(3-(INT((Parametri_v3!$C$29)/30))-1&lt;1,0,INDEX(Motore_Operativo!$BH$185:$BH$244,MAX(1,3-(INT((Parametri_v3!$C$29)/30))-1)))*(MOD((Parametri_v3!$C$29),30)/30))*(1+Parametri_v3!$C$26)</f>
        <v>1006.5</v>
      </c>
      <c r="AG187" s="15" t="n">
        <f aca="false">(AG186)+AE187-AF187</f>
        <v>1006.5</v>
      </c>
      <c r="AH187" s="15" t="n">
        <f aca="false">(Motore_Operativo!CJ187)*(1+Parametri_v3!$C$27*Parametri_v3!$C$26)</f>
        <v>11360.0845833333</v>
      </c>
      <c r="AI187" s="15" t="n">
        <f aca="false">(IF(3-(INT((Ipotesi!$C$91)/30))&lt;1,0,INDEX(Motore_Startup!$AH$185:$AH$244,MAX(1,3-(INT((Ipotesi!$C$91)/30)))))*(1-(MOD((Ipotesi!$C$91),30)/30))+IF(3-(INT((Ipotesi!$C$91)/30))-1&lt;1,0,INDEX(Motore_Startup!$AH$185:$AH$244,MAX(1,3-(INT((Ipotesi!$C$91)/30))-1)))*(MOD((Ipotesi!$C$91),30)/30))</f>
        <v>11360.0845833333</v>
      </c>
      <c r="AJ187" s="15" t="n">
        <f aca="false">(AJ186)+AH187-AI187</f>
        <v>22720.1691666667</v>
      </c>
      <c r="AK187" s="15" t="n">
        <f aca="false">(F187+ Motore_Operativo!BH187-(Motore_Operativo!CJ187)*Parametri_v3!$C$27-Motore_Operativo!CE187)*Parametri_v3!$C$26</f>
        <v>-1158.08458333333</v>
      </c>
      <c r="AL187" s="15" t="n">
        <f aca="false">MAX(0,(AM186))</f>
        <v>0</v>
      </c>
      <c r="AM187" s="15" t="n">
        <f aca="false">(AM186)+AK187-AL187</f>
        <v>-3474.25375</v>
      </c>
      <c r="AN187" s="15" t="n">
        <f aca="false">0</f>
        <v>0</v>
      </c>
      <c r="AO187" s="15" t="n">
        <f aca="false">0</f>
        <v>0</v>
      </c>
      <c r="AP187" s="15" t="n">
        <f aca="false">MAX(0,AN187)*IF(3=Parametri_v3!$C$43,Parametri_v3!$C$45,IF(3=Parametri_v3!$C$44,1-Parametri_v3!$C$45,0))</f>
        <v>0</v>
      </c>
      <c r="AQ187" s="15" t="n">
        <f aca="false">MAX(0,AP187+IF(3=Parametri_v3!$C$43,MAX(0,AN187-AO187),0)-MAX(0,-(AR186)))</f>
        <v>0</v>
      </c>
      <c r="AR187" s="15" t="n">
        <f aca="false">(AR186)+X187-AQ187</f>
        <v>0</v>
      </c>
      <c r="AS187" s="15" t="n">
        <f aca="false">Motore_Operativo!AB187-AT187+AU187</f>
        <v>17020.8333333333</v>
      </c>
      <c r="AT187" s="15" t="n">
        <f aca="false">Motore_Operativo!CH187</f>
        <v>895.833333333334</v>
      </c>
      <c r="AU187" s="15" t="n">
        <f aca="false">MIN(MAX(0,(AV186)+AT187),Parametri_v3!$C$60/12)</f>
        <v>0</v>
      </c>
      <c r="AV187" s="15" t="n">
        <f aca="false">(AV186)+AT187-AU187</f>
        <v>2687.5</v>
      </c>
      <c r="AW187" s="15" t="n">
        <f aca="false">IF(AND(Motore_Operativo!C187=Finanziamenti!$D$6,Finanziamenti!$F$6=1),Finanziamenti!$C$6,0)</f>
        <v>0</v>
      </c>
      <c r="AX187" s="15" t="n">
        <f aca="false">IF(AND(4&lt;&gt;7,4&lt;&gt;9,Finanziamenti!$F$8=1,OR(Parametri_v3!$C$6=0,Finanziamenti!$E$8=1),Motore_Operativo!C187=EDATE(Finanziamenti!$D$8,Ipotesi!F15*12)),Finanziamenti!$C$8*1,0)+IF(AND(4&lt;&gt;7,4&lt;&gt;9,Finanziamenti!$F$9=1,OR(Parametri_v3!$C$6=0,Finanziamenti!$E$9=1),Motore_Operativo!C187=EDATE(Finanziamenti!$D$9,Ipotesi!F15*12)),Finanziamenti!$C$9*Ipotesi!F16,0)</f>
        <v>0</v>
      </c>
      <c r="AY187" s="15" t="n">
        <f aca="false">0</f>
        <v>0</v>
      </c>
      <c r="AZ187" s="15" t="n">
        <f aca="false">Motore_Advisory!AY187*(1-Ipotesi!$C$95)*Ipotesi!$C$96</f>
        <v>0</v>
      </c>
      <c r="BA187" s="15" t="n">
        <f aca="false">MAX(0,MIN(CG187*MIN(1,IF(Motore_Operativo!C187&gt;=EDATE(Finanziamenti!$D$15,Ipotesi!F14*12),Finanziamenti!$C$15,0)+IF(Motore_Operativo!C187&gt;=EDATE(Finanziamenti!$D$16,Ipotesi!F14*12),Finanziamenti!$C$16,0)+IF(Motore_Operativo!C187&gt;=EDATE(Finanziamenti!$D$17,Ipotesi!F14*12),Finanziamenti!$C$17,0)),CA187*Ipotesi!$C$102)-(CC186))</f>
        <v>0</v>
      </c>
      <c r="BB187" s="15" t="n">
        <f aca="false">IF(AND(CF187&gt;0,Motore_Operativo!C187&gt;=IF(CF187=0,0,EDATE(CF187,Parametri_v3!$C$37)),MOD(((D187-YEAR(IF(CF187=0,0,EDATE(CF187,Parametri_v3!$C$37))))*12+E187-MONTH(IF(CF187=0,0,EDATE(CF187,Parametri_v3!$C$37)))),Parametri_v3!$C$38)=0),MIN(MAX(0,(BC186)+BA187-N187),(CC187-CD187)/(Ipotesi!$C$108*12/Parametri_v3!$C$38)),0)</f>
        <v>0</v>
      </c>
      <c r="BC187" s="15" t="n">
        <f aca="false">(BC186)+BA187-N187-BB187</f>
        <v>0</v>
      </c>
      <c r="BD187" s="15" t="n">
        <f aca="false">(BH186)+AC187+AF187-AI187-AS187-K187*(1+Parametri_v3!$C$26)-AL187-AQ187-O187+AW187+AX187+AZ187+BA187-BB187</f>
        <v>63490.4154166667</v>
      </c>
      <c r="BE187" s="15" t="n">
        <f aca="false">MAX(0,MIN(MAX(0,CH187-(BG186)),Parametri_v3!$C$30-BD187))</f>
        <v>0</v>
      </c>
      <c r="BF187" s="15" t="n">
        <f aca="false">IF(Motore_Operativo!C187&gt;=Parametri_v3!$C$63,(BG186),MIN((BG186),MAX(0,BD187-Parametri_v3!$C$30)))</f>
        <v>0</v>
      </c>
      <c r="BG187" s="15" t="n">
        <f aca="false">(BG186)+BE187-BF187</f>
        <v>0</v>
      </c>
      <c r="BH187" s="15" t="n">
        <f aca="false">BD187+BE187-BF187-AY187</f>
        <v>63490.4154166667</v>
      </c>
      <c r="BI187" s="15" t="n">
        <f aca="false">MAX(0,Parametri_v3!$C$30-BH187)</f>
        <v>0</v>
      </c>
      <c r="BJ187" s="15" t="n">
        <f aca="false">(BJ186)+K187</f>
        <v>5000</v>
      </c>
      <c r="BK187" s="15" t="n">
        <f aca="false">(BK186)+L187</f>
        <v>277.777777777778</v>
      </c>
      <c r="BL187" s="15" t="n">
        <f aca="false">BJ187-BK187</f>
        <v>4722.22222222222</v>
      </c>
      <c r="BM187" s="15" t="n">
        <f aca="false">(BM186)+Y187</f>
        <v>-69126.5277777778</v>
      </c>
      <c r="BN187" s="15" t="n">
        <f aca="false">(BN186)+AW187+AX187+AZ187</f>
        <v>130000</v>
      </c>
      <c r="BO187" s="15" t="n">
        <f aca="false">(BO186)+AY187</f>
        <v>0</v>
      </c>
      <c r="BP187" s="15" t="n">
        <f aca="false">0</f>
        <v>0</v>
      </c>
      <c r="BQ187" s="15" t="n">
        <f aca="false">BN187+BM187-BO187</f>
        <v>60873.4722222222</v>
      </c>
      <c r="BR187" s="15" t="n">
        <f aca="false">BH187+AD187+BL187+MAX(0,-AM187)+MAX(0,-AR187)+AG187</f>
        <v>86281.1413888889</v>
      </c>
      <c r="BS187" s="15" t="n">
        <f aca="false">AJ187+AV187+MAX(0,AM187)+MAX(0,AR187)+BC187+BG187+BQ187</f>
        <v>86281.1413888889</v>
      </c>
      <c r="BT187" s="15" t="n">
        <f aca="false">BR187-BS187</f>
        <v>0</v>
      </c>
      <c r="BU187" s="15" t="n">
        <f aca="false">BH187-(BD187+BE187-BF187-AY187)</f>
        <v>0</v>
      </c>
      <c r="BV187" s="15" t="n">
        <f aca="false">MIN(Piano_SS!$C$6,(BV186)+IF(AND(Motore_Operativo!C187&gt;=EDATE(Parametri_v3!$C$24,Ipotesi!F14*12),Motore_Operativo!C187&lt;EDATE(Parametri_v3!$C$24,Parametri_v3!$C$25+Ipotesi!F14*12)),MAX(0,(Motore_Operativo!Y187+Motore_Operativo!X187*Parametri_v3!$C$14)*(1-Parametri_v3!$C$32))*Piano_SS!$D$6,0))</f>
        <v>0</v>
      </c>
      <c r="BW187" s="15" t="n">
        <f aca="false">MIN(Piano_SS!$C$7,(BW186)+IF(AND(Motore_Operativo!C187&gt;=EDATE(Parametri_v3!$C$24,Ipotesi!F14*12),Motore_Operativo!C187&lt;EDATE(Parametri_v3!$C$24,Parametri_v3!$C$25+Ipotesi!F14*12)),MAX(0,(IF(3-(INT((Ipotesi!$C$91)/30))&lt;1,0,INDEX(Motore_Operativo!$BN$185:$BN$244,MAX(1,3-(INT((Ipotesi!$C$91)/30)))))*(1-(MOD((Ipotesi!$C$91),30)/30))+IF(3-(INT((Ipotesi!$C$91)/30))-1&lt;1,0,INDEX(Motore_Operativo!$BN$185:$BN$244,MAX(1,3-(INT((Ipotesi!$C$91)/30))-1)))*(MOD((Ipotesi!$C$91),30)/30)))*Piano_SS!$D$7,0))</f>
        <v>0</v>
      </c>
      <c r="BX187" s="15" t="n">
        <f aca="false">MIN(Piano_SS!$C$8,(BX186)+IF(AND(Motore_Operativo!C187&gt;=EDATE(Parametri_v3!$C$24,Ipotesi!F14*12),Motore_Operativo!C187&lt;EDATE(Parametri_v3!$C$24,Parametri_v3!$C$25+Ipotesi!F14*12)),MAX(0,Motore_Operativo!CE187)*Piano_SS!$D$8,0))</f>
        <v>0</v>
      </c>
      <c r="BY187" s="15" t="n">
        <f aca="false">MIN(Piano_SS!$C$9,(BY186)+IF(AND(Motore_Operativo!C187&gt;=EDATE(Parametri_v3!$C$24,Ipotesi!F14*12),Motore_Operativo!C187&lt;EDATE(Parametri_v3!$C$24,Parametri_v3!$C$25+Ipotesi!F14*12)),MAX(0,((IF(3-(INT((Ipotesi!$C$91)/30))&lt;1,0,INDEX(Motore_Operativo!$BQ$185:$BQ$244,MAX(1,3-(INT((Ipotesi!$C$91)/30)))))*(1-(MOD((Ipotesi!$C$91),30)/30))+IF(3-(INT((Ipotesi!$C$91)/30))-1&lt;1,0,INDEX(Motore_Operativo!$BQ$185:$BQ$244,MAX(1,3-(INT((Ipotesi!$C$91)/30))-1)))*(MOD((Ipotesi!$C$91),30)/30))+(IF(3-(INT((Ipotesi!$C$91)/30))&lt;1,0,INDEX(Motore_Operativo!$BR$185:$BR$244,MAX(1,3-(INT((Ipotesi!$C$91)/30)))))*(1-(MOD((Ipotesi!$C$91),30)/30))+IF(3-(INT((Ipotesi!$C$91)/30))-1&lt;1,0,INDEX(Motore_Operativo!$BR$185:$BR$244,MAX(1,3-(INT((Ipotesi!$C$91)/30))-1)))*(MOD((Ipotesi!$C$91),30)/30))))*Piano_SS!$D$9,0))</f>
        <v>0</v>
      </c>
      <c r="BZ187" s="15" t="n">
        <f aca="false">MIN(Piano_SS!$C$10,(BZ186)+IF(AND(Motore_Operativo!C187&gt;=EDATE(Parametri_v3!$C$24,Ipotesi!F14*12),Motore_Operativo!C187&lt;EDATE(Parametri_v3!$C$24,Parametri_v3!$C$25+Ipotesi!F14*12)),MAX(0,(IF(3-(INT((Ipotesi!$C$91)/30))&lt;1,0,INDEX(Motore_Operativo!$BO$185:$BO$244,MAX(1,3-(INT((Ipotesi!$C$91)/30)))))*(1-(MOD((Ipotesi!$C$91),30)/30))+IF(3-(INT((Ipotesi!$C$91)/30))-1&lt;1,0,INDEX(Motore_Operativo!$BO$185:$BO$244,MAX(1,3-(INT((Ipotesi!$C$91)/30))-1)))*(MOD((Ipotesi!$C$91),30)/30)))*Piano_SS!$D$10,0))</f>
        <v>0</v>
      </c>
      <c r="CA187" s="15" t="n">
        <f aca="false">SUM(BV187:BZ187)</f>
        <v>0</v>
      </c>
      <c r="CB187" s="15" t="n">
        <f aca="false">BV187*(1-Piano_SS!$E$6)+BW187*(1-Piano_SS!$E$7)+BX187*(1-Piano_SS!$E$8)+BY187*(1-Piano_SS!$E$9)+BZ187*(1-Piano_SS!$E$10)</f>
        <v>0</v>
      </c>
      <c r="CC187" s="15" t="n">
        <f aca="false">(CC186)+BA187</f>
        <v>0</v>
      </c>
      <c r="CD187" s="15" t="n">
        <f aca="false">IF(CA187=0,0,CC187*CB187/CA187*Ipotesi!$C$103*Parametri_v3!$C$64)</f>
        <v>0</v>
      </c>
      <c r="CE187" s="18" t="n">
        <f aca="false">IF(BA187&gt;0,Motore_Operativo!C187,(CE186))</f>
        <v>0</v>
      </c>
      <c r="CF187" s="18" t="n">
        <f aca="false">IF(AND(CC187&gt;0,OR(CC187&gt;=CG187-0.01,Motore_Operativo!C187&gt;=EDATE(MAX(Finanziamenti!$D$15:$D$17),Ipotesi!F14*12))),CE187,0)</f>
        <v>0</v>
      </c>
      <c r="CG187" s="15" t="n">
        <f aca="false">IF(AND(4&lt;&gt;6,4&lt;&gt;9,Finanziamenti!$F$11=1,OR(Parametri_v3!$C$6=0,Finanziamenti!$E$11=1)),MIN(Finanziamenti!$C$11,Piano_SS!$C$12*Ipotesi!$C$102),0)</f>
        <v>400000</v>
      </c>
      <c r="CH187" s="15" t="n">
        <f aca="false">IF(AND(AND(4&lt;&gt;8,4&lt;&gt;9,Finanziamenti!$F$10=1,OR(Parametri_v3!$C$6=0,Finanziamenti!$E$10=1)),Motore_Operativo!C187&gt;=Finanziamenti!$D$10,Motore_Operativo!C187&lt;Parametri_v3!$C$63),Finanziamenti!$C$10,0)</f>
        <v>150000</v>
      </c>
    </row>
    <row r="188" customFormat="false" ht="18" hidden="false" customHeight="true" outlineLevel="0" collapsed="false">
      <c r="A188" s="68" t="n">
        <f aca="false">4</f>
        <v>4</v>
      </c>
      <c r="B188" s="68" t="n">
        <f aca="false">4</f>
        <v>4</v>
      </c>
      <c r="C188" s="18" t="n">
        <f aca="false">Motore_Operativo!C188</f>
        <v>46478</v>
      </c>
      <c r="D188" s="68" t="n">
        <f aca="false">Motore_Operativo!D188</f>
        <v>2027</v>
      </c>
      <c r="E188" s="68" t="n">
        <f aca="false">Motore_Operativo!E188</f>
        <v>4</v>
      </c>
      <c r="F188" s="15" t="n">
        <f aca="false">Motore_Operativo!AQ188+Motore_Operativo!BF188</f>
        <v>3729.16666666667</v>
      </c>
      <c r="G188" s="15" t="n">
        <f aca="false">Motore_Operativo!BH188</f>
        <v>825</v>
      </c>
      <c r="H188" s="15" t="n">
        <f aca="false">Motore_Operativo!BI188</f>
        <v>4554.16666666667</v>
      </c>
      <c r="I188" s="15" t="n">
        <f aca="false">Motore_Operativo!CA188</f>
        <v>27489.4166666667</v>
      </c>
      <c r="J188" s="15" t="n">
        <f aca="false">Motore_Operativo!CC188</f>
        <v>-22935.25</v>
      </c>
      <c r="K188" s="15" t="n">
        <f aca="false">Motore_Operativo!CE188</f>
        <v>1666.66666666667</v>
      </c>
      <c r="L188" s="15" t="n">
        <f aca="false">SUM(INDEX($K$185:$K$244,MAX(1,4-Parametri_v3!$C$59+1)):K188)/Parametri_v3!$C$59</f>
        <v>185.185185185185</v>
      </c>
      <c r="M188" s="15" t="n">
        <f aca="false">J188-L188</f>
        <v>-23120.4351851852</v>
      </c>
      <c r="N188" s="15" t="n">
        <f aca="false">CD188-(CD187)</f>
        <v>0</v>
      </c>
      <c r="O188" s="15" t="n">
        <f aca="false">(BG187)*Ipotesi!$C$110/12+CH188*Parametri_v3!$C$39/12</f>
        <v>0</v>
      </c>
      <c r="P188" s="15" t="n">
        <f aca="false">M188+N188-O188</f>
        <v>-23120.4351851852</v>
      </c>
      <c r="Q188" s="15" t="n">
        <f aca="false">SUM(P185:P188)+Parametri_v3!$C$54*4/12</f>
        <v>-92246.962962963</v>
      </c>
      <c r="R188" s="15" t="n">
        <f aca="false">0</f>
        <v>0</v>
      </c>
      <c r="S188" s="15" t="n">
        <f aca="false">0</f>
        <v>0</v>
      </c>
      <c r="T188" s="15" t="n">
        <f aca="false">MIN(R188,MAX(0,Q188))</f>
        <v>0</v>
      </c>
      <c r="U188" s="15" t="n">
        <f aca="false">MIN(S188,MAX(0,Q188-T188)*Parametri_v3!$C$42)</f>
        <v>0</v>
      </c>
      <c r="V188" s="15" t="n">
        <f aca="false">MAX(0,Q188-T188-U188)*Ipotesi!$C$92</f>
        <v>0</v>
      </c>
      <c r="W188" s="15" t="n">
        <f aca="false">MAX(0,SUM(M185:M188)+Parametri_v3!$C$55*4/12)*Ipotesi!$C$93</f>
        <v>0</v>
      </c>
      <c r="X188" s="15" t="n">
        <f aca="false">V188+W188-(V187+W187)</f>
        <v>0</v>
      </c>
      <c r="Y188" s="15" t="n">
        <f aca="false">P188-X188</f>
        <v>-23120.4351851852</v>
      </c>
      <c r="Z188" s="15" t="n">
        <f aca="false">R188-T188+IF(AND(Parametri_v3!$C$40=1,D188-YEAR(Parametri_v3!$C$50)&lt;Parametri_v3!$C$41),MAX(0,-Q188),0)</f>
        <v>92246.962962963</v>
      </c>
      <c r="AA188" s="15" t="n">
        <f aca="false">S188-U188+IF(AND(Parametri_v3!$C$40=1,D188-YEAR(Parametri_v3!$C$50)&lt;Parametri_v3!$C$41),0,MAX(0,-Q188))</f>
        <v>0</v>
      </c>
      <c r="AB188" s="15" t="n">
        <f aca="false">F188*(1+Parametri_v3!$C$26)</f>
        <v>4549.58333333333</v>
      </c>
      <c r="AC188" s="15" t="n">
        <f aca="false">(IF(4-(INT((Motore_Operativo!L188)/30))&lt;1,0,INDEX(Motore_Startup!$AB$185:$AB$244,MAX(1,4-(INT((Motore_Operativo!L188)/30)))))*(1-(MOD((Motore_Operativo!L188),30)/30))+IF(4-(INT((Motore_Operativo!L188)/30))-1&lt;1,0,INDEX(Motore_Startup!$AB$185:$AB$244,MAX(1,4-(INT((Motore_Operativo!L188)/30))-1)))*(MOD((Motore_Operativo!L188),30)/30))</f>
        <v>0</v>
      </c>
      <c r="AD188" s="15" t="n">
        <f aca="false">(AD187)+AB188-AC188</f>
        <v>18137.3333333333</v>
      </c>
      <c r="AE188" s="15" t="n">
        <f aca="false">Motore_Operativo!BH188*(1+Parametri_v3!$C$26)</f>
        <v>1006.5</v>
      </c>
      <c r="AF188" s="15" t="n">
        <f aca="false">(IF(4-(INT((Parametri_v3!$C$29)/30))&lt;1,0,INDEX(Motore_Operativo!$BH$185:$BH$244,MAX(1,4-(INT((Parametri_v3!$C$29)/30)))))*(1-(MOD((Parametri_v3!$C$29),30)/30))+IF(4-(INT((Parametri_v3!$C$29)/30))-1&lt;1,0,INDEX(Motore_Operativo!$BH$185:$BH$244,MAX(1,4-(INT((Parametri_v3!$C$29)/30))-1)))*(MOD((Parametri_v3!$C$29),30)/30))*(1+Parametri_v3!$C$26)</f>
        <v>1006.5</v>
      </c>
      <c r="AG188" s="15" t="n">
        <f aca="false">(AG187)+AE188-AF188</f>
        <v>1006.5</v>
      </c>
      <c r="AH188" s="15" t="n">
        <f aca="false">(Motore_Operativo!CJ188)*(1+Parametri_v3!$C$27*Parametri_v3!$C$26)</f>
        <v>11362.85425</v>
      </c>
      <c r="AI188" s="15" t="n">
        <f aca="false">(IF(4-(INT((Ipotesi!$C$91)/30))&lt;1,0,INDEX(Motore_Startup!$AH$185:$AH$244,MAX(1,4-(INT((Ipotesi!$C$91)/30)))))*(1-(MOD((Ipotesi!$C$91),30)/30))+IF(4-(INT((Ipotesi!$C$91)/30))-1&lt;1,0,INDEX(Motore_Startup!$AH$185:$AH$244,MAX(1,4-(INT((Ipotesi!$C$91)/30))-1)))*(MOD((Ipotesi!$C$91),30)/30))</f>
        <v>11360.0845833333</v>
      </c>
      <c r="AJ188" s="15" t="n">
        <f aca="false">(AJ187)+AH188-AI188</f>
        <v>22722.9388333333</v>
      </c>
      <c r="AK188" s="15" t="n">
        <f aca="false">(F188+ Motore_Operativo!BH188-(Motore_Operativo!CJ188)*Parametri_v3!$C$27-Motore_Operativo!CE188)*Parametri_v3!$C$26</f>
        <v>-1154.85425</v>
      </c>
      <c r="AL188" s="15" t="n">
        <f aca="false">MAX(0,(AM187))</f>
        <v>0</v>
      </c>
      <c r="AM188" s="15" t="n">
        <f aca="false">(AM187)+AK188-AL188</f>
        <v>-4629.108</v>
      </c>
      <c r="AN188" s="15" t="n">
        <f aca="false">0</f>
        <v>0</v>
      </c>
      <c r="AO188" s="15" t="n">
        <f aca="false">0</f>
        <v>0</v>
      </c>
      <c r="AP188" s="15" t="n">
        <f aca="false">MAX(0,AN188)*IF(4=Parametri_v3!$C$43,Parametri_v3!$C$45,IF(4=Parametri_v3!$C$44,1-Parametri_v3!$C$45,0))</f>
        <v>0</v>
      </c>
      <c r="AQ188" s="15" t="n">
        <f aca="false">MAX(0,AP188+IF(4=Parametri_v3!$C$43,MAX(0,AN188-AO188),0)-MAX(0,-(AR187)))</f>
        <v>0</v>
      </c>
      <c r="AR188" s="15" t="n">
        <f aca="false">(AR187)+X188-AQ188</f>
        <v>0</v>
      </c>
      <c r="AS188" s="15" t="n">
        <f aca="false">Motore_Operativo!AB188-AT188+AU188</f>
        <v>17020.8333333333</v>
      </c>
      <c r="AT188" s="15" t="n">
        <f aca="false">Motore_Operativo!CH188</f>
        <v>895.833333333334</v>
      </c>
      <c r="AU188" s="15" t="n">
        <f aca="false">MIN(MAX(0,(AV187)+AT188),Parametri_v3!$C$60/12)</f>
        <v>0</v>
      </c>
      <c r="AV188" s="15" t="n">
        <f aca="false">(AV187)+AT188-AU188</f>
        <v>3583.33333333333</v>
      </c>
      <c r="AW188" s="15" t="n">
        <f aca="false">IF(AND(Motore_Operativo!C188=Finanziamenti!$D$6,Finanziamenti!$F$6=1),Finanziamenti!$C$6,0)</f>
        <v>0</v>
      </c>
      <c r="AX188" s="15" t="n">
        <f aca="false">IF(AND(4&lt;&gt;7,4&lt;&gt;9,Finanziamenti!$F$8=1,OR(Parametri_v3!$C$6=0,Finanziamenti!$E$8=1),Motore_Operativo!C188=EDATE(Finanziamenti!$D$8,Ipotesi!F15*12)),Finanziamenti!$C$8*1,0)+IF(AND(4&lt;&gt;7,4&lt;&gt;9,Finanziamenti!$F$9=1,OR(Parametri_v3!$C$6=0,Finanziamenti!$E$9=1),Motore_Operativo!C188=EDATE(Finanziamenti!$D$9,Ipotesi!F15*12)),Finanziamenti!$C$9*Ipotesi!F16,0)</f>
        <v>0</v>
      </c>
      <c r="AY188" s="15" t="n">
        <f aca="false">0</f>
        <v>0</v>
      </c>
      <c r="AZ188" s="15" t="n">
        <f aca="false">Motore_Advisory!AY188*(1-Ipotesi!$C$95)*Ipotesi!$C$96</f>
        <v>0</v>
      </c>
      <c r="BA188" s="15" t="n">
        <f aca="false">MAX(0,MIN(CG188*MIN(1,IF(Motore_Operativo!C188&gt;=EDATE(Finanziamenti!$D$15,Ipotesi!F14*12),Finanziamenti!$C$15,0)+IF(Motore_Operativo!C188&gt;=EDATE(Finanziamenti!$D$16,Ipotesi!F14*12),Finanziamenti!$C$16,0)+IF(Motore_Operativo!C188&gt;=EDATE(Finanziamenti!$D$17,Ipotesi!F14*12),Finanziamenti!$C$17,0)),CA188*Ipotesi!$C$102)-(CC187))</f>
        <v>0</v>
      </c>
      <c r="BB188" s="15" t="n">
        <f aca="false">IF(AND(CF188&gt;0,Motore_Operativo!C188&gt;=IF(CF188=0,0,EDATE(CF188,Parametri_v3!$C$37)),MOD(((D188-YEAR(IF(CF188=0,0,EDATE(CF188,Parametri_v3!$C$37))))*12+E188-MONTH(IF(CF188=0,0,EDATE(CF188,Parametri_v3!$C$37)))),Parametri_v3!$C$38)=0),MIN(MAX(0,(BC187)+BA188-N188),(CC188-CD188)/(Ipotesi!$C$108*12/Parametri_v3!$C$38)),0)</f>
        <v>0</v>
      </c>
      <c r="BC188" s="15" t="n">
        <f aca="false">(BC187)+BA188-N188-BB188</f>
        <v>0</v>
      </c>
      <c r="BD188" s="15" t="n">
        <f aca="false">(BH187)+AC188+AF188-AI188-AS188-K188*(1+Parametri_v3!$C$26)-AL188-AQ188-O188+AW188+AX188+AZ188+BA188-BB188</f>
        <v>34082.6641666667</v>
      </c>
      <c r="BE188" s="15" t="n">
        <f aca="false">MAX(0,MIN(MAX(0,CH188-(BG187)),Parametri_v3!$C$30-BD188))</f>
        <v>0</v>
      </c>
      <c r="BF188" s="15" t="n">
        <f aca="false">IF(Motore_Operativo!C188&gt;=Parametri_v3!$C$63,(BG187),MIN((BG187),MAX(0,BD188-Parametri_v3!$C$30)))</f>
        <v>0</v>
      </c>
      <c r="BG188" s="15" t="n">
        <f aca="false">(BG187)+BE188-BF188</f>
        <v>0</v>
      </c>
      <c r="BH188" s="15" t="n">
        <f aca="false">BD188+BE188-BF188-AY188</f>
        <v>34082.6641666667</v>
      </c>
      <c r="BI188" s="15" t="n">
        <f aca="false">MAX(0,Parametri_v3!$C$30-BH188)</f>
        <v>0</v>
      </c>
      <c r="BJ188" s="15" t="n">
        <f aca="false">(BJ187)+K188</f>
        <v>6666.66666666667</v>
      </c>
      <c r="BK188" s="15" t="n">
        <f aca="false">(BK187)+L188</f>
        <v>462.962962962963</v>
      </c>
      <c r="BL188" s="15" t="n">
        <f aca="false">BJ188-BK188</f>
        <v>6203.7037037037</v>
      </c>
      <c r="BM188" s="15" t="n">
        <f aca="false">(BM187)+Y188</f>
        <v>-92246.962962963</v>
      </c>
      <c r="BN188" s="15" t="n">
        <f aca="false">(BN187)+AW188+AX188+AZ188</f>
        <v>130000</v>
      </c>
      <c r="BO188" s="15" t="n">
        <f aca="false">(BO187)+AY188</f>
        <v>0</v>
      </c>
      <c r="BP188" s="15" t="n">
        <f aca="false">0</f>
        <v>0</v>
      </c>
      <c r="BQ188" s="15" t="n">
        <f aca="false">BN188+BM188-BO188</f>
        <v>37753.0370370371</v>
      </c>
      <c r="BR188" s="15" t="n">
        <f aca="false">BH188+AD188+BL188+MAX(0,-AM188)+MAX(0,-AR188)+AG188</f>
        <v>64059.3092037037</v>
      </c>
      <c r="BS188" s="15" t="n">
        <f aca="false">AJ188+AV188+MAX(0,AM188)+MAX(0,AR188)+BC188+BG188+BQ188</f>
        <v>64059.3092037037</v>
      </c>
      <c r="BT188" s="15" t="n">
        <f aca="false">BR188-BS188</f>
        <v>0</v>
      </c>
      <c r="BU188" s="15" t="n">
        <f aca="false">BH188-(BD188+BE188-BF188-AY188)</f>
        <v>0</v>
      </c>
      <c r="BV188" s="15" t="n">
        <f aca="false">MIN(Piano_SS!$C$6,(BV187)+IF(AND(Motore_Operativo!C188&gt;=EDATE(Parametri_v3!$C$24,Ipotesi!F14*12),Motore_Operativo!C188&lt;EDATE(Parametri_v3!$C$24,Parametri_v3!$C$25+Ipotesi!F14*12)),MAX(0,(Motore_Operativo!Y188+Motore_Operativo!X188*Parametri_v3!$C$14)*(1-Parametri_v3!$C$32))*Piano_SS!$D$6,0))</f>
        <v>0</v>
      </c>
      <c r="BW188" s="15" t="n">
        <f aca="false">MIN(Piano_SS!$C$7,(BW187)+IF(AND(Motore_Operativo!C188&gt;=EDATE(Parametri_v3!$C$24,Ipotesi!F14*12),Motore_Operativo!C188&lt;EDATE(Parametri_v3!$C$24,Parametri_v3!$C$25+Ipotesi!F14*12)),MAX(0,(IF(4-(INT((Ipotesi!$C$91)/30))&lt;1,0,INDEX(Motore_Operativo!$BN$185:$BN$244,MAX(1,4-(INT((Ipotesi!$C$91)/30)))))*(1-(MOD((Ipotesi!$C$91),30)/30))+IF(4-(INT((Ipotesi!$C$91)/30))-1&lt;1,0,INDEX(Motore_Operativo!$BN$185:$BN$244,MAX(1,4-(INT((Ipotesi!$C$91)/30))-1)))*(MOD((Ipotesi!$C$91),30)/30)))*Piano_SS!$D$7,0))</f>
        <v>0</v>
      </c>
      <c r="BX188" s="15" t="n">
        <f aca="false">MIN(Piano_SS!$C$8,(BX187)+IF(AND(Motore_Operativo!C188&gt;=EDATE(Parametri_v3!$C$24,Ipotesi!F14*12),Motore_Operativo!C188&lt;EDATE(Parametri_v3!$C$24,Parametri_v3!$C$25+Ipotesi!F14*12)),MAX(0,Motore_Operativo!CE188)*Piano_SS!$D$8,0))</f>
        <v>0</v>
      </c>
      <c r="BY188" s="15" t="n">
        <f aca="false">MIN(Piano_SS!$C$9,(BY187)+IF(AND(Motore_Operativo!C188&gt;=EDATE(Parametri_v3!$C$24,Ipotesi!F14*12),Motore_Operativo!C188&lt;EDATE(Parametri_v3!$C$24,Parametri_v3!$C$25+Ipotesi!F14*12)),MAX(0,((IF(4-(INT((Ipotesi!$C$91)/30))&lt;1,0,INDEX(Motore_Operativo!$BQ$185:$BQ$244,MAX(1,4-(INT((Ipotesi!$C$91)/30)))))*(1-(MOD((Ipotesi!$C$91),30)/30))+IF(4-(INT((Ipotesi!$C$91)/30))-1&lt;1,0,INDEX(Motore_Operativo!$BQ$185:$BQ$244,MAX(1,4-(INT((Ipotesi!$C$91)/30))-1)))*(MOD((Ipotesi!$C$91),30)/30))+(IF(4-(INT((Ipotesi!$C$91)/30))&lt;1,0,INDEX(Motore_Operativo!$BR$185:$BR$244,MAX(1,4-(INT((Ipotesi!$C$91)/30)))))*(1-(MOD((Ipotesi!$C$91),30)/30))+IF(4-(INT((Ipotesi!$C$91)/30))-1&lt;1,0,INDEX(Motore_Operativo!$BR$185:$BR$244,MAX(1,4-(INT((Ipotesi!$C$91)/30))-1)))*(MOD((Ipotesi!$C$91),30)/30))))*Piano_SS!$D$9,0))</f>
        <v>0</v>
      </c>
      <c r="BZ188" s="15" t="n">
        <f aca="false">MIN(Piano_SS!$C$10,(BZ187)+IF(AND(Motore_Operativo!C188&gt;=EDATE(Parametri_v3!$C$24,Ipotesi!F14*12),Motore_Operativo!C188&lt;EDATE(Parametri_v3!$C$24,Parametri_v3!$C$25+Ipotesi!F14*12)),MAX(0,(IF(4-(INT((Ipotesi!$C$91)/30))&lt;1,0,INDEX(Motore_Operativo!$BO$185:$BO$244,MAX(1,4-(INT((Ipotesi!$C$91)/30)))))*(1-(MOD((Ipotesi!$C$91),30)/30))+IF(4-(INT((Ipotesi!$C$91)/30))-1&lt;1,0,INDEX(Motore_Operativo!$BO$185:$BO$244,MAX(1,4-(INT((Ipotesi!$C$91)/30))-1)))*(MOD((Ipotesi!$C$91),30)/30)))*Piano_SS!$D$10,0))</f>
        <v>0</v>
      </c>
      <c r="CA188" s="15" t="n">
        <f aca="false">SUM(BV188:BZ188)</f>
        <v>0</v>
      </c>
      <c r="CB188" s="15" t="n">
        <f aca="false">BV188*(1-Piano_SS!$E$6)+BW188*(1-Piano_SS!$E$7)+BX188*(1-Piano_SS!$E$8)+BY188*(1-Piano_SS!$E$9)+BZ188*(1-Piano_SS!$E$10)</f>
        <v>0</v>
      </c>
      <c r="CC188" s="15" t="n">
        <f aca="false">(CC187)+BA188</f>
        <v>0</v>
      </c>
      <c r="CD188" s="15" t="n">
        <f aca="false">IF(CA188=0,0,CC188*CB188/CA188*Ipotesi!$C$103*Parametri_v3!$C$64)</f>
        <v>0</v>
      </c>
      <c r="CE188" s="18" t="n">
        <f aca="false">IF(BA188&gt;0,Motore_Operativo!C188,(CE187))</f>
        <v>0</v>
      </c>
      <c r="CF188" s="18" t="n">
        <f aca="false">IF(AND(CC188&gt;0,OR(CC188&gt;=CG188-0.01,Motore_Operativo!C188&gt;=EDATE(MAX(Finanziamenti!$D$15:$D$17),Ipotesi!F14*12))),CE188,0)</f>
        <v>0</v>
      </c>
      <c r="CG188" s="15" t="n">
        <f aca="false">IF(AND(4&lt;&gt;6,4&lt;&gt;9,Finanziamenti!$F$11=1,OR(Parametri_v3!$C$6=0,Finanziamenti!$E$11=1)),MIN(Finanziamenti!$C$11,Piano_SS!$C$12*Ipotesi!$C$102),0)</f>
        <v>400000</v>
      </c>
      <c r="CH188" s="15" t="n">
        <f aca="false">IF(AND(AND(4&lt;&gt;8,4&lt;&gt;9,Finanziamenti!$F$10=1,OR(Parametri_v3!$C$6=0,Finanziamenti!$E$10=1)),Motore_Operativo!C188&gt;=Finanziamenti!$D$10,Motore_Operativo!C188&lt;Parametri_v3!$C$63),Finanziamenti!$C$10,0)</f>
        <v>150000</v>
      </c>
    </row>
    <row r="189" customFormat="false" ht="18" hidden="false" customHeight="true" outlineLevel="0" collapsed="false">
      <c r="A189" s="68" t="n">
        <f aca="false">4</f>
        <v>4</v>
      </c>
      <c r="B189" s="68" t="n">
        <f aca="false">5</f>
        <v>5</v>
      </c>
      <c r="C189" s="18" t="n">
        <f aca="false">Motore_Operativo!C189</f>
        <v>46508</v>
      </c>
      <c r="D189" s="68" t="n">
        <f aca="false">Motore_Operativo!D189</f>
        <v>2027</v>
      </c>
      <c r="E189" s="68" t="n">
        <f aca="false">Motore_Operativo!E189</f>
        <v>5</v>
      </c>
      <c r="F189" s="15" t="n">
        <f aca="false">Motore_Operativo!AQ189+Motore_Operativo!BF189</f>
        <v>3762.5</v>
      </c>
      <c r="G189" s="15" t="n">
        <f aca="false">Motore_Operativo!BH189</f>
        <v>825</v>
      </c>
      <c r="H189" s="15" t="n">
        <f aca="false">Motore_Operativo!BI189</f>
        <v>4587.5</v>
      </c>
      <c r="I189" s="15" t="n">
        <f aca="false">Motore_Operativo!CA189</f>
        <v>27494.0833333333</v>
      </c>
      <c r="J189" s="15" t="n">
        <f aca="false">Motore_Operativo!CC189</f>
        <v>-22906.5833333333</v>
      </c>
      <c r="K189" s="15" t="n">
        <f aca="false">Motore_Operativo!CE189</f>
        <v>1666.66666666667</v>
      </c>
      <c r="L189" s="15" t="n">
        <f aca="false">SUM(INDEX($K$185:$K$244,MAX(1,5-Parametri_v3!$C$59+1)):K189)/Parametri_v3!$C$59</f>
        <v>231.481481481482</v>
      </c>
      <c r="M189" s="15" t="n">
        <f aca="false">J189-L189</f>
        <v>-23138.0648148148</v>
      </c>
      <c r="N189" s="15" t="n">
        <f aca="false">CD189-(CD188)</f>
        <v>0</v>
      </c>
      <c r="O189" s="15" t="n">
        <f aca="false">(BG188)*Ipotesi!$C$110/12+CH189*Parametri_v3!$C$39/12</f>
        <v>0</v>
      </c>
      <c r="P189" s="15" t="n">
        <f aca="false">M189+N189-O189</f>
        <v>-23138.0648148148</v>
      </c>
      <c r="Q189" s="15" t="n">
        <f aca="false">SUM(P185:P189)+Parametri_v3!$C$54*5/12</f>
        <v>-115385.027777778</v>
      </c>
      <c r="R189" s="15" t="n">
        <f aca="false">0</f>
        <v>0</v>
      </c>
      <c r="S189" s="15" t="n">
        <f aca="false">0</f>
        <v>0</v>
      </c>
      <c r="T189" s="15" t="n">
        <f aca="false">MIN(R189,MAX(0,Q189))</f>
        <v>0</v>
      </c>
      <c r="U189" s="15" t="n">
        <f aca="false">MIN(S189,MAX(0,Q189-T189)*Parametri_v3!$C$42)</f>
        <v>0</v>
      </c>
      <c r="V189" s="15" t="n">
        <f aca="false">MAX(0,Q189-T189-U189)*Ipotesi!$C$92</f>
        <v>0</v>
      </c>
      <c r="W189" s="15" t="n">
        <f aca="false">MAX(0,SUM(M185:M189)+Parametri_v3!$C$55*5/12)*Ipotesi!$C$93</f>
        <v>0</v>
      </c>
      <c r="X189" s="15" t="n">
        <f aca="false">V189+W189-(V188+W188)</f>
        <v>0</v>
      </c>
      <c r="Y189" s="15" t="n">
        <f aca="false">P189-X189</f>
        <v>-23138.0648148148</v>
      </c>
      <c r="Z189" s="15" t="n">
        <f aca="false">R189-T189+IF(AND(Parametri_v3!$C$40=1,D189-YEAR(Parametri_v3!$C$50)&lt;Parametri_v3!$C$41),MAX(0,-Q189),0)</f>
        <v>115385.027777778</v>
      </c>
      <c r="AA189" s="15" t="n">
        <f aca="false">S189-U189+IF(AND(Parametri_v3!$C$40=1,D189-YEAR(Parametri_v3!$C$50)&lt;Parametri_v3!$C$41),0,MAX(0,-Q189))</f>
        <v>0</v>
      </c>
      <c r="AB189" s="15" t="n">
        <f aca="false">F189*(1+Parametri_v3!$C$26)</f>
        <v>4590.25</v>
      </c>
      <c r="AC189" s="15" t="n">
        <f aca="false">(IF(5-(INT((Motore_Operativo!L189)/30))&lt;1,0,INDEX(Motore_Startup!$AB$185:$AB$244,MAX(1,5-(INT((Motore_Operativo!L189)/30)))))*(1-(MOD((Motore_Operativo!L189),30)/30))+IF(5-(INT((Motore_Operativo!L189)/30))-1&lt;1,0,INDEX(Motore_Startup!$AB$185:$AB$244,MAX(1,5-(INT((Motore_Operativo!L189)/30))-1)))*(MOD((Motore_Operativo!L189),30)/30))</f>
        <v>4529.25</v>
      </c>
      <c r="AD189" s="15" t="n">
        <f aca="false">(AD188)+AB189-AC189</f>
        <v>18198.3333333333</v>
      </c>
      <c r="AE189" s="15" t="n">
        <f aca="false">Motore_Operativo!BH189*(1+Parametri_v3!$C$26)</f>
        <v>1006.5</v>
      </c>
      <c r="AF189" s="15" t="n">
        <f aca="false">(IF(5-(INT((Parametri_v3!$C$29)/30))&lt;1,0,INDEX(Motore_Operativo!$BH$185:$BH$244,MAX(1,5-(INT((Parametri_v3!$C$29)/30)))))*(1-(MOD((Parametri_v3!$C$29),30)/30))+IF(5-(INT((Parametri_v3!$C$29)/30))-1&lt;1,0,INDEX(Motore_Operativo!$BH$185:$BH$244,MAX(1,5-(INT((Parametri_v3!$C$29)/30))-1)))*(MOD((Parametri_v3!$C$29),30)/30))*(1+Parametri_v3!$C$26)</f>
        <v>1006.5</v>
      </c>
      <c r="AG189" s="15" t="n">
        <f aca="false">(AG188)+AE189-AF189</f>
        <v>1006.5</v>
      </c>
      <c r="AH189" s="15" t="n">
        <f aca="false">(Motore_Operativo!CJ189)*(1+Parametri_v3!$C$27*Parametri_v3!$C$26)</f>
        <v>11368.3935833333</v>
      </c>
      <c r="AI189" s="15" t="n">
        <f aca="false">(IF(5-(INT((Ipotesi!$C$91)/30))&lt;1,0,INDEX(Motore_Startup!$AH$185:$AH$244,MAX(1,5-(INT((Ipotesi!$C$91)/30)))))*(1-(MOD((Ipotesi!$C$91),30)/30))+IF(5-(INT((Ipotesi!$C$91)/30))-1&lt;1,0,INDEX(Motore_Startup!$AH$185:$AH$244,MAX(1,5-(INT((Ipotesi!$C$91)/30))-1)))*(MOD((Ipotesi!$C$91),30)/30))</f>
        <v>11360.0845833333</v>
      </c>
      <c r="AJ189" s="15" t="n">
        <f aca="false">(AJ188)+AH189-AI189</f>
        <v>22731.2478333333</v>
      </c>
      <c r="AK189" s="15" t="n">
        <f aca="false">(F189+ Motore_Operativo!BH189-(Motore_Operativo!CJ189)*Parametri_v3!$C$27-Motore_Operativo!CE189)*Parametri_v3!$C$26</f>
        <v>-1148.39358333333</v>
      </c>
      <c r="AL189" s="15" t="n">
        <f aca="false">MAX(0,(AM188))</f>
        <v>0</v>
      </c>
      <c r="AM189" s="15" t="n">
        <f aca="false">(AM188)+AK189-AL189</f>
        <v>-5777.50158333333</v>
      </c>
      <c r="AN189" s="15" t="n">
        <f aca="false">0</f>
        <v>0</v>
      </c>
      <c r="AO189" s="15" t="n">
        <f aca="false">0</f>
        <v>0</v>
      </c>
      <c r="AP189" s="15" t="n">
        <f aca="false">MAX(0,AN189)*IF(5=Parametri_v3!$C$43,Parametri_v3!$C$45,IF(5=Parametri_v3!$C$44,1-Parametri_v3!$C$45,0))</f>
        <v>0</v>
      </c>
      <c r="AQ189" s="15" t="n">
        <f aca="false">MAX(0,AP189+IF(5=Parametri_v3!$C$43,MAX(0,AN189-AO189),0)-MAX(0,-(AR188)))</f>
        <v>0</v>
      </c>
      <c r="AR189" s="15" t="n">
        <f aca="false">(AR188)+X189-AQ189</f>
        <v>0</v>
      </c>
      <c r="AS189" s="15" t="n">
        <f aca="false">Motore_Operativo!AB189-AT189+AU189</f>
        <v>17020.8333333333</v>
      </c>
      <c r="AT189" s="15" t="n">
        <f aca="false">Motore_Operativo!CH189</f>
        <v>895.833333333334</v>
      </c>
      <c r="AU189" s="15" t="n">
        <f aca="false">MIN(MAX(0,(AV188)+AT189),Parametri_v3!$C$60/12)</f>
        <v>0</v>
      </c>
      <c r="AV189" s="15" t="n">
        <f aca="false">(AV188)+AT189-AU189</f>
        <v>4479.16666666667</v>
      </c>
      <c r="AW189" s="15" t="n">
        <f aca="false">IF(AND(Motore_Operativo!C189=Finanziamenti!$D$6,Finanziamenti!$F$6=1),Finanziamenti!$C$6,0)</f>
        <v>0</v>
      </c>
      <c r="AX189" s="15" t="n">
        <f aca="false">IF(AND(4&lt;&gt;7,4&lt;&gt;9,Finanziamenti!$F$8=1,OR(Parametri_v3!$C$6=0,Finanziamenti!$E$8=1),Motore_Operativo!C189=EDATE(Finanziamenti!$D$8,Ipotesi!F15*12)),Finanziamenti!$C$8*1,0)+IF(AND(4&lt;&gt;7,4&lt;&gt;9,Finanziamenti!$F$9=1,OR(Parametri_v3!$C$6=0,Finanziamenti!$E$9=1),Motore_Operativo!C189=EDATE(Finanziamenti!$D$9,Ipotesi!F15*12)),Finanziamenti!$C$9*Ipotesi!F16,0)</f>
        <v>0</v>
      </c>
      <c r="AY189" s="15" t="n">
        <f aca="false">0</f>
        <v>0</v>
      </c>
      <c r="AZ189" s="15" t="n">
        <f aca="false">Motore_Advisory!AY189*(1-Ipotesi!$C$95)*Ipotesi!$C$96</f>
        <v>0</v>
      </c>
      <c r="BA189" s="15" t="n">
        <f aca="false">MAX(0,MIN(CG189*MIN(1,IF(Motore_Operativo!C189&gt;=EDATE(Finanziamenti!$D$15,Ipotesi!F14*12),Finanziamenti!$C$15,0)+IF(Motore_Operativo!C189&gt;=EDATE(Finanziamenti!$D$16,Ipotesi!F14*12),Finanziamenti!$C$16,0)+IF(Motore_Operativo!C189&gt;=EDATE(Finanziamenti!$D$17,Ipotesi!F14*12),Finanziamenti!$C$17,0)),CA189*Ipotesi!$C$102)-(CC188))</f>
        <v>0</v>
      </c>
      <c r="BB189" s="15" t="n">
        <f aca="false">IF(AND(CF189&gt;0,Motore_Operativo!C189&gt;=IF(CF189=0,0,EDATE(CF189,Parametri_v3!$C$37)),MOD(((D189-YEAR(IF(CF189=0,0,EDATE(CF189,Parametri_v3!$C$37))))*12+E189-MONTH(IF(CF189=0,0,EDATE(CF189,Parametri_v3!$C$37)))),Parametri_v3!$C$38)=0),MIN(MAX(0,(BC188)+BA189-N189),(CC189-CD189)/(Ipotesi!$C$108*12/Parametri_v3!$C$38)),0)</f>
        <v>0</v>
      </c>
      <c r="BC189" s="15" t="n">
        <f aca="false">(BC188)+BA189-N189-BB189</f>
        <v>0</v>
      </c>
      <c r="BD189" s="15" t="n">
        <f aca="false">(BH188)+AC189+AF189-AI189-AS189-K189*(1+Parametri_v3!$C$26)-AL189-AQ189-O189+AW189+AX189+AZ189+BA189-BB189</f>
        <v>9204.16291666667</v>
      </c>
      <c r="BE189" s="15" t="n">
        <f aca="false">MAX(0,MIN(MAX(0,CH189-(BG188)),Parametri_v3!$C$30-BD189))</f>
        <v>15795.8370833333</v>
      </c>
      <c r="BF189" s="15" t="n">
        <f aca="false">IF(Motore_Operativo!C189&gt;=Parametri_v3!$C$63,(BG188),MIN((BG188),MAX(0,BD189-Parametri_v3!$C$30)))</f>
        <v>0</v>
      </c>
      <c r="BG189" s="15" t="n">
        <f aca="false">(BG188)+BE189-BF189</f>
        <v>15795.8370833333</v>
      </c>
      <c r="BH189" s="15" t="n">
        <f aca="false">BD189+BE189-BF189-AY189</f>
        <v>25000</v>
      </c>
      <c r="BI189" s="15" t="n">
        <f aca="false">MAX(0,Parametri_v3!$C$30-BH189)</f>
        <v>0</v>
      </c>
      <c r="BJ189" s="15" t="n">
        <f aca="false">(BJ188)+K189</f>
        <v>8333.33333333333</v>
      </c>
      <c r="BK189" s="15" t="n">
        <f aca="false">(BK188)+L189</f>
        <v>694.444444444445</v>
      </c>
      <c r="BL189" s="15" t="n">
        <f aca="false">BJ189-BK189</f>
        <v>7638.88888888889</v>
      </c>
      <c r="BM189" s="15" t="n">
        <f aca="false">(BM188)+Y189</f>
        <v>-115385.027777778</v>
      </c>
      <c r="BN189" s="15" t="n">
        <f aca="false">(BN188)+AW189+AX189+AZ189</f>
        <v>130000</v>
      </c>
      <c r="BO189" s="15" t="n">
        <f aca="false">(BO188)+AY189</f>
        <v>0</v>
      </c>
      <c r="BP189" s="15" t="n">
        <f aca="false">0</f>
        <v>0</v>
      </c>
      <c r="BQ189" s="15" t="n">
        <f aca="false">BN189+BM189-BO189</f>
        <v>14614.9722222222</v>
      </c>
      <c r="BR189" s="15" t="n">
        <f aca="false">BH189+AD189+BL189+MAX(0,-AM189)+MAX(0,-AR189)+AG189</f>
        <v>57621.2238055556</v>
      </c>
      <c r="BS189" s="15" t="n">
        <f aca="false">AJ189+AV189+MAX(0,AM189)+MAX(0,AR189)+BC189+BG189+BQ189</f>
        <v>57621.2238055556</v>
      </c>
      <c r="BT189" s="15" t="n">
        <f aca="false">BR189-BS189</f>
        <v>0</v>
      </c>
      <c r="BU189" s="15" t="n">
        <f aca="false">BH189-(BD189+BE189-BF189-AY189)</f>
        <v>0</v>
      </c>
      <c r="BV189" s="15" t="n">
        <f aca="false">MIN(Piano_SS!$C$6,(BV188)+IF(AND(Motore_Operativo!C189&gt;=EDATE(Parametri_v3!$C$24,Ipotesi!F14*12),Motore_Operativo!C189&lt;EDATE(Parametri_v3!$C$24,Parametri_v3!$C$25+Ipotesi!F14*12)),MAX(0,(Motore_Operativo!Y189+Motore_Operativo!X189*Parametri_v3!$C$14)*(1-Parametri_v3!$C$32))*Piano_SS!$D$6,0))</f>
        <v>0</v>
      </c>
      <c r="BW189" s="15" t="n">
        <f aca="false">MIN(Piano_SS!$C$7,(BW188)+IF(AND(Motore_Operativo!C189&gt;=EDATE(Parametri_v3!$C$24,Ipotesi!F14*12),Motore_Operativo!C189&lt;EDATE(Parametri_v3!$C$24,Parametri_v3!$C$25+Ipotesi!F14*12)),MAX(0,(IF(5-(INT((Ipotesi!$C$91)/30))&lt;1,0,INDEX(Motore_Operativo!$BN$185:$BN$244,MAX(1,5-(INT((Ipotesi!$C$91)/30)))))*(1-(MOD((Ipotesi!$C$91),30)/30))+IF(5-(INT((Ipotesi!$C$91)/30))-1&lt;1,0,INDEX(Motore_Operativo!$BN$185:$BN$244,MAX(1,5-(INT((Ipotesi!$C$91)/30))-1)))*(MOD((Ipotesi!$C$91),30)/30)))*Piano_SS!$D$7,0))</f>
        <v>0</v>
      </c>
      <c r="BX189" s="15" t="n">
        <f aca="false">MIN(Piano_SS!$C$8,(BX188)+IF(AND(Motore_Operativo!C189&gt;=EDATE(Parametri_v3!$C$24,Ipotesi!F14*12),Motore_Operativo!C189&lt;EDATE(Parametri_v3!$C$24,Parametri_v3!$C$25+Ipotesi!F14*12)),MAX(0,Motore_Operativo!CE189)*Piano_SS!$D$8,0))</f>
        <v>0</v>
      </c>
      <c r="BY189" s="15" t="n">
        <f aca="false">MIN(Piano_SS!$C$9,(BY188)+IF(AND(Motore_Operativo!C189&gt;=EDATE(Parametri_v3!$C$24,Ipotesi!F14*12),Motore_Operativo!C189&lt;EDATE(Parametri_v3!$C$24,Parametri_v3!$C$25+Ipotesi!F14*12)),MAX(0,((IF(5-(INT((Ipotesi!$C$91)/30))&lt;1,0,INDEX(Motore_Operativo!$BQ$185:$BQ$244,MAX(1,5-(INT((Ipotesi!$C$91)/30)))))*(1-(MOD((Ipotesi!$C$91),30)/30))+IF(5-(INT((Ipotesi!$C$91)/30))-1&lt;1,0,INDEX(Motore_Operativo!$BQ$185:$BQ$244,MAX(1,5-(INT((Ipotesi!$C$91)/30))-1)))*(MOD((Ipotesi!$C$91),30)/30))+(IF(5-(INT((Ipotesi!$C$91)/30))&lt;1,0,INDEX(Motore_Operativo!$BR$185:$BR$244,MAX(1,5-(INT((Ipotesi!$C$91)/30)))))*(1-(MOD((Ipotesi!$C$91),30)/30))+IF(5-(INT((Ipotesi!$C$91)/30))-1&lt;1,0,INDEX(Motore_Operativo!$BR$185:$BR$244,MAX(1,5-(INT((Ipotesi!$C$91)/30))-1)))*(MOD((Ipotesi!$C$91),30)/30))))*Piano_SS!$D$9,0))</f>
        <v>0</v>
      </c>
      <c r="BZ189" s="15" t="n">
        <f aca="false">MIN(Piano_SS!$C$10,(BZ188)+IF(AND(Motore_Operativo!C189&gt;=EDATE(Parametri_v3!$C$24,Ipotesi!F14*12),Motore_Operativo!C189&lt;EDATE(Parametri_v3!$C$24,Parametri_v3!$C$25+Ipotesi!F14*12)),MAX(0,(IF(5-(INT((Ipotesi!$C$91)/30))&lt;1,0,INDEX(Motore_Operativo!$BO$185:$BO$244,MAX(1,5-(INT((Ipotesi!$C$91)/30)))))*(1-(MOD((Ipotesi!$C$91),30)/30))+IF(5-(INT((Ipotesi!$C$91)/30))-1&lt;1,0,INDEX(Motore_Operativo!$BO$185:$BO$244,MAX(1,5-(INT((Ipotesi!$C$91)/30))-1)))*(MOD((Ipotesi!$C$91),30)/30)))*Piano_SS!$D$10,0))</f>
        <v>0</v>
      </c>
      <c r="CA189" s="15" t="n">
        <f aca="false">SUM(BV189:BZ189)</f>
        <v>0</v>
      </c>
      <c r="CB189" s="15" t="n">
        <f aca="false">BV189*(1-Piano_SS!$E$6)+BW189*(1-Piano_SS!$E$7)+BX189*(1-Piano_SS!$E$8)+BY189*(1-Piano_SS!$E$9)+BZ189*(1-Piano_SS!$E$10)</f>
        <v>0</v>
      </c>
      <c r="CC189" s="15" t="n">
        <f aca="false">(CC188)+BA189</f>
        <v>0</v>
      </c>
      <c r="CD189" s="15" t="n">
        <f aca="false">IF(CA189=0,0,CC189*CB189/CA189*Ipotesi!$C$103*Parametri_v3!$C$64)</f>
        <v>0</v>
      </c>
      <c r="CE189" s="18" t="n">
        <f aca="false">IF(BA189&gt;0,Motore_Operativo!C189,(CE188))</f>
        <v>0</v>
      </c>
      <c r="CF189" s="18" t="n">
        <f aca="false">IF(AND(CC189&gt;0,OR(CC189&gt;=CG189-0.01,Motore_Operativo!C189&gt;=EDATE(MAX(Finanziamenti!$D$15:$D$17),Ipotesi!F14*12))),CE189,0)</f>
        <v>0</v>
      </c>
      <c r="CG189" s="15" t="n">
        <f aca="false">IF(AND(4&lt;&gt;6,4&lt;&gt;9,Finanziamenti!$F$11=1,OR(Parametri_v3!$C$6=0,Finanziamenti!$E$11=1)),MIN(Finanziamenti!$C$11,Piano_SS!$C$12*Ipotesi!$C$102),0)</f>
        <v>400000</v>
      </c>
      <c r="CH189" s="15" t="n">
        <f aca="false">IF(AND(AND(4&lt;&gt;8,4&lt;&gt;9,Finanziamenti!$F$10=1,OR(Parametri_v3!$C$6=0,Finanziamenti!$E$10=1)),Motore_Operativo!C189&gt;=Finanziamenti!$D$10,Motore_Operativo!C189&lt;Parametri_v3!$C$63),Finanziamenti!$C$10,0)</f>
        <v>150000</v>
      </c>
    </row>
    <row r="190" customFormat="false" ht="18" hidden="false" customHeight="true" outlineLevel="0" collapsed="false">
      <c r="A190" s="68" t="n">
        <f aca="false">4</f>
        <v>4</v>
      </c>
      <c r="B190" s="68" t="n">
        <f aca="false">6</f>
        <v>6</v>
      </c>
      <c r="C190" s="18" t="n">
        <f aca="false">Motore_Operativo!C190</f>
        <v>46539</v>
      </c>
      <c r="D190" s="68" t="n">
        <f aca="false">Motore_Operativo!D190</f>
        <v>2027</v>
      </c>
      <c r="E190" s="68" t="n">
        <f aca="false">Motore_Operativo!E190</f>
        <v>6</v>
      </c>
      <c r="F190" s="15" t="n">
        <f aca="false">Motore_Operativo!AQ190+Motore_Operativo!BF190</f>
        <v>3795.83333333333</v>
      </c>
      <c r="G190" s="15" t="n">
        <f aca="false">Motore_Operativo!BH190</f>
        <v>825</v>
      </c>
      <c r="H190" s="15" t="n">
        <f aca="false">Motore_Operativo!BI190</f>
        <v>4620.83333333334</v>
      </c>
      <c r="I190" s="15" t="n">
        <f aca="false">Motore_Operativo!CA190</f>
        <v>27498.75</v>
      </c>
      <c r="J190" s="15" t="n">
        <f aca="false">Motore_Operativo!CC190</f>
        <v>-22877.9166666667</v>
      </c>
      <c r="K190" s="15" t="n">
        <f aca="false">Motore_Operativo!CE190</f>
        <v>1666.66666666667</v>
      </c>
      <c r="L190" s="15" t="n">
        <f aca="false">SUM(INDEX($K$185:$K$244,MAX(1,6-Parametri_v3!$C$59+1)):K190)/Parametri_v3!$C$59</f>
        <v>277.777777777778</v>
      </c>
      <c r="M190" s="15" t="n">
        <f aca="false">J190-L190</f>
        <v>-23155.6944444444</v>
      </c>
      <c r="N190" s="15" t="n">
        <f aca="false">CD190-(CD189)</f>
        <v>0</v>
      </c>
      <c r="O190" s="15" t="n">
        <f aca="false">(BG189)*Ipotesi!$C$110/12+CH190*Parametri_v3!$C$39/12</f>
        <v>78.9791854166667</v>
      </c>
      <c r="P190" s="15" t="n">
        <f aca="false">M190+N190-O190</f>
        <v>-23234.6736298611</v>
      </c>
      <c r="Q190" s="15" t="n">
        <f aca="false">SUM(P185:P190)+Parametri_v3!$C$54*6/12</f>
        <v>-138619.701407639</v>
      </c>
      <c r="R190" s="15" t="n">
        <f aca="false">0</f>
        <v>0</v>
      </c>
      <c r="S190" s="15" t="n">
        <f aca="false">0</f>
        <v>0</v>
      </c>
      <c r="T190" s="15" t="n">
        <f aca="false">MIN(R190,MAX(0,Q190))</f>
        <v>0</v>
      </c>
      <c r="U190" s="15" t="n">
        <f aca="false">MIN(S190,MAX(0,Q190-T190)*Parametri_v3!$C$42)</f>
        <v>0</v>
      </c>
      <c r="V190" s="15" t="n">
        <f aca="false">MAX(0,Q190-T190-U190)*Ipotesi!$C$92</f>
        <v>0</v>
      </c>
      <c r="W190" s="15" t="n">
        <f aca="false">MAX(0,SUM(M185:M190)+Parametri_v3!$C$55*6/12)*Ipotesi!$C$93</f>
        <v>0</v>
      </c>
      <c r="X190" s="15" t="n">
        <f aca="false">V190+W190-(V189+W189)</f>
        <v>0</v>
      </c>
      <c r="Y190" s="15" t="n">
        <f aca="false">P190-X190</f>
        <v>-23234.6736298611</v>
      </c>
      <c r="Z190" s="15" t="n">
        <f aca="false">R190-T190+IF(AND(Parametri_v3!$C$40=1,D190-YEAR(Parametri_v3!$C$50)&lt;Parametri_v3!$C$41),MAX(0,-Q190),0)</f>
        <v>138619.701407639</v>
      </c>
      <c r="AA190" s="15" t="n">
        <f aca="false">S190-U190+IF(AND(Parametri_v3!$C$40=1,D190-YEAR(Parametri_v3!$C$50)&lt;Parametri_v3!$C$41),0,MAX(0,-Q190))</f>
        <v>0</v>
      </c>
      <c r="AB190" s="15" t="n">
        <f aca="false">F190*(1+Parametri_v3!$C$26)</f>
        <v>4630.91666666667</v>
      </c>
      <c r="AC190" s="15" t="n">
        <f aca="false">(IF(6-(INT((Motore_Operativo!L190)/30))&lt;1,0,INDEX(Motore_Startup!$AB$185:$AB$244,MAX(1,6-(INT((Motore_Operativo!L190)/30)))))*(1-(MOD((Motore_Operativo!L190),30)/30))+IF(6-(INT((Motore_Operativo!L190)/30))-1&lt;1,0,INDEX(Motore_Startup!$AB$185:$AB$244,MAX(1,6-(INT((Motore_Operativo!L190)/30))-1)))*(MOD((Motore_Operativo!L190),30)/30))</f>
        <v>4529.25</v>
      </c>
      <c r="AD190" s="15" t="n">
        <f aca="false">(AD189)+AB190-AC190</f>
        <v>18300</v>
      </c>
      <c r="AE190" s="15" t="n">
        <f aca="false">Motore_Operativo!BH190*(1+Parametri_v3!$C$26)</f>
        <v>1006.5</v>
      </c>
      <c r="AF190" s="15" t="n">
        <f aca="false">(IF(6-(INT((Parametri_v3!$C$29)/30))&lt;1,0,INDEX(Motore_Operativo!$BH$185:$BH$244,MAX(1,6-(INT((Parametri_v3!$C$29)/30)))))*(1-(MOD((Parametri_v3!$C$29),30)/30))+IF(6-(INT((Parametri_v3!$C$29)/30))-1&lt;1,0,INDEX(Motore_Operativo!$BH$185:$BH$244,MAX(1,6-(INT((Parametri_v3!$C$29)/30))-1)))*(MOD((Parametri_v3!$C$29),30)/30))*(1+Parametri_v3!$C$26)</f>
        <v>1006.5</v>
      </c>
      <c r="AG190" s="15" t="n">
        <f aca="false">(AG189)+AE190-AF190</f>
        <v>1006.5</v>
      </c>
      <c r="AH190" s="15" t="n">
        <f aca="false">(Motore_Operativo!CJ190)*(1+Parametri_v3!$C$27*Parametri_v3!$C$26)</f>
        <v>11373.9329166667</v>
      </c>
      <c r="AI190" s="15" t="n">
        <f aca="false">(IF(6-(INT((Ipotesi!$C$91)/30))&lt;1,0,INDEX(Motore_Startup!$AH$185:$AH$244,MAX(1,6-(INT((Ipotesi!$C$91)/30)))))*(1-(MOD((Ipotesi!$C$91),30)/30))+IF(6-(INT((Ipotesi!$C$91)/30))-1&lt;1,0,INDEX(Motore_Startup!$AH$185:$AH$244,MAX(1,6-(INT((Ipotesi!$C$91)/30))-1)))*(MOD((Ipotesi!$C$91),30)/30))</f>
        <v>11362.85425</v>
      </c>
      <c r="AJ190" s="15" t="n">
        <f aca="false">(AJ189)+AH190-AI190</f>
        <v>22742.3265</v>
      </c>
      <c r="AK190" s="15" t="n">
        <f aca="false">(F190+ Motore_Operativo!BH190-(Motore_Operativo!CJ190)*Parametri_v3!$C$27-Motore_Operativo!CE190)*Parametri_v3!$C$26</f>
        <v>-1141.93291666667</v>
      </c>
      <c r="AL190" s="15" t="n">
        <f aca="false">MAX(0,(AM189))</f>
        <v>0</v>
      </c>
      <c r="AM190" s="15" t="n">
        <f aca="false">(AM189)+AK190-AL190</f>
        <v>-6919.4345</v>
      </c>
      <c r="AN190" s="15" t="n">
        <f aca="false">0</f>
        <v>0</v>
      </c>
      <c r="AO190" s="15" t="n">
        <f aca="false">0</f>
        <v>0</v>
      </c>
      <c r="AP190" s="15" t="n">
        <f aca="false">MAX(0,AN190)*IF(6=Parametri_v3!$C$43,Parametri_v3!$C$45,IF(6=Parametri_v3!$C$44,1-Parametri_v3!$C$45,0))</f>
        <v>0</v>
      </c>
      <c r="AQ190" s="15" t="n">
        <f aca="false">MAX(0,AP190+IF(6=Parametri_v3!$C$43,MAX(0,AN190-AO190),0)-MAX(0,-(AR189)))</f>
        <v>0</v>
      </c>
      <c r="AR190" s="15" t="n">
        <f aca="false">(AR189)+X190-AQ190</f>
        <v>0</v>
      </c>
      <c r="AS190" s="15" t="n">
        <f aca="false">Motore_Operativo!AB190-AT190+AU190</f>
        <v>17020.8333333333</v>
      </c>
      <c r="AT190" s="15" t="n">
        <f aca="false">Motore_Operativo!CH190</f>
        <v>895.833333333334</v>
      </c>
      <c r="AU190" s="15" t="n">
        <f aca="false">MIN(MAX(0,(AV189)+AT190),Parametri_v3!$C$60/12)</f>
        <v>0</v>
      </c>
      <c r="AV190" s="15" t="n">
        <f aca="false">(AV189)+AT190-AU190</f>
        <v>5375</v>
      </c>
      <c r="AW190" s="15" t="n">
        <f aca="false">IF(AND(Motore_Operativo!C190=Finanziamenti!$D$6,Finanziamenti!$F$6=1),Finanziamenti!$C$6,0)</f>
        <v>0</v>
      </c>
      <c r="AX190" s="15" t="n">
        <f aca="false">IF(AND(4&lt;&gt;7,4&lt;&gt;9,Finanziamenti!$F$8=1,OR(Parametri_v3!$C$6=0,Finanziamenti!$E$8=1),Motore_Operativo!C190=EDATE(Finanziamenti!$D$8,Ipotesi!F15*12)),Finanziamenti!$C$8*1,0)+IF(AND(4&lt;&gt;7,4&lt;&gt;9,Finanziamenti!$F$9=1,OR(Parametri_v3!$C$6=0,Finanziamenti!$E$9=1),Motore_Operativo!C190=EDATE(Finanziamenti!$D$9,Ipotesi!F15*12)),Finanziamenti!$C$9*Ipotesi!F16,0)</f>
        <v>0</v>
      </c>
      <c r="AY190" s="15" t="n">
        <f aca="false">0</f>
        <v>0</v>
      </c>
      <c r="AZ190" s="15" t="n">
        <f aca="false">Motore_Advisory!AY190*(1-Ipotesi!$C$95)*Ipotesi!$C$96</f>
        <v>0</v>
      </c>
      <c r="BA190" s="15" t="n">
        <f aca="false">MAX(0,MIN(CG190*MIN(1,IF(Motore_Operativo!C190&gt;=EDATE(Finanziamenti!$D$15,Ipotesi!F14*12),Finanziamenti!$C$15,0)+IF(Motore_Operativo!C190&gt;=EDATE(Finanziamenti!$D$16,Ipotesi!F14*12),Finanziamenti!$C$16,0)+IF(Motore_Operativo!C190&gt;=EDATE(Finanziamenti!$D$17,Ipotesi!F14*12),Finanziamenti!$C$17,0)),CA190*Ipotesi!$C$102)-(CC189))</f>
        <v>0</v>
      </c>
      <c r="BB190" s="15" t="n">
        <f aca="false">IF(AND(CF190&gt;0,Motore_Operativo!C190&gt;=IF(CF190=0,0,EDATE(CF190,Parametri_v3!$C$37)),MOD(((D190-YEAR(IF(CF190=0,0,EDATE(CF190,Parametri_v3!$C$37))))*12+E190-MONTH(IF(CF190=0,0,EDATE(CF190,Parametri_v3!$C$37)))),Parametri_v3!$C$38)=0),MIN(MAX(0,(BC189)+BA190-N190),(CC190-CD190)/(Ipotesi!$C$108*12/Parametri_v3!$C$38)),0)</f>
        <v>0</v>
      </c>
      <c r="BC190" s="15" t="n">
        <f aca="false">(BC189)+BA190-N190-BB190</f>
        <v>0</v>
      </c>
      <c r="BD190" s="15" t="n">
        <f aca="false">(BH189)+AC190+AF190-AI190-AS190-K190*(1+Parametri_v3!$C$26)-AL190-AQ190-O190+AW190+AX190+AZ190+BA190-BB190</f>
        <v>39.7498979166674</v>
      </c>
      <c r="BE190" s="15" t="n">
        <f aca="false">MAX(0,MIN(MAX(0,CH190-(BG189)),Parametri_v3!$C$30-BD190))</f>
        <v>24960.2501020833</v>
      </c>
      <c r="BF190" s="15" t="n">
        <f aca="false">IF(Motore_Operativo!C190&gt;=Parametri_v3!$C$63,(BG189),MIN((BG189),MAX(0,BD190-Parametri_v3!$C$30)))</f>
        <v>0</v>
      </c>
      <c r="BG190" s="15" t="n">
        <f aca="false">(BG189)+BE190-BF190</f>
        <v>40756.0871854167</v>
      </c>
      <c r="BH190" s="15" t="n">
        <f aca="false">BD190+BE190-BF190-AY190</f>
        <v>25000</v>
      </c>
      <c r="BI190" s="15" t="n">
        <f aca="false">MAX(0,Parametri_v3!$C$30-BH190)</f>
        <v>0</v>
      </c>
      <c r="BJ190" s="15" t="n">
        <f aca="false">(BJ189)+K190</f>
        <v>10000</v>
      </c>
      <c r="BK190" s="15" t="n">
        <f aca="false">(BK189)+L190</f>
        <v>972.222222222222</v>
      </c>
      <c r="BL190" s="15" t="n">
        <f aca="false">BJ190-BK190</f>
        <v>9027.77777777778</v>
      </c>
      <c r="BM190" s="15" t="n">
        <f aca="false">(BM189)+Y190</f>
        <v>-138619.701407639</v>
      </c>
      <c r="BN190" s="15" t="n">
        <f aca="false">(BN189)+AW190+AX190+AZ190</f>
        <v>130000</v>
      </c>
      <c r="BO190" s="15" t="n">
        <f aca="false">(BO189)+AY190</f>
        <v>0</v>
      </c>
      <c r="BP190" s="15" t="n">
        <f aca="false">0</f>
        <v>0</v>
      </c>
      <c r="BQ190" s="15" t="n">
        <f aca="false">BN190+BM190-BO190</f>
        <v>-8619.70140763887</v>
      </c>
      <c r="BR190" s="15" t="n">
        <f aca="false">BH190+AD190+BL190+MAX(0,-AM190)+MAX(0,-AR190)+AG190</f>
        <v>60253.7122777778</v>
      </c>
      <c r="BS190" s="15" t="n">
        <f aca="false">AJ190+AV190+MAX(0,AM190)+MAX(0,AR190)+BC190+BG190+BQ190</f>
        <v>60253.7122777778</v>
      </c>
      <c r="BT190" s="15" t="n">
        <f aca="false">BR190-BS190</f>
        <v>0</v>
      </c>
      <c r="BU190" s="15" t="n">
        <f aca="false">BH190-(BD190+BE190-BF190-AY190)</f>
        <v>0</v>
      </c>
      <c r="BV190" s="15" t="n">
        <f aca="false">MIN(Piano_SS!$C$6,(BV189)+IF(AND(Motore_Operativo!C190&gt;=EDATE(Parametri_v3!$C$24,Ipotesi!F14*12),Motore_Operativo!C190&lt;EDATE(Parametri_v3!$C$24,Parametri_v3!$C$25+Ipotesi!F14*12)),MAX(0,(Motore_Operativo!Y190+Motore_Operativo!X190*Parametri_v3!$C$14)*(1-Parametri_v3!$C$32))*Piano_SS!$D$6,0))</f>
        <v>0</v>
      </c>
      <c r="BW190" s="15" t="n">
        <f aca="false">MIN(Piano_SS!$C$7,(BW189)+IF(AND(Motore_Operativo!C190&gt;=EDATE(Parametri_v3!$C$24,Ipotesi!F14*12),Motore_Operativo!C190&lt;EDATE(Parametri_v3!$C$24,Parametri_v3!$C$25+Ipotesi!F14*12)),MAX(0,(IF(6-(INT((Ipotesi!$C$91)/30))&lt;1,0,INDEX(Motore_Operativo!$BN$185:$BN$244,MAX(1,6-(INT((Ipotesi!$C$91)/30)))))*(1-(MOD((Ipotesi!$C$91),30)/30))+IF(6-(INT((Ipotesi!$C$91)/30))-1&lt;1,0,INDEX(Motore_Operativo!$BN$185:$BN$244,MAX(1,6-(INT((Ipotesi!$C$91)/30))-1)))*(MOD((Ipotesi!$C$91),30)/30)))*Piano_SS!$D$7,0))</f>
        <v>0</v>
      </c>
      <c r="BX190" s="15" t="n">
        <f aca="false">MIN(Piano_SS!$C$8,(BX189)+IF(AND(Motore_Operativo!C190&gt;=EDATE(Parametri_v3!$C$24,Ipotesi!F14*12),Motore_Operativo!C190&lt;EDATE(Parametri_v3!$C$24,Parametri_v3!$C$25+Ipotesi!F14*12)),MAX(0,Motore_Operativo!CE190)*Piano_SS!$D$8,0))</f>
        <v>0</v>
      </c>
      <c r="BY190" s="15" t="n">
        <f aca="false">MIN(Piano_SS!$C$9,(BY189)+IF(AND(Motore_Operativo!C190&gt;=EDATE(Parametri_v3!$C$24,Ipotesi!F14*12),Motore_Operativo!C190&lt;EDATE(Parametri_v3!$C$24,Parametri_v3!$C$25+Ipotesi!F14*12)),MAX(0,((IF(6-(INT((Ipotesi!$C$91)/30))&lt;1,0,INDEX(Motore_Operativo!$BQ$185:$BQ$244,MAX(1,6-(INT((Ipotesi!$C$91)/30)))))*(1-(MOD((Ipotesi!$C$91),30)/30))+IF(6-(INT((Ipotesi!$C$91)/30))-1&lt;1,0,INDEX(Motore_Operativo!$BQ$185:$BQ$244,MAX(1,6-(INT((Ipotesi!$C$91)/30))-1)))*(MOD((Ipotesi!$C$91),30)/30))+(IF(6-(INT((Ipotesi!$C$91)/30))&lt;1,0,INDEX(Motore_Operativo!$BR$185:$BR$244,MAX(1,6-(INT((Ipotesi!$C$91)/30)))))*(1-(MOD((Ipotesi!$C$91),30)/30))+IF(6-(INT((Ipotesi!$C$91)/30))-1&lt;1,0,INDEX(Motore_Operativo!$BR$185:$BR$244,MAX(1,6-(INT((Ipotesi!$C$91)/30))-1)))*(MOD((Ipotesi!$C$91),30)/30))))*Piano_SS!$D$9,0))</f>
        <v>0</v>
      </c>
      <c r="BZ190" s="15" t="n">
        <f aca="false">MIN(Piano_SS!$C$10,(BZ189)+IF(AND(Motore_Operativo!C190&gt;=EDATE(Parametri_v3!$C$24,Ipotesi!F14*12),Motore_Operativo!C190&lt;EDATE(Parametri_v3!$C$24,Parametri_v3!$C$25+Ipotesi!F14*12)),MAX(0,(IF(6-(INT((Ipotesi!$C$91)/30))&lt;1,0,INDEX(Motore_Operativo!$BO$185:$BO$244,MAX(1,6-(INT((Ipotesi!$C$91)/30)))))*(1-(MOD((Ipotesi!$C$91),30)/30))+IF(6-(INT((Ipotesi!$C$91)/30))-1&lt;1,0,INDEX(Motore_Operativo!$BO$185:$BO$244,MAX(1,6-(INT((Ipotesi!$C$91)/30))-1)))*(MOD((Ipotesi!$C$91),30)/30)))*Piano_SS!$D$10,0))</f>
        <v>0</v>
      </c>
      <c r="CA190" s="15" t="n">
        <f aca="false">SUM(BV190:BZ190)</f>
        <v>0</v>
      </c>
      <c r="CB190" s="15" t="n">
        <f aca="false">BV190*(1-Piano_SS!$E$6)+BW190*(1-Piano_SS!$E$7)+BX190*(1-Piano_SS!$E$8)+BY190*(1-Piano_SS!$E$9)+BZ190*(1-Piano_SS!$E$10)</f>
        <v>0</v>
      </c>
      <c r="CC190" s="15" t="n">
        <f aca="false">(CC189)+BA190</f>
        <v>0</v>
      </c>
      <c r="CD190" s="15" t="n">
        <f aca="false">IF(CA190=0,0,CC190*CB190/CA190*Ipotesi!$C$103*Parametri_v3!$C$64)</f>
        <v>0</v>
      </c>
      <c r="CE190" s="18" t="n">
        <f aca="false">IF(BA190&gt;0,Motore_Operativo!C190,(CE189))</f>
        <v>0</v>
      </c>
      <c r="CF190" s="18" t="n">
        <f aca="false">IF(AND(CC190&gt;0,OR(CC190&gt;=CG190-0.01,Motore_Operativo!C190&gt;=EDATE(MAX(Finanziamenti!$D$15:$D$17),Ipotesi!F14*12))),CE190,0)</f>
        <v>0</v>
      </c>
      <c r="CG190" s="15" t="n">
        <f aca="false">IF(AND(4&lt;&gt;6,4&lt;&gt;9,Finanziamenti!$F$11=1,OR(Parametri_v3!$C$6=0,Finanziamenti!$E$11=1)),MIN(Finanziamenti!$C$11,Piano_SS!$C$12*Ipotesi!$C$102),0)</f>
        <v>400000</v>
      </c>
      <c r="CH190" s="15" t="n">
        <f aca="false">IF(AND(AND(4&lt;&gt;8,4&lt;&gt;9,Finanziamenti!$F$10=1,OR(Parametri_v3!$C$6=0,Finanziamenti!$E$10=1)),Motore_Operativo!C190&gt;=Finanziamenti!$D$10,Motore_Operativo!C190&lt;Parametri_v3!$C$63),Finanziamenti!$C$10,0)</f>
        <v>150000</v>
      </c>
    </row>
    <row r="191" customFormat="false" ht="18" hidden="false" customHeight="true" outlineLevel="0" collapsed="false">
      <c r="A191" s="68" t="n">
        <f aca="false">4</f>
        <v>4</v>
      </c>
      <c r="B191" s="68" t="n">
        <f aca="false">7</f>
        <v>7</v>
      </c>
      <c r="C191" s="18" t="n">
        <f aca="false">Motore_Operativo!C191</f>
        <v>46569</v>
      </c>
      <c r="D191" s="68" t="n">
        <f aca="false">Motore_Operativo!D191</f>
        <v>2027</v>
      </c>
      <c r="E191" s="68" t="n">
        <f aca="false">Motore_Operativo!E191</f>
        <v>7</v>
      </c>
      <c r="F191" s="15" t="n">
        <f aca="false">Motore_Operativo!AQ191+Motore_Operativo!BF191</f>
        <v>3829.16666666667</v>
      </c>
      <c r="G191" s="15" t="n">
        <f aca="false">Motore_Operativo!BH191</f>
        <v>825</v>
      </c>
      <c r="H191" s="15" t="n">
        <f aca="false">Motore_Operativo!BI191</f>
        <v>4654.16666666667</v>
      </c>
      <c r="I191" s="15" t="n">
        <f aca="false">Motore_Operativo!CA191</f>
        <v>27503.4166666667</v>
      </c>
      <c r="J191" s="15" t="n">
        <f aca="false">Motore_Operativo!CC191</f>
        <v>-22849.25</v>
      </c>
      <c r="K191" s="15" t="n">
        <f aca="false">Motore_Operativo!CE191</f>
        <v>1666.66666666667</v>
      </c>
      <c r="L191" s="15" t="n">
        <f aca="false">SUM(INDEX($K$185:$K$244,MAX(1,7-Parametri_v3!$C$59+1)):K191)/Parametri_v3!$C$59</f>
        <v>324.074074074074</v>
      </c>
      <c r="M191" s="15" t="n">
        <f aca="false">J191-L191</f>
        <v>-23173.3240740741</v>
      </c>
      <c r="N191" s="15" t="n">
        <f aca="false">CD191-(CD190)</f>
        <v>0</v>
      </c>
      <c r="O191" s="15" t="n">
        <f aca="false">(BG190)*Ipotesi!$C$110/12+CH191*Parametri_v3!$C$39/12</f>
        <v>203.780435927083</v>
      </c>
      <c r="P191" s="15" t="n">
        <f aca="false">M191+N191-O191</f>
        <v>-23377.1045100012</v>
      </c>
      <c r="Q191" s="15" t="n">
        <f aca="false">SUM(P185:P191)+Parametri_v3!$C$54*7/12</f>
        <v>-161996.80591764</v>
      </c>
      <c r="R191" s="15" t="n">
        <f aca="false">0</f>
        <v>0</v>
      </c>
      <c r="S191" s="15" t="n">
        <f aca="false">0</f>
        <v>0</v>
      </c>
      <c r="T191" s="15" t="n">
        <f aca="false">MIN(R191,MAX(0,Q191))</f>
        <v>0</v>
      </c>
      <c r="U191" s="15" t="n">
        <f aca="false">MIN(S191,MAX(0,Q191-T191)*Parametri_v3!$C$42)</f>
        <v>0</v>
      </c>
      <c r="V191" s="15" t="n">
        <f aca="false">MAX(0,Q191-T191-U191)*Ipotesi!$C$92</f>
        <v>0</v>
      </c>
      <c r="W191" s="15" t="n">
        <f aca="false">MAX(0,SUM(M185:M191)+Parametri_v3!$C$55*7/12)*Ipotesi!$C$93</f>
        <v>0</v>
      </c>
      <c r="X191" s="15" t="n">
        <f aca="false">V191+W191-(V190+W190)</f>
        <v>0</v>
      </c>
      <c r="Y191" s="15" t="n">
        <f aca="false">P191-X191</f>
        <v>-23377.1045100012</v>
      </c>
      <c r="Z191" s="15" t="n">
        <f aca="false">R191-T191+IF(AND(Parametri_v3!$C$40=1,D191-YEAR(Parametri_v3!$C$50)&lt;Parametri_v3!$C$41),MAX(0,-Q191),0)</f>
        <v>161996.80591764</v>
      </c>
      <c r="AA191" s="15" t="n">
        <f aca="false">S191-U191+IF(AND(Parametri_v3!$C$40=1,D191-YEAR(Parametri_v3!$C$50)&lt;Parametri_v3!$C$41),0,MAX(0,-Q191))</f>
        <v>0</v>
      </c>
      <c r="AB191" s="15" t="n">
        <f aca="false">F191*(1+Parametri_v3!$C$26)</f>
        <v>4671.58333333333</v>
      </c>
      <c r="AC191" s="15" t="n">
        <f aca="false">(IF(7-(INT((Motore_Operativo!L191)/30))&lt;1,0,INDEX(Motore_Startup!$AB$185:$AB$244,MAX(1,7-(INT((Motore_Operativo!L191)/30)))))*(1-(MOD((Motore_Operativo!L191),30)/30))+IF(7-(INT((Motore_Operativo!L191)/30))-1&lt;1,0,INDEX(Motore_Startup!$AB$185:$AB$244,MAX(1,7-(INT((Motore_Operativo!L191)/30))-1)))*(MOD((Motore_Operativo!L191),30)/30))</f>
        <v>4529.25</v>
      </c>
      <c r="AD191" s="15" t="n">
        <f aca="false">(AD190)+AB191-AC191</f>
        <v>18442.3333333333</v>
      </c>
      <c r="AE191" s="15" t="n">
        <f aca="false">Motore_Operativo!BH191*(1+Parametri_v3!$C$26)</f>
        <v>1006.5</v>
      </c>
      <c r="AF191" s="15" t="n">
        <f aca="false">(IF(7-(INT((Parametri_v3!$C$29)/30))&lt;1,0,INDEX(Motore_Operativo!$BH$185:$BH$244,MAX(1,7-(INT((Parametri_v3!$C$29)/30)))))*(1-(MOD((Parametri_v3!$C$29),30)/30))+IF(7-(INT((Parametri_v3!$C$29)/30))-1&lt;1,0,INDEX(Motore_Operativo!$BH$185:$BH$244,MAX(1,7-(INT((Parametri_v3!$C$29)/30))-1)))*(MOD((Parametri_v3!$C$29),30)/30))*(1+Parametri_v3!$C$26)</f>
        <v>1006.5</v>
      </c>
      <c r="AG191" s="15" t="n">
        <f aca="false">(AG190)+AE191-AF191</f>
        <v>1006.5</v>
      </c>
      <c r="AH191" s="15" t="n">
        <f aca="false">(Motore_Operativo!CJ191)*(1+Parametri_v3!$C$27*Parametri_v3!$C$26)</f>
        <v>11379.47225</v>
      </c>
      <c r="AI191" s="15" t="n">
        <f aca="false">(IF(7-(INT((Ipotesi!$C$91)/30))&lt;1,0,INDEX(Motore_Startup!$AH$185:$AH$244,MAX(1,7-(INT((Ipotesi!$C$91)/30)))))*(1-(MOD((Ipotesi!$C$91),30)/30))+IF(7-(INT((Ipotesi!$C$91)/30))-1&lt;1,0,INDEX(Motore_Startup!$AH$185:$AH$244,MAX(1,7-(INT((Ipotesi!$C$91)/30))-1)))*(MOD((Ipotesi!$C$91),30)/30))</f>
        <v>11368.3935833333</v>
      </c>
      <c r="AJ191" s="15" t="n">
        <f aca="false">(AJ190)+AH191-AI191</f>
        <v>22753.4051666667</v>
      </c>
      <c r="AK191" s="15" t="n">
        <f aca="false">(F191+ Motore_Operativo!BH191-(Motore_Operativo!CJ191)*Parametri_v3!$C$27-Motore_Operativo!CE191)*Parametri_v3!$C$26</f>
        <v>-1135.47225</v>
      </c>
      <c r="AL191" s="15" t="n">
        <f aca="false">MAX(0,(AM190))</f>
        <v>0</v>
      </c>
      <c r="AM191" s="15" t="n">
        <f aca="false">(AM190)+AK191-AL191</f>
        <v>-8054.90675</v>
      </c>
      <c r="AN191" s="15" t="n">
        <f aca="false">0</f>
        <v>0</v>
      </c>
      <c r="AO191" s="15" t="n">
        <f aca="false">0</f>
        <v>0</v>
      </c>
      <c r="AP191" s="15" t="n">
        <f aca="false">MAX(0,AN191)*IF(7=Parametri_v3!$C$43,Parametri_v3!$C$45,IF(7=Parametri_v3!$C$44,1-Parametri_v3!$C$45,0))</f>
        <v>0</v>
      </c>
      <c r="AQ191" s="15" t="n">
        <f aca="false">MAX(0,AP191+IF(7=Parametri_v3!$C$43,MAX(0,AN191-AO191),0)-MAX(0,-(AR190)))</f>
        <v>0</v>
      </c>
      <c r="AR191" s="15" t="n">
        <f aca="false">(AR190)+X191-AQ191</f>
        <v>0</v>
      </c>
      <c r="AS191" s="15" t="n">
        <f aca="false">Motore_Operativo!AB191-AT191+AU191</f>
        <v>17020.8333333333</v>
      </c>
      <c r="AT191" s="15" t="n">
        <f aca="false">Motore_Operativo!CH191</f>
        <v>895.833333333334</v>
      </c>
      <c r="AU191" s="15" t="n">
        <f aca="false">MIN(MAX(0,(AV190)+AT191),Parametri_v3!$C$60/12)</f>
        <v>0</v>
      </c>
      <c r="AV191" s="15" t="n">
        <f aca="false">(AV190)+AT191-AU191</f>
        <v>6270.83333333334</v>
      </c>
      <c r="AW191" s="15" t="n">
        <f aca="false">IF(AND(Motore_Operativo!C191=Finanziamenti!$D$6,Finanziamenti!$F$6=1),Finanziamenti!$C$6,0)</f>
        <v>0</v>
      </c>
      <c r="AX191" s="15" t="n">
        <f aca="false">IF(AND(4&lt;&gt;7,4&lt;&gt;9,Finanziamenti!$F$8=1,OR(Parametri_v3!$C$6=0,Finanziamenti!$E$8=1),Motore_Operativo!C191=EDATE(Finanziamenti!$D$8,Ipotesi!F15*12)),Finanziamenti!$C$8*1,0)+IF(AND(4&lt;&gt;7,4&lt;&gt;9,Finanziamenti!$F$9=1,OR(Parametri_v3!$C$6=0,Finanziamenti!$E$9=1),Motore_Operativo!C191=EDATE(Finanziamenti!$D$9,Ipotesi!F15*12)),Finanziamenti!$C$9*Ipotesi!F16,0)</f>
        <v>0</v>
      </c>
      <c r="AY191" s="15" t="n">
        <f aca="false">0</f>
        <v>0</v>
      </c>
      <c r="AZ191" s="15" t="n">
        <f aca="false">Motore_Advisory!AY191*(1-Ipotesi!$C$95)*Ipotesi!$C$96</f>
        <v>0</v>
      </c>
      <c r="BA191" s="15" t="n">
        <f aca="false">MAX(0,MIN(CG191*MIN(1,IF(Motore_Operativo!C191&gt;=EDATE(Finanziamenti!$D$15,Ipotesi!F14*12),Finanziamenti!$C$15,0)+IF(Motore_Operativo!C191&gt;=EDATE(Finanziamenti!$D$16,Ipotesi!F14*12),Finanziamenti!$C$16,0)+IF(Motore_Operativo!C191&gt;=EDATE(Finanziamenti!$D$17,Ipotesi!F14*12),Finanziamenti!$C$17,0)),CA191*Ipotesi!$C$102)-(CC190))</f>
        <v>0</v>
      </c>
      <c r="BB191" s="15" t="n">
        <f aca="false">IF(AND(CF191&gt;0,Motore_Operativo!C191&gt;=IF(CF191=0,0,EDATE(CF191,Parametri_v3!$C$37)),MOD(((D191-YEAR(IF(CF191=0,0,EDATE(CF191,Parametri_v3!$C$37))))*12+E191-MONTH(IF(CF191=0,0,EDATE(CF191,Parametri_v3!$C$37)))),Parametri_v3!$C$38)=0),MIN(MAX(0,(BC190)+BA191-N191),(CC191-CD191)/(Ipotesi!$C$108*12/Parametri_v3!$C$38)),0)</f>
        <v>0</v>
      </c>
      <c r="BC191" s="15" t="n">
        <f aca="false">(BC190)+BA191-N191-BB191</f>
        <v>0</v>
      </c>
      <c r="BD191" s="15" t="n">
        <f aca="false">(BH190)+AC191+AF191-AI191-AS191-K191*(1+Parametri_v3!$C$26)-AL191-AQ191-O191+AW191+AX191+AZ191+BA191-BB191</f>
        <v>-90.5906859270833</v>
      </c>
      <c r="BE191" s="15" t="n">
        <f aca="false">MAX(0,MIN(MAX(0,CH191-(BG190)),Parametri_v3!$C$30-BD191))</f>
        <v>25090.5906859271</v>
      </c>
      <c r="BF191" s="15" t="n">
        <f aca="false">IF(Motore_Operativo!C191&gt;=Parametri_v3!$C$63,(BG190),MIN((BG190),MAX(0,BD191-Parametri_v3!$C$30)))</f>
        <v>0</v>
      </c>
      <c r="BG191" s="15" t="n">
        <f aca="false">(BG190)+BE191-BF191</f>
        <v>65846.6778713437</v>
      </c>
      <c r="BH191" s="15" t="n">
        <f aca="false">BD191+BE191-BF191-AY191</f>
        <v>25000</v>
      </c>
      <c r="BI191" s="15" t="n">
        <f aca="false">MAX(0,Parametri_v3!$C$30-BH191)</f>
        <v>0</v>
      </c>
      <c r="BJ191" s="15" t="n">
        <f aca="false">(BJ190)+K191</f>
        <v>11666.6666666667</v>
      </c>
      <c r="BK191" s="15" t="n">
        <f aca="false">(BK190)+L191</f>
        <v>1296.2962962963</v>
      </c>
      <c r="BL191" s="15" t="n">
        <f aca="false">BJ191-BK191</f>
        <v>10370.3703703704</v>
      </c>
      <c r="BM191" s="15" t="n">
        <f aca="false">(BM190)+Y191</f>
        <v>-161996.80591764</v>
      </c>
      <c r="BN191" s="15" t="n">
        <f aca="false">(BN190)+AW191+AX191+AZ191</f>
        <v>130000</v>
      </c>
      <c r="BO191" s="15" t="n">
        <f aca="false">(BO190)+AY191</f>
        <v>0</v>
      </c>
      <c r="BP191" s="15" t="n">
        <f aca="false">0</f>
        <v>0</v>
      </c>
      <c r="BQ191" s="15" t="n">
        <f aca="false">BN191+BM191-BO191</f>
        <v>-31996.80591764</v>
      </c>
      <c r="BR191" s="15" t="n">
        <f aca="false">BH191+AD191+BL191+MAX(0,-AM191)+MAX(0,-AR191)+AG191</f>
        <v>62874.1104537037</v>
      </c>
      <c r="BS191" s="15" t="n">
        <f aca="false">AJ191+AV191+MAX(0,AM191)+MAX(0,AR191)+BC191+BG191+BQ191</f>
        <v>62874.1104537037</v>
      </c>
      <c r="BT191" s="15" t="n">
        <f aca="false">BR191-BS191</f>
        <v>0</v>
      </c>
      <c r="BU191" s="15" t="n">
        <f aca="false">BH191-(BD191+BE191-BF191-AY191)</f>
        <v>0</v>
      </c>
      <c r="BV191" s="15" t="n">
        <f aca="false">MIN(Piano_SS!$C$6,(BV190)+IF(AND(Motore_Operativo!C191&gt;=EDATE(Parametri_v3!$C$24,Ipotesi!F14*12),Motore_Operativo!C191&lt;EDATE(Parametri_v3!$C$24,Parametri_v3!$C$25+Ipotesi!F14*12)),MAX(0,(Motore_Operativo!Y191+Motore_Operativo!X191*Parametri_v3!$C$14)*(1-Parametri_v3!$C$32))*Piano_SS!$D$6,0))</f>
        <v>0</v>
      </c>
      <c r="BW191" s="15" t="n">
        <f aca="false">MIN(Piano_SS!$C$7,(BW190)+IF(AND(Motore_Operativo!C191&gt;=EDATE(Parametri_v3!$C$24,Ipotesi!F14*12),Motore_Operativo!C191&lt;EDATE(Parametri_v3!$C$24,Parametri_v3!$C$25+Ipotesi!F14*12)),MAX(0,(IF(7-(INT((Ipotesi!$C$91)/30))&lt;1,0,INDEX(Motore_Operativo!$BN$185:$BN$244,MAX(1,7-(INT((Ipotesi!$C$91)/30)))))*(1-(MOD((Ipotesi!$C$91),30)/30))+IF(7-(INT((Ipotesi!$C$91)/30))-1&lt;1,0,INDEX(Motore_Operativo!$BN$185:$BN$244,MAX(1,7-(INT((Ipotesi!$C$91)/30))-1)))*(MOD((Ipotesi!$C$91),30)/30)))*Piano_SS!$D$7,0))</f>
        <v>0</v>
      </c>
      <c r="BX191" s="15" t="n">
        <f aca="false">MIN(Piano_SS!$C$8,(BX190)+IF(AND(Motore_Operativo!C191&gt;=EDATE(Parametri_v3!$C$24,Ipotesi!F14*12),Motore_Operativo!C191&lt;EDATE(Parametri_v3!$C$24,Parametri_v3!$C$25+Ipotesi!F14*12)),MAX(0,Motore_Operativo!CE191)*Piano_SS!$D$8,0))</f>
        <v>0</v>
      </c>
      <c r="BY191" s="15" t="n">
        <f aca="false">MIN(Piano_SS!$C$9,(BY190)+IF(AND(Motore_Operativo!C191&gt;=EDATE(Parametri_v3!$C$24,Ipotesi!F14*12),Motore_Operativo!C191&lt;EDATE(Parametri_v3!$C$24,Parametri_v3!$C$25+Ipotesi!F14*12)),MAX(0,((IF(7-(INT((Ipotesi!$C$91)/30))&lt;1,0,INDEX(Motore_Operativo!$BQ$185:$BQ$244,MAX(1,7-(INT((Ipotesi!$C$91)/30)))))*(1-(MOD((Ipotesi!$C$91),30)/30))+IF(7-(INT((Ipotesi!$C$91)/30))-1&lt;1,0,INDEX(Motore_Operativo!$BQ$185:$BQ$244,MAX(1,7-(INT((Ipotesi!$C$91)/30))-1)))*(MOD((Ipotesi!$C$91),30)/30))+(IF(7-(INT((Ipotesi!$C$91)/30))&lt;1,0,INDEX(Motore_Operativo!$BR$185:$BR$244,MAX(1,7-(INT((Ipotesi!$C$91)/30)))))*(1-(MOD((Ipotesi!$C$91),30)/30))+IF(7-(INT((Ipotesi!$C$91)/30))-1&lt;1,0,INDEX(Motore_Operativo!$BR$185:$BR$244,MAX(1,7-(INT((Ipotesi!$C$91)/30))-1)))*(MOD((Ipotesi!$C$91),30)/30))))*Piano_SS!$D$9,0))</f>
        <v>0</v>
      </c>
      <c r="BZ191" s="15" t="n">
        <f aca="false">MIN(Piano_SS!$C$10,(BZ190)+IF(AND(Motore_Operativo!C191&gt;=EDATE(Parametri_v3!$C$24,Ipotesi!F14*12),Motore_Operativo!C191&lt;EDATE(Parametri_v3!$C$24,Parametri_v3!$C$25+Ipotesi!F14*12)),MAX(0,(IF(7-(INT((Ipotesi!$C$91)/30))&lt;1,0,INDEX(Motore_Operativo!$BO$185:$BO$244,MAX(1,7-(INT((Ipotesi!$C$91)/30)))))*(1-(MOD((Ipotesi!$C$91),30)/30))+IF(7-(INT((Ipotesi!$C$91)/30))-1&lt;1,0,INDEX(Motore_Operativo!$BO$185:$BO$244,MAX(1,7-(INT((Ipotesi!$C$91)/30))-1)))*(MOD((Ipotesi!$C$91),30)/30)))*Piano_SS!$D$10,0))</f>
        <v>0</v>
      </c>
      <c r="CA191" s="15" t="n">
        <f aca="false">SUM(BV191:BZ191)</f>
        <v>0</v>
      </c>
      <c r="CB191" s="15" t="n">
        <f aca="false">BV191*(1-Piano_SS!$E$6)+BW191*(1-Piano_SS!$E$7)+BX191*(1-Piano_SS!$E$8)+BY191*(1-Piano_SS!$E$9)+BZ191*(1-Piano_SS!$E$10)</f>
        <v>0</v>
      </c>
      <c r="CC191" s="15" t="n">
        <f aca="false">(CC190)+BA191</f>
        <v>0</v>
      </c>
      <c r="CD191" s="15" t="n">
        <f aca="false">IF(CA191=0,0,CC191*CB191/CA191*Ipotesi!$C$103*Parametri_v3!$C$64)</f>
        <v>0</v>
      </c>
      <c r="CE191" s="18" t="n">
        <f aca="false">IF(BA191&gt;0,Motore_Operativo!C191,(CE190))</f>
        <v>0</v>
      </c>
      <c r="CF191" s="18" t="n">
        <f aca="false">IF(AND(CC191&gt;0,OR(CC191&gt;=CG191-0.01,Motore_Operativo!C191&gt;=EDATE(MAX(Finanziamenti!$D$15:$D$17),Ipotesi!F14*12))),CE191,0)</f>
        <v>0</v>
      </c>
      <c r="CG191" s="15" t="n">
        <f aca="false">IF(AND(4&lt;&gt;6,4&lt;&gt;9,Finanziamenti!$F$11=1,OR(Parametri_v3!$C$6=0,Finanziamenti!$E$11=1)),MIN(Finanziamenti!$C$11,Piano_SS!$C$12*Ipotesi!$C$102),0)</f>
        <v>400000</v>
      </c>
      <c r="CH191" s="15" t="n">
        <f aca="false">IF(AND(AND(4&lt;&gt;8,4&lt;&gt;9,Finanziamenti!$F$10=1,OR(Parametri_v3!$C$6=0,Finanziamenti!$E$10=1)),Motore_Operativo!C191&gt;=Finanziamenti!$D$10,Motore_Operativo!C191&lt;Parametri_v3!$C$63),Finanziamenti!$C$10,0)</f>
        <v>150000</v>
      </c>
    </row>
    <row r="192" customFormat="false" ht="18" hidden="false" customHeight="true" outlineLevel="0" collapsed="false">
      <c r="A192" s="68" t="n">
        <f aca="false">4</f>
        <v>4</v>
      </c>
      <c r="B192" s="68" t="n">
        <f aca="false">8</f>
        <v>8</v>
      </c>
      <c r="C192" s="18" t="n">
        <f aca="false">Motore_Operativo!C192</f>
        <v>46600</v>
      </c>
      <c r="D192" s="68" t="n">
        <f aca="false">Motore_Operativo!D192</f>
        <v>2027</v>
      </c>
      <c r="E192" s="68" t="n">
        <f aca="false">Motore_Operativo!E192</f>
        <v>8</v>
      </c>
      <c r="F192" s="15" t="n">
        <f aca="false">Motore_Operativo!AQ192+Motore_Operativo!BF192</f>
        <v>3862.5</v>
      </c>
      <c r="G192" s="15" t="n">
        <f aca="false">Motore_Operativo!BH192</f>
        <v>825</v>
      </c>
      <c r="H192" s="15" t="n">
        <f aca="false">Motore_Operativo!BI192</f>
        <v>4687.5</v>
      </c>
      <c r="I192" s="15" t="n">
        <f aca="false">Motore_Operativo!CA192</f>
        <v>27508.0833333333</v>
      </c>
      <c r="J192" s="15" t="n">
        <f aca="false">Motore_Operativo!CC192</f>
        <v>-22820.5833333333</v>
      </c>
      <c r="K192" s="15" t="n">
        <f aca="false">Motore_Operativo!CE192</f>
        <v>1666.66666666667</v>
      </c>
      <c r="L192" s="15" t="n">
        <f aca="false">SUM(INDEX($K$185:$K$244,MAX(1,8-Parametri_v3!$C$59+1)):K192)/Parametri_v3!$C$59</f>
        <v>370.37037037037</v>
      </c>
      <c r="M192" s="15" t="n">
        <f aca="false">J192-L192</f>
        <v>-23190.9537037037</v>
      </c>
      <c r="N192" s="15" t="n">
        <f aca="false">CD192-(CD191)</f>
        <v>0</v>
      </c>
      <c r="O192" s="15" t="n">
        <f aca="false">(BG191)*Ipotesi!$C$110/12+CH192*Parametri_v3!$C$39/12</f>
        <v>329.233389356719</v>
      </c>
      <c r="P192" s="15" t="n">
        <f aca="false">M192+N192-O192</f>
        <v>-23520.1870930604</v>
      </c>
      <c r="Q192" s="15" t="n">
        <f aca="false">SUM(P185:P192)+Parametri_v3!$C$54*8/12</f>
        <v>-185516.9930107</v>
      </c>
      <c r="R192" s="15" t="n">
        <f aca="false">0</f>
        <v>0</v>
      </c>
      <c r="S192" s="15" t="n">
        <f aca="false">0</f>
        <v>0</v>
      </c>
      <c r="T192" s="15" t="n">
        <f aca="false">MIN(R192,MAX(0,Q192))</f>
        <v>0</v>
      </c>
      <c r="U192" s="15" t="n">
        <f aca="false">MIN(S192,MAX(0,Q192-T192)*Parametri_v3!$C$42)</f>
        <v>0</v>
      </c>
      <c r="V192" s="15" t="n">
        <f aca="false">MAX(0,Q192-T192-U192)*Ipotesi!$C$92</f>
        <v>0</v>
      </c>
      <c r="W192" s="15" t="n">
        <f aca="false">MAX(0,SUM(M185:M192)+Parametri_v3!$C$55*8/12)*Ipotesi!$C$93</f>
        <v>0</v>
      </c>
      <c r="X192" s="15" t="n">
        <f aca="false">V192+W192-(V191+W191)</f>
        <v>0</v>
      </c>
      <c r="Y192" s="15" t="n">
        <f aca="false">P192-X192</f>
        <v>-23520.1870930604</v>
      </c>
      <c r="Z192" s="15" t="n">
        <f aca="false">R192-T192+IF(AND(Parametri_v3!$C$40=1,D192-YEAR(Parametri_v3!$C$50)&lt;Parametri_v3!$C$41),MAX(0,-Q192),0)</f>
        <v>185516.9930107</v>
      </c>
      <c r="AA192" s="15" t="n">
        <f aca="false">S192-U192+IF(AND(Parametri_v3!$C$40=1,D192-YEAR(Parametri_v3!$C$50)&lt;Parametri_v3!$C$41),0,MAX(0,-Q192))</f>
        <v>0</v>
      </c>
      <c r="AB192" s="15" t="n">
        <f aca="false">F192*(1+Parametri_v3!$C$26)</f>
        <v>4712.25</v>
      </c>
      <c r="AC192" s="15" t="n">
        <f aca="false">(IF(8-(INT((Motore_Operativo!L192)/30))&lt;1,0,INDEX(Motore_Startup!$AB$185:$AB$244,MAX(1,8-(INT((Motore_Operativo!L192)/30)))))*(1-(MOD((Motore_Operativo!L192),30)/30))+IF(8-(INT((Motore_Operativo!L192)/30))-1&lt;1,0,INDEX(Motore_Startup!$AB$185:$AB$244,MAX(1,8-(INT((Motore_Operativo!L192)/30))-1)))*(MOD((Motore_Operativo!L192),30)/30))</f>
        <v>4549.58333333333</v>
      </c>
      <c r="AD192" s="15" t="n">
        <f aca="false">(AD191)+AB192-AC192</f>
        <v>18605</v>
      </c>
      <c r="AE192" s="15" t="n">
        <f aca="false">Motore_Operativo!BH192*(1+Parametri_v3!$C$26)</f>
        <v>1006.5</v>
      </c>
      <c r="AF192" s="15" t="n">
        <f aca="false">(IF(8-(INT((Parametri_v3!$C$29)/30))&lt;1,0,INDEX(Motore_Operativo!$BH$185:$BH$244,MAX(1,8-(INT((Parametri_v3!$C$29)/30)))))*(1-(MOD((Parametri_v3!$C$29),30)/30))+IF(8-(INT((Parametri_v3!$C$29)/30))-1&lt;1,0,INDEX(Motore_Operativo!$BH$185:$BH$244,MAX(1,8-(INT((Parametri_v3!$C$29)/30))-1)))*(MOD((Parametri_v3!$C$29),30)/30))*(1+Parametri_v3!$C$26)</f>
        <v>1006.5</v>
      </c>
      <c r="AG192" s="15" t="n">
        <f aca="false">(AG191)+AE192-AF192</f>
        <v>1006.5</v>
      </c>
      <c r="AH192" s="15" t="n">
        <f aca="false">(Motore_Operativo!CJ192)*(1+Parametri_v3!$C$27*Parametri_v3!$C$26)</f>
        <v>11385.0115833333</v>
      </c>
      <c r="AI192" s="15" t="n">
        <f aca="false">(IF(8-(INT((Ipotesi!$C$91)/30))&lt;1,0,INDEX(Motore_Startup!$AH$185:$AH$244,MAX(1,8-(INT((Ipotesi!$C$91)/30)))))*(1-(MOD((Ipotesi!$C$91),30)/30))+IF(8-(INT((Ipotesi!$C$91)/30))-1&lt;1,0,INDEX(Motore_Startup!$AH$185:$AH$244,MAX(1,8-(INT((Ipotesi!$C$91)/30))-1)))*(MOD((Ipotesi!$C$91),30)/30))</f>
        <v>11373.9329166667</v>
      </c>
      <c r="AJ192" s="15" t="n">
        <f aca="false">(AJ191)+AH192-AI192</f>
        <v>22764.4838333333</v>
      </c>
      <c r="AK192" s="15" t="n">
        <f aca="false">(F192+ Motore_Operativo!BH192-(Motore_Operativo!CJ192)*Parametri_v3!$C$27-Motore_Operativo!CE192)*Parametri_v3!$C$26</f>
        <v>-1129.01158333333</v>
      </c>
      <c r="AL192" s="15" t="n">
        <f aca="false">MAX(0,(AM191))</f>
        <v>0</v>
      </c>
      <c r="AM192" s="15" t="n">
        <f aca="false">(AM191)+AK192-AL192</f>
        <v>-9183.91833333333</v>
      </c>
      <c r="AN192" s="15" t="n">
        <f aca="false">0</f>
        <v>0</v>
      </c>
      <c r="AO192" s="15" t="n">
        <f aca="false">0</f>
        <v>0</v>
      </c>
      <c r="AP192" s="15" t="n">
        <f aca="false">MAX(0,AN192)*IF(8=Parametri_v3!$C$43,Parametri_v3!$C$45,IF(8=Parametri_v3!$C$44,1-Parametri_v3!$C$45,0))</f>
        <v>0</v>
      </c>
      <c r="AQ192" s="15" t="n">
        <f aca="false">MAX(0,AP192+IF(8=Parametri_v3!$C$43,MAX(0,AN192-AO192),0)-MAX(0,-(AR191)))</f>
        <v>0</v>
      </c>
      <c r="AR192" s="15" t="n">
        <f aca="false">(AR191)+X192-AQ192</f>
        <v>0</v>
      </c>
      <c r="AS192" s="15" t="n">
        <f aca="false">Motore_Operativo!AB192-AT192+AU192</f>
        <v>17020.8333333333</v>
      </c>
      <c r="AT192" s="15" t="n">
        <f aca="false">Motore_Operativo!CH192</f>
        <v>895.833333333334</v>
      </c>
      <c r="AU192" s="15" t="n">
        <f aca="false">MIN(MAX(0,(AV191)+AT192),Parametri_v3!$C$60/12)</f>
        <v>0</v>
      </c>
      <c r="AV192" s="15" t="n">
        <f aca="false">(AV191)+AT192-AU192</f>
        <v>7166.66666666667</v>
      </c>
      <c r="AW192" s="15" t="n">
        <f aca="false">IF(AND(Motore_Operativo!C192=Finanziamenti!$D$6,Finanziamenti!$F$6=1),Finanziamenti!$C$6,0)</f>
        <v>0</v>
      </c>
      <c r="AX192" s="15" t="n">
        <f aca="false">IF(AND(4&lt;&gt;7,4&lt;&gt;9,Finanziamenti!$F$8=1,OR(Parametri_v3!$C$6=0,Finanziamenti!$E$8=1),Motore_Operativo!C192=EDATE(Finanziamenti!$D$8,Ipotesi!F15*12)),Finanziamenti!$C$8*1,0)+IF(AND(4&lt;&gt;7,4&lt;&gt;9,Finanziamenti!$F$9=1,OR(Parametri_v3!$C$6=0,Finanziamenti!$E$9=1),Motore_Operativo!C192=EDATE(Finanziamenti!$D$9,Ipotesi!F15*12)),Finanziamenti!$C$9*Ipotesi!F16,0)</f>
        <v>0</v>
      </c>
      <c r="AY192" s="15" t="n">
        <f aca="false">0</f>
        <v>0</v>
      </c>
      <c r="AZ192" s="15" t="n">
        <f aca="false">Motore_Advisory!AY192*(1-Ipotesi!$C$95)*Ipotesi!$C$96</f>
        <v>0</v>
      </c>
      <c r="BA192" s="15" t="n">
        <f aca="false">MAX(0,MIN(CG192*MIN(1,IF(Motore_Operativo!C192&gt;=EDATE(Finanziamenti!$D$15,Ipotesi!F14*12),Finanziamenti!$C$15,0)+IF(Motore_Operativo!C192&gt;=EDATE(Finanziamenti!$D$16,Ipotesi!F14*12),Finanziamenti!$C$16,0)+IF(Motore_Operativo!C192&gt;=EDATE(Finanziamenti!$D$17,Ipotesi!F14*12),Finanziamenti!$C$17,0)),CA192*Ipotesi!$C$102)-(CC191))</f>
        <v>0</v>
      </c>
      <c r="BB192" s="15" t="n">
        <f aca="false">IF(AND(CF192&gt;0,Motore_Operativo!C192&gt;=IF(CF192=0,0,EDATE(CF192,Parametri_v3!$C$37)),MOD(((D192-YEAR(IF(CF192=0,0,EDATE(CF192,Parametri_v3!$C$37))))*12+E192-MONTH(IF(CF192=0,0,EDATE(CF192,Parametri_v3!$C$37)))),Parametri_v3!$C$38)=0),MIN(MAX(0,(BC191)+BA192-N192),(CC192-CD192)/(Ipotesi!$C$108*12/Parametri_v3!$C$38)),0)</f>
        <v>0</v>
      </c>
      <c r="BC192" s="15" t="n">
        <f aca="false">(BC191)+BA192-N192-BB192</f>
        <v>0</v>
      </c>
      <c r="BD192" s="15" t="n">
        <f aca="false">(BH191)+AC192+AF192-AI192-AS192-K192*(1+Parametri_v3!$C$26)-AL192-AQ192-O192+AW192+AX192+AZ192+BA192-BB192</f>
        <v>-201.249639356717</v>
      </c>
      <c r="BE192" s="15" t="n">
        <f aca="false">MAX(0,MIN(MAX(0,CH192-(BG191)),Parametri_v3!$C$30-BD192))</f>
        <v>25201.2496393567</v>
      </c>
      <c r="BF192" s="15" t="n">
        <f aca="false">IF(Motore_Operativo!C192&gt;=Parametri_v3!$C$63,(BG191),MIN((BG191),MAX(0,BD192-Parametri_v3!$C$30)))</f>
        <v>0</v>
      </c>
      <c r="BG192" s="15" t="n">
        <f aca="false">(BG191)+BE192-BF192</f>
        <v>91047.9275107005</v>
      </c>
      <c r="BH192" s="15" t="n">
        <f aca="false">BD192+BE192-BF192-AY192</f>
        <v>25000</v>
      </c>
      <c r="BI192" s="15" t="n">
        <f aca="false">MAX(0,Parametri_v3!$C$30-BH192)</f>
        <v>0</v>
      </c>
      <c r="BJ192" s="15" t="n">
        <f aca="false">(BJ191)+K192</f>
        <v>13333.3333333333</v>
      </c>
      <c r="BK192" s="15" t="n">
        <f aca="false">(BK191)+L192</f>
        <v>1666.66666666667</v>
      </c>
      <c r="BL192" s="15" t="n">
        <f aca="false">BJ192-BK192</f>
        <v>11666.6666666667</v>
      </c>
      <c r="BM192" s="15" t="n">
        <f aca="false">(BM191)+Y192</f>
        <v>-185516.9930107</v>
      </c>
      <c r="BN192" s="15" t="n">
        <f aca="false">(BN191)+AW192+AX192+AZ192</f>
        <v>130000</v>
      </c>
      <c r="BO192" s="15" t="n">
        <f aca="false">(BO191)+AY192</f>
        <v>0</v>
      </c>
      <c r="BP192" s="15" t="n">
        <f aca="false">0</f>
        <v>0</v>
      </c>
      <c r="BQ192" s="15" t="n">
        <f aca="false">BN192+BM192-BO192</f>
        <v>-55516.9930107005</v>
      </c>
      <c r="BR192" s="15" t="n">
        <f aca="false">BH192+AD192+BL192+MAX(0,-AM192)+MAX(0,-AR192)+AG192</f>
        <v>65462.085</v>
      </c>
      <c r="BS192" s="15" t="n">
        <f aca="false">AJ192+AV192+MAX(0,AM192)+MAX(0,AR192)+BC192+BG192+BQ192</f>
        <v>65462.085</v>
      </c>
      <c r="BT192" s="15" t="n">
        <f aca="false">BR192-BS192</f>
        <v>0</v>
      </c>
      <c r="BU192" s="15" t="n">
        <f aca="false">BH192-(BD192+BE192-BF192-AY192)</f>
        <v>0</v>
      </c>
      <c r="BV192" s="15" t="n">
        <f aca="false">MIN(Piano_SS!$C$6,(BV191)+IF(AND(Motore_Operativo!C192&gt;=EDATE(Parametri_v3!$C$24,Ipotesi!F14*12),Motore_Operativo!C192&lt;EDATE(Parametri_v3!$C$24,Parametri_v3!$C$25+Ipotesi!F14*12)),MAX(0,(Motore_Operativo!Y192+Motore_Operativo!X192*Parametri_v3!$C$14)*(1-Parametri_v3!$C$32))*Piano_SS!$D$6,0))</f>
        <v>0</v>
      </c>
      <c r="BW192" s="15" t="n">
        <f aca="false">MIN(Piano_SS!$C$7,(BW191)+IF(AND(Motore_Operativo!C192&gt;=EDATE(Parametri_v3!$C$24,Ipotesi!F14*12),Motore_Operativo!C192&lt;EDATE(Parametri_v3!$C$24,Parametri_v3!$C$25+Ipotesi!F14*12)),MAX(0,(IF(8-(INT((Ipotesi!$C$91)/30))&lt;1,0,INDEX(Motore_Operativo!$BN$185:$BN$244,MAX(1,8-(INT((Ipotesi!$C$91)/30)))))*(1-(MOD((Ipotesi!$C$91),30)/30))+IF(8-(INT((Ipotesi!$C$91)/30))-1&lt;1,0,INDEX(Motore_Operativo!$BN$185:$BN$244,MAX(1,8-(INT((Ipotesi!$C$91)/30))-1)))*(MOD((Ipotesi!$C$91),30)/30)))*Piano_SS!$D$7,0))</f>
        <v>0</v>
      </c>
      <c r="BX192" s="15" t="n">
        <f aca="false">MIN(Piano_SS!$C$8,(BX191)+IF(AND(Motore_Operativo!C192&gt;=EDATE(Parametri_v3!$C$24,Ipotesi!F14*12),Motore_Operativo!C192&lt;EDATE(Parametri_v3!$C$24,Parametri_v3!$C$25+Ipotesi!F14*12)),MAX(0,Motore_Operativo!CE192)*Piano_SS!$D$8,0))</f>
        <v>0</v>
      </c>
      <c r="BY192" s="15" t="n">
        <f aca="false">MIN(Piano_SS!$C$9,(BY191)+IF(AND(Motore_Operativo!C192&gt;=EDATE(Parametri_v3!$C$24,Ipotesi!F14*12),Motore_Operativo!C192&lt;EDATE(Parametri_v3!$C$24,Parametri_v3!$C$25+Ipotesi!F14*12)),MAX(0,((IF(8-(INT((Ipotesi!$C$91)/30))&lt;1,0,INDEX(Motore_Operativo!$BQ$185:$BQ$244,MAX(1,8-(INT((Ipotesi!$C$91)/30)))))*(1-(MOD((Ipotesi!$C$91),30)/30))+IF(8-(INT((Ipotesi!$C$91)/30))-1&lt;1,0,INDEX(Motore_Operativo!$BQ$185:$BQ$244,MAX(1,8-(INT((Ipotesi!$C$91)/30))-1)))*(MOD((Ipotesi!$C$91),30)/30))+(IF(8-(INT((Ipotesi!$C$91)/30))&lt;1,0,INDEX(Motore_Operativo!$BR$185:$BR$244,MAX(1,8-(INT((Ipotesi!$C$91)/30)))))*(1-(MOD((Ipotesi!$C$91),30)/30))+IF(8-(INT((Ipotesi!$C$91)/30))-1&lt;1,0,INDEX(Motore_Operativo!$BR$185:$BR$244,MAX(1,8-(INT((Ipotesi!$C$91)/30))-1)))*(MOD((Ipotesi!$C$91),30)/30))))*Piano_SS!$D$9,0))</f>
        <v>0</v>
      </c>
      <c r="BZ192" s="15" t="n">
        <f aca="false">MIN(Piano_SS!$C$10,(BZ191)+IF(AND(Motore_Operativo!C192&gt;=EDATE(Parametri_v3!$C$24,Ipotesi!F14*12),Motore_Operativo!C192&lt;EDATE(Parametri_v3!$C$24,Parametri_v3!$C$25+Ipotesi!F14*12)),MAX(0,(IF(8-(INT((Ipotesi!$C$91)/30))&lt;1,0,INDEX(Motore_Operativo!$BO$185:$BO$244,MAX(1,8-(INT((Ipotesi!$C$91)/30)))))*(1-(MOD((Ipotesi!$C$91),30)/30))+IF(8-(INT((Ipotesi!$C$91)/30))-1&lt;1,0,INDEX(Motore_Operativo!$BO$185:$BO$244,MAX(1,8-(INT((Ipotesi!$C$91)/30))-1)))*(MOD((Ipotesi!$C$91),30)/30)))*Piano_SS!$D$10,0))</f>
        <v>0</v>
      </c>
      <c r="CA192" s="15" t="n">
        <f aca="false">SUM(BV192:BZ192)</f>
        <v>0</v>
      </c>
      <c r="CB192" s="15" t="n">
        <f aca="false">BV192*(1-Piano_SS!$E$6)+BW192*(1-Piano_SS!$E$7)+BX192*(1-Piano_SS!$E$8)+BY192*(1-Piano_SS!$E$9)+BZ192*(1-Piano_SS!$E$10)</f>
        <v>0</v>
      </c>
      <c r="CC192" s="15" t="n">
        <f aca="false">(CC191)+BA192</f>
        <v>0</v>
      </c>
      <c r="CD192" s="15" t="n">
        <f aca="false">IF(CA192=0,0,CC192*CB192/CA192*Ipotesi!$C$103*Parametri_v3!$C$64)</f>
        <v>0</v>
      </c>
      <c r="CE192" s="18" t="n">
        <f aca="false">IF(BA192&gt;0,Motore_Operativo!C192,(CE191))</f>
        <v>0</v>
      </c>
      <c r="CF192" s="18" t="n">
        <f aca="false">IF(AND(CC192&gt;0,OR(CC192&gt;=CG192-0.01,Motore_Operativo!C192&gt;=EDATE(MAX(Finanziamenti!$D$15:$D$17),Ipotesi!F14*12))),CE192,0)</f>
        <v>0</v>
      </c>
      <c r="CG192" s="15" t="n">
        <f aca="false">IF(AND(4&lt;&gt;6,4&lt;&gt;9,Finanziamenti!$F$11=1,OR(Parametri_v3!$C$6=0,Finanziamenti!$E$11=1)),MIN(Finanziamenti!$C$11,Piano_SS!$C$12*Ipotesi!$C$102),0)</f>
        <v>400000</v>
      </c>
      <c r="CH192" s="15" t="n">
        <f aca="false">IF(AND(AND(4&lt;&gt;8,4&lt;&gt;9,Finanziamenti!$F$10=1,OR(Parametri_v3!$C$6=0,Finanziamenti!$E$10=1)),Motore_Operativo!C192&gt;=Finanziamenti!$D$10,Motore_Operativo!C192&lt;Parametri_v3!$C$63),Finanziamenti!$C$10,0)</f>
        <v>150000</v>
      </c>
    </row>
    <row r="193" customFormat="false" ht="18" hidden="false" customHeight="true" outlineLevel="0" collapsed="false">
      <c r="A193" s="68" t="n">
        <f aca="false">4</f>
        <v>4</v>
      </c>
      <c r="B193" s="68" t="n">
        <f aca="false">9</f>
        <v>9</v>
      </c>
      <c r="C193" s="18" t="n">
        <f aca="false">Motore_Operativo!C193</f>
        <v>46631</v>
      </c>
      <c r="D193" s="68" t="n">
        <f aca="false">Motore_Operativo!D193</f>
        <v>2027</v>
      </c>
      <c r="E193" s="68" t="n">
        <f aca="false">Motore_Operativo!E193</f>
        <v>9</v>
      </c>
      <c r="F193" s="15" t="n">
        <f aca="false">Motore_Operativo!AQ193+Motore_Operativo!BF193</f>
        <v>3895.83333333333</v>
      </c>
      <c r="G193" s="15" t="n">
        <f aca="false">Motore_Operativo!BH193</f>
        <v>825</v>
      </c>
      <c r="H193" s="15" t="n">
        <f aca="false">Motore_Operativo!BI193</f>
        <v>4720.83333333334</v>
      </c>
      <c r="I193" s="15" t="n">
        <f aca="false">Motore_Operativo!CA193</f>
        <v>27512.75</v>
      </c>
      <c r="J193" s="15" t="n">
        <f aca="false">Motore_Operativo!CC193</f>
        <v>-22791.9166666667</v>
      </c>
      <c r="K193" s="15" t="n">
        <f aca="false">Motore_Operativo!CE193</f>
        <v>1666.66666666667</v>
      </c>
      <c r="L193" s="15" t="n">
        <f aca="false">SUM(INDEX($K$185:$K$244,MAX(1,9-Parametri_v3!$C$59+1)):K193)/Parametri_v3!$C$59</f>
        <v>416.666666666667</v>
      </c>
      <c r="M193" s="15" t="n">
        <f aca="false">J193-L193</f>
        <v>-23208.5833333333</v>
      </c>
      <c r="N193" s="15" t="n">
        <f aca="false">CD193-(CD192)</f>
        <v>0</v>
      </c>
      <c r="O193" s="15" t="n">
        <f aca="false">(BG192)*Ipotesi!$C$110/12+CH193*Parametri_v3!$C$39/12</f>
        <v>455.239637553502</v>
      </c>
      <c r="P193" s="15" t="n">
        <f aca="false">M193+N193-O193</f>
        <v>-23663.8229708868</v>
      </c>
      <c r="Q193" s="15" t="n">
        <f aca="false">SUM(P185:P193)+Parametri_v3!$C$54*9/12</f>
        <v>-209180.815981587</v>
      </c>
      <c r="R193" s="15" t="n">
        <f aca="false">0</f>
        <v>0</v>
      </c>
      <c r="S193" s="15" t="n">
        <f aca="false">0</f>
        <v>0</v>
      </c>
      <c r="T193" s="15" t="n">
        <f aca="false">MIN(R193,MAX(0,Q193))</f>
        <v>0</v>
      </c>
      <c r="U193" s="15" t="n">
        <f aca="false">MIN(S193,MAX(0,Q193-T193)*Parametri_v3!$C$42)</f>
        <v>0</v>
      </c>
      <c r="V193" s="15" t="n">
        <f aca="false">MAX(0,Q193-T193-U193)*Ipotesi!$C$92</f>
        <v>0</v>
      </c>
      <c r="W193" s="15" t="n">
        <f aca="false">MAX(0,SUM(M185:M193)+Parametri_v3!$C$55*9/12)*Ipotesi!$C$93</f>
        <v>0</v>
      </c>
      <c r="X193" s="15" t="n">
        <f aca="false">V193+W193-(V192+W192)</f>
        <v>0</v>
      </c>
      <c r="Y193" s="15" t="n">
        <f aca="false">P193-X193</f>
        <v>-23663.8229708868</v>
      </c>
      <c r="Z193" s="15" t="n">
        <f aca="false">R193-T193+IF(AND(Parametri_v3!$C$40=1,D193-YEAR(Parametri_v3!$C$50)&lt;Parametri_v3!$C$41),MAX(0,-Q193),0)</f>
        <v>209180.815981587</v>
      </c>
      <c r="AA193" s="15" t="n">
        <f aca="false">S193-U193+IF(AND(Parametri_v3!$C$40=1,D193-YEAR(Parametri_v3!$C$50)&lt;Parametri_v3!$C$41),0,MAX(0,-Q193))</f>
        <v>0</v>
      </c>
      <c r="AB193" s="15" t="n">
        <f aca="false">F193*(1+Parametri_v3!$C$26)</f>
        <v>4752.91666666667</v>
      </c>
      <c r="AC193" s="15" t="n">
        <f aca="false">(IF(9-(INT((Motore_Operativo!L193)/30))&lt;1,0,INDEX(Motore_Startup!$AB$185:$AB$244,MAX(1,9-(INT((Motore_Operativo!L193)/30)))))*(1-(MOD((Motore_Operativo!L193),30)/30))+IF(9-(INT((Motore_Operativo!L193)/30))-1&lt;1,0,INDEX(Motore_Startup!$AB$185:$AB$244,MAX(1,9-(INT((Motore_Operativo!L193)/30))-1)))*(MOD((Motore_Operativo!L193),30)/30))</f>
        <v>4590.25</v>
      </c>
      <c r="AD193" s="15" t="n">
        <f aca="false">(AD192)+AB193-AC193</f>
        <v>18767.6666666667</v>
      </c>
      <c r="AE193" s="15" t="n">
        <f aca="false">Motore_Operativo!BH193*(1+Parametri_v3!$C$26)</f>
        <v>1006.5</v>
      </c>
      <c r="AF193" s="15" t="n">
        <f aca="false">(IF(9-(INT((Parametri_v3!$C$29)/30))&lt;1,0,INDEX(Motore_Operativo!$BH$185:$BH$244,MAX(1,9-(INT((Parametri_v3!$C$29)/30)))))*(1-(MOD((Parametri_v3!$C$29),30)/30))+IF(9-(INT((Parametri_v3!$C$29)/30))-1&lt;1,0,INDEX(Motore_Operativo!$BH$185:$BH$244,MAX(1,9-(INT((Parametri_v3!$C$29)/30))-1)))*(MOD((Parametri_v3!$C$29),30)/30))*(1+Parametri_v3!$C$26)</f>
        <v>1006.5</v>
      </c>
      <c r="AG193" s="15" t="n">
        <f aca="false">(AG192)+AE193-AF193</f>
        <v>1006.5</v>
      </c>
      <c r="AH193" s="15" t="n">
        <f aca="false">(Motore_Operativo!CJ193)*(1+Parametri_v3!$C$27*Parametri_v3!$C$26)</f>
        <v>11390.5509166667</v>
      </c>
      <c r="AI193" s="15" t="n">
        <f aca="false">(IF(9-(INT((Ipotesi!$C$91)/30))&lt;1,0,INDEX(Motore_Startup!$AH$185:$AH$244,MAX(1,9-(INT((Ipotesi!$C$91)/30)))))*(1-(MOD((Ipotesi!$C$91),30)/30))+IF(9-(INT((Ipotesi!$C$91)/30))-1&lt;1,0,INDEX(Motore_Startup!$AH$185:$AH$244,MAX(1,9-(INT((Ipotesi!$C$91)/30))-1)))*(MOD((Ipotesi!$C$91),30)/30))</f>
        <v>11379.47225</v>
      </c>
      <c r="AJ193" s="15" t="n">
        <f aca="false">(AJ192)+AH193-AI193</f>
        <v>22775.5625</v>
      </c>
      <c r="AK193" s="15" t="n">
        <f aca="false">(F193+ Motore_Operativo!BH193-(Motore_Operativo!CJ193)*Parametri_v3!$C$27-Motore_Operativo!CE193)*Parametri_v3!$C$26</f>
        <v>-1122.55091666667</v>
      </c>
      <c r="AL193" s="15" t="n">
        <f aca="false">MAX(0,(AM192))</f>
        <v>0</v>
      </c>
      <c r="AM193" s="15" t="n">
        <f aca="false">(AM192)+AK193-AL193</f>
        <v>-10306.46925</v>
      </c>
      <c r="AN193" s="15" t="n">
        <f aca="false">0</f>
        <v>0</v>
      </c>
      <c r="AO193" s="15" t="n">
        <f aca="false">0</f>
        <v>0</v>
      </c>
      <c r="AP193" s="15" t="n">
        <f aca="false">MAX(0,AN193)*IF(9=Parametri_v3!$C$43,Parametri_v3!$C$45,IF(9=Parametri_v3!$C$44,1-Parametri_v3!$C$45,0))</f>
        <v>0</v>
      </c>
      <c r="AQ193" s="15" t="n">
        <f aca="false">MAX(0,AP193+IF(9=Parametri_v3!$C$43,MAX(0,AN193-AO193),0)-MAX(0,-(AR192)))</f>
        <v>0</v>
      </c>
      <c r="AR193" s="15" t="n">
        <f aca="false">(AR192)+X193-AQ193</f>
        <v>0</v>
      </c>
      <c r="AS193" s="15" t="n">
        <f aca="false">Motore_Operativo!AB193-AT193+AU193</f>
        <v>17020.8333333333</v>
      </c>
      <c r="AT193" s="15" t="n">
        <f aca="false">Motore_Operativo!CH193</f>
        <v>895.833333333334</v>
      </c>
      <c r="AU193" s="15" t="n">
        <f aca="false">MIN(MAX(0,(AV192)+AT193),Parametri_v3!$C$60/12)</f>
        <v>0</v>
      </c>
      <c r="AV193" s="15" t="n">
        <f aca="false">(AV192)+AT193-AU193</f>
        <v>8062.5</v>
      </c>
      <c r="AW193" s="15" t="n">
        <f aca="false">IF(AND(Motore_Operativo!C193=Finanziamenti!$D$6,Finanziamenti!$F$6=1),Finanziamenti!$C$6,0)</f>
        <v>0</v>
      </c>
      <c r="AX193" s="15" t="n">
        <f aca="false">IF(AND(4&lt;&gt;7,4&lt;&gt;9,Finanziamenti!$F$8=1,OR(Parametri_v3!$C$6=0,Finanziamenti!$E$8=1),Motore_Operativo!C193=EDATE(Finanziamenti!$D$8,Ipotesi!F15*12)),Finanziamenti!$C$8*1,0)+IF(AND(4&lt;&gt;7,4&lt;&gt;9,Finanziamenti!$F$9=1,OR(Parametri_v3!$C$6=0,Finanziamenti!$E$9=1),Motore_Operativo!C193=EDATE(Finanziamenti!$D$9,Ipotesi!F15*12)),Finanziamenti!$C$9*Ipotesi!F16,0)</f>
        <v>0</v>
      </c>
      <c r="AY193" s="15" t="n">
        <f aca="false">0</f>
        <v>0</v>
      </c>
      <c r="AZ193" s="15" t="n">
        <f aca="false">Motore_Advisory!AY193*(1-Ipotesi!$C$95)*Ipotesi!$C$96</f>
        <v>0</v>
      </c>
      <c r="BA193" s="15" t="n">
        <f aca="false">MAX(0,MIN(CG193*MIN(1,IF(Motore_Operativo!C193&gt;=EDATE(Finanziamenti!$D$15,Ipotesi!F14*12),Finanziamenti!$C$15,0)+IF(Motore_Operativo!C193&gt;=EDATE(Finanziamenti!$D$16,Ipotesi!F14*12),Finanziamenti!$C$16,0)+IF(Motore_Operativo!C193&gt;=EDATE(Finanziamenti!$D$17,Ipotesi!F14*12),Finanziamenti!$C$17,0)),CA193*Ipotesi!$C$102)-(CC192))</f>
        <v>0</v>
      </c>
      <c r="BB193" s="15" t="n">
        <f aca="false">IF(AND(CF193&gt;0,Motore_Operativo!C193&gt;=IF(CF193=0,0,EDATE(CF193,Parametri_v3!$C$37)),MOD(((D193-YEAR(IF(CF193=0,0,EDATE(CF193,Parametri_v3!$C$37))))*12+E193-MONTH(IF(CF193=0,0,EDATE(CF193,Parametri_v3!$C$37)))),Parametri_v3!$C$38)=0),MIN(MAX(0,(BC192)+BA193-N193),(CC193-CD193)/(Ipotesi!$C$108*12/Parametri_v3!$C$38)),0)</f>
        <v>0</v>
      </c>
      <c r="BC193" s="15" t="n">
        <f aca="false">(BC192)+BA193-N193-BB193</f>
        <v>0</v>
      </c>
      <c r="BD193" s="15" t="n">
        <f aca="false">(BH192)+AC193+AF193-AI193-AS193-K193*(1+Parametri_v3!$C$26)-AL193-AQ193-O193+AW193+AX193+AZ193+BA193-BB193</f>
        <v>-292.12855422017</v>
      </c>
      <c r="BE193" s="15" t="n">
        <f aca="false">MAX(0,MIN(MAX(0,CH193-(BG192)),Parametri_v3!$C$30-BD193))</f>
        <v>25292.1285542202</v>
      </c>
      <c r="BF193" s="15" t="n">
        <f aca="false">IF(Motore_Operativo!C193&gt;=Parametri_v3!$C$63,(BG192),MIN((BG192),MAX(0,BD193-Parametri_v3!$C$30)))</f>
        <v>0</v>
      </c>
      <c r="BG193" s="15" t="n">
        <f aca="false">(BG192)+BE193-BF193</f>
        <v>116340.056064921</v>
      </c>
      <c r="BH193" s="15" t="n">
        <f aca="false">BD193+BE193-BF193-AY193</f>
        <v>25000</v>
      </c>
      <c r="BI193" s="15" t="n">
        <f aca="false">MAX(0,Parametri_v3!$C$30-BH193)</f>
        <v>0</v>
      </c>
      <c r="BJ193" s="15" t="n">
        <f aca="false">(BJ192)+K193</f>
        <v>15000</v>
      </c>
      <c r="BK193" s="15" t="n">
        <f aca="false">(BK192)+L193</f>
        <v>2083.33333333333</v>
      </c>
      <c r="BL193" s="15" t="n">
        <f aca="false">BJ193-BK193</f>
        <v>12916.6666666667</v>
      </c>
      <c r="BM193" s="15" t="n">
        <f aca="false">(BM192)+Y193</f>
        <v>-209180.815981587</v>
      </c>
      <c r="BN193" s="15" t="n">
        <f aca="false">(BN192)+AW193+AX193+AZ193</f>
        <v>130000</v>
      </c>
      <c r="BO193" s="15" t="n">
        <f aca="false">(BO192)+AY193</f>
        <v>0</v>
      </c>
      <c r="BP193" s="15" t="n">
        <f aca="false">0</f>
        <v>0</v>
      </c>
      <c r="BQ193" s="15" t="n">
        <f aca="false">BN193+BM193-BO193</f>
        <v>-79180.8159815873</v>
      </c>
      <c r="BR193" s="15" t="n">
        <f aca="false">BH193+AD193+BL193+MAX(0,-AM193)+MAX(0,-AR193)+AG193</f>
        <v>67997.3025833333</v>
      </c>
      <c r="BS193" s="15" t="n">
        <f aca="false">AJ193+AV193+MAX(0,AM193)+MAX(0,AR193)+BC193+BG193+BQ193</f>
        <v>67997.3025833333</v>
      </c>
      <c r="BT193" s="15" t="n">
        <f aca="false">BR193-BS193</f>
        <v>0</v>
      </c>
      <c r="BU193" s="15" t="n">
        <f aca="false">BH193-(BD193+BE193-BF193-AY193)</f>
        <v>0</v>
      </c>
      <c r="BV193" s="15" t="n">
        <f aca="false">MIN(Piano_SS!$C$6,(BV192)+IF(AND(Motore_Operativo!C193&gt;=EDATE(Parametri_v3!$C$24,Ipotesi!F14*12),Motore_Operativo!C193&lt;EDATE(Parametri_v3!$C$24,Parametri_v3!$C$25+Ipotesi!F14*12)),MAX(0,(Motore_Operativo!Y193+Motore_Operativo!X193*Parametri_v3!$C$14)*(1-Parametri_v3!$C$32))*Piano_SS!$D$6,0))</f>
        <v>0</v>
      </c>
      <c r="BW193" s="15" t="n">
        <f aca="false">MIN(Piano_SS!$C$7,(BW192)+IF(AND(Motore_Operativo!C193&gt;=EDATE(Parametri_v3!$C$24,Ipotesi!F14*12),Motore_Operativo!C193&lt;EDATE(Parametri_v3!$C$24,Parametri_v3!$C$25+Ipotesi!F14*12)),MAX(0,(IF(9-(INT((Ipotesi!$C$91)/30))&lt;1,0,INDEX(Motore_Operativo!$BN$185:$BN$244,MAX(1,9-(INT((Ipotesi!$C$91)/30)))))*(1-(MOD((Ipotesi!$C$91),30)/30))+IF(9-(INT((Ipotesi!$C$91)/30))-1&lt;1,0,INDEX(Motore_Operativo!$BN$185:$BN$244,MAX(1,9-(INT((Ipotesi!$C$91)/30))-1)))*(MOD((Ipotesi!$C$91),30)/30)))*Piano_SS!$D$7,0))</f>
        <v>0</v>
      </c>
      <c r="BX193" s="15" t="n">
        <f aca="false">MIN(Piano_SS!$C$8,(BX192)+IF(AND(Motore_Operativo!C193&gt;=EDATE(Parametri_v3!$C$24,Ipotesi!F14*12),Motore_Operativo!C193&lt;EDATE(Parametri_v3!$C$24,Parametri_v3!$C$25+Ipotesi!F14*12)),MAX(0,Motore_Operativo!CE193)*Piano_SS!$D$8,0))</f>
        <v>0</v>
      </c>
      <c r="BY193" s="15" t="n">
        <f aca="false">MIN(Piano_SS!$C$9,(BY192)+IF(AND(Motore_Operativo!C193&gt;=EDATE(Parametri_v3!$C$24,Ipotesi!F14*12),Motore_Operativo!C193&lt;EDATE(Parametri_v3!$C$24,Parametri_v3!$C$25+Ipotesi!F14*12)),MAX(0,((IF(9-(INT((Ipotesi!$C$91)/30))&lt;1,0,INDEX(Motore_Operativo!$BQ$185:$BQ$244,MAX(1,9-(INT((Ipotesi!$C$91)/30)))))*(1-(MOD((Ipotesi!$C$91),30)/30))+IF(9-(INT((Ipotesi!$C$91)/30))-1&lt;1,0,INDEX(Motore_Operativo!$BQ$185:$BQ$244,MAX(1,9-(INT((Ipotesi!$C$91)/30))-1)))*(MOD((Ipotesi!$C$91),30)/30))+(IF(9-(INT((Ipotesi!$C$91)/30))&lt;1,0,INDEX(Motore_Operativo!$BR$185:$BR$244,MAX(1,9-(INT((Ipotesi!$C$91)/30)))))*(1-(MOD((Ipotesi!$C$91),30)/30))+IF(9-(INT((Ipotesi!$C$91)/30))-1&lt;1,0,INDEX(Motore_Operativo!$BR$185:$BR$244,MAX(1,9-(INT((Ipotesi!$C$91)/30))-1)))*(MOD((Ipotesi!$C$91),30)/30))))*Piano_SS!$D$9,0))</f>
        <v>0</v>
      </c>
      <c r="BZ193" s="15" t="n">
        <f aca="false">MIN(Piano_SS!$C$10,(BZ192)+IF(AND(Motore_Operativo!C193&gt;=EDATE(Parametri_v3!$C$24,Ipotesi!F14*12),Motore_Operativo!C193&lt;EDATE(Parametri_v3!$C$24,Parametri_v3!$C$25+Ipotesi!F14*12)),MAX(0,(IF(9-(INT((Ipotesi!$C$91)/30))&lt;1,0,INDEX(Motore_Operativo!$BO$185:$BO$244,MAX(1,9-(INT((Ipotesi!$C$91)/30)))))*(1-(MOD((Ipotesi!$C$91),30)/30))+IF(9-(INT((Ipotesi!$C$91)/30))-1&lt;1,0,INDEX(Motore_Operativo!$BO$185:$BO$244,MAX(1,9-(INT((Ipotesi!$C$91)/30))-1)))*(MOD((Ipotesi!$C$91),30)/30)))*Piano_SS!$D$10,0))</f>
        <v>0</v>
      </c>
      <c r="CA193" s="15" t="n">
        <f aca="false">SUM(BV193:BZ193)</f>
        <v>0</v>
      </c>
      <c r="CB193" s="15" t="n">
        <f aca="false">BV193*(1-Piano_SS!$E$6)+BW193*(1-Piano_SS!$E$7)+BX193*(1-Piano_SS!$E$8)+BY193*(1-Piano_SS!$E$9)+BZ193*(1-Piano_SS!$E$10)</f>
        <v>0</v>
      </c>
      <c r="CC193" s="15" t="n">
        <f aca="false">(CC192)+BA193</f>
        <v>0</v>
      </c>
      <c r="CD193" s="15" t="n">
        <f aca="false">IF(CA193=0,0,CC193*CB193/CA193*Ipotesi!$C$103*Parametri_v3!$C$64)</f>
        <v>0</v>
      </c>
      <c r="CE193" s="18" t="n">
        <f aca="false">IF(BA193&gt;0,Motore_Operativo!C193,(CE192))</f>
        <v>0</v>
      </c>
      <c r="CF193" s="18" t="n">
        <f aca="false">IF(AND(CC193&gt;0,OR(CC193&gt;=CG193-0.01,Motore_Operativo!C193&gt;=EDATE(MAX(Finanziamenti!$D$15:$D$17),Ipotesi!F14*12))),CE193,0)</f>
        <v>0</v>
      </c>
      <c r="CG193" s="15" t="n">
        <f aca="false">IF(AND(4&lt;&gt;6,4&lt;&gt;9,Finanziamenti!$F$11=1,OR(Parametri_v3!$C$6=0,Finanziamenti!$E$11=1)),MIN(Finanziamenti!$C$11,Piano_SS!$C$12*Ipotesi!$C$102),0)</f>
        <v>400000</v>
      </c>
      <c r="CH193" s="15" t="n">
        <f aca="false">IF(AND(AND(4&lt;&gt;8,4&lt;&gt;9,Finanziamenti!$F$10=1,OR(Parametri_v3!$C$6=0,Finanziamenti!$E$10=1)),Motore_Operativo!C193&gt;=Finanziamenti!$D$10,Motore_Operativo!C193&lt;Parametri_v3!$C$63),Finanziamenti!$C$10,0)</f>
        <v>150000</v>
      </c>
    </row>
    <row r="194" customFormat="false" ht="18" hidden="false" customHeight="true" outlineLevel="0" collapsed="false">
      <c r="A194" s="68" t="n">
        <f aca="false">4</f>
        <v>4</v>
      </c>
      <c r="B194" s="68" t="n">
        <f aca="false">10</f>
        <v>10</v>
      </c>
      <c r="C194" s="18" t="n">
        <f aca="false">Motore_Operativo!C194</f>
        <v>46661</v>
      </c>
      <c r="D194" s="68" t="n">
        <f aca="false">Motore_Operativo!D194</f>
        <v>2027</v>
      </c>
      <c r="E194" s="68" t="n">
        <f aca="false">Motore_Operativo!E194</f>
        <v>10</v>
      </c>
      <c r="F194" s="15" t="n">
        <f aca="false">Motore_Operativo!AQ194+Motore_Operativo!BF194</f>
        <v>3929.16666666667</v>
      </c>
      <c r="G194" s="15" t="n">
        <f aca="false">Motore_Operativo!BH194</f>
        <v>825</v>
      </c>
      <c r="H194" s="15" t="n">
        <f aca="false">Motore_Operativo!BI194</f>
        <v>4754.16666666667</v>
      </c>
      <c r="I194" s="15" t="n">
        <f aca="false">Motore_Operativo!CA194</f>
        <v>27517.4166666667</v>
      </c>
      <c r="J194" s="15" t="n">
        <f aca="false">Motore_Operativo!CC194</f>
        <v>-22763.25</v>
      </c>
      <c r="K194" s="15" t="n">
        <f aca="false">Motore_Operativo!CE194</f>
        <v>1666.66666666667</v>
      </c>
      <c r="L194" s="15" t="n">
        <f aca="false">SUM(INDEX($K$185:$K$244,MAX(1,10-Parametri_v3!$C$59+1)):K194)/Parametri_v3!$C$59</f>
        <v>462.962962962963</v>
      </c>
      <c r="M194" s="15" t="n">
        <f aca="false">J194-L194</f>
        <v>-23226.212962963</v>
      </c>
      <c r="N194" s="15" t="n">
        <f aca="false">CD194-(CD193)</f>
        <v>0</v>
      </c>
      <c r="O194" s="15" t="n">
        <f aca="false">(BG193)*Ipotesi!$C$110/12+CH194*Parametri_v3!$C$39/12</f>
        <v>581.700280324603</v>
      </c>
      <c r="P194" s="15" t="n">
        <f aca="false">M194+N194-O194</f>
        <v>-23807.9132432876</v>
      </c>
      <c r="Q194" s="15" t="n">
        <f aca="false">SUM(P185:P194)+Parametri_v3!$C$54*10/12</f>
        <v>-232988.729224875</v>
      </c>
      <c r="R194" s="15" t="n">
        <f aca="false">0</f>
        <v>0</v>
      </c>
      <c r="S194" s="15" t="n">
        <f aca="false">0</f>
        <v>0</v>
      </c>
      <c r="T194" s="15" t="n">
        <f aca="false">MIN(R194,MAX(0,Q194))</f>
        <v>0</v>
      </c>
      <c r="U194" s="15" t="n">
        <f aca="false">MIN(S194,MAX(0,Q194-T194)*Parametri_v3!$C$42)</f>
        <v>0</v>
      </c>
      <c r="V194" s="15" t="n">
        <f aca="false">MAX(0,Q194-T194-U194)*Ipotesi!$C$92</f>
        <v>0</v>
      </c>
      <c r="W194" s="15" t="n">
        <f aca="false">MAX(0,SUM(M185:M194)+Parametri_v3!$C$55*10/12)*Ipotesi!$C$93</f>
        <v>0</v>
      </c>
      <c r="X194" s="15" t="n">
        <f aca="false">V194+W194-(V193+W193)</f>
        <v>0</v>
      </c>
      <c r="Y194" s="15" t="n">
        <f aca="false">P194-X194</f>
        <v>-23807.9132432876</v>
      </c>
      <c r="Z194" s="15" t="n">
        <f aca="false">R194-T194+IF(AND(Parametri_v3!$C$40=1,D194-YEAR(Parametri_v3!$C$50)&lt;Parametri_v3!$C$41),MAX(0,-Q194),0)</f>
        <v>232988.729224875</v>
      </c>
      <c r="AA194" s="15" t="n">
        <f aca="false">S194-U194+IF(AND(Parametri_v3!$C$40=1,D194-YEAR(Parametri_v3!$C$50)&lt;Parametri_v3!$C$41),0,MAX(0,-Q194))</f>
        <v>0</v>
      </c>
      <c r="AB194" s="15" t="n">
        <f aca="false">F194*(1+Parametri_v3!$C$26)</f>
        <v>4793.58333333333</v>
      </c>
      <c r="AC194" s="15" t="n">
        <f aca="false">(IF(10-(INT((Motore_Operativo!L194)/30))&lt;1,0,INDEX(Motore_Startup!$AB$185:$AB$244,MAX(1,10-(INT((Motore_Operativo!L194)/30)))))*(1-(MOD((Motore_Operativo!L194),30)/30))+IF(10-(INT((Motore_Operativo!L194)/30))-1&lt;1,0,INDEX(Motore_Startup!$AB$185:$AB$244,MAX(1,10-(INT((Motore_Operativo!L194)/30))-1)))*(MOD((Motore_Operativo!L194),30)/30))</f>
        <v>4630.91666666667</v>
      </c>
      <c r="AD194" s="15" t="n">
        <f aca="false">(AD193)+AB194-AC194</f>
        <v>18930.3333333333</v>
      </c>
      <c r="AE194" s="15" t="n">
        <f aca="false">Motore_Operativo!BH194*(1+Parametri_v3!$C$26)</f>
        <v>1006.5</v>
      </c>
      <c r="AF194" s="15" t="n">
        <f aca="false">(IF(10-(INT((Parametri_v3!$C$29)/30))&lt;1,0,INDEX(Motore_Operativo!$BH$185:$BH$244,MAX(1,10-(INT((Parametri_v3!$C$29)/30)))))*(1-(MOD((Parametri_v3!$C$29),30)/30))+IF(10-(INT((Parametri_v3!$C$29)/30))-1&lt;1,0,INDEX(Motore_Operativo!$BH$185:$BH$244,MAX(1,10-(INT((Parametri_v3!$C$29)/30))-1)))*(MOD((Parametri_v3!$C$29),30)/30))*(1+Parametri_v3!$C$26)</f>
        <v>1006.5</v>
      </c>
      <c r="AG194" s="15" t="n">
        <f aca="false">(AG193)+AE194-AF194</f>
        <v>1006.5</v>
      </c>
      <c r="AH194" s="15" t="n">
        <f aca="false">(Motore_Operativo!CJ194)*(1+Parametri_v3!$C$27*Parametri_v3!$C$26)</f>
        <v>11396.09025</v>
      </c>
      <c r="AI194" s="15" t="n">
        <f aca="false">(IF(10-(INT((Ipotesi!$C$91)/30))&lt;1,0,INDEX(Motore_Startup!$AH$185:$AH$244,MAX(1,10-(INT((Ipotesi!$C$91)/30)))))*(1-(MOD((Ipotesi!$C$91),30)/30))+IF(10-(INT((Ipotesi!$C$91)/30))-1&lt;1,0,INDEX(Motore_Startup!$AH$185:$AH$244,MAX(1,10-(INT((Ipotesi!$C$91)/30))-1)))*(MOD((Ipotesi!$C$91),30)/30))</f>
        <v>11385.0115833333</v>
      </c>
      <c r="AJ194" s="15" t="n">
        <f aca="false">(AJ193)+AH194-AI194</f>
        <v>22786.6411666667</v>
      </c>
      <c r="AK194" s="15" t="n">
        <f aca="false">(F194+ Motore_Operativo!BH194-(Motore_Operativo!CJ194)*Parametri_v3!$C$27-Motore_Operativo!CE194)*Parametri_v3!$C$26</f>
        <v>-1116.09025</v>
      </c>
      <c r="AL194" s="15" t="n">
        <f aca="false">MAX(0,(AM193))</f>
        <v>0</v>
      </c>
      <c r="AM194" s="15" t="n">
        <f aca="false">(AM193)+AK194-AL194</f>
        <v>-11422.5595</v>
      </c>
      <c r="AN194" s="15" t="n">
        <f aca="false">0</f>
        <v>0</v>
      </c>
      <c r="AO194" s="15" t="n">
        <f aca="false">0</f>
        <v>0</v>
      </c>
      <c r="AP194" s="15" t="n">
        <f aca="false">MAX(0,AN194)*IF(10=Parametri_v3!$C$43,Parametri_v3!$C$45,IF(10=Parametri_v3!$C$44,1-Parametri_v3!$C$45,0))</f>
        <v>0</v>
      </c>
      <c r="AQ194" s="15" t="n">
        <f aca="false">MAX(0,AP194+IF(10=Parametri_v3!$C$43,MAX(0,AN194-AO194),0)-MAX(0,-(AR193)))</f>
        <v>0</v>
      </c>
      <c r="AR194" s="15" t="n">
        <f aca="false">(AR193)+X194-AQ194</f>
        <v>0</v>
      </c>
      <c r="AS194" s="15" t="n">
        <f aca="false">Motore_Operativo!AB194-AT194+AU194</f>
        <v>17020.8333333333</v>
      </c>
      <c r="AT194" s="15" t="n">
        <f aca="false">Motore_Operativo!CH194</f>
        <v>895.833333333334</v>
      </c>
      <c r="AU194" s="15" t="n">
        <f aca="false">MIN(MAX(0,(AV193)+AT194),Parametri_v3!$C$60/12)</f>
        <v>0</v>
      </c>
      <c r="AV194" s="15" t="n">
        <f aca="false">(AV193)+AT194-AU194</f>
        <v>8958.33333333334</v>
      </c>
      <c r="AW194" s="15" t="n">
        <f aca="false">IF(AND(Motore_Operativo!C194=Finanziamenti!$D$6,Finanziamenti!$F$6=1),Finanziamenti!$C$6,0)</f>
        <v>0</v>
      </c>
      <c r="AX194" s="15" t="n">
        <f aca="false">IF(AND(4&lt;&gt;7,4&lt;&gt;9,Finanziamenti!$F$8=1,OR(Parametri_v3!$C$6=0,Finanziamenti!$E$8=1),Motore_Operativo!C194=EDATE(Finanziamenti!$D$8,Ipotesi!F15*12)),Finanziamenti!$C$8*1,0)+IF(AND(4&lt;&gt;7,4&lt;&gt;9,Finanziamenti!$F$9=1,OR(Parametri_v3!$C$6=0,Finanziamenti!$E$9=1),Motore_Operativo!C194=EDATE(Finanziamenti!$D$9,Ipotesi!F15*12)),Finanziamenti!$C$9*Ipotesi!F16,0)</f>
        <v>0</v>
      </c>
      <c r="AY194" s="15" t="n">
        <f aca="false">0</f>
        <v>0</v>
      </c>
      <c r="AZ194" s="15" t="n">
        <f aca="false">Motore_Advisory!AY194*(1-Ipotesi!$C$95)*Ipotesi!$C$96</f>
        <v>0</v>
      </c>
      <c r="BA194" s="15" t="n">
        <f aca="false">MAX(0,MIN(CG194*MIN(1,IF(Motore_Operativo!C194&gt;=EDATE(Finanziamenti!$D$15,Ipotesi!F14*12),Finanziamenti!$C$15,0)+IF(Motore_Operativo!C194&gt;=EDATE(Finanziamenti!$D$16,Ipotesi!F14*12),Finanziamenti!$C$16,0)+IF(Motore_Operativo!C194&gt;=EDATE(Finanziamenti!$D$17,Ipotesi!F14*12),Finanziamenti!$C$17,0)),CA194*Ipotesi!$C$102)-(CC193))</f>
        <v>0</v>
      </c>
      <c r="BB194" s="15" t="n">
        <f aca="false">IF(AND(CF194&gt;0,Motore_Operativo!C194&gt;=IF(CF194=0,0,EDATE(CF194,Parametri_v3!$C$37)),MOD(((D194-YEAR(IF(CF194=0,0,EDATE(CF194,Parametri_v3!$C$37))))*12+E194-MONTH(IF(CF194=0,0,EDATE(CF194,Parametri_v3!$C$37)))),Parametri_v3!$C$38)=0),MIN(MAX(0,(BC193)+BA194-N194),(CC194-CD194)/(Ipotesi!$C$108*12/Parametri_v3!$C$38)),0)</f>
        <v>0</v>
      </c>
      <c r="BC194" s="15" t="n">
        <f aca="false">(BC193)+BA194-N194-BB194</f>
        <v>0</v>
      </c>
      <c r="BD194" s="15" t="n">
        <f aca="false">(BH193)+AC194+AF194-AI194-AS194-K194*(1+Parametri_v3!$C$26)-AL194-AQ194-O194+AW194+AX194+AZ194+BA194-BB194</f>
        <v>-383.461863657934</v>
      </c>
      <c r="BE194" s="15" t="n">
        <f aca="false">MAX(0,MIN(MAX(0,CH194-(BG193)),Parametri_v3!$C$30-BD194))</f>
        <v>25383.4618636579</v>
      </c>
      <c r="BF194" s="15" t="n">
        <f aca="false">IF(Motore_Operativo!C194&gt;=Parametri_v3!$C$63,(BG193),MIN((BG193),MAX(0,BD194-Parametri_v3!$C$30)))</f>
        <v>0</v>
      </c>
      <c r="BG194" s="15" t="n">
        <f aca="false">(BG193)+BE194-BF194</f>
        <v>141723.517928579</v>
      </c>
      <c r="BH194" s="15" t="n">
        <f aca="false">BD194+BE194-BF194-AY194</f>
        <v>25000</v>
      </c>
      <c r="BI194" s="15" t="n">
        <f aca="false">MAX(0,Parametri_v3!$C$30-BH194)</f>
        <v>0</v>
      </c>
      <c r="BJ194" s="15" t="n">
        <f aca="false">(BJ193)+K194</f>
        <v>16666.6666666667</v>
      </c>
      <c r="BK194" s="15" t="n">
        <f aca="false">(BK193)+L194</f>
        <v>2546.2962962963</v>
      </c>
      <c r="BL194" s="15" t="n">
        <f aca="false">BJ194-BK194</f>
        <v>14120.3703703704</v>
      </c>
      <c r="BM194" s="15" t="n">
        <f aca="false">(BM193)+Y194</f>
        <v>-232988.729224875</v>
      </c>
      <c r="BN194" s="15" t="n">
        <f aca="false">(BN193)+AW194+AX194+AZ194</f>
        <v>130000</v>
      </c>
      <c r="BO194" s="15" t="n">
        <f aca="false">(BO193)+AY194</f>
        <v>0</v>
      </c>
      <c r="BP194" s="15" t="n">
        <f aca="false">0</f>
        <v>0</v>
      </c>
      <c r="BQ194" s="15" t="n">
        <f aca="false">BN194+BM194-BO194</f>
        <v>-102988.729224875</v>
      </c>
      <c r="BR194" s="15" t="n">
        <f aca="false">BH194+AD194+BL194+MAX(0,-AM194)+MAX(0,-AR194)+AG194</f>
        <v>70479.7632037037</v>
      </c>
      <c r="BS194" s="15" t="n">
        <f aca="false">AJ194+AV194+MAX(0,AM194)+MAX(0,AR194)+BC194+BG194+BQ194</f>
        <v>70479.7632037037</v>
      </c>
      <c r="BT194" s="15" t="n">
        <f aca="false">BR194-BS194</f>
        <v>0</v>
      </c>
      <c r="BU194" s="15" t="n">
        <f aca="false">BH194-(BD194+BE194-BF194-AY194)</f>
        <v>0</v>
      </c>
      <c r="BV194" s="15" t="n">
        <f aca="false">MIN(Piano_SS!$C$6,(BV193)+IF(AND(Motore_Operativo!C194&gt;=EDATE(Parametri_v3!$C$24,Ipotesi!F14*12),Motore_Operativo!C194&lt;EDATE(Parametri_v3!$C$24,Parametri_v3!$C$25+Ipotesi!F14*12)),MAX(0,(Motore_Operativo!Y194+Motore_Operativo!X194*Parametri_v3!$C$14)*(1-Parametri_v3!$C$32))*Piano_SS!$D$6,0))</f>
        <v>0</v>
      </c>
      <c r="BW194" s="15" t="n">
        <f aca="false">MIN(Piano_SS!$C$7,(BW193)+IF(AND(Motore_Operativo!C194&gt;=EDATE(Parametri_v3!$C$24,Ipotesi!F14*12),Motore_Operativo!C194&lt;EDATE(Parametri_v3!$C$24,Parametri_v3!$C$25+Ipotesi!F14*12)),MAX(0,(IF(10-(INT((Ipotesi!$C$91)/30))&lt;1,0,INDEX(Motore_Operativo!$BN$185:$BN$244,MAX(1,10-(INT((Ipotesi!$C$91)/30)))))*(1-(MOD((Ipotesi!$C$91),30)/30))+IF(10-(INT((Ipotesi!$C$91)/30))-1&lt;1,0,INDEX(Motore_Operativo!$BN$185:$BN$244,MAX(1,10-(INT((Ipotesi!$C$91)/30))-1)))*(MOD((Ipotesi!$C$91),30)/30)))*Piano_SS!$D$7,0))</f>
        <v>0</v>
      </c>
      <c r="BX194" s="15" t="n">
        <f aca="false">MIN(Piano_SS!$C$8,(BX193)+IF(AND(Motore_Operativo!C194&gt;=EDATE(Parametri_v3!$C$24,Ipotesi!F14*12),Motore_Operativo!C194&lt;EDATE(Parametri_v3!$C$24,Parametri_v3!$C$25+Ipotesi!F14*12)),MAX(0,Motore_Operativo!CE194)*Piano_SS!$D$8,0))</f>
        <v>0</v>
      </c>
      <c r="BY194" s="15" t="n">
        <f aca="false">MIN(Piano_SS!$C$9,(BY193)+IF(AND(Motore_Operativo!C194&gt;=EDATE(Parametri_v3!$C$24,Ipotesi!F14*12),Motore_Operativo!C194&lt;EDATE(Parametri_v3!$C$24,Parametri_v3!$C$25+Ipotesi!F14*12)),MAX(0,((IF(10-(INT((Ipotesi!$C$91)/30))&lt;1,0,INDEX(Motore_Operativo!$BQ$185:$BQ$244,MAX(1,10-(INT((Ipotesi!$C$91)/30)))))*(1-(MOD((Ipotesi!$C$91),30)/30))+IF(10-(INT((Ipotesi!$C$91)/30))-1&lt;1,0,INDEX(Motore_Operativo!$BQ$185:$BQ$244,MAX(1,10-(INT((Ipotesi!$C$91)/30))-1)))*(MOD((Ipotesi!$C$91),30)/30))+(IF(10-(INT((Ipotesi!$C$91)/30))&lt;1,0,INDEX(Motore_Operativo!$BR$185:$BR$244,MAX(1,10-(INT((Ipotesi!$C$91)/30)))))*(1-(MOD((Ipotesi!$C$91),30)/30))+IF(10-(INT((Ipotesi!$C$91)/30))-1&lt;1,0,INDEX(Motore_Operativo!$BR$185:$BR$244,MAX(1,10-(INT((Ipotesi!$C$91)/30))-1)))*(MOD((Ipotesi!$C$91),30)/30))))*Piano_SS!$D$9,0))</f>
        <v>0</v>
      </c>
      <c r="BZ194" s="15" t="n">
        <f aca="false">MIN(Piano_SS!$C$10,(BZ193)+IF(AND(Motore_Operativo!C194&gt;=EDATE(Parametri_v3!$C$24,Ipotesi!F14*12),Motore_Operativo!C194&lt;EDATE(Parametri_v3!$C$24,Parametri_v3!$C$25+Ipotesi!F14*12)),MAX(0,(IF(10-(INT((Ipotesi!$C$91)/30))&lt;1,0,INDEX(Motore_Operativo!$BO$185:$BO$244,MAX(1,10-(INT((Ipotesi!$C$91)/30)))))*(1-(MOD((Ipotesi!$C$91),30)/30))+IF(10-(INT((Ipotesi!$C$91)/30))-1&lt;1,0,INDEX(Motore_Operativo!$BO$185:$BO$244,MAX(1,10-(INT((Ipotesi!$C$91)/30))-1)))*(MOD((Ipotesi!$C$91),30)/30)))*Piano_SS!$D$10,0))</f>
        <v>0</v>
      </c>
      <c r="CA194" s="15" t="n">
        <f aca="false">SUM(BV194:BZ194)</f>
        <v>0</v>
      </c>
      <c r="CB194" s="15" t="n">
        <f aca="false">BV194*(1-Piano_SS!$E$6)+BW194*(1-Piano_SS!$E$7)+BX194*(1-Piano_SS!$E$8)+BY194*(1-Piano_SS!$E$9)+BZ194*(1-Piano_SS!$E$10)</f>
        <v>0</v>
      </c>
      <c r="CC194" s="15" t="n">
        <f aca="false">(CC193)+BA194</f>
        <v>0</v>
      </c>
      <c r="CD194" s="15" t="n">
        <f aca="false">IF(CA194=0,0,CC194*CB194/CA194*Ipotesi!$C$103*Parametri_v3!$C$64)</f>
        <v>0</v>
      </c>
      <c r="CE194" s="18" t="n">
        <f aca="false">IF(BA194&gt;0,Motore_Operativo!C194,(CE193))</f>
        <v>0</v>
      </c>
      <c r="CF194" s="18" t="n">
        <f aca="false">IF(AND(CC194&gt;0,OR(CC194&gt;=CG194-0.01,Motore_Operativo!C194&gt;=EDATE(MAX(Finanziamenti!$D$15:$D$17),Ipotesi!F14*12))),CE194,0)</f>
        <v>0</v>
      </c>
      <c r="CG194" s="15" t="n">
        <f aca="false">IF(AND(4&lt;&gt;6,4&lt;&gt;9,Finanziamenti!$F$11=1,OR(Parametri_v3!$C$6=0,Finanziamenti!$E$11=1)),MIN(Finanziamenti!$C$11,Piano_SS!$C$12*Ipotesi!$C$102),0)</f>
        <v>400000</v>
      </c>
      <c r="CH194" s="15" t="n">
        <f aca="false">IF(AND(AND(4&lt;&gt;8,4&lt;&gt;9,Finanziamenti!$F$10=1,OR(Parametri_v3!$C$6=0,Finanziamenti!$E$10=1)),Motore_Operativo!C194&gt;=Finanziamenti!$D$10,Motore_Operativo!C194&lt;Parametri_v3!$C$63),Finanziamenti!$C$10,0)</f>
        <v>150000</v>
      </c>
    </row>
    <row r="195" customFormat="false" ht="18" hidden="false" customHeight="true" outlineLevel="0" collapsed="false">
      <c r="A195" s="68" t="n">
        <f aca="false">4</f>
        <v>4</v>
      </c>
      <c r="B195" s="68" t="n">
        <f aca="false">11</f>
        <v>11</v>
      </c>
      <c r="C195" s="18" t="n">
        <f aca="false">Motore_Operativo!C195</f>
        <v>46692</v>
      </c>
      <c r="D195" s="68" t="n">
        <f aca="false">Motore_Operativo!D195</f>
        <v>2027</v>
      </c>
      <c r="E195" s="68" t="n">
        <f aca="false">Motore_Operativo!E195</f>
        <v>11</v>
      </c>
      <c r="F195" s="15" t="n">
        <f aca="false">Motore_Operativo!AQ195+Motore_Operativo!BF195</f>
        <v>3962.5</v>
      </c>
      <c r="G195" s="15" t="n">
        <f aca="false">Motore_Operativo!BH195</f>
        <v>825</v>
      </c>
      <c r="H195" s="15" t="n">
        <f aca="false">Motore_Operativo!BI195</f>
        <v>4787.5</v>
      </c>
      <c r="I195" s="15" t="n">
        <f aca="false">Motore_Operativo!CA195</f>
        <v>27522.0833333333</v>
      </c>
      <c r="J195" s="15" t="n">
        <f aca="false">Motore_Operativo!CC195</f>
        <v>-22734.5833333333</v>
      </c>
      <c r="K195" s="15" t="n">
        <f aca="false">Motore_Operativo!CE195</f>
        <v>1666.66666666667</v>
      </c>
      <c r="L195" s="15" t="n">
        <f aca="false">SUM(INDEX($K$185:$K$244,MAX(1,11-Parametri_v3!$C$59+1)):K195)/Parametri_v3!$C$59</f>
        <v>509.259259259259</v>
      </c>
      <c r="M195" s="15" t="n">
        <f aca="false">J195-L195</f>
        <v>-23243.8425925926</v>
      </c>
      <c r="N195" s="15" t="n">
        <f aca="false">CD195-(CD194)</f>
        <v>0</v>
      </c>
      <c r="O195" s="15" t="n">
        <f aca="false">(BG194)*Ipotesi!$C$110/12+CH195*Parametri_v3!$C$39/12</f>
        <v>708.617589642893</v>
      </c>
      <c r="P195" s="15" t="n">
        <f aca="false">M195+N195-O195</f>
        <v>-23952.4601822355</v>
      </c>
      <c r="Q195" s="15" t="n">
        <f aca="false">SUM(P185:P195)+Parametri_v3!$C$54*11/12</f>
        <v>-256941.18940711</v>
      </c>
      <c r="R195" s="15" t="n">
        <f aca="false">0</f>
        <v>0</v>
      </c>
      <c r="S195" s="15" t="n">
        <f aca="false">0</f>
        <v>0</v>
      </c>
      <c r="T195" s="15" t="n">
        <f aca="false">MIN(R195,MAX(0,Q195))</f>
        <v>0</v>
      </c>
      <c r="U195" s="15" t="n">
        <f aca="false">MIN(S195,MAX(0,Q195-T195)*Parametri_v3!$C$42)</f>
        <v>0</v>
      </c>
      <c r="V195" s="15" t="n">
        <f aca="false">MAX(0,Q195-T195-U195)*Ipotesi!$C$92</f>
        <v>0</v>
      </c>
      <c r="W195" s="15" t="n">
        <f aca="false">MAX(0,SUM(M185:M195)+Parametri_v3!$C$55*11/12)*Ipotesi!$C$93</f>
        <v>0</v>
      </c>
      <c r="X195" s="15" t="n">
        <f aca="false">V195+W195-(V194+W194)</f>
        <v>0</v>
      </c>
      <c r="Y195" s="15" t="n">
        <f aca="false">P195-X195</f>
        <v>-23952.4601822355</v>
      </c>
      <c r="Z195" s="15" t="n">
        <f aca="false">R195-T195+IF(AND(Parametri_v3!$C$40=1,D195-YEAR(Parametri_v3!$C$50)&lt;Parametri_v3!$C$41),MAX(0,-Q195),0)</f>
        <v>256941.18940711</v>
      </c>
      <c r="AA195" s="15" t="n">
        <f aca="false">S195-U195+IF(AND(Parametri_v3!$C$40=1,D195-YEAR(Parametri_v3!$C$50)&lt;Parametri_v3!$C$41),0,MAX(0,-Q195))</f>
        <v>0</v>
      </c>
      <c r="AB195" s="15" t="n">
        <f aca="false">F195*(1+Parametri_v3!$C$26)</f>
        <v>4834.25</v>
      </c>
      <c r="AC195" s="15" t="n">
        <f aca="false">(IF(11-(INT((Motore_Operativo!L195)/30))&lt;1,0,INDEX(Motore_Startup!$AB$185:$AB$244,MAX(1,11-(INT((Motore_Operativo!L195)/30)))))*(1-(MOD((Motore_Operativo!L195),30)/30))+IF(11-(INT((Motore_Operativo!L195)/30))-1&lt;1,0,INDEX(Motore_Startup!$AB$185:$AB$244,MAX(1,11-(INT((Motore_Operativo!L195)/30))-1)))*(MOD((Motore_Operativo!L195),30)/30))</f>
        <v>4671.58333333333</v>
      </c>
      <c r="AD195" s="15" t="n">
        <f aca="false">(AD194)+AB195-AC195</f>
        <v>19093</v>
      </c>
      <c r="AE195" s="15" t="n">
        <f aca="false">Motore_Operativo!BH195*(1+Parametri_v3!$C$26)</f>
        <v>1006.5</v>
      </c>
      <c r="AF195" s="15" t="n">
        <f aca="false">(IF(11-(INT((Parametri_v3!$C$29)/30))&lt;1,0,INDEX(Motore_Operativo!$BH$185:$BH$244,MAX(1,11-(INT((Parametri_v3!$C$29)/30)))))*(1-(MOD((Parametri_v3!$C$29),30)/30))+IF(11-(INT((Parametri_v3!$C$29)/30))-1&lt;1,0,INDEX(Motore_Operativo!$BH$185:$BH$244,MAX(1,11-(INT((Parametri_v3!$C$29)/30))-1)))*(MOD((Parametri_v3!$C$29),30)/30))*(1+Parametri_v3!$C$26)</f>
        <v>1006.5</v>
      </c>
      <c r="AG195" s="15" t="n">
        <f aca="false">(AG194)+AE195-AF195</f>
        <v>1006.5</v>
      </c>
      <c r="AH195" s="15" t="n">
        <f aca="false">(Motore_Operativo!CJ195)*(1+Parametri_v3!$C$27*Parametri_v3!$C$26)</f>
        <v>11401.6295833333</v>
      </c>
      <c r="AI195" s="15" t="n">
        <f aca="false">(IF(11-(INT((Ipotesi!$C$91)/30))&lt;1,0,INDEX(Motore_Startup!$AH$185:$AH$244,MAX(1,11-(INT((Ipotesi!$C$91)/30)))))*(1-(MOD((Ipotesi!$C$91),30)/30))+IF(11-(INT((Ipotesi!$C$91)/30))-1&lt;1,0,INDEX(Motore_Startup!$AH$185:$AH$244,MAX(1,11-(INT((Ipotesi!$C$91)/30))-1)))*(MOD((Ipotesi!$C$91),30)/30))</f>
        <v>11390.5509166667</v>
      </c>
      <c r="AJ195" s="15" t="n">
        <f aca="false">(AJ194)+AH195-AI195</f>
        <v>22797.7198333333</v>
      </c>
      <c r="AK195" s="15" t="n">
        <f aca="false">(F195+ Motore_Operativo!BH195-(Motore_Operativo!CJ195)*Parametri_v3!$C$27-Motore_Operativo!CE195)*Parametri_v3!$C$26</f>
        <v>-1109.62958333333</v>
      </c>
      <c r="AL195" s="15" t="n">
        <f aca="false">MAX(0,(AM194))</f>
        <v>0</v>
      </c>
      <c r="AM195" s="15" t="n">
        <f aca="false">(AM194)+AK195-AL195</f>
        <v>-12532.1890833333</v>
      </c>
      <c r="AN195" s="15" t="n">
        <f aca="false">0</f>
        <v>0</v>
      </c>
      <c r="AO195" s="15" t="n">
        <f aca="false">0</f>
        <v>0</v>
      </c>
      <c r="AP195" s="15" t="n">
        <f aca="false">MAX(0,AN195)*IF(11=Parametri_v3!$C$43,Parametri_v3!$C$45,IF(11=Parametri_v3!$C$44,1-Parametri_v3!$C$45,0))</f>
        <v>0</v>
      </c>
      <c r="AQ195" s="15" t="n">
        <f aca="false">MAX(0,AP195+IF(11=Parametri_v3!$C$43,MAX(0,AN195-AO195),0)-MAX(0,-(AR194)))</f>
        <v>0</v>
      </c>
      <c r="AR195" s="15" t="n">
        <f aca="false">(AR194)+X195-AQ195</f>
        <v>0</v>
      </c>
      <c r="AS195" s="15" t="n">
        <f aca="false">Motore_Operativo!AB195-AT195+AU195</f>
        <v>17020.8333333333</v>
      </c>
      <c r="AT195" s="15" t="n">
        <f aca="false">Motore_Operativo!CH195</f>
        <v>895.833333333334</v>
      </c>
      <c r="AU195" s="15" t="n">
        <f aca="false">MIN(MAX(0,(AV194)+AT195),Parametri_v3!$C$60/12)</f>
        <v>0</v>
      </c>
      <c r="AV195" s="15" t="n">
        <f aca="false">(AV194)+AT195-AU195</f>
        <v>9854.16666666667</v>
      </c>
      <c r="AW195" s="15" t="n">
        <f aca="false">IF(AND(Motore_Operativo!C195=Finanziamenti!$D$6,Finanziamenti!$F$6=1),Finanziamenti!$C$6,0)</f>
        <v>0</v>
      </c>
      <c r="AX195" s="15" t="n">
        <f aca="false">IF(AND(4&lt;&gt;7,4&lt;&gt;9,Finanziamenti!$F$8=1,OR(Parametri_v3!$C$6=0,Finanziamenti!$E$8=1),Motore_Operativo!C195=EDATE(Finanziamenti!$D$8,Ipotesi!F15*12)),Finanziamenti!$C$8*1,0)+IF(AND(4&lt;&gt;7,4&lt;&gt;9,Finanziamenti!$F$9=1,OR(Parametri_v3!$C$6=0,Finanziamenti!$E$9=1),Motore_Operativo!C195=EDATE(Finanziamenti!$D$9,Ipotesi!F15*12)),Finanziamenti!$C$9*Ipotesi!F16,0)</f>
        <v>0</v>
      </c>
      <c r="AY195" s="15" t="n">
        <f aca="false">0</f>
        <v>0</v>
      </c>
      <c r="AZ195" s="15" t="n">
        <f aca="false">Motore_Advisory!AY195*(1-Ipotesi!$C$95)*Ipotesi!$C$96</f>
        <v>0</v>
      </c>
      <c r="BA195" s="15" t="n">
        <f aca="false">MAX(0,MIN(CG195*MIN(1,IF(Motore_Operativo!C195&gt;=EDATE(Finanziamenti!$D$15,Ipotesi!F14*12),Finanziamenti!$C$15,0)+IF(Motore_Operativo!C195&gt;=EDATE(Finanziamenti!$D$16,Ipotesi!F14*12),Finanziamenti!$C$16,0)+IF(Motore_Operativo!C195&gt;=EDATE(Finanziamenti!$D$17,Ipotesi!F14*12),Finanziamenti!$C$17,0)),CA195*Ipotesi!$C$102)-(CC194))</f>
        <v>0</v>
      </c>
      <c r="BB195" s="15" t="n">
        <f aca="false">IF(AND(CF195&gt;0,Motore_Operativo!C195&gt;=IF(CF195=0,0,EDATE(CF195,Parametri_v3!$C$37)),MOD(((D195-YEAR(IF(CF195=0,0,EDATE(CF195,Parametri_v3!$C$37))))*12+E195-MONTH(IF(CF195=0,0,EDATE(CF195,Parametri_v3!$C$37)))),Parametri_v3!$C$38)=0),MIN(MAX(0,(BC194)+BA195-N195),(CC195-CD195)/(Ipotesi!$C$108*12/Parametri_v3!$C$38)),0)</f>
        <v>0</v>
      </c>
      <c r="BC195" s="15" t="n">
        <f aca="false">(BC194)+BA195-N195-BB195</f>
        <v>0</v>
      </c>
      <c r="BD195" s="15" t="n">
        <f aca="false">(BH194)+AC195+AF195-AI195-AS195-K195*(1+Parametri_v3!$C$26)-AL195-AQ195-O195+AW195+AX195+AZ195+BA195-BB195</f>
        <v>-475.251839642893</v>
      </c>
      <c r="BE195" s="15" t="n">
        <f aca="false">MAX(0,MIN(MAX(0,CH195-(BG194)),Parametri_v3!$C$30-BD195))</f>
        <v>8276.48207142146</v>
      </c>
      <c r="BF195" s="15" t="n">
        <f aca="false">IF(Motore_Operativo!C195&gt;=Parametri_v3!$C$63,(BG194),MIN((BG194),MAX(0,BD195-Parametri_v3!$C$30)))</f>
        <v>0</v>
      </c>
      <c r="BG195" s="15" t="n">
        <f aca="false">(BG194)+BE195-BF195</f>
        <v>150000</v>
      </c>
      <c r="BH195" s="15" t="n">
        <f aca="false">BD195+BE195-BF195-AY195</f>
        <v>7801.23023177857</v>
      </c>
      <c r="BI195" s="15" t="n">
        <f aca="false">MAX(0,Parametri_v3!$C$30-BH195)</f>
        <v>17198.7697682214</v>
      </c>
      <c r="BJ195" s="15" t="n">
        <f aca="false">(BJ194)+K195</f>
        <v>18333.3333333333</v>
      </c>
      <c r="BK195" s="15" t="n">
        <f aca="false">(BK194)+L195</f>
        <v>3055.55555555556</v>
      </c>
      <c r="BL195" s="15" t="n">
        <f aca="false">BJ195-BK195</f>
        <v>15277.7777777778</v>
      </c>
      <c r="BM195" s="15" t="n">
        <f aca="false">(BM194)+Y195</f>
        <v>-256941.18940711</v>
      </c>
      <c r="BN195" s="15" t="n">
        <f aca="false">(BN194)+AW195+AX195+AZ195</f>
        <v>130000</v>
      </c>
      <c r="BO195" s="15" t="n">
        <f aca="false">(BO194)+AY195</f>
        <v>0</v>
      </c>
      <c r="BP195" s="15" t="n">
        <f aca="false">0</f>
        <v>0</v>
      </c>
      <c r="BQ195" s="15" t="n">
        <f aca="false">BN195+BM195-BO195</f>
        <v>-126941.18940711</v>
      </c>
      <c r="BR195" s="15" t="n">
        <f aca="false">BH195+AD195+BL195+MAX(0,-AM195)+MAX(0,-AR195)+AG195</f>
        <v>55710.6970928897</v>
      </c>
      <c r="BS195" s="15" t="n">
        <f aca="false">AJ195+AV195+MAX(0,AM195)+MAX(0,AR195)+BC195+BG195+BQ195</f>
        <v>55710.6970928897</v>
      </c>
      <c r="BT195" s="15" t="n">
        <f aca="false">BR195-BS195</f>
        <v>0</v>
      </c>
      <c r="BU195" s="15" t="n">
        <f aca="false">BH195-(BD195+BE195-BF195-AY195)</f>
        <v>0</v>
      </c>
      <c r="BV195" s="15" t="n">
        <f aca="false">MIN(Piano_SS!$C$6,(BV194)+IF(AND(Motore_Operativo!C195&gt;=EDATE(Parametri_v3!$C$24,Ipotesi!F14*12),Motore_Operativo!C195&lt;EDATE(Parametri_v3!$C$24,Parametri_v3!$C$25+Ipotesi!F14*12)),MAX(0,(Motore_Operativo!Y195+Motore_Operativo!X195*Parametri_v3!$C$14)*(1-Parametri_v3!$C$32))*Piano_SS!$D$6,0))</f>
        <v>0</v>
      </c>
      <c r="BW195" s="15" t="n">
        <f aca="false">MIN(Piano_SS!$C$7,(BW194)+IF(AND(Motore_Operativo!C195&gt;=EDATE(Parametri_v3!$C$24,Ipotesi!F14*12),Motore_Operativo!C195&lt;EDATE(Parametri_v3!$C$24,Parametri_v3!$C$25+Ipotesi!F14*12)),MAX(0,(IF(11-(INT((Ipotesi!$C$91)/30))&lt;1,0,INDEX(Motore_Operativo!$BN$185:$BN$244,MAX(1,11-(INT((Ipotesi!$C$91)/30)))))*(1-(MOD((Ipotesi!$C$91),30)/30))+IF(11-(INT((Ipotesi!$C$91)/30))-1&lt;1,0,INDEX(Motore_Operativo!$BN$185:$BN$244,MAX(1,11-(INT((Ipotesi!$C$91)/30))-1)))*(MOD((Ipotesi!$C$91),30)/30)))*Piano_SS!$D$7,0))</f>
        <v>0</v>
      </c>
      <c r="BX195" s="15" t="n">
        <f aca="false">MIN(Piano_SS!$C$8,(BX194)+IF(AND(Motore_Operativo!C195&gt;=EDATE(Parametri_v3!$C$24,Ipotesi!F14*12),Motore_Operativo!C195&lt;EDATE(Parametri_v3!$C$24,Parametri_v3!$C$25+Ipotesi!F14*12)),MAX(0,Motore_Operativo!CE195)*Piano_SS!$D$8,0))</f>
        <v>0</v>
      </c>
      <c r="BY195" s="15" t="n">
        <f aca="false">MIN(Piano_SS!$C$9,(BY194)+IF(AND(Motore_Operativo!C195&gt;=EDATE(Parametri_v3!$C$24,Ipotesi!F14*12),Motore_Operativo!C195&lt;EDATE(Parametri_v3!$C$24,Parametri_v3!$C$25+Ipotesi!F14*12)),MAX(0,((IF(11-(INT((Ipotesi!$C$91)/30))&lt;1,0,INDEX(Motore_Operativo!$BQ$185:$BQ$244,MAX(1,11-(INT((Ipotesi!$C$91)/30)))))*(1-(MOD((Ipotesi!$C$91),30)/30))+IF(11-(INT((Ipotesi!$C$91)/30))-1&lt;1,0,INDEX(Motore_Operativo!$BQ$185:$BQ$244,MAX(1,11-(INT((Ipotesi!$C$91)/30))-1)))*(MOD((Ipotesi!$C$91),30)/30))+(IF(11-(INT((Ipotesi!$C$91)/30))&lt;1,0,INDEX(Motore_Operativo!$BR$185:$BR$244,MAX(1,11-(INT((Ipotesi!$C$91)/30)))))*(1-(MOD((Ipotesi!$C$91),30)/30))+IF(11-(INT((Ipotesi!$C$91)/30))-1&lt;1,0,INDEX(Motore_Operativo!$BR$185:$BR$244,MAX(1,11-(INT((Ipotesi!$C$91)/30))-1)))*(MOD((Ipotesi!$C$91),30)/30))))*Piano_SS!$D$9,0))</f>
        <v>0</v>
      </c>
      <c r="BZ195" s="15" t="n">
        <f aca="false">MIN(Piano_SS!$C$10,(BZ194)+IF(AND(Motore_Operativo!C195&gt;=EDATE(Parametri_v3!$C$24,Ipotesi!F14*12),Motore_Operativo!C195&lt;EDATE(Parametri_v3!$C$24,Parametri_v3!$C$25+Ipotesi!F14*12)),MAX(0,(IF(11-(INT((Ipotesi!$C$91)/30))&lt;1,0,INDEX(Motore_Operativo!$BO$185:$BO$244,MAX(1,11-(INT((Ipotesi!$C$91)/30)))))*(1-(MOD((Ipotesi!$C$91),30)/30))+IF(11-(INT((Ipotesi!$C$91)/30))-1&lt;1,0,INDEX(Motore_Operativo!$BO$185:$BO$244,MAX(1,11-(INT((Ipotesi!$C$91)/30))-1)))*(MOD((Ipotesi!$C$91),30)/30)))*Piano_SS!$D$10,0))</f>
        <v>0</v>
      </c>
      <c r="CA195" s="15" t="n">
        <f aca="false">SUM(BV195:BZ195)</f>
        <v>0</v>
      </c>
      <c r="CB195" s="15" t="n">
        <f aca="false">BV195*(1-Piano_SS!$E$6)+BW195*(1-Piano_SS!$E$7)+BX195*(1-Piano_SS!$E$8)+BY195*(1-Piano_SS!$E$9)+BZ195*(1-Piano_SS!$E$10)</f>
        <v>0</v>
      </c>
      <c r="CC195" s="15" t="n">
        <f aca="false">(CC194)+BA195</f>
        <v>0</v>
      </c>
      <c r="CD195" s="15" t="n">
        <f aca="false">IF(CA195=0,0,CC195*CB195/CA195*Ipotesi!$C$103*Parametri_v3!$C$64)</f>
        <v>0</v>
      </c>
      <c r="CE195" s="18" t="n">
        <f aca="false">IF(BA195&gt;0,Motore_Operativo!C195,(CE194))</f>
        <v>0</v>
      </c>
      <c r="CF195" s="18" t="n">
        <f aca="false">IF(AND(CC195&gt;0,OR(CC195&gt;=CG195-0.01,Motore_Operativo!C195&gt;=EDATE(MAX(Finanziamenti!$D$15:$D$17),Ipotesi!F14*12))),CE195,0)</f>
        <v>0</v>
      </c>
      <c r="CG195" s="15" t="n">
        <f aca="false">IF(AND(4&lt;&gt;6,4&lt;&gt;9,Finanziamenti!$F$11=1,OR(Parametri_v3!$C$6=0,Finanziamenti!$E$11=1)),MIN(Finanziamenti!$C$11,Piano_SS!$C$12*Ipotesi!$C$102),0)</f>
        <v>400000</v>
      </c>
      <c r="CH195" s="15" t="n">
        <f aca="false">IF(AND(AND(4&lt;&gt;8,4&lt;&gt;9,Finanziamenti!$F$10=1,OR(Parametri_v3!$C$6=0,Finanziamenti!$E$10=1)),Motore_Operativo!C195&gt;=Finanziamenti!$D$10,Motore_Operativo!C195&lt;Parametri_v3!$C$63),Finanziamenti!$C$10,0)</f>
        <v>150000</v>
      </c>
    </row>
    <row r="196" customFormat="false" ht="18" hidden="false" customHeight="true" outlineLevel="0" collapsed="false">
      <c r="A196" s="68" t="n">
        <f aca="false">4</f>
        <v>4</v>
      </c>
      <c r="B196" s="68" t="n">
        <f aca="false">12</f>
        <v>12</v>
      </c>
      <c r="C196" s="18" t="n">
        <f aca="false">Motore_Operativo!C196</f>
        <v>46722</v>
      </c>
      <c r="D196" s="68" t="n">
        <f aca="false">Motore_Operativo!D196</f>
        <v>2027</v>
      </c>
      <c r="E196" s="68" t="n">
        <f aca="false">Motore_Operativo!E196</f>
        <v>12</v>
      </c>
      <c r="F196" s="15" t="n">
        <f aca="false">Motore_Operativo!AQ196+Motore_Operativo!BF196</f>
        <v>3995.83333333333</v>
      </c>
      <c r="G196" s="15" t="n">
        <f aca="false">Motore_Operativo!BH196</f>
        <v>825</v>
      </c>
      <c r="H196" s="15" t="n">
        <f aca="false">Motore_Operativo!BI196</f>
        <v>4820.83333333334</v>
      </c>
      <c r="I196" s="15" t="n">
        <f aca="false">Motore_Operativo!CA196</f>
        <v>27526.75</v>
      </c>
      <c r="J196" s="15" t="n">
        <f aca="false">Motore_Operativo!CC196</f>
        <v>-22705.9166666667</v>
      </c>
      <c r="K196" s="15" t="n">
        <f aca="false">Motore_Operativo!CE196</f>
        <v>1666.66666666667</v>
      </c>
      <c r="L196" s="15" t="n">
        <f aca="false">SUM(INDEX($K$185:$K$244,MAX(1,12-Parametri_v3!$C$59+1)):K196)/Parametri_v3!$C$59</f>
        <v>555.555555555556</v>
      </c>
      <c r="M196" s="15" t="n">
        <f aca="false">J196-L196</f>
        <v>-23261.4722222222</v>
      </c>
      <c r="N196" s="15" t="n">
        <f aca="false">CD196-(CD195)</f>
        <v>0</v>
      </c>
      <c r="O196" s="15" t="n">
        <f aca="false">(BG195)*Ipotesi!$C$110/12+CH196*Parametri_v3!$C$39/12</f>
        <v>750</v>
      </c>
      <c r="P196" s="15" t="n">
        <f aca="false">M196+N196-O196</f>
        <v>-24011.4722222222</v>
      </c>
      <c r="Q196" s="15" t="n">
        <f aca="false">SUM(P185:P196)+Parametri_v3!$C$54*12/12</f>
        <v>-280952.661629333</v>
      </c>
      <c r="R196" s="15" t="n">
        <f aca="false">0</f>
        <v>0</v>
      </c>
      <c r="S196" s="15" t="n">
        <f aca="false">0</f>
        <v>0</v>
      </c>
      <c r="T196" s="15" t="n">
        <f aca="false">MIN(R196,MAX(0,Q196))</f>
        <v>0</v>
      </c>
      <c r="U196" s="15" t="n">
        <f aca="false">MIN(S196,MAX(0,Q196-T196)*Parametri_v3!$C$42)</f>
        <v>0</v>
      </c>
      <c r="V196" s="15" t="n">
        <f aca="false">MAX(0,Q196-T196-U196)*Ipotesi!$C$92</f>
        <v>0</v>
      </c>
      <c r="W196" s="15" t="n">
        <f aca="false">MAX(0,SUM(M185:M196)+Parametri_v3!$C$55*12/12)*Ipotesi!$C$93</f>
        <v>0</v>
      </c>
      <c r="X196" s="15" t="n">
        <f aca="false">V196+W196-(V195+W195)</f>
        <v>0</v>
      </c>
      <c r="Y196" s="15" t="n">
        <f aca="false">P196-X196</f>
        <v>-24011.4722222222</v>
      </c>
      <c r="Z196" s="15" t="n">
        <f aca="false">R196-T196+IF(AND(Parametri_v3!$C$40=1,D196-YEAR(Parametri_v3!$C$50)&lt;Parametri_v3!$C$41),MAX(0,-Q196),0)</f>
        <v>280952.661629333</v>
      </c>
      <c r="AA196" s="15" t="n">
        <f aca="false">S196-U196+IF(AND(Parametri_v3!$C$40=1,D196-YEAR(Parametri_v3!$C$50)&lt;Parametri_v3!$C$41),0,MAX(0,-Q196))</f>
        <v>0</v>
      </c>
      <c r="AB196" s="15" t="n">
        <f aca="false">F196*(1+Parametri_v3!$C$26)</f>
        <v>4874.91666666667</v>
      </c>
      <c r="AC196" s="15" t="n">
        <f aca="false">(IF(12-(INT((Motore_Operativo!L196)/30))&lt;1,0,INDEX(Motore_Startup!$AB$185:$AB$244,MAX(1,12-(INT((Motore_Operativo!L196)/30)))))*(1-(MOD((Motore_Operativo!L196),30)/30))+IF(12-(INT((Motore_Operativo!L196)/30))-1&lt;1,0,INDEX(Motore_Startup!$AB$185:$AB$244,MAX(1,12-(INT((Motore_Operativo!L196)/30))-1)))*(MOD((Motore_Operativo!L196),30)/30))</f>
        <v>4712.25</v>
      </c>
      <c r="AD196" s="15" t="n">
        <f aca="false">(AD195)+AB196-AC196</f>
        <v>19255.6666666667</v>
      </c>
      <c r="AE196" s="15" t="n">
        <f aca="false">Motore_Operativo!BH196*(1+Parametri_v3!$C$26)</f>
        <v>1006.5</v>
      </c>
      <c r="AF196" s="15" t="n">
        <f aca="false">(IF(12-(INT((Parametri_v3!$C$29)/30))&lt;1,0,INDEX(Motore_Operativo!$BH$185:$BH$244,MAX(1,12-(INT((Parametri_v3!$C$29)/30)))))*(1-(MOD((Parametri_v3!$C$29),30)/30))+IF(12-(INT((Parametri_v3!$C$29)/30))-1&lt;1,0,INDEX(Motore_Operativo!$BH$185:$BH$244,MAX(1,12-(INT((Parametri_v3!$C$29)/30))-1)))*(MOD((Parametri_v3!$C$29),30)/30))*(1+Parametri_v3!$C$26)</f>
        <v>1006.5</v>
      </c>
      <c r="AG196" s="15" t="n">
        <f aca="false">(AG195)+AE196-AF196</f>
        <v>1006.5</v>
      </c>
      <c r="AH196" s="15" t="n">
        <f aca="false">(Motore_Operativo!CJ196)*(1+Parametri_v3!$C$27*Parametri_v3!$C$26)</f>
        <v>11407.1689166667</v>
      </c>
      <c r="AI196" s="15" t="n">
        <f aca="false">(IF(12-(INT((Ipotesi!$C$91)/30))&lt;1,0,INDEX(Motore_Startup!$AH$185:$AH$244,MAX(1,12-(INT((Ipotesi!$C$91)/30)))))*(1-(MOD((Ipotesi!$C$91),30)/30))+IF(12-(INT((Ipotesi!$C$91)/30))-1&lt;1,0,INDEX(Motore_Startup!$AH$185:$AH$244,MAX(1,12-(INT((Ipotesi!$C$91)/30))-1)))*(MOD((Ipotesi!$C$91),30)/30))</f>
        <v>11396.09025</v>
      </c>
      <c r="AJ196" s="15" t="n">
        <f aca="false">(AJ195)+AH196-AI196</f>
        <v>22808.7985</v>
      </c>
      <c r="AK196" s="15" t="n">
        <f aca="false">(F196+ Motore_Operativo!BH196-(Motore_Operativo!CJ196)*Parametri_v3!$C$27-Motore_Operativo!CE196)*Parametri_v3!$C$26</f>
        <v>-1103.16891666667</v>
      </c>
      <c r="AL196" s="15" t="n">
        <f aca="false">MAX(0,(AM195))</f>
        <v>0</v>
      </c>
      <c r="AM196" s="15" t="n">
        <f aca="false">(AM195)+AK196-AL196</f>
        <v>-13635.358</v>
      </c>
      <c r="AN196" s="15" t="n">
        <f aca="false">0</f>
        <v>0</v>
      </c>
      <c r="AO196" s="15" t="n">
        <f aca="false">0</f>
        <v>0</v>
      </c>
      <c r="AP196" s="15" t="n">
        <f aca="false">MAX(0,AN196)*IF(12=Parametri_v3!$C$43,Parametri_v3!$C$45,IF(12=Parametri_v3!$C$44,1-Parametri_v3!$C$45,0))</f>
        <v>0</v>
      </c>
      <c r="AQ196" s="15" t="n">
        <f aca="false">MAX(0,AP196+IF(12=Parametri_v3!$C$43,MAX(0,AN196-AO196),0)-MAX(0,-(AR195)))</f>
        <v>0</v>
      </c>
      <c r="AR196" s="15" t="n">
        <f aca="false">(AR195)+X196-AQ196</f>
        <v>0</v>
      </c>
      <c r="AS196" s="15" t="n">
        <f aca="false">Motore_Operativo!AB196-AT196+AU196</f>
        <v>17020.8333333333</v>
      </c>
      <c r="AT196" s="15" t="n">
        <f aca="false">Motore_Operativo!CH196</f>
        <v>895.833333333334</v>
      </c>
      <c r="AU196" s="15" t="n">
        <f aca="false">MIN(MAX(0,(AV195)+AT196),Parametri_v3!$C$60/12)</f>
        <v>0</v>
      </c>
      <c r="AV196" s="15" t="n">
        <f aca="false">(AV195)+AT196-AU196</f>
        <v>10750</v>
      </c>
      <c r="AW196" s="15" t="n">
        <f aca="false">IF(AND(Motore_Operativo!C196=Finanziamenti!$D$6,Finanziamenti!$F$6=1),Finanziamenti!$C$6,0)</f>
        <v>0</v>
      </c>
      <c r="AX196" s="15" t="n">
        <f aca="false">IF(AND(4&lt;&gt;7,4&lt;&gt;9,Finanziamenti!$F$8=1,OR(Parametri_v3!$C$6=0,Finanziamenti!$E$8=1),Motore_Operativo!C196=EDATE(Finanziamenti!$D$8,Ipotesi!F15*12)),Finanziamenti!$C$8*1,0)+IF(AND(4&lt;&gt;7,4&lt;&gt;9,Finanziamenti!$F$9=1,OR(Parametri_v3!$C$6=0,Finanziamenti!$E$9=1),Motore_Operativo!C196=EDATE(Finanziamenti!$D$9,Ipotesi!F15*12)),Finanziamenti!$C$9*Ipotesi!F16,0)</f>
        <v>0</v>
      </c>
      <c r="AY196" s="15" t="n">
        <f aca="false">0</f>
        <v>0</v>
      </c>
      <c r="AZ196" s="15" t="n">
        <f aca="false">Motore_Advisory!AY196*(1-Ipotesi!$C$95)*Ipotesi!$C$96</f>
        <v>0</v>
      </c>
      <c r="BA196" s="15" t="n">
        <f aca="false">MAX(0,MIN(CG196*MIN(1,IF(Motore_Operativo!C196&gt;=EDATE(Finanziamenti!$D$15,Ipotesi!F14*12),Finanziamenti!$C$15,0)+IF(Motore_Operativo!C196&gt;=EDATE(Finanziamenti!$D$16,Ipotesi!F14*12),Finanziamenti!$C$16,0)+IF(Motore_Operativo!C196&gt;=EDATE(Finanziamenti!$D$17,Ipotesi!F14*12),Finanziamenti!$C$17,0)),CA196*Ipotesi!$C$102)-(CC195))</f>
        <v>0</v>
      </c>
      <c r="BB196" s="15" t="n">
        <f aca="false">IF(AND(CF196&gt;0,Motore_Operativo!C196&gt;=IF(CF196=0,0,EDATE(CF196,Parametri_v3!$C$37)),MOD(((D196-YEAR(IF(CF196=0,0,EDATE(CF196,Parametri_v3!$C$37))))*12+E196-MONTH(IF(CF196=0,0,EDATE(CF196,Parametri_v3!$C$37)))),Parametri_v3!$C$38)=0),MIN(MAX(0,(BC195)+BA196-N196),(CC196-CD196)/(Ipotesi!$C$108*12/Parametri_v3!$C$38)),0)</f>
        <v>0</v>
      </c>
      <c r="BC196" s="15" t="n">
        <f aca="false">(BC195)+BA196-N196-BB196</f>
        <v>0</v>
      </c>
      <c r="BD196" s="15" t="n">
        <f aca="false">(BH195)+AC196+AF196-AI196-AS196-K196*(1+Parametri_v3!$C$26)-AL196-AQ196-O196+AW196+AX196+AZ196+BA196-BB196</f>
        <v>-17680.2766848881</v>
      </c>
      <c r="BE196" s="15" t="n">
        <f aca="false">MAX(0,MIN(MAX(0,CH196-(BG195)),Parametri_v3!$C$30-BD196))</f>
        <v>0</v>
      </c>
      <c r="BF196" s="15" t="n">
        <f aca="false">IF(Motore_Operativo!C196&gt;=Parametri_v3!$C$63,(BG195),MIN((BG195),MAX(0,BD196-Parametri_v3!$C$30)))</f>
        <v>0</v>
      </c>
      <c r="BG196" s="15" t="n">
        <f aca="false">(BG195)+BE196-BF196</f>
        <v>150000</v>
      </c>
      <c r="BH196" s="15" t="n">
        <f aca="false">BD196+BE196-BF196-AY196</f>
        <v>-17680.2766848881</v>
      </c>
      <c r="BI196" s="15" t="n">
        <f aca="false">MAX(0,Parametri_v3!$C$30-BH196)</f>
        <v>42680.2766848881</v>
      </c>
      <c r="BJ196" s="15" t="n">
        <f aca="false">(BJ195)+K196</f>
        <v>20000</v>
      </c>
      <c r="BK196" s="15" t="n">
        <f aca="false">(BK195)+L196</f>
        <v>3611.11111111111</v>
      </c>
      <c r="BL196" s="15" t="n">
        <f aca="false">BJ196-BK196</f>
        <v>16388.8888888889</v>
      </c>
      <c r="BM196" s="15" t="n">
        <f aca="false">(BM195)+Y196</f>
        <v>-280952.661629333</v>
      </c>
      <c r="BN196" s="15" t="n">
        <f aca="false">(BN195)+AW196+AX196+AZ196</f>
        <v>130000</v>
      </c>
      <c r="BO196" s="15" t="n">
        <f aca="false">(BO195)+AY196</f>
        <v>0</v>
      </c>
      <c r="BP196" s="15" t="n">
        <f aca="false">0</f>
        <v>0</v>
      </c>
      <c r="BQ196" s="15" t="n">
        <f aca="false">BN196+BM196-BO196</f>
        <v>-150952.661629333</v>
      </c>
      <c r="BR196" s="15" t="n">
        <f aca="false">BH196+AD196+BL196+MAX(0,-AM196)+MAX(0,-AR196)+AG196</f>
        <v>32606.1368706675</v>
      </c>
      <c r="BS196" s="15" t="n">
        <f aca="false">AJ196+AV196+MAX(0,AM196)+MAX(0,AR196)+BC196+BG196+BQ196</f>
        <v>32606.1368706674</v>
      </c>
      <c r="BT196" s="15" t="n">
        <f aca="false">BR196-BS196</f>
        <v>0</v>
      </c>
      <c r="BU196" s="15" t="n">
        <f aca="false">BH196-(BD196+BE196-BF196-AY196)</f>
        <v>0</v>
      </c>
      <c r="BV196" s="15" t="n">
        <f aca="false">MIN(Piano_SS!$C$6,(BV195)+IF(AND(Motore_Operativo!C196&gt;=EDATE(Parametri_v3!$C$24,Ipotesi!F14*12),Motore_Operativo!C196&lt;EDATE(Parametri_v3!$C$24,Parametri_v3!$C$25+Ipotesi!F14*12)),MAX(0,(Motore_Operativo!Y196+Motore_Operativo!X196*Parametri_v3!$C$14)*(1-Parametri_v3!$C$32))*Piano_SS!$D$6,0))</f>
        <v>0</v>
      </c>
      <c r="BW196" s="15" t="n">
        <f aca="false">MIN(Piano_SS!$C$7,(BW195)+IF(AND(Motore_Operativo!C196&gt;=EDATE(Parametri_v3!$C$24,Ipotesi!F14*12),Motore_Operativo!C196&lt;EDATE(Parametri_v3!$C$24,Parametri_v3!$C$25+Ipotesi!F14*12)),MAX(0,(IF(12-(INT((Ipotesi!$C$91)/30))&lt;1,0,INDEX(Motore_Operativo!$BN$185:$BN$244,MAX(1,12-(INT((Ipotesi!$C$91)/30)))))*(1-(MOD((Ipotesi!$C$91),30)/30))+IF(12-(INT((Ipotesi!$C$91)/30))-1&lt;1,0,INDEX(Motore_Operativo!$BN$185:$BN$244,MAX(1,12-(INT((Ipotesi!$C$91)/30))-1)))*(MOD((Ipotesi!$C$91),30)/30)))*Piano_SS!$D$7,0))</f>
        <v>0</v>
      </c>
      <c r="BX196" s="15" t="n">
        <f aca="false">MIN(Piano_SS!$C$8,(BX195)+IF(AND(Motore_Operativo!C196&gt;=EDATE(Parametri_v3!$C$24,Ipotesi!F14*12),Motore_Operativo!C196&lt;EDATE(Parametri_v3!$C$24,Parametri_v3!$C$25+Ipotesi!F14*12)),MAX(0,Motore_Operativo!CE196)*Piano_SS!$D$8,0))</f>
        <v>0</v>
      </c>
      <c r="BY196" s="15" t="n">
        <f aca="false">MIN(Piano_SS!$C$9,(BY195)+IF(AND(Motore_Operativo!C196&gt;=EDATE(Parametri_v3!$C$24,Ipotesi!F14*12),Motore_Operativo!C196&lt;EDATE(Parametri_v3!$C$24,Parametri_v3!$C$25+Ipotesi!F14*12)),MAX(0,((IF(12-(INT((Ipotesi!$C$91)/30))&lt;1,0,INDEX(Motore_Operativo!$BQ$185:$BQ$244,MAX(1,12-(INT((Ipotesi!$C$91)/30)))))*(1-(MOD((Ipotesi!$C$91),30)/30))+IF(12-(INT((Ipotesi!$C$91)/30))-1&lt;1,0,INDEX(Motore_Operativo!$BQ$185:$BQ$244,MAX(1,12-(INT((Ipotesi!$C$91)/30))-1)))*(MOD((Ipotesi!$C$91),30)/30))+(IF(12-(INT((Ipotesi!$C$91)/30))&lt;1,0,INDEX(Motore_Operativo!$BR$185:$BR$244,MAX(1,12-(INT((Ipotesi!$C$91)/30)))))*(1-(MOD((Ipotesi!$C$91),30)/30))+IF(12-(INT((Ipotesi!$C$91)/30))-1&lt;1,0,INDEX(Motore_Operativo!$BR$185:$BR$244,MAX(1,12-(INT((Ipotesi!$C$91)/30))-1)))*(MOD((Ipotesi!$C$91),30)/30))))*Piano_SS!$D$9,0))</f>
        <v>0</v>
      </c>
      <c r="BZ196" s="15" t="n">
        <f aca="false">MIN(Piano_SS!$C$10,(BZ195)+IF(AND(Motore_Operativo!C196&gt;=EDATE(Parametri_v3!$C$24,Ipotesi!F14*12),Motore_Operativo!C196&lt;EDATE(Parametri_v3!$C$24,Parametri_v3!$C$25+Ipotesi!F14*12)),MAX(0,(IF(12-(INT((Ipotesi!$C$91)/30))&lt;1,0,INDEX(Motore_Operativo!$BO$185:$BO$244,MAX(1,12-(INT((Ipotesi!$C$91)/30)))))*(1-(MOD((Ipotesi!$C$91),30)/30))+IF(12-(INT((Ipotesi!$C$91)/30))-1&lt;1,0,INDEX(Motore_Operativo!$BO$185:$BO$244,MAX(1,12-(INT((Ipotesi!$C$91)/30))-1)))*(MOD((Ipotesi!$C$91),30)/30)))*Piano_SS!$D$10,0))</f>
        <v>0</v>
      </c>
      <c r="CA196" s="15" t="n">
        <f aca="false">SUM(BV196:BZ196)</f>
        <v>0</v>
      </c>
      <c r="CB196" s="15" t="n">
        <f aca="false">BV196*(1-Piano_SS!$E$6)+BW196*(1-Piano_SS!$E$7)+BX196*(1-Piano_SS!$E$8)+BY196*(1-Piano_SS!$E$9)+BZ196*(1-Piano_SS!$E$10)</f>
        <v>0</v>
      </c>
      <c r="CC196" s="15" t="n">
        <f aca="false">(CC195)+BA196</f>
        <v>0</v>
      </c>
      <c r="CD196" s="15" t="n">
        <f aca="false">IF(CA196=0,0,CC196*CB196/CA196*Ipotesi!$C$103*Parametri_v3!$C$64)</f>
        <v>0</v>
      </c>
      <c r="CE196" s="18" t="n">
        <f aca="false">IF(BA196&gt;0,Motore_Operativo!C196,(CE195))</f>
        <v>0</v>
      </c>
      <c r="CF196" s="18" t="n">
        <f aca="false">IF(AND(CC196&gt;0,OR(CC196&gt;=CG196-0.01,Motore_Operativo!C196&gt;=EDATE(MAX(Finanziamenti!$D$15:$D$17),Ipotesi!F14*12))),CE196,0)</f>
        <v>0</v>
      </c>
      <c r="CG196" s="15" t="n">
        <f aca="false">IF(AND(4&lt;&gt;6,4&lt;&gt;9,Finanziamenti!$F$11=1,OR(Parametri_v3!$C$6=0,Finanziamenti!$E$11=1)),MIN(Finanziamenti!$C$11,Piano_SS!$C$12*Ipotesi!$C$102),0)</f>
        <v>400000</v>
      </c>
      <c r="CH196" s="15" t="n">
        <f aca="false">IF(AND(AND(4&lt;&gt;8,4&lt;&gt;9,Finanziamenti!$F$10=1,OR(Parametri_v3!$C$6=0,Finanziamenti!$E$10=1)),Motore_Operativo!C196&gt;=Finanziamenti!$D$10,Motore_Operativo!C196&lt;Parametri_v3!$C$63),Finanziamenti!$C$10,0)</f>
        <v>150000</v>
      </c>
    </row>
    <row r="197" customFormat="false" ht="18" hidden="false" customHeight="true" outlineLevel="0" collapsed="false">
      <c r="A197" s="68" t="n">
        <f aca="false">4</f>
        <v>4</v>
      </c>
      <c r="B197" s="68" t="n">
        <f aca="false">13</f>
        <v>13</v>
      </c>
      <c r="C197" s="18" t="n">
        <f aca="false">Motore_Operativo!C197</f>
        <v>46753</v>
      </c>
      <c r="D197" s="68" t="n">
        <f aca="false">Motore_Operativo!D197</f>
        <v>2028</v>
      </c>
      <c r="E197" s="68" t="n">
        <f aca="false">Motore_Operativo!E197</f>
        <v>1</v>
      </c>
      <c r="F197" s="15" t="n">
        <f aca="false">Motore_Operativo!AQ197+Motore_Operativo!BF197</f>
        <v>11303.2210569875</v>
      </c>
      <c r="G197" s="15" t="n">
        <f aca="false">Motore_Operativo!BH197</f>
        <v>1938.75</v>
      </c>
      <c r="H197" s="15" t="n">
        <f aca="false">Motore_Operativo!BI197</f>
        <v>13241.9710569875</v>
      </c>
      <c r="I197" s="15" t="n">
        <f aca="false">Motore_Operativo!CA197</f>
        <v>56114.9967813116</v>
      </c>
      <c r="J197" s="15" t="n">
        <f aca="false">Motore_Operativo!CC197</f>
        <v>-42873.0257243241</v>
      </c>
      <c r="K197" s="15" t="n">
        <f aca="false">Motore_Operativo!CE197</f>
        <v>2083.33333333333</v>
      </c>
      <c r="L197" s="15" t="n">
        <f aca="false">SUM(INDEX($K$185:$K$244,MAX(1,13-Parametri_v3!$C$59+1)):K197)/Parametri_v3!$C$59</f>
        <v>613.425925925926</v>
      </c>
      <c r="M197" s="15" t="n">
        <f aca="false">J197-L197</f>
        <v>-43486.4516502501</v>
      </c>
      <c r="N197" s="15" t="n">
        <f aca="false">CD197-(CD196)</f>
        <v>0</v>
      </c>
      <c r="O197" s="15" t="n">
        <f aca="false">(BG196)*Ipotesi!$C$110/12+CH197*Parametri_v3!$C$39/12</f>
        <v>750</v>
      </c>
      <c r="P197" s="15" t="n">
        <f aca="false">M197+N197-O197</f>
        <v>-44236.4516502501</v>
      </c>
      <c r="Q197" s="15" t="n">
        <f aca="false">SUM(P197)+Parametri_v3!$C$54*1/12</f>
        <v>-44236.4516502501</v>
      </c>
      <c r="R197" s="15" t="n">
        <f aca="false">Z196</f>
        <v>280952.661629333</v>
      </c>
      <c r="S197" s="15" t="n">
        <f aca="false">AA196</f>
        <v>0</v>
      </c>
      <c r="T197" s="15" t="n">
        <f aca="false">MIN(R197,MAX(0,Q197))</f>
        <v>0</v>
      </c>
      <c r="U197" s="15" t="n">
        <f aca="false">MIN(S197,MAX(0,Q197-T197)*Parametri_v3!$C$42)</f>
        <v>0</v>
      </c>
      <c r="V197" s="15" t="n">
        <f aca="false">MAX(0,Q197-T197-U197)*Ipotesi!$C$92</f>
        <v>0</v>
      </c>
      <c r="W197" s="15" t="n">
        <f aca="false">MAX(0,SUM(M197)+Parametri_v3!$C$55*1/12)*Ipotesi!$C$93</f>
        <v>0</v>
      </c>
      <c r="X197" s="15" t="n">
        <f aca="false">V197+W197-(0)</f>
        <v>0</v>
      </c>
      <c r="Y197" s="15" t="n">
        <f aca="false">P197-X197</f>
        <v>-44236.4516502501</v>
      </c>
      <c r="Z197" s="15" t="n">
        <f aca="false">R197-T197+IF(AND(Parametri_v3!$C$40=1,D197-YEAR(Parametri_v3!$C$50)&lt;Parametri_v3!$C$41),MAX(0,-Q197),0)</f>
        <v>325189.113279583</v>
      </c>
      <c r="AA197" s="15" t="n">
        <f aca="false">S197-U197+IF(AND(Parametri_v3!$C$40=1,D197-YEAR(Parametri_v3!$C$50)&lt;Parametri_v3!$C$41),0,MAX(0,-Q197))</f>
        <v>0</v>
      </c>
      <c r="AB197" s="15" t="n">
        <f aca="false">F197*(1+Parametri_v3!$C$26)</f>
        <v>13789.9296895247</v>
      </c>
      <c r="AC197" s="15" t="n">
        <f aca="false">(IF(13-(INT((Motore_Operativo!L197)/30))&lt;1,0,INDEX(Motore_Startup!$AB$185:$AB$244,MAX(1,13-(INT((Motore_Operativo!L197)/30)))))*(1-(MOD((Motore_Operativo!L197),30)/30))+IF(13-(INT((Motore_Operativo!L197)/30))-1&lt;1,0,INDEX(Motore_Startup!$AB$185:$AB$244,MAX(1,13-(INT((Motore_Operativo!L197)/30))-1)))*(MOD((Motore_Operativo!L197),30)/30))</f>
        <v>4752.91666666667</v>
      </c>
      <c r="AD197" s="15" t="n">
        <f aca="false">(AD196)+AB197-AC197</f>
        <v>28292.6796895247</v>
      </c>
      <c r="AE197" s="15" t="n">
        <f aca="false">Motore_Operativo!BH197*(1+Parametri_v3!$C$26)</f>
        <v>2365.275</v>
      </c>
      <c r="AF197" s="15" t="n">
        <f aca="false">(IF(13-(INT((Parametri_v3!$C$29)/30))&lt;1,0,INDEX(Motore_Operativo!$BH$185:$BH$244,MAX(1,13-(INT((Parametri_v3!$C$29)/30)))))*(1-(MOD((Parametri_v3!$C$29),30)/30))+IF(13-(INT((Parametri_v3!$C$29)/30))-1&lt;1,0,INDEX(Motore_Operativo!$BH$185:$BH$244,MAX(1,13-(INT((Parametri_v3!$C$29)/30))-1)))*(MOD((Parametri_v3!$C$29),30)/30))*(1+Parametri_v3!$C$26)</f>
        <v>1006.5</v>
      </c>
      <c r="AG197" s="15" t="n">
        <f aca="false">(AG196)+AE197-AF197</f>
        <v>2365.275</v>
      </c>
      <c r="AH197" s="15" t="n">
        <f aca="false">(Motore_Operativo!CJ197)*(1+Parametri_v3!$C$27*Parametri_v3!$C$26)</f>
        <v>19410.4136794168</v>
      </c>
      <c r="AI197" s="15" t="n">
        <f aca="false">(IF(13-(INT((Ipotesi!$C$91)/30))&lt;1,0,INDEX(Motore_Startup!$AH$185:$AH$244,MAX(1,13-(INT((Ipotesi!$C$91)/30)))))*(1-(MOD((Ipotesi!$C$91),30)/30))+IF(13-(INT((Ipotesi!$C$91)/30))-1&lt;1,0,INDEX(Motore_Startup!$AH$185:$AH$244,MAX(1,13-(INT((Ipotesi!$C$91)/30))-1)))*(MOD((Ipotesi!$C$91),30)/30))</f>
        <v>11401.6295833333</v>
      </c>
      <c r="AJ197" s="15" t="n">
        <f aca="false">(AJ196)+AH197-AI197</f>
        <v>30817.5825960835</v>
      </c>
      <c r="AK197" s="15" t="n">
        <f aca="false">(F197+ Motore_Operativo!BH197-(Motore_Operativo!CJ197)*Parametri_v3!$C$27-Motore_Operativo!CE197)*Parametri_v3!$C$26</f>
        <v>-603.016598901358</v>
      </c>
      <c r="AL197" s="15" t="n">
        <f aca="false">MAX(0,(AM196))</f>
        <v>0</v>
      </c>
      <c r="AM197" s="15" t="n">
        <f aca="false">(AM196)+AK197-AL197</f>
        <v>-14238.3745989014</v>
      </c>
      <c r="AN197" s="15" t="n">
        <f aca="false">SUM(X185:X196)</f>
        <v>0</v>
      </c>
      <c r="AO197" s="15" t="n">
        <f aca="false">SUM(AP185:AP196)</f>
        <v>0</v>
      </c>
      <c r="AP197" s="15" t="n">
        <f aca="false">MAX(0,AN197)*IF(1=Parametri_v3!$C$43,Parametri_v3!$C$45,IF(1=Parametri_v3!$C$44,1-Parametri_v3!$C$45,0))</f>
        <v>0</v>
      </c>
      <c r="AQ197" s="15" t="n">
        <f aca="false">MAX(0,AP197+IF(1=Parametri_v3!$C$43,MAX(0,AN197-AO197),0)-MAX(0,-(AR196)))</f>
        <v>0</v>
      </c>
      <c r="AR197" s="15" t="n">
        <f aca="false">(AR196)+X197-AQ197</f>
        <v>0</v>
      </c>
      <c r="AS197" s="15" t="n">
        <f aca="false">Motore_Operativo!AB197-AT197+AU197</f>
        <v>37774.375</v>
      </c>
      <c r="AT197" s="15" t="n">
        <f aca="false">Motore_Operativo!CH197</f>
        <v>1988.125</v>
      </c>
      <c r="AU197" s="15" t="n">
        <f aca="false">MIN(MAX(0,(AV196)+AT197),Parametri_v3!$C$60/12)</f>
        <v>0</v>
      </c>
      <c r="AV197" s="15" t="n">
        <f aca="false">(AV196)+AT197-AU197</f>
        <v>12738.125</v>
      </c>
      <c r="AW197" s="15" t="n">
        <f aca="false">IF(AND(Motore_Operativo!C197=Finanziamenti!$D$6,Finanziamenti!$F$6=1),Finanziamenti!$C$6,0)</f>
        <v>0</v>
      </c>
      <c r="AX197" s="15" t="n">
        <f aca="false">IF(AND(4&lt;&gt;7,4&lt;&gt;9,Finanziamenti!$F$8=1,OR(Parametri_v3!$C$6=0,Finanziamenti!$E$8=1),Motore_Operativo!C197=EDATE(Finanziamenti!$D$8,Ipotesi!F15*12)),Finanziamenti!$C$8*1,0)+IF(AND(4&lt;&gt;7,4&lt;&gt;9,Finanziamenti!$F$9=1,OR(Parametri_v3!$C$6=0,Finanziamenti!$E$9=1),Motore_Operativo!C197=EDATE(Finanziamenti!$D$9,Ipotesi!F15*12)),Finanziamenti!$C$9*Ipotesi!F16,0)</f>
        <v>0</v>
      </c>
      <c r="AY197" s="15" t="n">
        <f aca="false">0</f>
        <v>0</v>
      </c>
      <c r="AZ197" s="15" t="n">
        <f aca="false">Motore_Advisory!AY197*(1-Ipotesi!$C$95)*Ipotesi!$C$96</f>
        <v>0</v>
      </c>
      <c r="BA197" s="15" t="n">
        <f aca="false">MAX(0,MIN(CG197*MIN(1,IF(Motore_Operativo!C197&gt;=EDATE(Finanziamenti!$D$15,Ipotesi!F14*12),Finanziamenti!$C$15,0)+IF(Motore_Operativo!C197&gt;=EDATE(Finanziamenti!$D$16,Ipotesi!F14*12),Finanziamenti!$C$16,0)+IF(Motore_Operativo!C197&gt;=EDATE(Finanziamenti!$D$17,Ipotesi!F14*12),Finanziamenti!$C$17,0)),CA197*Ipotesi!$C$102)-(CC196))</f>
        <v>0</v>
      </c>
      <c r="BB197" s="15" t="n">
        <f aca="false">IF(AND(CF197&gt;0,Motore_Operativo!C197&gt;=IF(CF197=0,0,EDATE(CF197,Parametri_v3!$C$37)),MOD(((D197-YEAR(IF(CF197=0,0,EDATE(CF197,Parametri_v3!$C$37))))*12+E197-MONTH(IF(CF197=0,0,EDATE(CF197,Parametri_v3!$C$37)))),Parametri_v3!$C$38)=0),MIN(MAX(0,(BC196)+BA197-N197),(CC197-CD197)/(Ipotesi!$C$108*12/Parametri_v3!$C$38)),0)</f>
        <v>0</v>
      </c>
      <c r="BC197" s="15" t="n">
        <f aca="false">(BC196)+BA197-N197-BB197</f>
        <v>0</v>
      </c>
      <c r="BD197" s="15" t="n">
        <f aca="false">(BH196)+AC197+AF197-AI197-AS197-K197*(1+Parametri_v3!$C$26)-AL197-AQ197-O197+AW197+AX197+AZ197+BA197-BB197</f>
        <v>-64388.5312682214</v>
      </c>
      <c r="BE197" s="15" t="n">
        <f aca="false">MAX(0,MIN(MAX(0,CH197-(BG196)),Parametri_v3!$C$30-BD197))</f>
        <v>0</v>
      </c>
      <c r="BF197" s="15" t="n">
        <f aca="false">IF(Motore_Operativo!C197&gt;=Parametri_v3!$C$63,(BG196),MIN((BG196),MAX(0,BD197-Parametri_v3!$C$30)))</f>
        <v>0</v>
      </c>
      <c r="BG197" s="15" t="n">
        <f aca="false">(BG196)+BE197-BF197</f>
        <v>150000</v>
      </c>
      <c r="BH197" s="15" t="n">
        <f aca="false">BD197+BE197-BF197-AY197</f>
        <v>-64388.5312682214</v>
      </c>
      <c r="BI197" s="15" t="n">
        <f aca="false">MAX(0,Parametri_v3!$C$30-BH197)</f>
        <v>89388.5312682214</v>
      </c>
      <c r="BJ197" s="15" t="n">
        <f aca="false">(BJ196)+K197</f>
        <v>22083.3333333333</v>
      </c>
      <c r="BK197" s="15" t="n">
        <f aca="false">(BK196)+L197</f>
        <v>4224.53703703704</v>
      </c>
      <c r="BL197" s="15" t="n">
        <f aca="false">BJ197-BK197</f>
        <v>17858.7962962963</v>
      </c>
      <c r="BM197" s="15" t="n">
        <f aca="false">(BM196)+Y197</f>
        <v>-325189.113279583</v>
      </c>
      <c r="BN197" s="15" t="n">
        <f aca="false">(BN196)+AW197+AX197+AZ197</f>
        <v>130000</v>
      </c>
      <c r="BO197" s="15" t="n">
        <f aca="false">(BO196)+AY197</f>
        <v>0</v>
      </c>
      <c r="BP197" s="15" t="n">
        <f aca="false">0</f>
        <v>0</v>
      </c>
      <c r="BQ197" s="15" t="n">
        <f aca="false">BN197+BM197-BO197</f>
        <v>-195189.113279583</v>
      </c>
      <c r="BR197" s="15" t="n">
        <f aca="false">BH197+AD197+BL197+MAX(0,-AM197)+MAX(0,-AR197)+AG197</f>
        <v>-1633.40568349909</v>
      </c>
      <c r="BS197" s="15" t="n">
        <f aca="false">AJ197+AV197+MAX(0,AM197)+MAX(0,AR197)+BC197+BG197+BQ197</f>
        <v>-1633.40568349912</v>
      </c>
      <c r="BT197" s="15" t="n">
        <f aca="false">BR197-BS197</f>
        <v>3.54702933691442E-011</v>
      </c>
      <c r="BU197" s="15" t="n">
        <f aca="false">BH197-(BD197+BE197-BF197-AY197)</f>
        <v>0</v>
      </c>
      <c r="BV197" s="15" t="n">
        <f aca="false">MIN(Piano_SS!$C$6,(BV196)+IF(AND(Motore_Operativo!C197&gt;=EDATE(Parametri_v3!$C$24,Ipotesi!F14*12),Motore_Operativo!C197&lt;EDATE(Parametri_v3!$C$24,Parametri_v3!$C$25+Ipotesi!F14*12)),MAX(0,(Motore_Operativo!Y197+Motore_Operativo!X197*Parametri_v3!$C$14)*(1-Parametri_v3!$C$32))*Piano_SS!$D$6,0))</f>
        <v>0</v>
      </c>
      <c r="BW197" s="15" t="n">
        <f aca="false">MIN(Piano_SS!$C$7,(BW196)+IF(AND(Motore_Operativo!C197&gt;=EDATE(Parametri_v3!$C$24,Ipotesi!F14*12),Motore_Operativo!C197&lt;EDATE(Parametri_v3!$C$24,Parametri_v3!$C$25+Ipotesi!F14*12)),MAX(0,(IF(13-(INT((Ipotesi!$C$91)/30))&lt;1,0,INDEX(Motore_Operativo!$BN$185:$BN$244,MAX(1,13-(INT((Ipotesi!$C$91)/30)))))*(1-(MOD((Ipotesi!$C$91),30)/30))+IF(13-(INT((Ipotesi!$C$91)/30))-1&lt;1,0,INDEX(Motore_Operativo!$BN$185:$BN$244,MAX(1,13-(INT((Ipotesi!$C$91)/30))-1)))*(MOD((Ipotesi!$C$91),30)/30)))*Piano_SS!$D$7,0))</f>
        <v>0</v>
      </c>
      <c r="BX197" s="15" t="n">
        <f aca="false">MIN(Piano_SS!$C$8,(BX196)+IF(AND(Motore_Operativo!C197&gt;=EDATE(Parametri_v3!$C$24,Ipotesi!F14*12),Motore_Operativo!C197&lt;EDATE(Parametri_v3!$C$24,Parametri_v3!$C$25+Ipotesi!F14*12)),MAX(0,Motore_Operativo!CE197)*Piano_SS!$D$8,0))</f>
        <v>0</v>
      </c>
      <c r="BY197" s="15" t="n">
        <f aca="false">MIN(Piano_SS!$C$9,(BY196)+IF(AND(Motore_Operativo!C197&gt;=EDATE(Parametri_v3!$C$24,Ipotesi!F14*12),Motore_Operativo!C197&lt;EDATE(Parametri_v3!$C$24,Parametri_v3!$C$25+Ipotesi!F14*12)),MAX(0,((IF(13-(INT((Ipotesi!$C$91)/30))&lt;1,0,INDEX(Motore_Operativo!$BQ$185:$BQ$244,MAX(1,13-(INT((Ipotesi!$C$91)/30)))))*(1-(MOD((Ipotesi!$C$91),30)/30))+IF(13-(INT((Ipotesi!$C$91)/30))-1&lt;1,0,INDEX(Motore_Operativo!$BQ$185:$BQ$244,MAX(1,13-(INT((Ipotesi!$C$91)/30))-1)))*(MOD((Ipotesi!$C$91),30)/30))+(IF(13-(INT((Ipotesi!$C$91)/30))&lt;1,0,INDEX(Motore_Operativo!$BR$185:$BR$244,MAX(1,13-(INT((Ipotesi!$C$91)/30)))))*(1-(MOD((Ipotesi!$C$91),30)/30))+IF(13-(INT((Ipotesi!$C$91)/30))-1&lt;1,0,INDEX(Motore_Operativo!$BR$185:$BR$244,MAX(1,13-(INT((Ipotesi!$C$91)/30))-1)))*(MOD((Ipotesi!$C$91),30)/30))))*Piano_SS!$D$9,0))</f>
        <v>0</v>
      </c>
      <c r="BZ197" s="15" t="n">
        <f aca="false">MIN(Piano_SS!$C$10,(BZ196)+IF(AND(Motore_Operativo!C197&gt;=EDATE(Parametri_v3!$C$24,Ipotesi!F14*12),Motore_Operativo!C197&lt;EDATE(Parametri_v3!$C$24,Parametri_v3!$C$25+Ipotesi!F14*12)),MAX(0,(IF(13-(INT((Ipotesi!$C$91)/30))&lt;1,0,INDEX(Motore_Operativo!$BO$185:$BO$244,MAX(1,13-(INT((Ipotesi!$C$91)/30)))))*(1-(MOD((Ipotesi!$C$91),30)/30))+IF(13-(INT((Ipotesi!$C$91)/30))-1&lt;1,0,INDEX(Motore_Operativo!$BO$185:$BO$244,MAX(1,13-(INT((Ipotesi!$C$91)/30))-1)))*(MOD((Ipotesi!$C$91),30)/30)))*Piano_SS!$D$10,0))</f>
        <v>0</v>
      </c>
      <c r="CA197" s="15" t="n">
        <f aca="false">SUM(BV197:BZ197)</f>
        <v>0</v>
      </c>
      <c r="CB197" s="15" t="n">
        <f aca="false">BV197*(1-Piano_SS!$E$6)+BW197*(1-Piano_SS!$E$7)+BX197*(1-Piano_SS!$E$8)+BY197*(1-Piano_SS!$E$9)+BZ197*(1-Piano_SS!$E$10)</f>
        <v>0</v>
      </c>
      <c r="CC197" s="15" t="n">
        <f aca="false">(CC196)+BA197</f>
        <v>0</v>
      </c>
      <c r="CD197" s="15" t="n">
        <f aca="false">IF(CA197=0,0,CC197*CB197/CA197*Ipotesi!$C$103*Parametri_v3!$C$64)</f>
        <v>0</v>
      </c>
      <c r="CE197" s="18" t="n">
        <f aca="false">IF(BA197&gt;0,Motore_Operativo!C197,(CE196))</f>
        <v>0</v>
      </c>
      <c r="CF197" s="18" t="n">
        <f aca="false">IF(AND(CC197&gt;0,OR(CC197&gt;=CG197-0.01,Motore_Operativo!C197&gt;=EDATE(MAX(Finanziamenti!$D$15:$D$17),Ipotesi!F14*12))),CE197,0)</f>
        <v>0</v>
      </c>
      <c r="CG197" s="15" t="n">
        <f aca="false">IF(AND(4&lt;&gt;6,4&lt;&gt;9,Finanziamenti!$F$11=1,OR(Parametri_v3!$C$6=0,Finanziamenti!$E$11=1)),MIN(Finanziamenti!$C$11,Piano_SS!$C$12*Ipotesi!$C$102),0)</f>
        <v>400000</v>
      </c>
      <c r="CH197" s="15" t="n">
        <f aca="false">IF(AND(AND(4&lt;&gt;8,4&lt;&gt;9,Finanziamenti!$F$10=1,OR(Parametri_v3!$C$6=0,Finanziamenti!$E$10=1)),Motore_Operativo!C197&gt;=Finanziamenti!$D$10,Motore_Operativo!C197&lt;Parametri_v3!$C$63),Finanziamenti!$C$10,0)</f>
        <v>150000</v>
      </c>
    </row>
    <row r="198" customFormat="false" ht="18" hidden="false" customHeight="true" outlineLevel="0" collapsed="false">
      <c r="A198" s="68" t="n">
        <f aca="false">4</f>
        <v>4</v>
      </c>
      <c r="B198" s="68" t="n">
        <f aca="false">14</f>
        <v>14</v>
      </c>
      <c r="C198" s="18" t="n">
        <f aca="false">Motore_Operativo!C198</f>
        <v>46784</v>
      </c>
      <c r="D198" s="68" t="n">
        <f aca="false">Motore_Operativo!D198</f>
        <v>2028</v>
      </c>
      <c r="E198" s="68" t="n">
        <f aca="false">Motore_Operativo!E198</f>
        <v>2</v>
      </c>
      <c r="F198" s="15" t="n">
        <f aca="false">Motore_Operativo!AQ198+Motore_Operativo!BF198</f>
        <v>11547.6773175932</v>
      </c>
      <c r="G198" s="15" t="n">
        <f aca="false">Motore_Operativo!BH198</f>
        <v>1938.75</v>
      </c>
      <c r="H198" s="15" t="n">
        <f aca="false">Motore_Operativo!BI198</f>
        <v>13486.4273175932</v>
      </c>
      <c r="I198" s="15" t="n">
        <f aca="false">Motore_Operativo!CA198</f>
        <v>56149.2206577964</v>
      </c>
      <c r="J198" s="15" t="n">
        <f aca="false">Motore_Operativo!CC198</f>
        <v>-42662.7933402032</v>
      </c>
      <c r="K198" s="15" t="n">
        <f aca="false">Motore_Operativo!CE198</f>
        <v>2083.33333333333</v>
      </c>
      <c r="L198" s="15" t="n">
        <f aca="false">SUM(INDEX($K$185:$K$244,MAX(1,14-Parametri_v3!$C$59+1)):K198)/Parametri_v3!$C$59</f>
        <v>671.296296296296</v>
      </c>
      <c r="M198" s="15" t="n">
        <f aca="false">J198-L198</f>
        <v>-43334.0896364995</v>
      </c>
      <c r="N198" s="15" t="n">
        <f aca="false">CD198-(CD197)</f>
        <v>0</v>
      </c>
      <c r="O198" s="15" t="n">
        <f aca="false">(BG197)*Ipotesi!$C$110/12+CH198*Parametri_v3!$C$39/12</f>
        <v>750</v>
      </c>
      <c r="P198" s="15" t="n">
        <f aca="false">M198+N198-O198</f>
        <v>-44084.0896364995</v>
      </c>
      <c r="Q198" s="15" t="n">
        <f aca="false">SUM(P197:P198)+Parametri_v3!$C$54*2/12</f>
        <v>-88320.5412867496</v>
      </c>
      <c r="R198" s="15" t="n">
        <f aca="false">Z196</f>
        <v>280952.661629333</v>
      </c>
      <c r="S198" s="15" t="n">
        <f aca="false">AA196</f>
        <v>0</v>
      </c>
      <c r="T198" s="15" t="n">
        <f aca="false">MIN(R198,MAX(0,Q198))</f>
        <v>0</v>
      </c>
      <c r="U198" s="15" t="n">
        <f aca="false">MIN(S198,MAX(0,Q198-T198)*Parametri_v3!$C$42)</f>
        <v>0</v>
      </c>
      <c r="V198" s="15" t="n">
        <f aca="false">MAX(0,Q198-T198-U198)*Ipotesi!$C$92</f>
        <v>0</v>
      </c>
      <c r="W198" s="15" t="n">
        <f aca="false">MAX(0,SUM(M197:M198)+Parametri_v3!$C$55*2/12)*Ipotesi!$C$93</f>
        <v>0</v>
      </c>
      <c r="X198" s="15" t="n">
        <f aca="false">V198+W198-(V197+W197)</f>
        <v>0</v>
      </c>
      <c r="Y198" s="15" t="n">
        <f aca="false">P198-X198</f>
        <v>-44084.0896364995</v>
      </c>
      <c r="Z198" s="15" t="n">
        <f aca="false">R198-T198+IF(AND(Parametri_v3!$C$40=1,D198-YEAR(Parametri_v3!$C$50)&lt;Parametri_v3!$C$41),MAX(0,-Q198),0)</f>
        <v>369273.202916082</v>
      </c>
      <c r="AA198" s="15" t="n">
        <f aca="false">S198-U198+IF(AND(Parametri_v3!$C$40=1,D198-YEAR(Parametri_v3!$C$50)&lt;Parametri_v3!$C$41),0,MAX(0,-Q198))</f>
        <v>0</v>
      </c>
      <c r="AB198" s="15" t="n">
        <f aca="false">F198*(1+Parametri_v3!$C$26)</f>
        <v>14088.1663274637</v>
      </c>
      <c r="AC198" s="15" t="n">
        <f aca="false">(IF(14-(INT((Motore_Operativo!L198)/30))&lt;1,0,INDEX(Motore_Startup!$AB$185:$AB$244,MAX(1,14-(INT((Motore_Operativo!L198)/30)))))*(1-(MOD((Motore_Operativo!L198),30)/30))+IF(14-(INT((Motore_Operativo!L198)/30))-1&lt;1,0,INDEX(Motore_Startup!$AB$185:$AB$244,MAX(1,14-(INT((Motore_Operativo!L198)/30))-1)))*(MOD((Motore_Operativo!L198),30)/30))</f>
        <v>4793.58333333333</v>
      </c>
      <c r="AD198" s="15" t="n">
        <f aca="false">(AD197)+AB198-AC198</f>
        <v>37587.262683655</v>
      </c>
      <c r="AE198" s="15" t="n">
        <f aca="false">Motore_Operativo!BH198*(1+Parametri_v3!$C$26)</f>
        <v>2365.275</v>
      </c>
      <c r="AF198" s="15" t="n">
        <f aca="false">(IF(14-(INT((Parametri_v3!$C$29)/30))&lt;1,0,INDEX(Motore_Operativo!$BH$185:$BH$244,MAX(1,14-(INT((Parametri_v3!$C$29)/30)))))*(1-(MOD((Parametri_v3!$C$29),30)/30))+IF(14-(INT((Parametri_v3!$C$29)/30))-1&lt;1,0,INDEX(Motore_Operativo!$BH$185:$BH$244,MAX(1,14-(INT((Parametri_v3!$C$29)/30))-1)))*(MOD((Parametri_v3!$C$29),30)/30))*(1+Parametri_v3!$C$26)</f>
        <v>2365.275</v>
      </c>
      <c r="AG198" s="15" t="n">
        <f aca="false">(AG197)+AE198-AF198</f>
        <v>2365.275</v>
      </c>
      <c r="AH198" s="15" t="n">
        <f aca="false">(Motore_Operativo!CJ198)*(1+Parametri_v3!$C$27*Parametri_v3!$C$26)</f>
        <v>19451.0374208043</v>
      </c>
      <c r="AI198" s="15" t="n">
        <f aca="false">(IF(14-(INT((Ipotesi!$C$91)/30))&lt;1,0,INDEX(Motore_Startup!$AH$185:$AH$244,MAX(1,14-(INT((Ipotesi!$C$91)/30)))))*(1-(MOD((Ipotesi!$C$91),30)/30))+IF(14-(INT((Ipotesi!$C$91)/30))-1&lt;1,0,INDEX(Motore_Startup!$AH$185:$AH$244,MAX(1,14-(INT((Ipotesi!$C$91)/30))-1)))*(MOD((Ipotesi!$C$91),30)/30))</f>
        <v>11407.1689166667</v>
      </c>
      <c r="AJ198" s="15" t="n">
        <f aca="false">(AJ197)+AH198-AI198</f>
        <v>38861.4511002212</v>
      </c>
      <c r="AK198" s="15" t="n">
        <f aca="false">(F198+ Motore_Operativo!BH198-(Motore_Operativo!CJ198)*Parametri_v3!$C$27-Motore_Operativo!CE198)*Parametri_v3!$C$26</f>
        <v>-555.636086470759</v>
      </c>
      <c r="AL198" s="15" t="n">
        <f aca="false">MAX(0,(AM197))</f>
        <v>0</v>
      </c>
      <c r="AM198" s="15" t="n">
        <f aca="false">(AM197)+AK198-AL198</f>
        <v>-14794.0106853721</v>
      </c>
      <c r="AN198" s="15" t="n">
        <f aca="false">SUM(X185:X196)</f>
        <v>0</v>
      </c>
      <c r="AO198" s="15" t="n">
        <f aca="false">SUM(AP185:AP196)</f>
        <v>0</v>
      </c>
      <c r="AP198" s="15" t="n">
        <f aca="false">MAX(0,AN198)*IF(2=Parametri_v3!$C$43,Parametri_v3!$C$45,IF(2=Parametri_v3!$C$44,1-Parametri_v3!$C$45,0))</f>
        <v>0</v>
      </c>
      <c r="AQ198" s="15" t="n">
        <f aca="false">MAX(0,AP198+IF(2=Parametri_v3!$C$43,MAX(0,AN198-AO198),0)-MAX(0,-(AR197)))</f>
        <v>0</v>
      </c>
      <c r="AR198" s="15" t="n">
        <f aca="false">(AR197)+X198-AQ198</f>
        <v>0</v>
      </c>
      <c r="AS198" s="15" t="n">
        <f aca="false">Motore_Operativo!AB198-AT198+AU198</f>
        <v>37774.375</v>
      </c>
      <c r="AT198" s="15" t="n">
        <f aca="false">Motore_Operativo!CH198</f>
        <v>1988.125</v>
      </c>
      <c r="AU198" s="15" t="n">
        <f aca="false">MIN(MAX(0,(AV197)+AT198),Parametri_v3!$C$60/12)</f>
        <v>0</v>
      </c>
      <c r="AV198" s="15" t="n">
        <f aca="false">(AV197)+AT198-AU198</f>
        <v>14726.25</v>
      </c>
      <c r="AW198" s="15" t="n">
        <f aca="false">IF(AND(Motore_Operativo!C198=Finanziamenti!$D$6,Finanziamenti!$F$6=1),Finanziamenti!$C$6,0)</f>
        <v>0</v>
      </c>
      <c r="AX198" s="15" t="n">
        <f aca="false">IF(AND(4&lt;&gt;7,4&lt;&gt;9,Finanziamenti!$F$8=1,OR(Parametri_v3!$C$6=0,Finanziamenti!$E$8=1),Motore_Operativo!C198=EDATE(Finanziamenti!$D$8,Ipotesi!F15*12)),Finanziamenti!$C$8*1,0)+IF(AND(4&lt;&gt;7,4&lt;&gt;9,Finanziamenti!$F$9=1,OR(Parametri_v3!$C$6=0,Finanziamenti!$E$9=1),Motore_Operativo!C198=EDATE(Finanziamenti!$D$9,Ipotesi!F15*12)),Finanziamenti!$C$9*Ipotesi!F16,0)</f>
        <v>0</v>
      </c>
      <c r="AY198" s="15" t="n">
        <f aca="false">0</f>
        <v>0</v>
      </c>
      <c r="AZ198" s="15" t="n">
        <f aca="false">Motore_Advisory!AY198*(1-Ipotesi!$C$95)*Ipotesi!$C$96</f>
        <v>0</v>
      </c>
      <c r="BA198" s="15" t="n">
        <f aca="false">MAX(0,MIN(CG198*MIN(1,IF(Motore_Operativo!C198&gt;=EDATE(Finanziamenti!$D$15,Ipotesi!F14*12),Finanziamenti!$C$15,0)+IF(Motore_Operativo!C198&gt;=EDATE(Finanziamenti!$D$16,Ipotesi!F14*12),Finanziamenti!$C$16,0)+IF(Motore_Operativo!C198&gt;=EDATE(Finanziamenti!$D$17,Ipotesi!F14*12),Finanziamenti!$C$17,0)),CA198*Ipotesi!$C$102)-(CC197))</f>
        <v>0</v>
      </c>
      <c r="BB198" s="15" t="n">
        <f aca="false">IF(AND(CF198&gt;0,Motore_Operativo!C198&gt;=IF(CF198=0,0,EDATE(CF198,Parametri_v3!$C$37)),MOD(((D198-YEAR(IF(CF198=0,0,EDATE(CF198,Parametri_v3!$C$37))))*12+E198-MONTH(IF(CF198=0,0,EDATE(CF198,Parametri_v3!$C$37)))),Parametri_v3!$C$38)=0),MIN(MAX(0,(BC197)+BA198-N198),(CC198-CD198)/(Ipotesi!$C$108*12/Parametri_v3!$C$38)),0)</f>
        <v>0</v>
      </c>
      <c r="BC198" s="15" t="n">
        <f aca="false">(BC197)+BA198-N198-BB198</f>
        <v>0</v>
      </c>
      <c r="BD198" s="15" t="n">
        <f aca="false">(BH197)+AC198+AF198-AI198-AS198-K198*(1+Parametri_v3!$C$26)-AL198-AQ198-O198+AW198+AX198+AZ198+BA198-BB198</f>
        <v>-109702.883518221</v>
      </c>
      <c r="BE198" s="15" t="n">
        <f aca="false">MAX(0,MIN(MAX(0,CH198-(BG197)),Parametri_v3!$C$30-BD198))</f>
        <v>0</v>
      </c>
      <c r="BF198" s="15" t="n">
        <f aca="false">IF(Motore_Operativo!C198&gt;=Parametri_v3!$C$63,(BG197),MIN((BG197),MAX(0,BD198-Parametri_v3!$C$30)))</f>
        <v>0</v>
      </c>
      <c r="BG198" s="15" t="n">
        <f aca="false">(BG197)+BE198-BF198</f>
        <v>150000</v>
      </c>
      <c r="BH198" s="15" t="n">
        <f aca="false">BD198+BE198-BF198-AY198</f>
        <v>-109702.883518221</v>
      </c>
      <c r="BI198" s="15" t="n">
        <f aca="false">MAX(0,Parametri_v3!$C$30-BH198)</f>
        <v>134702.883518221</v>
      </c>
      <c r="BJ198" s="15" t="n">
        <f aca="false">(BJ197)+K198</f>
        <v>24166.6666666667</v>
      </c>
      <c r="BK198" s="15" t="n">
        <f aca="false">(BK197)+L198</f>
        <v>4895.83333333333</v>
      </c>
      <c r="BL198" s="15" t="n">
        <f aca="false">BJ198-BK198</f>
        <v>19270.8333333333</v>
      </c>
      <c r="BM198" s="15" t="n">
        <f aca="false">(BM197)+Y198</f>
        <v>-369273.202916082</v>
      </c>
      <c r="BN198" s="15" t="n">
        <f aca="false">(BN197)+AW198+AX198+AZ198</f>
        <v>130000</v>
      </c>
      <c r="BO198" s="15" t="n">
        <f aca="false">(BO197)+AY198</f>
        <v>0</v>
      </c>
      <c r="BP198" s="15" t="n">
        <f aca="false">0</f>
        <v>0</v>
      </c>
      <c r="BQ198" s="15" t="n">
        <f aca="false">BN198+BM198-BO198</f>
        <v>-239273.202916082</v>
      </c>
      <c r="BR198" s="15" t="n">
        <f aca="false">BH198+AD198+BL198+MAX(0,-AM198)+MAX(0,-AR198)+AG198</f>
        <v>-35685.501815861</v>
      </c>
      <c r="BS198" s="15" t="n">
        <f aca="false">AJ198+AV198+MAX(0,AM198)+MAX(0,AR198)+BC198+BG198+BQ198</f>
        <v>-35685.501815861</v>
      </c>
      <c r="BT198" s="15" t="n">
        <f aca="false">BR198-BS198</f>
        <v>0</v>
      </c>
      <c r="BU198" s="15" t="n">
        <f aca="false">BH198-(BD198+BE198-BF198-AY198)</f>
        <v>0</v>
      </c>
      <c r="BV198" s="15" t="n">
        <f aca="false">MIN(Piano_SS!$C$6,(BV197)+IF(AND(Motore_Operativo!C198&gt;=EDATE(Parametri_v3!$C$24,Ipotesi!F14*12),Motore_Operativo!C198&lt;EDATE(Parametri_v3!$C$24,Parametri_v3!$C$25+Ipotesi!F14*12)),MAX(0,(Motore_Operativo!Y198+Motore_Operativo!X198*Parametri_v3!$C$14)*(1-Parametri_v3!$C$32))*Piano_SS!$D$6,0))</f>
        <v>0</v>
      </c>
      <c r="BW198" s="15" t="n">
        <f aca="false">MIN(Piano_SS!$C$7,(BW197)+IF(AND(Motore_Operativo!C198&gt;=EDATE(Parametri_v3!$C$24,Ipotesi!F14*12),Motore_Operativo!C198&lt;EDATE(Parametri_v3!$C$24,Parametri_v3!$C$25+Ipotesi!F14*12)),MAX(0,(IF(14-(INT((Ipotesi!$C$91)/30))&lt;1,0,INDEX(Motore_Operativo!$BN$185:$BN$244,MAX(1,14-(INT((Ipotesi!$C$91)/30)))))*(1-(MOD((Ipotesi!$C$91),30)/30))+IF(14-(INT((Ipotesi!$C$91)/30))-1&lt;1,0,INDEX(Motore_Operativo!$BN$185:$BN$244,MAX(1,14-(INT((Ipotesi!$C$91)/30))-1)))*(MOD((Ipotesi!$C$91),30)/30)))*Piano_SS!$D$7,0))</f>
        <v>0</v>
      </c>
      <c r="BX198" s="15" t="n">
        <f aca="false">MIN(Piano_SS!$C$8,(BX197)+IF(AND(Motore_Operativo!C198&gt;=EDATE(Parametri_v3!$C$24,Ipotesi!F14*12),Motore_Operativo!C198&lt;EDATE(Parametri_v3!$C$24,Parametri_v3!$C$25+Ipotesi!F14*12)),MAX(0,Motore_Operativo!CE198)*Piano_SS!$D$8,0))</f>
        <v>0</v>
      </c>
      <c r="BY198" s="15" t="n">
        <f aca="false">MIN(Piano_SS!$C$9,(BY197)+IF(AND(Motore_Operativo!C198&gt;=EDATE(Parametri_v3!$C$24,Ipotesi!F14*12),Motore_Operativo!C198&lt;EDATE(Parametri_v3!$C$24,Parametri_v3!$C$25+Ipotesi!F14*12)),MAX(0,((IF(14-(INT((Ipotesi!$C$91)/30))&lt;1,0,INDEX(Motore_Operativo!$BQ$185:$BQ$244,MAX(1,14-(INT((Ipotesi!$C$91)/30)))))*(1-(MOD((Ipotesi!$C$91),30)/30))+IF(14-(INT((Ipotesi!$C$91)/30))-1&lt;1,0,INDEX(Motore_Operativo!$BQ$185:$BQ$244,MAX(1,14-(INT((Ipotesi!$C$91)/30))-1)))*(MOD((Ipotesi!$C$91),30)/30))+(IF(14-(INT((Ipotesi!$C$91)/30))&lt;1,0,INDEX(Motore_Operativo!$BR$185:$BR$244,MAX(1,14-(INT((Ipotesi!$C$91)/30)))))*(1-(MOD((Ipotesi!$C$91),30)/30))+IF(14-(INT((Ipotesi!$C$91)/30))-1&lt;1,0,INDEX(Motore_Operativo!$BR$185:$BR$244,MAX(1,14-(INT((Ipotesi!$C$91)/30))-1)))*(MOD((Ipotesi!$C$91),30)/30))))*Piano_SS!$D$9,0))</f>
        <v>0</v>
      </c>
      <c r="BZ198" s="15" t="n">
        <f aca="false">MIN(Piano_SS!$C$10,(BZ197)+IF(AND(Motore_Operativo!C198&gt;=EDATE(Parametri_v3!$C$24,Ipotesi!F14*12),Motore_Operativo!C198&lt;EDATE(Parametri_v3!$C$24,Parametri_v3!$C$25+Ipotesi!F14*12)),MAX(0,(IF(14-(INT((Ipotesi!$C$91)/30))&lt;1,0,INDEX(Motore_Operativo!$BO$185:$BO$244,MAX(1,14-(INT((Ipotesi!$C$91)/30)))))*(1-(MOD((Ipotesi!$C$91),30)/30))+IF(14-(INT((Ipotesi!$C$91)/30))-1&lt;1,0,INDEX(Motore_Operativo!$BO$185:$BO$244,MAX(1,14-(INT((Ipotesi!$C$91)/30))-1)))*(MOD((Ipotesi!$C$91),30)/30)))*Piano_SS!$D$10,0))</f>
        <v>0</v>
      </c>
      <c r="CA198" s="15" t="n">
        <f aca="false">SUM(BV198:BZ198)</f>
        <v>0</v>
      </c>
      <c r="CB198" s="15" t="n">
        <f aca="false">BV198*(1-Piano_SS!$E$6)+BW198*(1-Piano_SS!$E$7)+BX198*(1-Piano_SS!$E$8)+BY198*(1-Piano_SS!$E$9)+BZ198*(1-Piano_SS!$E$10)</f>
        <v>0</v>
      </c>
      <c r="CC198" s="15" t="n">
        <f aca="false">(CC197)+BA198</f>
        <v>0</v>
      </c>
      <c r="CD198" s="15" t="n">
        <f aca="false">IF(CA198=0,0,CC198*CB198/CA198*Ipotesi!$C$103*Parametri_v3!$C$64)</f>
        <v>0</v>
      </c>
      <c r="CE198" s="18" t="n">
        <f aca="false">IF(BA198&gt;0,Motore_Operativo!C198,(CE197))</f>
        <v>0</v>
      </c>
      <c r="CF198" s="18" t="n">
        <f aca="false">IF(AND(CC198&gt;0,OR(CC198&gt;=CG198-0.01,Motore_Operativo!C198&gt;=EDATE(MAX(Finanziamenti!$D$15:$D$17),Ipotesi!F14*12))),CE198,0)</f>
        <v>0</v>
      </c>
      <c r="CG198" s="15" t="n">
        <f aca="false">IF(AND(4&lt;&gt;6,4&lt;&gt;9,Finanziamenti!$F$11=1,OR(Parametri_v3!$C$6=0,Finanziamenti!$E$11=1)),MIN(Finanziamenti!$C$11,Piano_SS!$C$12*Ipotesi!$C$102),0)</f>
        <v>400000</v>
      </c>
      <c r="CH198" s="15" t="n">
        <f aca="false">IF(AND(AND(4&lt;&gt;8,4&lt;&gt;9,Finanziamenti!$F$10=1,OR(Parametri_v3!$C$6=0,Finanziamenti!$E$10=1)),Motore_Operativo!C198&gt;=Finanziamenti!$D$10,Motore_Operativo!C198&lt;Parametri_v3!$C$63),Finanziamenti!$C$10,0)</f>
        <v>150000</v>
      </c>
    </row>
    <row r="199" customFormat="false" ht="18" hidden="false" customHeight="true" outlineLevel="0" collapsed="false">
      <c r="A199" s="68" t="n">
        <f aca="false">4</f>
        <v>4</v>
      </c>
      <c r="B199" s="68" t="n">
        <f aca="false">15</f>
        <v>15</v>
      </c>
      <c r="C199" s="18" t="n">
        <f aca="false">Motore_Operativo!C199</f>
        <v>46813</v>
      </c>
      <c r="D199" s="68" t="n">
        <f aca="false">Motore_Operativo!D199</f>
        <v>2028</v>
      </c>
      <c r="E199" s="68" t="n">
        <f aca="false">Motore_Operativo!E199</f>
        <v>3</v>
      </c>
      <c r="F199" s="15" t="n">
        <f aca="false">Motore_Operativo!AQ199+Motore_Operativo!BF199</f>
        <v>11790.80841282</v>
      </c>
      <c r="G199" s="15" t="n">
        <f aca="false">Motore_Operativo!BH199</f>
        <v>1938.75</v>
      </c>
      <c r="H199" s="15" t="n">
        <f aca="false">Motore_Operativo!BI199</f>
        <v>13729.55841282</v>
      </c>
      <c r="I199" s="15" t="n">
        <f aca="false">Motore_Operativo!CA199</f>
        <v>56183.2590111281</v>
      </c>
      <c r="J199" s="15" t="n">
        <f aca="false">Motore_Operativo!CC199</f>
        <v>-42453.7005983081</v>
      </c>
      <c r="K199" s="15" t="n">
        <f aca="false">Motore_Operativo!CE199</f>
        <v>2083.33333333333</v>
      </c>
      <c r="L199" s="15" t="n">
        <f aca="false">SUM(INDEX($K$185:$K$244,MAX(1,15-Parametri_v3!$C$59+1)):K199)/Parametri_v3!$C$59</f>
        <v>729.166666666667</v>
      </c>
      <c r="M199" s="15" t="n">
        <f aca="false">J199-L199</f>
        <v>-43182.8672649748</v>
      </c>
      <c r="N199" s="15" t="n">
        <f aca="false">CD199-(CD198)</f>
        <v>0</v>
      </c>
      <c r="O199" s="15" t="n">
        <f aca="false">(BG198)*Ipotesi!$C$110/12+CH199*Parametri_v3!$C$39/12</f>
        <v>750</v>
      </c>
      <c r="P199" s="15" t="n">
        <f aca="false">M199+N199-O199</f>
        <v>-43932.8672649748</v>
      </c>
      <c r="Q199" s="15" t="n">
        <f aca="false">SUM(P197:P199)+Parametri_v3!$C$54*3/12</f>
        <v>-132253.408551724</v>
      </c>
      <c r="R199" s="15" t="n">
        <f aca="false">Z196</f>
        <v>280952.661629333</v>
      </c>
      <c r="S199" s="15" t="n">
        <f aca="false">AA196</f>
        <v>0</v>
      </c>
      <c r="T199" s="15" t="n">
        <f aca="false">MIN(R199,MAX(0,Q199))</f>
        <v>0</v>
      </c>
      <c r="U199" s="15" t="n">
        <f aca="false">MIN(S199,MAX(0,Q199-T199)*Parametri_v3!$C$42)</f>
        <v>0</v>
      </c>
      <c r="V199" s="15" t="n">
        <f aca="false">MAX(0,Q199-T199-U199)*Ipotesi!$C$92</f>
        <v>0</v>
      </c>
      <c r="W199" s="15" t="n">
        <f aca="false">MAX(0,SUM(M197:M199)+Parametri_v3!$C$55*3/12)*Ipotesi!$C$93</f>
        <v>0</v>
      </c>
      <c r="X199" s="15" t="n">
        <f aca="false">V199+W199-(V198+W198)</f>
        <v>0</v>
      </c>
      <c r="Y199" s="15" t="n">
        <f aca="false">P199-X199</f>
        <v>-43932.8672649748</v>
      </c>
      <c r="Z199" s="15" t="n">
        <f aca="false">R199-T199+IF(AND(Parametri_v3!$C$40=1,D199-YEAR(Parametri_v3!$C$50)&lt;Parametri_v3!$C$41),MAX(0,-Q199),0)</f>
        <v>413206.070181057</v>
      </c>
      <c r="AA199" s="15" t="n">
        <f aca="false">S199-U199+IF(AND(Parametri_v3!$C$40=1,D199-YEAR(Parametri_v3!$C$50)&lt;Parametri_v3!$C$41),0,MAX(0,-Q199))</f>
        <v>0</v>
      </c>
      <c r="AB199" s="15" t="n">
        <f aca="false">F199*(1+Parametri_v3!$C$26)</f>
        <v>14384.7862636404</v>
      </c>
      <c r="AC199" s="15" t="n">
        <f aca="false">(IF(15-(INT((Motore_Operativo!L199)/30))&lt;1,0,INDEX(Motore_Startup!$AB$185:$AB$244,MAX(1,15-(INT((Motore_Operativo!L199)/30)))))*(1-(MOD((Motore_Operativo!L199),30)/30))+IF(15-(INT((Motore_Operativo!L199)/30))-1&lt;1,0,INDEX(Motore_Startup!$AB$185:$AB$244,MAX(1,15-(INT((Motore_Operativo!L199)/30))-1)))*(MOD((Motore_Operativo!L199),30)/30))</f>
        <v>4834.25</v>
      </c>
      <c r="AD199" s="15" t="n">
        <f aca="false">(AD198)+AB199-AC199</f>
        <v>47137.7989472954</v>
      </c>
      <c r="AE199" s="15" t="n">
        <f aca="false">Motore_Operativo!BH199*(1+Parametri_v3!$C$26)</f>
        <v>2365.275</v>
      </c>
      <c r="AF199" s="15" t="n">
        <f aca="false">(IF(15-(INT((Parametri_v3!$C$29)/30))&lt;1,0,INDEX(Motore_Operativo!$BH$185:$BH$244,MAX(1,15-(INT((Parametri_v3!$C$29)/30)))))*(1-(MOD((Parametri_v3!$C$29),30)/30))+IF(15-(INT((Parametri_v3!$C$29)/30))-1&lt;1,0,INDEX(Motore_Operativo!$BH$185:$BH$244,MAX(1,15-(INT((Parametri_v3!$C$29)/30))-1)))*(MOD((Parametri_v3!$C$29),30)/30))*(1+Parametri_v3!$C$26)</f>
        <v>2365.275</v>
      </c>
      <c r="AG199" s="15" t="n">
        <f aca="false">(AG198)+AE199-AF199</f>
        <v>2365.275</v>
      </c>
      <c r="AH199" s="15" t="n">
        <f aca="false">(Motore_Operativo!CJ199)*(1+Parametri_v3!$C$27*Parametri_v3!$C$26)</f>
        <v>19491.4409462091</v>
      </c>
      <c r="AI199" s="15" t="n">
        <f aca="false">(IF(15-(INT((Ipotesi!$C$91)/30))&lt;1,0,INDEX(Motore_Startup!$AH$185:$AH$244,MAX(1,15-(INT((Ipotesi!$C$91)/30)))))*(1-(MOD((Ipotesi!$C$91),30)/30))+IF(15-(INT((Ipotesi!$C$91)/30))-1&lt;1,0,INDEX(Motore_Startup!$AH$185:$AH$244,MAX(1,15-(INT((Ipotesi!$C$91)/30))-1)))*(MOD((Ipotesi!$C$91),30)/30))</f>
        <v>19410.4136794168</v>
      </c>
      <c r="AJ199" s="15" t="n">
        <f aca="false">(AJ198)+AH199-AI199</f>
        <v>38942.4783670134</v>
      </c>
      <c r="AK199" s="15" t="n">
        <f aca="false">(F199+ Motore_Operativo!BH199-(Motore_Operativo!CJ199)*Parametri_v3!$C$27-Motore_Operativo!CE199)*Parametri_v3!$C$26</f>
        <v>-508.512417593894</v>
      </c>
      <c r="AL199" s="15" t="n">
        <f aca="false">MAX(0,(AM198))</f>
        <v>0</v>
      </c>
      <c r="AM199" s="15" t="n">
        <f aca="false">(AM198)+AK199-AL199</f>
        <v>-15302.523102966</v>
      </c>
      <c r="AN199" s="15" t="n">
        <f aca="false">SUM(X185:X196)</f>
        <v>0</v>
      </c>
      <c r="AO199" s="15" t="n">
        <f aca="false">SUM(AP185:AP196)</f>
        <v>0</v>
      </c>
      <c r="AP199" s="15" t="n">
        <f aca="false">MAX(0,AN199)*IF(3=Parametri_v3!$C$43,Parametri_v3!$C$45,IF(3=Parametri_v3!$C$44,1-Parametri_v3!$C$45,0))</f>
        <v>0</v>
      </c>
      <c r="AQ199" s="15" t="n">
        <f aca="false">MAX(0,AP199+IF(3=Parametri_v3!$C$43,MAX(0,AN199-AO199),0)-MAX(0,-(AR198)))</f>
        <v>0</v>
      </c>
      <c r="AR199" s="15" t="n">
        <f aca="false">(AR198)+X199-AQ199</f>
        <v>0</v>
      </c>
      <c r="AS199" s="15" t="n">
        <f aca="false">Motore_Operativo!AB199-AT199+AU199</f>
        <v>37774.375</v>
      </c>
      <c r="AT199" s="15" t="n">
        <f aca="false">Motore_Operativo!CH199</f>
        <v>1988.125</v>
      </c>
      <c r="AU199" s="15" t="n">
        <f aca="false">MIN(MAX(0,(AV198)+AT199),Parametri_v3!$C$60/12)</f>
        <v>0</v>
      </c>
      <c r="AV199" s="15" t="n">
        <f aca="false">(AV198)+AT199-AU199</f>
        <v>16714.375</v>
      </c>
      <c r="AW199" s="15" t="n">
        <f aca="false">IF(AND(Motore_Operativo!C199=Finanziamenti!$D$6,Finanziamenti!$F$6=1),Finanziamenti!$C$6,0)</f>
        <v>0</v>
      </c>
      <c r="AX199" s="15" t="n">
        <f aca="false">IF(AND(4&lt;&gt;7,4&lt;&gt;9,Finanziamenti!$F$8=1,OR(Parametri_v3!$C$6=0,Finanziamenti!$E$8=1),Motore_Operativo!C199=EDATE(Finanziamenti!$D$8,Ipotesi!F15*12)),Finanziamenti!$C$8*1,0)+IF(AND(4&lt;&gt;7,4&lt;&gt;9,Finanziamenti!$F$9=1,OR(Parametri_v3!$C$6=0,Finanziamenti!$E$9=1),Motore_Operativo!C199=EDATE(Finanziamenti!$D$9,Ipotesi!F15*12)),Finanziamenti!$C$9*Ipotesi!F16,0)</f>
        <v>0</v>
      </c>
      <c r="AY199" s="15" t="n">
        <f aca="false">0</f>
        <v>0</v>
      </c>
      <c r="AZ199" s="15" t="n">
        <f aca="false">Motore_Advisory!AY199*(1-Ipotesi!$C$95)*Ipotesi!$C$96</f>
        <v>0</v>
      </c>
      <c r="BA199" s="15" t="n">
        <f aca="false">MAX(0,MIN(CG199*MIN(1,IF(Motore_Operativo!C199&gt;=EDATE(Finanziamenti!$D$15,Ipotesi!F14*12),Finanziamenti!$C$15,0)+IF(Motore_Operativo!C199&gt;=EDATE(Finanziamenti!$D$16,Ipotesi!F14*12),Finanziamenti!$C$16,0)+IF(Motore_Operativo!C199&gt;=EDATE(Finanziamenti!$D$17,Ipotesi!F14*12),Finanziamenti!$C$17,0)),CA199*Ipotesi!$C$102)-(CC198))</f>
        <v>0</v>
      </c>
      <c r="BB199" s="15" t="n">
        <f aca="false">IF(AND(CF199&gt;0,Motore_Operativo!C199&gt;=IF(CF199=0,0,EDATE(CF199,Parametri_v3!$C$37)),MOD(((D199-YEAR(IF(CF199=0,0,EDATE(CF199,Parametri_v3!$C$37))))*12+E199-MONTH(IF(CF199=0,0,EDATE(CF199,Parametri_v3!$C$37)))),Parametri_v3!$C$38)=0),MIN(MAX(0,(BC198)+BA199-N199),(CC199-CD199)/(Ipotesi!$C$108*12/Parametri_v3!$C$38)),0)</f>
        <v>0</v>
      </c>
      <c r="BC199" s="15" t="n">
        <f aca="false">(BC198)+BA199-N199-BB199</f>
        <v>0</v>
      </c>
      <c r="BD199" s="15" t="n">
        <f aca="false">(BH198)+AC199+AF199-AI199-AS199-K199*(1+Parametri_v3!$C$26)-AL199-AQ199-O199+AW199+AX199+AZ199+BA199-BB199</f>
        <v>-162979.813864305</v>
      </c>
      <c r="BE199" s="15" t="n">
        <f aca="false">MAX(0,MIN(MAX(0,CH199-(BG198)),Parametri_v3!$C$30-BD199))</f>
        <v>0</v>
      </c>
      <c r="BF199" s="15" t="n">
        <f aca="false">IF(Motore_Operativo!C199&gt;=Parametri_v3!$C$63,(BG198),MIN((BG198),MAX(0,BD199-Parametri_v3!$C$30)))</f>
        <v>0</v>
      </c>
      <c r="BG199" s="15" t="n">
        <f aca="false">(BG198)+BE199-BF199</f>
        <v>150000</v>
      </c>
      <c r="BH199" s="15" t="n">
        <f aca="false">BD199+BE199-BF199-AY199</f>
        <v>-162979.813864305</v>
      </c>
      <c r="BI199" s="15" t="n">
        <f aca="false">MAX(0,Parametri_v3!$C$30-BH199)</f>
        <v>187979.813864305</v>
      </c>
      <c r="BJ199" s="15" t="n">
        <f aca="false">(BJ198)+K199</f>
        <v>26250</v>
      </c>
      <c r="BK199" s="15" t="n">
        <f aca="false">(BK198)+L199</f>
        <v>5625</v>
      </c>
      <c r="BL199" s="15" t="n">
        <f aca="false">BJ199-BK199</f>
        <v>20625</v>
      </c>
      <c r="BM199" s="15" t="n">
        <f aca="false">(BM198)+Y199</f>
        <v>-413206.070181057</v>
      </c>
      <c r="BN199" s="15" t="n">
        <f aca="false">(BN198)+AW199+AX199+AZ199</f>
        <v>130000</v>
      </c>
      <c r="BO199" s="15" t="n">
        <f aca="false">(BO198)+AY199</f>
        <v>0</v>
      </c>
      <c r="BP199" s="15" t="n">
        <f aca="false">0</f>
        <v>0</v>
      </c>
      <c r="BQ199" s="15" t="n">
        <f aca="false">BN199+BM199-BO199</f>
        <v>-283206.070181057</v>
      </c>
      <c r="BR199" s="15" t="n">
        <f aca="false">BH199+AD199+BL199+MAX(0,-AM199)+MAX(0,-AR199)+AG199</f>
        <v>-77549.2168140435</v>
      </c>
      <c r="BS199" s="15" t="n">
        <f aca="false">AJ199+AV199+MAX(0,AM199)+MAX(0,AR199)+BC199+BG199+BQ199</f>
        <v>-77549.2168140436</v>
      </c>
      <c r="BT199" s="15" t="n">
        <f aca="false">BR199-BS199</f>
        <v>0</v>
      </c>
      <c r="BU199" s="15" t="n">
        <f aca="false">BH199-(BD199+BE199-BF199-AY199)</f>
        <v>0</v>
      </c>
      <c r="BV199" s="15" t="n">
        <f aca="false">MIN(Piano_SS!$C$6,(BV198)+IF(AND(Motore_Operativo!C199&gt;=EDATE(Parametri_v3!$C$24,Ipotesi!F14*12),Motore_Operativo!C199&lt;EDATE(Parametri_v3!$C$24,Parametri_v3!$C$25+Ipotesi!F14*12)),MAX(0,(Motore_Operativo!Y199+Motore_Operativo!X199*Parametri_v3!$C$14)*(1-Parametri_v3!$C$32))*Piano_SS!$D$6,0))</f>
        <v>0</v>
      </c>
      <c r="BW199" s="15" t="n">
        <f aca="false">MIN(Piano_SS!$C$7,(BW198)+IF(AND(Motore_Operativo!C199&gt;=EDATE(Parametri_v3!$C$24,Ipotesi!F14*12),Motore_Operativo!C199&lt;EDATE(Parametri_v3!$C$24,Parametri_v3!$C$25+Ipotesi!F14*12)),MAX(0,(IF(15-(INT((Ipotesi!$C$91)/30))&lt;1,0,INDEX(Motore_Operativo!$BN$185:$BN$244,MAX(1,15-(INT((Ipotesi!$C$91)/30)))))*(1-(MOD((Ipotesi!$C$91),30)/30))+IF(15-(INT((Ipotesi!$C$91)/30))-1&lt;1,0,INDEX(Motore_Operativo!$BN$185:$BN$244,MAX(1,15-(INT((Ipotesi!$C$91)/30))-1)))*(MOD((Ipotesi!$C$91),30)/30)))*Piano_SS!$D$7,0))</f>
        <v>0</v>
      </c>
      <c r="BX199" s="15" t="n">
        <f aca="false">MIN(Piano_SS!$C$8,(BX198)+IF(AND(Motore_Operativo!C199&gt;=EDATE(Parametri_v3!$C$24,Ipotesi!F14*12),Motore_Operativo!C199&lt;EDATE(Parametri_v3!$C$24,Parametri_v3!$C$25+Ipotesi!F14*12)),MAX(0,Motore_Operativo!CE199)*Piano_SS!$D$8,0))</f>
        <v>0</v>
      </c>
      <c r="BY199" s="15" t="n">
        <f aca="false">MIN(Piano_SS!$C$9,(BY198)+IF(AND(Motore_Operativo!C199&gt;=EDATE(Parametri_v3!$C$24,Ipotesi!F14*12),Motore_Operativo!C199&lt;EDATE(Parametri_v3!$C$24,Parametri_v3!$C$25+Ipotesi!F14*12)),MAX(0,((IF(15-(INT((Ipotesi!$C$91)/30))&lt;1,0,INDEX(Motore_Operativo!$BQ$185:$BQ$244,MAX(1,15-(INT((Ipotesi!$C$91)/30)))))*(1-(MOD((Ipotesi!$C$91),30)/30))+IF(15-(INT((Ipotesi!$C$91)/30))-1&lt;1,0,INDEX(Motore_Operativo!$BQ$185:$BQ$244,MAX(1,15-(INT((Ipotesi!$C$91)/30))-1)))*(MOD((Ipotesi!$C$91),30)/30))+(IF(15-(INT((Ipotesi!$C$91)/30))&lt;1,0,INDEX(Motore_Operativo!$BR$185:$BR$244,MAX(1,15-(INT((Ipotesi!$C$91)/30)))))*(1-(MOD((Ipotesi!$C$91),30)/30))+IF(15-(INT((Ipotesi!$C$91)/30))-1&lt;1,0,INDEX(Motore_Operativo!$BR$185:$BR$244,MAX(1,15-(INT((Ipotesi!$C$91)/30))-1)))*(MOD((Ipotesi!$C$91),30)/30))))*Piano_SS!$D$9,0))</f>
        <v>0</v>
      </c>
      <c r="BZ199" s="15" t="n">
        <f aca="false">MIN(Piano_SS!$C$10,(BZ198)+IF(AND(Motore_Operativo!C199&gt;=EDATE(Parametri_v3!$C$24,Ipotesi!F14*12),Motore_Operativo!C199&lt;EDATE(Parametri_v3!$C$24,Parametri_v3!$C$25+Ipotesi!F14*12)),MAX(0,(IF(15-(INT((Ipotesi!$C$91)/30))&lt;1,0,INDEX(Motore_Operativo!$BO$185:$BO$244,MAX(1,15-(INT((Ipotesi!$C$91)/30)))))*(1-(MOD((Ipotesi!$C$91),30)/30))+IF(15-(INT((Ipotesi!$C$91)/30))-1&lt;1,0,INDEX(Motore_Operativo!$BO$185:$BO$244,MAX(1,15-(INT((Ipotesi!$C$91)/30))-1)))*(MOD((Ipotesi!$C$91),30)/30)))*Piano_SS!$D$10,0))</f>
        <v>0</v>
      </c>
      <c r="CA199" s="15" t="n">
        <f aca="false">SUM(BV199:BZ199)</f>
        <v>0</v>
      </c>
      <c r="CB199" s="15" t="n">
        <f aca="false">BV199*(1-Piano_SS!$E$6)+BW199*(1-Piano_SS!$E$7)+BX199*(1-Piano_SS!$E$8)+BY199*(1-Piano_SS!$E$9)+BZ199*(1-Piano_SS!$E$10)</f>
        <v>0</v>
      </c>
      <c r="CC199" s="15" t="n">
        <f aca="false">(CC198)+BA199</f>
        <v>0</v>
      </c>
      <c r="CD199" s="15" t="n">
        <f aca="false">IF(CA199=0,0,CC199*CB199/CA199*Ipotesi!$C$103*Parametri_v3!$C$64)</f>
        <v>0</v>
      </c>
      <c r="CE199" s="18" t="n">
        <f aca="false">IF(BA199&gt;0,Motore_Operativo!C199,(CE198))</f>
        <v>0</v>
      </c>
      <c r="CF199" s="18" t="n">
        <f aca="false">IF(AND(CC199&gt;0,OR(CC199&gt;=CG199-0.01,Motore_Operativo!C199&gt;=EDATE(MAX(Finanziamenti!$D$15:$D$17),Ipotesi!F14*12))),CE199,0)</f>
        <v>0</v>
      </c>
      <c r="CG199" s="15" t="n">
        <f aca="false">IF(AND(4&lt;&gt;6,4&lt;&gt;9,Finanziamenti!$F$11=1,OR(Parametri_v3!$C$6=0,Finanziamenti!$E$11=1)),MIN(Finanziamenti!$C$11,Piano_SS!$C$12*Ipotesi!$C$102),0)</f>
        <v>400000</v>
      </c>
      <c r="CH199" s="15" t="n">
        <f aca="false">IF(AND(AND(4&lt;&gt;8,4&lt;&gt;9,Finanziamenti!$F$10=1,OR(Parametri_v3!$C$6=0,Finanziamenti!$E$10=1)),Motore_Operativo!C199&gt;=Finanziamenti!$D$10,Motore_Operativo!C199&lt;Parametri_v3!$C$63),Finanziamenti!$C$10,0)</f>
        <v>150000</v>
      </c>
    </row>
    <row r="200" customFormat="false" ht="18" hidden="false" customHeight="true" outlineLevel="0" collapsed="false">
      <c r="A200" s="68" t="n">
        <f aca="false">4</f>
        <v>4</v>
      </c>
      <c r="B200" s="68" t="n">
        <f aca="false">16</f>
        <v>16</v>
      </c>
      <c r="C200" s="18" t="n">
        <f aca="false">Motore_Operativo!C200</f>
        <v>46844</v>
      </c>
      <c r="D200" s="68" t="n">
        <f aca="false">Motore_Operativo!D200</f>
        <v>2028</v>
      </c>
      <c r="E200" s="68" t="n">
        <f aca="false">Motore_Operativo!E200</f>
        <v>4</v>
      </c>
      <c r="F200" s="15" t="n">
        <f aca="false">Motore_Operativo!AQ200+Motore_Operativo!BF200</f>
        <v>12032.9367072789</v>
      </c>
      <c r="G200" s="15" t="n">
        <f aca="false">Motore_Operativo!BH200</f>
        <v>1938.75</v>
      </c>
      <c r="H200" s="15" t="n">
        <f aca="false">Motore_Operativo!BI200</f>
        <v>13971.6867072789</v>
      </c>
      <c r="I200" s="15" t="n">
        <f aca="false">Motore_Operativo!CA200</f>
        <v>56217.1569723524</v>
      </c>
      <c r="J200" s="15" t="n">
        <f aca="false">Motore_Operativo!CC200</f>
        <v>-42245.4702650735</v>
      </c>
      <c r="K200" s="15" t="n">
        <f aca="false">Motore_Operativo!CE200</f>
        <v>2083.33333333333</v>
      </c>
      <c r="L200" s="15" t="n">
        <f aca="false">SUM(INDEX($K$185:$K$244,MAX(1,16-Parametri_v3!$C$59+1)):K200)/Parametri_v3!$C$59</f>
        <v>787.037037037037</v>
      </c>
      <c r="M200" s="15" t="n">
        <f aca="false">J200-L200</f>
        <v>-43032.5073021106</v>
      </c>
      <c r="N200" s="15" t="n">
        <f aca="false">CD200-(CD199)</f>
        <v>0</v>
      </c>
      <c r="O200" s="15" t="n">
        <f aca="false">(BG199)*Ipotesi!$C$110/12+CH200*Parametri_v3!$C$39/12</f>
        <v>750</v>
      </c>
      <c r="P200" s="15" t="n">
        <f aca="false">M200+N200-O200</f>
        <v>-43782.5073021106</v>
      </c>
      <c r="Q200" s="15" t="n">
        <f aca="false">SUM(P197:P200)+Parametri_v3!$C$54*4/12</f>
        <v>-176035.915853835</v>
      </c>
      <c r="R200" s="15" t="n">
        <f aca="false">Z196</f>
        <v>280952.661629333</v>
      </c>
      <c r="S200" s="15" t="n">
        <f aca="false">AA196</f>
        <v>0</v>
      </c>
      <c r="T200" s="15" t="n">
        <f aca="false">MIN(R200,MAX(0,Q200))</f>
        <v>0</v>
      </c>
      <c r="U200" s="15" t="n">
        <f aca="false">MIN(S200,MAX(0,Q200-T200)*Parametri_v3!$C$42)</f>
        <v>0</v>
      </c>
      <c r="V200" s="15" t="n">
        <f aca="false">MAX(0,Q200-T200-U200)*Ipotesi!$C$92</f>
        <v>0</v>
      </c>
      <c r="W200" s="15" t="n">
        <f aca="false">MAX(0,SUM(M197:M200)+Parametri_v3!$C$55*4/12)*Ipotesi!$C$93</f>
        <v>0</v>
      </c>
      <c r="X200" s="15" t="n">
        <f aca="false">V200+W200-(V199+W199)</f>
        <v>0</v>
      </c>
      <c r="Y200" s="15" t="n">
        <f aca="false">P200-X200</f>
        <v>-43782.5073021106</v>
      </c>
      <c r="Z200" s="15" t="n">
        <f aca="false">R200-T200+IF(AND(Parametri_v3!$C$40=1,D200-YEAR(Parametri_v3!$C$50)&lt;Parametri_v3!$C$41),MAX(0,-Q200),0)</f>
        <v>456988.577483167</v>
      </c>
      <c r="AA200" s="15" t="n">
        <f aca="false">S200-U200+IF(AND(Parametri_v3!$C$40=1,D200-YEAR(Parametri_v3!$C$50)&lt;Parametri_v3!$C$41),0,MAX(0,-Q200))</f>
        <v>0</v>
      </c>
      <c r="AB200" s="15" t="n">
        <f aca="false">F200*(1+Parametri_v3!$C$26)</f>
        <v>14680.1827828802</v>
      </c>
      <c r="AC200" s="15" t="n">
        <f aca="false">(IF(16-(INT((Motore_Operativo!L200)/30))&lt;1,0,INDEX(Motore_Startup!$AB$185:$AB$244,MAX(1,16-(INT((Motore_Operativo!L200)/30)))))*(1-(MOD((Motore_Operativo!L200),30)/30))+IF(16-(INT((Motore_Operativo!L200)/30))-1&lt;1,0,INDEX(Motore_Startup!$AB$185:$AB$244,MAX(1,16-(INT((Motore_Operativo!L200)/30))-1)))*(MOD((Motore_Operativo!L200),30)/30))</f>
        <v>4874.91666666667</v>
      </c>
      <c r="AD200" s="15" t="n">
        <f aca="false">(AD199)+AB200-AC200</f>
        <v>56943.065063509</v>
      </c>
      <c r="AE200" s="15" t="n">
        <f aca="false">Motore_Operativo!BH200*(1+Parametri_v3!$C$26)</f>
        <v>2365.275</v>
      </c>
      <c r="AF200" s="15" t="n">
        <f aca="false">(IF(16-(INT((Parametri_v3!$C$29)/30))&lt;1,0,INDEX(Motore_Operativo!$BH$185:$BH$244,MAX(1,16-(INT((Parametri_v3!$C$29)/30)))))*(1-(MOD((Parametri_v3!$C$29),30)/30))+IF(16-(INT((Parametri_v3!$C$29)/30))-1&lt;1,0,INDEX(Motore_Operativo!$BH$185:$BH$244,MAX(1,16-(INT((Parametri_v3!$C$29)/30))-1)))*(MOD((Parametri_v3!$C$29),30)/30))*(1+Parametri_v3!$C$26)</f>
        <v>2365.275</v>
      </c>
      <c r="AG200" s="15" t="n">
        <f aca="false">(AG199)+AE200-AF200</f>
        <v>2365.275</v>
      </c>
      <c r="AH200" s="15" t="n">
        <f aca="false">(Motore_Operativo!CJ200)*(1+Parametri_v3!$C$27*Parametri_v3!$C$26)</f>
        <v>19531.6778261823</v>
      </c>
      <c r="AI200" s="15" t="n">
        <f aca="false">(IF(16-(INT((Ipotesi!$C$91)/30))&lt;1,0,INDEX(Motore_Startup!$AH$185:$AH$244,MAX(1,16-(INT((Ipotesi!$C$91)/30)))))*(1-(MOD((Ipotesi!$C$91),30)/30))+IF(16-(INT((Ipotesi!$C$91)/30))-1&lt;1,0,INDEX(Motore_Startup!$AH$185:$AH$244,MAX(1,16-(INT((Ipotesi!$C$91)/30))-1)))*(MOD((Ipotesi!$C$91),30)/30))</f>
        <v>19451.0374208043</v>
      </c>
      <c r="AJ200" s="15" t="n">
        <f aca="false">(AJ199)+AH200-AI200</f>
        <v>39023.1187723914</v>
      </c>
      <c r="AK200" s="15" t="n">
        <f aca="false">(F200+ Motore_Operativo!BH200-(Motore_Operativo!CJ200)*Parametri_v3!$C$27-Motore_Operativo!CE200)*Parametri_v3!$C$26</f>
        <v>-461.583111561878</v>
      </c>
      <c r="AL200" s="15" t="n">
        <f aca="false">MAX(0,(AM199))</f>
        <v>0</v>
      </c>
      <c r="AM200" s="15" t="n">
        <f aca="false">(AM199)+AK200-AL200</f>
        <v>-15764.1062145279</v>
      </c>
      <c r="AN200" s="15" t="n">
        <f aca="false">SUM(X185:X196)</f>
        <v>0</v>
      </c>
      <c r="AO200" s="15" t="n">
        <f aca="false">SUM(AP185:AP196)</f>
        <v>0</v>
      </c>
      <c r="AP200" s="15" t="n">
        <f aca="false">MAX(0,AN200)*IF(4=Parametri_v3!$C$43,Parametri_v3!$C$45,IF(4=Parametri_v3!$C$44,1-Parametri_v3!$C$45,0))</f>
        <v>0</v>
      </c>
      <c r="AQ200" s="15" t="n">
        <f aca="false">MAX(0,AP200+IF(4=Parametri_v3!$C$43,MAX(0,AN200-AO200),0)-MAX(0,-(AR199)))</f>
        <v>0</v>
      </c>
      <c r="AR200" s="15" t="n">
        <f aca="false">(AR199)+X200-AQ200</f>
        <v>0</v>
      </c>
      <c r="AS200" s="15" t="n">
        <f aca="false">Motore_Operativo!AB200-AT200+AU200</f>
        <v>37774.375</v>
      </c>
      <c r="AT200" s="15" t="n">
        <f aca="false">Motore_Operativo!CH200</f>
        <v>1988.125</v>
      </c>
      <c r="AU200" s="15" t="n">
        <f aca="false">MIN(MAX(0,(AV199)+AT200),Parametri_v3!$C$60/12)</f>
        <v>0</v>
      </c>
      <c r="AV200" s="15" t="n">
        <f aca="false">(AV199)+AT200-AU200</f>
        <v>18702.5</v>
      </c>
      <c r="AW200" s="15" t="n">
        <f aca="false">IF(AND(Motore_Operativo!C200=Finanziamenti!$D$6,Finanziamenti!$F$6=1),Finanziamenti!$C$6,0)</f>
        <v>0</v>
      </c>
      <c r="AX200" s="15" t="n">
        <f aca="false">IF(AND(4&lt;&gt;7,4&lt;&gt;9,Finanziamenti!$F$8=1,OR(Parametri_v3!$C$6=0,Finanziamenti!$E$8=1),Motore_Operativo!C200=EDATE(Finanziamenti!$D$8,Ipotesi!F15*12)),Finanziamenti!$C$8*1,0)+IF(AND(4&lt;&gt;7,4&lt;&gt;9,Finanziamenti!$F$9=1,OR(Parametri_v3!$C$6=0,Finanziamenti!$E$9=1),Motore_Operativo!C200=EDATE(Finanziamenti!$D$9,Ipotesi!F15*12)),Finanziamenti!$C$9*Ipotesi!F16,0)</f>
        <v>0</v>
      </c>
      <c r="AY200" s="15" t="n">
        <f aca="false">0</f>
        <v>0</v>
      </c>
      <c r="AZ200" s="15" t="n">
        <f aca="false">Motore_Advisory!AY200*(1-Ipotesi!$C$95)*Ipotesi!$C$96</f>
        <v>0</v>
      </c>
      <c r="BA200" s="15" t="n">
        <f aca="false">MAX(0,MIN(CG200*MIN(1,IF(Motore_Operativo!C200&gt;=EDATE(Finanziamenti!$D$15,Ipotesi!F14*12),Finanziamenti!$C$15,0)+IF(Motore_Operativo!C200&gt;=EDATE(Finanziamenti!$D$16,Ipotesi!F14*12),Finanziamenti!$C$16,0)+IF(Motore_Operativo!C200&gt;=EDATE(Finanziamenti!$D$17,Ipotesi!F14*12),Finanziamenti!$C$17,0)),CA200*Ipotesi!$C$102)-(CC199))</f>
        <v>0</v>
      </c>
      <c r="BB200" s="15" t="n">
        <f aca="false">IF(AND(CF200&gt;0,Motore_Operativo!C200&gt;=IF(CF200=0,0,EDATE(CF200,Parametri_v3!$C$37)),MOD(((D200-YEAR(IF(CF200=0,0,EDATE(CF200,Parametri_v3!$C$37))))*12+E200-MONTH(IF(CF200=0,0,EDATE(CF200,Parametri_v3!$C$37)))),Parametri_v3!$C$38)=0),MIN(MAX(0,(BC199)+BA200-N200),(CC200-CD200)/(Ipotesi!$C$108*12/Parametri_v3!$C$38)),0)</f>
        <v>0</v>
      </c>
      <c r="BC200" s="15" t="n">
        <f aca="false">(BC199)+BA200-N200-BB200</f>
        <v>0</v>
      </c>
      <c r="BD200" s="15" t="n">
        <f aca="false">(BH199)+AC200+AF200-AI200-AS200-K200*(1+Parametri_v3!$C$26)-AL200-AQ200-O200+AW200+AX200+AZ200+BA200-BB200</f>
        <v>-216256.701285109</v>
      </c>
      <c r="BE200" s="15" t="n">
        <f aca="false">MAX(0,MIN(MAX(0,CH200-(BG199)),Parametri_v3!$C$30-BD200))</f>
        <v>0</v>
      </c>
      <c r="BF200" s="15" t="n">
        <f aca="false">IF(Motore_Operativo!C200&gt;=Parametri_v3!$C$63,(BG199),MIN((BG199),MAX(0,BD200-Parametri_v3!$C$30)))</f>
        <v>0</v>
      </c>
      <c r="BG200" s="15" t="n">
        <f aca="false">(BG199)+BE200-BF200</f>
        <v>150000</v>
      </c>
      <c r="BH200" s="15" t="n">
        <f aca="false">BD200+BE200-BF200-AY200</f>
        <v>-216256.701285109</v>
      </c>
      <c r="BI200" s="15" t="n">
        <f aca="false">MAX(0,Parametri_v3!$C$30-BH200)</f>
        <v>241256.701285109</v>
      </c>
      <c r="BJ200" s="15" t="n">
        <f aca="false">(BJ199)+K200</f>
        <v>28333.3333333333</v>
      </c>
      <c r="BK200" s="15" t="n">
        <f aca="false">(BK199)+L200</f>
        <v>6412.03703703704</v>
      </c>
      <c r="BL200" s="15" t="n">
        <f aca="false">BJ200-BK200</f>
        <v>21921.2962962963</v>
      </c>
      <c r="BM200" s="15" t="n">
        <f aca="false">(BM199)+Y200</f>
        <v>-456988.577483168</v>
      </c>
      <c r="BN200" s="15" t="n">
        <f aca="false">(BN199)+AW200+AX200+AZ200</f>
        <v>130000</v>
      </c>
      <c r="BO200" s="15" t="n">
        <f aca="false">(BO199)+AY200</f>
        <v>0</v>
      </c>
      <c r="BP200" s="15" t="n">
        <f aca="false">0</f>
        <v>0</v>
      </c>
      <c r="BQ200" s="15" t="n">
        <f aca="false">BN200+BM200-BO200</f>
        <v>-326988.577483168</v>
      </c>
      <c r="BR200" s="15" t="n">
        <f aca="false">BH200+AD200+BL200+MAX(0,-AM200)+MAX(0,-AR200)+AG200</f>
        <v>-119262.958710776</v>
      </c>
      <c r="BS200" s="15" t="n">
        <f aca="false">AJ200+AV200+MAX(0,AM200)+MAX(0,AR200)+BC200+BG200+BQ200</f>
        <v>-119262.958710776</v>
      </c>
      <c r="BT200" s="15" t="n">
        <f aca="false">BR200-BS200</f>
        <v>0</v>
      </c>
      <c r="BU200" s="15" t="n">
        <f aca="false">BH200-(BD200+BE200-BF200-AY200)</f>
        <v>0</v>
      </c>
      <c r="BV200" s="15" t="n">
        <f aca="false">MIN(Piano_SS!$C$6,(BV199)+IF(AND(Motore_Operativo!C200&gt;=EDATE(Parametri_v3!$C$24,Ipotesi!F14*12),Motore_Operativo!C200&lt;EDATE(Parametri_v3!$C$24,Parametri_v3!$C$25+Ipotesi!F14*12)),MAX(0,(Motore_Operativo!Y200+Motore_Operativo!X200*Parametri_v3!$C$14)*(1-Parametri_v3!$C$32))*Piano_SS!$D$6,0))</f>
        <v>0</v>
      </c>
      <c r="BW200" s="15" t="n">
        <f aca="false">MIN(Piano_SS!$C$7,(BW199)+IF(AND(Motore_Operativo!C200&gt;=EDATE(Parametri_v3!$C$24,Ipotesi!F14*12),Motore_Operativo!C200&lt;EDATE(Parametri_v3!$C$24,Parametri_v3!$C$25+Ipotesi!F14*12)),MAX(0,(IF(16-(INT((Ipotesi!$C$91)/30))&lt;1,0,INDEX(Motore_Operativo!$BN$185:$BN$244,MAX(1,16-(INT((Ipotesi!$C$91)/30)))))*(1-(MOD((Ipotesi!$C$91),30)/30))+IF(16-(INT((Ipotesi!$C$91)/30))-1&lt;1,0,INDEX(Motore_Operativo!$BN$185:$BN$244,MAX(1,16-(INT((Ipotesi!$C$91)/30))-1)))*(MOD((Ipotesi!$C$91),30)/30)))*Piano_SS!$D$7,0))</f>
        <v>0</v>
      </c>
      <c r="BX200" s="15" t="n">
        <f aca="false">MIN(Piano_SS!$C$8,(BX199)+IF(AND(Motore_Operativo!C200&gt;=EDATE(Parametri_v3!$C$24,Ipotesi!F14*12),Motore_Operativo!C200&lt;EDATE(Parametri_v3!$C$24,Parametri_v3!$C$25+Ipotesi!F14*12)),MAX(0,Motore_Operativo!CE200)*Piano_SS!$D$8,0))</f>
        <v>0</v>
      </c>
      <c r="BY200" s="15" t="n">
        <f aca="false">MIN(Piano_SS!$C$9,(BY199)+IF(AND(Motore_Operativo!C200&gt;=EDATE(Parametri_v3!$C$24,Ipotesi!F14*12),Motore_Operativo!C200&lt;EDATE(Parametri_v3!$C$24,Parametri_v3!$C$25+Ipotesi!F14*12)),MAX(0,((IF(16-(INT((Ipotesi!$C$91)/30))&lt;1,0,INDEX(Motore_Operativo!$BQ$185:$BQ$244,MAX(1,16-(INT((Ipotesi!$C$91)/30)))))*(1-(MOD((Ipotesi!$C$91),30)/30))+IF(16-(INT((Ipotesi!$C$91)/30))-1&lt;1,0,INDEX(Motore_Operativo!$BQ$185:$BQ$244,MAX(1,16-(INT((Ipotesi!$C$91)/30))-1)))*(MOD((Ipotesi!$C$91),30)/30))+(IF(16-(INT((Ipotesi!$C$91)/30))&lt;1,0,INDEX(Motore_Operativo!$BR$185:$BR$244,MAX(1,16-(INT((Ipotesi!$C$91)/30)))))*(1-(MOD((Ipotesi!$C$91),30)/30))+IF(16-(INT((Ipotesi!$C$91)/30))-1&lt;1,0,INDEX(Motore_Operativo!$BR$185:$BR$244,MAX(1,16-(INT((Ipotesi!$C$91)/30))-1)))*(MOD((Ipotesi!$C$91),30)/30))))*Piano_SS!$D$9,0))</f>
        <v>0</v>
      </c>
      <c r="BZ200" s="15" t="n">
        <f aca="false">MIN(Piano_SS!$C$10,(BZ199)+IF(AND(Motore_Operativo!C200&gt;=EDATE(Parametri_v3!$C$24,Ipotesi!F14*12),Motore_Operativo!C200&lt;EDATE(Parametri_v3!$C$24,Parametri_v3!$C$25+Ipotesi!F14*12)),MAX(0,(IF(16-(INT((Ipotesi!$C$91)/30))&lt;1,0,INDEX(Motore_Operativo!$BO$185:$BO$244,MAX(1,16-(INT((Ipotesi!$C$91)/30)))))*(1-(MOD((Ipotesi!$C$91),30)/30))+IF(16-(INT((Ipotesi!$C$91)/30))-1&lt;1,0,INDEX(Motore_Operativo!$BO$185:$BO$244,MAX(1,16-(INT((Ipotesi!$C$91)/30))-1)))*(MOD((Ipotesi!$C$91),30)/30)))*Piano_SS!$D$10,0))</f>
        <v>0</v>
      </c>
      <c r="CA200" s="15" t="n">
        <f aca="false">SUM(BV200:BZ200)</f>
        <v>0</v>
      </c>
      <c r="CB200" s="15" t="n">
        <f aca="false">BV200*(1-Piano_SS!$E$6)+BW200*(1-Piano_SS!$E$7)+BX200*(1-Piano_SS!$E$8)+BY200*(1-Piano_SS!$E$9)+BZ200*(1-Piano_SS!$E$10)</f>
        <v>0</v>
      </c>
      <c r="CC200" s="15" t="n">
        <f aca="false">(CC199)+BA200</f>
        <v>0</v>
      </c>
      <c r="CD200" s="15" t="n">
        <f aca="false">IF(CA200=0,0,CC200*CB200/CA200*Ipotesi!$C$103*Parametri_v3!$C$64)</f>
        <v>0</v>
      </c>
      <c r="CE200" s="18" t="n">
        <f aca="false">IF(BA200&gt;0,Motore_Operativo!C200,(CE199))</f>
        <v>0</v>
      </c>
      <c r="CF200" s="18" t="n">
        <f aca="false">IF(AND(CC200&gt;0,OR(CC200&gt;=CG200-0.01,Motore_Operativo!C200&gt;=EDATE(MAX(Finanziamenti!$D$15:$D$17),Ipotesi!F14*12))),CE200,0)</f>
        <v>0</v>
      </c>
      <c r="CG200" s="15" t="n">
        <f aca="false">IF(AND(4&lt;&gt;6,4&lt;&gt;9,Finanziamenti!$F$11=1,OR(Parametri_v3!$C$6=0,Finanziamenti!$E$11=1)),MIN(Finanziamenti!$C$11,Piano_SS!$C$12*Ipotesi!$C$102),0)</f>
        <v>400000</v>
      </c>
      <c r="CH200" s="15" t="n">
        <f aca="false">IF(AND(AND(4&lt;&gt;8,4&lt;&gt;9,Finanziamenti!$F$10=1,OR(Parametri_v3!$C$6=0,Finanziamenti!$E$10=1)),Motore_Operativo!C200&gt;=Finanziamenti!$D$10,Motore_Operativo!C200&lt;Parametri_v3!$C$63),Finanziamenti!$C$10,0)</f>
        <v>150000</v>
      </c>
    </row>
    <row r="201" customFormat="false" ht="18" hidden="false" customHeight="true" outlineLevel="0" collapsed="false">
      <c r="A201" s="68" t="n">
        <f aca="false">4</f>
        <v>4</v>
      </c>
      <c r="B201" s="68" t="n">
        <f aca="false">17</f>
        <v>17</v>
      </c>
      <c r="C201" s="18" t="n">
        <f aca="false">Motore_Operativo!C201</f>
        <v>46874</v>
      </c>
      <c r="D201" s="68" t="n">
        <f aca="false">Motore_Operativo!D201</f>
        <v>2028</v>
      </c>
      <c r="E201" s="68" t="n">
        <f aca="false">Motore_Operativo!E201</f>
        <v>5</v>
      </c>
      <c r="F201" s="15" t="n">
        <f aca="false">Motore_Operativo!AQ201+Motore_Operativo!BF201</f>
        <v>12274.4545266032</v>
      </c>
      <c r="G201" s="15" t="n">
        <f aca="false">Motore_Operativo!BH201</f>
        <v>1938.75</v>
      </c>
      <c r="H201" s="15" t="n">
        <f aca="false">Motore_Operativo!BI201</f>
        <v>14213.2045266032</v>
      </c>
      <c r="I201" s="15" t="n">
        <f aca="false">Motore_Operativo!CA201</f>
        <v>56250.9694670578</v>
      </c>
      <c r="J201" s="15" t="n">
        <f aca="false">Motore_Operativo!CC201</f>
        <v>-42037.7649404546</v>
      </c>
      <c r="K201" s="15" t="n">
        <f aca="false">Motore_Operativo!CE201</f>
        <v>2083.33333333333</v>
      </c>
      <c r="L201" s="15" t="n">
        <f aca="false">SUM(INDEX($K$185:$K$244,MAX(1,17-Parametri_v3!$C$59+1)):K201)/Parametri_v3!$C$59</f>
        <v>844.907407407407</v>
      </c>
      <c r="M201" s="15" t="n">
        <f aca="false">J201-L201</f>
        <v>-42882.672347862</v>
      </c>
      <c r="N201" s="15" t="n">
        <f aca="false">CD201-(CD200)</f>
        <v>0</v>
      </c>
      <c r="O201" s="15" t="n">
        <f aca="false">(BG200)*Ipotesi!$C$110/12+CH201*Parametri_v3!$C$39/12</f>
        <v>750</v>
      </c>
      <c r="P201" s="15" t="n">
        <f aca="false">M201+N201-O201</f>
        <v>-43632.672347862</v>
      </c>
      <c r="Q201" s="15" t="n">
        <f aca="false">SUM(P197:P201)+Parametri_v3!$C$54*5/12</f>
        <v>-219668.588201697</v>
      </c>
      <c r="R201" s="15" t="n">
        <f aca="false">Z196</f>
        <v>280952.661629333</v>
      </c>
      <c r="S201" s="15" t="n">
        <f aca="false">AA196</f>
        <v>0</v>
      </c>
      <c r="T201" s="15" t="n">
        <f aca="false">MIN(R201,MAX(0,Q201))</f>
        <v>0</v>
      </c>
      <c r="U201" s="15" t="n">
        <f aca="false">MIN(S201,MAX(0,Q201-T201)*Parametri_v3!$C$42)</f>
        <v>0</v>
      </c>
      <c r="V201" s="15" t="n">
        <f aca="false">MAX(0,Q201-T201-U201)*Ipotesi!$C$92</f>
        <v>0</v>
      </c>
      <c r="W201" s="15" t="n">
        <f aca="false">MAX(0,SUM(M197:M201)+Parametri_v3!$C$55*5/12)*Ipotesi!$C$93</f>
        <v>0</v>
      </c>
      <c r="X201" s="15" t="n">
        <f aca="false">V201+W201-(V200+W200)</f>
        <v>0</v>
      </c>
      <c r="Y201" s="15" t="n">
        <f aca="false">P201-X201</f>
        <v>-43632.672347862</v>
      </c>
      <c r="Z201" s="15" t="n">
        <f aca="false">R201-T201+IF(AND(Parametri_v3!$C$40=1,D201-YEAR(Parametri_v3!$C$50)&lt;Parametri_v3!$C$41),MAX(0,-Q201),0)</f>
        <v>500621.24983103</v>
      </c>
      <c r="AA201" s="15" t="n">
        <f aca="false">S201-U201+IF(AND(Parametri_v3!$C$40=1,D201-YEAR(Parametri_v3!$C$50)&lt;Parametri_v3!$C$41),0,MAX(0,-Q201))</f>
        <v>0</v>
      </c>
      <c r="AB201" s="15" t="n">
        <f aca="false">F201*(1+Parametri_v3!$C$26)</f>
        <v>14974.8345224558</v>
      </c>
      <c r="AC201" s="15" t="n">
        <f aca="false">(IF(17-(INT((Motore_Operativo!L201)/30))&lt;1,0,INDEX(Motore_Startup!$AB$185:$AB$244,MAX(1,17-(INT((Motore_Operativo!L201)/30)))))*(1-(MOD((Motore_Operativo!L201),30)/30))+IF(17-(INT((Motore_Operativo!L201)/30))-1&lt;1,0,INDEX(Motore_Startup!$AB$185:$AB$244,MAX(1,17-(INT((Motore_Operativo!L201)/30))-1)))*(MOD((Motore_Operativo!L201),30)/30))</f>
        <v>13789.9296895247</v>
      </c>
      <c r="AD201" s="15" t="n">
        <f aca="false">(AD200)+AB201-AC201</f>
        <v>58127.9698964401</v>
      </c>
      <c r="AE201" s="15" t="n">
        <f aca="false">Motore_Operativo!BH201*(1+Parametri_v3!$C$26)</f>
        <v>2365.275</v>
      </c>
      <c r="AF201" s="15" t="n">
        <f aca="false">(IF(17-(INT((Parametri_v3!$C$29)/30))&lt;1,0,INDEX(Motore_Operativo!$BH$185:$BH$244,MAX(1,17-(INT((Parametri_v3!$C$29)/30)))))*(1-(MOD((Parametri_v3!$C$29),30)/30))+IF(17-(INT((Parametri_v3!$C$29)/30))-1&lt;1,0,INDEX(Motore_Operativo!$BH$185:$BH$244,MAX(1,17-(INT((Parametri_v3!$C$29)/30))-1)))*(MOD((Parametri_v3!$C$29),30)/30))*(1+Parametri_v3!$C$26)</f>
        <v>2365.275</v>
      </c>
      <c r="AG201" s="15" t="n">
        <f aca="false">(AG200)+AE201-AF201</f>
        <v>2365.275</v>
      </c>
      <c r="AH201" s="15" t="n">
        <f aca="false">(Motore_Operativo!CJ201)*(1+Parametri_v3!$C$27*Parametri_v3!$C$26)</f>
        <v>19571.8132573976</v>
      </c>
      <c r="AI201" s="15" t="n">
        <f aca="false">(IF(17-(INT((Ipotesi!$C$91)/30))&lt;1,0,INDEX(Motore_Startup!$AH$185:$AH$244,MAX(1,17-(INT((Ipotesi!$C$91)/30)))))*(1-(MOD((Ipotesi!$C$91),30)/30))+IF(17-(INT((Ipotesi!$C$91)/30))-1&lt;1,0,INDEX(Motore_Startup!$AH$185:$AH$244,MAX(1,17-(INT((Ipotesi!$C$91)/30))-1)))*(MOD((Ipotesi!$C$91),30)/30))</f>
        <v>19491.4409462091</v>
      </c>
      <c r="AJ201" s="15" t="n">
        <f aca="false">(AJ200)+AH201-AI201</f>
        <v>39103.4910835799</v>
      </c>
      <c r="AK201" s="15" t="n">
        <f aca="false">(F201+ Motore_Operativo!BH201-(Motore_Operativo!CJ201)*Parametri_v3!$C$27-Motore_Operativo!CE201)*Parametri_v3!$C$26</f>
        <v>-414.772127820445</v>
      </c>
      <c r="AL201" s="15" t="n">
        <f aca="false">MAX(0,(AM200))</f>
        <v>0</v>
      </c>
      <c r="AM201" s="15" t="n">
        <f aca="false">(AM200)+AK201-AL201</f>
        <v>-16178.8783423483</v>
      </c>
      <c r="AN201" s="15" t="n">
        <f aca="false">SUM(X185:X196)</f>
        <v>0</v>
      </c>
      <c r="AO201" s="15" t="n">
        <f aca="false">SUM(AP185:AP196)</f>
        <v>0</v>
      </c>
      <c r="AP201" s="15" t="n">
        <f aca="false">MAX(0,AN201)*IF(5=Parametri_v3!$C$43,Parametri_v3!$C$45,IF(5=Parametri_v3!$C$44,1-Parametri_v3!$C$45,0))</f>
        <v>0</v>
      </c>
      <c r="AQ201" s="15" t="n">
        <f aca="false">MAX(0,AP201+IF(5=Parametri_v3!$C$43,MAX(0,AN201-AO201),0)-MAX(0,-(AR200)))</f>
        <v>0</v>
      </c>
      <c r="AR201" s="15" t="n">
        <f aca="false">(AR200)+X201-AQ201</f>
        <v>0</v>
      </c>
      <c r="AS201" s="15" t="n">
        <f aca="false">Motore_Operativo!AB201-AT201+AU201</f>
        <v>37774.375</v>
      </c>
      <c r="AT201" s="15" t="n">
        <f aca="false">Motore_Operativo!CH201</f>
        <v>1988.125</v>
      </c>
      <c r="AU201" s="15" t="n">
        <f aca="false">MIN(MAX(0,(AV200)+AT201),Parametri_v3!$C$60/12)</f>
        <v>0</v>
      </c>
      <c r="AV201" s="15" t="n">
        <f aca="false">(AV200)+AT201-AU201</f>
        <v>20690.625</v>
      </c>
      <c r="AW201" s="15" t="n">
        <f aca="false">IF(AND(Motore_Operativo!C201=Finanziamenti!$D$6,Finanziamenti!$F$6=1),Finanziamenti!$C$6,0)</f>
        <v>0</v>
      </c>
      <c r="AX201" s="15" t="n">
        <f aca="false">IF(AND(4&lt;&gt;7,4&lt;&gt;9,Finanziamenti!$F$8=1,OR(Parametri_v3!$C$6=0,Finanziamenti!$E$8=1),Motore_Operativo!C201=EDATE(Finanziamenti!$D$8,Ipotesi!F15*12)),Finanziamenti!$C$8*1,0)+IF(AND(4&lt;&gt;7,4&lt;&gt;9,Finanziamenti!$F$9=1,OR(Parametri_v3!$C$6=0,Finanziamenti!$E$9=1),Motore_Operativo!C201=EDATE(Finanziamenti!$D$9,Ipotesi!F15*12)),Finanziamenti!$C$9*Ipotesi!F16,0)</f>
        <v>0</v>
      </c>
      <c r="AY201" s="15" t="n">
        <f aca="false">0</f>
        <v>0</v>
      </c>
      <c r="AZ201" s="15" t="n">
        <f aca="false">Motore_Advisory!AY201*(1-Ipotesi!$C$95)*Ipotesi!$C$96</f>
        <v>0</v>
      </c>
      <c r="BA201" s="15" t="n">
        <f aca="false">MAX(0,MIN(CG201*MIN(1,IF(Motore_Operativo!C201&gt;=EDATE(Finanziamenti!$D$15,Ipotesi!F14*12),Finanziamenti!$C$15,0)+IF(Motore_Operativo!C201&gt;=EDATE(Finanziamenti!$D$16,Ipotesi!F14*12),Finanziamenti!$C$16,0)+IF(Motore_Operativo!C201&gt;=EDATE(Finanziamenti!$D$17,Ipotesi!F14*12),Finanziamenti!$C$17,0)),CA201*Ipotesi!$C$102)-(CC200))</f>
        <v>0</v>
      </c>
      <c r="BB201" s="15" t="n">
        <f aca="false">IF(AND(CF201&gt;0,Motore_Operativo!C201&gt;=IF(CF201=0,0,EDATE(CF201,Parametri_v3!$C$37)),MOD(((D201-YEAR(IF(CF201=0,0,EDATE(CF201,Parametri_v3!$C$37))))*12+E201-MONTH(IF(CF201=0,0,EDATE(CF201,Parametri_v3!$C$37)))),Parametri_v3!$C$38)=0),MIN(MAX(0,(BC200)+BA201-N201),(CC201-CD201)/(Ipotesi!$C$108*12/Parametri_v3!$C$38)),0)</f>
        <v>0</v>
      </c>
      <c r="BC201" s="15" t="n">
        <f aca="false">(BC200)+BA201-N201-BB201</f>
        <v>0</v>
      </c>
      <c r="BD201" s="15" t="n">
        <f aca="false">(BH200)+AC201+AF201-AI201-AS201-K201*(1+Parametri_v3!$C$26)-AL201-AQ201-O201+AW201+AX201+AZ201+BA201-BB201</f>
        <v>-260658.97920846</v>
      </c>
      <c r="BE201" s="15" t="n">
        <f aca="false">MAX(0,MIN(MAX(0,CH201-(BG200)),Parametri_v3!$C$30-BD201))</f>
        <v>0</v>
      </c>
      <c r="BF201" s="15" t="n">
        <f aca="false">IF(Motore_Operativo!C201&gt;=Parametri_v3!$C$63,(BG200),MIN((BG200),MAX(0,BD201-Parametri_v3!$C$30)))</f>
        <v>0</v>
      </c>
      <c r="BG201" s="15" t="n">
        <f aca="false">(BG200)+BE201-BF201</f>
        <v>150000</v>
      </c>
      <c r="BH201" s="15" t="n">
        <f aca="false">BD201+BE201-BF201-AY201</f>
        <v>-260658.97920846</v>
      </c>
      <c r="BI201" s="15" t="n">
        <f aca="false">MAX(0,Parametri_v3!$C$30-BH201)</f>
        <v>285658.97920846</v>
      </c>
      <c r="BJ201" s="15" t="n">
        <f aca="false">(BJ200)+K201</f>
        <v>30416.6666666667</v>
      </c>
      <c r="BK201" s="15" t="n">
        <f aca="false">(BK200)+L201</f>
        <v>7256.94444444445</v>
      </c>
      <c r="BL201" s="15" t="n">
        <f aca="false">BJ201-BK201</f>
        <v>23159.7222222222</v>
      </c>
      <c r="BM201" s="15" t="n">
        <f aca="false">(BM200)+Y201</f>
        <v>-500621.24983103</v>
      </c>
      <c r="BN201" s="15" t="n">
        <f aca="false">(BN200)+AW201+AX201+AZ201</f>
        <v>130000</v>
      </c>
      <c r="BO201" s="15" t="n">
        <f aca="false">(BO200)+AY201</f>
        <v>0</v>
      </c>
      <c r="BP201" s="15" t="n">
        <f aca="false">0</f>
        <v>0</v>
      </c>
      <c r="BQ201" s="15" t="n">
        <f aca="false">BN201+BM201-BO201</f>
        <v>-370621.24983103</v>
      </c>
      <c r="BR201" s="15" t="n">
        <f aca="false">BH201+AD201+BL201+MAX(0,-AM201)+MAX(0,-AR201)+AG201</f>
        <v>-160827.13374745</v>
      </c>
      <c r="BS201" s="15" t="n">
        <f aca="false">AJ201+AV201+MAX(0,AM201)+MAX(0,AR201)+BC201+BG201+BQ201</f>
        <v>-160827.13374745</v>
      </c>
      <c r="BT201" s="15" t="n">
        <f aca="false">BR201-BS201</f>
        <v>0</v>
      </c>
      <c r="BU201" s="15" t="n">
        <f aca="false">BH201-(BD201+BE201-BF201-AY201)</f>
        <v>0</v>
      </c>
      <c r="BV201" s="15" t="n">
        <f aca="false">MIN(Piano_SS!$C$6,(BV200)+IF(AND(Motore_Operativo!C201&gt;=EDATE(Parametri_v3!$C$24,Ipotesi!F14*12),Motore_Operativo!C201&lt;EDATE(Parametri_v3!$C$24,Parametri_v3!$C$25+Ipotesi!F14*12)),MAX(0,(Motore_Operativo!Y201+Motore_Operativo!X201*Parametri_v3!$C$14)*(1-Parametri_v3!$C$32))*Piano_SS!$D$6,0))</f>
        <v>0</v>
      </c>
      <c r="BW201" s="15" t="n">
        <f aca="false">MIN(Piano_SS!$C$7,(BW200)+IF(AND(Motore_Operativo!C201&gt;=EDATE(Parametri_v3!$C$24,Ipotesi!F14*12),Motore_Operativo!C201&lt;EDATE(Parametri_v3!$C$24,Parametri_v3!$C$25+Ipotesi!F14*12)),MAX(0,(IF(17-(INT((Ipotesi!$C$91)/30))&lt;1,0,INDEX(Motore_Operativo!$BN$185:$BN$244,MAX(1,17-(INT((Ipotesi!$C$91)/30)))))*(1-(MOD((Ipotesi!$C$91),30)/30))+IF(17-(INT((Ipotesi!$C$91)/30))-1&lt;1,0,INDEX(Motore_Operativo!$BN$185:$BN$244,MAX(1,17-(INT((Ipotesi!$C$91)/30))-1)))*(MOD((Ipotesi!$C$91),30)/30)))*Piano_SS!$D$7,0))</f>
        <v>0</v>
      </c>
      <c r="BX201" s="15" t="n">
        <f aca="false">MIN(Piano_SS!$C$8,(BX200)+IF(AND(Motore_Operativo!C201&gt;=EDATE(Parametri_v3!$C$24,Ipotesi!F14*12),Motore_Operativo!C201&lt;EDATE(Parametri_v3!$C$24,Parametri_v3!$C$25+Ipotesi!F14*12)),MAX(0,Motore_Operativo!CE201)*Piano_SS!$D$8,0))</f>
        <v>0</v>
      </c>
      <c r="BY201" s="15" t="n">
        <f aca="false">MIN(Piano_SS!$C$9,(BY200)+IF(AND(Motore_Operativo!C201&gt;=EDATE(Parametri_v3!$C$24,Ipotesi!F14*12),Motore_Operativo!C201&lt;EDATE(Parametri_v3!$C$24,Parametri_v3!$C$25+Ipotesi!F14*12)),MAX(0,((IF(17-(INT((Ipotesi!$C$91)/30))&lt;1,0,INDEX(Motore_Operativo!$BQ$185:$BQ$244,MAX(1,17-(INT((Ipotesi!$C$91)/30)))))*(1-(MOD((Ipotesi!$C$91),30)/30))+IF(17-(INT((Ipotesi!$C$91)/30))-1&lt;1,0,INDEX(Motore_Operativo!$BQ$185:$BQ$244,MAX(1,17-(INT((Ipotesi!$C$91)/30))-1)))*(MOD((Ipotesi!$C$91),30)/30))+(IF(17-(INT((Ipotesi!$C$91)/30))&lt;1,0,INDEX(Motore_Operativo!$BR$185:$BR$244,MAX(1,17-(INT((Ipotesi!$C$91)/30)))))*(1-(MOD((Ipotesi!$C$91),30)/30))+IF(17-(INT((Ipotesi!$C$91)/30))-1&lt;1,0,INDEX(Motore_Operativo!$BR$185:$BR$244,MAX(1,17-(INT((Ipotesi!$C$91)/30))-1)))*(MOD((Ipotesi!$C$91),30)/30))))*Piano_SS!$D$9,0))</f>
        <v>0</v>
      </c>
      <c r="BZ201" s="15" t="n">
        <f aca="false">MIN(Piano_SS!$C$10,(BZ200)+IF(AND(Motore_Operativo!C201&gt;=EDATE(Parametri_v3!$C$24,Ipotesi!F14*12),Motore_Operativo!C201&lt;EDATE(Parametri_v3!$C$24,Parametri_v3!$C$25+Ipotesi!F14*12)),MAX(0,(IF(17-(INT((Ipotesi!$C$91)/30))&lt;1,0,INDEX(Motore_Operativo!$BO$185:$BO$244,MAX(1,17-(INT((Ipotesi!$C$91)/30)))))*(1-(MOD((Ipotesi!$C$91),30)/30))+IF(17-(INT((Ipotesi!$C$91)/30))-1&lt;1,0,INDEX(Motore_Operativo!$BO$185:$BO$244,MAX(1,17-(INT((Ipotesi!$C$91)/30))-1)))*(MOD((Ipotesi!$C$91),30)/30)))*Piano_SS!$D$10,0))</f>
        <v>0</v>
      </c>
      <c r="CA201" s="15" t="n">
        <f aca="false">SUM(BV201:BZ201)</f>
        <v>0</v>
      </c>
      <c r="CB201" s="15" t="n">
        <f aca="false">BV201*(1-Piano_SS!$E$6)+BW201*(1-Piano_SS!$E$7)+BX201*(1-Piano_SS!$E$8)+BY201*(1-Piano_SS!$E$9)+BZ201*(1-Piano_SS!$E$10)</f>
        <v>0</v>
      </c>
      <c r="CC201" s="15" t="n">
        <f aca="false">(CC200)+BA201</f>
        <v>0</v>
      </c>
      <c r="CD201" s="15" t="n">
        <f aca="false">IF(CA201=0,0,CC201*CB201/CA201*Ipotesi!$C$103*Parametri_v3!$C$64)</f>
        <v>0</v>
      </c>
      <c r="CE201" s="18" t="n">
        <f aca="false">IF(BA201&gt;0,Motore_Operativo!C201,(CE200))</f>
        <v>0</v>
      </c>
      <c r="CF201" s="18" t="n">
        <f aca="false">IF(AND(CC201&gt;0,OR(CC201&gt;=CG201-0.01,Motore_Operativo!C201&gt;=EDATE(MAX(Finanziamenti!$D$15:$D$17),Ipotesi!F14*12))),CE201,0)</f>
        <v>0</v>
      </c>
      <c r="CG201" s="15" t="n">
        <f aca="false">IF(AND(4&lt;&gt;6,4&lt;&gt;9,Finanziamenti!$F$11=1,OR(Parametri_v3!$C$6=0,Finanziamenti!$E$11=1)),MIN(Finanziamenti!$C$11,Piano_SS!$C$12*Ipotesi!$C$102),0)</f>
        <v>400000</v>
      </c>
      <c r="CH201" s="15" t="n">
        <f aca="false">IF(AND(AND(4&lt;&gt;8,4&lt;&gt;9,Finanziamenti!$F$10=1,OR(Parametri_v3!$C$6=0,Finanziamenti!$E$10=1)),Motore_Operativo!C201&gt;=Finanziamenti!$D$10,Motore_Operativo!C201&lt;Parametri_v3!$C$63),Finanziamenti!$C$10,0)</f>
        <v>150000</v>
      </c>
    </row>
    <row r="202" customFormat="false" ht="18" hidden="false" customHeight="true" outlineLevel="0" collapsed="false">
      <c r="A202" s="68" t="n">
        <f aca="false">4</f>
        <v>4</v>
      </c>
      <c r="B202" s="68" t="n">
        <f aca="false">18</f>
        <v>18</v>
      </c>
      <c r="C202" s="18" t="n">
        <f aca="false">Motore_Operativo!C202</f>
        <v>46905</v>
      </c>
      <c r="D202" s="68" t="n">
        <f aca="false">Motore_Operativo!D202</f>
        <v>2028</v>
      </c>
      <c r="E202" s="68" t="n">
        <f aca="false">Motore_Operativo!E202</f>
        <v>6</v>
      </c>
      <c r="F202" s="15" t="n">
        <f aca="false">Motore_Operativo!AQ202+Motore_Operativo!BF202</f>
        <v>12515.853562073</v>
      </c>
      <c r="G202" s="15" t="n">
        <f aca="false">Motore_Operativo!BH202</f>
        <v>1938.75</v>
      </c>
      <c r="H202" s="15" t="n">
        <f aca="false">Motore_Operativo!BI202</f>
        <v>14454.603562073</v>
      </c>
      <c r="I202" s="15" t="n">
        <f aca="false">Motore_Operativo!CA202</f>
        <v>56284.7653320236</v>
      </c>
      <c r="J202" s="15" t="n">
        <f aca="false">Motore_Operativo!CC202</f>
        <v>-41830.1617699506</v>
      </c>
      <c r="K202" s="15" t="n">
        <f aca="false">Motore_Operativo!CE202</f>
        <v>2083.33333333333</v>
      </c>
      <c r="L202" s="15" t="n">
        <f aca="false">SUM(INDEX($K$185:$K$244,MAX(1,18-Parametri_v3!$C$59+1)):K202)/Parametri_v3!$C$59</f>
        <v>902.777777777778</v>
      </c>
      <c r="M202" s="15" t="n">
        <f aca="false">J202-L202</f>
        <v>-42732.9395477284</v>
      </c>
      <c r="N202" s="15" t="n">
        <f aca="false">CD202-(CD201)</f>
        <v>0</v>
      </c>
      <c r="O202" s="15" t="n">
        <f aca="false">(BG201)*Ipotesi!$C$110/12+CH202*Parametri_v3!$C$39/12</f>
        <v>750</v>
      </c>
      <c r="P202" s="15" t="n">
        <f aca="false">M202+N202-O202</f>
        <v>-43482.9395477284</v>
      </c>
      <c r="Q202" s="15" t="n">
        <f aca="false">SUM(P197:P202)+Parametri_v3!$C$54*6/12</f>
        <v>-263151.527749425</v>
      </c>
      <c r="R202" s="15" t="n">
        <f aca="false">Z196</f>
        <v>280952.661629333</v>
      </c>
      <c r="S202" s="15" t="n">
        <f aca="false">AA196</f>
        <v>0</v>
      </c>
      <c r="T202" s="15" t="n">
        <f aca="false">MIN(R202,MAX(0,Q202))</f>
        <v>0</v>
      </c>
      <c r="U202" s="15" t="n">
        <f aca="false">MIN(S202,MAX(0,Q202-T202)*Parametri_v3!$C$42)</f>
        <v>0</v>
      </c>
      <c r="V202" s="15" t="n">
        <f aca="false">MAX(0,Q202-T202-U202)*Ipotesi!$C$92</f>
        <v>0</v>
      </c>
      <c r="W202" s="15" t="n">
        <f aca="false">MAX(0,SUM(M197:M202)+Parametri_v3!$C$55*6/12)*Ipotesi!$C$93</f>
        <v>0</v>
      </c>
      <c r="X202" s="15" t="n">
        <f aca="false">V202+W202-(V201+W201)</f>
        <v>0</v>
      </c>
      <c r="Y202" s="15" t="n">
        <f aca="false">P202-X202</f>
        <v>-43482.9395477284</v>
      </c>
      <c r="Z202" s="15" t="n">
        <f aca="false">R202-T202+IF(AND(Parametri_v3!$C$40=1,D202-YEAR(Parametri_v3!$C$50)&lt;Parametri_v3!$C$41),MAX(0,-Q202),0)</f>
        <v>544104.189378758</v>
      </c>
      <c r="AA202" s="15" t="n">
        <f aca="false">S202-U202+IF(AND(Parametri_v3!$C$40=1,D202-YEAR(Parametri_v3!$C$50)&lt;Parametri_v3!$C$41),0,MAX(0,-Q202))</f>
        <v>0</v>
      </c>
      <c r="AB202" s="15" t="n">
        <f aca="false">F202*(1+Parametri_v3!$C$26)</f>
        <v>15269.341345729</v>
      </c>
      <c r="AC202" s="15" t="n">
        <f aca="false">(IF(18-(INT((Motore_Operativo!L202)/30))&lt;1,0,INDEX(Motore_Startup!$AB$185:$AB$244,MAX(1,18-(INT((Motore_Operativo!L202)/30)))))*(1-(MOD((Motore_Operativo!L202),30)/30))+IF(18-(INT((Motore_Operativo!L202)/30))-1&lt;1,0,INDEX(Motore_Startup!$AB$185:$AB$244,MAX(1,18-(INT((Motore_Operativo!L202)/30))-1)))*(MOD((Motore_Operativo!L202),30)/30))</f>
        <v>14088.1663274637</v>
      </c>
      <c r="AD202" s="15" t="n">
        <f aca="false">(AD201)+AB202-AC202</f>
        <v>59309.1449147055</v>
      </c>
      <c r="AE202" s="15" t="n">
        <f aca="false">Motore_Operativo!BH202*(1+Parametri_v3!$C$26)</f>
        <v>2365.275</v>
      </c>
      <c r="AF202" s="15" t="n">
        <f aca="false">(IF(18-(INT((Parametri_v3!$C$29)/30))&lt;1,0,INDEX(Motore_Operativo!$BH$185:$BH$244,MAX(1,18-(INT((Parametri_v3!$C$29)/30)))))*(1-(MOD((Parametri_v3!$C$29),30)/30))+IF(18-(INT((Parametri_v3!$C$29)/30))-1&lt;1,0,INDEX(Motore_Operativo!$BH$185:$BH$244,MAX(1,18-(INT((Parametri_v3!$C$29)/30))-1)))*(MOD((Parametri_v3!$C$29),30)/30))*(1+Parametri_v3!$C$26)</f>
        <v>2365.275</v>
      </c>
      <c r="AG202" s="15" t="n">
        <f aca="false">(AG201)+AE202-AF202</f>
        <v>2365.275</v>
      </c>
      <c r="AH202" s="15" t="n">
        <f aca="false">(Motore_Operativo!CJ202)*(1+Parametri_v3!$C$27*Parametri_v3!$C$26)</f>
        <v>19611.928949112</v>
      </c>
      <c r="AI202" s="15" t="n">
        <f aca="false">(IF(18-(INT((Ipotesi!$C$91)/30))&lt;1,0,INDEX(Motore_Startup!$AH$185:$AH$244,MAX(1,18-(INT((Ipotesi!$C$91)/30)))))*(1-(MOD((Ipotesi!$C$91),30)/30))+IF(18-(INT((Ipotesi!$C$91)/30))-1&lt;1,0,INDEX(Motore_Startup!$AH$185:$AH$244,MAX(1,18-(INT((Ipotesi!$C$91)/30))-1)))*(MOD((Ipotesi!$C$91),30)/30))</f>
        <v>19531.6778261823</v>
      </c>
      <c r="AJ202" s="15" t="n">
        <f aca="false">(AJ201)+AH202-AI202</f>
        <v>39183.7422065095</v>
      </c>
      <c r="AK202" s="15" t="n">
        <f aca="false">(F202+ Motore_Operativo!BH202-(Motore_Operativo!CJ202)*Parametri_v3!$C$27-Motore_Operativo!CE202)*Parametri_v3!$C$26</f>
        <v>-367.984166765686</v>
      </c>
      <c r="AL202" s="15" t="n">
        <f aca="false">MAX(0,(AM201))</f>
        <v>0</v>
      </c>
      <c r="AM202" s="15" t="n">
        <f aca="false">(AM201)+AK202-AL202</f>
        <v>-16546.862509114</v>
      </c>
      <c r="AN202" s="15" t="n">
        <f aca="false">SUM(X185:X196)</f>
        <v>0</v>
      </c>
      <c r="AO202" s="15" t="n">
        <f aca="false">SUM(AP185:AP196)</f>
        <v>0</v>
      </c>
      <c r="AP202" s="15" t="n">
        <f aca="false">MAX(0,AN202)*IF(6=Parametri_v3!$C$43,Parametri_v3!$C$45,IF(6=Parametri_v3!$C$44,1-Parametri_v3!$C$45,0))</f>
        <v>0</v>
      </c>
      <c r="AQ202" s="15" t="n">
        <f aca="false">MAX(0,AP202+IF(6=Parametri_v3!$C$43,MAX(0,AN202-AO202),0)-MAX(0,-(AR201)))</f>
        <v>0</v>
      </c>
      <c r="AR202" s="15" t="n">
        <f aca="false">(AR201)+X202-AQ202</f>
        <v>0</v>
      </c>
      <c r="AS202" s="15" t="n">
        <f aca="false">Motore_Operativo!AB202-AT202+AU202</f>
        <v>37774.375</v>
      </c>
      <c r="AT202" s="15" t="n">
        <f aca="false">Motore_Operativo!CH202</f>
        <v>1988.125</v>
      </c>
      <c r="AU202" s="15" t="n">
        <f aca="false">MIN(MAX(0,(AV201)+AT202),Parametri_v3!$C$60/12)</f>
        <v>0</v>
      </c>
      <c r="AV202" s="15" t="n">
        <f aca="false">(AV201)+AT202-AU202</f>
        <v>22678.75</v>
      </c>
      <c r="AW202" s="15" t="n">
        <f aca="false">IF(AND(Motore_Operativo!C202=Finanziamenti!$D$6,Finanziamenti!$F$6=1),Finanziamenti!$C$6,0)</f>
        <v>0</v>
      </c>
      <c r="AX202" s="15" t="n">
        <f aca="false">IF(AND(4&lt;&gt;7,4&lt;&gt;9,Finanziamenti!$F$8=1,OR(Parametri_v3!$C$6=0,Finanziamenti!$E$8=1),Motore_Operativo!C202=EDATE(Finanziamenti!$D$8,Ipotesi!F15*12)),Finanziamenti!$C$8*1,0)+IF(AND(4&lt;&gt;7,4&lt;&gt;9,Finanziamenti!$F$9=1,OR(Parametri_v3!$C$6=0,Finanziamenti!$E$9=1),Motore_Operativo!C202=EDATE(Finanziamenti!$D$9,Ipotesi!F15*12)),Finanziamenti!$C$9*Ipotesi!F16,0)</f>
        <v>0</v>
      </c>
      <c r="AY202" s="15" t="n">
        <f aca="false">0</f>
        <v>0</v>
      </c>
      <c r="AZ202" s="15" t="n">
        <f aca="false">Motore_Advisory!AY202*(1-Ipotesi!$C$95)*Ipotesi!$C$96</f>
        <v>0</v>
      </c>
      <c r="BA202" s="15" t="n">
        <f aca="false">MAX(0,MIN(CG202*MIN(1,IF(Motore_Operativo!C202&gt;=EDATE(Finanziamenti!$D$15,Ipotesi!F14*12),Finanziamenti!$C$15,0)+IF(Motore_Operativo!C202&gt;=EDATE(Finanziamenti!$D$16,Ipotesi!F14*12),Finanziamenti!$C$16,0)+IF(Motore_Operativo!C202&gt;=EDATE(Finanziamenti!$D$17,Ipotesi!F14*12),Finanziamenti!$C$17,0)),CA202*Ipotesi!$C$102)-(CC201))</f>
        <v>0</v>
      </c>
      <c r="BB202" s="15" t="n">
        <f aca="false">IF(AND(CF202&gt;0,Motore_Operativo!C202&gt;=IF(CF202=0,0,EDATE(CF202,Parametri_v3!$C$37)),MOD(((D202-YEAR(IF(CF202=0,0,EDATE(CF202,Parametri_v3!$C$37))))*12+E202-MONTH(IF(CF202=0,0,EDATE(CF202,Parametri_v3!$C$37)))),Parametri_v3!$C$38)=0),MIN(MAX(0,(BC201)+BA202-N202),(CC202-CD202)/(Ipotesi!$C$108*12/Parametri_v3!$C$38)),0)</f>
        <v>0</v>
      </c>
      <c r="BC202" s="15" t="n">
        <f aca="false">(BC201)+BA202-N202-BB202</f>
        <v>0</v>
      </c>
      <c r="BD202" s="15" t="n">
        <f aca="false">(BH201)+AC202+AF202-AI202-AS202-K202*(1+Parametri_v3!$C$26)-AL202-AQ202-O202+AW202+AX202+AZ202+BA202-BB202</f>
        <v>-304803.257373846</v>
      </c>
      <c r="BE202" s="15" t="n">
        <f aca="false">MAX(0,MIN(MAX(0,CH202-(BG201)),Parametri_v3!$C$30-BD202))</f>
        <v>0</v>
      </c>
      <c r="BF202" s="15" t="n">
        <f aca="false">IF(Motore_Operativo!C202&gt;=Parametri_v3!$C$63,(BG201),MIN((BG201),MAX(0,BD202-Parametri_v3!$C$30)))</f>
        <v>0</v>
      </c>
      <c r="BG202" s="15" t="n">
        <f aca="false">(BG201)+BE202-BF202</f>
        <v>150000</v>
      </c>
      <c r="BH202" s="15" t="n">
        <f aca="false">BD202+BE202-BF202-AY202</f>
        <v>-304803.257373846</v>
      </c>
      <c r="BI202" s="15" t="n">
        <f aca="false">MAX(0,Parametri_v3!$C$30-BH202)</f>
        <v>329803.257373846</v>
      </c>
      <c r="BJ202" s="15" t="n">
        <f aca="false">(BJ201)+K202</f>
        <v>32500</v>
      </c>
      <c r="BK202" s="15" t="n">
        <f aca="false">(BK201)+L202</f>
        <v>8159.72222222222</v>
      </c>
      <c r="BL202" s="15" t="n">
        <f aca="false">BJ202-BK202</f>
        <v>24340.2777777778</v>
      </c>
      <c r="BM202" s="15" t="n">
        <f aca="false">(BM201)+Y202</f>
        <v>-544104.189378758</v>
      </c>
      <c r="BN202" s="15" t="n">
        <f aca="false">(BN201)+AW202+AX202+AZ202</f>
        <v>130000</v>
      </c>
      <c r="BO202" s="15" t="n">
        <f aca="false">(BO201)+AY202</f>
        <v>0</v>
      </c>
      <c r="BP202" s="15" t="n">
        <f aca="false">0</f>
        <v>0</v>
      </c>
      <c r="BQ202" s="15" t="n">
        <f aca="false">BN202+BM202-BO202</f>
        <v>-414104.189378758</v>
      </c>
      <c r="BR202" s="15" t="n">
        <f aca="false">BH202+AD202+BL202+MAX(0,-AM202)+MAX(0,-AR202)+AG202</f>
        <v>-202241.697172248</v>
      </c>
      <c r="BS202" s="15" t="n">
        <f aca="false">AJ202+AV202+MAX(0,AM202)+MAX(0,AR202)+BC202+BG202+BQ202</f>
        <v>-202241.697172248</v>
      </c>
      <c r="BT202" s="15" t="n">
        <f aca="false">BR202-BS202</f>
        <v>0</v>
      </c>
      <c r="BU202" s="15" t="n">
        <f aca="false">BH202-(BD202+BE202-BF202-AY202)</f>
        <v>0</v>
      </c>
      <c r="BV202" s="15" t="n">
        <f aca="false">MIN(Piano_SS!$C$6,(BV201)+IF(AND(Motore_Operativo!C202&gt;=EDATE(Parametri_v3!$C$24,Ipotesi!F14*12),Motore_Operativo!C202&lt;EDATE(Parametri_v3!$C$24,Parametri_v3!$C$25+Ipotesi!F14*12)),MAX(0,(Motore_Operativo!Y202+Motore_Operativo!X202*Parametri_v3!$C$14)*(1-Parametri_v3!$C$32))*Piano_SS!$D$6,0))</f>
        <v>0</v>
      </c>
      <c r="BW202" s="15" t="n">
        <f aca="false">MIN(Piano_SS!$C$7,(BW201)+IF(AND(Motore_Operativo!C202&gt;=EDATE(Parametri_v3!$C$24,Ipotesi!F14*12),Motore_Operativo!C202&lt;EDATE(Parametri_v3!$C$24,Parametri_v3!$C$25+Ipotesi!F14*12)),MAX(0,(IF(18-(INT((Ipotesi!$C$91)/30))&lt;1,0,INDEX(Motore_Operativo!$BN$185:$BN$244,MAX(1,18-(INT((Ipotesi!$C$91)/30)))))*(1-(MOD((Ipotesi!$C$91),30)/30))+IF(18-(INT((Ipotesi!$C$91)/30))-1&lt;1,0,INDEX(Motore_Operativo!$BN$185:$BN$244,MAX(1,18-(INT((Ipotesi!$C$91)/30))-1)))*(MOD((Ipotesi!$C$91),30)/30)))*Piano_SS!$D$7,0))</f>
        <v>0</v>
      </c>
      <c r="BX202" s="15" t="n">
        <f aca="false">MIN(Piano_SS!$C$8,(BX201)+IF(AND(Motore_Operativo!C202&gt;=EDATE(Parametri_v3!$C$24,Ipotesi!F14*12),Motore_Operativo!C202&lt;EDATE(Parametri_v3!$C$24,Parametri_v3!$C$25+Ipotesi!F14*12)),MAX(0,Motore_Operativo!CE202)*Piano_SS!$D$8,0))</f>
        <v>0</v>
      </c>
      <c r="BY202" s="15" t="n">
        <f aca="false">MIN(Piano_SS!$C$9,(BY201)+IF(AND(Motore_Operativo!C202&gt;=EDATE(Parametri_v3!$C$24,Ipotesi!F14*12),Motore_Operativo!C202&lt;EDATE(Parametri_v3!$C$24,Parametri_v3!$C$25+Ipotesi!F14*12)),MAX(0,((IF(18-(INT((Ipotesi!$C$91)/30))&lt;1,0,INDEX(Motore_Operativo!$BQ$185:$BQ$244,MAX(1,18-(INT((Ipotesi!$C$91)/30)))))*(1-(MOD((Ipotesi!$C$91),30)/30))+IF(18-(INT((Ipotesi!$C$91)/30))-1&lt;1,0,INDEX(Motore_Operativo!$BQ$185:$BQ$244,MAX(1,18-(INT((Ipotesi!$C$91)/30))-1)))*(MOD((Ipotesi!$C$91),30)/30))+(IF(18-(INT((Ipotesi!$C$91)/30))&lt;1,0,INDEX(Motore_Operativo!$BR$185:$BR$244,MAX(1,18-(INT((Ipotesi!$C$91)/30)))))*(1-(MOD((Ipotesi!$C$91),30)/30))+IF(18-(INT((Ipotesi!$C$91)/30))-1&lt;1,0,INDEX(Motore_Operativo!$BR$185:$BR$244,MAX(1,18-(INT((Ipotesi!$C$91)/30))-1)))*(MOD((Ipotesi!$C$91),30)/30))))*Piano_SS!$D$9,0))</f>
        <v>0</v>
      </c>
      <c r="BZ202" s="15" t="n">
        <f aca="false">MIN(Piano_SS!$C$10,(BZ201)+IF(AND(Motore_Operativo!C202&gt;=EDATE(Parametri_v3!$C$24,Ipotesi!F14*12),Motore_Operativo!C202&lt;EDATE(Parametri_v3!$C$24,Parametri_v3!$C$25+Ipotesi!F14*12)),MAX(0,(IF(18-(INT((Ipotesi!$C$91)/30))&lt;1,0,INDEX(Motore_Operativo!$BO$185:$BO$244,MAX(1,18-(INT((Ipotesi!$C$91)/30)))))*(1-(MOD((Ipotesi!$C$91),30)/30))+IF(18-(INT((Ipotesi!$C$91)/30))-1&lt;1,0,INDEX(Motore_Operativo!$BO$185:$BO$244,MAX(1,18-(INT((Ipotesi!$C$91)/30))-1)))*(MOD((Ipotesi!$C$91),30)/30)))*Piano_SS!$D$10,0))</f>
        <v>0</v>
      </c>
      <c r="CA202" s="15" t="n">
        <f aca="false">SUM(BV202:BZ202)</f>
        <v>0</v>
      </c>
      <c r="CB202" s="15" t="n">
        <f aca="false">BV202*(1-Piano_SS!$E$6)+BW202*(1-Piano_SS!$E$7)+BX202*(1-Piano_SS!$E$8)+BY202*(1-Piano_SS!$E$9)+BZ202*(1-Piano_SS!$E$10)</f>
        <v>0</v>
      </c>
      <c r="CC202" s="15" t="n">
        <f aca="false">(CC201)+BA202</f>
        <v>0</v>
      </c>
      <c r="CD202" s="15" t="n">
        <f aca="false">IF(CA202=0,0,CC202*CB202/CA202*Ipotesi!$C$103*Parametri_v3!$C$64)</f>
        <v>0</v>
      </c>
      <c r="CE202" s="18" t="n">
        <f aca="false">IF(BA202&gt;0,Motore_Operativo!C202,(CE201))</f>
        <v>0</v>
      </c>
      <c r="CF202" s="18" t="n">
        <f aca="false">IF(AND(CC202&gt;0,OR(CC202&gt;=CG202-0.01,Motore_Operativo!C202&gt;=EDATE(MAX(Finanziamenti!$D$15:$D$17),Ipotesi!F14*12))),CE202,0)</f>
        <v>0</v>
      </c>
      <c r="CG202" s="15" t="n">
        <f aca="false">IF(AND(4&lt;&gt;6,4&lt;&gt;9,Finanziamenti!$F$11=1,OR(Parametri_v3!$C$6=0,Finanziamenti!$E$11=1)),MIN(Finanziamenti!$C$11,Piano_SS!$C$12*Ipotesi!$C$102),0)</f>
        <v>400000</v>
      </c>
      <c r="CH202" s="15" t="n">
        <f aca="false">IF(AND(AND(4&lt;&gt;8,4&lt;&gt;9,Finanziamenti!$F$10=1,OR(Parametri_v3!$C$6=0,Finanziamenti!$E$10=1)),Motore_Operativo!C202&gt;=Finanziamenti!$D$10,Motore_Operativo!C202&lt;Parametri_v3!$C$63),Finanziamenti!$C$10,0)</f>
        <v>150000</v>
      </c>
    </row>
    <row r="203" customFormat="false" ht="18" hidden="false" customHeight="true" outlineLevel="0" collapsed="false">
      <c r="A203" s="68" t="n">
        <f aca="false">4</f>
        <v>4</v>
      </c>
      <c r="B203" s="68" t="n">
        <f aca="false">19</f>
        <v>19</v>
      </c>
      <c r="C203" s="18" t="n">
        <f aca="false">Motore_Operativo!C203</f>
        <v>46935</v>
      </c>
      <c r="D203" s="68" t="n">
        <f aca="false">Motore_Operativo!D203</f>
        <v>2028</v>
      </c>
      <c r="E203" s="68" t="n">
        <f aca="false">Motore_Operativo!E203</f>
        <v>7</v>
      </c>
      <c r="F203" s="15" t="n">
        <f aca="false">Motore_Operativo!AQ203+Motore_Operativo!BF203</f>
        <v>12757.7730554662</v>
      </c>
      <c r="G203" s="15" t="n">
        <f aca="false">Motore_Operativo!BH203</f>
        <v>1938.75</v>
      </c>
      <c r="H203" s="15" t="n">
        <f aca="false">Motore_Operativo!BI203</f>
        <v>14696.5230554662</v>
      </c>
      <c r="I203" s="15" t="n">
        <f aca="false">Motore_Operativo!CA203</f>
        <v>56318.6340610986</v>
      </c>
      <c r="J203" s="15" t="n">
        <f aca="false">Motore_Operativo!CC203</f>
        <v>-41622.1110056324</v>
      </c>
      <c r="K203" s="15" t="n">
        <f aca="false">Motore_Operativo!CE203</f>
        <v>2083.33333333333</v>
      </c>
      <c r="L203" s="15" t="n">
        <f aca="false">SUM(INDEX($K$185:$K$244,MAX(1,19-Parametri_v3!$C$59+1)):K203)/Parametri_v3!$C$59</f>
        <v>960.648148148148</v>
      </c>
      <c r="M203" s="15" t="n">
        <f aca="false">J203-L203</f>
        <v>-42582.7591537806</v>
      </c>
      <c r="N203" s="15" t="n">
        <f aca="false">CD203-(CD202)</f>
        <v>0</v>
      </c>
      <c r="O203" s="15" t="n">
        <f aca="false">(BG202)*Ipotesi!$C$110/12+CH203*Parametri_v3!$C$39/12</f>
        <v>750</v>
      </c>
      <c r="P203" s="15" t="n">
        <f aca="false">M203+N203-O203</f>
        <v>-43332.7591537806</v>
      </c>
      <c r="Q203" s="15" t="n">
        <f aca="false">SUM(P197:P203)+Parametri_v3!$C$54*7/12</f>
        <v>-306484.286903206</v>
      </c>
      <c r="R203" s="15" t="n">
        <f aca="false">Z196</f>
        <v>280952.661629333</v>
      </c>
      <c r="S203" s="15" t="n">
        <f aca="false">AA196</f>
        <v>0</v>
      </c>
      <c r="T203" s="15" t="n">
        <f aca="false">MIN(R203,MAX(0,Q203))</f>
        <v>0</v>
      </c>
      <c r="U203" s="15" t="n">
        <f aca="false">MIN(S203,MAX(0,Q203-T203)*Parametri_v3!$C$42)</f>
        <v>0</v>
      </c>
      <c r="V203" s="15" t="n">
        <f aca="false">MAX(0,Q203-T203-U203)*Ipotesi!$C$92</f>
        <v>0</v>
      </c>
      <c r="W203" s="15" t="n">
        <f aca="false">MAX(0,SUM(M197:M203)+Parametri_v3!$C$55*7/12)*Ipotesi!$C$93</f>
        <v>0</v>
      </c>
      <c r="X203" s="15" t="n">
        <f aca="false">V203+W203-(V202+W202)</f>
        <v>0</v>
      </c>
      <c r="Y203" s="15" t="n">
        <f aca="false">P203-X203</f>
        <v>-43332.7591537806</v>
      </c>
      <c r="Z203" s="15" t="n">
        <f aca="false">R203-T203+IF(AND(Parametri_v3!$C$40=1,D203-YEAR(Parametri_v3!$C$50)&lt;Parametri_v3!$C$41),MAX(0,-Q203),0)</f>
        <v>587436.948532539</v>
      </c>
      <c r="AA203" s="15" t="n">
        <f aca="false">S203-U203+IF(AND(Parametri_v3!$C$40=1,D203-YEAR(Parametri_v3!$C$50)&lt;Parametri_v3!$C$41),0,MAX(0,-Q203))</f>
        <v>0</v>
      </c>
      <c r="AB203" s="15" t="n">
        <f aca="false">F203*(1+Parametri_v3!$C$26)</f>
        <v>15564.4831276687</v>
      </c>
      <c r="AC203" s="15" t="n">
        <f aca="false">(IF(19-(INT((Motore_Operativo!L203)/30))&lt;1,0,INDEX(Motore_Startup!$AB$185:$AB$244,MAX(1,19-(INT((Motore_Operativo!L203)/30)))))*(1-(MOD((Motore_Operativo!L203),30)/30))+IF(19-(INT((Motore_Operativo!L203)/30))-1&lt;1,0,INDEX(Motore_Startup!$AB$185:$AB$244,MAX(1,19-(INT((Motore_Operativo!L203)/30))-1)))*(MOD((Motore_Operativo!L203),30)/30))</f>
        <v>14384.7862636404</v>
      </c>
      <c r="AD203" s="15" t="n">
        <f aca="false">(AD202)+AB203-AC203</f>
        <v>60488.8417787338</v>
      </c>
      <c r="AE203" s="15" t="n">
        <f aca="false">Motore_Operativo!BH203*(1+Parametri_v3!$C$26)</f>
        <v>2365.275</v>
      </c>
      <c r="AF203" s="15" t="n">
        <f aca="false">(IF(19-(INT((Parametri_v3!$C$29)/30))&lt;1,0,INDEX(Motore_Operativo!$BH$185:$BH$244,MAX(1,19-(INT((Parametri_v3!$C$29)/30)))))*(1-(MOD((Parametri_v3!$C$29),30)/30))+IF(19-(INT((Parametri_v3!$C$29)/30))-1&lt;1,0,INDEX(Motore_Operativo!$BH$185:$BH$244,MAX(1,19-(INT((Parametri_v3!$C$29)/30))-1)))*(MOD((Parametri_v3!$C$29),30)/30))*(1+Parametri_v3!$C$26)</f>
        <v>2365.275</v>
      </c>
      <c r="AG203" s="15" t="n">
        <f aca="false">(AG202)+AE203-AF203</f>
        <v>2365.275</v>
      </c>
      <c r="AH203" s="15" t="n">
        <f aca="false">(Motore_Operativo!CJ203)*(1+Parametri_v3!$C$27*Parametri_v3!$C$26)</f>
        <v>19652.131130524</v>
      </c>
      <c r="AI203" s="15" t="n">
        <f aca="false">(IF(19-(INT((Ipotesi!$C$91)/30))&lt;1,0,INDEX(Motore_Startup!$AH$185:$AH$244,MAX(1,19-(INT((Ipotesi!$C$91)/30)))))*(1-(MOD((Ipotesi!$C$91),30)/30))+IF(19-(INT((Ipotesi!$C$91)/30))-1&lt;1,0,INDEX(Motore_Startup!$AH$185:$AH$244,MAX(1,19-(INT((Ipotesi!$C$91)/30))-1)))*(MOD((Ipotesi!$C$91),30)/30))</f>
        <v>19571.8132573976</v>
      </c>
      <c r="AJ203" s="15" t="n">
        <f aca="false">(AJ202)+AH203-AI203</f>
        <v>39264.060079636</v>
      </c>
      <c r="AK203" s="15" t="n">
        <f aca="false">(F203+ Motore_Operativo!BH203-(Motore_Operativo!CJ203)*Parametri_v3!$C$27-Motore_Operativo!CE203)*Parametri_v3!$C$26</f>
        <v>-321.095330556217</v>
      </c>
      <c r="AL203" s="15" t="n">
        <f aca="false">MAX(0,(AM202))</f>
        <v>0</v>
      </c>
      <c r="AM203" s="15" t="n">
        <f aca="false">(AM202)+AK203-AL203</f>
        <v>-16867.9578396702</v>
      </c>
      <c r="AN203" s="15" t="n">
        <f aca="false">SUM(X185:X196)</f>
        <v>0</v>
      </c>
      <c r="AO203" s="15" t="n">
        <f aca="false">SUM(AP185:AP196)</f>
        <v>0</v>
      </c>
      <c r="AP203" s="15" t="n">
        <f aca="false">MAX(0,AN203)*IF(7=Parametri_v3!$C$43,Parametri_v3!$C$45,IF(7=Parametri_v3!$C$44,1-Parametri_v3!$C$45,0))</f>
        <v>0</v>
      </c>
      <c r="AQ203" s="15" t="n">
        <f aca="false">MAX(0,AP203+IF(7=Parametri_v3!$C$43,MAX(0,AN203-AO203),0)-MAX(0,-(AR202)))</f>
        <v>0</v>
      </c>
      <c r="AR203" s="15" t="n">
        <f aca="false">(AR202)+X203-AQ203</f>
        <v>0</v>
      </c>
      <c r="AS203" s="15" t="n">
        <f aca="false">Motore_Operativo!AB203-AT203+AU203</f>
        <v>37774.375</v>
      </c>
      <c r="AT203" s="15" t="n">
        <f aca="false">Motore_Operativo!CH203</f>
        <v>1988.125</v>
      </c>
      <c r="AU203" s="15" t="n">
        <f aca="false">MIN(MAX(0,(AV202)+AT203),Parametri_v3!$C$60/12)</f>
        <v>0</v>
      </c>
      <c r="AV203" s="15" t="n">
        <f aca="false">(AV202)+AT203-AU203</f>
        <v>24666.875</v>
      </c>
      <c r="AW203" s="15" t="n">
        <f aca="false">IF(AND(Motore_Operativo!C203=Finanziamenti!$D$6,Finanziamenti!$F$6=1),Finanziamenti!$C$6,0)</f>
        <v>0</v>
      </c>
      <c r="AX203" s="15" t="n">
        <f aca="false">IF(AND(4&lt;&gt;7,4&lt;&gt;9,Finanziamenti!$F$8=1,OR(Parametri_v3!$C$6=0,Finanziamenti!$E$8=1),Motore_Operativo!C203=EDATE(Finanziamenti!$D$8,Ipotesi!F15*12)),Finanziamenti!$C$8*1,0)+IF(AND(4&lt;&gt;7,4&lt;&gt;9,Finanziamenti!$F$9=1,OR(Parametri_v3!$C$6=0,Finanziamenti!$E$9=1),Motore_Operativo!C203=EDATE(Finanziamenti!$D$9,Ipotesi!F15*12)),Finanziamenti!$C$9*Ipotesi!F16,0)</f>
        <v>0</v>
      </c>
      <c r="AY203" s="15" t="n">
        <f aca="false">0</f>
        <v>0</v>
      </c>
      <c r="AZ203" s="15" t="n">
        <f aca="false">Motore_Advisory!AY203*(1-Ipotesi!$C$95)*Ipotesi!$C$96</f>
        <v>0</v>
      </c>
      <c r="BA203" s="15" t="n">
        <f aca="false">MAX(0,MIN(CG203*MIN(1,IF(Motore_Operativo!C203&gt;=EDATE(Finanziamenti!$D$15,Ipotesi!F14*12),Finanziamenti!$C$15,0)+IF(Motore_Operativo!C203&gt;=EDATE(Finanziamenti!$D$16,Ipotesi!F14*12),Finanziamenti!$C$16,0)+IF(Motore_Operativo!C203&gt;=EDATE(Finanziamenti!$D$17,Ipotesi!F14*12),Finanziamenti!$C$17,0)),CA203*Ipotesi!$C$102)-(CC202))</f>
        <v>0</v>
      </c>
      <c r="BB203" s="15" t="n">
        <f aca="false">IF(AND(CF203&gt;0,Motore_Operativo!C203&gt;=IF(CF203=0,0,EDATE(CF203,Parametri_v3!$C$37)),MOD(((D203-YEAR(IF(CF203=0,0,EDATE(CF203,Parametri_v3!$C$37))))*12+E203-MONTH(IF(CF203=0,0,EDATE(CF203,Parametri_v3!$C$37)))),Parametri_v3!$C$38)=0),MIN(MAX(0,(BC202)+BA203-N203),(CC203-CD203)/(Ipotesi!$C$108*12/Parametri_v3!$C$38)),0)</f>
        <v>0</v>
      </c>
      <c r="BC203" s="15" t="n">
        <f aca="false">(BC202)+BA203-N203-BB203</f>
        <v>0</v>
      </c>
      <c r="BD203" s="15" t="n">
        <f aca="false">(BH202)+AC203+AF203-AI203-AS203-K203*(1+Parametri_v3!$C$26)-AL203-AQ203-O203+AW203+AX203+AZ203+BA203-BB203</f>
        <v>-348691.051034269</v>
      </c>
      <c r="BE203" s="15" t="n">
        <f aca="false">MAX(0,MIN(MAX(0,CH203-(BG202)),Parametri_v3!$C$30-BD203))</f>
        <v>0</v>
      </c>
      <c r="BF203" s="15" t="n">
        <f aca="false">IF(Motore_Operativo!C203&gt;=Parametri_v3!$C$63,(BG202),MIN((BG202),MAX(0,BD203-Parametri_v3!$C$30)))</f>
        <v>0</v>
      </c>
      <c r="BG203" s="15" t="n">
        <f aca="false">(BG202)+BE203-BF203</f>
        <v>150000</v>
      </c>
      <c r="BH203" s="15" t="n">
        <f aca="false">BD203+BE203-BF203-AY203</f>
        <v>-348691.051034269</v>
      </c>
      <c r="BI203" s="15" t="n">
        <f aca="false">MAX(0,Parametri_v3!$C$30-BH203)</f>
        <v>373691.051034269</v>
      </c>
      <c r="BJ203" s="15" t="n">
        <f aca="false">(BJ202)+K203</f>
        <v>34583.3333333333</v>
      </c>
      <c r="BK203" s="15" t="n">
        <f aca="false">(BK202)+L203</f>
        <v>9120.37037037037</v>
      </c>
      <c r="BL203" s="15" t="n">
        <f aca="false">BJ203-BK203</f>
        <v>25462.962962963</v>
      </c>
      <c r="BM203" s="15" t="n">
        <f aca="false">(BM202)+Y203</f>
        <v>-587436.948532539</v>
      </c>
      <c r="BN203" s="15" t="n">
        <f aca="false">(BN202)+AW203+AX203+AZ203</f>
        <v>130000</v>
      </c>
      <c r="BO203" s="15" t="n">
        <f aca="false">(BO202)+AY203</f>
        <v>0</v>
      </c>
      <c r="BP203" s="15" t="n">
        <f aca="false">0</f>
        <v>0</v>
      </c>
      <c r="BQ203" s="15" t="n">
        <f aca="false">BN203+BM203-BO203</f>
        <v>-457436.948532539</v>
      </c>
      <c r="BR203" s="15" t="n">
        <f aca="false">BH203+AD203+BL203+MAX(0,-AM203)+MAX(0,-AR203)+AG203</f>
        <v>-243506.013452902</v>
      </c>
      <c r="BS203" s="15" t="n">
        <f aca="false">AJ203+AV203+MAX(0,AM203)+MAX(0,AR203)+BC203+BG203+BQ203</f>
        <v>-243506.013452903</v>
      </c>
      <c r="BT203" s="15" t="n">
        <f aca="false">BR203-BS203</f>
        <v>0</v>
      </c>
      <c r="BU203" s="15" t="n">
        <f aca="false">BH203-(BD203+BE203-BF203-AY203)</f>
        <v>0</v>
      </c>
      <c r="BV203" s="15" t="n">
        <f aca="false">MIN(Piano_SS!$C$6,(BV202)+IF(AND(Motore_Operativo!C203&gt;=EDATE(Parametri_v3!$C$24,Ipotesi!F14*12),Motore_Operativo!C203&lt;EDATE(Parametri_v3!$C$24,Parametri_v3!$C$25+Ipotesi!F14*12)),MAX(0,(Motore_Operativo!Y203+Motore_Operativo!X203*Parametri_v3!$C$14)*(1-Parametri_v3!$C$32))*Piano_SS!$D$6,0))</f>
        <v>12231.25</v>
      </c>
      <c r="BW203" s="15" t="n">
        <f aca="false">MIN(Piano_SS!$C$7,(BW202)+IF(AND(Motore_Operativo!C203&gt;=EDATE(Parametri_v3!$C$24,Ipotesi!F14*12),Motore_Operativo!C203&lt;EDATE(Parametri_v3!$C$24,Parametri_v3!$C$25+Ipotesi!F14*12)),MAX(0,(IF(19-(INT((Ipotesi!$C$91)/30))&lt;1,0,INDEX(Motore_Operativo!$BN$185:$BN$244,MAX(1,19-(INT((Ipotesi!$C$91)/30)))))*(1-(MOD((Ipotesi!$C$91),30)/30))+IF(19-(INT((Ipotesi!$C$91)/30))-1&lt;1,0,INDEX(Motore_Operativo!$BN$185:$BN$244,MAX(1,19-(INT((Ipotesi!$C$91)/30))-1)))*(MOD((Ipotesi!$C$91),30)/30)))*Piano_SS!$D$7,0))</f>
        <v>1385.50636212825</v>
      </c>
      <c r="BX203" s="15" t="n">
        <f aca="false">MIN(Piano_SS!$C$8,(BX202)+IF(AND(Motore_Operativo!C203&gt;=EDATE(Parametri_v3!$C$24,Ipotesi!F14*12),Motore_Operativo!C203&lt;EDATE(Parametri_v3!$C$24,Parametri_v3!$C$25+Ipotesi!F14*12)),MAX(0,Motore_Operativo!CE203)*Piano_SS!$D$8,0))</f>
        <v>2083.33333333333</v>
      </c>
      <c r="BY203" s="15" t="n">
        <f aca="false">MIN(Piano_SS!$C$9,(BY202)+IF(AND(Motore_Operativo!C203&gt;=EDATE(Parametri_v3!$C$24,Ipotesi!F14*12),Motore_Operativo!C203&lt;EDATE(Parametri_v3!$C$24,Parametri_v3!$C$25+Ipotesi!F14*12)),MAX(0,((IF(19-(INT((Ipotesi!$C$91)/30))&lt;1,0,INDEX(Motore_Operativo!$BQ$185:$BQ$244,MAX(1,19-(INT((Ipotesi!$C$91)/30)))))*(1-(MOD((Ipotesi!$C$91),30)/30))+IF(19-(INT((Ipotesi!$C$91)/30))-1&lt;1,0,INDEX(Motore_Operativo!$BQ$185:$BQ$244,MAX(1,19-(INT((Ipotesi!$C$91)/30))-1)))*(MOD((Ipotesi!$C$91),30)/30))+(IF(19-(INT((Ipotesi!$C$91)/30))&lt;1,0,INDEX(Motore_Operativo!$BR$185:$BR$244,MAX(1,19-(INT((Ipotesi!$C$91)/30)))))*(1-(MOD((Ipotesi!$C$91),30)/30))+IF(19-(INT((Ipotesi!$C$91)/30))-1&lt;1,0,INDEX(Motore_Operativo!$BR$185:$BR$244,MAX(1,19-(INT((Ipotesi!$C$91)/30))-1)))*(MOD((Ipotesi!$C$91),30)/30))))*Piano_SS!$D$9,0))</f>
        <v>2916.66666666667</v>
      </c>
      <c r="BZ203" s="15" t="n">
        <f aca="false">MIN(Piano_SS!$C$10,(BZ202)+IF(AND(Motore_Operativo!C203&gt;=EDATE(Parametri_v3!$C$24,Ipotesi!F14*12),Motore_Operativo!C203&lt;EDATE(Parametri_v3!$C$24,Parametri_v3!$C$25+Ipotesi!F14*12)),MAX(0,(IF(19-(INT((Ipotesi!$C$91)/30))&lt;1,0,INDEX(Motore_Operativo!$BO$185:$BO$244,MAX(1,19-(INT((Ipotesi!$C$91)/30)))))*(1-(MOD((Ipotesi!$C$91),30)/30))+IF(19-(INT((Ipotesi!$C$91)/30))-1&lt;1,0,INDEX(Motore_Operativo!$BO$185:$BO$244,MAX(1,19-(INT((Ipotesi!$C$91)/30))-1)))*(MOD((Ipotesi!$C$91),30)/30)))*Piano_SS!$D$10,0))</f>
        <v>1833.33333333333</v>
      </c>
      <c r="CA203" s="15" t="n">
        <f aca="false">SUM(BV203:BZ203)</f>
        <v>20450.0896954616</v>
      </c>
      <c r="CB203" s="15" t="n">
        <f aca="false">BV203*(1-Piano_SS!$E$6)+BW203*(1-Piano_SS!$E$7)+BX203*(1-Piano_SS!$E$8)+BY203*(1-Piano_SS!$E$9)+BZ203*(1-Piano_SS!$E$10)</f>
        <v>18616.7563621283</v>
      </c>
      <c r="CC203" s="15" t="n">
        <f aca="false">(CC202)+BA203</f>
        <v>0</v>
      </c>
      <c r="CD203" s="15" t="n">
        <f aca="false">IF(CA203=0,0,CC203*CB203/CA203*Ipotesi!$C$103*Parametri_v3!$C$64)</f>
        <v>0</v>
      </c>
      <c r="CE203" s="18" t="n">
        <f aca="false">IF(BA203&gt;0,Motore_Operativo!C203,(CE202))</f>
        <v>0</v>
      </c>
      <c r="CF203" s="18" t="n">
        <f aca="false">IF(AND(CC203&gt;0,OR(CC203&gt;=CG203-0.01,Motore_Operativo!C203&gt;=EDATE(MAX(Finanziamenti!$D$15:$D$17),Ipotesi!F14*12))),CE203,0)</f>
        <v>0</v>
      </c>
      <c r="CG203" s="15" t="n">
        <f aca="false">IF(AND(4&lt;&gt;6,4&lt;&gt;9,Finanziamenti!$F$11=1,OR(Parametri_v3!$C$6=0,Finanziamenti!$E$11=1)),MIN(Finanziamenti!$C$11,Piano_SS!$C$12*Ipotesi!$C$102),0)</f>
        <v>400000</v>
      </c>
      <c r="CH203" s="15" t="n">
        <f aca="false">IF(AND(AND(4&lt;&gt;8,4&lt;&gt;9,Finanziamenti!$F$10=1,OR(Parametri_v3!$C$6=0,Finanziamenti!$E$10=1)),Motore_Operativo!C203&gt;=Finanziamenti!$D$10,Motore_Operativo!C203&lt;Parametri_v3!$C$63),Finanziamenti!$C$10,0)</f>
        <v>150000</v>
      </c>
    </row>
    <row r="204" customFormat="false" ht="18" hidden="false" customHeight="true" outlineLevel="0" collapsed="false">
      <c r="A204" s="68" t="n">
        <f aca="false">4</f>
        <v>4</v>
      </c>
      <c r="B204" s="68" t="n">
        <f aca="false">20</f>
        <v>20</v>
      </c>
      <c r="C204" s="18" t="n">
        <f aca="false">Motore_Operativo!C204</f>
        <v>46966</v>
      </c>
      <c r="D204" s="68" t="n">
        <f aca="false">Motore_Operativo!D204</f>
        <v>2028</v>
      </c>
      <c r="E204" s="68" t="n">
        <f aca="false">Motore_Operativo!E204</f>
        <v>8</v>
      </c>
      <c r="F204" s="15" t="n">
        <f aca="false">Motore_Operativo!AQ204+Motore_Operativo!BF204</f>
        <v>13001.0845979369</v>
      </c>
      <c r="G204" s="15" t="n">
        <f aca="false">Motore_Operativo!BH204</f>
        <v>1938.75</v>
      </c>
      <c r="H204" s="15" t="n">
        <f aca="false">Motore_Operativo!BI204</f>
        <v>14939.8345979369</v>
      </c>
      <c r="I204" s="15" t="n">
        <f aca="false">Motore_Operativo!CA204</f>
        <v>56352.6976770445</v>
      </c>
      <c r="J204" s="15" t="n">
        <f aca="false">Motore_Operativo!CC204</f>
        <v>-41412.8630791076</v>
      </c>
      <c r="K204" s="15" t="n">
        <f aca="false">Motore_Operativo!CE204</f>
        <v>2083.33333333333</v>
      </c>
      <c r="L204" s="15" t="n">
        <f aca="false">SUM(INDEX($K$185:$K$244,MAX(1,20-Parametri_v3!$C$59+1)):K204)/Parametri_v3!$C$59</f>
        <v>1018.51851851852</v>
      </c>
      <c r="M204" s="15" t="n">
        <f aca="false">J204-L204</f>
        <v>-42431.3815976262</v>
      </c>
      <c r="N204" s="15" t="n">
        <f aca="false">CD204-(CD203)</f>
        <v>0</v>
      </c>
      <c r="O204" s="15" t="n">
        <f aca="false">(BG203)*Ipotesi!$C$110/12+CH204*Parametri_v3!$C$39/12</f>
        <v>750</v>
      </c>
      <c r="P204" s="15" t="n">
        <f aca="false">M204+N204-O204</f>
        <v>-43181.3815976262</v>
      </c>
      <c r="Q204" s="15" t="n">
        <f aca="false">SUM(P197:P204)+Parametri_v3!$C$54*8/12</f>
        <v>-349665.668500832</v>
      </c>
      <c r="R204" s="15" t="n">
        <f aca="false">Z196</f>
        <v>280952.661629333</v>
      </c>
      <c r="S204" s="15" t="n">
        <f aca="false">AA196</f>
        <v>0</v>
      </c>
      <c r="T204" s="15" t="n">
        <f aca="false">MIN(R204,MAX(0,Q204))</f>
        <v>0</v>
      </c>
      <c r="U204" s="15" t="n">
        <f aca="false">MIN(S204,MAX(0,Q204-T204)*Parametri_v3!$C$42)</f>
        <v>0</v>
      </c>
      <c r="V204" s="15" t="n">
        <f aca="false">MAX(0,Q204-T204-U204)*Ipotesi!$C$92</f>
        <v>0</v>
      </c>
      <c r="W204" s="15" t="n">
        <f aca="false">MAX(0,SUM(M197:M204)+Parametri_v3!$C$55*8/12)*Ipotesi!$C$93</f>
        <v>0</v>
      </c>
      <c r="X204" s="15" t="n">
        <f aca="false">V204+W204-(V203+W203)</f>
        <v>0</v>
      </c>
      <c r="Y204" s="15" t="n">
        <f aca="false">P204-X204</f>
        <v>-43181.3815976262</v>
      </c>
      <c r="Z204" s="15" t="n">
        <f aca="false">R204-T204+IF(AND(Parametri_v3!$C$40=1,D204-YEAR(Parametri_v3!$C$50)&lt;Parametri_v3!$C$41),MAX(0,-Q204),0)</f>
        <v>630618.330130165</v>
      </c>
      <c r="AA204" s="15" t="n">
        <f aca="false">S204-U204+IF(AND(Parametri_v3!$C$40=1,D204-YEAR(Parametri_v3!$C$50)&lt;Parametri_v3!$C$41),0,MAX(0,-Q204))</f>
        <v>0</v>
      </c>
      <c r="AB204" s="15" t="n">
        <f aca="false">F204*(1+Parametri_v3!$C$26)</f>
        <v>15861.323209483</v>
      </c>
      <c r="AC204" s="15" t="n">
        <f aca="false">(IF(20-(INT((Motore_Operativo!L204)/30))&lt;1,0,INDEX(Motore_Startup!$AB$185:$AB$244,MAX(1,20-(INT((Motore_Operativo!L204)/30)))))*(1-(MOD((Motore_Operativo!L204),30)/30))+IF(20-(INT((Motore_Operativo!L204)/30))-1&lt;1,0,INDEX(Motore_Startup!$AB$185:$AB$244,MAX(1,20-(INT((Motore_Operativo!L204)/30))-1)))*(MOD((Motore_Operativo!L204),30)/30))</f>
        <v>14680.1827828802</v>
      </c>
      <c r="AD204" s="15" t="n">
        <f aca="false">(AD203)+AB204-AC204</f>
        <v>61669.9822053365</v>
      </c>
      <c r="AE204" s="15" t="n">
        <f aca="false">Motore_Operativo!BH204*(1+Parametri_v3!$C$26)</f>
        <v>2365.275</v>
      </c>
      <c r="AF204" s="15" t="n">
        <f aca="false">(IF(20-(INT((Parametri_v3!$C$29)/30))&lt;1,0,INDEX(Motore_Operativo!$BH$185:$BH$244,MAX(1,20-(INT((Parametri_v3!$C$29)/30)))))*(1-(MOD((Parametri_v3!$C$29),30)/30))+IF(20-(INT((Parametri_v3!$C$29)/30))-1&lt;1,0,INDEX(Motore_Operativo!$BH$185:$BH$244,MAX(1,20-(INT((Parametri_v3!$C$29)/30))-1)))*(MOD((Parametri_v3!$C$29),30)/30))*(1+Parametri_v3!$C$26)</f>
        <v>2365.275</v>
      </c>
      <c r="AG204" s="15" t="n">
        <f aca="false">(AG203)+AE204-AF204</f>
        <v>2365.275</v>
      </c>
      <c r="AH204" s="15" t="n">
        <f aca="false">(Motore_Operativo!CJ204)*(1+Parametri_v3!$C$27*Parametri_v3!$C$26)</f>
        <v>19692.5646426518</v>
      </c>
      <c r="AI204" s="15" t="n">
        <f aca="false">(IF(20-(INT((Ipotesi!$C$91)/30))&lt;1,0,INDEX(Motore_Startup!$AH$185:$AH$244,MAX(1,20-(INT((Ipotesi!$C$91)/30)))))*(1-(MOD((Ipotesi!$C$91),30)/30))+IF(20-(INT((Ipotesi!$C$91)/30))-1&lt;1,0,INDEX(Motore_Startup!$AH$185:$AH$244,MAX(1,20-(INT((Ipotesi!$C$91)/30))-1)))*(MOD((Ipotesi!$C$91),30)/30))</f>
        <v>19611.928949112</v>
      </c>
      <c r="AJ204" s="15" t="n">
        <f aca="false">(AJ203)+AH204-AI204</f>
        <v>39344.6957731758</v>
      </c>
      <c r="AK204" s="15" t="n">
        <f aca="false">(F204+ Motore_Operativo!BH204-(Motore_Operativo!CJ204)*Parametri_v3!$C$27-Motore_Operativo!CE204)*Parametri_v3!$C$26</f>
        <v>-273.936687394544</v>
      </c>
      <c r="AL204" s="15" t="n">
        <f aca="false">MAX(0,(AM203))</f>
        <v>0</v>
      </c>
      <c r="AM204" s="15" t="n">
        <f aca="false">(AM203)+AK204-AL204</f>
        <v>-17141.8945270648</v>
      </c>
      <c r="AN204" s="15" t="n">
        <f aca="false">SUM(X185:X196)</f>
        <v>0</v>
      </c>
      <c r="AO204" s="15" t="n">
        <f aca="false">SUM(AP185:AP196)</f>
        <v>0</v>
      </c>
      <c r="AP204" s="15" t="n">
        <f aca="false">MAX(0,AN204)*IF(8=Parametri_v3!$C$43,Parametri_v3!$C$45,IF(8=Parametri_v3!$C$44,1-Parametri_v3!$C$45,0))</f>
        <v>0</v>
      </c>
      <c r="AQ204" s="15" t="n">
        <f aca="false">MAX(0,AP204+IF(8=Parametri_v3!$C$43,MAX(0,AN204-AO204),0)-MAX(0,-(AR203)))</f>
        <v>0</v>
      </c>
      <c r="AR204" s="15" t="n">
        <f aca="false">(AR203)+X204-AQ204</f>
        <v>0</v>
      </c>
      <c r="AS204" s="15" t="n">
        <f aca="false">Motore_Operativo!AB204-AT204+AU204</f>
        <v>37774.375</v>
      </c>
      <c r="AT204" s="15" t="n">
        <f aca="false">Motore_Operativo!CH204</f>
        <v>1988.125</v>
      </c>
      <c r="AU204" s="15" t="n">
        <f aca="false">MIN(MAX(0,(AV203)+AT204),Parametri_v3!$C$60/12)</f>
        <v>0</v>
      </c>
      <c r="AV204" s="15" t="n">
        <f aca="false">(AV203)+AT204-AU204</f>
        <v>26655</v>
      </c>
      <c r="AW204" s="15" t="n">
        <f aca="false">IF(AND(Motore_Operativo!C204=Finanziamenti!$D$6,Finanziamenti!$F$6=1),Finanziamenti!$C$6,0)</f>
        <v>0</v>
      </c>
      <c r="AX204" s="15" t="n">
        <f aca="false">IF(AND(4&lt;&gt;7,4&lt;&gt;9,Finanziamenti!$F$8=1,OR(Parametri_v3!$C$6=0,Finanziamenti!$E$8=1),Motore_Operativo!C204=EDATE(Finanziamenti!$D$8,Ipotesi!F15*12)),Finanziamenti!$C$8*1,0)+IF(AND(4&lt;&gt;7,4&lt;&gt;9,Finanziamenti!$F$9=1,OR(Parametri_v3!$C$6=0,Finanziamenti!$E$9=1),Motore_Operativo!C204=EDATE(Finanziamenti!$D$9,Ipotesi!F15*12)),Finanziamenti!$C$9*Ipotesi!F16,0)</f>
        <v>0</v>
      </c>
      <c r="AY204" s="15" t="n">
        <f aca="false">0</f>
        <v>0</v>
      </c>
      <c r="AZ204" s="15" t="n">
        <f aca="false">Motore_Advisory!AY204*(1-Ipotesi!$C$95)*Ipotesi!$C$96</f>
        <v>0</v>
      </c>
      <c r="BA204" s="15" t="n">
        <f aca="false">MAX(0,MIN(CG204*MIN(1,IF(Motore_Operativo!C204&gt;=EDATE(Finanziamenti!$D$15,Ipotesi!F14*12),Finanziamenti!$C$15,0)+IF(Motore_Operativo!C204&gt;=EDATE(Finanziamenti!$D$16,Ipotesi!F14*12),Finanziamenti!$C$16,0)+IF(Motore_Operativo!C204&gt;=EDATE(Finanziamenti!$D$17,Ipotesi!F14*12),Finanziamenti!$C$17,0)),CA204*Ipotesi!$C$102)-(CC203))</f>
        <v>0</v>
      </c>
      <c r="BB204" s="15" t="n">
        <f aca="false">IF(AND(CF204&gt;0,Motore_Operativo!C204&gt;=IF(CF204=0,0,EDATE(CF204,Parametri_v3!$C$37)),MOD(((D204-YEAR(IF(CF204=0,0,EDATE(CF204,Parametri_v3!$C$37))))*12+E204-MONTH(IF(CF204=0,0,EDATE(CF204,Parametri_v3!$C$37)))),Parametri_v3!$C$38)=0),MIN(MAX(0,(BC203)+BA204-N204),(CC204-CD204)/(Ipotesi!$C$108*12/Parametri_v3!$C$38)),0)</f>
        <v>0</v>
      </c>
      <c r="BC204" s="15" t="n">
        <f aca="false">(BC203)+BA204-N204-BB204</f>
        <v>0</v>
      </c>
      <c r="BD204" s="15" t="n">
        <f aca="false">(BH203)+AC204+AF204-AI204-AS204-K204*(1+Parametri_v3!$C$26)-AL204-AQ204-O204+AW204+AX204+AZ204+BA204-BB204</f>
        <v>-392323.563867168</v>
      </c>
      <c r="BE204" s="15" t="n">
        <f aca="false">MAX(0,MIN(MAX(0,CH204-(BG203)),Parametri_v3!$C$30-BD204))</f>
        <v>0</v>
      </c>
      <c r="BF204" s="15" t="n">
        <f aca="false">IF(Motore_Operativo!C204&gt;=Parametri_v3!$C$63,(BG203),MIN((BG203),MAX(0,BD204-Parametri_v3!$C$30)))</f>
        <v>0</v>
      </c>
      <c r="BG204" s="15" t="n">
        <f aca="false">(BG203)+BE204-BF204</f>
        <v>150000</v>
      </c>
      <c r="BH204" s="15" t="n">
        <f aca="false">BD204+BE204-BF204-AY204</f>
        <v>-392323.563867168</v>
      </c>
      <c r="BI204" s="15" t="n">
        <f aca="false">MAX(0,Parametri_v3!$C$30-BH204)</f>
        <v>417323.563867168</v>
      </c>
      <c r="BJ204" s="15" t="n">
        <f aca="false">(BJ203)+K204</f>
        <v>36666.6666666667</v>
      </c>
      <c r="BK204" s="15" t="n">
        <f aca="false">(BK203)+L204</f>
        <v>10138.8888888889</v>
      </c>
      <c r="BL204" s="15" t="n">
        <f aca="false">BJ204-BK204</f>
        <v>26527.7777777778</v>
      </c>
      <c r="BM204" s="15" t="n">
        <f aca="false">(BM203)+Y204</f>
        <v>-630618.330130165</v>
      </c>
      <c r="BN204" s="15" t="n">
        <f aca="false">(BN203)+AW204+AX204+AZ204</f>
        <v>130000</v>
      </c>
      <c r="BO204" s="15" t="n">
        <f aca="false">(BO203)+AY204</f>
        <v>0</v>
      </c>
      <c r="BP204" s="15" t="n">
        <f aca="false">0</f>
        <v>0</v>
      </c>
      <c r="BQ204" s="15" t="n">
        <f aca="false">BN204+BM204-BO204</f>
        <v>-500618.330130165</v>
      </c>
      <c r="BR204" s="15" t="n">
        <f aca="false">BH204+AD204+BL204+MAX(0,-AM204)+MAX(0,-AR204)+AG204</f>
        <v>-284618.634356989</v>
      </c>
      <c r="BS204" s="15" t="n">
        <f aca="false">AJ204+AV204+MAX(0,AM204)+MAX(0,AR204)+BC204+BG204+BQ204</f>
        <v>-284618.634356989</v>
      </c>
      <c r="BT204" s="15" t="n">
        <f aca="false">BR204-BS204</f>
        <v>0</v>
      </c>
      <c r="BU204" s="15" t="n">
        <f aca="false">BH204-(BD204+BE204-BF204-AY204)</f>
        <v>0</v>
      </c>
      <c r="BV204" s="15" t="n">
        <f aca="false">MIN(Piano_SS!$C$6,(BV203)+IF(AND(Motore_Operativo!C204&gt;=EDATE(Parametri_v3!$C$24,Ipotesi!F14*12),Motore_Operativo!C204&lt;EDATE(Parametri_v3!$C$24,Parametri_v3!$C$25+Ipotesi!F14*12)),MAX(0,(Motore_Operativo!Y204+Motore_Operativo!X204*Parametri_v3!$C$14)*(1-Parametri_v3!$C$32))*Piano_SS!$D$6,0))</f>
        <v>24462.5</v>
      </c>
      <c r="BW204" s="15" t="n">
        <f aca="false">MIN(Piano_SS!$C$7,(BW203)+IF(AND(Motore_Operativo!C204&gt;=EDATE(Parametri_v3!$C$24,Ipotesi!F14*12),Motore_Operativo!C204&lt;EDATE(Parametri_v3!$C$24,Parametri_v3!$C$25+Ipotesi!F14*12)),MAX(0,(IF(20-(INT((Ipotesi!$C$91)/30))&lt;1,0,INDEX(Motore_Operativo!$BN$185:$BN$244,MAX(1,20-(INT((Ipotesi!$C$91)/30)))))*(1-(MOD((Ipotesi!$C$91),30)/30))+IF(20-(INT((Ipotesi!$C$91)/30))-1&lt;1,0,INDEX(Motore_Operativo!$BN$185:$BN$244,MAX(1,20-(INT((Ipotesi!$C$91)/30))-1)))*(MOD((Ipotesi!$C$91),30)/30)))*Piano_SS!$D$7,0))</f>
        <v>2790.32464709409</v>
      </c>
      <c r="BX204" s="15" t="n">
        <f aca="false">MIN(Piano_SS!$C$8,(BX203)+IF(AND(Motore_Operativo!C204&gt;=EDATE(Parametri_v3!$C$24,Ipotesi!F14*12),Motore_Operativo!C204&lt;EDATE(Parametri_v3!$C$24,Parametri_v3!$C$25+Ipotesi!F14*12)),MAX(0,Motore_Operativo!CE204)*Piano_SS!$D$8,0))</f>
        <v>4166.66666666667</v>
      </c>
      <c r="BY204" s="15" t="n">
        <f aca="false">MIN(Piano_SS!$C$9,(BY203)+IF(AND(Motore_Operativo!C204&gt;=EDATE(Parametri_v3!$C$24,Ipotesi!F14*12),Motore_Operativo!C204&lt;EDATE(Parametri_v3!$C$24,Parametri_v3!$C$25+Ipotesi!F14*12)),MAX(0,((IF(20-(INT((Ipotesi!$C$91)/30))&lt;1,0,INDEX(Motore_Operativo!$BQ$185:$BQ$244,MAX(1,20-(INT((Ipotesi!$C$91)/30)))))*(1-(MOD((Ipotesi!$C$91),30)/30))+IF(20-(INT((Ipotesi!$C$91)/30))-1&lt;1,0,INDEX(Motore_Operativo!$BQ$185:$BQ$244,MAX(1,20-(INT((Ipotesi!$C$91)/30))-1)))*(MOD((Ipotesi!$C$91),30)/30))+(IF(20-(INT((Ipotesi!$C$91)/30))&lt;1,0,INDEX(Motore_Operativo!$BR$185:$BR$244,MAX(1,20-(INT((Ipotesi!$C$91)/30)))))*(1-(MOD((Ipotesi!$C$91),30)/30))+IF(20-(INT((Ipotesi!$C$91)/30))-1&lt;1,0,INDEX(Motore_Operativo!$BR$185:$BR$244,MAX(1,20-(INT((Ipotesi!$C$91)/30))-1)))*(MOD((Ipotesi!$C$91),30)/30))))*Piano_SS!$D$9,0))</f>
        <v>5833.33333333333</v>
      </c>
      <c r="BZ204" s="15" t="n">
        <f aca="false">MIN(Piano_SS!$C$10,(BZ203)+IF(AND(Motore_Operativo!C204&gt;=EDATE(Parametri_v3!$C$24,Ipotesi!F14*12),Motore_Operativo!C204&lt;EDATE(Parametri_v3!$C$24,Parametri_v3!$C$25+Ipotesi!F14*12)),MAX(0,(IF(20-(INT((Ipotesi!$C$91)/30))&lt;1,0,INDEX(Motore_Operativo!$BO$185:$BO$244,MAX(1,20-(INT((Ipotesi!$C$91)/30)))))*(1-(MOD((Ipotesi!$C$91),30)/30))+IF(20-(INT((Ipotesi!$C$91)/30))-1&lt;1,0,INDEX(Motore_Operativo!$BO$185:$BO$244,MAX(1,20-(INT((Ipotesi!$C$91)/30))-1)))*(MOD((Ipotesi!$C$91),30)/30)))*Piano_SS!$D$10,0))</f>
        <v>3666.66666666667</v>
      </c>
      <c r="CA204" s="15" t="n">
        <f aca="false">SUM(BV204:BZ204)</f>
        <v>40919.4913137608</v>
      </c>
      <c r="CB204" s="15" t="n">
        <f aca="false">BV204*(1-Piano_SS!$E$6)+BW204*(1-Piano_SS!$E$7)+BX204*(1-Piano_SS!$E$8)+BY204*(1-Piano_SS!$E$9)+BZ204*(1-Piano_SS!$E$10)</f>
        <v>37252.8246470941</v>
      </c>
      <c r="CC204" s="15" t="n">
        <f aca="false">(CC203)+BA204</f>
        <v>0</v>
      </c>
      <c r="CD204" s="15" t="n">
        <f aca="false">IF(CA204=0,0,CC204*CB204/CA204*Ipotesi!$C$103*Parametri_v3!$C$64)</f>
        <v>0</v>
      </c>
      <c r="CE204" s="18" t="n">
        <f aca="false">IF(BA204&gt;0,Motore_Operativo!C204,(CE203))</f>
        <v>0</v>
      </c>
      <c r="CF204" s="18" t="n">
        <f aca="false">IF(AND(CC204&gt;0,OR(CC204&gt;=CG204-0.01,Motore_Operativo!C204&gt;=EDATE(MAX(Finanziamenti!$D$15:$D$17),Ipotesi!F14*12))),CE204,0)</f>
        <v>0</v>
      </c>
      <c r="CG204" s="15" t="n">
        <f aca="false">IF(AND(4&lt;&gt;6,4&lt;&gt;9,Finanziamenti!$F$11=1,OR(Parametri_v3!$C$6=0,Finanziamenti!$E$11=1)),MIN(Finanziamenti!$C$11,Piano_SS!$C$12*Ipotesi!$C$102),0)</f>
        <v>400000</v>
      </c>
      <c r="CH204" s="15" t="n">
        <f aca="false">IF(AND(AND(4&lt;&gt;8,4&lt;&gt;9,Finanziamenti!$F$10=1,OR(Parametri_v3!$C$6=0,Finanziamenti!$E$10=1)),Motore_Operativo!C204&gt;=Finanziamenti!$D$10,Motore_Operativo!C204&lt;Parametri_v3!$C$63),Finanziamenti!$C$10,0)</f>
        <v>150000</v>
      </c>
    </row>
    <row r="205" customFormat="false" ht="18" hidden="false" customHeight="true" outlineLevel="0" collapsed="false">
      <c r="A205" s="68" t="n">
        <f aca="false">4</f>
        <v>4</v>
      </c>
      <c r="B205" s="68" t="n">
        <f aca="false">21</f>
        <v>21</v>
      </c>
      <c r="C205" s="18" t="n">
        <f aca="false">Motore_Operativo!C205</f>
        <v>46997</v>
      </c>
      <c r="D205" s="68" t="n">
        <f aca="false">Motore_Operativo!D205</f>
        <v>2028</v>
      </c>
      <c r="E205" s="68" t="n">
        <f aca="false">Motore_Operativo!E205</f>
        <v>9</v>
      </c>
      <c r="F205" s="15" t="n">
        <f aca="false">Motore_Operativo!AQ205+Motore_Operativo!BF205</f>
        <v>13247.0566071629</v>
      </c>
      <c r="G205" s="15" t="n">
        <f aca="false">Motore_Operativo!BH205</f>
        <v>1938.75</v>
      </c>
      <c r="H205" s="15" t="n">
        <f aca="false">Motore_Operativo!BI205</f>
        <v>15185.8066071629</v>
      </c>
      <c r="I205" s="15" t="n">
        <f aca="false">Motore_Operativo!CA205</f>
        <v>56387.1337583361</v>
      </c>
      <c r="J205" s="15" t="n">
        <f aca="false">Motore_Operativo!CC205</f>
        <v>-41201.3271511732</v>
      </c>
      <c r="K205" s="15" t="n">
        <f aca="false">Motore_Operativo!CE205</f>
        <v>2083.33333333333</v>
      </c>
      <c r="L205" s="15" t="n">
        <f aca="false">SUM(INDEX($K$185:$K$244,MAX(1,21-Parametri_v3!$C$59+1)):K205)/Parametri_v3!$C$59</f>
        <v>1076.38888888889</v>
      </c>
      <c r="M205" s="15" t="n">
        <f aca="false">J205-L205</f>
        <v>-42277.7160400621</v>
      </c>
      <c r="N205" s="15" t="n">
        <f aca="false">CD205-(CD204)</f>
        <v>0</v>
      </c>
      <c r="O205" s="15" t="n">
        <f aca="false">(BG204)*Ipotesi!$C$110/12+CH205*Parametri_v3!$C$39/12</f>
        <v>750</v>
      </c>
      <c r="P205" s="15" t="n">
        <f aca="false">M205+N205-O205</f>
        <v>-43027.7160400621</v>
      </c>
      <c r="Q205" s="15" t="n">
        <f aca="false">SUM(P197:P205)+Parametri_v3!$C$54*9/12</f>
        <v>-392693.384540894</v>
      </c>
      <c r="R205" s="15" t="n">
        <f aca="false">Z196</f>
        <v>280952.661629333</v>
      </c>
      <c r="S205" s="15" t="n">
        <f aca="false">AA196</f>
        <v>0</v>
      </c>
      <c r="T205" s="15" t="n">
        <f aca="false">MIN(R205,MAX(0,Q205))</f>
        <v>0</v>
      </c>
      <c r="U205" s="15" t="n">
        <f aca="false">MIN(S205,MAX(0,Q205-T205)*Parametri_v3!$C$42)</f>
        <v>0</v>
      </c>
      <c r="V205" s="15" t="n">
        <f aca="false">MAX(0,Q205-T205-U205)*Ipotesi!$C$92</f>
        <v>0</v>
      </c>
      <c r="W205" s="15" t="n">
        <f aca="false">MAX(0,SUM(M197:M205)+Parametri_v3!$C$55*9/12)*Ipotesi!$C$93</f>
        <v>0</v>
      </c>
      <c r="X205" s="15" t="n">
        <f aca="false">V205+W205-(V204+W204)</f>
        <v>0</v>
      </c>
      <c r="Y205" s="15" t="n">
        <f aca="false">P205-X205</f>
        <v>-43027.7160400621</v>
      </c>
      <c r="Z205" s="15" t="n">
        <f aca="false">R205-T205+IF(AND(Parametri_v3!$C$40=1,D205-YEAR(Parametri_v3!$C$50)&lt;Parametri_v3!$C$41),MAX(0,-Q205),0)</f>
        <v>673646.046170227</v>
      </c>
      <c r="AA205" s="15" t="n">
        <f aca="false">S205-U205+IF(AND(Parametri_v3!$C$40=1,D205-YEAR(Parametri_v3!$C$50)&lt;Parametri_v3!$C$41),0,MAX(0,-Q205))</f>
        <v>0</v>
      </c>
      <c r="AB205" s="15" t="n">
        <f aca="false">F205*(1+Parametri_v3!$C$26)</f>
        <v>16161.4090607388</v>
      </c>
      <c r="AC205" s="15" t="n">
        <f aca="false">(IF(21-(INT((Motore_Operativo!L205)/30))&lt;1,0,INDEX(Motore_Startup!$AB$185:$AB$244,MAX(1,21-(INT((Motore_Operativo!L205)/30)))))*(1-(MOD((Motore_Operativo!L205),30)/30))+IF(21-(INT((Motore_Operativo!L205)/30))-1&lt;1,0,INDEX(Motore_Startup!$AB$185:$AB$244,MAX(1,21-(INT((Motore_Operativo!L205)/30))-1)))*(MOD((Motore_Operativo!L205),30)/30))</f>
        <v>14974.8345224558</v>
      </c>
      <c r="AD205" s="15" t="n">
        <f aca="false">(AD204)+AB205-AC205</f>
        <v>62856.5567436195</v>
      </c>
      <c r="AE205" s="15" t="n">
        <f aca="false">Motore_Operativo!BH205*(1+Parametri_v3!$C$26)</f>
        <v>2365.275</v>
      </c>
      <c r="AF205" s="15" t="n">
        <f aca="false">(IF(21-(INT((Parametri_v3!$C$29)/30))&lt;1,0,INDEX(Motore_Operativo!$BH$185:$BH$244,MAX(1,21-(INT((Parametri_v3!$C$29)/30)))))*(1-(MOD((Parametri_v3!$C$29),30)/30))+IF(21-(INT((Parametri_v3!$C$29)/30))-1&lt;1,0,INDEX(Motore_Operativo!$BH$185:$BH$244,MAX(1,21-(INT((Parametri_v3!$C$29)/30))-1)))*(MOD((Parametri_v3!$C$29),30)/30))*(1+Parametri_v3!$C$26)</f>
        <v>2365.275</v>
      </c>
      <c r="AG205" s="15" t="n">
        <f aca="false">(AG204)+AE205-AF205</f>
        <v>2365.275</v>
      </c>
      <c r="AH205" s="15" t="n">
        <f aca="false">(Motore_Operativo!CJ205)*(1+Parametri_v3!$C$27*Parametri_v3!$C$26)</f>
        <v>19733.440271145</v>
      </c>
      <c r="AI205" s="15" t="n">
        <f aca="false">(IF(21-(INT((Ipotesi!$C$91)/30))&lt;1,0,INDEX(Motore_Startup!$AH$185:$AH$244,MAX(1,21-(INT((Ipotesi!$C$91)/30)))))*(1-(MOD((Ipotesi!$C$91),30)/30))+IF(21-(INT((Ipotesi!$C$91)/30))-1&lt;1,0,INDEX(Motore_Startup!$AH$185:$AH$244,MAX(1,21-(INT((Ipotesi!$C$91)/30))-1)))*(MOD((Ipotesi!$C$91),30)/30))</f>
        <v>19652.131130524</v>
      </c>
      <c r="AJ205" s="15" t="n">
        <f aca="false">(AJ204)+AH205-AI205</f>
        <v>39426.0049137968</v>
      </c>
      <c r="AK205" s="15" t="n">
        <f aca="false">(F205+ Motore_Operativo!BH205-(Motore_Operativo!CJ205)*Parametri_v3!$C$27-Motore_Operativo!CE205)*Parametri_v3!$C$26</f>
        <v>-226.26239256635</v>
      </c>
      <c r="AL205" s="15" t="n">
        <f aca="false">MAX(0,(AM204))</f>
        <v>0</v>
      </c>
      <c r="AM205" s="15" t="n">
        <f aca="false">(AM204)+AK205-AL205</f>
        <v>-17368.1569196311</v>
      </c>
      <c r="AN205" s="15" t="n">
        <f aca="false">SUM(X185:X196)</f>
        <v>0</v>
      </c>
      <c r="AO205" s="15" t="n">
        <f aca="false">SUM(AP185:AP196)</f>
        <v>0</v>
      </c>
      <c r="AP205" s="15" t="n">
        <f aca="false">MAX(0,AN205)*IF(9=Parametri_v3!$C$43,Parametri_v3!$C$45,IF(9=Parametri_v3!$C$44,1-Parametri_v3!$C$45,0))</f>
        <v>0</v>
      </c>
      <c r="AQ205" s="15" t="n">
        <f aca="false">MAX(0,AP205+IF(9=Parametri_v3!$C$43,MAX(0,AN205-AO205),0)-MAX(0,-(AR204)))</f>
        <v>0</v>
      </c>
      <c r="AR205" s="15" t="n">
        <f aca="false">(AR204)+X205-AQ205</f>
        <v>0</v>
      </c>
      <c r="AS205" s="15" t="n">
        <f aca="false">Motore_Operativo!AB205-AT205+AU205</f>
        <v>37774.375</v>
      </c>
      <c r="AT205" s="15" t="n">
        <f aca="false">Motore_Operativo!CH205</f>
        <v>1988.125</v>
      </c>
      <c r="AU205" s="15" t="n">
        <f aca="false">MIN(MAX(0,(AV204)+AT205),Parametri_v3!$C$60/12)</f>
        <v>0</v>
      </c>
      <c r="AV205" s="15" t="n">
        <f aca="false">(AV204)+AT205-AU205</f>
        <v>28643.125</v>
      </c>
      <c r="AW205" s="15" t="n">
        <f aca="false">IF(AND(Motore_Operativo!C205=Finanziamenti!$D$6,Finanziamenti!$F$6=1),Finanziamenti!$C$6,0)</f>
        <v>0</v>
      </c>
      <c r="AX205" s="15" t="n">
        <f aca="false">IF(AND(4&lt;&gt;7,4&lt;&gt;9,Finanziamenti!$F$8=1,OR(Parametri_v3!$C$6=0,Finanziamenti!$E$8=1),Motore_Operativo!C205=EDATE(Finanziamenti!$D$8,Ipotesi!F15*12)),Finanziamenti!$C$8*1,0)+IF(AND(4&lt;&gt;7,4&lt;&gt;9,Finanziamenti!$F$9=1,OR(Parametri_v3!$C$6=0,Finanziamenti!$E$9=1),Motore_Operativo!C205=EDATE(Finanziamenti!$D$9,Ipotesi!F15*12)),Finanziamenti!$C$9*Ipotesi!F16,0)</f>
        <v>0</v>
      </c>
      <c r="AY205" s="15" t="n">
        <f aca="false">0</f>
        <v>0</v>
      </c>
      <c r="AZ205" s="15" t="n">
        <f aca="false">Motore_Advisory!AY205*(1-Ipotesi!$C$95)*Ipotesi!$C$96</f>
        <v>0</v>
      </c>
      <c r="BA205" s="15" t="n">
        <f aca="false">MAX(0,MIN(CG205*MIN(1,IF(Motore_Operativo!C205&gt;=EDATE(Finanziamenti!$D$15,Ipotesi!F14*12),Finanziamenti!$C$15,0)+IF(Motore_Operativo!C205&gt;=EDATE(Finanziamenti!$D$16,Ipotesi!F14*12),Finanziamenti!$C$16,0)+IF(Motore_Operativo!C205&gt;=EDATE(Finanziamenti!$D$17,Ipotesi!F14*12),Finanziamenti!$C$17,0)),CA205*Ipotesi!$C$102)-(CC204))</f>
        <v>0</v>
      </c>
      <c r="BB205" s="15" t="n">
        <f aca="false">IF(AND(CF205&gt;0,Motore_Operativo!C205&gt;=IF(CF205=0,0,EDATE(CF205,Parametri_v3!$C$37)),MOD(((D205-YEAR(IF(CF205=0,0,EDATE(CF205,Parametri_v3!$C$37))))*12+E205-MONTH(IF(CF205=0,0,EDATE(CF205,Parametri_v3!$C$37)))),Parametri_v3!$C$38)=0),MIN(MAX(0,(BC204)+BA205-N205),(CC205-CD205)/(Ipotesi!$C$108*12/Parametri_v3!$C$38)),0)</f>
        <v>0</v>
      </c>
      <c r="BC205" s="15" t="n">
        <f aca="false">(BC204)+BA205-N205-BB205</f>
        <v>0</v>
      </c>
      <c r="BD205" s="15" t="n">
        <f aca="false">(BH204)+AC205+AF205-AI205-AS205-K205*(1+Parametri_v3!$C$26)-AL205-AQ205-O205+AW205+AX205+AZ205+BA205-BB205</f>
        <v>-435701.627141903</v>
      </c>
      <c r="BE205" s="15" t="n">
        <f aca="false">MAX(0,MIN(MAX(0,CH205-(BG204)),Parametri_v3!$C$30-BD205))</f>
        <v>0</v>
      </c>
      <c r="BF205" s="15" t="n">
        <f aca="false">IF(Motore_Operativo!C205&gt;=Parametri_v3!$C$63,(BG204),MIN((BG204),MAX(0,BD205-Parametri_v3!$C$30)))</f>
        <v>0</v>
      </c>
      <c r="BG205" s="15" t="n">
        <f aca="false">(BG204)+BE205-BF205</f>
        <v>150000</v>
      </c>
      <c r="BH205" s="15" t="n">
        <f aca="false">BD205+BE205-BF205-AY205</f>
        <v>-435701.627141903</v>
      </c>
      <c r="BI205" s="15" t="n">
        <f aca="false">MAX(0,Parametri_v3!$C$30-BH205)</f>
        <v>460701.627141903</v>
      </c>
      <c r="BJ205" s="15" t="n">
        <f aca="false">(BJ204)+K205</f>
        <v>38750</v>
      </c>
      <c r="BK205" s="15" t="n">
        <f aca="false">(BK204)+L205</f>
        <v>11215.2777777778</v>
      </c>
      <c r="BL205" s="15" t="n">
        <f aca="false">BJ205-BK205</f>
        <v>27534.7222222222</v>
      </c>
      <c r="BM205" s="15" t="n">
        <f aca="false">(BM204)+Y205</f>
        <v>-673646.046170227</v>
      </c>
      <c r="BN205" s="15" t="n">
        <f aca="false">(BN204)+AW205+AX205+AZ205</f>
        <v>130000</v>
      </c>
      <c r="BO205" s="15" t="n">
        <f aca="false">(BO204)+AY205</f>
        <v>0</v>
      </c>
      <c r="BP205" s="15" t="n">
        <f aca="false">0</f>
        <v>0</v>
      </c>
      <c r="BQ205" s="15" t="n">
        <f aca="false">BN205+BM205-BO205</f>
        <v>-543646.046170227</v>
      </c>
      <c r="BR205" s="15" t="n">
        <f aca="false">BH205+AD205+BL205+MAX(0,-AM205)+MAX(0,-AR205)+AG205</f>
        <v>-325576.91625643</v>
      </c>
      <c r="BS205" s="15" t="n">
        <f aca="false">AJ205+AV205+MAX(0,AM205)+MAX(0,AR205)+BC205+BG205+BQ205</f>
        <v>-325576.91625643</v>
      </c>
      <c r="BT205" s="15" t="n">
        <f aca="false">BR205-BS205</f>
        <v>0</v>
      </c>
      <c r="BU205" s="15" t="n">
        <f aca="false">BH205-(BD205+BE205-BF205-AY205)</f>
        <v>0</v>
      </c>
      <c r="BV205" s="15" t="n">
        <f aca="false">MIN(Piano_SS!$C$6,(BV204)+IF(AND(Motore_Operativo!C205&gt;=EDATE(Parametri_v3!$C$24,Ipotesi!F14*12),Motore_Operativo!C205&lt;EDATE(Parametri_v3!$C$24,Parametri_v3!$C$25+Ipotesi!F14*12)),MAX(0,(Motore_Operativo!Y205+Motore_Operativo!X205*Parametri_v3!$C$14)*(1-Parametri_v3!$C$32))*Piano_SS!$D$6,0))</f>
        <v>36693.75</v>
      </c>
      <c r="BW205" s="15" t="n">
        <f aca="false">MIN(Piano_SS!$C$7,(BW204)+IF(AND(Motore_Operativo!C205&gt;=EDATE(Parametri_v3!$C$24,Ipotesi!F14*12),Motore_Operativo!C205&lt;EDATE(Parametri_v3!$C$24,Parametri_v3!$C$25+Ipotesi!F14*12)),MAX(0,(IF(21-(INT((Ipotesi!$C$91)/30))&lt;1,0,INDEX(Motore_Operativo!$BN$185:$BN$244,MAX(1,21-(INT((Ipotesi!$C$91)/30)))))*(1-(MOD((Ipotesi!$C$91),30)/30))+IF(21-(INT((Ipotesi!$C$91)/30))-1&lt;1,0,INDEX(Motore_Operativo!$BN$185:$BN$244,MAX(1,21-(INT((Ipotesi!$C$91)/30))-1)))*(MOD((Ipotesi!$C$91),30)/30)))*Piano_SS!$D$7,0))</f>
        <v>4214.49649153138</v>
      </c>
      <c r="BX205" s="15" t="n">
        <f aca="false">MIN(Piano_SS!$C$8,(BX204)+IF(AND(Motore_Operativo!C205&gt;=EDATE(Parametri_v3!$C$24,Ipotesi!F14*12),Motore_Operativo!C205&lt;EDATE(Parametri_v3!$C$24,Parametri_v3!$C$25+Ipotesi!F14*12)),MAX(0,Motore_Operativo!CE205)*Piano_SS!$D$8,0))</f>
        <v>6250</v>
      </c>
      <c r="BY205" s="15" t="n">
        <f aca="false">MIN(Piano_SS!$C$9,(BY204)+IF(AND(Motore_Operativo!C205&gt;=EDATE(Parametri_v3!$C$24,Ipotesi!F14*12),Motore_Operativo!C205&lt;EDATE(Parametri_v3!$C$24,Parametri_v3!$C$25+Ipotesi!F14*12)),MAX(0,((IF(21-(INT((Ipotesi!$C$91)/30))&lt;1,0,INDEX(Motore_Operativo!$BQ$185:$BQ$244,MAX(1,21-(INT((Ipotesi!$C$91)/30)))))*(1-(MOD((Ipotesi!$C$91),30)/30))+IF(21-(INT((Ipotesi!$C$91)/30))-1&lt;1,0,INDEX(Motore_Operativo!$BQ$185:$BQ$244,MAX(1,21-(INT((Ipotesi!$C$91)/30))-1)))*(MOD((Ipotesi!$C$91),30)/30))+(IF(21-(INT((Ipotesi!$C$91)/30))&lt;1,0,INDEX(Motore_Operativo!$BR$185:$BR$244,MAX(1,21-(INT((Ipotesi!$C$91)/30)))))*(1-(MOD((Ipotesi!$C$91),30)/30))+IF(21-(INT((Ipotesi!$C$91)/30))-1&lt;1,0,INDEX(Motore_Operativo!$BR$185:$BR$244,MAX(1,21-(INT((Ipotesi!$C$91)/30))-1)))*(MOD((Ipotesi!$C$91),30)/30))))*Piano_SS!$D$9,0))</f>
        <v>8750</v>
      </c>
      <c r="BZ205" s="15" t="n">
        <f aca="false">MIN(Piano_SS!$C$10,(BZ204)+IF(AND(Motore_Operativo!C205&gt;=EDATE(Parametri_v3!$C$24,Ipotesi!F14*12),Motore_Operativo!C205&lt;EDATE(Parametri_v3!$C$24,Parametri_v3!$C$25+Ipotesi!F14*12)),MAX(0,(IF(21-(INT((Ipotesi!$C$91)/30))&lt;1,0,INDEX(Motore_Operativo!$BO$185:$BO$244,MAX(1,21-(INT((Ipotesi!$C$91)/30)))))*(1-(MOD((Ipotesi!$C$91),30)/30))+IF(21-(INT((Ipotesi!$C$91)/30))-1&lt;1,0,INDEX(Motore_Operativo!$BO$185:$BO$244,MAX(1,21-(INT((Ipotesi!$C$91)/30))-1)))*(MOD((Ipotesi!$C$91),30)/30)))*Piano_SS!$D$10,0))</f>
        <v>5500</v>
      </c>
      <c r="CA205" s="15" t="n">
        <f aca="false">SUM(BV205:BZ205)</f>
        <v>61408.2464915314</v>
      </c>
      <c r="CB205" s="15" t="n">
        <f aca="false">BV205*(1-Piano_SS!$E$6)+BW205*(1-Piano_SS!$E$7)+BX205*(1-Piano_SS!$E$8)+BY205*(1-Piano_SS!$E$9)+BZ205*(1-Piano_SS!$E$10)</f>
        <v>55908.2464915314</v>
      </c>
      <c r="CC205" s="15" t="n">
        <f aca="false">(CC204)+BA205</f>
        <v>0</v>
      </c>
      <c r="CD205" s="15" t="n">
        <f aca="false">IF(CA205=0,0,CC205*CB205/CA205*Ipotesi!$C$103*Parametri_v3!$C$64)</f>
        <v>0</v>
      </c>
      <c r="CE205" s="18" t="n">
        <f aca="false">IF(BA205&gt;0,Motore_Operativo!C205,(CE204))</f>
        <v>0</v>
      </c>
      <c r="CF205" s="18" t="n">
        <f aca="false">IF(AND(CC205&gt;0,OR(CC205&gt;=CG205-0.01,Motore_Operativo!C205&gt;=EDATE(MAX(Finanziamenti!$D$15:$D$17),Ipotesi!F14*12))),CE205,0)</f>
        <v>0</v>
      </c>
      <c r="CG205" s="15" t="n">
        <f aca="false">IF(AND(4&lt;&gt;6,4&lt;&gt;9,Finanziamenti!$F$11=1,OR(Parametri_v3!$C$6=0,Finanziamenti!$E$11=1)),MIN(Finanziamenti!$C$11,Piano_SS!$C$12*Ipotesi!$C$102),0)</f>
        <v>400000</v>
      </c>
      <c r="CH205" s="15" t="n">
        <f aca="false">IF(AND(AND(4&lt;&gt;8,4&lt;&gt;9,Finanziamenti!$F$10=1,OR(Parametri_v3!$C$6=0,Finanziamenti!$E$10=1)),Motore_Operativo!C205&gt;=Finanziamenti!$D$10,Motore_Operativo!C205&lt;Parametri_v3!$C$63),Finanziamenti!$C$10,0)</f>
        <v>150000</v>
      </c>
    </row>
    <row r="206" customFormat="false" ht="18" hidden="false" customHeight="true" outlineLevel="0" collapsed="false">
      <c r="A206" s="68" t="n">
        <f aca="false">4</f>
        <v>4</v>
      </c>
      <c r="B206" s="68" t="n">
        <f aca="false">22</f>
        <v>22</v>
      </c>
      <c r="C206" s="18" t="n">
        <f aca="false">Motore_Operativo!C206</f>
        <v>47027</v>
      </c>
      <c r="D206" s="68" t="n">
        <f aca="false">Motore_Operativo!D206</f>
        <v>2028</v>
      </c>
      <c r="E206" s="68" t="n">
        <f aca="false">Motore_Operativo!E206</f>
        <v>10</v>
      </c>
      <c r="F206" s="15" t="n">
        <f aca="false">Motore_Operativo!AQ206+Motore_Operativo!BF206</f>
        <v>13497.7219634058</v>
      </c>
      <c r="G206" s="15" t="n">
        <f aca="false">Motore_Operativo!BH206</f>
        <v>1938.75</v>
      </c>
      <c r="H206" s="15" t="n">
        <f aca="false">Motore_Operativo!BI206</f>
        <v>15436.4719634058</v>
      </c>
      <c r="I206" s="15" t="n">
        <f aca="false">Motore_Operativo!CA206</f>
        <v>56422.2269082102</v>
      </c>
      <c r="J206" s="15" t="n">
        <f aca="false">Motore_Operativo!CC206</f>
        <v>-40985.7549448043</v>
      </c>
      <c r="K206" s="15" t="n">
        <f aca="false">Motore_Operativo!CE206</f>
        <v>2083.33333333333</v>
      </c>
      <c r="L206" s="15" t="n">
        <f aca="false">SUM(INDEX($K$185:$K$244,MAX(1,22-Parametri_v3!$C$59+1)):K206)/Parametri_v3!$C$59</f>
        <v>1134.25925925926</v>
      </c>
      <c r="M206" s="15" t="n">
        <f aca="false">J206-L206</f>
        <v>-42120.0142040636</v>
      </c>
      <c r="N206" s="15" t="n">
        <f aca="false">CD206-(CD205)</f>
        <v>0</v>
      </c>
      <c r="O206" s="15" t="n">
        <f aca="false">(BG205)*Ipotesi!$C$110/12+CH206*Parametri_v3!$C$39/12</f>
        <v>750</v>
      </c>
      <c r="P206" s="15" t="n">
        <f aca="false">M206+N206-O206</f>
        <v>-42870.0142040636</v>
      </c>
      <c r="Q206" s="15" t="n">
        <f aca="false">SUM(P197:P206)+Parametri_v3!$C$54*10/12</f>
        <v>-435563.398744958</v>
      </c>
      <c r="R206" s="15" t="n">
        <f aca="false">Z196</f>
        <v>280952.661629333</v>
      </c>
      <c r="S206" s="15" t="n">
        <f aca="false">AA196</f>
        <v>0</v>
      </c>
      <c r="T206" s="15" t="n">
        <f aca="false">MIN(R206,MAX(0,Q206))</f>
        <v>0</v>
      </c>
      <c r="U206" s="15" t="n">
        <f aca="false">MIN(S206,MAX(0,Q206-T206)*Parametri_v3!$C$42)</f>
        <v>0</v>
      </c>
      <c r="V206" s="15" t="n">
        <f aca="false">MAX(0,Q206-T206-U206)*Ipotesi!$C$92</f>
        <v>0</v>
      </c>
      <c r="W206" s="15" t="n">
        <f aca="false">MAX(0,SUM(M197:M206)+Parametri_v3!$C$55*10/12)*Ipotesi!$C$93</f>
        <v>0</v>
      </c>
      <c r="X206" s="15" t="n">
        <f aca="false">V206+W206-(V205+W205)</f>
        <v>0</v>
      </c>
      <c r="Y206" s="15" t="n">
        <f aca="false">P206-X206</f>
        <v>-42870.0142040636</v>
      </c>
      <c r="Z206" s="15" t="n">
        <f aca="false">R206-T206+IF(AND(Parametri_v3!$C$40=1,D206-YEAR(Parametri_v3!$C$50)&lt;Parametri_v3!$C$41),MAX(0,-Q206),0)</f>
        <v>716516.06037429</v>
      </c>
      <c r="AA206" s="15" t="n">
        <f aca="false">S206-U206+IF(AND(Parametri_v3!$C$40=1,D206-YEAR(Parametri_v3!$C$50)&lt;Parametri_v3!$C$41),0,MAX(0,-Q206))</f>
        <v>0</v>
      </c>
      <c r="AB206" s="15" t="n">
        <f aca="false">F206*(1+Parametri_v3!$C$26)</f>
        <v>16467.2207953551</v>
      </c>
      <c r="AC206" s="15" t="n">
        <f aca="false">(IF(22-(INT((Motore_Operativo!L206)/30))&lt;1,0,INDEX(Motore_Startup!$AB$185:$AB$244,MAX(1,22-(INT((Motore_Operativo!L206)/30)))))*(1-(MOD((Motore_Operativo!L206),30)/30))+IF(22-(INT((Motore_Operativo!L206)/30))-1&lt;1,0,INDEX(Motore_Startup!$AB$185:$AB$244,MAX(1,22-(INT((Motore_Operativo!L206)/30))-1)))*(MOD((Motore_Operativo!L206),30)/30))</f>
        <v>15269.341345729</v>
      </c>
      <c r="AD206" s="15" t="n">
        <f aca="false">(AD205)+AB206-AC206</f>
        <v>64054.4361932456</v>
      </c>
      <c r="AE206" s="15" t="n">
        <f aca="false">Motore_Operativo!BH206*(1+Parametri_v3!$C$26)</f>
        <v>2365.275</v>
      </c>
      <c r="AF206" s="15" t="n">
        <f aca="false">(IF(22-(INT((Parametri_v3!$C$29)/30))&lt;1,0,INDEX(Motore_Operativo!$BH$185:$BH$244,MAX(1,22-(INT((Parametri_v3!$C$29)/30)))))*(1-(MOD((Parametri_v3!$C$29),30)/30))+IF(22-(INT((Parametri_v3!$C$29)/30))-1&lt;1,0,INDEX(Motore_Operativo!$BH$185:$BH$244,MAX(1,22-(INT((Parametri_v3!$C$29)/30))-1)))*(MOD((Parametri_v3!$C$29),30)/30))*(1+Parametri_v3!$C$26)</f>
        <v>2365.275</v>
      </c>
      <c r="AG206" s="15" t="n">
        <f aca="false">(AG205)+AE206-AF206</f>
        <v>2365.275</v>
      </c>
      <c r="AH206" s="15" t="n">
        <f aca="false">(Motore_Operativo!CJ206)*(1+Parametri_v3!$C$27*Parametri_v3!$C$26)</f>
        <v>19775.0958400455</v>
      </c>
      <c r="AI206" s="15" t="n">
        <f aca="false">(IF(22-(INT((Ipotesi!$C$91)/30))&lt;1,0,INDEX(Motore_Startup!$AH$185:$AH$244,MAX(1,22-(INT((Ipotesi!$C$91)/30)))))*(1-(MOD((Ipotesi!$C$91),30)/30))+IF(22-(INT((Ipotesi!$C$91)/30))-1&lt;1,0,INDEX(Motore_Startup!$AH$185:$AH$244,MAX(1,22-(INT((Ipotesi!$C$91)/30))-1)))*(MOD((Ipotesi!$C$91),30)/30))</f>
        <v>19692.5646426518</v>
      </c>
      <c r="AJ206" s="15" t="n">
        <f aca="false">(AJ205)+AH206-AI206</f>
        <v>39508.5361111905</v>
      </c>
      <c r="AK206" s="15" t="n">
        <f aca="false">(F206+ Motore_Operativo!BH206-(Motore_Operativo!CJ206)*Parametri_v3!$C$27-Motore_Operativo!CE206)*Parametri_v3!$C$26</f>
        <v>-177.678433219347</v>
      </c>
      <c r="AL206" s="15" t="n">
        <f aca="false">MAX(0,(AM205))</f>
        <v>0</v>
      </c>
      <c r="AM206" s="15" t="n">
        <f aca="false">(AM205)+AK206-AL206</f>
        <v>-17545.8353528505</v>
      </c>
      <c r="AN206" s="15" t="n">
        <f aca="false">SUM(X185:X196)</f>
        <v>0</v>
      </c>
      <c r="AO206" s="15" t="n">
        <f aca="false">SUM(AP185:AP196)</f>
        <v>0</v>
      </c>
      <c r="AP206" s="15" t="n">
        <f aca="false">MAX(0,AN206)*IF(10=Parametri_v3!$C$43,Parametri_v3!$C$45,IF(10=Parametri_v3!$C$44,1-Parametri_v3!$C$45,0))</f>
        <v>0</v>
      </c>
      <c r="AQ206" s="15" t="n">
        <f aca="false">MAX(0,AP206+IF(10=Parametri_v3!$C$43,MAX(0,AN206-AO206),0)-MAX(0,-(AR205)))</f>
        <v>0</v>
      </c>
      <c r="AR206" s="15" t="n">
        <f aca="false">(AR205)+X206-AQ206</f>
        <v>0</v>
      </c>
      <c r="AS206" s="15" t="n">
        <f aca="false">Motore_Operativo!AB206-AT206+AU206</f>
        <v>37774.375</v>
      </c>
      <c r="AT206" s="15" t="n">
        <f aca="false">Motore_Operativo!CH206</f>
        <v>1988.125</v>
      </c>
      <c r="AU206" s="15" t="n">
        <f aca="false">MIN(MAX(0,(AV205)+AT206),Parametri_v3!$C$60/12)</f>
        <v>0</v>
      </c>
      <c r="AV206" s="15" t="n">
        <f aca="false">(AV205)+AT206-AU206</f>
        <v>30631.25</v>
      </c>
      <c r="AW206" s="15" t="n">
        <f aca="false">IF(AND(Motore_Operativo!C206=Finanziamenti!$D$6,Finanziamenti!$F$6=1),Finanziamenti!$C$6,0)</f>
        <v>0</v>
      </c>
      <c r="AX206" s="15" t="n">
        <f aca="false">IF(AND(4&lt;&gt;7,4&lt;&gt;9,Finanziamenti!$F$8=1,OR(Parametri_v3!$C$6=0,Finanziamenti!$E$8=1),Motore_Operativo!C206=EDATE(Finanziamenti!$D$8,Ipotesi!F15*12)),Finanziamenti!$C$8*1,0)+IF(AND(4&lt;&gt;7,4&lt;&gt;9,Finanziamenti!$F$9=1,OR(Parametri_v3!$C$6=0,Finanziamenti!$E$9=1),Motore_Operativo!C206=EDATE(Finanziamenti!$D$9,Ipotesi!F15*12)),Finanziamenti!$C$9*Ipotesi!F16,0)</f>
        <v>0</v>
      </c>
      <c r="AY206" s="15" t="n">
        <f aca="false">0</f>
        <v>0</v>
      </c>
      <c r="AZ206" s="15" t="n">
        <f aca="false">Motore_Advisory!AY206*(1-Ipotesi!$C$95)*Ipotesi!$C$96</f>
        <v>0</v>
      </c>
      <c r="BA206" s="15" t="n">
        <f aca="false">MAX(0,MIN(CG206*MIN(1,IF(Motore_Operativo!C206&gt;=EDATE(Finanziamenti!$D$15,Ipotesi!F14*12),Finanziamenti!$C$15,0)+IF(Motore_Operativo!C206&gt;=EDATE(Finanziamenti!$D$16,Ipotesi!F14*12),Finanziamenti!$C$16,0)+IF(Motore_Operativo!C206&gt;=EDATE(Finanziamenti!$D$17,Ipotesi!F14*12),Finanziamenti!$C$17,0)),CA206*Ipotesi!$C$102)-(CC205))</f>
        <v>0</v>
      </c>
      <c r="BB206" s="15" t="n">
        <f aca="false">IF(AND(CF206&gt;0,Motore_Operativo!C206&gt;=IF(CF206=0,0,EDATE(CF206,Parametri_v3!$C$37)),MOD(((D206-YEAR(IF(CF206=0,0,EDATE(CF206,Parametri_v3!$C$37))))*12+E206-MONTH(IF(CF206=0,0,EDATE(CF206,Parametri_v3!$C$37)))),Parametri_v3!$C$38)=0),MIN(MAX(0,(BC205)+BA206-N206),(CC206-CD206)/(Ipotesi!$C$108*12/Parametri_v3!$C$38)),0)</f>
        <v>0</v>
      </c>
      <c r="BC206" s="15" t="n">
        <f aca="false">(BC205)+BA206-N206-BB206</f>
        <v>0</v>
      </c>
      <c r="BD206" s="15" t="n">
        <f aca="false">(BH205)+AC206+AF206-AI206-AS206-K206*(1+Parametri_v3!$C$26)-AL206-AQ206-O206+AW206+AX206+AZ206+BA206-BB206</f>
        <v>-478825.617105492</v>
      </c>
      <c r="BE206" s="15" t="n">
        <f aca="false">MAX(0,MIN(MAX(0,CH206-(BG205)),Parametri_v3!$C$30-BD206))</f>
        <v>0</v>
      </c>
      <c r="BF206" s="15" t="n">
        <f aca="false">IF(Motore_Operativo!C206&gt;=Parametri_v3!$C$63,(BG205),MIN((BG205),MAX(0,BD206-Parametri_v3!$C$30)))</f>
        <v>0</v>
      </c>
      <c r="BG206" s="15" t="n">
        <f aca="false">(BG205)+BE206-BF206</f>
        <v>150000</v>
      </c>
      <c r="BH206" s="15" t="n">
        <f aca="false">BD206+BE206-BF206-AY206</f>
        <v>-478825.617105492</v>
      </c>
      <c r="BI206" s="15" t="n">
        <f aca="false">MAX(0,Parametri_v3!$C$30-BH206)</f>
        <v>503825.617105492</v>
      </c>
      <c r="BJ206" s="15" t="n">
        <f aca="false">(BJ205)+K206</f>
        <v>40833.3333333333</v>
      </c>
      <c r="BK206" s="15" t="n">
        <f aca="false">(BK205)+L206</f>
        <v>12349.537037037</v>
      </c>
      <c r="BL206" s="15" t="n">
        <f aca="false">BJ206-BK206</f>
        <v>28483.7962962963</v>
      </c>
      <c r="BM206" s="15" t="n">
        <f aca="false">(BM205)+Y206</f>
        <v>-716516.06037429</v>
      </c>
      <c r="BN206" s="15" t="n">
        <f aca="false">(BN205)+AW206+AX206+AZ206</f>
        <v>130000</v>
      </c>
      <c r="BO206" s="15" t="n">
        <f aca="false">(BO205)+AY206</f>
        <v>0</v>
      </c>
      <c r="BP206" s="15" t="n">
        <f aca="false">0</f>
        <v>0</v>
      </c>
      <c r="BQ206" s="15" t="n">
        <f aca="false">BN206+BM206-BO206</f>
        <v>-586516.06037429</v>
      </c>
      <c r="BR206" s="15" t="n">
        <f aca="false">BH206+AD206+BL206+MAX(0,-AM206)+MAX(0,-AR206)+AG206</f>
        <v>-366376.2742631</v>
      </c>
      <c r="BS206" s="15" t="n">
        <f aca="false">AJ206+AV206+MAX(0,AM206)+MAX(0,AR206)+BC206+BG206+BQ206</f>
        <v>-366376.2742631</v>
      </c>
      <c r="BT206" s="15" t="n">
        <f aca="false">BR206-BS206</f>
        <v>0</v>
      </c>
      <c r="BU206" s="15" t="n">
        <f aca="false">BH206-(BD206+BE206-BF206-AY206)</f>
        <v>0</v>
      </c>
      <c r="BV206" s="15" t="n">
        <f aca="false">MIN(Piano_SS!$C$6,(BV205)+IF(AND(Motore_Operativo!C206&gt;=EDATE(Parametri_v3!$C$24,Ipotesi!F14*12),Motore_Operativo!C206&lt;EDATE(Parametri_v3!$C$24,Parametri_v3!$C$25+Ipotesi!F14*12)),MAX(0,(Motore_Operativo!Y206+Motore_Operativo!X206*Parametri_v3!$C$14)*(1-Parametri_v3!$C$32))*Piano_SS!$D$6,0))</f>
        <v>48925</v>
      </c>
      <c r="BW206" s="15" t="n">
        <f aca="false">MIN(Piano_SS!$C$7,(BW205)+IF(AND(Motore_Operativo!C206&gt;=EDATE(Parametri_v3!$C$24,Ipotesi!F14*12),Motore_Operativo!C206&lt;EDATE(Parametri_v3!$C$24,Parametri_v3!$C$25+Ipotesi!F14*12)),MAX(0,(IF(22-(INT((Ipotesi!$C$91)/30))&lt;1,0,INDEX(Motore_Operativo!$BN$185:$BN$244,MAX(1,22-(INT((Ipotesi!$C$91)/30)))))*(1-(MOD((Ipotesi!$C$91),30)/30))+IF(22-(INT((Ipotesi!$C$91)/30))-1&lt;1,0,INDEX(Motore_Operativo!$BN$185:$BN$244,MAX(1,22-(INT((Ipotesi!$C$91)/30))-1)))*(MOD((Ipotesi!$C$91),30)/30)))*Piano_SS!$D$7,0))</f>
        <v>5658.13325936633</v>
      </c>
      <c r="BX206" s="15" t="n">
        <f aca="false">MIN(Piano_SS!$C$8,(BX205)+IF(AND(Motore_Operativo!C206&gt;=EDATE(Parametri_v3!$C$24,Ipotesi!F14*12),Motore_Operativo!C206&lt;EDATE(Parametri_v3!$C$24,Parametri_v3!$C$25+Ipotesi!F14*12)),MAX(0,Motore_Operativo!CE206)*Piano_SS!$D$8,0))</f>
        <v>8333.33333333333</v>
      </c>
      <c r="BY206" s="15" t="n">
        <f aca="false">MIN(Piano_SS!$C$9,(BY205)+IF(AND(Motore_Operativo!C206&gt;=EDATE(Parametri_v3!$C$24,Ipotesi!F14*12),Motore_Operativo!C206&lt;EDATE(Parametri_v3!$C$24,Parametri_v3!$C$25+Ipotesi!F14*12)),MAX(0,((IF(22-(INT((Ipotesi!$C$91)/30))&lt;1,0,INDEX(Motore_Operativo!$BQ$185:$BQ$244,MAX(1,22-(INT((Ipotesi!$C$91)/30)))))*(1-(MOD((Ipotesi!$C$91),30)/30))+IF(22-(INT((Ipotesi!$C$91)/30))-1&lt;1,0,INDEX(Motore_Operativo!$BQ$185:$BQ$244,MAX(1,22-(INT((Ipotesi!$C$91)/30))-1)))*(MOD((Ipotesi!$C$91),30)/30))+(IF(22-(INT((Ipotesi!$C$91)/30))&lt;1,0,INDEX(Motore_Operativo!$BR$185:$BR$244,MAX(1,22-(INT((Ipotesi!$C$91)/30)))))*(1-(MOD((Ipotesi!$C$91),30)/30))+IF(22-(INT((Ipotesi!$C$91)/30))-1&lt;1,0,INDEX(Motore_Operativo!$BR$185:$BR$244,MAX(1,22-(INT((Ipotesi!$C$91)/30))-1)))*(MOD((Ipotesi!$C$91),30)/30))))*Piano_SS!$D$9,0))</f>
        <v>11666.6666666667</v>
      </c>
      <c r="BZ206" s="15" t="n">
        <f aca="false">MIN(Piano_SS!$C$10,(BZ205)+IF(AND(Motore_Operativo!C206&gt;=EDATE(Parametri_v3!$C$24,Ipotesi!F14*12),Motore_Operativo!C206&lt;EDATE(Parametri_v3!$C$24,Parametri_v3!$C$25+Ipotesi!F14*12)),MAX(0,(IF(22-(INT((Ipotesi!$C$91)/30))&lt;1,0,INDEX(Motore_Operativo!$BO$185:$BO$244,MAX(1,22-(INT((Ipotesi!$C$91)/30)))))*(1-(MOD((Ipotesi!$C$91),30)/30))+IF(22-(INT((Ipotesi!$C$91)/30))-1&lt;1,0,INDEX(Motore_Operativo!$BO$185:$BO$244,MAX(1,22-(INT((Ipotesi!$C$91)/30))-1)))*(MOD((Ipotesi!$C$91),30)/30)))*Piano_SS!$D$10,0))</f>
        <v>7333.33333333333</v>
      </c>
      <c r="CA206" s="15" t="n">
        <f aca="false">SUM(BV206:BZ206)</f>
        <v>81916.4665926997</v>
      </c>
      <c r="CB206" s="15" t="n">
        <f aca="false">BV206*(1-Piano_SS!$E$6)+BW206*(1-Piano_SS!$E$7)+BX206*(1-Piano_SS!$E$8)+BY206*(1-Piano_SS!$E$9)+BZ206*(1-Piano_SS!$E$10)</f>
        <v>74583.1332593663</v>
      </c>
      <c r="CC206" s="15" t="n">
        <f aca="false">(CC205)+BA206</f>
        <v>0</v>
      </c>
      <c r="CD206" s="15" t="n">
        <f aca="false">IF(CA206=0,0,CC206*CB206/CA206*Ipotesi!$C$103*Parametri_v3!$C$64)</f>
        <v>0</v>
      </c>
      <c r="CE206" s="18" t="n">
        <f aca="false">IF(BA206&gt;0,Motore_Operativo!C206,(CE205))</f>
        <v>0</v>
      </c>
      <c r="CF206" s="18" t="n">
        <f aca="false">IF(AND(CC206&gt;0,OR(CC206&gt;=CG206-0.01,Motore_Operativo!C206&gt;=EDATE(MAX(Finanziamenti!$D$15:$D$17),Ipotesi!F14*12))),CE206,0)</f>
        <v>0</v>
      </c>
      <c r="CG206" s="15" t="n">
        <f aca="false">IF(AND(4&lt;&gt;6,4&lt;&gt;9,Finanziamenti!$F$11=1,OR(Parametri_v3!$C$6=0,Finanziamenti!$E$11=1)),MIN(Finanziamenti!$C$11,Piano_SS!$C$12*Ipotesi!$C$102),0)</f>
        <v>400000</v>
      </c>
      <c r="CH206" s="15" t="n">
        <f aca="false">IF(AND(AND(4&lt;&gt;8,4&lt;&gt;9,Finanziamenti!$F$10=1,OR(Parametri_v3!$C$6=0,Finanziamenti!$E$10=1)),Motore_Operativo!C206&gt;=Finanziamenti!$D$10,Motore_Operativo!C206&lt;Parametri_v3!$C$63),Finanziamenti!$C$10,0)</f>
        <v>150000</v>
      </c>
    </row>
    <row r="207" customFormat="false" ht="18" hidden="false" customHeight="true" outlineLevel="0" collapsed="false">
      <c r="A207" s="68" t="n">
        <f aca="false">4</f>
        <v>4</v>
      </c>
      <c r="B207" s="68" t="n">
        <f aca="false">23</f>
        <v>23</v>
      </c>
      <c r="C207" s="18" t="n">
        <f aca="false">Motore_Operativo!C207</f>
        <v>47058</v>
      </c>
      <c r="D207" s="68" t="n">
        <f aca="false">Motore_Operativo!D207</f>
        <v>2028</v>
      </c>
      <c r="E207" s="68" t="n">
        <f aca="false">Motore_Operativo!E207</f>
        <v>11</v>
      </c>
      <c r="F207" s="15" t="n">
        <f aca="false">Motore_Operativo!AQ207+Motore_Operativo!BF207</f>
        <v>13756.9135406293</v>
      </c>
      <c r="G207" s="15" t="n">
        <f aca="false">Motore_Operativo!BH207</f>
        <v>1938.75</v>
      </c>
      <c r="H207" s="15" t="n">
        <f aca="false">Motore_Operativo!BI207</f>
        <v>15695.6635406293</v>
      </c>
      <c r="I207" s="15" t="n">
        <f aca="false">Motore_Operativo!CA207</f>
        <v>56458.5137290214</v>
      </c>
      <c r="J207" s="15" t="n">
        <f aca="false">Motore_Operativo!CC207</f>
        <v>-40762.8501883921</v>
      </c>
      <c r="K207" s="15" t="n">
        <f aca="false">Motore_Operativo!CE207</f>
        <v>2083.33333333333</v>
      </c>
      <c r="L207" s="15" t="n">
        <f aca="false">SUM(INDEX($K$185:$K$244,MAX(1,23-Parametri_v3!$C$59+1)):K207)/Parametri_v3!$C$59</f>
        <v>1192.12962962963</v>
      </c>
      <c r="M207" s="15" t="n">
        <f aca="false">J207-L207</f>
        <v>-41954.9798180218</v>
      </c>
      <c r="N207" s="15" t="n">
        <f aca="false">CD207-(CD206)</f>
        <v>0</v>
      </c>
      <c r="O207" s="15" t="n">
        <f aca="false">(BG206)*Ipotesi!$C$110/12+CH207*Parametri_v3!$C$39/12</f>
        <v>750</v>
      </c>
      <c r="P207" s="15" t="n">
        <f aca="false">M207+N207-O207</f>
        <v>-42704.9798180218</v>
      </c>
      <c r="Q207" s="15" t="n">
        <f aca="false">SUM(P197:P207)+Parametri_v3!$C$54*11/12</f>
        <v>-478268.37856298</v>
      </c>
      <c r="R207" s="15" t="n">
        <f aca="false">Z196</f>
        <v>280952.661629333</v>
      </c>
      <c r="S207" s="15" t="n">
        <f aca="false">AA196</f>
        <v>0</v>
      </c>
      <c r="T207" s="15" t="n">
        <f aca="false">MIN(R207,MAX(0,Q207))</f>
        <v>0</v>
      </c>
      <c r="U207" s="15" t="n">
        <f aca="false">MIN(S207,MAX(0,Q207-T207)*Parametri_v3!$C$42)</f>
        <v>0</v>
      </c>
      <c r="V207" s="15" t="n">
        <f aca="false">MAX(0,Q207-T207-U207)*Ipotesi!$C$92</f>
        <v>0</v>
      </c>
      <c r="W207" s="15" t="n">
        <f aca="false">MAX(0,SUM(M197:M207)+Parametri_v3!$C$55*11/12)*Ipotesi!$C$93</f>
        <v>0</v>
      </c>
      <c r="X207" s="15" t="n">
        <f aca="false">V207+W207-(V206+W206)</f>
        <v>0</v>
      </c>
      <c r="Y207" s="15" t="n">
        <f aca="false">P207-X207</f>
        <v>-42704.9798180218</v>
      </c>
      <c r="Z207" s="15" t="n">
        <f aca="false">R207-T207+IF(AND(Parametri_v3!$C$40=1,D207-YEAR(Parametri_v3!$C$50)&lt;Parametri_v3!$C$41),MAX(0,-Q207),0)</f>
        <v>759221.040192312</v>
      </c>
      <c r="AA207" s="15" t="n">
        <f aca="false">S207-U207+IF(AND(Parametri_v3!$C$40=1,D207-YEAR(Parametri_v3!$C$50)&lt;Parametri_v3!$C$41),0,MAX(0,-Q207))</f>
        <v>0</v>
      </c>
      <c r="AB207" s="15" t="n">
        <f aca="false">F207*(1+Parametri_v3!$C$26)</f>
        <v>16783.4345195678</v>
      </c>
      <c r="AC207" s="15" t="n">
        <f aca="false">(IF(23-(INT((Motore_Operativo!L207)/30))&lt;1,0,INDEX(Motore_Startup!$AB$185:$AB$244,MAX(1,23-(INT((Motore_Operativo!L207)/30)))))*(1-(MOD((Motore_Operativo!L207),30)/30))+IF(23-(INT((Motore_Operativo!L207)/30))-1&lt;1,0,INDEX(Motore_Startup!$AB$185:$AB$244,MAX(1,23-(INT((Motore_Operativo!L207)/30))-1)))*(MOD((Motore_Operativo!L207),30)/30))</f>
        <v>15564.4831276687</v>
      </c>
      <c r="AD207" s="15" t="n">
        <f aca="false">(AD206)+AB207-AC207</f>
        <v>65273.3875851447</v>
      </c>
      <c r="AE207" s="15" t="n">
        <f aca="false">Motore_Operativo!BH207*(1+Parametri_v3!$C$26)</f>
        <v>2365.275</v>
      </c>
      <c r="AF207" s="15" t="n">
        <f aca="false">(IF(23-(INT((Parametri_v3!$C$29)/30))&lt;1,0,INDEX(Motore_Operativo!$BH$185:$BH$244,MAX(1,23-(INT((Parametri_v3!$C$29)/30)))))*(1-(MOD((Parametri_v3!$C$29),30)/30))+IF(23-(INT((Parametri_v3!$C$29)/30))-1&lt;1,0,INDEX(Motore_Operativo!$BH$185:$BH$244,MAX(1,23-(INT((Parametri_v3!$C$29)/30))-1)))*(MOD((Parametri_v3!$C$29),30)/30))*(1+Parametri_v3!$C$26)</f>
        <v>2365.275</v>
      </c>
      <c r="AG207" s="15" t="n">
        <f aca="false">(AG206)+AE207-AF207</f>
        <v>2365.275</v>
      </c>
      <c r="AH207" s="15" t="n">
        <f aca="false">(Motore_Operativo!CJ207)*(1+Parametri_v3!$C$27*Parametri_v3!$C$26)</f>
        <v>19818.1682963485</v>
      </c>
      <c r="AI207" s="15" t="n">
        <f aca="false">(IF(23-(INT((Ipotesi!$C$91)/30))&lt;1,0,INDEX(Motore_Startup!$AH$185:$AH$244,MAX(1,23-(INT((Ipotesi!$C$91)/30)))))*(1-(MOD((Ipotesi!$C$91),30)/30))+IF(23-(INT((Ipotesi!$C$91)/30))-1&lt;1,0,INDEX(Motore_Startup!$AH$185:$AH$244,MAX(1,23-(INT((Ipotesi!$C$91)/30))-1)))*(MOD((Ipotesi!$C$91),30)/30))</f>
        <v>19733.440271145</v>
      </c>
      <c r="AJ207" s="15" t="n">
        <f aca="false">(AJ206)+AH207-AI207</f>
        <v>39593.2641363939</v>
      </c>
      <c r="AK207" s="15" t="n">
        <f aca="false">(F207+ Motore_Operativo!BH207-(Motore_Operativo!CJ207)*Parametri_v3!$C$27-Motore_Operativo!CE207)*Parametri_v3!$C$26</f>
        <v>-127.441921721893</v>
      </c>
      <c r="AL207" s="15" t="n">
        <f aca="false">MAX(0,(AM206))</f>
        <v>0</v>
      </c>
      <c r="AM207" s="15" t="n">
        <f aca="false">(AM206)+AK207-AL207</f>
        <v>-17673.2772745724</v>
      </c>
      <c r="AN207" s="15" t="n">
        <f aca="false">SUM(X185:X196)</f>
        <v>0</v>
      </c>
      <c r="AO207" s="15" t="n">
        <f aca="false">SUM(AP185:AP196)</f>
        <v>0</v>
      </c>
      <c r="AP207" s="15" t="n">
        <f aca="false">MAX(0,AN207)*IF(11=Parametri_v3!$C$43,Parametri_v3!$C$45,IF(11=Parametri_v3!$C$44,1-Parametri_v3!$C$45,0))</f>
        <v>0</v>
      </c>
      <c r="AQ207" s="15" t="n">
        <f aca="false">MAX(0,AP207+IF(11=Parametri_v3!$C$43,MAX(0,AN207-AO207),0)-MAX(0,-(AR206)))</f>
        <v>0</v>
      </c>
      <c r="AR207" s="15" t="n">
        <f aca="false">(AR206)+X207-AQ207</f>
        <v>0</v>
      </c>
      <c r="AS207" s="15" t="n">
        <f aca="false">Motore_Operativo!AB207-AT207+AU207</f>
        <v>37774.375</v>
      </c>
      <c r="AT207" s="15" t="n">
        <f aca="false">Motore_Operativo!CH207</f>
        <v>1988.125</v>
      </c>
      <c r="AU207" s="15" t="n">
        <f aca="false">MIN(MAX(0,(AV206)+AT207),Parametri_v3!$C$60/12)</f>
        <v>0</v>
      </c>
      <c r="AV207" s="15" t="n">
        <f aca="false">(AV206)+AT207-AU207</f>
        <v>32619.375</v>
      </c>
      <c r="AW207" s="15" t="n">
        <f aca="false">IF(AND(Motore_Operativo!C207=Finanziamenti!$D$6,Finanziamenti!$F$6=1),Finanziamenti!$C$6,0)</f>
        <v>0</v>
      </c>
      <c r="AX207" s="15" t="n">
        <f aca="false">IF(AND(4&lt;&gt;7,4&lt;&gt;9,Finanziamenti!$F$8=1,OR(Parametri_v3!$C$6=0,Finanziamenti!$E$8=1),Motore_Operativo!C207=EDATE(Finanziamenti!$D$8,Ipotesi!F15*12)),Finanziamenti!$C$8*1,0)+IF(AND(4&lt;&gt;7,4&lt;&gt;9,Finanziamenti!$F$9=1,OR(Parametri_v3!$C$6=0,Finanziamenti!$E$9=1),Motore_Operativo!C207=EDATE(Finanziamenti!$D$9,Ipotesi!F15*12)),Finanziamenti!$C$9*Ipotesi!F16,0)</f>
        <v>0</v>
      </c>
      <c r="AY207" s="15" t="n">
        <f aca="false">0</f>
        <v>0</v>
      </c>
      <c r="AZ207" s="15" t="n">
        <f aca="false">Motore_Advisory!AY207*(1-Ipotesi!$C$95)*Ipotesi!$C$96</f>
        <v>0</v>
      </c>
      <c r="BA207" s="15" t="n">
        <f aca="false">MAX(0,MIN(CG207*MIN(1,IF(Motore_Operativo!C207&gt;=EDATE(Finanziamenti!$D$15,Ipotesi!F14*12),Finanziamenti!$C$15,0)+IF(Motore_Operativo!C207&gt;=EDATE(Finanziamenti!$D$16,Ipotesi!F14*12),Finanziamenti!$C$16,0)+IF(Motore_Operativo!C207&gt;=EDATE(Finanziamenti!$D$17,Ipotesi!F14*12),Finanziamenti!$C$17,0)),CA207*Ipotesi!$C$102)-(CC206))</f>
        <v>0</v>
      </c>
      <c r="BB207" s="15" t="n">
        <f aca="false">IF(AND(CF207&gt;0,Motore_Operativo!C207&gt;=IF(CF207=0,0,EDATE(CF207,Parametri_v3!$C$37)),MOD(((D207-YEAR(IF(CF207=0,0,EDATE(CF207,Parametri_v3!$C$37))))*12+E207-MONTH(IF(CF207=0,0,EDATE(CF207,Parametri_v3!$C$37)))),Parametri_v3!$C$38)=0),MIN(MAX(0,(BC206)+BA207-N207),(CC207-CD207)/(Ipotesi!$C$108*12/Parametri_v3!$C$38)),0)</f>
        <v>0</v>
      </c>
      <c r="BC207" s="15" t="n">
        <f aca="false">(BC206)+BA207-N207-BB207</f>
        <v>0</v>
      </c>
      <c r="BD207" s="15" t="n">
        <f aca="false">(BH206)+AC207+AF207-AI207-AS207-K207*(1+Parametri_v3!$C$26)-AL207-AQ207-O207+AW207+AX207+AZ207+BA207-BB207</f>
        <v>-521695.340915635</v>
      </c>
      <c r="BE207" s="15" t="n">
        <f aca="false">MAX(0,MIN(MAX(0,CH207-(BG206)),Parametri_v3!$C$30-BD207))</f>
        <v>0</v>
      </c>
      <c r="BF207" s="15" t="n">
        <f aca="false">IF(Motore_Operativo!C207&gt;=Parametri_v3!$C$63,(BG206),MIN((BG206),MAX(0,BD207-Parametri_v3!$C$30)))</f>
        <v>0</v>
      </c>
      <c r="BG207" s="15" t="n">
        <f aca="false">(BG206)+BE207-BF207</f>
        <v>150000</v>
      </c>
      <c r="BH207" s="15" t="n">
        <f aca="false">BD207+BE207-BF207-AY207</f>
        <v>-521695.340915635</v>
      </c>
      <c r="BI207" s="15" t="n">
        <f aca="false">MAX(0,Parametri_v3!$C$30-BH207)</f>
        <v>546695.340915635</v>
      </c>
      <c r="BJ207" s="15" t="n">
        <f aca="false">(BJ206)+K207</f>
        <v>42916.6666666667</v>
      </c>
      <c r="BK207" s="15" t="n">
        <f aca="false">(BK206)+L207</f>
        <v>13541.6666666667</v>
      </c>
      <c r="BL207" s="15" t="n">
        <f aca="false">BJ207-BK207</f>
        <v>29375</v>
      </c>
      <c r="BM207" s="15" t="n">
        <f aca="false">(BM206)+Y207</f>
        <v>-759221.040192312</v>
      </c>
      <c r="BN207" s="15" t="n">
        <f aca="false">(BN206)+AW207+AX207+AZ207</f>
        <v>130000</v>
      </c>
      <c r="BO207" s="15" t="n">
        <f aca="false">(BO206)+AY207</f>
        <v>0</v>
      </c>
      <c r="BP207" s="15" t="n">
        <f aca="false">0</f>
        <v>0</v>
      </c>
      <c r="BQ207" s="15" t="n">
        <f aca="false">BN207+BM207-BO207</f>
        <v>-629221.040192312</v>
      </c>
      <c r="BR207" s="15" t="n">
        <f aca="false">BH207+AD207+BL207+MAX(0,-AM207)+MAX(0,-AR207)+AG207</f>
        <v>-407008.401055918</v>
      </c>
      <c r="BS207" s="15" t="n">
        <f aca="false">AJ207+AV207+MAX(0,AM207)+MAX(0,AR207)+BC207+BG207+BQ207</f>
        <v>-407008.401055918</v>
      </c>
      <c r="BT207" s="15" t="n">
        <f aca="false">BR207-BS207</f>
        <v>0</v>
      </c>
      <c r="BU207" s="15" t="n">
        <f aca="false">BH207-(BD207+BE207-BF207-AY207)</f>
        <v>0</v>
      </c>
      <c r="BV207" s="15" t="n">
        <f aca="false">MIN(Piano_SS!$C$6,(BV206)+IF(AND(Motore_Operativo!C207&gt;=EDATE(Parametri_v3!$C$24,Ipotesi!F14*12),Motore_Operativo!C207&lt;EDATE(Parametri_v3!$C$24,Parametri_v3!$C$25+Ipotesi!F14*12)),MAX(0,(Motore_Operativo!Y207+Motore_Operativo!X207*Parametri_v3!$C$14)*(1-Parametri_v3!$C$32))*Piano_SS!$D$6,0))</f>
        <v>61156.25</v>
      </c>
      <c r="BW207" s="15" t="n">
        <f aca="false">MIN(Piano_SS!$C$7,(BW206)+IF(AND(Motore_Operativo!C207&gt;=EDATE(Parametri_v3!$C$24,Ipotesi!F14*12),Motore_Operativo!C207&lt;EDATE(Parametri_v3!$C$24,Parametri_v3!$C$25+Ipotesi!F14*12)),MAX(0,(IF(23-(INT((Ipotesi!$C$91)/30))&lt;1,0,INDEX(Motore_Operativo!$BN$185:$BN$244,MAX(1,23-(INT((Ipotesi!$C$91)/30)))))*(1-(MOD((Ipotesi!$C$91),30)/30))+IF(23-(INT((Ipotesi!$C$91)/30))-1&lt;1,0,INDEX(Motore_Operativo!$BN$185:$BN$244,MAX(1,23-(INT((Ipotesi!$C$91)/30))-1)))*(MOD((Ipotesi!$C$91),30)/30)))*Piano_SS!$D$7,0))</f>
        <v>7121.44778793936</v>
      </c>
      <c r="BX207" s="15" t="n">
        <f aca="false">MIN(Piano_SS!$C$8,(BX206)+IF(AND(Motore_Operativo!C207&gt;=EDATE(Parametri_v3!$C$24,Ipotesi!F14*12),Motore_Operativo!C207&lt;EDATE(Parametri_v3!$C$24,Parametri_v3!$C$25+Ipotesi!F14*12)),MAX(0,Motore_Operativo!CE207)*Piano_SS!$D$8,0))</f>
        <v>10416.6666666667</v>
      </c>
      <c r="BY207" s="15" t="n">
        <f aca="false">MIN(Piano_SS!$C$9,(BY206)+IF(AND(Motore_Operativo!C207&gt;=EDATE(Parametri_v3!$C$24,Ipotesi!F14*12),Motore_Operativo!C207&lt;EDATE(Parametri_v3!$C$24,Parametri_v3!$C$25+Ipotesi!F14*12)),MAX(0,((IF(23-(INT((Ipotesi!$C$91)/30))&lt;1,0,INDEX(Motore_Operativo!$BQ$185:$BQ$244,MAX(1,23-(INT((Ipotesi!$C$91)/30)))))*(1-(MOD((Ipotesi!$C$91),30)/30))+IF(23-(INT((Ipotesi!$C$91)/30))-1&lt;1,0,INDEX(Motore_Operativo!$BQ$185:$BQ$244,MAX(1,23-(INT((Ipotesi!$C$91)/30))-1)))*(MOD((Ipotesi!$C$91),30)/30))+(IF(23-(INT((Ipotesi!$C$91)/30))&lt;1,0,INDEX(Motore_Operativo!$BR$185:$BR$244,MAX(1,23-(INT((Ipotesi!$C$91)/30)))))*(1-(MOD((Ipotesi!$C$91),30)/30))+IF(23-(INT((Ipotesi!$C$91)/30))-1&lt;1,0,INDEX(Motore_Operativo!$BR$185:$BR$244,MAX(1,23-(INT((Ipotesi!$C$91)/30))-1)))*(MOD((Ipotesi!$C$91),30)/30))))*Piano_SS!$D$9,0))</f>
        <v>14583.3333333333</v>
      </c>
      <c r="BZ207" s="15" t="n">
        <f aca="false">MIN(Piano_SS!$C$10,(BZ206)+IF(AND(Motore_Operativo!C207&gt;=EDATE(Parametri_v3!$C$24,Ipotesi!F14*12),Motore_Operativo!C207&lt;EDATE(Parametri_v3!$C$24,Parametri_v3!$C$25+Ipotesi!F14*12)),MAX(0,(IF(23-(INT((Ipotesi!$C$91)/30))&lt;1,0,INDEX(Motore_Operativo!$BO$185:$BO$244,MAX(1,23-(INT((Ipotesi!$C$91)/30)))))*(1-(MOD((Ipotesi!$C$91),30)/30))+IF(23-(INT((Ipotesi!$C$91)/30))-1&lt;1,0,INDEX(Motore_Operativo!$BO$185:$BO$244,MAX(1,23-(INT((Ipotesi!$C$91)/30))-1)))*(MOD((Ipotesi!$C$91),30)/30)))*Piano_SS!$D$10,0))</f>
        <v>9166.66666666667</v>
      </c>
      <c r="CA207" s="15" t="n">
        <f aca="false">SUM(BV207:BZ207)</f>
        <v>102444.364454606</v>
      </c>
      <c r="CB207" s="15" t="n">
        <f aca="false">BV207*(1-Piano_SS!$E$6)+BW207*(1-Piano_SS!$E$7)+BX207*(1-Piano_SS!$E$8)+BY207*(1-Piano_SS!$E$9)+BZ207*(1-Piano_SS!$E$10)</f>
        <v>93277.6977879394</v>
      </c>
      <c r="CC207" s="15" t="n">
        <f aca="false">(CC206)+BA207</f>
        <v>0</v>
      </c>
      <c r="CD207" s="15" t="n">
        <f aca="false">IF(CA207=0,0,CC207*CB207/CA207*Ipotesi!$C$103*Parametri_v3!$C$64)</f>
        <v>0</v>
      </c>
      <c r="CE207" s="18" t="n">
        <f aca="false">IF(BA207&gt;0,Motore_Operativo!C207,(CE206))</f>
        <v>0</v>
      </c>
      <c r="CF207" s="18" t="n">
        <f aca="false">IF(AND(CC207&gt;0,OR(CC207&gt;=CG207-0.01,Motore_Operativo!C207&gt;=EDATE(MAX(Finanziamenti!$D$15:$D$17),Ipotesi!F14*12))),CE207,0)</f>
        <v>0</v>
      </c>
      <c r="CG207" s="15" t="n">
        <f aca="false">IF(AND(4&lt;&gt;6,4&lt;&gt;9,Finanziamenti!$F$11=1,OR(Parametri_v3!$C$6=0,Finanziamenti!$E$11=1)),MIN(Finanziamenti!$C$11,Piano_SS!$C$12*Ipotesi!$C$102),0)</f>
        <v>400000</v>
      </c>
      <c r="CH207" s="15" t="n">
        <f aca="false">IF(AND(AND(4&lt;&gt;8,4&lt;&gt;9,Finanziamenti!$F$10=1,OR(Parametri_v3!$C$6=0,Finanziamenti!$E$10=1)),Motore_Operativo!C207&gt;=Finanziamenti!$D$10,Motore_Operativo!C207&lt;Parametri_v3!$C$63),Finanziamenti!$C$10,0)</f>
        <v>150000</v>
      </c>
    </row>
    <row r="208" customFormat="false" ht="18" hidden="false" customHeight="true" outlineLevel="0" collapsed="false">
      <c r="A208" s="68" t="n">
        <f aca="false">4</f>
        <v>4</v>
      </c>
      <c r="B208" s="68" t="n">
        <f aca="false">24</f>
        <v>24</v>
      </c>
      <c r="C208" s="18" t="n">
        <f aca="false">Motore_Operativo!C208</f>
        <v>47088</v>
      </c>
      <c r="D208" s="68" t="n">
        <f aca="false">Motore_Operativo!D208</f>
        <v>2028</v>
      </c>
      <c r="E208" s="68" t="n">
        <f aca="false">Motore_Operativo!E208</f>
        <v>12</v>
      </c>
      <c r="F208" s="15" t="n">
        <f aca="false">Motore_Operativo!AQ208+Motore_Operativo!BF208</f>
        <v>14034.9530513813</v>
      </c>
      <c r="G208" s="15" t="n">
        <f aca="false">Motore_Operativo!BH208</f>
        <v>1938.75</v>
      </c>
      <c r="H208" s="15" t="n">
        <f aca="false">Motore_Operativo!BI208</f>
        <v>15973.7030513813</v>
      </c>
      <c r="I208" s="15" t="n">
        <f aca="false">Motore_Operativo!CA208</f>
        <v>56497.4392605267</v>
      </c>
      <c r="J208" s="15" t="n">
        <f aca="false">Motore_Operativo!CC208</f>
        <v>-40523.7362091454</v>
      </c>
      <c r="K208" s="15" t="n">
        <f aca="false">Motore_Operativo!CE208</f>
        <v>2083.33333333333</v>
      </c>
      <c r="L208" s="15" t="n">
        <f aca="false">SUM(INDEX($K$185:$K$244,MAX(1,24-Parametri_v3!$C$59+1)):K208)/Parametri_v3!$C$59</f>
        <v>1250</v>
      </c>
      <c r="M208" s="15" t="n">
        <f aca="false">J208-L208</f>
        <v>-41773.7362091454</v>
      </c>
      <c r="N208" s="15" t="n">
        <f aca="false">CD208-(CD207)</f>
        <v>21853.5244350011</v>
      </c>
      <c r="O208" s="15" t="n">
        <f aca="false">(BG207)*Ipotesi!$C$110/12+CH208*Parametri_v3!$C$39/12</f>
        <v>750</v>
      </c>
      <c r="P208" s="15" t="n">
        <f aca="false">M208+N208-O208</f>
        <v>-20670.2117741443</v>
      </c>
      <c r="Q208" s="15" t="n">
        <f aca="false">SUM(P197:P208)+Parametri_v3!$C$54*12/12</f>
        <v>-498938.590337124</v>
      </c>
      <c r="R208" s="15" t="n">
        <f aca="false">Z196</f>
        <v>280952.661629333</v>
      </c>
      <c r="S208" s="15" t="n">
        <f aca="false">AA196</f>
        <v>0</v>
      </c>
      <c r="T208" s="15" t="n">
        <f aca="false">MIN(R208,MAX(0,Q208))</f>
        <v>0</v>
      </c>
      <c r="U208" s="15" t="n">
        <f aca="false">MIN(S208,MAX(0,Q208-T208)*Parametri_v3!$C$42)</f>
        <v>0</v>
      </c>
      <c r="V208" s="15" t="n">
        <f aca="false">MAX(0,Q208-T208-U208)*Ipotesi!$C$92</f>
        <v>0</v>
      </c>
      <c r="W208" s="15" t="n">
        <f aca="false">MAX(0,SUM(M197:M208)+Parametri_v3!$C$55*12/12)*Ipotesi!$C$93</f>
        <v>0</v>
      </c>
      <c r="X208" s="15" t="n">
        <f aca="false">V208+W208-(V207+W207)</f>
        <v>0</v>
      </c>
      <c r="Y208" s="15" t="n">
        <f aca="false">P208-X208</f>
        <v>-20670.2117741443</v>
      </c>
      <c r="Z208" s="15" t="n">
        <f aca="false">R208-T208+IF(AND(Parametri_v3!$C$40=1,D208-YEAR(Parametri_v3!$C$50)&lt;Parametri_v3!$C$41),MAX(0,-Q208),0)</f>
        <v>779891.251966456</v>
      </c>
      <c r="AA208" s="15" t="n">
        <f aca="false">S208-U208+IF(AND(Parametri_v3!$C$40=1,D208-YEAR(Parametri_v3!$C$50)&lt;Parametri_v3!$C$41),0,MAX(0,-Q208))</f>
        <v>0</v>
      </c>
      <c r="AB208" s="15" t="n">
        <f aca="false">F208*(1+Parametri_v3!$C$26)</f>
        <v>17122.6427226852</v>
      </c>
      <c r="AC208" s="15" t="n">
        <f aca="false">(IF(24-(INT((Motore_Operativo!L208)/30))&lt;1,0,INDEX(Motore_Startup!$AB$185:$AB$244,MAX(1,24-(INT((Motore_Operativo!L208)/30)))))*(1-(MOD((Motore_Operativo!L208),30)/30))+IF(24-(INT((Motore_Operativo!L208)/30))-1&lt;1,0,INDEX(Motore_Startup!$AB$185:$AB$244,MAX(1,24-(INT((Motore_Operativo!L208)/30))-1)))*(MOD((Motore_Operativo!L208),30)/30))</f>
        <v>15861.323209483</v>
      </c>
      <c r="AD208" s="15" t="n">
        <f aca="false">(AD207)+AB208-AC208</f>
        <v>66534.7070983469</v>
      </c>
      <c r="AE208" s="15" t="n">
        <f aca="false">Motore_Operativo!BH208*(1+Parametri_v3!$C$26)</f>
        <v>2365.275</v>
      </c>
      <c r="AF208" s="15" t="n">
        <f aca="false">(IF(24-(INT((Parametri_v3!$C$29)/30))&lt;1,0,INDEX(Motore_Operativo!$BH$185:$BH$244,MAX(1,24-(INT((Parametri_v3!$C$29)/30)))))*(1-(MOD((Parametri_v3!$C$29),30)/30))+IF(24-(INT((Parametri_v3!$C$29)/30))-1&lt;1,0,INDEX(Motore_Operativo!$BH$185:$BH$244,MAX(1,24-(INT((Parametri_v3!$C$29)/30))-1)))*(MOD((Parametri_v3!$C$29),30)/30))*(1+Parametri_v3!$C$26)</f>
        <v>2365.275</v>
      </c>
      <c r="AG208" s="15" t="n">
        <f aca="false">(AG207)+AE208-AF208</f>
        <v>2365.275</v>
      </c>
      <c r="AH208" s="15" t="n">
        <f aca="false">(Motore_Operativo!CJ208)*(1+Parametri_v3!$C$27*Parametri_v3!$C$26)</f>
        <v>19864.3729022452</v>
      </c>
      <c r="AI208" s="15" t="n">
        <f aca="false">(IF(24-(INT((Ipotesi!$C$91)/30))&lt;1,0,INDEX(Motore_Startup!$AH$185:$AH$244,MAX(1,24-(INT((Ipotesi!$C$91)/30)))))*(1-(MOD((Ipotesi!$C$91),30)/30))+IF(24-(INT((Ipotesi!$C$91)/30))-1&lt;1,0,INDEX(Motore_Startup!$AH$185:$AH$244,MAX(1,24-(INT((Ipotesi!$C$91)/30))-1)))*(MOD((Ipotesi!$C$91),30)/30))</f>
        <v>19775.0958400455</v>
      </c>
      <c r="AJ208" s="15" t="n">
        <f aca="false">(AJ207)+AH208-AI208</f>
        <v>39682.5411985937</v>
      </c>
      <c r="AK208" s="15" t="n">
        <f aca="false">(F208+ Motore_Operativo!BH208-(Motore_Operativo!CJ208)*Parametri_v3!$C$27-Motore_Operativo!CE208)*Parametri_v3!$C$26</f>
        <v>-73.5523037479435</v>
      </c>
      <c r="AL208" s="15" t="n">
        <f aca="false">MAX(0,(AM207))</f>
        <v>0</v>
      </c>
      <c r="AM208" s="15" t="n">
        <f aca="false">(AM207)+AK208-AL208</f>
        <v>-17746.8295783203</v>
      </c>
      <c r="AN208" s="15" t="n">
        <f aca="false">SUM(X185:X196)</f>
        <v>0</v>
      </c>
      <c r="AO208" s="15" t="n">
        <f aca="false">SUM(AP185:AP196)</f>
        <v>0</v>
      </c>
      <c r="AP208" s="15" t="n">
        <f aca="false">MAX(0,AN208)*IF(12=Parametri_v3!$C$43,Parametri_v3!$C$45,IF(12=Parametri_v3!$C$44,1-Parametri_v3!$C$45,0))</f>
        <v>0</v>
      </c>
      <c r="AQ208" s="15" t="n">
        <f aca="false">MAX(0,AP208+IF(12=Parametri_v3!$C$43,MAX(0,AN208-AO208),0)-MAX(0,-(AR207)))</f>
        <v>0</v>
      </c>
      <c r="AR208" s="15" t="n">
        <f aca="false">(AR207)+X208-AQ208</f>
        <v>0</v>
      </c>
      <c r="AS208" s="15" t="n">
        <f aca="false">Motore_Operativo!AB208-AT208+AU208</f>
        <v>37774.375</v>
      </c>
      <c r="AT208" s="15" t="n">
        <f aca="false">Motore_Operativo!CH208</f>
        <v>1988.125</v>
      </c>
      <c r="AU208" s="15" t="n">
        <f aca="false">MIN(MAX(0,(AV207)+AT208),Parametri_v3!$C$60/12)</f>
        <v>0</v>
      </c>
      <c r="AV208" s="15" t="n">
        <f aca="false">(AV207)+AT208-AU208</f>
        <v>34607.5</v>
      </c>
      <c r="AW208" s="15" t="n">
        <f aca="false">IF(AND(Motore_Operativo!C208=Finanziamenti!$D$6,Finanziamenti!$F$6=1),Finanziamenti!$C$6,0)</f>
        <v>0</v>
      </c>
      <c r="AX208" s="15" t="n">
        <f aca="false">IF(AND(4&lt;&gt;7,4&lt;&gt;9,Finanziamenti!$F$8=1,OR(Parametri_v3!$C$6=0,Finanziamenti!$E$8=1),Motore_Operativo!C208=EDATE(Finanziamenti!$D$8,Ipotesi!F15*12)),Finanziamenti!$C$8*1,0)+IF(AND(4&lt;&gt;7,4&lt;&gt;9,Finanziamenti!$F$9=1,OR(Parametri_v3!$C$6=0,Finanziamenti!$E$9=1),Motore_Operativo!C208=EDATE(Finanziamenti!$D$9,Ipotesi!F15*12)),Finanziamenti!$C$9*Ipotesi!F16,0)</f>
        <v>0</v>
      </c>
      <c r="AY208" s="15" t="n">
        <f aca="false">0</f>
        <v>0</v>
      </c>
      <c r="AZ208" s="15" t="n">
        <f aca="false">Motore_Advisory!AY208*(1-Ipotesi!$C$95)*Ipotesi!$C$96</f>
        <v>0</v>
      </c>
      <c r="BA208" s="15" t="n">
        <f aca="false">MAX(0,MIN(CG208*MIN(1,IF(Motore_Operativo!C208&gt;=EDATE(Finanziamenti!$D$15,Ipotesi!F14*12),Finanziamenti!$C$15,0)+IF(Motore_Operativo!C208&gt;=EDATE(Finanziamenti!$D$16,Ipotesi!F14*12),Finanziamenti!$C$16,0)+IF(Motore_Operativo!C208&gt;=EDATE(Finanziamenti!$D$17,Ipotesi!F14*12),Finanziamenti!$C$17,0)),CA208*Ipotesi!$C$102)-(CC207))</f>
        <v>80000</v>
      </c>
      <c r="BB208" s="15" t="n">
        <f aca="false">IF(AND(CF208&gt;0,Motore_Operativo!C208&gt;=IF(CF208=0,0,EDATE(CF208,Parametri_v3!$C$37)),MOD(((D208-YEAR(IF(CF208=0,0,EDATE(CF208,Parametri_v3!$C$37))))*12+E208-MONTH(IF(CF208=0,0,EDATE(CF208,Parametri_v3!$C$37)))),Parametri_v3!$C$38)=0),MIN(MAX(0,(BC207)+BA208-N208),(CC208-CD208)/(Ipotesi!$C$108*12/Parametri_v3!$C$38)),0)</f>
        <v>0</v>
      </c>
      <c r="BC208" s="15" t="n">
        <f aca="false">(BC207)+BA208-N208-BB208</f>
        <v>58146.4755649989</v>
      </c>
      <c r="BD208" s="15" t="n">
        <f aca="false">(BH207)+AC208+AF208-AI208-AS208-K208*(1+Parametri_v3!$C$26)-AL208-AQ208-O208+AW208+AX208+AZ208+BA208-BB208</f>
        <v>-484309.880212864</v>
      </c>
      <c r="BE208" s="15" t="n">
        <f aca="false">MAX(0,MIN(MAX(0,CH208-(BG207)),Parametri_v3!$C$30-BD208))</f>
        <v>0</v>
      </c>
      <c r="BF208" s="15" t="n">
        <f aca="false">IF(Motore_Operativo!C208&gt;=Parametri_v3!$C$63,(BG207),MIN((BG207),MAX(0,BD208-Parametri_v3!$C$30)))</f>
        <v>0</v>
      </c>
      <c r="BG208" s="15" t="n">
        <f aca="false">(BG207)+BE208-BF208</f>
        <v>150000</v>
      </c>
      <c r="BH208" s="15" t="n">
        <f aca="false">BD208+BE208-BF208-AY208</f>
        <v>-484309.880212864</v>
      </c>
      <c r="BI208" s="15" t="n">
        <f aca="false">MAX(0,Parametri_v3!$C$30-BH208)</f>
        <v>509309.880212864</v>
      </c>
      <c r="BJ208" s="15" t="n">
        <f aca="false">(BJ207)+K208</f>
        <v>45000</v>
      </c>
      <c r="BK208" s="15" t="n">
        <f aca="false">(BK207)+L208</f>
        <v>14791.6666666667</v>
      </c>
      <c r="BL208" s="15" t="n">
        <f aca="false">BJ208-BK208</f>
        <v>30208.3333333333</v>
      </c>
      <c r="BM208" s="15" t="n">
        <f aca="false">(BM207)+Y208</f>
        <v>-779891.251966456</v>
      </c>
      <c r="BN208" s="15" t="n">
        <f aca="false">(BN207)+AW208+AX208+AZ208</f>
        <v>130000</v>
      </c>
      <c r="BO208" s="15" t="n">
        <f aca="false">(BO207)+AY208</f>
        <v>0</v>
      </c>
      <c r="BP208" s="15" t="n">
        <f aca="false">0</f>
        <v>0</v>
      </c>
      <c r="BQ208" s="15" t="n">
        <f aca="false">BN208+BM208-BO208</f>
        <v>-649891.251966456</v>
      </c>
      <c r="BR208" s="15" t="n">
        <f aca="false">BH208+AD208+BL208+MAX(0,-AM208)+MAX(0,-AR208)+AG208</f>
        <v>-367454.735202864</v>
      </c>
      <c r="BS208" s="15" t="n">
        <f aca="false">AJ208+AV208+MAX(0,AM208)+MAX(0,AR208)+BC208+BG208+BQ208</f>
        <v>-367454.735202864</v>
      </c>
      <c r="BT208" s="15" t="n">
        <f aca="false">BR208-BS208</f>
        <v>0</v>
      </c>
      <c r="BU208" s="15" t="n">
        <f aca="false">BH208-(BD208+BE208-BF208-AY208)</f>
        <v>0</v>
      </c>
      <c r="BV208" s="15" t="n">
        <f aca="false">MIN(Piano_SS!$C$6,(BV207)+IF(AND(Motore_Operativo!C208&gt;=EDATE(Parametri_v3!$C$24,Ipotesi!F14*12),Motore_Operativo!C208&lt;EDATE(Parametri_v3!$C$24,Parametri_v3!$C$25+Ipotesi!F14*12)),MAX(0,(Motore_Operativo!Y208+Motore_Operativo!X208*Parametri_v3!$C$14)*(1-Parametri_v3!$C$32))*Piano_SS!$D$6,0))</f>
        <v>73387.5</v>
      </c>
      <c r="BW208" s="15" t="n">
        <f aca="false">MIN(Piano_SS!$C$7,(BW207)+IF(AND(Motore_Operativo!C208&gt;=EDATE(Parametri_v3!$C$24,Ipotesi!F14*12),Motore_Operativo!C208&lt;EDATE(Parametri_v3!$C$24,Parametri_v3!$C$25+Ipotesi!F14*12)),MAX(0,(IF(24-(INT((Ipotesi!$C$91)/30))&lt;1,0,INDEX(Motore_Operativo!$BN$185:$BN$244,MAX(1,24-(INT((Ipotesi!$C$91)/30)))))*(1-(MOD((Ipotesi!$C$91),30)/30))+IF(24-(INT((Ipotesi!$C$91)/30))-1&lt;1,0,INDEX(Motore_Operativo!$BN$185:$BN$244,MAX(1,24-(INT((Ipotesi!$C$91)/30))-1)))*(MOD((Ipotesi!$C$91),30)/30)))*Piano_SS!$D$7,0))</f>
        <v>8604.81554501183</v>
      </c>
      <c r="BX208" s="15" t="n">
        <f aca="false">MIN(Piano_SS!$C$8,(BX207)+IF(AND(Motore_Operativo!C208&gt;=EDATE(Parametri_v3!$C$24,Ipotesi!F14*12),Motore_Operativo!C208&lt;EDATE(Parametri_v3!$C$24,Parametri_v3!$C$25+Ipotesi!F14*12)),MAX(0,Motore_Operativo!CE208)*Piano_SS!$D$8,0))</f>
        <v>12500</v>
      </c>
      <c r="BY208" s="15" t="n">
        <f aca="false">MIN(Piano_SS!$C$9,(BY207)+IF(AND(Motore_Operativo!C208&gt;=EDATE(Parametri_v3!$C$24,Ipotesi!F14*12),Motore_Operativo!C208&lt;EDATE(Parametri_v3!$C$24,Parametri_v3!$C$25+Ipotesi!F14*12)),MAX(0,((IF(24-(INT((Ipotesi!$C$91)/30))&lt;1,0,INDEX(Motore_Operativo!$BQ$185:$BQ$244,MAX(1,24-(INT((Ipotesi!$C$91)/30)))))*(1-(MOD((Ipotesi!$C$91),30)/30))+IF(24-(INT((Ipotesi!$C$91)/30))-1&lt;1,0,INDEX(Motore_Operativo!$BQ$185:$BQ$244,MAX(1,24-(INT((Ipotesi!$C$91)/30))-1)))*(MOD((Ipotesi!$C$91),30)/30))+(IF(24-(INT((Ipotesi!$C$91)/30))&lt;1,0,INDEX(Motore_Operativo!$BR$185:$BR$244,MAX(1,24-(INT((Ipotesi!$C$91)/30)))))*(1-(MOD((Ipotesi!$C$91),30)/30))+IF(24-(INT((Ipotesi!$C$91)/30))-1&lt;1,0,INDEX(Motore_Operativo!$BR$185:$BR$244,MAX(1,24-(INT((Ipotesi!$C$91)/30))-1)))*(MOD((Ipotesi!$C$91),30)/30))))*Piano_SS!$D$9,0))</f>
        <v>17500</v>
      </c>
      <c r="BZ208" s="15" t="n">
        <f aca="false">MIN(Piano_SS!$C$10,(BZ207)+IF(AND(Motore_Operativo!C208&gt;=EDATE(Parametri_v3!$C$24,Ipotesi!F14*12),Motore_Operativo!C208&lt;EDATE(Parametri_v3!$C$24,Parametri_v3!$C$25+Ipotesi!F14*12)),MAX(0,(IF(24-(INT((Ipotesi!$C$91)/30))&lt;1,0,INDEX(Motore_Operativo!$BO$185:$BO$244,MAX(1,24-(INT((Ipotesi!$C$91)/30)))))*(1-(MOD((Ipotesi!$C$91),30)/30))+IF(24-(INT((Ipotesi!$C$91)/30))-1&lt;1,0,INDEX(Motore_Operativo!$BO$185:$BO$244,MAX(1,24-(INT((Ipotesi!$C$91)/30))-1)))*(MOD((Ipotesi!$C$91),30)/30)))*Piano_SS!$D$10,0))</f>
        <v>11000</v>
      </c>
      <c r="CA208" s="15" t="n">
        <f aca="false">SUM(BV208:BZ208)</f>
        <v>122992.315545012</v>
      </c>
      <c r="CB208" s="15" t="n">
        <f aca="false">BV208*(1-Piano_SS!$E$6)+BW208*(1-Piano_SS!$E$7)+BX208*(1-Piano_SS!$E$8)+BY208*(1-Piano_SS!$E$9)+BZ208*(1-Piano_SS!$E$10)</f>
        <v>111992.315545012</v>
      </c>
      <c r="CC208" s="15" t="n">
        <f aca="false">(CC207)+BA208</f>
        <v>80000</v>
      </c>
      <c r="CD208" s="15" t="n">
        <f aca="false">IF(CA208=0,0,CC208*CB208/CA208*Ipotesi!$C$103*Parametri_v3!$C$64)</f>
        <v>21853.5244350011</v>
      </c>
      <c r="CE208" s="18" t="n">
        <f aca="false">IF(BA208&gt;0,Motore_Operativo!C208,(CE207))</f>
        <v>47088</v>
      </c>
      <c r="CF208" s="18" t="n">
        <f aca="false">IF(AND(CC208&gt;0,OR(CC208&gt;=CG208-0.01,Motore_Operativo!C208&gt;=EDATE(MAX(Finanziamenti!$D$15:$D$17),Ipotesi!F14*12))),CE208,0)</f>
        <v>0</v>
      </c>
      <c r="CG208" s="15" t="n">
        <f aca="false">IF(AND(4&lt;&gt;6,4&lt;&gt;9,Finanziamenti!$F$11=1,OR(Parametri_v3!$C$6=0,Finanziamenti!$E$11=1)),MIN(Finanziamenti!$C$11,Piano_SS!$C$12*Ipotesi!$C$102),0)</f>
        <v>400000</v>
      </c>
      <c r="CH208" s="15" t="n">
        <f aca="false">IF(AND(AND(4&lt;&gt;8,4&lt;&gt;9,Finanziamenti!$F$10=1,OR(Parametri_v3!$C$6=0,Finanziamenti!$E$10=1)),Motore_Operativo!C208&gt;=Finanziamenti!$D$10,Motore_Operativo!C208&lt;Parametri_v3!$C$63),Finanziamenti!$C$10,0)</f>
        <v>150000</v>
      </c>
    </row>
    <row r="209" customFormat="false" ht="18" hidden="false" customHeight="true" outlineLevel="0" collapsed="false">
      <c r="A209" s="68" t="n">
        <f aca="false">4</f>
        <v>4</v>
      </c>
      <c r="B209" s="68" t="n">
        <f aca="false">25</f>
        <v>25</v>
      </c>
      <c r="C209" s="18" t="n">
        <f aca="false">Motore_Operativo!C209</f>
        <v>47119</v>
      </c>
      <c r="D209" s="68" t="n">
        <f aca="false">Motore_Operativo!D209</f>
        <v>2029</v>
      </c>
      <c r="E209" s="68" t="n">
        <f aca="false">Motore_Operativo!E209</f>
        <v>1</v>
      </c>
      <c r="F209" s="15" t="n">
        <f aca="false">Motore_Operativo!AQ209+Motore_Operativo!BF209</f>
        <v>25827.4853061564</v>
      </c>
      <c r="G209" s="15" t="n">
        <f aca="false">Motore_Operativo!BH209</f>
        <v>3267</v>
      </c>
      <c r="H209" s="15" t="n">
        <f aca="false">Motore_Operativo!BI209</f>
        <v>29094.4853061564</v>
      </c>
      <c r="I209" s="15" t="n">
        <f aca="false">Motore_Operativo!CA209</f>
        <v>112550.024609529</v>
      </c>
      <c r="J209" s="15" t="n">
        <f aca="false">Motore_Operativo!CC209</f>
        <v>-83455.5393033722</v>
      </c>
      <c r="K209" s="15" t="n">
        <f aca="false">Motore_Operativo!CE209</f>
        <v>2500</v>
      </c>
      <c r="L209" s="15" t="n">
        <f aca="false">SUM(INDEX($K$185:$K$244,MAX(1,25-Parametri_v3!$C$59+1)):K209)/Parametri_v3!$C$59</f>
        <v>1319.44444444444</v>
      </c>
      <c r="M209" s="15" t="n">
        <f aca="false">J209-L209</f>
        <v>-84774.9837478166</v>
      </c>
      <c r="N209" s="15" t="n">
        <f aca="false">CD209-(CD208)</f>
        <v>178.71180372993</v>
      </c>
      <c r="O209" s="15" t="n">
        <f aca="false">(BG208)*Ipotesi!$C$110/12+CH209*Parametri_v3!$C$39/12</f>
        <v>750</v>
      </c>
      <c r="P209" s="15" t="n">
        <f aca="false">M209+N209-O209</f>
        <v>-85346.2719440867</v>
      </c>
      <c r="Q209" s="15" t="n">
        <f aca="false">SUM(P209)+Parametri_v3!$C$54*1/12</f>
        <v>-85346.2719440867</v>
      </c>
      <c r="R209" s="15" t="n">
        <f aca="false">Z208</f>
        <v>779891.251966456</v>
      </c>
      <c r="S209" s="15" t="n">
        <f aca="false">AA208</f>
        <v>0</v>
      </c>
      <c r="T209" s="15" t="n">
        <f aca="false">MIN(R209,MAX(0,Q209))</f>
        <v>0</v>
      </c>
      <c r="U209" s="15" t="n">
        <f aca="false">MIN(S209,MAX(0,Q209-T209)*Parametri_v3!$C$42)</f>
        <v>0</v>
      </c>
      <c r="V209" s="15" t="n">
        <f aca="false">MAX(0,Q209-T209-U209)*Ipotesi!$C$92</f>
        <v>0</v>
      </c>
      <c r="W209" s="15" t="n">
        <f aca="false">MAX(0,SUM(M209)+Parametri_v3!$C$55*1/12)*Ipotesi!$C$93</f>
        <v>0</v>
      </c>
      <c r="X209" s="15" t="n">
        <f aca="false">V209+W209-(0)</f>
        <v>0</v>
      </c>
      <c r="Y209" s="15" t="n">
        <f aca="false">P209-X209</f>
        <v>-85346.2719440867</v>
      </c>
      <c r="Z209" s="15" t="n">
        <f aca="false">R209-T209+IF(AND(Parametri_v3!$C$40=1,D209-YEAR(Parametri_v3!$C$50)&lt;Parametri_v3!$C$41),MAX(0,-Q209),0)</f>
        <v>865237.523910543</v>
      </c>
      <c r="AA209" s="15" t="n">
        <f aca="false">S209-U209+IF(AND(Parametri_v3!$C$40=1,D209-YEAR(Parametri_v3!$C$50)&lt;Parametri_v3!$C$41),0,MAX(0,-Q209))</f>
        <v>0</v>
      </c>
      <c r="AB209" s="15" t="n">
        <f aca="false">F209*(1+Parametri_v3!$C$26)</f>
        <v>31509.5320735108</v>
      </c>
      <c r="AC209" s="15" t="n">
        <f aca="false">(IF(25-(INT((Motore_Operativo!L209)/30))&lt;1,0,INDEX(Motore_Startup!$AB$185:$AB$244,MAX(1,25-(INT((Motore_Operativo!L209)/30)))))*(1-(MOD((Motore_Operativo!L209),30)/30))+IF(25-(INT((Motore_Operativo!L209)/30))-1&lt;1,0,INDEX(Motore_Startup!$AB$185:$AB$244,MAX(1,25-(INT((Motore_Operativo!L209)/30))-1)))*(MOD((Motore_Operativo!L209),30)/30))</f>
        <v>16161.4090607388</v>
      </c>
      <c r="AD209" s="15" t="n">
        <f aca="false">(AD208)+AB209-AC209</f>
        <v>81882.8301111189</v>
      </c>
      <c r="AE209" s="15" t="n">
        <f aca="false">Motore_Operativo!BH209*(1+Parametri_v3!$C$26)</f>
        <v>3985.74</v>
      </c>
      <c r="AF209" s="15" t="n">
        <f aca="false">(IF(25-(INT((Parametri_v3!$C$29)/30))&lt;1,0,INDEX(Motore_Operativo!$BH$185:$BH$244,MAX(1,25-(INT((Parametri_v3!$C$29)/30)))))*(1-(MOD((Parametri_v3!$C$29),30)/30))+IF(25-(INT((Parametri_v3!$C$29)/30))-1&lt;1,0,INDEX(Motore_Operativo!$BH$185:$BH$244,MAX(1,25-(INT((Parametri_v3!$C$29)/30))-1)))*(MOD((Parametri_v3!$C$29),30)/30))*(1+Parametri_v3!$C$26)</f>
        <v>2365.275</v>
      </c>
      <c r="AG209" s="15" t="n">
        <f aca="false">(AG208)+AE209-AF209</f>
        <v>3985.74</v>
      </c>
      <c r="AH209" s="15" t="n">
        <f aca="false">(Motore_Operativo!CJ209)*(1+Parametri_v3!$C$27*Parametri_v3!$C$26)</f>
        <v>45434.0368781771</v>
      </c>
      <c r="AI209" s="15" t="n">
        <f aca="false">(IF(25-(INT((Ipotesi!$C$91)/30))&lt;1,0,INDEX(Motore_Startup!$AH$185:$AH$244,MAX(1,25-(INT((Ipotesi!$C$91)/30)))))*(1-(MOD((Ipotesi!$C$91),30)/30))+IF(25-(INT((Ipotesi!$C$91)/30))-1&lt;1,0,INDEX(Motore_Startup!$AH$185:$AH$244,MAX(1,25-(INT((Ipotesi!$C$91)/30))-1)))*(MOD((Ipotesi!$C$91),30)/30))</f>
        <v>19818.1682963485</v>
      </c>
      <c r="AJ209" s="15" t="n">
        <f aca="false">(AJ208)+AH209-AI209</f>
        <v>65298.4097804223</v>
      </c>
      <c r="AK209" s="15" t="n">
        <f aca="false">(F209+ Motore_Operativo!BH209-(Motore_Operativo!CJ209)*Parametri_v3!$C$27-Motore_Operativo!CE209)*Parametri_v3!$C$26</f>
        <v>-1306.89216796077</v>
      </c>
      <c r="AL209" s="15" t="n">
        <f aca="false">MAX(0,(AM208))</f>
        <v>0</v>
      </c>
      <c r="AM209" s="15" t="n">
        <f aca="false">(AM208)+AK209-AL209</f>
        <v>-19053.7217462811</v>
      </c>
      <c r="AN209" s="15" t="n">
        <f aca="false">SUM(X197:X208)</f>
        <v>0</v>
      </c>
      <c r="AO209" s="15" t="n">
        <f aca="false">SUM(AP197:AP208)</f>
        <v>0</v>
      </c>
      <c r="AP209" s="15" t="n">
        <f aca="false">MAX(0,AN209)*IF(1=Parametri_v3!$C$43,Parametri_v3!$C$45,IF(1=Parametri_v3!$C$44,1-Parametri_v3!$C$45,0))</f>
        <v>0</v>
      </c>
      <c r="AQ209" s="15" t="n">
        <f aca="false">MAX(0,AP209+IF(1=Parametri_v3!$C$43,MAX(0,AN209-AO209),0)-MAX(0,-(AR208)))</f>
        <v>0</v>
      </c>
      <c r="AR209" s="15" t="n">
        <f aca="false">(AR208)+X209-AQ209</f>
        <v>0</v>
      </c>
      <c r="AS209" s="15" t="n">
        <f aca="false">Motore_Operativo!AB209-AT209+AU209</f>
        <v>70559.9833333333</v>
      </c>
      <c r="AT209" s="15" t="n">
        <f aca="false">Motore_Operativo!CH209</f>
        <v>3713.68333333333</v>
      </c>
      <c r="AU209" s="15" t="n">
        <f aca="false">MIN(MAX(0,(AV208)+AT209),Parametri_v3!$C$60/12)</f>
        <v>0</v>
      </c>
      <c r="AV209" s="15" t="n">
        <f aca="false">(AV208)+AT209-AU209</f>
        <v>38321.1833333333</v>
      </c>
      <c r="AW209" s="15" t="n">
        <f aca="false">IF(AND(Motore_Operativo!C209=Finanziamenti!$D$6,Finanziamenti!$F$6=1),Finanziamenti!$C$6,0)</f>
        <v>0</v>
      </c>
      <c r="AX209" s="15" t="n">
        <f aca="false">IF(AND(4&lt;&gt;7,4&lt;&gt;9,Finanziamenti!$F$8=1,OR(Parametri_v3!$C$6=0,Finanziamenti!$E$8=1),Motore_Operativo!C209=EDATE(Finanziamenti!$D$8,Ipotesi!F15*12)),Finanziamenti!$C$8*1,0)+IF(AND(4&lt;&gt;7,4&lt;&gt;9,Finanziamenti!$F$9=1,OR(Parametri_v3!$C$6=0,Finanziamenti!$E$9=1),Motore_Operativo!C209=EDATE(Finanziamenti!$D$9,Ipotesi!F15*12)),Finanziamenti!$C$9*Ipotesi!F16,0)</f>
        <v>0</v>
      </c>
      <c r="AY209" s="15" t="n">
        <f aca="false">0</f>
        <v>0</v>
      </c>
      <c r="AZ209" s="15" t="n">
        <f aca="false">Motore_Advisory!AY209*(1-Ipotesi!$C$95)*Ipotesi!$C$96</f>
        <v>0</v>
      </c>
      <c r="BA209" s="15" t="n">
        <f aca="false">MAX(0,MIN(CG209*MIN(1,IF(Motore_Operativo!C209&gt;=EDATE(Finanziamenti!$D$15,Ipotesi!F14*12),Finanziamenti!$C$15,0)+IF(Motore_Operativo!C209&gt;=EDATE(Finanziamenti!$D$16,Ipotesi!F14*12),Finanziamenti!$C$16,0)+IF(Motore_Operativo!C209&gt;=EDATE(Finanziamenti!$D$17,Ipotesi!F14*12),Finanziamenti!$C$17,0)),CA209*Ipotesi!$C$102)-(CC208))</f>
        <v>0</v>
      </c>
      <c r="BB209" s="15" t="n">
        <f aca="false">IF(AND(CF209&gt;0,Motore_Operativo!C209&gt;=IF(CF209=0,0,EDATE(CF209,Parametri_v3!$C$37)),MOD(((D209-YEAR(IF(CF209=0,0,EDATE(CF209,Parametri_v3!$C$37))))*12+E209-MONTH(IF(CF209=0,0,EDATE(CF209,Parametri_v3!$C$37)))),Parametri_v3!$C$38)=0),MIN(MAX(0,(BC208)+BA209-N209),(CC209-CD209)/(Ipotesi!$C$108*12/Parametri_v3!$C$38)),0)</f>
        <v>0</v>
      </c>
      <c r="BC209" s="15" t="n">
        <f aca="false">(BC208)+BA209-N209-BB209</f>
        <v>57967.763761269</v>
      </c>
      <c r="BD209" s="15" t="n">
        <f aca="false">(BH208)+AC209+AF209-AI209-AS209-K209*(1+Parametri_v3!$C$26)-AL209-AQ209-O209+AW209+AX209+AZ209+BA209-BB209</f>
        <v>-559961.347781807</v>
      </c>
      <c r="BE209" s="15" t="n">
        <f aca="false">MAX(0,MIN(MAX(0,CH209-(BG208)),Parametri_v3!$C$30-BD209))</f>
        <v>0</v>
      </c>
      <c r="BF209" s="15" t="n">
        <f aca="false">IF(Motore_Operativo!C209&gt;=Parametri_v3!$C$63,(BG208),MIN((BG208),MAX(0,BD209-Parametri_v3!$C$30)))</f>
        <v>0</v>
      </c>
      <c r="BG209" s="15" t="n">
        <f aca="false">(BG208)+BE209-BF209</f>
        <v>150000</v>
      </c>
      <c r="BH209" s="15" t="n">
        <f aca="false">BD209+BE209-BF209-AY209</f>
        <v>-559961.347781807</v>
      </c>
      <c r="BI209" s="15" t="n">
        <f aca="false">MAX(0,Parametri_v3!$C$30-BH209)</f>
        <v>584961.347781807</v>
      </c>
      <c r="BJ209" s="15" t="n">
        <f aca="false">(BJ208)+K209</f>
        <v>47500</v>
      </c>
      <c r="BK209" s="15" t="n">
        <f aca="false">(BK208)+L209</f>
        <v>16111.1111111111</v>
      </c>
      <c r="BL209" s="15" t="n">
        <f aca="false">BJ209-BK209</f>
        <v>31388.8888888889</v>
      </c>
      <c r="BM209" s="15" t="n">
        <f aca="false">(BM208)+Y209</f>
        <v>-865237.523910543</v>
      </c>
      <c r="BN209" s="15" t="n">
        <f aca="false">(BN208)+AW209+AX209+AZ209</f>
        <v>130000</v>
      </c>
      <c r="BO209" s="15" t="n">
        <f aca="false">(BO208)+AY209</f>
        <v>0</v>
      </c>
      <c r="BP209" s="15" t="n">
        <f aca="false">0</f>
        <v>0</v>
      </c>
      <c r="BQ209" s="15" t="n">
        <f aca="false">BN209+BM209-BO209</f>
        <v>-735237.523910543</v>
      </c>
      <c r="BR209" s="15" t="n">
        <f aca="false">BH209+AD209+BL209+MAX(0,-AM209)+MAX(0,-AR209)+AG209</f>
        <v>-423650.167035519</v>
      </c>
      <c r="BS209" s="15" t="n">
        <f aca="false">AJ209+AV209+MAX(0,AM209)+MAX(0,AR209)+BC209+BG209+BQ209</f>
        <v>-423650.167035519</v>
      </c>
      <c r="BT209" s="15" t="n">
        <f aca="false">BR209-BS209</f>
        <v>0</v>
      </c>
      <c r="BU209" s="15" t="n">
        <f aca="false">BH209-(BD209+BE209-BF209-AY209)</f>
        <v>0</v>
      </c>
      <c r="BV209" s="15" t="n">
        <f aca="false">MIN(Piano_SS!$C$6,(BV208)+IF(AND(Motore_Operativo!C209&gt;=EDATE(Parametri_v3!$C$24,Ipotesi!F14*12),Motore_Operativo!C209&lt;EDATE(Parametri_v3!$C$24,Parametri_v3!$C$25+Ipotesi!F14*12)),MAX(0,(Motore_Operativo!Y209+Motore_Operativo!X209*Parametri_v3!$C$14)*(1-Parametri_v3!$C$32))*Piano_SS!$D$6,0))</f>
        <v>98163.9354166667</v>
      </c>
      <c r="BW209" s="15" t="n">
        <f aca="false">MIN(Piano_SS!$C$7,(BW208)+IF(AND(Motore_Operativo!C209&gt;=EDATE(Parametri_v3!$C$24,Ipotesi!F14*12),Motore_Operativo!C209&lt;EDATE(Parametri_v3!$C$24,Parametri_v3!$C$25+Ipotesi!F14*12)),MAX(0,(IF(25-(INT((Ipotesi!$C$91)/30))&lt;1,0,INDEX(Motore_Operativo!$BN$185:$BN$244,MAX(1,25-(INT((Ipotesi!$C$91)/30)))))*(1-(MOD((Ipotesi!$C$91),30)/30))+IF(25-(INT((Ipotesi!$C$91)/30))-1&lt;1,0,INDEX(Motore_Operativo!$BN$185:$BN$244,MAX(1,25-(INT((Ipotesi!$C$91)/30))-1)))*(MOD((Ipotesi!$C$91),30)/30)))*Piano_SS!$D$7,0))</f>
        <v>10108.9186282622</v>
      </c>
      <c r="BX209" s="15" t="n">
        <f aca="false">MIN(Piano_SS!$C$8,(BX208)+IF(AND(Motore_Operativo!C209&gt;=EDATE(Parametri_v3!$C$24,Ipotesi!F14*12),Motore_Operativo!C209&lt;EDATE(Parametri_v3!$C$24,Parametri_v3!$C$25+Ipotesi!F14*12)),MAX(0,Motore_Operativo!CE209)*Piano_SS!$D$8,0))</f>
        <v>15000</v>
      </c>
      <c r="BY209" s="15" t="n">
        <f aca="false">MIN(Piano_SS!$C$9,(BY208)+IF(AND(Motore_Operativo!C209&gt;=EDATE(Parametri_v3!$C$24,Ipotesi!F14*12),Motore_Operativo!C209&lt;EDATE(Parametri_v3!$C$24,Parametri_v3!$C$25+Ipotesi!F14*12)),MAX(0,((IF(25-(INT((Ipotesi!$C$91)/30))&lt;1,0,INDEX(Motore_Operativo!$BQ$185:$BQ$244,MAX(1,25-(INT((Ipotesi!$C$91)/30)))))*(1-(MOD((Ipotesi!$C$91),30)/30))+IF(25-(INT((Ipotesi!$C$91)/30))-1&lt;1,0,INDEX(Motore_Operativo!$BQ$185:$BQ$244,MAX(1,25-(INT((Ipotesi!$C$91)/30))-1)))*(MOD((Ipotesi!$C$91),30)/30))+(IF(25-(INT((Ipotesi!$C$91)/30))&lt;1,0,INDEX(Motore_Operativo!$BR$185:$BR$244,MAX(1,25-(INT((Ipotesi!$C$91)/30)))))*(1-(MOD((Ipotesi!$C$91),30)/30))+IF(25-(INT((Ipotesi!$C$91)/30))-1&lt;1,0,INDEX(Motore_Operativo!$BR$185:$BR$244,MAX(1,25-(INT((Ipotesi!$C$91)/30))-1)))*(MOD((Ipotesi!$C$91),30)/30))))*Piano_SS!$D$9,0))</f>
        <v>20416.6666666667</v>
      </c>
      <c r="BZ209" s="15" t="n">
        <f aca="false">MIN(Piano_SS!$C$10,(BZ208)+IF(AND(Motore_Operativo!C209&gt;=EDATE(Parametri_v3!$C$24,Ipotesi!F14*12),Motore_Operativo!C209&lt;EDATE(Parametri_v3!$C$24,Parametri_v3!$C$25+Ipotesi!F14*12)),MAX(0,(IF(25-(INT((Ipotesi!$C$91)/30))&lt;1,0,INDEX(Motore_Operativo!$BO$185:$BO$244,MAX(1,25-(INT((Ipotesi!$C$91)/30)))))*(1-(MOD((Ipotesi!$C$91),30)/30))+IF(25-(INT((Ipotesi!$C$91)/30))-1&lt;1,0,INDEX(Motore_Operativo!$BO$185:$BO$244,MAX(1,25-(INT((Ipotesi!$C$91)/30))-1)))*(MOD((Ipotesi!$C$91),30)/30)))*Piano_SS!$D$10,0))</f>
        <v>12833.3333333333</v>
      </c>
      <c r="CA209" s="15" t="n">
        <f aca="false">SUM(BV209:BZ209)</f>
        <v>156522.854044929</v>
      </c>
      <c r="CB209" s="15" t="n">
        <f aca="false">BV209*(1-Piano_SS!$E$6)+BW209*(1-Piano_SS!$E$7)+BX209*(1-Piano_SS!$E$8)+BY209*(1-Piano_SS!$E$9)+BZ209*(1-Piano_SS!$E$10)</f>
        <v>143689.520711596</v>
      </c>
      <c r="CC209" s="15" t="n">
        <f aca="false">(CC208)+BA209</f>
        <v>80000</v>
      </c>
      <c r="CD209" s="15" t="n">
        <f aca="false">IF(CA209=0,0,CC209*CB209/CA209*Ipotesi!$C$103*Parametri_v3!$C$64)</f>
        <v>22032.236238731</v>
      </c>
      <c r="CE209" s="18" t="n">
        <f aca="false">IF(BA209&gt;0,Motore_Operativo!C209,(CE208))</f>
        <v>47088</v>
      </c>
      <c r="CF209" s="18" t="n">
        <f aca="false">IF(AND(CC209&gt;0,OR(CC209&gt;=CG209-0.01,Motore_Operativo!C209&gt;=EDATE(MAX(Finanziamenti!$D$15:$D$17),Ipotesi!F14*12))),CE209,0)</f>
        <v>0</v>
      </c>
      <c r="CG209" s="15" t="n">
        <f aca="false">IF(AND(4&lt;&gt;6,4&lt;&gt;9,Finanziamenti!$F$11=1,OR(Parametri_v3!$C$6=0,Finanziamenti!$E$11=1)),MIN(Finanziamenti!$C$11,Piano_SS!$C$12*Ipotesi!$C$102),0)</f>
        <v>400000</v>
      </c>
      <c r="CH209" s="15" t="n">
        <f aca="false">IF(AND(AND(4&lt;&gt;8,4&lt;&gt;9,Finanziamenti!$F$10=1,OR(Parametri_v3!$C$6=0,Finanziamenti!$E$10=1)),Motore_Operativo!C209&gt;=Finanziamenti!$D$10,Motore_Operativo!C209&lt;Parametri_v3!$C$63),Finanziamenti!$C$10,0)</f>
        <v>150000</v>
      </c>
    </row>
    <row r="210" customFormat="false" ht="18" hidden="false" customHeight="true" outlineLevel="0" collapsed="false">
      <c r="A210" s="68" t="n">
        <f aca="false">4</f>
        <v>4</v>
      </c>
      <c r="B210" s="68" t="n">
        <f aca="false">26</f>
        <v>26</v>
      </c>
      <c r="C210" s="18" t="n">
        <f aca="false">Motore_Operativo!C210</f>
        <v>47150</v>
      </c>
      <c r="D210" s="68" t="n">
        <f aca="false">Motore_Operativo!D210</f>
        <v>2029</v>
      </c>
      <c r="E210" s="68" t="n">
        <f aca="false">Motore_Operativo!E210</f>
        <v>2</v>
      </c>
      <c r="F210" s="15" t="n">
        <f aca="false">Motore_Operativo!AQ210+Motore_Operativo!BF210</f>
        <v>26330.2487901509</v>
      </c>
      <c r="G210" s="15" t="n">
        <f aca="false">Motore_Operativo!BH210</f>
        <v>3267</v>
      </c>
      <c r="H210" s="15" t="n">
        <f aca="false">Motore_Operativo!BI210</f>
        <v>29597.2487901509</v>
      </c>
      <c r="I210" s="15" t="n">
        <f aca="false">Motore_Operativo!CA210</f>
        <v>112620.411497288</v>
      </c>
      <c r="J210" s="15" t="n">
        <f aca="false">Motore_Operativo!CC210</f>
        <v>-83023.1627071369</v>
      </c>
      <c r="K210" s="15" t="n">
        <f aca="false">Motore_Operativo!CE210</f>
        <v>2500</v>
      </c>
      <c r="L210" s="15" t="n">
        <f aca="false">SUM(INDEX($K$185:$K$244,MAX(1,26-Parametri_v3!$C$59+1)):K210)/Parametri_v3!$C$59</f>
        <v>1388.88888888889</v>
      </c>
      <c r="M210" s="15" t="n">
        <f aca="false">J210-L210</f>
        <v>-84412.0515960258</v>
      </c>
      <c r="N210" s="15" t="n">
        <f aca="false">CD210-(CD209)</f>
        <v>115.869389362175</v>
      </c>
      <c r="O210" s="15" t="n">
        <f aca="false">(BG209)*Ipotesi!$C$110/12+CH210*Parametri_v3!$C$39/12</f>
        <v>750</v>
      </c>
      <c r="P210" s="15" t="n">
        <f aca="false">M210+N210-O210</f>
        <v>-85046.1822066636</v>
      </c>
      <c r="Q210" s="15" t="n">
        <f aca="false">SUM(P209:P210)+Parametri_v3!$C$54*2/12</f>
        <v>-170392.45415075</v>
      </c>
      <c r="R210" s="15" t="n">
        <f aca="false">Z208</f>
        <v>779891.251966456</v>
      </c>
      <c r="S210" s="15" t="n">
        <f aca="false">AA208</f>
        <v>0</v>
      </c>
      <c r="T210" s="15" t="n">
        <f aca="false">MIN(R210,MAX(0,Q210))</f>
        <v>0</v>
      </c>
      <c r="U210" s="15" t="n">
        <f aca="false">MIN(S210,MAX(0,Q210-T210)*Parametri_v3!$C$42)</f>
        <v>0</v>
      </c>
      <c r="V210" s="15" t="n">
        <f aca="false">MAX(0,Q210-T210-U210)*Ipotesi!$C$92</f>
        <v>0</v>
      </c>
      <c r="W210" s="15" t="n">
        <f aca="false">MAX(0,SUM(M209:M210)+Parametri_v3!$C$55*2/12)*Ipotesi!$C$93</f>
        <v>0</v>
      </c>
      <c r="X210" s="15" t="n">
        <f aca="false">V210+W210-(V209+W209)</f>
        <v>0</v>
      </c>
      <c r="Y210" s="15" t="n">
        <f aca="false">P210-X210</f>
        <v>-85046.1822066636</v>
      </c>
      <c r="Z210" s="15" t="n">
        <f aca="false">R210-T210+IF(AND(Parametri_v3!$C$40=1,D210-YEAR(Parametri_v3!$C$50)&lt;Parametri_v3!$C$41),MAX(0,-Q210),0)</f>
        <v>950283.706117207</v>
      </c>
      <c r="AA210" s="15" t="n">
        <f aca="false">S210-U210+IF(AND(Parametri_v3!$C$40=1,D210-YEAR(Parametri_v3!$C$50)&lt;Parametri_v3!$C$41),0,MAX(0,-Q210))</f>
        <v>0</v>
      </c>
      <c r="AB210" s="15" t="n">
        <f aca="false">F210*(1+Parametri_v3!$C$26)</f>
        <v>32122.9035239841</v>
      </c>
      <c r="AC210" s="15" t="n">
        <f aca="false">(IF(26-(INT((Motore_Operativo!L210)/30))&lt;1,0,INDEX(Motore_Startup!$AB$185:$AB$244,MAX(1,26-(INT((Motore_Operativo!L210)/30)))))*(1-(MOD((Motore_Operativo!L210),30)/30))+IF(26-(INT((Motore_Operativo!L210)/30))-1&lt;1,0,INDEX(Motore_Startup!$AB$185:$AB$244,MAX(1,26-(INT((Motore_Operativo!L210)/30))-1)))*(MOD((Motore_Operativo!L210),30)/30))</f>
        <v>16467.2207953551</v>
      </c>
      <c r="AD210" s="15" t="n">
        <f aca="false">(AD209)+AB210-AC210</f>
        <v>97538.5128397478</v>
      </c>
      <c r="AE210" s="15" t="n">
        <f aca="false">Motore_Operativo!BH210*(1+Parametri_v3!$C$26)</f>
        <v>3985.74</v>
      </c>
      <c r="AF210" s="15" t="n">
        <f aca="false">(IF(26-(INT((Parametri_v3!$C$29)/30))&lt;1,0,INDEX(Motore_Operativo!$BH$185:$BH$244,MAX(1,26-(INT((Parametri_v3!$C$29)/30)))))*(1-(MOD((Parametri_v3!$C$29),30)/30))+IF(26-(INT((Parametri_v3!$C$29)/30))-1&lt;1,0,INDEX(Motore_Operativo!$BH$185:$BH$244,MAX(1,26-(INT((Parametri_v3!$C$29)/30))-1)))*(MOD((Parametri_v3!$C$29),30)/30))*(1+Parametri_v3!$C$26)</f>
        <v>3985.74</v>
      </c>
      <c r="AG210" s="15" t="n">
        <f aca="false">(AG209)+AE210-AF210</f>
        <v>3985.74</v>
      </c>
      <c r="AH210" s="15" t="n">
        <f aca="false">(Motore_Operativo!CJ210)*(1+Parametri_v3!$C$27*Parametri_v3!$C$26)</f>
        <v>45517.5861139473</v>
      </c>
      <c r="AI210" s="15" t="n">
        <f aca="false">(IF(26-(INT((Ipotesi!$C$91)/30))&lt;1,0,INDEX(Motore_Startup!$AH$185:$AH$244,MAX(1,26-(INT((Ipotesi!$C$91)/30)))))*(1-(MOD((Ipotesi!$C$91),30)/30))+IF(26-(INT((Ipotesi!$C$91)/30))-1&lt;1,0,INDEX(Motore_Startup!$AH$185:$AH$244,MAX(1,26-(INT((Ipotesi!$C$91)/30))-1)))*(MOD((Ipotesi!$C$91),30)/30))</f>
        <v>19864.3729022452</v>
      </c>
      <c r="AJ210" s="15" t="n">
        <f aca="false">(AJ209)+AH210-AI210</f>
        <v>90951.6229921243</v>
      </c>
      <c r="AK210" s="15" t="n">
        <f aca="false">(F210+ Motore_Operativo!BH210-(Motore_Operativo!CJ210)*Parametri_v3!$C$27-Motore_Operativo!CE210)*Parametri_v3!$C$26</f>
        <v>-1209.44654949296</v>
      </c>
      <c r="AL210" s="15" t="n">
        <f aca="false">MAX(0,(AM209))</f>
        <v>0</v>
      </c>
      <c r="AM210" s="15" t="n">
        <f aca="false">(AM209)+AK210-AL210</f>
        <v>-20263.168295774</v>
      </c>
      <c r="AN210" s="15" t="n">
        <f aca="false">SUM(X197:X208)</f>
        <v>0</v>
      </c>
      <c r="AO210" s="15" t="n">
        <f aca="false">SUM(AP197:AP208)</f>
        <v>0</v>
      </c>
      <c r="AP210" s="15" t="n">
        <f aca="false">MAX(0,AN210)*IF(2=Parametri_v3!$C$43,Parametri_v3!$C$45,IF(2=Parametri_v3!$C$44,1-Parametri_v3!$C$45,0))</f>
        <v>0</v>
      </c>
      <c r="AQ210" s="15" t="n">
        <f aca="false">MAX(0,AP210+IF(2=Parametri_v3!$C$43,MAX(0,AN210-AO210),0)-MAX(0,-(AR209)))</f>
        <v>0</v>
      </c>
      <c r="AR210" s="15" t="n">
        <f aca="false">(AR209)+X210-AQ210</f>
        <v>0</v>
      </c>
      <c r="AS210" s="15" t="n">
        <f aca="false">Motore_Operativo!AB210-AT210+AU210</f>
        <v>70559.9833333333</v>
      </c>
      <c r="AT210" s="15" t="n">
        <f aca="false">Motore_Operativo!CH210</f>
        <v>3713.68333333333</v>
      </c>
      <c r="AU210" s="15" t="n">
        <f aca="false">MIN(MAX(0,(AV209)+AT210),Parametri_v3!$C$60/12)</f>
        <v>0</v>
      </c>
      <c r="AV210" s="15" t="n">
        <f aca="false">(AV209)+AT210-AU210</f>
        <v>42034.8666666667</v>
      </c>
      <c r="AW210" s="15" t="n">
        <f aca="false">IF(AND(Motore_Operativo!C210=Finanziamenti!$D$6,Finanziamenti!$F$6=1),Finanziamenti!$C$6,0)</f>
        <v>0</v>
      </c>
      <c r="AX210" s="15" t="n">
        <f aca="false">IF(AND(4&lt;&gt;7,4&lt;&gt;9,Finanziamenti!$F$8=1,OR(Parametri_v3!$C$6=0,Finanziamenti!$E$8=1),Motore_Operativo!C210=EDATE(Finanziamenti!$D$8,Ipotesi!F15*12)),Finanziamenti!$C$8*1,0)+IF(AND(4&lt;&gt;7,4&lt;&gt;9,Finanziamenti!$F$9=1,OR(Parametri_v3!$C$6=0,Finanziamenti!$E$9=1),Motore_Operativo!C210=EDATE(Finanziamenti!$D$9,Ipotesi!F15*12)),Finanziamenti!$C$9*Ipotesi!F16,0)</f>
        <v>0</v>
      </c>
      <c r="AY210" s="15" t="n">
        <f aca="false">0</f>
        <v>0</v>
      </c>
      <c r="AZ210" s="15" t="n">
        <f aca="false">Motore_Advisory!AY210*(1-Ipotesi!$C$95)*Ipotesi!$C$96</f>
        <v>0</v>
      </c>
      <c r="BA210" s="15" t="n">
        <f aca="false">MAX(0,MIN(CG210*MIN(1,IF(Motore_Operativo!C210&gt;=EDATE(Finanziamenti!$D$15,Ipotesi!F14*12),Finanziamenti!$C$15,0)+IF(Motore_Operativo!C210&gt;=EDATE(Finanziamenti!$D$16,Ipotesi!F14*12),Finanziamenti!$C$16,0)+IF(Motore_Operativo!C210&gt;=EDATE(Finanziamenti!$D$17,Ipotesi!F14*12),Finanziamenti!$C$17,0)),CA210*Ipotesi!$C$102)-(CC209))</f>
        <v>0</v>
      </c>
      <c r="BB210" s="15" t="n">
        <f aca="false">IF(AND(CF210&gt;0,Motore_Operativo!C210&gt;=IF(CF210=0,0,EDATE(CF210,Parametri_v3!$C$37)),MOD(((D210-YEAR(IF(CF210=0,0,EDATE(CF210,Parametri_v3!$C$37))))*12+E210-MONTH(IF(CF210=0,0,EDATE(CF210,Parametri_v3!$C$37)))),Parametri_v3!$C$38)=0),MIN(MAX(0,(BC209)+BA210-N210),(CC210-CD210)/(Ipotesi!$C$108*12/Parametri_v3!$C$38)),0)</f>
        <v>0</v>
      </c>
      <c r="BC210" s="15" t="n">
        <f aca="false">(BC209)+BA210-N210-BB210</f>
        <v>57851.8943719068</v>
      </c>
      <c r="BD210" s="15" t="n">
        <f aca="false">(BH209)+AC210+AF210-AI210-AS210-K210*(1+Parametri_v3!$C$26)-AL210-AQ210-O210+AW210+AX210+AZ210+BA210-BB210</f>
        <v>-633732.743222031</v>
      </c>
      <c r="BE210" s="15" t="n">
        <f aca="false">MAX(0,MIN(MAX(0,CH210-(BG209)),Parametri_v3!$C$30-BD210))</f>
        <v>0</v>
      </c>
      <c r="BF210" s="15" t="n">
        <f aca="false">IF(Motore_Operativo!C210&gt;=Parametri_v3!$C$63,(BG209),MIN((BG209),MAX(0,BD210-Parametri_v3!$C$30)))</f>
        <v>0</v>
      </c>
      <c r="BG210" s="15" t="n">
        <f aca="false">(BG209)+BE210-BF210</f>
        <v>150000</v>
      </c>
      <c r="BH210" s="15" t="n">
        <f aca="false">BD210+BE210-BF210-AY210</f>
        <v>-633732.743222031</v>
      </c>
      <c r="BI210" s="15" t="n">
        <f aca="false">MAX(0,Parametri_v3!$C$30-BH210)</f>
        <v>658732.743222031</v>
      </c>
      <c r="BJ210" s="15" t="n">
        <f aca="false">(BJ209)+K210</f>
        <v>50000</v>
      </c>
      <c r="BK210" s="15" t="n">
        <f aca="false">(BK209)+L210</f>
        <v>17500</v>
      </c>
      <c r="BL210" s="15" t="n">
        <f aca="false">BJ210-BK210</f>
        <v>32500</v>
      </c>
      <c r="BM210" s="15" t="n">
        <f aca="false">(BM209)+Y210</f>
        <v>-950283.706117207</v>
      </c>
      <c r="BN210" s="15" t="n">
        <f aca="false">(BN209)+AW210+AX210+AZ210</f>
        <v>130000</v>
      </c>
      <c r="BO210" s="15" t="n">
        <f aca="false">(BO209)+AY210</f>
        <v>0</v>
      </c>
      <c r="BP210" s="15" t="n">
        <f aca="false">0</f>
        <v>0</v>
      </c>
      <c r="BQ210" s="15" t="n">
        <f aca="false">BN210+BM210-BO210</f>
        <v>-820283.706117207</v>
      </c>
      <c r="BR210" s="15" t="n">
        <f aca="false">BH210+AD210+BL210+MAX(0,-AM210)+MAX(0,-AR210)+AG210</f>
        <v>-479445.322086509</v>
      </c>
      <c r="BS210" s="15" t="n">
        <f aca="false">AJ210+AV210+MAX(0,AM210)+MAX(0,AR210)+BC210+BG210+BQ210</f>
        <v>-479445.322086509</v>
      </c>
      <c r="BT210" s="15" t="n">
        <f aca="false">BR210-BS210</f>
        <v>0</v>
      </c>
      <c r="BU210" s="15" t="n">
        <f aca="false">BH210-(BD210+BE210-BF210-AY210)</f>
        <v>0</v>
      </c>
      <c r="BV210" s="15" t="n">
        <f aca="false">MIN(Piano_SS!$C$6,(BV209)+IF(AND(Motore_Operativo!C210&gt;=EDATE(Parametri_v3!$C$24,Ipotesi!F14*12),Motore_Operativo!C210&lt;EDATE(Parametri_v3!$C$24,Parametri_v3!$C$25+Ipotesi!F14*12)),MAX(0,(Motore_Operativo!Y210+Motore_Operativo!X210*Parametri_v3!$C$14)*(1-Parametri_v3!$C$32))*Piano_SS!$D$6,0))</f>
        <v>122940.370833333</v>
      </c>
      <c r="BW210" s="15" t="n">
        <f aca="false">MIN(Piano_SS!$C$7,(BW209)+IF(AND(Motore_Operativo!C210&gt;=EDATE(Parametri_v3!$C$24,Ipotesi!F14*12),Motore_Operativo!C210&lt;EDATE(Parametri_v3!$C$24,Parametri_v3!$C$25+Ipotesi!F14*12)),MAX(0,(IF(26-(INT((Ipotesi!$C$91)/30))&lt;1,0,INDEX(Motore_Operativo!$BN$185:$BN$244,MAX(1,26-(INT((Ipotesi!$C$91)/30)))))*(1-(MOD((Ipotesi!$C$91),30)/30))+IF(26-(INT((Ipotesi!$C$91)/30))-1&lt;1,0,INDEX(Motore_Operativo!$BN$185:$BN$244,MAX(1,26-(INT((Ipotesi!$C$91)/30))-1)))*(MOD((Ipotesi!$C$91),30)/30)))*Piano_SS!$D$7,0))</f>
        <v>11635.2648723727</v>
      </c>
      <c r="BX210" s="15" t="n">
        <f aca="false">MIN(Piano_SS!$C$8,(BX209)+IF(AND(Motore_Operativo!C210&gt;=EDATE(Parametri_v3!$C$24,Ipotesi!F14*12),Motore_Operativo!C210&lt;EDATE(Parametri_v3!$C$24,Parametri_v3!$C$25+Ipotesi!F14*12)),MAX(0,Motore_Operativo!CE210)*Piano_SS!$D$8,0))</f>
        <v>17500</v>
      </c>
      <c r="BY210" s="15" t="n">
        <f aca="false">MIN(Piano_SS!$C$9,(BY209)+IF(AND(Motore_Operativo!C210&gt;=EDATE(Parametri_v3!$C$24,Ipotesi!F14*12),Motore_Operativo!C210&lt;EDATE(Parametri_v3!$C$24,Parametri_v3!$C$25+Ipotesi!F14*12)),MAX(0,((IF(26-(INT((Ipotesi!$C$91)/30))&lt;1,0,INDEX(Motore_Operativo!$BQ$185:$BQ$244,MAX(1,26-(INT((Ipotesi!$C$91)/30)))))*(1-(MOD((Ipotesi!$C$91),30)/30))+IF(26-(INT((Ipotesi!$C$91)/30))-1&lt;1,0,INDEX(Motore_Operativo!$BQ$185:$BQ$244,MAX(1,26-(INT((Ipotesi!$C$91)/30))-1)))*(MOD((Ipotesi!$C$91),30)/30))+(IF(26-(INT((Ipotesi!$C$91)/30))&lt;1,0,INDEX(Motore_Operativo!$BR$185:$BR$244,MAX(1,26-(INT((Ipotesi!$C$91)/30)))))*(1-(MOD((Ipotesi!$C$91),30)/30))+IF(26-(INT((Ipotesi!$C$91)/30))-1&lt;1,0,INDEX(Motore_Operativo!$BR$185:$BR$244,MAX(1,26-(INT((Ipotesi!$C$91)/30))-1)))*(MOD((Ipotesi!$C$91),30)/30))))*Piano_SS!$D$9,0))</f>
        <v>23333.3333333333</v>
      </c>
      <c r="BZ210" s="15" t="n">
        <f aca="false">MIN(Piano_SS!$C$10,(BZ209)+IF(AND(Motore_Operativo!C210&gt;=EDATE(Parametri_v3!$C$24,Ipotesi!F14*12),Motore_Operativo!C210&lt;EDATE(Parametri_v3!$C$24,Parametri_v3!$C$25+Ipotesi!F14*12)),MAX(0,(IF(26-(INT((Ipotesi!$C$91)/30))&lt;1,0,INDEX(Motore_Operativo!$BO$185:$BO$244,MAX(1,26-(INT((Ipotesi!$C$91)/30)))))*(1-(MOD((Ipotesi!$C$91),30)/30))+IF(26-(INT((Ipotesi!$C$91)/30))-1&lt;1,0,INDEX(Motore_Operativo!$BO$185:$BO$244,MAX(1,26-(INT((Ipotesi!$C$91)/30))-1)))*(MOD((Ipotesi!$C$91),30)/30)))*Piano_SS!$D$10,0))</f>
        <v>14666.6666666667</v>
      </c>
      <c r="CA210" s="15" t="n">
        <f aca="false">SUM(BV210:BZ210)</f>
        <v>190075.635705706</v>
      </c>
      <c r="CB210" s="15" t="n">
        <f aca="false">BV210*(1-Piano_SS!$E$6)+BW210*(1-Piano_SS!$E$7)+BX210*(1-Piano_SS!$E$8)+BY210*(1-Piano_SS!$E$9)+BZ210*(1-Piano_SS!$E$10)</f>
        <v>175408.969039039</v>
      </c>
      <c r="CC210" s="15" t="n">
        <f aca="false">(CC209)+BA210</f>
        <v>80000</v>
      </c>
      <c r="CD210" s="15" t="n">
        <f aca="false">IF(CA210=0,0,CC210*CB210/CA210*Ipotesi!$C$103*Parametri_v3!$C$64)</f>
        <v>22148.1056280932</v>
      </c>
      <c r="CE210" s="18" t="n">
        <f aca="false">IF(BA210&gt;0,Motore_Operativo!C210,(CE209))</f>
        <v>47088</v>
      </c>
      <c r="CF210" s="18" t="n">
        <f aca="false">IF(AND(CC210&gt;0,OR(CC210&gt;=CG210-0.01,Motore_Operativo!C210&gt;=EDATE(MAX(Finanziamenti!$D$15:$D$17),Ipotesi!F14*12))),CE210,0)</f>
        <v>0</v>
      </c>
      <c r="CG210" s="15" t="n">
        <f aca="false">IF(AND(4&lt;&gt;6,4&lt;&gt;9,Finanziamenti!$F$11=1,OR(Parametri_v3!$C$6=0,Finanziamenti!$E$11=1)),MIN(Finanziamenti!$C$11,Piano_SS!$C$12*Ipotesi!$C$102),0)</f>
        <v>400000</v>
      </c>
      <c r="CH210" s="15" t="n">
        <f aca="false">IF(AND(AND(4&lt;&gt;8,4&lt;&gt;9,Finanziamenti!$F$10=1,OR(Parametri_v3!$C$6=0,Finanziamenti!$E$10=1)),Motore_Operativo!C210&gt;=Finanziamenti!$D$10,Motore_Operativo!C210&lt;Parametri_v3!$C$63),Finanziamenti!$C$10,0)</f>
        <v>150000</v>
      </c>
    </row>
    <row r="211" customFormat="false" ht="18" hidden="false" customHeight="true" outlineLevel="0" collapsed="false">
      <c r="A211" s="68" t="n">
        <f aca="false">4</f>
        <v>4</v>
      </c>
      <c r="B211" s="68" t="n">
        <f aca="false">27</f>
        <v>27</v>
      </c>
      <c r="C211" s="18" t="n">
        <f aca="false">Motore_Operativo!C211</f>
        <v>47178</v>
      </c>
      <c r="D211" s="68" t="n">
        <f aca="false">Motore_Operativo!D211</f>
        <v>2029</v>
      </c>
      <c r="E211" s="68" t="n">
        <f aca="false">Motore_Operativo!E211</f>
        <v>3</v>
      </c>
      <c r="F211" s="15" t="n">
        <f aca="false">Motore_Operativo!AQ211+Motore_Operativo!BF211</f>
        <v>26828.6173113661</v>
      </c>
      <c r="G211" s="15" t="n">
        <f aca="false">Motore_Operativo!BH211</f>
        <v>3267</v>
      </c>
      <c r="H211" s="15" t="n">
        <f aca="false">Motore_Operativo!BI211</f>
        <v>30095.6173113661</v>
      </c>
      <c r="I211" s="15" t="n">
        <f aca="false">Motore_Operativo!CA211</f>
        <v>112690.183090258</v>
      </c>
      <c r="J211" s="15" t="n">
        <f aca="false">Motore_Operativo!CC211</f>
        <v>-82594.5657788918</v>
      </c>
      <c r="K211" s="15" t="n">
        <f aca="false">Motore_Operativo!CE211</f>
        <v>2500</v>
      </c>
      <c r="L211" s="15" t="n">
        <f aca="false">SUM(INDEX($K$185:$K$244,MAX(1,27-Parametri_v3!$C$59+1)):K211)/Parametri_v3!$C$59</f>
        <v>1458.33333333333</v>
      </c>
      <c r="M211" s="15" t="n">
        <f aca="false">J211-L211</f>
        <v>-84052.8991122252</v>
      </c>
      <c r="N211" s="15" t="n">
        <f aca="false">CD211-(CD210)</f>
        <v>-17.9690152214607</v>
      </c>
      <c r="O211" s="15" t="n">
        <f aca="false">(BG210)*Ipotesi!$C$110/12+CH211*Parametri_v3!$C$39/12</f>
        <v>750</v>
      </c>
      <c r="P211" s="15" t="n">
        <f aca="false">M211+N211-O211</f>
        <v>-84820.8681274466</v>
      </c>
      <c r="Q211" s="15" t="n">
        <f aca="false">SUM(P209:P211)+Parametri_v3!$C$54*3/12</f>
        <v>-255213.322278197</v>
      </c>
      <c r="R211" s="15" t="n">
        <f aca="false">Z208</f>
        <v>779891.251966456</v>
      </c>
      <c r="S211" s="15" t="n">
        <f aca="false">AA208</f>
        <v>0</v>
      </c>
      <c r="T211" s="15" t="n">
        <f aca="false">MIN(R211,MAX(0,Q211))</f>
        <v>0</v>
      </c>
      <c r="U211" s="15" t="n">
        <f aca="false">MIN(S211,MAX(0,Q211-T211)*Parametri_v3!$C$42)</f>
        <v>0</v>
      </c>
      <c r="V211" s="15" t="n">
        <f aca="false">MAX(0,Q211-T211-U211)*Ipotesi!$C$92</f>
        <v>0</v>
      </c>
      <c r="W211" s="15" t="n">
        <f aca="false">MAX(0,SUM(M209:M211)+Parametri_v3!$C$55*3/12)*Ipotesi!$C$93</f>
        <v>0</v>
      </c>
      <c r="X211" s="15" t="n">
        <f aca="false">V211+W211-(V210+W210)</f>
        <v>0</v>
      </c>
      <c r="Y211" s="15" t="n">
        <f aca="false">P211-X211</f>
        <v>-84820.8681274466</v>
      </c>
      <c r="Z211" s="15" t="n">
        <f aca="false">R211-T211+IF(AND(Parametri_v3!$C$40=1,D211-YEAR(Parametri_v3!$C$50)&lt;Parametri_v3!$C$41),MAX(0,-Q211),0)</f>
        <v>1035104.57424465</v>
      </c>
      <c r="AA211" s="15" t="n">
        <f aca="false">S211-U211+IF(AND(Parametri_v3!$C$40=1,D211-YEAR(Parametri_v3!$C$50)&lt;Parametri_v3!$C$41),0,MAX(0,-Q211))</f>
        <v>0</v>
      </c>
      <c r="AB211" s="15" t="n">
        <f aca="false">F211*(1+Parametri_v3!$C$26)</f>
        <v>32730.9131198666</v>
      </c>
      <c r="AC211" s="15" t="n">
        <f aca="false">(IF(27-(INT((Motore_Operativo!L211)/30))&lt;1,0,INDEX(Motore_Startup!$AB$185:$AB$244,MAX(1,27-(INT((Motore_Operativo!L211)/30)))))*(1-(MOD((Motore_Operativo!L211),30)/30))+IF(27-(INT((Motore_Operativo!L211)/30))-1&lt;1,0,INDEX(Motore_Startup!$AB$185:$AB$244,MAX(1,27-(INT((Motore_Operativo!L211)/30))-1)))*(MOD((Motore_Operativo!L211),30)/30))</f>
        <v>16783.4345195678</v>
      </c>
      <c r="AD211" s="15" t="n">
        <f aca="false">(AD210)+AB211-AC211</f>
        <v>113485.991440047</v>
      </c>
      <c r="AE211" s="15" t="n">
        <f aca="false">Motore_Operativo!BH211*(1+Parametri_v3!$C$26)</f>
        <v>3985.74</v>
      </c>
      <c r="AF211" s="15" t="n">
        <f aca="false">(IF(27-(INT((Parametri_v3!$C$29)/30))&lt;1,0,INDEX(Motore_Operativo!$BH$185:$BH$244,MAX(1,27-(INT((Parametri_v3!$C$29)/30)))))*(1-(MOD((Parametri_v3!$C$29),30)/30))+IF(27-(INT((Parametri_v3!$C$29)/30))-1&lt;1,0,INDEX(Motore_Operativo!$BH$185:$BH$244,MAX(1,27-(INT((Parametri_v3!$C$29)/30))-1)))*(MOD((Parametri_v3!$C$29),30)/30))*(1+Parametri_v3!$C$26)</f>
        <v>3985.74</v>
      </c>
      <c r="AG211" s="15" t="n">
        <f aca="false">(AG210)+AE211-AF211</f>
        <v>3985.74</v>
      </c>
      <c r="AH211" s="15" t="n">
        <f aca="false">(Motore_Operativo!CJ211)*(1+Parametri_v3!$C$27*Parametri_v3!$C$26)</f>
        <v>45600.4049948028</v>
      </c>
      <c r="AI211" s="15" t="n">
        <f aca="false">(IF(27-(INT((Ipotesi!$C$91)/30))&lt;1,0,INDEX(Motore_Startup!$AH$185:$AH$244,MAX(1,27-(INT((Ipotesi!$C$91)/30)))))*(1-(MOD((Ipotesi!$C$91),30)/30))+IF(27-(INT((Ipotesi!$C$91)/30))-1&lt;1,0,INDEX(Motore_Startup!$AH$185:$AH$244,MAX(1,27-(INT((Ipotesi!$C$91)/30))-1)))*(MOD((Ipotesi!$C$91),30)/30))</f>
        <v>45434.0368781771</v>
      </c>
      <c r="AJ211" s="15" t="n">
        <f aca="false">(AJ210)+AH211-AI211</f>
        <v>91117.9911087501</v>
      </c>
      <c r="AK211" s="15" t="n">
        <f aca="false">(F211+ Motore_Operativo!BH211-(Motore_Operativo!CJ211)*Parametri_v3!$C$27-Motore_Operativo!CE211)*Parametri_v3!$C$26</f>
        <v>-1112.85276271102</v>
      </c>
      <c r="AL211" s="15" t="n">
        <f aca="false">MAX(0,(AM210))</f>
        <v>0</v>
      </c>
      <c r="AM211" s="15" t="n">
        <f aca="false">(AM210)+AK211-AL211</f>
        <v>-21376.0210584851</v>
      </c>
      <c r="AN211" s="15" t="n">
        <f aca="false">SUM(X197:X208)</f>
        <v>0</v>
      </c>
      <c r="AO211" s="15" t="n">
        <f aca="false">SUM(AP197:AP208)</f>
        <v>0</v>
      </c>
      <c r="AP211" s="15" t="n">
        <f aca="false">MAX(0,AN211)*IF(3=Parametri_v3!$C$43,Parametri_v3!$C$45,IF(3=Parametri_v3!$C$44,1-Parametri_v3!$C$45,0))</f>
        <v>0</v>
      </c>
      <c r="AQ211" s="15" t="n">
        <f aca="false">MAX(0,AP211+IF(3=Parametri_v3!$C$43,MAX(0,AN211-AO211),0)-MAX(0,-(AR210)))</f>
        <v>0</v>
      </c>
      <c r="AR211" s="15" t="n">
        <f aca="false">(AR210)+X211-AQ211</f>
        <v>0</v>
      </c>
      <c r="AS211" s="15" t="n">
        <f aca="false">Motore_Operativo!AB211-AT211+AU211</f>
        <v>70559.9833333333</v>
      </c>
      <c r="AT211" s="15" t="n">
        <f aca="false">Motore_Operativo!CH211</f>
        <v>3713.68333333333</v>
      </c>
      <c r="AU211" s="15" t="n">
        <f aca="false">MIN(MAX(0,(AV210)+AT211),Parametri_v3!$C$60/12)</f>
        <v>0</v>
      </c>
      <c r="AV211" s="15" t="n">
        <f aca="false">(AV210)+AT211-AU211</f>
        <v>45748.55</v>
      </c>
      <c r="AW211" s="15" t="n">
        <f aca="false">IF(AND(Motore_Operativo!C211=Finanziamenti!$D$6,Finanziamenti!$F$6=1),Finanziamenti!$C$6,0)</f>
        <v>0</v>
      </c>
      <c r="AX211" s="15" t="n">
        <f aca="false">IF(AND(4&lt;&gt;7,4&lt;&gt;9,Finanziamenti!$F$8=1,OR(Parametri_v3!$C$6=0,Finanziamenti!$E$8=1),Motore_Operativo!C211=EDATE(Finanziamenti!$D$8,Ipotesi!F15*12)),Finanziamenti!$C$8*1,0)+IF(AND(4&lt;&gt;7,4&lt;&gt;9,Finanziamenti!$F$9=1,OR(Parametri_v3!$C$6=0,Finanziamenti!$E$9=1),Motore_Operativo!C211=EDATE(Finanziamenti!$D$9,Ipotesi!F15*12)),Finanziamenti!$C$9*Ipotesi!F16,0)</f>
        <v>0</v>
      </c>
      <c r="AY211" s="15" t="n">
        <f aca="false">0</f>
        <v>0</v>
      </c>
      <c r="AZ211" s="15" t="n">
        <f aca="false">Motore_Advisory!AY211*(1-Ipotesi!$C$95)*Ipotesi!$C$96</f>
        <v>0</v>
      </c>
      <c r="BA211" s="15" t="n">
        <f aca="false">MAX(0,MIN(CG211*MIN(1,IF(Motore_Operativo!C211&gt;=EDATE(Finanziamenti!$D$15,Ipotesi!F14*12),Finanziamenti!$C$15,0)+IF(Motore_Operativo!C211&gt;=EDATE(Finanziamenti!$D$16,Ipotesi!F14*12),Finanziamenti!$C$16,0)+IF(Motore_Operativo!C211&gt;=EDATE(Finanziamenti!$D$17,Ipotesi!F14*12),Finanziamenti!$C$17,0)),CA211*Ipotesi!$C$102)-(CC210))</f>
        <v>0</v>
      </c>
      <c r="BB211" s="15" t="n">
        <f aca="false">IF(AND(CF211&gt;0,Motore_Operativo!C211&gt;=IF(CF211=0,0,EDATE(CF211,Parametri_v3!$C$37)),MOD(((D211-YEAR(IF(CF211=0,0,EDATE(CF211,Parametri_v3!$C$37))))*12+E211-MONTH(IF(CF211=0,0,EDATE(CF211,Parametri_v3!$C$37)))),Parametri_v3!$C$38)=0),MIN(MAX(0,(BC210)+BA211-N211),(CC211-CD211)/(Ipotesi!$C$108*12/Parametri_v3!$C$38)),0)</f>
        <v>0</v>
      </c>
      <c r="BC211" s="15" t="n">
        <f aca="false">(BC210)+BA211-N211-BB211</f>
        <v>57869.8633871282</v>
      </c>
      <c r="BD211" s="15" t="n">
        <f aca="false">(BH210)+AC211+AF211-AI211-AS211-K211*(1+Parametri_v3!$C$26)-AL211-AQ211-O211+AW211+AX211+AZ211+BA211-BB211</f>
        <v>-732757.588913973</v>
      </c>
      <c r="BE211" s="15" t="n">
        <f aca="false">MAX(0,MIN(MAX(0,CH211-(BG210)),Parametri_v3!$C$30-BD211))</f>
        <v>0</v>
      </c>
      <c r="BF211" s="15" t="n">
        <f aca="false">IF(Motore_Operativo!C211&gt;=Parametri_v3!$C$63,(BG210),MIN((BG210),MAX(0,BD211-Parametri_v3!$C$30)))</f>
        <v>0</v>
      </c>
      <c r="BG211" s="15" t="n">
        <f aca="false">(BG210)+BE211-BF211</f>
        <v>150000</v>
      </c>
      <c r="BH211" s="15" t="n">
        <f aca="false">BD211+BE211-BF211-AY211</f>
        <v>-732757.588913973</v>
      </c>
      <c r="BI211" s="15" t="n">
        <f aca="false">MAX(0,Parametri_v3!$C$30-BH211)</f>
        <v>757757.588913973</v>
      </c>
      <c r="BJ211" s="15" t="n">
        <f aca="false">(BJ210)+K211</f>
        <v>52500</v>
      </c>
      <c r="BK211" s="15" t="n">
        <f aca="false">(BK210)+L211</f>
        <v>18958.3333333333</v>
      </c>
      <c r="BL211" s="15" t="n">
        <f aca="false">BJ211-BK211</f>
        <v>33541.6666666667</v>
      </c>
      <c r="BM211" s="15" t="n">
        <f aca="false">(BM210)+Y211</f>
        <v>-1035104.57424465</v>
      </c>
      <c r="BN211" s="15" t="n">
        <f aca="false">(BN210)+AW211+AX211+AZ211</f>
        <v>130000</v>
      </c>
      <c r="BO211" s="15" t="n">
        <f aca="false">(BO210)+AY211</f>
        <v>0</v>
      </c>
      <c r="BP211" s="15" t="n">
        <f aca="false">0</f>
        <v>0</v>
      </c>
      <c r="BQ211" s="15" t="n">
        <f aca="false">BN211+BM211-BO211</f>
        <v>-905104.574244654</v>
      </c>
      <c r="BR211" s="15" t="n">
        <f aca="false">BH211+AD211+BL211+MAX(0,-AM211)+MAX(0,-AR211)+AG211</f>
        <v>-560368.169748775</v>
      </c>
      <c r="BS211" s="15" t="n">
        <f aca="false">AJ211+AV211+MAX(0,AM211)+MAX(0,AR211)+BC211+BG211+BQ211</f>
        <v>-560368.169748775</v>
      </c>
      <c r="BT211" s="15" t="n">
        <f aca="false">BR211-BS211</f>
        <v>0</v>
      </c>
      <c r="BU211" s="15" t="n">
        <f aca="false">BH211-(BD211+BE211-BF211-AY211)</f>
        <v>0</v>
      </c>
      <c r="BV211" s="15" t="n">
        <f aca="false">MIN(Piano_SS!$C$6,(BV210)+IF(AND(Motore_Operativo!C211&gt;=EDATE(Parametri_v3!$C$24,Ipotesi!F14*12),Motore_Operativo!C211&lt;EDATE(Parametri_v3!$C$24,Parametri_v3!$C$25+Ipotesi!F14*12)),MAX(0,(Motore_Operativo!Y211+Motore_Operativo!X211*Parametri_v3!$C$14)*(1-Parametri_v3!$C$32))*Piano_SS!$D$6,0))</f>
        <v>147716.80625</v>
      </c>
      <c r="BW211" s="15" t="n">
        <f aca="false">MIN(Piano_SS!$C$7,(BW210)+IF(AND(Motore_Operativo!C211&gt;=EDATE(Parametri_v3!$C$24,Ipotesi!F14*12),Motore_Operativo!C211&lt;EDATE(Parametri_v3!$C$24,Parametri_v3!$C$25+Ipotesi!F14*12)),MAX(0,(IF(27-(INT((Ipotesi!$C$91)/30))&lt;1,0,INDEX(Motore_Operativo!$BN$185:$BN$244,MAX(1,27-(INT((Ipotesi!$C$91)/30)))))*(1-(MOD((Ipotesi!$C$91),30)/30))+IF(27-(INT((Ipotesi!$C$91)/30))-1&lt;1,0,INDEX(Motore_Operativo!$BN$185:$BN$244,MAX(1,27-(INT((Ipotesi!$C$91)/30))-1)))*(MOD((Ipotesi!$C$91),30)/30)))*Piano_SS!$D$7,0))</f>
        <v>13301.4636968652</v>
      </c>
      <c r="BX211" s="15" t="n">
        <f aca="false">MIN(Piano_SS!$C$8,(BX210)+IF(AND(Motore_Operativo!C211&gt;=EDATE(Parametri_v3!$C$24,Ipotesi!F14*12),Motore_Operativo!C211&lt;EDATE(Parametri_v3!$C$24,Parametri_v3!$C$25+Ipotesi!F14*12)),MAX(0,Motore_Operativo!CE211)*Piano_SS!$D$8,0))</f>
        <v>20000</v>
      </c>
      <c r="BY211" s="15" t="n">
        <f aca="false">MIN(Piano_SS!$C$9,(BY210)+IF(AND(Motore_Operativo!C211&gt;=EDATE(Parametri_v3!$C$24,Ipotesi!F14*12),Motore_Operativo!C211&lt;EDATE(Parametri_v3!$C$24,Parametri_v3!$C$25+Ipotesi!F14*12)),MAX(0,((IF(27-(INT((Ipotesi!$C$91)/30))&lt;1,0,INDEX(Motore_Operativo!$BQ$185:$BQ$244,MAX(1,27-(INT((Ipotesi!$C$91)/30)))))*(1-(MOD((Ipotesi!$C$91),30)/30))+IF(27-(INT((Ipotesi!$C$91)/30))-1&lt;1,0,INDEX(Motore_Operativo!$BQ$185:$BQ$244,MAX(1,27-(INT((Ipotesi!$C$91)/30))-1)))*(MOD((Ipotesi!$C$91),30)/30))+(IF(27-(INT((Ipotesi!$C$91)/30))&lt;1,0,INDEX(Motore_Operativo!$BR$185:$BR$244,MAX(1,27-(INT((Ipotesi!$C$91)/30)))))*(1-(MOD((Ipotesi!$C$91),30)/30))+IF(27-(INT((Ipotesi!$C$91)/30))-1&lt;1,0,INDEX(Motore_Operativo!$BR$185:$BR$244,MAX(1,27-(INT((Ipotesi!$C$91)/30))-1)))*(MOD((Ipotesi!$C$91),30)/30))))*Piano_SS!$D$9,0))</f>
        <v>27083.3333333333</v>
      </c>
      <c r="BZ211" s="15" t="n">
        <f aca="false">MIN(Piano_SS!$C$10,(BZ210)+IF(AND(Motore_Operativo!C211&gt;=EDATE(Parametri_v3!$C$24,Ipotesi!F14*12),Motore_Operativo!C211&lt;EDATE(Parametri_v3!$C$24,Parametri_v3!$C$25+Ipotesi!F14*12)),MAX(0,(IF(27-(INT((Ipotesi!$C$91)/30))&lt;1,0,INDEX(Motore_Operativo!$BO$185:$BO$244,MAX(1,27-(INT((Ipotesi!$C$91)/30)))))*(1-(MOD((Ipotesi!$C$91),30)/30))+IF(27-(INT((Ipotesi!$C$91)/30))-1&lt;1,0,INDEX(Motore_Operativo!$BO$185:$BO$244,MAX(1,27-(INT((Ipotesi!$C$91)/30))-1)))*(MOD((Ipotesi!$C$91),30)/30)))*Piano_SS!$D$10,0))</f>
        <v>17583.3333333333</v>
      </c>
      <c r="CA211" s="15" t="n">
        <f aca="false">SUM(BV211:BZ211)</f>
        <v>225684.936613532</v>
      </c>
      <c r="CB211" s="15" t="n">
        <f aca="false">BV211*(1-Piano_SS!$E$6)+BW211*(1-Piano_SS!$E$7)+BX211*(1-Piano_SS!$E$8)+BY211*(1-Piano_SS!$E$9)+BZ211*(1-Piano_SS!$E$10)</f>
        <v>208101.603280199</v>
      </c>
      <c r="CC211" s="15" t="n">
        <f aca="false">(CC210)+BA211</f>
        <v>80000</v>
      </c>
      <c r="CD211" s="15" t="n">
        <f aca="false">IF(CA211=0,0,CC211*CB211/CA211*Ipotesi!$C$103*Parametri_v3!$C$64)</f>
        <v>22130.1366128718</v>
      </c>
      <c r="CE211" s="18" t="n">
        <f aca="false">IF(BA211&gt;0,Motore_Operativo!C211,(CE210))</f>
        <v>47088</v>
      </c>
      <c r="CF211" s="18" t="n">
        <f aca="false">IF(AND(CC211&gt;0,OR(CC211&gt;=CG211-0.01,Motore_Operativo!C211&gt;=EDATE(MAX(Finanziamenti!$D$15:$D$17),Ipotesi!F14*12))),CE211,0)</f>
        <v>0</v>
      </c>
      <c r="CG211" s="15" t="n">
        <f aca="false">IF(AND(4&lt;&gt;6,4&lt;&gt;9,Finanziamenti!$F$11=1,OR(Parametri_v3!$C$6=0,Finanziamenti!$E$11=1)),MIN(Finanziamenti!$C$11,Piano_SS!$C$12*Ipotesi!$C$102),0)</f>
        <v>400000</v>
      </c>
      <c r="CH211" s="15" t="n">
        <f aca="false">IF(AND(AND(4&lt;&gt;8,4&lt;&gt;9,Finanziamenti!$F$10=1,OR(Parametri_v3!$C$6=0,Finanziamenti!$E$10=1)),Motore_Operativo!C211&gt;=Finanziamenti!$D$10,Motore_Operativo!C211&lt;Parametri_v3!$C$63),Finanziamenti!$C$10,0)</f>
        <v>150000</v>
      </c>
    </row>
    <row r="212" customFormat="false" ht="18" hidden="false" customHeight="true" outlineLevel="0" collapsed="false">
      <c r="A212" s="68" t="n">
        <f aca="false">4</f>
        <v>4</v>
      </c>
      <c r="B212" s="68" t="n">
        <f aca="false">28</f>
        <v>28</v>
      </c>
      <c r="C212" s="18" t="n">
        <f aca="false">Motore_Operativo!C212</f>
        <v>47209</v>
      </c>
      <c r="D212" s="68" t="n">
        <f aca="false">Motore_Operativo!D212</f>
        <v>2029</v>
      </c>
      <c r="E212" s="68" t="n">
        <f aca="false">Motore_Operativo!E212</f>
        <v>4</v>
      </c>
      <c r="F212" s="15" t="n">
        <f aca="false">Motore_Operativo!AQ212+Motore_Operativo!BF212</f>
        <v>27747.3801991191</v>
      </c>
      <c r="G212" s="15" t="n">
        <f aca="false">Motore_Operativo!BH212</f>
        <v>3267</v>
      </c>
      <c r="H212" s="15" t="n">
        <f aca="false">Motore_Operativo!BI212</f>
        <v>31014.3801991191</v>
      </c>
      <c r="I212" s="15" t="n">
        <f aca="false">Motore_Operativo!CA212</f>
        <v>112818.809894543</v>
      </c>
      <c r="J212" s="15" t="n">
        <f aca="false">Motore_Operativo!CC212</f>
        <v>-81804.4296954243</v>
      </c>
      <c r="K212" s="15" t="n">
        <f aca="false">Motore_Operativo!CE212</f>
        <v>2500</v>
      </c>
      <c r="L212" s="15" t="n">
        <f aca="false">SUM(INDEX($K$185:$K$244,MAX(1,28-Parametri_v3!$C$59+1)):K212)/Parametri_v3!$C$59</f>
        <v>1527.77777777778</v>
      </c>
      <c r="M212" s="15" t="n">
        <f aca="false">J212-L212</f>
        <v>-83332.207473202</v>
      </c>
      <c r="N212" s="15" t="n">
        <f aca="false">CD212-(CD211)</f>
        <v>-12.7815676762511</v>
      </c>
      <c r="O212" s="15" t="n">
        <f aca="false">(BG211)*Ipotesi!$C$110/12+CH212*Parametri_v3!$C$39/12</f>
        <v>750</v>
      </c>
      <c r="P212" s="15" t="n">
        <f aca="false">M212+N212-O212</f>
        <v>-84094.9890408783</v>
      </c>
      <c r="Q212" s="15" t="n">
        <f aca="false">SUM(P209:P212)+Parametri_v3!$C$54*4/12</f>
        <v>-339308.311319075</v>
      </c>
      <c r="R212" s="15" t="n">
        <f aca="false">Z208</f>
        <v>779891.251966456</v>
      </c>
      <c r="S212" s="15" t="n">
        <f aca="false">AA208</f>
        <v>0</v>
      </c>
      <c r="T212" s="15" t="n">
        <f aca="false">MIN(R212,MAX(0,Q212))</f>
        <v>0</v>
      </c>
      <c r="U212" s="15" t="n">
        <f aca="false">MIN(S212,MAX(0,Q212-T212)*Parametri_v3!$C$42)</f>
        <v>0</v>
      </c>
      <c r="V212" s="15" t="n">
        <f aca="false">MAX(0,Q212-T212-U212)*Ipotesi!$C$92</f>
        <v>0</v>
      </c>
      <c r="W212" s="15" t="n">
        <f aca="false">MAX(0,SUM(M209:M212)+Parametri_v3!$C$55*4/12)*Ipotesi!$C$93</f>
        <v>0</v>
      </c>
      <c r="X212" s="15" t="n">
        <f aca="false">V212+W212-(V211+W211)</f>
        <v>0</v>
      </c>
      <c r="Y212" s="15" t="n">
        <f aca="false">P212-X212</f>
        <v>-84094.9890408783</v>
      </c>
      <c r="Z212" s="15" t="n">
        <f aca="false">R212-T212+IF(AND(Parametri_v3!$C$40=1,D212-YEAR(Parametri_v3!$C$50)&lt;Parametri_v3!$C$41),MAX(0,-Q212),0)</f>
        <v>1119199.56328553</v>
      </c>
      <c r="AA212" s="15" t="n">
        <f aca="false">S212-U212+IF(AND(Parametri_v3!$C$40=1,D212-YEAR(Parametri_v3!$C$50)&lt;Parametri_v3!$C$41),0,MAX(0,-Q212))</f>
        <v>0</v>
      </c>
      <c r="AB212" s="15" t="n">
        <f aca="false">F212*(1+Parametri_v3!$C$26)</f>
        <v>33851.8038429253</v>
      </c>
      <c r="AC212" s="15" t="n">
        <f aca="false">(IF(28-(INT((Motore_Operativo!L212)/30))&lt;1,0,INDEX(Motore_Startup!$AB$185:$AB$244,MAX(1,28-(INT((Motore_Operativo!L212)/30)))))*(1-(MOD((Motore_Operativo!L212),30)/30))+IF(28-(INT((Motore_Operativo!L212)/30))-1&lt;1,0,INDEX(Motore_Startup!$AB$185:$AB$244,MAX(1,28-(INT((Motore_Operativo!L212)/30))-1)))*(MOD((Motore_Operativo!L212),30)/30))</f>
        <v>17122.6427226852</v>
      </c>
      <c r="AD212" s="15" t="n">
        <f aca="false">(AD211)+AB212-AC212</f>
        <v>130215.152560287</v>
      </c>
      <c r="AE212" s="15" t="n">
        <f aca="false">Motore_Operativo!BH212*(1+Parametri_v3!$C$26)</f>
        <v>3985.74</v>
      </c>
      <c r="AF212" s="15" t="n">
        <f aca="false">(IF(28-(INT((Parametri_v3!$C$29)/30))&lt;1,0,INDEX(Motore_Operativo!$BH$185:$BH$244,MAX(1,28-(INT((Parametri_v3!$C$29)/30)))))*(1-(MOD((Parametri_v3!$C$29),30)/30))+IF(28-(INT((Parametri_v3!$C$29)/30))-1&lt;1,0,INDEX(Motore_Operativo!$BH$185:$BH$244,MAX(1,28-(INT((Parametri_v3!$C$29)/30))-1)))*(MOD((Parametri_v3!$C$29),30)/30))*(1+Parametri_v3!$C$26)</f>
        <v>3985.74</v>
      </c>
      <c r="AG212" s="15" t="n">
        <f aca="false">(AG211)+AE212-AF212</f>
        <v>3985.74</v>
      </c>
      <c r="AH212" s="15" t="n">
        <f aca="false">(Motore_Operativo!CJ212)*(1+Parametri_v3!$C$27*Parametri_v3!$C$26)</f>
        <v>45753.0850114896</v>
      </c>
      <c r="AI212" s="15" t="n">
        <f aca="false">(IF(28-(INT((Ipotesi!$C$91)/30))&lt;1,0,INDEX(Motore_Startup!$AH$185:$AH$244,MAX(1,28-(INT((Ipotesi!$C$91)/30)))))*(1-(MOD((Ipotesi!$C$91),30)/30))+IF(28-(INT((Ipotesi!$C$91)/30))-1&lt;1,0,INDEX(Motore_Startup!$AH$185:$AH$244,MAX(1,28-(INT((Ipotesi!$C$91)/30))-1)))*(MOD((Ipotesi!$C$91),30)/30))</f>
        <v>45517.5861139473</v>
      </c>
      <c r="AJ212" s="15" t="n">
        <f aca="false">(AJ211)+AH212-AI212</f>
        <v>91353.4900062924</v>
      </c>
      <c r="AK212" s="15" t="n">
        <f aca="false">(F212+ Motore_Operativo!BH212-(Motore_Operativo!CJ212)*Parametri_v3!$C$27-Motore_Operativo!CE212)*Parametri_v3!$C$26</f>
        <v>-934.778139806738</v>
      </c>
      <c r="AL212" s="15" t="n">
        <f aca="false">MAX(0,(AM211))</f>
        <v>0</v>
      </c>
      <c r="AM212" s="15" t="n">
        <f aca="false">(AM211)+AK212-AL212</f>
        <v>-22310.7991982918</v>
      </c>
      <c r="AN212" s="15" t="n">
        <f aca="false">SUM(X197:X208)</f>
        <v>0</v>
      </c>
      <c r="AO212" s="15" t="n">
        <f aca="false">SUM(AP197:AP208)</f>
        <v>0</v>
      </c>
      <c r="AP212" s="15" t="n">
        <f aca="false">MAX(0,AN212)*IF(4=Parametri_v3!$C$43,Parametri_v3!$C$45,IF(4=Parametri_v3!$C$44,1-Parametri_v3!$C$45,0))</f>
        <v>0</v>
      </c>
      <c r="AQ212" s="15" t="n">
        <f aca="false">MAX(0,AP212+IF(4=Parametri_v3!$C$43,MAX(0,AN212-AO212),0)-MAX(0,-(AR211)))</f>
        <v>0</v>
      </c>
      <c r="AR212" s="15" t="n">
        <f aca="false">(AR211)+X212-AQ212</f>
        <v>0</v>
      </c>
      <c r="AS212" s="15" t="n">
        <f aca="false">Motore_Operativo!AB212-AT212+AU212</f>
        <v>70559.9833333333</v>
      </c>
      <c r="AT212" s="15" t="n">
        <f aca="false">Motore_Operativo!CH212</f>
        <v>3713.68333333333</v>
      </c>
      <c r="AU212" s="15" t="n">
        <f aca="false">MIN(MAX(0,(AV211)+AT212),Parametri_v3!$C$60/12)</f>
        <v>0</v>
      </c>
      <c r="AV212" s="15" t="n">
        <f aca="false">(AV211)+AT212-AU212</f>
        <v>49462.2333333333</v>
      </c>
      <c r="AW212" s="15" t="n">
        <f aca="false">IF(AND(Motore_Operativo!C212=Finanziamenti!$D$6,Finanziamenti!$F$6=1),Finanziamenti!$C$6,0)</f>
        <v>0</v>
      </c>
      <c r="AX212" s="15" t="n">
        <f aca="false">IF(AND(4&lt;&gt;7,4&lt;&gt;9,Finanziamenti!$F$8=1,OR(Parametri_v3!$C$6=0,Finanziamenti!$E$8=1),Motore_Operativo!C212=EDATE(Finanziamenti!$D$8,Ipotesi!F15*12)),Finanziamenti!$C$8*1,0)+IF(AND(4&lt;&gt;7,4&lt;&gt;9,Finanziamenti!$F$9=1,OR(Parametri_v3!$C$6=0,Finanziamenti!$E$9=1),Motore_Operativo!C212=EDATE(Finanziamenti!$D$9,Ipotesi!F15*12)),Finanziamenti!$C$9*Ipotesi!F16,0)</f>
        <v>0</v>
      </c>
      <c r="AY212" s="15" t="n">
        <f aca="false">0</f>
        <v>0</v>
      </c>
      <c r="AZ212" s="15" t="n">
        <f aca="false">Motore_Advisory!AY212*(1-Ipotesi!$C$95)*Ipotesi!$C$96</f>
        <v>0</v>
      </c>
      <c r="BA212" s="15" t="n">
        <f aca="false">MAX(0,MIN(CG212*MIN(1,IF(Motore_Operativo!C212&gt;=EDATE(Finanziamenti!$D$15,Ipotesi!F14*12),Finanziamenti!$C$15,0)+IF(Motore_Operativo!C212&gt;=EDATE(Finanziamenti!$D$16,Ipotesi!F14*12),Finanziamenti!$C$16,0)+IF(Motore_Operativo!C212&gt;=EDATE(Finanziamenti!$D$17,Ipotesi!F14*12),Finanziamenti!$C$17,0)),CA212*Ipotesi!$C$102)-(CC211))</f>
        <v>0</v>
      </c>
      <c r="BB212" s="15" t="n">
        <f aca="false">IF(AND(CF212&gt;0,Motore_Operativo!C212&gt;=IF(CF212=0,0,EDATE(CF212,Parametri_v3!$C$37)),MOD(((D212-YEAR(IF(CF212=0,0,EDATE(CF212,Parametri_v3!$C$37))))*12+E212-MONTH(IF(CF212=0,0,EDATE(CF212,Parametri_v3!$C$37)))),Parametri_v3!$C$38)=0),MIN(MAX(0,(BC211)+BA212-N212),(CC212-CD212)/(Ipotesi!$C$108*12/Parametri_v3!$C$38)),0)</f>
        <v>0</v>
      </c>
      <c r="BC212" s="15" t="n">
        <f aca="false">(BC211)+BA212-N212-BB212</f>
        <v>57882.6449548045</v>
      </c>
      <c r="BD212" s="15" t="n">
        <f aca="false">(BH211)+AC212+AF212-AI212-AS212-K212*(1+Parametri_v3!$C$26)-AL212-AQ212-O212+AW212+AX212+AZ212+BA212-BB212</f>
        <v>-831526.775638569</v>
      </c>
      <c r="BE212" s="15" t="n">
        <f aca="false">MAX(0,MIN(MAX(0,CH212-(BG211)),Parametri_v3!$C$30-BD212))</f>
        <v>0</v>
      </c>
      <c r="BF212" s="15" t="n">
        <f aca="false">IF(Motore_Operativo!C212&gt;=Parametri_v3!$C$63,(BG211),MIN((BG211),MAX(0,BD212-Parametri_v3!$C$30)))</f>
        <v>0</v>
      </c>
      <c r="BG212" s="15" t="n">
        <f aca="false">(BG211)+BE212-BF212</f>
        <v>150000</v>
      </c>
      <c r="BH212" s="15" t="n">
        <f aca="false">BD212+BE212-BF212-AY212</f>
        <v>-831526.775638569</v>
      </c>
      <c r="BI212" s="15" t="n">
        <f aca="false">MAX(0,Parametri_v3!$C$30-BH212)</f>
        <v>856526.775638569</v>
      </c>
      <c r="BJ212" s="15" t="n">
        <f aca="false">(BJ211)+K212</f>
        <v>55000</v>
      </c>
      <c r="BK212" s="15" t="n">
        <f aca="false">(BK211)+L212</f>
        <v>20486.1111111111</v>
      </c>
      <c r="BL212" s="15" t="n">
        <f aca="false">BJ212-BK212</f>
        <v>34513.8888888889</v>
      </c>
      <c r="BM212" s="15" t="n">
        <f aca="false">(BM211)+Y212</f>
        <v>-1119199.56328553</v>
      </c>
      <c r="BN212" s="15" t="n">
        <f aca="false">(BN211)+AW212+AX212+AZ212</f>
        <v>130000</v>
      </c>
      <c r="BO212" s="15" t="n">
        <f aca="false">(BO211)+AY212</f>
        <v>0</v>
      </c>
      <c r="BP212" s="15" t="n">
        <f aca="false">0</f>
        <v>0</v>
      </c>
      <c r="BQ212" s="15" t="n">
        <f aca="false">BN212+BM212-BO212</f>
        <v>-989199.563285532</v>
      </c>
      <c r="BR212" s="15" t="n">
        <f aca="false">BH212+AD212+BL212+MAX(0,-AM212)+MAX(0,-AR212)+AG212</f>
        <v>-640501.194991102</v>
      </c>
      <c r="BS212" s="15" t="n">
        <f aca="false">AJ212+AV212+MAX(0,AM212)+MAX(0,AR212)+BC212+BG212+BQ212</f>
        <v>-640501.194991102</v>
      </c>
      <c r="BT212" s="15" t="n">
        <f aca="false">BR212-BS212</f>
        <v>0</v>
      </c>
      <c r="BU212" s="15" t="n">
        <f aca="false">BH212-(BD212+BE212-BF212-AY212)</f>
        <v>0</v>
      </c>
      <c r="BV212" s="15" t="n">
        <f aca="false">MIN(Piano_SS!$C$6,(BV211)+IF(AND(Motore_Operativo!C212&gt;=EDATE(Parametri_v3!$C$24,Ipotesi!F14*12),Motore_Operativo!C212&lt;EDATE(Parametri_v3!$C$24,Parametri_v3!$C$25+Ipotesi!F14*12)),MAX(0,(Motore_Operativo!Y212+Motore_Operativo!X212*Parametri_v3!$C$14)*(1-Parametri_v3!$C$32))*Piano_SS!$D$6,0))</f>
        <v>172493.241666667</v>
      </c>
      <c r="BW212" s="15" t="n">
        <f aca="false">MIN(Piano_SS!$C$7,(BW211)+IF(AND(Motore_Operativo!C212&gt;=EDATE(Parametri_v3!$C$24,Ipotesi!F14*12),Motore_Operativo!C212&lt;EDATE(Parametri_v3!$C$24,Parametri_v3!$C$25+Ipotesi!F14*12)),MAX(0,(IF(28-(INT((Ipotesi!$C$91)/30))&lt;1,0,INDEX(Motore_Operativo!$BN$185:$BN$244,MAX(1,28-(INT((Ipotesi!$C$91)/30)))))*(1-(MOD((Ipotesi!$C$91),30)/30))+IF(28-(INT((Ipotesi!$C$91)/30))-1&lt;1,0,INDEX(Motore_Operativo!$BN$185:$BN$244,MAX(1,28-(INT((Ipotesi!$C$91)/30))-1)))*(MOD((Ipotesi!$C$91),30)/30)))*Piano_SS!$D$7,0))</f>
        <v>15007.8836000773</v>
      </c>
      <c r="BX212" s="15" t="n">
        <f aca="false">MIN(Piano_SS!$C$8,(BX211)+IF(AND(Motore_Operativo!C212&gt;=EDATE(Parametri_v3!$C$24,Ipotesi!F14*12),Motore_Operativo!C212&lt;EDATE(Parametri_v3!$C$24,Parametri_v3!$C$25+Ipotesi!F14*12)),MAX(0,Motore_Operativo!CE212)*Piano_SS!$D$8,0))</f>
        <v>22500</v>
      </c>
      <c r="BY212" s="15" t="n">
        <f aca="false">MIN(Piano_SS!$C$9,(BY211)+IF(AND(Motore_Operativo!C212&gt;=EDATE(Parametri_v3!$C$24,Ipotesi!F14*12),Motore_Operativo!C212&lt;EDATE(Parametri_v3!$C$24,Parametri_v3!$C$25+Ipotesi!F14*12)),MAX(0,((IF(28-(INT((Ipotesi!$C$91)/30))&lt;1,0,INDEX(Motore_Operativo!$BQ$185:$BQ$244,MAX(1,28-(INT((Ipotesi!$C$91)/30)))))*(1-(MOD((Ipotesi!$C$91),30)/30))+IF(28-(INT((Ipotesi!$C$91)/30))-1&lt;1,0,INDEX(Motore_Operativo!$BQ$185:$BQ$244,MAX(1,28-(INT((Ipotesi!$C$91)/30))-1)))*(MOD((Ipotesi!$C$91),30)/30))+(IF(28-(INT((Ipotesi!$C$91)/30))&lt;1,0,INDEX(Motore_Operativo!$BR$185:$BR$244,MAX(1,28-(INT((Ipotesi!$C$91)/30)))))*(1-(MOD((Ipotesi!$C$91),30)/30))+IF(28-(INT((Ipotesi!$C$91)/30))-1&lt;1,0,INDEX(Motore_Operativo!$BR$185:$BR$244,MAX(1,28-(INT((Ipotesi!$C$91)/30))-1)))*(MOD((Ipotesi!$C$91),30)/30))))*Piano_SS!$D$9,0))</f>
        <v>30833.3333333333</v>
      </c>
      <c r="BZ212" s="15" t="n">
        <f aca="false">MIN(Piano_SS!$C$10,(BZ211)+IF(AND(Motore_Operativo!C212&gt;=EDATE(Parametri_v3!$C$24,Ipotesi!F14*12),Motore_Operativo!C212&lt;EDATE(Parametri_v3!$C$24,Parametri_v3!$C$25+Ipotesi!F14*12)),MAX(0,(IF(28-(INT((Ipotesi!$C$91)/30))&lt;1,0,INDEX(Motore_Operativo!$BO$185:$BO$244,MAX(1,28-(INT((Ipotesi!$C$91)/30)))))*(1-(MOD((Ipotesi!$C$91),30)/30))+IF(28-(INT((Ipotesi!$C$91)/30))-1&lt;1,0,INDEX(Motore_Operativo!$BO$185:$BO$244,MAX(1,28-(INT((Ipotesi!$C$91)/30))-1)))*(MOD((Ipotesi!$C$91),30)/30)))*Piano_SS!$D$10,0))</f>
        <v>20500</v>
      </c>
      <c r="CA212" s="15" t="n">
        <f aca="false">SUM(BV212:BZ212)</f>
        <v>261334.458600077</v>
      </c>
      <c r="CB212" s="15" t="n">
        <f aca="false">BV212*(1-Piano_SS!$E$6)+BW212*(1-Piano_SS!$E$7)+BX212*(1-Piano_SS!$E$8)+BY212*(1-Piano_SS!$E$9)+BZ212*(1-Piano_SS!$E$10)</f>
        <v>240834.458600077</v>
      </c>
      <c r="CC212" s="15" t="n">
        <f aca="false">(CC211)+BA212</f>
        <v>80000</v>
      </c>
      <c r="CD212" s="15" t="n">
        <f aca="false">IF(CA212=0,0,CC212*CB212/CA212*Ipotesi!$C$103*Parametri_v3!$C$64)</f>
        <v>22117.3550451955</v>
      </c>
      <c r="CE212" s="18" t="n">
        <f aca="false">IF(BA212&gt;0,Motore_Operativo!C212,(CE211))</f>
        <v>47088</v>
      </c>
      <c r="CF212" s="18" t="n">
        <f aca="false">IF(AND(CC212&gt;0,OR(CC212&gt;=CG212-0.01,Motore_Operativo!C212&gt;=EDATE(MAX(Finanziamenti!$D$15:$D$17),Ipotesi!F14*12))),CE212,0)</f>
        <v>0</v>
      </c>
      <c r="CG212" s="15" t="n">
        <f aca="false">IF(AND(4&lt;&gt;6,4&lt;&gt;9,Finanziamenti!$F$11=1,OR(Parametri_v3!$C$6=0,Finanziamenti!$E$11=1)),MIN(Finanziamenti!$C$11,Piano_SS!$C$12*Ipotesi!$C$102),0)</f>
        <v>400000</v>
      </c>
      <c r="CH212" s="15" t="n">
        <f aca="false">IF(AND(AND(4&lt;&gt;8,4&lt;&gt;9,Finanziamenti!$F$10=1,OR(Parametri_v3!$C$6=0,Finanziamenti!$E$10=1)),Motore_Operativo!C212&gt;=Finanziamenti!$D$10,Motore_Operativo!C212&lt;Parametri_v3!$C$63),Finanziamenti!$C$10,0)</f>
        <v>150000</v>
      </c>
    </row>
    <row r="213" customFormat="false" ht="18" hidden="false" customHeight="true" outlineLevel="0" collapsed="false">
      <c r="A213" s="68" t="n">
        <f aca="false">4</f>
        <v>4</v>
      </c>
      <c r="B213" s="68" t="n">
        <f aca="false">29</f>
        <v>29</v>
      </c>
      <c r="C213" s="18" t="n">
        <f aca="false">Motore_Operativo!C213</f>
        <v>47239</v>
      </c>
      <c r="D213" s="68" t="n">
        <f aca="false">Motore_Operativo!D213</f>
        <v>2029</v>
      </c>
      <c r="E213" s="68" t="n">
        <f aca="false">Motore_Operativo!E213</f>
        <v>5</v>
      </c>
      <c r="F213" s="15" t="n">
        <f aca="false">Motore_Operativo!AQ213+Motore_Operativo!BF213</f>
        <v>29087.1202691121</v>
      </c>
      <c r="G213" s="15" t="n">
        <f aca="false">Motore_Operativo!BH213</f>
        <v>3267</v>
      </c>
      <c r="H213" s="15" t="n">
        <f aca="false">Motore_Operativo!BI213</f>
        <v>32354.1202691121</v>
      </c>
      <c r="I213" s="15" t="n">
        <f aca="false">Motore_Operativo!CA213</f>
        <v>113006.373504342</v>
      </c>
      <c r="J213" s="15" t="n">
        <f aca="false">Motore_Operativo!CC213</f>
        <v>-80652.2532352303</v>
      </c>
      <c r="K213" s="15" t="n">
        <f aca="false">Motore_Operativo!CE213</f>
        <v>2500</v>
      </c>
      <c r="L213" s="15" t="n">
        <f aca="false">SUM(INDEX($K$185:$K$244,MAX(1,29-Parametri_v3!$C$59+1)):K213)/Parametri_v3!$C$59</f>
        <v>1597.22222222222</v>
      </c>
      <c r="M213" s="15" t="n">
        <f aca="false">J213-L213</f>
        <v>-82249.4754574525</v>
      </c>
      <c r="N213" s="15" t="n">
        <f aca="false">CD213-(CD212)</f>
        <v>-9.45899533531701</v>
      </c>
      <c r="O213" s="15" t="n">
        <f aca="false">(BG212)*Ipotesi!$C$110/12+CH213*Parametri_v3!$C$39/12</f>
        <v>750</v>
      </c>
      <c r="P213" s="15" t="n">
        <f aca="false">M213+N213-O213</f>
        <v>-83008.9344527878</v>
      </c>
      <c r="Q213" s="15" t="n">
        <f aca="false">SUM(P209:P213)+Parametri_v3!$C$54*5/12</f>
        <v>-422317.245771863</v>
      </c>
      <c r="R213" s="15" t="n">
        <f aca="false">Z208</f>
        <v>779891.251966456</v>
      </c>
      <c r="S213" s="15" t="n">
        <f aca="false">AA208</f>
        <v>0</v>
      </c>
      <c r="T213" s="15" t="n">
        <f aca="false">MIN(R213,MAX(0,Q213))</f>
        <v>0</v>
      </c>
      <c r="U213" s="15" t="n">
        <f aca="false">MIN(S213,MAX(0,Q213-T213)*Parametri_v3!$C$42)</f>
        <v>0</v>
      </c>
      <c r="V213" s="15" t="n">
        <f aca="false">MAX(0,Q213-T213-U213)*Ipotesi!$C$92</f>
        <v>0</v>
      </c>
      <c r="W213" s="15" t="n">
        <f aca="false">MAX(0,SUM(M209:M213)+Parametri_v3!$C$55*5/12)*Ipotesi!$C$93</f>
        <v>0</v>
      </c>
      <c r="X213" s="15" t="n">
        <f aca="false">V213+W213-(V212+W212)</f>
        <v>0</v>
      </c>
      <c r="Y213" s="15" t="n">
        <f aca="false">P213-X213</f>
        <v>-83008.9344527878</v>
      </c>
      <c r="Z213" s="15" t="n">
        <f aca="false">R213-T213+IF(AND(Parametri_v3!$C$40=1,D213-YEAR(Parametri_v3!$C$50)&lt;Parametri_v3!$C$41),MAX(0,-Q213),0)</f>
        <v>1202208.49773832</v>
      </c>
      <c r="AA213" s="15" t="n">
        <f aca="false">S213-U213+IF(AND(Parametri_v3!$C$40=1,D213-YEAR(Parametri_v3!$C$50)&lt;Parametri_v3!$C$41),0,MAX(0,-Q213))</f>
        <v>0</v>
      </c>
      <c r="AB213" s="15" t="n">
        <f aca="false">F213*(1+Parametri_v3!$C$26)</f>
        <v>35486.2867283168</v>
      </c>
      <c r="AC213" s="15" t="n">
        <f aca="false">(IF(29-(INT((Motore_Operativo!L213)/30))&lt;1,0,INDEX(Motore_Startup!$AB$185:$AB$244,MAX(1,29-(INT((Motore_Operativo!L213)/30)))))*(1-(MOD((Motore_Operativo!L213),30)/30))+IF(29-(INT((Motore_Operativo!L213)/30))-1&lt;1,0,INDEX(Motore_Startup!$AB$185:$AB$244,MAX(1,29-(INT((Motore_Operativo!L213)/30))-1)))*(MOD((Motore_Operativo!L213),30)/30))</f>
        <v>31509.5320735108</v>
      </c>
      <c r="AD213" s="15" t="n">
        <f aca="false">(AD212)+AB213-AC213</f>
        <v>134191.907215093</v>
      </c>
      <c r="AE213" s="15" t="n">
        <f aca="false">Motore_Operativo!BH213*(1+Parametri_v3!$C$26)</f>
        <v>3985.74</v>
      </c>
      <c r="AF213" s="15" t="n">
        <f aca="false">(IF(29-(INT((Parametri_v3!$C$29)/30))&lt;1,0,INDEX(Motore_Operativo!$BH$185:$BH$244,MAX(1,29-(INT((Parametri_v3!$C$29)/30)))))*(1-(MOD((Parametri_v3!$C$29),30)/30))+IF(29-(INT((Parametri_v3!$C$29)/30))-1&lt;1,0,INDEX(Motore_Operativo!$BH$185:$BH$244,MAX(1,29-(INT((Parametri_v3!$C$29)/30))-1)))*(MOD((Parametri_v3!$C$29),30)/30))*(1+Parametri_v3!$C$26)</f>
        <v>3985.74</v>
      </c>
      <c r="AG213" s="15" t="n">
        <f aca="false">(AG212)+AE213-AF213</f>
        <v>3985.74</v>
      </c>
      <c r="AH213" s="15" t="n">
        <f aca="false">(Motore_Operativo!CJ213)*(1+Parametri_v3!$C$27*Parametri_v3!$C$26)</f>
        <v>45975.7230163211</v>
      </c>
      <c r="AI213" s="15" t="n">
        <f aca="false">(IF(29-(INT((Ipotesi!$C$91)/30))&lt;1,0,INDEX(Motore_Startup!$AH$185:$AH$244,MAX(1,29-(INT((Ipotesi!$C$91)/30)))))*(1-(MOD((Ipotesi!$C$91),30)/30))+IF(29-(INT((Ipotesi!$C$91)/30))-1&lt;1,0,INDEX(Motore_Startup!$AH$185:$AH$244,MAX(1,29-(INT((Ipotesi!$C$91)/30))-1)))*(MOD((Ipotesi!$C$91),30)/30))</f>
        <v>45600.4049948028</v>
      </c>
      <c r="AJ213" s="15" t="n">
        <f aca="false">(AJ212)+AH213-AI213</f>
        <v>91728.8080278107</v>
      </c>
      <c r="AK213" s="15" t="n">
        <f aca="false">(F213+ Motore_Operativo!BH213-(Motore_Operativo!CJ213)*Parametri_v3!$C$27-Motore_Operativo!CE213)*Parametri_v3!$C$26</f>
        <v>-675.109719440688</v>
      </c>
      <c r="AL213" s="15" t="n">
        <f aca="false">MAX(0,(AM212))</f>
        <v>0</v>
      </c>
      <c r="AM213" s="15" t="n">
        <f aca="false">(AM212)+AK213-AL213</f>
        <v>-22985.9089177325</v>
      </c>
      <c r="AN213" s="15" t="n">
        <f aca="false">SUM(X197:X208)</f>
        <v>0</v>
      </c>
      <c r="AO213" s="15" t="n">
        <f aca="false">SUM(AP197:AP208)</f>
        <v>0</v>
      </c>
      <c r="AP213" s="15" t="n">
        <f aca="false">MAX(0,AN213)*IF(5=Parametri_v3!$C$43,Parametri_v3!$C$45,IF(5=Parametri_v3!$C$44,1-Parametri_v3!$C$45,0))</f>
        <v>0</v>
      </c>
      <c r="AQ213" s="15" t="n">
        <f aca="false">MAX(0,AP213+IF(5=Parametri_v3!$C$43,MAX(0,AN213-AO213),0)-MAX(0,-(AR212)))</f>
        <v>0</v>
      </c>
      <c r="AR213" s="15" t="n">
        <f aca="false">(AR212)+X213-AQ213</f>
        <v>0</v>
      </c>
      <c r="AS213" s="15" t="n">
        <f aca="false">Motore_Operativo!AB213-AT213+AU213</f>
        <v>70559.9833333333</v>
      </c>
      <c r="AT213" s="15" t="n">
        <f aca="false">Motore_Operativo!CH213</f>
        <v>3713.68333333333</v>
      </c>
      <c r="AU213" s="15" t="n">
        <f aca="false">MIN(MAX(0,(AV212)+AT213),Parametri_v3!$C$60/12)</f>
        <v>0</v>
      </c>
      <c r="AV213" s="15" t="n">
        <f aca="false">(AV212)+AT213-AU213</f>
        <v>53175.9166666667</v>
      </c>
      <c r="AW213" s="15" t="n">
        <f aca="false">IF(AND(Motore_Operativo!C213=Finanziamenti!$D$6,Finanziamenti!$F$6=1),Finanziamenti!$C$6,0)</f>
        <v>0</v>
      </c>
      <c r="AX213" s="15" t="n">
        <f aca="false">IF(AND(4&lt;&gt;7,4&lt;&gt;9,Finanziamenti!$F$8=1,OR(Parametri_v3!$C$6=0,Finanziamenti!$E$8=1),Motore_Operativo!C213=EDATE(Finanziamenti!$D$8,Ipotesi!F15*12)),Finanziamenti!$C$8*1,0)+IF(AND(4&lt;&gt;7,4&lt;&gt;9,Finanziamenti!$F$9=1,OR(Parametri_v3!$C$6=0,Finanziamenti!$E$9=1),Motore_Operativo!C213=EDATE(Finanziamenti!$D$9,Ipotesi!F15*12)),Finanziamenti!$C$9*Ipotesi!F16,0)</f>
        <v>0</v>
      </c>
      <c r="AY213" s="15" t="n">
        <f aca="false">0</f>
        <v>0</v>
      </c>
      <c r="AZ213" s="15" t="n">
        <f aca="false">Motore_Advisory!AY213*(1-Ipotesi!$C$95)*Ipotesi!$C$96</f>
        <v>0</v>
      </c>
      <c r="BA213" s="15" t="n">
        <f aca="false">MAX(0,MIN(CG213*MIN(1,IF(Motore_Operativo!C213&gt;=EDATE(Finanziamenti!$D$15,Ipotesi!F14*12),Finanziamenti!$C$15,0)+IF(Motore_Operativo!C213&gt;=EDATE(Finanziamenti!$D$16,Ipotesi!F14*12),Finanziamenti!$C$16,0)+IF(Motore_Operativo!C213&gt;=EDATE(Finanziamenti!$D$17,Ipotesi!F14*12),Finanziamenti!$C$17,0)),CA213*Ipotesi!$C$102)-(CC212))</f>
        <v>0</v>
      </c>
      <c r="BB213" s="15" t="n">
        <f aca="false">IF(AND(CF213&gt;0,Motore_Operativo!C213&gt;=IF(CF213=0,0,EDATE(CF213,Parametri_v3!$C$37)),MOD(((D213-YEAR(IF(CF213=0,0,EDATE(CF213,Parametri_v3!$C$37))))*12+E213-MONTH(IF(CF213=0,0,EDATE(CF213,Parametri_v3!$C$37)))),Parametri_v3!$C$38)=0),MIN(MAX(0,(BC212)+BA213-N213),(CC213-CD213)/(Ipotesi!$C$108*12/Parametri_v3!$C$38)),0)</f>
        <v>0</v>
      </c>
      <c r="BC213" s="15" t="n">
        <f aca="false">(BC212)+BA213-N213-BB213</f>
        <v>57892.1039501398</v>
      </c>
      <c r="BD213" s="15" t="n">
        <f aca="false">(BH212)+AC213+AF213-AI213-AS213-K213*(1+Parametri_v3!$C$26)-AL213-AQ213-O213+AW213+AX213+AZ213+BA213-BB213</f>
        <v>-915991.891893194</v>
      </c>
      <c r="BE213" s="15" t="n">
        <f aca="false">MAX(0,MIN(MAX(0,CH213-(BG212)),Parametri_v3!$C$30-BD213))</f>
        <v>0</v>
      </c>
      <c r="BF213" s="15" t="n">
        <f aca="false">IF(Motore_Operativo!C213&gt;=Parametri_v3!$C$63,(BG212),MIN((BG212),MAX(0,BD213-Parametri_v3!$C$30)))</f>
        <v>0</v>
      </c>
      <c r="BG213" s="15" t="n">
        <f aca="false">(BG212)+BE213-BF213</f>
        <v>150000</v>
      </c>
      <c r="BH213" s="15" t="n">
        <f aca="false">BD213+BE213-BF213-AY213</f>
        <v>-915991.891893194</v>
      </c>
      <c r="BI213" s="15" t="n">
        <f aca="false">MAX(0,Parametri_v3!$C$30-BH213)</f>
        <v>940991.891893194</v>
      </c>
      <c r="BJ213" s="15" t="n">
        <f aca="false">(BJ212)+K213</f>
        <v>57500</v>
      </c>
      <c r="BK213" s="15" t="n">
        <f aca="false">(BK212)+L213</f>
        <v>22083.3333333333</v>
      </c>
      <c r="BL213" s="15" t="n">
        <f aca="false">BJ213-BK213</f>
        <v>35416.6666666667</v>
      </c>
      <c r="BM213" s="15" t="n">
        <f aca="false">(BM212)+Y213</f>
        <v>-1202208.49773832</v>
      </c>
      <c r="BN213" s="15" t="n">
        <f aca="false">(BN212)+AW213+AX213+AZ213</f>
        <v>130000</v>
      </c>
      <c r="BO213" s="15" t="n">
        <f aca="false">(BO212)+AY213</f>
        <v>0</v>
      </c>
      <c r="BP213" s="15" t="n">
        <f aca="false">0</f>
        <v>0</v>
      </c>
      <c r="BQ213" s="15" t="n">
        <f aca="false">BN213+BM213-BO213</f>
        <v>-1072208.49773832</v>
      </c>
      <c r="BR213" s="15" t="n">
        <f aca="false">BH213+AD213+BL213+MAX(0,-AM213)+MAX(0,-AR213)+AG213</f>
        <v>-719411.669093702</v>
      </c>
      <c r="BS213" s="15" t="n">
        <f aca="false">AJ213+AV213+MAX(0,AM213)+MAX(0,AR213)+BC213+BG213+BQ213</f>
        <v>-719411.669093702</v>
      </c>
      <c r="BT213" s="15" t="n">
        <f aca="false">BR213-BS213</f>
        <v>0</v>
      </c>
      <c r="BU213" s="15" t="n">
        <f aca="false">BH213-(BD213+BE213-BF213-AY213)</f>
        <v>0</v>
      </c>
      <c r="BV213" s="15" t="n">
        <f aca="false">MIN(Piano_SS!$C$6,(BV212)+IF(AND(Motore_Operativo!C213&gt;=EDATE(Parametri_v3!$C$24,Ipotesi!F14*12),Motore_Operativo!C213&lt;EDATE(Parametri_v3!$C$24,Parametri_v3!$C$25+Ipotesi!F14*12)),MAX(0,(Motore_Operativo!Y213+Motore_Operativo!X213*Parametri_v3!$C$14)*(1-Parametri_v3!$C$32))*Piano_SS!$D$6,0))</f>
        <v>197269.677083333</v>
      </c>
      <c r="BW213" s="15" t="n">
        <f aca="false">MIN(Piano_SS!$C$7,(BW212)+IF(AND(Motore_Operativo!C213&gt;=EDATE(Parametri_v3!$C$24,Ipotesi!F14*12),Motore_Operativo!C213&lt;EDATE(Parametri_v3!$C$24,Parametri_v3!$C$25+Ipotesi!F14*12)),MAX(0,(IF(29-(INT((Ipotesi!$C$91)/30))&lt;1,0,INDEX(Motore_Operativo!$BN$185:$BN$244,MAX(1,29-(INT((Ipotesi!$C$91)/30)))))*(1-(MOD((Ipotesi!$C$91),30)/30))+IF(29-(INT((Ipotesi!$C$91)/30))-1&lt;1,0,INDEX(Motore_Operativo!$BN$185:$BN$244,MAX(1,29-(INT((Ipotesi!$C$91)/30))-1)))*(MOD((Ipotesi!$C$91),30)/30)))*Piano_SS!$D$7,0))</f>
        <v>16754.1729849865</v>
      </c>
      <c r="BX213" s="15" t="n">
        <f aca="false">MIN(Piano_SS!$C$8,(BX212)+IF(AND(Motore_Operativo!C213&gt;=EDATE(Parametri_v3!$C$24,Ipotesi!F14*12),Motore_Operativo!C213&lt;EDATE(Parametri_v3!$C$24,Parametri_v3!$C$25+Ipotesi!F14*12)),MAX(0,Motore_Operativo!CE213)*Piano_SS!$D$8,0))</f>
        <v>25000</v>
      </c>
      <c r="BY213" s="15" t="n">
        <f aca="false">MIN(Piano_SS!$C$9,(BY212)+IF(AND(Motore_Operativo!C213&gt;=EDATE(Parametri_v3!$C$24,Ipotesi!F14*12),Motore_Operativo!C213&lt;EDATE(Parametri_v3!$C$24,Parametri_v3!$C$25+Ipotesi!F14*12)),MAX(0,((IF(29-(INT((Ipotesi!$C$91)/30))&lt;1,0,INDEX(Motore_Operativo!$BQ$185:$BQ$244,MAX(1,29-(INT((Ipotesi!$C$91)/30)))))*(1-(MOD((Ipotesi!$C$91),30)/30))+IF(29-(INT((Ipotesi!$C$91)/30))-1&lt;1,0,INDEX(Motore_Operativo!$BQ$185:$BQ$244,MAX(1,29-(INT((Ipotesi!$C$91)/30))-1)))*(MOD((Ipotesi!$C$91),30)/30))+(IF(29-(INT((Ipotesi!$C$91)/30))&lt;1,0,INDEX(Motore_Operativo!$BR$185:$BR$244,MAX(1,29-(INT((Ipotesi!$C$91)/30)))))*(1-(MOD((Ipotesi!$C$91),30)/30))+IF(29-(INT((Ipotesi!$C$91)/30))-1&lt;1,0,INDEX(Motore_Operativo!$BR$185:$BR$244,MAX(1,29-(INT((Ipotesi!$C$91)/30))-1)))*(MOD((Ipotesi!$C$91),30)/30))))*Piano_SS!$D$9,0))</f>
        <v>34583.3333333333</v>
      </c>
      <c r="BZ213" s="15" t="n">
        <f aca="false">MIN(Piano_SS!$C$10,(BZ212)+IF(AND(Motore_Operativo!C213&gt;=EDATE(Parametri_v3!$C$24,Ipotesi!F14*12),Motore_Operativo!C213&lt;EDATE(Parametri_v3!$C$24,Parametri_v3!$C$25+Ipotesi!F14*12)),MAX(0,(IF(29-(INT((Ipotesi!$C$91)/30))&lt;1,0,INDEX(Motore_Operativo!$BO$185:$BO$244,MAX(1,29-(INT((Ipotesi!$C$91)/30)))))*(1-(MOD((Ipotesi!$C$91),30)/30))+IF(29-(INT((Ipotesi!$C$91)/30))-1&lt;1,0,INDEX(Motore_Operativo!$BO$185:$BO$244,MAX(1,29-(INT((Ipotesi!$C$91)/30))-1)))*(MOD((Ipotesi!$C$91),30)/30)))*Piano_SS!$D$10,0))</f>
        <v>23416.6666666667</v>
      </c>
      <c r="CA213" s="15" t="n">
        <f aca="false">SUM(BV213:BZ213)</f>
        <v>297023.85006832</v>
      </c>
      <c r="CB213" s="15" t="n">
        <f aca="false">BV213*(1-Piano_SS!$E$6)+BW213*(1-Piano_SS!$E$7)+BX213*(1-Piano_SS!$E$8)+BY213*(1-Piano_SS!$E$9)+BZ213*(1-Piano_SS!$E$10)</f>
        <v>273607.183401653</v>
      </c>
      <c r="CC213" s="15" t="n">
        <f aca="false">(CC212)+BA213</f>
        <v>80000</v>
      </c>
      <c r="CD213" s="15" t="n">
        <f aca="false">IF(CA213=0,0,CC213*CB213/CA213*Ipotesi!$C$103*Parametri_v3!$C$64)</f>
        <v>22107.8960498602</v>
      </c>
      <c r="CE213" s="18" t="n">
        <f aca="false">IF(BA213&gt;0,Motore_Operativo!C213,(CE212))</f>
        <v>47088</v>
      </c>
      <c r="CF213" s="18" t="n">
        <f aca="false">IF(AND(CC213&gt;0,OR(CC213&gt;=CG213-0.01,Motore_Operativo!C213&gt;=EDATE(MAX(Finanziamenti!$D$15:$D$17),Ipotesi!F14*12))),CE213,0)</f>
        <v>0</v>
      </c>
      <c r="CG213" s="15" t="n">
        <f aca="false">IF(AND(4&lt;&gt;6,4&lt;&gt;9,Finanziamenti!$F$11=1,OR(Parametri_v3!$C$6=0,Finanziamenti!$E$11=1)),MIN(Finanziamenti!$C$11,Piano_SS!$C$12*Ipotesi!$C$102),0)</f>
        <v>400000</v>
      </c>
      <c r="CH213" s="15" t="n">
        <f aca="false">IF(AND(AND(4&lt;&gt;8,4&lt;&gt;9,Finanziamenti!$F$10=1,OR(Parametri_v3!$C$6=0,Finanziamenti!$E$10=1)),Motore_Operativo!C213&gt;=Finanziamenti!$D$10,Motore_Operativo!C213&lt;Parametri_v3!$C$63),Finanziamenti!$C$10,0)</f>
        <v>150000</v>
      </c>
    </row>
    <row r="214" customFormat="false" ht="18" hidden="false" customHeight="true" outlineLevel="0" collapsed="false">
      <c r="A214" s="68" t="n">
        <f aca="false">4</f>
        <v>4</v>
      </c>
      <c r="B214" s="68" t="n">
        <f aca="false">30</f>
        <v>30</v>
      </c>
      <c r="C214" s="18" t="n">
        <f aca="false">Motore_Operativo!C214</f>
        <v>47270</v>
      </c>
      <c r="D214" s="68" t="n">
        <f aca="false">Motore_Operativo!D214</f>
        <v>2029</v>
      </c>
      <c r="E214" s="68" t="n">
        <f aca="false">Motore_Operativo!E214</f>
        <v>6</v>
      </c>
      <c r="F214" s="15" t="n">
        <f aca="false">Motore_Operativo!AQ214+Motore_Operativo!BF214</f>
        <v>30425.1081131389</v>
      </c>
      <c r="G214" s="15" t="n">
        <f aca="false">Motore_Operativo!BH214</f>
        <v>3267</v>
      </c>
      <c r="H214" s="15" t="n">
        <f aca="false">Motore_Operativo!BI214</f>
        <v>33692.1081131389</v>
      </c>
      <c r="I214" s="15" t="n">
        <f aca="false">Motore_Operativo!CA214</f>
        <v>113193.691802506</v>
      </c>
      <c r="J214" s="15" t="n">
        <f aca="false">Motore_Operativo!CC214</f>
        <v>-79501.5836893672</v>
      </c>
      <c r="K214" s="15" t="n">
        <f aca="false">Motore_Operativo!CE214</f>
        <v>2500</v>
      </c>
      <c r="L214" s="15" t="n">
        <f aca="false">SUM(INDEX($K$185:$K$244,MAX(1,30-Parametri_v3!$C$59+1)):K214)/Parametri_v3!$C$59</f>
        <v>1666.66666666667</v>
      </c>
      <c r="M214" s="15" t="n">
        <f aca="false">J214-L214</f>
        <v>-81168.2503560338</v>
      </c>
      <c r="N214" s="15" t="n">
        <f aca="false">CD214-(CD213)</f>
        <v>-7.01016457481455</v>
      </c>
      <c r="O214" s="15" t="n">
        <f aca="false">(BG213)*Ipotesi!$C$110/12+CH214*Parametri_v3!$C$39/12</f>
        <v>750</v>
      </c>
      <c r="P214" s="15" t="n">
        <f aca="false">M214+N214-O214</f>
        <v>-81925.2605206087</v>
      </c>
      <c r="Q214" s="15" t="n">
        <f aca="false">SUM(P209:P214)+Parametri_v3!$C$54*6/12</f>
        <v>-504242.506292472</v>
      </c>
      <c r="R214" s="15" t="n">
        <f aca="false">Z208</f>
        <v>779891.251966456</v>
      </c>
      <c r="S214" s="15" t="n">
        <f aca="false">AA208</f>
        <v>0</v>
      </c>
      <c r="T214" s="15" t="n">
        <f aca="false">MIN(R214,MAX(0,Q214))</f>
        <v>0</v>
      </c>
      <c r="U214" s="15" t="n">
        <f aca="false">MIN(S214,MAX(0,Q214-T214)*Parametri_v3!$C$42)</f>
        <v>0</v>
      </c>
      <c r="V214" s="15" t="n">
        <f aca="false">MAX(0,Q214-T214-U214)*Ipotesi!$C$92</f>
        <v>0</v>
      </c>
      <c r="W214" s="15" t="n">
        <f aca="false">MAX(0,SUM(M209:M214)+Parametri_v3!$C$55*6/12)*Ipotesi!$C$93</f>
        <v>0</v>
      </c>
      <c r="X214" s="15" t="n">
        <f aca="false">V214+W214-(V213+W213)</f>
        <v>0</v>
      </c>
      <c r="Y214" s="15" t="n">
        <f aca="false">P214-X214</f>
        <v>-81925.2605206087</v>
      </c>
      <c r="Z214" s="15" t="n">
        <f aca="false">R214-T214+IF(AND(Parametri_v3!$C$40=1,D214-YEAR(Parametri_v3!$C$50)&lt;Parametri_v3!$C$41),MAX(0,-Q214),0)</f>
        <v>1284133.75825893</v>
      </c>
      <c r="AA214" s="15" t="n">
        <f aca="false">S214-U214+IF(AND(Parametri_v3!$C$40=1,D214-YEAR(Parametri_v3!$C$50)&lt;Parametri_v3!$C$41),0,MAX(0,-Q214))</f>
        <v>0</v>
      </c>
      <c r="AB214" s="15" t="n">
        <f aca="false">F214*(1+Parametri_v3!$C$26)</f>
        <v>37118.6318980295</v>
      </c>
      <c r="AC214" s="15" t="n">
        <f aca="false">(IF(30-(INT((Motore_Operativo!L214)/30))&lt;1,0,INDEX(Motore_Startup!$AB$185:$AB$244,MAX(1,30-(INT((Motore_Operativo!L214)/30)))))*(1-(MOD((Motore_Operativo!L214),30)/30))+IF(30-(INT((Motore_Operativo!L214)/30))-1&lt;1,0,INDEX(Motore_Startup!$AB$185:$AB$244,MAX(1,30-(INT((Motore_Operativo!L214)/30))-1)))*(MOD((Motore_Operativo!L214),30)/30))</f>
        <v>32122.9035239841</v>
      </c>
      <c r="AD214" s="15" t="n">
        <f aca="false">(AD213)+AB214-AC214</f>
        <v>139187.635589138</v>
      </c>
      <c r="AE214" s="15" t="n">
        <f aca="false">Motore_Operativo!BH214*(1+Parametri_v3!$C$26)</f>
        <v>3985.74</v>
      </c>
      <c r="AF214" s="15" t="n">
        <f aca="false">(IF(30-(INT((Parametri_v3!$C$29)/30))&lt;1,0,INDEX(Motore_Operativo!$BH$185:$BH$244,MAX(1,30-(INT((Parametri_v3!$C$29)/30)))))*(1-(MOD((Parametri_v3!$C$29),30)/30))+IF(30-(INT((Parametri_v3!$C$29)/30))-1&lt;1,0,INDEX(Motore_Operativo!$BH$185:$BH$244,MAX(1,30-(INT((Parametri_v3!$C$29)/30))-1)))*(MOD((Parametri_v3!$C$29),30)/30))*(1+Parametri_v3!$C$26)</f>
        <v>3985.74</v>
      </c>
      <c r="AG214" s="15" t="n">
        <f aca="false">(AG213)+AE214-AF214</f>
        <v>3985.74</v>
      </c>
      <c r="AH214" s="15" t="n">
        <f aca="false">(Motore_Operativo!CJ214)*(1+Parametri_v3!$C$27*Parametri_v3!$C$26)</f>
        <v>46198.0698362414</v>
      </c>
      <c r="AI214" s="15" t="n">
        <f aca="false">(IF(30-(INT((Ipotesi!$C$91)/30))&lt;1,0,INDEX(Motore_Startup!$AH$185:$AH$244,MAX(1,30-(INT((Ipotesi!$C$91)/30)))))*(1-(MOD((Ipotesi!$C$91),30)/30))+IF(30-(INT((Ipotesi!$C$91)/30))-1&lt;1,0,INDEX(Motore_Startup!$AH$185:$AH$244,MAX(1,30-(INT((Ipotesi!$C$91)/30))-1)))*(MOD((Ipotesi!$C$91),30)/30))</f>
        <v>45753.0850114896</v>
      </c>
      <c r="AJ214" s="15" t="n">
        <f aca="false">(AJ213)+AH214-AI214</f>
        <v>92173.7928525625</v>
      </c>
      <c r="AK214" s="15" t="n">
        <f aca="false">(F214+ Motore_Operativo!BH214-(Motore_Operativo!CJ214)*Parametri_v3!$C$27-Motore_Operativo!CE214)*Parametri_v3!$C$26</f>
        <v>-415.780915511409</v>
      </c>
      <c r="AL214" s="15" t="n">
        <f aca="false">MAX(0,(AM213))</f>
        <v>0</v>
      </c>
      <c r="AM214" s="15" t="n">
        <f aca="false">(AM213)+AK214-AL214</f>
        <v>-23401.6898332439</v>
      </c>
      <c r="AN214" s="15" t="n">
        <f aca="false">SUM(X197:X208)</f>
        <v>0</v>
      </c>
      <c r="AO214" s="15" t="n">
        <f aca="false">SUM(AP197:AP208)</f>
        <v>0</v>
      </c>
      <c r="AP214" s="15" t="n">
        <f aca="false">MAX(0,AN214)*IF(6=Parametri_v3!$C$43,Parametri_v3!$C$45,IF(6=Parametri_v3!$C$44,1-Parametri_v3!$C$45,0))</f>
        <v>0</v>
      </c>
      <c r="AQ214" s="15" t="n">
        <f aca="false">MAX(0,AP214+IF(6=Parametri_v3!$C$43,MAX(0,AN214-AO214),0)-MAX(0,-(AR213)))</f>
        <v>0</v>
      </c>
      <c r="AR214" s="15" t="n">
        <f aca="false">(AR213)+X214-AQ214</f>
        <v>0</v>
      </c>
      <c r="AS214" s="15" t="n">
        <f aca="false">Motore_Operativo!AB214-AT214+AU214</f>
        <v>70559.9833333333</v>
      </c>
      <c r="AT214" s="15" t="n">
        <f aca="false">Motore_Operativo!CH214</f>
        <v>3713.68333333333</v>
      </c>
      <c r="AU214" s="15" t="n">
        <f aca="false">MIN(MAX(0,(AV213)+AT214),Parametri_v3!$C$60/12)</f>
        <v>0</v>
      </c>
      <c r="AV214" s="15" t="n">
        <f aca="false">(AV213)+AT214-AU214</f>
        <v>56889.6</v>
      </c>
      <c r="AW214" s="15" t="n">
        <f aca="false">IF(AND(Motore_Operativo!C214=Finanziamenti!$D$6,Finanziamenti!$F$6=1),Finanziamenti!$C$6,0)</f>
        <v>0</v>
      </c>
      <c r="AX214" s="15" t="n">
        <f aca="false">IF(AND(4&lt;&gt;7,4&lt;&gt;9,Finanziamenti!$F$8=1,OR(Parametri_v3!$C$6=0,Finanziamenti!$E$8=1),Motore_Operativo!C214=EDATE(Finanziamenti!$D$8,Ipotesi!F15*12)),Finanziamenti!$C$8*1,0)+IF(AND(4&lt;&gt;7,4&lt;&gt;9,Finanziamenti!$F$9=1,OR(Parametri_v3!$C$6=0,Finanziamenti!$E$9=1),Motore_Operativo!C214=EDATE(Finanziamenti!$D$9,Ipotesi!F15*12)),Finanziamenti!$C$9*Ipotesi!F16,0)</f>
        <v>300000</v>
      </c>
      <c r="AY214" s="15" t="n">
        <f aca="false">0</f>
        <v>0</v>
      </c>
      <c r="AZ214" s="15" t="n">
        <f aca="false">Motore_Advisory!AY214*(1-Ipotesi!$C$95)*Ipotesi!$C$96</f>
        <v>0</v>
      </c>
      <c r="BA214" s="15" t="n">
        <f aca="false">MAX(0,MIN(CG214*MIN(1,IF(Motore_Operativo!C214&gt;=EDATE(Finanziamenti!$D$15,Ipotesi!F14*12),Finanziamenti!$C$15,0)+IF(Motore_Operativo!C214&gt;=EDATE(Finanziamenti!$D$16,Ipotesi!F14*12),Finanziamenti!$C$16,0)+IF(Motore_Operativo!C214&gt;=EDATE(Finanziamenti!$D$17,Ipotesi!F14*12),Finanziamenti!$C$17,0)),CA214*Ipotesi!$C$102)-(CC213))</f>
        <v>0</v>
      </c>
      <c r="BB214" s="15" t="n">
        <f aca="false">IF(AND(CF214&gt;0,Motore_Operativo!C214&gt;=IF(CF214=0,0,EDATE(CF214,Parametri_v3!$C$37)),MOD(((D214-YEAR(IF(CF214=0,0,EDATE(CF214,Parametri_v3!$C$37))))*12+E214-MONTH(IF(CF214=0,0,EDATE(CF214,Parametri_v3!$C$37)))),Parametri_v3!$C$38)=0),MIN(MAX(0,(BC213)+BA214-N214),(CC214-CD214)/(Ipotesi!$C$108*12/Parametri_v3!$C$38)),0)</f>
        <v>0</v>
      </c>
      <c r="BC214" s="15" t="n">
        <f aca="false">(BC213)+BA214-N214-BB214</f>
        <v>57899.1141147146</v>
      </c>
      <c r="BD214" s="15" t="n">
        <f aca="false">(BH213)+AC214+AF214-AI214-AS214-K214*(1+Parametri_v3!$C$26)-AL214-AQ214-O214+AW214+AX214+AZ214+BA214-BB214</f>
        <v>-699996.316714033</v>
      </c>
      <c r="BE214" s="15" t="n">
        <f aca="false">MAX(0,MIN(MAX(0,CH214-(BG213)),Parametri_v3!$C$30-BD214))</f>
        <v>0</v>
      </c>
      <c r="BF214" s="15" t="n">
        <f aca="false">IF(Motore_Operativo!C214&gt;=Parametri_v3!$C$63,(BG213),MIN((BG213),MAX(0,BD214-Parametri_v3!$C$30)))</f>
        <v>0</v>
      </c>
      <c r="BG214" s="15" t="n">
        <f aca="false">(BG213)+BE214-BF214</f>
        <v>150000</v>
      </c>
      <c r="BH214" s="15" t="n">
        <f aca="false">BD214+BE214-BF214-AY214</f>
        <v>-699996.316714033</v>
      </c>
      <c r="BI214" s="15" t="n">
        <f aca="false">MAX(0,Parametri_v3!$C$30-BH214)</f>
        <v>724996.316714033</v>
      </c>
      <c r="BJ214" s="15" t="n">
        <f aca="false">(BJ213)+K214</f>
        <v>60000</v>
      </c>
      <c r="BK214" s="15" t="n">
        <f aca="false">(BK213)+L214</f>
        <v>23750</v>
      </c>
      <c r="BL214" s="15" t="n">
        <f aca="false">BJ214-BK214</f>
        <v>36250</v>
      </c>
      <c r="BM214" s="15" t="n">
        <f aca="false">(BM213)+Y214</f>
        <v>-1284133.75825893</v>
      </c>
      <c r="BN214" s="15" t="n">
        <f aca="false">(BN213)+AW214+AX214+AZ214</f>
        <v>430000</v>
      </c>
      <c r="BO214" s="15" t="n">
        <f aca="false">(BO213)+AY214</f>
        <v>0</v>
      </c>
      <c r="BP214" s="15" t="n">
        <f aca="false">0</f>
        <v>0</v>
      </c>
      <c r="BQ214" s="15" t="n">
        <f aca="false">BN214+BM214-BO214</f>
        <v>-854133.758258928</v>
      </c>
      <c r="BR214" s="15" t="n">
        <f aca="false">BH214+AD214+BL214+MAX(0,-AM214)+MAX(0,-AR214)+AG214</f>
        <v>-497171.251291651</v>
      </c>
      <c r="BS214" s="15" t="n">
        <f aca="false">AJ214+AV214+MAX(0,AM214)+MAX(0,AR214)+BC214+BG214+BQ214</f>
        <v>-497171.251291651</v>
      </c>
      <c r="BT214" s="15" t="n">
        <f aca="false">BR214-BS214</f>
        <v>0</v>
      </c>
      <c r="BU214" s="15" t="n">
        <f aca="false">BH214-(BD214+BE214-BF214-AY214)</f>
        <v>0</v>
      </c>
      <c r="BV214" s="15" t="n">
        <f aca="false">MIN(Piano_SS!$C$6,(BV213)+IF(AND(Motore_Operativo!C214&gt;=EDATE(Parametri_v3!$C$24,Ipotesi!F14*12),Motore_Operativo!C214&lt;EDATE(Parametri_v3!$C$24,Parametri_v3!$C$25+Ipotesi!F14*12)),MAX(0,(Motore_Operativo!Y214+Motore_Operativo!X214*Parametri_v3!$C$14)*(1-Parametri_v3!$C$32))*Piano_SS!$D$6,0))</f>
        <v>222046.1125</v>
      </c>
      <c r="BW214" s="15" t="n">
        <f aca="false">MIN(Piano_SS!$C$7,(BW213)+IF(AND(Motore_Operativo!C214&gt;=EDATE(Parametri_v3!$C$24,Ipotesi!F14*12),Motore_Operativo!C214&lt;EDATE(Parametri_v3!$C$24,Parametri_v3!$C$25+Ipotesi!F14*12)),MAX(0,(IF(30-(INT((Ipotesi!$C$91)/30))&lt;1,0,INDEX(Motore_Operativo!$BN$185:$BN$244,MAX(1,30-(INT((Ipotesi!$C$91)/30)))))*(1-(MOD((Ipotesi!$C$91),30)/30))+IF(30-(INT((Ipotesi!$C$91)/30))-1&lt;1,0,INDEX(Motore_Operativo!$BN$185:$BN$244,MAX(1,30-(INT((Ipotesi!$C$91)/30))-1)))*(MOD((Ipotesi!$C$91),30)/30)))*Piano_SS!$D$7,0))</f>
        <v>18573.9634009161</v>
      </c>
      <c r="BX214" s="15" t="n">
        <f aca="false">MIN(Piano_SS!$C$8,(BX213)+IF(AND(Motore_Operativo!C214&gt;=EDATE(Parametri_v3!$C$24,Ipotesi!F14*12),Motore_Operativo!C214&lt;EDATE(Parametri_v3!$C$24,Parametri_v3!$C$25+Ipotesi!F14*12)),MAX(0,Motore_Operativo!CE214)*Piano_SS!$D$8,0))</f>
        <v>27500</v>
      </c>
      <c r="BY214" s="15" t="n">
        <f aca="false">MIN(Piano_SS!$C$9,(BY213)+IF(AND(Motore_Operativo!C214&gt;=EDATE(Parametri_v3!$C$24,Ipotesi!F14*12),Motore_Operativo!C214&lt;EDATE(Parametri_v3!$C$24,Parametri_v3!$C$25+Ipotesi!F14*12)),MAX(0,((IF(30-(INT((Ipotesi!$C$91)/30))&lt;1,0,INDEX(Motore_Operativo!$BQ$185:$BQ$244,MAX(1,30-(INT((Ipotesi!$C$91)/30)))))*(1-(MOD((Ipotesi!$C$91),30)/30))+IF(30-(INT((Ipotesi!$C$91)/30))-1&lt;1,0,INDEX(Motore_Operativo!$BQ$185:$BQ$244,MAX(1,30-(INT((Ipotesi!$C$91)/30))-1)))*(MOD((Ipotesi!$C$91),30)/30))+(IF(30-(INT((Ipotesi!$C$91)/30))&lt;1,0,INDEX(Motore_Operativo!$BR$185:$BR$244,MAX(1,30-(INT((Ipotesi!$C$91)/30)))))*(1-(MOD((Ipotesi!$C$91),30)/30))+IF(30-(INT((Ipotesi!$C$91)/30))-1&lt;1,0,INDEX(Motore_Operativo!$BR$185:$BR$244,MAX(1,30-(INT((Ipotesi!$C$91)/30))-1)))*(MOD((Ipotesi!$C$91),30)/30))))*Piano_SS!$D$9,0))</f>
        <v>38333.3333333333</v>
      </c>
      <c r="BZ214" s="15" t="n">
        <f aca="false">MIN(Piano_SS!$C$10,(BZ213)+IF(AND(Motore_Operativo!C214&gt;=EDATE(Parametri_v3!$C$24,Ipotesi!F14*12),Motore_Operativo!C214&lt;EDATE(Parametri_v3!$C$24,Parametri_v3!$C$25+Ipotesi!F14*12)),MAX(0,(IF(30-(INT((Ipotesi!$C$91)/30))&lt;1,0,INDEX(Motore_Operativo!$BO$185:$BO$244,MAX(1,30-(INT((Ipotesi!$C$91)/30)))))*(1-(MOD((Ipotesi!$C$91),30)/30))+IF(30-(INT((Ipotesi!$C$91)/30))-1&lt;1,0,INDEX(Motore_Operativo!$BO$185:$BO$244,MAX(1,30-(INT((Ipotesi!$C$91)/30))-1)))*(MOD((Ipotesi!$C$91),30)/30)))*Piano_SS!$D$10,0))</f>
        <v>26333.3333333333</v>
      </c>
      <c r="CA214" s="15" t="n">
        <f aca="false">SUM(BV214:BZ214)</f>
        <v>332786.742567583</v>
      </c>
      <c r="CB214" s="15" t="n">
        <f aca="false">BV214*(1-Piano_SS!$E$6)+BW214*(1-Piano_SS!$E$7)+BX214*(1-Piano_SS!$E$8)+BY214*(1-Piano_SS!$E$9)+BZ214*(1-Piano_SS!$E$10)</f>
        <v>306453.40923425</v>
      </c>
      <c r="CC214" s="15" t="n">
        <f aca="false">(CC213)+BA214</f>
        <v>80000</v>
      </c>
      <c r="CD214" s="15" t="n">
        <f aca="false">IF(CA214=0,0,CC214*CB214/CA214*Ipotesi!$C$103*Parametri_v3!$C$64)</f>
        <v>22100.8858852854</v>
      </c>
      <c r="CE214" s="18" t="n">
        <f aca="false">IF(BA214&gt;0,Motore_Operativo!C214,(CE213))</f>
        <v>47088</v>
      </c>
      <c r="CF214" s="18" t="n">
        <f aca="false">IF(AND(CC214&gt;0,OR(CC214&gt;=CG214-0.01,Motore_Operativo!C214&gt;=EDATE(MAX(Finanziamenti!$D$15:$D$17),Ipotesi!F14*12))),CE214,0)</f>
        <v>0</v>
      </c>
      <c r="CG214" s="15" t="n">
        <f aca="false">IF(AND(4&lt;&gt;6,4&lt;&gt;9,Finanziamenti!$F$11=1,OR(Parametri_v3!$C$6=0,Finanziamenti!$E$11=1)),MIN(Finanziamenti!$C$11,Piano_SS!$C$12*Ipotesi!$C$102),0)</f>
        <v>400000</v>
      </c>
      <c r="CH214" s="15" t="n">
        <f aca="false">IF(AND(AND(4&lt;&gt;8,4&lt;&gt;9,Finanziamenti!$F$10=1,OR(Parametri_v3!$C$6=0,Finanziamenti!$E$10=1)),Motore_Operativo!C214&gt;=Finanziamenti!$D$10,Motore_Operativo!C214&lt;Parametri_v3!$C$63),Finanziamenti!$C$10,0)</f>
        <v>150000</v>
      </c>
    </row>
    <row r="215" customFormat="false" ht="18" hidden="false" customHeight="true" outlineLevel="0" collapsed="false">
      <c r="A215" s="68" t="n">
        <f aca="false">4</f>
        <v>4</v>
      </c>
      <c r="B215" s="68" t="n">
        <f aca="false">31</f>
        <v>31</v>
      </c>
      <c r="C215" s="18" t="n">
        <f aca="false">Motore_Operativo!C215</f>
        <v>47300</v>
      </c>
      <c r="D215" s="68" t="n">
        <f aca="false">Motore_Operativo!D215</f>
        <v>2029</v>
      </c>
      <c r="E215" s="68" t="n">
        <f aca="false">Motore_Operativo!E215</f>
        <v>7</v>
      </c>
      <c r="F215" s="15" t="n">
        <f aca="false">Motore_Operativo!AQ215+Motore_Operativo!BF215</f>
        <v>31764.727656577</v>
      </c>
      <c r="G215" s="15" t="n">
        <f aca="false">Motore_Operativo!BH215</f>
        <v>3267</v>
      </c>
      <c r="H215" s="15" t="n">
        <f aca="false">Motore_Operativo!BI215</f>
        <v>35031.727656577</v>
      </c>
      <c r="I215" s="15" t="n">
        <f aca="false">Motore_Operativo!CA215</f>
        <v>113381.238538587</v>
      </c>
      <c r="J215" s="15" t="n">
        <f aca="false">Motore_Operativo!CC215</f>
        <v>-78349.5108820105</v>
      </c>
      <c r="K215" s="15" t="n">
        <f aca="false">Motore_Operativo!CE215</f>
        <v>2500</v>
      </c>
      <c r="L215" s="15" t="n">
        <f aca="false">SUM(INDEX($K$185:$K$244,MAX(1,31-Parametri_v3!$C$59+1)):K215)/Parametri_v3!$C$59</f>
        <v>1736.11111111111</v>
      </c>
      <c r="M215" s="15" t="n">
        <f aca="false">J215-L215</f>
        <v>-80085.6219931216</v>
      </c>
      <c r="N215" s="15" t="n">
        <f aca="false">CD215-(CD214)</f>
        <v>-15.9180316413331</v>
      </c>
      <c r="O215" s="15" t="n">
        <f aca="false">(BG214)*Ipotesi!$C$110/12+CH215*Parametri_v3!$C$39/12</f>
        <v>750</v>
      </c>
      <c r="P215" s="15" t="n">
        <f aca="false">M215+N215-O215</f>
        <v>-80851.5400247629</v>
      </c>
      <c r="Q215" s="15" t="n">
        <f aca="false">SUM(P209:P215)+Parametri_v3!$C$54*7/12</f>
        <v>-585094.046317235</v>
      </c>
      <c r="R215" s="15" t="n">
        <f aca="false">Z208</f>
        <v>779891.251966456</v>
      </c>
      <c r="S215" s="15" t="n">
        <f aca="false">AA208</f>
        <v>0</v>
      </c>
      <c r="T215" s="15" t="n">
        <f aca="false">MIN(R215,MAX(0,Q215))</f>
        <v>0</v>
      </c>
      <c r="U215" s="15" t="n">
        <f aca="false">MIN(S215,MAX(0,Q215-T215)*Parametri_v3!$C$42)</f>
        <v>0</v>
      </c>
      <c r="V215" s="15" t="n">
        <f aca="false">MAX(0,Q215-T215-U215)*Ipotesi!$C$92</f>
        <v>0</v>
      </c>
      <c r="W215" s="15" t="n">
        <f aca="false">MAX(0,SUM(M209:M215)+Parametri_v3!$C$55*7/12)*Ipotesi!$C$93</f>
        <v>0</v>
      </c>
      <c r="X215" s="15" t="n">
        <f aca="false">V215+W215-(V214+W214)</f>
        <v>0</v>
      </c>
      <c r="Y215" s="15" t="n">
        <f aca="false">P215-X215</f>
        <v>-80851.5400247629</v>
      </c>
      <c r="Z215" s="15" t="n">
        <f aca="false">R215-T215+IF(AND(Parametri_v3!$C$40=1,D215-YEAR(Parametri_v3!$C$50)&lt;Parametri_v3!$C$41),MAX(0,-Q215),0)</f>
        <v>1364985.29828369</v>
      </c>
      <c r="AA215" s="15" t="n">
        <f aca="false">S215-U215+IF(AND(Parametri_v3!$C$40=1,D215-YEAR(Parametri_v3!$C$50)&lt;Parametri_v3!$C$41),0,MAX(0,-Q215))</f>
        <v>0</v>
      </c>
      <c r="AB215" s="15" t="n">
        <f aca="false">F215*(1+Parametri_v3!$C$26)</f>
        <v>38752.9677410239</v>
      </c>
      <c r="AC215" s="15" t="n">
        <f aca="false">(IF(31-(INT((Motore_Operativo!L215)/30))&lt;1,0,INDEX(Motore_Startup!$AB$185:$AB$244,MAX(1,31-(INT((Motore_Operativo!L215)/30)))))*(1-(MOD((Motore_Operativo!L215),30)/30))+IF(31-(INT((Motore_Operativo!L215)/30))-1&lt;1,0,INDEX(Motore_Startup!$AB$185:$AB$244,MAX(1,31-(INT((Motore_Operativo!L215)/30))-1)))*(MOD((Motore_Operativo!L215),30)/30))</f>
        <v>32730.9131198666</v>
      </c>
      <c r="AD215" s="15" t="n">
        <f aca="false">(AD214)+AB215-AC215</f>
        <v>145209.690210296</v>
      </c>
      <c r="AE215" s="15" t="n">
        <f aca="false">Motore_Operativo!BH215*(1+Parametri_v3!$C$26)</f>
        <v>3985.74</v>
      </c>
      <c r="AF215" s="15" t="n">
        <f aca="false">(IF(31-(INT((Parametri_v3!$C$29)/30))&lt;1,0,INDEX(Motore_Operativo!$BH$185:$BH$244,MAX(1,31-(INT((Parametri_v3!$C$29)/30)))))*(1-(MOD((Parametri_v3!$C$29),30)/30))+IF(31-(INT((Parametri_v3!$C$29)/30))-1&lt;1,0,INDEX(Motore_Operativo!$BH$185:$BH$244,MAX(1,31-(INT((Parametri_v3!$C$29)/30))-1)))*(MOD((Parametri_v3!$C$29),30)/30))*(1+Parametri_v3!$C$26)</f>
        <v>3985.74</v>
      </c>
      <c r="AG215" s="15" t="n">
        <f aca="false">(AG214)+AE215-AF215</f>
        <v>3985.74</v>
      </c>
      <c r="AH215" s="15" t="n">
        <f aca="false">(Motore_Operativo!CJ215)*(1+Parametri_v3!$C$27*Parametri_v3!$C$26)</f>
        <v>46420.68781197</v>
      </c>
      <c r="AI215" s="15" t="n">
        <f aca="false">(IF(31-(INT((Ipotesi!$C$91)/30))&lt;1,0,INDEX(Motore_Startup!$AH$185:$AH$244,MAX(1,31-(INT((Ipotesi!$C$91)/30)))))*(1-(MOD((Ipotesi!$C$91),30)/30))+IF(31-(INT((Ipotesi!$C$91)/30))-1&lt;1,0,INDEX(Motore_Startup!$AH$185:$AH$244,MAX(1,31-(INT((Ipotesi!$C$91)/30))-1)))*(MOD((Ipotesi!$C$91),30)/30))</f>
        <v>45975.7230163211</v>
      </c>
      <c r="AJ215" s="15" t="n">
        <f aca="false">(AJ214)+AH215-AI215</f>
        <v>92618.7576482114</v>
      </c>
      <c r="AK215" s="15" t="n">
        <f aca="false">(F215+ Motore_Operativo!BH215-(Motore_Operativo!CJ215)*Parametri_v3!$C$27-Motore_Operativo!CE215)*Parametri_v3!$C$26</f>
        <v>-156.135855602246</v>
      </c>
      <c r="AL215" s="15" t="n">
        <f aca="false">MAX(0,(AM214))</f>
        <v>0</v>
      </c>
      <c r="AM215" s="15" t="n">
        <f aca="false">(AM214)+AK215-AL215</f>
        <v>-23557.8256888461</v>
      </c>
      <c r="AN215" s="15" t="n">
        <f aca="false">SUM(X197:X208)</f>
        <v>0</v>
      </c>
      <c r="AO215" s="15" t="n">
        <f aca="false">SUM(AP197:AP208)</f>
        <v>0</v>
      </c>
      <c r="AP215" s="15" t="n">
        <f aca="false">MAX(0,AN215)*IF(7=Parametri_v3!$C$43,Parametri_v3!$C$45,IF(7=Parametri_v3!$C$44,1-Parametri_v3!$C$45,0))</f>
        <v>0</v>
      </c>
      <c r="AQ215" s="15" t="n">
        <f aca="false">MAX(0,AP215+IF(7=Parametri_v3!$C$43,MAX(0,AN215-AO215),0)-MAX(0,-(AR214)))</f>
        <v>0</v>
      </c>
      <c r="AR215" s="15" t="n">
        <f aca="false">(AR214)+X215-AQ215</f>
        <v>0</v>
      </c>
      <c r="AS215" s="15" t="n">
        <f aca="false">Motore_Operativo!AB215-AT215+AU215</f>
        <v>70559.9833333333</v>
      </c>
      <c r="AT215" s="15" t="n">
        <f aca="false">Motore_Operativo!CH215</f>
        <v>3713.68333333333</v>
      </c>
      <c r="AU215" s="15" t="n">
        <f aca="false">MIN(MAX(0,(AV214)+AT215),Parametri_v3!$C$60/12)</f>
        <v>0</v>
      </c>
      <c r="AV215" s="15" t="n">
        <f aca="false">(AV214)+AT215-AU215</f>
        <v>60603.2833333334</v>
      </c>
      <c r="AW215" s="15" t="n">
        <f aca="false">IF(AND(Motore_Operativo!C215=Finanziamenti!$D$6,Finanziamenti!$F$6=1),Finanziamenti!$C$6,0)</f>
        <v>0</v>
      </c>
      <c r="AX215" s="15" t="n">
        <f aca="false">IF(AND(4&lt;&gt;7,4&lt;&gt;9,Finanziamenti!$F$8=1,OR(Parametri_v3!$C$6=0,Finanziamenti!$E$8=1),Motore_Operativo!C215=EDATE(Finanziamenti!$D$8,Ipotesi!F15*12)),Finanziamenti!$C$8*1,0)+IF(AND(4&lt;&gt;7,4&lt;&gt;9,Finanziamenti!$F$9=1,OR(Parametri_v3!$C$6=0,Finanziamenti!$E$9=1),Motore_Operativo!C215=EDATE(Finanziamenti!$D$9,Ipotesi!F15*12)),Finanziamenti!$C$9*Ipotesi!F16,0)</f>
        <v>0</v>
      </c>
      <c r="AY215" s="15" t="n">
        <f aca="false">0</f>
        <v>0</v>
      </c>
      <c r="AZ215" s="15" t="n">
        <f aca="false">Motore_Advisory!AY215*(1-Ipotesi!$C$95)*Ipotesi!$C$96</f>
        <v>0</v>
      </c>
      <c r="BA215" s="15" t="n">
        <f aca="false">MAX(0,MIN(CG215*MIN(1,IF(Motore_Operativo!C215&gt;=EDATE(Finanziamenti!$D$15,Ipotesi!F14*12),Finanziamenti!$C$15,0)+IF(Motore_Operativo!C215&gt;=EDATE(Finanziamenti!$D$16,Ipotesi!F14*12),Finanziamenti!$C$16,0)+IF(Motore_Operativo!C215&gt;=EDATE(Finanziamenti!$D$17,Ipotesi!F14*12),Finanziamenti!$C$17,0)),CA215*Ipotesi!$C$102)-(CC214))</f>
        <v>0</v>
      </c>
      <c r="BB215" s="15" t="n">
        <f aca="false">IF(AND(CF215&gt;0,Motore_Operativo!C215&gt;=IF(CF215=0,0,EDATE(CF215,Parametri_v3!$C$37)),MOD(((D215-YEAR(IF(CF215=0,0,EDATE(CF215,Parametri_v3!$C$37))))*12+E215-MONTH(IF(CF215=0,0,EDATE(CF215,Parametri_v3!$C$37)))),Parametri_v3!$C$38)=0),MIN(MAX(0,(BC214)+BA215-N215),(CC215-CD215)/(Ipotesi!$C$108*12/Parametri_v3!$C$38)),0)</f>
        <v>0</v>
      </c>
      <c r="BC215" s="15" t="n">
        <f aca="false">(BC214)+BA215-N215-BB215</f>
        <v>57915.032146356</v>
      </c>
      <c r="BD215" s="15" t="n">
        <f aca="false">(BH214)+AC215+AF215-AI215-AS215-K215*(1+Parametri_v3!$C$26)-AL215-AQ215-O215+AW215+AX215+AZ215+BA215-BB215</f>
        <v>-783615.369943821</v>
      </c>
      <c r="BE215" s="15" t="n">
        <f aca="false">MAX(0,MIN(MAX(0,CH215-(BG214)),Parametri_v3!$C$30-BD215))</f>
        <v>0</v>
      </c>
      <c r="BF215" s="15" t="n">
        <f aca="false">IF(Motore_Operativo!C215&gt;=Parametri_v3!$C$63,(BG214),MIN((BG214),MAX(0,BD215-Parametri_v3!$C$30)))</f>
        <v>0</v>
      </c>
      <c r="BG215" s="15" t="n">
        <f aca="false">(BG214)+BE215-BF215</f>
        <v>150000</v>
      </c>
      <c r="BH215" s="15" t="n">
        <f aca="false">BD215+BE215-BF215-AY215</f>
        <v>-783615.369943821</v>
      </c>
      <c r="BI215" s="15" t="n">
        <f aca="false">MAX(0,Parametri_v3!$C$30-BH215)</f>
        <v>808615.369943821</v>
      </c>
      <c r="BJ215" s="15" t="n">
        <f aca="false">(BJ214)+K215</f>
        <v>62500</v>
      </c>
      <c r="BK215" s="15" t="n">
        <f aca="false">(BK214)+L215</f>
        <v>25486.1111111111</v>
      </c>
      <c r="BL215" s="15" t="n">
        <f aca="false">BJ215-BK215</f>
        <v>37013.8888888889</v>
      </c>
      <c r="BM215" s="15" t="n">
        <f aca="false">(BM214)+Y215</f>
        <v>-1364985.29828369</v>
      </c>
      <c r="BN215" s="15" t="n">
        <f aca="false">(BN214)+AW215+AX215+AZ215</f>
        <v>430000</v>
      </c>
      <c r="BO215" s="15" t="n">
        <f aca="false">(BO214)+AY215</f>
        <v>0</v>
      </c>
      <c r="BP215" s="15" t="n">
        <f aca="false">0</f>
        <v>0</v>
      </c>
      <c r="BQ215" s="15" t="n">
        <f aca="false">BN215+BM215-BO215</f>
        <v>-934985.298283691</v>
      </c>
      <c r="BR215" s="15" t="n">
        <f aca="false">BH215+AD215+BL215+MAX(0,-AM215)+MAX(0,-AR215)+AG215</f>
        <v>-573848.225155791</v>
      </c>
      <c r="BS215" s="15" t="n">
        <f aca="false">AJ215+AV215+MAX(0,AM215)+MAX(0,AR215)+BC215+BG215+BQ215</f>
        <v>-573848.22515579</v>
      </c>
      <c r="BT215" s="15" t="n">
        <f aca="false">BR215-BS215</f>
        <v>0</v>
      </c>
      <c r="BU215" s="15" t="n">
        <f aca="false">BH215-(BD215+BE215-BF215-AY215)</f>
        <v>0</v>
      </c>
      <c r="BV215" s="15" t="n">
        <f aca="false">MIN(Piano_SS!$C$6,(BV214)+IF(AND(Motore_Operativo!C215&gt;=EDATE(Parametri_v3!$C$24,Ipotesi!F14*12),Motore_Operativo!C215&lt;EDATE(Parametri_v3!$C$24,Parametri_v3!$C$25+Ipotesi!F14*12)),MAX(0,(Motore_Operativo!Y215+Motore_Operativo!X215*Parametri_v3!$C$14)*(1-Parametri_v3!$C$32))*Piano_SS!$D$6,0))</f>
        <v>246822.547916667</v>
      </c>
      <c r="BW215" s="15" t="n">
        <f aca="false">MIN(Piano_SS!$C$7,(BW214)+IF(AND(Motore_Operativo!C215&gt;=EDATE(Parametri_v3!$C$24,Ipotesi!F14*12),Motore_Operativo!C215&lt;EDATE(Parametri_v3!$C$24,Parametri_v3!$C$25+Ipotesi!F14*12)),MAX(0,(IF(31-(INT((Ipotesi!$C$91)/30))&lt;1,0,INDEX(Motore_Operativo!$BN$185:$BN$244,MAX(1,31-(INT((Ipotesi!$C$91)/30)))))*(1-(MOD((Ipotesi!$C$91),30)/30))+IF(31-(INT((Ipotesi!$C$91)/30))-1&lt;1,0,INDEX(Motore_Operativo!$BN$185:$BN$244,MAX(1,31-(INT((Ipotesi!$C$91)/30))-1)))*(MOD((Ipotesi!$C$91),30)/30)))*Piano_SS!$D$7,0))</f>
        <v>20500.933022445</v>
      </c>
      <c r="BX215" s="15" t="n">
        <f aca="false">MIN(Piano_SS!$C$8,(BX214)+IF(AND(Motore_Operativo!C215&gt;=EDATE(Parametri_v3!$C$24,Ipotesi!F14*12),Motore_Operativo!C215&lt;EDATE(Parametri_v3!$C$24,Parametri_v3!$C$25+Ipotesi!F14*12)),MAX(0,Motore_Operativo!CE215)*Piano_SS!$D$8,0))</f>
        <v>30000</v>
      </c>
      <c r="BY215" s="15" t="n">
        <f aca="false">MIN(Piano_SS!$C$9,(BY214)+IF(AND(Motore_Operativo!C215&gt;=EDATE(Parametri_v3!$C$24,Ipotesi!F14*12),Motore_Operativo!C215&lt;EDATE(Parametri_v3!$C$24,Parametri_v3!$C$25+Ipotesi!F14*12)),MAX(0,((IF(31-(INT((Ipotesi!$C$91)/30))&lt;1,0,INDEX(Motore_Operativo!$BQ$185:$BQ$244,MAX(1,31-(INT((Ipotesi!$C$91)/30)))))*(1-(MOD((Ipotesi!$C$91),30)/30))+IF(31-(INT((Ipotesi!$C$91)/30))-1&lt;1,0,INDEX(Motore_Operativo!$BQ$185:$BQ$244,MAX(1,31-(INT((Ipotesi!$C$91)/30))-1)))*(MOD((Ipotesi!$C$91),30)/30))+(IF(31-(INT((Ipotesi!$C$91)/30))&lt;1,0,INDEX(Motore_Operativo!$BR$185:$BR$244,MAX(1,31-(INT((Ipotesi!$C$91)/30)))))*(1-(MOD((Ipotesi!$C$91),30)/30))+IF(31-(INT((Ipotesi!$C$91)/30))-1&lt;1,0,INDEX(Motore_Operativo!$BR$185:$BR$244,MAX(1,31-(INT((Ipotesi!$C$91)/30))-1)))*(MOD((Ipotesi!$C$91),30)/30))))*Piano_SS!$D$9,0))</f>
        <v>40000</v>
      </c>
      <c r="BZ215" s="15" t="n">
        <f aca="false">MIN(Piano_SS!$C$10,(BZ214)+IF(AND(Motore_Operativo!C215&gt;=EDATE(Parametri_v3!$C$24,Ipotesi!F14*12),Motore_Operativo!C215&lt;EDATE(Parametri_v3!$C$24,Parametri_v3!$C$25+Ipotesi!F14*12)),MAX(0,(IF(31-(INT((Ipotesi!$C$91)/30))&lt;1,0,INDEX(Motore_Operativo!$BO$185:$BO$244,MAX(1,31-(INT((Ipotesi!$C$91)/30)))))*(1-(MOD((Ipotesi!$C$91),30)/30))+IF(31-(INT((Ipotesi!$C$91)/30))-1&lt;1,0,INDEX(Motore_Operativo!$BO$185:$BO$244,MAX(1,31-(INT((Ipotesi!$C$91)/30))-1)))*(MOD((Ipotesi!$C$91),30)/30)))*Piano_SS!$D$10,0))</f>
        <v>29250</v>
      </c>
      <c r="CA215" s="15" t="n">
        <f aca="false">SUM(BV215:BZ215)</f>
        <v>366573.480939112</v>
      </c>
      <c r="CB215" s="15" t="n">
        <f aca="false">BV215*(1-Piano_SS!$E$6)+BW215*(1-Piano_SS!$E$7)+BX215*(1-Piano_SS!$E$8)+BY215*(1-Piano_SS!$E$9)+BZ215*(1-Piano_SS!$E$10)</f>
        <v>337323.480939112</v>
      </c>
      <c r="CC215" s="15" t="n">
        <f aca="false">(CC214)+BA215</f>
        <v>80000</v>
      </c>
      <c r="CD215" s="15" t="n">
        <f aca="false">IF(CA215=0,0,CC215*CB215/CA215*Ipotesi!$C$103*Parametri_v3!$C$64)</f>
        <v>22084.967853644</v>
      </c>
      <c r="CE215" s="18" t="n">
        <f aca="false">IF(BA215&gt;0,Motore_Operativo!C215,(CE214))</f>
        <v>47088</v>
      </c>
      <c r="CF215" s="18" t="n">
        <f aca="false">IF(AND(CC215&gt;0,OR(CC215&gt;=CG215-0.01,Motore_Operativo!C215&gt;=EDATE(MAX(Finanziamenti!$D$15:$D$17),Ipotesi!F14*12))),CE215,0)</f>
        <v>0</v>
      </c>
      <c r="CG215" s="15" t="n">
        <f aca="false">IF(AND(4&lt;&gt;6,4&lt;&gt;9,Finanziamenti!$F$11=1,OR(Parametri_v3!$C$6=0,Finanziamenti!$E$11=1)),MIN(Finanziamenti!$C$11,Piano_SS!$C$12*Ipotesi!$C$102),0)</f>
        <v>400000</v>
      </c>
      <c r="CH215" s="15" t="n">
        <f aca="false">IF(AND(AND(4&lt;&gt;8,4&lt;&gt;9,Finanziamenti!$F$10=1,OR(Parametri_v3!$C$6=0,Finanziamenti!$E$10=1)),Motore_Operativo!C215&gt;=Finanziamenti!$D$10,Motore_Operativo!C215&lt;Parametri_v3!$C$63),Finanziamenti!$C$10,0)</f>
        <v>150000</v>
      </c>
    </row>
    <row r="216" customFormat="false" ht="18" hidden="false" customHeight="true" outlineLevel="0" collapsed="false">
      <c r="A216" s="68" t="n">
        <f aca="false">4</f>
        <v>4</v>
      </c>
      <c r="B216" s="68" t="n">
        <f aca="false">32</f>
        <v>32</v>
      </c>
      <c r="C216" s="18" t="n">
        <f aca="false">Motore_Operativo!C216</f>
        <v>47331</v>
      </c>
      <c r="D216" s="68" t="n">
        <f aca="false">Motore_Operativo!D216</f>
        <v>2029</v>
      </c>
      <c r="E216" s="68" t="n">
        <f aca="false">Motore_Operativo!E216</f>
        <v>8</v>
      </c>
      <c r="F216" s="15" t="n">
        <f aca="false">Motore_Operativo!AQ216+Motore_Operativo!BF216</f>
        <v>33110.5873306417</v>
      </c>
      <c r="G216" s="15" t="n">
        <f aca="false">Motore_Operativo!BH216</f>
        <v>3267</v>
      </c>
      <c r="H216" s="15" t="n">
        <f aca="false">Motore_Operativo!BI216</f>
        <v>36377.5873306417</v>
      </c>
      <c r="I216" s="15" t="n">
        <f aca="false">Motore_Operativo!CA216</f>
        <v>113569.658892957</v>
      </c>
      <c r="J216" s="15" t="n">
        <f aca="false">Motore_Operativo!CC216</f>
        <v>-77192.0715623149</v>
      </c>
      <c r="K216" s="15" t="n">
        <f aca="false">Motore_Operativo!CE216</f>
        <v>2500</v>
      </c>
      <c r="L216" s="15" t="n">
        <f aca="false">SUM(INDEX($K$185:$K$244,MAX(1,32-Parametri_v3!$C$59+1)):K216)/Parametri_v3!$C$59</f>
        <v>1805.55555555556</v>
      </c>
      <c r="M216" s="15" t="n">
        <f aca="false">J216-L216</f>
        <v>-78997.6271178704</v>
      </c>
      <c r="N216" s="15" t="n">
        <f aca="false">CD216-(CD215)</f>
        <v>99.7562594251176</v>
      </c>
      <c r="O216" s="15" t="n">
        <f aca="false">(BG215)*Ipotesi!$C$110/12+CH216*Parametri_v3!$C$39/12</f>
        <v>750</v>
      </c>
      <c r="P216" s="15" t="n">
        <f aca="false">M216+N216-O216</f>
        <v>-79647.8708584453</v>
      </c>
      <c r="Q216" s="15" t="n">
        <f aca="false">SUM(P209:P216)+Parametri_v3!$C$54*8/12</f>
        <v>-664741.91717568</v>
      </c>
      <c r="R216" s="15" t="n">
        <f aca="false">Z208</f>
        <v>779891.251966456</v>
      </c>
      <c r="S216" s="15" t="n">
        <f aca="false">AA208</f>
        <v>0</v>
      </c>
      <c r="T216" s="15" t="n">
        <f aca="false">MIN(R216,MAX(0,Q216))</f>
        <v>0</v>
      </c>
      <c r="U216" s="15" t="n">
        <f aca="false">MIN(S216,MAX(0,Q216-T216)*Parametri_v3!$C$42)</f>
        <v>0</v>
      </c>
      <c r="V216" s="15" t="n">
        <f aca="false">MAX(0,Q216-T216-U216)*Ipotesi!$C$92</f>
        <v>0</v>
      </c>
      <c r="W216" s="15" t="n">
        <f aca="false">MAX(0,SUM(M209:M216)+Parametri_v3!$C$55*8/12)*Ipotesi!$C$93</f>
        <v>0</v>
      </c>
      <c r="X216" s="15" t="n">
        <f aca="false">V216+W216-(V215+W215)</f>
        <v>0</v>
      </c>
      <c r="Y216" s="15" t="n">
        <f aca="false">P216-X216</f>
        <v>-79647.8708584453</v>
      </c>
      <c r="Z216" s="15" t="n">
        <f aca="false">R216-T216+IF(AND(Parametri_v3!$C$40=1,D216-YEAR(Parametri_v3!$C$50)&lt;Parametri_v3!$C$41),MAX(0,-Q216),0)</f>
        <v>1444633.16914214</v>
      </c>
      <c r="AA216" s="15" t="n">
        <f aca="false">S216-U216+IF(AND(Parametri_v3!$C$40=1,D216-YEAR(Parametri_v3!$C$50)&lt;Parametri_v3!$C$41),0,MAX(0,-Q216))</f>
        <v>0</v>
      </c>
      <c r="AB216" s="15" t="n">
        <f aca="false">F216*(1+Parametri_v3!$C$26)</f>
        <v>40394.9165433828</v>
      </c>
      <c r="AC216" s="15" t="n">
        <f aca="false">(IF(32-(INT((Motore_Operativo!L216)/30))&lt;1,0,INDEX(Motore_Startup!$AB$185:$AB$244,MAX(1,32-(INT((Motore_Operativo!L216)/30)))))*(1-(MOD((Motore_Operativo!L216),30)/30))+IF(32-(INT((Motore_Operativo!L216)/30))-1&lt;1,0,INDEX(Motore_Startup!$AB$185:$AB$244,MAX(1,32-(INT((Motore_Operativo!L216)/30))-1)))*(MOD((Motore_Operativo!L216),30)/30))</f>
        <v>33851.8038429253</v>
      </c>
      <c r="AD216" s="15" t="n">
        <f aca="false">(AD215)+AB216-AC216</f>
        <v>151752.802910753</v>
      </c>
      <c r="AE216" s="15" t="n">
        <f aca="false">Motore_Operativo!BH216*(1+Parametri_v3!$C$26)</f>
        <v>3985.74</v>
      </c>
      <c r="AF216" s="15" t="n">
        <f aca="false">(IF(32-(INT((Parametri_v3!$C$29)/30))&lt;1,0,INDEX(Motore_Operativo!$BH$185:$BH$244,MAX(1,32-(INT((Parametri_v3!$C$29)/30)))))*(1-(MOD((Parametri_v3!$C$29),30)/30))+IF(32-(INT((Parametri_v3!$C$29)/30))-1&lt;1,0,INDEX(Motore_Operativo!$BH$185:$BH$244,MAX(1,32-(INT((Parametri_v3!$C$29)/30))-1)))*(MOD((Parametri_v3!$C$29),30)/30))*(1+Parametri_v3!$C$26)</f>
        <v>3985.74</v>
      </c>
      <c r="AG216" s="15" t="n">
        <f aca="false">(AG215)+AE216-AF216</f>
        <v>3985.74</v>
      </c>
      <c r="AH216" s="15" t="n">
        <f aca="false">(Motore_Operativo!CJ216)*(1+Parametri_v3!$C$27*Parametri_v3!$C$26)</f>
        <v>46644.342772606</v>
      </c>
      <c r="AI216" s="15" t="n">
        <f aca="false">(IF(32-(INT((Ipotesi!$C$91)/30))&lt;1,0,INDEX(Motore_Startup!$AH$185:$AH$244,MAX(1,32-(INT((Ipotesi!$C$91)/30)))))*(1-(MOD((Ipotesi!$C$91),30)/30))+IF(32-(INT((Ipotesi!$C$91)/30))-1&lt;1,0,INDEX(Motore_Startup!$AH$185:$AH$244,MAX(1,32-(INT((Ipotesi!$C$91)/30))-1)))*(MOD((Ipotesi!$C$91),30)/30))</f>
        <v>46198.0698362414</v>
      </c>
      <c r="AJ216" s="15" t="n">
        <f aca="false">(AJ215)+AH216-AI216</f>
        <v>93065.030584576</v>
      </c>
      <c r="AK216" s="15" t="n">
        <f aca="false">(F216+ Motore_Operativo!BH216-(Motore_Operativo!CJ216)*Parametri_v3!$C$27-Motore_Operativo!CE216)*Parametri_v3!$C$26</f>
        <v>104.718666424963</v>
      </c>
      <c r="AL216" s="15" t="n">
        <f aca="false">MAX(0,(AM215))</f>
        <v>0</v>
      </c>
      <c r="AM216" s="15" t="n">
        <f aca="false">(AM215)+AK216-AL216</f>
        <v>-23453.1070224212</v>
      </c>
      <c r="AN216" s="15" t="n">
        <f aca="false">SUM(X197:X208)</f>
        <v>0</v>
      </c>
      <c r="AO216" s="15" t="n">
        <f aca="false">SUM(AP197:AP208)</f>
        <v>0</v>
      </c>
      <c r="AP216" s="15" t="n">
        <f aca="false">MAX(0,AN216)*IF(8=Parametri_v3!$C$43,Parametri_v3!$C$45,IF(8=Parametri_v3!$C$44,1-Parametri_v3!$C$45,0))</f>
        <v>0</v>
      </c>
      <c r="AQ216" s="15" t="n">
        <f aca="false">MAX(0,AP216+IF(8=Parametri_v3!$C$43,MAX(0,AN216-AO216),0)-MAX(0,-(AR215)))</f>
        <v>0</v>
      </c>
      <c r="AR216" s="15" t="n">
        <f aca="false">(AR215)+X216-AQ216</f>
        <v>0</v>
      </c>
      <c r="AS216" s="15" t="n">
        <f aca="false">Motore_Operativo!AB216-AT216+AU216</f>
        <v>70559.9833333333</v>
      </c>
      <c r="AT216" s="15" t="n">
        <f aca="false">Motore_Operativo!CH216</f>
        <v>3713.68333333333</v>
      </c>
      <c r="AU216" s="15" t="n">
        <f aca="false">MIN(MAX(0,(AV215)+AT216),Parametri_v3!$C$60/12)</f>
        <v>0</v>
      </c>
      <c r="AV216" s="15" t="n">
        <f aca="false">(AV215)+AT216-AU216</f>
        <v>64316.9666666667</v>
      </c>
      <c r="AW216" s="15" t="n">
        <f aca="false">IF(AND(Motore_Operativo!C216=Finanziamenti!$D$6,Finanziamenti!$F$6=1),Finanziamenti!$C$6,0)</f>
        <v>0</v>
      </c>
      <c r="AX216" s="15" t="n">
        <f aca="false">IF(AND(4&lt;&gt;7,4&lt;&gt;9,Finanziamenti!$F$8=1,OR(Parametri_v3!$C$6=0,Finanziamenti!$E$8=1),Motore_Operativo!C216=EDATE(Finanziamenti!$D$8,Ipotesi!F15*12)),Finanziamenti!$C$8*1,0)+IF(AND(4&lt;&gt;7,4&lt;&gt;9,Finanziamenti!$F$9=1,OR(Parametri_v3!$C$6=0,Finanziamenti!$E$9=1),Motore_Operativo!C216=EDATE(Finanziamenti!$D$9,Ipotesi!F15*12)),Finanziamenti!$C$9*Ipotesi!F16,0)</f>
        <v>0</v>
      </c>
      <c r="AY216" s="15" t="n">
        <f aca="false">0</f>
        <v>0</v>
      </c>
      <c r="AZ216" s="15" t="n">
        <f aca="false">Motore_Advisory!AY216*(1-Ipotesi!$C$95)*Ipotesi!$C$96</f>
        <v>0</v>
      </c>
      <c r="BA216" s="15" t="n">
        <f aca="false">MAX(0,MIN(CG216*MIN(1,IF(Motore_Operativo!C216&gt;=EDATE(Finanziamenti!$D$15,Ipotesi!F14*12),Finanziamenti!$C$15,0)+IF(Motore_Operativo!C216&gt;=EDATE(Finanziamenti!$D$16,Ipotesi!F14*12),Finanziamenti!$C$16,0)+IF(Motore_Operativo!C216&gt;=EDATE(Finanziamenti!$D$17,Ipotesi!F14*12),Finanziamenti!$C$17,0)),CA216*Ipotesi!$C$102)-(CC215))</f>
        <v>0</v>
      </c>
      <c r="BB216" s="15" t="n">
        <f aca="false">IF(AND(CF216&gt;0,Motore_Operativo!C216&gt;=IF(CF216=0,0,EDATE(CF216,Parametri_v3!$C$37)),MOD(((D216-YEAR(IF(CF216=0,0,EDATE(CF216,Parametri_v3!$C$37))))*12+E216-MONTH(IF(CF216=0,0,EDATE(CF216,Parametri_v3!$C$37)))),Parametri_v3!$C$38)=0),MIN(MAX(0,(BC215)+BA216-N216),(CC216-CD216)/(Ipotesi!$C$108*12/Parametri_v3!$C$38)),0)</f>
        <v>0</v>
      </c>
      <c r="BC216" s="15" t="n">
        <f aca="false">(BC215)+BA216-N216-BB216</f>
        <v>57815.2758869308</v>
      </c>
      <c r="BD216" s="15" t="n">
        <f aca="false">(BH215)+AC216+AF216-AI216-AS216-K216*(1+Parametri_v3!$C$26)-AL216-AQ216-O216+AW216+AX216+AZ216+BA216-BB216</f>
        <v>-866335.879270471</v>
      </c>
      <c r="BE216" s="15" t="n">
        <f aca="false">MAX(0,MIN(MAX(0,CH216-(BG215)),Parametri_v3!$C$30-BD216))</f>
        <v>0</v>
      </c>
      <c r="BF216" s="15" t="n">
        <f aca="false">IF(Motore_Operativo!C216&gt;=Parametri_v3!$C$63,(BG215),MIN((BG215),MAX(0,BD216-Parametri_v3!$C$30)))</f>
        <v>0</v>
      </c>
      <c r="BG216" s="15" t="n">
        <f aca="false">(BG215)+BE216-BF216</f>
        <v>150000</v>
      </c>
      <c r="BH216" s="15" t="n">
        <f aca="false">BD216+BE216-BF216-AY216</f>
        <v>-866335.879270471</v>
      </c>
      <c r="BI216" s="15" t="n">
        <f aca="false">MAX(0,Parametri_v3!$C$30-BH216)</f>
        <v>891335.879270471</v>
      </c>
      <c r="BJ216" s="15" t="n">
        <f aca="false">(BJ215)+K216</f>
        <v>65000</v>
      </c>
      <c r="BK216" s="15" t="n">
        <f aca="false">(BK215)+L216</f>
        <v>27291.6666666667</v>
      </c>
      <c r="BL216" s="15" t="n">
        <f aca="false">BJ216-BK216</f>
        <v>37708.3333333333</v>
      </c>
      <c r="BM216" s="15" t="n">
        <f aca="false">(BM215)+Y216</f>
        <v>-1444633.16914214</v>
      </c>
      <c r="BN216" s="15" t="n">
        <f aca="false">(BN215)+AW216+AX216+AZ216</f>
        <v>430000</v>
      </c>
      <c r="BO216" s="15" t="n">
        <f aca="false">(BO215)+AY216</f>
        <v>0</v>
      </c>
      <c r="BP216" s="15" t="n">
        <f aca="false">0</f>
        <v>0</v>
      </c>
      <c r="BQ216" s="15" t="n">
        <f aca="false">BN216+BM216-BO216</f>
        <v>-1014633.16914214</v>
      </c>
      <c r="BR216" s="15" t="n">
        <f aca="false">BH216+AD216+BL216+MAX(0,-AM216)+MAX(0,-AR216)+AG216</f>
        <v>-649435.896003963</v>
      </c>
      <c r="BS216" s="15" t="n">
        <f aca="false">AJ216+AV216+MAX(0,AM216)+MAX(0,AR216)+BC216+BG216+BQ216</f>
        <v>-649435.896003963</v>
      </c>
      <c r="BT216" s="15" t="n">
        <f aca="false">BR216-BS216</f>
        <v>0</v>
      </c>
      <c r="BU216" s="15" t="n">
        <f aca="false">BH216-(BD216+BE216-BF216-AY216)</f>
        <v>0</v>
      </c>
      <c r="BV216" s="15" t="n">
        <f aca="false">MIN(Piano_SS!$C$6,(BV215)+IF(AND(Motore_Operativo!C216&gt;=EDATE(Parametri_v3!$C$24,Ipotesi!F14*12),Motore_Operativo!C216&lt;EDATE(Parametri_v3!$C$24,Parametri_v3!$C$25+Ipotesi!F14*12)),MAX(0,(Motore_Operativo!Y216+Motore_Operativo!X216*Parametri_v3!$C$14)*(1-Parametri_v3!$C$32))*Piano_SS!$D$6,0))</f>
        <v>271598.983333333</v>
      </c>
      <c r="BW216" s="15" t="n">
        <f aca="false">MIN(Piano_SS!$C$7,(BW215)+IF(AND(Motore_Operativo!C216&gt;=EDATE(Parametri_v3!$C$24,Ipotesi!F14*12),Motore_Operativo!C216&lt;EDATE(Parametri_v3!$C$24,Parametri_v3!$C$25+Ipotesi!F14*12)),MAX(0,(IF(32-(INT((Ipotesi!$C$91)/30))&lt;1,0,INDEX(Motore_Operativo!$BN$185:$BN$244,MAX(1,32-(INT((Ipotesi!$C$91)/30)))))*(1-(MOD((Ipotesi!$C$91),30)/30))+IF(32-(INT((Ipotesi!$C$91)/30))-1&lt;1,0,INDEX(Motore_Operativo!$BN$185:$BN$244,MAX(1,32-(INT((Ipotesi!$C$91)/30))-1)))*(MOD((Ipotesi!$C$91),30)/30)))*Piano_SS!$D$7,0))</f>
        <v>22534.9416714962</v>
      </c>
      <c r="BX216" s="15" t="n">
        <f aca="false">MIN(Piano_SS!$C$8,(BX215)+IF(AND(Motore_Operativo!C216&gt;=EDATE(Parametri_v3!$C$24,Ipotesi!F14*12),Motore_Operativo!C216&lt;EDATE(Parametri_v3!$C$24,Parametri_v3!$C$25+Ipotesi!F14*12)),MAX(0,Motore_Operativo!CE216)*Piano_SS!$D$8,0))</f>
        <v>32500</v>
      </c>
      <c r="BY216" s="15" t="n">
        <f aca="false">MIN(Piano_SS!$C$9,(BY215)+IF(AND(Motore_Operativo!C216&gt;=EDATE(Parametri_v3!$C$24,Ipotesi!F14*12),Motore_Operativo!C216&lt;EDATE(Parametri_v3!$C$24,Parametri_v3!$C$25+Ipotesi!F14*12)),MAX(0,((IF(32-(INT((Ipotesi!$C$91)/30))&lt;1,0,INDEX(Motore_Operativo!$BQ$185:$BQ$244,MAX(1,32-(INT((Ipotesi!$C$91)/30)))))*(1-(MOD((Ipotesi!$C$91),30)/30))+IF(32-(INT((Ipotesi!$C$91)/30))-1&lt;1,0,INDEX(Motore_Operativo!$BQ$185:$BQ$244,MAX(1,32-(INT((Ipotesi!$C$91)/30))-1)))*(MOD((Ipotesi!$C$91),30)/30))+(IF(32-(INT((Ipotesi!$C$91)/30))&lt;1,0,INDEX(Motore_Operativo!$BR$185:$BR$244,MAX(1,32-(INT((Ipotesi!$C$91)/30)))))*(1-(MOD((Ipotesi!$C$91),30)/30))+IF(32-(INT((Ipotesi!$C$91)/30))-1&lt;1,0,INDEX(Motore_Operativo!$BR$185:$BR$244,MAX(1,32-(INT((Ipotesi!$C$91)/30))-1)))*(MOD((Ipotesi!$C$91),30)/30))))*Piano_SS!$D$9,0))</f>
        <v>40000</v>
      </c>
      <c r="BZ216" s="15" t="n">
        <f aca="false">MIN(Piano_SS!$C$10,(BZ215)+IF(AND(Motore_Operativo!C216&gt;=EDATE(Parametri_v3!$C$24,Ipotesi!F14*12),Motore_Operativo!C216&lt;EDATE(Parametri_v3!$C$24,Parametri_v3!$C$25+Ipotesi!F14*12)),MAX(0,(IF(32-(INT((Ipotesi!$C$91)/30))&lt;1,0,INDEX(Motore_Operativo!$BO$185:$BO$244,MAX(1,32-(INT((Ipotesi!$C$91)/30)))))*(1-(MOD((Ipotesi!$C$91),30)/30))+IF(32-(INT((Ipotesi!$C$91)/30))-1&lt;1,0,INDEX(Motore_Operativo!$BO$185:$BO$244,MAX(1,32-(INT((Ipotesi!$C$91)/30))-1)))*(MOD((Ipotesi!$C$91),30)/30)))*Piano_SS!$D$10,0))</f>
        <v>30000</v>
      </c>
      <c r="CA216" s="15" t="n">
        <f aca="false">SUM(BV216:BZ216)</f>
        <v>396633.92500483</v>
      </c>
      <c r="CB216" s="15" t="n">
        <f aca="false">BV216*(1-Piano_SS!$E$6)+BW216*(1-Piano_SS!$E$7)+BX216*(1-Piano_SS!$E$8)+BY216*(1-Piano_SS!$E$9)+BZ216*(1-Piano_SS!$E$10)</f>
        <v>366633.92500483</v>
      </c>
      <c r="CC216" s="15" t="n">
        <f aca="false">(CC215)+BA216</f>
        <v>80000</v>
      </c>
      <c r="CD216" s="15" t="n">
        <f aca="false">IF(CA216=0,0,CC216*CB216/CA216*Ipotesi!$C$103*Parametri_v3!$C$64)</f>
        <v>22184.7241130692</v>
      </c>
      <c r="CE216" s="18" t="n">
        <f aca="false">IF(BA216&gt;0,Motore_Operativo!C216,(CE215))</f>
        <v>47088</v>
      </c>
      <c r="CF216" s="18" t="n">
        <f aca="false">IF(AND(CC216&gt;0,OR(CC216&gt;=CG216-0.01,Motore_Operativo!C216&gt;=EDATE(MAX(Finanziamenti!$D$15:$D$17),Ipotesi!F14*12))),CE216,0)</f>
        <v>0</v>
      </c>
      <c r="CG216" s="15" t="n">
        <f aca="false">IF(AND(4&lt;&gt;6,4&lt;&gt;9,Finanziamenti!$F$11=1,OR(Parametri_v3!$C$6=0,Finanziamenti!$E$11=1)),MIN(Finanziamenti!$C$11,Piano_SS!$C$12*Ipotesi!$C$102),0)</f>
        <v>400000</v>
      </c>
      <c r="CH216" s="15" t="n">
        <f aca="false">IF(AND(AND(4&lt;&gt;8,4&lt;&gt;9,Finanziamenti!$F$10=1,OR(Parametri_v3!$C$6=0,Finanziamenti!$E$10=1)),Motore_Operativo!C216&gt;=Finanziamenti!$D$10,Motore_Operativo!C216&lt;Parametri_v3!$C$63),Finanziamenti!$C$10,0)</f>
        <v>150000</v>
      </c>
    </row>
    <row r="217" customFormat="false" ht="18" hidden="false" customHeight="true" outlineLevel="0" collapsed="false">
      <c r="A217" s="68" t="n">
        <f aca="false">4</f>
        <v>4</v>
      </c>
      <c r="B217" s="68" t="n">
        <f aca="false">33</f>
        <v>33</v>
      </c>
      <c r="C217" s="18" t="n">
        <f aca="false">Motore_Operativo!C217</f>
        <v>47362</v>
      </c>
      <c r="D217" s="68" t="n">
        <f aca="false">Motore_Operativo!D217</f>
        <v>2029</v>
      </c>
      <c r="E217" s="68" t="n">
        <f aca="false">Motore_Operativo!E217</f>
        <v>9</v>
      </c>
      <c r="F217" s="15" t="n">
        <f aca="false">Motore_Operativo!AQ217+Motore_Operativo!BF217</f>
        <v>34469.3870058572</v>
      </c>
      <c r="G217" s="15" t="n">
        <f aca="false">Motore_Operativo!BH217</f>
        <v>3267</v>
      </c>
      <c r="H217" s="15" t="n">
        <f aca="false">Motore_Operativo!BI217</f>
        <v>37736.3870058572</v>
      </c>
      <c r="I217" s="15" t="n">
        <f aca="false">Motore_Operativo!CA217</f>
        <v>113759.890847487</v>
      </c>
      <c r="J217" s="15" t="n">
        <f aca="false">Motore_Operativo!CC217</f>
        <v>-76023.5038416295</v>
      </c>
      <c r="K217" s="15" t="n">
        <f aca="false">Motore_Operativo!CE217</f>
        <v>2500</v>
      </c>
      <c r="L217" s="15" t="n">
        <f aca="false">SUM(INDEX($K$185:$K$244,MAX(1,33-Parametri_v3!$C$59+1)):K217)/Parametri_v3!$C$59</f>
        <v>1875</v>
      </c>
      <c r="M217" s="15" t="n">
        <f aca="false">J217-L217</f>
        <v>-77898.5038416295</v>
      </c>
      <c r="N217" s="15" t="n">
        <f aca="false">CD217-(CD216)</f>
        <v>125.339494943109</v>
      </c>
      <c r="O217" s="15" t="n">
        <f aca="false">(BG216)*Ipotesi!$C$110/12+CH217*Parametri_v3!$C$39/12</f>
        <v>750</v>
      </c>
      <c r="P217" s="15" t="n">
        <f aca="false">M217+N217-O217</f>
        <v>-78523.1643466864</v>
      </c>
      <c r="Q217" s="15" t="n">
        <f aca="false">SUM(P209:P217)+Parametri_v3!$C$54*9/12</f>
        <v>-743265.081522366</v>
      </c>
      <c r="R217" s="15" t="n">
        <f aca="false">Z208</f>
        <v>779891.251966456</v>
      </c>
      <c r="S217" s="15" t="n">
        <f aca="false">AA208</f>
        <v>0</v>
      </c>
      <c r="T217" s="15" t="n">
        <f aca="false">MIN(R217,MAX(0,Q217))</f>
        <v>0</v>
      </c>
      <c r="U217" s="15" t="n">
        <f aca="false">MIN(S217,MAX(0,Q217-T217)*Parametri_v3!$C$42)</f>
        <v>0</v>
      </c>
      <c r="V217" s="15" t="n">
        <f aca="false">MAX(0,Q217-T217-U217)*Ipotesi!$C$92</f>
        <v>0</v>
      </c>
      <c r="W217" s="15" t="n">
        <f aca="false">MAX(0,SUM(M209:M217)+Parametri_v3!$C$55*9/12)*Ipotesi!$C$93</f>
        <v>0</v>
      </c>
      <c r="X217" s="15" t="n">
        <f aca="false">V217+W217-(V216+W216)</f>
        <v>0</v>
      </c>
      <c r="Y217" s="15" t="n">
        <f aca="false">P217-X217</f>
        <v>-78523.1643466864</v>
      </c>
      <c r="Z217" s="15" t="n">
        <f aca="false">R217-T217+IF(AND(Parametri_v3!$C$40=1,D217-YEAR(Parametri_v3!$C$50)&lt;Parametri_v3!$C$41),MAX(0,-Q217),0)</f>
        <v>1523156.33348882</v>
      </c>
      <c r="AA217" s="15" t="n">
        <f aca="false">S217-U217+IF(AND(Parametri_v3!$C$40=1,D217-YEAR(Parametri_v3!$C$50)&lt;Parametri_v3!$C$41),0,MAX(0,-Q217))</f>
        <v>0</v>
      </c>
      <c r="AB217" s="15" t="n">
        <f aca="false">F217*(1+Parametri_v3!$C$26)</f>
        <v>42052.6521471457</v>
      </c>
      <c r="AC217" s="15" t="n">
        <f aca="false">(IF(33-(INT((Motore_Operativo!L217)/30))&lt;1,0,INDEX(Motore_Startup!$AB$185:$AB$244,MAX(1,33-(INT((Motore_Operativo!L217)/30)))))*(1-(MOD((Motore_Operativo!L217),30)/30))+IF(33-(INT((Motore_Operativo!L217)/30))-1&lt;1,0,INDEX(Motore_Startup!$AB$185:$AB$244,MAX(1,33-(INT((Motore_Operativo!L217)/30))-1)))*(MOD((Motore_Operativo!L217),30)/30))</f>
        <v>35486.2867283168</v>
      </c>
      <c r="AD217" s="15" t="n">
        <f aca="false">(AD216)+AB217-AC217</f>
        <v>158319.168329582</v>
      </c>
      <c r="AE217" s="15" t="n">
        <f aca="false">Motore_Operativo!BH217*(1+Parametri_v3!$C$26)</f>
        <v>3985.74</v>
      </c>
      <c r="AF217" s="15" t="n">
        <f aca="false">(IF(33-(INT((Parametri_v3!$C$29)/30))&lt;1,0,INDEX(Motore_Operativo!$BH$185:$BH$244,MAX(1,33-(INT((Parametri_v3!$C$29)/30)))))*(1-(MOD((Parametri_v3!$C$29),30)/30))+IF(33-(INT((Parametri_v3!$C$29)/30))-1&lt;1,0,INDEX(Motore_Operativo!$BH$185:$BH$244,MAX(1,33-(INT((Parametri_v3!$C$29)/30))-1)))*(MOD((Parametri_v3!$C$29),30)/30))*(1+Parametri_v3!$C$26)</f>
        <v>3985.74</v>
      </c>
      <c r="AG217" s="15" t="n">
        <f aca="false">(AG216)+AE217-AF217</f>
        <v>3985.74</v>
      </c>
      <c r="AH217" s="15" t="n">
        <f aca="false">(Motore_Operativo!CJ217)*(1+Parametri_v3!$C$27*Parametri_v3!$C$26)</f>
        <v>46870.1481026333</v>
      </c>
      <c r="AI217" s="15" t="n">
        <f aca="false">(IF(33-(INT((Ipotesi!$C$91)/30))&lt;1,0,INDEX(Motore_Startup!$AH$185:$AH$244,MAX(1,33-(INT((Ipotesi!$C$91)/30)))))*(1-(MOD((Ipotesi!$C$91),30)/30))+IF(33-(INT((Ipotesi!$C$91)/30))-1&lt;1,0,INDEX(Motore_Startup!$AH$185:$AH$244,MAX(1,33-(INT((Ipotesi!$C$91)/30))-1)))*(MOD((Ipotesi!$C$91),30)/30))</f>
        <v>46420.68781197</v>
      </c>
      <c r="AJ217" s="15" t="n">
        <f aca="false">(AJ216)+AH217-AI217</f>
        <v>93514.4908752394</v>
      </c>
      <c r="AK217" s="15" t="n">
        <f aca="false">(F217+ Motore_Operativo!BH217-(Motore_Operativo!CJ217)*Parametri_v3!$C$27-Motore_Operativo!CE217)*Parametri_v3!$C$26</f>
        <v>368.081219475234</v>
      </c>
      <c r="AL217" s="15" t="n">
        <f aca="false">MAX(0,(AM216))</f>
        <v>0</v>
      </c>
      <c r="AM217" s="15" t="n">
        <f aca="false">(AM216)+AK217-AL217</f>
        <v>-23085.0258029459</v>
      </c>
      <c r="AN217" s="15" t="n">
        <f aca="false">SUM(X197:X208)</f>
        <v>0</v>
      </c>
      <c r="AO217" s="15" t="n">
        <f aca="false">SUM(AP197:AP208)</f>
        <v>0</v>
      </c>
      <c r="AP217" s="15" t="n">
        <f aca="false">MAX(0,AN217)*IF(9=Parametri_v3!$C$43,Parametri_v3!$C$45,IF(9=Parametri_v3!$C$44,1-Parametri_v3!$C$45,0))</f>
        <v>0</v>
      </c>
      <c r="AQ217" s="15" t="n">
        <f aca="false">MAX(0,AP217+IF(9=Parametri_v3!$C$43,MAX(0,AN217-AO217),0)-MAX(0,-(AR216)))</f>
        <v>0</v>
      </c>
      <c r="AR217" s="15" t="n">
        <f aca="false">(AR216)+X217-AQ217</f>
        <v>0</v>
      </c>
      <c r="AS217" s="15" t="n">
        <f aca="false">Motore_Operativo!AB217-AT217+AU217</f>
        <v>70559.9833333333</v>
      </c>
      <c r="AT217" s="15" t="n">
        <f aca="false">Motore_Operativo!CH217</f>
        <v>3713.68333333333</v>
      </c>
      <c r="AU217" s="15" t="n">
        <f aca="false">MIN(MAX(0,(AV216)+AT217),Parametri_v3!$C$60/12)</f>
        <v>0</v>
      </c>
      <c r="AV217" s="15" t="n">
        <f aca="false">(AV216)+AT217-AU217</f>
        <v>68030.65</v>
      </c>
      <c r="AW217" s="15" t="n">
        <f aca="false">IF(AND(Motore_Operativo!C217=Finanziamenti!$D$6,Finanziamenti!$F$6=1),Finanziamenti!$C$6,0)</f>
        <v>0</v>
      </c>
      <c r="AX217" s="15" t="n">
        <f aca="false">IF(AND(4&lt;&gt;7,4&lt;&gt;9,Finanziamenti!$F$8=1,OR(Parametri_v3!$C$6=0,Finanziamenti!$E$8=1),Motore_Operativo!C217=EDATE(Finanziamenti!$D$8,Ipotesi!F15*12)),Finanziamenti!$C$8*1,0)+IF(AND(4&lt;&gt;7,4&lt;&gt;9,Finanziamenti!$F$9=1,OR(Parametri_v3!$C$6=0,Finanziamenti!$E$9=1),Motore_Operativo!C217=EDATE(Finanziamenti!$D$9,Ipotesi!F15*12)),Finanziamenti!$C$9*Ipotesi!F16,0)</f>
        <v>0</v>
      </c>
      <c r="AY217" s="15" t="n">
        <f aca="false">0</f>
        <v>0</v>
      </c>
      <c r="AZ217" s="15" t="n">
        <f aca="false">Motore_Advisory!AY217*(1-Ipotesi!$C$95)*Ipotesi!$C$96</f>
        <v>0</v>
      </c>
      <c r="BA217" s="15" t="n">
        <f aca="false">MAX(0,MIN(CG217*MIN(1,IF(Motore_Operativo!C217&gt;=EDATE(Finanziamenti!$D$15,Ipotesi!F14*12),Finanziamenti!$C$15,0)+IF(Motore_Operativo!C217&gt;=EDATE(Finanziamenti!$D$16,Ipotesi!F14*12),Finanziamenti!$C$16,0)+IF(Motore_Operativo!C217&gt;=EDATE(Finanziamenti!$D$17,Ipotesi!F14*12),Finanziamenti!$C$17,0)),CA217*Ipotesi!$C$102)-(CC216))</f>
        <v>0</v>
      </c>
      <c r="BB217" s="15" t="n">
        <f aca="false">IF(AND(CF217&gt;0,Motore_Operativo!C217&gt;=IF(CF217=0,0,EDATE(CF217,Parametri_v3!$C$37)),MOD(((D217-YEAR(IF(CF217=0,0,EDATE(CF217,Parametri_v3!$C$37))))*12+E217-MONTH(IF(CF217=0,0,EDATE(CF217,Parametri_v3!$C$37)))),Parametri_v3!$C$38)=0),MIN(MAX(0,(BC216)+BA217-N217),(CC217-CD217)/(Ipotesi!$C$108*12/Parametri_v3!$C$38)),0)</f>
        <v>0</v>
      </c>
      <c r="BC217" s="15" t="n">
        <f aca="false">(BC216)+BA217-N217-BB217</f>
        <v>57689.9363919877</v>
      </c>
      <c r="BD217" s="15" t="n">
        <f aca="false">(BH216)+AC217+AF217-AI217-AS217-K217*(1+Parametri_v3!$C$26)-AL217-AQ217-O217+AW217+AX217+AZ217+BA217-BB217</f>
        <v>-947644.523687457</v>
      </c>
      <c r="BE217" s="15" t="n">
        <f aca="false">MAX(0,MIN(MAX(0,CH217-(BG216)),Parametri_v3!$C$30-BD217))</f>
        <v>0</v>
      </c>
      <c r="BF217" s="15" t="n">
        <f aca="false">IF(Motore_Operativo!C217&gt;=Parametri_v3!$C$63,(BG216),MIN((BG216),MAX(0,BD217-Parametri_v3!$C$30)))</f>
        <v>0</v>
      </c>
      <c r="BG217" s="15" t="n">
        <f aca="false">(BG216)+BE217-BF217</f>
        <v>150000</v>
      </c>
      <c r="BH217" s="15" t="n">
        <f aca="false">BD217+BE217-BF217-AY217</f>
        <v>-947644.523687457</v>
      </c>
      <c r="BI217" s="15" t="n">
        <f aca="false">MAX(0,Parametri_v3!$C$30-BH217)</f>
        <v>972644.523687457</v>
      </c>
      <c r="BJ217" s="15" t="n">
        <f aca="false">(BJ216)+K217</f>
        <v>67500</v>
      </c>
      <c r="BK217" s="15" t="n">
        <f aca="false">(BK216)+L217</f>
        <v>29166.6666666667</v>
      </c>
      <c r="BL217" s="15" t="n">
        <f aca="false">BJ217-BK217</f>
        <v>38333.3333333333</v>
      </c>
      <c r="BM217" s="15" t="n">
        <f aca="false">(BM216)+Y217</f>
        <v>-1523156.33348882</v>
      </c>
      <c r="BN217" s="15" t="n">
        <f aca="false">(BN216)+AW217+AX217+AZ217</f>
        <v>430000</v>
      </c>
      <c r="BO217" s="15" t="n">
        <f aca="false">(BO216)+AY217</f>
        <v>0</v>
      </c>
      <c r="BP217" s="15" t="n">
        <f aca="false">0</f>
        <v>0</v>
      </c>
      <c r="BQ217" s="15" t="n">
        <f aca="false">BN217+BM217-BO217</f>
        <v>-1093156.33348882</v>
      </c>
      <c r="BR217" s="15" t="n">
        <f aca="false">BH217+AD217+BL217+MAX(0,-AM217)+MAX(0,-AR217)+AG217</f>
        <v>-723921.256221596</v>
      </c>
      <c r="BS217" s="15" t="n">
        <f aca="false">AJ217+AV217+MAX(0,AM217)+MAX(0,AR217)+BC217+BG217+BQ217</f>
        <v>-723921.256221596</v>
      </c>
      <c r="BT217" s="15" t="n">
        <f aca="false">BR217-BS217</f>
        <v>0</v>
      </c>
      <c r="BU217" s="15" t="n">
        <f aca="false">BH217-(BD217+BE217-BF217-AY217)</f>
        <v>0</v>
      </c>
      <c r="BV217" s="15" t="n">
        <f aca="false">MIN(Piano_SS!$C$6,(BV216)+IF(AND(Motore_Operativo!C217&gt;=EDATE(Parametri_v3!$C$24,Ipotesi!F14*12),Motore_Operativo!C217&lt;EDATE(Parametri_v3!$C$24,Parametri_v3!$C$25+Ipotesi!F14*12)),MAX(0,(Motore_Operativo!Y217+Motore_Operativo!X217*Parametri_v3!$C$14)*(1-Parametri_v3!$C$32))*Piano_SS!$D$6,0))</f>
        <v>296375.41875</v>
      </c>
      <c r="BW217" s="15" t="n">
        <f aca="false">MIN(Piano_SS!$C$7,(BW216)+IF(AND(Motore_Operativo!C217&gt;=EDATE(Parametri_v3!$C$24,Ipotesi!F14*12),Motore_Operativo!C217&lt;EDATE(Parametri_v3!$C$24,Parametri_v3!$C$25+Ipotesi!F14*12)),MAX(0,(IF(33-(INT((Ipotesi!$C$91)/30))&lt;1,0,INDEX(Motore_Operativo!$BN$185:$BN$244,MAX(1,33-(INT((Ipotesi!$C$91)/30)))))*(1-(MOD((Ipotesi!$C$91),30)/30))+IF(33-(INT((Ipotesi!$C$91)/30))-1&lt;1,0,INDEX(Motore_Operativo!$BN$185:$BN$244,MAX(1,33-(INT((Ipotesi!$C$91)/30))-1)))*(MOD((Ipotesi!$C$91),30)/30)))*Piano_SS!$D$7,0))</f>
        <v>24676.1198840223</v>
      </c>
      <c r="BX217" s="15" t="n">
        <f aca="false">MIN(Piano_SS!$C$8,(BX216)+IF(AND(Motore_Operativo!C217&gt;=EDATE(Parametri_v3!$C$24,Ipotesi!F14*12),Motore_Operativo!C217&lt;EDATE(Parametri_v3!$C$24,Parametri_v3!$C$25+Ipotesi!F14*12)),MAX(0,Motore_Operativo!CE217)*Piano_SS!$D$8,0))</f>
        <v>35000</v>
      </c>
      <c r="BY217" s="15" t="n">
        <f aca="false">MIN(Piano_SS!$C$9,(BY216)+IF(AND(Motore_Operativo!C217&gt;=EDATE(Parametri_v3!$C$24,Ipotesi!F14*12),Motore_Operativo!C217&lt;EDATE(Parametri_v3!$C$24,Parametri_v3!$C$25+Ipotesi!F14*12)),MAX(0,((IF(33-(INT((Ipotesi!$C$91)/30))&lt;1,0,INDEX(Motore_Operativo!$BQ$185:$BQ$244,MAX(1,33-(INT((Ipotesi!$C$91)/30)))))*(1-(MOD((Ipotesi!$C$91),30)/30))+IF(33-(INT((Ipotesi!$C$91)/30))-1&lt;1,0,INDEX(Motore_Operativo!$BQ$185:$BQ$244,MAX(1,33-(INT((Ipotesi!$C$91)/30))-1)))*(MOD((Ipotesi!$C$91),30)/30))+(IF(33-(INT((Ipotesi!$C$91)/30))&lt;1,0,INDEX(Motore_Operativo!$BR$185:$BR$244,MAX(1,33-(INT((Ipotesi!$C$91)/30)))))*(1-(MOD((Ipotesi!$C$91),30)/30))+IF(33-(INT((Ipotesi!$C$91)/30))-1&lt;1,0,INDEX(Motore_Operativo!$BR$185:$BR$244,MAX(1,33-(INT((Ipotesi!$C$91)/30))-1)))*(MOD((Ipotesi!$C$91),30)/30))))*Piano_SS!$D$9,0))</f>
        <v>40000</v>
      </c>
      <c r="BZ217" s="15" t="n">
        <f aca="false">MIN(Piano_SS!$C$10,(BZ216)+IF(AND(Motore_Operativo!C217&gt;=EDATE(Parametri_v3!$C$24,Ipotesi!F14*12),Motore_Operativo!C217&lt;EDATE(Parametri_v3!$C$24,Parametri_v3!$C$25+Ipotesi!F14*12)),MAX(0,(IF(33-(INT((Ipotesi!$C$91)/30))&lt;1,0,INDEX(Motore_Operativo!$BO$185:$BO$244,MAX(1,33-(INT((Ipotesi!$C$91)/30)))))*(1-(MOD((Ipotesi!$C$91),30)/30))+IF(33-(INT((Ipotesi!$C$91)/30))-1&lt;1,0,INDEX(Motore_Operativo!$BO$185:$BO$244,MAX(1,33-(INT((Ipotesi!$C$91)/30))-1)))*(MOD((Ipotesi!$C$91),30)/30)))*Piano_SS!$D$10,0))</f>
        <v>30000</v>
      </c>
      <c r="CA217" s="15" t="n">
        <f aca="false">SUM(BV217:BZ217)</f>
        <v>426051.538634022</v>
      </c>
      <c r="CB217" s="15" t="n">
        <f aca="false">BV217*(1-Piano_SS!$E$6)+BW217*(1-Piano_SS!$E$7)+BX217*(1-Piano_SS!$E$8)+BY217*(1-Piano_SS!$E$9)+BZ217*(1-Piano_SS!$E$10)</f>
        <v>396051.538634022</v>
      </c>
      <c r="CC217" s="15" t="n">
        <f aca="false">(CC216)+BA217</f>
        <v>80000</v>
      </c>
      <c r="CD217" s="15" t="n">
        <f aca="false">IF(CA217=0,0,CC217*CB217/CA217*Ipotesi!$C$103*Parametri_v3!$C$64)</f>
        <v>22310.0636080123</v>
      </c>
      <c r="CE217" s="18" t="n">
        <f aca="false">IF(BA217&gt;0,Motore_Operativo!C217,(CE216))</f>
        <v>47088</v>
      </c>
      <c r="CF217" s="18" t="n">
        <f aca="false">IF(AND(CC217&gt;0,OR(CC217&gt;=CG217-0.01,Motore_Operativo!C217&gt;=EDATE(MAX(Finanziamenti!$D$15:$D$17),Ipotesi!F14*12))),CE217,0)</f>
        <v>0</v>
      </c>
      <c r="CG217" s="15" t="n">
        <f aca="false">IF(AND(4&lt;&gt;6,4&lt;&gt;9,Finanziamenti!$F$11=1,OR(Parametri_v3!$C$6=0,Finanziamenti!$E$11=1)),MIN(Finanziamenti!$C$11,Piano_SS!$C$12*Ipotesi!$C$102),0)</f>
        <v>400000</v>
      </c>
      <c r="CH217" s="15" t="n">
        <f aca="false">IF(AND(AND(4&lt;&gt;8,4&lt;&gt;9,Finanziamenti!$F$10=1,OR(Parametri_v3!$C$6=0,Finanziamenti!$E$10=1)),Motore_Operativo!C217&gt;=Finanziamenti!$D$10,Motore_Operativo!C217&lt;Parametri_v3!$C$63),Finanziamenti!$C$10,0)</f>
        <v>150000</v>
      </c>
    </row>
    <row r="218" customFormat="false" ht="18" hidden="false" customHeight="true" outlineLevel="0" collapsed="false">
      <c r="A218" s="68" t="n">
        <f aca="false">4</f>
        <v>4</v>
      </c>
      <c r="B218" s="68" t="n">
        <f aca="false">34</f>
        <v>34</v>
      </c>
      <c r="C218" s="18" t="n">
        <f aca="false">Motore_Operativo!C218</f>
        <v>47392</v>
      </c>
      <c r="D218" s="68" t="n">
        <f aca="false">Motore_Operativo!D218</f>
        <v>2029</v>
      </c>
      <c r="E218" s="68" t="n">
        <f aca="false">Motore_Operativo!E218</f>
        <v>10</v>
      </c>
      <c r="F218" s="15" t="n">
        <f aca="false">Motore_Operativo!AQ218+Motore_Operativo!BF218</f>
        <v>35851.8557422769</v>
      </c>
      <c r="G218" s="15" t="n">
        <f aca="false">Motore_Operativo!BH218</f>
        <v>3267</v>
      </c>
      <c r="H218" s="15" t="n">
        <f aca="false">Motore_Operativo!BI218</f>
        <v>39118.8557422769</v>
      </c>
      <c r="I218" s="15" t="n">
        <f aca="false">Motore_Operativo!CA218</f>
        <v>113953.436470585</v>
      </c>
      <c r="J218" s="15" t="n">
        <f aca="false">Motore_Operativo!CC218</f>
        <v>-74834.5807283085</v>
      </c>
      <c r="K218" s="15" t="n">
        <f aca="false">Motore_Operativo!CE218</f>
        <v>2500</v>
      </c>
      <c r="L218" s="15" t="n">
        <f aca="false">SUM(INDEX($K$185:$K$244,MAX(1,34-Parametri_v3!$C$59+1)):K218)/Parametri_v3!$C$59</f>
        <v>1944.44444444444</v>
      </c>
      <c r="M218" s="15" t="n">
        <f aca="false">J218-L218</f>
        <v>-76779.0251727529</v>
      </c>
      <c r="N218" s="15" t="n">
        <f aca="false">CD218-(CD217)</f>
        <v>32.5730843796009</v>
      </c>
      <c r="O218" s="15" t="n">
        <f aca="false">(BG217)*Ipotesi!$C$110/12+CH218*Parametri_v3!$C$39/12</f>
        <v>750</v>
      </c>
      <c r="P218" s="15" t="n">
        <f aca="false">M218+N218-O218</f>
        <v>-77496.4520883733</v>
      </c>
      <c r="Q218" s="15" t="n">
        <f aca="false">SUM(P209:P218)+Parametri_v3!$C$54*10/12</f>
        <v>-820761.53361074</v>
      </c>
      <c r="R218" s="15" t="n">
        <f aca="false">Z208</f>
        <v>779891.251966456</v>
      </c>
      <c r="S218" s="15" t="n">
        <f aca="false">AA208</f>
        <v>0</v>
      </c>
      <c r="T218" s="15" t="n">
        <f aca="false">MIN(R218,MAX(0,Q218))</f>
        <v>0</v>
      </c>
      <c r="U218" s="15" t="n">
        <f aca="false">MIN(S218,MAX(0,Q218-T218)*Parametri_v3!$C$42)</f>
        <v>0</v>
      </c>
      <c r="V218" s="15" t="n">
        <f aca="false">MAX(0,Q218-T218-U218)*Ipotesi!$C$92</f>
        <v>0</v>
      </c>
      <c r="W218" s="15" t="n">
        <f aca="false">MAX(0,SUM(M209:M218)+Parametri_v3!$C$55*10/12)*Ipotesi!$C$93</f>
        <v>0</v>
      </c>
      <c r="X218" s="15" t="n">
        <f aca="false">V218+W218-(V217+W217)</f>
        <v>0</v>
      </c>
      <c r="Y218" s="15" t="n">
        <f aca="false">P218-X218</f>
        <v>-77496.4520883733</v>
      </c>
      <c r="Z218" s="15" t="n">
        <f aca="false">R218-T218+IF(AND(Parametri_v3!$C$40=1,D218-YEAR(Parametri_v3!$C$50)&lt;Parametri_v3!$C$41),MAX(0,-Q218),0)</f>
        <v>1600652.7855772</v>
      </c>
      <c r="AA218" s="15" t="n">
        <f aca="false">S218-U218+IF(AND(Parametri_v3!$C$40=1,D218-YEAR(Parametri_v3!$C$50)&lt;Parametri_v3!$C$41),0,MAX(0,-Q218))</f>
        <v>0</v>
      </c>
      <c r="AB218" s="15" t="n">
        <f aca="false">F218*(1+Parametri_v3!$C$26)</f>
        <v>43739.2640055779</v>
      </c>
      <c r="AC218" s="15" t="n">
        <f aca="false">(IF(34-(INT((Motore_Operativo!L218)/30))&lt;1,0,INDEX(Motore_Startup!$AB$185:$AB$244,MAX(1,34-(INT((Motore_Operativo!L218)/30)))))*(1-(MOD((Motore_Operativo!L218),30)/30))+IF(34-(INT((Motore_Operativo!L218)/30))-1&lt;1,0,INDEX(Motore_Startup!$AB$185:$AB$244,MAX(1,34-(INT((Motore_Operativo!L218)/30))-1)))*(MOD((Motore_Operativo!L218),30)/30))</f>
        <v>37118.6318980295</v>
      </c>
      <c r="AD218" s="15" t="n">
        <f aca="false">(AD217)+AB218-AC218</f>
        <v>164939.80043713</v>
      </c>
      <c r="AE218" s="15" t="n">
        <f aca="false">Motore_Operativo!BH218*(1+Parametri_v3!$C$26)</f>
        <v>3985.74</v>
      </c>
      <c r="AF218" s="15" t="n">
        <f aca="false">(IF(34-(INT((Parametri_v3!$C$29)/30))&lt;1,0,INDEX(Motore_Operativo!$BH$185:$BH$244,MAX(1,34-(INT((Parametri_v3!$C$29)/30)))))*(1-(MOD((Parametri_v3!$C$29),30)/30))+IF(34-(INT((Parametri_v3!$C$29)/30))-1&lt;1,0,INDEX(Motore_Operativo!$BH$185:$BH$244,MAX(1,34-(INT((Parametri_v3!$C$29)/30))-1)))*(MOD((Parametri_v3!$C$29),30)/30))*(1+Parametri_v3!$C$26)</f>
        <v>3985.74</v>
      </c>
      <c r="AG218" s="15" t="n">
        <f aca="false">(AG217)+AE218-AF218</f>
        <v>3985.74</v>
      </c>
      <c r="AH218" s="15" t="n">
        <f aca="false">(Motore_Operativo!CJ218)*(1+Parametri_v3!$C$27*Parametri_v3!$C$26)</f>
        <v>47099.8867572516</v>
      </c>
      <c r="AI218" s="15" t="n">
        <f aca="false">(IF(34-(INT((Ipotesi!$C$91)/30))&lt;1,0,INDEX(Motore_Startup!$AH$185:$AH$244,MAX(1,34-(INT((Ipotesi!$C$91)/30)))))*(1-(MOD((Ipotesi!$C$91),30)/30))+IF(34-(INT((Ipotesi!$C$91)/30))-1&lt;1,0,INDEX(Motore_Startup!$AH$185:$AH$244,MAX(1,34-(INT((Ipotesi!$C$91)/30))-1)))*(MOD((Ipotesi!$C$91),30)/30))</f>
        <v>46644.342772606</v>
      </c>
      <c r="AJ218" s="15" t="n">
        <f aca="false">(AJ217)+AH218-AI218</f>
        <v>93970.0348598849</v>
      </c>
      <c r="AK218" s="15" t="n">
        <f aca="false">(F218+ Motore_Operativo!BH218-(Motore_Operativo!CJ218)*Parametri_v3!$C$27-Motore_Operativo!CE218)*Parametri_v3!$C$26</f>
        <v>636.031309968115</v>
      </c>
      <c r="AL218" s="15" t="n">
        <f aca="false">MAX(0,(AM217))</f>
        <v>0</v>
      </c>
      <c r="AM218" s="15" t="n">
        <f aca="false">(AM217)+AK218-AL218</f>
        <v>-22448.9944929778</v>
      </c>
      <c r="AN218" s="15" t="n">
        <f aca="false">SUM(X197:X208)</f>
        <v>0</v>
      </c>
      <c r="AO218" s="15" t="n">
        <f aca="false">SUM(AP197:AP208)</f>
        <v>0</v>
      </c>
      <c r="AP218" s="15" t="n">
        <f aca="false">MAX(0,AN218)*IF(10=Parametri_v3!$C$43,Parametri_v3!$C$45,IF(10=Parametri_v3!$C$44,1-Parametri_v3!$C$45,0))</f>
        <v>0</v>
      </c>
      <c r="AQ218" s="15" t="n">
        <f aca="false">MAX(0,AP218+IF(10=Parametri_v3!$C$43,MAX(0,AN218-AO218),0)-MAX(0,-(AR217)))</f>
        <v>0</v>
      </c>
      <c r="AR218" s="15" t="n">
        <f aca="false">(AR217)+X218-AQ218</f>
        <v>0</v>
      </c>
      <c r="AS218" s="15" t="n">
        <f aca="false">Motore_Operativo!AB218-AT218+AU218</f>
        <v>70559.9833333333</v>
      </c>
      <c r="AT218" s="15" t="n">
        <f aca="false">Motore_Operativo!CH218</f>
        <v>3713.68333333333</v>
      </c>
      <c r="AU218" s="15" t="n">
        <f aca="false">MIN(MAX(0,(AV217)+AT218),Parametri_v3!$C$60/12)</f>
        <v>0</v>
      </c>
      <c r="AV218" s="15" t="n">
        <f aca="false">(AV217)+AT218-AU218</f>
        <v>71744.3333333333</v>
      </c>
      <c r="AW218" s="15" t="n">
        <f aca="false">IF(AND(Motore_Operativo!C218=Finanziamenti!$D$6,Finanziamenti!$F$6=1),Finanziamenti!$C$6,0)</f>
        <v>0</v>
      </c>
      <c r="AX218" s="15" t="n">
        <f aca="false">IF(AND(4&lt;&gt;7,4&lt;&gt;9,Finanziamenti!$F$8=1,OR(Parametri_v3!$C$6=0,Finanziamenti!$E$8=1),Motore_Operativo!C218=EDATE(Finanziamenti!$D$8,Ipotesi!F15*12)),Finanziamenti!$C$8*1,0)+IF(AND(4&lt;&gt;7,4&lt;&gt;9,Finanziamenti!$F$9=1,OR(Parametri_v3!$C$6=0,Finanziamenti!$E$9=1),Motore_Operativo!C218=EDATE(Finanziamenti!$D$9,Ipotesi!F15*12)),Finanziamenti!$C$9*Ipotesi!F16,0)</f>
        <v>0</v>
      </c>
      <c r="AY218" s="15" t="n">
        <f aca="false">0</f>
        <v>0</v>
      </c>
      <c r="AZ218" s="15" t="n">
        <f aca="false">Motore_Advisory!AY218*(1-Ipotesi!$C$95)*Ipotesi!$C$96</f>
        <v>0</v>
      </c>
      <c r="BA218" s="15" t="n">
        <f aca="false">MAX(0,MIN(CG218*MIN(1,IF(Motore_Operativo!C218&gt;=EDATE(Finanziamenti!$D$15,Ipotesi!F14*12),Finanziamenti!$C$15,0)+IF(Motore_Operativo!C218&gt;=EDATE(Finanziamenti!$D$16,Ipotesi!F14*12),Finanziamenti!$C$16,0)+IF(Motore_Operativo!C218&gt;=EDATE(Finanziamenti!$D$17,Ipotesi!F14*12),Finanziamenti!$C$17,0)),CA218*Ipotesi!$C$102)-(CC217))</f>
        <v>0</v>
      </c>
      <c r="BB218" s="15" t="n">
        <f aca="false">IF(AND(CF218&gt;0,Motore_Operativo!C218&gt;=IF(CF218=0,0,EDATE(CF218,Parametri_v3!$C$37)),MOD(((D218-YEAR(IF(CF218=0,0,EDATE(CF218,Parametri_v3!$C$37))))*12+E218-MONTH(IF(CF218=0,0,EDATE(CF218,Parametri_v3!$C$37)))),Parametri_v3!$C$38)=0),MIN(MAX(0,(BC217)+BA218-N218),(CC218-CD218)/(Ipotesi!$C$108*12/Parametri_v3!$C$38)),0)</f>
        <v>0</v>
      </c>
      <c r="BC218" s="15" t="n">
        <f aca="false">(BC217)+BA218-N218-BB218</f>
        <v>57657.3633076081</v>
      </c>
      <c r="BD218" s="15" t="n">
        <f aca="false">(BH217)+AC218+AF218-AI218-AS218-K218*(1+Parametri_v3!$C$26)-AL218-AQ218-O218+AW218+AX218+AZ218+BA218-BB218</f>
        <v>-1027544.47789537</v>
      </c>
      <c r="BE218" s="15" t="n">
        <f aca="false">MAX(0,MIN(MAX(0,CH218-(BG217)),Parametri_v3!$C$30-BD218))</f>
        <v>0</v>
      </c>
      <c r="BF218" s="15" t="n">
        <f aca="false">IF(Motore_Operativo!C218&gt;=Parametri_v3!$C$63,(BG217),MIN((BG217),MAX(0,BD218-Parametri_v3!$C$30)))</f>
        <v>0</v>
      </c>
      <c r="BG218" s="15" t="n">
        <f aca="false">(BG217)+BE218-BF218</f>
        <v>150000</v>
      </c>
      <c r="BH218" s="15" t="n">
        <f aca="false">BD218+BE218-BF218-AY218</f>
        <v>-1027544.47789537</v>
      </c>
      <c r="BI218" s="15" t="n">
        <f aca="false">MAX(0,Parametri_v3!$C$30-BH218)</f>
        <v>1052544.47789537</v>
      </c>
      <c r="BJ218" s="15" t="n">
        <f aca="false">(BJ217)+K218</f>
        <v>70000</v>
      </c>
      <c r="BK218" s="15" t="n">
        <f aca="false">(BK217)+L218</f>
        <v>31111.1111111111</v>
      </c>
      <c r="BL218" s="15" t="n">
        <f aca="false">BJ218-BK218</f>
        <v>38888.8888888889</v>
      </c>
      <c r="BM218" s="15" t="n">
        <f aca="false">(BM217)+Y218</f>
        <v>-1600652.7855772</v>
      </c>
      <c r="BN218" s="15" t="n">
        <f aca="false">(BN217)+AW218+AX218+AZ218</f>
        <v>430000</v>
      </c>
      <c r="BO218" s="15" t="n">
        <f aca="false">(BO217)+AY218</f>
        <v>0</v>
      </c>
      <c r="BP218" s="15" t="n">
        <f aca="false">0</f>
        <v>0</v>
      </c>
      <c r="BQ218" s="15" t="n">
        <f aca="false">BN218+BM218-BO218</f>
        <v>-1170652.7855772</v>
      </c>
      <c r="BR218" s="15" t="n">
        <f aca="false">BH218+AD218+BL218+MAX(0,-AM218)+MAX(0,-AR218)+AG218</f>
        <v>-797281.05407637</v>
      </c>
      <c r="BS218" s="15" t="n">
        <f aca="false">AJ218+AV218+MAX(0,AM218)+MAX(0,AR218)+BC218+BG218+BQ218</f>
        <v>-797281.05407637</v>
      </c>
      <c r="BT218" s="15" t="n">
        <f aca="false">BR218-BS218</f>
        <v>0</v>
      </c>
      <c r="BU218" s="15" t="n">
        <f aca="false">BH218-(BD218+BE218-BF218-AY218)</f>
        <v>0</v>
      </c>
      <c r="BV218" s="15" t="n">
        <f aca="false">MIN(Piano_SS!$C$6,(BV217)+IF(AND(Motore_Operativo!C218&gt;=EDATE(Parametri_v3!$C$24,Ipotesi!F14*12),Motore_Operativo!C218&lt;EDATE(Parametri_v3!$C$24,Parametri_v3!$C$25+Ipotesi!F14*12)),MAX(0,(Motore_Operativo!Y218+Motore_Operativo!X218*Parametri_v3!$C$14)*(1-Parametri_v3!$C$32))*Piano_SS!$D$6,0))</f>
        <v>300000</v>
      </c>
      <c r="BW218" s="15" t="n">
        <f aca="false">MIN(Piano_SS!$C$7,(BW217)+IF(AND(Motore_Operativo!C218&gt;=EDATE(Parametri_v3!$C$24,Ipotesi!F14*12),Motore_Operativo!C218&lt;EDATE(Parametri_v3!$C$24,Parametri_v3!$C$25+Ipotesi!F14*12)),MAX(0,(IF(34-(INT((Ipotesi!$C$91)/30))&lt;1,0,INDEX(Motore_Operativo!$BN$185:$BN$244,MAX(1,34-(INT((Ipotesi!$C$91)/30)))))*(1-(MOD((Ipotesi!$C$91),30)/30))+IF(34-(INT((Ipotesi!$C$91)/30))-1&lt;1,0,INDEX(Motore_Operativo!$BN$185:$BN$244,MAX(1,34-(INT((Ipotesi!$C$91)/30))-1)))*(MOD((Ipotesi!$C$91),30)/30)))*Piano_SS!$D$7,0))</f>
        <v>26924.9668704737</v>
      </c>
      <c r="BX218" s="15" t="n">
        <f aca="false">MIN(Piano_SS!$C$8,(BX217)+IF(AND(Motore_Operativo!C218&gt;=EDATE(Parametri_v3!$C$24,Ipotesi!F14*12),Motore_Operativo!C218&lt;EDATE(Parametri_v3!$C$24,Parametri_v3!$C$25+Ipotesi!F14*12)),MAX(0,Motore_Operativo!CE218)*Piano_SS!$D$8,0))</f>
        <v>37500</v>
      </c>
      <c r="BY218" s="15" t="n">
        <f aca="false">MIN(Piano_SS!$C$9,(BY217)+IF(AND(Motore_Operativo!C218&gt;=EDATE(Parametri_v3!$C$24,Ipotesi!F14*12),Motore_Operativo!C218&lt;EDATE(Parametri_v3!$C$24,Parametri_v3!$C$25+Ipotesi!F14*12)),MAX(0,((IF(34-(INT((Ipotesi!$C$91)/30))&lt;1,0,INDEX(Motore_Operativo!$BQ$185:$BQ$244,MAX(1,34-(INT((Ipotesi!$C$91)/30)))))*(1-(MOD((Ipotesi!$C$91),30)/30))+IF(34-(INT((Ipotesi!$C$91)/30))-1&lt;1,0,INDEX(Motore_Operativo!$BQ$185:$BQ$244,MAX(1,34-(INT((Ipotesi!$C$91)/30))-1)))*(MOD((Ipotesi!$C$91),30)/30))+(IF(34-(INT((Ipotesi!$C$91)/30))&lt;1,0,INDEX(Motore_Operativo!$BR$185:$BR$244,MAX(1,34-(INT((Ipotesi!$C$91)/30)))))*(1-(MOD((Ipotesi!$C$91),30)/30))+IF(34-(INT((Ipotesi!$C$91)/30))-1&lt;1,0,INDEX(Motore_Operativo!$BR$185:$BR$244,MAX(1,34-(INT((Ipotesi!$C$91)/30))-1)))*(MOD((Ipotesi!$C$91),30)/30))))*Piano_SS!$D$9,0))</f>
        <v>40000</v>
      </c>
      <c r="BZ218" s="15" t="n">
        <f aca="false">MIN(Piano_SS!$C$10,(BZ217)+IF(AND(Motore_Operativo!C218&gt;=EDATE(Parametri_v3!$C$24,Ipotesi!F14*12),Motore_Operativo!C218&lt;EDATE(Parametri_v3!$C$24,Parametri_v3!$C$25+Ipotesi!F14*12)),MAX(0,(IF(34-(INT((Ipotesi!$C$91)/30))&lt;1,0,INDEX(Motore_Operativo!$BO$185:$BO$244,MAX(1,34-(INT((Ipotesi!$C$91)/30)))))*(1-(MOD((Ipotesi!$C$91),30)/30))+IF(34-(INT((Ipotesi!$C$91)/30))-1&lt;1,0,INDEX(Motore_Operativo!$BO$185:$BO$244,MAX(1,34-(INT((Ipotesi!$C$91)/30))-1)))*(MOD((Ipotesi!$C$91),30)/30)))*Piano_SS!$D$10,0))</f>
        <v>30000</v>
      </c>
      <c r="CA218" s="15" t="n">
        <f aca="false">SUM(BV218:BZ218)</f>
        <v>434424.966870474</v>
      </c>
      <c r="CB218" s="15" t="n">
        <f aca="false">BV218*(1-Piano_SS!$E$6)+BW218*(1-Piano_SS!$E$7)+BX218*(1-Piano_SS!$E$8)+BY218*(1-Piano_SS!$E$9)+BZ218*(1-Piano_SS!$E$10)</f>
        <v>404424.966870474</v>
      </c>
      <c r="CC218" s="15" t="n">
        <f aca="false">(CC217)+BA218</f>
        <v>80000</v>
      </c>
      <c r="CD218" s="15" t="n">
        <f aca="false">IF(CA218=0,0,CC218*CB218/CA218*Ipotesi!$C$103*Parametri_v3!$C$64)</f>
        <v>22342.6366923919</v>
      </c>
      <c r="CE218" s="18" t="n">
        <f aca="false">IF(BA218&gt;0,Motore_Operativo!C218,(CE217))</f>
        <v>47088</v>
      </c>
      <c r="CF218" s="18" t="n">
        <f aca="false">IF(AND(CC218&gt;0,OR(CC218&gt;=CG218-0.01,Motore_Operativo!C218&gt;=EDATE(MAX(Finanziamenti!$D$15:$D$17),Ipotesi!F14*12))),CE218,0)</f>
        <v>0</v>
      </c>
      <c r="CG218" s="15" t="n">
        <f aca="false">IF(AND(4&lt;&gt;6,4&lt;&gt;9,Finanziamenti!$F$11=1,OR(Parametri_v3!$C$6=0,Finanziamenti!$E$11=1)),MIN(Finanziamenti!$C$11,Piano_SS!$C$12*Ipotesi!$C$102),0)</f>
        <v>400000</v>
      </c>
      <c r="CH218" s="15" t="n">
        <f aca="false">IF(AND(AND(4&lt;&gt;8,4&lt;&gt;9,Finanziamenti!$F$10=1,OR(Parametri_v3!$C$6=0,Finanziamenti!$E$10=1)),Motore_Operativo!C218&gt;=Finanziamenti!$D$10,Motore_Operativo!C218&lt;Parametri_v3!$C$63),Finanziamenti!$C$10,0)</f>
        <v>150000</v>
      </c>
    </row>
    <row r="219" customFormat="false" ht="18" hidden="false" customHeight="true" outlineLevel="0" collapsed="false">
      <c r="A219" s="68" t="n">
        <f aca="false">4</f>
        <v>4</v>
      </c>
      <c r="B219" s="68" t="n">
        <f aca="false">35</f>
        <v>35</v>
      </c>
      <c r="C219" s="18" t="n">
        <f aca="false">Motore_Operativo!C219</f>
        <v>47423</v>
      </c>
      <c r="D219" s="68" t="n">
        <f aca="false">Motore_Operativo!D219</f>
        <v>2029</v>
      </c>
      <c r="E219" s="68" t="n">
        <f aca="false">Motore_Operativo!E219</f>
        <v>11</v>
      </c>
      <c r="F219" s="15" t="n">
        <f aca="false">Motore_Operativo!AQ219+Motore_Operativo!BF219</f>
        <v>37278.209903222</v>
      </c>
      <c r="G219" s="15" t="n">
        <f aca="false">Motore_Operativo!BH219</f>
        <v>3267</v>
      </c>
      <c r="H219" s="15" t="n">
        <f aca="false">Motore_Operativo!BI219</f>
        <v>40545.209903222</v>
      </c>
      <c r="I219" s="15" t="n">
        <f aca="false">Motore_Operativo!CA219</f>
        <v>114153.126053118</v>
      </c>
      <c r="J219" s="15" t="n">
        <f aca="false">Motore_Operativo!CC219</f>
        <v>-73607.9161498957</v>
      </c>
      <c r="K219" s="15" t="n">
        <f aca="false">Motore_Operativo!CE219</f>
        <v>2500</v>
      </c>
      <c r="L219" s="15" t="n">
        <f aca="false">SUM(INDEX($K$185:$K$244,MAX(1,35-Parametri_v3!$C$59+1)):K219)/Parametri_v3!$C$59</f>
        <v>2013.88888888889</v>
      </c>
      <c r="M219" s="15" t="n">
        <f aca="false">J219-L219</f>
        <v>-75621.8050387846</v>
      </c>
      <c r="N219" s="15" t="n">
        <f aca="false">CD219-(CD218)</f>
        <v>18.3269909453011</v>
      </c>
      <c r="O219" s="15" t="n">
        <f aca="false">(BG218)*Ipotesi!$C$110/12+CH219*Parametri_v3!$C$39/12</f>
        <v>750</v>
      </c>
      <c r="P219" s="15" t="n">
        <f aca="false">M219+N219-O219</f>
        <v>-76353.4780478393</v>
      </c>
      <c r="Q219" s="15" t="n">
        <f aca="false">SUM(P209:P219)+Parametri_v3!$C$54*11/12</f>
        <v>-897115.011658579</v>
      </c>
      <c r="R219" s="15" t="n">
        <f aca="false">Z208</f>
        <v>779891.251966456</v>
      </c>
      <c r="S219" s="15" t="n">
        <f aca="false">AA208</f>
        <v>0</v>
      </c>
      <c r="T219" s="15" t="n">
        <f aca="false">MIN(R219,MAX(0,Q219))</f>
        <v>0</v>
      </c>
      <c r="U219" s="15" t="n">
        <f aca="false">MIN(S219,MAX(0,Q219-T219)*Parametri_v3!$C$42)</f>
        <v>0</v>
      </c>
      <c r="V219" s="15" t="n">
        <f aca="false">MAX(0,Q219-T219-U219)*Ipotesi!$C$92</f>
        <v>0</v>
      </c>
      <c r="W219" s="15" t="n">
        <f aca="false">MAX(0,SUM(M209:M219)+Parametri_v3!$C$55*11/12)*Ipotesi!$C$93</f>
        <v>0</v>
      </c>
      <c r="X219" s="15" t="n">
        <f aca="false">V219+W219-(V218+W218)</f>
        <v>0</v>
      </c>
      <c r="Y219" s="15" t="n">
        <f aca="false">P219-X219</f>
        <v>-76353.4780478393</v>
      </c>
      <c r="Z219" s="15" t="n">
        <f aca="false">R219-T219+IF(AND(Parametri_v3!$C$40=1,D219-YEAR(Parametri_v3!$C$50)&lt;Parametri_v3!$C$41),MAX(0,-Q219),0)</f>
        <v>1677006.26362504</v>
      </c>
      <c r="AA219" s="15" t="n">
        <f aca="false">S219-U219+IF(AND(Parametri_v3!$C$40=1,D219-YEAR(Parametri_v3!$C$50)&lt;Parametri_v3!$C$41),0,MAX(0,-Q219))</f>
        <v>0</v>
      </c>
      <c r="AB219" s="15" t="n">
        <f aca="false">F219*(1+Parametri_v3!$C$26)</f>
        <v>45479.4160819309</v>
      </c>
      <c r="AC219" s="15" t="n">
        <f aca="false">(IF(35-(INT((Motore_Operativo!L219)/30))&lt;1,0,INDEX(Motore_Startup!$AB$185:$AB$244,MAX(1,35-(INT((Motore_Operativo!L219)/30)))))*(1-(MOD((Motore_Operativo!L219),30)/30))+IF(35-(INT((Motore_Operativo!L219)/30))-1&lt;1,0,INDEX(Motore_Startup!$AB$185:$AB$244,MAX(1,35-(INT((Motore_Operativo!L219)/30))-1)))*(MOD((Motore_Operativo!L219),30)/30))</f>
        <v>38752.9677410239</v>
      </c>
      <c r="AD219" s="15" t="n">
        <f aca="false">(AD218)+AB219-AC219</f>
        <v>171666.248778037</v>
      </c>
      <c r="AE219" s="15" t="n">
        <f aca="false">Motore_Operativo!BH219*(1+Parametri_v3!$C$26)</f>
        <v>3985.74</v>
      </c>
      <c r="AF219" s="15" t="n">
        <f aca="false">(IF(35-(INT((Parametri_v3!$C$29)/30))&lt;1,0,INDEX(Motore_Operativo!$BH$185:$BH$244,MAX(1,35-(INT((Parametri_v3!$C$29)/30)))))*(1-(MOD((Parametri_v3!$C$29),30)/30))+IF(35-(INT((Parametri_v3!$C$29)/30))-1&lt;1,0,INDEX(Motore_Operativo!$BH$185:$BH$244,MAX(1,35-(INT((Parametri_v3!$C$29)/30))-1)))*(MOD((Parametri_v3!$C$29),30)/30))*(1+Parametri_v3!$C$26)</f>
        <v>3985.74</v>
      </c>
      <c r="AG219" s="15" t="n">
        <f aca="false">(AG218)+AE219-AF219</f>
        <v>3985.74</v>
      </c>
      <c r="AH219" s="15" t="n">
        <f aca="false">(Motore_Operativo!CJ219)*(1+Parametri_v3!$C$27*Parametri_v3!$C$26)</f>
        <v>47336.9182917174</v>
      </c>
      <c r="AI219" s="15" t="n">
        <f aca="false">(IF(35-(INT((Ipotesi!$C$91)/30))&lt;1,0,INDEX(Motore_Startup!$AH$185:$AH$244,MAX(1,35-(INT((Ipotesi!$C$91)/30)))))*(1-(MOD((Ipotesi!$C$91),30)/30))+IF(35-(INT((Ipotesi!$C$91)/30))-1&lt;1,0,INDEX(Motore_Startup!$AH$185:$AH$244,MAX(1,35-(INT((Ipotesi!$C$91)/30))-1)))*(MOD((Ipotesi!$C$91),30)/30))</f>
        <v>46870.1481026333</v>
      </c>
      <c r="AJ219" s="15" t="n">
        <f aca="false">(AJ218)+AH219-AI219</f>
        <v>94436.805048969</v>
      </c>
      <c r="AK219" s="15" t="n">
        <f aca="false">(F219+ Motore_Operativo!BH219-(Motore_Operativo!CJ219)*Parametri_v3!$C$27-Motore_Operativo!CE219)*Parametri_v3!$C$26</f>
        <v>912.487273442491</v>
      </c>
      <c r="AL219" s="15" t="n">
        <f aca="false">MAX(0,(AM218))</f>
        <v>0</v>
      </c>
      <c r="AM219" s="15" t="n">
        <f aca="false">(AM218)+AK219-AL219</f>
        <v>-21536.5072195353</v>
      </c>
      <c r="AN219" s="15" t="n">
        <f aca="false">SUM(X197:X208)</f>
        <v>0</v>
      </c>
      <c r="AO219" s="15" t="n">
        <f aca="false">SUM(AP197:AP208)</f>
        <v>0</v>
      </c>
      <c r="AP219" s="15" t="n">
        <f aca="false">MAX(0,AN219)*IF(11=Parametri_v3!$C$43,Parametri_v3!$C$45,IF(11=Parametri_v3!$C$44,1-Parametri_v3!$C$45,0))</f>
        <v>0</v>
      </c>
      <c r="AQ219" s="15" t="n">
        <f aca="false">MAX(0,AP219+IF(11=Parametri_v3!$C$43,MAX(0,AN219-AO219),0)-MAX(0,-(AR218)))</f>
        <v>0</v>
      </c>
      <c r="AR219" s="15" t="n">
        <f aca="false">(AR218)+X219-AQ219</f>
        <v>0</v>
      </c>
      <c r="AS219" s="15" t="n">
        <f aca="false">Motore_Operativo!AB219-AT219+AU219</f>
        <v>70559.9833333333</v>
      </c>
      <c r="AT219" s="15" t="n">
        <f aca="false">Motore_Operativo!CH219</f>
        <v>3713.68333333333</v>
      </c>
      <c r="AU219" s="15" t="n">
        <f aca="false">MIN(MAX(0,(AV218)+AT219),Parametri_v3!$C$60/12)</f>
        <v>0</v>
      </c>
      <c r="AV219" s="15" t="n">
        <f aca="false">(AV218)+AT219-AU219</f>
        <v>75458.0166666667</v>
      </c>
      <c r="AW219" s="15" t="n">
        <f aca="false">IF(AND(Motore_Operativo!C219=Finanziamenti!$D$6,Finanziamenti!$F$6=1),Finanziamenti!$C$6,0)</f>
        <v>0</v>
      </c>
      <c r="AX219" s="15" t="n">
        <f aca="false">IF(AND(4&lt;&gt;7,4&lt;&gt;9,Finanziamenti!$F$8=1,OR(Parametri_v3!$C$6=0,Finanziamenti!$E$8=1),Motore_Operativo!C219=EDATE(Finanziamenti!$D$8,Ipotesi!F15*12)),Finanziamenti!$C$8*1,0)+IF(AND(4&lt;&gt;7,4&lt;&gt;9,Finanziamenti!$F$9=1,OR(Parametri_v3!$C$6=0,Finanziamenti!$E$9=1),Motore_Operativo!C219=EDATE(Finanziamenti!$D$9,Ipotesi!F15*12)),Finanziamenti!$C$9*Ipotesi!F16,0)</f>
        <v>0</v>
      </c>
      <c r="AY219" s="15" t="n">
        <f aca="false">0</f>
        <v>0</v>
      </c>
      <c r="AZ219" s="15" t="n">
        <f aca="false">Motore_Advisory!AY219*(1-Ipotesi!$C$95)*Ipotesi!$C$96</f>
        <v>0</v>
      </c>
      <c r="BA219" s="15" t="n">
        <f aca="false">MAX(0,MIN(CG219*MIN(1,IF(Motore_Operativo!C219&gt;=EDATE(Finanziamenti!$D$15,Ipotesi!F14*12),Finanziamenti!$C$15,0)+IF(Motore_Operativo!C219&gt;=EDATE(Finanziamenti!$D$16,Ipotesi!F14*12),Finanziamenti!$C$16,0)+IF(Motore_Operativo!C219&gt;=EDATE(Finanziamenti!$D$17,Ipotesi!F14*12),Finanziamenti!$C$17,0)),CA219*Ipotesi!$C$102)-(CC218))</f>
        <v>0</v>
      </c>
      <c r="BB219" s="15" t="n">
        <f aca="false">IF(AND(CF219&gt;0,Motore_Operativo!C219&gt;=IF(CF219=0,0,EDATE(CF219,Parametri_v3!$C$37)),MOD(((D219-YEAR(IF(CF219=0,0,EDATE(CF219,Parametri_v3!$C$37))))*12+E219-MONTH(IF(CF219=0,0,EDATE(CF219,Parametri_v3!$C$37)))),Parametri_v3!$C$38)=0),MIN(MAX(0,(BC218)+BA219-N219),(CC219-CD219)/(Ipotesi!$C$108*12/Parametri_v3!$C$38)),0)</f>
        <v>0</v>
      </c>
      <c r="BC219" s="15" t="n">
        <f aca="false">(BC218)+BA219-N219-BB219</f>
        <v>57639.0363166628</v>
      </c>
      <c r="BD219" s="15" t="n">
        <f aca="false">(BH218)+AC219+AF219-AI219-AS219-K219*(1+Parametri_v3!$C$26)-AL219-AQ219-O219+AW219+AX219+AZ219+BA219-BB219</f>
        <v>-1106035.90159031</v>
      </c>
      <c r="BE219" s="15" t="n">
        <f aca="false">MAX(0,MIN(MAX(0,CH219-(BG218)),Parametri_v3!$C$30-BD219))</f>
        <v>0</v>
      </c>
      <c r="BF219" s="15" t="n">
        <f aca="false">IF(Motore_Operativo!C219&gt;=Parametri_v3!$C$63,(BG218),MIN((BG218),MAX(0,BD219-Parametri_v3!$C$30)))</f>
        <v>0</v>
      </c>
      <c r="BG219" s="15" t="n">
        <f aca="false">(BG218)+BE219-BF219</f>
        <v>150000</v>
      </c>
      <c r="BH219" s="15" t="n">
        <f aca="false">BD219+BE219-BF219-AY219</f>
        <v>-1106035.90159031</v>
      </c>
      <c r="BI219" s="15" t="n">
        <f aca="false">MAX(0,Parametri_v3!$C$30-BH219)</f>
        <v>1131035.90159031</v>
      </c>
      <c r="BJ219" s="15" t="n">
        <f aca="false">(BJ218)+K219</f>
        <v>72500</v>
      </c>
      <c r="BK219" s="15" t="n">
        <f aca="false">(BK218)+L219</f>
        <v>33125</v>
      </c>
      <c r="BL219" s="15" t="n">
        <f aca="false">BJ219-BK219</f>
        <v>39375</v>
      </c>
      <c r="BM219" s="15" t="n">
        <f aca="false">(BM218)+Y219</f>
        <v>-1677006.26362504</v>
      </c>
      <c r="BN219" s="15" t="n">
        <f aca="false">(BN218)+AW219+AX219+AZ219</f>
        <v>430000</v>
      </c>
      <c r="BO219" s="15" t="n">
        <f aca="false">(BO218)+AY219</f>
        <v>0</v>
      </c>
      <c r="BP219" s="15" t="n">
        <f aca="false">0</f>
        <v>0</v>
      </c>
      <c r="BQ219" s="15" t="n">
        <f aca="false">BN219+BM219-BO219</f>
        <v>-1247006.26362504</v>
      </c>
      <c r="BR219" s="15" t="n">
        <f aca="false">BH219+AD219+BL219+MAX(0,-AM219)+MAX(0,-AR219)+AG219</f>
        <v>-869472.405592737</v>
      </c>
      <c r="BS219" s="15" t="n">
        <f aca="false">AJ219+AV219+MAX(0,AM219)+MAX(0,AR219)+BC219+BG219+BQ219</f>
        <v>-869472.405592737</v>
      </c>
      <c r="BT219" s="15" t="n">
        <f aca="false">BR219-BS219</f>
        <v>0</v>
      </c>
      <c r="BU219" s="15" t="n">
        <f aca="false">BH219-(BD219+BE219-BF219-AY219)</f>
        <v>0</v>
      </c>
      <c r="BV219" s="15" t="n">
        <f aca="false">MIN(Piano_SS!$C$6,(BV218)+IF(AND(Motore_Operativo!C219&gt;=EDATE(Parametri_v3!$C$24,Ipotesi!F14*12),Motore_Operativo!C219&lt;EDATE(Parametri_v3!$C$24,Parametri_v3!$C$25+Ipotesi!F14*12)),MAX(0,(Motore_Operativo!Y219+Motore_Operativo!X219*Parametri_v3!$C$14)*(1-Parametri_v3!$C$32))*Piano_SS!$D$6,0))</f>
        <v>300000</v>
      </c>
      <c r="BW219" s="15" t="n">
        <f aca="false">MIN(Piano_SS!$C$7,(BW218)+IF(AND(Motore_Operativo!C219&gt;=EDATE(Parametri_v3!$C$24,Ipotesi!F14*12),Motore_Operativo!C219&lt;EDATE(Parametri_v3!$C$24,Parametri_v3!$C$25+Ipotesi!F14*12)),MAX(0,(IF(35-(INT((Ipotesi!$C$91)/30))&lt;1,0,INDEX(Motore_Operativo!$BN$185:$BN$244,MAX(1,35-(INT((Ipotesi!$C$91)/30)))))*(1-(MOD((Ipotesi!$C$91),30)/30))+IF(35-(INT((Ipotesi!$C$91)/30))-1&lt;1,0,INDEX(Motore_Operativo!$BN$185:$BN$244,MAX(1,35-(INT((Ipotesi!$C$91)/30))-1)))*(MOD((Ipotesi!$C$91),30)/30)))*Piano_SS!$D$7,0))</f>
        <v>29282.5178309422</v>
      </c>
      <c r="BX219" s="15" t="n">
        <f aca="false">MIN(Piano_SS!$C$8,(BX218)+IF(AND(Motore_Operativo!C219&gt;=EDATE(Parametri_v3!$C$24,Ipotesi!F14*12),Motore_Operativo!C219&lt;EDATE(Parametri_v3!$C$24,Parametri_v3!$C$25+Ipotesi!F14*12)),MAX(0,Motore_Operativo!CE219)*Piano_SS!$D$8,0))</f>
        <v>40000</v>
      </c>
      <c r="BY219" s="15" t="n">
        <f aca="false">MIN(Piano_SS!$C$9,(BY218)+IF(AND(Motore_Operativo!C219&gt;=EDATE(Parametri_v3!$C$24,Ipotesi!F14*12),Motore_Operativo!C219&lt;EDATE(Parametri_v3!$C$24,Parametri_v3!$C$25+Ipotesi!F14*12)),MAX(0,((IF(35-(INT((Ipotesi!$C$91)/30))&lt;1,0,INDEX(Motore_Operativo!$BQ$185:$BQ$244,MAX(1,35-(INT((Ipotesi!$C$91)/30)))))*(1-(MOD((Ipotesi!$C$91),30)/30))+IF(35-(INT((Ipotesi!$C$91)/30))-1&lt;1,0,INDEX(Motore_Operativo!$BQ$185:$BQ$244,MAX(1,35-(INT((Ipotesi!$C$91)/30))-1)))*(MOD((Ipotesi!$C$91),30)/30))+(IF(35-(INT((Ipotesi!$C$91)/30))&lt;1,0,INDEX(Motore_Operativo!$BR$185:$BR$244,MAX(1,35-(INT((Ipotesi!$C$91)/30)))))*(1-(MOD((Ipotesi!$C$91),30)/30))+IF(35-(INT((Ipotesi!$C$91)/30))-1&lt;1,0,INDEX(Motore_Operativo!$BR$185:$BR$244,MAX(1,35-(INT((Ipotesi!$C$91)/30))-1)))*(MOD((Ipotesi!$C$91),30)/30))))*Piano_SS!$D$9,0))</f>
        <v>40000</v>
      </c>
      <c r="BZ219" s="15" t="n">
        <f aca="false">MIN(Piano_SS!$C$10,(BZ218)+IF(AND(Motore_Operativo!C219&gt;=EDATE(Parametri_v3!$C$24,Ipotesi!F14*12),Motore_Operativo!C219&lt;EDATE(Parametri_v3!$C$24,Parametri_v3!$C$25+Ipotesi!F14*12)),MAX(0,(IF(35-(INT((Ipotesi!$C$91)/30))&lt;1,0,INDEX(Motore_Operativo!$BO$185:$BO$244,MAX(1,35-(INT((Ipotesi!$C$91)/30)))))*(1-(MOD((Ipotesi!$C$91),30)/30))+IF(35-(INT((Ipotesi!$C$91)/30))-1&lt;1,0,INDEX(Motore_Operativo!$BO$185:$BO$244,MAX(1,35-(INT((Ipotesi!$C$91)/30))-1)))*(MOD((Ipotesi!$C$91),30)/30)))*Piano_SS!$D$10,0))</f>
        <v>30000</v>
      </c>
      <c r="CA219" s="15" t="n">
        <f aca="false">SUM(BV219:BZ219)</f>
        <v>439282.517830942</v>
      </c>
      <c r="CB219" s="15" t="n">
        <f aca="false">BV219*(1-Piano_SS!$E$6)+BW219*(1-Piano_SS!$E$7)+BX219*(1-Piano_SS!$E$8)+BY219*(1-Piano_SS!$E$9)+BZ219*(1-Piano_SS!$E$10)</f>
        <v>409282.517830942</v>
      </c>
      <c r="CC219" s="15" t="n">
        <f aca="false">(CC218)+BA219</f>
        <v>80000</v>
      </c>
      <c r="CD219" s="15" t="n">
        <f aca="false">IF(CA219=0,0,CC219*CB219/CA219*Ipotesi!$C$103*Parametri_v3!$C$64)</f>
        <v>22360.9636833372</v>
      </c>
      <c r="CE219" s="18" t="n">
        <f aca="false">IF(BA219&gt;0,Motore_Operativo!C219,(CE218))</f>
        <v>47088</v>
      </c>
      <c r="CF219" s="18" t="n">
        <f aca="false">IF(AND(CC219&gt;0,OR(CC219&gt;=CG219-0.01,Motore_Operativo!C219&gt;=EDATE(MAX(Finanziamenti!$D$15:$D$17),Ipotesi!F14*12))),CE219,0)</f>
        <v>0</v>
      </c>
      <c r="CG219" s="15" t="n">
        <f aca="false">IF(AND(4&lt;&gt;6,4&lt;&gt;9,Finanziamenti!$F$11=1,OR(Parametri_v3!$C$6=0,Finanziamenti!$E$11=1)),MIN(Finanziamenti!$C$11,Piano_SS!$C$12*Ipotesi!$C$102),0)</f>
        <v>400000</v>
      </c>
      <c r="CH219" s="15" t="n">
        <f aca="false">IF(AND(AND(4&lt;&gt;8,4&lt;&gt;9,Finanziamenti!$F$10=1,OR(Parametri_v3!$C$6=0,Finanziamenti!$E$10=1)),Motore_Operativo!C219&gt;=Finanziamenti!$D$10,Motore_Operativo!C219&lt;Parametri_v3!$C$63),Finanziamenti!$C$10,0)</f>
        <v>150000</v>
      </c>
    </row>
    <row r="220" customFormat="false" ht="18" hidden="false" customHeight="true" outlineLevel="0" collapsed="false">
      <c r="A220" s="68" t="n">
        <f aca="false">4</f>
        <v>4</v>
      </c>
      <c r="B220" s="68" t="n">
        <f aca="false">36</f>
        <v>36</v>
      </c>
      <c r="C220" s="18" t="n">
        <f aca="false">Motore_Operativo!C220</f>
        <v>47453</v>
      </c>
      <c r="D220" s="68" t="n">
        <f aca="false">Motore_Operativo!D220</f>
        <v>2029</v>
      </c>
      <c r="E220" s="68" t="n">
        <f aca="false">Motore_Operativo!E220</f>
        <v>12</v>
      </c>
      <c r="F220" s="15" t="n">
        <f aca="false">Motore_Operativo!AQ220+Motore_Operativo!BF220</f>
        <v>38802.8672769633</v>
      </c>
      <c r="G220" s="15" t="n">
        <f aca="false">Motore_Operativo!BH220</f>
        <v>3267</v>
      </c>
      <c r="H220" s="15" t="n">
        <f aca="false">Motore_Operativo!BI220</f>
        <v>42069.8672769633</v>
      </c>
      <c r="I220" s="15" t="n">
        <f aca="false">Motore_Operativo!CA220</f>
        <v>114366.578085442</v>
      </c>
      <c r="J220" s="15" t="n">
        <f aca="false">Motore_Operativo!CC220</f>
        <v>-72296.7108084783</v>
      </c>
      <c r="K220" s="15" t="n">
        <f aca="false">Motore_Operativo!CE220</f>
        <v>2500</v>
      </c>
      <c r="L220" s="15" t="n">
        <f aca="false">SUM(INDEX($K$185:$K$244,MAX(1,36-Parametri_v3!$C$59+1)):K220)/Parametri_v3!$C$59</f>
        <v>2083.33333333333</v>
      </c>
      <c r="M220" s="15" t="n">
        <f aca="false">J220-L220</f>
        <v>-74380.0441418116</v>
      </c>
      <c r="N220" s="15" t="n">
        <f aca="false">CD220-(CD219)</f>
        <v>55966.563113543</v>
      </c>
      <c r="O220" s="15" t="n">
        <f aca="false">(BG219)*Ipotesi!$C$110/12+CH220*Parametri_v3!$C$39/12</f>
        <v>750</v>
      </c>
      <c r="P220" s="15" t="n">
        <f aca="false">M220+N220-O220</f>
        <v>-19163.4810282686</v>
      </c>
      <c r="Q220" s="15" t="n">
        <f aca="false">SUM(P209:P220)+Parametri_v3!$C$54*12/12</f>
        <v>-916278.492686848</v>
      </c>
      <c r="R220" s="15" t="n">
        <f aca="false">Z208</f>
        <v>779891.251966456</v>
      </c>
      <c r="S220" s="15" t="n">
        <f aca="false">AA208</f>
        <v>0</v>
      </c>
      <c r="T220" s="15" t="n">
        <f aca="false">MIN(R220,MAX(0,Q220))</f>
        <v>0</v>
      </c>
      <c r="U220" s="15" t="n">
        <f aca="false">MIN(S220,MAX(0,Q220-T220)*Parametri_v3!$C$42)</f>
        <v>0</v>
      </c>
      <c r="V220" s="15" t="n">
        <f aca="false">MAX(0,Q220-T220-U220)*Ipotesi!$C$92</f>
        <v>0</v>
      </c>
      <c r="W220" s="15" t="n">
        <f aca="false">MAX(0,SUM(M209:M220)+Parametri_v3!$C$55*12/12)*Ipotesi!$C$93</f>
        <v>0</v>
      </c>
      <c r="X220" s="15" t="n">
        <f aca="false">V220+W220-(V219+W219)</f>
        <v>0</v>
      </c>
      <c r="Y220" s="15" t="n">
        <f aca="false">P220-X220</f>
        <v>-19163.4810282686</v>
      </c>
      <c r="Z220" s="15" t="n">
        <f aca="false">R220-T220+IF(AND(Parametri_v3!$C$40=1,D220-YEAR(Parametri_v3!$C$50)&lt;Parametri_v3!$C$41),MAX(0,-Q220),0)</f>
        <v>1696169.7446533</v>
      </c>
      <c r="AA220" s="15" t="n">
        <f aca="false">S220-U220+IF(AND(Parametri_v3!$C$40=1,D220-YEAR(Parametri_v3!$C$50)&lt;Parametri_v3!$C$41),0,MAX(0,-Q220))</f>
        <v>0</v>
      </c>
      <c r="AB220" s="15" t="n">
        <f aca="false">F220*(1+Parametri_v3!$C$26)</f>
        <v>47339.4980778952</v>
      </c>
      <c r="AC220" s="15" t="n">
        <f aca="false">(IF(36-(INT((Motore_Operativo!L220)/30))&lt;1,0,INDEX(Motore_Startup!$AB$185:$AB$244,MAX(1,36-(INT((Motore_Operativo!L220)/30)))))*(1-(MOD((Motore_Operativo!L220),30)/30))+IF(36-(INT((Motore_Operativo!L220)/30))-1&lt;1,0,INDEX(Motore_Startup!$AB$185:$AB$244,MAX(1,36-(INT((Motore_Operativo!L220)/30))-1)))*(MOD((Motore_Operativo!L220),30)/30))</f>
        <v>40394.9165433828</v>
      </c>
      <c r="AD220" s="15" t="n">
        <f aca="false">(AD219)+AB220-AC220</f>
        <v>178610.83031255</v>
      </c>
      <c r="AE220" s="15" t="n">
        <f aca="false">Motore_Operativo!BH220*(1+Parametri_v3!$C$26)</f>
        <v>3985.74</v>
      </c>
      <c r="AF220" s="15" t="n">
        <f aca="false">(IF(36-(INT((Parametri_v3!$C$29)/30))&lt;1,0,INDEX(Motore_Operativo!$BH$185:$BH$244,MAX(1,36-(INT((Parametri_v3!$C$29)/30)))))*(1-(MOD((Parametri_v3!$C$29),30)/30))+IF(36-(INT((Parametri_v3!$C$29)/30))-1&lt;1,0,INDEX(Motore_Operativo!$BH$185:$BH$244,MAX(1,36-(INT((Parametri_v3!$C$29)/30))-1)))*(MOD((Parametri_v3!$C$29),30)/30))*(1+Parametri_v3!$C$26)</f>
        <v>3985.74</v>
      </c>
      <c r="AG220" s="15" t="n">
        <f aca="false">(AG219)+AE220-AF220</f>
        <v>3985.74</v>
      </c>
      <c r="AH220" s="15" t="n">
        <f aca="false">(Motore_Operativo!CJ220)*(1+Parametri_v3!$C$27*Parametri_v3!$C$26)</f>
        <v>47590.2858540858</v>
      </c>
      <c r="AI220" s="15" t="n">
        <f aca="false">(IF(36-(INT((Ipotesi!$C$91)/30))&lt;1,0,INDEX(Motore_Startup!$AH$185:$AH$244,MAX(1,36-(INT((Ipotesi!$C$91)/30)))))*(1-(MOD((Ipotesi!$C$91),30)/30))+IF(36-(INT((Ipotesi!$C$91)/30))-1&lt;1,0,INDEX(Motore_Startup!$AH$185:$AH$244,MAX(1,36-(INT((Ipotesi!$C$91)/30))-1)))*(MOD((Ipotesi!$C$91),30)/30))</f>
        <v>47099.8867572516</v>
      </c>
      <c r="AJ220" s="15" t="n">
        <f aca="false">(AJ219)+AH220-AI220</f>
        <v>94927.2041458032</v>
      </c>
      <c r="AK220" s="15" t="n">
        <f aca="false">(F220+ Motore_Operativo!BH220-(Motore_Operativo!CJ220)*Parametri_v3!$C$27-Motore_Operativo!CE220)*Parametri_v3!$C$26</f>
        <v>1207.99636562102</v>
      </c>
      <c r="AL220" s="15" t="n">
        <f aca="false">MAX(0,(AM219))</f>
        <v>0</v>
      </c>
      <c r="AM220" s="15" t="n">
        <f aca="false">(AM219)+AK220-AL220</f>
        <v>-20328.5108539143</v>
      </c>
      <c r="AN220" s="15" t="n">
        <f aca="false">SUM(X197:X208)</f>
        <v>0</v>
      </c>
      <c r="AO220" s="15" t="n">
        <f aca="false">SUM(AP197:AP208)</f>
        <v>0</v>
      </c>
      <c r="AP220" s="15" t="n">
        <f aca="false">MAX(0,AN220)*IF(12=Parametri_v3!$C$43,Parametri_v3!$C$45,IF(12=Parametri_v3!$C$44,1-Parametri_v3!$C$45,0))</f>
        <v>0</v>
      </c>
      <c r="AQ220" s="15" t="n">
        <f aca="false">MAX(0,AP220+IF(12=Parametri_v3!$C$43,MAX(0,AN220-AO220),0)-MAX(0,-(AR219)))</f>
        <v>0</v>
      </c>
      <c r="AR220" s="15" t="n">
        <f aca="false">(AR219)+X220-AQ220</f>
        <v>0</v>
      </c>
      <c r="AS220" s="15" t="n">
        <f aca="false">Motore_Operativo!AB220-AT220+AU220</f>
        <v>70559.9833333333</v>
      </c>
      <c r="AT220" s="15" t="n">
        <f aca="false">Motore_Operativo!CH220</f>
        <v>3713.68333333333</v>
      </c>
      <c r="AU220" s="15" t="n">
        <f aca="false">MIN(MAX(0,(AV219)+AT220),Parametri_v3!$C$60/12)</f>
        <v>0</v>
      </c>
      <c r="AV220" s="15" t="n">
        <f aca="false">(AV219)+AT220-AU220</f>
        <v>79171.7</v>
      </c>
      <c r="AW220" s="15" t="n">
        <f aca="false">IF(AND(Motore_Operativo!C220=Finanziamenti!$D$6,Finanziamenti!$F$6=1),Finanziamenti!$C$6,0)</f>
        <v>0</v>
      </c>
      <c r="AX220" s="15" t="n">
        <f aca="false">IF(AND(4&lt;&gt;7,4&lt;&gt;9,Finanziamenti!$F$8=1,OR(Parametri_v3!$C$6=0,Finanziamenti!$E$8=1),Motore_Operativo!C220=EDATE(Finanziamenti!$D$8,Ipotesi!F15*12)),Finanziamenti!$C$8*1,0)+IF(AND(4&lt;&gt;7,4&lt;&gt;9,Finanziamenti!$F$9=1,OR(Parametri_v3!$C$6=0,Finanziamenti!$E$9=1),Motore_Operativo!C220=EDATE(Finanziamenti!$D$9,Ipotesi!F15*12)),Finanziamenti!$C$9*Ipotesi!F16,0)</f>
        <v>0</v>
      </c>
      <c r="AY220" s="15" t="n">
        <f aca="false">0</f>
        <v>0</v>
      </c>
      <c r="AZ220" s="15" t="n">
        <f aca="false">Motore_Advisory!AY220*(1-Ipotesi!$C$95)*Ipotesi!$C$96</f>
        <v>0</v>
      </c>
      <c r="BA220" s="15" t="n">
        <f aca="false">MAX(0,MIN(CG220*MIN(1,IF(Motore_Operativo!C220&gt;=EDATE(Finanziamenti!$D$15,Ipotesi!F14*12),Finanziamenti!$C$15,0)+IF(Motore_Operativo!C220&gt;=EDATE(Finanziamenti!$D$16,Ipotesi!F14*12),Finanziamenti!$C$16,0)+IF(Motore_Operativo!C220&gt;=EDATE(Finanziamenti!$D$17,Ipotesi!F14*12),Finanziamenti!$C$17,0)),CA220*Ipotesi!$C$102)-(CC219))</f>
        <v>200000</v>
      </c>
      <c r="BB220" s="15" t="n">
        <f aca="false">IF(AND(CF220&gt;0,Motore_Operativo!C220&gt;=IF(CF220=0,0,EDATE(CF220,Parametri_v3!$C$37)),MOD(((D220-YEAR(IF(CF220=0,0,EDATE(CF220,Parametri_v3!$C$37))))*12+E220-MONTH(IF(CF220=0,0,EDATE(CF220,Parametri_v3!$C$37)))),Parametri_v3!$C$38)=0),MIN(MAX(0,(BC219)+BA220-N220),(CC220-CD220)/(Ipotesi!$C$108*12/Parametri_v3!$C$38)),0)</f>
        <v>0</v>
      </c>
      <c r="BC220" s="15" t="n">
        <f aca="false">(BC219)+BA220-N220-BB220</f>
        <v>201672.47320312</v>
      </c>
      <c r="BD220" s="15" t="n">
        <f aca="false">(BH219)+AC220+AF220-AI220-AS220-K220*(1+Parametri_v3!$C$26)-AL220-AQ220-O220+AW220+AX220+AZ220+BA220-BB220</f>
        <v>-983115.115137512</v>
      </c>
      <c r="BE220" s="15" t="n">
        <f aca="false">MAX(0,MIN(MAX(0,CH220-(BG219)),Parametri_v3!$C$30-BD220))</f>
        <v>0</v>
      </c>
      <c r="BF220" s="15" t="n">
        <f aca="false">IF(Motore_Operativo!C220&gt;=Parametri_v3!$C$63,(BG219),MIN((BG219),MAX(0,BD220-Parametri_v3!$C$30)))</f>
        <v>0</v>
      </c>
      <c r="BG220" s="15" t="n">
        <f aca="false">(BG219)+BE220-BF220</f>
        <v>150000</v>
      </c>
      <c r="BH220" s="15" t="n">
        <f aca="false">BD220+BE220-BF220-AY220</f>
        <v>-983115.115137512</v>
      </c>
      <c r="BI220" s="15" t="n">
        <f aca="false">MAX(0,Parametri_v3!$C$30-BH220)</f>
        <v>1008115.11513751</v>
      </c>
      <c r="BJ220" s="15" t="n">
        <f aca="false">(BJ219)+K220</f>
        <v>75000</v>
      </c>
      <c r="BK220" s="15" t="n">
        <f aca="false">(BK219)+L220</f>
        <v>35208.3333333333</v>
      </c>
      <c r="BL220" s="15" t="n">
        <f aca="false">BJ220-BK220</f>
        <v>39791.6666666667</v>
      </c>
      <c r="BM220" s="15" t="n">
        <f aca="false">(BM219)+Y220</f>
        <v>-1696169.7446533</v>
      </c>
      <c r="BN220" s="15" t="n">
        <f aca="false">(BN219)+AW220+AX220+AZ220</f>
        <v>430000</v>
      </c>
      <c r="BO220" s="15" t="n">
        <f aca="false">(BO219)+AY220</f>
        <v>0</v>
      </c>
      <c r="BP220" s="15" t="n">
        <f aca="false">0</f>
        <v>0</v>
      </c>
      <c r="BQ220" s="15" t="n">
        <f aca="false">BN220+BM220-BO220</f>
        <v>-1266169.7446533</v>
      </c>
      <c r="BR220" s="15" t="n">
        <f aca="false">BH220+AD220+BL220+MAX(0,-AM220)+MAX(0,-AR220)+AG220</f>
        <v>-740398.367304381</v>
      </c>
      <c r="BS220" s="15" t="n">
        <f aca="false">AJ220+AV220+MAX(0,AM220)+MAX(0,AR220)+BC220+BG220+BQ220</f>
        <v>-740398.367304381</v>
      </c>
      <c r="BT220" s="15" t="n">
        <f aca="false">BR220-BS220</f>
        <v>0</v>
      </c>
      <c r="BU220" s="15" t="n">
        <f aca="false">BH220-(BD220+BE220-BF220-AY220)</f>
        <v>0</v>
      </c>
      <c r="BV220" s="15" t="n">
        <f aca="false">MIN(Piano_SS!$C$6,(BV219)+IF(AND(Motore_Operativo!C220&gt;=EDATE(Parametri_v3!$C$24,Ipotesi!F14*12),Motore_Operativo!C220&lt;EDATE(Parametri_v3!$C$24,Parametri_v3!$C$25+Ipotesi!F14*12)),MAX(0,(Motore_Operativo!Y220+Motore_Operativo!X220*Parametri_v3!$C$14)*(1-Parametri_v3!$C$32))*Piano_SS!$D$6,0))</f>
        <v>300000</v>
      </c>
      <c r="BW220" s="15" t="n">
        <f aca="false">MIN(Piano_SS!$C$7,(BW219)+IF(AND(Motore_Operativo!C220&gt;=EDATE(Parametri_v3!$C$24,Ipotesi!F14*12),Motore_Operativo!C220&lt;EDATE(Parametri_v3!$C$24,Parametri_v3!$C$25+Ipotesi!F14*12)),MAX(0,(IF(36-(INT((Ipotesi!$C$91)/30))&lt;1,0,INDEX(Motore_Operativo!$BN$185:$BN$244,MAX(1,36-(INT((Ipotesi!$C$91)/30)))))*(1-(MOD((Ipotesi!$C$91),30)/30))+IF(36-(INT((Ipotesi!$C$91)/30))-1&lt;1,0,INDEX(Motore_Operativo!$BN$185:$BN$244,MAX(1,36-(INT((Ipotesi!$C$91)/30))-1)))*(MOD((Ipotesi!$C$91),30)/30)))*Piano_SS!$D$7,0))</f>
        <v>31750.6662903244</v>
      </c>
      <c r="BX220" s="15" t="n">
        <f aca="false">MIN(Piano_SS!$C$8,(BX219)+IF(AND(Motore_Operativo!C220&gt;=EDATE(Parametri_v3!$C$24,Ipotesi!F14*12),Motore_Operativo!C220&lt;EDATE(Parametri_v3!$C$24,Parametri_v3!$C$25+Ipotesi!F14*12)),MAX(0,Motore_Operativo!CE220)*Piano_SS!$D$8,0))</f>
        <v>42500</v>
      </c>
      <c r="BY220" s="15" t="n">
        <f aca="false">MIN(Piano_SS!$C$9,(BY219)+IF(AND(Motore_Operativo!C220&gt;=EDATE(Parametri_v3!$C$24,Ipotesi!F14*12),Motore_Operativo!C220&lt;EDATE(Parametri_v3!$C$24,Parametri_v3!$C$25+Ipotesi!F14*12)),MAX(0,((IF(36-(INT((Ipotesi!$C$91)/30))&lt;1,0,INDEX(Motore_Operativo!$BQ$185:$BQ$244,MAX(1,36-(INT((Ipotesi!$C$91)/30)))))*(1-(MOD((Ipotesi!$C$91),30)/30))+IF(36-(INT((Ipotesi!$C$91)/30))-1&lt;1,0,INDEX(Motore_Operativo!$BQ$185:$BQ$244,MAX(1,36-(INT((Ipotesi!$C$91)/30))-1)))*(MOD((Ipotesi!$C$91),30)/30))+(IF(36-(INT((Ipotesi!$C$91)/30))&lt;1,0,INDEX(Motore_Operativo!$BR$185:$BR$244,MAX(1,36-(INT((Ipotesi!$C$91)/30)))))*(1-(MOD((Ipotesi!$C$91),30)/30))+IF(36-(INT((Ipotesi!$C$91)/30))-1&lt;1,0,INDEX(Motore_Operativo!$BR$185:$BR$244,MAX(1,36-(INT((Ipotesi!$C$91)/30))-1)))*(MOD((Ipotesi!$C$91),30)/30))))*Piano_SS!$D$9,0))</f>
        <v>40000</v>
      </c>
      <c r="BZ220" s="15" t="n">
        <f aca="false">MIN(Piano_SS!$C$10,(BZ219)+IF(AND(Motore_Operativo!C220&gt;=EDATE(Parametri_v3!$C$24,Ipotesi!F14*12),Motore_Operativo!C220&lt;EDATE(Parametri_v3!$C$24,Parametri_v3!$C$25+Ipotesi!F14*12)),MAX(0,(IF(36-(INT((Ipotesi!$C$91)/30))&lt;1,0,INDEX(Motore_Operativo!$BO$185:$BO$244,MAX(1,36-(INT((Ipotesi!$C$91)/30)))))*(1-(MOD((Ipotesi!$C$91),30)/30))+IF(36-(INT((Ipotesi!$C$91)/30))-1&lt;1,0,INDEX(Motore_Operativo!$BO$185:$BO$244,MAX(1,36-(INT((Ipotesi!$C$91)/30))-1)))*(MOD((Ipotesi!$C$91),30)/30)))*Piano_SS!$D$10,0))</f>
        <v>30000</v>
      </c>
      <c r="CA220" s="15" t="n">
        <f aca="false">SUM(BV220:BZ220)</f>
        <v>444250.666290324</v>
      </c>
      <c r="CB220" s="15" t="n">
        <f aca="false">BV220*(1-Piano_SS!$E$6)+BW220*(1-Piano_SS!$E$7)+BX220*(1-Piano_SS!$E$8)+BY220*(1-Piano_SS!$E$9)+BZ220*(1-Piano_SS!$E$10)</f>
        <v>414250.666290324</v>
      </c>
      <c r="CC220" s="15" t="n">
        <f aca="false">(CC219)+BA220</f>
        <v>280000</v>
      </c>
      <c r="CD220" s="15" t="n">
        <f aca="false">IF(CA220=0,0,CC220*CB220/CA220*Ipotesi!$C$103*Parametri_v3!$C$64)</f>
        <v>78327.5267968802</v>
      </c>
      <c r="CE220" s="18" t="n">
        <f aca="false">IF(BA220&gt;0,Motore_Operativo!C220,(CE219))</f>
        <v>47453</v>
      </c>
      <c r="CF220" s="18" t="n">
        <f aca="false">IF(AND(CC220&gt;0,OR(CC220&gt;=CG220-0.01,Motore_Operativo!C220&gt;=EDATE(MAX(Finanziamenti!$D$15:$D$17),Ipotesi!F14*12))),CE220,0)</f>
        <v>0</v>
      </c>
      <c r="CG220" s="15" t="n">
        <f aca="false">IF(AND(4&lt;&gt;6,4&lt;&gt;9,Finanziamenti!$F$11=1,OR(Parametri_v3!$C$6=0,Finanziamenti!$E$11=1)),MIN(Finanziamenti!$C$11,Piano_SS!$C$12*Ipotesi!$C$102),0)</f>
        <v>400000</v>
      </c>
      <c r="CH220" s="15" t="n">
        <f aca="false">IF(AND(AND(4&lt;&gt;8,4&lt;&gt;9,Finanziamenti!$F$10=1,OR(Parametri_v3!$C$6=0,Finanziamenti!$E$10=1)),Motore_Operativo!C220&gt;=Finanziamenti!$D$10,Motore_Operativo!C220&lt;Parametri_v3!$C$63),Finanziamenti!$C$10,0)</f>
        <v>150000</v>
      </c>
    </row>
    <row r="221" customFormat="false" ht="18" hidden="false" customHeight="true" outlineLevel="0" collapsed="false">
      <c r="A221" s="68" t="n">
        <f aca="false">4</f>
        <v>4</v>
      </c>
      <c r="B221" s="68" t="n">
        <f aca="false">37</f>
        <v>37</v>
      </c>
      <c r="C221" s="18" t="n">
        <f aca="false">Motore_Operativo!C221</f>
        <v>47484</v>
      </c>
      <c r="D221" s="68" t="n">
        <f aca="false">Motore_Operativo!D221</f>
        <v>2030</v>
      </c>
      <c r="E221" s="68" t="n">
        <f aca="false">Motore_Operativo!E221</f>
        <v>1</v>
      </c>
      <c r="F221" s="15" t="n">
        <f aca="false">Motore_Operativo!AQ221+Motore_Operativo!BF221</f>
        <v>53559.0276920035</v>
      </c>
      <c r="G221" s="15" t="n">
        <f aca="false">Motore_Operativo!BH221</f>
        <v>4558.125</v>
      </c>
      <c r="H221" s="15" t="n">
        <f aca="false">Motore_Operativo!BI221</f>
        <v>58117.1526920035</v>
      </c>
      <c r="I221" s="15" t="n">
        <f aca="false">Motore_Operativo!CA221</f>
        <v>149585.658251881</v>
      </c>
      <c r="J221" s="15" t="n">
        <f aca="false">Motore_Operativo!CC221</f>
        <v>-91468.505559877</v>
      </c>
      <c r="K221" s="15" t="n">
        <f aca="false">Motore_Operativo!CE221</f>
        <v>3333.33333333333</v>
      </c>
      <c r="L221" s="15" t="n">
        <f aca="false">SUM(INDEX($K$185:$K$244,MAX(1,37-Parametri_v3!$C$59+1)):K221)/Parametri_v3!$C$59</f>
        <v>2129.62962962963</v>
      </c>
      <c r="M221" s="15" t="n">
        <f aca="false">J221-L221</f>
        <v>-93598.1351895066</v>
      </c>
      <c r="N221" s="15" t="n">
        <f aca="false">CD221-(CD220)</f>
        <v>74.5414077350433</v>
      </c>
      <c r="O221" s="15" t="n">
        <f aca="false">(BG220)*Ipotesi!$C$110/12+CH221*Parametri_v3!$C$39/12</f>
        <v>750</v>
      </c>
      <c r="P221" s="15" t="n">
        <f aca="false">M221+N221-O221</f>
        <v>-94273.5937817716</v>
      </c>
      <c r="Q221" s="15" t="n">
        <f aca="false">SUM(P221)+Parametri_v3!$C$54*1/12</f>
        <v>-94273.5937817716</v>
      </c>
      <c r="R221" s="15" t="n">
        <f aca="false">Z220</f>
        <v>1696169.7446533</v>
      </c>
      <c r="S221" s="15" t="n">
        <f aca="false">AA220</f>
        <v>0</v>
      </c>
      <c r="T221" s="15" t="n">
        <f aca="false">MIN(R221,MAX(0,Q221))</f>
        <v>0</v>
      </c>
      <c r="U221" s="15" t="n">
        <f aca="false">MIN(S221,MAX(0,Q221-T221)*Parametri_v3!$C$42)</f>
        <v>0</v>
      </c>
      <c r="V221" s="15" t="n">
        <f aca="false">MAX(0,Q221-T221-U221)*Ipotesi!$C$92</f>
        <v>0</v>
      </c>
      <c r="W221" s="15" t="n">
        <f aca="false">MAX(0,SUM(M221)+Parametri_v3!$C$55*1/12)*Ipotesi!$C$93</f>
        <v>0</v>
      </c>
      <c r="X221" s="15" t="n">
        <f aca="false">V221+W221-(0)</f>
        <v>0</v>
      </c>
      <c r="Y221" s="15" t="n">
        <f aca="false">P221-X221</f>
        <v>-94273.5937817716</v>
      </c>
      <c r="Z221" s="15" t="n">
        <f aca="false">R221-T221+IF(AND(Parametri_v3!$C$40=1,D221-YEAR(Parametri_v3!$C$50)&lt;Parametri_v3!$C$41),MAX(0,-Q221),0)</f>
        <v>1696169.7446533</v>
      </c>
      <c r="AA221" s="15" t="n">
        <f aca="false">S221-U221+IF(AND(Parametri_v3!$C$40=1,D221-YEAR(Parametri_v3!$C$50)&lt;Parametri_v3!$C$41),0,MAX(0,-Q221))</f>
        <v>94273.5937817716</v>
      </c>
      <c r="AB221" s="15" t="n">
        <f aca="false">F221*(1+Parametri_v3!$C$26)</f>
        <v>65342.0137842443</v>
      </c>
      <c r="AC221" s="15" t="n">
        <f aca="false">(IF(37-(INT((Motore_Operativo!L221)/30))&lt;1,0,INDEX(Motore_Startup!$AB$185:$AB$244,MAX(1,37-(INT((Motore_Operativo!L221)/30)))))*(1-(MOD((Motore_Operativo!L221),30)/30))+IF(37-(INT((Motore_Operativo!L221)/30))-1&lt;1,0,INDEX(Motore_Startup!$AB$185:$AB$244,MAX(1,37-(INT((Motore_Operativo!L221)/30))-1)))*(MOD((Motore_Operativo!L221),30)/30))</f>
        <v>42052.6521471457</v>
      </c>
      <c r="AD221" s="15" t="n">
        <f aca="false">(AD220)+AB221-AC221</f>
        <v>201900.191949648</v>
      </c>
      <c r="AE221" s="15" t="n">
        <f aca="false">Motore_Operativo!BH221*(1+Parametri_v3!$C$26)</f>
        <v>5560.9125</v>
      </c>
      <c r="AF221" s="15" t="n">
        <f aca="false">(IF(37-(INT((Parametri_v3!$C$29)/30))&lt;1,0,INDEX(Motore_Operativo!$BH$185:$BH$244,MAX(1,37-(INT((Parametri_v3!$C$29)/30)))))*(1-(MOD((Parametri_v3!$C$29),30)/30))+IF(37-(INT((Parametri_v3!$C$29)/30))-1&lt;1,0,INDEX(Motore_Operativo!$BH$185:$BH$244,MAX(1,37-(INT((Parametri_v3!$C$29)/30))-1)))*(MOD((Parametri_v3!$C$29),30)/30))*(1+Parametri_v3!$C$26)</f>
        <v>3985.74</v>
      </c>
      <c r="AG221" s="15" t="n">
        <f aca="false">(AG220)+AE221-AF221</f>
        <v>5560.9125</v>
      </c>
      <c r="AH221" s="15" t="n">
        <f aca="false">(Motore_Operativo!CJ221)*(1+Parametri_v3!$C$27*Parametri_v3!$C$26)</f>
        <v>63044.6256864405</v>
      </c>
      <c r="AI221" s="15" t="n">
        <f aca="false">(IF(37-(INT((Ipotesi!$C$91)/30))&lt;1,0,INDEX(Motore_Startup!$AH$185:$AH$244,MAX(1,37-(INT((Ipotesi!$C$91)/30)))))*(1-(MOD((Ipotesi!$C$91),30)/30))+IF(37-(INT((Ipotesi!$C$91)/30))-1&lt;1,0,INDEX(Motore_Startup!$AH$185:$AH$244,MAX(1,37-(INT((Ipotesi!$C$91)/30))-1)))*(MOD((Ipotesi!$C$91),30)/30))</f>
        <v>47336.9182917174</v>
      </c>
      <c r="AJ221" s="15" t="n">
        <f aca="false">(AJ220)+AH221-AI221</f>
        <v>110634.911540526</v>
      </c>
      <c r="AK221" s="15" t="n">
        <f aca="false">(F221+ Motore_Operativo!BH221-(Motore_Operativo!CJ221)*Parametri_v3!$C$27-Motore_Operativo!CE221)*Parametri_v3!$C$26</f>
        <v>2120.38886601412</v>
      </c>
      <c r="AL221" s="15" t="n">
        <f aca="false">MAX(0,(AM220))</f>
        <v>0</v>
      </c>
      <c r="AM221" s="15" t="n">
        <f aca="false">(AM220)+AK221-AL221</f>
        <v>-18208.1219879002</v>
      </c>
      <c r="AN221" s="15" t="n">
        <f aca="false">SUM(X209:X220)</f>
        <v>0</v>
      </c>
      <c r="AO221" s="15" t="n">
        <f aca="false">SUM(AP209:AP220)</f>
        <v>0</v>
      </c>
      <c r="AP221" s="15" t="n">
        <f aca="false">MAX(0,AN221)*IF(1=Parametri_v3!$C$43,Parametri_v3!$C$45,IF(1=Parametri_v3!$C$44,1-Parametri_v3!$C$45,0))</f>
        <v>0</v>
      </c>
      <c r="AQ221" s="15" t="n">
        <f aca="false">MAX(0,AP221+IF(1=Parametri_v3!$C$43,MAX(0,AN221-AO221),0)-MAX(0,-(AR220)))</f>
        <v>0</v>
      </c>
      <c r="AR221" s="15" t="n">
        <f aca="false">(AR220)+X221-AQ221</f>
        <v>0</v>
      </c>
      <c r="AS221" s="15" t="n">
        <f aca="false">Motore_Operativo!AB221-AT221+AU221</f>
        <v>91649.4297604167</v>
      </c>
      <c r="AT221" s="15" t="n">
        <f aca="false">Motore_Operativo!CH221</f>
        <v>4823.65419791667</v>
      </c>
      <c r="AU221" s="15" t="n">
        <f aca="false">MIN(MAX(0,(AV220)+AT221),Parametri_v3!$C$60/12)</f>
        <v>0</v>
      </c>
      <c r="AV221" s="15" t="n">
        <f aca="false">(AV220)+AT221-AU221</f>
        <v>83995.3541979167</v>
      </c>
      <c r="AW221" s="15" t="n">
        <f aca="false">IF(AND(Motore_Operativo!C221=Finanziamenti!$D$6,Finanziamenti!$F$6=1),Finanziamenti!$C$6,0)</f>
        <v>0</v>
      </c>
      <c r="AX221" s="15" t="n">
        <f aca="false">IF(AND(4&lt;&gt;7,4&lt;&gt;9,Finanziamenti!$F$8=1,OR(Parametri_v3!$C$6=0,Finanziamenti!$E$8=1),Motore_Operativo!C221=EDATE(Finanziamenti!$D$8,Ipotesi!F15*12)),Finanziamenti!$C$8*1,0)+IF(AND(4&lt;&gt;7,4&lt;&gt;9,Finanziamenti!$F$9=1,OR(Parametri_v3!$C$6=0,Finanziamenti!$E$9=1),Motore_Operativo!C221=EDATE(Finanziamenti!$D$9,Ipotesi!F15*12)),Finanziamenti!$C$9*Ipotesi!F16,0)</f>
        <v>0</v>
      </c>
      <c r="AY221" s="15" t="n">
        <f aca="false">0</f>
        <v>0</v>
      </c>
      <c r="AZ221" s="15" t="n">
        <f aca="false">Motore_Advisory!AY221*(1-Ipotesi!$C$95)*Ipotesi!$C$96</f>
        <v>0</v>
      </c>
      <c r="BA221" s="15" t="n">
        <f aca="false">MAX(0,MIN(CG221*MIN(1,IF(Motore_Operativo!C221&gt;=EDATE(Finanziamenti!$D$15,Ipotesi!F14*12),Finanziamenti!$C$15,0)+IF(Motore_Operativo!C221&gt;=EDATE(Finanziamenti!$D$16,Ipotesi!F14*12),Finanziamenti!$C$16,0)+IF(Motore_Operativo!C221&gt;=EDATE(Finanziamenti!$D$17,Ipotesi!F14*12),Finanziamenti!$C$17,0)),CA221*Ipotesi!$C$102)-(CC220))</f>
        <v>0</v>
      </c>
      <c r="BB221" s="15" t="n">
        <f aca="false">IF(AND(CF221&gt;0,Motore_Operativo!C221&gt;=IF(CF221=0,0,EDATE(CF221,Parametri_v3!$C$37)),MOD(((D221-YEAR(IF(CF221=0,0,EDATE(CF221,Parametri_v3!$C$37))))*12+E221-MONTH(IF(CF221=0,0,EDATE(CF221,Parametri_v3!$C$37)))),Parametri_v3!$C$38)=0),MIN(MAX(0,(BC220)+BA221-N221),(CC221-CD221)/(Ipotesi!$C$108*12/Parametri_v3!$C$38)),0)</f>
        <v>0</v>
      </c>
      <c r="BC221" s="15" t="n">
        <f aca="false">(BC220)+BA221-N221-BB221</f>
        <v>201597.931795385</v>
      </c>
      <c r="BD221" s="15" t="n">
        <f aca="false">(BH220)+AC221+AF221-AI221-AS221-K221*(1+Parametri_v3!$C$26)-AL221-AQ221-O221+AW221+AX221+AZ221+BA221-BB221</f>
        <v>-1080879.73770917</v>
      </c>
      <c r="BE221" s="15" t="n">
        <f aca="false">MAX(0,MIN(MAX(0,CH221-(BG220)),Parametri_v3!$C$30-BD221))</f>
        <v>0</v>
      </c>
      <c r="BF221" s="15" t="n">
        <f aca="false">IF(Motore_Operativo!C221&gt;=Parametri_v3!$C$63,(BG220),MIN((BG220),MAX(0,BD221-Parametri_v3!$C$30)))</f>
        <v>0</v>
      </c>
      <c r="BG221" s="15" t="n">
        <f aca="false">(BG220)+BE221-BF221</f>
        <v>150000</v>
      </c>
      <c r="BH221" s="15" t="n">
        <f aca="false">BD221+BE221-BF221-AY221</f>
        <v>-1080879.73770917</v>
      </c>
      <c r="BI221" s="15" t="n">
        <f aca="false">MAX(0,Parametri_v3!$C$30-BH221)</f>
        <v>1105879.73770917</v>
      </c>
      <c r="BJ221" s="15" t="n">
        <f aca="false">(BJ220)+K221</f>
        <v>78333.3333333333</v>
      </c>
      <c r="BK221" s="15" t="n">
        <f aca="false">(BK220)+L221</f>
        <v>37337.962962963</v>
      </c>
      <c r="BL221" s="15" t="n">
        <f aca="false">BJ221-BK221</f>
        <v>40995.3703703704</v>
      </c>
      <c r="BM221" s="15" t="n">
        <f aca="false">(BM220)+Y221</f>
        <v>-1790443.33843508</v>
      </c>
      <c r="BN221" s="15" t="n">
        <f aca="false">(BN220)+AW221+AX221+AZ221</f>
        <v>430000</v>
      </c>
      <c r="BO221" s="15" t="n">
        <f aca="false">(BO220)+AY221</f>
        <v>0</v>
      </c>
      <c r="BP221" s="15" t="n">
        <f aca="false">0</f>
        <v>0</v>
      </c>
      <c r="BQ221" s="15" t="n">
        <f aca="false">BN221+BM221-BO221</f>
        <v>-1360443.33843508</v>
      </c>
      <c r="BR221" s="15" t="n">
        <f aca="false">BH221+AD221+BL221+MAX(0,-AM221)+MAX(0,-AR221)+AG221</f>
        <v>-814215.140901248</v>
      </c>
      <c r="BS221" s="15" t="n">
        <f aca="false">AJ221+AV221+MAX(0,AM221)+MAX(0,AR221)+BC221+BG221+BQ221</f>
        <v>-814215.140901248</v>
      </c>
      <c r="BT221" s="15" t="n">
        <f aca="false">BR221-BS221</f>
        <v>0</v>
      </c>
      <c r="BU221" s="15" t="n">
        <f aca="false">BH221-(BD221+BE221-BF221-AY221)</f>
        <v>0</v>
      </c>
      <c r="BV221" s="15" t="n">
        <f aca="false">MIN(Piano_SS!$C$6,(BV220)+IF(AND(Motore_Operativo!C221&gt;=EDATE(Parametri_v3!$C$24,Ipotesi!F14*12),Motore_Operativo!C221&lt;EDATE(Parametri_v3!$C$24,Parametri_v3!$C$25+Ipotesi!F14*12)),MAX(0,(Motore_Operativo!Y221+Motore_Operativo!X221*Parametri_v3!$C$14)*(1-Parametri_v3!$C$32))*Piano_SS!$D$6,0))</f>
        <v>300000</v>
      </c>
      <c r="BW221" s="15" t="n">
        <f aca="false">MIN(Piano_SS!$C$7,(BW220)+IF(AND(Motore_Operativo!C221&gt;=EDATE(Parametri_v3!$C$24,Ipotesi!F14*12),Motore_Operativo!C221&lt;EDATE(Parametri_v3!$C$24,Parametri_v3!$C$25+Ipotesi!F14*12)),MAX(0,(IF(37-(INT((Ipotesi!$C$91)/30))&lt;1,0,INDEX(Motore_Operativo!$BN$185:$BN$244,MAX(1,37-(INT((Ipotesi!$C$91)/30)))))*(1-(MOD((Ipotesi!$C$91),30)/30))+IF(37-(INT((Ipotesi!$C$91)/30))-1&lt;1,0,INDEX(Motore_Operativo!$BN$185:$BN$244,MAX(1,37-(INT((Ipotesi!$C$91)/30))-1)))*(MOD((Ipotesi!$C$91),30)/30)))*Piano_SS!$D$7,0))</f>
        <v>34332.9230825821</v>
      </c>
      <c r="BX221" s="15" t="n">
        <f aca="false">MIN(Piano_SS!$C$8,(BX220)+IF(AND(Motore_Operativo!C221&gt;=EDATE(Parametri_v3!$C$24,Ipotesi!F14*12),Motore_Operativo!C221&lt;EDATE(Parametri_v3!$C$24,Parametri_v3!$C$25+Ipotesi!F14*12)),MAX(0,Motore_Operativo!CE221)*Piano_SS!$D$8,0))</f>
        <v>45833.3333333333</v>
      </c>
      <c r="BY221" s="15" t="n">
        <f aca="false">MIN(Piano_SS!$C$9,(BY220)+IF(AND(Motore_Operativo!C221&gt;=EDATE(Parametri_v3!$C$24,Ipotesi!F14*12),Motore_Operativo!C221&lt;EDATE(Parametri_v3!$C$24,Parametri_v3!$C$25+Ipotesi!F14*12)),MAX(0,((IF(37-(INT((Ipotesi!$C$91)/30))&lt;1,0,INDEX(Motore_Operativo!$BQ$185:$BQ$244,MAX(1,37-(INT((Ipotesi!$C$91)/30)))))*(1-(MOD((Ipotesi!$C$91),30)/30))+IF(37-(INT((Ipotesi!$C$91)/30))-1&lt;1,0,INDEX(Motore_Operativo!$BQ$185:$BQ$244,MAX(1,37-(INT((Ipotesi!$C$91)/30))-1)))*(MOD((Ipotesi!$C$91),30)/30))+(IF(37-(INT((Ipotesi!$C$91)/30))&lt;1,0,INDEX(Motore_Operativo!$BR$185:$BR$244,MAX(1,37-(INT((Ipotesi!$C$91)/30)))))*(1-(MOD((Ipotesi!$C$91),30)/30))+IF(37-(INT((Ipotesi!$C$91)/30))-1&lt;1,0,INDEX(Motore_Operativo!$BR$185:$BR$244,MAX(1,37-(INT((Ipotesi!$C$91)/30))-1)))*(MOD((Ipotesi!$C$91),30)/30))))*Piano_SS!$D$9,0))</f>
        <v>40000</v>
      </c>
      <c r="BZ221" s="15" t="n">
        <f aca="false">MIN(Piano_SS!$C$10,(BZ220)+IF(AND(Motore_Operativo!C221&gt;=EDATE(Parametri_v3!$C$24,Ipotesi!F14*12),Motore_Operativo!C221&lt;EDATE(Parametri_v3!$C$24,Parametri_v3!$C$25+Ipotesi!F14*12)),MAX(0,(IF(37-(INT((Ipotesi!$C$91)/30))&lt;1,0,INDEX(Motore_Operativo!$BO$185:$BO$244,MAX(1,37-(INT((Ipotesi!$C$91)/30)))))*(1-(MOD((Ipotesi!$C$91),30)/30))+IF(37-(INT((Ipotesi!$C$91)/30))-1&lt;1,0,INDEX(Motore_Operativo!$BO$185:$BO$244,MAX(1,37-(INT((Ipotesi!$C$91)/30))-1)))*(MOD((Ipotesi!$C$91),30)/30)))*Piano_SS!$D$10,0))</f>
        <v>30000</v>
      </c>
      <c r="CA221" s="15" t="n">
        <f aca="false">SUM(BV221:BZ221)</f>
        <v>450166.256415916</v>
      </c>
      <c r="CB221" s="15" t="n">
        <f aca="false">BV221*(1-Piano_SS!$E$6)+BW221*(1-Piano_SS!$E$7)+BX221*(1-Piano_SS!$E$8)+BY221*(1-Piano_SS!$E$9)+BZ221*(1-Piano_SS!$E$10)</f>
        <v>420166.256415915</v>
      </c>
      <c r="CC221" s="15" t="n">
        <f aca="false">(CC220)+BA221</f>
        <v>280000</v>
      </c>
      <c r="CD221" s="15" t="n">
        <f aca="false">IF(CA221=0,0,CC221*CB221/CA221*Ipotesi!$C$103*Parametri_v3!$C$64)</f>
        <v>78402.0682046152</v>
      </c>
      <c r="CE221" s="18" t="n">
        <f aca="false">IF(BA221&gt;0,Motore_Operativo!C221,(CE220))</f>
        <v>47453</v>
      </c>
      <c r="CF221" s="18" t="n">
        <f aca="false">IF(AND(CC221&gt;0,OR(CC221&gt;=CG221-0.01,Motore_Operativo!C221&gt;=EDATE(MAX(Finanziamenti!$D$15:$D$17),Ipotesi!F14*12))),CE221,0)</f>
        <v>0</v>
      </c>
      <c r="CG221" s="15" t="n">
        <f aca="false">IF(AND(4&lt;&gt;6,4&lt;&gt;9,Finanziamenti!$F$11=1,OR(Parametri_v3!$C$6=0,Finanziamenti!$E$11=1)),MIN(Finanziamenti!$C$11,Piano_SS!$C$12*Ipotesi!$C$102),0)</f>
        <v>400000</v>
      </c>
      <c r="CH221" s="15" t="n">
        <f aca="false">IF(AND(AND(4&lt;&gt;8,4&lt;&gt;9,Finanziamenti!$F$10=1,OR(Parametri_v3!$C$6=0,Finanziamenti!$E$10=1)),Motore_Operativo!C221&gt;=Finanziamenti!$D$10,Motore_Operativo!C221&lt;Parametri_v3!$C$63),Finanziamenti!$C$10,0)</f>
        <v>150000</v>
      </c>
    </row>
    <row r="222" customFormat="false" ht="18" hidden="false" customHeight="true" outlineLevel="0" collapsed="false">
      <c r="A222" s="68" t="n">
        <f aca="false">4</f>
        <v>4</v>
      </c>
      <c r="B222" s="68" t="n">
        <f aca="false">38</f>
        <v>38</v>
      </c>
      <c r="C222" s="18" t="n">
        <f aca="false">Motore_Operativo!C222</f>
        <v>47515</v>
      </c>
      <c r="D222" s="68" t="n">
        <f aca="false">Motore_Operativo!D222</f>
        <v>2030</v>
      </c>
      <c r="E222" s="68" t="n">
        <f aca="false">Motore_Operativo!E222</f>
        <v>2</v>
      </c>
      <c r="F222" s="15" t="n">
        <f aca="false">Motore_Operativo!AQ222+Motore_Operativo!BF222</f>
        <v>55167.5217976891</v>
      </c>
      <c r="G222" s="15" t="n">
        <f aca="false">Motore_Operativo!BH222</f>
        <v>4558.125</v>
      </c>
      <c r="H222" s="15" t="n">
        <f aca="false">Motore_Operativo!BI222</f>
        <v>59725.6467976891</v>
      </c>
      <c r="I222" s="15" t="n">
        <f aca="false">Motore_Operativo!CA222</f>
        <v>149810.847426676</v>
      </c>
      <c r="J222" s="15" t="n">
        <f aca="false">Motore_Operativo!CC222</f>
        <v>-90085.2006289873</v>
      </c>
      <c r="K222" s="15" t="n">
        <f aca="false">Motore_Operativo!CE222</f>
        <v>3333.33333333333</v>
      </c>
      <c r="L222" s="15" t="n">
        <f aca="false">SUM(INDEX($K$185:$K$244,MAX(1,38-Parametri_v3!$C$59+1)):K222)/Parametri_v3!$C$59</f>
        <v>2175.92592592593</v>
      </c>
      <c r="M222" s="15" t="n">
        <f aca="false">J222-L222</f>
        <v>-92261.1265549133</v>
      </c>
      <c r="N222" s="15" t="n">
        <f aca="false">CD222-(CD221)</f>
        <v>74.0850095381175</v>
      </c>
      <c r="O222" s="15" t="n">
        <f aca="false">(BG221)*Ipotesi!$C$110/12+CH222*Parametri_v3!$C$39/12</f>
        <v>750</v>
      </c>
      <c r="P222" s="15" t="n">
        <f aca="false">M222+N222-O222</f>
        <v>-92937.0415453752</v>
      </c>
      <c r="Q222" s="15" t="n">
        <f aca="false">SUM(P221:P222)+Parametri_v3!$C$54*2/12</f>
        <v>-187210.635327147</v>
      </c>
      <c r="R222" s="15" t="n">
        <f aca="false">Z220</f>
        <v>1696169.7446533</v>
      </c>
      <c r="S222" s="15" t="n">
        <f aca="false">AA220</f>
        <v>0</v>
      </c>
      <c r="T222" s="15" t="n">
        <f aca="false">MIN(R222,MAX(0,Q222))</f>
        <v>0</v>
      </c>
      <c r="U222" s="15" t="n">
        <f aca="false">MIN(S222,MAX(0,Q222-T222)*Parametri_v3!$C$42)</f>
        <v>0</v>
      </c>
      <c r="V222" s="15" t="n">
        <f aca="false">MAX(0,Q222-T222-U222)*Ipotesi!$C$92</f>
        <v>0</v>
      </c>
      <c r="W222" s="15" t="n">
        <f aca="false">MAX(0,SUM(M221:M222)+Parametri_v3!$C$55*2/12)*Ipotesi!$C$93</f>
        <v>0</v>
      </c>
      <c r="X222" s="15" t="n">
        <f aca="false">V222+W222-(V221+W221)</f>
        <v>0</v>
      </c>
      <c r="Y222" s="15" t="n">
        <f aca="false">P222-X222</f>
        <v>-92937.0415453752</v>
      </c>
      <c r="Z222" s="15" t="n">
        <f aca="false">R222-T222+IF(AND(Parametri_v3!$C$40=1,D222-YEAR(Parametri_v3!$C$50)&lt;Parametri_v3!$C$41),MAX(0,-Q222),0)</f>
        <v>1696169.7446533</v>
      </c>
      <c r="AA222" s="15" t="n">
        <f aca="false">S222-U222+IF(AND(Parametri_v3!$C$40=1,D222-YEAR(Parametri_v3!$C$50)&lt;Parametri_v3!$C$41),0,MAX(0,-Q222))</f>
        <v>187210.635327147</v>
      </c>
      <c r="AB222" s="15" t="n">
        <f aca="false">F222*(1+Parametri_v3!$C$26)</f>
        <v>67304.3765931808</v>
      </c>
      <c r="AC222" s="15" t="n">
        <f aca="false">(IF(38-(INT((Motore_Operativo!L222)/30))&lt;1,0,INDEX(Motore_Startup!$AB$185:$AB$244,MAX(1,38-(INT((Motore_Operativo!L222)/30)))))*(1-(MOD((Motore_Operativo!L222),30)/30))+IF(38-(INT((Motore_Operativo!L222)/30))-1&lt;1,0,INDEX(Motore_Startup!$AB$185:$AB$244,MAX(1,38-(INT((Motore_Operativo!L222)/30))-1)))*(MOD((Motore_Operativo!L222),30)/30))</f>
        <v>43739.2640055779</v>
      </c>
      <c r="AD222" s="15" t="n">
        <f aca="false">(AD221)+AB222-AC222</f>
        <v>225465.304537251</v>
      </c>
      <c r="AE222" s="15" t="n">
        <f aca="false">Motore_Operativo!BH222*(1+Parametri_v3!$C$26)</f>
        <v>5560.9125</v>
      </c>
      <c r="AF222" s="15" t="n">
        <f aca="false">(IF(38-(INT((Parametri_v3!$C$29)/30))&lt;1,0,INDEX(Motore_Operativo!$BH$185:$BH$244,MAX(1,38-(INT((Parametri_v3!$C$29)/30)))))*(1-(MOD((Parametri_v3!$C$29),30)/30))+IF(38-(INT((Parametri_v3!$C$29)/30))-1&lt;1,0,INDEX(Motore_Operativo!$BH$185:$BH$244,MAX(1,38-(INT((Parametri_v3!$C$29)/30))-1)))*(MOD((Parametri_v3!$C$29),30)/30))*(1+Parametri_v3!$C$26)</f>
        <v>5560.9125</v>
      </c>
      <c r="AG222" s="15" t="n">
        <f aca="false">(AG221)+AE222-AF222</f>
        <v>5560.9125</v>
      </c>
      <c r="AH222" s="15" t="n">
        <f aca="false">(Motore_Operativo!CJ222)*(1+Parametri_v3!$C$27*Parametri_v3!$C$26)</f>
        <v>63311.9252369233</v>
      </c>
      <c r="AI222" s="15" t="n">
        <f aca="false">(IF(38-(INT((Ipotesi!$C$91)/30))&lt;1,0,INDEX(Motore_Startup!$AH$185:$AH$244,MAX(1,38-(INT((Ipotesi!$C$91)/30)))))*(1-(MOD((Ipotesi!$C$91),30)/30))+IF(38-(INT((Ipotesi!$C$91)/30))-1&lt;1,0,INDEX(Motore_Startup!$AH$185:$AH$244,MAX(1,38-(INT((Ipotesi!$C$91)/30))-1)))*(MOD((Ipotesi!$C$91),30)/30))</f>
        <v>47590.2858540858</v>
      </c>
      <c r="AJ222" s="15" t="n">
        <f aca="false">(AJ221)+AH222-AI222</f>
        <v>126356.550923364</v>
      </c>
      <c r="AK222" s="15" t="n">
        <f aca="false">(F222+ Motore_Operativo!BH222-(Motore_Operativo!CJ222)*Parametri_v3!$C$27-Motore_Operativo!CE222)*Parametri_v3!$C$26</f>
        <v>2432.14719357811</v>
      </c>
      <c r="AL222" s="15" t="n">
        <f aca="false">MAX(0,(AM221))</f>
        <v>0</v>
      </c>
      <c r="AM222" s="15" t="n">
        <f aca="false">(AM221)+AK222-AL222</f>
        <v>-15775.9747943221</v>
      </c>
      <c r="AN222" s="15" t="n">
        <f aca="false">SUM(X209:X220)</f>
        <v>0</v>
      </c>
      <c r="AO222" s="15" t="n">
        <f aca="false">SUM(AP209:AP220)</f>
        <v>0</v>
      </c>
      <c r="AP222" s="15" t="n">
        <f aca="false">MAX(0,AN222)*IF(2=Parametri_v3!$C$43,Parametri_v3!$C$45,IF(2=Parametri_v3!$C$44,1-Parametri_v3!$C$45,0))</f>
        <v>0</v>
      </c>
      <c r="AQ222" s="15" t="n">
        <f aca="false">MAX(0,AP222+IF(2=Parametri_v3!$C$43,MAX(0,AN222-AO222),0)-MAX(0,-(AR221)))</f>
        <v>0</v>
      </c>
      <c r="AR222" s="15" t="n">
        <f aca="false">(AR221)+X222-AQ222</f>
        <v>0</v>
      </c>
      <c r="AS222" s="15" t="n">
        <f aca="false">Motore_Operativo!AB222-AT222+AU222</f>
        <v>91649.4297604167</v>
      </c>
      <c r="AT222" s="15" t="n">
        <f aca="false">Motore_Operativo!CH222</f>
        <v>4823.65419791667</v>
      </c>
      <c r="AU222" s="15" t="n">
        <f aca="false">MIN(MAX(0,(AV221)+AT222),Parametri_v3!$C$60/12)</f>
        <v>0</v>
      </c>
      <c r="AV222" s="15" t="n">
        <f aca="false">(AV221)+AT222-AU222</f>
        <v>88819.0083958333</v>
      </c>
      <c r="AW222" s="15" t="n">
        <f aca="false">IF(AND(Motore_Operativo!C222=Finanziamenti!$D$6,Finanziamenti!$F$6=1),Finanziamenti!$C$6,0)</f>
        <v>0</v>
      </c>
      <c r="AX222" s="15" t="n">
        <f aca="false">IF(AND(4&lt;&gt;7,4&lt;&gt;9,Finanziamenti!$F$8=1,OR(Parametri_v3!$C$6=0,Finanziamenti!$E$8=1),Motore_Operativo!C222=EDATE(Finanziamenti!$D$8,Ipotesi!F15*12)),Finanziamenti!$C$8*1,0)+IF(AND(4&lt;&gt;7,4&lt;&gt;9,Finanziamenti!$F$9=1,OR(Parametri_v3!$C$6=0,Finanziamenti!$E$9=1),Motore_Operativo!C222=EDATE(Finanziamenti!$D$9,Ipotesi!F15*12)),Finanziamenti!$C$9*Ipotesi!F16,0)</f>
        <v>0</v>
      </c>
      <c r="AY222" s="15" t="n">
        <f aca="false">0</f>
        <v>0</v>
      </c>
      <c r="AZ222" s="15" t="n">
        <f aca="false">Motore_Advisory!AY222*(1-Ipotesi!$C$95)*Ipotesi!$C$96</f>
        <v>0</v>
      </c>
      <c r="BA222" s="15" t="n">
        <f aca="false">MAX(0,MIN(CG222*MIN(1,IF(Motore_Operativo!C222&gt;=EDATE(Finanziamenti!$D$15,Ipotesi!F14*12),Finanziamenti!$C$15,0)+IF(Motore_Operativo!C222&gt;=EDATE(Finanziamenti!$D$16,Ipotesi!F14*12),Finanziamenti!$C$16,0)+IF(Motore_Operativo!C222&gt;=EDATE(Finanziamenti!$D$17,Ipotesi!F14*12),Finanziamenti!$C$17,0)),CA222*Ipotesi!$C$102)-(CC221))</f>
        <v>0</v>
      </c>
      <c r="BB222" s="15" t="n">
        <f aca="false">IF(AND(CF222&gt;0,Motore_Operativo!C222&gt;=IF(CF222=0,0,EDATE(CF222,Parametri_v3!$C$37)),MOD(((D222-YEAR(IF(CF222=0,0,EDATE(CF222,Parametri_v3!$C$37))))*12+E222-MONTH(IF(CF222=0,0,EDATE(CF222,Parametri_v3!$C$37)))),Parametri_v3!$C$38)=0),MIN(MAX(0,(BC221)+BA222-N222),(CC222-CD222)/(Ipotesi!$C$108*12/Parametri_v3!$C$38)),0)</f>
        <v>0</v>
      </c>
      <c r="BC222" s="15" t="n">
        <f aca="false">(BC221)+BA222-N222-BB222</f>
        <v>201523.846785847</v>
      </c>
      <c r="BD222" s="15" t="n">
        <f aca="false">(BH221)+AC222+AF222-AI222-AS222-K222*(1+Parametri_v3!$C$26)-AL222-AQ222-O222+AW222+AX222+AZ222+BA222-BB222</f>
        <v>-1175635.94348476</v>
      </c>
      <c r="BE222" s="15" t="n">
        <f aca="false">MAX(0,MIN(MAX(0,CH222-(BG221)),Parametri_v3!$C$30-BD222))</f>
        <v>0</v>
      </c>
      <c r="BF222" s="15" t="n">
        <f aca="false">IF(Motore_Operativo!C222&gt;=Parametri_v3!$C$63,(BG221),MIN((BG221),MAX(0,BD222-Parametri_v3!$C$30)))</f>
        <v>0</v>
      </c>
      <c r="BG222" s="15" t="n">
        <f aca="false">(BG221)+BE222-BF222</f>
        <v>150000</v>
      </c>
      <c r="BH222" s="15" t="n">
        <f aca="false">BD222+BE222-BF222-AY222</f>
        <v>-1175635.94348476</v>
      </c>
      <c r="BI222" s="15" t="n">
        <f aca="false">MAX(0,Parametri_v3!$C$30-BH222)</f>
        <v>1200635.94348476</v>
      </c>
      <c r="BJ222" s="15" t="n">
        <f aca="false">(BJ221)+K222</f>
        <v>81666.6666666667</v>
      </c>
      <c r="BK222" s="15" t="n">
        <f aca="false">(BK221)+L222</f>
        <v>39513.8888888889</v>
      </c>
      <c r="BL222" s="15" t="n">
        <f aca="false">BJ222-BK222</f>
        <v>42152.7777777778</v>
      </c>
      <c r="BM222" s="15" t="n">
        <f aca="false">(BM221)+Y222</f>
        <v>-1883380.37998045</v>
      </c>
      <c r="BN222" s="15" t="n">
        <f aca="false">(BN221)+AW222+AX222+AZ222</f>
        <v>430000</v>
      </c>
      <c r="BO222" s="15" t="n">
        <f aca="false">(BO221)+AY222</f>
        <v>0</v>
      </c>
      <c r="BP222" s="15" t="n">
        <f aca="false">0</f>
        <v>0</v>
      </c>
      <c r="BQ222" s="15" t="n">
        <f aca="false">BN222+BM222-BO222</f>
        <v>-1453380.37998045</v>
      </c>
      <c r="BR222" s="15" t="n">
        <f aca="false">BH222+AD222+BL222+MAX(0,-AM222)+MAX(0,-AR222)+AG222</f>
        <v>-886680.973875407</v>
      </c>
      <c r="BS222" s="15" t="n">
        <f aca="false">AJ222+AV222+MAX(0,AM222)+MAX(0,AR222)+BC222+BG222+BQ222</f>
        <v>-886680.973875407</v>
      </c>
      <c r="BT222" s="15" t="n">
        <f aca="false">BR222-BS222</f>
        <v>0</v>
      </c>
      <c r="BU222" s="15" t="n">
        <f aca="false">BH222-(BD222+BE222-BF222-AY222)</f>
        <v>0</v>
      </c>
      <c r="BV222" s="15" t="n">
        <f aca="false">MIN(Piano_SS!$C$6,(BV221)+IF(AND(Motore_Operativo!C222&gt;=EDATE(Parametri_v3!$C$24,Ipotesi!F14*12),Motore_Operativo!C222&lt;EDATE(Parametri_v3!$C$24,Parametri_v3!$C$25+Ipotesi!F14*12)),MAX(0,(Motore_Operativo!Y222+Motore_Operativo!X222*Parametri_v3!$C$14)*(1-Parametri_v3!$C$32))*Piano_SS!$D$6,0))</f>
        <v>300000</v>
      </c>
      <c r="BW222" s="15" t="n">
        <f aca="false">MIN(Piano_SS!$C$7,(BW221)+IF(AND(Motore_Operativo!C222&gt;=EDATE(Parametri_v3!$C$24,Ipotesi!F14*12),Motore_Operativo!C222&lt;EDATE(Parametri_v3!$C$24,Parametri_v3!$C$25+Ipotesi!F14*12)),MAX(0,(IF(38-(INT((Ipotesi!$C$91)/30))&lt;1,0,INDEX(Motore_Operativo!$BN$185:$BN$244,MAX(1,38-(INT((Ipotesi!$C$91)/30)))))*(1-(MOD((Ipotesi!$C$91),30)/30))+IF(38-(INT((Ipotesi!$C$91)/30))-1&lt;1,0,INDEX(Motore_Operativo!$BN$185:$BN$244,MAX(1,38-(INT((Ipotesi!$C$91)/30))-1)))*(MOD((Ipotesi!$C$91),30)/30)))*Piano_SS!$D$7,0))</f>
        <v>37037.1524647392</v>
      </c>
      <c r="BX222" s="15" t="n">
        <f aca="false">MIN(Piano_SS!$C$8,(BX221)+IF(AND(Motore_Operativo!C222&gt;=EDATE(Parametri_v3!$C$24,Ipotesi!F14*12),Motore_Operativo!C222&lt;EDATE(Parametri_v3!$C$24,Parametri_v3!$C$25+Ipotesi!F14*12)),MAX(0,Motore_Operativo!CE222)*Piano_SS!$D$8,0))</f>
        <v>49166.6666666667</v>
      </c>
      <c r="BY222" s="15" t="n">
        <f aca="false">MIN(Piano_SS!$C$9,(BY221)+IF(AND(Motore_Operativo!C222&gt;=EDATE(Parametri_v3!$C$24,Ipotesi!F14*12),Motore_Operativo!C222&lt;EDATE(Parametri_v3!$C$24,Parametri_v3!$C$25+Ipotesi!F14*12)),MAX(0,((IF(38-(INT((Ipotesi!$C$91)/30))&lt;1,0,INDEX(Motore_Operativo!$BQ$185:$BQ$244,MAX(1,38-(INT((Ipotesi!$C$91)/30)))))*(1-(MOD((Ipotesi!$C$91),30)/30))+IF(38-(INT((Ipotesi!$C$91)/30))-1&lt;1,0,INDEX(Motore_Operativo!$BQ$185:$BQ$244,MAX(1,38-(INT((Ipotesi!$C$91)/30))-1)))*(MOD((Ipotesi!$C$91),30)/30))+(IF(38-(INT((Ipotesi!$C$91)/30))&lt;1,0,INDEX(Motore_Operativo!$BR$185:$BR$244,MAX(1,38-(INT((Ipotesi!$C$91)/30)))))*(1-(MOD((Ipotesi!$C$91),30)/30))+IF(38-(INT((Ipotesi!$C$91)/30))-1&lt;1,0,INDEX(Motore_Operativo!$BR$185:$BR$244,MAX(1,38-(INT((Ipotesi!$C$91)/30))-1)))*(MOD((Ipotesi!$C$91),30)/30))))*Piano_SS!$D$9,0))</f>
        <v>40000</v>
      </c>
      <c r="BZ222" s="15" t="n">
        <f aca="false">MIN(Piano_SS!$C$10,(BZ221)+IF(AND(Motore_Operativo!C222&gt;=EDATE(Parametri_v3!$C$24,Ipotesi!F14*12),Motore_Operativo!C222&lt;EDATE(Parametri_v3!$C$24,Parametri_v3!$C$25+Ipotesi!F14*12)),MAX(0,(IF(38-(INT((Ipotesi!$C$91)/30))&lt;1,0,INDEX(Motore_Operativo!$BO$185:$BO$244,MAX(1,38-(INT((Ipotesi!$C$91)/30)))))*(1-(MOD((Ipotesi!$C$91),30)/30))+IF(38-(INT((Ipotesi!$C$91)/30))-1&lt;1,0,INDEX(Motore_Operativo!$BO$185:$BO$244,MAX(1,38-(INT((Ipotesi!$C$91)/30))-1)))*(MOD((Ipotesi!$C$91),30)/30)))*Piano_SS!$D$10,0))</f>
        <v>30000</v>
      </c>
      <c r="CA222" s="15" t="n">
        <f aca="false">SUM(BV222:BZ222)</f>
        <v>456203.819131406</v>
      </c>
      <c r="CB222" s="15" t="n">
        <f aca="false">BV222*(1-Piano_SS!$E$6)+BW222*(1-Piano_SS!$E$7)+BX222*(1-Piano_SS!$E$8)+BY222*(1-Piano_SS!$E$9)+BZ222*(1-Piano_SS!$E$10)</f>
        <v>426203.819131406</v>
      </c>
      <c r="CC222" s="15" t="n">
        <f aca="false">(CC221)+BA222</f>
        <v>280000</v>
      </c>
      <c r="CD222" s="15" t="n">
        <f aca="false">IF(CA222=0,0,CC222*CB222/CA222*Ipotesi!$C$103*Parametri_v3!$C$64)</f>
        <v>78476.1532141533</v>
      </c>
      <c r="CE222" s="18" t="n">
        <f aca="false">IF(BA222&gt;0,Motore_Operativo!C222,(CE221))</f>
        <v>47453</v>
      </c>
      <c r="CF222" s="18" t="n">
        <f aca="false">IF(AND(CC222&gt;0,OR(CC222&gt;=CG222-0.01,Motore_Operativo!C222&gt;=EDATE(MAX(Finanziamenti!$D$15:$D$17),Ipotesi!F14*12))),CE222,0)</f>
        <v>0</v>
      </c>
      <c r="CG222" s="15" t="n">
        <f aca="false">IF(AND(4&lt;&gt;6,4&lt;&gt;9,Finanziamenti!$F$11=1,OR(Parametri_v3!$C$6=0,Finanziamenti!$E$11=1)),MIN(Finanziamenti!$C$11,Piano_SS!$C$12*Ipotesi!$C$102),0)</f>
        <v>400000</v>
      </c>
      <c r="CH222" s="15" t="n">
        <f aca="false">IF(AND(AND(4&lt;&gt;8,4&lt;&gt;9,Finanziamenti!$F$10=1,OR(Parametri_v3!$C$6=0,Finanziamenti!$E$10=1)),Motore_Operativo!C222&gt;=Finanziamenti!$D$10,Motore_Operativo!C222&lt;Parametri_v3!$C$63),Finanziamenti!$C$10,0)</f>
        <v>150000</v>
      </c>
    </row>
    <row r="223" customFormat="false" ht="18" hidden="false" customHeight="true" outlineLevel="0" collapsed="false">
      <c r="A223" s="68" t="n">
        <f aca="false">4</f>
        <v>4</v>
      </c>
      <c r="B223" s="68" t="n">
        <f aca="false">39</f>
        <v>39</v>
      </c>
      <c r="C223" s="18" t="n">
        <f aca="false">Motore_Operativo!C223</f>
        <v>47543</v>
      </c>
      <c r="D223" s="68" t="n">
        <f aca="false">Motore_Operativo!D223</f>
        <v>2030</v>
      </c>
      <c r="E223" s="68" t="n">
        <f aca="false">Motore_Operativo!E223</f>
        <v>3</v>
      </c>
      <c r="F223" s="15" t="n">
        <f aca="false">Motore_Operativo!AQ223+Motore_Operativo!BF223</f>
        <v>56761.9550736799</v>
      </c>
      <c r="G223" s="15" t="n">
        <f aca="false">Motore_Operativo!BH223</f>
        <v>4558.125</v>
      </c>
      <c r="H223" s="15" t="n">
        <f aca="false">Motore_Operativo!BI223</f>
        <v>61320.0800736799</v>
      </c>
      <c r="I223" s="15" t="n">
        <f aca="false">Motore_Operativo!CA223</f>
        <v>150034.068085315</v>
      </c>
      <c r="J223" s="15" t="n">
        <f aca="false">Motore_Operativo!CC223</f>
        <v>-88713.9880116353</v>
      </c>
      <c r="K223" s="15" t="n">
        <f aca="false">Motore_Operativo!CE223</f>
        <v>3333.33333333333</v>
      </c>
      <c r="L223" s="15" t="n">
        <f aca="false">SUM(INDEX($K$185:$K$244,MAX(1,39-Parametri_v3!$C$59+1)):K223)/Parametri_v3!$C$59</f>
        <v>2222.22222222222</v>
      </c>
      <c r="M223" s="15" t="n">
        <f aca="false">J223-L223</f>
        <v>-90936.2102338575</v>
      </c>
      <c r="N223" s="15" t="n">
        <f aca="false">CD223-(CD222)</f>
        <v>45.6785054247448</v>
      </c>
      <c r="O223" s="15" t="n">
        <f aca="false">(BG222)*Ipotesi!$C$110/12+CH223*Parametri_v3!$C$39/12</f>
        <v>750</v>
      </c>
      <c r="P223" s="15" t="n">
        <f aca="false">M223+N223-O223</f>
        <v>-91640.5317284327</v>
      </c>
      <c r="Q223" s="15" t="n">
        <f aca="false">SUM(P221:P223)+Parametri_v3!$C$54*3/12</f>
        <v>-278851.16705558</v>
      </c>
      <c r="R223" s="15" t="n">
        <f aca="false">Z220</f>
        <v>1696169.7446533</v>
      </c>
      <c r="S223" s="15" t="n">
        <f aca="false">AA220</f>
        <v>0</v>
      </c>
      <c r="T223" s="15" t="n">
        <f aca="false">MIN(R223,MAX(0,Q223))</f>
        <v>0</v>
      </c>
      <c r="U223" s="15" t="n">
        <f aca="false">MIN(S223,MAX(0,Q223-T223)*Parametri_v3!$C$42)</f>
        <v>0</v>
      </c>
      <c r="V223" s="15" t="n">
        <f aca="false">MAX(0,Q223-T223-U223)*Ipotesi!$C$92</f>
        <v>0</v>
      </c>
      <c r="W223" s="15" t="n">
        <f aca="false">MAX(0,SUM(M221:M223)+Parametri_v3!$C$55*3/12)*Ipotesi!$C$93</f>
        <v>0</v>
      </c>
      <c r="X223" s="15" t="n">
        <f aca="false">V223+W223-(V222+W222)</f>
        <v>0</v>
      </c>
      <c r="Y223" s="15" t="n">
        <f aca="false">P223-X223</f>
        <v>-91640.5317284327</v>
      </c>
      <c r="Z223" s="15" t="n">
        <f aca="false">R223-T223+IF(AND(Parametri_v3!$C$40=1,D223-YEAR(Parametri_v3!$C$50)&lt;Parametri_v3!$C$41),MAX(0,-Q223),0)</f>
        <v>1696169.7446533</v>
      </c>
      <c r="AA223" s="15" t="n">
        <f aca="false">S223-U223+IF(AND(Parametri_v3!$C$40=1,D223-YEAR(Parametri_v3!$C$50)&lt;Parametri_v3!$C$41),0,MAX(0,-Q223))</f>
        <v>278851.16705558</v>
      </c>
      <c r="AB223" s="15" t="n">
        <f aca="false">F223*(1+Parametri_v3!$C$26)</f>
        <v>69249.5851898895</v>
      </c>
      <c r="AC223" s="15" t="n">
        <f aca="false">(IF(39-(INT((Motore_Operativo!L223)/30))&lt;1,0,INDEX(Motore_Startup!$AB$185:$AB$244,MAX(1,39-(INT((Motore_Operativo!L223)/30)))))*(1-(MOD((Motore_Operativo!L223),30)/30))+IF(39-(INT((Motore_Operativo!L223)/30))-1&lt;1,0,INDEX(Motore_Startup!$AB$185:$AB$244,MAX(1,39-(INT((Motore_Operativo!L223)/30))-1)))*(MOD((Motore_Operativo!L223),30)/30))</f>
        <v>45479.4160819309</v>
      </c>
      <c r="AD223" s="15" t="n">
        <f aca="false">(AD222)+AB223-AC223</f>
        <v>249235.47364521</v>
      </c>
      <c r="AE223" s="15" t="n">
        <f aca="false">Motore_Operativo!BH223*(1+Parametri_v3!$C$26)</f>
        <v>5560.9125</v>
      </c>
      <c r="AF223" s="15" t="n">
        <f aca="false">(IF(39-(INT((Parametri_v3!$C$29)/30))&lt;1,0,INDEX(Motore_Operativo!$BH$185:$BH$244,MAX(1,39-(INT((Parametri_v3!$C$29)/30)))))*(1-(MOD((Parametri_v3!$C$29),30)/30))+IF(39-(INT((Parametri_v3!$C$29)/30))-1&lt;1,0,INDEX(Motore_Operativo!$BH$185:$BH$244,MAX(1,39-(INT((Parametri_v3!$C$29)/30))-1)))*(MOD((Parametri_v3!$C$29),30)/30))*(1+Parametri_v3!$C$26)</f>
        <v>5560.9125</v>
      </c>
      <c r="AG223" s="15" t="n">
        <f aca="false">(AG222)+AE223-AF223</f>
        <v>5560.9125</v>
      </c>
      <c r="AH223" s="15" t="n">
        <f aca="false">(Motore_Operativo!CJ223)*(1+Parametri_v3!$C$27*Parametri_v3!$C$26)</f>
        <v>63576.8881587275</v>
      </c>
      <c r="AI223" s="15" t="n">
        <f aca="false">(IF(39-(INT((Ipotesi!$C$91)/30))&lt;1,0,INDEX(Motore_Startup!$AH$185:$AH$244,MAX(1,39-(INT((Ipotesi!$C$91)/30)))))*(1-(MOD((Ipotesi!$C$91),30)/30))+IF(39-(INT((Ipotesi!$C$91)/30))-1&lt;1,0,INDEX(Motore_Startup!$AH$185:$AH$244,MAX(1,39-(INT((Ipotesi!$C$91)/30))-1)))*(MOD((Ipotesi!$C$91),30)/30))</f>
        <v>63044.6256864405</v>
      </c>
      <c r="AJ223" s="15" t="n">
        <f aca="false">(AJ222)+AH223-AI223</f>
        <v>126888.813395651</v>
      </c>
      <c r="AK223" s="15" t="n">
        <f aca="false">(F223+ Motore_Operativo!BH223-(Motore_Operativo!CJ223)*Parametri_v3!$C$27-Motore_Operativo!CE223)*Parametri_v3!$C$26</f>
        <v>2741.18025113064</v>
      </c>
      <c r="AL223" s="15" t="n">
        <f aca="false">MAX(0,(AM222))</f>
        <v>0</v>
      </c>
      <c r="AM223" s="15" t="n">
        <f aca="false">(AM222)+AK223-AL223</f>
        <v>-13034.7945431914</v>
      </c>
      <c r="AN223" s="15" t="n">
        <f aca="false">SUM(X209:X220)</f>
        <v>0</v>
      </c>
      <c r="AO223" s="15" t="n">
        <f aca="false">SUM(AP209:AP220)</f>
        <v>0</v>
      </c>
      <c r="AP223" s="15" t="n">
        <f aca="false">MAX(0,AN223)*IF(3=Parametri_v3!$C$43,Parametri_v3!$C$45,IF(3=Parametri_v3!$C$44,1-Parametri_v3!$C$45,0))</f>
        <v>0</v>
      </c>
      <c r="AQ223" s="15" t="n">
        <f aca="false">MAX(0,AP223+IF(3=Parametri_v3!$C$43,MAX(0,AN223-AO223),0)-MAX(0,-(AR222)))</f>
        <v>0</v>
      </c>
      <c r="AR223" s="15" t="n">
        <f aca="false">(AR222)+X223-AQ223</f>
        <v>0</v>
      </c>
      <c r="AS223" s="15" t="n">
        <f aca="false">Motore_Operativo!AB223-AT223+AU223</f>
        <v>91649.4297604167</v>
      </c>
      <c r="AT223" s="15" t="n">
        <f aca="false">Motore_Operativo!CH223</f>
        <v>4823.65419791667</v>
      </c>
      <c r="AU223" s="15" t="n">
        <f aca="false">MIN(MAX(0,(AV222)+AT223),Parametri_v3!$C$60/12)</f>
        <v>0</v>
      </c>
      <c r="AV223" s="15" t="n">
        <f aca="false">(AV222)+AT223-AU223</f>
        <v>93642.66259375</v>
      </c>
      <c r="AW223" s="15" t="n">
        <f aca="false">IF(AND(Motore_Operativo!C223=Finanziamenti!$D$6,Finanziamenti!$F$6=1),Finanziamenti!$C$6,0)</f>
        <v>0</v>
      </c>
      <c r="AX223" s="15" t="n">
        <f aca="false">IF(AND(4&lt;&gt;7,4&lt;&gt;9,Finanziamenti!$F$8=1,OR(Parametri_v3!$C$6=0,Finanziamenti!$E$8=1),Motore_Operativo!C223=EDATE(Finanziamenti!$D$8,Ipotesi!F15*12)),Finanziamenti!$C$8*1,0)+IF(AND(4&lt;&gt;7,4&lt;&gt;9,Finanziamenti!$F$9=1,OR(Parametri_v3!$C$6=0,Finanziamenti!$E$9=1),Motore_Operativo!C223=EDATE(Finanziamenti!$D$9,Ipotesi!F15*12)),Finanziamenti!$C$9*Ipotesi!F16,0)</f>
        <v>0</v>
      </c>
      <c r="AY223" s="15" t="n">
        <f aca="false">0</f>
        <v>0</v>
      </c>
      <c r="AZ223" s="15" t="n">
        <f aca="false">Motore_Advisory!AY223*(1-Ipotesi!$C$95)*Ipotesi!$C$96</f>
        <v>0</v>
      </c>
      <c r="BA223" s="15" t="n">
        <f aca="false">MAX(0,MIN(CG223*MIN(1,IF(Motore_Operativo!C223&gt;=EDATE(Finanziamenti!$D$15,Ipotesi!F14*12),Finanziamenti!$C$15,0)+IF(Motore_Operativo!C223&gt;=EDATE(Finanziamenti!$D$16,Ipotesi!F14*12),Finanziamenti!$C$16,0)+IF(Motore_Operativo!C223&gt;=EDATE(Finanziamenti!$D$17,Ipotesi!F14*12),Finanziamenti!$C$17,0)),CA223*Ipotesi!$C$102)-(CC222))</f>
        <v>0</v>
      </c>
      <c r="BB223" s="15" t="n">
        <f aca="false">IF(AND(CF223&gt;0,Motore_Operativo!C223&gt;=IF(CF223=0,0,EDATE(CF223,Parametri_v3!$C$37)),MOD(((D223-YEAR(IF(CF223=0,0,EDATE(CF223,Parametri_v3!$C$37))))*12+E223-MONTH(IF(CF223=0,0,EDATE(CF223,Parametri_v3!$C$37)))),Parametri_v3!$C$38)=0),MIN(MAX(0,(BC222)+BA223-N223),(CC223-CD223)/(Ipotesi!$C$108*12/Parametri_v3!$C$38)),0)</f>
        <v>0</v>
      </c>
      <c r="BC223" s="15" t="n">
        <f aca="false">(BC222)+BA223-N223-BB223</f>
        <v>201478.168280422</v>
      </c>
      <c r="BD223" s="15" t="n">
        <f aca="false">(BH222)+AC223+AF223-AI223-AS223-K223*(1+Parametri_v3!$C$26)-AL223-AQ223-O223+AW223+AX223+AZ223+BA223-BB223</f>
        <v>-1284106.33701635</v>
      </c>
      <c r="BE223" s="15" t="n">
        <f aca="false">MAX(0,MIN(MAX(0,CH223-(BG222)),Parametri_v3!$C$30-BD223))</f>
        <v>0</v>
      </c>
      <c r="BF223" s="15" t="n">
        <f aca="false">IF(Motore_Operativo!C223&gt;=Parametri_v3!$C$63,(BG222),MIN((BG222),MAX(0,BD223-Parametri_v3!$C$30)))</f>
        <v>0</v>
      </c>
      <c r="BG223" s="15" t="n">
        <f aca="false">(BG222)+BE223-BF223</f>
        <v>150000</v>
      </c>
      <c r="BH223" s="15" t="n">
        <f aca="false">BD223+BE223-BF223-AY223</f>
        <v>-1284106.33701635</v>
      </c>
      <c r="BI223" s="15" t="n">
        <f aca="false">MAX(0,Parametri_v3!$C$30-BH223)</f>
        <v>1309106.33701635</v>
      </c>
      <c r="BJ223" s="15" t="n">
        <f aca="false">(BJ222)+K223</f>
        <v>85000</v>
      </c>
      <c r="BK223" s="15" t="n">
        <f aca="false">(BK222)+L223</f>
        <v>41736.1111111111</v>
      </c>
      <c r="BL223" s="15" t="n">
        <f aca="false">BJ223-BK223</f>
        <v>43263.8888888889</v>
      </c>
      <c r="BM223" s="15" t="n">
        <f aca="false">(BM222)+Y223</f>
        <v>-1975020.91170888</v>
      </c>
      <c r="BN223" s="15" t="n">
        <f aca="false">(BN222)+AW223+AX223+AZ223</f>
        <v>430000</v>
      </c>
      <c r="BO223" s="15" t="n">
        <f aca="false">(BO222)+AY223</f>
        <v>0</v>
      </c>
      <c r="BP223" s="15" t="n">
        <f aca="false">0</f>
        <v>0</v>
      </c>
      <c r="BQ223" s="15" t="n">
        <f aca="false">BN223+BM223-BO223</f>
        <v>-1545020.91170888</v>
      </c>
      <c r="BR223" s="15" t="n">
        <f aca="false">BH223+AD223+BL223+MAX(0,-AM223)+MAX(0,-AR223)+AG223</f>
        <v>-973011.267439061</v>
      </c>
      <c r="BS223" s="15" t="n">
        <f aca="false">AJ223+AV223+MAX(0,AM223)+MAX(0,AR223)+BC223+BG223+BQ223</f>
        <v>-973011.267439061</v>
      </c>
      <c r="BT223" s="15" t="n">
        <f aca="false">BR223-BS223</f>
        <v>0</v>
      </c>
      <c r="BU223" s="15" t="n">
        <f aca="false">BH223-(BD223+BE223-BF223-AY223)</f>
        <v>0</v>
      </c>
      <c r="BV223" s="15" t="n">
        <f aca="false">MIN(Piano_SS!$C$6,(BV222)+IF(AND(Motore_Operativo!C223&gt;=EDATE(Parametri_v3!$C$24,Ipotesi!F14*12),Motore_Operativo!C223&lt;EDATE(Parametri_v3!$C$24,Parametri_v3!$C$25+Ipotesi!F14*12)),MAX(0,(Motore_Operativo!Y223+Motore_Operativo!X223*Parametri_v3!$C$14)*(1-Parametri_v3!$C$32))*Piano_SS!$D$6,0))</f>
        <v>300000</v>
      </c>
      <c r="BW223" s="15" t="n">
        <f aca="false">MIN(Piano_SS!$C$7,(BW222)+IF(AND(Motore_Operativo!C223&gt;=EDATE(Parametri_v3!$C$24,Ipotesi!F14*12),Motore_Operativo!C223&lt;EDATE(Parametri_v3!$C$24,Parametri_v3!$C$25+Ipotesi!F14*12)),MAX(0,(IF(39-(INT((Ipotesi!$C$91)/30))&lt;1,0,INDEX(Motore_Operativo!$BN$185:$BN$244,MAX(1,39-(INT((Ipotesi!$C$91)/30)))))*(1-(MOD((Ipotesi!$C$91),30)/30))+IF(39-(INT((Ipotesi!$C$91)/30))-1&lt;1,0,INDEX(Motore_Operativo!$BN$185:$BN$244,MAX(1,39-(INT((Ipotesi!$C$91)/30))-1)))*(MOD((Ipotesi!$C$91),30)/30)))*Piano_SS!$D$7,0))</f>
        <v>40007.7746800995</v>
      </c>
      <c r="BX223" s="15" t="n">
        <f aca="false">MIN(Piano_SS!$C$8,(BX222)+IF(AND(Motore_Operativo!C223&gt;=EDATE(Parametri_v3!$C$24,Ipotesi!F14*12),Motore_Operativo!C223&lt;EDATE(Parametri_v3!$C$24,Parametri_v3!$C$25+Ipotesi!F14*12)),MAX(0,Motore_Operativo!CE223)*Piano_SS!$D$8,0))</f>
        <v>50000</v>
      </c>
      <c r="BY223" s="15" t="n">
        <f aca="false">MIN(Piano_SS!$C$9,(BY222)+IF(AND(Motore_Operativo!C223&gt;=EDATE(Parametri_v3!$C$24,Ipotesi!F14*12),Motore_Operativo!C223&lt;EDATE(Parametri_v3!$C$24,Parametri_v3!$C$25+Ipotesi!F14*12)),MAX(0,((IF(39-(INT((Ipotesi!$C$91)/30))&lt;1,0,INDEX(Motore_Operativo!$BQ$185:$BQ$244,MAX(1,39-(INT((Ipotesi!$C$91)/30)))))*(1-(MOD((Ipotesi!$C$91),30)/30))+IF(39-(INT((Ipotesi!$C$91)/30))-1&lt;1,0,INDEX(Motore_Operativo!$BQ$185:$BQ$244,MAX(1,39-(INT((Ipotesi!$C$91)/30))-1)))*(MOD((Ipotesi!$C$91),30)/30))+(IF(39-(INT((Ipotesi!$C$91)/30))&lt;1,0,INDEX(Motore_Operativo!$BR$185:$BR$244,MAX(1,39-(INT((Ipotesi!$C$91)/30)))))*(1-(MOD((Ipotesi!$C$91),30)/30))+IF(39-(INT((Ipotesi!$C$91)/30))-1&lt;1,0,INDEX(Motore_Operativo!$BR$185:$BR$244,MAX(1,39-(INT((Ipotesi!$C$91)/30))-1)))*(MOD((Ipotesi!$C$91),30)/30))))*Piano_SS!$D$9,0))</f>
        <v>40000</v>
      </c>
      <c r="BZ223" s="15" t="n">
        <f aca="false">MIN(Piano_SS!$C$10,(BZ222)+IF(AND(Motore_Operativo!C223&gt;=EDATE(Parametri_v3!$C$24,Ipotesi!F14*12),Motore_Operativo!C223&lt;EDATE(Parametri_v3!$C$24,Parametri_v3!$C$25+Ipotesi!F14*12)),MAX(0,(IF(39-(INT((Ipotesi!$C$91)/30))&lt;1,0,INDEX(Motore_Operativo!$BO$185:$BO$244,MAX(1,39-(INT((Ipotesi!$C$91)/30)))))*(1-(MOD((Ipotesi!$C$91),30)/30))+IF(39-(INT((Ipotesi!$C$91)/30))-1&lt;1,0,INDEX(Motore_Operativo!$BO$185:$BO$244,MAX(1,39-(INT((Ipotesi!$C$91)/30))-1)))*(MOD((Ipotesi!$C$91),30)/30)))*Piano_SS!$D$10,0))</f>
        <v>30000</v>
      </c>
      <c r="CA223" s="15" t="n">
        <f aca="false">SUM(BV223:BZ223)</f>
        <v>460007.7746801</v>
      </c>
      <c r="CB223" s="15" t="n">
        <f aca="false">BV223*(1-Piano_SS!$E$6)+BW223*(1-Piano_SS!$E$7)+BX223*(1-Piano_SS!$E$8)+BY223*(1-Piano_SS!$E$9)+BZ223*(1-Piano_SS!$E$10)</f>
        <v>430007.7746801</v>
      </c>
      <c r="CC223" s="15" t="n">
        <f aca="false">(CC222)+BA223</f>
        <v>280000</v>
      </c>
      <c r="CD223" s="15" t="n">
        <f aca="false">IF(CA223=0,0,CC223*CB223/CA223*Ipotesi!$C$103*Parametri_v3!$C$64)</f>
        <v>78521.8317195781</v>
      </c>
      <c r="CE223" s="18" t="n">
        <f aca="false">IF(BA223&gt;0,Motore_Operativo!C223,(CE222))</f>
        <v>47453</v>
      </c>
      <c r="CF223" s="18" t="n">
        <f aca="false">IF(AND(CC223&gt;0,OR(CC223&gt;=CG223-0.01,Motore_Operativo!C223&gt;=EDATE(MAX(Finanziamenti!$D$15:$D$17),Ipotesi!F14*12))),CE223,0)</f>
        <v>0</v>
      </c>
      <c r="CG223" s="15" t="n">
        <f aca="false">IF(AND(4&lt;&gt;6,4&lt;&gt;9,Finanziamenti!$F$11=1,OR(Parametri_v3!$C$6=0,Finanziamenti!$E$11=1)),MIN(Finanziamenti!$C$11,Piano_SS!$C$12*Ipotesi!$C$102),0)</f>
        <v>400000</v>
      </c>
      <c r="CH223" s="15" t="n">
        <f aca="false">IF(AND(AND(4&lt;&gt;8,4&lt;&gt;9,Finanziamenti!$F$10=1,OR(Parametri_v3!$C$6=0,Finanziamenti!$E$10=1)),Motore_Operativo!C223&gt;=Finanziamenti!$D$10,Motore_Operativo!C223&lt;Parametri_v3!$C$63),Finanziamenti!$C$10,0)</f>
        <v>150000</v>
      </c>
    </row>
    <row r="224" customFormat="false" ht="18" hidden="false" customHeight="true" outlineLevel="0" collapsed="false">
      <c r="A224" s="68" t="n">
        <f aca="false">4</f>
        <v>4</v>
      </c>
      <c r="B224" s="68" t="n">
        <f aca="false">40</f>
        <v>40</v>
      </c>
      <c r="C224" s="18" t="n">
        <f aca="false">Motore_Operativo!C224</f>
        <v>47574</v>
      </c>
      <c r="D224" s="68" t="n">
        <f aca="false">Motore_Operativo!D224</f>
        <v>2030</v>
      </c>
      <c r="E224" s="68" t="n">
        <f aca="false">Motore_Operativo!E224</f>
        <v>4</v>
      </c>
      <c r="F224" s="15" t="n">
        <f aca="false">Motore_Operativo!AQ224+Motore_Operativo!BF224</f>
        <v>58663.1982768269</v>
      </c>
      <c r="G224" s="15" t="n">
        <f aca="false">Motore_Operativo!BH224</f>
        <v>4558.125</v>
      </c>
      <c r="H224" s="15" t="n">
        <f aca="false">Motore_Operativo!BI224</f>
        <v>63221.3232768269</v>
      </c>
      <c r="I224" s="15" t="n">
        <f aca="false">Motore_Operativo!CA224</f>
        <v>150300.242133756</v>
      </c>
      <c r="J224" s="15" t="n">
        <f aca="false">Motore_Operativo!CC224</f>
        <v>-87078.9188569289</v>
      </c>
      <c r="K224" s="15" t="n">
        <f aca="false">Motore_Operativo!CE224</f>
        <v>3333.33333333333</v>
      </c>
      <c r="L224" s="15" t="n">
        <f aca="false">SUM(INDEX($K$185:$K$244,MAX(1,40-Parametri_v3!$C$59+1)):K224)/Parametri_v3!$C$59</f>
        <v>2268.51851851852</v>
      </c>
      <c r="M224" s="15" t="n">
        <f aca="false">J224-L224</f>
        <v>-89347.4373754474</v>
      </c>
      <c r="N224" s="15" t="n">
        <f aca="false">CD224-(CD223)</f>
        <v>36.6621400725271</v>
      </c>
      <c r="O224" s="15" t="n">
        <f aca="false">(BG223)*Ipotesi!$C$110/12+CH224*Parametri_v3!$C$39/12</f>
        <v>750</v>
      </c>
      <c r="P224" s="15" t="n">
        <f aca="false">M224+N224-O224</f>
        <v>-90060.7752353749</v>
      </c>
      <c r="Q224" s="15" t="n">
        <f aca="false">SUM(P221:P224)+Parametri_v3!$C$54*4/12</f>
        <v>-368911.942290954</v>
      </c>
      <c r="R224" s="15" t="n">
        <f aca="false">Z220</f>
        <v>1696169.7446533</v>
      </c>
      <c r="S224" s="15" t="n">
        <f aca="false">AA220</f>
        <v>0</v>
      </c>
      <c r="T224" s="15" t="n">
        <f aca="false">MIN(R224,MAX(0,Q224))</f>
        <v>0</v>
      </c>
      <c r="U224" s="15" t="n">
        <f aca="false">MIN(S224,MAX(0,Q224-T224)*Parametri_v3!$C$42)</f>
        <v>0</v>
      </c>
      <c r="V224" s="15" t="n">
        <f aca="false">MAX(0,Q224-T224-U224)*Ipotesi!$C$92</f>
        <v>0</v>
      </c>
      <c r="W224" s="15" t="n">
        <f aca="false">MAX(0,SUM(M221:M224)+Parametri_v3!$C$55*4/12)*Ipotesi!$C$93</f>
        <v>0</v>
      </c>
      <c r="X224" s="15" t="n">
        <f aca="false">V224+W224-(V223+W223)</f>
        <v>0</v>
      </c>
      <c r="Y224" s="15" t="n">
        <f aca="false">P224-X224</f>
        <v>-90060.7752353749</v>
      </c>
      <c r="Z224" s="15" t="n">
        <f aca="false">R224-T224+IF(AND(Parametri_v3!$C$40=1,D224-YEAR(Parametri_v3!$C$50)&lt;Parametri_v3!$C$41),MAX(0,-Q224),0)</f>
        <v>1696169.7446533</v>
      </c>
      <c r="AA224" s="15" t="n">
        <f aca="false">S224-U224+IF(AND(Parametri_v3!$C$40=1,D224-YEAR(Parametri_v3!$C$50)&lt;Parametri_v3!$C$41),0,MAX(0,-Q224))</f>
        <v>368911.942290954</v>
      </c>
      <c r="AB224" s="15" t="n">
        <f aca="false">F224*(1+Parametri_v3!$C$26)</f>
        <v>71569.1018977288</v>
      </c>
      <c r="AC224" s="15" t="n">
        <f aca="false">(IF(40-(INT((Motore_Operativo!L224)/30))&lt;1,0,INDEX(Motore_Startup!$AB$185:$AB$244,MAX(1,40-(INT((Motore_Operativo!L224)/30)))))*(1-(MOD((Motore_Operativo!L224),30)/30))+IF(40-(INT((Motore_Operativo!L224)/30))-1&lt;1,0,INDEX(Motore_Startup!$AB$185:$AB$244,MAX(1,40-(INT((Motore_Operativo!L224)/30))-1)))*(MOD((Motore_Operativo!L224),30)/30))</f>
        <v>47339.4980778952</v>
      </c>
      <c r="AD224" s="15" t="n">
        <f aca="false">(AD223)+AB224-AC224</f>
        <v>273465.077465043</v>
      </c>
      <c r="AE224" s="15" t="n">
        <f aca="false">Motore_Operativo!BH224*(1+Parametri_v3!$C$26)</f>
        <v>5560.9125</v>
      </c>
      <c r="AF224" s="15" t="n">
        <f aca="false">(IF(40-(INT((Parametri_v3!$C$29)/30))&lt;1,0,INDEX(Motore_Operativo!$BH$185:$BH$244,MAX(1,40-(INT((Parametri_v3!$C$29)/30)))))*(1-(MOD((Parametri_v3!$C$29),30)/30))+IF(40-(INT((Parametri_v3!$C$29)/30))-1&lt;1,0,INDEX(Motore_Operativo!$BH$185:$BH$244,MAX(1,40-(INT((Parametri_v3!$C$29)/30))-1)))*(MOD((Parametri_v3!$C$29),30)/30))*(1+Parametri_v3!$C$26)</f>
        <v>5560.9125</v>
      </c>
      <c r="AG224" s="15" t="n">
        <f aca="false">(AG223)+AE224-AF224</f>
        <v>5560.9125</v>
      </c>
      <c r="AH224" s="15" t="n">
        <f aca="false">(Motore_Operativo!CJ224)*(1+Parametri_v3!$C$27*Parametri_v3!$C$26)</f>
        <v>63892.8367542265</v>
      </c>
      <c r="AI224" s="15" t="n">
        <f aca="false">(IF(40-(INT((Ipotesi!$C$91)/30))&lt;1,0,INDEX(Motore_Startup!$AH$185:$AH$244,MAX(1,40-(INT((Ipotesi!$C$91)/30)))))*(1-(MOD((Ipotesi!$C$91),30)/30))+IF(40-(INT((Ipotesi!$C$91)/30))-1&lt;1,0,INDEX(Motore_Startup!$AH$185:$AH$244,MAX(1,40-(INT((Ipotesi!$C$91)/30))-1)))*(MOD((Ipotesi!$C$91),30)/30))</f>
        <v>63311.9252369233</v>
      </c>
      <c r="AJ224" s="15" t="n">
        <f aca="false">(AJ223)+AH224-AI224</f>
        <v>127469.724912954</v>
      </c>
      <c r="AK224" s="15" t="n">
        <f aca="false">(F224+ Motore_Operativo!BH224-(Motore_Operativo!CJ224)*Parametri_v3!$C$27-Motore_Operativo!CE224)*Parametri_v3!$C$26</f>
        <v>3109.67920876458</v>
      </c>
      <c r="AL224" s="15" t="n">
        <f aca="false">MAX(0,(AM223))</f>
        <v>0</v>
      </c>
      <c r="AM224" s="15" t="n">
        <f aca="false">(AM223)+AK224-AL224</f>
        <v>-9925.11533442686</v>
      </c>
      <c r="AN224" s="15" t="n">
        <f aca="false">SUM(X209:X220)</f>
        <v>0</v>
      </c>
      <c r="AO224" s="15" t="n">
        <f aca="false">SUM(AP209:AP220)</f>
        <v>0</v>
      </c>
      <c r="AP224" s="15" t="n">
        <f aca="false">MAX(0,AN224)*IF(4=Parametri_v3!$C$43,Parametri_v3!$C$45,IF(4=Parametri_v3!$C$44,1-Parametri_v3!$C$45,0))</f>
        <v>0</v>
      </c>
      <c r="AQ224" s="15" t="n">
        <f aca="false">MAX(0,AP224+IF(4=Parametri_v3!$C$43,MAX(0,AN224-AO224),0)-MAX(0,-(AR223)))</f>
        <v>0</v>
      </c>
      <c r="AR224" s="15" t="n">
        <f aca="false">(AR223)+X224-AQ224</f>
        <v>0</v>
      </c>
      <c r="AS224" s="15" t="n">
        <f aca="false">Motore_Operativo!AB224-AT224+AU224</f>
        <v>91649.4297604167</v>
      </c>
      <c r="AT224" s="15" t="n">
        <f aca="false">Motore_Operativo!CH224</f>
        <v>4823.65419791667</v>
      </c>
      <c r="AU224" s="15" t="n">
        <f aca="false">MIN(MAX(0,(AV223)+AT224),Parametri_v3!$C$60/12)</f>
        <v>0</v>
      </c>
      <c r="AV224" s="15" t="n">
        <f aca="false">(AV223)+AT224-AU224</f>
        <v>98466.3167916667</v>
      </c>
      <c r="AW224" s="15" t="n">
        <f aca="false">IF(AND(Motore_Operativo!C224=Finanziamenti!$D$6,Finanziamenti!$F$6=1),Finanziamenti!$C$6,0)</f>
        <v>0</v>
      </c>
      <c r="AX224" s="15" t="n">
        <f aca="false">IF(AND(4&lt;&gt;7,4&lt;&gt;9,Finanziamenti!$F$8=1,OR(Parametri_v3!$C$6=0,Finanziamenti!$E$8=1),Motore_Operativo!C224=EDATE(Finanziamenti!$D$8,Ipotesi!F15*12)),Finanziamenti!$C$8*1,0)+IF(AND(4&lt;&gt;7,4&lt;&gt;9,Finanziamenti!$F$9=1,OR(Parametri_v3!$C$6=0,Finanziamenti!$E$9=1),Motore_Operativo!C224=EDATE(Finanziamenti!$D$9,Ipotesi!F15*12)),Finanziamenti!$C$9*Ipotesi!F16,0)</f>
        <v>0</v>
      </c>
      <c r="AY224" s="15" t="n">
        <f aca="false">0</f>
        <v>0</v>
      </c>
      <c r="AZ224" s="15" t="n">
        <f aca="false">Motore_Advisory!AY224*(1-Ipotesi!$C$95)*Ipotesi!$C$96</f>
        <v>0</v>
      </c>
      <c r="BA224" s="15" t="n">
        <f aca="false">MAX(0,MIN(CG224*MIN(1,IF(Motore_Operativo!C224&gt;=EDATE(Finanziamenti!$D$15,Ipotesi!F14*12),Finanziamenti!$C$15,0)+IF(Motore_Operativo!C224&gt;=EDATE(Finanziamenti!$D$16,Ipotesi!F14*12),Finanziamenti!$C$16,0)+IF(Motore_Operativo!C224&gt;=EDATE(Finanziamenti!$D$17,Ipotesi!F14*12),Finanziamenti!$C$17,0)),CA224*Ipotesi!$C$102)-(CC223))</f>
        <v>0</v>
      </c>
      <c r="BB224" s="15" t="n">
        <f aca="false">IF(AND(CF224&gt;0,Motore_Operativo!C224&gt;=IF(CF224=0,0,EDATE(CF224,Parametri_v3!$C$37)),MOD(((D224-YEAR(IF(CF224=0,0,EDATE(CF224,Parametri_v3!$C$37))))*12+E224-MONTH(IF(CF224=0,0,EDATE(CF224,Parametri_v3!$C$37)))),Parametri_v3!$C$38)=0),MIN(MAX(0,(BC223)+BA224-N224),(CC224-CD224)/(Ipotesi!$C$108*12/Parametri_v3!$C$38)),0)</f>
        <v>0</v>
      </c>
      <c r="BC224" s="15" t="n">
        <f aca="false">(BC223)+BA224-N224-BB224</f>
        <v>201441.506140349</v>
      </c>
      <c r="BD224" s="15" t="n">
        <f aca="false">(BH223)+AC224+AF224-AI224-AS224-K224*(1+Parametri_v3!$C$26)-AL224-AQ224-O224+AW224+AX224+AZ224+BA224-BB224</f>
        <v>-1390983.94810246</v>
      </c>
      <c r="BE224" s="15" t="n">
        <f aca="false">MAX(0,MIN(MAX(0,CH224-(BG223)),Parametri_v3!$C$30-BD224))</f>
        <v>0</v>
      </c>
      <c r="BF224" s="15" t="n">
        <f aca="false">IF(Motore_Operativo!C224&gt;=Parametri_v3!$C$63,(BG223),MIN((BG223),MAX(0,BD224-Parametri_v3!$C$30)))</f>
        <v>0</v>
      </c>
      <c r="BG224" s="15" t="n">
        <f aca="false">(BG223)+BE224-BF224</f>
        <v>150000</v>
      </c>
      <c r="BH224" s="15" t="n">
        <f aca="false">BD224+BE224-BF224-AY224</f>
        <v>-1390983.94810246</v>
      </c>
      <c r="BI224" s="15" t="n">
        <f aca="false">MAX(0,Parametri_v3!$C$30-BH224)</f>
        <v>1415983.94810246</v>
      </c>
      <c r="BJ224" s="15" t="n">
        <f aca="false">(BJ223)+K224</f>
        <v>88333.3333333333</v>
      </c>
      <c r="BK224" s="15" t="n">
        <f aca="false">(BK223)+L224</f>
        <v>44004.6296296296</v>
      </c>
      <c r="BL224" s="15" t="n">
        <f aca="false">BJ224-BK224</f>
        <v>44328.7037037037</v>
      </c>
      <c r="BM224" s="15" t="n">
        <f aca="false">(BM223)+Y224</f>
        <v>-2065081.68694426</v>
      </c>
      <c r="BN224" s="15" t="n">
        <f aca="false">(BN223)+AW224+AX224+AZ224</f>
        <v>430000</v>
      </c>
      <c r="BO224" s="15" t="n">
        <f aca="false">(BO223)+AY224</f>
        <v>0</v>
      </c>
      <c r="BP224" s="15" t="n">
        <f aca="false">0</f>
        <v>0</v>
      </c>
      <c r="BQ224" s="15" t="n">
        <f aca="false">BN224+BM224-BO224</f>
        <v>-1635081.68694426</v>
      </c>
      <c r="BR224" s="15" t="n">
        <f aca="false">BH224+AD224+BL224+MAX(0,-AM224)+MAX(0,-AR224)+AG224</f>
        <v>-1057704.13909929</v>
      </c>
      <c r="BS224" s="15" t="n">
        <f aca="false">AJ224+AV224+MAX(0,AM224)+MAX(0,AR224)+BC224+BG224+BQ224</f>
        <v>-1057704.13909929</v>
      </c>
      <c r="BT224" s="15" t="n">
        <f aca="false">BR224-BS224</f>
        <v>0</v>
      </c>
      <c r="BU224" s="15" t="n">
        <f aca="false">BH224-(BD224+BE224-BF224-AY224)</f>
        <v>0</v>
      </c>
      <c r="BV224" s="15" t="n">
        <f aca="false">MIN(Piano_SS!$C$6,(BV223)+IF(AND(Motore_Operativo!C224&gt;=EDATE(Parametri_v3!$C$24,Ipotesi!F14*12),Motore_Operativo!C224&lt;EDATE(Parametri_v3!$C$24,Parametri_v3!$C$25+Ipotesi!F14*12)),MAX(0,(Motore_Operativo!Y224+Motore_Operativo!X224*Parametri_v3!$C$14)*(1-Parametri_v3!$C$32))*Piano_SS!$D$6,0))</f>
        <v>300000</v>
      </c>
      <c r="BW224" s="15" t="n">
        <f aca="false">MIN(Piano_SS!$C$7,(BW223)+IF(AND(Motore_Operativo!C224&gt;=EDATE(Parametri_v3!$C$24,Ipotesi!F14*12),Motore_Operativo!C224&lt;EDATE(Parametri_v3!$C$24,Parametri_v3!$C$25+Ipotesi!F14*12)),MAX(0,(IF(40-(INT((Ipotesi!$C$91)/30))&lt;1,0,INDEX(Motore_Operativo!$BN$185:$BN$244,MAX(1,40-(INT((Ipotesi!$C$91)/30)))))*(1-(MOD((Ipotesi!$C$91),30)/30))+IF(40-(INT((Ipotesi!$C$91)/30))-1&lt;1,0,INDEX(Motore_Operativo!$BN$185:$BN$244,MAX(1,40-(INT((Ipotesi!$C$91)/30))-1)))*(MOD((Ipotesi!$C$91),30)/30)))*Piano_SS!$D$7,0))</f>
        <v>43107.0764239146</v>
      </c>
      <c r="BX224" s="15" t="n">
        <f aca="false">MIN(Piano_SS!$C$8,(BX223)+IF(AND(Motore_Operativo!C224&gt;=EDATE(Parametri_v3!$C$24,Ipotesi!F14*12),Motore_Operativo!C224&lt;EDATE(Parametri_v3!$C$24,Parametri_v3!$C$25+Ipotesi!F14*12)),MAX(0,Motore_Operativo!CE224)*Piano_SS!$D$8,0))</f>
        <v>50000</v>
      </c>
      <c r="BY224" s="15" t="n">
        <f aca="false">MIN(Piano_SS!$C$9,(BY223)+IF(AND(Motore_Operativo!C224&gt;=EDATE(Parametri_v3!$C$24,Ipotesi!F14*12),Motore_Operativo!C224&lt;EDATE(Parametri_v3!$C$24,Parametri_v3!$C$25+Ipotesi!F14*12)),MAX(0,((IF(40-(INT((Ipotesi!$C$91)/30))&lt;1,0,INDEX(Motore_Operativo!$BQ$185:$BQ$244,MAX(1,40-(INT((Ipotesi!$C$91)/30)))))*(1-(MOD((Ipotesi!$C$91),30)/30))+IF(40-(INT((Ipotesi!$C$91)/30))-1&lt;1,0,INDEX(Motore_Operativo!$BQ$185:$BQ$244,MAX(1,40-(INT((Ipotesi!$C$91)/30))-1)))*(MOD((Ipotesi!$C$91),30)/30))+(IF(40-(INT((Ipotesi!$C$91)/30))&lt;1,0,INDEX(Motore_Operativo!$BR$185:$BR$244,MAX(1,40-(INT((Ipotesi!$C$91)/30)))))*(1-(MOD((Ipotesi!$C$91),30)/30))+IF(40-(INT((Ipotesi!$C$91)/30))-1&lt;1,0,INDEX(Motore_Operativo!$BR$185:$BR$244,MAX(1,40-(INT((Ipotesi!$C$91)/30))-1)))*(MOD((Ipotesi!$C$91),30)/30))))*Piano_SS!$D$9,0))</f>
        <v>40000</v>
      </c>
      <c r="BZ224" s="15" t="n">
        <f aca="false">MIN(Piano_SS!$C$10,(BZ223)+IF(AND(Motore_Operativo!C224&gt;=EDATE(Parametri_v3!$C$24,Ipotesi!F14*12),Motore_Operativo!C224&lt;EDATE(Parametri_v3!$C$24,Parametri_v3!$C$25+Ipotesi!F14*12)),MAX(0,(IF(40-(INT((Ipotesi!$C$91)/30))&lt;1,0,INDEX(Motore_Operativo!$BO$185:$BO$244,MAX(1,40-(INT((Ipotesi!$C$91)/30)))))*(1-(MOD((Ipotesi!$C$91),30)/30))+IF(40-(INT((Ipotesi!$C$91)/30))-1&lt;1,0,INDEX(Motore_Operativo!$BO$185:$BO$244,MAX(1,40-(INT((Ipotesi!$C$91)/30))-1)))*(MOD((Ipotesi!$C$91),30)/30)))*Piano_SS!$D$10,0))</f>
        <v>30000</v>
      </c>
      <c r="CA224" s="15" t="n">
        <f aca="false">SUM(BV224:BZ224)</f>
        <v>463107.076423915</v>
      </c>
      <c r="CB224" s="15" t="n">
        <f aca="false">BV224*(1-Piano_SS!$E$6)+BW224*(1-Piano_SS!$E$7)+BX224*(1-Piano_SS!$E$8)+BY224*(1-Piano_SS!$E$9)+BZ224*(1-Piano_SS!$E$10)</f>
        <v>433107.076423915</v>
      </c>
      <c r="CC224" s="15" t="n">
        <f aca="false">(CC223)+BA224</f>
        <v>280000</v>
      </c>
      <c r="CD224" s="15" t="n">
        <f aca="false">IF(CA224=0,0,CC224*CB224/CA224*Ipotesi!$C$103*Parametri_v3!$C$64)</f>
        <v>78558.4938596506</v>
      </c>
      <c r="CE224" s="18" t="n">
        <f aca="false">IF(BA224&gt;0,Motore_Operativo!C224,(CE223))</f>
        <v>47453</v>
      </c>
      <c r="CF224" s="18" t="n">
        <f aca="false">IF(AND(CC224&gt;0,OR(CC224&gt;=CG224-0.01,Motore_Operativo!C224&gt;=EDATE(MAX(Finanziamenti!$D$15:$D$17),Ipotesi!F14*12))),CE224,0)</f>
        <v>0</v>
      </c>
      <c r="CG224" s="15" t="n">
        <f aca="false">IF(AND(4&lt;&gt;6,4&lt;&gt;9,Finanziamenti!$F$11=1,OR(Parametri_v3!$C$6=0,Finanziamenti!$E$11=1)),MIN(Finanziamenti!$C$11,Piano_SS!$C$12*Ipotesi!$C$102),0)</f>
        <v>400000</v>
      </c>
      <c r="CH224" s="15" t="n">
        <f aca="false">IF(AND(AND(4&lt;&gt;8,4&lt;&gt;9,Finanziamenti!$F$10=1,OR(Parametri_v3!$C$6=0,Finanziamenti!$E$10=1)),Motore_Operativo!C224&gt;=Finanziamenti!$D$10,Motore_Operativo!C224&lt;Parametri_v3!$C$63),Finanziamenti!$C$10,0)</f>
        <v>150000</v>
      </c>
    </row>
    <row r="225" customFormat="false" ht="18" hidden="false" customHeight="true" outlineLevel="0" collapsed="false">
      <c r="A225" s="68" t="n">
        <f aca="false">4</f>
        <v>4</v>
      </c>
      <c r="B225" s="68" t="n">
        <f aca="false">41</f>
        <v>41</v>
      </c>
      <c r="C225" s="18" t="n">
        <f aca="false">Motore_Operativo!C225</f>
        <v>47604</v>
      </c>
      <c r="D225" s="68" t="n">
        <f aca="false">Motore_Operativo!D225</f>
        <v>2030</v>
      </c>
      <c r="E225" s="68" t="n">
        <f aca="false">Motore_Operativo!E225</f>
        <v>5</v>
      </c>
      <c r="F225" s="15" t="n">
        <f aca="false">Motore_Operativo!AQ225+Motore_Operativo!BF225</f>
        <v>60868.5693941097</v>
      </c>
      <c r="G225" s="15" t="n">
        <f aca="false">Motore_Operativo!BH225</f>
        <v>4558.125</v>
      </c>
      <c r="H225" s="15" t="n">
        <f aca="false">Motore_Operativo!BI225</f>
        <v>65426.6943941097</v>
      </c>
      <c r="I225" s="15" t="n">
        <f aca="false">Motore_Operativo!CA225</f>
        <v>150608.994090175</v>
      </c>
      <c r="J225" s="15" t="n">
        <f aca="false">Motore_Operativo!CC225</f>
        <v>-85182.2996960656</v>
      </c>
      <c r="K225" s="15" t="n">
        <f aca="false">Motore_Operativo!CE225</f>
        <v>3333.33333333333</v>
      </c>
      <c r="L225" s="15" t="n">
        <f aca="false">SUM(INDEX($K$185:$K$244,MAX(1,41-Parametri_v3!$C$59+1)):K225)/Parametri_v3!$C$59</f>
        <v>2314.81481481482</v>
      </c>
      <c r="M225" s="15" t="n">
        <f aca="false">J225-L225</f>
        <v>-87497.1145108805</v>
      </c>
      <c r="N225" s="15" t="n">
        <f aca="false">CD225-(CD224)</f>
        <v>37.6531873632921</v>
      </c>
      <c r="O225" s="15" t="n">
        <f aca="false">(BG224)*Ipotesi!$C$110/12+CH225*Parametri_v3!$C$39/12</f>
        <v>750</v>
      </c>
      <c r="P225" s="15" t="n">
        <f aca="false">M225+N225-O225</f>
        <v>-88209.4613235172</v>
      </c>
      <c r="Q225" s="15" t="n">
        <f aca="false">SUM(P221:P225)+Parametri_v3!$C$54*5/12</f>
        <v>-457121.403614472</v>
      </c>
      <c r="R225" s="15" t="n">
        <f aca="false">Z220</f>
        <v>1696169.7446533</v>
      </c>
      <c r="S225" s="15" t="n">
        <f aca="false">AA220</f>
        <v>0</v>
      </c>
      <c r="T225" s="15" t="n">
        <f aca="false">MIN(R225,MAX(0,Q225))</f>
        <v>0</v>
      </c>
      <c r="U225" s="15" t="n">
        <f aca="false">MIN(S225,MAX(0,Q225-T225)*Parametri_v3!$C$42)</f>
        <v>0</v>
      </c>
      <c r="V225" s="15" t="n">
        <f aca="false">MAX(0,Q225-T225-U225)*Ipotesi!$C$92</f>
        <v>0</v>
      </c>
      <c r="W225" s="15" t="n">
        <f aca="false">MAX(0,SUM(M221:M225)+Parametri_v3!$C$55*5/12)*Ipotesi!$C$93</f>
        <v>0</v>
      </c>
      <c r="X225" s="15" t="n">
        <f aca="false">V225+W225-(V224+W224)</f>
        <v>0</v>
      </c>
      <c r="Y225" s="15" t="n">
        <f aca="false">P225-X225</f>
        <v>-88209.4613235172</v>
      </c>
      <c r="Z225" s="15" t="n">
        <f aca="false">R225-T225+IF(AND(Parametri_v3!$C$40=1,D225-YEAR(Parametri_v3!$C$50)&lt;Parametri_v3!$C$41),MAX(0,-Q225),0)</f>
        <v>1696169.7446533</v>
      </c>
      <c r="AA225" s="15" t="n">
        <f aca="false">S225-U225+IF(AND(Parametri_v3!$C$40=1,D225-YEAR(Parametri_v3!$C$50)&lt;Parametri_v3!$C$41),0,MAX(0,-Q225))</f>
        <v>457121.403614472</v>
      </c>
      <c r="AB225" s="15" t="n">
        <f aca="false">F225*(1+Parametri_v3!$C$26)</f>
        <v>74259.6546608139</v>
      </c>
      <c r="AC225" s="15" t="n">
        <f aca="false">(IF(41-(INT((Motore_Operativo!L225)/30))&lt;1,0,INDEX(Motore_Startup!$AB$185:$AB$244,MAX(1,41-(INT((Motore_Operativo!L225)/30)))))*(1-(MOD((Motore_Operativo!L225),30)/30))+IF(41-(INT((Motore_Operativo!L225)/30))-1&lt;1,0,INDEX(Motore_Startup!$AB$185:$AB$244,MAX(1,41-(INT((Motore_Operativo!L225)/30))-1)))*(MOD((Motore_Operativo!L225),30)/30))</f>
        <v>65342.0137842443</v>
      </c>
      <c r="AD225" s="15" t="n">
        <f aca="false">(AD224)+AB225-AC225</f>
        <v>282382.718341613</v>
      </c>
      <c r="AE225" s="15" t="n">
        <f aca="false">Motore_Operativo!BH225*(1+Parametri_v3!$C$26)</f>
        <v>5560.9125</v>
      </c>
      <c r="AF225" s="15" t="n">
        <f aca="false">(IF(41-(INT((Parametri_v3!$C$29)/30))&lt;1,0,INDEX(Motore_Operativo!$BH$185:$BH$244,MAX(1,41-(INT((Parametri_v3!$C$29)/30)))))*(1-(MOD((Parametri_v3!$C$29),30)/30))+IF(41-(INT((Parametri_v3!$C$29)/30))-1&lt;1,0,INDEX(Motore_Operativo!$BH$185:$BH$244,MAX(1,41-(INT((Parametri_v3!$C$29)/30))-1)))*(MOD((Parametri_v3!$C$29),30)/30))*(1+Parametri_v3!$C$26)</f>
        <v>5560.9125</v>
      </c>
      <c r="AG225" s="15" t="n">
        <f aca="false">(AG224)+AE225-AF225</f>
        <v>5560.9125</v>
      </c>
      <c r="AH225" s="15" t="n">
        <f aca="false">(Motore_Operativo!CJ225)*(1+Parametri_v3!$C$27*Parametri_v3!$C$26)</f>
        <v>64259.3253264965</v>
      </c>
      <c r="AI225" s="15" t="n">
        <f aca="false">(IF(41-(INT((Ipotesi!$C$91)/30))&lt;1,0,INDEX(Motore_Startup!$AH$185:$AH$244,MAX(1,41-(INT((Ipotesi!$C$91)/30)))))*(1-(MOD((Ipotesi!$C$91),30)/30))+IF(41-(INT((Ipotesi!$C$91)/30))-1&lt;1,0,INDEX(Motore_Startup!$AH$185:$AH$244,MAX(1,41-(INT((Ipotesi!$C$91)/30))-1)))*(MOD((Ipotesi!$C$91),30)/30))</f>
        <v>63576.8881587275</v>
      </c>
      <c r="AJ225" s="15" t="n">
        <f aca="false">(AJ224)+AH225-AI225</f>
        <v>128152.162080723</v>
      </c>
      <c r="AK225" s="15" t="n">
        <f aca="false">(F225+ Motore_Operativo!BH225-(Motore_Operativo!CJ225)*Parametri_v3!$C$27-Motore_Operativo!CE225)*Parametri_v3!$C$26</f>
        <v>3537.12423871635</v>
      </c>
      <c r="AL225" s="15" t="n">
        <f aca="false">MAX(0,(AM224))</f>
        <v>0</v>
      </c>
      <c r="AM225" s="15" t="n">
        <f aca="false">(AM224)+AK225-AL225</f>
        <v>-6387.99109571051</v>
      </c>
      <c r="AN225" s="15" t="n">
        <f aca="false">SUM(X209:X220)</f>
        <v>0</v>
      </c>
      <c r="AO225" s="15" t="n">
        <f aca="false">SUM(AP209:AP220)</f>
        <v>0</v>
      </c>
      <c r="AP225" s="15" t="n">
        <f aca="false">MAX(0,AN225)*IF(5=Parametri_v3!$C$43,Parametri_v3!$C$45,IF(5=Parametri_v3!$C$44,1-Parametri_v3!$C$45,0))</f>
        <v>0</v>
      </c>
      <c r="AQ225" s="15" t="n">
        <f aca="false">MAX(0,AP225+IF(5=Parametri_v3!$C$43,MAX(0,AN225-AO225),0)-MAX(0,-(AR224)))</f>
        <v>0</v>
      </c>
      <c r="AR225" s="15" t="n">
        <f aca="false">(AR224)+X225-AQ225</f>
        <v>0</v>
      </c>
      <c r="AS225" s="15" t="n">
        <f aca="false">Motore_Operativo!AB225-AT225+AU225</f>
        <v>91649.4297604167</v>
      </c>
      <c r="AT225" s="15" t="n">
        <f aca="false">Motore_Operativo!CH225</f>
        <v>4823.65419791667</v>
      </c>
      <c r="AU225" s="15" t="n">
        <f aca="false">MIN(MAX(0,(AV224)+AT225),Parametri_v3!$C$60/12)</f>
        <v>0</v>
      </c>
      <c r="AV225" s="15" t="n">
        <f aca="false">(AV224)+AT225-AU225</f>
        <v>103289.970989583</v>
      </c>
      <c r="AW225" s="15" t="n">
        <f aca="false">IF(AND(Motore_Operativo!C225=Finanziamenti!$D$6,Finanziamenti!$F$6=1),Finanziamenti!$C$6,0)</f>
        <v>0</v>
      </c>
      <c r="AX225" s="15" t="n">
        <f aca="false">IF(AND(4&lt;&gt;7,4&lt;&gt;9,Finanziamenti!$F$8=1,OR(Parametri_v3!$C$6=0,Finanziamenti!$E$8=1),Motore_Operativo!C225=EDATE(Finanziamenti!$D$8,Ipotesi!F15*12)),Finanziamenti!$C$8*1,0)+IF(AND(4&lt;&gt;7,4&lt;&gt;9,Finanziamenti!$F$9=1,OR(Parametri_v3!$C$6=0,Finanziamenti!$E$9=1),Motore_Operativo!C225=EDATE(Finanziamenti!$D$9,Ipotesi!F15*12)),Finanziamenti!$C$9*Ipotesi!F16,0)</f>
        <v>0</v>
      </c>
      <c r="AY225" s="15" t="n">
        <f aca="false">0</f>
        <v>0</v>
      </c>
      <c r="AZ225" s="15" t="n">
        <f aca="false">Motore_Advisory!AY225*(1-Ipotesi!$C$95)*Ipotesi!$C$96</f>
        <v>0</v>
      </c>
      <c r="BA225" s="15" t="n">
        <f aca="false">MAX(0,MIN(CG225*MIN(1,IF(Motore_Operativo!C225&gt;=EDATE(Finanziamenti!$D$15,Ipotesi!F14*12),Finanziamenti!$C$15,0)+IF(Motore_Operativo!C225&gt;=EDATE(Finanziamenti!$D$16,Ipotesi!F14*12),Finanziamenti!$C$16,0)+IF(Motore_Operativo!C225&gt;=EDATE(Finanziamenti!$D$17,Ipotesi!F14*12),Finanziamenti!$C$17,0)),CA225*Ipotesi!$C$102)-(CC224))</f>
        <v>0</v>
      </c>
      <c r="BB225" s="15" t="n">
        <f aca="false">IF(AND(CF225&gt;0,Motore_Operativo!C225&gt;=IF(CF225=0,0,EDATE(CF225,Parametri_v3!$C$37)),MOD(((D225-YEAR(IF(CF225=0,0,EDATE(CF225,Parametri_v3!$C$37))))*12+E225-MONTH(IF(CF225=0,0,EDATE(CF225,Parametri_v3!$C$37)))),Parametri_v3!$C$38)=0),MIN(MAX(0,(BC224)+BA225-N225),(CC225-CD225)/(Ipotesi!$C$108*12/Parametri_v3!$C$38)),0)</f>
        <v>0</v>
      </c>
      <c r="BC225" s="15" t="n">
        <f aca="false">(BC224)+BA225-N225-BB225</f>
        <v>201403.852952986</v>
      </c>
      <c r="BD225" s="15" t="n">
        <f aca="false">(BH224)+AC225+AF225-AI225-AS225-K225*(1+Parametri_v3!$C$26)-AL225-AQ225-O225+AW225+AX225+AZ225+BA225-BB225</f>
        <v>-1480124.00640403</v>
      </c>
      <c r="BE225" s="15" t="n">
        <f aca="false">MAX(0,MIN(MAX(0,CH225-(BG224)),Parametri_v3!$C$30-BD225))</f>
        <v>0</v>
      </c>
      <c r="BF225" s="15" t="n">
        <f aca="false">IF(Motore_Operativo!C225&gt;=Parametri_v3!$C$63,(BG224),MIN((BG224),MAX(0,BD225-Parametri_v3!$C$30)))</f>
        <v>0</v>
      </c>
      <c r="BG225" s="15" t="n">
        <f aca="false">(BG224)+BE225-BF225</f>
        <v>150000</v>
      </c>
      <c r="BH225" s="15" t="n">
        <f aca="false">BD225+BE225-BF225-AY225</f>
        <v>-1480124.00640403</v>
      </c>
      <c r="BI225" s="15" t="n">
        <f aca="false">MAX(0,Parametri_v3!$C$30-BH225)</f>
        <v>1505124.00640403</v>
      </c>
      <c r="BJ225" s="15" t="n">
        <f aca="false">(BJ224)+K225</f>
        <v>91666.6666666666</v>
      </c>
      <c r="BK225" s="15" t="n">
        <f aca="false">(BK224)+L225</f>
        <v>46319.4444444444</v>
      </c>
      <c r="BL225" s="15" t="n">
        <f aca="false">BJ225-BK225</f>
        <v>45347.2222222222</v>
      </c>
      <c r="BM225" s="15" t="n">
        <f aca="false">(BM224)+Y225</f>
        <v>-2153291.14826778</v>
      </c>
      <c r="BN225" s="15" t="n">
        <f aca="false">(BN224)+AW225+AX225+AZ225</f>
        <v>430000</v>
      </c>
      <c r="BO225" s="15" t="n">
        <f aca="false">(BO224)+AY225</f>
        <v>0</v>
      </c>
      <c r="BP225" s="15" t="n">
        <f aca="false">0</f>
        <v>0</v>
      </c>
      <c r="BQ225" s="15" t="n">
        <f aca="false">BN225+BM225-BO225</f>
        <v>-1723291.14826778</v>
      </c>
      <c r="BR225" s="15" t="n">
        <f aca="false">BH225+AD225+BL225+MAX(0,-AM225)+MAX(0,-AR225)+AG225</f>
        <v>-1140445.16224448</v>
      </c>
      <c r="BS225" s="15" t="n">
        <f aca="false">AJ225+AV225+MAX(0,AM225)+MAX(0,AR225)+BC225+BG225+BQ225</f>
        <v>-1140445.16224448</v>
      </c>
      <c r="BT225" s="15" t="n">
        <f aca="false">BR225-BS225</f>
        <v>0</v>
      </c>
      <c r="BU225" s="15" t="n">
        <f aca="false">BH225-(BD225+BE225-BF225-AY225)</f>
        <v>0</v>
      </c>
      <c r="BV225" s="15" t="n">
        <f aca="false">MIN(Piano_SS!$C$6,(BV224)+IF(AND(Motore_Operativo!C225&gt;=EDATE(Parametri_v3!$C$24,Ipotesi!F14*12),Motore_Operativo!C225&lt;EDATE(Parametri_v3!$C$24,Parametri_v3!$C$25+Ipotesi!F14*12)),MAX(0,(Motore_Operativo!Y225+Motore_Operativo!X225*Parametri_v3!$C$14)*(1-Parametri_v3!$C$32))*Piano_SS!$D$6,0))</f>
        <v>300000</v>
      </c>
      <c r="BW225" s="15" t="n">
        <f aca="false">MIN(Piano_SS!$C$7,(BW224)+IF(AND(Motore_Operativo!C225&gt;=EDATE(Parametri_v3!$C$24,Ipotesi!F14*12),Motore_Operativo!C225&lt;EDATE(Parametri_v3!$C$24,Parametri_v3!$C$25+Ipotesi!F14*12)),MAX(0,(IF(41-(INT((Ipotesi!$C$91)/30))&lt;1,0,INDEX(Motore_Operativo!$BN$185:$BN$244,MAX(1,41-(INT((Ipotesi!$C$91)/30)))))*(1-(MOD((Ipotesi!$C$91),30)/30))+IF(41-(INT((Ipotesi!$C$91)/30))-1&lt;1,0,INDEX(Motore_Operativo!$BN$185:$BN$244,MAX(1,41-(INT((Ipotesi!$C$91)/30))-1)))*(MOD((Ipotesi!$C$91),30)/30)))*Piano_SS!$D$7,0))</f>
        <v>46333.932829809</v>
      </c>
      <c r="BX225" s="15" t="n">
        <f aca="false">MIN(Piano_SS!$C$8,(BX224)+IF(AND(Motore_Operativo!C225&gt;=EDATE(Parametri_v3!$C$24,Ipotesi!F14*12),Motore_Operativo!C225&lt;EDATE(Parametri_v3!$C$24,Parametri_v3!$C$25+Ipotesi!F14*12)),MAX(0,Motore_Operativo!CE225)*Piano_SS!$D$8,0))</f>
        <v>50000</v>
      </c>
      <c r="BY225" s="15" t="n">
        <f aca="false">MIN(Piano_SS!$C$9,(BY224)+IF(AND(Motore_Operativo!C225&gt;=EDATE(Parametri_v3!$C$24,Ipotesi!F14*12),Motore_Operativo!C225&lt;EDATE(Parametri_v3!$C$24,Parametri_v3!$C$25+Ipotesi!F14*12)),MAX(0,((IF(41-(INT((Ipotesi!$C$91)/30))&lt;1,0,INDEX(Motore_Operativo!$BQ$185:$BQ$244,MAX(1,41-(INT((Ipotesi!$C$91)/30)))))*(1-(MOD((Ipotesi!$C$91),30)/30))+IF(41-(INT((Ipotesi!$C$91)/30))-1&lt;1,0,INDEX(Motore_Operativo!$BQ$185:$BQ$244,MAX(1,41-(INT((Ipotesi!$C$91)/30))-1)))*(MOD((Ipotesi!$C$91),30)/30))+(IF(41-(INT((Ipotesi!$C$91)/30))&lt;1,0,INDEX(Motore_Operativo!$BR$185:$BR$244,MAX(1,41-(INT((Ipotesi!$C$91)/30)))))*(1-(MOD((Ipotesi!$C$91),30)/30))+IF(41-(INT((Ipotesi!$C$91)/30))-1&lt;1,0,INDEX(Motore_Operativo!$BR$185:$BR$244,MAX(1,41-(INT((Ipotesi!$C$91)/30))-1)))*(MOD((Ipotesi!$C$91),30)/30))))*Piano_SS!$D$9,0))</f>
        <v>40000</v>
      </c>
      <c r="BZ225" s="15" t="n">
        <f aca="false">MIN(Piano_SS!$C$10,(BZ224)+IF(AND(Motore_Operativo!C225&gt;=EDATE(Parametri_v3!$C$24,Ipotesi!F14*12),Motore_Operativo!C225&lt;EDATE(Parametri_v3!$C$24,Parametri_v3!$C$25+Ipotesi!F14*12)),MAX(0,(IF(41-(INT((Ipotesi!$C$91)/30))&lt;1,0,INDEX(Motore_Operativo!$BO$185:$BO$244,MAX(1,41-(INT((Ipotesi!$C$91)/30)))))*(1-(MOD((Ipotesi!$C$91),30)/30))+IF(41-(INT((Ipotesi!$C$91)/30))-1&lt;1,0,INDEX(Motore_Operativo!$BO$185:$BO$244,MAX(1,41-(INT((Ipotesi!$C$91)/30))-1)))*(MOD((Ipotesi!$C$91),30)/30)))*Piano_SS!$D$10,0))</f>
        <v>30000</v>
      </c>
      <c r="CA225" s="15" t="n">
        <f aca="false">SUM(BV225:BZ225)</f>
        <v>466333.932829809</v>
      </c>
      <c r="CB225" s="15" t="n">
        <f aca="false">BV225*(1-Piano_SS!$E$6)+BW225*(1-Piano_SS!$E$7)+BX225*(1-Piano_SS!$E$8)+BY225*(1-Piano_SS!$E$9)+BZ225*(1-Piano_SS!$E$10)</f>
        <v>436333.932829809</v>
      </c>
      <c r="CC225" s="15" t="n">
        <f aca="false">(CC224)+BA225</f>
        <v>280000</v>
      </c>
      <c r="CD225" s="15" t="n">
        <f aca="false">IF(CA225=0,0,CC225*CB225/CA225*Ipotesi!$C$103*Parametri_v3!$C$64)</f>
        <v>78596.1470470139</v>
      </c>
      <c r="CE225" s="18" t="n">
        <f aca="false">IF(BA225&gt;0,Motore_Operativo!C225,(CE224))</f>
        <v>47453</v>
      </c>
      <c r="CF225" s="18" t="n">
        <f aca="false">IF(AND(CC225&gt;0,OR(CC225&gt;=CG225-0.01,Motore_Operativo!C225&gt;=EDATE(MAX(Finanziamenti!$D$15:$D$17),Ipotesi!F14*12))),CE225,0)</f>
        <v>0</v>
      </c>
      <c r="CG225" s="15" t="n">
        <f aca="false">IF(AND(4&lt;&gt;6,4&lt;&gt;9,Finanziamenti!$F$11=1,OR(Parametri_v3!$C$6=0,Finanziamenti!$E$11=1)),MIN(Finanziamenti!$C$11,Piano_SS!$C$12*Ipotesi!$C$102),0)</f>
        <v>400000</v>
      </c>
      <c r="CH225" s="15" t="n">
        <f aca="false">IF(AND(AND(4&lt;&gt;8,4&lt;&gt;9,Finanziamenti!$F$10=1,OR(Parametri_v3!$C$6=0,Finanziamenti!$E$10=1)),Motore_Operativo!C225&gt;=Finanziamenti!$D$10,Motore_Operativo!C225&lt;Parametri_v3!$C$63),Finanziamenti!$C$10,0)</f>
        <v>150000</v>
      </c>
    </row>
    <row r="226" customFormat="false" ht="18" hidden="false" customHeight="true" outlineLevel="0" collapsed="false">
      <c r="A226" s="68" t="n">
        <f aca="false">4</f>
        <v>4</v>
      </c>
      <c r="B226" s="68" t="n">
        <f aca="false">42</f>
        <v>42</v>
      </c>
      <c r="C226" s="18" t="n">
        <f aca="false">Motore_Operativo!C226</f>
        <v>47635</v>
      </c>
      <c r="D226" s="68" t="n">
        <f aca="false">Motore_Operativo!D226</f>
        <v>2030</v>
      </c>
      <c r="E226" s="68" t="n">
        <f aca="false">Motore_Operativo!E226</f>
        <v>6</v>
      </c>
      <c r="F226" s="15" t="n">
        <f aca="false">Motore_Operativo!AQ226+Motore_Operativo!BF226</f>
        <v>63054.6620150746</v>
      </c>
      <c r="G226" s="15" t="n">
        <f aca="false">Motore_Operativo!BH226</f>
        <v>4558.125</v>
      </c>
      <c r="H226" s="15" t="n">
        <f aca="false">Motore_Operativo!BI226</f>
        <v>67612.7870150746</v>
      </c>
      <c r="I226" s="15" t="n">
        <f aca="false">Motore_Operativo!CA226</f>
        <v>150915.04705711</v>
      </c>
      <c r="J226" s="15" t="n">
        <f aca="false">Motore_Operativo!CC226</f>
        <v>-83302.2600420359</v>
      </c>
      <c r="K226" s="15" t="n">
        <f aca="false">Motore_Operativo!CE226</f>
        <v>3333.33333333333</v>
      </c>
      <c r="L226" s="15" t="n">
        <f aca="false">SUM(INDEX($K$185:$K$244,MAX(1,42-Parametri_v3!$C$59+1)):K226)/Parametri_v3!$C$59</f>
        <v>2361.11111111111</v>
      </c>
      <c r="M226" s="15" t="n">
        <f aca="false">J226-L226</f>
        <v>-85663.371153147</v>
      </c>
      <c r="N226" s="15" t="n">
        <f aca="false">CD226-(CD225)</f>
        <v>26934.9462390554</v>
      </c>
      <c r="O226" s="15" t="n">
        <f aca="false">(BG225)*Ipotesi!$C$110/12+CH226*Parametri_v3!$C$39/12</f>
        <v>750</v>
      </c>
      <c r="P226" s="15" t="n">
        <f aca="false">M226+N226-O226</f>
        <v>-59478.4249140916</v>
      </c>
      <c r="Q226" s="15" t="n">
        <f aca="false">SUM(P221:P226)+Parametri_v3!$C$54*6/12</f>
        <v>-516599.828528563</v>
      </c>
      <c r="R226" s="15" t="n">
        <f aca="false">Z220</f>
        <v>1696169.7446533</v>
      </c>
      <c r="S226" s="15" t="n">
        <f aca="false">AA220</f>
        <v>0</v>
      </c>
      <c r="T226" s="15" t="n">
        <f aca="false">MIN(R226,MAX(0,Q226))</f>
        <v>0</v>
      </c>
      <c r="U226" s="15" t="n">
        <f aca="false">MIN(S226,MAX(0,Q226-T226)*Parametri_v3!$C$42)</f>
        <v>0</v>
      </c>
      <c r="V226" s="15" t="n">
        <f aca="false">MAX(0,Q226-T226-U226)*Ipotesi!$C$92</f>
        <v>0</v>
      </c>
      <c r="W226" s="15" t="n">
        <f aca="false">MAX(0,SUM(M221:M226)+Parametri_v3!$C$55*6/12)*Ipotesi!$C$93</f>
        <v>0</v>
      </c>
      <c r="X226" s="15" t="n">
        <f aca="false">V226+W226-(V225+W225)</f>
        <v>0</v>
      </c>
      <c r="Y226" s="15" t="n">
        <f aca="false">P226-X226</f>
        <v>-59478.4249140916</v>
      </c>
      <c r="Z226" s="15" t="n">
        <f aca="false">R226-T226+IF(AND(Parametri_v3!$C$40=1,D226-YEAR(Parametri_v3!$C$50)&lt;Parametri_v3!$C$41),MAX(0,-Q226),0)</f>
        <v>1696169.7446533</v>
      </c>
      <c r="AA226" s="15" t="n">
        <f aca="false">S226-U226+IF(AND(Parametri_v3!$C$40=1,D226-YEAR(Parametri_v3!$C$50)&lt;Parametri_v3!$C$41),0,MAX(0,-Q226))</f>
        <v>516599.828528563</v>
      </c>
      <c r="AB226" s="15" t="n">
        <f aca="false">F226*(1+Parametri_v3!$C$26)</f>
        <v>76926.687658391</v>
      </c>
      <c r="AC226" s="15" t="n">
        <f aca="false">(IF(42-(INT((Motore_Operativo!L226)/30))&lt;1,0,INDEX(Motore_Startup!$AB$185:$AB$244,MAX(1,42-(INT((Motore_Operativo!L226)/30)))))*(1-(MOD((Motore_Operativo!L226),30)/30))+IF(42-(INT((Motore_Operativo!L226)/30))-1&lt;1,0,INDEX(Motore_Startup!$AB$185:$AB$244,MAX(1,42-(INT((Motore_Operativo!L226)/30))-1)))*(MOD((Motore_Operativo!L226),30)/30))</f>
        <v>67304.3765931808</v>
      </c>
      <c r="AD226" s="15" t="n">
        <f aca="false">(AD225)+AB226-AC226</f>
        <v>292005.029406823</v>
      </c>
      <c r="AE226" s="15" t="n">
        <f aca="false">Motore_Operativo!BH226*(1+Parametri_v3!$C$26)</f>
        <v>5560.9125</v>
      </c>
      <c r="AF226" s="15" t="n">
        <f aca="false">(IF(42-(INT((Parametri_v3!$C$29)/30))&lt;1,0,INDEX(Motore_Operativo!$BH$185:$BH$244,MAX(1,42-(INT((Parametri_v3!$C$29)/30)))))*(1-(MOD((Parametri_v3!$C$29),30)/30))+IF(42-(INT((Parametri_v3!$C$29)/30))-1&lt;1,0,INDEX(Motore_Operativo!$BH$185:$BH$244,MAX(1,42-(INT((Parametri_v3!$C$29)/30))-1)))*(MOD((Parametri_v3!$C$29),30)/30))*(1+Parametri_v3!$C$26)</f>
        <v>5560.9125</v>
      </c>
      <c r="AG226" s="15" t="n">
        <f aca="false">(AG225)+AE226-AF226</f>
        <v>5560.9125</v>
      </c>
      <c r="AH226" s="15" t="n">
        <f aca="false">(Motore_Operativo!CJ226)*(1+Parametri_v3!$C$27*Parametri_v3!$C$26)</f>
        <v>64622.6101982484</v>
      </c>
      <c r="AI226" s="15" t="n">
        <f aca="false">(IF(42-(INT((Ipotesi!$C$91)/30))&lt;1,0,INDEX(Motore_Startup!$AH$185:$AH$244,MAX(1,42-(INT((Ipotesi!$C$91)/30)))))*(1-(MOD((Ipotesi!$C$91),30)/30))+IF(42-(INT((Ipotesi!$C$91)/30))-1&lt;1,0,INDEX(Motore_Startup!$AH$185:$AH$244,MAX(1,42-(INT((Ipotesi!$C$91)/30))-1)))*(MOD((Ipotesi!$C$91),30)/30))</f>
        <v>63892.8367542265</v>
      </c>
      <c r="AJ226" s="15" t="n">
        <f aca="false">(AJ225)+AH226-AI226</f>
        <v>128881.935524745</v>
      </c>
      <c r="AK226" s="15" t="n">
        <f aca="false">(F226+ Motore_Operativo!BH226-(Motore_Operativo!CJ226)*Parametri_v3!$C$27-Motore_Operativo!CE226)*Parametri_v3!$C$26</f>
        <v>3960.83271051175</v>
      </c>
      <c r="AL226" s="15" t="n">
        <f aca="false">MAX(0,(AM225))</f>
        <v>0</v>
      </c>
      <c r="AM226" s="15" t="n">
        <f aca="false">(AM225)+AK226-AL226</f>
        <v>-2427.15838519876</v>
      </c>
      <c r="AN226" s="15" t="n">
        <f aca="false">SUM(X209:X220)</f>
        <v>0</v>
      </c>
      <c r="AO226" s="15" t="n">
        <f aca="false">SUM(AP209:AP220)</f>
        <v>0</v>
      </c>
      <c r="AP226" s="15" t="n">
        <f aca="false">MAX(0,AN226)*IF(6=Parametri_v3!$C$43,Parametri_v3!$C$45,IF(6=Parametri_v3!$C$44,1-Parametri_v3!$C$45,0))</f>
        <v>0</v>
      </c>
      <c r="AQ226" s="15" t="n">
        <f aca="false">MAX(0,AP226+IF(6=Parametri_v3!$C$43,MAX(0,AN226-AO226),0)-MAX(0,-(AR225)))</f>
        <v>0</v>
      </c>
      <c r="AR226" s="15" t="n">
        <f aca="false">(AR225)+X226-AQ226</f>
        <v>0</v>
      </c>
      <c r="AS226" s="15" t="n">
        <f aca="false">Motore_Operativo!AB226-AT226+AU226</f>
        <v>91649.4297604167</v>
      </c>
      <c r="AT226" s="15" t="n">
        <f aca="false">Motore_Operativo!CH226</f>
        <v>4823.65419791667</v>
      </c>
      <c r="AU226" s="15" t="n">
        <f aca="false">MIN(MAX(0,(AV225)+AT226),Parametri_v3!$C$60/12)</f>
        <v>0</v>
      </c>
      <c r="AV226" s="15" t="n">
        <f aca="false">(AV225)+AT226-AU226</f>
        <v>108113.6251875</v>
      </c>
      <c r="AW226" s="15" t="n">
        <f aca="false">IF(AND(Motore_Operativo!C226=Finanziamenti!$D$6,Finanziamenti!$F$6=1),Finanziamenti!$C$6,0)</f>
        <v>0</v>
      </c>
      <c r="AX226" s="15" t="n">
        <f aca="false">IF(AND(4&lt;&gt;7,4&lt;&gt;9,Finanziamenti!$F$8=1,OR(Parametri_v3!$C$6=0,Finanziamenti!$E$8=1),Motore_Operativo!C226=EDATE(Finanziamenti!$D$8,Ipotesi!F15*12)),Finanziamenti!$C$8*1,0)+IF(AND(4&lt;&gt;7,4&lt;&gt;9,Finanziamenti!$F$9=1,OR(Parametri_v3!$C$6=0,Finanziamenti!$E$9=1),Motore_Operativo!C226=EDATE(Finanziamenti!$D$9,Ipotesi!F15*12)),Finanziamenti!$C$9*Ipotesi!F16,0)</f>
        <v>0</v>
      </c>
      <c r="AY226" s="15" t="n">
        <f aca="false">0</f>
        <v>0</v>
      </c>
      <c r="AZ226" s="15" t="n">
        <f aca="false">Motore_Advisory!AY226*(1-Ipotesi!$C$95)*Ipotesi!$C$96</f>
        <v>0</v>
      </c>
      <c r="BA226" s="15" t="n">
        <f aca="false">MAX(0,MIN(CG226*MIN(1,IF(Motore_Operativo!C226&gt;=EDATE(Finanziamenti!$D$15,Ipotesi!F14*12),Finanziamenti!$C$15,0)+IF(Motore_Operativo!C226&gt;=EDATE(Finanziamenti!$D$16,Ipotesi!F14*12),Finanziamenti!$C$16,0)+IF(Motore_Operativo!C226&gt;=EDATE(Finanziamenti!$D$17,Ipotesi!F14*12),Finanziamenti!$C$17,0)),CA226*Ipotesi!$C$102)-(CC225))</f>
        <v>95770.3109535641</v>
      </c>
      <c r="BB226" s="15" t="n">
        <f aca="false">IF(AND(CF226&gt;0,Motore_Operativo!C226&gt;=IF(CF226=0,0,EDATE(CF226,Parametri_v3!$C$37)),MOD(((D226-YEAR(IF(CF226=0,0,EDATE(CF226,Parametri_v3!$C$37))))*12+E226-MONTH(IF(CF226=0,0,EDATE(CF226,Parametri_v3!$C$37)))),Parametri_v3!$C$38)=0),MIN(MAX(0,(BC225)+BA226-N226),(CC226-CD226)/(Ipotesi!$C$108*12/Parametri_v3!$C$38)),0)</f>
        <v>0</v>
      </c>
      <c r="BC226" s="15" t="n">
        <f aca="false">(BC225)+BA226-N226-BB226</f>
        <v>270239.217667495</v>
      </c>
      <c r="BD226" s="15" t="n">
        <f aca="false">(BH225)+AC226+AF226-AI226-AS226-K226*(1+Parametri_v3!$C$26)-AL226-AQ226-O226+AW226+AX226+AZ226+BA226-BB226</f>
        <v>-1471847.33953859</v>
      </c>
      <c r="BE226" s="15" t="n">
        <f aca="false">MAX(0,MIN(MAX(0,CH226-(BG225)),Parametri_v3!$C$30-BD226))</f>
        <v>0</v>
      </c>
      <c r="BF226" s="15" t="n">
        <f aca="false">IF(Motore_Operativo!C226&gt;=Parametri_v3!$C$63,(BG225),MIN((BG225),MAX(0,BD226-Parametri_v3!$C$30)))</f>
        <v>0</v>
      </c>
      <c r="BG226" s="15" t="n">
        <f aca="false">(BG225)+BE226-BF226</f>
        <v>150000</v>
      </c>
      <c r="BH226" s="15" t="n">
        <f aca="false">BD226+BE226-BF226-AY226</f>
        <v>-1471847.33953859</v>
      </c>
      <c r="BI226" s="15" t="n">
        <f aca="false">MAX(0,Parametri_v3!$C$30-BH226)</f>
        <v>1496847.33953859</v>
      </c>
      <c r="BJ226" s="15" t="n">
        <f aca="false">(BJ225)+K226</f>
        <v>95000</v>
      </c>
      <c r="BK226" s="15" t="n">
        <f aca="false">(BK225)+L226</f>
        <v>48680.5555555556</v>
      </c>
      <c r="BL226" s="15" t="n">
        <f aca="false">BJ226-BK226</f>
        <v>46319.4444444444</v>
      </c>
      <c r="BM226" s="15" t="n">
        <f aca="false">(BM225)+Y226</f>
        <v>-2212769.57318187</v>
      </c>
      <c r="BN226" s="15" t="n">
        <f aca="false">(BN225)+AW226+AX226+AZ226</f>
        <v>430000</v>
      </c>
      <c r="BO226" s="15" t="n">
        <f aca="false">(BO225)+AY226</f>
        <v>0</v>
      </c>
      <c r="BP226" s="15" t="n">
        <f aca="false">0</f>
        <v>0</v>
      </c>
      <c r="BQ226" s="15" t="n">
        <f aca="false">BN226+BM226-BO226</f>
        <v>-1782769.57318187</v>
      </c>
      <c r="BR226" s="15" t="n">
        <f aca="false">BH226+AD226+BL226+MAX(0,-AM226)+MAX(0,-AR226)+AG226</f>
        <v>-1125534.79480213</v>
      </c>
      <c r="BS226" s="15" t="n">
        <f aca="false">AJ226+AV226+MAX(0,AM226)+MAX(0,AR226)+BC226+BG226+BQ226</f>
        <v>-1125534.79480213</v>
      </c>
      <c r="BT226" s="15" t="n">
        <f aca="false">BR226-BS226</f>
        <v>0</v>
      </c>
      <c r="BU226" s="15" t="n">
        <f aca="false">BH226-(BD226+BE226-BF226-AY226)</f>
        <v>0</v>
      </c>
      <c r="BV226" s="15" t="n">
        <f aca="false">MIN(Piano_SS!$C$6,(BV225)+IF(AND(Motore_Operativo!C226&gt;=EDATE(Parametri_v3!$C$24,Ipotesi!F14*12),Motore_Operativo!C226&lt;EDATE(Parametri_v3!$C$24,Parametri_v3!$C$25+Ipotesi!F14*12)),MAX(0,(Motore_Operativo!Y226+Motore_Operativo!X226*Parametri_v3!$C$14)*(1-Parametri_v3!$C$32))*Piano_SS!$D$6,0))</f>
        <v>300000</v>
      </c>
      <c r="BW226" s="15" t="n">
        <f aca="false">MIN(Piano_SS!$C$7,(BW225)+IF(AND(Motore_Operativo!C226&gt;=EDATE(Parametri_v3!$C$24,Ipotesi!F14*12),Motore_Operativo!C226&lt;EDATE(Parametri_v3!$C$24,Parametri_v3!$C$25+Ipotesi!F14*12)),MAX(0,(IF(42-(INT((Ipotesi!$C$91)/30))&lt;1,0,INDEX(Motore_Operativo!$BN$185:$BN$244,MAX(1,42-(INT((Ipotesi!$C$91)/30)))))*(1-(MOD((Ipotesi!$C$91),30)/30))+IF(42-(INT((Ipotesi!$C$91)/30))-1&lt;1,0,INDEX(Motore_Operativo!$BN$185:$BN$244,MAX(1,42-(INT((Ipotesi!$C$91)/30))-1)))*(MOD((Ipotesi!$C$91),30)/30)))*Piano_SS!$D$7,0))</f>
        <v>49712.8886919552</v>
      </c>
      <c r="BX226" s="15" t="n">
        <f aca="false">MIN(Piano_SS!$C$8,(BX225)+IF(AND(Motore_Operativo!C226&gt;=EDATE(Parametri_v3!$C$24,Ipotesi!F14*12),Motore_Operativo!C226&lt;EDATE(Parametri_v3!$C$24,Parametri_v3!$C$25+Ipotesi!F14*12)),MAX(0,Motore_Operativo!CE226)*Piano_SS!$D$8,0))</f>
        <v>50000</v>
      </c>
      <c r="BY226" s="15" t="n">
        <f aca="false">MIN(Piano_SS!$C$9,(BY225)+IF(AND(Motore_Operativo!C226&gt;=EDATE(Parametri_v3!$C$24,Ipotesi!F14*12),Motore_Operativo!C226&lt;EDATE(Parametri_v3!$C$24,Parametri_v3!$C$25+Ipotesi!F14*12)),MAX(0,((IF(42-(INT((Ipotesi!$C$91)/30))&lt;1,0,INDEX(Motore_Operativo!$BQ$185:$BQ$244,MAX(1,42-(INT((Ipotesi!$C$91)/30)))))*(1-(MOD((Ipotesi!$C$91),30)/30))+IF(42-(INT((Ipotesi!$C$91)/30))-1&lt;1,0,INDEX(Motore_Operativo!$BQ$185:$BQ$244,MAX(1,42-(INT((Ipotesi!$C$91)/30))-1)))*(MOD((Ipotesi!$C$91),30)/30))+(IF(42-(INT((Ipotesi!$C$91)/30))&lt;1,0,INDEX(Motore_Operativo!$BR$185:$BR$244,MAX(1,42-(INT((Ipotesi!$C$91)/30)))))*(1-(MOD((Ipotesi!$C$91),30)/30))+IF(42-(INT((Ipotesi!$C$91)/30))-1&lt;1,0,INDEX(Motore_Operativo!$BR$185:$BR$244,MAX(1,42-(INT((Ipotesi!$C$91)/30))-1)))*(MOD((Ipotesi!$C$91),30)/30))))*Piano_SS!$D$9,0))</f>
        <v>40000</v>
      </c>
      <c r="BZ226" s="15" t="n">
        <f aca="false">MIN(Piano_SS!$C$10,(BZ225)+IF(AND(Motore_Operativo!C226&gt;=EDATE(Parametri_v3!$C$24,Ipotesi!F14*12),Motore_Operativo!C226&lt;EDATE(Parametri_v3!$C$24,Parametri_v3!$C$25+Ipotesi!F14*12)),MAX(0,(IF(42-(INT((Ipotesi!$C$91)/30))&lt;1,0,INDEX(Motore_Operativo!$BO$185:$BO$244,MAX(1,42-(INT((Ipotesi!$C$91)/30)))))*(1-(MOD((Ipotesi!$C$91),30)/30))+IF(42-(INT((Ipotesi!$C$91)/30))-1&lt;1,0,INDEX(Motore_Operativo!$BO$185:$BO$244,MAX(1,42-(INT((Ipotesi!$C$91)/30))-1)))*(MOD((Ipotesi!$C$91),30)/30)))*Piano_SS!$D$10,0))</f>
        <v>30000</v>
      </c>
      <c r="CA226" s="15" t="n">
        <f aca="false">SUM(BV226:BZ226)</f>
        <v>469712.888691955</v>
      </c>
      <c r="CB226" s="15" t="n">
        <f aca="false">BV226*(1-Piano_SS!$E$6)+BW226*(1-Piano_SS!$E$7)+BX226*(1-Piano_SS!$E$8)+BY226*(1-Piano_SS!$E$9)+BZ226*(1-Piano_SS!$E$10)</f>
        <v>439712.888691955</v>
      </c>
      <c r="CC226" s="15" t="n">
        <f aca="false">(CC225)+BA226</f>
        <v>375770.310953564</v>
      </c>
      <c r="CD226" s="15" t="n">
        <f aca="false">IF(CA226=0,0,CC226*CB226/CA226*Ipotesi!$C$103*Parametri_v3!$C$64)</f>
        <v>105531.093286069</v>
      </c>
      <c r="CE226" s="18" t="n">
        <f aca="false">IF(BA226&gt;0,Motore_Operativo!C226,(CE225))</f>
        <v>47635</v>
      </c>
      <c r="CF226" s="18" t="n">
        <f aca="false">IF(AND(CC226&gt;0,OR(CC226&gt;=CG226-0.01,Motore_Operativo!C226&gt;=EDATE(MAX(Finanziamenti!$D$15:$D$17),Ipotesi!F14*12))),CE226,0)</f>
        <v>47635</v>
      </c>
      <c r="CG226" s="15" t="n">
        <f aca="false">IF(AND(4&lt;&gt;6,4&lt;&gt;9,Finanziamenti!$F$11=1,OR(Parametri_v3!$C$6=0,Finanziamenti!$E$11=1)),MIN(Finanziamenti!$C$11,Piano_SS!$C$12*Ipotesi!$C$102),0)</f>
        <v>400000</v>
      </c>
      <c r="CH226" s="15" t="n">
        <f aca="false">IF(AND(AND(4&lt;&gt;8,4&lt;&gt;9,Finanziamenti!$F$10=1,OR(Parametri_v3!$C$6=0,Finanziamenti!$E$10=1)),Motore_Operativo!C226&gt;=Finanziamenti!$D$10,Motore_Operativo!C226&lt;Parametri_v3!$C$63),Finanziamenti!$C$10,0)</f>
        <v>150000</v>
      </c>
    </row>
    <row r="227" customFormat="false" ht="18" hidden="false" customHeight="true" outlineLevel="0" collapsed="false">
      <c r="A227" s="68" t="n">
        <f aca="false">4</f>
        <v>4</v>
      </c>
      <c r="B227" s="68" t="n">
        <f aca="false">43</f>
        <v>43</v>
      </c>
      <c r="C227" s="18" t="n">
        <f aca="false">Motore_Operativo!C227</f>
        <v>47665</v>
      </c>
      <c r="D227" s="68" t="n">
        <f aca="false">Motore_Operativo!D227</f>
        <v>2030</v>
      </c>
      <c r="E227" s="68" t="n">
        <f aca="false">Motore_Operativo!E227</f>
        <v>7</v>
      </c>
      <c r="F227" s="15" t="n">
        <f aca="false">Motore_Operativo!AQ227+Motore_Operativo!BF227</f>
        <v>65221.644664836</v>
      </c>
      <c r="G227" s="15" t="n">
        <f aca="false">Motore_Operativo!BH227</f>
        <v>4558.125</v>
      </c>
      <c r="H227" s="15" t="n">
        <f aca="false">Motore_Operativo!BI227</f>
        <v>69779.769664836</v>
      </c>
      <c r="I227" s="15" t="n">
        <f aca="false">Motore_Operativo!CA227</f>
        <v>151218.424628077</v>
      </c>
      <c r="J227" s="15" t="n">
        <f aca="false">Motore_Operativo!CC227</f>
        <v>-81438.654963241</v>
      </c>
      <c r="K227" s="15" t="n">
        <f aca="false">Motore_Operativo!CE227</f>
        <v>3333.33333333333</v>
      </c>
      <c r="L227" s="15" t="n">
        <f aca="false">SUM(INDEX($K$185:$K$244,MAX(1,43-Parametri_v3!$C$59+1)):K227)/Parametri_v3!$C$59</f>
        <v>2407.40740740741</v>
      </c>
      <c r="M227" s="15" t="n">
        <f aca="false">J227-L227</f>
        <v>-83846.0623706484</v>
      </c>
      <c r="N227" s="15" t="n">
        <f aca="false">CD227-(CD226)</f>
        <v>0</v>
      </c>
      <c r="O227" s="15" t="n">
        <f aca="false">(BG226)*Ipotesi!$C$110/12+CH227*Parametri_v3!$C$39/12</f>
        <v>750</v>
      </c>
      <c r="P227" s="15" t="n">
        <f aca="false">M227+N227-O227</f>
        <v>-84596.0623706484</v>
      </c>
      <c r="Q227" s="15" t="n">
        <f aca="false">SUM(P221:P227)+Parametri_v3!$C$54*7/12</f>
        <v>-601195.890899212</v>
      </c>
      <c r="R227" s="15" t="n">
        <f aca="false">Z220</f>
        <v>1696169.7446533</v>
      </c>
      <c r="S227" s="15" t="n">
        <f aca="false">AA220</f>
        <v>0</v>
      </c>
      <c r="T227" s="15" t="n">
        <f aca="false">MIN(R227,MAX(0,Q227))</f>
        <v>0</v>
      </c>
      <c r="U227" s="15" t="n">
        <f aca="false">MIN(S227,MAX(0,Q227-T227)*Parametri_v3!$C$42)</f>
        <v>0</v>
      </c>
      <c r="V227" s="15" t="n">
        <f aca="false">MAX(0,Q227-T227-U227)*Ipotesi!$C$92</f>
        <v>0</v>
      </c>
      <c r="W227" s="15" t="n">
        <f aca="false">MAX(0,SUM(M221:M227)+Parametri_v3!$C$55*7/12)*Ipotesi!$C$93</f>
        <v>0</v>
      </c>
      <c r="X227" s="15" t="n">
        <f aca="false">V227+W227-(V226+W226)</f>
        <v>0</v>
      </c>
      <c r="Y227" s="15" t="n">
        <f aca="false">P227-X227</f>
        <v>-84596.0623706484</v>
      </c>
      <c r="Z227" s="15" t="n">
        <f aca="false">R227-T227+IF(AND(Parametri_v3!$C$40=1,D227-YEAR(Parametri_v3!$C$50)&lt;Parametri_v3!$C$41),MAX(0,-Q227),0)</f>
        <v>1696169.7446533</v>
      </c>
      <c r="AA227" s="15" t="n">
        <f aca="false">S227-U227+IF(AND(Parametri_v3!$C$40=1,D227-YEAR(Parametri_v3!$C$50)&lt;Parametri_v3!$C$41),0,MAX(0,-Q227))</f>
        <v>601195.890899212</v>
      </c>
      <c r="AB227" s="15" t="n">
        <f aca="false">F227*(1+Parametri_v3!$C$26)</f>
        <v>79570.4064910999</v>
      </c>
      <c r="AC227" s="15" t="n">
        <f aca="false">(IF(43-(INT((Motore_Operativo!L227)/30))&lt;1,0,INDEX(Motore_Startup!$AB$185:$AB$244,MAX(1,43-(INT((Motore_Operativo!L227)/30)))))*(1-(MOD((Motore_Operativo!L227),30)/30))+IF(43-(INT((Motore_Operativo!L227)/30))-1&lt;1,0,INDEX(Motore_Startup!$AB$185:$AB$244,MAX(1,43-(INT((Motore_Operativo!L227)/30))-1)))*(MOD((Motore_Operativo!L227),30)/30))</f>
        <v>69249.5851898895</v>
      </c>
      <c r="AD227" s="15" t="n">
        <f aca="false">(AD226)+AB227-AC227</f>
        <v>302325.850708034</v>
      </c>
      <c r="AE227" s="15" t="n">
        <f aca="false">Motore_Operativo!BH227*(1+Parametri_v3!$C$26)</f>
        <v>5560.9125</v>
      </c>
      <c r="AF227" s="15" t="n">
        <f aca="false">(IF(43-(INT((Parametri_v3!$C$29)/30))&lt;1,0,INDEX(Motore_Operativo!$BH$185:$BH$244,MAX(1,43-(INT((Parametri_v3!$C$29)/30)))))*(1-(MOD((Parametri_v3!$C$29),30)/30))+IF(43-(INT((Parametri_v3!$C$29)/30))-1&lt;1,0,INDEX(Motore_Operativo!$BH$185:$BH$244,MAX(1,43-(INT((Parametri_v3!$C$29)/30))-1)))*(MOD((Parametri_v3!$C$29),30)/30))*(1+Parametri_v3!$C$26)</f>
        <v>5560.9125</v>
      </c>
      <c r="AG227" s="15" t="n">
        <f aca="false">(AG226)+AE227-AF227</f>
        <v>5560.9125</v>
      </c>
      <c r="AH227" s="15" t="n">
        <f aca="false">(Motore_Operativo!CJ227)*(1+Parametri_v3!$C$27*Parametri_v3!$C$26)</f>
        <v>64982.7193749858</v>
      </c>
      <c r="AI227" s="15" t="n">
        <f aca="false">(IF(43-(INT((Ipotesi!$C$91)/30))&lt;1,0,INDEX(Motore_Startup!$AH$185:$AH$244,MAX(1,43-(INT((Ipotesi!$C$91)/30)))))*(1-(MOD((Ipotesi!$C$91),30)/30))+IF(43-(INT((Ipotesi!$C$91)/30))-1&lt;1,0,INDEX(Motore_Startup!$AH$185:$AH$244,MAX(1,43-(INT((Ipotesi!$C$91)/30))-1)))*(MOD((Ipotesi!$C$91),30)/30))</f>
        <v>64259.3253264965</v>
      </c>
      <c r="AJ227" s="15" t="n">
        <f aca="false">(AJ226)+AH227-AI227</f>
        <v>129605.329573234</v>
      </c>
      <c r="AK227" s="15" t="n">
        <f aca="false">(F227+ Motore_Operativo!BH227-(Motore_Operativo!CJ227)*Parametri_v3!$C$27-Motore_Operativo!CE227)*Parametri_v3!$C$26</f>
        <v>4380.83728768852</v>
      </c>
      <c r="AL227" s="15" t="n">
        <f aca="false">MAX(0,(AM226))</f>
        <v>0</v>
      </c>
      <c r="AM227" s="15" t="n">
        <f aca="false">(AM226)+AK227-AL227</f>
        <v>1953.67890248976</v>
      </c>
      <c r="AN227" s="15" t="n">
        <f aca="false">SUM(X209:X220)</f>
        <v>0</v>
      </c>
      <c r="AO227" s="15" t="n">
        <f aca="false">SUM(AP209:AP220)</f>
        <v>0</v>
      </c>
      <c r="AP227" s="15" t="n">
        <f aca="false">MAX(0,AN227)*IF(7=Parametri_v3!$C$43,Parametri_v3!$C$45,IF(7=Parametri_v3!$C$44,1-Parametri_v3!$C$45,0))</f>
        <v>0</v>
      </c>
      <c r="AQ227" s="15" t="n">
        <f aca="false">MAX(0,AP227+IF(7=Parametri_v3!$C$43,MAX(0,AN227-AO227),0)-MAX(0,-(AR226)))</f>
        <v>0</v>
      </c>
      <c r="AR227" s="15" t="n">
        <f aca="false">(AR226)+X227-AQ227</f>
        <v>0</v>
      </c>
      <c r="AS227" s="15" t="n">
        <f aca="false">Motore_Operativo!AB227-AT227+AU227</f>
        <v>91649.4297604167</v>
      </c>
      <c r="AT227" s="15" t="n">
        <f aca="false">Motore_Operativo!CH227</f>
        <v>4823.65419791667</v>
      </c>
      <c r="AU227" s="15" t="n">
        <f aca="false">MIN(MAX(0,(AV226)+AT227),Parametri_v3!$C$60/12)</f>
        <v>0</v>
      </c>
      <c r="AV227" s="15" t="n">
        <f aca="false">(AV226)+AT227-AU227</f>
        <v>112937.279385417</v>
      </c>
      <c r="AW227" s="15" t="n">
        <f aca="false">IF(AND(Motore_Operativo!C227=Finanziamenti!$D$6,Finanziamenti!$F$6=1),Finanziamenti!$C$6,0)</f>
        <v>0</v>
      </c>
      <c r="AX227" s="15" t="n">
        <f aca="false">IF(AND(4&lt;&gt;7,4&lt;&gt;9,Finanziamenti!$F$8=1,OR(Parametri_v3!$C$6=0,Finanziamenti!$E$8=1),Motore_Operativo!C227=EDATE(Finanziamenti!$D$8,Ipotesi!F15*12)),Finanziamenti!$C$8*1,0)+IF(AND(4&lt;&gt;7,4&lt;&gt;9,Finanziamenti!$F$9=1,OR(Parametri_v3!$C$6=0,Finanziamenti!$E$9=1),Motore_Operativo!C227=EDATE(Finanziamenti!$D$9,Ipotesi!F15*12)),Finanziamenti!$C$9*Ipotesi!F16,0)</f>
        <v>0</v>
      </c>
      <c r="AY227" s="15" t="n">
        <f aca="false">0</f>
        <v>0</v>
      </c>
      <c r="AZ227" s="15" t="n">
        <f aca="false">Motore_Advisory!AY227*(1-Ipotesi!$C$95)*Ipotesi!$C$96</f>
        <v>0</v>
      </c>
      <c r="BA227" s="15" t="n">
        <f aca="false">MAX(0,MIN(CG227*MIN(1,IF(Motore_Operativo!C227&gt;=EDATE(Finanziamenti!$D$15,Ipotesi!F14*12),Finanziamenti!$C$15,0)+IF(Motore_Operativo!C227&gt;=EDATE(Finanziamenti!$D$16,Ipotesi!F14*12),Finanziamenti!$C$16,0)+IF(Motore_Operativo!C227&gt;=EDATE(Finanziamenti!$D$17,Ipotesi!F14*12),Finanziamenti!$C$17,0)),CA227*Ipotesi!$C$102)-(CC226))</f>
        <v>0</v>
      </c>
      <c r="BB227" s="15" t="n">
        <f aca="false">IF(AND(CF227&gt;0,Motore_Operativo!C227&gt;=IF(CF227=0,0,EDATE(CF227,Parametri_v3!$C$37)),MOD(((D227-YEAR(IF(CF227=0,0,EDATE(CF227,Parametri_v3!$C$37))))*12+E227-MONTH(IF(CF227=0,0,EDATE(CF227,Parametri_v3!$C$37)))),Parametri_v3!$C$38)=0),MIN(MAX(0,(BC226)+BA227-N227),(CC227-CD227)/(Ipotesi!$C$108*12/Parametri_v3!$C$38)),0)</f>
        <v>0</v>
      </c>
      <c r="BC227" s="15" t="n">
        <f aca="false">(BC226)+BA227-N227-BB227</f>
        <v>270239.217667495</v>
      </c>
      <c r="BD227" s="15" t="n">
        <f aca="false">(BH226)+AC227+AF227-AI227-AS227-K227*(1+Parametri_v3!$C$26)-AL227-AQ227-O227+AW227+AX227+AZ227+BA227-BB227</f>
        <v>-1557762.26360228</v>
      </c>
      <c r="BE227" s="15" t="n">
        <f aca="false">MAX(0,MIN(MAX(0,CH227-(BG226)),Parametri_v3!$C$30-BD227))</f>
        <v>0</v>
      </c>
      <c r="BF227" s="15" t="n">
        <f aca="false">IF(Motore_Operativo!C227&gt;=Parametri_v3!$C$63,(BG226),MIN((BG226),MAX(0,BD227-Parametri_v3!$C$30)))</f>
        <v>0</v>
      </c>
      <c r="BG227" s="15" t="n">
        <f aca="false">(BG226)+BE227-BF227</f>
        <v>150000</v>
      </c>
      <c r="BH227" s="15" t="n">
        <f aca="false">BD227+BE227-BF227-AY227</f>
        <v>-1557762.26360228</v>
      </c>
      <c r="BI227" s="15" t="n">
        <f aca="false">MAX(0,Parametri_v3!$C$30-BH227)</f>
        <v>1582762.26360228</v>
      </c>
      <c r="BJ227" s="15" t="n">
        <f aca="false">(BJ226)+K227</f>
        <v>98333.3333333333</v>
      </c>
      <c r="BK227" s="15" t="n">
        <f aca="false">(BK226)+L227</f>
        <v>51087.962962963</v>
      </c>
      <c r="BL227" s="15" t="n">
        <f aca="false">BJ227-BK227</f>
        <v>47245.3703703703</v>
      </c>
      <c r="BM227" s="15" t="n">
        <f aca="false">(BM226)+Y227</f>
        <v>-2297365.63555252</v>
      </c>
      <c r="BN227" s="15" t="n">
        <f aca="false">(BN226)+AW227+AX227+AZ227</f>
        <v>430000</v>
      </c>
      <c r="BO227" s="15" t="n">
        <f aca="false">(BO226)+AY227</f>
        <v>0</v>
      </c>
      <c r="BP227" s="15" t="n">
        <f aca="false">0</f>
        <v>0</v>
      </c>
      <c r="BQ227" s="15" t="n">
        <f aca="false">BN227+BM227-BO227</f>
        <v>-1867365.63555252</v>
      </c>
      <c r="BR227" s="15" t="n">
        <f aca="false">BH227+AD227+BL227+MAX(0,-AM227)+MAX(0,-AR227)+AG227</f>
        <v>-1202630.13002388</v>
      </c>
      <c r="BS227" s="15" t="n">
        <f aca="false">AJ227+AV227+MAX(0,AM227)+MAX(0,AR227)+BC227+BG227+BQ227</f>
        <v>-1202630.13002388</v>
      </c>
      <c r="BT227" s="15" t="n">
        <f aca="false">BR227-BS227</f>
        <v>0</v>
      </c>
      <c r="BU227" s="15" t="n">
        <f aca="false">BH227-(BD227+BE227-BF227-AY227)</f>
        <v>0</v>
      </c>
      <c r="BV227" s="15" t="n">
        <f aca="false">MIN(Piano_SS!$C$6,(BV226)+IF(AND(Motore_Operativo!C227&gt;=EDATE(Parametri_v3!$C$24,Ipotesi!F14*12),Motore_Operativo!C227&lt;EDATE(Parametri_v3!$C$24,Parametri_v3!$C$25+Ipotesi!F14*12)),MAX(0,(Motore_Operativo!Y227+Motore_Operativo!X227*Parametri_v3!$C$14)*(1-Parametri_v3!$C$32))*Piano_SS!$D$6,0))</f>
        <v>300000</v>
      </c>
      <c r="BW227" s="15" t="n">
        <f aca="false">MIN(Piano_SS!$C$7,(BW226)+IF(AND(Motore_Operativo!C227&gt;=EDATE(Parametri_v3!$C$24,Ipotesi!F14*12),Motore_Operativo!C227&lt;EDATE(Parametri_v3!$C$24,Parametri_v3!$C$25+Ipotesi!F14*12)),MAX(0,(IF(43-(INT((Ipotesi!$C$91)/30))&lt;1,0,INDEX(Motore_Operativo!$BN$185:$BN$244,MAX(1,43-(INT((Ipotesi!$C$91)/30)))))*(1-(MOD((Ipotesi!$C$91),30)/30))+IF(43-(INT((Ipotesi!$C$91)/30))-1&lt;1,0,INDEX(Motore_Operativo!$BN$185:$BN$244,MAX(1,43-(INT((Ipotesi!$C$91)/30))-1)))*(MOD((Ipotesi!$C$91),30)/30)))*Piano_SS!$D$7,0))</f>
        <v>49712.8886919552</v>
      </c>
      <c r="BX227" s="15" t="n">
        <f aca="false">MIN(Piano_SS!$C$8,(BX226)+IF(AND(Motore_Operativo!C227&gt;=EDATE(Parametri_v3!$C$24,Ipotesi!F14*12),Motore_Operativo!C227&lt;EDATE(Parametri_v3!$C$24,Parametri_v3!$C$25+Ipotesi!F14*12)),MAX(0,Motore_Operativo!CE227)*Piano_SS!$D$8,0))</f>
        <v>50000</v>
      </c>
      <c r="BY227" s="15" t="n">
        <f aca="false">MIN(Piano_SS!$C$9,(BY226)+IF(AND(Motore_Operativo!C227&gt;=EDATE(Parametri_v3!$C$24,Ipotesi!F14*12),Motore_Operativo!C227&lt;EDATE(Parametri_v3!$C$24,Parametri_v3!$C$25+Ipotesi!F14*12)),MAX(0,((IF(43-(INT((Ipotesi!$C$91)/30))&lt;1,0,INDEX(Motore_Operativo!$BQ$185:$BQ$244,MAX(1,43-(INT((Ipotesi!$C$91)/30)))))*(1-(MOD((Ipotesi!$C$91),30)/30))+IF(43-(INT((Ipotesi!$C$91)/30))-1&lt;1,0,INDEX(Motore_Operativo!$BQ$185:$BQ$244,MAX(1,43-(INT((Ipotesi!$C$91)/30))-1)))*(MOD((Ipotesi!$C$91),30)/30))+(IF(43-(INT((Ipotesi!$C$91)/30))&lt;1,0,INDEX(Motore_Operativo!$BR$185:$BR$244,MAX(1,43-(INT((Ipotesi!$C$91)/30)))))*(1-(MOD((Ipotesi!$C$91),30)/30))+IF(43-(INT((Ipotesi!$C$91)/30))-1&lt;1,0,INDEX(Motore_Operativo!$BR$185:$BR$244,MAX(1,43-(INT((Ipotesi!$C$91)/30))-1)))*(MOD((Ipotesi!$C$91),30)/30))))*Piano_SS!$D$9,0))</f>
        <v>40000</v>
      </c>
      <c r="BZ227" s="15" t="n">
        <f aca="false">MIN(Piano_SS!$C$10,(BZ226)+IF(AND(Motore_Operativo!C227&gt;=EDATE(Parametri_v3!$C$24,Ipotesi!F14*12),Motore_Operativo!C227&lt;EDATE(Parametri_v3!$C$24,Parametri_v3!$C$25+Ipotesi!F14*12)),MAX(0,(IF(43-(INT((Ipotesi!$C$91)/30))&lt;1,0,INDEX(Motore_Operativo!$BO$185:$BO$244,MAX(1,43-(INT((Ipotesi!$C$91)/30)))))*(1-(MOD((Ipotesi!$C$91),30)/30))+IF(43-(INT((Ipotesi!$C$91)/30))-1&lt;1,0,INDEX(Motore_Operativo!$BO$185:$BO$244,MAX(1,43-(INT((Ipotesi!$C$91)/30))-1)))*(MOD((Ipotesi!$C$91),30)/30)))*Piano_SS!$D$10,0))</f>
        <v>30000</v>
      </c>
      <c r="CA227" s="15" t="n">
        <f aca="false">SUM(BV227:BZ227)</f>
        <v>469712.888691955</v>
      </c>
      <c r="CB227" s="15" t="n">
        <f aca="false">BV227*(1-Piano_SS!$E$6)+BW227*(1-Piano_SS!$E$7)+BX227*(1-Piano_SS!$E$8)+BY227*(1-Piano_SS!$E$9)+BZ227*(1-Piano_SS!$E$10)</f>
        <v>439712.888691955</v>
      </c>
      <c r="CC227" s="15" t="n">
        <f aca="false">(CC226)+BA227</f>
        <v>375770.310953564</v>
      </c>
      <c r="CD227" s="15" t="n">
        <f aca="false">IF(CA227=0,0,CC227*CB227/CA227*Ipotesi!$C$103*Parametri_v3!$C$64)</f>
        <v>105531.093286069</v>
      </c>
      <c r="CE227" s="18" t="n">
        <f aca="false">IF(BA227&gt;0,Motore_Operativo!C227,(CE226))</f>
        <v>47635</v>
      </c>
      <c r="CF227" s="18" t="n">
        <f aca="false">IF(AND(CC227&gt;0,OR(CC227&gt;=CG227-0.01,Motore_Operativo!C227&gt;=EDATE(MAX(Finanziamenti!$D$15:$D$17),Ipotesi!F14*12))),CE227,0)</f>
        <v>47635</v>
      </c>
      <c r="CG227" s="15" t="n">
        <f aca="false">IF(AND(4&lt;&gt;6,4&lt;&gt;9,Finanziamenti!$F$11=1,OR(Parametri_v3!$C$6=0,Finanziamenti!$E$11=1)),MIN(Finanziamenti!$C$11,Piano_SS!$C$12*Ipotesi!$C$102),0)</f>
        <v>400000</v>
      </c>
      <c r="CH227" s="15" t="n">
        <f aca="false">IF(AND(AND(4&lt;&gt;8,4&lt;&gt;9,Finanziamenti!$F$10=1,OR(Parametri_v3!$C$6=0,Finanziamenti!$E$10=1)),Motore_Operativo!C227&gt;=Finanziamenti!$D$10,Motore_Operativo!C227&lt;Parametri_v3!$C$63),Finanziamenti!$C$10,0)</f>
        <v>150000</v>
      </c>
    </row>
    <row r="228" customFormat="false" ht="18" hidden="false" customHeight="true" outlineLevel="0" collapsed="false">
      <c r="A228" s="68" t="n">
        <f aca="false">4</f>
        <v>4</v>
      </c>
      <c r="B228" s="68" t="n">
        <f aca="false">44</f>
        <v>44</v>
      </c>
      <c r="C228" s="18" t="n">
        <f aca="false">Motore_Operativo!C228</f>
        <v>47696</v>
      </c>
      <c r="D228" s="68" t="n">
        <f aca="false">Motore_Operativo!D228</f>
        <v>2030</v>
      </c>
      <c r="E228" s="68" t="n">
        <f aca="false">Motore_Operativo!E228</f>
        <v>8</v>
      </c>
      <c r="F228" s="15" t="n">
        <f aca="false">Motore_Operativo!AQ228+Motore_Operativo!BF228</f>
        <v>67369.6843953277</v>
      </c>
      <c r="G228" s="15" t="n">
        <f aca="false">Motore_Operativo!BH228</f>
        <v>4558.125</v>
      </c>
      <c r="H228" s="15" t="n">
        <f aca="false">Motore_Operativo!BI228</f>
        <v>71927.8093953277</v>
      </c>
      <c r="I228" s="15" t="n">
        <f aca="false">Motore_Operativo!CA228</f>
        <v>151519.150190346</v>
      </c>
      <c r="J228" s="15" t="n">
        <f aca="false">Motore_Operativo!CC228</f>
        <v>-79591.3407950182</v>
      </c>
      <c r="K228" s="15" t="n">
        <f aca="false">Motore_Operativo!CE228</f>
        <v>3333.33333333333</v>
      </c>
      <c r="L228" s="15" t="n">
        <f aca="false">SUM(INDEX($K$185:$K$244,MAX(1,44-Parametri_v3!$C$59+1)):K228)/Parametri_v3!$C$59</f>
        <v>2453.7037037037</v>
      </c>
      <c r="M228" s="15" t="n">
        <f aca="false">J228-L228</f>
        <v>-82045.0444987219</v>
      </c>
      <c r="N228" s="15" t="n">
        <f aca="false">CD228-(CD227)</f>
        <v>0</v>
      </c>
      <c r="O228" s="15" t="n">
        <f aca="false">(BG227)*Ipotesi!$C$110/12+CH228*Parametri_v3!$C$39/12</f>
        <v>750</v>
      </c>
      <c r="P228" s="15" t="n">
        <f aca="false">M228+N228-O228</f>
        <v>-82795.0444987219</v>
      </c>
      <c r="Q228" s="15" t="n">
        <f aca="false">SUM(P221:P228)+Parametri_v3!$C$54*8/12</f>
        <v>-683990.935397934</v>
      </c>
      <c r="R228" s="15" t="n">
        <f aca="false">Z220</f>
        <v>1696169.7446533</v>
      </c>
      <c r="S228" s="15" t="n">
        <f aca="false">AA220</f>
        <v>0</v>
      </c>
      <c r="T228" s="15" t="n">
        <f aca="false">MIN(R228,MAX(0,Q228))</f>
        <v>0</v>
      </c>
      <c r="U228" s="15" t="n">
        <f aca="false">MIN(S228,MAX(0,Q228-T228)*Parametri_v3!$C$42)</f>
        <v>0</v>
      </c>
      <c r="V228" s="15" t="n">
        <f aca="false">MAX(0,Q228-T228-U228)*Ipotesi!$C$92</f>
        <v>0</v>
      </c>
      <c r="W228" s="15" t="n">
        <f aca="false">MAX(0,SUM(M221:M228)+Parametri_v3!$C$55*8/12)*Ipotesi!$C$93</f>
        <v>0</v>
      </c>
      <c r="X228" s="15" t="n">
        <f aca="false">V228+W228-(V227+W227)</f>
        <v>0</v>
      </c>
      <c r="Y228" s="15" t="n">
        <f aca="false">P228-X228</f>
        <v>-82795.0444987219</v>
      </c>
      <c r="Z228" s="15" t="n">
        <f aca="false">R228-T228+IF(AND(Parametri_v3!$C$40=1,D228-YEAR(Parametri_v3!$C$50)&lt;Parametri_v3!$C$41),MAX(0,-Q228),0)</f>
        <v>1696169.7446533</v>
      </c>
      <c r="AA228" s="15" t="n">
        <f aca="false">S228-U228+IF(AND(Parametri_v3!$C$40=1,D228-YEAR(Parametri_v3!$C$50)&lt;Parametri_v3!$C$41),0,MAX(0,-Q228))</f>
        <v>683990.935397934</v>
      </c>
      <c r="AB228" s="15" t="n">
        <f aca="false">F228*(1+Parametri_v3!$C$26)</f>
        <v>82191.0149622997</v>
      </c>
      <c r="AC228" s="15" t="n">
        <f aca="false">(IF(44-(INT((Motore_Operativo!L228)/30))&lt;1,0,INDEX(Motore_Startup!$AB$185:$AB$244,MAX(1,44-(INT((Motore_Operativo!L228)/30)))))*(1-(MOD((Motore_Operativo!L228),30)/30))+IF(44-(INT((Motore_Operativo!L228)/30))-1&lt;1,0,INDEX(Motore_Startup!$AB$185:$AB$244,MAX(1,44-(INT((Motore_Operativo!L228)/30))-1)))*(MOD((Motore_Operativo!L228),30)/30))</f>
        <v>71569.1018977288</v>
      </c>
      <c r="AD228" s="15" t="n">
        <f aca="false">(AD227)+AB228-AC228</f>
        <v>312947.763772604</v>
      </c>
      <c r="AE228" s="15" t="n">
        <f aca="false">Motore_Operativo!BH228*(1+Parametri_v3!$C$26)</f>
        <v>5560.9125</v>
      </c>
      <c r="AF228" s="15" t="n">
        <f aca="false">(IF(44-(INT((Parametri_v3!$C$29)/30))&lt;1,0,INDEX(Motore_Operativo!$BH$185:$BH$244,MAX(1,44-(INT((Parametri_v3!$C$29)/30)))))*(1-(MOD((Parametri_v3!$C$29),30)/30))+IF(44-(INT((Parametri_v3!$C$29)/30))-1&lt;1,0,INDEX(Motore_Operativo!$BH$185:$BH$244,MAX(1,44-(INT((Parametri_v3!$C$29)/30))-1)))*(MOD((Parametri_v3!$C$29),30)/30))*(1+Parametri_v3!$C$26)</f>
        <v>5560.9125</v>
      </c>
      <c r="AG228" s="15" t="n">
        <f aca="false">(AG227)+AE228-AF228</f>
        <v>5560.9125</v>
      </c>
      <c r="AH228" s="15" t="n">
        <f aca="false">(Motore_Operativo!CJ228)*(1+Parametri_v3!$C$27*Parametri_v3!$C$26)</f>
        <v>65339.6806173989</v>
      </c>
      <c r="AI228" s="15" t="n">
        <f aca="false">(IF(44-(INT((Ipotesi!$C$91)/30))&lt;1,0,INDEX(Motore_Startup!$AH$185:$AH$244,MAX(1,44-(INT((Ipotesi!$C$91)/30)))))*(1-(MOD((Ipotesi!$C$91),30)/30))+IF(44-(INT((Ipotesi!$C$91)/30))-1&lt;1,0,INDEX(Motore_Startup!$AH$185:$AH$244,MAX(1,44-(INT((Ipotesi!$C$91)/30))-1)))*(MOD((Ipotesi!$C$91),30)/30))</f>
        <v>64622.6101982484</v>
      </c>
      <c r="AJ228" s="15" t="n">
        <f aca="false">(AJ227)+AH228-AI228</f>
        <v>130322.399992385</v>
      </c>
      <c r="AK228" s="15" t="n">
        <f aca="false">(F228+ Motore_Operativo!BH228-(Motore_Operativo!CJ228)*Parametri_v3!$C$27-Motore_Operativo!CE228)*Parametri_v3!$C$26</f>
        <v>4797.1703482524</v>
      </c>
      <c r="AL228" s="15" t="n">
        <f aca="false">MAX(0,(AM227))</f>
        <v>1953.67890248976</v>
      </c>
      <c r="AM228" s="15" t="n">
        <f aca="false">(AM227)+AK228-AL228</f>
        <v>4797.1703482524</v>
      </c>
      <c r="AN228" s="15" t="n">
        <f aca="false">SUM(X209:X220)</f>
        <v>0</v>
      </c>
      <c r="AO228" s="15" t="n">
        <f aca="false">SUM(AP209:AP220)</f>
        <v>0</v>
      </c>
      <c r="AP228" s="15" t="n">
        <f aca="false">MAX(0,AN228)*IF(8=Parametri_v3!$C$43,Parametri_v3!$C$45,IF(8=Parametri_v3!$C$44,1-Parametri_v3!$C$45,0))</f>
        <v>0</v>
      </c>
      <c r="AQ228" s="15" t="n">
        <f aca="false">MAX(0,AP228+IF(8=Parametri_v3!$C$43,MAX(0,AN228-AO228),0)-MAX(0,-(AR227)))</f>
        <v>0</v>
      </c>
      <c r="AR228" s="15" t="n">
        <f aca="false">(AR227)+X228-AQ228</f>
        <v>0</v>
      </c>
      <c r="AS228" s="15" t="n">
        <f aca="false">Motore_Operativo!AB228-AT228+AU228</f>
        <v>91649.4297604167</v>
      </c>
      <c r="AT228" s="15" t="n">
        <f aca="false">Motore_Operativo!CH228</f>
        <v>4823.65419791667</v>
      </c>
      <c r="AU228" s="15" t="n">
        <f aca="false">MIN(MAX(0,(AV227)+AT228),Parametri_v3!$C$60/12)</f>
        <v>0</v>
      </c>
      <c r="AV228" s="15" t="n">
        <f aca="false">(AV227)+AT228-AU228</f>
        <v>117760.933583333</v>
      </c>
      <c r="AW228" s="15" t="n">
        <f aca="false">IF(AND(Motore_Operativo!C228=Finanziamenti!$D$6,Finanziamenti!$F$6=1),Finanziamenti!$C$6,0)</f>
        <v>0</v>
      </c>
      <c r="AX228" s="15" t="n">
        <f aca="false">IF(AND(4&lt;&gt;7,4&lt;&gt;9,Finanziamenti!$F$8=1,OR(Parametri_v3!$C$6=0,Finanziamenti!$E$8=1),Motore_Operativo!C228=EDATE(Finanziamenti!$D$8,Ipotesi!F15*12)),Finanziamenti!$C$8*1,0)+IF(AND(4&lt;&gt;7,4&lt;&gt;9,Finanziamenti!$F$9=1,OR(Parametri_v3!$C$6=0,Finanziamenti!$E$9=1),Motore_Operativo!C228=EDATE(Finanziamenti!$D$9,Ipotesi!F15*12)),Finanziamenti!$C$9*Ipotesi!F16,0)</f>
        <v>0</v>
      </c>
      <c r="AY228" s="15" t="n">
        <f aca="false">0</f>
        <v>0</v>
      </c>
      <c r="AZ228" s="15" t="n">
        <f aca="false">Motore_Advisory!AY228*(1-Ipotesi!$C$95)*Ipotesi!$C$96</f>
        <v>0</v>
      </c>
      <c r="BA228" s="15" t="n">
        <f aca="false">MAX(0,MIN(CG228*MIN(1,IF(Motore_Operativo!C228&gt;=EDATE(Finanziamenti!$D$15,Ipotesi!F14*12),Finanziamenti!$C$15,0)+IF(Motore_Operativo!C228&gt;=EDATE(Finanziamenti!$D$16,Ipotesi!F14*12),Finanziamenti!$C$16,0)+IF(Motore_Operativo!C228&gt;=EDATE(Finanziamenti!$D$17,Ipotesi!F14*12),Finanziamenti!$C$17,0)),CA228*Ipotesi!$C$102)-(CC227))</f>
        <v>0</v>
      </c>
      <c r="BB228" s="15" t="n">
        <f aca="false">IF(AND(CF228&gt;0,Motore_Operativo!C228&gt;=IF(CF228=0,0,EDATE(CF228,Parametri_v3!$C$37)),MOD(((D228-YEAR(IF(CF228=0,0,EDATE(CF228,Parametri_v3!$C$37))))*12+E228-MONTH(IF(CF228=0,0,EDATE(CF228,Parametri_v3!$C$37)))),Parametri_v3!$C$38)=0),MIN(MAX(0,(BC227)+BA228-N228),(CC228-CD228)/(Ipotesi!$C$108*12/Parametri_v3!$C$38)),0)</f>
        <v>0</v>
      </c>
      <c r="BC228" s="15" t="n">
        <f aca="false">(BC227)+BA228-N228-BB228</f>
        <v>270239.217667495</v>
      </c>
      <c r="BD228" s="15" t="n">
        <f aca="false">(BH227)+AC228+AF228-AI228-AS228-K228*(1+Parametri_v3!$C$26)-AL228-AQ228-O228+AW228+AX228+AZ228+BA228-BB228</f>
        <v>-1643674.63473238</v>
      </c>
      <c r="BE228" s="15" t="n">
        <f aca="false">MAX(0,MIN(MAX(0,CH228-(BG227)),Parametri_v3!$C$30-BD228))</f>
        <v>0</v>
      </c>
      <c r="BF228" s="15" t="n">
        <f aca="false">IF(Motore_Operativo!C228&gt;=Parametri_v3!$C$63,(BG227),MIN((BG227),MAX(0,BD228-Parametri_v3!$C$30)))</f>
        <v>0</v>
      </c>
      <c r="BG228" s="15" t="n">
        <f aca="false">(BG227)+BE228-BF228</f>
        <v>150000</v>
      </c>
      <c r="BH228" s="15" t="n">
        <f aca="false">BD228+BE228-BF228-AY228</f>
        <v>-1643674.63473238</v>
      </c>
      <c r="BI228" s="15" t="n">
        <f aca="false">MAX(0,Parametri_v3!$C$30-BH228)</f>
        <v>1668674.63473238</v>
      </c>
      <c r="BJ228" s="15" t="n">
        <f aca="false">(BJ227)+K228</f>
        <v>101666.666666667</v>
      </c>
      <c r="BK228" s="15" t="n">
        <f aca="false">(BK227)+L228</f>
        <v>53541.6666666667</v>
      </c>
      <c r="BL228" s="15" t="n">
        <f aca="false">BJ228-BK228</f>
        <v>48125</v>
      </c>
      <c r="BM228" s="15" t="n">
        <f aca="false">(BM227)+Y228</f>
        <v>-2380160.68005124</v>
      </c>
      <c r="BN228" s="15" t="n">
        <f aca="false">(BN227)+AW228+AX228+AZ228</f>
        <v>430000</v>
      </c>
      <c r="BO228" s="15" t="n">
        <f aca="false">(BO227)+AY228</f>
        <v>0</v>
      </c>
      <c r="BP228" s="15" t="n">
        <f aca="false">0</f>
        <v>0</v>
      </c>
      <c r="BQ228" s="15" t="n">
        <f aca="false">BN228+BM228-BO228</f>
        <v>-1950160.68005124</v>
      </c>
      <c r="BR228" s="15" t="n">
        <f aca="false">BH228+AD228+BL228+MAX(0,-AM228)+MAX(0,-AR228)+AG228</f>
        <v>-1277040.95845977</v>
      </c>
      <c r="BS228" s="15" t="n">
        <f aca="false">AJ228+AV228+MAX(0,AM228)+MAX(0,AR228)+BC228+BG228+BQ228</f>
        <v>-1277040.95845977</v>
      </c>
      <c r="BT228" s="15" t="n">
        <f aca="false">BR228-BS228</f>
        <v>0</v>
      </c>
      <c r="BU228" s="15" t="n">
        <f aca="false">BH228-(BD228+BE228-BF228-AY228)</f>
        <v>0</v>
      </c>
      <c r="BV228" s="15" t="n">
        <f aca="false">MIN(Piano_SS!$C$6,(BV227)+IF(AND(Motore_Operativo!C228&gt;=EDATE(Parametri_v3!$C$24,Ipotesi!F14*12),Motore_Operativo!C228&lt;EDATE(Parametri_v3!$C$24,Parametri_v3!$C$25+Ipotesi!F14*12)),MAX(0,(Motore_Operativo!Y228+Motore_Operativo!X228*Parametri_v3!$C$14)*(1-Parametri_v3!$C$32))*Piano_SS!$D$6,0))</f>
        <v>300000</v>
      </c>
      <c r="BW228" s="15" t="n">
        <f aca="false">MIN(Piano_SS!$C$7,(BW227)+IF(AND(Motore_Operativo!C228&gt;=EDATE(Parametri_v3!$C$24,Ipotesi!F14*12),Motore_Operativo!C228&lt;EDATE(Parametri_v3!$C$24,Parametri_v3!$C$25+Ipotesi!F14*12)),MAX(0,(IF(44-(INT((Ipotesi!$C$91)/30))&lt;1,0,INDEX(Motore_Operativo!$BN$185:$BN$244,MAX(1,44-(INT((Ipotesi!$C$91)/30)))))*(1-(MOD((Ipotesi!$C$91),30)/30))+IF(44-(INT((Ipotesi!$C$91)/30))-1&lt;1,0,INDEX(Motore_Operativo!$BN$185:$BN$244,MAX(1,44-(INT((Ipotesi!$C$91)/30))-1)))*(MOD((Ipotesi!$C$91),30)/30)))*Piano_SS!$D$7,0))</f>
        <v>49712.8886919552</v>
      </c>
      <c r="BX228" s="15" t="n">
        <f aca="false">MIN(Piano_SS!$C$8,(BX227)+IF(AND(Motore_Operativo!C228&gt;=EDATE(Parametri_v3!$C$24,Ipotesi!F14*12),Motore_Operativo!C228&lt;EDATE(Parametri_v3!$C$24,Parametri_v3!$C$25+Ipotesi!F14*12)),MAX(0,Motore_Operativo!CE228)*Piano_SS!$D$8,0))</f>
        <v>50000</v>
      </c>
      <c r="BY228" s="15" t="n">
        <f aca="false">MIN(Piano_SS!$C$9,(BY227)+IF(AND(Motore_Operativo!C228&gt;=EDATE(Parametri_v3!$C$24,Ipotesi!F14*12),Motore_Operativo!C228&lt;EDATE(Parametri_v3!$C$24,Parametri_v3!$C$25+Ipotesi!F14*12)),MAX(0,((IF(44-(INT((Ipotesi!$C$91)/30))&lt;1,0,INDEX(Motore_Operativo!$BQ$185:$BQ$244,MAX(1,44-(INT((Ipotesi!$C$91)/30)))))*(1-(MOD((Ipotesi!$C$91),30)/30))+IF(44-(INT((Ipotesi!$C$91)/30))-1&lt;1,0,INDEX(Motore_Operativo!$BQ$185:$BQ$244,MAX(1,44-(INT((Ipotesi!$C$91)/30))-1)))*(MOD((Ipotesi!$C$91),30)/30))+(IF(44-(INT((Ipotesi!$C$91)/30))&lt;1,0,INDEX(Motore_Operativo!$BR$185:$BR$244,MAX(1,44-(INT((Ipotesi!$C$91)/30)))))*(1-(MOD((Ipotesi!$C$91),30)/30))+IF(44-(INT((Ipotesi!$C$91)/30))-1&lt;1,0,INDEX(Motore_Operativo!$BR$185:$BR$244,MAX(1,44-(INT((Ipotesi!$C$91)/30))-1)))*(MOD((Ipotesi!$C$91),30)/30))))*Piano_SS!$D$9,0))</f>
        <v>40000</v>
      </c>
      <c r="BZ228" s="15" t="n">
        <f aca="false">MIN(Piano_SS!$C$10,(BZ227)+IF(AND(Motore_Operativo!C228&gt;=EDATE(Parametri_v3!$C$24,Ipotesi!F14*12),Motore_Operativo!C228&lt;EDATE(Parametri_v3!$C$24,Parametri_v3!$C$25+Ipotesi!F14*12)),MAX(0,(IF(44-(INT((Ipotesi!$C$91)/30))&lt;1,0,INDEX(Motore_Operativo!$BO$185:$BO$244,MAX(1,44-(INT((Ipotesi!$C$91)/30)))))*(1-(MOD((Ipotesi!$C$91),30)/30))+IF(44-(INT((Ipotesi!$C$91)/30))-1&lt;1,0,INDEX(Motore_Operativo!$BO$185:$BO$244,MAX(1,44-(INT((Ipotesi!$C$91)/30))-1)))*(MOD((Ipotesi!$C$91),30)/30)))*Piano_SS!$D$10,0))</f>
        <v>30000</v>
      </c>
      <c r="CA228" s="15" t="n">
        <f aca="false">SUM(BV228:BZ228)</f>
        <v>469712.888691955</v>
      </c>
      <c r="CB228" s="15" t="n">
        <f aca="false">BV228*(1-Piano_SS!$E$6)+BW228*(1-Piano_SS!$E$7)+BX228*(1-Piano_SS!$E$8)+BY228*(1-Piano_SS!$E$9)+BZ228*(1-Piano_SS!$E$10)</f>
        <v>439712.888691955</v>
      </c>
      <c r="CC228" s="15" t="n">
        <f aca="false">(CC227)+BA228</f>
        <v>375770.310953564</v>
      </c>
      <c r="CD228" s="15" t="n">
        <f aca="false">IF(CA228=0,0,CC228*CB228/CA228*Ipotesi!$C$103*Parametri_v3!$C$64)</f>
        <v>105531.093286069</v>
      </c>
      <c r="CE228" s="18" t="n">
        <f aca="false">IF(BA228&gt;0,Motore_Operativo!C228,(CE227))</f>
        <v>47635</v>
      </c>
      <c r="CF228" s="18" t="n">
        <f aca="false">IF(AND(CC228&gt;0,OR(CC228&gt;=CG228-0.01,Motore_Operativo!C228&gt;=EDATE(MAX(Finanziamenti!$D$15:$D$17),Ipotesi!F14*12))),CE228,0)</f>
        <v>47635</v>
      </c>
      <c r="CG228" s="15" t="n">
        <f aca="false">IF(AND(4&lt;&gt;6,4&lt;&gt;9,Finanziamenti!$F$11=1,OR(Parametri_v3!$C$6=0,Finanziamenti!$E$11=1)),MIN(Finanziamenti!$C$11,Piano_SS!$C$12*Ipotesi!$C$102),0)</f>
        <v>400000</v>
      </c>
      <c r="CH228" s="15" t="n">
        <f aca="false">IF(AND(AND(4&lt;&gt;8,4&lt;&gt;9,Finanziamenti!$F$10=1,OR(Parametri_v3!$C$6=0,Finanziamenti!$E$10=1)),Motore_Operativo!C228&gt;=Finanziamenti!$D$10,Motore_Operativo!C228&lt;Parametri_v3!$C$63),Finanziamenti!$C$10,0)</f>
        <v>150000</v>
      </c>
    </row>
    <row r="229" customFormat="false" ht="18" hidden="false" customHeight="true" outlineLevel="0" collapsed="false">
      <c r="A229" s="68" t="n">
        <f aca="false">4</f>
        <v>4</v>
      </c>
      <c r="B229" s="68" t="n">
        <f aca="false">45</f>
        <v>45</v>
      </c>
      <c r="C229" s="18" t="n">
        <f aca="false">Motore_Operativo!C229</f>
        <v>47727</v>
      </c>
      <c r="D229" s="68" t="n">
        <f aca="false">Motore_Operativo!D229</f>
        <v>2030</v>
      </c>
      <c r="E229" s="68" t="n">
        <f aca="false">Motore_Operativo!E229</f>
        <v>9</v>
      </c>
      <c r="F229" s="15" t="n">
        <f aca="false">Motore_Operativo!AQ229+Motore_Operativo!BF229</f>
        <v>69498.9467981801</v>
      </c>
      <c r="G229" s="15" t="n">
        <f aca="false">Motore_Operativo!BH229</f>
        <v>4558.125</v>
      </c>
      <c r="H229" s="15" t="n">
        <f aca="false">Motore_Operativo!BI229</f>
        <v>74057.0717981801</v>
      </c>
      <c r="I229" s="15" t="n">
        <f aca="false">Motore_Operativo!CA229</f>
        <v>151817.246926745</v>
      </c>
      <c r="J229" s="15" t="n">
        <f aca="false">Motore_Operativo!CC229</f>
        <v>-77760.1751285651</v>
      </c>
      <c r="K229" s="15" t="n">
        <f aca="false">Motore_Operativo!CE229</f>
        <v>3333.33333333333</v>
      </c>
      <c r="L229" s="15" t="n">
        <f aca="false">SUM(INDEX($K$185:$K$244,MAX(1,45-Parametri_v3!$C$59+1)):K229)/Parametri_v3!$C$59</f>
        <v>2500</v>
      </c>
      <c r="M229" s="15" t="n">
        <f aca="false">J229-L229</f>
        <v>-80260.1751285651</v>
      </c>
      <c r="N229" s="15" t="n">
        <f aca="false">CD229-(CD228)</f>
        <v>0</v>
      </c>
      <c r="O229" s="15" t="n">
        <f aca="false">(BG228)*Ipotesi!$C$110/12+CH229*Parametri_v3!$C$39/12</f>
        <v>750</v>
      </c>
      <c r="P229" s="15" t="n">
        <f aca="false">M229+N229-O229</f>
        <v>-81010.1751285651</v>
      </c>
      <c r="Q229" s="15" t="n">
        <f aca="false">SUM(P221:P229)+Parametri_v3!$C$54*9/12</f>
        <v>-765001.110526499</v>
      </c>
      <c r="R229" s="15" t="n">
        <f aca="false">Z220</f>
        <v>1696169.7446533</v>
      </c>
      <c r="S229" s="15" t="n">
        <f aca="false">AA220</f>
        <v>0</v>
      </c>
      <c r="T229" s="15" t="n">
        <f aca="false">MIN(R229,MAX(0,Q229))</f>
        <v>0</v>
      </c>
      <c r="U229" s="15" t="n">
        <f aca="false">MIN(S229,MAX(0,Q229-T229)*Parametri_v3!$C$42)</f>
        <v>0</v>
      </c>
      <c r="V229" s="15" t="n">
        <f aca="false">MAX(0,Q229-T229-U229)*Ipotesi!$C$92</f>
        <v>0</v>
      </c>
      <c r="W229" s="15" t="n">
        <f aca="false">MAX(0,SUM(M221:M229)+Parametri_v3!$C$55*9/12)*Ipotesi!$C$93</f>
        <v>0</v>
      </c>
      <c r="X229" s="15" t="n">
        <f aca="false">V229+W229-(V228+W228)</f>
        <v>0</v>
      </c>
      <c r="Y229" s="15" t="n">
        <f aca="false">P229-X229</f>
        <v>-81010.1751285651</v>
      </c>
      <c r="Z229" s="15" t="n">
        <f aca="false">R229-T229+IF(AND(Parametri_v3!$C$40=1,D229-YEAR(Parametri_v3!$C$50)&lt;Parametri_v3!$C$41),MAX(0,-Q229),0)</f>
        <v>1696169.7446533</v>
      </c>
      <c r="AA229" s="15" t="n">
        <f aca="false">S229-U229+IF(AND(Parametri_v3!$C$40=1,D229-YEAR(Parametri_v3!$C$50)&lt;Parametri_v3!$C$41),0,MAX(0,-Q229))</f>
        <v>765001.110526499</v>
      </c>
      <c r="AB229" s="15" t="n">
        <f aca="false">F229*(1+Parametri_v3!$C$26)</f>
        <v>84788.7150937797</v>
      </c>
      <c r="AC229" s="15" t="n">
        <f aca="false">(IF(45-(INT((Motore_Operativo!L229)/30))&lt;1,0,INDEX(Motore_Startup!$AB$185:$AB$244,MAX(1,45-(INT((Motore_Operativo!L229)/30)))))*(1-(MOD((Motore_Operativo!L229),30)/30))+IF(45-(INT((Motore_Operativo!L229)/30))-1&lt;1,0,INDEX(Motore_Startup!$AB$185:$AB$244,MAX(1,45-(INT((Motore_Operativo!L229)/30))-1)))*(MOD((Motore_Operativo!L229),30)/30))</f>
        <v>74259.6546608139</v>
      </c>
      <c r="AD229" s="15" t="n">
        <f aca="false">(AD228)+AB229-AC229</f>
        <v>323476.82420557</v>
      </c>
      <c r="AE229" s="15" t="n">
        <f aca="false">Motore_Operativo!BH229*(1+Parametri_v3!$C$26)</f>
        <v>5560.9125</v>
      </c>
      <c r="AF229" s="15" t="n">
        <f aca="false">(IF(45-(INT((Parametri_v3!$C$29)/30))&lt;1,0,INDEX(Motore_Operativo!$BH$185:$BH$244,MAX(1,45-(INT((Parametri_v3!$C$29)/30)))))*(1-(MOD((Parametri_v3!$C$29),30)/30))+IF(45-(INT((Parametri_v3!$C$29)/30))-1&lt;1,0,INDEX(Motore_Operativo!$BH$185:$BH$244,MAX(1,45-(INT((Parametri_v3!$C$29)/30))-1)))*(MOD((Parametri_v3!$C$29),30)/30))*(1+Parametri_v3!$C$26)</f>
        <v>5560.9125</v>
      </c>
      <c r="AG229" s="15" t="n">
        <f aca="false">(AG228)+AE229-AF229</f>
        <v>5560.9125</v>
      </c>
      <c r="AH229" s="15" t="n">
        <f aca="false">(Motore_Operativo!CJ229)*(1+Parametri_v3!$C$27*Parametri_v3!$C$26)</f>
        <v>65693.5214435049</v>
      </c>
      <c r="AI229" s="15" t="n">
        <f aca="false">(IF(45-(INT((Ipotesi!$C$91)/30))&lt;1,0,INDEX(Motore_Startup!$AH$185:$AH$244,MAX(1,45-(INT((Ipotesi!$C$91)/30)))))*(1-(MOD((Ipotesi!$C$91),30)/30))+IF(45-(INT((Ipotesi!$C$91)/30))-1&lt;1,0,INDEX(Motore_Startup!$AH$185:$AH$244,MAX(1,45-(INT((Ipotesi!$C$91)/30))-1)))*(MOD((Ipotesi!$C$91),30)/30))</f>
        <v>64982.7193749858</v>
      </c>
      <c r="AJ229" s="15" t="n">
        <f aca="false">(AJ228)+AH229-AI229</f>
        <v>131033.202060904</v>
      </c>
      <c r="AK229" s="15" t="n">
        <f aca="false">(F229+ Motore_Operativo!BH229-(Motore_Operativo!CJ229)*Parametri_v3!$C$27-Motore_Operativo!CE229)*Parametri_v3!$C$26</f>
        <v>5209.86398717327</v>
      </c>
      <c r="AL229" s="15" t="n">
        <f aca="false">MAX(0,(AM228))</f>
        <v>4797.1703482524</v>
      </c>
      <c r="AM229" s="15" t="n">
        <f aca="false">(AM228)+AK229-AL229</f>
        <v>5209.86398717327</v>
      </c>
      <c r="AN229" s="15" t="n">
        <f aca="false">SUM(X209:X220)</f>
        <v>0</v>
      </c>
      <c r="AO229" s="15" t="n">
        <f aca="false">SUM(AP209:AP220)</f>
        <v>0</v>
      </c>
      <c r="AP229" s="15" t="n">
        <f aca="false">MAX(0,AN229)*IF(9=Parametri_v3!$C$43,Parametri_v3!$C$45,IF(9=Parametri_v3!$C$44,1-Parametri_v3!$C$45,0))</f>
        <v>0</v>
      </c>
      <c r="AQ229" s="15" t="n">
        <f aca="false">MAX(0,AP229+IF(9=Parametri_v3!$C$43,MAX(0,AN229-AO229),0)-MAX(0,-(AR228)))</f>
        <v>0</v>
      </c>
      <c r="AR229" s="15" t="n">
        <f aca="false">(AR228)+X229-AQ229</f>
        <v>0</v>
      </c>
      <c r="AS229" s="15" t="n">
        <f aca="false">Motore_Operativo!AB229-AT229+AU229</f>
        <v>91649.4297604167</v>
      </c>
      <c r="AT229" s="15" t="n">
        <f aca="false">Motore_Operativo!CH229</f>
        <v>4823.65419791667</v>
      </c>
      <c r="AU229" s="15" t="n">
        <f aca="false">MIN(MAX(0,(AV228)+AT229),Parametri_v3!$C$60/12)</f>
        <v>0</v>
      </c>
      <c r="AV229" s="15" t="n">
        <f aca="false">(AV228)+AT229-AU229</f>
        <v>122584.58778125</v>
      </c>
      <c r="AW229" s="15" t="n">
        <f aca="false">IF(AND(Motore_Operativo!C229=Finanziamenti!$D$6,Finanziamenti!$F$6=1),Finanziamenti!$C$6,0)</f>
        <v>0</v>
      </c>
      <c r="AX229" s="15" t="n">
        <f aca="false">IF(AND(4&lt;&gt;7,4&lt;&gt;9,Finanziamenti!$F$8=1,OR(Parametri_v3!$C$6=0,Finanziamenti!$E$8=1),Motore_Operativo!C229=EDATE(Finanziamenti!$D$8,Ipotesi!F15*12)),Finanziamenti!$C$8*1,0)+IF(AND(4&lt;&gt;7,4&lt;&gt;9,Finanziamenti!$F$9=1,OR(Parametri_v3!$C$6=0,Finanziamenti!$E$9=1),Motore_Operativo!C229=EDATE(Finanziamenti!$D$9,Ipotesi!F15*12)),Finanziamenti!$C$9*Ipotesi!F16,0)</f>
        <v>0</v>
      </c>
      <c r="AY229" s="15" t="n">
        <f aca="false">0</f>
        <v>0</v>
      </c>
      <c r="AZ229" s="15" t="n">
        <f aca="false">Motore_Advisory!AY229*(1-Ipotesi!$C$95)*Ipotesi!$C$96</f>
        <v>0</v>
      </c>
      <c r="BA229" s="15" t="n">
        <f aca="false">MAX(0,MIN(CG229*MIN(1,IF(Motore_Operativo!C229&gt;=EDATE(Finanziamenti!$D$15,Ipotesi!F14*12),Finanziamenti!$C$15,0)+IF(Motore_Operativo!C229&gt;=EDATE(Finanziamenti!$D$16,Ipotesi!F14*12),Finanziamenti!$C$16,0)+IF(Motore_Operativo!C229&gt;=EDATE(Finanziamenti!$D$17,Ipotesi!F14*12),Finanziamenti!$C$17,0)),CA229*Ipotesi!$C$102)-(CC228))</f>
        <v>0</v>
      </c>
      <c r="BB229" s="15" t="n">
        <f aca="false">IF(AND(CF229&gt;0,Motore_Operativo!C229&gt;=IF(CF229=0,0,EDATE(CF229,Parametri_v3!$C$37)),MOD(((D229-YEAR(IF(CF229=0,0,EDATE(CF229,Parametri_v3!$C$37))))*12+E229-MONTH(IF(CF229=0,0,EDATE(CF229,Parametri_v3!$C$37)))),Parametri_v3!$C$38)=0),MIN(MAX(0,(BC228)+BA229-N229),(CC229-CD229)/(Ipotesi!$C$108*12/Parametri_v3!$C$38)),0)</f>
        <v>0</v>
      </c>
      <c r="BC229" s="15" t="n">
        <f aca="false">(BC228)+BA229-N229-BB229</f>
        <v>270239.217667495</v>
      </c>
      <c r="BD229" s="15" t="n">
        <f aca="false">(BH228)+AC229+AF229-AI229-AS229-K229*(1+Parametri_v3!$C$26)-AL229-AQ229-O229+AW229+AX229+AZ229+BA229-BB229</f>
        <v>-1730100.05372189</v>
      </c>
      <c r="BE229" s="15" t="n">
        <f aca="false">MAX(0,MIN(MAX(0,CH229-(BG228)),Parametri_v3!$C$30-BD229))</f>
        <v>0</v>
      </c>
      <c r="BF229" s="15" t="n">
        <f aca="false">IF(Motore_Operativo!C229&gt;=Parametri_v3!$C$63,(BG228),MIN((BG228),MAX(0,BD229-Parametri_v3!$C$30)))</f>
        <v>0</v>
      </c>
      <c r="BG229" s="15" t="n">
        <f aca="false">(BG228)+BE229-BF229</f>
        <v>150000</v>
      </c>
      <c r="BH229" s="15" t="n">
        <f aca="false">BD229+BE229-BF229-AY229</f>
        <v>-1730100.05372189</v>
      </c>
      <c r="BI229" s="15" t="n">
        <f aca="false">MAX(0,Parametri_v3!$C$30-BH229)</f>
        <v>1755100.05372189</v>
      </c>
      <c r="BJ229" s="15" t="n">
        <f aca="false">(BJ228)+K229</f>
        <v>105000</v>
      </c>
      <c r="BK229" s="15" t="n">
        <f aca="false">(BK228)+L229</f>
        <v>56041.6666666667</v>
      </c>
      <c r="BL229" s="15" t="n">
        <f aca="false">BJ229-BK229</f>
        <v>48958.3333333333</v>
      </c>
      <c r="BM229" s="15" t="n">
        <f aca="false">(BM228)+Y229</f>
        <v>-2461170.8551798</v>
      </c>
      <c r="BN229" s="15" t="n">
        <f aca="false">(BN228)+AW229+AX229+AZ229</f>
        <v>430000</v>
      </c>
      <c r="BO229" s="15" t="n">
        <f aca="false">(BO228)+AY229</f>
        <v>0</v>
      </c>
      <c r="BP229" s="15" t="n">
        <f aca="false">0</f>
        <v>0</v>
      </c>
      <c r="BQ229" s="15" t="n">
        <f aca="false">BN229+BM229-BO229</f>
        <v>-2031170.8551798</v>
      </c>
      <c r="BR229" s="15" t="n">
        <f aca="false">BH229+AD229+BL229+MAX(0,-AM229)+MAX(0,-AR229)+AG229</f>
        <v>-1352103.98368298</v>
      </c>
      <c r="BS229" s="15" t="n">
        <f aca="false">AJ229+AV229+MAX(0,AM229)+MAX(0,AR229)+BC229+BG229+BQ229</f>
        <v>-1352103.98368298</v>
      </c>
      <c r="BT229" s="15" t="n">
        <f aca="false">BR229-BS229</f>
        <v>0</v>
      </c>
      <c r="BU229" s="15" t="n">
        <f aca="false">BH229-(BD229+BE229-BF229-AY229)</f>
        <v>0</v>
      </c>
      <c r="BV229" s="15" t="n">
        <f aca="false">MIN(Piano_SS!$C$6,(BV228)+IF(AND(Motore_Operativo!C229&gt;=EDATE(Parametri_v3!$C$24,Ipotesi!F14*12),Motore_Operativo!C229&lt;EDATE(Parametri_v3!$C$24,Parametri_v3!$C$25+Ipotesi!F14*12)),MAX(0,(Motore_Operativo!Y229+Motore_Operativo!X229*Parametri_v3!$C$14)*(1-Parametri_v3!$C$32))*Piano_SS!$D$6,0))</f>
        <v>300000</v>
      </c>
      <c r="BW229" s="15" t="n">
        <f aca="false">MIN(Piano_SS!$C$7,(BW228)+IF(AND(Motore_Operativo!C229&gt;=EDATE(Parametri_v3!$C$24,Ipotesi!F14*12),Motore_Operativo!C229&lt;EDATE(Parametri_v3!$C$24,Parametri_v3!$C$25+Ipotesi!F14*12)),MAX(0,(IF(45-(INT((Ipotesi!$C$91)/30))&lt;1,0,INDEX(Motore_Operativo!$BN$185:$BN$244,MAX(1,45-(INT((Ipotesi!$C$91)/30)))))*(1-(MOD((Ipotesi!$C$91),30)/30))+IF(45-(INT((Ipotesi!$C$91)/30))-1&lt;1,0,INDEX(Motore_Operativo!$BN$185:$BN$244,MAX(1,45-(INT((Ipotesi!$C$91)/30))-1)))*(MOD((Ipotesi!$C$91),30)/30)))*Piano_SS!$D$7,0))</f>
        <v>49712.8886919552</v>
      </c>
      <c r="BX229" s="15" t="n">
        <f aca="false">MIN(Piano_SS!$C$8,(BX228)+IF(AND(Motore_Operativo!C229&gt;=EDATE(Parametri_v3!$C$24,Ipotesi!F14*12),Motore_Operativo!C229&lt;EDATE(Parametri_v3!$C$24,Parametri_v3!$C$25+Ipotesi!F14*12)),MAX(0,Motore_Operativo!CE229)*Piano_SS!$D$8,0))</f>
        <v>50000</v>
      </c>
      <c r="BY229" s="15" t="n">
        <f aca="false">MIN(Piano_SS!$C$9,(BY228)+IF(AND(Motore_Operativo!C229&gt;=EDATE(Parametri_v3!$C$24,Ipotesi!F14*12),Motore_Operativo!C229&lt;EDATE(Parametri_v3!$C$24,Parametri_v3!$C$25+Ipotesi!F14*12)),MAX(0,((IF(45-(INT((Ipotesi!$C$91)/30))&lt;1,0,INDEX(Motore_Operativo!$BQ$185:$BQ$244,MAX(1,45-(INT((Ipotesi!$C$91)/30)))))*(1-(MOD((Ipotesi!$C$91),30)/30))+IF(45-(INT((Ipotesi!$C$91)/30))-1&lt;1,0,INDEX(Motore_Operativo!$BQ$185:$BQ$244,MAX(1,45-(INT((Ipotesi!$C$91)/30))-1)))*(MOD((Ipotesi!$C$91),30)/30))+(IF(45-(INT((Ipotesi!$C$91)/30))&lt;1,0,INDEX(Motore_Operativo!$BR$185:$BR$244,MAX(1,45-(INT((Ipotesi!$C$91)/30)))))*(1-(MOD((Ipotesi!$C$91),30)/30))+IF(45-(INT((Ipotesi!$C$91)/30))-1&lt;1,0,INDEX(Motore_Operativo!$BR$185:$BR$244,MAX(1,45-(INT((Ipotesi!$C$91)/30))-1)))*(MOD((Ipotesi!$C$91),30)/30))))*Piano_SS!$D$9,0))</f>
        <v>40000</v>
      </c>
      <c r="BZ229" s="15" t="n">
        <f aca="false">MIN(Piano_SS!$C$10,(BZ228)+IF(AND(Motore_Operativo!C229&gt;=EDATE(Parametri_v3!$C$24,Ipotesi!F14*12),Motore_Operativo!C229&lt;EDATE(Parametri_v3!$C$24,Parametri_v3!$C$25+Ipotesi!F14*12)),MAX(0,(IF(45-(INT((Ipotesi!$C$91)/30))&lt;1,0,INDEX(Motore_Operativo!$BO$185:$BO$244,MAX(1,45-(INT((Ipotesi!$C$91)/30)))))*(1-(MOD((Ipotesi!$C$91),30)/30))+IF(45-(INT((Ipotesi!$C$91)/30))-1&lt;1,0,INDEX(Motore_Operativo!$BO$185:$BO$244,MAX(1,45-(INT((Ipotesi!$C$91)/30))-1)))*(MOD((Ipotesi!$C$91),30)/30)))*Piano_SS!$D$10,0))</f>
        <v>30000</v>
      </c>
      <c r="CA229" s="15" t="n">
        <f aca="false">SUM(BV229:BZ229)</f>
        <v>469712.888691955</v>
      </c>
      <c r="CB229" s="15" t="n">
        <f aca="false">BV229*(1-Piano_SS!$E$6)+BW229*(1-Piano_SS!$E$7)+BX229*(1-Piano_SS!$E$8)+BY229*(1-Piano_SS!$E$9)+BZ229*(1-Piano_SS!$E$10)</f>
        <v>439712.888691955</v>
      </c>
      <c r="CC229" s="15" t="n">
        <f aca="false">(CC228)+BA229</f>
        <v>375770.310953564</v>
      </c>
      <c r="CD229" s="15" t="n">
        <f aca="false">IF(CA229=0,0,CC229*CB229/CA229*Ipotesi!$C$103*Parametri_v3!$C$64)</f>
        <v>105531.093286069</v>
      </c>
      <c r="CE229" s="18" t="n">
        <f aca="false">IF(BA229&gt;0,Motore_Operativo!C229,(CE228))</f>
        <v>47635</v>
      </c>
      <c r="CF229" s="18" t="n">
        <f aca="false">IF(AND(CC229&gt;0,OR(CC229&gt;=CG229-0.01,Motore_Operativo!C229&gt;=EDATE(MAX(Finanziamenti!$D$15:$D$17),Ipotesi!F14*12))),CE229,0)</f>
        <v>47635</v>
      </c>
      <c r="CG229" s="15" t="n">
        <f aca="false">IF(AND(4&lt;&gt;6,4&lt;&gt;9,Finanziamenti!$F$11=1,OR(Parametri_v3!$C$6=0,Finanziamenti!$E$11=1)),MIN(Finanziamenti!$C$11,Piano_SS!$C$12*Ipotesi!$C$102),0)</f>
        <v>400000</v>
      </c>
      <c r="CH229" s="15" t="n">
        <f aca="false">IF(AND(AND(4&lt;&gt;8,4&lt;&gt;9,Finanziamenti!$F$10=1,OR(Parametri_v3!$C$6=0,Finanziamenti!$E$10=1)),Motore_Operativo!C229&gt;=Finanziamenti!$D$10,Motore_Operativo!C229&lt;Parametri_v3!$C$63),Finanziamenti!$C$10,0)</f>
        <v>150000</v>
      </c>
    </row>
    <row r="230" customFormat="false" ht="18" hidden="false" customHeight="true" outlineLevel="0" collapsed="false">
      <c r="A230" s="68" t="n">
        <f aca="false">4</f>
        <v>4</v>
      </c>
      <c r="B230" s="68" t="n">
        <f aca="false">46</f>
        <v>46</v>
      </c>
      <c r="C230" s="18" t="n">
        <f aca="false">Motore_Operativo!C230</f>
        <v>47757</v>
      </c>
      <c r="D230" s="68" t="n">
        <f aca="false">Motore_Operativo!D230</f>
        <v>2030</v>
      </c>
      <c r="E230" s="68" t="n">
        <f aca="false">Motore_Operativo!E230</f>
        <v>10</v>
      </c>
      <c r="F230" s="15" t="n">
        <f aca="false">Motore_Operativo!AQ230+Motore_Operativo!BF230</f>
        <v>71609.5960174864</v>
      </c>
      <c r="G230" s="15" t="n">
        <f aca="false">Motore_Operativo!BH230</f>
        <v>4558.125</v>
      </c>
      <c r="H230" s="15" t="n">
        <f aca="false">Motore_Operativo!BI230</f>
        <v>76167.7210174864</v>
      </c>
      <c r="I230" s="15" t="n">
        <f aca="false">Motore_Operativo!CA230</f>
        <v>152112.737817448</v>
      </c>
      <c r="J230" s="15" t="n">
        <f aca="false">Motore_Operativo!CC230</f>
        <v>-75945.0167999617</v>
      </c>
      <c r="K230" s="15" t="n">
        <f aca="false">Motore_Operativo!CE230</f>
        <v>3333.33333333333</v>
      </c>
      <c r="L230" s="15" t="n">
        <f aca="false">SUM(INDEX($K$185:$K$244,MAX(1,46-Parametri_v3!$C$59+1)):K230)/Parametri_v3!$C$59</f>
        <v>2546.2962962963</v>
      </c>
      <c r="M230" s="15" t="n">
        <f aca="false">J230-L230</f>
        <v>-78491.313096258</v>
      </c>
      <c r="N230" s="15" t="n">
        <f aca="false">CD230-(CD229)</f>
        <v>0</v>
      </c>
      <c r="O230" s="15" t="n">
        <f aca="false">(BG229)*Ipotesi!$C$110/12+CH230*Parametri_v3!$C$39/12</f>
        <v>750</v>
      </c>
      <c r="P230" s="15" t="n">
        <f aca="false">M230+N230-O230</f>
        <v>-79241.313096258</v>
      </c>
      <c r="Q230" s="15" t="n">
        <f aca="false">SUM(P221:P230)+Parametri_v3!$C$54*10/12</f>
        <v>-844242.423622757</v>
      </c>
      <c r="R230" s="15" t="n">
        <f aca="false">Z220</f>
        <v>1696169.7446533</v>
      </c>
      <c r="S230" s="15" t="n">
        <f aca="false">AA220</f>
        <v>0</v>
      </c>
      <c r="T230" s="15" t="n">
        <f aca="false">MIN(R230,MAX(0,Q230))</f>
        <v>0</v>
      </c>
      <c r="U230" s="15" t="n">
        <f aca="false">MIN(S230,MAX(0,Q230-T230)*Parametri_v3!$C$42)</f>
        <v>0</v>
      </c>
      <c r="V230" s="15" t="n">
        <f aca="false">MAX(0,Q230-T230-U230)*Ipotesi!$C$92</f>
        <v>0</v>
      </c>
      <c r="W230" s="15" t="n">
        <f aca="false">MAX(0,SUM(M221:M230)+Parametri_v3!$C$55*10/12)*Ipotesi!$C$93</f>
        <v>0</v>
      </c>
      <c r="X230" s="15" t="n">
        <f aca="false">V230+W230-(V229+W229)</f>
        <v>0</v>
      </c>
      <c r="Y230" s="15" t="n">
        <f aca="false">P230-X230</f>
        <v>-79241.313096258</v>
      </c>
      <c r="Z230" s="15" t="n">
        <f aca="false">R230-T230+IF(AND(Parametri_v3!$C$40=1,D230-YEAR(Parametri_v3!$C$50)&lt;Parametri_v3!$C$41),MAX(0,-Q230),0)</f>
        <v>1696169.7446533</v>
      </c>
      <c r="AA230" s="15" t="n">
        <f aca="false">S230-U230+IF(AND(Parametri_v3!$C$40=1,D230-YEAR(Parametri_v3!$C$50)&lt;Parametri_v3!$C$41),0,MAX(0,-Q230))</f>
        <v>844242.423622757</v>
      </c>
      <c r="AB230" s="15" t="n">
        <f aca="false">F230*(1+Parametri_v3!$C$26)</f>
        <v>87363.7071413334</v>
      </c>
      <c r="AC230" s="15" t="n">
        <f aca="false">(IF(46-(INT((Motore_Operativo!L230)/30))&lt;1,0,INDEX(Motore_Startup!$AB$185:$AB$244,MAX(1,46-(INT((Motore_Operativo!L230)/30)))))*(1-(MOD((Motore_Operativo!L230),30)/30))+IF(46-(INT((Motore_Operativo!L230)/30))-1&lt;1,0,INDEX(Motore_Startup!$AB$185:$AB$244,MAX(1,46-(INT((Motore_Operativo!L230)/30))-1)))*(MOD((Motore_Operativo!L230),30)/30))</f>
        <v>76926.687658391</v>
      </c>
      <c r="AD230" s="15" t="n">
        <f aca="false">(AD229)+AB230-AC230</f>
        <v>333913.843688513</v>
      </c>
      <c r="AE230" s="15" t="n">
        <f aca="false">Motore_Operativo!BH230*(1+Parametri_v3!$C$26)</f>
        <v>5560.9125</v>
      </c>
      <c r="AF230" s="15" t="n">
        <f aca="false">(IF(46-(INT((Parametri_v3!$C$29)/30))&lt;1,0,INDEX(Motore_Operativo!$BH$185:$BH$244,MAX(1,46-(INT((Parametri_v3!$C$29)/30)))))*(1-(MOD((Parametri_v3!$C$29),30)/30))+IF(46-(INT((Parametri_v3!$C$29)/30))-1&lt;1,0,INDEX(Motore_Operativo!$BH$185:$BH$244,MAX(1,46-(INT((Parametri_v3!$C$29)/30))-1)))*(MOD((Parametri_v3!$C$29),30)/30))*(1+Parametri_v3!$C$26)</f>
        <v>5560.9125</v>
      </c>
      <c r="AG230" s="15" t="n">
        <f aca="false">(AG229)+AE230-AF230</f>
        <v>5560.9125</v>
      </c>
      <c r="AH230" s="15" t="n">
        <f aca="false">(Motore_Operativo!CJ230)*(1+Parametri_v3!$C$27*Parametri_v3!$C$26)</f>
        <v>66044.2691307692</v>
      </c>
      <c r="AI230" s="15" t="n">
        <f aca="false">(IF(46-(INT((Ipotesi!$C$91)/30))&lt;1,0,INDEX(Motore_Startup!$AH$185:$AH$244,MAX(1,46-(INT((Ipotesi!$C$91)/30)))))*(1-(MOD((Ipotesi!$C$91),30)/30))+IF(46-(INT((Ipotesi!$C$91)/30))-1&lt;1,0,INDEX(Motore_Startup!$AH$185:$AH$244,MAX(1,46-(INT((Ipotesi!$C$91)/30))-1)))*(MOD((Ipotesi!$C$91),30)/30))</f>
        <v>65339.6806173989</v>
      </c>
      <c r="AJ230" s="15" t="n">
        <f aca="false">(AJ229)+AH230-AI230</f>
        <v>131737.790574274</v>
      </c>
      <c r="AK230" s="15" t="n">
        <f aca="false">(F230+ Motore_Operativo!BH230-(Motore_Operativo!CJ230)*Parametri_v3!$C$27-Motore_Operativo!CE230)*Parametri_v3!$C$26</f>
        <v>5618.95001885921</v>
      </c>
      <c r="AL230" s="15" t="n">
        <f aca="false">MAX(0,(AM229))</f>
        <v>5209.86398717327</v>
      </c>
      <c r="AM230" s="15" t="n">
        <f aca="false">(AM229)+AK230-AL230</f>
        <v>5618.95001885921</v>
      </c>
      <c r="AN230" s="15" t="n">
        <f aca="false">SUM(X209:X220)</f>
        <v>0</v>
      </c>
      <c r="AO230" s="15" t="n">
        <f aca="false">SUM(AP209:AP220)</f>
        <v>0</v>
      </c>
      <c r="AP230" s="15" t="n">
        <f aca="false">MAX(0,AN230)*IF(10=Parametri_v3!$C$43,Parametri_v3!$C$45,IF(10=Parametri_v3!$C$44,1-Parametri_v3!$C$45,0))</f>
        <v>0</v>
      </c>
      <c r="AQ230" s="15" t="n">
        <f aca="false">MAX(0,AP230+IF(10=Parametri_v3!$C$43,MAX(0,AN230-AO230),0)-MAX(0,-(AR229)))</f>
        <v>0</v>
      </c>
      <c r="AR230" s="15" t="n">
        <f aca="false">(AR229)+X230-AQ230</f>
        <v>0</v>
      </c>
      <c r="AS230" s="15" t="n">
        <f aca="false">Motore_Operativo!AB230-AT230+AU230</f>
        <v>91649.4297604167</v>
      </c>
      <c r="AT230" s="15" t="n">
        <f aca="false">Motore_Operativo!CH230</f>
        <v>4823.65419791667</v>
      </c>
      <c r="AU230" s="15" t="n">
        <f aca="false">MIN(MAX(0,(AV229)+AT230),Parametri_v3!$C$60/12)</f>
        <v>0</v>
      </c>
      <c r="AV230" s="15" t="n">
        <f aca="false">(AV229)+AT230-AU230</f>
        <v>127408.241979167</v>
      </c>
      <c r="AW230" s="15" t="n">
        <f aca="false">IF(AND(Motore_Operativo!C230=Finanziamenti!$D$6,Finanziamenti!$F$6=1),Finanziamenti!$C$6,0)</f>
        <v>0</v>
      </c>
      <c r="AX230" s="15" t="n">
        <f aca="false">IF(AND(4&lt;&gt;7,4&lt;&gt;9,Finanziamenti!$F$8=1,OR(Parametri_v3!$C$6=0,Finanziamenti!$E$8=1),Motore_Operativo!C230=EDATE(Finanziamenti!$D$8,Ipotesi!F15*12)),Finanziamenti!$C$8*1,0)+IF(AND(4&lt;&gt;7,4&lt;&gt;9,Finanziamenti!$F$9=1,OR(Parametri_v3!$C$6=0,Finanziamenti!$E$9=1),Motore_Operativo!C230=EDATE(Finanziamenti!$D$9,Ipotesi!F15*12)),Finanziamenti!$C$9*Ipotesi!F16,0)</f>
        <v>0</v>
      </c>
      <c r="AY230" s="15" t="n">
        <f aca="false">0</f>
        <v>0</v>
      </c>
      <c r="AZ230" s="15" t="n">
        <f aca="false">Motore_Advisory!AY230*(1-Ipotesi!$C$95)*Ipotesi!$C$96</f>
        <v>0</v>
      </c>
      <c r="BA230" s="15" t="n">
        <f aca="false">MAX(0,MIN(CG230*MIN(1,IF(Motore_Operativo!C230&gt;=EDATE(Finanziamenti!$D$15,Ipotesi!F14*12),Finanziamenti!$C$15,0)+IF(Motore_Operativo!C230&gt;=EDATE(Finanziamenti!$D$16,Ipotesi!F14*12),Finanziamenti!$C$16,0)+IF(Motore_Operativo!C230&gt;=EDATE(Finanziamenti!$D$17,Ipotesi!F14*12),Finanziamenti!$C$17,0)),CA230*Ipotesi!$C$102)-(CC229))</f>
        <v>0</v>
      </c>
      <c r="BB230" s="15" t="n">
        <f aca="false">IF(AND(CF230&gt;0,Motore_Operativo!C230&gt;=IF(CF230=0,0,EDATE(CF230,Parametri_v3!$C$37)),MOD(((D230-YEAR(IF(CF230=0,0,EDATE(CF230,Parametri_v3!$C$37))))*12+E230-MONTH(IF(CF230=0,0,EDATE(CF230,Parametri_v3!$C$37)))),Parametri_v3!$C$38)=0),MIN(MAX(0,(BC229)+BA230-N230),(CC230-CD230)/(Ipotesi!$C$108*12/Parametri_v3!$C$38)),0)</f>
        <v>0</v>
      </c>
      <c r="BC230" s="15" t="n">
        <f aca="false">(BC229)+BA230-N230-BB230</f>
        <v>270239.217667495</v>
      </c>
      <c r="BD230" s="15" t="n">
        <f aca="false">(BH229)+AC230+AF230-AI230-AS230-K230*(1+Parametri_v3!$C$26)-AL230-AQ230-O230+AW230+AX230+AZ230+BA230-BB230</f>
        <v>-1814628.09459515</v>
      </c>
      <c r="BE230" s="15" t="n">
        <f aca="false">MAX(0,MIN(MAX(0,CH230-(BG229)),Parametri_v3!$C$30-BD230))</f>
        <v>0</v>
      </c>
      <c r="BF230" s="15" t="n">
        <f aca="false">IF(Motore_Operativo!C230&gt;=Parametri_v3!$C$63,(BG229),MIN((BG229),MAX(0,BD230-Parametri_v3!$C$30)))</f>
        <v>0</v>
      </c>
      <c r="BG230" s="15" t="n">
        <f aca="false">(BG229)+BE230-BF230</f>
        <v>150000</v>
      </c>
      <c r="BH230" s="15" t="n">
        <f aca="false">BD230+BE230-BF230-AY230</f>
        <v>-1814628.09459515</v>
      </c>
      <c r="BI230" s="15" t="n">
        <f aca="false">MAX(0,Parametri_v3!$C$30-BH230)</f>
        <v>1839628.09459515</v>
      </c>
      <c r="BJ230" s="15" t="n">
        <f aca="false">(BJ229)+K230</f>
        <v>108333.333333333</v>
      </c>
      <c r="BK230" s="15" t="n">
        <f aca="false">(BK229)+L230</f>
        <v>58587.962962963</v>
      </c>
      <c r="BL230" s="15" t="n">
        <f aca="false">BJ230-BK230</f>
        <v>49745.3703703703</v>
      </c>
      <c r="BM230" s="15" t="n">
        <f aca="false">(BM229)+Y230</f>
        <v>-2540412.16827606</v>
      </c>
      <c r="BN230" s="15" t="n">
        <f aca="false">(BN229)+AW230+AX230+AZ230</f>
        <v>430000</v>
      </c>
      <c r="BO230" s="15" t="n">
        <f aca="false">(BO229)+AY230</f>
        <v>0</v>
      </c>
      <c r="BP230" s="15" t="n">
        <f aca="false">0</f>
        <v>0</v>
      </c>
      <c r="BQ230" s="15" t="n">
        <f aca="false">BN230+BM230-BO230</f>
        <v>-2110412.16827606</v>
      </c>
      <c r="BR230" s="15" t="n">
        <f aca="false">BH230+AD230+BL230+MAX(0,-AM230)+MAX(0,-AR230)+AG230</f>
        <v>-1425407.96803627</v>
      </c>
      <c r="BS230" s="15" t="n">
        <f aca="false">AJ230+AV230+MAX(0,AM230)+MAX(0,AR230)+BC230+BG230+BQ230</f>
        <v>-1425407.96803627</v>
      </c>
      <c r="BT230" s="15" t="n">
        <f aca="false">BR230-BS230</f>
        <v>0</v>
      </c>
      <c r="BU230" s="15" t="n">
        <f aca="false">BH230-(BD230+BE230-BF230-AY230)</f>
        <v>0</v>
      </c>
      <c r="BV230" s="15" t="n">
        <f aca="false">MIN(Piano_SS!$C$6,(BV229)+IF(AND(Motore_Operativo!C230&gt;=EDATE(Parametri_v3!$C$24,Ipotesi!F14*12),Motore_Operativo!C230&lt;EDATE(Parametri_v3!$C$24,Parametri_v3!$C$25+Ipotesi!F14*12)),MAX(0,(Motore_Operativo!Y230+Motore_Operativo!X230*Parametri_v3!$C$14)*(1-Parametri_v3!$C$32))*Piano_SS!$D$6,0))</f>
        <v>300000</v>
      </c>
      <c r="BW230" s="15" t="n">
        <f aca="false">MIN(Piano_SS!$C$7,(BW229)+IF(AND(Motore_Operativo!C230&gt;=EDATE(Parametri_v3!$C$24,Ipotesi!F14*12),Motore_Operativo!C230&lt;EDATE(Parametri_v3!$C$24,Parametri_v3!$C$25+Ipotesi!F14*12)),MAX(0,(IF(46-(INT((Ipotesi!$C$91)/30))&lt;1,0,INDEX(Motore_Operativo!$BN$185:$BN$244,MAX(1,46-(INT((Ipotesi!$C$91)/30)))))*(1-(MOD((Ipotesi!$C$91),30)/30))+IF(46-(INT((Ipotesi!$C$91)/30))-1&lt;1,0,INDEX(Motore_Operativo!$BN$185:$BN$244,MAX(1,46-(INT((Ipotesi!$C$91)/30))-1)))*(MOD((Ipotesi!$C$91),30)/30)))*Piano_SS!$D$7,0))</f>
        <v>49712.8886919552</v>
      </c>
      <c r="BX230" s="15" t="n">
        <f aca="false">MIN(Piano_SS!$C$8,(BX229)+IF(AND(Motore_Operativo!C230&gt;=EDATE(Parametri_v3!$C$24,Ipotesi!F14*12),Motore_Operativo!C230&lt;EDATE(Parametri_v3!$C$24,Parametri_v3!$C$25+Ipotesi!F14*12)),MAX(0,Motore_Operativo!CE230)*Piano_SS!$D$8,0))</f>
        <v>50000</v>
      </c>
      <c r="BY230" s="15" t="n">
        <f aca="false">MIN(Piano_SS!$C$9,(BY229)+IF(AND(Motore_Operativo!C230&gt;=EDATE(Parametri_v3!$C$24,Ipotesi!F14*12),Motore_Operativo!C230&lt;EDATE(Parametri_v3!$C$24,Parametri_v3!$C$25+Ipotesi!F14*12)),MAX(0,((IF(46-(INT((Ipotesi!$C$91)/30))&lt;1,0,INDEX(Motore_Operativo!$BQ$185:$BQ$244,MAX(1,46-(INT((Ipotesi!$C$91)/30)))))*(1-(MOD((Ipotesi!$C$91),30)/30))+IF(46-(INT((Ipotesi!$C$91)/30))-1&lt;1,0,INDEX(Motore_Operativo!$BQ$185:$BQ$244,MAX(1,46-(INT((Ipotesi!$C$91)/30))-1)))*(MOD((Ipotesi!$C$91),30)/30))+(IF(46-(INT((Ipotesi!$C$91)/30))&lt;1,0,INDEX(Motore_Operativo!$BR$185:$BR$244,MAX(1,46-(INT((Ipotesi!$C$91)/30)))))*(1-(MOD((Ipotesi!$C$91),30)/30))+IF(46-(INT((Ipotesi!$C$91)/30))-1&lt;1,0,INDEX(Motore_Operativo!$BR$185:$BR$244,MAX(1,46-(INT((Ipotesi!$C$91)/30))-1)))*(MOD((Ipotesi!$C$91),30)/30))))*Piano_SS!$D$9,0))</f>
        <v>40000</v>
      </c>
      <c r="BZ230" s="15" t="n">
        <f aca="false">MIN(Piano_SS!$C$10,(BZ229)+IF(AND(Motore_Operativo!C230&gt;=EDATE(Parametri_v3!$C$24,Ipotesi!F14*12),Motore_Operativo!C230&lt;EDATE(Parametri_v3!$C$24,Parametri_v3!$C$25+Ipotesi!F14*12)),MAX(0,(IF(46-(INT((Ipotesi!$C$91)/30))&lt;1,0,INDEX(Motore_Operativo!$BO$185:$BO$244,MAX(1,46-(INT((Ipotesi!$C$91)/30)))))*(1-(MOD((Ipotesi!$C$91),30)/30))+IF(46-(INT((Ipotesi!$C$91)/30))-1&lt;1,0,INDEX(Motore_Operativo!$BO$185:$BO$244,MAX(1,46-(INT((Ipotesi!$C$91)/30))-1)))*(MOD((Ipotesi!$C$91),30)/30)))*Piano_SS!$D$10,0))</f>
        <v>30000</v>
      </c>
      <c r="CA230" s="15" t="n">
        <f aca="false">SUM(BV230:BZ230)</f>
        <v>469712.888691955</v>
      </c>
      <c r="CB230" s="15" t="n">
        <f aca="false">BV230*(1-Piano_SS!$E$6)+BW230*(1-Piano_SS!$E$7)+BX230*(1-Piano_SS!$E$8)+BY230*(1-Piano_SS!$E$9)+BZ230*(1-Piano_SS!$E$10)</f>
        <v>439712.888691955</v>
      </c>
      <c r="CC230" s="15" t="n">
        <f aca="false">(CC229)+BA230</f>
        <v>375770.310953564</v>
      </c>
      <c r="CD230" s="15" t="n">
        <f aca="false">IF(CA230=0,0,CC230*CB230/CA230*Ipotesi!$C$103*Parametri_v3!$C$64)</f>
        <v>105531.093286069</v>
      </c>
      <c r="CE230" s="18" t="n">
        <f aca="false">IF(BA230&gt;0,Motore_Operativo!C230,(CE229))</f>
        <v>47635</v>
      </c>
      <c r="CF230" s="18" t="n">
        <f aca="false">IF(AND(CC230&gt;0,OR(CC230&gt;=CG230-0.01,Motore_Operativo!C230&gt;=EDATE(MAX(Finanziamenti!$D$15:$D$17),Ipotesi!F14*12))),CE230,0)</f>
        <v>47635</v>
      </c>
      <c r="CG230" s="15" t="n">
        <f aca="false">IF(AND(4&lt;&gt;6,4&lt;&gt;9,Finanziamenti!$F$11=1,OR(Parametri_v3!$C$6=0,Finanziamenti!$E$11=1)),MIN(Finanziamenti!$C$11,Piano_SS!$C$12*Ipotesi!$C$102),0)</f>
        <v>400000</v>
      </c>
      <c r="CH230" s="15" t="n">
        <f aca="false">IF(AND(AND(4&lt;&gt;8,4&lt;&gt;9,Finanziamenti!$F$10=1,OR(Parametri_v3!$C$6=0,Finanziamenti!$E$10=1)),Motore_Operativo!C230&gt;=Finanziamenti!$D$10,Motore_Operativo!C230&lt;Parametri_v3!$C$63),Finanziamenti!$C$10,0)</f>
        <v>150000</v>
      </c>
    </row>
    <row r="231" customFormat="false" ht="18" hidden="false" customHeight="true" outlineLevel="0" collapsed="false">
      <c r="A231" s="68" t="n">
        <f aca="false">4</f>
        <v>4</v>
      </c>
      <c r="B231" s="68" t="n">
        <f aca="false">47</f>
        <v>47</v>
      </c>
      <c r="C231" s="18" t="n">
        <f aca="false">Motore_Operativo!C231</f>
        <v>47788</v>
      </c>
      <c r="D231" s="68" t="n">
        <f aca="false">Motore_Operativo!D231</f>
        <v>2030</v>
      </c>
      <c r="E231" s="68" t="n">
        <f aca="false">Motore_Operativo!E231</f>
        <v>11</v>
      </c>
      <c r="F231" s="15" t="n">
        <f aca="false">Motore_Operativo!AQ231+Motore_Operativo!BF231</f>
        <v>73701.7947624556</v>
      </c>
      <c r="G231" s="15" t="n">
        <f aca="false">Motore_Operativo!BH231</f>
        <v>4558.125</v>
      </c>
      <c r="H231" s="15" t="n">
        <f aca="false">Motore_Operativo!BI231</f>
        <v>78259.9197624556</v>
      </c>
      <c r="I231" s="15" t="n">
        <f aca="false">Motore_Operativo!CA231</f>
        <v>152405.645641744</v>
      </c>
      <c r="J231" s="15" t="n">
        <f aca="false">Motore_Operativo!CC231</f>
        <v>-74145.7258792882</v>
      </c>
      <c r="K231" s="15" t="n">
        <f aca="false">Motore_Operativo!CE231</f>
        <v>3333.33333333333</v>
      </c>
      <c r="L231" s="15" t="n">
        <f aca="false">SUM(INDEX($K$185:$K$244,MAX(1,47-Parametri_v3!$C$59+1)):K231)/Parametri_v3!$C$59</f>
        <v>2592.59259259259</v>
      </c>
      <c r="M231" s="15" t="n">
        <f aca="false">J231-L231</f>
        <v>-76738.3184718808</v>
      </c>
      <c r="N231" s="15" t="n">
        <f aca="false">CD231-(CD230)</f>
        <v>0</v>
      </c>
      <c r="O231" s="15" t="n">
        <f aca="false">(BG230)*Ipotesi!$C$110/12+CH231*Parametri_v3!$C$39/12</f>
        <v>750</v>
      </c>
      <c r="P231" s="15" t="n">
        <f aca="false">M231+N231-O231</f>
        <v>-77488.3184718808</v>
      </c>
      <c r="Q231" s="15" t="n">
        <f aca="false">SUM(P221:P231)+Parametri_v3!$C$54*11/12</f>
        <v>-921730.742094637</v>
      </c>
      <c r="R231" s="15" t="n">
        <f aca="false">Z220</f>
        <v>1696169.7446533</v>
      </c>
      <c r="S231" s="15" t="n">
        <f aca="false">AA220</f>
        <v>0</v>
      </c>
      <c r="T231" s="15" t="n">
        <f aca="false">MIN(R231,MAX(0,Q231))</f>
        <v>0</v>
      </c>
      <c r="U231" s="15" t="n">
        <f aca="false">MIN(S231,MAX(0,Q231-T231)*Parametri_v3!$C$42)</f>
        <v>0</v>
      </c>
      <c r="V231" s="15" t="n">
        <f aca="false">MAX(0,Q231-T231-U231)*Ipotesi!$C$92</f>
        <v>0</v>
      </c>
      <c r="W231" s="15" t="n">
        <f aca="false">MAX(0,SUM(M221:M231)+Parametri_v3!$C$55*11/12)*Ipotesi!$C$93</f>
        <v>0</v>
      </c>
      <c r="X231" s="15" t="n">
        <f aca="false">V231+W231-(V230+W230)</f>
        <v>0</v>
      </c>
      <c r="Y231" s="15" t="n">
        <f aca="false">P231-X231</f>
        <v>-77488.3184718808</v>
      </c>
      <c r="Z231" s="15" t="n">
        <f aca="false">R231-T231+IF(AND(Parametri_v3!$C$40=1,D231-YEAR(Parametri_v3!$C$50)&lt;Parametri_v3!$C$41),MAX(0,-Q231),0)</f>
        <v>1696169.7446533</v>
      </c>
      <c r="AA231" s="15" t="n">
        <f aca="false">S231-U231+IF(AND(Parametri_v3!$C$40=1,D231-YEAR(Parametri_v3!$C$50)&lt;Parametri_v3!$C$41),0,MAX(0,-Q231))</f>
        <v>921730.742094637</v>
      </c>
      <c r="AB231" s="15" t="n">
        <f aca="false">F231*(1+Parametri_v3!$C$26)</f>
        <v>89916.1896101958</v>
      </c>
      <c r="AC231" s="15" t="n">
        <f aca="false">(IF(47-(INT((Motore_Operativo!L231)/30))&lt;1,0,INDEX(Motore_Startup!$AB$185:$AB$244,MAX(1,47-(INT((Motore_Operativo!L231)/30)))))*(1-(MOD((Motore_Operativo!L231),30)/30))+IF(47-(INT((Motore_Operativo!L231)/30))-1&lt;1,0,INDEX(Motore_Startup!$AB$185:$AB$244,MAX(1,47-(INT((Motore_Operativo!L231)/30))-1)))*(MOD((Motore_Operativo!L231),30)/30))</f>
        <v>79570.4064910999</v>
      </c>
      <c r="AD231" s="15" t="n">
        <f aca="false">(AD230)+AB231-AC231</f>
        <v>344259.626807609</v>
      </c>
      <c r="AE231" s="15" t="n">
        <f aca="false">Motore_Operativo!BH231*(1+Parametri_v3!$C$26)</f>
        <v>5560.9125</v>
      </c>
      <c r="AF231" s="15" t="n">
        <f aca="false">(IF(47-(INT((Parametri_v3!$C$29)/30))&lt;1,0,INDEX(Motore_Operativo!$BH$185:$BH$244,MAX(1,47-(INT((Parametri_v3!$C$29)/30)))))*(1-(MOD((Parametri_v3!$C$29),30)/30))+IF(47-(INT((Parametri_v3!$C$29)/30))-1&lt;1,0,INDEX(Motore_Operativo!$BH$185:$BH$244,MAX(1,47-(INT((Parametri_v3!$C$29)/30))-1)))*(MOD((Parametri_v3!$C$29),30)/30))*(1+Parametri_v3!$C$26)</f>
        <v>5560.9125</v>
      </c>
      <c r="AG231" s="15" t="n">
        <f aca="false">(AG230)+AE231-AF231</f>
        <v>5560.9125</v>
      </c>
      <c r="AH231" s="15" t="n">
        <f aca="false">(Motore_Operativo!CJ231)*(1+Parametri_v3!$C$27*Parametri_v3!$C$26)</f>
        <v>66391.9507182082</v>
      </c>
      <c r="AI231" s="15" t="n">
        <f aca="false">(IF(47-(INT((Ipotesi!$C$91)/30))&lt;1,0,INDEX(Motore_Startup!$AH$185:$AH$244,MAX(1,47-(INT((Ipotesi!$C$91)/30)))))*(1-(MOD((Ipotesi!$C$91),30)/30))+IF(47-(INT((Ipotesi!$C$91)/30))-1&lt;1,0,INDEX(Motore_Startup!$AH$185:$AH$244,MAX(1,47-(INT((Ipotesi!$C$91)/30))-1)))*(MOD((Ipotesi!$C$91),30)/30))</f>
        <v>65693.5214435049</v>
      </c>
      <c r="AJ231" s="15" t="n">
        <f aca="false">(AJ230)+AH231-AI231</f>
        <v>132436.219848977</v>
      </c>
      <c r="AK231" s="15" t="n">
        <f aca="false">(F231+ Motore_Operativo!BH231-(Motore_Operativo!CJ231)*Parametri_v3!$C$27-Motore_Operativo!CE231)*Parametri_v3!$C$26</f>
        <v>6024.45997960914</v>
      </c>
      <c r="AL231" s="15" t="n">
        <f aca="false">MAX(0,(AM230))</f>
        <v>5618.95001885921</v>
      </c>
      <c r="AM231" s="15" t="n">
        <f aca="false">(AM230)+AK231-AL231</f>
        <v>6024.45997960914</v>
      </c>
      <c r="AN231" s="15" t="n">
        <f aca="false">SUM(X209:X220)</f>
        <v>0</v>
      </c>
      <c r="AO231" s="15" t="n">
        <f aca="false">SUM(AP209:AP220)</f>
        <v>0</v>
      </c>
      <c r="AP231" s="15" t="n">
        <f aca="false">MAX(0,AN231)*IF(11=Parametri_v3!$C$43,Parametri_v3!$C$45,IF(11=Parametri_v3!$C$44,1-Parametri_v3!$C$45,0))</f>
        <v>0</v>
      </c>
      <c r="AQ231" s="15" t="n">
        <f aca="false">MAX(0,AP231+IF(11=Parametri_v3!$C$43,MAX(0,AN231-AO231),0)-MAX(0,-(AR230)))</f>
        <v>0</v>
      </c>
      <c r="AR231" s="15" t="n">
        <f aca="false">(AR230)+X231-AQ231</f>
        <v>0</v>
      </c>
      <c r="AS231" s="15" t="n">
        <f aca="false">Motore_Operativo!AB231-AT231+AU231</f>
        <v>91649.4297604167</v>
      </c>
      <c r="AT231" s="15" t="n">
        <f aca="false">Motore_Operativo!CH231</f>
        <v>4823.65419791667</v>
      </c>
      <c r="AU231" s="15" t="n">
        <f aca="false">MIN(MAX(0,(AV230)+AT231),Parametri_v3!$C$60/12)</f>
        <v>0</v>
      </c>
      <c r="AV231" s="15" t="n">
        <f aca="false">(AV230)+AT231-AU231</f>
        <v>132231.896177083</v>
      </c>
      <c r="AW231" s="15" t="n">
        <f aca="false">IF(AND(Motore_Operativo!C231=Finanziamenti!$D$6,Finanziamenti!$F$6=1),Finanziamenti!$C$6,0)</f>
        <v>0</v>
      </c>
      <c r="AX231" s="15" t="n">
        <f aca="false">IF(AND(4&lt;&gt;7,4&lt;&gt;9,Finanziamenti!$F$8=1,OR(Parametri_v3!$C$6=0,Finanziamenti!$E$8=1),Motore_Operativo!C231=EDATE(Finanziamenti!$D$8,Ipotesi!F15*12)),Finanziamenti!$C$8*1,0)+IF(AND(4&lt;&gt;7,4&lt;&gt;9,Finanziamenti!$F$9=1,OR(Parametri_v3!$C$6=0,Finanziamenti!$E$9=1),Motore_Operativo!C231=EDATE(Finanziamenti!$D$9,Ipotesi!F15*12)),Finanziamenti!$C$9*Ipotesi!F16,0)</f>
        <v>0</v>
      </c>
      <c r="AY231" s="15" t="n">
        <f aca="false">0</f>
        <v>0</v>
      </c>
      <c r="AZ231" s="15" t="n">
        <f aca="false">Motore_Advisory!AY231*(1-Ipotesi!$C$95)*Ipotesi!$C$96</f>
        <v>0</v>
      </c>
      <c r="BA231" s="15" t="n">
        <f aca="false">MAX(0,MIN(CG231*MIN(1,IF(Motore_Operativo!C231&gt;=EDATE(Finanziamenti!$D$15,Ipotesi!F14*12),Finanziamenti!$C$15,0)+IF(Motore_Operativo!C231&gt;=EDATE(Finanziamenti!$D$16,Ipotesi!F14*12),Finanziamenti!$C$16,0)+IF(Motore_Operativo!C231&gt;=EDATE(Finanziamenti!$D$17,Ipotesi!F14*12),Finanziamenti!$C$17,0)),CA231*Ipotesi!$C$102)-(CC230))</f>
        <v>0</v>
      </c>
      <c r="BB231" s="15" t="n">
        <f aca="false">IF(AND(CF231&gt;0,Motore_Operativo!C231&gt;=IF(CF231=0,0,EDATE(CF231,Parametri_v3!$C$37)),MOD(((D231-YEAR(IF(CF231=0,0,EDATE(CF231,Parametri_v3!$C$37))))*12+E231-MONTH(IF(CF231=0,0,EDATE(CF231,Parametri_v3!$C$37)))),Parametri_v3!$C$38)=0),MIN(MAX(0,(BC230)+BA231-N231),(CC231-CD231)/(Ipotesi!$C$108*12/Parametri_v3!$C$38)),0)</f>
        <v>0</v>
      </c>
      <c r="BC231" s="15" t="n">
        <f aca="false">(BC230)+BA231-N231-BB231</f>
        <v>270239.217667495</v>
      </c>
      <c r="BD231" s="15" t="n">
        <f aca="false">(BH230)+AC231+AF231-AI231-AS231-K231*(1+Parametri_v3!$C$26)-AL231-AQ231-O231+AW231+AX231+AZ231+BA231-BB231</f>
        <v>-1897275.3434935</v>
      </c>
      <c r="BE231" s="15" t="n">
        <f aca="false">MAX(0,MIN(MAX(0,CH231-(BG230)),Parametri_v3!$C$30-BD231))</f>
        <v>0</v>
      </c>
      <c r="BF231" s="15" t="n">
        <f aca="false">IF(Motore_Operativo!C231&gt;=Parametri_v3!$C$63,(BG230),MIN((BG230),MAX(0,BD231-Parametri_v3!$C$30)))</f>
        <v>0</v>
      </c>
      <c r="BG231" s="15" t="n">
        <f aca="false">(BG230)+BE231-BF231</f>
        <v>150000</v>
      </c>
      <c r="BH231" s="15" t="n">
        <f aca="false">BD231+BE231-BF231-AY231</f>
        <v>-1897275.3434935</v>
      </c>
      <c r="BI231" s="15" t="n">
        <f aca="false">MAX(0,Parametri_v3!$C$30-BH231)</f>
        <v>1922275.3434935</v>
      </c>
      <c r="BJ231" s="15" t="n">
        <f aca="false">(BJ230)+K231</f>
        <v>111666.666666667</v>
      </c>
      <c r="BK231" s="15" t="n">
        <f aca="false">(BK230)+L231</f>
        <v>61180.5555555556</v>
      </c>
      <c r="BL231" s="15" t="n">
        <f aca="false">BJ231-BK231</f>
        <v>50486.1111111111</v>
      </c>
      <c r="BM231" s="15" t="n">
        <f aca="false">(BM230)+Y231</f>
        <v>-2617900.48674794</v>
      </c>
      <c r="BN231" s="15" t="n">
        <f aca="false">(BN230)+AW231+AX231+AZ231</f>
        <v>430000</v>
      </c>
      <c r="BO231" s="15" t="n">
        <f aca="false">(BO230)+AY231</f>
        <v>0</v>
      </c>
      <c r="BP231" s="15" t="n">
        <f aca="false">0</f>
        <v>0</v>
      </c>
      <c r="BQ231" s="15" t="n">
        <f aca="false">BN231+BM231-BO231</f>
        <v>-2187900.48674794</v>
      </c>
      <c r="BR231" s="15" t="n">
        <f aca="false">BH231+AD231+BL231+MAX(0,-AM231)+MAX(0,-AR231)+AG231</f>
        <v>-1496968.69307478</v>
      </c>
      <c r="BS231" s="15" t="n">
        <f aca="false">AJ231+AV231+MAX(0,AM231)+MAX(0,AR231)+BC231+BG231+BQ231</f>
        <v>-1496968.69307478</v>
      </c>
      <c r="BT231" s="15" t="n">
        <f aca="false">BR231-BS231</f>
        <v>0</v>
      </c>
      <c r="BU231" s="15" t="n">
        <f aca="false">BH231-(BD231+BE231-BF231-AY231)</f>
        <v>0</v>
      </c>
      <c r="BV231" s="15" t="n">
        <f aca="false">MIN(Piano_SS!$C$6,(BV230)+IF(AND(Motore_Operativo!C231&gt;=EDATE(Parametri_v3!$C$24,Ipotesi!F14*12),Motore_Operativo!C231&lt;EDATE(Parametri_v3!$C$24,Parametri_v3!$C$25+Ipotesi!F14*12)),MAX(0,(Motore_Operativo!Y231+Motore_Operativo!X231*Parametri_v3!$C$14)*(1-Parametri_v3!$C$32))*Piano_SS!$D$6,0))</f>
        <v>300000</v>
      </c>
      <c r="BW231" s="15" t="n">
        <f aca="false">MIN(Piano_SS!$C$7,(BW230)+IF(AND(Motore_Operativo!C231&gt;=EDATE(Parametri_v3!$C$24,Ipotesi!F14*12),Motore_Operativo!C231&lt;EDATE(Parametri_v3!$C$24,Parametri_v3!$C$25+Ipotesi!F14*12)),MAX(0,(IF(47-(INT((Ipotesi!$C$91)/30))&lt;1,0,INDEX(Motore_Operativo!$BN$185:$BN$244,MAX(1,47-(INT((Ipotesi!$C$91)/30)))))*(1-(MOD((Ipotesi!$C$91),30)/30))+IF(47-(INT((Ipotesi!$C$91)/30))-1&lt;1,0,INDEX(Motore_Operativo!$BN$185:$BN$244,MAX(1,47-(INT((Ipotesi!$C$91)/30))-1)))*(MOD((Ipotesi!$C$91),30)/30)))*Piano_SS!$D$7,0))</f>
        <v>49712.8886919552</v>
      </c>
      <c r="BX231" s="15" t="n">
        <f aca="false">MIN(Piano_SS!$C$8,(BX230)+IF(AND(Motore_Operativo!C231&gt;=EDATE(Parametri_v3!$C$24,Ipotesi!F14*12),Motore_Operativo!C231&lt;EDATE(Parametri_v3!$C$24,Parametri_v3!$C$25+Ipotesi!F14*12)),MAX(0,Motore_Operativo!CE231)*Piano_SS!$D$8,0))</f>
        <v>50000</v>
      </c>
      <c r="BY231" s="15" t="n">
        <f aca="false">MIN(Piano_SS!$C$9,(BY230)+IF(AND(Motore_Operativo!C231&gt;=EDATE(Parametri_v3!$C$24,Ipotesi!F14*12),Motore_Operativo!C231&lt;EDATE(Parametri_v3!$C$24,Parametri_v3!$C$25+Ipotesi!F14*12)),MAX(0,((IF(47-(INT((Ipotesi!$C$91)/30))&lt;1,0,INDEX(Motore_Operativo!$BQ$185:$BQ$244,MAX(1,47-(INT((Ipotesi!$C$91)/30)))))*(1-(MOD((Ipotesi!$C$91),30)/30))+IF(47-(INT((Ipotesi!$C$91)/30))-1&lt;1,0,INDEX(Motore_Operativo!$BQ$185:$BQ$244,MAX(1,47-(INT((Ipotesi!$C$91)/30))-1)))*(MOD((Ipotesi!$C$91),30)/30))+(IF(47-(INT((Ipotesi!$C$91)/30))&lt;1,0,INDEX(Motore_Operativo!$BR$185:$BR$244,MAX(1,47-(INT((Ipotesi!$C$91)/30)))))*(1-(MOD((Ipotesi!$C$91),30)/30))+IF(47-(INT((Ipotesi!$C$91)/30))-1&lt;1,0,INDEX(Motore_Operativo!$BR$185:$BR$244,MAX(1,47-(INT((Ipotesi!$C$91)/30))-1)))*(MOD((Ipotesi!$C$91),30)/30))))*Piano_SS!$D$9,0))</f>
        <v>40000</v>
      </c>
      <c r="BZ231" s="15" t="n">
        <f aca="false">MIN(Piano_SS!$C$10,(BZ230)+IF(AND(Motore_Operativo!C231&gt;=EDATE(Parametri_v3!$C$24,Ipotesi!F14*12),Motore_Operativo!C231&lt;EDATE(Parametri_v3!$C$24,Parametri_v3!$C$25+Ipotesi!F14*12)),MAX(0,(IF(47-(INT((Ipotesi!$C$91)/30))&lt;1,0,INDEX(Motore_Operativo!$BO$185:$BO$244,MAX(1,47-(INT((Ipotesi!$C$91)/30)))))*(1-(MOD((Ipotesi!$C$91),30)/30))+IF(47-(INT((Ipotesi!$C$91)/30))-1&lt;1,0,INDEX(Motore_Operativo!$BO$185:$BO$244,MAX(1,47-(INT((Ipotesi!$C$91)/30))-1)))*(MOD((Ipotesi!$C$91),30)/30)))*Piano_SS!$D$10,0))</f>
        <v>30000</v>
      </c>
      <c r="CA231" s="15" t="n">
        <f aca="false">SUM(BV231:BZ231)</f>
        <v>469712.888691955</v>
      </c>
      <c r="CB231" s="15" t="n">
        <f aca="false">BV231*(1-Piano_SS!$E$6)+BW231*(1-Piano_SS!$E$7)+BX231*(1-Piano_SS!$E$8)+BY231*(1-Piano_SS!$E$9)+BZ231*(1-Piano_SS!$E$10)</f>
        <v>439712.888691955</v>
      </c>
      <c r="CC231" s="15" t="n">
        <f aca="false">(CC230)+BA231</f>
        <v>375770.310953564</v>
      </c>
      <c r="CD231" s="15" t="n">
        <f aca="false">IF(CA231=0,0,CC231*CB231/CA231*Ipotesi!$C$103*Parametri_v3!$C$64)</f>
        <v>105531.093286069</v>
      </c>
      <c r="CE231" s="18" t="n">
        <f aca="false">IF(BA231&gt;0,Motore_Operativo!C231,(CE230))</f>
        <v>47635</v>
      </c>
      <c r="CF231" s="18" t="n">
        <f aca="false">IF(AND(CC231&gt;0,OR(CC231&gt;=CG231-0.01,Motore_Operativo!C231&gt;=EDATE(MAX(Finanziamenti!$D$15:$D$17),Ipotesi!F14*12))),CE231,0)</f>
        <v>47635</v>
      </c>
      <c r="CG231" s="15" t="n">
        <f aca="false">IF(AND(4&lt;&gt;6,4&lt;&gt;9,Finanziamenti!$F$11=1,OR(Parametri_v3!$C$6=0,Finanziamenti!$E$11=1)),MIN(Finanziamenti!$C$11,Piano_SS!$C$12*Ipotesi!$C$102),0)</f>
        <v>400000</v>
      </c>
      <c r="CH231" s="15" t="n">
        <f aca="false">IF(AND(AND(4&lt;&gt;8,4&lt;&gt;9,Finanziamenti!$F$10=1,OR(Parametri_v3!$C$6=0,Finanziamenti!$E$10=1)),Motore_Operativo!C231&gt;=Finanziamenti!$D$10,Motore_Operativo!C231&lt;Parametri_v3!$C$63),Finanziamenti!$C$10,0)</f>
        <v>150000</v>
      </c>
    </row>
    <row r="232" customFormat="false" ht="18" hidden="false" customHeight="true" outlineLevel="0" collapsed="false">
      <c r="A232" s="68" t="n">
        <f aca="false">4</f>
        <v>4</v>
      </c>
      <c r="B232" s="68" t="n">
        <f aca="false">48</f>
        <v>48</v>
      </c>
      <c r="C232" s="18" t="n">
        <f aca="false">Motore_Operativo!C232</f>
        <v>47818</v>
      </c>
      <c r="D232" s="68" t="n">
        <f aca="false">Motore_Operativo!D232</f>
        <v>2030</v>
      </c>
      <c r="E232" s="68" t="n">
        <f aca="false">Motore_Operativo!E232</f>
        <v>12</v>
      </c>
      <c r="F232" s="15" t="n">
        <f aca="false">Motore_Operativo!AQ232+Motore_Operativo!BF232</f>
        <v>75775.7043199564</v>
      </c>
      <c r="G232" s="15" t="n">
        <f aca="false">Motore_Operativo!BH232</f>
        <v>4558.125</v>
      </c>
      <c r="H232" s="15" t="n">
        <f aca="false">Motore_Operativo!BI232</f>
        <v>80333.8293199564</v>
      </c>
      <c r="I232" s="15" t="n">
        <f aca="false">Motore_Operativo!CA232</f>
        <v>152695.992979794</v>
      </c>
      <c r="J232" s="15" t="n">
        <f aca="false">Motore_Operativo!CC232</f>
        <v>-72362.1636598375</v>
      </c>
      <c r="K232" s="15" t="n">
        <f aca="false">Motore_Operativo!CE232</f>
        <v>3333.33333333333</v>
      </c>
      <c r="L232" s="15" t="n">
        <f aca="false">SUM(INDEX($K$185:$K$244,MAX(1,48-Parametri_v3!$C$59+1)):K232)/Parametri_v3!$C$59</f>
        <v>2638.88888888889</v>
      </c>
      <c r="M232" s="15" t="n">
        <f aca="false">J232-L232</f>
        <v>-75001.0525487264</v>
      </c>
      <c r="N232" s="15" t="n">
        <f aca="false">CD232-(CD231)</f>
        <v>0</v>
      </c>
      <c r="O232" s="15" t="n">
        <f aca="false">(BG231)*Ipotesi!$C$110/12+CH232*Parametri_v3!$C$39/12</f>
        <v>750</v>
      </c>
      <c r="P232" s="15" t="n">
        <f aca="false">M232+N232-O232</f>
        <v>-75751.0525487264</v>
      </c>
      <c r="Q232" s="15" t="n">
        <f aca="false">SUM(P221:P232)+Parametri_v3!$C$54*12/12</f>
        <v>-997481.794643364</v>
      </c>
      <c r="R232" s="15" t="n">
        <f aca="false">Z220</f>
        <v>1696169.7446533</v>
      </c>
      <c r="S232" s="15" t="n">
        <f aca="false">AA220</f>
        <v>0</v>
      </c>
      <c r="T232" s="15" t="n">
        <f aca="false">MIN(R232,MAX(0,Q232))</f>
        <v>0</v>
      </c>
      <c r="U232" s="15" t="n">
        <f aca="false">MIN(S232,MAX(0,Q232-T232)*Parametri_v3!$C$42)</f>
        <v>0</v>
      </c>
      <c r="V232" s="15" t="n">
        <f aca="false">MAX(0,Q232-T232-U232)*Ipotesi!$C$92</f>
        <v>0</v>
      </c>
      <c r="W232" s="15" t="n">
        <f aca="false">MAX(0,SUM(M221:M232)+Parametri_v3!$C$55*12/12)*Ipotesi!$C$93</f>
        <v>0</v>
      </c>
      <c r="X232" s="15" t="n">
        <f aca="false">V232+W232-(V231+W231)</f>
        <v>0</v>
      </c>
      <c r="Y232" s="15" t="n">
        <f aca="false">P232-X232</f>
        <v>-75751.0525487264</v>
      </c>
      <c r="Z232" s="15" t="n">
        <f aca="false">R232-T232+IF(AND(Parametri_v3!$C$40=1,D232-YEAR(Parametri_v3!$C$50)&lt;Parametri_v3!$C$41),MAX(0,-Q232),0)</f>
        <v>1696169.7446533</v>
      </c>
      <c r="AA232" s="15" t="n">
        <f aca="false">S232-U232+IF(AND(Parametri_v3!$C$40=1,D232-YEAR(Parametri_v3!$C$50)&lt;Parametri_v3!$C$41),0,MAX(0,-Q232))</f>
        <v>997481.794643364</v>
      </c>
      <c r="AB232" s="15" t="n">
        <f aca="false">F232*(1+Parametri_v3!$C$26)</f>
        <v>92446.3592703468</v>
      </c>
      <c r="AC232" s="15" t="n">
        <f aca="false">(IF(48-(INT((Motore_Operativo!L232)/30))&lt;1,0,INDEX(Motore_Startup!$AB$185:$AB$244,MAX(1,48-(INT((Motore_Operativo!L232)/30)))))*(1-(MOD((Motore_Operativo!L232),30)/30))+IF(48-(INT((Motore_Operativo!L232)/30))-1&lt;1,0,INDEX(Motore_Startup!$AB$185:$AB$244,MAX(1,48-(INT((Motore_Operativo!L232)/30))-1)))*(MOD((Motore_Operativo!L232),30)/30))</f>
        <v>82191.0149622997</v>
      </c>
      <c r="AD232" s="15" t="n">
        <f aca="false">(AD231)+AB232-AC232</f>
        <v>354514.971115656</v>
      </c>
      <c r="AE232" s="15" t="n">
        <f aca="false">Motore_Operativo!BH232*(1+Parametri_v3!$C$26)</f>
        <v>5560.9125</v>
      </c>
      <c r="AF232" s="15" t="n">
        <f aca="false">(IF(48-(INT((Parametri_v3!$C$29)/30))&lt;1,0,INDEX(Motore_Operativo!$BH$185:$BH$244,MAX(1,48-(INT((Parametri_v3!$C$29)/30)))))*(1-(MOD((Parametri_v3!$C$29),30)/30))+IF(48-(INT((Parametri_v3!$C$29)/30))-1&lt;1,0,INDEX(Motore_Operativo!$BH$185:$BH$244,MAX(1,48-(INT((Parametri_v3!$C$29)/30))-1)))*(MOD((Parametri_v3!$C$29),30)/30))*(1+Parametri_v3!$C$26)</f>
        <v>5560.9125</v>
      </c>
      <c r="AG232" s="15" t="n">
        <f aca="false">(AG231)+AE232-AF232</f>
        <v>5560.9125</v>
      </c>
      <c r="AH232" s="15" t="n">
        <f aca="false">(Motore_Operativo!CJ232)*(1+Parametri_v3!$C$27*Parametri_v3!$C$26)</f>
        <v>66736.5930084737</v>
      </c>
      <c r="AI232" s="15" t="n">
        <f aca="false">(IF(48-(INT((Ipotesi!$C$91)/30))&lt;1,0,INDEX(Motore_Startup!$AH$185:$AH$244,MAX(1,48-(INT((Ipotesi!$C$91)/30)))))*(1-(MOD((Ipotesi!$C$91),30)/30))+IF(48-(INT((Ipotesi!$C$91)/30))-1&lt;1,0,INDEX(Motore_Startup!$AH$185:$AH$244,MAX(1,48-(INT((Ipotesi!$C$91)/30))-1)))*(MOD((Ipotesi!$C$91),30)/30))</f>
        <v>66044.2691307692</v>
      </c>
      <c r="AJ232" s="15" t="n">
        <f aca="false">(AJ231)+AH232-AI232</f>
        <v>133128.543726682</v>
      </c>
      <c r="AK232" s="15" t="n">
        <f aca="false">(F232+ Motore_Operativo!BH232-(Motore_Operativo!CJ232)*Parametri_v3!$C$27-Motore_Operativo!CE232)*Parametri_v3!$C$26</f>
        <v>6426.42513004395</v>
      </c>
      <c r="AL232" s="15" t="n">
        <f aca="false">MAX(0,(AM231))</f>
        <v>6024.45997960914</v>
      </c>
      <c r="AM232" s="15" t="n">
        <f aca="false">(AM231)+AK232-AL232</f>
        <v>6426.42513004395</v>
      </c>
      <c r="AN232" s="15" t="n">
        <f aca="false">SUM(X209:X220)</f>
        <v>0</v>
      </c>
      <c r="AO232" s="15" t="n">
        <f aca="false">SUM(AP209:AP220)</f>
        <v>0</v>
      </c>
      <c r="AP232" s="15" t="n">
        <f aca="false">MAX(0,AN232)*IF(12=Parametri_v3!$C$43,Parametri_v3!$C$45,IF(12=Parametri_v3!$C$44,1-Parametri_v3!$C$45,0))</f>
        <v>0</v>
      </c>
      <c r="AQ232" s="15" t="n">
        <f aca="false">MAX(0,AP232+IF(12=Parametri_v3!$C$43,MAX(0,AN232-AO232),0)-MAX(0,-(AR231)))</f>
        <v>0</v>
      </c>
      <c r="AR232" s="15" t="n">
        <f aca="false">(AR231)+X232-AQ232</f>
        <v>0</v>
      </c>
      <c r="AS232" s="15" t="n">
        <f aca="false">Motore_Operativo!AB232-AT232+AU232</f>
        <v>91649.4297604167</v>
      </c>
      <c r="AT232" s="15" t="n">
        <f aca="false">Motore_Operativo!CH232</f>
        <v>4823.65419791667</v>
      </c>
      <c r="AU232" s="15" t="n">
        <f aca="false">MIN(MAX(0,(AV231)+AT232),Parametri_v3!$C$60/12)</f>
        <v>0</v>
      </c>
      <c r="AV232" s="15" t="n">
        <f aca="false">(AV231)+AT232-AU232</f>
        <v>137055.550375</v>
      </c>
      <c r="AW232" s="15" t="n">
        <f aca="false">IF(AND(Motore_Operativo!C232=Finanziamenti!$D$6,Finanziamenti!$F$6=1),Finanziamenti!$C$6,0)</f>
        <v>0</v>
      </c>
      <c r="AX232" s="15" t="n">
        <f aca="false">IF(AND(4&lt;&gt;7,4&lt;&gt;9,Finanziamenti!$F$8=1,OR(Parametri_v3!$C$6=0,Finanziamenti!$E$8=1),Motore_Operativo!C232=EDATE(Finanziamenti!$D$8,Ipotesi!F15*12)),Finanziamenti!$C$8*1,0)+IF(AND(4&lt;&gt;7,4&lt;&gt;9,Finanziamenti!$F$9=1,OR(Parametri_v3!$C$6=0,Finanziamenti!$E$9=1),Motore_Operativo!C232=EDATE(Finanziamenti!$D$9,Ipotesi!F15*12)),Finanziamenti!$C$9*Ipotesi!F16,0)</f>
        <v>0</v>
      </c>
      <c r="AY232" s="15" t="n">
        <f aca="false">0</f>
        <v>0</v>
      </c>
      <c r="AZ232" s="15" t="n">
        <f aca="false">Motore_Advisory!AY232*(1-Ipotesi!$C$95)*Ipotesi!$C$96</f>
        <v>0</v>
      </c>
      <c r="BA232" s="15" t="n">
        <f aca="false">MAX(0,MIN(CG232*MIN(1,IF(Motore_Operativo!C232&gt;=EDATE(Finanziamenti!$D$15,Ipotesi!F14*12),Finanziamenti!$C$15,0)+IF(Motore_Operativo!C232&gt;=EDATE(Finanziamenti!$D$16,Ipotesi!F14*12),Finanziamenti!$C$16,0)+IF(Motore_Operativo!C232&gt;=EDATE(Finanziamenti!$D$17,Ipotesi!F14*12),Finanziamenti!$C$17,0)),CA232*Ipotesi!$C$102)-(CC231))</f>
        <v>0</v>
      </c>
      <c r="BB232" s="15" t="n">
        <f aca="false">IF(AND(CF232&gt;0,Motore_Operativo!C232&gt;=IF(CF232=0,0,EDATE(CF232,Parametri_v3!$C$37)),MOD(((D232-YEAR(IF(CF232=0,0,EDATE(CF232,Parametri_v3!$C$37))))*12+E232-MONTH(IF(CF232=0,0,EDATE(CF232,Parametri_v3!$C$37)))),Parametri_v3!$C$38)=0),MIN(MAX(0,(BC231)+BA232-N232),(CC232-CD232)/(Ipotesi!$C$108*12/Parametri_v3!$C$38)),0)</f>
        <v>0</v>
      </c>
      <c r="BC232" s="15" t="n">
        <f aca="false">(BC231)+BA232-N232-BB232</f>
        <v>270239.217667495</v>
      </c>
      <c r="BD232" s="15" t="n">
        <f aca="false">(BH231)+AC232+AF232-AI232-AS232-K232*(1+Parametri_v3!$C$26)-AL232-AQ232-O232+AW232+AX232+AZ232+BA232-BB232</f>
        <v>-1978058.24156866</v>
      </c>
      <c r="BE232" s="15" t="n">
        <f aca="false">MAX(0,MIN(MAX(0,CH232-(BG231)),Parametri_v3!$C$30-BD232))</f>
        <v>0</v>
      </c>
      <c r="BF232" s="15" t="n">
        <f aca="false">IF(Motore_Operativo!C232&gt;=Parametri_v3!$C$63,(BG231),MIN((BG231),MAX(0,BD232-Parametri_v3!$C$30)))</f>
        <v>0</v>
      </c>
      <c r="BG232" s="15" t="n">
        <f aca="false">(BG231)+BE232-BF232</f>
        <v>150000</v>
      </c>
      <c r="BH232" s="15" t="n">
        <f aca="false">BD232+BE232-BF232-AY232</f>
        <v>-1978058.24156866</v>
      </c>
      <c r="BI232" s="15" t="n">
        <f aca="false">MAX(0,Parametri_v3!$C$30-BH232)</f>
        <v>2003058.24156866</v>
      </c>
      <c r="BJ232" s="15" t="n">
        <f aca="false">(BJ231)+K232</f>
        <v>115000</v>
      </c>
      <c r="BK232" s="15" t="n">
        <f aca="false">(BK231)+L232</f>
        <v>63819.4444444444</v>
      </c>
      <c r="BL232" s="15" t="n">
        <f aca="false">BJ232-BK232</f>
        <v>51180.5555555555</v>
      </c>
      <c r="BM232" s="15" t="n">
        <f aca="false">(BM231)+Y232</f>
        <v>-2693651.53929667</v>
      </c>
      <c r="BN232" s="15" t="n">
        <f aca="false">(BN231)+AW232+AX232+AZ232</f>
        <v>430000</v>
      </c>
      <c r="BO232" s="15" t="n">
        <f aca="false">(BO231)+AY232</f>
        <v>0</v>
      </c>
      <c r="BP232" s="15" t="n">
        <f aca="false">0</f>
        <v>0</v>
      </c>
      <c r="BQ232" s="15" t="n">
        <f aca="false">BN232+BM232-BO232</f>
        <v>-2263651.53929667</v>
      </c>
      <c r="BR232" s="15" t="n">
        <f aca="false">BH232+AD232+BL232+MAX(0,-AM232)+MAX(0,-AR232)+AG232</f>
        <v>-1566801.80239745</v>
      </c>
      <c r="BS232" s="15" t="n">
        <f aca="false">AJ232+AV232+MAX(0,AM232)+MAX(0,AR232)+BC232+BG232+BQ232</f>
        <v>-1566801.80239745</v>
      </c>
      <c r="BT232" s="15" t="n">
        <f aca="false">BR232-BS232</f>
        <v>0</v>
      </c>
      <c r="BU232" s="15" t="n">
        <f aca="false">BH232-(BD232+BE232-BF232-AY232)</f>
        <v>0</v>
      </c>
      <c r="BV232" s="15" t="n">
        <f aca="false">MIN(Piano_SS!$C$6,(BV231)+IF(AND(Motore_Operativo!C232&gt;=EDATE(Parametri_v3!$C$24,Ipotesi!F14*12),Motore_Operativo!C232&lt;EDATE(Parametri_v3!$C$24,Parametri_v3!$C$25+Ipotesi!F14*12)),MAX(0,(Motore_Operativo!Y232+Motore_Operativo!X232*Parametri_v3!$C$14)*(1-Parametri_v3!$C$32))*Piano_SS!$D$6,0))</f>
        <v>300000</v>
      </c>
      <c r="BW232" s="15" t="n">
        <f aca="false">MIN(Piano_SS!$C$7,(BW231)+IF(AND(Motore_Operativo!C232&gt;=EDATE(Parametri_v3!$C$24,Ipotesi!F14*12),Motore_Operativo!C232&lt;EDATE(Parametri_v3!$C$24,Parametri_v3!$C$25+Ipotesi!F14*12)),MAX(0,(IF(48-(INT((Ipotesi!$C$91)/30))&lt;1,0,INDEX(Motore_Operativo!$BN$185:$BN$244,MAX(1,48-(INT((Ipotesi!$C$91)/30)))))*(1-(MOD((Ipotesi!$C$91),30)/30))+IF(48-(INT((Ipotesi!$C$91)/30))-1&lt;1,0,INDEX(Motore_Operativo!$BN$185:$BN$244,MAX(1,48-(INT((Ipotesi!$C$91)/30))-1)))*(MOD((Ipotesi!$C$91),30)/30)))*Piano_SS!$D$7,0))</f>
        <v>49712.8886919552</v>
      </c>
      <c r="BX232" s="15" t="n">
        <f aca="false">MIN(Piano_SS!$C$8,(BX231)+IF(AND(Motore_Operativo!C232&gt;=EDATE(Parametri_v3!$C$24,Ipotesi!F14*12),Motore_Operativo!C232&lt;EDATE(Parametri_v3!$C$24,Parametri_v3!$C$25+Ipotesi!F14*12)),MAX(0,Motore_Operativo!CE232)*Piano_SS!$D$8,0))</f>
        <v>50000</v>
      </c>
      <c r="BY232" s="15" t="n">
        <f aca="false">MIN(Piano_SS!$C$9,(BY231)+IF(AND(Motore_Operativo!C232&gt;=EDATE(Parametri_v3!$C$24,Ipotesi!F14*12),Motore_Operativo!C232&lt;EDATE(Parametri_v3!$C$24,Parametri_v3!$C$25+Ipotesi!F14*12)),MAX(0,((IF(48-(INT((Ipotesi!$C$91)/30))&lt;1,0,INDEX(Motore_Operativo!$BQ$185:$BQ$244,MAX(1,48-(INT((Ipotesi!$C$91)/30)))))*(1-(MOD((Ipotesi!$C$91),30)/30))+IF(48-(INT((Ipotesi!$C$91)/30))-1&lt;1,0,INDEX(Motore_Operativo!$BQ$185:$BQ$244,MAX(1,48-(INT((Ipotesi!$C$91)/30))-1)))*(MOD((Ipotesi!$C$91),30)/30))+(IF(48-(INT((Ipotesi!$C$91)/30))&lt;1,0,INDEX(Motore_Operativo!$BR$185:$BR$244,MAX(1,48-(INT((Ipotesi!$C$91)/30)))))*(1-(MOD((Ipotesi!$C$91),30)/30))+IF(48-(INT((Ipotesi!$C$91)/30))-1&lt;1,0,INDEX(Motore_Operativo!$BR$185:$BR$244,MAX(1,48-(INT((Ipotesi!$C$91)/30))-1)))*(MOD((Ipotesi!$C$91),30)/30))))*Piano_SS!$D$9,0))</f>
        <v>40000</v>
      </c>
      <c r="BZ232" s="15" t="n">
        <f aca="false">MIN(Piano_SS!$C$10,(BZ231)+IF(AND(Motore_Operativo!C232&gt;=EDATE(Parametri_v3!$C$24,Ipotesi!F14*12),Motore_Operativo!C232&lt;EDATE(Parametri_v3!$C$24,Parametri_v3!$C$25+Ipotesi!F14*12)),MAX(0,(IF(48-(INT((Ipotesi!$C$91)/30))&lt;1,0,INDEX(Motore_Operativo!$BO$185:$BO$244,MAX(1,48-(INT((Ipotesi!$C$91)/30)))))*(1-(MOD((Ipotesi!$C$91),30)/30))+IF(48-(INT((Ipotesi!$C$91)/30))-1&lt;1,0,INDEX(Motore_Operativo!$BO$185:$BO$244,MAX(1,48-(INT((Ipotesi!$C$91)/30))-1)))*(MOD((Ipotesi!$C$91),30)/30)))*Piano_SS!$D$10,0))</f>
        <v>30000</v>
      </c>
      <c r="CA232" s="15" t="n">
        <f aca="false">SUM(BV232:BZ232)</f>
        <v>469712.888691955</v>
      </c>
      <c r="CB232" s="15" t="n">
        <f aca="false">BV232*(1-Piano_SS!$E$6)+BW232*(1-Piano_SS!$E$7)+BX232*(1-Piano_SS!$E$8)+BY232*(1-Piano_SS!$E$9)+BZ232*(1-Piano_SS!$E$10)</f>
        <v>439712.888691955</v>
      </c>
      <c r="CC232" s="15" t="n">
        <f aca="false">(CC231)+BA232</f>
        <v>375770.310953564</v>
      </c>
      <c r="CD232" s="15" t="n">
        <f aca="false">IF(CA232=0,0,CC232*CB232/CA232*Ipotesi!$C$103*Parametri_v3!$C$64)</f>
        <v>105531.093286069</v>
      </c>
      <c r="CE232" s="18" t="n">
        <f aca="false">IF(BA232&gt;0,Motore_Operativo!C232,(CE231))</f>
        <v>47635</v>
      </c>
      <c r="CF232" s="18" t="n">
        <f aca="false">IF(AND(CC232&gt;0,OR(CC232&gt;=CG232-0.01,Motore_Operativo!C232&gt;=EDATE(MAX(Finanziamenti!$D$15:$D$17),Ipotesi!F14*12))),CE232,0)</f>
        <v>47635</v>
      </c>
      <c r="CG232" s="15" t="n">
        <f aca="false">IF(AND(4&lt;&gt;6,4&lt;&gt;9,Finanziamenti!$F$11=1,OR(Parametri_v3!$C$6=0,Finanziamenti!$E$11=1)),MIN(Finanziamenti!$C$11,Piano_SS!$C$12*Ipotesi!$C$102),0)</f>
        <v>400000</v>
      </c>
      <c r="CH232" s="15" t="n">
        <f aca="false">IF(AND(AND(4&lt;&gt;8,4&lt;&gt;9,Finanziamenti!$F$10=1,OR(Parametri_v3!$C$6=0,Finanziamenti!$E$10=1)),Motore_Operativo!C232&gt;=Finanziamenti!$D$10,Motore_Operativo!C232&lt;Parametri_v3!$C$63),Finanziamenti!$C$10,0)</f>
        <v>150000</v>
      </c>
    </row>
    <row r="233" customFormat="false" ht="18" hidden="false" customHeight="true" outlineLevel="0" collapsed="false">
      <c r="A233" s="68" t="n">
        <f aca="false">4</f>
        <v>4</v>
      </c>
      <c r="B233" s="68" t="n">
        <f aca="false">49</f>
        <v>49</v>
      </c>
      <c r="C233" s="18" t="n">
        <f aca="false">Motore_Operativo!C233</f>
        <v>47849</v>
      </c>
      <c r="D233" s="68" t="n">
        <f aca="false">Motore_Operativo!D233</f>
        <v>2031</v>
      </c>
      <c r="E233" s="68" t="n">
        <f aca="false">Motore_Operativo!E233</f>
        <v>1</v>
      </c>
      <c r="F233" s="15" t="n">
        <f aca="false">Motore_Operativo!AQ233+Motore_Operativo!BF233</f>
        <v>91676.8474180386</v>
      </c>
      <c r="G233" s="15" t="n">
        <f aca="false">Motore_Operativo!BH233</f>
        <v>5739.9375</v>
      </c>
      <c r="H233" s="15" t="n">
        <f aca="false">Motore_Operativo!BI233</f>
        <v>97416.7849180386</v>
      </c>
      <c r="I233" s="15" t="n">
        <f aca="false">Motore_Operativo!CA233</f>
        <v>188947.718417692</v>
      </c>
      <c r="J233" s="15" t="n">
        <f aca="false">Motore_Operativo!CC233</f>
        <v>-91530.9334996535</v>
      </c>
      <c r="K233" s="15" t="n">
        <f aca="false">Motore_Operativo!CE233</f>
        <v>4166.66666666667</v>
      </c>
      <c r="L233" s="15" t="n">
        <f aca="false">SUM(INDEX($K$185:$K$244,MAX(1,49-Parametri_v3!$C$59+1)):K233)/Parametri_v3!$C$59</f>
        <v>2696.75925925926</v>
      </c>
      <c r="M233" s="15" t="n">
        <f aca="false">J233-L233</f>
        <v>-94227.6927589127</v>
      </c>
      <c r="N233" s="15" t="n">
        <f aca="false">CD233-(CD232)</f>
        <v>0</v>
      </c>
      <c r="O233" s="15" t="n">
        <f aca="false">(BG232)*Ipotesi!$C$110/12+CH233*Parametri_v3!$C$39/12</f>
        <v>750</v>
      </c>
      <c r="P233" s="15" t="n">
        <f aca="false">M233+N233-O233</f>
        <v>-94977.6927589127</v>
      </c>
      <c r="Q233" s="15" t="n">
        <f aca="false">SUM(P233)+Parametri_v3!$C$54*1/12</f>
        <v>-94977.6927589127</v>
      </c>
      <c r="R233" s="15" t="n">
        <f aca="false">Z232</f>
        <v>1696169.7446533</v>
      </c>
      <c r="S233" s="15" t="n">
        <f aca="false">AA232</f>
        <v>997481.794643364</v>
      </c>
      <c r="T233" s="15" t="n">
        <f aca="false">MIN(R233,MAX(0,Q233))</f>
        <v>0</v>
      </c>
      <c r="U233" s="15" t="n">
        <f aca="false">MIN(S233,MAX(0,Q233-T233)*Parametri_v3!$C$42)</f>
        <v>0</v>
      </c>
      <c r="V233" s="15" t="n">
        <f aca="false">MAX(0,Q233-T233-U233)*Ipotesi!$C$92</f>
        <v>0</v>
      </c>
      <c r="W233" s="15" t="n">
        <f aca="false">MAX(0,SUM(M233)+Parametri_v3!$C$55*1/12)*Ipotesi!$C$93</f>
        <v>0</v>
      </c>
      <c r="X233" s="15" t="n">
        <f aca="false">V233+W233-(0)</f>
        <v>0</v>
      </c>
      <c r="Y233" s="15" t="n">
        <f aca="false">P233-X233</f>
        <v>-94977.6927589127</v>
      </c>
      <c r="Z233" s="15" t="n">
        <f aca="false">R233-T233+IF(AND(Parametri_v3!$C$40=1,D233-YEAR(Parametri_v3!$C$50)&lt;Parametri_v3!$C$41),MAX(0,-Q233),0)</f>
        <v>1696169.7446533</v>
      </c>
      <c r="AA233" s="15" t="n">
        <f aca="false">S233-U233+IF(AND(Parametri_v3!$C$40=1,D233-YEAR(Parametri_v3!$C$50)&lt;Parametri_v3!$C$41),0,MAX(0,-Q233))</f>
        <v>1092459.48740228</v>
      </c>
      <c r="AB233" s="15" t="n">
        <f aca="false">F233*(1+Parametri_v3!$C$26)</f>
        <v>111845.753850007</v>
      </c>
      <c r="AC233" s="15" t="n">
        <f aca="false">(IF(49-(INT((Motore_Operativo!L233)/30))&lt;1,0,INDEX(Motore_Startup!$AB$185:$AB$244,MAX(1,49-(INT((Motore_Operativo!L233)/30)))))*(1-(MOD((Motore_Operativo!L233),30)/30))+IF(49-(INT((Motore_Operativo!L233)/30))-1&lt;1,0,INDEX(Motore_Startup!$AB$185:$AB$244,MAX(1,49-(INT((Motore_Operativo!L233)/30))-1)))*(MOD((Motore_Operativo!L233),30)/30))</f>
        <v>84788.7150937797</v>
      </c>
      <c r="AD233" s="15" t="n">
        <f aca="false">(AD232)+AB233-AC233</f>
        <v>381572.009871883</v>
      </c>
      <c r="AE233" s="15" t="n">
        <f aca="false">Motore_Operativo!BH233*(1+Parametri_v3!$C$26)</f>
        <v>7002.72375</v>
      </c>
      <c r="AF233" s="15" t="n">
        <f aca="false">(IF(49-(INT((Parametri_v3!$C$29)/30))&lt;1,0,INDEX(Motore_Operativo!$BH$185:$BH$244,MAX(1,49-(INT((Parametri_v3!$C$29)/30)))))*(1-(MOD((Parametri_v3!$C$29),30)/30))+IF(49-(INT((Parametri_v3!$C$29)/30))-1&lt;1,0,INDEX(Motore_Operativo!$BH$185:$BH$244,MAX(1,49-(INT((Parametri_v3!$C$29)/30))-1)))*(MOD((Parametri_v3!$C$29),30)/30))*(1+Parametri_v3!$C$26)</f>
        <v>5560.9125</v>
      </c>
      <c r="AG233" s="15" t="n">
        <f aca="false">(AG232)+AE233-AF233</f>
        <v>7002.72375</v>
      </c>
      <c r="AH233" s="15" t="n">
        <f aca="false">(Motore_Operativo!CJ233)*(1+Parametri_v3!$C$27*Parametri_v3!$C$26)</f>
        <v>82461.3530449713</v>
      </c>
      <c r="AI233" s="15" t="n">
        <f aca="false">(IF(49-(INT((Ipotesi!$C$91)/30))&lt;1,0,INDEX(Motore_Startup!$AH$185:$AH$244,MAX(1,49-(INT((Ipotesi!$C$91)/30)))))*(1-(MOD((Ipotesi!$C$91),30)/30))+IF(49-(INT((Ipotesi!$C$91)/30))-1&lt;1,0,INDEX(Motore_Startup!$AH$185:$AH$244,MAX(1,49-(INT((Ipotesi!$C$91)/30))-1)))*(MOD((Ipotesi!$C$91),30)/30))</f>
        <v>66391.9507182082</v>
      </c>
      <c r="AJ233" s="15" t="n">
        <f aca="false">(AJ232)+AH233-AI233</f>
        <v>149197.946053445</v>
      </c>
      <c r="AK233" s="15" t="n">
        <f aca="false">(F233+ Motore_Operativo!BH233-(Motore_Operativo!CJ233)*Parametri_v3!$C$27-Motore_Operativo!CE233)*Parametri_v3!$C$26</f>
        <v>7524.06306718925</v>
      </c>
      <c r="AL233" s="15" t="n">
        <f aca="false">MAX(0,(AM232))</f>
        <v>6426.42513004395</v>
      </c>
      <c r="AM233" s="15" t="n">
        <f aca="false">(AM232)+AK233-AL233</f>
        <v>7524.06306718925</v>
      </c>
      <c r="AN233" s="15" t="n">
        <f aca="false">SUM(X221:X232)</f>
        <v>0</v>
      </c>
      <c r="AO233" s="15" t="n">
        <f aca="false">SUM(AP221:AP232)</f>
        <v>0</v>
      </c>
      <c r="AP233" s="15" t="n">
        <f aca="false">MAX(0,AN233)*IF(1=Parametri_v3!$C$43,Parametri_v3!$C$45,IF(1=Parametri_v3!$C$44,1-Parametri_v3!$C$45,0))</f>
        <v>0</v>
      </c>
      <c r="AQ233" s="15" t="n">
        <f aca="false">MAX(0,AP233+IF(1=Parametri_v3!$C$43,MAX(0,AN233-AO233),0)-MAX(0,-(AR232)))</f>
        <v>0</v>
      </c>
      <c r="AR233" s="15" t="n">
        <f aca="false">(AR232)+X233-AQ233</f>
        <v>0</v>
      </c>
      <c r="AS233" s="15" t="n">
        <f aca="false">Motore_Operativo!AB233-AT233+AU233</f>
        <v>113503.461904792</v>
      </c>
      <c r="AT233" s="15" t="n">
        <f aca="false">Motore_Operativo!CH233</f>
        <v>5973.86641604167</v>
      </c>
      <c r="AU233" s="15" t="n">
        <f aca="false">MIN(MAX(0,(AV232)+AT233),Parametri_v3!$C$60/12)</f>
        <v>0</v>
      </c>
      <c r="AV233" s="15" t="n">
        <f aca="false">(AV232)+AT233-AU233</f>
        <v>143029.416791042</v>
      </c>
      <c r="AW233" s="15" t="n">
        <f aca="false">IF(AND(Motore_Operativo!C233=Finanziamenti!$D$6,Finanziamenti!$F$6=1),Finanziamenti!$C$6,0)</f>
        <v>0</v>
      </c>
      <c r="AX233" s="15" t="n">
        <f aca="false">IF(AND(4&lt;&gt;7,4&lt;&gt;9,Finanziamenti!$F$8=1,OR(Parametri_v3!$C$6=0,Finanziamenti!$E$8=1),Motore_Operativo!C233=EDATE(Finanziamenti!$D$8,Ipotesi!F15*12)),Finanziamenti!$C$8*1,0)+IF(AND(4&lt;&gt;7,4&lt;&gt;9,Finanziamenti!$F$9=1,OR(Parametri_v3!$C$6=0,Finanziamenti!$E$9=1),Motore_Operativo!C233=EDATE(Finanziamenti!$D$9,Ipotesi!F15*12)),Finanziamenti!$C$9*Ipotesi!F16,0)</f>
        <v>0</v>
      </c>
      <c r="AY233" s="15" t="n">
        <f aca="false">0</f>
        <v>0</v>
      </c>
      <c r="AZ233" s="15" t="n">
        <f aca="false">Motore_Advisory!AY233*(1-Ipotesi!$C$95)*Ipotesi!$C$96</f>
        <v>0</v>
      </c>
      <c r="BA233" s="15" t="n">
        <f aca="false">MAX(0,MIN(CG233*MIN(1,IF(Motore_Operativo!C233&gt;=EDATE(Finanziamenti!$D$15,Ipotesi!F14*12),Finanziamenti!$C$15,0)+IF(Motore_Operativo!C233&gt;=EDATE(Finanziamenti!$D$16,Ipotesi!F14*12),Finanziamenti!$C$16,0)+IF(Motore_Operativo!C233&gt;=EDATE(Finanziamenti!$D$17,Ipotesi!F14*12),Finanziamenti!$C$17,0)),CA233*Ipotesi!$C$102)-(CC232))</f>
        <v>0</v>
      </c>
      <c r="BB233" s="15" t="n">
        <f aca="false">IF(AND(CF233&gt;0,Motore_Operativo!C233&gt;=IF(CF233=0,0,EDATE(CF233,Parametri_v3!$C$37)),MOD(((D233-YEAR(IF(CF233=0,0,EDATE(CF233,Parametri_v3!$C$37))))*12+E233-MONTH(IF(CF233=0,0,EDATE(CF233,Parametri_v3!$C$37)))),Parametri_v3!$C$38)=0),MIN(MAX(0,(BC232)+BA233-N233),(CC233-CD233)/(Ipotesi!$C$108*12/Parametri_v3!$C$38)),0)</f>
        <v>0</v>
      </c>
      <c r="BC233" s="15" t="n">
        <f aca="false">(BC232)+BA233-N233-BB233</f>
        <v>270239.217667495</v>
      </c>
      <c r="BD233" s="15" t="n">
        <f aca="false">(BH232)+AC233+AF233-AI233-AS233-K233*(1+Parametri_v3!$C$26)-AL233-AQ233-O233+AW233+AX233+AZ233+BA233-BB233</f>
        <v>-2079863.78506126</v>
      </c>
      <c r="BE233" s="15" t="n">
        <f aca="false">MAX(0,MIN(MAX(0,CH233-(BG232)),Parametri_v3!$C$30-BD233))</f>
        <v>0</v>
      </c>
      <c r="BF233" s="15" t="n">
        <f aca="false">IF(Motore_Operativo!C233&gt;=Parametri_v3!$C$63,(BG232),MIN((BG232),MAX(0,BD233-Parametri_v3!$C$30)))</f>
        <v>0</v>
      </c>
      <c r="BG233" s="15" t="n">
        <f aca="false">(BG232)+BE233-BF233</f>
        <v>150000</v>
      </c>
      <c r="BH233" s="15" t="n">
        <f aca="false">BD233+BE233-BF233-AY233</f>
        <v>-2079863.78506126</v>
      </c>
      <c r="BI233" s="15" t="n">
        <f aca="false">MAX(0,Parametri_v3!$C$30-BH233)</f>
        <v>2104863.78506126</v>
      </c>
      <c r="BJ233" s="15" t="n">
        <f aca="false">(BJ232)+K233</f>
        <v>119166.666666667</v>
      </c>
      <c r="BK233" s="15" t="n">
        <f aca="false">(BK232)+L233</f>
        <v>66516.2037037037</v>
      </c>
      <c r="BL233" s="15" t="n">
        <f aca="false">BJ233-BK233</f>
        <v>52650.4629629629</v>
      </c>
      <c r="BM233" s="15" t="n">
        <f aca="false">(BM232)+Y233</f>
        <v>-2788629.23205558</v>
      </c>
      <c r="BN233" s="15" t="n">
        <f aca="false">(BN232)+AW233+AX233+AZ233</f>
        <v>430000</v>
      </c>
      <c r="BO233" s="15" t="n">
        <f aca="false">(BO232)+AY233</f>
        <v>0</v>
      </c>
      <c r="BP233" s="15" t="n">
        <f aca="false">0</f>
        <v>0</v>
      </c>
      <c r="BQ233" s="15" t="n">
        <f aca="false">BN233+BM233-BO233</f>
        <v>-2358629.23205558</v>
      </c>
      <c r="BR233" s="15" t="n">
        <f aca="false">BH233+AD233+BL233+MAX(0,-AM233)+MAX(0,-AR233)+AG233</f>
        <v>-1638638.58847641</v>
      </c>
      <c r="BS233" s="15" t="n">
        <f aca="false">AJ233+AV233+MAX(0,AM233)+MAX(0,AR233)+BC233+BG233+BQ233</f>
        <v>-1638638.58847641</v>
      </c>
      <c r="BT233" s="15" t="n">
        <f aca="false">BR233-BS233</f>
        <v>0</v>
      </c>
      <c r="BU233" s="15" t="n">
        <f aca="false">BH233-(BD233+BE233-BF233-AY233)</f>
        <v>0</v>
      </c>
      <c r="BV233" s="15" t="n">
        <f aca="false">MIN(Piano_SS!$C$6,(BV232)+IF(AND(Motore_Operativo!C233&gt;=EDATE(Parametri_v3!$C$24,Ipotesi!F14*12),Motore_Operativo!C233&lt;EDATE(Parametri_v3!$C$24,Parametri_v3!$C$25+Ipotesi!F14*12)),MAX(0,(Motore_Operativo!Y233+Motore_Operativo!X233*Parametri_v3!$C$14)*(1-Parametri_v3!$C$32))*Piano_SS!$D$6,0))</f>
        <v>300000</v>
      </c>
      <c r="BW233" s="15" t="n">
        <f aca="false">MIN(Piano_SS!$C$7,(BW232)+IF(AND(Motore_Operativo!C233&gt;=EDATE(Parametri_v3!$C$24,Ipotesi!F14*12),Motore_Operativo!C233&lt;EDATE(Parametri_v3!$C$24,Parametri_v3!$C$25+Ipotesi!F14*12)),MAX(0,(IF(49-(INT((Ipotesi!$C$91)/30))&lt;1,0,INDEX(Motore_Operativo!$BN$185:$BN$244,MAX(1,49-(INT((Ipotesi!$C$91)/30)))))*(1-(MOD((Ipotesi!$C$91),30)/30))+IF(49-(INT((Ipotesi!$C$91)/30))-1&lt;1,0,INDEX(Motore_Operativo!$BN$185:$BN$244,MAX(1,49-(INT((Ipotesi!$C$91)/30))-1)))*(MOD((Ipotesi!$C$91),30)/30)))*Piano_SS!$D$7,0))</f>
        <v>49712.8886919552</v>
      </c>
      <c r="BX233" s="15" t="n">
        <f aca="false">MIN(Piano_SS!$C$8,(BX232)+IF(AND(Motore_Operativo!C233&gt;=EDATE(Parametri_v3!$C$24,Ipotesi!F14*12),Motore_Operativo!C233&lt;EDATE(Parametri_v3!$C$24,Parametri_v3!$C$25+Ipotesi!F14*12)),MAX(0,Motore_Operativo!CE233)*Piano_SS!$D$8,0))</f>
        <v>50000</v>
      </c>
      <c r="BY233" s="15" t="n">
        <f aca="false">MIN(Piano_SS!$C$9,(BY232)+IF(AND(Motore_Operativo!C233&gt;=EDATE(Parametri_v3!$C$24,Ipotesi!F14*12),Motore_Operativo!C233&lt;EDATE(Parametri_v3!$C$24,Parametri_v3!$C$25+Ipotesi!F14*12)),MAX(0,((IF(49-(INT((Ipotesi!$C$91)/30))&lt;1,0,INDEX(Motore_Operativo!$BQ$185:$BQ$244,MAX(1,49-(INT((Ipotesi!$C$91)/30)))))*(1-(MOD((Ipotesi!$C$91),30)/30))+IF(49-(INT((Ipotesi!$C$91)/30))-1&lt;1,0,INDEX(Motore_Operativo!$BQ$185:$BQ$244,MAX(1,49-(INT((Ipotesi!$C$91)/30))-1)))*(MOD((Ipotesi!$C$91),30)/30))+(IF(49-(INT((Ipotesi!$C$91)/30))&lt;1,0,INDEX(Motore_Operativo!$BR$185:$BR$244,MAX(1,49-(INT((Ipotesi!$C$91)/30)))))*(1-(MOD((Ipotesi!$C$91),30)/30))+IF(49-(INT((Ipotesi!$C$91)/30))-1&lt;1,0,INDEX(Motore_Operativo!$BR$185:$BR$244,MAX(1,49-(INT((Ipotesi!$C$91)/30))-1)))*(MOD((Ipotesi!$C$91),30)/30))))*Piano_SS!$D$9,0))</f>
        <v>40000</v>
      </c>
      <c r="BZ233" s="15" t="n">
        <f aca="false">MIN(Piano_SS!$C$10,(BZ232)+IF(AND(Motore_Operativo!C233&gt;=EDATE(Parametri_v3!$C$24,Ipotesi!F14*12),Motore_Operativo!C233&lt;EDATE(Parametri_v3!$C$24,Parametri_v3!$C$25+Ipotesi!F14*12)),MAX(0,(IF(49-(INT((Ipotesi!$C$91)/30))&lt;1,0,INDEX(Motore_Operativo!$BO$185:$BO$244,MAX(1,49-(INT((Ipotesi!$C$91)/30)))))*(1-(MOD((Ipotesi!$C$91),30)/30))+IF(49-(INT((Ipotesi!$C$91)/30))-1&lt;1,0,INDEX(Motore_Operativo!$BO$185:$BO$244,MAX(1,49-(INT((Ipotesi!$C$91)/30))-1)))*(MOD((Ipotesi!$C$91),30)/30)))*Piano_SS!$D$10,0))</f>
        <v>30000</v>
      </c>
      <c r="CA233" s="15" t="n">
        <f aca="false">SUM(BV233:BZ233)</f>
        <v>469712.888691955</v>
      </c>
      <c r="CB233" s="15" t="n">
        <f aca="false">BV233*(1-Piano_SS!$E$6)+BW233*(1-Piano_SS!$E$7)+BX233*(1-Piano_SS!$E$8)+BY233*(1-Piano_SS!$E$9)+BZ233*(1-Piano_SS!$E$10)</f>
        <v>439712.888691955</v>
      </c>
      <c r="CC233" s="15" t="n">
        <f aca="false">(CC232)+BA233</f>
        <v>375770.310953564</v>
      </c>
      <c r="CD233" s="15" t="n">
        <f aca="false">IF(CA233=0,0,CC233*CB233/CA233*Ipotesi!$C$103*Parametri_v3!$C$64)</f>
        <v>105531.093286069</v>
      </c>
      <c r="CE233" s="18" t="n">
        <f aca="false">IF(BA233&gt;0,Motore_Operativo!C233,(CE232))</f>
        <v>47635</v>
      </c>
      <c r="CF233" s="18" t="n">
        <f aca="false">IF(AND(CC233&gt;0,OR(CC233&gt;=CG233-0.01,Motore_Operativo!C233&gt;=EDATE(MAX(Finanziamenti!$D$15:$D$17),Ipotesi!F14*12))),CE233,0)</f>
        <v>47635</v>
      </c>
      <c r="CG233" s="15" t="n">
        <f aca="false">IF(AND(4&lt;&gt;6,4&lt;&gt;9,Finanziamenti!$F$11=1,OR(Parametri_v3!$C$6=0,Finanziamenti!$E$11=1)),MIN(Finanziamenti!$C$11,Piano_SS!$C$12*Ipotesi!$C$102),0)</f>
        <v>400000</v>
      </c>
      <c r="CH233" s="15" t="n">
        <f aca="false">IF(AND(AND(4&lt;&gt;8,4&lt;&gt;9,Finanziamenti!$F$10=1,OR(Parametri_v3!$C$6=0,Finanziamenti!$E$10=1)),Motore_Operativo!C233&gt;=Finanziamenti!$D$10,Motore_Operativo!C233&lt;Parametri_v3!$C$63),Finanziamenti!$C$10,0)</f>
        <v>150000</v>
      </c>
    </row>
    <row r="234" customFormat="false" ht="18" hidden="false" customHeight="true" outlineLevel="0" collapsed="false">
      <c r="A234" s="68" t="n">
        <f aca="false">4</f>
        <v>4</v>
      </c>
      <c r="B234" s="68" t="n">
        <f aca="false">50</f>
        <v>50</v>
      </c>
      <c r="C234" s="18" t="n">
        <f aca="false">Motore_Operativo!C234</f>
        <v>47880</v>
      </c>
      <c r="D234" s="68" t="n">
        <f aca="false">Motore_Operativo!D234</f>
        <v>2031</v>
      </c>
      <c r="E234" s="68" t="n">
        <f aca="false">Motore_Operativo!E234</f>
        <v>2</v>
      </c>
      <c r="F234" s="15" t="n">
        <f aca="false">Motore_Operativo!AQ234+Motore_Operativo!BF234</f>
        <v>93589.6408969259</v>
      </c>
      <c r="G234" s="15" t="n">
        <f aca="false">Motore_Operativo!BH234</f>
        <v>5739.9375</v>
      </c>
      <c r="H234" s="15" t="n">
        <f aca="false">Motore_Operativo!BI234</f>
        <v>99329.5783969259</v>
      </c>
      <c r="I234" s="15" t="n">
        <f aca="false">Motore_Operativo!CA234</f>
        <v>189215.509504736</v>
      </c>
      <c r="J234" s="15" t="n">
        <f aca="false">Motore_Operativo!CC234</f>
        <v>-89885.9311078105</v>
      </c>
      <c r="K234" s="15" t="n">
        <f aca="false">Motore_Operativo!CE234</f>
        <v>4166.66666666667</v>
      </c>
      <c r="L234" s="15" t="n">
        <f aca="false">SUM(INDEX($K$185:$K$244,MAX(1,50-Parametri_v3!$C$59+1)):K234)/Parametri_v3!$C$59</f>
        <v>2754.62962962963</v>
      </c>
      <c r="M234" s="15" t="n">
        <f aca="false">J234-L234</f>
        <v>-92640.5607374401</v>
      </c>
      <c r="N234" s="15" t="n">
        <f aca="false">CD234-(CD233)</f>
        <v>0</v>
      </c>
      <c r="O234" s="15" t="n">
        <f aca="false">(BG233)*Ipotesi!$C$110/12+CH234*Parametri_v3!$C$39/12</f>
        <v>750</v>
      </c>
      <c r="P234" s="15" t="n">
        <f aca="false">M234+N234-O234</f>
        <v>-93390.5607374401</v>
      </c>
      <c r="Q234" s="15" t="n">
        <f aca="false">SUM(P233:P234)+Parametri_v3!$C$54*2/12</f>
        <v>-188368.253496353</v>
      </c>
      <c r="R234" s="15" t="n">
        <f aca="false">Z232</f>
        <v>1696169.7446533</v>
      </c>
      <c r="S234" s="15" t="n">
        <f aca="false">AA232</f>
        <v>997481.794643364</v>
      </c>
      <c r="T234" s="15" t="n">
        <f aca="false">MIN(R234,MAX(0,Q234))</f>
        <v>0</v>
      </c>
      <c r="U234" s="15" t="n">
        <f aca="false">MIN(S234,MAX(0,Q234-T234)*Parametri_v3!$C$42)</f>
        <v>0</v>
      </c>
      <c r="V234" s="15" t="n">
        <f aca="false">MAX(0,Q234-T234-U234)*Ipotesi!$C$92</f>
        <v>0</v>
      </c>
      <c r="W234" s="15" t="n">
        <f aca="false">MAX(0,SUM(M233:M234)+Parametri_v3!$C$55*2/12)*Ipotesi!$C$93</f>
        <v>0</v>
      </c>
      <c r="X234" s="15" t="n">
        <f aca="false">V234+W234-(V233+W233)</f>
        <v>0</v>
      </c>
      <c r="Y234" s="15" t="n">
        <f aca="false">P234-X234</f>
        <v>-93390.5607374401</v>
      </c>
      <c r="Z234" s="15" t="n">
        <f aca="false">R234-T234+IF(AND(Parametri_v3!$C$40=1,D234-YEAR(Parametri_v3!$C$50)&lt;Parametri_v3!$C$41),MAX(0,-Q234),0)</f>
        <v>1696169.7446533</v>
      </c>
      <c r="AA234" s="15" t="n">
        <f aca="false">S234-U234+IF(AND(Parametri_v3!$C$40=1,D234-YEAR(Parametri_v3!$C$50)&lt;Parametri_v3!$C$41),0,MAX(0,-Q234))</f>
        <v>1185850.04813972</v>
      </c>
      <c r="AB234" s="15" t="n">
        <f aca="false">F234*(1+Parametri_v3!$C$26)</f>
        <v>114179.36189425</v>
      </c>
      <c r="AC234" s="15" t="n">
        <f aca="false">(IF(50-(INT((Motore_Operativo!L234)/30))&lt;1,0,INDEX(Motore_Startup!$AB$185:$AB$244,MAX(1,50-(INT((Motore_Operativo!L234)/30)))))*(1-(MOD((Motore_Operativo!L234),30)/30))+IF(50-(INT((Motore_Operativo!L234)/30))-1&lt;1,0,INDEX(Motore_Startup!$AB$185:$AB$244,MAX(1,50-(INT((Motore_Operativo!L234)/30))-1)))*(MOD((Motore_Operativo!L234),30)/30))</f>
        <v>87363.7071413334</v>
      </c>
      <c r="AD234" s="15" t="n">
        <f aca="false">(AD233)+AB234-AC234</f>
        <v>408387.664624799</v>
      </c>
      <c r="AE234" s="15" t="n">
        <f aca="false">Motore_Operativo!BH234*(1+Parametri_v3!$C$26)</f>
        <v>7002.72375</v>
      </c>
      <c r="AF234" s="15" t="n">
        <f aca="false">(IF(50-(INT((Parametri_v3!$C$29)/30))&lt;1,0,INDEX(Motore_Operativo!$BH$185:$BH$244,MAX(1,50-(INT((Parametri_v3!$C$29)/30)))))*(1-(MOD((Parametri_v3!$C$29),30)/30))+IF(50-(INT((Parametri_v3!$C$29)/30))-1&lt;1,0,INDEX(Motore_Operativo!$BH$185:$BH$244,MAX(1,50-(INT((Parametri_v3!$C$29)/30))-1)))*(MOD((Parametri_v3!$C$29),30)/30))*(1+Parametri_v3!$C$26)</f>
        <v>7002.72375</v>
      </c>
      <c r="AG234" s="15" t="n">
        <f aca="false">(AG233)+AE234-AF234</f>
        <v>7002.72375</v>
      </c>
      <c r="AH234" s="15" t="n">
        <f aca="false">(Motore_Operativo!CJ234)*(1+Parametri_v3!$C$27*Parametri_v3!$C$26)</f>
        <v>82779.2210652929</v>
      </c>
      <c r="AI234" s="15" t="n">
        <f aca="false">(IF(50-(INT((Ipotesi!$C$91)/30))&lt;1,0,INDEX(Motore_Startup!$AH$185:$AH$244,MAX(1,50-(INT((Ipotesi!$C$91)/30)))))*(1-(MOD((Ipotesi!$C$91),30)/30))+IF(50-(INT((Ipotesi!$C$91)/30))-1&lt;1,0,INDEX(Motore_Startup!$AH$185:$AH$244,MAX(1,50-(INT((Ipotesi!$C$91)/30))-1)))*(MOD((Ipotesi!$C$91),30)/30))</f>
        <v>66736.5930084737</v>
      </c>
      <c r="AJ234" s="15" t="n">
        <f aca="false">(AJ233)+AH234-AI234</f>
        <v>165240.574110264</v>
      </c>
      <c r="AK234" s="15" t="n">
        <f aca="false">(F234+ Motore_Operativo!BH234-(Motore_Operativo!CJ234)*Parametri_v3!$C$27-Motore_Operativo!CE234)*Parametri_v3!$C$26</f>
        <v>7894.80069926717</v>
      </c>
      <c r="AL234" s="15" t="n">
        <f aca="false">MAX(0,(AM233))</f>
        <v>7524.06306718925</v>
      </c>
      <c r="AM234" s="15" t="n">
        <f aca="false">(AM233)+AK234-AL234</f>
        <v>7894.80069926717</v>
      </c>
      <c r="AN234" s="15" t="n">
        <f aca="false">SUM(X221:X232)</f>
        <v>0</v>
      </c>
      <c r="AO234" s="15" t="n">
        <f aca="false">SUM(AP221:AP232)</f>
        <v>0</v>
      </c>
      <c r="AP234" s="15" t="n">
        <f aca="false">MAX(0,AN234)*IF(2=Parametri_v3!$C$43,Parametri_v3!$C$45,IF(2=Parametri_v3!$C$44,1-Parametri_v3!$C$45,0))</f>
        <v>0</v>
      </c>
      <c r="AQ234" s="15" t="n">
        <f aca="false">MAX(0,AP234+IF(2=Parametri_v3!$C$43,MAX(0,AN234-AO234),0)-MAX(0,-(AR233)))</f>
        <v>0</v>
      </c>
      <c r="AR234" s="15" t="n">
        <f aca="false">(AR233)+X234-AQ234</f>
        <v>0</v>
      </c>
      <c r="AS234" s="15" t="n">
        <f aca="false">Motore_Operativo!AB234-AT234+AU234</f>
        <v>113503.461904792</v>
      </c>
      <c r="AT234" s="15" t="n">
        <f aca="false">Motore_Operativo!CH234</f>
        <v>5973.86641604167</v>
      </c>
      <c r="AU234" s="15" t="n">
        <f aca="false">MIN(MAX(0,(AV233)+AT234),Parametri_v3!$C$60/12)</f>
        <v>0</v>
      </c>
      <c r="AV234" s="15" t="n">
        <f aca="false">(AV233)+AT234-AU234</f>
        <v>149003.283207083</v>
      </c>
      <c r="AW234" s="15" t="n">
        <f aca="false">IF(AND(Motore_Operativo!C234=Finanziamenti!$D$6,Finanziamenti!$F$6=1),Finanziamenti!$C$6,0)</f>
        <v>0</v>
      </c>
      <c r="AX234" s="15" t="n">
        <f aca="false">IF(AND(4&lt;&gt;7,4&lt;&gt;9,Finanziamenti!$F$8=1,OR(Parametri_v3!$C$6=0,Finanziamenti!$E$8=1),Motore_Operativo!C234=EDATE(Finanziamenti!$D$8,Ipotesi!F15*12)),Finanziamenti!$C$8*1,0)+IF(AND(4&lt;&gt;7,4&lt;&gt;9,Finanziamenti!$F$9=1,OR(Parametri_v3!$C$6=0,Finanziamenti!$E$9=1),Motore_Operativo!C234=EDATE(Finanziamenti!$D$9,Ipotesi!F15*12)),Finanziamenti!$C$9*Ipotesi!F16,0)</f>
        <v>0</v>
      </c>
      <c r="AY234" s="15" t="n">
        <f aca="false">0</f>
        <v>0</v>
      </c>
      <c r="AZ234" s="15" t="n">
        <f aca="false">Motore_Advisory!AY234*(1-Ipotesi!$C$95)*Ipotesi!$C$96</f>
        <v>0</v>
      </c>
      <c r="BA234" s="15" t="n">
        <f aca="false">MAX(0,MIN(CG234*MIN(1,IF(Motore_Operativo!C234&gt;=EDATE(Finanziamenti!$D$15,Ipotesi!F14*12),Finanziamenti!$C$15,0)+IF(Motore_Operativo!C234&gt;=EDATE(Finanziamenti!$D$16,Ipotesi!F14*12),Finanziamenti!$C$16,0)+IF(Motore_Operativo!C234&gt;=EDATE(Finanziamenti!$D$17,Ipotesi!F14*12),Finanziamenti!$C$17,0)),CA234*Ipotesi!$C$102)-(CC233))</f>
        <v>0</v>
      </c>
      <c r="BB234" s="15" t="n">
        <f aca="false">IF(AND(CF234&gt;0,Motore_Operativo!C234&gt;=IF(CF234=0,0,EDATE(CF234,Parametri_v3!$C$37)),MOD(((D234-YEAR(IF(CF234=0,0,EDATE(CF234,Parametri_v3!$C$37))))*12+E234-MONTH(IF(CF234=0,0,EDATE(CF234,Parametri_v3!$C$37)))),Parametri_v3!$C$38)=0),MIN(MAX(0,(BC233)+BA234-N234),(CC234-CD234)/(Ipotesi!$C$108*12/Parametri_v3!$C$38)),0)</f>
        <v>0</v>
      </c>
      <c r="BC234" s="15" t="n">
        <f aca="false">(BC233)+BA234-N234-BB234</f>
        <v>270239.217667495</v>
      </c>
      <c r="BD234" s="15" t="n">
        <f aca="false">(BH233)+AC234+AF234-AI234-AS234-K234*(1+Parametri_v3!$C$26)-AL234-AQ234-O234+AW234+AX234+AZ234+BA234-BB234</f>
        <v>-2179094.80548371</v>
      </c>
      <c r="BE234" s="15" t="n">
        <f aca="false">MAX(0,MIN(MAX(0,CH234-(BG233)),Parametri_v3!$C$30-BD234))</f>
        <v>0</v>
      </c>
      <c r="BF234" s="15" t="n">
        <f aca="false">IF(Motore_Operativo!C234&gt;=Parametri_v3!$C$63,(BG233),MIN((BG233),MAX(0,BD234-Parametri_v3!$C$30)))</f>
        <v>0</v>
      </c>
      <c r="BG234" s="15" t="n">
        <f aca="false">(BG233)+BE234-BF234</f>
        <v>150000</v>
      </c>
      <c r="BH234" s="15" t="n">
        <f aca="false">BD234+BE234-BF234-AY234</f>
        <v>-2179094.80548371</v>
      </c>
      <c r="BI234" s="15" t="n">
        <f aca="false">MAX(0,Parametri_v3!$C$30-BH234)</f>
        <v>2204094.80548371</v>
      </c>
      <c r="BJ234" s="15" t="n">
        <f aca="false">(BJ233)+K234</f>
        <v>123333.333333333</v>
      </c>
      <c r="BK234" s="15" t="n">
        <f aca="false">(BK233)+L234</f>
        <v>69270.8333333333</v>
      </c>
      <c r="BL234" s="15" t="n">
        <f aca="false">BJ234-BK234</f>
        <v>54062.4999999999</v>
      </c>
      <c r="BM234" s="15" t="n">
        <f aca="false">(BM233)+Y234</f>
        <v>-2882019.79279302</v>
      </c>
      <c r="BN234" s="15" t="n">
        <f aca="false">(BN233)+AW234+AX234+AZ234</f>
        <v>430000</v>
      </c>
      <c r="BO234" s="15" t="n">
        <f aca="false">(BO233)+AY234</f>
        <v>0</v>
      </c>
      <c r="BP234" s="15" t="n">
        <f aca="false">0</f>
        <v>0</v>
      </c>
      <c r="BQ234" s="15" t="n">
        <f aca="false">BN234+BM234-BO234</f>
        <v>-2452019.79279302</v>
      </c>
      <c r="BR234" s="15" t="n">
        <f aca="false">BH234+AD234+BL234+MAX(0,-AM234)+MAX(0,-AR234)+AG234</f>
        <v>-1709641.91710891</v>
      </c>
      <c r="BS234" s="15" t="n">
        <f aca="false">AJ234+AV234+MAX(0,AM234)+MAX(0,AR234)+BC234+BG234+BQ234</f>
        <v>-1709641.91710891</v>
      </c>
      <c r="BT234" s="15" t="n">
        <f aca="false">BR234-BS234</f>
        <v>0</v>
      </c>
      <c r="BU234" s="15" t="n">
        <f aca="false">BH234-(BD234+BE234-BF234-AY234)</f>
        <v>0</v>
      </c>
      <c r="BV234" s="15" t="n">
        <f aca="false">MIN(Piano_SS!$C$6,(BV233)+IF(AND(Motore_Operativo!C234&gt;=EDATE(Parametri_v3!$C$24,Ipotesi!F14*12),Motore_Operativo!C234&lt;EDATE(Parametri_v3!$C$24,Parametri_v3!$C$25+Ipotesi!F14*12)),MAX(0,(Motore_Operativo!Y234+Motore_Operativo!X234*Parametri_v3!$C$14)*(1-Parametri_v3!$C$32))*Piano_SS!$D$6,0))</f>
        <v>300000</v>
      </c>
      <c r="BW234" s="15" t="n">
        <f aca="false">MIN(Piano_SS!$C$7,(BW233)+IF(AND(Motore_Operativo!C234&gt;=EDATE(Parametri_v3!$C$24,Ipotesi!F14*12),Motore_Operativo!C234&lt;EDATE(Parametri_v3!$C$24,Parametri_v3!$C$25+Ipotesi!F14*12)),MAX(0,(IF(50-(INT((Ipotesi!$C$91)/30))&lt;1,0,INDEX(Motore_Operativo!$BN$185:$BN$244,MAX(1,50-(INT((Ipotesi!$C$91)/30)))))*(1-(MOD((Ipotesi!$C$91),30)/30))+IF(50-(INT((Ipotesi!$C$91)/30))-1&lt;1,0,INDEX(Motore_Operativo!$BN$185:$BN$244,MAX(1,50-(INT((Ipotesi!$C$91)/30))-1)))*(MOD((Ipotesi!$C$91),30)/30)))*Piano_SS!$D$7,0))</f>
        <v>49712.8886919552</v>
      </c>
      <c r="BX234" s="15" t="n">
        <f aca="false">MIN(Piano_SS!$C$8,(BX233)+IF(AND(Motore_Operativo!C234&gt;=EDATE(Parametri_v3!$C$24,Ipotesi!F14*12),Motore_Operativo!C234&lt;EDATE(Parametri_v3!$C$24,Parametri_v3!$C$25+Ipotesi!F14*12)),MAX(0,Motore_Operativo!CE234)*Piano_SS!$D$8,0))</f>
        <v>50000</v>
      </c>
      <c r="BY234" s="15" t="n">
        <f aca="false">MIN(Piano_SS!$C$9,(BY233)+IF(AND(Motore_Operativo!C234&gt;=EDATE(Parametri_v3!$C$24,Ipotesi!F14*12),Motore_Operativo!C234&lt;EDATE(Parametri_v3!$C$24,Parametri_v3!$C$25+Ipotesi!F14*12)),MAX(0,((IF(50-(INT((Ipotesi!$C$91)/30))&lt;1,0,INDEX(Motore_Operativo!$BQ$185:$BQ$244,MAX(1,50-(INT((Ipotesi!$C$91)/30)))))*(1-(MOD((Ipotesi!$C$91),30)/30))+IF(50-(INT((Ipotesi!$C$91)/30))-1&lt;1,0,INDEX(Motore_Operativo!$BQ$185:$BQ$244,MAX(1,50-(INT((Ipotesi!$C$91)/30))-1)))*(MOD((Ipotesi!$C$91),30)/30))+(IF(50-(INT((Ipotesi!$C$91)/30))&lt;1,0,INDEX(Motore_Operativo!$BR$185:$BR$244,MAX(1,50-(INT((Ipotesi!$C$91)/30)))))*(1-(MOD((Ipotesi!$C$91),30)/30))+IF(50-(INT((Ipotesi!$C$91)/30))-1&lt;1,0,INDEX(Motore_Operativo!$BR$185:$BR$244,MAX(1,50-(INT((Ipotesi!$C$91)/30))-1)))*(MOD((Ipotesi!$C$91),30)/30))))*Piano_SS!$D$9,0))</f>
        <v>40000</v>
      </c>
      <c r="BZ234" s="15" t="n">
        <f aca="false">MIN(Piano_SS!$C$10,(BZ233)+IF(AND(Motore_Operativo!C234&gt;=EDATE(Parametri_v3!$C$24,Ipotesi!F14*12),Motore_Operativo!C234&lt;EDATE(Parametri_v3!$C$24,Parametri_v3!$C$25+Ipotesi!F14*12)),MAX(0,(IF(50-(INT((Ipotesi!$C$91)/30))&lt;1,0,INDEX(Motore_Operativo!$BO$185:$BO$244,MAX(1,50-(INT((Ipotesi!$C$91)/30)))))*(1-(MOD((Ipotesi!$C$91),30)/30))+IF(50-(INT((Ipotesi!$C$91)/30))-1&lt;1,0,INDEX(Motore_Operativo!$BO$185:$BO$244,MAX(1,50-(INT((Ipotesi!$C$91)/30))-1)))*(MOD((Ipotesi!$C$91),30)/30)))*Piano_SS!$D$10,0))</f>
        <v>30000</v>
      </c>
      <c r="CA234" s="15" t="n">
        <f aca="false">SUM(BV234:BZ234)</f>
        <v>469712.888691955</v>
      </c>
      <c r="CB234" s="15" t="n">
        <f aca="false">BV234*(1-Piano_SS!$E$6)+BW234*(1-Piano_SS!$E$7)+BX234*(1-Piano_SS!$E$8)+BY234*(1-Piano_SS!$E$9)+BZ234*(1-Piano_SS!$E$10)</f>
        <v>439712.888691955</v>
      </c>
      <c r="CC234" s="15" t="n">
        <f aca="false">(CC233)+BA234</f>
        <v>375770.310953564</v>
      </c>
      <c r="CD234" s="15" t="n">
        <f aca="false">IF(CA234=0,0,CC234*CB234/CA234*Ipotesi!$C$103*Parametri_v3!$C$64)</f>
        <v>105531.093286069</v>
      </c>
      <c r="CE234" s="18" t="n">
        <f aca="false">IF(BA234&gt;0,Motore_Operativo!C234,(CE233))</f>
        <v>47635</v>
      </c>
      <c r="CF234" s="18" t="n">
        <f aca="false">IF(AND(CC234&gt;0,OR(CC234&gt;=CG234-0.01,Motore_Operativo!C234&gt;=EDATE(MAX(Finanziamenti!$D$15:$D$17),Ipotesi!F14*12))),CE234,0)</f>
        <v>47635</v>
      </c>
      <c r="CG234" s="15" t="n">
        <f aca="false">IF(AND(4&lt;&gt;6,4&lt;&gt;9,Finanziamenti!$F$11=1,OR(Parametri_v3!$C$6=0,Finanziamenti!$E$11=1)),MIN(Finanziamenti!$C$11,Piano_SS!$C$12*Ipotesi!$C$102),0)</f>
        <v>400000</v>
      </c>
      <c r="CH234" s="15" t="n">
        <f aca="false">IF(AND(AND(4&lt;&gt;8,4&lt;&gt;9,Finanziamenti!$F$10=1,OR(Parametri_v3!$C$6=0,Finanziamenti!$E$10=1)),Motore_Operativo!C234&gt;=Finanziamenti!$D$10,Motore_Operativo!C234&lt;Parametri_v3!$C$63),Finanziamenti!$C$10,0)</f>
        <v>150000</v>
      </c>
    </row>
    <row r="235" customFormat="false" ht="18" hidden="false" customHeight="true" outlineLevel="0" collapsed="false">
      <c r="A235" s="68" t="n">
        <f aca="false">4</f>
        <v>4</v>
      </c>
      <c r="B235" s="68" t="n">
        <f aca="false">51</f>
        <v>51</v>
      </c>
      <c r="C235" s="18" t="n">
        <f aca="false">Motore_Operativo!C235</f>
        <v>47908</v>
      </c>
      <c r="D235" s="68" t="n">
        <f aca="false">Motore_Operativo!D235</f>
        <v>2031</v>
      </c>
      <c r="E235" s="68" t="n">
        <f aca="false">Motore_Operativo!E235</f>
        <v>3</v>
      </c>
      <c r="F235" s="15" t="n">
        <f aca="false">Motore_Operativo!AQ235+Motore_Operativo!BF235</f>
        <v>95485.713479384</v>
      </c>
      <c r="G235" s="15" t="n">
        <f aca="false">Motore_Operativo!BH235</f>
        <v>5739.9375</v>
      </c>
      <c r="H235" s="15" t="n">
        <f aca="false">Motore_Operativo!BI235</f>
        <v>101225.650979384</v>
      </c>
      <c r="I235" s="15" t="n">
        <f aca="false">Motore_Operativo!CA235</f>
        <v>189480.95966628</v>
      </c>
      <c r="J235" s="15" t="n">
        <f aca="false">Motore_Operativo!CC235</f>
        <v>-88255.3086868965</v>
      </c>
      <c r="K235" s="15" t="n">
        <f aca="false">Motore_Operativo!CE235</f>
        <v>4166.66666666667</v>
      </c>
      <c r="L235" s="15" t="n">
        <f aca="false">SUM(INDEX($K$185:$K$244,MAX(1,51-Parametri_v3!$C$59+1)):K235)/Parametri_v3!$C$59</f>
        <v>2812.5</v>
      </c>
      <c r="M235" s="15" t="n">
        <f aca="false">J235-L235</f>
        <v>-91067.8086868965</v>
      </c>
      <c r="N235" s="15" t="n">
        <f aca="false">CD235-(CD234)</f>
        <v>0</v>
      </c>
      <c r="O235" s="15" t="n">
        <f aca="false">(BG234)*Ipotesi!$C$110/12+CH235*Parametri_v3!$C$39/12</f>
        <v>750</v>
      </c>
      <c r="P235" s="15" t="n">
        <f aca="false">M235+N235-O235</f>
        <v>-91817.8086868965</v>
      </c>
      <c r="Q235" s="15" t="n">
        <f aca="false">SUM(P233:P235)+Parametri_v3!$C$54*3/12</f>
        <v>-280186.062183249</v>
      </c>
      <c r="R235" s="15" t="n">
        <f aca="false">Z232</f>
        <v>1696169.7446533</v>
      </c>
      <c r="S235" s="15" t="n">
        <f aca="false">AA232</f>
        <v>997481.794643364</v>
      </c>
      <c r="T235" s="15" t="n">
        <f aca="false">MIN(R235,MAX(0,Q235))</f>
        <v>0</v>
      </c>
      <c r="U235" s="15" t="n">
        <f aca="false">MIN(S235,MAX(0,Q235-T235)*Parametri_v3!$C$42)</f>
        <v>0</v>
      </c>
      <c r="V235" s="15" t="n">
        <f aca="false">MAX(0,Q235-T235-U235)*Ipotesi!$C$92</f>
        <v>0</v>
      </c>
      <c r="W235" s="15" t="n">
        <f aca="false">MAX(0,SUM(M233:M235)+Parametri_v3!$C$55*3/12)*Ipotesi!$C$93</f>
        <v>0</v>
      </c>
      <c r="X235" s="15" t="n">
        <f aca="false">V235+W235-(V234+W234)</f>
        <v>0</v>
      </c>
      <c r="Y235" s="15" t="n">
        <f aca="false">P235-X235</f>
        <v>-91817.8086868965</v>
      </c>
      <c r="Z235" s="15" t="n">
        <f aca="false">R235-T235+IF(AND(Parametri_v3!$C$40=1,D235-YEAR(Parametri_v3!$C$50)&lt;Parametri_v3!$C$41),MAX(0,-Q235),0)</f>
        <v>1696169.7446533</v>
      </c>
      <c r="AA235" s="15" t="n">
        <f aca="false">S235-U235+IF(AND(Parametri_v3!$C$40=1,D235-YEAR(Parametri_v3!$C$50)&lt;Parametri_v3!$C$41),0,MAX(0,-Q235))</f>
        <v>1277667.85682661</v>
      </c>
      <c r="AB235" s="15" t="n">
        <f aca="false">F235*(1+Parametri_v3!$C$26)</f>
        <v>116492.570444848</v>
      </c>
      <c r="AC235" s="15" t="n">
        <f aca="false">(IF(51-(INT((Motore_Operativo!L235)/30))&lt;1,0,INDEX(Motore_Startup!$AB$185:$AB$244,MAX(1,51-(INT((Motore_Operativo!L235)/30)))))*(1-(MOD((Motore_Operativo!L235),30)/30))+IF(51-(INT((Motore_Operativo!L235)/30))-1&lt;1,0,INDEX(Motore_Startup!$AB$185:$AB$244,MAX(1,51-(INT((Motore_Operativo!L235)/30))-1)))*(MOD((Motore_Operativo!L235),30)/30))</f>
        <v>89916.1896101958</v>
      </c>
      <c r="AD235" s="15" t="n">
        <f aca="false">(AD234)+AB235-AC235</f>
        <v>434964.045459452</v>
      </c>
      <c r="AE235" s="15" t="n">
        <f aca="false">Motore_Operativo!BH235*(1+Parametri_v3!$C$26)</f>
        <v>7002.72375</v>
      </c>
      <c r="AF235" s="15" t="n">
        <f aca="false">(IF(51-(INT((Parametri_v3!$C$29)/30))&lt;1,0,INDEX(Motore_Operativo!$BH$185:$BH$244,MAX(1,51-(INT((Parametri_v3!$C$29)/30)))))*(1-(MOD((Parametri_v3!$C$29),30)/30))+IF(51-(INT((Parametri_v3!$C$29)/30))-1&lt;1,0,INDEX(Motore_Operativo!$BH$185:$BH$244,MAX(1,51-(INT((Parametri_v3!$C$29)/30))-1)))*(MOD((Parametri_v3!$C$29),30)/30))*(1+Parametri_v3!$C$26)</f>
        <v>7002.72375</v>
      </c>
      <c r="AG235" s="15" t="n">
        <f aca="false">(AG234)+AE235-AF235</f>
        <v>7002.72375</v>
      </c>
      <c r="AH235" s="15" t="n">
        <f aca="false">(Motore_Operativo!CJ235)*(1+Parametri_v3!$C$27*Parametri_v3!$C$26)</f>
        <v>83094.3104070457</v>
      </c>
      <c r="AI235" s="15" t="n">
        <f aca="false">(IF(51-(INT((Ipotesi!$C$91)/30))&lt;1,0,INDEX(Motore_Startup!$AH$185:$AH$244,MAX(1,51-(INT((Ipotesi!$C$91)/30)))))*(1-(MOD((Ipotesi!$C$91),30)/30))+IF(51-(INT((Ipotesi!$C$91)/30))-1&lt;1,0,INDEX(Motore_Startup!$AH$185:$AH$244,MAX(1,51-(INT((Ipotesi!$C$91)/30))-1)))*(MOD((Ipotesi!$C$91),30)/30))</f>
        <v>82461.3530449713</v>
      </c>
      <c r="AJ235" s="15" t="n">
        <f aca="false">(AJ234)+AH235-AI235</f>
        <v>165873.531472339</v>
      </c>
      <c r="AK235" s="15" t="n">
        <f aca="false">(F235+ Motore_Operativo!BH235-(Motore_Operativo!CJ235)*Parametri_v3!$C$27-Motore_Operativo!CE235)*Parametri_v3!$C$26</f>
        <v>8262.2974871992</v>
      </c>
      <c r="AL235" s="15" t="n">
        <f aca="false">MAX(0,(AM234))</f>
        <v>7894.80069926717</v>
      </c>
      <c r="AM235" s="15" t="n">
        <f aca="false">(AM234)+AK235-AL235</f>
        <v>8262.2974871992</v>
      </c>
      <c r="AN235" s="15" t="n">
        <f aca="false">SUM(X221:X232)</f>
        <v>0</v>
      </c>
      <c r="AO235" s="15" t="n">
        <f aca="false">SUM(AP221:AP232)</f>
        <v>0</v>
      </c>
      <c r="AP235" s="15" t="n">
        <f aca="false">MAX(0,AN235)*IF(3=Parametri_v3!$C$43,Parametri_v3!$C$45,IF(3=Parametri_v3!$C$44,1-Parametri_v3!$C$45,0))</f>
        <v>0</v>
      </c>
      <c r="AQ235" s="15" t="n">
        <f aca="false">MAX(0,AP235+IF(3=Parametri_v3!$C$43,MAX(0,AN235-AO235),0)-MAX(0,-(AR234)))</f>
        <v>0</v>
      </c>
      <c r="AR235" s="15" t="n">
        <f aca="false">(AR234)+X235-AQ235</f>
        <v>0</v>
      </c>
      <c r="AS235" s="15" t="n">
        <f aca="false">Motore_Operativo!AB235-AT235+AU235</f>
        <v>113503.461904792</v>
      </c>
      <c r="AT235" s="15" t="n">
        <f aca="false">Motore_Operativo!CH235</f>
        <v>5973.86641604167</v>
      </c>
      <c r="AU235" s="15" t="n">
        <f aca="false">MIN(MAX(0,(AV234)+AT235),Parametri_v3!$C$60/12)</f>
        <v>0</v>
      </c>
      <c r="AV235" s="15" t="n">
        <f aca="false">(AV234)+AT235-AU235</f>
        <v>154977.149623125</v>
      </c>
      <c r="AW235" s="15" t="n">
        <f aca="false">IF(AND(Motore_Operativo!C235=Finanziamenti!$D$6,Finanziamenti!$F$6=1),Finanziamenti!$C$6,0)</f>
        <v>0</v>
      </c>
      <c r="AX235" s="15" t="n">
        <f aca="false">IF(AND(4&lt;&gt;7,4&lt;&gt;9,Finanziamenti!$F$8=1,OR(Parametri_v3!$C$6=0,Finanziamenti!$E$8=1),Motore_Operativo!C235=EDATE(Finanziamenti!$D$8,Ipotesi!F15*12)),Finanziamenti!$C$8*1,0)+IF(AND(4&lt;&gt;7,4&lt;&gt;9,Finanziamenti!$F$9=1,OR(Parametri_v3!$C$6=0,Finanziamenti!$E$9=1),Motore_Operativo!C235=EDATE(Finanziamenti!$D$9,Ipotesi!F15*12)),Finanziamenti!$C$9*Ipotesi!F16,0)</f>
        <v>0</v>
      </c>
      <c r="AY235" s="15" t="n">
        <f aca="false">0</f>
        <v>0</v>
      </c>
      <c r="AZ235" s="15" t="n">
        <f aca="false">Motore_Advisory!AY235*(1-Ipotesi!$C$95)*Ipotesi!$C$96</f>
        <v>0</v>
      </c>
      <c r="BA235" s="15" t="n">
        <f aca="false">MAX(0,MIN(CG235*MIN(1,IF(Motore_Operativo!C235&gt;=EDATE(Finanziamenti!$D$15,Ipotesi!F14*12),Finanziamenti!$C$15,0)+IF(Motore_Operativo!C235&gt;=EDATE(Finanziamenti!$D$16,Ipotesi!F14*12),Finanziamenti!$C$16,0)+IF(Motore_Operativo!C235&gt;=EDATE(Finanziamenti!$D$17,Ipotesi!F14*12),Finanziamenti!$C$17,0)),CA235*Ipotesi!$C$102)-(CC234))</f>
        <v>0</v>
      </c>
      <c r="BB235" s="15" t="n">
        <f aca="false">IF(AND(CF235&gt;0,Motore_Operativo!C235&gt;=IF(CF235=0,0,EDATE(CF235,Parametri_v3!$C$37)),MOD(((D235-YEAR(IF(CF235=0,0,EDATE(CF235,Parametri_v3!$C$37))))*12+E235-MONTH(IF(CF235=0,0,EDATE(CF235,Parametri_v3!$C$37)))),Parametri_v3!$C$38)=0),MIN(MAX(0,(BC234)+BA235-N235),(CC235-CD235)/(Ipotesi!$C$108*12/Parametri_v3!$C$38)),0)</f>
        <v>0</v>
      </c>
      <c r="BC235" s="15" t="n">
        <f aca="false">(BC234)+BA235-N235-BB235</f>
        <v>270239.217667495</v>
      </c>
      <c r="BD235" s="15" t="n">
        <f aca="false">(BH234)+AC235+AF235-AI235-AS235-K235*(1+Parametri_v3!$C$26)-AL235-AQ235-O235+AW235+AX235+AZ235+BA235-BB235</f>
        <v>-2291868.84110588</v>
      </c>
      <c r="BE235" s="15" t="n">
        <f aca="false">MAX(0,MIN(MAX(0,CH235-(BG234)),Parametri_v3!$C$30-BD235))</f>
        <v>0</v>
      </c>
      <c r="BF235" s="15" t="n">
        <f aca="false">IF(Motore_Operativo!C235&gt;=Parametri_v3!$C$63,(BG234),MIN((BG234),MAX(0,BD235-Parametri_v3!$C$30)))</f>
        <v>0</v>
      </c>
      <c r="BG235" s="15" t="n">
        <f aca="false">(BG234)+BE235-BF235</f>
        <v>150000</v>
      </c>
      <c r="BH235" s="15" t="n">
        <f aca="false">BD235+BE235-BF235-AY235</f>
        <v>-2291868.84110588</v>
      </c>
      <c r="BI235" s="15" t="n">
        <f aca="false">MAX(0,Parametri_v3!$C$30-BH235)</f>
        <v>2316868.84110588</v>
      </c>
      <c r="BJ235" s="15" t="n">
        <f aca="false">(BJ234)+K235</f>
        <v>127500</v>
      </c>
      <c r="BK235" s="15" t="n">
        <f aca="false">(BK234)+L235</f>
        <v>72083.3333333333</v>
      </c>
      <c r="BL235" s="15" t="n">
        <f aca="false">BJ235-BK235</f>
        <v>55416.6666666666</v>
      </c>
      <c r="BM235" s="15" t="n">
        <f aca="false">(BM234)+Y235</f>
        <v>-2973837.60147992</v>
      </c>
      <c r="BN235" s="15" t="n">
        <f aca="false">(BN234)+AW235+AX235+AZ235</f>
        <v>430000</v>
      </c>
      <c r="BO235" s="15" t="n">
        <f aca="false">(BO234)+AY235</f>
        <v>0</v>
      </c>
      <c r="BP235" s="15" t="n">
        <f aca="false">0</f>
        <v>0</v>
      </c>
      <c r="BQ235" s="15" t="n">
        <f aca="false">BN235+BM235-BO235</f>
        <v>-2543837.60147992</v>
      </c>
      <c r="BR235" s="15" t="n">
        <f aca="false">BH235+AD235+BL235+MAX(0,-AM235)+MAX(0,-AR235)+AG235</f>
        <v>-1794485.40522976</v>
      </c>
      <c r="BS235" s="15" t="n">
        <f aca="false">AJ235+AV235+MAX(0,AM235)+MAX(0,AR235)+BC235+BG235+BQ235</f>
        <v>-1794485.40522976</v>
      </c>
      <c r="BT235" s="15" t="n">
        <f aca="false">BR235-BS235</f>
        <v>0</v>
      </c>
      <c r="BU235" s="15" t="n">
        <f aca="false">BH235-(BD235+BE235-BF235-AY235)</f>
        <v>0</v>
      </c>
      <c r="BV235" s="15" t="n">
        <f aca="false">MIN(Piano_SS!$C$6,(BV234)+IF(AND(Motore_Operativo!C235&gt;=EDATE(Parametri_v3!$C$24,Ipotesi!F14*12),Motore_Operativo!C235&lt;EDATE(Parametri_v3!$C$24,Parametri_v3!$C$25+Ipotesi!F14*12)),MAX(0,(Motore_Operativo!Y235+Motore_Operativo!X235*Parametri_v3!$C$14)*(1-Parametri_v3!$C$32))*Piano_SS!$D$6,0))</f>
        <v>300000</v>
      </c>
      <c r="BW235" s="15" t="n">
        <f aca="false">MIN(Piano_SS!$C$7,(BW234)+IF(AND(Motore_Operativo!C235&gt;=EDATE(Parametri_v3!$C$24,Ipotesi!F14*12),Motore_Operativo!C235&lt;EDATE(Parametri_v3!$C$24,Parametri_v3!$C$25+Ipotesi!F14*12)),MAX(0,(IF(51-(INT((Ipotesi!$C$91)/30))&lt;1,0,INDEX(Motore_Operativo!$BN$185:$BN$244,MAX(1,51-(INT((Ipotesi!$C$91)/30)))))*(1-(MOD((Ipotesi!$C$91),30)/30))+IF(51-(INT((Ipotesi!$C$91)/30))-1&lt;1,0,INDEX(Motore_Operativo!$BN$185:$BN$244,MAX(1,51-(INT((Ipotesi!$C$91)/30))-1)))*(MOD((Ipotesi!$C$91),30)/30)))*Piano_SS!$D$7,0))</f>
        <v>49712.8886919552</v>
      </c>
      <c r="BX235" s="15" t="n">
        <f aca="false">MIN(Piano_SS!$C$8,(BX234)+IF(AND(Motore_Operativo!C235&gt;=EDATE(Parametri_v3!$C$24,Ipotesi!F14*12),Motore_Operativo!C235&lt;EDATE(Parametri_v3!$C$24,Parametri_v3!$C$25+Ipotesi!F14*12)),MAX(0,Motore_Operativo!CE235)*Piano_SS!$D$8,0))</f>
        <v>50000</v>
      </c>
      <c r="BY235" s="15" t="n">
        <f aca="false">MIN(Piano_SS!$C$9,(BY234)+IF(AND(Motore_Operativo!C235&gt;=EDATE(Parametri_v3!$C$24,Ipotesi!F14*12),Motore_Operativo!C235&lt;EDATE(Parametri_v3!$C$24,Parametri_v3!$C$25+Ipotesi!F14*12)),MAX(0,((IF(51-(INT((Ipotesi!$C$91)/30))&lt;1,0,INDEX(Motore_Operativo!$BQ$185:$BQ$244,MAX(1,51-(INT((Ipotesi!$C$91)/30)))))*(1-(MOD((Ipotesi!$C$91),30)/30))+IF(51-(INT((Ipotesi!$C$91)/30))-1&lt;1,0,INDEX(Motore_Operativo!$BQ$185:$BQ$244,MAX(1,51-(INT((Ipotesi!$C$91)/30))-1)))*(MOD((Ipotesi!$C$91),30)/30))+(IF(51-(INT((Ipotesi!$C$91)/30))&lt;1,0,INDEX(Motore_Operativo!$BR$185:$BR$244,MAX(1,51-(INT((Ipotesi!$C$91)/30)))))*(1-(MOD((Ipotesi!$C$91),30)/30))+IF(51-(INT((Ipotesi!$C$91)/30))-1&lt;1,0,INDEX(Motore_Operativo!$BR$185:$BR$244,MAX(1,51-(INT((Ipotesi!$C$91)/30))-1)))*(MOD((Ipotesi!$C$91),30)/30))))*Piano_SS!$D$9,0))</f>
        <v>40000</v>
      </c>
      <c r="BZ235" s="15" t="n">
        <f aca="false">MIN(Piano_SS!$C$10,(BZ234)+IF(AND(Motore_Operativo!C235&gt;=EDATE(Parametri_v3!$C$24,Ipotesi!F14*12),Motore_Operativo!C235&lt;EDATE(Parametri_v3!$C$24,Parametri_v3!$C$25+Ipotesi!F14*12)),MAX(0,(IF(51-(INT((Ipotesi!$C$91)/30))&lt;1,0,INDEX(Motore_Operativo!$BO$185:$BO$244,MAX(1,51-(INT((Ipotesi!$C$91)/30)))))*(1-(MOD((Ipotesi!$C$91),30)/30))+IF(51-(INT((Ipotesi!$C$91)/30))-1&lt;1,0,INDEX(Motore_Operativo!$BO$185:$BO$244,MAX(1,51-(INT((Ipotesi!$C$91)/30))-1)))*(MOD((Ipotesi!$C$91),30)/30)))*Piano_SS!$D$10,0))</f>
        <v>30000</v>
      </c>
      <c r="CA235" s="15" t="n">
        <f aca="false">SUM(BV235:BZ235)</f>
        <v>469712.888691955</v>
      </c>
      <c r="CB235" s="15" t="n">
        <f aca="false">BV235*(1-Piano_SS!$E$6)+BW235*(1-Piano_SS!$E$7)+BX235*(1-Piano_SS!$E$8)+BY235*(1-Piano_SS!$E$9)+BZ235*(1-Piano_SS!$E$10)</f>
        <v>439712.888691955</v>
      </c>
      <c r="CC235" s="15" t="n">
        <f aca="false">(CC234)+BA235</f>
        <v>375770.310953564</v>
      </c>
      <c r="CD235" s="15" t="n">
        <f aca="false">IF(CA235=0,0,CC235*CB235/CA235*Ipotesi!$C$103*Parametri_v3!$C$64)</f>
        <v>105531.093286069</v>
      </c>
      <c r="CE235" s="18" t="n">
        <f aca="false">IF(BA235&gt;0,Motore_Operativo!C235,(CE234))</f>
        <v>47635</v>
      </c>
      <c r="CF235" s="18" t="n">
        <f aca="false">IF(AND(CC235&gt;0,OR(CC235&gt;=CG235-0.01,Motore_Operativo!C235&gt;=EDATE(MAX(Finanziamenti!$D$15:$D$17),Ipotesi!F14*12))),CE235,0)</f>
        <v>47635</v>
      </c>
      <c r="CG235" s="15" t="n">
        <f aca="false">IF(AND(4&lt;&gt;6,4&lt;&gt;9,Finanziamenti!$F$11=1,OR(Parametri_v3!$C$6=0,Finanziamenti!$E$11=1)),MIN(Finanziamenti!$C$11,Piano_SS!$C$12*Ipotesi!$C$102),0)</f>
        <v>400000</v>
      </c>
      <c r="CH235" s="15" t="n">
        <f aca="false">IF(AND(AND(4&lt;&gt;8,4&lt;&gt;9,Finanziamenti!$F$10=1,OR(Parametri_v3!$C$6=0,Finanziamenti!$E$10=1)),Motore_Operativo!C235&gt;=Finanziamenti!$D$10,Motore_Operativo!C235&lt;Parametri_v3!$C$63),Finanziamenti!$C$10,0)</f>
        <v>150000</v>
      </c>
    </row>
    <row r="236" customFormat="false" ht="18" hidden="false" customHeight="true" outlineLevel="0" collapsed="false">
      <c r="A236" s="68" t="n">
        <f aca="false">4</f>
        <v>4</v>
      </c>
      <c r="B236" s="68" t="n">
        <f aca="false">52</f>
        <v>52</v>
      </c>
      <c r="C236" s="18" t="n">
        <f aca="false">Motore_Operativo!C236</f>
        <v>47939</v>
      </c>
      <c r="D236" s="68" t="n">
        <f aca="false">Motore_Operativo!D236</f>
        <v>2031</v>
      </c>
      <c r="E236" s="68" t="n">
        <f aca="false">Motore_Operativo!E236</f>
        <v>4</v>
      </c>
      <c r="F236" s="15" t="n">
        <f aca="false">Motore_Operativo!AQ236+Motore_Operativo!BF236</f>
        <v>97676.1666983904</v>
      </c>
      <c r="G236" s="15" t="n">
        <f aca="false">Motore_Operativo!BH236</f>
        <v>5739.9375</v>
      </c>
      <c r="H236" s="15" t="n">
        <f aca="false">Motore_Operativo!BI236</f>
        <v>103416.10419839</v>
      </c>
      <c r="I236" s="15" t="n">
        <f aca="false">Motore_Operativo!CA236</f>
        <v>189787.623116941</v>
      </c>
      <c r="J236" s="15" t="n">
        <f aca="false">Motore_Operativo!CC236</f>
        <v>-86371.518918551</v>
      </c>
      <c r="K236" s="15" t="n">
        <f aca="false">Motore_Operativo!CE236</f>
        <v>4166.66666666667</v>
      </c>
      <c r="L236" s="15" t="n">
        <f aca="false">SUM(INDEX($K$185:$K$244,MAX(1,52-Parametri_v3!$C$59+1)):K236)/Parametri_v3!$C$59</f>
        <v>2870.37037037037</v>
      </c>
      <c r="M236" s="15" t="n">
        <f aca="false">J236-L236</f>
        <v>-89241.8892889213</v>
      </c>
      <c r="N236" s="15" t="n">
        <f aca="false">CD236-(CD235)</f>
        <v>0</v>
      </c>
      <c r="O236" s="15" t="n">
        <f aca="false">(BG235)*Ipotesi!$C$110/12+CH236*Parametri_v3!$C$39/12</f>
        <v>750</v>
      </c>
      <c r="P236" s="15" t="n">
        <f aca="false">M236+N236-O236</f>
        <v>-89991.8892889213</v>
      </c>
      <c r="Q236" s="15" t="n">
        <f aca="false">SUM(P233:P236)+Parametri_v3!$C$54*4/12</f>
        <v>-370177.951472171</v>
      </c>
      <c r="R236" s="15" t="n">
        <f aca="false">Z232</f>
        <v>1696169.7446533</v>
      </c>
      <c r="S236" s="15" t="n">
        <f aca="false">AA232</f>
        <v>997481.794643364</v>
      </c>
      <c r="T236" s="15" t="n">
        <f aca="false">MIN(R236,MAX(0,Q236))</f>
        <v>0</v>
      </c>
      <c r="U236" s="15" t="n">
        <f aca="false">MIN(S236,MAX(0,Q236-T236)*Parametri_v3!$C$42)</f>
        <v>0</v>
      </c>
      <c r="V236" s="15" t="n">
        <f aca="false">MAX(0,Q236-T236-U236)*Ipotesi!$C$92</f>
        <v>0</v>
      </c>
      <c r="W236" s="15" t="n">
        <f aca="false">MAX(0,SUM(M233:M236)+Parametri_v3!$C$55*4/12)*Ipotesi!$C$93</f>
        <v>0</v>
      </c>
      <c r="X236" s="15" t="n">
        <f aca="false">V236+W236-(V235+W235)</f>
        <v>0</v>
      </c>
      <c r="Y236" s="15" t="n">
        <f aca="false">P236-X236</f>
        <v>-89991.8892889213</v>
      </c>
      <c r="Z236" s="15" t="n">
        <f aca="false">R236-T236+IF(AND(Parametri_v3!$C$40=1,D236-YEAR(Parametri_v3!$C$50)&lt;Parametri_v3!$C$41),MAX(0,-Q236),0)</f>
        <v>1696169.7446533</v>
      </c>
      <c r="AA236" s="15" t="n">
        <f aca="false">S236-U236+IF(AND(Parametri_v3!$C$40=1,D236-YEAR(Parametri_v3!$C$50)&lt;Parametri_v3!$C$41),0,MAX(0,-Q236))</f>
        <v>1367659.74611553</v>
      </c>
      <c r="AB236" s="15" t="n">
        <f aca="false">F236*(1+Parametri_v3!$C$26)</f>
        <v>119164.923372036</v>
      </c>
      <c r="AC236" s="15" t="n">
        <f aca="false">(IF(52-(INT((Motore_Operativo!L236)/30))&lt;1,0,INDEX(Motore_Startup!$AB$185:$AB$244,MAX(1,52-(INT((Motore_Operativo!L236)/30)))))*(1-(MOD((Motore_Operativo!L236),30)/30))+IF(52-(INT((Motore_Operativo!L236)/30))-1&lt;1,0,INDEX(Motore_Startup!$AB$185:$AB$244,MAX(1,52-(INT((Motore_Operativo!L236)/30))-1)))*(MOD((Motore_Operativo!L236),30)/30))</f>
        <v>92446.3592703468</v>
      </c>
      <c r="AD236" s="15" t="n">
        <f aca="false">(AD235)+AB236-AC236</f>
        <v>461682.609561141</v>
      </c>
      <c r="AE236" s="15" t="n">
        <f aca="false">Motore_Operativo!BH236*(1+Parametri_v3!$C$26)</f>
        <v>7002.72375</v>
      </c>
      <c r="AF236" s="15" t="n">
        <f aca="false">(IF(52-(INT((Parametri_v3!$C$29)/30))&lt;1,0,INDEX(Motore_Operativo!$BH$185:$BH$244,MAX(1,52-(INT((Parametri_v3!$C$29)/30)))))*(1-(MOD((Parametri_v3!$C$29),30)/30))+IF(52-(INT((Parametri_v3!$C$29)/30))-1&lt;1,0,INDEX(Motore_Operativo!$BH$185:$BH$244,MAX(1,52-(INT((Parametri_v3!$C$29)/30))-1)))*(MOD((Parametri_v3!$C$29),30)/30))*(1+Parametri_v3!$C$26)</f>
        <v>7002.72375</v>
      </c>
      <c r="AG236" s="15" t="n">
        <f aca="false">(AG235)+AE236-AF236</f>
        <v>7002.72375</v>
      </c>
      <c r="AH236" s="15" t="n">
        <f aca="false">(Motore_Operativo!CJ236)*(1+Parametri_v3!$C$27*Parametri_v3!$C$26)</f>
        <v>83458.3199229802</v>
      </c>
      <c r="AI236" s="15" t="n">
        <f aca="false">(IF(52-(INT((Ipotesi!$C$91)/30))&lt;1,0,INDEX(Motore_Startup!$AH$185:$AH$244,MAX(1,52-(INT((Ipotesi!$C$91)/30)))))*(1-(MOD((Ipotesi!$C$91),30)/30))+IF(52-(INT((Ipotesi!$C$91)/30))-1&lt;1,0,INDEX(Motore_Startup!$AH$185:$AH$244,MAX(1,52-(INT((Ipotesi!$C$91)/30))-1)))*(MOD((Ipotesi!$C$91),30)/30))</f>
        <v>82779.2210652929</v>
      </c>
      <c r="AJ236" s="15" t="n">
        <f aca="false">(AJ235)+AH236-AI236</f>
        <v>166552.630330026</v>
      </c>
      <c r="AK236" s="15" t="n">
        <f aca="false">(F236+ Motore_Operativo!BH236-(Motore_Operativo!CJ236)*Parametri_v3!$C$27-Motore_Operativo!CE236)*Parametri_v3!$C$26</f>
        <v>8686.85113010703</v>
      </c>
      <c r="AL236" s="15" t="n">
        <f aca="false">MAX(0,(AM235))</f>
        <v>8262.2974871992</v>
      </c>
      <c r="AM236" s="15" t="n">
        <f aca="false">(AM235)+AK236-AL236</f>
        <v>8686.85113010703</v>
      </c>
      <c r="AN236" s="15" t="n">
        <f aca="false">SUM(X221:X232)</f>
        <v>0</v>
      </c>
      <c r="AO236" s="15" t="n">
        <f aca="false">SUM(AP221:AP232)</f>
        <v>0</v>
      </c>
      <c r="AP236" s="15" t="n">
        <f aca="false">MAX(0,AN236)*IF(4=Parametri_v3!$C$43,Parametri_v3!$C$45,IF(4=Parametri_v3!$C$44,1-Parametri_v3!$C$45,0))</f>
        <v>0</v>
      </c>
      <c r="AQ236" s="15" t="n">
        <f aca="false">MAX(0,AP236+IF(4=Parametri_v3!$C$43,MAX(0,AN236-AO236),0)-MAX(0,-(AR235)))</f>
        <v>0</v>
      </c>
      <c r="AR236" s="15" t="n">
        <f aca="false">(AR235)+X236-AQ236</f>
        <v>0</v>
      </c>
      <c r="AS236" s="15" t="n">
        <f aca="false">Motore_Operativo!AB236-AT236+AU236</f>
        <v>113503.461904792</v>
      </c>
      <c r="AT236" s="15" t="n">
        <f aca="false">Motore_Operativo!CH236</f>
        <v>5973.86641604167</v>
      </c>
      <c r="AU236" s="15" t="n">
        <f aca="false">MIN(MAX(0,(AV235)+AT236),Parametri_v3!$C$60/12)</f>
        <v>0</v>
      </c>
      <c r="AV236" s="15" t="n">
        <f aca="false">(AV235)+AT236-AU236</f>
        <v>160951.016039167</v>
      </c>
      <c r="AW236" s="15" t="n">
        <f aca="false">IF(AND(Motore_Operativo!C236=Finanziamenti!$D$6,Finanziamenti!$F$6=1),Finanziamenti!$C$6,0)</f>
        <v>0</v>
      </c>
      <c r="AX236" s="15" t="n">
        <f aca="false">IF(AND(4&lt;&gt;7,4&lt;&gt;9,Finanziamenti!$F$8=1,OR(Parametri_v3!$C$6=0,Finanziamenti!$E$8=1),Motore_Operativo!C236=EDATE(Finanziamenti!$D$8,Ipotesi!F15*12)),Finanziamenti!$C$8*1,0)+IF(AND(4&lt;&gt;7,4&lt;&gt;9,Finanziamenti!$F$9=1,OR(Parametri_v3!$C$6=0,Finanziamenti!$E$9=1),Motore_Operativo!C236=EDATE(Finanziamenti!$D$9,Ipotesi!F15*12)),Finanziamenti!$C$9*Ipotesi!F16,0)</f>
        <v>0</v>
      </c>
      <c r="AY236" s="15" t="n">
        <f aca="false">0</f>
        <v>0</v>
      </c>
      <c r="AZ236" s="15" t="n">
        <f aca="false">Motore_Advisory!AY236*(1-Ipotesi!$C$95)*Ipotesi!$C$96</f>
        <v>0</v>
      </c>
      <c r="BA236" s="15" t="n">
        <f aca="false">MAX(0,MIN(CG236*MIN(1,IF(Motore_Operativo!C236&gt;=EDATE(Finanziamenti!$D$15,Ipotesi!F14*12),Finanziamenti!$C$15,0)+IF(Motore_Operativo!C236&gt;=EDATE(Finanziamenti!$D$16,Ipotesi!F14*12),Finanziamenti!$C$16,0)+IF(Motore_Operativo!C236&gt;=EDATE(Finanziamenti!$D$17,Ipotesi!F14*12),Finanziamenti!$C$17,0)),CA236*Ipotesi!$C$102)-(CC235))</f>
        <v>0</v>
      </c>
      <c r="BB236" s="15" t="n">
        <f aca="false">IF(AND(CF236&gt;0,Motore_Operativo!C236&gt;=IF(CF236=0,0,EDATE(CF236,Parametri_v3!$C$37)),MOD(((D236-YEAR(IF(CF236=0,0,EDATE(CF236,Parametri_v3!$C$37))))*12+E236-MONTH(IF(CF236=0,0,EDATE(CF236,Parametri_v3!$C$37)))),Parametri_v3!$C$38)=0),MIN(MAX(0,(BC235)+BA236-N236),(CC236-CD236)/(Ipotesi!$C$108*12/Parametri_v3!$C$38)),0)</f>
        <v>0</v>
      </c>
      <c r="BC236" s="15" t="n">
        <f aca="false">(BC235)+BA236-N236-BB236</f>
        <v>270239.217667495</v>
      </c>
      <c r="BD236" s="15" t="n">
        <f aca="false">(BH235)+AC236+AF236-AI236-AS236-K236*(1+Parametri_v3!$C$26)-AL236-AQ236-O236+AW236+AX236+AZ236+BA236-BB236</f>
        <v>-2402798.07187615</v>
      </c>
      <c r="BE236" s="15" t="n">
        <f aca="false">MAX(0,MIN(MAX(0,CH236-(BG235)),Parametri_v3!$C$30-BD236))</f>
        <v>0</v>
      </c>
      <c r="BF236" s="15" t="n">
        <f aca="false">IF(Motore_Operativo!C236&gt;=Parametri_v3!$C$63,(BG235),MIN((BG235),MAX(0,BD236-Parametri_v3!$C$30)))</f>
        <v>0</v>
      </c>
      <c r="BG236" s="15" t="n">
        <f aca="false">(BG235)+BE236-BF236</f>
        <v>150000</v>
      </c>
      <c r="BH236" s="15" t="n">
        <f aca="false">BD236+BE236-BF236-AY236</f>
        <v>-2402798.07187615</v>
      </c>
      <c r="BI236" s="15" t="n">
        <f aca="false">MAX(0,Parametri_v3!$C$30-BH236)</f>
        <v>2427798.07187615</v>
      </c>
      <c r="BJ236" s="15" t="n">
        <f aca="false">(BJ235)+K236</f>
        <v>131666.666666667</v>
      </c>
      <c r="BK236" s="15" t="n">
        <f aca="false">(BK235)+L236</f>
        <v>74953.7037037037</v>
      </c>
      <c r="BL236" s="15" t="n">
        <f aca="false">BJ236-BK236</f>
        <v>56712.9629629629</v>
      </c>
      <c r="BM236" s="15" t="n">
        <f aca="false">(BM235)+Y236</f>
        <v>-3063829.49076884</v>
      </c>
      <c r="BN236" s="15" t="n">
        <f aca="false">(BN235)+AW236+AX236+AZ236</f>
        <v>430000</v>
      </c>
      <c r="BO236" s="15" t="n">
        <f aca="false">(BO235)+AY236</f>
        <v>0</v>
      </c>
      <c r="BP236" s="15" t="n">
        <f aca="false">0</f>
        <v>0</v>
      </c>
      <c r="BQ236" s="15" t="n">
        <f aca="false">BN236+BM236-BO236</f>
        <v>-2633829.49076884</v>
      </c>
      <c r="BR236" s="15" t="n">
        <f aca="false">BH236+AD236+BL236+MAX(0,-AM236)+MAX(0,-AR236)+AG236</f>
        <v>-1877399.77560205</v>
      </c>
      <c r="BS236" s="15" t="n">
        <f aca="false">AJ236+AV236+MAX(0,AM236)+MAX(0,AR236)+BC236+BG236+BQ236</f>
        <v>-1877399.77560204</v>
      </c>
      <c r="BT236" s="15" t="n">
        <f aca="false">BR236-BS236</f>
        <v>0</v>
      </c>
      <c r="BU236" s="15" t="n">
        <f aca="false">BH236-(BD236+BE236-BF236-AY236)</f>
        <v>0</v>
      </c>
      <c r="BV236" s="15" t="n">
        <f aca="false">MIN(Piano_SS!$C$6,(BV235)+IF(AND(Motore_Operativo!C236&gt;=EDATE(Parametri_v3!$C$24,Ipotesi!F14*12),Motore_Operativo!C236&lt;EDATE(Parametri_v3!$C$24,Parametri_v3!$C$25+Ipotesi!F14*12)),MAX(0,(Motore_Operativo!Y236+Motore_Operativo!X236*Parametri_v3!$C$14)*(1-Parametri_v3!$C$32))*Piano_SS!$D$6,0))</f>
        <v>300000</v>
      </c>
      <c r="BW236" s="15" t="n">
        <f aca="false">MIN(Piano_SS!$C$7,(BW235)+IF(AND(Motore_Operativo!C236&gt;=EDATE(Parametri_v3!$C$24,Ipotesi!F14*12),Motore_Operativo!C236&lt;EDATE(Parametri_v3!$C$24,Parametri_v3!$C$25+Ipotesi!F14*12)),MAX(0,(IF(52-(INT((Ipotesi!$C$91)/30))&lt;1,0,INDEX(Motore_Operativo!$BN$185:$BN$244,MAX(1,52-(INT((Ipotesi!$C$91)/30)))))*(1-(MOD((Ipotesi!$C$91),30)/30))+IF(52-(INT((Ipotesi!$C$91)/30))-1&lt;1,0,INDEX(Motore_Operativo!$BN$185:$BN$244,MAX(1,52-(INT((Ipotesi!$C$91)/30))-1)))*(MOD((Ipotesi!$C$91),30)/30)))*Piano_SS!$D$7,0))</f>
        <v>49712.8886919552</v>
      </c>
      <c r="BX236" s="15" t="n">
        <f aca="false">MIN(Piano_SS!$C$8,(BX235)+IF(AND(Motore_Operativo!C236&gt;=EDATE(Parametri_v3!$C$24,Ipotesi!F14*12),Motore_Operativo!C236&lt;EDATE(Parametri_v3!$C$24,Parametri_v3!$C$25+Ipotesi!F14*12)),MAX(0,Motore_Operativo!CE236)*Piano_SS!$D$8,0))</f>
        <v>50000</v>
      </c>
      <c r="BY236" s="15" t="n">
        <f aca="false">MIN(Piano_SS!$C$9,(BY235)+IF(AND(Motore_Operativo!C236&gt;=EDATE(Parametri_v3!$C$24,Ipotesi!F14*12),Motore_Operativo!C236&lt;EDATE(Parametri_v3!$C$24,Parametri_v3!$C$25+Ipotesi!F14*12)),MAX(0,((IF(52-(INT((Ipotesi!$C$91)/30))&lt;1,0,INDEX(Motore_Operativo!$BQ$185:$BQ$244,MAX(1,52-(INT((Ipotesi!$C$91)/30)))))*(1-(MOD((Ipotesi!$C$91),30)/30))+IF(52-(INT((Ipotesi!$C$91)/30))-1&lt;1,0,INDEX(Motore_Operativo!$BQ$185:$BQ$244,MAX(1,52-(INT((Ipotesi!$C$91)/30))-1)))*(MOD((Ipotesi!$C$91),30)/30))+(IF(52-(INT((Ipotesi!$C$91)/30))&lt;1,0,INDEX(Motore_Operativo!$BR$185:$BR$244,MAX(1,52-(INT((Ipotesi!$C$91)/30)))))*(1-(MOD((Ipotesi!$C$91),30)/30))+IF(52-(INT((Ipotesi!$C$91)/30))-1&lt;1,0,INDEX(Motore_Operativo!$BR$185:$BR$244,MAX(1,52-(INT((Ipotesi!$C$91)/30))-1)))*(MOD((Ipotesi!$C$91),30)/30))))*Piano_SS!$D$9,0))</f>
        <v>40000</v>
      </c>
      <c r="BZ236" s="15" t="n">
        <f aca="false">MIN(Piano_SS!$C$10,(BZ235)+IF(AND(Motore_Operativo!C236&gt;=EDATE(Parametri_v3!$C$24,Ipotesi!F14*12),Motore_Operativo!C236&lt;EDATE(Parametri_v3!$C$24,Parametri_v3!$C$25+Ipotesi!F14*12)),MAX(0,(IF(52-(INT((Ipotesi!$C$91)/30))&lt;1,0,INDEX(Motore_Operativo!$BO$185:$BO$244,MAX(1,52-(INT((Ipotesi!$C$91)/30)))))*(1-(MOD((Ipotesi!$C$91),30)/30))+IF(52-(INT((Ipotesi!$C$91)/30))-1&lt;1,0,INDEX(Motore_Operativo!$BO$185:$BO$244,MAX(1,52-(INT((Ipotesi!$C$91)/30))-1)))*(MOD((Ipotesi!$C$91),30)/30)))*Piano_SS!$D$10,0))</f>
        <v>30000</v>
      </c>
      <c r="CA236" s="15" t="n">
        <f aca="false">SUM(BV236:BZ236)</f>
        <v>469712.888691955</v>
      </c>
      <c r="CB236" s="15" t="n">
        <f aca="false">BV236*(1-Piano_SS!$E$6)+BW236*(1-Piano_SS!$E$7)+BX236*(1-Piano_SS!$E$8)+BY236*(1-Piano_SS!$E$9)+BZ236*(1-Piano_SS!$E$10)</f>
        <v>439712.888691955</v>
      </c>
      <c r="CC236" s="15" t="n">
        <f aca="false">(CC235)+BA236</f>
        <v>375770.310953564</v>
      </c>
      <c r="CD236" s="15" t="n">
        <f aca="false">IF(CA236=0,0,CC236*CB236/CA236*Ipotesi!$C$103*Parametri_v3!$C$64)</f>
        <v>105531.093286069</v>
      </c>
      <c r="CE236" s="18" t="n">
        <f aca="false">IF(BA236&gt;0,Motore_Operativo!C236,(CE235))</f>
        <v>47635</v>
      </c>
      <c r="CF236" s="18" t="n">
        <f aca="false">IF(AND(CC236&gt;0,OR(CC236&gt;=CG236-0.01,Motore_Operativo!C236&gt;=EDATE(MAX(Finanziamenti!$D$15:$D$17),Ipotesi!F14*12))),CE236,0)</f>
        <v>47635</v>
      </c>
      <c r="CG236" s="15" t="n">
        <f aca="false">IF(AND(4&lt;&gt;6,4&lt;&gt;9,Finanziamenti!$F$11=1,OR(Parametri_v3!$C$6=0,Finanziamenti!$E$11=1)),MIN(Finanziamenti!$C$11,Piano_SS!$C$12*Ipotesi!$C$102),0)</f>
        <v>400000</v>
      </c>
      <c r="CH236" s="15" t="n">
        <f aca="false">IF(AND(AND(4&lt;&gt;8,4&lt;&gt;9,Finanziamenti!$F$10=1,OR(Parametri_v3!$C$6=0,Finanziamenti!$E$10=1)),Motore_Operativo!C236&gt;=Finanziamenti!$D$10,Motore_Operativo!C236&lt;Parametri_v3!$C$63),Finanziamenti!$C$10,0)</f>
        <v>150000</v>
      </c>
    </row>
    <row r="237" customFormat="false" ht="18" hidden="false" customHeight="true" outlineLevel="0" collapsed="false">
      <c r="A237" s="68" t="n">
        <f aca="false">4</f>
        <v>4</v>
      </c>
      <c r="B237" s="68" t="n">
        <f aca="false">53</f>
        <v>53</v>
      </c>
      <c r="C237" s="18" t="n">
        <f aca="false">Motore_Operativo!C237</f>
        <v>47969</v>
      </c>
      <c r="D237" s="68" t="n">
        <f aca="false">Motore_Operativo!D237</f>
        <v>2031</v>
      </c>
      <c r="E237" s="68" t="n">
        <f aca="false">Motore_Operativo!E237</f>
        <v>5</v>
      </c>
      <c r="F237" s="15" t="n">
        <f aca="false">Motore_Operativo!AQ237+Motore_Operativo!BF237</f>
        <v>100158.427192948</v>
      </c>
      <c r="G237" s="15" t="n">
        <f aca="false">Motore_Operativo!BH237</f>
        <v>5739.9375</v>
      </c>
      <c r="H237" s="15" t="n">
        <f aca="false">Motore_Operativo!BI237</f>
        <v>105898.364692948</v>
      </c>
      <c r="I237" s="15" t="n">
        <f aca="false">Motore_Operativo!CA237</f>
        <v>190135.139586179</v>
      </c>
      <c r="J237" s="15" t="n">
        <f aca="false">Motore_Operativo!CC237</f>
        <v>-84236.7748932315</v>
      </c>
      <c r="K237" s="15" t="n">
        <f aca="false">Motore_Operativo!CE237</f>
        <v>4166.66666666667</v>
      </c>
      <c r="L237" s="15" t="n">
        <f aca="false">SUM(INDEX($K$185:$K$244,MAX(1,53-Parametri_v3!$C$59+1)):K237)/Parametri_v3!$C$59</f>
        <v>2928.24074074074</v>
      </c>
      <c r="M237" s="15" t="n">
        <f aca="false">J237-L237</f>
        <v>-87165.0156339722</v>
      </c>
      <c r="N237" s="15" t="n">
        <f aca="false">CD237-(CD236)</f>
        <v>0</v>
      </c>
      <c r="O237" s="15" t="n">
        <f aca="false">(BG236)*Ipotesi!$C$110/12+CH237*Parametri_v3!$C$39/12</f>
        <v>750</v>
      </c>
      <c r="P237" s="15" t="n">
        <f aca="false">M237+N237-O237</f>
        <v>-87915.0156339722</v>
      </c>
      <c r="Q237" s="15" t="n">
        <f aca="false">SUM(P233:P237)+Parametri_v3!$C$54*5/12</f>
        <v>-458092.967106143</v>
      </c>
      <c r="R237" s="15" t="n">
        <f aca="false">Z232</f>
        <v>1696169.7446533</v>
      </c>
      <c r="S237" s="15" t="n">
        <f aca="false">AA232</f>
        <v>997481.794643364</v>
      </c>
      <c r="T237" s="15" t="n">
        <f aca="false">MIN(R237,MAX(0,Q237))</f>
        <v>0</v>
      </c>
      <c r="U237" s="15" t="n">
        <f aca="false">MIN(S237,MAX(0,Q237-T237)*Parametri_v3!$C$42)</f>
        <v>0</v>
      </c>
      <c r="V237" s="15" t="n">
        <f aca="false">MAX(0,Q237-T237-U237)*Ipotesi!$C$92</f>
        <v>0</v>
      </c>
      <c r="W237" s="15" t="n">
        <f aca="false">MAX(0,SUM(M233:M237)+Parametri_v3!$C$55*5/12)*Ipotesi!$C$93</f>
        <v>0</v>
      </c>
      <c r="X237" s="15" t="n">
        <f aca="false">V237+W237-(V236+W236)</f>
        <v>0</v>
      </c>
      <c r="Y237" s="15" t="n">
        <f aca="false">P237-X237</f>
        <v>-87915.0156339722</v>
      </c>
      <c r="Z237" s="15" t="n">
        <f aca="false">R237-T237+IF(AND(Parametri_v3!$C$40=1,D237-YEAR(Parametri_v3!$C$50)&lt;Parametri_v3!$C$41),MAX(0,-Q237),0)</f>
        <v>1696169.7446533</v>
      </c>
      <c r="AA237" s="15" t="n">
        <f aca="false">S237-U237+IF(AND(Parametri_v3!$C$40=1,D237-YEAR(Parametri_v3!$C$50)&lt;Parametri_v3!$C$41),0,MAX(0,-Q237))</f>
        <v>1455574.76174951</v>
      </c>
      <c r="AB237" s="15" t="n">
        <f aca="false">F237*(1+Parametri_v3!$C$26)</f>
        <v>122193.281175396</v>
      </c>
      <c r="AC237" s="15" t="n">
        <f aca="false">(IF(53-(INT((Motore_Operativo!L237)/30))&lt;1,0,INDEX(Motore_Startup!$AB$185:$AB$244,MAX(1,53-(INT((Motore_Operativo!L237)/30)))))*(1-(MOD((Motore_Operativo!L237),30)/30))+IF(53-(INT((Motore_Operativo!L237)/30))-1&lt;1,0,INDEX(Motore_Startup!$AB$185:$AB$244,MAX(1,53-(INT((Motore_Operativo!L237)/30))-1)))*(MOD((Motore_Operativo!L237),30)/30))</f>
        <v>111845.753850007</v>
      </c>
      <c r="AD237" s="15" t="n">
        <f aca="false">(AD236)+AB237-AC237</f>
        <v>472030.136886531</v>
      </c>
      <c r="AE237" s="15" t="n">
        <f aca="false">Motore_Operativo!BH237*(1+Parametri_v3!$C$26)</f>
        <v>7002.72375</v>
      </c>
      <c r="AF237" s="15" t="n">
        <f aca="false">(IF(53-(INT((Parametri_v3!$C$29)/30))&lt;1,0,INDEX(Motore_Operativo!$BH$185:$BH$244,MAX(1,53-(INT((Parametri_v3!$C$29)/30)))))*(1-(MOD((Parametri_v3!$C$29),30)/30))+IF(53-(INT((Parametri_v3!$C$29)/30))-1&lt;1,0,INDEX(Motore_Operativo!$BH$185:$BH$244,MAX(1,53-(INT((Parametri_v3!$C$29)/30))-1)))*(MOD((Parametri_v3!$C$29),30)/30))*(1+Parametri_v3!$C$26)</f>
        <v>7002.72375</v>
      </c>
      <c r="AG237" s="15" t="n">
        <f aca="false">(AG236)+AE237-AF237</f>
        <v>7002.72375</v>
      </c>
      <c r="AH237" s="15" t="n">
        <f aca="false">(Motore_Operativo!CJ237)*(1+Parametri_v3!$C$27*Parametri_v3!$C$26)</f>
        <v>83870.8219719658</v>
      </c>
      <c r="AI237" s="15" t="n">
        <f aca="false">(IF(53-(INT((Ipotesi!$C$91)/30))&lt;1,0,INDEX(Motore_Startup!$AH$185:$AH$244,MAX(1,53-(INT((Ipotesi!$C$91)/30)))))*(1-(MOD((Ipotesi!$C$91),30)/30))+IF(53-(INT((Ipotesi!$C$91)/30))-1&lt;1,0,INDEX(Motore_Startup!$AH$185:$AH$244,MAX(1,53-(INT((Ipotesi!$C$91)/30))-1)))*(MOD((Ipotesi!$C$91),30)/30))</f>
        <v>83094.3104070457</v>
      </c>
      <c r="AJ237" s="15" t="n">
        <f aca="false">(AJ236)+AH237-AI237</f>
        <v>167329.141894946</v>
      </c>
      <c r="AK237" s="15" t="n">
        <f aca="false">(F237+ Motore_Operativo!BH237-(Motore_Operativo!CJ237)*Parametri_v3!$C$27-Motore_Operativo!CE237)*Parametri_v3!$C$26</f>
        <v>9167.96285916217</v>
      </c>
      <c r="AL237" s="15" t="n">
        <f aca="false">MAX(0,(AM236))</f>
        <v>8686.85113010703</v>
      </c>
      <c r="AM237" s="15" t="n">
        <f aca="false">(AM236)+AK237-AL237</f>
        <v>9167.96285916217</v>
      </c>
      <c r="AN237" s="15" t="n">
        <f aca="false">SUM(X221:X232)</f>
        <v>0</v>
      </c>
      <c r="AO237" s="15" t="n">
        <f aca="false">SUM(AP221:AP232)</f>
        <v>0</v>
      </c>
      <c r="AP237" s="15" t="n">
        <f aca="false">MAX(0,AN237)*IF(5=Parametri_v3!$C$43,Parametri_v3!$C$45,IF(5=Parametri_v3!$C$44,1-Parametri_v3!$C$45,0))</f>
        <v>0</v>
      </c>
      <c r="AQ237" s="15" t="n">
        <f aca="false">MAX(0,AP237+IF(5=Parametri_v3!$C$43,MAX(0,AN237-AO237),0)-MAX(0,-(AR236)))</f>
        <v>0</v>
      </c>
      <c r="AR237" s="15" t="n">
        <f aca="false">(AR236)+X237-AQ237</f>
        <v>0</v>
      </c>
      <c r="AS237" s="15" t="n">
        <f aca="false">Motore_Operativo!AB237-AT237+AU237</f>
        <v>113503.461904792</v>
      </c>
      <c r="AT237" s="15" t="n">
        <f aca="false">Motore_Operativo!CH237</f>
        <v>5973.86641604167</v>
      </c>
      <c r="AU237" s="15" t="n">
        <f aca="false">MIN(MAX(0,(AV236)+AT237),Parametri_v3!$C$60/12)</f>
        <v>0</v>
      </c>
      <c r="AV237" s="15" t="n">
        <f aca="false">(AV236)+AT237-AU237</f>
        <v>166924.882455208</v>
      </c>
      <c r="AW237" s="15" t="n">
        <f aca="false">IF(AND(Motore_Operativo!C237=Finanziamenti!$D$6,Finanziamenti!$F$6=1),Finanziamenti!$C$6,0)</f>
        <v>0</v>
      </c>
      <c r="AX237" s="15" t="n">
        <f aca="false">IF(AND(4&lt;&gt;7,4&lt;&gt;9,Finanziamenti!$F$8=1,OR(Parametri_v3!$C$6=0,Finanziamenti!$E$8=1),Motore_Operativo!C237=EDATE(Finanziamenti!$D$8,Ipotesi!F15*12)),Finanziamenti!$C$8*1,0)+IF(AND(4&lt;&gt;7,4&lt;&gt;9,Finanziamenti!$F$9=1,OR(Parametri_v3!$C$6=0,Finanziamenti!$E$9=1),Motore_Operativo!C237=EDATE(Finanziamenti!$D$9,Ipotesi!F15*12)),Finanziamenti!$C$9*Ipotesi!F16,0)</f>
        <v>0</v>
      </c>
      <c r="AY237" s="15" t="n">
        <f aca="false">0</f>
        <v>0</v>
      </c>
      <c r="AZ237" s="15" t="n">
        <f aca="false">Motore_Advisory!AY237*(1-Ipotesi!$C$95)*Ipotesi!$C$96</f>
        <v>0</v>
      </c>
      <c r="BA237" s="15" t="n">
        <f aca="false">MAX(0,MIN(CG237*MIN(1,IF(Motore_Operativo!C237&gt;=EDATE(Finanziamenti!$D$15,Ipotesi!F14*12),Finanziamenti!$C$15,0)+IF(Motore_Operativo!C237&gt;=EDATE(Finanziamenti!$D$16,Ipotesi!F14*12),Finanziamenti!$C$16,0)+IF(Motore_Operativo!C237&gt;=EDATE(Finanziamenti!$D$17,Ipotesi!F14*12),Finanziamenti!$C$17,0)),CA237*Ipotesi!$C$102)-(CC236))</f>
        <v>0</v>
      </c>
      <c r="BB237" s="15" t="n">
        <f aca="false">IF(AND(CF237&gt;0,Motore_Operativo!C237&gt;=IF(CF237=0,0,EDATE(CF237,Parametri_v3!$C$37)),MOD(((D237-YEAR(IF(CF237=0,0,EDATE(CF237,Parametri_v3!$C$37))))*12+E237-MONTH(IF(CF237=0,0,EDATE(CF237,Parametri_v3!$C$37)))),Parametri_v3!$C$38)=0),MIN(MAX(0,(BC236)+BA237-N237),(CC237-CD237)/(Ipotesi!$C$108*12/Parametri_v3!$C$38)),0)</f>
        <v>0</v>
      </c>
      <c r="BC237" s="15" t="n">
        <f aca="false">(BC236)+BA237-N237-BB237</f>
        <v>270239.217667495</v>
      </c>
      <c r="BD237" s="15" t="n">
        <f aca="false">(BH236)+AC237+AF237-AI237-AS237-K237*(1+Parametri_v3!$C$26)-AL237-AQ237-O237+AW237+AX237+AZ237+BA237-BB237</f>
        <v>-2495067.55105142</v>
      </c>
      <c r="BE237" s="15" t="n">
        <f aca="false">MAX(0,MIN(MAX(0,CH237-(BG236)),Parametri_v3!$C$30-BD237))</f>
        <v>0</v>
      </c>
      <c r="BF237" s="15" t="n">
        <f aca="false">IF(Motore_Operativo!C237&gt;=Parametri_v3!$C$63,(BG236),MIN((BG236),MAX(0,BD237-Parametri_v3!$C$30)))</f>
        <v>0</v>
      </c>
      <c r="BG237" s="15" t="n">
        <f aca="false">(BG236)+BE237-BF237</f>
        <v>150000</v>
      </c>
      <c r="BH237" s="15" t="n">
        <f aca="false">BD237+BE237-BF237-AY237</f>
        <v>-2495067.55105142</v>
      </c>
      <c r="BI237" s="15" t="n">
        <f aca="false">MAX(0,Parametri_v3!$C$30-BH237)</f>
        <v>2520067.55105142</v>
      </c>
      <c r="BJ237" s="15" t="n">
        <f aca="false">(BJ236)+K237</f>
        <v>135833.333333333</v>
      </c>
      <c r="BK237" s="15" t="n">
        <f aca="false">(BK236)+L237</f>
        <v>77881.9444444445</v>
      </c>
      <c r="BL237" s="15" t="n">
        <f aca="false">BJ237-BK237</f>
        <v>57951.3888888888</v>
      </c>
      <c r="BM237" s="15" t="n">
        <f aca="false">(BM236)+Y237</f>
        <v>-3151744.50640281</v>
      </c>
      <c r="BN237" s="15" t="n">
        <f aca="false">(BN236)+AW237+AX237+AZ237</f>
        <v>430000</v>
      </c>
      <c r="BO237" s="15" t="n">
        <f aca="false">(BO236)+AY237</f>
        <v>0</v>
      </c>
      <c r="BP237" s="15" t="n">
        <f aca="false">0</f>
        <v>0</v>
      </c>
      <c r="BQ237" s="15" t="n">
        <f aca="false">BN237+BM237-BO237</f>
        <v>-2721744.50640281</v>
      </c>
      <c r="BR237" s="15" t="n">
        <f aca="false">BH237+AD237+BL237+MAX(0,-AM237)+MAX(0,-AR237)+AG237</f>
        <v>-1958083.301526</v>
      </c>
      <c r="BS237" s="15" t="n">
        <f aca="false">AJ237+AV237+MAX(0,AM237)+MAX(0,AR237)+BC237+BG237+BQ237</f>
        <v>-1958083.301526</v>
      </c>
      <c r="BT237" s="15" t="n">
        <f aca="false">BR237-BS237</f>
        <v>0</v>
      </c>
      <c r="BU237" s="15" t="n">
        <f aca="false">BH237-(BD237+BE237-BF237-AY237)</f>
        <v>0</v>
      </c>
      <c r="BV237" s="15" t="n">
        <f aca="false">MIN(Piano_SS!$C$6,(BV236)+IF(AND(Motore_Operativo!C237&gt;=EDATE(Parametri_v3!$C$24,Ipotesi!F14*12),Motore_Operativo!C237&lt;EDATE(Parametri_v3!$C$24,Parametri_v3!$C$25+Ipotesi!F14*12)),MAX(0,(Motore_Operativo!Y237+Motore_Operativo!X237*Parametri_v3!$C$14)*(1-Parametri_v3!$C$32))*Piano_SS!$D$6,0))</f>
        <v>300000</v>
      </c>
      <c r="BW237" s="15" t="n">
        <f aca="false">MIN(Piano_SS!$C$7,(BW236)+IF(AND(Motore_Operativo!C237&gt;=EDATE(Parametri_v3!$C$24,Ipotesi!F14*12),Motore_Operativo!C237&lt;EDATE(Parametri_v3!$C$24,Parametri_v3!$C$25+Ipotesi!F14*12)),MAX(0,(IF(53-(INT((Ipotesi!$C$91)/30))&lt;1,0,INDEX(Motore_Operativo!$BN$185:$BN$244,MAX(1,53-(INT((Ipotesi!$C$91)/30)))))*(1-(MOD((Ipotesi!$C$91),30)/30))+IF(53-(INT((Ipotesi!$C$91)/30))-1&lt;1,0,INDEX(Motore_Operativo!$BN$185:$BN$244,MAX(1,53-(INT((Ipotesi!$C$91)/30))-1)))*(MOD((Ipotesi!$C$91),30)/30)))*Piano_SS!$D$7,0))</f>
        <v>49712.8886919552</v>
      </c>
      <c r="BX237" s="15" t="n">
        <f aca="false">MIN(Piano_SS!$C$8,(BX236)+IF(AND(Motore_Operativo!C237&gt;=EDATE(Parametri_v3!$C$24,Ipotesi!F14*12),Motore_Operativo!C237&lt;EDATE(Parametri_v3!$C$24,Parametri_v3!$C$25+Ipotesi!F14*12)),MAX(0,Motore_Operativo!CE237)*Piano_SS!$D$8,0))</f>
        <v>50000</v>
      </c>
      <c r="BY237" s="15" t="n">
        <f aca="false">MIN(Piano_SS!$C$9,(BY236)+IF(AND(Motore_Operativo!C237&gt;=EDATE(Parametri_v3!$C$24,Ipotesi!F14*12),Motore_Operativo!C237&lt;EDATE(Parametri_v3!$C$24,Parametri_v3!$C$25+Ipotesi!F14*12)),MAX(0,((IF(53-(INT((Ipotesi!$C$91)/30))&lt;1,0,INDEX(Motore_Operativo!$BQ$185:$BQ$244,MAX(1,53-(INT((Ipotesi!$C$91)/30)))))*(1-(MOD((Ipotesi!$C$91),30)/30))+IF(53-(INT((Ipotesi!$C$91)/30))-1&lt;1,0,INDEX(Motore_Operativo!$BQ$185:$BQ$244,MAX(1,53-(INT((Ipotesi!$C$91)/30))-1)))*(MOD((Ipotesi!$C$91),30)/30))+(IF(53-(INT((Ipotesi!$C$91)/30))&lt;1,0,INDEX(Motore_Operativo!$BR$185:$BR$244,MAX(1,53-(INT((Ipotesi!$C$91)/30)))))*(1-(MOD((Ipotesi!$C$91),30)/30))+IF(53-(INT((Ipotesi!$C$91)/30))-1&lt;1,0,INDEX(Motore_Operativo!$BR$185:$BR$244,MAX(1,53-(INT((Ipotesi!$C$91)/30))-1)))*(MOD((Ipotesi!$C$91),30)/30))))*Piano_SS!$D$9,0))</f>
        <v>40000</v>
      </c>
      <c r="BZ237" s="15" t="n">
        <f aca="false">MIN(Piano_SS!$C$10,(BZ236)+IF(AND(Motore_Operativo!C237&gt;=EDATE(Parametri_v3!$C$24,Ipotesi!F14*12),Motore_Operativo!C237&lt;EDATE(Parametri_v3!$C$24,Parametri_v3!$C$25+Ipotesi!F14*12)),MAX(0,(IF(53-(INT((Ipotesi!$C$91)/30))&lt;1,0,INDEX(Motore_Operativo!$BO$185:$BO$244,MAX(1,53-(INT((Ipotesi!$C$91)/30)))))*(1-(MOD((Ipotesi!$C$91),30)/30))+IF(53-(INT((Ipotesi!$C$91)/30))-1&lt;1,0,INDEX(Motore_Operativo!$BO$185:$BO$244,MAX(1,53-(INT((Ipotesi!$C$91)/30))-1)))*(MOD((Ipotesi!$C$91),30)/30)))*Piano_SS!$D$10,0))</f>
        <v>30000</v>
      </c>
      <c r="CA237" s="15" t="n">
        <f aca="false">SUM(BV237:BZ237)</f>
        <v>469712.888691955</v>
      </c>
      <c r="CB237" s="15" t="n">
        <f aca="false">BV237*(1-Piano_SS!$E$6)+BW237*(1-Piano_SS!$E$7)+BX237*(1-Piano_SS!$E$8)+BY237*(1-Piano_SS!$E$9)+BZ237*(1-Piano_SS!$E$10)</f>
        <v>439712.888691955</v>
      </c>
      <c r="CC237" s="15" t="n">
        <f aca="false">(CC236)+BA237</f>
        <v>375770.310953564</v>
      </c>
      <c r="CD237" s="15" t="n">
        <f aca="false">IF(CA237=0,0,CC237*CB237/CA237*Ipotesi!$C$103*Parametri_v3!$C$64)</f>
        <v>105531.093286069</v>
      </c>
      <c r="CE237" s="18" t="n">
        <f aca="false">IF(BA237&gt;0,Motore_Operativo!C237,(CE236))</f>
        <v>47635</v>
      </c>
      <c r="CF237" s="18" t="n">
        <f aca="false">IF(AND(CC237&gt;0,OR(CC237&gt;=CG237-0.01,Motore_Operativo!C237&gt;=EDATE(MAX(Finanziamenti!$D$15:$D$17),Ipotesi!F14*12))),CE237,0)</f>
        <v>47635</v>
      </c>
      <c r="CG237" s="15" t="n">
        <f aca="false">IF(AND(4&lt;&gt;6,4&lt;&gt;9,Finanziamenti!$F$11=1,OR(Parametri_v3!$C$6=0,Finanziamenti!$E$11=1)),MIN(Finanziamenti!$C$11,Piano_SS!$C$12*Ipotesi!$C$102),0)</f>
        <v>400000</v>
      </c>
      <c r="CH237" s="15" t="n">
        <f aca="false">IF(AND(AND(4&lt;&gt;8,4&lt;&gt;9,Finanziamenti!$F$10=1,OR(Parametri_v3!$C$6=0,Finanziamenti!$E$10=1)),Motore_Operativo!C237&gt;=Finanziamenti!$D$10,Motore_Operativo!C237&lt;Parametri_v3!$C$63),Finanziamenti!$C$10,0)</f>
        <v>150000</v>
      </c>
    </row>
    <row r="238" customFormat="false" ht="18" hidden="false" customHeight="true" outlineLevel="0" collapsed="false">
      <c r="A238" s="68" t="n">
        <f aca="false">4</f>
        <v>4</v>
      </c>
      <c r="B238" s="68" t="n">
        <f aca="false">54</f>
        <v>54</v>
      </c>
      <c r="C238" s="18" t="n">
        <f aca="false">Motore_Operativo!C238</f>
        <v>48000</v>
      </c>
      <c r="D238" s="68" t="n">
        <f aca="false">Motore_Operativo!D238</f>
        <v>2031</v>
      </c>
      <c r="E238" s="68" t="n">
        <f aca="false">Motore_Operativo!E238</f>
        <v>6</v>
      </c>
      <c r="F238" s="15" t="n">
        <f aca="false">Motore_Operativo!AQ238+Motore_Operativo!BF238</f>
        <v>102618.988731974</v>
      </c>
      <c r="G238" s="15" t="n">
        <f aca="false">Motore_Operativo!BH238</f>
        <v>5739.9375</v>
      </c>
      <c r="H238" s="15" t="n">
        <f aca="false">Motore_Operativo!BI238</f>
        <v>108358.926231974</v>
      </c>
      <c r="I238" s="15" t="n">
        <f aca="false">Motore_Operativo!CA238</f>
        <v>190479.618201643</v>
      </c>
      <c r="J238" s="15" t="n">
        <f aca="false">Motore_Operativo!CC238</f>
        <v>-82120.6919696693</v>
      </c>
      <c r="K238" s="15" t="n">
        <f aca="false">Motore_Operativo!CE238</f>
        <v>4166.66666666667</v>
      </c>
      <c r="L238" s="15" t="n">
        <f aca="false">SUM(INDEX($K$185:$K$244,MAX(1,54-Parametri_v3!$C$59+1)):K238)/Parametri_v3!$C$59</f>
        <v>2986.11111111111</v>
      </c>
      <c r="M238" s="15" t="n">
        <f aca="false">J238-L238</f>
        <v>-85106.8030807804</v>
      </c>
      <c r="N238" s="15" t="n">
        <f aca="false">CD238-(CD237)</f>
        <v>0</v>
      </c>
      <c r="O238" s="15" t="n">
        <f aca="false">(BG237)*Ipotesi!$C$110/12+CH238*Parametri_v3!$C$39/12</f>
        <v>750</v>
      </c>
      <c r="P238" s="15" t="n">
        <f aca="false">M238+N238-O238</f>
        <v>-85856.8030807804</v>
      </c>
      <c r="Q238" s="15" t="n">
        <f aca="false">SUM(P233:P238)+Parametri_v3!$C$54*6/12</f>
        <v>-543949.770186923</v>
      </c>
      <c r="R238" s="15" t="n">
        <f aca="false">Z232</f>
        <v>1696169.7446533</v>
      </c>
      <c r="S238" s="15" t="n">
        <f aca="false">AA232</f>
        <v>997481.794643364</v>
      </c>
      <c r="T238" s="15" t="n">
        <f aca="false">MIN(R238,MAX(0,Q238))</f>
        <v>0</v>
      </c>
      <c r="U238" s="15" t="n">
        <f aca="false">MIN(S238,MAX(0,Q238-T238)*Parametri_v3!$C$42)</f>
        <v>0</v>
      </c>
      <c r="V238" s="15" t="n">
        <f aca="false">MAX(0,Q238-T238-U238)*Ipotesi!$C$92</f>
        <v>0</v>
      </c>
      <c r="W238" s="15" t="n">
        <f aca="false">MAX(0,SUM(M233:M238)+Parametri_v3!$C$55*6/12)*Ipotesi!$C$93</f>
        <v>0</v>
      </c>
      <c r="X238" s="15" t="n">
        <f aca="false">V238+W238-(V237+W237)</f>
        <v>0</v>
      </c>
      <c r="Y238" s="15" t="n">
        <f aca="false">P238-X238</f>
        <v>-85856.8030807804</v>
      </c>
      <c r="Z238" s="15" t="n">
        <f aca="false">R238-T238+IF(AND(Parametri_v3!$C$40=1,D238-YEAR(Parametri_v3!$C$50)&lt;Parametri_v3!$C$41),MAX(0,-Q238),0)</f>
        <v>1696169.7446533</v>
      </c>
      <c r="AA238" s="15" t="n">
        <f aca="false">S238-U238+IF(AND(Parametri_v3!$C$40=1,D238-YEAR(Parametri_v3!$C$50)&lt;Parametri_v3!$C$41),0,MAX(0,-Q238))</f>
        <v>1541431.56483029</v>
      </c>
      <c r="AB238" s="15" t="n">
        <f aca="false">F238*(1+Parametri_v3!$C$26)</f>
        <v>125195.166253008</v>
      </c>
      <c r="AC238" s="15" t="n">
        <f aca="false">(IF(54-(INT((Motore_Operativo!L238)/30))&lt;1,0,INDEX(Motore_Startup!$AB$185:$AB$244,MAX(1,54-(INT((Motore_Operativo!L238)/30)))))*(1-(MOD((Motore_Operativo!L238),30)/30))+IF(54-(INT((Motore_Operativo!L238)/30))-1&lt;1,0,INDEX(Motore_Startup!$AB$185:$AB$244,MAX(1,54-(INT((Motore_Operativo!L238)/30))-1)))*(MOD((Motore_Operativo!L238),30)/30))</f>
        <v>114179.36189425</v>
      </c>
      <c r="AD238" s="15" t="n">
        <f aca="false">(AD237)+AB238-AC238</f>
        <v>483045.941245289</v>
      </c>
      <c r="AE238" s="15" t="n">
        <f aca="false">Motore_Operativo!BH238*(1+Parametri_v3!$C$26)</f>
        <v>7002.72375</v>
      </c>
      <c r="AF238" s="15" t="n">
        <f aca="false">(IF(54-(INT((Parametri_v3!$C$29)/30))&lt;1,0,INDEX(Motore_Operativo!$BH$185:$BH$244,MAX(1,54-(INT((Parametri_v3!$C$29)/30)))))*(1-(MOD((Parametri_v3!$C$29),30)/30))+IF(54-(INT((Parametri_v3!$C$29)/30))-1&lt;1,0,INDEX(Motore_Operativo!$BH$185:$BH$244,MAX(1,54-(INT((Parametri_v3!$C$29)/30))-1)))*(MOD((Parametri_v3!$C$29),30)/30))*(1+Parametri_v3!$C$26)</f>
        <v>7002.72375</v>
      </c>
      <c r="AG238" s="15" t="n">
        <f aca="false">(AG237)+AE238-AF238</f>
        <v>7002.72375</v>
      </c>
      <c r="AH238" s="15" t="n">
        <f aca="false">(Motore_Operativo!CJ238)*(1+Parametri_v3!$C$27*Parametri_v3!$C$26)</f>
        <v>84279.7180885211</v>
      </c>
      <c r="AI238" s="15" t="n">
        <f aca="false">(IF(54-(INT((Ipotesi!$C$91)/30))&lt;1,0,INDEX(Motore_Startup!$AH$185:$AH$244,MAX(1,54-(INT((Ipotesi!$C$91)/30)))))*(1-(MOD((Ipotesi!$C$91),30)/30))+IF(54-(INT((Ipotesi!$C$91)/30))-1&lt;1,0,INDEX(Motore_Startup!$AH$185:$AH$244,MAX(1,54-(INT((Ipotesi!$C$91)/30))-1)))*(MOD((Ipotesi!$C$91),30)/30))</f>
        <v>83458.3199229802</v>
      </c>
      <c r="AJ238" s="15" t="n">
        <f aca="false">(AJ237)+AH238-AI238</f>
        <v>168150.540060487</v>
      </c>
      <c r="AK238" s="15" t="n">
        <f aca="false">(F238+ Motore_Operativo!BH238-(Motore_Operativo!CJ238)*Parametri_v3!$C$27-Motore_Operativo!CE238)*Parametri_v3!$C$26</f>
        <v>9644.86889665616</v>
      </c>
      <c r="AL238" s="15" t="n">
        <f aca="false">MAX(0,(AM237))</f>
        <v>9167.96285916217</v>
      </c>
      <c r="AM238" s="15" t="n">
        <f aca="false">(AM237)+AK238-AL238</f>
        <v>9644.86889665616</v>
      </c>
      <c r="AN238" s="15" t="n">
        <f aca="false">SUM(X221:X232)</f>
        <v>0</v>
      </c>
      <c r="AO238" s="15" t="n">
        <f aca="false">SUM(AP221:AP232)</f>
        <v>0</v>
      </c>
      <c r="AP238" s="15" t="n">
        <f aca="false">MAX(0,AN238)*IF(6=Parametri_v3!$C$43,Parametri_v3!$C$45,IF(6=Parametri_v3!$C$44,1-Parametri_v3!$C$45,0))</f>
        <v>0</v>
      </c>
      <c r="AQ238" s="15" t="n">
        <f aca="false">MAX(0,AP238+IF(6=Parametri_v3!$C$43,MAX(0,AN238-AO238),0)-MAX(0,-(AR237)))</f>
        <v>0</v>
      </c>
      <c r="AR238" s="15" t="n">
        <f aca="false">(AR237)+X238-AQ238</f>
        <v>0</v>
      </c>
      <c r="AS238" s="15" t="n">
        <f aca="false">Motore_Operativo!AB238-AT238+AU238</f>
        <v>113503.461904792</v>
      </c>
      <c r="AT238" s="15" t="n">
        <f aca="false">Motore_Operativo!CH238</f>
        <v>5973.86641604167</v>
      </c>
      <c r="AU238" s="15" t="n">
        <f aca="false">MIN(MAX(0,(AV237)+AT238),Parametri_v3!$C$60/12)</f>
        <v>0</v>
      </c>
      <c r="AV238" s="15" t="n">
        <f aca="false">(AV237)+AT238-AU238</f>
        <v>172898.74887125</v>
      </c>
      <c r="AW238" s="15" t="n">
        <f aca="false">IF(AND(Motore_Operativo!C238=Finanziamenti!$D$6,Finanziamenti!$F$6=1),Finanziamenti!$C$6,0)</f>
        <v>0</v>
      </c>
      <c r="AX238" s="15" t="n">
        <f aca="false">IF(AND(4&lt;&gt;7,4&lt;&gt;9,Finanziamenti!$F$8=1,OR(Parametri_v3!$C$6=0,Finanziamenti!$E$8=1),Motore_Operativo!C238=EDATE(Finanziamenti!$D$8,Ipotesi!F15*12)),Finanziamenti!$C$8*1,0)+IF(AND(4&lt;&gt;7,4&lt;&gt;9,Finanziamenti!$F$9=1,OR(Parametri_v3!$C$6=0,Finanziamenti!$E$9=1),Motore_Operativo!C238=EDATE(Finanziamenti!$D$9,Ipotesi!F15*12)),Finanziamenti!$C$9*Ipotesi!F16,0)</f>
        <v>0</v>
      </c>
      <c r="AY238" s="15" t="n">
        <f aca="false">0</f>
        <v>0</v>
      </c>
      <c r="AZ238" s="15" t="n">
        <f aca="false">Motore_Advisory!AY238*(1-Ipotesi!$C$95)*Ipotesi!$C$96</f>
        <v>0</v>
      </c>
      <c r="BA238" s="15" t="n">
        <f aca="false">MAX(0,MIN(CG238*MIN(1,IF(Motore_Operativo!C238&gt;=EDATE(Finanziamenti!$D$15,Ipotesi!F14*12),Finanziamenti!$C$15,0)+IF(Motore_Operativo!C238&gt;=EDATE(Finanziamenti!$D$16,Ipotesi!F14*12),Finanziamenti!$C$16,0)+IF(Motore_Operativo!C238&gt;=EDATE(Finanziamenti!$D$17,Ipotesi!F14*12),Finanziamenti!$C$17,0)),CA238*Ipotesi!$C$102)-(CC237))</f>
        <v>0</v>
      </c>
      <c r="BB238" s="15" t="n">
        <f aca="false">IF(AND(CF238&gt;0,Motore_Operativo!C238&gt;=IF(CF238=0,0,EDATE(CF238,Parametri_v3!$C$37)),MOD(((D238-YEAR(IF(CF238=0,0,EDATE(CF238,Parametri_v3!$C$37))))*12+E238-MONTH(IF(CF238=0,0,EDATE(CF238,Parametri_v3!$C$37)))),Parametri_v3!$C$38)=0),MIN(MAX(0,(BC237)+BA238-N238),(CC238-CD238)/(Ipotesi!$C$108*12/Parametri_v3!$C$38)),0)</f>
        <v>13511.9608833747</v>
      </c>
      <c r="BC238" s="15" t="n">
        <f aca="false">(BC237)+BA238-N238-BB238</f>
        <v>256727.25678412</v>
      </c>
      <c r="BD238" s="15" t="n">
        <f aca="false">(BH237)+AC238+AF238-AI238-AS238-K238*(1+Parametri_v3!$C$26)-AL238-AQ238-O238+AW238+AX238+AZ238+BA238-BB238</f>
        <v>-2599360.50431081</v>
      </c>
      <c r="BE238" s="15" t="n">
        <f aca="false">MAX(0,MIN(MAX(0,CH238-(BG237)),Parametri_v3!$C$30-BD238))</f>
        <v>0</v>
      </c>
      <c r="BF238" s="15" t="n">
        <f aca="false">IF(Motore_Operativo!C238&gt;=Parametri_v3!$C$63,(BG237),MIN((BG237),MAX(0,BD238-Parametri_v3!$C$30)))</f>
        <v>0</v>
      </c>
      <c r="BG238" s="15" t="n">
        <f aca="false">(BG237)+BE238-BF238</f>
        <v>150000</v>
      </c>
      <c r="BH238" s="15" t="n">
        <f aca="false">BD238+BE238-BF238-AY238</f>
        <v>-2599360.50431081</v>
      </c>
      <c r="BI238" s="15" t="n">
        <f aca="false">MAX(0,Parametri_v3!$C$30-BH238)</f>
        <v>2624360.50431081</v>
      </c>
      <c r="BJ238" s="15" t="n">
        <f aca="false">(BJ237)+K238</f>
        <v>140000</v>
      </c>
      <c r="BK238" s="15" t="n">
        <f aca="false">(BK237)+L238</f>
        <v>80868.0555555556</v>
      </c>
      <c r="BL238" s="15" t="n">
        <f aca="false">BJ238-BK238</f>
        <v>59131.9444444444</v>
      </c>
      <c r="BM238" s="15" t="n">
        <f aca="false">(BM237)+Y238</f>
        <v>-3237601.30948359</v>
      </c>
      <c r="BN238" s="15" t="n">
        <f aca="false">(BN237)+AW238+AX238+AZ238</f>
        <v>430000</v>
      </c>
      <c r="BO238" s="15" t="n">
        <f aca="false">(BO237)+AY238</f>
        <v>0</v>
      </c>
      <c r="BP238" s="15" t="n">
        <f aca="false">0</f>
        <v>0</v>
      </c>
      <c r="BQ238" s="15" t="n">
        <f aca="false">BN238+BM238-BO238</f>
        <v>-2807601.30948359</v>
      </c>
      <c r="BR238" s="15" t="n">
        <f aca="false">BH238+AD238+BL238+MAX(0,-AM238)+MAX(0,-AR238)+AG238</f>
        <v>-2050179.89487108</v>
      </c>
      <c r="BS238" s="15" t="n">
        <f aca="false">AJ238+AV238+MAX(0,AM238)+MAX(0,AR238)+BC238+BG238+BQ238</f>
        <v>-2050179.89487108</v>
      </c>
      <c r="BT238" s="15" t="n">
        <f aca="false">BR238-BS238</f>
        <v>0</v>
      </c>
      <c r="BU238" s="15" t="n">
        <f aca="false">BH238-(BD238+BE238-BF238-AY238)</f>
        <v>0</v>
      </c>
      <c r="BV238" s="15" t="n">
        <f aca="false">MIN(Piano_SS!$C$6,(BV237)+IF(AND(Motore_Operativo!C238&gt;=EDATE(Parametri_v3!$C$24,Ipotesi!F14*12),Motore_Operativo!C238&lt;EDATE(Parametri_v3!$C$24,Parametri_v3!$C$25+Ipotesi!F14*12)),MAX(0,(Motore_Operativo!Y238+Motore_Operativo!X238*Parametri_v3!$C$14)*(1-Parametri_v3!$C$32))*Piano_SS!$D$6,0))</f>
        <v>300000</v>
      </c>
      <c r="BW238" s="15" t="n">
        <f aca="false">MIN(Piano_SS!$C$7,(BW237)+IF(AND(Motore_Operativo!C238&gt;=EDATE(Parametri_v3!$C$24,Ipotesi!F14*12),Motore_Operativo!C238&lt;EDATE(Parametri_v3!$C$24,Parametri_v3!$C$25+Ipotesi!F14*12)),MAX(0,(IF(54-(INT((Ipotesi!$C$91)/30))&lt;1,0,INDEX(Motore_Operativo!$BN$185:$BN$244,MAX(1,54-(INT((Ipotesi!$C$91)/30)))))*(1-(MOD((Ipotesi!$C$91),30)/30))+IF(54-(INT((Ipotesi!$C$91)/30))-1&lt;1,0,INDEX(Motore_Operativo!$BN$185:$BN$244,MAX(1,54-(INT((Ipotesi!$C$91)/30))-1)))*(MOD((Ipotesi!$C$91),30)/30)))*Piano_SS!$D$7,0))</f>
        <v>49712.8886919552</v>
      </c>
      <c r="BX238" s="15" t="n">
        <f aca="false">MIN(Piano_SS!$C$8,(BX237)+IF(AND(Motore_Operativo!C238&gt;=EDATE(Parametri_v3!$C$24,Ipotesi!F14*12),Motore_Operativo!C238&lt;EDATE(Parametri_v3!$C$24,Parametri_v3!$C$25+Ipotesi!F14*12)),MAX(0,Motore_Operativo!CE238)*Piano_SS!$D$8,0))</f>
        <v>50000</v>
      </c>
      <c r="BY238" s="15" t="n">
        <f aca="false">MIN(Piano_SS!$C$9,(BY237)+IF(AND(Motore_Operativo!C238&gt;=EDATE(Parametri_v3!$C$24,Ipotesi!F14*12),Motore_Operativo!C238&lt;EDATE(Parametri_v3!$C$24,Parametri_v3!$C$25+Ipotesi!F14*12)),MAX(0,((IF(54-(INT((Ipotesi!$C$91)/30))&lt;1,0,INDEX(Motore_Operativo!$BQ$185:$BQ$244,MAX(1,54-(INT((Ipotesi!$C$91)/30)))))*(1-(MOD((Ipotesi!$C$91),30)/30))+IF(54-(INT((Ipotesi!$C$91)/30))-1&lt;1,0,INDEX(Motore_Operativo!$BQ$185:$BQ$244,MAX(1,54-(INT((Ipotesi!$C$91)/30))-1)))*(MOD((Ipotesi!$C$91),30)/30))+(IF(54-(INT((Ipotesi!$C$91)/30))&lt;1,0,INDEX(Motore_Operativo!$BR$185:$BR$244,MAX(1,54-(INT((Ipotesi!$C$91)/30)))))*(1-(MOD((Ipotesi!$C$91),30)/30))+IF(54-(INT((Ipotesi!$C$91)/30))-1&lt;1,0,INDEX(Motore_Operativo!$BR$185:$BR$244,MAX(1,54-(INT((Ipotesi!$C$91)/30))-1)))*(MOD((Ipotesi!$C$91),30)/30))))*Piano_SS!$D$9,0))</f>
        <v>40000</v>
      </c>
      <c r="BZ238" s="15" t="n">
        <f aca="false">MIN(Piano_SS!$C$10,(BZ237)+IF(AND(Motore_Operativo!C238&gt;=EDATE(Parametri_v3!$C$24,Ipotesi!F14*12),Motore_Operativo!C238&lt;EDATE(Parametri_v3!$C$24,Parametri_v3!$C$25+Ipotesi!F14*12)),MAX(0,(IF(54-(INT((Ipotesi!$C$91)/30))&lt;1,0,INDEX(Motore_Operativo!$BO$185:$BO$244,MAX(1,54-(INT((Ipotesi!$C$91)/30)))))*(1-(MOD((Ipotesi!$C$91),30)/30))+IF(54-(INT((Ipotesi!$C$91)/30))-1&lt;1,0,INDEX(Motore_Operativo!$BO$185:$BO$244,MAX(1,54-(INT((Ipotesi!$C$91)/30))-1)))*(MOD((Ipotesi!$C$91),30)/30)))*Piano_SS!$D$10,0))</f>
        <v>30000</v>
      </c>
      <c r="CA238" s="15" t="n">
        <f aca="false">SUM(BV238:BZ238)</f>
        <v>469712.888691955</v>
      </c>
      <c r="CB238" s="15" t="n">
        <f aca="false">BV238*(1-Piano_SS!$E$6)+BW238*(1-Piano_SS!$E$7)+BX238*(1-Piano_SS!$E$8)+BY238*(1-Piano_SS!$E$9)+BZ238*(1-Piano_SS!$E$10)</f>
        <v>439712.888691955</v>
      </c>
      <c r="CC238" s="15" t="n">
        <f aca="false">(CC237)+BA238</f>
        <v>375770.310953564</v>
      </c>
      <c r="CD238" s="15" t="n">
        <f aca="false">IF(CA238=0,0,CC238*CB238/CA238*Ipotesi!$C$103*Parametri_v3!$C$64)</f>
        <v>105531.093286069</v>
      </c>
      <c r="CE238" s="18" t="n">
        <f aca="false">IF(BA238&gt;0,Motore_Operativo!C238,(CE237))</f>
        <v>47635</v>
      </c>
      <c r="CF238" s="18" t="n">
        <f aca="false">IF(AND(CC238&gt;0,OR(CC238&gt;=CG238-0.01,Motore_Operativo!C238&gt;=EDATE(MAX(Finanziamenti!$D$15:$D$17),Ipotesi!F14*12))),CE238,0)</f>
        <v>47635</v>
      </c>
      <c r="CG238" s="15" t="n">
        <f aca="false">IF(AND(4&lt;&gt;6,4&lt;&gt;9,Finanziamenti!$F$11=1,OR(Parametri_v3!$C$6=0,Finanziamenti!$E$11=1)),MIN(Finanziamenti!$C$11,Piano_SS!$C$12*Ipotesi!$C$102),0)</f>
        <v>400000</v>
      </c>
      <c r="CH238" s="15" t="n">
        <f aca="false">IF(AND(AND(4&lt;&gt;8,4&lt;&gt;9,Finanziamenti!$F$10=1,OR(Parametri_v3!$C$6=0,Finanziamenti!$E$10=1)),Motore_Operativo!C238&gt;=Finanziamenti!$D$10,Motore_Operativo!C238&lt;Parametri_v3!$C$63),Finanziamenti!$C$10,0)</f>
        <v>150000</v>
      </c>
    </row>
    <row r="239" customFormat="false" ht="18" hidden="false" customHeight="true" outlineLevel="0" collapsed="false">
      <c r="A239" s="68" t="n">
        <f aca="false">4</f>
        <v>4</v>
      </c>
      <c r="B239" s="68" t="n">
        <f aca="false">55</f>
        <v>55</v>
      </c>
      <c r="C239" s="18" t="n">
        <f aca="false">Motore_Operativo!C239</f>
        <v>48030</v>
      </c>
      <c r="D239" s="68" t="n">
        <f aca="false">Motore_Operativo!D239</f>
        <v>2031</v>
      </c>
      <c r="E239" s="68" t="n">
        <f aca="false">Motore_Operativo!E239</f>
        <v>7</v>
      </c>
      <c r="F239" s="15" t="n">
        <f aca="false">Motore_Operativo!AQ239+Motore_Operativo!BF239</f>
        <v>105058.040999295</v>
      </c>
      <c r="G239" s="15" t="n">
        <f aca="false">Motore_Operativo!BH239</f>
        <v>5739.9375</v>
      </c>
      <c r="H239" s="15" t="n">
        <f aca="false">Motore_Operativo!BI239</f>
        <v>110797.978499295</v>
      </c>
      <c r="I239" s="15" t="n">
        <f aca="false">Motore_Operativo!CA239</f>
        <v>190821.085519068</v>
      </c>
      <c r="J239" s="15" t="n">
        <f aca="false">Motore_Operativo!CC239</f>
        <v>-80023.1070197726</v>
      </c>
      <c r="K239" s="15" t="n">
        <f aca="false">Motore_Operativo!CE239</f>
        <v>4166.66666666667</v>
      </c>
      <c r="L239" s="15" t="n">
        <f aca="false">SUM(INDEX($K$185:$K$244,MAX(1,55-Parametri_v3!$C$59+1)):K239)/Parametri_v3!$C$59</f>
        <v>3043.98148148148</v>
      </c>
      <c r="M239" s="15" t="n">
        <f aca="false">J239-L239</f>
        <v>-83067.0885012541</v>
      </c>
      <c r="N239" s="15" t="n">
        <f aca="false">CD239-(CD238)</f>
        <v>0</v>
      </c>
      <c r="O239" s="15" t="n">
        <f aca="false">(BG238)*Ipotesi!$C$110/12+CH239*Parametri_v3!$C$39/12</f>
        <v>750</v>
      </c>
      <c r="P239" s="15" t="n">
        <f aca="false">M239+N239-O239</f>
        <v>-83817.0885012541</v>
      </c>
      <c r="Q239" s="15" t="n">
        <f aca="false">SUM(P233:P239)+Parametri_v3!$C$54*7/12</f>
        <v>-627766.858688177</v>
      </c>
      <c r="R239" s="15" t="n">
        <f aca="false">Z232</f>
        <v>1696169.7446533</v>
      </c>
      <c r="S239" s="15" t="n">
        <f aca="false">AA232</f>
        <v>997481.794643364</v>
      </c>
      <c r="T239" s="15" t="n">
        <f aca="false">MIN(R239,MAX(0,Q239))</f>
        <v>0</v>
      </c>
      <c r="U239" s="15" t="n">
        <f aca="false">MIN(S239,MAX(0,Q239-T239)*Parametri_v3!$C$42)</f>
        <v>0</v>
      </c>
      <c r="V239" s="15" t="n">
        <f aca="false">MAX(0,Q239-T239-U239)*Ipotesi!$C$92</f>
        <v>0</v>
      </c>
      <c r="W239" s="15" t="n">
        <f aca="false">MAX(0,SUM(M233:M239)+Parametri_v3!$C$55*7/12)*Ipotesi!$C$93</f>
        <v>0</v>
      </c>
      <c r="X239" s="15" t="n">
        <f aca="false">V239+W239-(V238+W238)</f>
        <v>0</v>
      </c>
      <c r="Y239" s="15" t="n">
        <f aca="false">P239-X239</f>
        <v>-83817.0885012541</v>
      </c>
      <c r="Z239" s="15" t="n">
        <f aca="false">R239-T239+IF(AND(Parametri_v3!$C$40=1,D239-YEAR(Parametri_v3!$C$50)&lt;Parametri_v3!$C$41),MAX(0,-Q239),0)</f>
        <v>1696169.7446533</v>
      </c>
      <c r="AA239" s="15" t="n">
        <f aca="false">S239-U239+IF(AND(Parametri_v3!$C$40=1,D239-YEAR(Parametri_v3!$C$50)&lt;Parametri_v3!$C$41),0,MAX(0,-Q239))</f>
        <v>1625248.65333154</v>
      </c>
      <c r="AB239" s="15" t="n">
        <f aca="false">F239*(1+Parametri_v3!$C$26)</f>
        <v>128170.81001914</v>
      </c>
      <c r="AC239" s="15" t="n">
        <f aca="false">(IF(55-(INT((Motore_Operativo!L239)/30))&lt;1,0,INDEX(Motore_Startup!$AB$185:$AB$244,MAX(1,55-(INT((Motore_Operativo!L239)/30)))))*(1-(MOD((Motore_Operativo!L239),30)/30))+IF(55-(INT((Motore_Operativo!L239)/30))-1&lt;1,0,INDEX(Motore_Startup!$AB$185:$AB$244,MAX(1,55-(INT((Motore_Operativo!L239)/30))-1)))*(MOD((Motore_Operativo!L239),30)/30))</f>
        <v>116492.570444848</v>
      </c>
      <c r="AD239" s="15" t="n">
        <f aca="false">(AD238)+AB239-AC239</f>
        <v>494724.180819581</v>
      </c>
      <c r="AE239" s="15" t="n">
        <f aca="false">Motore_Operativo!BH239*(1+Parametri_v3!$C$26)</f>
        <v>7002.72375</v>
      </c>
      <c r="AF239" s="15" t="n">
        <f aca="false">(IF(55-(INT((Parametri_v3!$C$29)/30))&lt;1,0,INDEX(Motore_Operativo!$BH$185:$BH$244,MAX(1,55-(INT((Parametri_v3!$C$29)/30)))))*(1-(MOD((Parametri_v3!$C$29),30)/30))+IF(55-(INT((Parametri_v3!$C$29)/30))-1&lt;1,0,INDEX(Motore_Operativo!$BH$185:$BH$244,MAX(1,55-(INT((Parametri_v3!$C$29)/30))-1)))*(MOD((Parametri_v3!$C$29),30)/30))*(1+Parametri_v3!$C$26)</f>
        <v>7002.72375</v>
      </c>
      <c r="AG239" s="15" t="n">
        <f aca="false">(AG238)+AE239-AF239</f>
        <v>7002.72375</v>
      </c>
      <c r="AH239" s="15" t="n">
        <f aca="false">(Motore_Operativo!CJ239)*(1+Parametri_v3!$C$27*Parametri_v3!$C$26)</f>
        <v>84685.0397943046</v>
      </c>
      <c r="AI239" s="15" t="n">
        <f aca="false">(IF(55-(INT((Ipotesi!$C$91)/30))&lt;1,0,INDEX(Motore_Startup!$AH$185:$AH$244,MAX(1,55-(INT((Ipotesi!$C$91)/30)))))*(1-(MOD((Ipotesi!$C$91),30)/30))+IF(55-(INT((Ipotesi!$C$91)/30))-1&lt;1,0,INDEX(Motore_Startup!$AH$185:$AH$244,MAX(1,55-(INT((Ipotesi!$C$91)/30))-1)))*(MOD((Ipotesi!$C$91),30)/30))</f>
        <v>83870.8219719658</v>
      </c>
      <c r="AJ239" s="15" t="n">
        <f aca="false">(AJ238)+AH239-AI239</f>
        <v>168964.757882826</v>
      </c>
      <c r="AK239" s="15" t="n">
        <f aca="false">(F239+ Motore_Operativo!BH239-(Motore_Operativo!CJ239)*Parametri_v3!$C$27-Motore_Operativo!CE239)*Parametri_v3!$C$26</f>
        <v>10117.6060071084</v>
      </c>
      <c r="AL239" s="15" t="n">
        <f aca="false">MAX(0,(AM238))</f>
        <v>9644.86889665616</v>
      </c>
      <c r="AM239" s="15" t="n">
        <f aca="false">(AM238)+AK239-AL239</f>
        <v>10117.6060071084</v>
      </c>
      <c r="AN239" s="15" t="n">
        <f aca="false">SUM(X221:X232)</f>
        <v>0</v>
      </c>
      <c r="AO239" s="15" t="n">
        <f aca="false">SUM(AP221:AP232)</f>
        <v>0</v>
      </c>
      <c r="AP239" s="15" t="n">
        <f aca="false">MAX(0,AN239)*IF(7=Parametri_v3!$C$43,Parametri_v3!$C$45,IF(7=Parametri_v3!$C$44,1-Parametri_v3!$C$45,0))</f>
        <v>0</v>
      </c>
      <c r="AQ239" s="15" t="n">
        <f aca="false">MAX(0,AP239+IF(7=Parametri_v3!$C$43,MAX(0,AN239-AO239),0)-MAX(0,-(AR238)))</f>
        <v>0</v>
      </c>
      <c r="AR239" s="15" t="n">
        <f aca="false">(AR238)+X239-AQ239</f>
        <v>0</v>
      </c>
      <c r="AS239" s="15" t="n">
        <f aca="false">Motore_Operativo!AB239-AT239+AU239</f>
        <v>113503.461904792</v>
      </c>
      <c r="AT239" s="15" t="n">
        <f aca="false">Motore_Operativo!CH239</f>
        <v>5973.86641604167</v>
      </c>
      <c r="AU239" s="15" t="n">
        <f aca="false">MIN(MAX(0,(AV238)+AT239),Parametri_v3!$C$60/12)</f>
        <v>0</v>
      </c>
      <c r="AV239" s="15" t="n">
        <f aca="false">(AV238)+AT239-AU239</f>
        <v>178872.615287292</v>
      </c>
      <c r="AW239" s="15" t="n">
        <f aca="false">IF(AND(Motore_Operativo!C239=Finanziamenti!$D$6,Finanziamenti!$F$6=1),Finanziamenti!$C$6,0)</f>
        <v>0</v>
      </c>
      <c r="AX239" s="15" t="n">
        <f aca="false">IF(AND(4&lt;&gt;7,4&lt;&gt;9,Finanziamenti!$F$8=1,OR(Parametri_v3!$C$6=0,Finanziamenti!$E$8=1),Motore_Operativo!C239=EDATE(Finanziamenti!$D$8,Ipotesi!F15*12)),Finanziamenti!$C$8*1,0)+IF(AND(4&lt;&gt;7,4&lt;&gt;9,Finanziamenti!$F$9=1,OR(Parametri_v3!$C$6=0,Finanziamenti!$E$9=1),Motore_Operativo!C239=EDATE(Finanziamenti!$D$9,Ipotesi!F15*12)),Finanziamenti!$C$9*Ipotesi!F16,0)</f>
        <v>0</v>
      </c>
      <c r="AY239" s="15" t="n">
        <f aca="false">0</f>
        <v>0</v>
      </c>
      <c r="AZ239" s="15" t="n">
        <f aca="false">Motore_Advisory!AY239*(1-Ipotesi!$C$95)*Ipotesi!$C$96</f>
        <v>0</v>
      </c>
      <c r="BA239" s="15" t="n">
        <f aca="false">MAX(0,MIN(CG239*MIN(1,IF(Motore_Operativo!C239&gt;=EDATE(Finanziamenti!$D$15,Ipotesi!F14*12),Finanziamenti!$C$15,0)+IF(Motore_Operativo!C239&gt;=EDATE(Finanziamenti!$D$16,Ipotesi!F14*12),Finanziamenti!$C$16,0)+IF(Motore_Operativo!C239&gt;=EDATE(Finanziamenti!$D$17,Ipotesi!F14*12),Finanziamenti!$C$17,0)),CA239*Ipotesi!$C$102)-(CC238))</f>
        <v>0</v>
      </c>
      <c r="BB239" s="15" t="n">
        <f aca="false">IF(AND(CF239&gt;0,Motore_Operativo!C239&gt;=IF(CF239=0,0,EDATE(CF239,Parametri_v3!$C$37)),MOD(((D239-YEAR(IF(CF239=0,0,EDATE(CF239,Parametri_v3!$C$37))))*12+E239-MONTH(IF(CF239=0,0,EDATE(CF239,Parametri_v3!$C$37)))),Parametri_v3!$C$38)=0),MIN(MAX(0,(BC238)+BA239-N239),(CC239-CD239)/(Ipotesi!$C$108*12/Parametri_v3!$C$38)),0)</f>
        <v>0</v>
      </c>
      <c r="BC239" s="15" t="n">
        <f aca="false">(BC238)+BA239-N239-BB239</f>
        <v>256727.25678412</v>
      </c>
      <c r="BD239" s="15" t="n">
        <f aca="false">(BH238)+AC239+AF239-AI239-AS239-K239*(1+Parametri_v3!$C$26)-AL239-AQ239-O239+AW239+AX239+AZ239+BA239-BB239</f>
        <v>-2688717.69622271</v>
      </c>
      <c r="BE239" s="15" t="n">
        <f aca="false">MAX(0,MIN(MAX(0,CH239-(BG238)),Parametri_v3!$C$30-BD239))</f>
        <v>0</v>
      </c>
      <c r="BF239" s="15" t="n">
        <f aca="false">IF(Motore_Operativo!C239&gt;=Parametri_v3!$C$63,(BG238),MIN((BG238),MAX(0,BD239-Parametri_v3!$C$30)))</f>
        <v>0</v>
      </c>
      <c r="BG239" s="15" t="n">
        <f aca="false">(BG238)+BE239-BF239</f>
        <v>150000</v>
      </c>
      <c r="BH239" s="15" t="n">
        <f aca="false">BD239+BE239-BF239-AY239</f>
        <v>-2688717.69622271</v>
      </c>
      <c r="BI239" s="15" t="n">
        <f aca="false">MAX(0,Parametri_v3!$C$30-BH239)</f>
        <v>2713717.69622271</v>
      </c>
      <c r="BJ239" s="15" t="n">
        <f aca="false">(BJ238)+K239</f>
        <v>144166.666666667</v>
      </c>
      <c r="BK239" s="15" t="n">
        <f aca="false">(BK238)+L239</f>
        <v>83912.0370370371</v>
      </c>
      <c r="BL239" s="15" t="n">
        <f aca="false">BJ239-BK239</f>
        <v>60254.6296296296</v>
      </c>
      <c r="BM239" s="15" t="n">
        <f aca="false">(BM238)+Y239</f>
        <v>-3321418.39798485</v>
      </c>
      <c r="BN239" s="15" t="n">
        <f aca="false">(BN238)+AW239+AX239+AZ239</f>
        <v>430000</v>
      </c>
      <c r="BO239" s="15" t="n">
        <f aca="false">(BO238)+AY239</f>
        <v>0</v>
      </c>
      <c r="BP239" s="15" t="n">
        <f aca="false">0</f>
        <v>0</v>
      </c>
      <c r="BQ239" s="15" t="n">
        <f aca="false">BN239+BM239-BO239</f>
        <v>-2891418.39798485</v>
      </c>
      <c r="BR239" s="15" t="n">
        <f aca="false">BH239+AD239+BL239+MAX(0,-AM239)+MAX(0,-AR239)+AG239</f>
        <v>-2126736.1620235</v>
      </c>
      <c r="BS239" s="15" t="n">
        <f aca="false">AJ239+AV239+MAX(0,AM239)+MAX(0,AR239)+BC239+BG239+BQ239</f>
        <v>-2126736.1620235</v>
      </c>
      <c r="BT239" s="15" t="n">
        <f aca="false">BR239-BS239</f>
        <v>0</v>
      </c>
      <c r="BU239" s="15" t="n">
        <f aca="false">BH239-(BD239+BE239-BF239-AY239)</f>
        <v>0</v>
      </c>
      <c r="BV239" s="15" t="n">
        <f aca="false">MIN(Piano_SS!$C$6,(BV238)+IF(AND(Motore_Operativo!C239&gt;=EDATE(Parametri_v3!$C$24,Ipotesi!F14*12),Motore_Operativo!C239&lt;EDATE(Parametri_v3!$C$24,Parametri_v3!$C$25+Ipotesi!F14*12)),MAX(0,(Motore_Operativo!Y239+Motore_Operativo!X239*Parametri_v3!$C$14)*(1-Parametri_v3!$C$32))*Piano_SS!$D$6,0))</f>
        <v>300000</v>
      </c>
      <c r="BW239" s="15" t="n">
        <f aca="false">MIN(Piano_SS!$C$7,(BW238)+IF(AND(Motore_Operativo!C239&gt;=EDATE(Parametri_v3!$C$24,Ipotesi!F14*12),Motore_Operativo!C239&lt;EDATE(Parametri_v3!$C$24,Parametri_v3!$C$25+Ipotesi!F14*12)),MAX(0,(IF(55-(INT((Ipotesi!$C$91)/30))&lt;1,0,INDEX(Motore_Operativo!$BN$185:$BN$244,MAX(1,55-(INT((Ipotesi!$C$91)/30)))))*(1-(MOD((Ipotesi!$C$91),30)/30))+IF(55-(INT((Ipotesi!$C$91)/30))-1&lt;1,0,INDEX(Motore_Operativo!$BN$185:$BN$244,MAX(1,55-(INT((Ipotesi!$C$91)/30))-1)))*(MOD((Ipotesi!$C$91),30)/30)))*Piano_SS!$D$7,0))</f>
        <v>49712.8886919552</v>
      </c>
      <c r="BX239" s="15" t="n">
        <f aca="false">MIN(Piano_SS!$C$8,(BX238)+IF(AND(Motore_Operativo!C239&gt;=EDATE(Parametri_v3!$C$24,Ipotesi!F14*12),Motore_Operativo!C239&lt;EDATE(Parametri_v3!$C$24,Parametri_v3!$C$25+Ipotesi!F14*12)),MAX(0,Motore_Operativo!CE239)*Piano_SS!$D$8,0))</f>
        <v>50000</v>
      </c>
      <c r="BY239" s="15" t="n">
        <f aca="false">MIN(Piano_SS!$C$9,(BY238)+IF(AND(Motore_Operativo!C239&gt;=EDATE(Parametri_v3!$C$24,Ipotesi!F14*12),Motore_Operativo!C239&lt;EDATE(Parametri_v3!$C$24,Parametri_v3!$C$25+Ipotesi!F14*12)),MAX(0,((IF(55-(INT((Ipotesi!$C$91)/30))&lt;1,0,INDEX(Motore_Operativo!$BQ$185:$BQ$244,MAX(1,55-(INT((Ipotesi!$C$91)/30)))))*(1-(MOD((Ipotesi!$C$91),30)/30))+IF(55-(INT((Ipotesi!$C$91)/30))-1&lt;1,0,INDEX(Motore_Operativo!$BQ$185:$BQ$244,MAX(1,55-(INT((Ipotesi!$C$91)/30))-1)))*(MOD((Ipotesi!$C$91),30)/30))+(IF(55-(INT((Ipotesi!$C$91)/30))&lt;1,0,INDEX(Motore_Operativo!$BR$185:$BR$244,MAX(1,55-(INT((Ipotesi!$C$91)/30)))))*(1-(MOD((Ipotesi!$C$91),30)/30))+IF(55-(INT((Ipotesi!$C$91)/30))-1&lt;1,0,INDEX(Motore_Operativo!$BR$185:$BR$244,MAX(1,55-(INT((Ipotesi!$C$91)/30))-1)))*(MOD((Ipotesi!$C$91),30)/30))))*Piano_SS!$D$9,0))</f>
        <v>40000</v>
      </c>
      <c r="BZ239" s="15" t="n">
        <f aca="false">MIN(Piano_SS!$C$10,(BZ238)+IF(AND(Motore_Operativo!C239&gt;=EDATE(Parametri_v3!$C$24,Ipotesi!F14*12),Motore_Operativo!C239&lt;EDATE(Parametri_v3!$C$24,Parametri_v3!$C$25+Ipotesi!F14*12)),MAX(0,(IF(55-(INT((Ipotesi!$C$91)/30))&lt;1,0,INDEX(Motore_Operativo!$BO$185:$BO$244,MAX(1,55-(INT((Ipotesi!$C$91)/30)))))*(1-(MOD((Ipotesi!$C$91),30)/30))+IF(55-(INT((Ipotesi!$C$91)/30))-1&lt;1,0,INDEX(Motore_Operativo!$BO$185:$BO$244,MAX(1,55-(INT((Ipotesi!$C$91)/30))-1)))*(MOD((Ipotesi!$C$91),30)/30)))*Piano_SS!$D$10,0))</f>
        <v>30000</v>
      </c>
      <c r="CA239" s="15" t="n">
        <f aca="false">SUM(BV239:BZ239)</f>
        <v>469712.888691955</v>
      </c>
      <c r="CB239" s="15" t="n">
        <f aca="false">BV239*(1-Piano_SS!$E$6)+BW239*(1-Piano_SS!$E$7)+BX239*(1-Piano_SS!$E$8)+BY239*(1-Piano_SS!$E$9)+BZ239*(1-Piano_SS!$E$10)</f>
        <v>439712.888691955</v>
      </c>
      <c r="CC239" s="15" t="n">
        <f aca="false">(CC238)+BA239</f>
        <v>375770.310953564</v>
      </c>
      <c r="CD239" s="15" t="n">
        <f aca="false">IF(CA239=0,0,CC239*CB239/CA239*Ipotesi!$C$103*Parametri_v3!$C$64)</f>
        <v>105531.093286069</v>
      </c>
      <c r="CE239" s="18" t="n">
        <f aca="false">IF(BA239&gt;0,Motore_Operativo!C239,(CE238))</f>
        <v>47635</v>
      </c>
      <c r="CF239" s="18" t="n">
        <f aca="false">IF(AND(CC239&gt;0,OR(CC239&gt;=CG239-0.01,Motore_Operativo!C239&gt;=EDATE(MAX(Finanziamenti!$D$15:$D$17),Ipotesi!F14*12))),CE239,0)</f>
        <v>47635</v>
      </c>
      <c r="CG239" s="15" t="n">
        <f aca="false">IF(AND(4&lt;&gt;6,4&lt;&gt;9,Finanziamenti!$F$11=1,OR(Parametri_v3!$C$6=0,Finanziamenti!$E$11=1)),MIN(Finanziamenti!$C$11,Piano_SS!$C$12*Ipotesi!$C$102),0)</f>
        <v>400000</v>
      </c>
      <c r="CH239" s="15" t="n">
        <f aca="false">IF(AND(AND(4&lt;&gt;8,4&lt;&gt;9,Finanziamenti!$F$10=1,OR(Parametri_v3!$C$6=0,Finanziamenti!$E$10=1)),Motore_Operativo!C239&gt;=Finanziamenti!$D$10,Motore_Operativo!C239&lt;Parametri_v3!$C$63),Finanziamenti!$C$10,0)</f>
        <v>150000</v>
      </c>
    </row>
    <row r="240" customFormat="false" ht="18" hidden="false" customHeight="true" outlineLevel="0" collapsed="false">
      <c r="A240" s="68" t="n">
        <f aca="false">4</f>
        <v>4</v>
      </c>
      <c r="B240" s="68" t="n">
        <f aca="false">56</f>
        <v>56</v>
      </c>
      <c r="C240" s="18" t="n">
        <f aca="false">Motore_Operativo!C240</f>
        <v>48061</v>
      </c>
      <c r="D240" s="68" t="n">
        <f aca="false">Motore_Operativo!D240</f>
        <v>2031</v>
      </c>
      <c r="E240" s="68" t="n">
        <f aca="false">Motore_Operativo!E240</f>
        <v>8</v>
      </c>
      <c r="F240" s="15" t="n">
        <f aca="false">Motore_Operativo!AQ240+Motore_Operativo!BF240</f>
        <v>107475.772020598</v>
      </c>
      <c r="G240" s="15" t="n">
        <f aca="false">Motore_Operativo!BH240</f>
        <v>5739.9375</v>
      </c>
      <c r="H240" s="15" t="n">
        <f aca="false">Motore_Operativo!BI240</f>
        <v>113215.709520598</v>
      </c>
      <c r="I240" s="15" t="n">
        <f aca="false">Motore_Operativo!CA240</f>
        <v>191159.56786205</v>
      </c>
      <c r="J240" s="15" t="n">
        <f aca="false">Motore_Operativo!CC240</f>
        <v>-77943.8583414525</v>
      </c>
      <c r="K240" s="15" t="n">
        <f aca="false">Motore_Operativo!CE240</f>
        <v>4166.66666666667</v>
      </c>
      <c r="L240" s="15" t="n">
        <f aca="false">SUM(INDEX($K$185:$K$244,MAX(1,56-Parametri_v3!$C$59+1)):K240)/Parametri_v3!$C$59</f>
        <v>3101.85185185185</v>
      </c>
      <c r="M240" s="15" t="n">
        <f aca="false">J240-L240</f>
        <v>-81045.7101933043</v>
      </c>
      <c r="N240" s="15" t="n">
        <f aca="false">CD240-(CD239)</f>
        <v>0</v>
      </c>
      <c r="O240" s="15" t="n">
        <f aca="false">(BG239)*Ipotesi!$C$110/12+CH240*Parametri_v3!$C$39/12</f>
        <v>750</v>
      </c>
      <c r="P240" s="15" t="n">
        <f aca="false">M240+N240-O240</f>
        <v>-81795.7101933043</v>
      </c>
      <c r="Q240" s="15" t="n">
        <f aca="false">SUM(P233:P240)+Parametri_v3!$C$54*8/12</f>
        <v>-709562.568881482</v>
      </c>
      <c r="R240" s="15" t="n">
        <f aca="false">Z232</f>
        <v>1696169.7446533</v>
      </c>
      <c r="S240" s="15" t="n">
        <f aca="false">AA232</f>
        <v>997481.794643364</v>
      </c>
      <c r="T240" s="15" t="n">
        <f aca="false">MIN(R240,MAX(0,Q240))</f>
        <v>0</v>
      </c>
      <c r="U240" s="15" t="n">
        <f aca="false">MIN(S240,MAX(0,Q240-T240)*Parametri_v3!$C$42)</f>
        <v>0</v>
      </c>
      <c r="V240" s="15" t="n">
        <f aca="false">MAX(0,Q240-T240-U240)*Ipotesi!$C$92</f>
        <v>0</v>
      </c>
      <c r="W240" s="15" t="n">
        <f aca="false">MAX(0,SUM(M233:M240)+Parametri_v3!$C$55*8/12)*Ipotesi!$C$93</f>
        <v>0</v>
      </c>
      <c r="X240" s="15" t="n">
        <f aca="false">V240+W240-(V239+W239)</f>
        <v>0</v>
      </c>
      <c r="Y240" s="15" t="n">
        <f aca="false">P240-X240</f>
        <v>-81795.7101933043</v>
      </c>
      <c r="Z240" s="15" t="n">
        <f aca="false">R240-T240+IF(AND(Parametri_v3!$C$40=1,D240-YEAR(Parametri_v3!$C$50)&lt;Parametri_v3!$C$41),MAX(0,-Q240),0)</f>
        <v>1696169.7446533</v>
      </c>
      <c r="AA240" s="15" t="n">
        <f aca="false">S240-U240+IF(AND(Parametri_v3!$C$40=1,D240-YEAR(Parametri_v3!$C$50)&lt;Parametri_v3!$C$41),0,MAX(0,-Q240))</f>
        <v>1707044.36352485</v>
      </c>
      <c r="AB240" s="15" t="n">
        <f aca="false">F240*(1+Parametri_v3!$C$26)</f>
        <v>131120.441865129</v>
      </c>
      <c r="AC240" s="15" t="n">
        <f aca="false">(IF(56-(INT((Motore_Operativo!L240)/30))&lt;1,0,INDEX(Motore_Startup!$AB$185:$AB$244,MAX(1,56-(INT((Motore_Operativo!L240)/30)))))*(1-(MOD((Motore_Operativo!L240),30)/30))+IF(56-(INT((Motore_Operativo!L240)/30))-1&lt;1,0,INDEX(Motore_Startup!$AB$185:$AB$244,MAX(1,56-(INT((Motore_Operativo!L240)/30))-1)))*(MOD((Motore_Operativo!L240),30)/30))</f>
        <v>119164.923372036</v>
      </c>
      <c r="AD240" s="15" t="n">
        <f aca="false">(AD239)+AB240-AC240</f>
        <v>506679.699312674</v>
      </c>
      <c r="AE240" s="15" t="n">
        <f aca="false">Motore_Operativo!BH240*(1+Parametri_v3!$C$26)</f>
        <v>7002.72375</v>
      </c>
      <c r="AF240" s="15" t="n">
        <f aca="false">(IF(56-(INT((Parametri_v3!$C$29)/30))&lt;1,0,INDEX(Motore_Operativo!$BH$185:$BH$244,MAX(1,56-(INT((Parametri_v3!$C$29)/30)))))*(1-(MOD((Parametri_v3!$C$29),30)/30))+IF(56-(INT((Parametri_v3!$C$29)/30))-1&lt;1,0,INDEX(Motore_Operativo!$BH$185:$BH$244,MAX(1,56-(INT((Parametri_v3!$C$29)/30))-1)))*(MOD((Parametri_v3!$C$29),30)/30))*(1+Parametri_v3!$C$26)</f>
        <v>7002.72375</v>
      </c>
      <c r="AG240" s="15" t="n">
        <f aca="false">(AG239)+AE240-AF240</f>
        <v>7002.72375</v>
      </c>
      <c r="AH240" s="15" t="n">
        <f aca="false">(Motore_Operativo!CJ240)*(1+Parametri_v3!$C$27*Parametri_v3!$C$26)</f>
        <v>85086.8183354246</v>
      </c>
      <c r="AI240" s="15" t="n">
        <f aca="false">(IF(56-(INT((Ipotesi!$C$91)/30))&lt;1,0,INDEX(Motore_Startup!$AH$185:$AH$244,MAX(1,56-(INT((Ipotesi!$C$91)/30)))))*(1-(MOD((Ipotesi!$C$91),30)/30))+IF(56-(INT((Ipotesi!$C$91)/30))-1&lt;1,0,INDEX(Motore_Startup!$AH$185:$AH$244,MAX(1,56-(INT((Ipotesi!$C$91)/30))-1)))*(MOD((Ipotesi!$C$91),30)/30))</f>
        <v>84279.7180885211</v>
      </c>
      <c r="AJ240" s="15" t="n">
        <f aca="false">(AJ239)+AH240-AI240</f>
        <v>169771.858129729</v>
      </c>
      <c r="AK240" s="15" t="n">
        <f aca="false">(F240+ Motore_Operativo!BH240-(Motore_Operativo!CJ240)*Parametri_v3!$C$27-Motore_Operativo!CE240)*Parametri_v3!$C$26</f>
        <v>10586.2106336573</v>
      </c>
      <c r="AL240" s="15" t="n">
        <f aca="false">MAX(0,(AM239))</f>
        <v>10117.6060071084</v>
      </c>
      <c r="AM240" s="15" t="n">
        <f aca="false">(AM239)+AK240-AL240</f>
        <v>10586.2106336573</v>
      </c>
      <c r="AN240" s="15" t="n">
        <f aca="false">SUM(X221:X232)</f>
        <v>0</v>
      </c>
      <c r="AO240" s="15" t="n">
        <f aca="false">SUM(AP221:AP232)</f>
        <v>0</v>
      </c>
      <c r="AP240" s="15" t="n">
        <f aca="false">MAX(0,AN240)*IF(8=Parametri_v3!$C$43,Parametri_v3!$C$45,IF(8=Parametri_v3!$C$44,1-Parametri_v3!$C$45,0))</f>
        <v>0</v>
      </c>
      <c r="AQ240" s="15" t="n">
        <f aca="false">MAX(0,AP240+IF(8=Parametri_v3!$C$43,MAX(0,AN240-AO240),0)-MAX(0,-(AR239)))</f>
        <v>0</v>
      </c>
      <c r="AR240" s="15" t="n">
        <f aca="false">(AR239)+X240-AQ240</f>
        <v>0</v>
      </c>
      <c r="AS240" s="15" t="n">
        <f aca="false">Motore_Operativo!AB240-AT240+AU240</f>
        <v>113503.461904792</v>
      </c>
      <c r="AT240" s="15" t="n">
        <f aca="false">Motore_Operativo!CH240</f>
        <v>5973.86641604167</v>
      </c>
      <c r="AU240" s="15" t="n">
        <f aca="false">MIN(MAX(0,(AV239)+AT240),Parametri_v3!$C$60/12)</f>
        <v>0</v>
      </c>
      <c r="AV240" s="15" t="n">
        <f aca="false">(AV239)+AT240-AU240</f>
        <v>184846.481703333</v>
      </c>
      <c r="AW240" s="15" t="n">
        <f aca="false">IF(AND(Motore_Operativo!C240=Finanziamenti!$D$6,Finanziamenti!$F$6=1),Finanziamenti!$C$6,0)</f>
        <v>0</v>
      </c>
      <c r="AX240" s="15" t="n">
        <f aca="false">IF(AND(4&lt;&gt;7,4&lt;&gt;9,Finanziamenti!$F$8=1,OR(Parametri_v3!$C$6=0,Finanziamenti!$E$8=1),Motore_Operativo!C240=EDATE(Finanziamenti!$D$8,Ipotesi!F15*12)),Finanziamenti!$C$8*1,0)+IF(AND(4&lt;&gt;7,4&lt;&gt;9,Finanziamenti!$F$9=1,OR(Parametri_v3!$C$6=0,Finanziamenti!$E$9=1),Motore_Operativo!C240=EDATE(Finanziamenti!$D$9,Ipotesi!F15*12)),Finanziamenti!$C$9*Ipotesi!F16,0)</f>
        <v>0</v>
      </c>
      <c r="AY240" s="15" t="n">
        <f aca="false">0</f>
        <v>0</v>
      </c>
      <c r="AZ240" s="15" t="n">
        <f aca="false">Motore_Advisory!AY240*(1-Ipotesi!$C$95)*Ipotesi!$C$96</f>
        <v>0</v>
      </c>
      <c r="BA240" s="15" t="n">
        <f aca="false">MAX(0,MIN(CG240*MIN(1,IF(Motore_Operativo!C240&gt;=EDATE(Finanziamenti!$D$15,Ipotesi!F14*12),Finanziamenti!$C$15,0)+IF(Motore_Operativo!C240&gt;=EDATE(Finanziamenti!$D$16,Ipotesi!F14*12),Finanziamenti!$C$16,0)+IF(Motore_Operativo!C240&gt;=EDATE(Finanziamenti!$D$17,Ipotesi!F14*12),Finanziamenti!$C$17,0)),CA240*Ipotesi!$C$102)-(CC239))</f>
        <v>0</v>
      </c>
      <c r="BB240" s="15" t="n">
        <f aca="false">IF(AND(CF240&gt;0,Motore_Operativo!C240&gt;=IF(CF240=0,0,EDATE(CF240,Parametri_v3!$C$37)),MOD(((D240-YEAR(IF(CF240=0,0,EDATE(CF240,Parametri_v3!$C$37))))*12+E240-MONTH(IF(CF240=0,0,EDATE(CF240,Parametri_v3!$C$37)))),Parametri_v3!$C$38)=0),MIN(MAX(0,(BC239)+BA240-N240),(CC240-CD240)/(Ipotesi!$C$108*12/Parametri_v3!$C$38)),0)</f>
        <v>0</v>
      </c>
      <c r="BC240" s="15" t="n">
        <f aca="false">(BC239)+BA240-N240-BB240</f>
        <v>256727.25678412</v>
      </c>
      <c r="BD240" s="15" t="n">
        <f aca="false">(BH239)+AC240+AF240-AI240-AS240-K240*(1+Parametri_v3!$C$26)-AL240-AQ240-O240+AW240+AX240+AZ240+BA240-BB240</f>
        <v>-2776284.16843443</v>
      </c>
      <c r="BE240" s="15" t="n">
        <f aca="false">MAX(0,MIN(MAX(0,CH240-(BG239)),Parametri_v3!$C$30-BD240))</f>
        <v>0</v>
      </c>
      <c r="BF240" s="15" t="n">
        <f aca="false">IF(Motore_Operativo!C240&gt;=Parametri_v3!$C$63,(BG239),MIN((BG239),MAX(0,BD240-Parametri_v3!$C$30)))</f>
        <v>0</v>
      </c>
      <c r="BG240" s="15" t="n">
        <f aca="false">(BG239)+BE240-BF240</f>
        <v>150000</v>
      </c>
      <c r="BH240" s="15" t="n">
        <f aca="false">BD240+BE240-BF240-AY240</f>
        <v>-2776284.16843443</v>
      </c>
      <c r="BI240" s="15" t="n">
        <f aca="false">MAX(0,Parametri_v3!$C$30-BH240)</f>
        <v>2801284.16843443</v>
      </c>
      <c r="BJ240" s="15" t="n">
        <f aca="false">(BJ239)+K240</f>
        <v>148333.333333333</v>
      </c>
      <c r="BK240" s="15" t="n">
        <f aca="false">(BK239)+L240</f>
        <v>87013.8888888889</v>
      </c>
      <c r="BL240" s="15" t="n">
        <f aca="false">BJ240-BK240</f>
        <v>61319.4444444444</v>
      </c>
      <c r="BM240" s="15" t="n">
        <f aca="false">(BM239)+Y240</f>
        <v>-3403214.10817815</v>
      </c>
      <c r="BN240" s="15" t="n">
        <f aca="false">(BN239)+AW240+AX240+AZ240</f>
        <v>430000</v>
      </c>
      <c r="BO240" s="15" t="n">
        <f aca="false">(BO239)+AY240</f>
        <v>0</v>
      </c>
      <c r="BP240" s="15" t="n">
        <f aca="false">0</f>
        <v>0</v>
      </c>
      <c r="BQ240" s="15" t="n">
        <f aca="false">BN240+BM240-BO240</f>
        <v>-2973214.10817815</v>
      </c>
      <c r="BR240" s="15" t="n">
        <f aca="false">BH240+AD240+BL240+MAX(0,-AM240)+MAX(0,-AR240)+AG240</f>
        <v>-2201282.30092731</v>
      </c>
      <c r="BS240" s="15" t="n">
        <f aca="false">AJ240+AV240+MAX(0,AM240)+MAX(0,AR240)+BC240+BG240+BQ240</f>
        <v>-2201282.30092731</v>
      </c>
      <c r="BT240" s="15" t="n">
        <f aca="false">BR240-BS240</f>
        <v>0</v>
      </c>
      <c r="BU240" s="15" t="n">
        <f aca="false">BH240-(BD240+BE240-BF240-AY240)</f>
        <v>0</v>
      </c>
      <c r="BV240" s="15" t="n">
        <f aca="false">MIN(Piano_SS!$C$6,(BV239)+IF(AND(Motore_Operativo!C240&gt;=EDATE(Parametri_v3!$C$24,Ipotesi!F14*12),Motore_Operativo!C240&lt;EDATE(Parametri_v3!$C$24,Parametri_v3!$C$25+Ipotesi!F14*12)),MAX(0,(Motore_Operativo!Y240+Motore_Operativo!X240*Parametri_v3!$C$14)*(1-Parametri_v3!$C$32))*Piano_SS!$D$6,0))</f>
        <v>300000</v>
      </c>
      <c r="BW240" s="15" t="n">
        <f aca="false">MIN(Piano_SS!$C$7,(BW239)+IF(AND(Motore_Operativo!C240&gt;=EDATE(Parametri_v3!$C$24,Ipotesi!F14*12),Motore_Operativo!C240&lt;EDATE(Parametri_v3!$C$24,Parametri_v3!$C$25+Ipotesi!F14*12)),MAX(0,(IF(56-(INT((Ipotesi!$C$91)/30))&lt;1,0,INDEX(Motore_Operativo!$BN$185:$BN$244,MAX(1,56-(INT((Ipotesi!$C$91)/30)))))*(1-(MOD((Ipotesi!$C$91),30)/30))+IF(56-(INT((Ipotesi!$C$91)/30))-1&lt;1,0,INDEX(Motore_Operativo!$BN$185:$BN$244,MAX(1,56-(INT((Ipotesi!$C$91)/30))-1)))*(MOD((Ipotesi!$C$91),30)/30)))*Piano_SS!$D$7,0))</f>
        <v>49712.8886919552</v>
      </c>
      <c r="BX240" s="15" t="n">
        <f aca="false">MIN(Piano_SS!$C$8,(BX239)+IF(AND(Motore_Operativo!C240&gt;=EDATE(Parametri_v3!$C$24,Ipotesi!F14*12),Motore_Operativo!C240&lt;EDATE(Parametri_v3!$C$24,Parametri_v3!$C$25+Ipotesi!F14*12)),MAX(0,Motore_Operativo!CE240)*Piano_SS!$D$8,0))</f>
        <v>50000</v>
      </c>
      <c r="BY240" s="15" t="n">
        <f aca="false">MIN(Piano_SS!$C$9,(BY239)+IF(AND(Motore_Operativo!C240&gt;=EDATE(Parametri_v3!$C$24,Ipotesi!F14*12),Motore_Operativo!C240&lt;EDATE(Parametri_v3!$C$24,Parametri_v3!$C$25+Ipotesi!F14*12)),MAX(0,((IF(56-(INT((Ipotesi!$C$91)/30))&lt;1,0,INDEX(Motore_Operativo!$BQ$185:$BQ$244,MAX(1,56-(INT((Ipotesi!$C$91)/30)))))*(1-(MOD((Ipotesi!$C$91),30)/30))+IF(56-(INT((Ipotesi!$C$91)/30))-1&lt;1,0,INDEX(Motore_Operativo!$BQ$185:$BQ$244,MAX(1,56-(INT((Ipotesi!$C$91)/30))-1)))*(MOD((Ipotesi!$C$91),30)/30))+(IF(56-(INT((Ipotesi!$C$91)/30))&lt;1,0,INDEX(Motore_Operativo!$BR$185:$BR$244,MAX(1,56-(INT((Ipotesi!$C$91)/30)))))*(1-(MOD((Ipotesi!$C$91),30)/30))+IF(56-(INT((Ipotesi!$C$91)/30))-1&lt;1,0,INDEX(Motore_Operativo!$BR$185:$BR$244,MAX(1,56-(INT((Ipotesi!$C$91)/30))-1)))*(MOD((Ipotesi!$C$91),30)/30))))*Piano_SS!$D$9,0))</f>
        <v>40000</v>
      </c>
      <c r="BZ240" s="15" t="n">
        <f aca="false">MIN(Piano_SS!$C$10,(BZ239)+IF(AND(Motore_Operativo!C240&gt;=EDATE(Parametri_v3!$C$24,Ipotesi!F14*12),Motore_Operativo!C240&lt;EDATE(Parametri_v3!$C$24,Parametri_v3!$C$25+Ipotesi!F14*12)),MAX(0,(IF(56-(INT((Ipotesi!$C$91)/30))&lt;1,0,INDEX(Motore_Operativo!$BO$185:$BO$244,MAX(1,56-(INT((Ipotesi!$C$91)/30)))))*(1-(MOD((Ipotesi!$C$91),30)/30))+IF(56-(INT((Ipotesi!$C$91)/30))-1&lt;1,0,INDEX(Motore_Operativo!$BO$185:$BO$244,MAX(1,56-(INT((Ipotesi!$C$91)/30))-1)))*(MOD((Ipotesi!$C$91),30)/30)))*Piano_SS!$D$10,0))</f>
        <v>30000</v>
      </c>
      <c r="CA240" s="15" t="n">
        <f aca="false">SUM(BV240:BZ240)</f>
        <v>469712.888691955</v>
      </c>
      <c r="CB240" s="15" t="n">
        <f aca="false">BV240*(1-Piano_SS!$E$6)+BW240*(1-Piano_SS!$E$7)+BX240*(1-Piano_SS!$E$8)+BY240*(1-Piano_SS!$E$9)+BZ240*(1-Piano_SS!$E$10)</f>
        <v>439712.888691955</v>
      </c>
      <c r="CC240" s="15" t="n">
        <f aca="false">(CC239)+BA240</f>
        <v>375770.310953564</v>
      </c>
      <c r="CD240" s="15" t="n">
        <f aca="false">IF(CA240=0,0,CC240*CB240/CA240*Ipotesi!$C$103*Parametri_v3!$C$64)</f>
        <v>105531.093286069</v>
      </c>
      <c r="CE240" s="18" t="n">
        <f aca="false">IF(BA240&gt;0,Motore_Operativo!C240,(CE239))</f>
        <v>47635</v>
      </c>
      <c r="CF240" s="18" t="n">
        <f aca="false">IF(AND(CC240&gt;0,OR(CC240&gt;=CG240-0.01,Motore_Operativo!C240&gt;=EDATE(MAX(Finanziamenti!$D$15:$D$17),Ipotesi!F14*12))),CE240,0)</f>
        <v>47635</v>
      </c>
      <c r="CG240" s="15" t="n">
        <f aca="false">IF(AND(4&lt;&gt;6,4&lt;&gt;9,Finanziamenti!$F$11=1,OR(Parametri_v3!$C$6=0,Finanziamenti!$E$11=1)),MIN(Finanziamenti!$C$11,Piano_SS!$C$12*Ipotesi!$C$102),0)</f>
        <v>400000</v>
      </c>
      <c r="CH240" s="15" t="n">
        <f aca="false">IF(AND(AND(4&lt;&gt;8,4&lt;&gt;9,Finanziamenti!$F$10=1,OR(Parametri_v3!$C$6=0,Finanziamenti!$E$10=1)),Motore_Operativo!C240&gt;=Finanziamenti!$D$10,Motore_Operativo!C240&lt;Parametri_v3!$C$63),Finanziamenti!$C$10,0)</f>
        <v>150000</v>
      </c>
    </row>
    <row r="241" customFormat="false" ht="18" hidden="false" customHeight="true" outlineLevel="0" collapsed="false">
      <c r="A241" s="68" t="n">
        <f aca="false">4</f>
        <v>4</v>
      </c>
      <c r="B241" s="68" t="n">
        <f aca="false">57</f>
        <v>57</v>
      </c>
      <c r="C241" s="18" t="n">
        <f aca="false">Motore_Operativo!C241</f>
        <v>48092</v>
      </c>
      <c r="D241" s="68" t="n">
        <f aca="false">Motore_Operativo!D241</f>
        <v>2031</v>
      </c>
      <c r="E241" s="68" t="n">
        <f aca="false">Motore_Operativo!E241</f>
        <v>9</v>
      </c>
      <c r="F241" s="15" t="n">
        <f aca="false">Motore_Operativo!AQ241+Motore_Operativo!BF241</f>
        <v>109872.368177919</v>
      </c>
      <c r="G241" s="15" t="n">
        <f aca="false">Motore_Operativo!BH241</f>
        <v>5739.9375</v>
      </c>
      <c r="H241" s="15" t="n">
        <f aca="false">Motore_Operativo!BI241</f>
        <v>115612.305677919</v>
      </c>
      <c r="I241" s="15" t="n">
        <f aca="false">Motore_Operativo!CA241</f>
        <v>191495.091324075</v>
      </c>
      <c r="J241" s="15" t="n">
        <f aca="false">Motore_Operativo!CC241</f>
        <v>-75882.7856461562</v>
      </c>
      <c r="K241" s="15" t="n">
        <f aca="false">Motore_Operativo!CE241</f>
        <v>4166.66666666667</v>
      </c>
      <c r="L241" s="15" t="n">
        <f aca="false">SUM(INDEX($K$185:$K$244,MAX(1,57-Parametri_v3!$C$59+1)):K241)/Parametri_v3!$C$59</f>
        <v>3159.72222222222</v>
      </c>
      <c r="M241" s="15" t="n">
        <f aca="false">J241-L241</f>
        <v>-79042.5078683785</v>
      </c>
      <c r="N241" s="15" t="n">
        <f aca="false">CD241-(CD240)</f>
        <v>0</v>
      </c>
      <c r="O241" s="15" t="n">
        <f aca="false">(BG240)*Ipotesi!$C$110/12+CH241*Parametri_v3!$C$39/12</f>
        <v>750</v>
      </c>
      <c r="P241" s="15" t="n">
        <f aca="false">M241+N241-O241</f>
        <v>-79792.5078683785</v>
      </c>
      <c r="Q241" s="15" t="n">
        <f aca="false">SUM(P233:P241)+Parametri_v3!$C$54*9/12</f>
        <v>-789355.07674986</v>
      </c>
      <c r="R241" s="15" t="n">
        <f aca="false">Z232</f>
        <v>1696169.7446533</v>
      </c>
      <c r="S241" s="15" t="n">
        <f aca="false">AA232</f>
        <v>997481.794643364</v>
      </c>
      <c r="T241" s="15" t="n">
        <f aca="false">MIN(R241,MAX(0,Q241))</f>
        <v>0</v>
      </c>
      <c r="U241" s="15" t="n">
        <f aca="false">MIN(S241,MAX(0,Q241-T241)*Parametri_v3!$C$42)</f>
        <v>0</v>
      </c>
      <c r="V241" s="15" t="n">
        <f aca="false">MAX(0,Q241-T241-U241)*Ipotesi!$C$92</f>
        <v>0</v>
      </c>
      <c r="W241" s="15" t="n">
        <f aca="false">MAX(0,SUM(M233:M241)+Parametri_v3!$C$55*9/12)*Ipotesi!$C$93</f>
        <v>0</v>
      </c>
      <c r="X241" s="15" t="n">
        <f aca="false">V241+W241-(V240+W240)</f>
        <v>0</v>
      </c>
      <c r="Y241" s="15" t="n">
        <f aca="false">P241-X241</f>
        <v>-79792.5078683785</v>
      </c>
      <c r="Z241" s="15" t="n">
        <f aca="false">R241-T241+IF(AND(Parametri_v3!$C$40=1,D241-YEAR(Parametri_v3!$C$50)&lt;Parametri_v3!$C$41),MAX(0,-Q241),0)</f>
        <v>1696169.7446533</v>
      </c>
      <c r="AA241" s="15" t="n">
        <f aca="false">S241-U241+IF(AND(Parametri_v3!$C$40=1,D241-YEAR(Parametri_v3!$C$50)&lt;Parametri_v3!$C$41),0,MAX(0,-Q241))</f>
        <v>1786836.87139322</v>
      </c>
      <c r="AB241" s="15" t="n">
        <f aca="false">F241*(1+Parametri_v3!$C$26)</f>
        <v>134044.289177061</v>
      </c>
      <c r="AC241" s="15" t="n">
        <f aca="false">(IF(57-(INT((Motore_Operativo!L241)/30))&lt;1,0,INDEX(Motore_Startup!$AB$185:$AB$244,MAX(1,57-(INT((Motore_Operativo!L241)/30)))))*(1-(MOD((Motore_Operativo!L241),30)/30))+IF(57-(INT((Motore_Operativo!L241)/30))-1&lt;1,0,INDEX(Motore_Startup!$AB$185:$AB$244,MAX(1,57-(INT((Motore_Operativo!L241)/30))-1)))*(MOD((Motore_Operativo!L241),30)/30))</f>
        <v>122193.281175396</v>
      </c>
      <c r="AD241" s="15" t="n">
        <f aca="false">(AD240)+AB241-AC241</f>
        <v>518530.707314339</v>
      </c>
      <c r="AE241" s="15" t="n">
        <f aca="false">Motore_Operativo!BH241*(1+Parametri_v3!$C$26)</f>
        <v>7002.72375</v>
      </c>
      <c r="AF241" s="15" t="n">
        <f aca="false">(IF(57-(INT((Parametri_v3!$C$29)/30))&lt;1,0,INDEX(Motore_Operativo!$BH$185:$BH$244,MAX(1,57-(INT((Parametri_v3!$C$29)/30)))))*(1-(MOD((Parametri_v3!$C$29),30)/30))+IF(57-(INT((Parametri_v3!$C$29)/30))-1&lt;1,0,INDEX(Motore_Operativo!$BH$185:$BH$244,MAX(1,57-(INT((Parametri_v3!$C$29)/30))-1)))*(MOD((Parametri_v3!$C$29),30)/30))*(1+Parametri_v3!$C$26)</f>
        <v>7002.72375</v>
      </c>
      <c r="AG241" s="15" t="n">
        <f aca="false">(AG240)+AE241-AF241</f>
        <v>7002.72375</v>
      </c>
      <c r="AH241" s="15" t="n">
        <f aca="false">(Motore_Operativo!CJ241)*(1+Parametri_v3!$C$27*Parametri_v3!$C$26)</f>
        <v>85485.0846848483</v>
      </c>
      <c r="AI241" s="15" t="n">
        <f aca="false">(IF(57-(INT((Ipotesi!$C$91)/30))&lt;1,0,INDEX(Motore_Startup!$AH$185:$AH$244,MAX(1,57-(INT((Ipotesi!$C$91)/30)))))*(1-(MOD((Ipotesi!$C$91),30)/30))+IF(57-(INT((Ipotesi!$C$91)/30))-1&lt;1,0,INDEX(Motore_Startup!$AH$185:$AH$244,MAX(1,57-(INT((Ipotesi!$C$91)/30))-1)))*(MOD((Ipotesi!$C$91),30)/30))</f>
        <v>84685.0397943046</v>
      </c>
      <c r="AJ241" s="15" t="n">
        <f aca="false">(AJ240)+AH241-AI241</f>
        <v>170571.903020273</v>
      </c>
      <c r="AK241" s="15" t="n">
        <f aca="false">(F241+ Motore_Operativo!BH241-(Motore_Operativo!CJ241)*Parametri_v3!$C$27-Motore_Operativo!CE241)*Parametri_v3!$C$26</f>
        <v>11050.7189008693</v>
      </c>
      <c r="AL241" s="15" t="n">
        <f aca="false">MAX(0,(AM240))</f>
        <v>10586.2106336573</v>
      </c>
      <c r="AM241" s="15" t="n">
        <f aca="false">(AM240)+AK241-AL241</f>
        <v>11050.7189008693</v>
      </c>
      <c r="AN241" s="15" t="n">
        <f aca="false">SUM(X221:X232)</f>
        <v>0</v>
      </c>
      <c r="AO241" s="15" t="n">
        <f aca="false">SUM(AP221:AP232)</f>
        <v>0</v>
      </c>
      <c r="AP241" s="15" t="n">
        <f aca="false">MAX(0,AN241)*IF(9=Parametri_v3!$C$43,Parametri_v3!$C$45,IF(9=Parametri_v3!$C$44,1-Parametri_v3!$C$45,0))</f>
        <v>0</v>
      </c>
      <c r="AQ241" s="15" t="n">
        <f aca="false">MAX(0,AP241+IF(9=Parametri_v3!$C$43,MAX(0,AN241-AO241),0)-MAX(0,-(AR240)))</f>
        <v>0</v>
      </c>
      <c r="AR241" s="15" t="n">
        <f aca="false">(AR240)+X241-AQ241</f>
        <v>0</v>
      </c>
      <c r="AS241" s="15" t="n">
        <f aca="false">Motore_Operativo!AB241-AT241+AU241</f>
        <v>113503.461904792</v>
      </c>
      <c r="AT241" s="15" t="n">
        <f aca="false">Motore_Operativo!CH241</f>
        <v>5973.86641604167</v>
      </c>
      <c r="AU241" s="15" t="n">
        <f aca="false">MIN(MAX(0,(AV240)+AT241),Parametri_v3!$C$60/12)</f>
        <v>0</v>
      </c>
      <c r="AV241" s="15" t="n">
        <f aca="false">(AV240)+AT241-AU241</f>
        <v>190820.348119375</v>
      </c>
      <c r="AW241" s="15" t="n">
        <f aca="false">IF(AND(Motore_Operativo!C241=Finanziamenti!$D$6,Finanziamenti!$F$6=1),Finanziamenti!$C$6,0)</f>
        <v>0</v>
      </c>
      <c r="AX241" s="15" t="n">
        <f aca="false">IF(AND(4&lt;&gt;7,4&lt;&gt;9,Finanziamenti!$F$8=1,OR(Parametri_v3!$C$6=0,Finanziamenti!$E$8=1),Motore_Operativo!C241=EDATE(Finanziamenti!$D$8,Ipotesi!F15*12)),Finanziamenti!$C$8*1,0)+IF(AND(4&lt;&gt;7,4&lt;&gt;9,Finanziamenti!$F$9=1,OR(Parametri_v3!$C$6=0,Finanziamenti!$E$9=1),Motore_Operativo!C241=EDATE(Finanziamenti!$D$9,Ipotesi!F15*12)),Finanziamenti!$C$9*Ipotesi!F16,0)</f>
        <v>0</v>
      </c>
      <c r="AY241" s="15" t="n">
        <f aca="false">0</f>
        <v>0</v>
      </c>
      <c r="AZ241" s="15" t="n">
        <f aca="false">Motore_Advisory!AY241*(1-Ipotesi!$C$95)*Ipotesi!$C$96</f>
        <v>0</v>
      </c>
      <c r="BA241" s="15" t="n">
        <f aca="false">MAX(0,MIN(CG241*MIN(1,IF(Motore_Operativo!C241&gt;=EDATE(Finanziamenti!$D$15,Ipotesi!F14*12),Finanziamenti!$C$15,0)+IF(Motore_Operativo!C241&gt;=EDATE(Finanziamenti!$D$16,Ipotesi!F14*12),Finanziamenti!$C$16,0)+IF(Motore_Operativo!C241&gt;=EDATE(Finanziamenti!$D$17,Ipotesi!F14*12),Finanziamenti!$C$17,0)),CA241*Ipotesi!$C$102)-(CC240))</f>
        <v>0</v>
      </c>
      <c r="BB241" s="15" t="n">
        <f aca="false">IF(AND(CF241&gt;0,Motore_Operativo!C241&gt;=IF(CF241=0,0,EDATE(CF241,Parametri_v3!$C$37)),MOD(((D241-YEAR(IF(CF241=0,0,EDATE(CF241,Parametri_v3!$C$37))))*12+E241-MONTH(IF(CF241=0,0,EDATE(CF241,Parametri_v3!$C$37)))),Parametri_v3!$C$38)=0),MIN(MAX(0,(BC240)+BA241-N241),(CC241-CD241)/(Ipotesi!$C$108*12/Parametri_v3!$C$38)),0)</f>
        <v>0</v>
      </c>
      <c r="BC241" s="15" t="n">
        <f aca="false">(BC240)+BA241-N241-BB241</f>
        <v>256727.25678412</v>
      </c>
      <c r="BD241" s="15" t="n">
        <f aca="false">(BH240)+AC241+AF241-AI241-AS241-K241*(1+Parametri_v3!$C$26)-AL241-AQ241-O241+AW241+AX241+AZ241+BA241-BB241</f>
        <v>-2861696.20917512</v>
      </c>
      <c r="BE241" s="15" t="n">
        <f aca="false">MAX(0,MIN(MAX(0,CH241-(BG240)),Parametri_v3!$C$30-BD241))</f>
        <v>0</v>
      </c>
      <c r="BF241" s="15" t="n">
        <f aca="false">IF(Motore_Operativo!C241&gt;=Parametri_v3!$C$63,(BG240),MIN((BG240),MAX(0,BD241-Parametri_v3!$C$30)))</f>
        <v>0</v>
      </c>
      <c r="BG241" s="15" t="n">
        <f aca="false">(BG240)+BE241-BF241</f>
        <v>150000</v>
      </c>
      <c r="BH241" s="15" t="n">
        <f aca="false">BD241+BE241-BF241-AY241</f>
        <v>-2861696.20917512</v>
      </c>
      <c r="BI241" s="15" t="n">
        <f aca="false">MAX(0,Parametri_v3!$C$30-BH241)</f>
        <v>2886696.20917512</v>
      </c>
      <c r="BJ241" s="15" t="n">
        <f aca="false">(BJ240)+K241</f>
        <v>152500</v>
      </c>
      <c r="BK241" s="15" t="n">
        <f aca="false">(BK240)+L241</f>
        <v>90173.6111111111</v>
      </c>
      <c r="BL241" s="15" t="n">
        <f aca="false">BJ241-BK241</f>
        <v>62326.3888888888</v>
      </c>
      <c r="BM241" s="15" t="n">
        <f aca="false">(BM240)+Y241</f>
        <v>-3483006.61604653</v>
      </c>
      <c r="BN241" s="15" t="n">
        <f aca="false">(BN240)+AW241+AX241+AZ241</f>
        <v>430000</v>
      </c>
      <c r="BO241" s="15" t="n">
        <f aca="false">(BO240)+AY241</f>
        <v>0</v>
      </c>
      <c r="BP241" s="15" t="n">
        <f aca="false">0</f>
        <v>0</v>
      </c>
      <c r="BQ241" s="15" t="n">
        <f aca="false">BN241+BM241-BO241</f>
        <v>-3053006.61604653</v>
      </c>
      <c r="BR241" s="15" t="n">
        <f aca="false">BH241+AD241+BL241+MAX(0,-AM241)+MAX(0,-AR241)+AG241</f>
        <v>-2273836.38922189</v>
      </c>
      <c r="BS241" s="15" t="n">
        <f aca="false">AJ241+AV241+MAX(0,AM241)+MAX(0,AR241)+BC241+BG241+BQ241</f>
        <v>-2273836.38922189</v>
      </c>
      <c r="BT241" s="15" t="n">
        <f aca="false">BR241-BS241</f>
        <v>0</v>
      </c>
      <c r="BU241" s="15" t="n">
        <f aca="false">BH241-(BD241+BE241-BF241-AY241)</f>
        <v>0</v>
      </c>
      <c r="BV241" s="15" t="n">
        <f aca="false">MIN(Piano_SS!$C$6,(BV240)+IF(AND(Motore_Operativo!C241&gt;=EDATE(Parametri_v3!$C$24,Ipotesi!F14*12),Motore_Operativo!C241&lt;EDATE(Parametri_v3!$C$24,Parametri_v3!$C$25+Ipotesi!F14*12)),MAX(0,(Motore_Operativo!Y241+Motore_Operativo!X241*Parametri_v3!$C$14)*(1-Parametri_v3!$C$32))*Piano_SS!$D$6,0))</f>
        <v>300000</v>
      </c>
      <c r="BW241" s="15" t="n">
        <f aca="false">MIN(Piano_SS!$C$7,(BW240)+IF(AND(Motore_Operativo!C241&gt;=EDATE(Parametri_v3!$C$24,Ipotesi!F14*12),Motore_Operativo!C241&lt;EDATE(Parametri_v3!$C$24,Parametri_v3!$C$25+Ipotesi!F14*12)),MAX(0,(IF(57-(INT((Ipotesi!$C$91)/30))&lt;1,0,INDEX(Motore_Operativo!$BN$185:$BN$244,MAX(1,57-(INT((Ipotesi!$C$91)/30)))))*(1-(MOD((Ipotesi!$C$91),30)/30))+IF(57-(INT((Ipotesi!$C$91)/30))-1&lt;1,0,INDEX(Motore_Operativo!$BN$185:$BN$244,MAX(1,57-(INT((Ipotesi!$C$91)/30))-1)))*(MOD((Ipotesi!$C$91),30)/30)))*Piano_SS!$D$7,0))</f>
        <v>49712.8886919552</v>
      </c>
      <c r="BX241" s="15" t="n">
        <f aca="false">MIN(Piano_SS!$C$8,(BX240)+IF(AND(Motore_Operativo!C241&gt;=EDATE(Parametri_v3!$C$24,Ipotesi!F14*12),Motore_Operativo!C241&lt;EDATE(Parametri_v3!$C$24,Parametri_v3!$C$25+Ipotesi!F14*12)),MAX(0,Motore_Operativo!CE241)*Piano_SS!$D$8,0))</f>
        <v>50000</v>
      </c>
      <c r="BY241" s="15" t="n">
        <f aca="false">MIN(Piano_SS!$C$9,(BY240)+IF(AND(Motore_Operativo!C241&gt;=EDATE(Parametri_v3!$C$24,Ipotesi!F14*12),Motore_Operativo!C241&lt;EDATE(Parametri_v3!$C$24,Parametri_v3!$C$25+Ipotesi!F14*12)),MAX(0,((IF(57-(INT((Ipotesi!$C$91)/30))&lt;1,0,INDEX(Motore_Operativo!$BQ$185:$BQ$244,MAX(1,57-(INT((Ipotesi!$C$91)/30)))))*(1-(MOD((Ipotesi!$C$91),30)/30))+IF(57-(INT((Ipotesi!$C$91)/30))-1&lt;1,0,INDEX(Motore_Operativo!$BQ$185:$BQ$244,MAX(1,57-(INT((Ipotesi!$C$91)/30))-1)))*(MOD((Ipotesi!$C$91),30)/30))+(IF(57-(INT((Ipotesi!$C$91)/30))&lt;1,0,INDEX(Motore_Operativo!$BR$185:$BR$244,MAX(1,57-(INT((Ipotesi!$C$91)/30)))))*(1-(MOD((Ipotesi!$C$91),30)/30))+IF(57-(INT((Ipotesi!$C$91)/30))-1&lt;1,0,INDEX(Motore_Operativo!$BR$185:$BR$244,MAX(1,57-(INT((Ipotesi!$C$91)/30))-1)))*(MOD((Ipotesi!$C$91),30)/30))))*Piano_SS!$D$9,0))</f>
        <v>40000</v>
      </c>
      <c r="BZ241" s="15" t="n">
        <f aca="false">MIN(Piano_SS!$C$10,(BZ240)+IF(AND(Motore_Operativo!C241&gt;=EDATE(Parametri_v3!$C$24,Ipotesi!F14*12),Motore_Operativo!C241&lt;EDATE(Parametri_v3!$C$24,Parametri_v3!$C$25+Ipotesi!F14*12)),MAX(0,(IF(57-(INT((Ipotesi!$C$91)/30))&lt;1,0,INDEX(Motore_Operativo!$BO$185:$BO$244,MAX(1,57-(INT((Ipotesi!$C$91)/30)))))*(1-(MOD((Ipotesi!$C$91),30)/30))+IF(57-(INT((Ipotesi!$C$91)/30))-1&lt;1,0,INDEX(Motore_Operativo!$BO$185:$BO$244,MAX(1,57-(INT((Ipotesi!$C$91)/30))-1)))*(MOD((Ipotesi!$C$91),30)/30)))*Piano_SS!$D$10,0))</f>
        <v>30000</v>
      </c>
      <c r="CA241" s="15" t="n">
        <f aca="false">SUM(BV241:BZ241)</f>
        <v>469712.888691955</v>
      </c>
      <c r="CB241" s="15" t="n">
        <f aca="false">BV241*(1-Piano_SS!$E$6)+BW241*(1-Piano_SS!$E$7)+BX241*(1-Piano_SS!$E$8)+BY241*(1-Piano_SS!$E$9)+BZ241*(1-Piano_SS!$E$10)</f>
        <v>439712.888691955</v>
      </c>
      <c r="CC241" s="15" t="n">
        <f aca="false">(CC240)+BA241</f>
        <v>375770.310953564</v>
      </c>
      <c r="CD241" s="15" t="n">
        <f aca="false">IF(CA241=0,0,CC241*CB241/CA241*Ipotesi!$C$103*Parametri_v3!$C$64)</f>
        <v>105531.093286069</v>
      </c>
      <c r="CE241" s="18" t="n">
        <f aca="false">IF(BA241&gt;0,Motore_Operativo!C241,(CE240))</f>
        <v>47635</v>
      </c>
      <c r="CF241" s="18" t="n">
        <f aca="false">IF(AND(CC241&gt;0,OR(CC241&gt;=CG241-0.01,Motore_Operativo!C241&gt;=EDATE(MAX(Finanziamenti!$D$15:$D$17),Ipotesi!F14*12))),CE241,0)</f>
        <v>47635</v>
      </c>
      <c r="CG241" s="15" t="n">
        <f aca="false">IF(AND(4&lt;&gt;6,4&lt;&gt;9,Finanziamenti!$F$11=1,OR(Parametri_v3!$C$6=0,Finanziamenti!$E$11=1)),MIN(Finanziamenti!$C$11,Piano_SS!$C$12*Ipotesi!$C$102),0)</f>
        <v>400000</v>
      </c>
      <c r="CH241" s="15" t="n">
        <f aca="false">IF(AND(AND(4&lt;&gt;8,4&lt;&gt;9,Finanziamenti!$F$10=1,OR(Parametri_v3!$C$6=0,Finanziamenti!$E$10=1)),Motore_Operativo!C241&gt;=Finanziamenti!$D$10,Motore_Operativo!C241&lt;Parametri_v3!$C$63),Finanziamenti!$C$10,0)</f>
        <v>150000</v>
      </c>
    </row>
    <row r="242" customFormat="false" ht="18" hidden="false" customHeight="true" outlineLevel="0" collapsed="false">
      <c r="A242" s="68" t="n">
        <f aca="false">4</f>
        <v>4</v>
      </c>
      <c r="B242" s="68" t="n">
        <f aca="false">58</f>
        <v>58</v>
      </c>
      <c r="C242" s="18" t="n">
        <f aca="false">Motore_Operativo!C242</f>
        <v>48122</v>
      </c>
      <c r="D242" s="68" t="n">
        <f aca="false">Motore_Operativo!D242</f>
        <v>2031</v>
      </c>
      <c r="E242" s="68" t="n">
        <f aca="false">Motore_Operativo!E242</f>
        <v>10</v>
      </c>
      <c r="F242" s="15" t="n">
        <f aca="false">Motore_Operativo!AQ242+Motore_Operativo!BF242</f>
        <v>112248.014224018</v>
      </c>
      <c r="G242" s="15" t="n">
        <f aca="false">Motore_Operativo!BH242</f>
        <v>5739.9375</v>
      </c>
      <c r="H242" s="15" t="n">
        <f aca="false">Motore_Operativo!BI242</f>
        <v>117987.951724018</v>
      </c>
      <c r="I242" s="15" t="n">
        <f aca="false">Motore_Operativo!CA242</f>
        <v>191827.681770529</v>
      </c>
      <c r="J242" s="15" t="n">
        <f aca="false">Motore_Operativo!CC242</f>
        <v>-73839.7300465117</v>
      </c>
      <c r="K242" s="15" t="n">
        <f aca="false">Motore_Operativo!CE242</f>
        <v>4166.66666666667</v>
      </c>
      <c r="L242" s="15" t="n">
        <f aca="false">SUM(INDEX($K$185:$K$244,MAX(1,58-Parametri_v3!$C$59+1)):K242)/Parametri_v3!$C$59</f>
        <v>3217.59259259259</v>
      </c>
      <c r="M242" s="15" t="n">
        <f aca="false">J242-L242</f>
        <v>-77057.3226391043</v>
      </c>
      <c r="N242" s="15" t="n">
        <f aca="false">CD242-(CD241)</f>
        <v>0</v>
      </c>
      <c r="O242" s="15" t="n">
        <f aca="false">(BG241)*Ipotesi!$C$110/12+CH242*Parametri_v3!$C$39/12</f>
        <v>750</v>
      </c>
      <c r="P242" s="15" t="n">
        <f aca="false">M242+N242-O242</f>
        <v>-77807.3226391043</v>
      </c>
      <c r="Q242" s="15" t="n">
        <f aca="false">SUM(P233:P242)+Parametri_v3!$C$54*10/12</f>
        <v>-867162.399388964</v>
      </c>
      <c r="R242" s="15" t="n">
        <f aca="false">Z232</f>
        <v>1696169.7446533</v>
      </c>
      <c r="S242" s="15" t="n">
        <f aca="false">AA232</f>
        <v>997481.794643364</v>
      </c>
      <c r="T242" s="15" t="n">
        <f aca="false">MIN(R242,MAX(0,Q242))</f>
        <v>0</v>
      </c>
      <c r="U242" s="15" t="n">
        <f aca="false">MIN(S242,MAX(0,Q242-T242)*Parametri_v3!$C$42)</f>
        <v>0</v>
      </c>
      <c r="V242" s="15" t="n">
        <f aca="false">MAX(0,Q242-T242-U242)*Ipotesi!$C$92</f>
        <v>0</v>
      </c>
      <c r="W242" s="15" t="n">
        <f aca="false">MAX(0,SUM(M233:M242)+Parametri_v3!$C$55*10/12)*Ipotesi!$C$93</f>
        <v>0</v>
      </c>
      <c r="X242" s="15" t="n">
        <f aca="false">V242+W242-(V241+W241)</f>
        <v>0</v>
      </c>
      <c r="Y242" s="15" t="n">
        <f aca="false">P242-X242</f>
        <v>-77807.3226391043</v>
      </c>
      <c r="Z242" s="15" t="n">
        <f aca="false">R242-T242+IF(AND(Parametri_v3!$C$40=1,D242-YEAR(Parametri_v3!$C$50)&lt;Parametri_v3!$C$41),MAX(0,-Q242),0)</f>
        <v>1696169.7446533</v>
      </c>
      <c r="AA242" s="15" t="n">
        <f aca="false">S242-U242+IF(AND(Parametri_v3!$C$40=1,D242-YEAR(Parametri_v3!$C$50)&lt;Parametri_v3!$C$41),0,MAX(0,-Q242))</f>
        <v>1864644.19403233</v>
      </c>
      <c r="AB242" s="15" t="n">
        <f aca="false">F242*(1+Parametri_v3!$C$26)</f>
        <v>136942.577353301</v>
      </c>
      <c r="AC242" s="15" t="n">
        <f aca="false">(IF(58-(INT((Motore_Operativo!L242)/30))&lt;1,0,INDEX(Motore_Startup!$AB$185:$AB$244,MAX(1,58-(INT((Motore_Operativo!L242)/30)))))*(1-(MOD((Motore_Operativo!L242),30)/30))+IF(58-(INT((Motore_Operativo!L242)/30))-1&lt;1,0,INDEX(Motore_Startup!$AB$185:$AB$244,MAX(1,58-(INT((Motore_Operativo!L242)/30))-1)))*(MOD((Motore_Operativo!L242),30)/30))</f>
        <v>125195.166253008</v>
      </c>
      <c r="AD242" s="15" t="n">
        <f aca="false">(AD241)+AB242-AC242</f>
        <v>530278.118414632</v>
      </c>
      <c r="AE242" s="15" t="n">
        <f aca="false">Motore_Operativo!BH242*(1+Parametri_v3!$C$26)</f>
        <v>7002.72375</v>
      </c>
      <c r="AF242" s="15" t="n">
        <f aca="false">(IF(58-(INT((Parametri_v3!$C$29)/30))&lt;1,0,INDEX(Motore_Operativo!$BH$185:$BH$244,MAX(1,58-(INT((Parametri_v3!$C$29)/30)))))*(1-(MOD((Parametri_v3!$C$29),30)/30))+IF(58-(INT((Parametri_v3!$C$29)/30))-1&lt;1,0,INDEX(Motore_Operativo!$BH$185:$BH$244,MAX(1,58-(INT((Parametri_v3!$C$29)/30))-1)))*(MOD((Parametri_v3!$C$29),30)/30))*(1+Parametri_v3!$C$26)</f>
        <v>7002.72375</v>
      </c>
      <c r="AG242" s="15" t="n">
        <f aca="false">(AG241)+AE242-AF242</f>
        <v>7002.72375</v>
      </c>
      <c r="AH242" s="15" t="n">
        <f aca="false">(Motore_Operativo!CJ242)*(1+Parametri_v3!$C$27*Parametri_v3!$C$26)</f>
        <v>85879.8695447889</v>
      </c>
      <c r="AI242" s="15" t="n">
        <f aca="false">(IF(58-(INT((Ipotesi!$C$91)/30))&lt;1,0,INDEX(Motore_Startup!$AH$185:$AH$244,MAX(1,58-(INT((Ipotesi!$C$91)/30)))))*(1-(MOD((Ipotesi!$C$91),30)/30))+IF(58-(INT((Ipotesi!$C$91)/30))-1&lt;1,0,INDEX(Motore_Startup!$AH$185:$AH$244,MAX(1,58-(INT((Ipotesi!$C$91)/30))-1)))*(MOD((Ipotesi!$C$91),30)/30))</f>
        <v>85086.8183354246</v>
      </c>
      <c r="AJ242" s="15" t="n">
        <f aca="false">(AJ241)+AH242-AI242</f>
        <v>171364.954229637</v>
      </c>
      <c r="AK242" s="15" t="n">
        <f aca="false">(F242+ Motore_Operativo!BH242-(Motore_Operativo!CJ242)*Parametri_v3!$C$27-Motore_Operativo!CE242)*Parametri_v3!$C$26</f>
        <v>11511.1666175241</v>
      </c>
      <c r="AL242" s="15" t="n">
        <f aca="false">MAX(0,(AM241))</f>
        <v>11050.7189008693</v>
      </c>
      <c r="AM242" s="15" t="n">
        <f aca="false">(AM241)+AK242-AL242</f>
        <v>11511.1666175241</v>
      </c>
      <c r="AN242" s="15" t="n">
        <f aca="false">SUM(X221:X232)</f>
        <v>0</v>
      </c>
      <c r="AO242" s="15" t="n">
        <f aca="false">SUM(AP221:AP232)</f>
        <v>0</v>
      </c>
      <c r="AP242" s="15" t="n">
        <f aca="false">MAX(0,AN242)*IF(10=Parametri_v3!$C$43,Parametri_v3!$C$45,IF(10=Parametri_v3!$C$44,1-Parametri_v3!$C$45,0))</f>
        <v>0</v>
      </c>
      <c r="AQ242" s="15" t="n">
        <f aca="false">MAX(0,AP242+IF(10=Parametri_v3!$C$43,MAX(0,AN242-AO242),0)-MAX(0,-(AR241)))</f>
        <v>0</v>
      </c>
      <c r="AR242" s="15" t="n">
        <f aca="false">(AR241)+X242-AQ242</f>
        <v>0</v>
      </c>
      <c r="AS242" s="15" t="n">
        <f aca="false">Motore_Operativo!AB242-AT242+AU242</f>
        <v>113503.461904792</v>
      </c>
      <c r="AT242" s="15" t="n">
        <f aca="false">Motore_Operativo!CH242</f>
        <v>5973.86641604167</v>
      </c>
      <c r="AU242" s="15" t="n">
        <f aca="false">MIN(MAX(0,(AV241)+AT242),Parametri_v3!$C$60/12)</f>
        <v>0</v>
      </c>
      <c r="AV242" s="15" t="n">
        <f aca="false">(AV241)+AT242-AU242</f>
        <v>196794.214535417</v>
      </c>
      <c r="AW242" s="15" t="n">
        <f aca="false">IF(AND(Motore_Operativo!C242=Finanziamenti!$D$6,Finanziamenti!$F$6=1),Finanziamenti!$C$6,0)</f>
        <v>0</v>
      </c>
      <c r="AX242" s="15" t="n">
        <f aca="false">IF(AND(4&lt;&gt;7,4&lt;&gt;9,Finanziamenti!$F$8=1,OR(Parametri_v3!$C$6=0,Finanziamenti!$E$8=1),Motore_Operativo!C242=EDATE(Finanziamenti!$D$8,Ipotesi!F15*12)),Finanziamenti!$C$8*1,0)+IF(AND(4&lt;&gt;7,4&lt;&gt;9,Finanziamenti!$F$9=1,OR(Parametri_v3!$C$6=0,Finanziamenti!$E$9=1),Motore_Operativo!C242=EDATE(Finanziamenti!$D$9,Ipotesi!F15*12)),Finanziamenti!$C$9*Ipotesi!F16,0)</f>
        <v>0</v>
      </c>
      <c r="AY242" s="15" t="n">
        <f aca="false">0</f>
        <v>0</v>
      </c>
      <c r="AZ242" s="15" t="n">
        <f aca="false">Motore_Advisory!AY242*(1-Ipotesi!$C$95)*Ipotesi!$C$96</f>
        <v>0</v>
      </c>
      <c r="BA242" s="15" t="n">
        <f aca="false">MAX(0,MIN(CG242*MIN(1,IF(Motore_Operativo!C242&gt;=EDATE(Finanziamenti!$D$15,Ipotesi!F14*12),Finanziamenti!$C$15,0)+IF(Motore_Operativo!C242&gt;=EDATE(Finanziamenti!$D$16,Ipotesi!F14*12),Finanziamenti!$C$16,0)+IF(Motore_Operativo!C242&gt;=EDATE(Finanziamenti!$D$17,Ipotesi!F14*12),Finanziamenti!$C$17,0)),CA242*Ipotesi!$C$102)-(CC241))</f>
        <v>0</v>
      </c>
      <c r="BB242" s="15" t="n">
        <f aca="false">IF(AND(CF242&gt;0,Motore_Operativo!C242&gt;=IF(CF242=0,0,EDATE(CF242,Parametri_v3!$C$37)),MOD(((D242-YEAR(IF(CF242=0,0,EDATE(CF242,Parametri_v3!$C$37))))*12+E242-MONTH(IF(CF242=0,0,EDATE(CF242,Parametri_v3!$C$37)))),Parametri_v3!$C$38)=0),MIN(MAX(0,(BC241)+BA242-N242),(CC242-CD242)/(Ipotesi!$C$108*12/Parametri_v3!$C$38)),0)</f>
        <v>0</v>
      </c>
      <c r="BC242" s="15" t="n">
        <f aca="false">(BC241)+BA242-N242-BB242</f>
        <v>256727.25678412</v>
      </c>
      <c r="BD242" s="15" t="n">
        <f aca="false">(BH241)+AC242+AF242-AI242-AS242-K242*(1+Parametri_v3!$C$26)-AL242-AQ242-O242+AW242+AX242+AZ242+BA242-BB242</f>
        <v>-2944972.65164653</v>
      </c>
      <c r="BE242" s="15" t="n">
        <f aca="false">MAX(0,MIN(MAX(0,CH242-(BG241)),Parametri_v3!$C$30-BD242))</f>
        <v>0</v>
      </c>
      <c r="BF242" s="15" t="n">
        <f aca="false">IF(Motore_Operativo!C242&gt;=Parametri_v3!$C$63,(BG241),MIN((BG241),MAX(0,BD242-Parametri_v3!$C$30)))</f>
        <v>0</v>
      </c>
      <c r="BG242" s="15" t="n">
        <f aca="false">(BG241)+BE242-BF242</f>
        <v>150000</v>
      </c>
      <c r="BH242" s="15" t="n">
        <f aca="false">BD242+BE242-BF242-AY242</f>
        <v>-2944972.65164653</v>
      </c>
      <c r="BI242" s="15" t="n">
        <f aca="false">MAX(0,Parametri_v3!$C$30-BH242)</f>
        <v>2969972.65164653</v>
      </c>
      <c r="BJ242" s="15" t="n">
        <f aca="false">(BJ241)+K242</f>
        <v>156666.666666667</v>
      </c>
      <c r="BK242" s="15" t="n">
        <f aca="false">(BK241)+L242</f>
        <v>93391.2037037037</v>
      </c>
      <c r="BL242" s="15" t="n">
        <f aca="false">BJ242-BK242</f>
        <v>63275.4629629629</v>
      </c>
      <c r="BM242" s="15" t="n">
        <f aca="false">(BM241)+Y242</f>
        <v>-3560813.93868563</v>
      </c>
      <c r="BN242" s="15" t="n">
        <f aca="false">(BN241)+AW242+AX242+AZ242</f>
        <v>430000</v>
      </c>
      <c r="BO242" s="15" t="n">
        <f aca="false">(BO241)+AY242</f>
        <v>0</v>
      </c>
      <c r="BP242" s="15" t="n">
        <f aca="false">0</f>
        <v>0</v>
      </c>
      <c r="BQ242" s="15" t="n">
        <f aca="false">BN242+BM242-BO242</f>
        <v>-3130813.93868563</v>
      </c>
      <c r="BR242" s="15" t="n">
        <f aca="false">BH242+AD242+BL242+MAX(0,-AM242)+MAX(0,-AR242)+AG242</f>
        <v>-2344416.34651894</v>
      </c>
      <c r="BS242" s="15" t="n">
        <f aca="false">AJ242+AV242+MAX(0,AM242)+MAX(0,AR242)+BC242+BG242+BQ242</f>
        <v>-2344416.34651894</v>
      </c>
      <c r="BT242" s="15" t="n">
        <f aca="false">BR242-BS242</f>
        <v>0</v>
      </c>
      <c r="BU242" s="15" t="n">
        <f aca="false">BH242-(BD242+BE242-BF242-AY242)</f>
        <v>0</v>
      </c>
      <c r="BV242" s="15" t="n">
        <f aca="false">MIN(Piano_SS!$C$6,(BV241)+IF(AND(Motore_Operativo!C242&gt;=EDATE(Parametri_v3!$C$24,Ipotesi!F14*12),Motore_Operativo!C242&lt;EDATE(Parametri_v3!$C$24,Parametri_v3!$C$25+Ipotesi!F14*12)),MAX(0,(Motore_Operativo!Y242+Motore_Operativo!X242*Parametri_v3!$C$14)*(1-Parametri_v3!$C$32))*Piano_SS!$D$6,0))</f>
        <v>300000</v>
      </c>
      <c r="BW242" s="15" t="n">
        <f aca="false">MIN(Piano_SS!$C$7,(BW241)+IF(AND(Motore_Operativo!C242&gt;=EDATE(Parametri_v3!$C$24,Ipotesi!F14*12),Motore_Operativo!C242&lt;EDATE(Parametri_v3!$C$24,Parametri_v3!$C$25+Ipotesi!F14*12)),MAX(0,(IF(58-(INT((Ipotesi!$C$91)/30))&lt;1,0,INDEX(Motore_Operativo!$BN$185:$BN$244,MAX(1,58-(INT((Ipotesi!$C$91)/30)))))*(1-(MOD((Ipotesi!$C$91),30)/30))+IF(58-(INT((Ipotesi!$C$91)/30))-1&lt;1,0,INDEX(Motore_Operativo!$BN$185:$BN$244,MAX(1,58-(INT((Ipotesi!$C$91)/30))-1)))*(MOD((Ipotesi!$C$91),30)/30)))*Piano_SS!$D$7,0))</f>
        <v>49712.8886919552</v>
      </c>
      <c r="BX242" s="15" t="n">
        <f aca="false">MIN(Piano_SS!$C$8,(BX241)+IF(AND(Motore_Operativo!C242&gt;=EDATE(Parametri_v3!$C$24,Ipotesi!F14*12),Motore_Operativo!C242&lt;EDATE(Parametri_v3!$C$24,Parametri_v3!$C$25+Ipotesi!F14*12)),MAX(0,Motore_Operativo!CE242)*Piano_SS!$D$8,0))</f>
        <v>50000</v>
      </c>
      <c r="BY242" s="15" t="n">
        <f aca="false">MIN(Piano_SS!$C$9,(BY241)+IF(AND(Motore_Operativo!C242&gt;=EDATE(Parametri_v3!$C$24,Ipotesi!F14*12),Motore_Operativo!C242&lt;EDATE(Parametri_v3!$C$24,Parametri_v3!$C$25+Ipotesi!F14*12)),MAX(0,((IF(58-(INT((Ipotesi!$C$91)/30))&lt;1,0,INDEX(Motore_Operativo!$BQ$185:$BQ$244,MAX(1,58-(INT((Ipotesi!$C$91)/30)))))*(1-(MOD((Ipotesi!$C$91),30)/30))+IF(58-(INT((Ipotesi!$C$91)/30))-1&lt;1,0,INDEX(Motore_Operativo!$BQ$185:$BQ$244,MAX(1,58-(INT((Ipotesi!$C$91)/30))-1)))*(MOD((Ipotesi!$C$91),30)/30))+(IF(58-(INT((Ipotesi!$C$91)/30))&lt;1,0,INDEX(Motore_Operativo!$BR$185:$BR$244,MAX(1,58-(INT((Ipotesi!$C$91)/30)))))*(1-(MOD((Ipotesi!$C$91),30)/30))+IF(58-(INT((Ipotesi!$C$91)/30))-1&lt;1,0,INDEX(Motore_Operativo!$BR$185:$BR$244,MAX(1,58-(INT((Ipotesi!$C$91)/30))-1)))*(MOD((Ipotesi!$C$91),30)/30))))*Piano_SS!$D$9,0))</f>
        <v>40000</v>
      </c>
      <c r="BZ242" s="15" t="n">
        <f aca="false">MIN(Piano_SS!$C$10,(BZ241)+IF(AND(Motore_Operativo!C242&gt;=EDATE(Parametri_v3!$C$24,Ipotesi!F14*12),Motore_Operativo!C242&lt;EDATE(Parametri_v3!$C$24,Parametri_v3!$C$25+Ipotesi!F14*12)),MAX(0,(IF(58-(INT((Ipotesi!$C$91)/30))&lt;1,0,INDEX(Motore_Operativo!$BO$185:$BO$244,MAX(1,58-(INT((Ipotesi!$C$91)/30)))))*(1-(MOD((Ipotesi!$C$91),30)/30))+IF(58-(INT((Ipotesi!$C$91)/30))-1&lt;1,0,INDEX(Motore_Operativo!$BO$185:$BO$244,MAX(1,58-(INT((Ipotesi!$C$91)/30))-1)))*(MOD((Ipotesi!$C$91),30)/30)))*Piano_SS!$D$10,0))</f>
        <v>30000</v>
      </c>
      <c r="CA242" s="15" t="n">
        <f aca="false">SUM(BV242:BZ242)</f>
        <v>469712.888691955</v>
      </c>
      <c r="CB242" s="15" t="n">
        <f aca="false">BV242*(1-Piano_SS!$E$6)+BW242*(1-Piano_SS!$E$7)+BX242*(1-Piano_SS!$E$8)+BY242*(1-Piano_SS!$E$9)+BZ242*(1-Piano_SS!$E$10)</f>
        <v>439712.888691955</v>
      </c>
      <c r="CC242" s="15" t="n">
        <f aca="false">(CC241)+BA242</f>
        <v>375770.310953564</v>
      </c>
      <c r="CD242" s="15" t="n">
        <f aca="false">IF(CA242=0,0,CC242*CB242/CA242*Ipotesi!$C$103*Parametri_v3!$C$64)</f>
        <v>105531.093286069</v>
      </c>
      <c r="CE242" s="18" t="n">
        <f aca="false">IF(BA242&gt;0,Motore_Operativo!C242,(CE241))</f>
        <v>47635</v>
      </c>
      <c r="CF242" s="18" t="n">
        <f aca="false">IF(AND(CC242&gt;0,OR(CC242&gt;=CG242-0.01,Motore_Operativo!C242&gt;=EDATE(MAX(Finanziamenti!$D$15:$D$17),Ipotesi!F14*12))),CE242,0)</f>
        <v>47635</v>
      </c>
      <c r="CG242" s="15" t="n">
        <f aca="false">IF(AND(4&lt;&gt;6,4&lt;&gt;9,Finanziamenti!$F$11=1,OR(Parametri_v3!$C$6=0,Finanziamenti!$E$11=1)),MIN(Finanziamenti!$C$11,Piano_SS!$C$12*Ipotesi!$C$102),0)</f>
        <v>400000</v>
      </c>
      <c r="CH242" s="15" t="n">
        <f aca="false">IF(AND(AND(4&lt;&gt;8,4&lt;&gt;9,Finanziamenti!$F$10=1,OR(Parametri_v3!$C$6=0,Finanziamenti!$E$10=1)),Motore_Operativo!C242&gt;=Finanziamenti!$D$10,Motore_Operativo!C242&lt;Parametri_v3!$C$63),Finanziamenti!$C$10,0)</f>
        <v>150000</v>
      </c>
    </row>
    <row r="243" customFormat="false" ht="18" hidden="false" customHeight="true" outlineLevel="0" collapsed="false">
      <c r="A243" s="68" t="n">
        <f aca="false">4</f>
        <v>4</v>
      </c>
      <c r="B243" s="68" t="n">
        <f aca="false">59</f>
        <v>59</v>
      </c>
      <c r="C243" s="18" t="n">
        <f aca="false">Motore_Operativo!C243</f>
        <v>48153</v>
      </c>
      <c r="D243" s="68" t="n">
        <f aca="false">Motore_Operativo!D243</f>
        <v>2031</v>
      </c>
      <c r="E243" s="68" t="n">
        <f aca="false">Motore_Operativo!E243</f>
        <v>11</v>
      </c>
      <c r="F243" s="15" t="n">
        <f aca="false">Motore_Operativo!AQ243+Motore_Operativo!BF243</f>
        <v>114602.893296615</v>
      </c>
      <c r="G243" s="15" t="n">
        <f aca="false">Motore_Operativo!BH243</f>
        <v>5739.9375</v>
      </c>
      <c r="H243" s="15" t="n">
        <f aca="false">Motore_Operativo!BI243</f>
        <v>120342.830796615</v>
      </c>
      <c r="I243" s="15" t="n">
        <f aca="false">Motore_Operativo!CA243</f>
        <v>192157.364840693</v>
      </c>
      <c r="J243" s="15" t="n">
        <f aca="false">Motore_Operativo!CC243</f>
        <v>-71814.5340440779</v>
      </c>
      <c r="K243" s="15" t="n">
        <f aca="false">Motore_Operativo!CE243</f>
        <v>4166.66666666667</v>
      </c>
      <c r="L243" s="15" t="n">
        <f aca="false">SUM(INDEX($K$185:$K$244,MAX(1,59-Parametri_v3!$C$59+1)):K243)/Parametri_v3!$C$59</f>
        <v>3275.46296296296</v>
      </c>
      <c r="M243" s="15" t="n">
        <f aca="false">J243-L243</f>
        <v>-75089.9970070409</v>
      </c>
      <c r="N243" s="15" t="n">
        <f aca="false">CD243-(CD242)</f>
        <v>0</v>
      </c>
      <c r="O243" s="15" t="n">
        <f aca="false">(BG242)*Ipotesi!$C$110/12+CH243*Parametri_v3!$C$39/12</f>
        <v>750</v>
      </c>
      <c r="P243" s="15" t="n">
        <f aca="false">M243+N243-O243</f>
        <v>-75839.9970070409</v>
      </c>
      <c r="Q243" s="15" t="n">
        <f aca="false">SUM(P233:P243)+Parametri_v3!$C$54*11/12</f>
        <v>-943002.396396005</v>
      </c>
      <c r="R243" s="15" t="n">
        <f aca="false">Z232</f>
        <v>1696169.7446533</v>
      </c>
      <c r="S243" s="15" t="n">
        <f aca="false">AA232</f>
        <v>997481.794643364</v>
      </c>
      <c r="T243" s="15" t="n">
        <f aca="false">MIN(R243,MAX(0,Q243))</f>
        <v>0</v>
      </c>
      <c r="U243" s="15" t="n">
        <f aca="false">MIN(S243,MAX(0,Q243-T243)*Parametri_v3!$C$42)</f>
        <v>0</v>
      </c>
      <c r="V243" s="15" t="n">
        <f aca="false">MAX(0,Q243-T243-U243)*Ipotesi!$C$92</f>
        <v>0</v>
      </c>
      <c r="W243" s="15" t="n">
        <f aca="false">MAX(0,SUM(M233:M243)+Parametri_v3!$C$55*11/12)*Ipotesi!$C$93</f>
        <v>0</v>
      </c>
      <c r="X243" s="15" t="n">
        <f aca="false">V243+W243-(V242+W242)</f>
        <v>0</v>
      </c>
      <c r="Y243" s="15" t="n">
        <f aca="false">P243-X243</f>
        <v>-75839.9970070409</v>
      </c>
      <c r="Z243" s="15" t="n">
        <f aca="false">R243-T243+IF(AND(Parametri_v3!$C$40=1,D243-YEAR(Parametri_v3!$C$50)&lt;Parametri_v3!$C$41),MAX(0,-Q243),0)</f>
        <v>1696169.7446533</v>
      </c>
      <c r="AA243" s="15" t="n">
        <f aca="false">S243-U243+IF(AND(Parametri_v3!$C$40=1,D243-YEAR(Parametri_v3!$C$50)&lt;Parametri_v3!$C$41),0,MAX(0,-Q243))</f>
        <v>1940484.19103937</v>
      </c>
      <c r="AB243" s="15" t="n">
        <f aca="false">F243*(1+Parametri_v3!$C$26)</f>
        <v>139815.52982187</v>
      </c>
      <c r="AC243" s="15" t="n">
        <f aca="false">(IF(59-(INT((Motore_Operativo!L243)/30))&lt;1,0,INDEX(Motore_Startup!$AB$185:$AB$244,MAX(1,59-(INT((Motore_Operativo!L243)/30)))))*(1-(MOD((Motore_Operativo!L243),30)/30))+IF(59-(INT((Motore_Operativo!L243)/30))-1&lt;1,0,INDEX(Motore_Startup!$AB$185:$AB$244,MAX(1,59-(INT((Motore_Operativo!L243)/30))-1)))*(MOD((Motore_Operativo!L243),30)/30))</f>
        <v>128170.81001914</v>
      </c>
      <c r="AD243" s="15" t="n">
        <f aca="false">(AD242)+AB243-AC243</f>
        <v>541922.838217362</v>
      </c>
      <c r="AE243" s="15" t="n">
        <f aca="false">Motore_Operativo!BH243*(1+Parametri_v3!$C$26)</f>
        <v>7002.72375</v>
      </c>
      <c r="AF243" s="15" t="n">
        <f aca="false">(IF(59-(INT((Parametri_v3!$C$29)/30))&lt;1,0,INDEX(Motore_Operativo!$BH$185:$BH$244,MAX(1,59-(INT((Parametri_v3!$C$29)/30)))))*(1-(MOD((Parametri_v3!$C$29),30)/30))+IF(59-(INT((Parametri_v3!$C$29)/30))-1&lt;1,0,INDEX(Motore_Operativo!$BH$185:$BH$244,MAX(1,59-(INT((Parametri_v3!$C$29)/30))-1)))*(MOD((Parametri_v3!$C$29),30)/30))*(1+Parametri_v3!$C$26)</f>
        <v>7002.72375</v>
      </c>
      <c r="AG243" s="15" t="n">
        <f aca="false">(AG242)+AE243-AF243</f>
        <v>7002.72375</v>
      </c>
      <c r="AH243" s="15" t="n">
        <f aca="false">(Motore_Operativo!CJ243)*(1+Parametri_v3!$C$27*Parametri_v3!$C$26)</f>
        <v>86271.2033490731</v>
      </c>
      <c r="AI243" s="15" t="n">
        <f aca="false">(IF(59-(INT((Ipotesi!$C$91)/30))&lt;1,0,INDEX(Motore_Startup!$AH$185:$AH$244,MAX(1,59-(INT((Ipotesi!$C$91)/30)))))*(1-(MOD((Ipotesi!$C$91),30)/30))+IF(59-(INT((Ipotesi!$C$91)/30))-1&lt;1,0,INDEX(Motore_Startup!$AH$185:$AH$244,MAX(1,59-(INT((Ipotesi!$C$91)/30))-1)))*(MOD((Ipotesi!$C$91),30)/30))</f>
        <v>85485.0846848483</v>
      </c>
      <c r="AJ243" s="15" t="n">
        <f aca="false">(AJ242)+AH243-AI243</f>
        <v>172151.072893862</v>
      </c>
      <c r="AK243" s="15" t="n">
        <f aca="false">(F243+ Motore_Operativo!BH243-(Motore_Operativo!CJ243)*Parametri_v3!$C$27-Motore_Operativo!CE243)*Parametri_v3!$C$26</f>
        <v>11967.5892793749</v>
      </c>
      <c r="AL243" s="15" t="n">
        <f aca="false">MAX(0,(AM242))</f>
        <v>11511.1666175241</v>
      </c>
      <c r="AM243" s="15" t="n">
        <f aca="false">(AM242)+AK243-AL243</f>
        <v>11967.5892793749</v>
      </c>
      <c r="AN243" s="15" t="n">
        <f aca="false">SUM(X221:X232)</f>
        <v>0</v>
      </c>
      <c r="AO243" s="15" t="n">
        <f aca="false">SUM(AP221:AP232)</f>
        <v>0</v>
      </c>
      <c r="AP243" s="15" t="n">
        <f aca="false">MAX(0,AN243)*IF(11=Parametri_v3!$C$43,Parametri_v3!$C$45,IF(11=Parametri_v3!$C$44,1-Parametri_v3!$C$45,0))</f>
        <v>0</v>
      </c>
      <c r="AQ243" s="15" t="n">
        <f aca="false">MAX(0,AP243+IF(11=Parametri_v3!$C$43,MAX(0,AN243-AO243),0)-MAX(0,-(AR242)))</f>
        <v>0</v>
      </c>
      <c r="AR243" s="15" t="n">
        <f aca="false">(AR242)+X243-AQ243</f>
        <v>0</v>
      </c>
      <c r="AS243" s="15" t="n">
        <f aca="false">Motore_Operativo!AB243-AT243+AU243</f>
        <v>113503.461904792</v>
      </c>
      <c r="AT243" s="15" t="n">
        <f aca="false">Motore_Operativo!CH243</f>
        <v>5973.86641604167</v>
      </c>
      <c r="AU243" s="15" t="n">
        <f aca="false">MIN(MAX(0,(AV242)+AT243),Parametri_v3!$C$60/12)</f>
        <v>0</v>
      </c>
      <c r="AV243" s="15" t="n">
        <f aca="false">(AV242)+AT243-AU243</f>
        <v>202768.080951459</v>
      </c>
      <c r="AW243" s="15" t="n">
        <f aca="false">IF(AND(Motore_Operativo!C243=Finanziamenti!$D$6,Finanziamenti!$F$6=1),Finanziamenti!$C$6,0)</f>
        <v>0</v>
      </c>
      <c r="AX243" s="15" t="n">
        <f aca="false">IF(AND(4&lt;&gt;7,4&lt;&gt;9,Finanziamenti!$F$8=1,OR(Parametri_v3!$C$6=0,Finanziamenti!$E$8=1),Motore_Operativo!C243=EDATE(Finanziamenti!$D$8,Ipotesi!F15*12)),Finanziamenti!$C$8*1,0)+IF(AND(4&lt;&gt;7,4&lt;&gt;9,Finanziamenti!$F$9=1,OR(Parametri_v3!$C$6=0,Finanziamenti!$E$9=1),Motore_Operativo!C243=EDATE(Finanziamenti!$D$9,Ipotesi!F15*12)),Finanziamenti!$C$9*Ipotesi!F16,0)</f>
        <v>0</v>
      </c>
      <c r="AY243" s="15" t="n">
        <f aca="false">0</f>
        <v>0</v>
      </c>
      <c r="AZ243" s="15" t="n">
        <f aca="false">Motore_Advisory!AY243*(1-Ipotesi!$C$95)*Ipotesi!$C$96</f>
        <v>0</v>
      </c>
      <c r="BA243" s="15" t="n">
        <f aca="false">MAX(0,MIN(CG243*MIN(1,IF(Motore_Operativo!C243&gt;=EDATE(Finanziamenti!$D$15,Ipotesi!F14*12),Finanziamenti!$C$15,0)+IF(Motore_Operativo!C243&gt;=EDATE(Finanziamenti!$D$16,Ipotesi!F14*12),Finanziamenti!$C$16,0)+IF(Motore_Operativo!C243&gt;=EDATE(Finanziamenti!$D$17,Ipotesi!F14*12),Finanziamenti!$C$17,0)),CA243*Ipotesi!$C$102)-(CC242))</f>
        <v>0</v>
      </c>
      <c r="BB243" s="15" t="n">
        <f aca="false">IF(AND(CF243&gt;0,Motore_Operativo!C243&gt;=IF(CF243=0,0,EDATE(CF243,Parametri_v3!$C$37)),MOD(((D243-YEAR(IF(CF243=0,0,EDATE(CF243,Parametri_v3!$C$37))))*12+E243-MONTH(IF(CF243=0,0,EDATE(CF243,Parametri_v3!$C$37)))),Parametri_v3!$C$38)=0),MIN(MAX(0,(BC242)+BA243-N243),(CC243-CD243)/(Ipotesi!$C$108*12/Parametri_v3!$C$38)),0)</f>
        <v>0</v>
      </c>
      <c r="BC243" s="15" t="n">
        <f aca="false">(BC242)+BA243-N243-BB243</f>
        <v>256727.25678412</v>
      </c>
      <c r="BD243" s="15" t="n">
        <f aca="false">(BH242)+AC243+AF243-AI243-AS243-K243*(1+Parametri_v3!$C$26)-AL243-AQ243-O243+AW243+AX243+AZ243+BA243-BB243</f>
        <v>-3026132.16441789</v>
      </c>
      <c r="BE243" s="15" t="n">
        <f aca="false">MAX(0,MIN(MAX(0,CH243-(BG242)),Parametri_v3!$C$30-BD243))</f>
        <v>0</v>
      </c>
      <c r="BF243" s="15" t="n">
        <f aca="false">IF(Motore_Operativo!C243&gt;=Parametri_v3!$C$63,(BG242),MIN((BG242),MAX(0,BD243-Parametri_v3!$C$30)))</f>
        <v>0</v>
      </c>
      <c r="BG243" s="15" t="n">
        <f aca="false">(BG242)+BE243-BF243</f>
        <v>150000</v>
      </c>
      <c r="BH243" s="15" t="n">
        <f aca="false">BD243+BE243-BF243-AY243</f>
        <v>-3026132.16441789</v>
      </c>
      <c r="BI243" s="15" t="n">
        <f aca="false">MAX(0,Parametri_v3!$C$30-BH243)</f>
        <v>3051132.16441789</v>
      </c>
      <c r="BJ243" s="15" t="n">
        <f aca="false">(BJ242)+K243</f>
        <v>160833.333333333</v>
      </c>
      <c r="BK243" s="15" t="n">
        <f aca="false">(BK242)+L243</f>
        <v>96666.6666666667</v>
      </c>
      <c r="BL243" s="15" t="n">
        <f aca="false">BJ243-BK243</f>
        <v>64166.6666666665</v>
      </c>
      <c r="BM243" s="15" t="n">
        <f aca="false">(BM242)+Y243</f>
        <v>-3636653.93569267</v>
      </c>
      <c r="BN243" s="15" t="n">
        <f aca="false">(BN242)+AW243+AX243+AZ243</f>
        <v>430000</v>
      </c>
      <c r="BO243" s="15" t="n">
        <f aca="false">(BO242)+AY243</f>
        <v>0</v>
      </c>
      <c r="BP243" s="15" t="n">
        <f aca="false">0</f>
        <v>0</v>
      </c>
      <c r="BQ243" s="15" t="n">
        <f aca="false">BN243+BM243-BO243</f>
        <v>-3206653.93569267</v>
      </c>
      <c r="BR243" s="15" t="n">
        <f aca="false">BH243+AD243+BL243+MAX(0,-AM243)+MAX(0,-AR243)+AG243</f>
        <v>-2413039.93578386</v>
      </c>
      <c r="BS243" s="15" t="n">
        <f aca="false">AJ243+AV243+MAX(0,AM243)+MAX(0,AR243)+BC243+BG243+BQ243</f>
        <v>-2413039.93578386</v>
      </c>
      <c r="BT243" s="15" t="n">
        <f aca="false">BR243-BS243</f>
        <v>0</v>
      </c>
      <c r="BU243" s="15" t="n">
        <f aca="false">BH243-(BD243+BE243-BF243-AY243)</f>
        <v>0</v>
      </c>
      <c r="BV243" s="15" t="n">
        <f aca="false">MIN(Piano_SS!$C$6,(BV242)+IF(AND(Motore_Operativo!C243&gt;=EDATE(Parametri_v3!$C$24,Ipotesi!F14*12),Motore_Operativo!C243&lt;EDATE(Parametri_v3!$C$24,Parametri_v3!$C$25+Ipotesi!F14*12)),MAX(0,(Motore_Operativo!Y243+Motore_Operativo!X243*Parametri_v3!$C$14)*(1-Parametri_v3!$C$32))*Piano_SS!$D$6,0))</f>
        <v>300000</v>
      </c>
      <c r="BW243" s="15" t="n">
        <f aca="false">MIN(Piano_SS!$C$7,(BW242)+IF(AND(Motore_Operativo!C243&gt;=EDATE(Parametri_v3!$C$24,Ipotesi!F14*12),Motore_Operativo!C243&lt;EDATE(Parametri_v3!$C$24,Parametri_v3!$C$25+Ipotesi!F14*12)),MAX(0,(IF(59-(INT((Ipotesi!$C$91)/30))&lt;1,0,INDEX(Motore_Operativo!$BN$185:$BN$244,MAX(1,59-(INT((Ipotesi!$C$91)/30)))))*(1-(MOD((Ipotesi!$C$91),30)/30))+IF(59-(INT((Ipotesi!$C$91)/30))-1&lt;1,0,INDEX(Motore_Operativo!$BN$185:$BN$244,MAX(1,59-(INT((Ipotesi!$C$91)/30))-1)))*(MOD((Ipotesi!$C$91),30)/30)))*Piano_SS!$D$7,0))</f>
        <v>49712.8886919552</v>
      </c>
      <c r="BX243" s="15" t="n">
        <f aca="false">MIN(Piano_SS!$C$8,(BX242)+IF(AND(Motore_Operativo!C243&gt;=EDATE(Parametri_v3!$C$24,Ipotesi!F14*12),Motore_Operativo!C243&lt;EDATE(Parametri_v3!$C$24,Parametri_v3!$C$25+Ipotesi!F14*12)),MAX(0,Motore_Operativo!CE243)*Piano_SS!$D$8,0))</f>
        <v>50000</v>
      </c>
      <c r="BY243" s="15" t="n">
        <f aca="false">MIN(Piano_SS!$C$9,(BY242)+IF(AND(Motore_Operativo!C243&gt;=EDATE(Parametri_v3!$C$24,Ipotesi!F14*12),Motore_Operativo!C243&lt;EDATE(Parametri_v3!$C$24,Parametri_v3!$C$25+Ipotesi!F14*12)),MAX(0,((IF(59-(INT((Ipotesi!$C$91)/30))&lt;1,0,INDEX(Motore_Operativo!$BQ$185:$BQ$244,MAX(1,59-(INT((Ipotesi!$C$91)/30)))))*(1-(MOD((Ipotesi!$C$91),30)/30))+IF(59-(INT((Ipotesi!$C$91)/30))-1&lt;1,0,INDEX(Motore_Operativo!$BQ$185:$BQ$244,MAX(1,59-(INT((Ipotesi!$C$91)/30))-1)))*(MOD((Ipotesi!$C$91),30)/30))+(IF(59-(INT((Ipotesi!$C$91)/30))&lt;1,0,INDEX(Motore_Operativo!$BR$185:$BR$244,MAX(1,59-(INT((Ipotesi!$C$91)/30)))))*(1-(MOD((Ipotesi!$C$91),30)/30))+IF(59-(INT((Ipotesi!$C$91)/30))-1&lt;1,0,INDEX(Motore_Operativo!$BR$185:$BR$244,MAX(1,59-(INT((Ipotesi!$C$91)/30))-1)))*(MOD((Ipotesi!$C$91),30)/30))))*Piano_SS!$D$9,0))</f>
        <v>40000</v>
      </c>
      <c r="BZ243" s="15" t="n">
        <f aca="false">MIN(Piano_SS!$C$10,(BZ242)+IF(AND(Motore_Operativo!C243&gt;=EDATE(Parametri_v3!$C$24,Ipotesi!F14*12),Motore_Operativo!C243&lt;EDATE(Parametri_v3!$C$24,Parametri_v3!$C$25+Ipotesi!F14*12)),MAX(0,(IF(59-(INT((Ipotesi!$C$91)/30))&lt;1,0,INDEX(Motore_Operativo!$BO$185:$BO$244,MAX(1,59-(INT((Ipotesi!$C$91)/30)))))*(1-(MOD((Ipotesi!$C$91),30)/30))+IF(59-(INT((Ipotesi!$C$91)/30))-1&lt;1,0,INDEX(Motore_Operativo!$BO$185:$BO$244,MAX(1,59-(INT((Ipotesi!$C$91)/30))-1)))*(MOD((Ipotesi!$C$91),30)/30)))*Piano_SS!$D$10,0))</f>
        <v>30000</v>
      </c>
      <c r="CA243" s="15" t="n">
        <f aca="false">SUM(BV243:BZ243)</f>
        <v>469712.888691955</v>
      </c>
      <c r="CB243" s="15" t="n">
        <f aca="false">BV243*(1-Piano_SS!$E$6)+BW243*(1-Piano_SS!$E$7)+BX243*(1-Piano_SS!$E$8)+BY243*(1-Piano_SS!$E$9)+BZ243*(1-Piano_SS!$E$10)</f>
        <v>439712.888691955</v>
      </c>
      <c r="CC243" s="15" t="n">
        <f aca="false">(CC242)+BA243</f>
        <v>375770.310953564</v>
      </c>
      <c r="CD243" s="15" t="n">
        <f aca="false">IF(CA243=0,0,CC243*CB243/CA243*Ipotesi!$C$103*Parametri_v3!$C$64)</f>
        <v>105531.093286069</v>
      </c>
      <c r="CE243" s="18" t="n">
        <f aca="false">IF(BA243&gt;0,Motore_Operativo!C243,(CE242))</f>
        <v>47635</v>
      </c>
      <c r="CF243" s="18" t="n">
        <f aca="false">IF(AND(CC243&gt;0,OR(CC243&gt;=CG243-0.01,Motore_Operativo!C243&gt;=EDATE(MAX(Finanziamenti!$D$15:$D$17),Ipotesi!F14*12))),CE243,0)</f>
        <v>47635</v>
      </c>
      <c r="CG243" s="15" t="n">
        <f aca="false">IF(AND(4&lt;&gt;6,4&lt;&gt;9,Finanziamenti!$F$11=1,OR(Parametri_v3!$C$6=0,Finanziamenti!$E$11=1)),MIN(Finanziamenti!$C$11,Piano_SS!$C$12*Ipotesi!$C$102),0)</f>
        <v>400000</v>
      </c>
      <c r="CH243" s="15" t="n">
        <f aca="false">IF(AND(AND(4&lt;&gt;8,4&lt;&gt;9,Finanziamenti!$F$10=1,OR(Parametri_v3!$C$6=0,Finanziamenti!$E$10=1)),Motore_Operativo!C243&gt;=Finanziamenti!$D$10,Motore_Operativo!C243&lt;Parametri_v3!$C$63),Finanziamenti!$C$10,0)</f>
        <v>150000</v>
      </c>
    </row>
    <row r="244" customFormat="false" ht="18" hidden="false" customHeight="true" outlineLevel="0" collapsed="false">
      <c r="A244" s="68" t="n">
        <f aca="false">4</f>
        <v>4</v>
      </c>
      <c r="B244" s="68" t="n">
        <f aca="false">60</f>
        <v>60</v>
      </c>
      <c r="C244" s="18" t="n">
        <f aca="false">Motore_Operativo!C244</f>
        <v>48183</v>
      </c>
      <c r="D244" s="68" t="n">
        <f aca="false">Motore_Operativo!D244</f>
        <v>2031</v>
      </c>
      <c r="E244" s="68" t="n">
        <f aca="false">Motore_Operativo!E244</f>
        <v>12</v>
      </c>
      <c r="F244" s="15" t="n">
        <f aca="false">Motore_Operativo!AQ244+Motore_Operativo!BF244</f>
        <v>116937.186932514</v>
      </c>
      <c r="G244" s="15" t="n">
        <f aca="false">Motore_Operativo!BH244</f>
        <v>5739.9375</v>
      </c>
      <c r="H244" s="15" t="n">
        <f aca="false">Motore_Operativo!BI244</f>
        <v>122677.124432514</v>
      </c>
      <c r="I244" s="15" t="n">
        <f aca="false">Motore_Operativo!CA244</f>
        <v>192484.165949719</v>
      </c>
      <c r="J244" s="15" t="n">
        <f aca="false">Motore_Operativo!CC244</f>
        <v>-69807.0415172046</v>
      </c>
      <c r="K244" s="15" t="n">
        <f aca="false">Motore_Operativo!CE244</f>
        <v>4166.66666666667</v>
      </c>
      <c r="L244" s="15" t="n">
        <f aca="false">SUM(INDEX($K$185:$K$244,MAX(1,60-Parametri_v3!$C$59+1)):K244)/Parametri_v3!$C$59</f>
        <v>3333.33333333333</v>
      </c>
      <c r="M244" s="15" t="n">
        <f aca="false">J244-L244</f>
        <v>-73140.3748505379</v>
      </c>
      <c r="N244" s="15" t="n">
        <f aca="false">CD244-(CD243)</f>
        <v>0</v>
      </c>
      <c r="O244" s="15" t="n">
        <f aca="false">(BG243)*Ipotesi!$C$110/12+CH244*Parametri_v3!$C$39/12</f>
        <v>750</v>
      </c>
      <c r="P244" s="15" t="n">
        <f aca="false">M244+N244-O244</f>
        <v>-73890.3748505379</v>
      </c>
      <c r="Q244" s="15" t="n">
        <f aca="false">SUM(P233:P244)+Parametri_v3!$C$54*12/12</f>
        <v>-1016892.77124654</v>
      </c>
      <c r="R244" s="15" t="n">
        <f aca="false">Z232</f>
        <v>1696169.7446533</v>
      </c>
      <c r="S244" s="15" t="n">
        <f aca="false">AA232</f>
        <v>997481.794643364</v>
      </c>
      <c r="T244" s="15" t="n">
        <f aca="false">MIN(R244,MAX(0,Q244))</f>
        <v>0</v>
      </c>
      <c r="U244" s="15" t="n">
        <f aca="false">MIN(S244,MAX(0,Q244-T244)*Parametri_v3!$C$42)</f>
        <v>0</v>
      </c>
      <c r="V244" s="15" t="n">
        <f aca="false">MAX(0,Q244-T244-U244)*Ipotesi!$C$92</f>
        <v>0</v>
      </c>
      <c r="W244" s="15" t="n">
        <f aca="false">MAX(0,SUM(M233:M244)+Parametri_v3!$C$55*12/12)*Ipotesi!$C$93</f>
        <v>0</v>
      </c>
      <c r="X244" s="15" t="n">
        <f aca="false">V244+W244-(V243+W243)</f>
        <v>0</v>
      </c>
      <c r="Y244" s="15" t="n">
        <f aca="false">P244-X244</f>
        <v>-73890.3748505379</v>
      </c>
      <c r="Z244" s="15" t="n">
        <f aca="false">R244-T244+IF(AND(Parametri_v3!$C$40=1,D244-YEAR(Parametri_v3!$C$50)&lt;Parametri_v3!$C$41),MAX(0,-Q244),0)</f>
        <v>1696169.7446533</v>
      </c>
      <c r="AA244" s="15" t="n">
        <f aca="false">S244-U244+IF(AND(Parametri_v3!$C$40=1,D244-YEAR(Parametri_v3!$C$50)&lt;Parametri_v3!$C$41),0,MAX(0,-Q244))</f>
        <v>2014374.56588991</v>
      </c>
      <c r="AB244" s="15" t="n">
        <f aca="false">F244*(1+Parametri_v3!$C$26)</f>
        <v>142663.368057667</v>
      </c>
      <c r="AC244" s="15" t="n">
        <f aca="false">(IF(60-(INT((Motore_Operativo!L244)/30))&lt;1,0,INDEX(Motore_Startup!$AB$185:$AB$244,MAX(1,60-(INT((Motore_Operativo!L244)/30)))))*(1-(MOD((Motore_Operativo!L244),30)/30))+IF(60-(INT((Motore_Operativo!L244)/30))-1&lt;1,0,INDEX(Motore_Startup!$AB$185:$AB$244,MAX(1,60-(INT((Motore_Operativo!L244)/30))-1)))*(MOD((Motore_Operativo!L244),30)/30))</f>
        <v>131120.441865129</v>
      </c>
      <c r="AD244" s="15" t="n">
        <f aca="false">(AD243)+AB244-AC244</f>
        <v>553465.7644099</v>
      </c>
      <c r="AE244" s="15" t="n">
        <f aca="false">Motore_Operativo!BH244*(1+Parametri_v3!$C$26)</f>
        <v>7002.72375</v>
      </c>
      <c r="AF244" s="15" t="n">
        <f aca="false">(IF(60-(INT((Parametri_v3!$C$29)/30))&lt;1,0,INDEX(Motore_Operativo!$BH$185:$BH$244,MAX(1,60-(INT((Parametri_v3!$C$29)/30)))))*(1-(MOD((Parametri_v3!$C$29),30)/30))+IF(60-(INT((Parametri_v3!$C$29)/30))-1&lt;1,0,INDEX(Motore_Operativo!$BH$185:$BH$244,MAX(1,60-(INT((Parametri_v3!$C$29)/30))-1)))*(MOD((Parametri_v3!$C$29),30)/30))*(1+Parametri_v3!$C$26)</f>
        <v>7002.72375</v>
      </c>
      <c r="AG244" s="15" t="n">
        <f aca="false">(AG243)+AE244-AF244</f>
        <v>7002.72375</v>
      </c>
      <c r="AH244" s="15" t="n">
        <f aca="false">(Motore_Operativo!CJ244)*(1+Parametri_v3!$C$27*Parametri_v3!$C$26)</f>
        <v>86659.1162654869</v>
      </c>
      <c r="AI244" s="15" t="n">
        <f aca="false">(IF(60-(INT((Ipotesi!$C$91)/30))&lt;1,0,INDEX(Motore_Startup!$AH$185:$AH$244,MAX(1,60-(INT((Ipotesi!$C$91)/30)))))*(1-(MOD((Ipotesi!$C$91),30)/30))+IF(60-(INT((Ipotesi!$C$91)/30))-1&lt;1,0,INDEX(Motore_Startup!$AH$185:$AH$244,MAX(1,60-(INT((Ipotesi!$C$91)/30))-1)))*(MOD((Ipotesi!$C$91),30)/30))</f>
        <v>85879.8695447889</v>
      </c>
      <c r="AJ244" s="15" t="n">
        <f aca="false">(AJ243)+AH244-AI244</f>
        <v>172930.31961456</v>
      </c>
      <c r="AK244" s="15" t="n">
        <f aca="false">(F244+ Motore_Operativo!BH244-(Motore_Operativo!CJ244)*Parametri_v3!$C$27-Motore_Operativo!CE244)*Parametri_v3!$C$26</f>
        <v>12420.0220718849</v>
      </c>
      <c r="AL244" s="15" t="n">
        <f aca="false">MAX(0,(AM243))</f>
        <v>11967.5892793749</v>
      </c>
      <c r="AM244" s="15" t="n">
        <f aca="false">(AM243)+AK244-AL244</f>
        <v>12420.0220718849</v>
      </c>
      <c r="AN244" s="15" t="n">
        <f aca="false">SUM(X221:X232)</f>
        <v>0</v>
      </c>
      <c r="AO244" s="15" t="n">
        <f aca="false">SUM(AP221:AP232)</f>
        <v>0</v>
      </c>
      <c r="AP244" s="15" t="n">
        <f aca="false">MAX(0,AN244)*IF(12=Parametri_v3!$C$43,Parametri_v3!$C$45,IF(12=Parametri_v3!$C$44,1-Parametri_v3!$C$45,0))</f>
        <v>0</v>
      </c>
      <c r="AQ244" s="15" t="n">
        <f aca="false">MAX(0,AP244+IF(12=Parametri_v3!$C$43,MAX(0,AN244-AO244),0)-MAX(0,-(AR243)))</f>
        <v>0</v>
      </c>
      <c r="AR244" s="15" t="n">
        <f aca="false">(AR243)+X244-AQ244</f>
        <v>0</v>
      </c>
      <c r="AS244" s="15" t="n">
        <f aca="false">Motore_Operativo!AB244-AT244+AU244</f>
        <v>113503.461904792</v>
      </c>
      <c r="AT244" s="15" t="n">
        <f aca="false">Motore_Operativo!CH244</f>
        <v>5973.86641604167</v>
      </c>
      <c r="AU244" s="15" t="n">
        <f aca="false">MIN(MAX(0,(AV243)+AT244),Parametri_v3!$C$60/12)</f>
        <v>0</v>
      </c>
      <c r="AV244" s="15" t="n">
        <f aca="false">(AV243)+AT244-AU244</f>
        <v>208741.9473675</v>
      </c>
      <c r="AW244" s="15" t="n">
        <f aca="false">IF(AND(Motore_Operativo!C244=Finanziamenti!$D$6,Finanziamenti!$F$6=1),Finanziamenti!$C$6,0)</f>
        <v>0</v>
      </c>
      <c r="AX244" s="15" t="n">
        <f aca="false">IF(AND(4&lt;&gt;7,4&lt;&gt;9,Finanziamenti!$F$8=1,OR(Parametri_v3!$C$6=0,Finanziamenti!$E$8=1),Motore_Operativo!C244=EDATE(Finanziamenti!$D$8,Ipotesi!F15*12)),Finanziamenti!$C$8*1,0)+IF(AND(4&lt;&gt;7,4&lt;&gt;9,Finanziamenti!$F$9=1,OR(Parametri_v3!$C$6=0,Finanziamenti!$E$9=1),Motore_Operativo!C244=EDATE(Finanziamenti!$D$9,Ipotesi!F15*12)),Finanziamenti!$C$9*Ipotesi!F16,0)</f>
        <v>0</v>
      </c>
      <c r="AY244" s="15" t="n">
        <f aca="false">0</f>
        <v>0</v>
      </c>
      <c r="AZ244" s="15" t="n">
        <f aca="false">Motore_Advisory!AY244*(1-Ipotesi!$C$95)*Ipotesi!$C$96</f>
        <v>0</v>
      </c>
      <c r="BA244" s="15" t="n">
        <f aca="false">MAX(0,MIN(CG244*MIN(1,IF(Motore_Operativo!C244&gt;=EDATE(Finanziamenti!$D$15,Ipotesi!F14*12),Finanziamenti!$C$15,0)+IF(Motore_Operativo!C244&gt;=EDATE(Finanziamenti!$D$16,Ipotesi!F14*12),Finanziamenti!$C$16,0)+IF(Motore_Operativo!C244&gt;=EDATE(Finanziamenti!$D$17,Ipotesi!F14*12),Finanziamenti!$C$17,0)),CA244*Ipotesi!$C$102)-(CC243))</f>
        <v>0</v>
      </c>
      <c r="BB244" s="15" t="n">
        <f aca="false">IF(AND(CF244&gt;0,Motore_Operativo!C244&gt;=IF(CF244=0,0,EDATE(CF244,Parametri_v3!$C$37)),MOD(((D244-YEAR(IF(CF244=0,0,EDATE(CF244,Parametri_v3!$C$37))))*12+E244-MONTH(IF(CF244=0,0,EDATE(CF244,Parametri_v3!$C$37)))),Parametri_v3!$C$38)=0),MIN(MAX(0,(BC243)+BA244-N244),(CC244-CD244)/(Ipotesi!$C$108*12/Parametri_v3!$C$38)),0)</f>
        <v>13511.9608833747</v>
      </c>
      <c r="BC244" s="15" t="n">
        <f aca="false">(BC243)+BA244-N244-BB244</f>
        <v>243215.295900745</v>
      </c>
      <c r="BD244" s="15" t="n">
        <f aca="false">(BH243)+AC244+AF244-AI244-AS244-K244*(1+Parametri_v3!$C$26)-AL244-AQ244-O244+AW244+AX244+AZ244+BA244-BB244</f>
        <v>-3118705.21374843</v>
      </c>
      <c r="BE244" s="15" t="n">
        <f aca="false">MAX(0,MIN(MAX(0,CH244-(BG243)),Parametri_v3!$C$30-BD244))</f>
        <v>0</v>
      </c>
      <c r="BF244" s="15" t="n">
        <f aca="false">IF(Motore_Operativo!C244&gt;=Parametri_v3!$C$63,(BG243),MIN((BG243),MAX(0,BD244-Parametri_v3!$C$30)))</f>
        <v>0</v>
      </c>
      <c r="BG244" s="15" t="n">
        <f aca="false">(BG243)+BE244-BF244</f>
        <v>150000</v>
      </c>
      <c r="BH244" s="15" t="n">
        <f aca="false">BD244+BE244-BF244-AY244</f>
        <v>-3118705.21374843</v>
      </c>
      <c r="BI244" s="15" t="n">
        <f aca="false">MAX(0,Parametri_v3!$C$30-BH244)</f>
        <v>3143705.21374843</v>
      </c>
      <c r="BJ244" s="15" t="n">
        <f aca="false">(BJ243)+K244</f>
        <v>165000</v>
      </c>
      <c r="BK244" s="15" t="n">
        <f aca="false">(BK243)+L244</f>
        <v>100000</v>
      </c>
      <c r="BL244" s="15" t="n">
        <f aca="false">BJ244-BK244</f>
        <v>64999.9999999999</v>
      </c>
      <c r="BM244" s="15" t="n">
        <f aca="false">(BM243)+Y244</f>
        <v>-3710544.31054321</v>
      </c>
      <c r="BN244" s="15" t="n">
        <f aca="false">(BN243)+AW244+AX244+AZ244</f>
        <v>430000</v>
      </c>
      <c r="BO244" s="15" t="n">
        <f aca="false">(BO243)+AY244</f>
        <v>0</v>
      </c>
      <c r="BP244" s="15" t="n">
        <f aca="false">0</f>
        <v>0</v>
      </c>
      <c r="BQ244" s="15" t="n">
        <f aca="false">BN244+BM244-BO244</f>
        <v>-3280544.31054321</v>
      </c>
      <c r="BR244" s="15" t="n">
        <f aca="false">BH244+AD244+BL244+MAX(0,-AM244)+MAX(0,-AR244)+AG244</f>
        <v>-2493236.72558853</v>
      </c>
      <c r="BS244" s="15" t="n">
        <f aca="false">AJ244+AV244+MAX(0,AM244)+MAX(0,AR244)+BC244+BG244+BQ244</f>
        <v>-2493236.72558852</v>
      </c>
      <c r="BT244" s="15" t="n">
        <f aca="false">BR244-BS244</f>
        <v>0</v>
      </c>
      <c r="BU244" s="15" t="n">
        <f aca="false">BH244-(BD244+BE244-BF244-AY244)</f>
        <v>0</v>
      </c>
      <c r="BV244" s="15" t="n">
        <f aca="false">MIN(Piano_SS!$C$6,(BV243)+IF(AND(Motore_Operativo!C244&gt;=EDATE(Parametri_v3!$C$24,Ipotesi!F14*12),Motore_Operativo!C244&lt;EDATE(Parametri_v3!$C$24,Parametri_v3!$C$25+Ipotesi!F14*12)),MAX(0,(Motore_Operativo!Y244+Motore_Operativo!X244*Parametri_v3!$C$14)*(1-Parametri_v3!$C$32))*Piano_SS!$D$6,0))</f>
        <v>300000</v>
      </c>
      <c r="BW244" s="15" t="n">
        <f aca="false">MIN(Piano_SS!$C$7,(BW243)+IF(AND(Motore_Operativo!C244&gt;=EDATE(Parametri_v3!$C$24,Ipotesi!F14*12),Motore_Operativo!C244&lt;EDATE(Parametri_v3!$C$24,Parametri_v3!$C$25+Ipotesi!F14*12)),MAX(0,(IF(60-(INT((Ipotesi!$C$91)/30))&lt;1,0,INDEX(Motore_Operativo!$BN$185:$BN$244,MAX(1,60-(INT((Ipotesi!$C$91)/30)))))*(1-(MOD((Ipotesi!$C$91),30)/30))+IF(60-(INT((Ipotesi!$C$91)/30))-1&lt;1,0,INDEX(Motore_Operativo!$BN$185:$BN$244,MAX(1,60-(INT((Ipotesi!$C$91)/30))-1)))*(MOD((Ipotesi!$C$91),30)/30)))*Piano_SS!$D$7,0))</f>
        <v>49712.8886919552</v>
      </c>
      <c r="BX244" s="15" t="n">
        <f aca="false">MIN(Piano_SS!$C$8,(BX243)+IF(AND(Motore_Operativo!C244&gt;=EDATE(Parametri_v3!$C$24,Ipotesi!F14*12),Motore_Operativo!C244&lt;EDATE(Parametri_v3!$C$24,Parametri_v3!$C$25+Ipotesi!F14*12)),MAX(0,Motore_Operativo!CE244)*Piano_SS!$D$8,0))</f>
        <v>50000</v>
      </c>
      <c r="BY244" s="15" t="n">
        <f aca="false">MIN(Piano_SS!$C$9,(BY243)+IF(AND(Motore_Operativo!C244&gt;=EDATE(Parametri_v3!$C$24,Ipotesi!F14*12),Motore_Operativo!C244&lt;EDATE(Parametri_v3!$C$24,Parametri_v3!$C$25+Ipotesi!F14*12)),MAX(0,((IF(60-(INT((Ipotesi!$C$91)/30))&lt;1,0,INDEX(Motore_Operativo!$BQ$185:$BQ$244,MAX(1,60-(INT((Ipotesi!$C$91)/30)))))*(1-(MOD((Ipotesi!$C$91),30)/30))+IF(60-(INT((Ipotesi!$C$91)/30))-1&lt;1,0,INDEX(Motore_Operativo!$BQ$185:$BQ$244,MAX(1,60-(INT((Ipotesi!$C$91)/30))-1)))*(MOD((Ipotesi!$C$91),30)/30))+(IF(60-(INT((Ipotesi!$C$91)/30))&lt;1,0,INDEX(Motore_Operativo!$BR$185:$BR$244,MAX(1,60-(INT((Ipotesi!$C$91)/30)))))*(1-(MOD((Ipotesi!$C$91),30)/30))+IF(60-(INT((Ipotesi!$C$91)/30))-1&lt;1,0,INDEX(Motore_Operativo!$BR$185:$BR$244,MAX(1,60-(INT((Ipotesi!$C$91)/30))-1)))*(MOD((Ipotesi!$C$91),30)/30))))*Piano_SS!$D$9,0))</f>
        <v>40000</v>
      </c>
      <c r="BZ244" s="15" t="n">
        <f aca="false">MIN(Piano_SS!$C$10,(BZ243)+IF(AND(Motore_Operativo!C244&gt;=EDATE(Parametri_v3!$C$24,Ipotesi!F14*12),Motore_Operativo!C244&lt;EDATE(Parametri_v3!$C$24,Parametri_v3!$C$25+Ipotesi!F14*12)),MAX(0,(IF(60-(INT((Ipotesi!$C$91)/30))&lt;1,0,INDEX(Motore_Operativo!$BO$185:$BO$244,MAX(1,60-(INT((Ipotesi!$C$91)/30)))))*(1-(MOD((Ipotesi!$C$91),30)/30))+IF(60-(INT((Ipotesi!$C$91)/30))-1&lt;1,0,INDEX(Motore_Operativo!$BO$185:$BO$244,MAX(1,60-(INT((Ipotesi!$C$91)/30))-1)))*(MOD((Ipotesi!$C$91),30)/30)))*Piano_SS!$D$10,0))</f>
        <v>30000</v>
      </c>
      <c r="CA244" s="15" t="n">
        <f aca="false">SUM(BV244:BZ244)</f>
        <v>469712.888691955</v>
      </c>
      <c r="CB244" s="15" t="n">
        <f aca="false">BV244*(1-Piano_SS!$E$6)+BW244*(1-Piano_SS!$E$7)+BX244*(1-Piano_SS!$E$8)+BY244*(1-Piano_SS!$E$9)+BZ244*(1-Piano_SS!$E$10)</f>
        <v>439712.888691955</v>
      </c>
      <c r="CC244" s="15" t="n">
        <f aca="false">(CC243)+BA244</f>
        <v>375770.310953564</v>
      </c>
      <c r="CD244" s="15" t="n">
        <f aca="false">IF(CA244=0,0,CC244*CB244/CA244*Ipotesi!$C$103*Parametri_v3!$C$64)</f>
        <v>105531.093286069</v>
      </c>
      <c r="CE244" s="18" t="n">
        <f aca="false">IF(BA244&gt;0,Motore_Operativo!C244,(CE243))</f>
        <v>47635</v>
      </c>
      <c r="CF244" s="18" t="n">
        <f aca="false">IF(AND(CC244&gt;0,OR(CC244&gt;=CG244-0.01,Motore_Operativo!C244&gt;=EDATE(MAX(Finanziamenti!$D$15:$D$17),Ipotesi!F14*12))),CE244,0)</f>
        <v>47635</v>
      </c>
      <c r="CG244" s="15" t="n">
        <f aca="false">IF(AND(4&lt;&gt;6,4&lt;&gt;9,Finanziamenti!$F$11=1,OR(Parametri_v3!$C$6=0,Finanziamenti!$E$11=1)),MIN(Finanziamenti!$C$11,Piano_SS!$C$12*Ipotesi!$C$102),0)</f>
        <v>400000</v>
      </c>
      <c r="CH244" s="15" t="n">
        <f aca="false">IF(AND(AND(4&lt;&gt;8,4&lt;&gt;9,Finanziamenti!$F$10=1,OR(Parametri_v3!$C$6=0,Finanziamenti!$E$10=1)),Motore_Operativo!C244&gt;=Finanziamenti!$D$10,Motore_Operativo!C244&lt;Parametri_v3!$C$63),Finanziamenti!$C$10,0)</f>
        <v>150000</v>
      </c>
    </row>
    <row r="245" customFormat="false" ht="18" hidden="false" customHeight="true" outlineLevel="0" collapsed="false">
      <c r="A245" s="68" t="n">
        <f aca="false">5</f>
        <v>5</v>
      </c>
      <c r="B245" s="68" t="n">
        <f aca="false">1</f>
        <v>1</v>
      </c>
      <c r="C245" s="18" t="n">
        <f aca="false">Motore_Operativo!C245</f>
        <v>46388</v>
      </c>
      <c r="D245" s="68" t="n">
        <f aca="false">Motore_Operativo!D245</f>
        <v>2027</v>
      </c>
      <c r="E245" s="68" t="n">
        <f aca="false">Motore_Operativo!E245</f>
        <v>1</v>
      </c>
      <c r="F245" s="15" t="n">
        <f aca="false">Motore_Operativo!AQ245+Motore_Operativo!BF245</f>
        <v>3712.5</v>
      </c>
      <c r="G245" s="15" t="n">
        <f aca="false">Motore_Operativo!BH245</f>
        <v>802.421052631579</v>
      </c>
      <c r="H245" s="15" t="n">
        <f aca="false">Motore_Operativo!BI245</f>
        <v>4514.92105263158</v>
      </c>
      <c r="I245" s="15" t="n">
        <f aca="false">Motore_Operativo!CA245</f>
        <v>16544.7392982456</v>
      </c>
      <c r="J245" s="15" t="n">
        <f aca="false">Motore_Operativo!CC245</f>
        <v>-12029.818245614</v>
      </c>
      <c r="K245" s="15" t="n">
        <f aca="false">Motore_Operativo!CE245</f>
        <v>1666.66666666667</v>
      </c>
      <c r="L245" s="15" t="n">
        <f aca="false">SUM(INDEX($K$245:$K$304,MAX(1,1-Parametri_v3!$C$59+1)):K245)/Parametri_v3!$C$59</f>
        <v>46.2962962962963</v>
      </c>
      <c r="M245" s="15" t="n">
        <f aca="false">J245-L245</f>
        <v>-12076.1145419103</v>
      </c>
      <c r="N245" s="15" t="n">
        <f aca="false">CD245-(0)</f>
        <v>0</v>
      </c>
      <c r="O245" s="15" t="n">
        <f aca="false">(0)*Ipotesi!$C$110/12+CH245*Parametri_v3!$C$39/12</f>
        <v>0</v>
      </c>
      <c r="P245" s="15" t="n">
        <f aca="false">M245+N245-O245</f>
        <v>-12076.1145419103</v>
      </c>
      <c r="Q245" s="15" t="n">
        <f aca="false">SUM(P245)+Parametri_v3!$C$54*1/12</f>
        <v>-12076.1145419103</v>
      </c>
      <c r="R245" s="15" t="n">
        <f aca="false">0</f>
        <v>0</v>
      </c>
      <c r="S245" s="15" t="n">
        <f aca="false">0</f>
        <v>0</v>
      </c>
      <c r="T245" s="15" t="n">
        <f aca="false">MIN(R245,MAX(0,Q245))</f>
        <v>0</v>
      </c>
      <c r="U245" s="15" t="n">
        <f aca="false">MIN(S245,MAX(0,Q245-T245)*Parametri_v3!$C$42)</f>
        <v>0</v>
      </c>
      <c r="V245" s="15" t="n">
        <f aca="false">MAX(0,Q245-T245-U245)*Ipotesi!$C$92</f>
        <v>0</v>
      </c>
      <c r="W245" s="15" t="n">
        <f aca="false">MAX(0,SUM(M245)+Parametri_v3!$C$55*1/12)*Ipotesi!$C$93</f>
        <v>0</v>
      </c>
      <c r="X245" s="15" t="n">
        <f aca="false">V245+W245-(0)</f>
        <v>0</v>
      </c>
      <c r="Y245" s="15" t="n">
        <f aca="false">P245-X245</f>
        <v>-12076.1145419103</v>
      </c>
      <c r="Z245" s="15" t="n">
        <f aca="false">R245-T245+IF(AND(Parametri_v3!$C$40=1,D245-YEAR(Parametri_v3!$C$50)&lt;Parametri_v3!$C$41),MAX(0,-Q245),0)</f>
        <v>12076.1145419103</v>
      </c>
      <c r="AA245" s="15" t="n">
        <f aca="false">S245-U245+IF(AND(Parametri_v3!$C$40=1,D245-YEAR(Parametri_v3!$C$50)&lt;Parametri_v3!$C$41),0,MAX(0,-Q245))</f>
        <v>0</v>
      </c>
      <c r="AB245" s="15" t="n">
        <f aca="false">F245*(1+Parametri_v3!$C$26)</f>
        <v>4529.25</v>
      </c>
      <c r="AC245" s="15" t="n">
        <f aca="false">(IF(1-(INT((Motore_Operativo!L245)/30))&lt;1,0,INDEX(Motore_Startup!$AB$245:$AB$304,MAX(1,1-(INT((Motore_Operativo!L245)/30)))))*(1-(MOD((Motore_Operativo!L245),30)/30))+IF(1-(INT((Motore_Operativo!L245)/30))-1&lt;1,0,INDEX(Motore_Startup!$AB$245:$AB$304,MAX(1,1-(INT((Motore_Operativo!L245)/30))-1)))*(MOD((Motore_Operativo!L245),30)/30))</f>
        <v>0</v>
      </c>
      <c r="AD245" s="15" t="n">
        <f aca="false">(0)+AB245-AC245</f>
        <v>4529.25</v>
      </c>
      <c r="AE245" s="15" t="n">
        <f aca="false">Motore_Operativo!BH245*(1+Parametri_v3!$C$26)</f>
        <v>978.953684210527</v>
      </c>
      <c r="AF245" s="15" t="n">
        <f aca="false">(IF(1-(INT((Parametri_v3!$C$29)/30))&lt;1,0,INDEX(Motore_Operativo!$BH$245:$BH$304,MAX(1,1-(INT((Parametri_v3!$C$29)/30)))))*(1-(MOD((Parametri_v3!$C$29),30)/30))+IF(1-(INT((Parametri_v3!$C$29)/30))-1&lt;1,0,INDEX(Motore_Operativo!$BH$245:$BH$304,MAX(1,1-(INT((Parametri_v3!$C$29)/30))-1)))*(MOD((Parametri_v3!$C$29),30)/30))*(1+Parametri_v3!$C$26)</f>
        <v>0</v>
      </c>
      <c r="AG245" s="15" t="n">
        <f aca="false">(0)+AE245-AF245</f>
        <v>978.953684210527</v>
      </c>
      <c r="AH245" s="15" t="n">
        <f aca="false">(Motore_Operativo!CJ245)*(1+Parametri_v3!$C$27*Parametri_v3!$C$26)</f>
        <v>7199.83471368421</v>
      </c>
      <c r="AI245" s="15" t="n">
        <f aca="false">(IF(1-(INT((Ipotesi!$C$91)/30))&lt;1,0,INDEX(Motore_Startup!$AH$245:$AH$304,MAX(1,1-(INT((Ipotesi!$C$91)/30)))))*(1-(MOD((Ipotesi!$C$91),30)/30))+IF(1-(INT((Ipotesi!$C$91)/30))-1&lt;1,0,INDEX(Motore_Startup!$AH$245:$AH$304,MAX(1,1-(INT((Ipotesi!$C$91)/30))-1)))*(MOD((Ipotesi!$C$91),30)/30))</f>
        <v>0</v>
      </c>
      <c r="AJ245" s="15" t="n">
        <f aca="false">(0)+AH245-AI245</f>
        <v>7199.83471368421</v>
      </c>
      <c r="AK245" s="15" t="n">
        <f aca="false">(F245+ Motore_Operativo!BH245-(Motore_Operativo!CJ245)*Parametri_v3!$C$27-Motore_Operativo!CE245)*Parametri_v3!$C$26</f>
        <v>-507.646117192982</v>
      </c>
      <c r="AL245" s="15" t="n">
        <f aca="false">MAX(0,(0))</f>
        <v>0</v>
      </c>
      <c r="AM245" s="15" t="n">
        <f aca="false">(0)+AK245-AL245</f>
        <v>-507.646117192982</v>
      </c>
      <c r="AN245" s="15" t="n">
        <f aca="false">0</f>
        <v>0</v>
      </c>
      <c r="AO245" s="15" t="n">
        <f aca="false">0</f>
        <v>0</v>
      </c>
      <c r="AP245" s="15" t="n">
        <f aca="false">MAX(0,AN245)*IF(1=Parametri_v3!$C$43,Parametri_v3!$C$45,IF(1=Parametri_v3!$C$44,1-Parametri_v3!$C$45,0))</f>
        <v>0</v>
      </c>
      <c r="AQ245" s="15" t="n">
        <f aca="false">MAX(0,AP245+IF(1=Parametri_v3!$C$43,MAX(0,AN245-AO245),0)-MAX(0,-(0)))</f>
        <v>0</v>
      </c>
      <c r="AR245" s="15" t="n">
        <f aca="false">(0)+X245-AQ245</f>
        <v>0</v>
      </c>
      <c r="AS245" s="15" t="n">
        <f aca="false">Motore_Operativo!AB245-AT245+AU245</f>
        <v>9955.20833333333</v>
      </c>
      <c r="AT245" s="15" t="n">
        <f aca="false">Motore_Operativo!CH245</f>
        <v>523.958333333333</v>
      </c>
      <c r="AU245" s="15" t="n">
        <f aca="false">MIN(MAX(0,(0)+AT245),Parametri_v3!$C$60/12)</f>
        <v>0</v>
      </c>
      <c r="AV245" s="15" t="n">
        <f aca="false">(0)+AT245-AU245</f>
        <v>523.958333333333</v>
      </c>
      <c r="AW245" s="15" t="n">
        <f aca="false">IF(AND(Motore_Operativo!C245=Finanziamenti!$D$6,Finanziamenti!$F$6=1),Finanziamenti!$C$6,0)</f>
        <v>130000</v>
      </c>
      <c r="AX245" s="15" t="n">
        <f aca="false">IF(AND(5&lt;&gt;7,5&lt;&gt;9,Finanziamenti!$F$8=1,OR(Parametri_v3!$C$6=0,Finanziamenti!$E$8=1),Motore_Operativo!C245=EDATE(Finanziamenti!$D$8,Ipotesi!G15*12)),Finanziamenti!$C$8*1,0)+IF(AND(5&lt;&gt;7,5&lt;&gt;9,Finanziamenti!$F$9=1,OR(Parametri_v3!$C$6=0,Finanziamenti!$E$9=1),Motore_Operativo!C245=EDATE(Finanziamenti!$D$9,Ipotesi!G15*12)),Finanziamenti!$C$9*Ipotesi!G16,0)</f>
        <v>0</v>
      </c>
      <c r="AY245" s="15" t="n">
        <f aca="false">0</f>
        <v>0</v>
      </c>
      <c r="AZ245" s="15" t="n">
        <f aca="false">Motore_Advisory!AY245*(1-Ipotesi!$C$95)*Ipotesi!$C$96</f>
        <v>0</v>
      </c>
      <c r="BA245" s="15" t="n">
        <f aca="false">MAX(0,MIN(CG245*MIN(1,IF(Motore_Operativo!C245&gt;=EDATE(Finanziamenti!$D$15,Ipotesi!G14*12),Finanziamenti!$C$15,0)+IF(Motore_Operativo!C245&gt;=EDATE(Finanziamenti!$D$16,Ipotesi!G14*12),Finanziamenti!$C$16,0)+IF(Motore_Operativo!C245&gt;=EDATE(Finanziamenti!$D$17,Ipotesi!G14*12),Finanziamenti!$C$17,0)),CA245*Ipotesi!$C$102)-(0))</f>
        <v>0</v>
      </c>
      <c r="BB245" s="15" t="n">
        <f aca="false">IF(AND(CF245&gt;0,Motore_Operativo!C245&gt;=IF(CF245=0,0,EDATE(CF245,Parametri_v3!$C$37)),MOD(((D245-YEAR(IF(CF245=0,0,EDATE(CF245,Parametri_v3!$C$37))))*12+E245-MONTH(IF(CF245=0,0,EDATE(CF245,Parametri_v3!$C$37)))),Parametri_v3!$C$38)=0),MIN(MAX(0,(0)+BA245-N245),(CC245-CD245)/(Ipotesi!$C$108*12/Parametri_v3!$C$38)),0)</f>
        <v>0</v>
      </c>
      <c r="BC245" s="15" t="n">
        <f aca="false">(0)+BA245-N245-BB245</f>
        <v>0</v>
      </c>
      <c r="BD245" s="15" t="n">
        <f aca="false">(0)+AC245+AF245-AI245-AS245-K245*(1+Parametri_v3!$C$26)-AL245-AQ245-O245+AW245+AX245+AZ245+BA245-BB245</f>
        <v>118011.458333333</v>
      </c>
      <c r="BE245" s="15" t="n">
        <f aca="false">MAX(0,MIN(MAX(0,CH245-(0)),Parametri_v3!$C$30-BD245))</f>
        <v>0</v>
      </c>
      <c r="BF245" s="15" t="n">
        <f aca="false">IF(Motore_Operativo!C245&gt;=Parametri_v3!$C$63,(0),MIN((0),MAX(0,BD245-Parametri_v3!$C$30)))</f>
        <v>0</v>
      </c>
      <c r="BG245" s="15" t="n">
        <f aca="false">(0)+BE245-BF245</f>
        <v>0</v>
      </c>
      <c r="BH245" s="15" t="n">
        <f aca="false">BD245+BE245-BF245-AY245</f>
        <v>118011.458333333</v>
      </c>
      <c r="BI245" s="15" t="n">
        <f aca="false">MAX(0,Parametri_v3!$C$30-BH245)</f>
        <v>0</v>
      </c>
      <c r="BJ245" s="15" t="n">
        <f aca="false">(0)+K245</f>
        <v>1666.66666666667</v>
      </c>
      <c r="BK245" s="15" t="n">
        <f aca="false">(0)+L245</f>
        <v>46.2962962962963</v>
      </c>
      <c r="BL245" s="15" t="n">
        <f aca="false">BJ245-BK245</f>
        <v>1620.37037037037</v>
      </c>
      <c r="BM245" s="15" t="n">
        <f aca="false">(0)+Y245</f>
        <v>-12076.1145419103</v>
      </c>
      <c r="BN245" s="15" t="n">
        <f aca="false">(0)+AW245+AX245+AZ245</f>
        <v>130000</v>
      </c>
      <c r="BO245" s="15" t="n">
        <f aca="false">(0)+AY245</f>
        <v>0</v>
      </c>
      <c r="BP245" s="15" t="n">
        <f aca="false">0</f>
        <v>0</v>
      </c>
      <c r="BQ245" s="15" t="n">
        <f aca="false">BN245+BM245-BO245</f>
        <v>117923.88545809</v>
      </c>
      <c r="BR245" s="15" t="n">
        <f aca="false">BH245+AD245+BL245+MAX(0,-AM245)+MAX(0,-AR245)+AG245</f>
        <v>125647.678505107</v>
      </c>
      <c r="BS245" s="15" t="n">
        <f aca="false">AJ245+AV245+MAX(0,AM245)+MAX(0,AR245)+BC245+BG245+BQ245</f>
        <v>125647.678505107</v>
      </c>
      <c r="BT245" s="15" t="n">
        <f aca="false">BR245-BS245</f>
        <v>0</v>
      </c>
      <c r="BU245" s="15" t="n">
        <f aca="false">BH245-(BD245+BE245-BF245-AY245)</f>
        <v>0</v>
      </c>
      <c r="BV245" s="15" t="n">
        <f aca="false">MIN(Piano_SS!$C$6,(0)+IF(AND(Motore_Operativo!C245&gt;=EDATE(Parametri_v3!$C$24,Ipotesi!G14*12),Motore_Operativo!C245&lt;EDATE(Parametri_v3!$C$24,Parametri_v3!$C$25+Ipotesi!G14*12)),MAX(0,(Motore_Operativo!Y245+Motore_Operativo!X245*Parametri_v3!$C$14)*(1-Parametri_v3!$C$32))*Piano_SS!$D$6,0))</f>
        <v>0</v>
      </c>
      <c r="BW245" s="15" t="n">
        <f aca="false">MIN(Piano_SS!$C$7,(0)+IF(AND(Motore_Operativo!C245&gt;=EDATE(Parametri_v3!$C$24,Ipotesi!G14*12),Motore_Operativo!C245&lt;EDATE(Parametri_v3!$C$24,Parametri_v3!$C$25+Ipotesi!G14*12)),MAX(0,(IF(1-(INT((Ipotesi!$C$91)/30))&lt;1,0,INDEX(Motore_Operativo!$BN$245:$BN$304,MAX(1,1-(INT((Ipotesi!$C$91)/30)))))*(1-(MOD((Ipotesi!$C$91),30)/30))+IF(1-(INT((Ipotesi!$C$91)/30))-1&lt;1,0,INDEX(Motore_Operativo!$BN$245:$BN$304,MAX(1,1-(INT((Ipotesi!$C$91)/30))-1)))*(MOD((Ipotesi!$C$91),30)/30)))*Piano_SS!$D$7,0))</f>
        <v>0</v>
      </c>
      <c r="BX245" s="15" t="n">
        <f aca="false">MIN(Piano_SS!$C$8,(0)+IF(AND(Motore_Operativo!C245&gt;=EDATE(Parametri_v3!$C$24,Ipotesi!G14*12),Motore_Operativo!C245&lt;EDATE(Parametri_v3!$C$24,Parametri_v3!$C$25+Ipotesi!G14*12)),MAX(0,Motore_Operativo!CE245)*Piano_SS!$D$8,0))</f>
        <v>0</v>
      </c>
      <c r="BY245" s="15" t="n">
        <f aca="false">MIN(Piano_SS!$C$9,(0)+IF(AND(Motore_Operativo!C245&gt;=EDATE(Parametri_v3!$C$24,Ipotesi!G14*12),Motore_Operativo!C245&lt;EDATE(Parametri_v3!$C$24,Parametri_v3!$C$25+Ipotesi!G14*12)),MAX(0,((IF(1-(INT((Ipotesi!$C$91)/30))&lt;1,0,INDEX(Motore_Operativo!$BQ$245:$BQ$304,MAX(1,1-(INT((Ipotesi!$C$91)/30)))))*(1-(MOD((Ipotesi!$C$91),30)/30))+IF(1-(INT((Ipotesi!$C$91)/30))-1&lt;1,0,INDEX(Motore_Operativo!$BQ$245:$BQ$304,MAX(1,1-(INT((Ipotesi!$C$91)/30))-1)))*(MOD((Ipotesi!$C$91),30)/30))+(IF(1-(INT((Ipotesi!$C$91)/30))&lt;1,0,INDEX(Motore_Operativo!$BR$245:$BR$304,MAX(1,1-(INT((Ipotesi!$C$91)/30)))))*(1-(MOD((Ipotesi!$C$91),30)/30))+IF(1-(INT((Ipotesi!$C$91)/30))-1&lt;1,0,INDEX(Motore_Operativo!$BR$245:$BR$304,MAX(1,1-(INT((Ipotesi!$C$91)/30))-1)))*(MOD((Ipotesi!$C$91),30)/30))))*Piano_SS!$D$9,0))</f>
        <v>0</v>
      </c>
      <c r="BZ245" s="15" t="n">
        <f aca="false">MIN(Piano_SS!$C$10,(0)+IF(AND(Motore_Operativo!C245&gt;=EDATE(Parametri_v3!$C$24,Ipotesi!G14*12),Motore_Operativo!C245&lt;EDATE(Parametri_v3!$C$24,Parametri_v3!$C$25+Ipotesi!G14*12)),MAX(0,(IF(1-(INT((Ipotesi!$C$91)/30))&lt;1,0,INDEX(Motore_Operativo!$BO$245:$BO$304,MAX(1,1-(INT((Ipotesi!$C$91)/30)))))*(1-(MOD((Ipotesi!$C$91),30)/30))+IF(1-(INT((Ipotesi!$C$91)/30))-1&lt;1,0,INDEX(Motore_Operativo!$BO$245:$BO$304,MAX(1,1-(INT((Ipotesi!$C$91)/30))-1)))*(MOD((Ipotesi!$C$91),30)/30)))*Piano_SS!$D$10,0))</f>
        <v>0</v>
      </c>
      <c r="CA245" s="15" t="n">
        <f aca="false">SUM(BV245:BZ245)</f>
        <v>0</v>
      </c>
      <c r="CB245" s="15" t="n">
        <f aca="false">BV245*(1-Piano_SS!$E$6)+BW245*(1-Piano_SS!$E$7)+BX245*(1-Piano_SS!$E$8)+BY245*(1-Piano_SS!$E$9)+BZ245*(1-Piano_SS!$E$10)</f>
        <v>0</v>
      </c>
      <c r="CC245" s="15" t="n">
        <f aca="false">(0)+BA245</f>
        <v>0</v>
      </c>
      <c r="CD245" s="15" t="n">
        <f aca="false">IF(CA245=0,0,CC245*CB245/CA245*Ipotesi!$C$103*Parametri_v3!$C$64)</f>
        <v>0</v>
      </c>
      <c r="CE245" s="18" t="n">
        <f aca="false">IF(BA245&gt;0,Motore_Operativo!C245,(0))</f>
        <v>0</v>
      </c>
      <c r="CF245" s="18" t="n">
        <f aca="false">IF(AND(CC245&gt;0,OR(CC245&gt;=CG245-0.01,Motore_Operativo!C245&gt;=EDATE(MAX(Finanziamenti!$D$15:$D$17),Ipotesi!G14*12))),CE245,0)</f>
        <v>0</v>
      </c>
      <c r="CG245" s="15" t="n">
        <f aca="false">IF(AND(5&lt;&gt;6,5&lt;&gt;9,Finanziamenti!$F$11=1,OR(Parametri_v3!$C$6=0,Finanziamenti!$E$11=1)),MIN(Finanziamenti!$C$11,Piano_SS!$C$12*Ipotesi!$C$102),0)</f>
        <v>400000</v>
      </c>
      <c r="CH245" s="15" t="n">
        <f aca="false">IF(AND(AND(5&lt;&gt;8,5&lt;&gt;9,Finanziamenti!$F$10=1,OR(Parametri_v3!$C$6=0,Finanziamenti!$E$10=1)),Motore_Operativo!C245&gt;=Finanziamenti!$D$10,Motore_Operativo!C245&lt;Parametri_v3!$C$63),Finanziamenti!$C$10,0)</f>
        <v>150000</v>
      </c>
    </row>
    <row r="246" customFormat="false" ht="18" hidden="false" customHeight="true" outlineLevel="0" collapsed="false">
      <c r="A246" s="68" t="n">
        <f aca="false">5</f>
        <v>5</v>
      </c>
      <c r="B246" s="68" t="n">
        <f aca="false">2</f>
        <v>2</v>
      </c>
      <c r="C246" s="18" t="n">
        <f aca="false">Motore_Operativo!C246</f>
        <v>46419</v>
      </c>
      <c r="D246" s="68" t="n">
        <f aca="false">Motore_Operativo!D246</f>
        <v>2027</v>
      </c>
      <c r="E246" s="68" t="n">
        <f aca="false">Motore_Operativo!E246</f>
        <v>2</v>
      </c>
      <c r="F246" s="15" t="n">
        <f aca="false">Motore_Operativo!AQ246+Motore_Operativo!BF246</f>
        <v>3712.5</v>
      </c>
      <c r="G246" s="15" t="n">
        <f aca="false">Motore_Operativo!BH246</f>
        <v>802.421052631579</v>
      </c>
      <c r="H246" s="15" t="n">
        <f aca="false">Motore_Operativo!BI246</f>
        <v>4514.92105263158</v>
      </c>
      <c r="I246" s="15" t="n">
        <f aca="false">Motore_Operativo!CA246</f>
        <v>16544.7392982456</v>
      </c>
      <c r="J246" s="15" t="n">
        <f aca="false">Motore_Operativo!CC246</f>
        <v>-12029.818245614</v>
      </c>
      <c r="K246" s="15" t="n">
        <f aca="false">Motore_Operativo!CE246</f>
        <v>1666.66666666667</v>
      </c>
      <c r="L246" s="15" t="n">
        <f aca="false">SUM(INDEX($K$245:$K$304,MAX(1,2-Parametri_v3!$C$59+1)):K246)/Parametri_v3!$C$59</f>
        <v>92.5925925925926</v>
      </c>
      <c r="M246" s="15" t="n">
        <f aca="false">J246-L246</f>
        <v>-12122.4108382066</v>
      </c>
      <c r="N246" s="15" t="n">
        <f aca="false">CD246-(CD245)</f>
        <v>0</v>
      </c>
      <c r="O246" s="15" t="n">
        <f aca="false">(BG245)*Ipotesi!$C$110/12+CH246*Parametri_v3!$C$39/12</f>
        <v>0</v>
      </c>
      <c r="P246" s="15" t="n">
        <f aca="false">M246+N246-O246</f>
        <v>-12122.4108382066</v>
      </c>
      <c r="Q246" s="15" t="n">
        <f aca="false">SUM(P245:P246)+Parametri_v3!$C$54*2/12</f>
        <v>-24198.525380117</v>
      </c>
      <c r="R246" s="15" t="n">
        <f aca="false">0</f>
        <v>0</v>
      </c>
      <c r="S246" s="15" t="n">
        <f aca="false">0</f>
        <v>0</v>
      </c>
      <c r="T246" s="15" t="n">
        <f aca="false">MIN(R246,MAX(0,Q246))</f>
        <v>0</v>
      </c>
      <c r="U246" s="15" t="n">
        <f aca="false">MIN(S246,MAX(0,Q246-T246)*Parametri_v3!$C$42)</f>
        <v>0</v>
      </c>
      <c r="V246" s="15" t="n">
        <f aca="false">MAX(0,Q246-T246-U246)*Ipotesi!$C$92</f>
        <v>0</v>
      </c>
      <c r="W246" s="15" t="n">
        <f aca="false">MAX(0,SUM(M245:M246)+Parametri_v3!$C$55*2/12)*Ipotesi!$C$93</f>
        <v>0</v>
      </c>
      <c r="X246" s="15" t="n">
        <f aca="false">V246+W246-(V245+W245)</f>
        <v>0</v>
      </c>
      <c r="Y246" s="15" t="n">
        <f aca="false">P246-X246</f>
        <v>-12122.4108382066</v>
      </c>
      <c r="Z246" s="15" t="n">
        <f aca="false">R246-T246+IF(AND(Parametri_v3!$C$40=1,D246-YEAR(Parametri_v3!$C$50)&lt;Parametri_v3!$C$41),MAX(0,-Q246),0)</f>
        <v>24198.525380117</v>
      </c>
      <c r="AA246" s="15" t="n">
        <f aca="false">S246-U246+IF(AND(Parametri_v3!$C$40=1,D246-YEAR(Parametri_v3!$C$50)&lt;Parametri_v3!$C$41),0,MAX(0,-Q246))</f>
        <v>0</v>
      </c>
      <c r="AB246" s="15" t="n">
        <f aca="false">F246*(1+Parametri_v3!$C$26)</f>
        <v>4529.25</v>
      </c>
      <c r="AC246" s="15" t="n">
        <f aca="false">(IF(2-(INT((Motore_Operativo!L246)/30))&lt;1,0,INDEX(Motore_Startup!$AB$245:$AB$304,MAX(1,2-(INT((Motore_Operativo!L246)/30)))))*(1-(MOD((Motore_Operativo!L246),30)/30))+IF(2-(INT((Motore_Operativo!L246)/30))-1&lt;1,0,INDEX(Motore_Startup!$AB$245:$AB$304,MAX(1,2-(INT((Motore_Operativo!L246)/30))-1)))*(MOD((Motore_Operativo!L246),30)/30))</f>
        <v>0</v>
      </c>
      <c r="AD246" s="15" t="n">
        <f aca="false">(AD245)+AB246-AC246</f>
        <v>9058.5</v>
      </c>
      <c r="AE246" s="15" t="n">
        <f aca="false">Motore_Operativo!BH246*(1+Parametri_v3!$C$26)</f>
        <v>978.953684210527</v>
      </c>
      <c r="AF246" s="15" t="n">
        <f aca="false">(IF(2-(INT((Parametri_v3!$C$29)/30))&lt;1,0,INDEX(Motore_Operativo!$BH$245:$BH$304,MAX(1,2-(INT((Parametri_v3!$C$29)/30)))))*(1-(MOD((Parametri_v3!$C$29),30)/30))+IF(2-(INT((Parametri_v3!$C$29)/30))-1&lt;1,0,INDEX(Motore_Operativo!$BH$245:$BH$304,MAX(1,2-(INT((Parametri_v3!$C$29)/30))-1)))*(MOD((Parametri_v3!$C$29),30)/30))*(1+Parametri_v3!$C$26)</f>
        <v>978.953684210527</v>
      </c>
      <c r="AG246" s="15" t="n">
        <f aca="false">(AG245)+AE246-AF246</f>
        <v>978.953684210527</v>
      </c>
      <c r="AH246" s="15" t="n">
        <f aca="false">(Motore_Operativo!CJ246)*(1+Parametri_v3!$C$27*Parametri_v3!$C$26)</f>
        <v>7199.83471368421</v>
      </c>
      <c r="AI246" s="15" t="n">
        <f aca="false">(IF(2-(INT((Ipotesi!$C$91)/30))&lt;1,0,INDEX(Motore_Startup!$AH$245:$AH$304,MAX(1,2-(INT((Ipotesi!$C$91)/30)))))*(1-(MOD((Ipotesi!$C$91),30)/30))+IF(2-(INT((Ipotesi!$C$91)/30))-1&lt;1,0,INDEX(Motore_Startup!$AH$245:$AH$304,MAX(1,2-(INT((Ipotesi!$C$91)/30))-1)))*(MOD((Ipotesi!$C$91),30)/30))</f>
        <v>0</v>
      </c>
      <c r="AJ246" s="15" t="n">
        <f aca="false">(AJ245)+AH246-AI246</f>
        <v>14399.6694273684</v>
      </c>
      <c r="AK246" s="15" t="n">
        <f aca="false">(F246+ Motore_Operativo!BH246-(Motore_Operativo!CJ246)*Parametri_v3!$C$27-Motore_Operativo!CE246)*Parametri_v3!$C$26</f>
        <v>-507.646117192982</v>
      </c>
      <c r="AL246" s="15" t="n">
        <f aca="false">MAX(0,(AM245))</f>
        <v>0</v>
      </c>
      <c r="AM246" s="15" t="n">
        <f aca="false">(AM245)+AK246-AL246</f>
        <v>-1015.29223438596</v>
      </c>
      <c r="AN246" s="15" t="n">
        <f aca="false">0</f>
        <v>0</v>
      </c>
      <c r="AO246" s="15" t="n">
        <f aca="false">0</f>
        <v>0</v>
      </c>
      <c r="AP246" s="15" t="n">
        <f aca="false">MAX(0,AN246)*IF(2=Parametri_v3!$C$43,Parametri_v3!$C$45,IF(2=Parametri_v3!$C$44,1-Parametri_v3!$C$45,0))</f>
        <v>0</v>
      </c>
      <c r="AQ246" s="15" t="n">
        <f aca="false">MAX(0,AP246+IF(2=Parametri_v3!$C$43,MAX(0,AN246-AO246),0)-MAX(0,-(AR245)))</f>
        <v>0</v>
      </c>
      <c r="AR246" s="15" t="n">
        <f aca="false">(AR245)+X246-AQ246</f>
        <v>0</v>
      </c>
      <c r="AS246" s="15" t="n">
        <f aca="false">Motore_Operativo!AB246-AT246+AU246</f>
        <v>9955.20833333333</v>
      </c>
      <c r="AT246" s="15" t="n">
        <f aca="false">Motore_Operativo!CH246</f>
        <v>523.958333333333</v>
      </c>
      <c r="AU246" s="15" t="n">
        <f aca="false">MIN(MAX(0,(AV245)+AT246),Parametri_v3!$C$60/12)</f>
        <v>0</v>
      </c>
      <c r="AV246" s="15" t="n">
        <f aca="false">(AV245)+AT246-AU246</f>
        <v>1047.91666666667</v>
      </c>
      <c r="AW246" s="15" t="n">
        <f aca="false">IF(AND(Motore_Operativo!C246=Finanziamenti!$D$6,Finanziamenti!$F$6=1),Finanziamenti!$C$6,0)</f>
        <v>0</v>
      </c>
      <c r="AX246" s="15" t="n">
        <f aca="false">IF(AND(5&lt;&gt;7,5&lt;&gt;9,Finanziamenti!$F$8=1,OR(Parametri_v3!$C$6=0,Finanziamenti!$E$8=1),Motore_Operativo!C246=EDATE(Finanziamenti!$D$8,Ipotesi!G15*12)),Finanziamenti!$C$8*1,0)+IF(AND(5&lt;&gt;7,5&lt;&gt;9,Finanziamenti!$F$9=1,OR(Parametri_v3!$C$6=0,Finanziamenti!$E$9=1),Motore_Operativo!C246=EDATE(Finanziamenti!$D$9,Ipotesi!G15*12)),Finanziamenti!$C$9*Ipotesi!G16,0)</f>
        <v>0</v>
      </c>
      <c r="AY246" s="15" t="n">
        <f aca="false">0</f>
        <v>0</v>
      </c>
      <c r="AZ246" s="15" t="n">
        <f aca="false">Motore_Advisory!AY246*(1-Ipotesi!$C$95)*Ipotesi!$C$96</f>
        <v>0</v>
      </c>
      <c r="BA246" s="15" t="n">
        <f aca="false">MAX(0,MIN(CG246*MIN(1,IF(Motore_Operativo!C246&gt;=EDATE(Finanziamenti!$D$15,Ipotesi!G14*12),Finanziamenti!$C$15,0)+IF(Motore_Operativo!C246&gt;=EDATE(Finanziamenti!$D$16,Ipotesi!G14*12),Finanziamenti!$C$16,0)+IF(Motore_Operativo!C246&gt;=EDATE(Finanziamenti!$D$17,Ipotesi!G14*12),Finanziamenti!$C$17,0)),CA246*Ipotesi!$C$102)-(CC245))</f>
        <v>0</v>
      </c>
      <c r="BB246" s="15" t="n">
        <f aca="false">IF(AND(CF246&gt;0,Motore_Operativo!C246&gt;=IF(CF246=0,0,EDATE(CF246,Parametri_v3!$C$37)),MOD(((D246-YEAR(IF(CF246=0,0,EDATE(CF246,Parametri_v3!$C$37))))*12+E246-MONTH(IF(CF246=0,0,EDATE(CF246,Parametri_v3!$C$37)))),Parametri_v3!$C$38)=0),MIN(MAX(0,(BC245)+BA246-N246),(CC246-CD246)/(Ipotesi!$C$108*12/Parametri_v3!$C$38)),0)</f>
        <v>0</v>
      </c>
      <c r="BC246" s="15" t="n">
        <f aca="false">(BC245)+BA246-N246-BB246</f>
        <v>0</v>
      </c>
      <c r="BD246" s="15" t="n">
        <f aca="false">(BH245)+AC246+AF246-AI246-AS246-K246*(1+Parametri_v3!$C$26)-AL246-AQ246-O246+AW246+AX246+AZ246+BA246-BB246</f>
        <v>107001.870350877</v>
      </c>
      <c r="BE246" s="15" t="n">
        <f aca="false">MAX(0,MIN(MAX(0,CH246-(BG245)),Parametri_v3!$C$30-BD246))</f>
        <v>0</v>
      </c>
      <c r="BF246" s="15" t="n">
        <f aca="false">IF(Motore_Operativo!C246&gt;=Parametri_v3!$C$63,(BG245),MIN((BG245),MAX(0,BD246-Parametri_v3!$C$30)))</f>
        <v>0</v>
      </c>
      <c r="BG246" s="15" t="n">
        <f aca="false">(BG245)+BE246-BF246</f>
        <v>0</v>
      </c>
      <c r="BH246" s="15" t="n">
        <f aca="false">BD246+BE246-BF246-AY246</f>
        <v>107001.870350877</v>
      </c>
      <c r="BI246" s="15" t="n">
        <f aca="false">MAX(0,Parametri_v3!$C$30-BH246)</f>
        <v>0</v>
      </c>
      <c r="BJ246" s="15" t="n">
        <f aca="false">(BJ245)+K246</f>
        <v>3333.33333333333</v>
      </c>
      <c r="BK246" s="15" t="n">
        <f aca="false">(BK245)+L246</f>
        <v>138.888888888889</v>
      </c>
      <c r="BL246" s="15" t="n">
        <f aca="false">BJ246-BK246</f>
        <v>3194.44444444445</v>
      </c>
      <c r="BM246" s="15" t="n">
        <f aca="false">(BM245)+Y246</f>
        <v>-24198.525380117</v>
      </c>
      <c r="BN246" s="15" t="n">
        <f aca="false">(BN245)+AW246+AX246+AZ246</f>
        <v>130000</v>
      </c>
      <c r="BO246" s="15" t="n">
        <f aca="false">(BO245)+AY246</f>
        <v>0</v>
      </c>
      <c r="BP246" s="15" t="n">
        <f aca="false">0</f>
        <v>0</v>
      </c>
      <c r="BQ246" s="15" t="n">
        <f aca="false">BN246+BM246-BO246</f>
        <v>105801.474619883</v>
      </c>
      <c r="BR246" s="15" t="n">
        <f aca="false">BH246+AD246+BL246+MAX(0,-AM246)+MAX(0,-AR246)+AG246</f>
        <v>121249.060713918</v>
      </c>
      <c r="BS246" s="15" t="n">
        <f aca="false">AJ246+AV246+MAX(0,AM246)+MAX(0,AR246)+BC246+BG246+BQ246</f>
        <v>121249.060713918</v>
      </c>
      <c r="BT246" s="15" t="n">
        <f aca="false">BR246-BS246</f>
        <v>0</v>
      </c>
      <c r="BU246" s="15" t="n">
        <f aca="false">BH246-(BD246+BE246-BF246-AY246)</f>
        <v>0</v>
      </c>
      <c r="BV246" s="15" t="n">
        <f aca="false">MIN(Piano_SS!$C$6,(BV245)+IF(AND(Motore_Operativo!C246&gt;=EDATE(Parametri_v3!$C$24,Ipotesi!G14*12),Motore_Operativo!C246&lt;EDATE(Parametri_v3!$C$24,Parametri_v3!$C$25+Ipotesi!G14*12)),MAX(0,(Motore_Operativo!Y246+Motore_Operativo!X246*Parametri_v3!$C$14)*(1-Parametri_v3!$C$32))*Piano_SS!$D$6,0))</f>
        <v>0</v>
      </c>
      <c r="BW246" s="15" t="n">
        <f aca="false">MIN(Piano_SS!$C$7,(BW245)+IF(AND(Motore_Operativo!C246&gt;=EDATE(Parametri_v3!$C$24,Ipotesi!G14*12),Motore_Operativo!C246&lt;EDATE(Parametri_v3!$C$24,Parametri_v3!$C$25+Ipotesi!G14*12)),MAX(0,(IF(2-(INT((Ipotesi!$C$91)/30))&lt;1,0,INDEX(Motore_Operativo!$BN$245:$BN$304,MAX(1,2-(INT((Ipotesi!$C$91)/30)))))*(1-(MOD((Ipotesi!$C$91),30)/30))+IF(2-(INT((Ipotesi!$C$91)/30))-1&lt;1,0,INDEX(Motore_Operativo!$BN$245:$BN$304,MAX(1,2-(INT((Ipotesi!$C$91)/30))-1)))*(MOD((Ipotesi!$C$91),30)/30)))*Piano_SS!$D$7,0))</f>
        <v>0</v>
      </c>
      <c r="BX246" s="15" t="n">
        <f aca="false">MIN(Piano_SS!$C$8,(BX245)+IF(AND(Motore_Operativo!C246&gt;=EDATE(Parametri_v3!$C$24,Ipotesi!G14*12),Motore_Operativo!C246&lt;EDATE(Parametri_v3!$C$24,Parametri_v3!$C$25+Ipotesi!G14*12)),MAX(0,Motore_Operativo!CE246)*Piano_SS!$D$8,0))</f>
        <v>0</v>
      </c>
      <c r="BY246" s="15" t="n">
        <f aca="false">MIN(Piano_SS!$C$9,(BY245)+IF(AND(Motore_Operativo!C246&gt;=EDATE(Parametri_v3!$C$24,Ipotesi!G14*12),Motore_Operativo!C246&lt;EDATE(Parametri_v3!$C$24,Parametri_v3!$C$25+Ipotesi!G14*12)),MAX(0,((IF(2-(INT((Ipotesi!$C$91)/30))&lt;1,0,INDEX(Motore_Operativo!$BQ$245:$BQ$304,MAX(1,2-(INT((Ipotesi!$C$91)/30)))))*(1-(MOD((Ipotesi!$C$91),30)/30))+IF(2-(INT((Ipotesi!$C$91)/30))-1&lt;1,0,INDEX(Motore_Operativo!$BQ$245:$BQ$304,MAX(1,2-(INT((Ipotesi!$C$91)/30))-1)))*(MOD((Ipotesi!$C$91),30)/30))+(IF(2-(INT((Ipotesi!$C$91)/30))&lt;1,0,INDEX(Motore_Operativo!$BR$245:$BR$304,MAX(1,2-(INT((Ipotesi!$C$91)/30)))))*(1-(MOD((Ipotesi!$C$91),30)/30))+IF(2-(INT((Ipotesi!$C$91)/30))-1&lt;1,0,INDEX(Motore_Operativo!$BR$245:$BR$304,MAX(1,2-(INT((Ipotesi!$C$91)/30))-1)))*(MOD((Ipotesi!$C$91),30)/30))))*Piano_SS!$D$9,0))</f>
        <v>0</v>
      </c>
      <c r="BZ246" s="15" t="n">
        <f aca="false">MIN(Piano_SS!$C$10,(BZ245)+IF(AND(Motore_Operativo!C246&gt;=EDATE(Parametri_v3!$C$24,Ipotesi!G14*12),Motore_Operativo!C246&lt;EDATE(Parametri_v3!$C$24,Parametri_v3!$C$25+Ipotesi!G14*12)),MAX(0,(IF(2-(INT((Ipotesi!$C$91)/30))&lt;1,0,INDEX(Motore_Operativo!$BO$245:$BO$304,MAX(1,2-(INT((Ipotesi!$C$91)/30)))))*(1-(MOD((Ipotesi!$C$91),30)/30))+IF(2-(INT((Ipotesi!$C$91)/30))-1&lt;1,0,INDEX(Motore_Operativo!$BO$245:$BO$304,MAX(1,2-(INT((Ipotesi!$C$91)/30))-1)))*(MOD((Ipotesi!$C$91),30)/30)))*Piano_SS!$D$10,0))</f>
        <v>0</v>
      </c>
      <c r="CA246" s="15" t="n">
        <f aca="false">SUM(BV246:BZ246)</f>
        <v>0</v>
      </c>
      <c r="CB246" s="15" t="n">
        <f aca="false">BV246*(1-Piano_SS!$E$6)+BW246*(1-Piano_SS!$E$7)+BX246*(1-Piano_SS!$E$8)+BY246*(1-Piano_SS!$E$9)+BZ246*(1-Piano_SS!$E$10)</f>
        <v>0</v>
      </c>
      <c r="CC246" s="15" t="n">
        <f aca="false">(CC245)+BA246</f>
        <v>0</v>
      </c>
      <c r="CD246" s="15" t="n">
        <f aca="false">IF(CA246=0,0,CC246*CB246/CA246*Ipotesi!$C$103*Parametri_v3!$C$64)</f>
        <v>0</v>
      </c>
      <c r="CE246" s="18" t="n">
        <f aca="false">IF(BA246&gt;0,Motore_Operativo!C246,(CE245))</f>
        <v>0</v>
      </c>
      <c r="CF246" s="18" t="n">
        <f aca="false">IF(AND(CC246&gt;0,OR(CC246&gt;=CG246-0.01,Motore_Operativo!C246&gt;=EDATE(MAX(Finanziamenti!$D$15:$D$17),Ipotesi!G14*12))),CE246,0)</f>
        <v>0</v>
      </c>
      <c r="CG246" s="15" t="n">
        <f aca="false">IF(AND(5&lt;&gt;6,5&lt;&gt;9,Finanziamenti!$F$11=1,OR(Parametri_v3!$C$6=0,Finanziamenti!$E$11=1)),MIN(Finanziamenti!$C$11,Piano_SS!$C$12*Ipotesi!$C$102),0)</f>
        <v>400000</v>
      </c>
      <c r="CH246" s="15" t="n">
        <f aca="false">IF(AND(AND(5&lt;&gt;8,5&lt;&gt;9,Finanziamenti!$F$10=1,OR(Parametri_v3!$C$6=0,Finanziamenti!$E$10=1)),Motore_Operativo!C246&gt;=Finanziamenti!$D$10,Motore_Operativo!C246&lt;Parametri_v3!$C$63),Finanziamenti!$C$10,0)</f>
        <v>150000</v>
      </c>
    </row>
    <row r="247" customFormat="false" ht="18" hidden="false" customHeight="true" outlineLevel="0" collapsed="false">
      <c r="A247" s="68" t="n">
        <f aca="false">5</f>
        <v>5</v>
      </c>
      <c r="B247" s="68" t="n">
        <f aca="false">3</f>
        <v>3</v>
      </c>
      <c r="C247" s="18" t="n">
        <f aca="false">Motore_Operativo!C247</f>
        <v>46447</v>
      </c>
      <c r="D247" s="68" t="n">
        <f aca="false">Motore_Operativo!D247</f>
        <v>2027</v>
      </c>
      <c r="E247" s="68" t="n">
        <f aca="false">Motore_Operativo!E247</f>
        <v>3</v>
      </c>
      <c r="F247" s="15" t="n">
        <f aca="false">Motore_Operativo!AQ247+Motore_Operativo!BF247</f>
        <v>3712.5</v>
      </c>
      <c r="G247" s="15" t="n">
        <f aca="false">Motore_Operativo!BH247</f>
        <v>802.421052631579</v>
      </c>
      <c r="H247" s="15" t="n">
        <f aca="false">Motore_Operativo!BI247</f>
        <v>4514.92105263158</v>
      </c>
      <c r="I247" s="15" t="n">
        <f aca="false">Motore_Operativo!CA247</f>
        <v>16544.7392982456</v>
      </c>
      <c r="J247" s="15" t="n">
        <f aca="false">Motore_Operativo!CC247</f>
        <v>-12029.818245614</v>
      </c>
      <c r="K247" s="15" t="n">
        <f aca="false">Motore_Operativo!CE247</f>
        <v>1666.66666666667</v>
      </c>
      <c r="L247" s="15" t="n">
        <f aca="false">SUM(INDEX($K$245:$K$304,MAX(1,3-Parametri_v3!$C$59+1)):K247)/Parametri_v3!$C$59</f>
        <v>138.888888888889</v>
      </c>
      <c r="M247" s="15" t="n">
        <f aca="false">J247-L247</f>
        <v>-12168.7071345029</v>
      </c>
      <c r="N247" s="15" t="n">
        <f aca="false">CD247-(CD246)</f>
        <v>0</v>
      </c>
      <c r="O247" s="15" t="n">
        <f aca="false">(BG246)*Ipotesi!$C$110/12+CH247*Parametri_v3!$C$39/12</f>
        <v>0</v>
      </c>
      <c r="P247" s="15" t="n">
        <f aca="false">M247+N247-O247</f>
        <v>-12168.7071345029</v>
      </c>
      <c r="Q247" s="15" t="n">
        <f aca="false">SUM(P245:P247)+Parametri_v3!$C$54*3/12</f>
        <v>-36367.2325146199</v>
      </c>
      <c r="R247" s="15" t="n">
        <f aca="false">0</f>
        <v>0</v>
      </c>
      <c r="S247" s="15" t="n">
        <f aca="false">0</f>
        <v>0</v>
      </c>
      <c r="T247" s="15" t="n">
        <f aca="false">MIN(R247,MAX(0,Q247))</f>
        <v>0</v>
      </c>
      <c r="U247" s="15" t="n">
        <f aca="false">MIN(S247,MAX(0,Q247-T247)*Parametri_v3!$C$42)</f>
        <v>0</v>
      </c>
      <c r="V247" s="15" t="n">
        <f aca="false">MAX(0,Q247-T247-U247)*Ipotesi!$C$92</f>
        <v>0</v>
      </c>
      <c r="W247" s="15" t="n">
        <f aca="false">MAX(0,SUM(M245:M247)+Parametri_v3!$C$55*3/12)*Ipotesi!$C$93</f>
        <v>0</v>
      </c>
      <c r="X247" s="15" t="n">
        <f aca="false">V247+W247-(V246+W246)</f>
        <v>0</v>
      </c>
      <c r="Y247" s="15" t="n">
        <f aca="false">P247-X247</f>
        <v>-12168.7071345029</v>
      </c>
      <c r="Z247" s="15" t="n">
        <f aca="false">R247-T247+IF(AND(Parametri_v3!$C$40=1,D247-YEAR(Parametri_v3!$C$50)&lt;Parametri_v3!$C$41),MAX(0,-Q247),0)</f>
        <v>36367.2325146199</v>
      </c>
      <c r="AA247" s="15" t="n">
        <f aca="false">S247-U247+IF(AND(Parametri_v3!$C$40=1,D247-YEAR(Parametri_v3!$C$50)&lt;Parametri_v3!$C$41),0,MAX(0,-Q247))</f>
        <v>0</v>
      </c>
      <c r="AB247" s="15" t="n">
        <f aca="false">F247*(1+Parametri_v3!$C$26)</f>
        <v>4529.25</v>
      </c>
      <c r="AC247" s="15" t="n">
        <f aca="false">(IF(3-(INT((Motore_Operativo!L247)/30))&lt;1,0,INDEX(Motore_Startup!$AB$245:$AB$304,MAX(1,3-(INT((Motore_Operativo!L247)/30)))))*(1-(MOD((Motore_Operativo!L247),30)/30))+IF(3-(INT((Motore_Operativo!L247)/30))-1&lt;1,0,INDEX(Motore_Startup!$AB$245:$AB$304,MAX(1,3-(INT((Motore_Operativo!L247)/30))-1)))*(MOD((Motore_Operativo!L247),30)/30))</f>
        <v>0</v>
      </c>
      <c r="AD247" s="15" t="n">
        <f aca="false">(AD246)+AB247-AC247</f>
        <v>13587.75</v>
      </c>
      <c r="AE247" s="15" t="n">
        <f aca="false">Motore_Operativo!BH247*(1+Parametri_v3!$C$26)</f>
        <v>978.953684210527</v>
      </c>
      <c r="AF247" s="15" t="n">
        <f aca="false">(IF(3-(INT((Parametri_v3!$C$29)/30))&lt;1,0,INDEX(Motore_Operativo!$BH$245:$BH$304,MAX(1,3-(INT((Parametri_v3!$C$29)/30)))))*(1-(MOD((Parametri_v3!$C$29),30)/30))+IF(3-(INT((Parametri_v3!$C$29)/30))-1&lt;1,0,INDEX(Motore_Operativo!$BH$245:$BH$304,MAX(1,3-(INT((Parametri_v3!$C$29)/30))-1)))*(MOD((Parametri_v3!$C$29),30)/30))*(1+Parametri_v3!$C$26)</f>
        <v>978.953684210527</v>
      </c>
      <c r="AG247" s="15" t="n">
        <f aca="false">(AG246)+AE247-AF247</f>
        <v>978.953684210527</v>
      </c>
      <c r="AH247" s="15" t="n">
        <f aca="false">(Motore_Operativo!CJ247)*(1+Parametri_v3!$C$27*Parametri_v3!$C$26)</f>
        <v>7199.83471368421</v>
      </c>
      <c r="AI247" s="15" t="n">
        <f aca="false">(IF(3-(INT((Ipotesi!$C$91)/30))&lt;1,0,INDEX(Motore_Startup!$AH$245:$AH$304,MAX(1,3-(INT((Ipotesi!$C$91)/30)))))*(1-(MOD((Ipotesi!$C$91),30)/30))+IF(3-(INT((Ipotesi!$C$91)/30))-1&lt;1,0,INDEX(Motore_Startup!$AH$245:$AH$304,MAX(1,3-(INT((Ipotesi!$C$91)/30))-1)))*(MOD((Ipotesi!$C$91),30)/30))</f>
        <v>7199.83471368421</v>
      </c>
      <c r="AJ247" s="15" t="n">
        <f aca="false">(AJ246)+AH247-AI247</f>
        <v>14399.6694273684</v>
      </c>
      <c r="AK247" s="15" t="n">
        <f aca="false">(F247+ Motore_Operativo!BH247-(Motore_Operativo!CJ247)*Parametri_v3!$C$27-Motore_Operativo!CE247)*Parametri_v3!$C$26</f>
        <v>-507.646117192982</v>
      </c>
      <c r="AL247" s="15" t="n">
        <f aca="false">MAX(0,(AM246))</f>
        <v>0</v>
      </c>
      <c r="AM247" s="15" t="n">
        <f aca="false">(AM246)+AK247-AL247</f>
        <v>-1522.93835157895</v>
      </c>
      <c r="AN247" s="15" t="n">
        <f aca="false">0</f>
        <v>0</v>
      </c>
      <c r="AO247" s="15" t="n">
        <f aca="false">0</f>
        <v>0</v>
      </c>
      <c r="AP247" s="15" t="n">
        <f aca="false">MAX(0,AN247)*IF(3=Parametri_v3!$C$43,Parametri_v3!$C$45,IF(3=Parametri_v3!$C$44,1-Parametri_v3!$C$45,0))</f>
        <v>0</v>
      </c>
      <c r="AQ247" s="15" t="n">
        <f aca="false">MAX(0,AP247+IF(3=Parametri_v3!$C$43,MAX(0,AN247-AO247),0)-MAX(0,-(AR246)))</f>
        <v>0</v>
      </c>
      <c r="AR247" s="15" t="n">
        <f aca="false">(AR246)+X247-AQ247</f>
        <v>0</v>
      </c>
      <c r="AS247" s="15" t="n">
        <f aca="false">Motore_Operativo!AB247-AT247+AU247</f>
        <v>9955.20833333333</v>
      </c>
      <c r="AT247" s="15" t="n">
        <f aca="false">Motore_Operativo!CH247</f>
        <v>523.958333333333</v>
      </c>
      <c r="AU247" s="15" t="n">
        <f aca="false">MIN(MAX(0,(AV246)+AT247),Parametri_v3!$C$60/12)</f>
        <v>0</v>
      </c>
      <c r="AV247" s="15" t="n">
        <f aca="false">(AV246)+AT247-AU247</f>
        <v>1571.875</v>
      </c>
      <c r="AW247" s="15" t="n">
        <f aca="false">IF(AND(Motore_Operativo!C247=Finanziamenti!$D$6,Finanziamenti!$F$6=1),Finanziamenti!$C$6,0)</f>
        <v>0</v>
      </c>
      <c r="AX247" s="15" t="n">
        <f aca="false">IF(AND(5&lt;&gt;7,5&lt;&gt;9,Finanziamenti!$F$8=1,OR(Parametri_v3!$C$6=0,Finanziamenti!$E$8=1),Motore_Operativo!C247=EDATE(Finanziamenti!$D$8,Ipotesi!G15*12)),Finanziamenti!$C$8*1,0)+IF(AND(5&lt;&gt;7,5&lt;&gt;9,Finanziamenti!$F$9=1,OR(Parametri_v3!$C$6=0,Finanziamenti!$E$9=1),Motore_Operativo!C247=EDATE(Finanziamenti!$D$9,Ipotesi!G15*12)),Finanziamenti!$C$9*Ipotesi!G16,0)</f>
        <v>0</v>
      </c>
      <c r="AY247" s="15" t="n">
        <f aca="false">0</f>
        <v>0</v>
      </c>
      <c r="AZ247" s="15" t="n">
        <f aca="false">Motore_Advisory!AY247*(1-Ipotesi!$C$95)*Ipotesi!$C$96</f>
        <v>0</v>
      </c>
      <c r="BA247" s="15" t="n">
        <f aca="false">MAX(0,MIN(CG247*MIN(1,IF(Motore_Operativo!C247&gt;=EDATE(Finanziamenti!$D$15,Ipotesi!G14*12),Finanziamenti!$C$15,0)+IF(Motore_Operativo!C247&gt;=EDATE(Finanziamenti!$D$16,Ipotesi!G14*12),Finanziamenti!$C$16,0)+IF(Motore_Operativo!C247&gt;=EDATE(Finanziamenti!$D$17,Ipotesi!G14*12),Finanziamenti!$C$17,0)),CA247*Ipotesi!$C$102)-(CC246))</f>
        <v>0</v>
      </c>
      <c r="BB247" s="15" t="n">
        <f aca="false">IF(AND(CF247&gt;0,Motore_Operativo!C247&gt;=IF(CF247=0,0,EDATE(CF247,Parametri_v3!$C$37)),MOD(((D247-YEAR(IF(CF247=0,0,EDATE(CF247,Parametri_v3!$C$37))))*12+E247-MONTH(IF(CF247=0,0,EDATE(CF247,Parametri_v3!$C$37)))),Parametri_v3!$C$38)=0),MIN(MAX(0,(BC246)+BA247-N247),(CC247-CD247)/(Ipotesi!$C$108*12/Parametri_v3!$C$38)),0)</f>
        <v>0</v>
      </c>
      <c r="BC247" s="15" t="n">
        <f aca="false">(BC246)+BA247-N247-BB247</f>
        <v>0</v>
      </c>
      <c r="BD247" s="15" t="n">
        <f aca="false">(BH246)+AC247+AF247-AI247-AS247-K247*(1+Parametri_v3!$C$26)-AL247-AQ247-O247+AW247+AX247+AZ247+BA247-BB247</f>
        <v>88792.4476547369</v>
      </c>
      <c r="BE247" s="15" t="n">
        <f aca="false">MAX(0,MIN(MAX(0,CH247-(BG246)),Parametri_v3!$C$30-BD247))</f>
        <v>0</v>
      </c>
      <c r="BF247" s="15" t="n">
        <f aca="false">IF(Motore_Operativo!C247&gt;=Parametri_v3!$C$63,(BG246),MIN((BG246),MAX(0,BD247-Parametri_v3!$C$30)))</f>
        <v>0</v>
      </c>
      <c r="BG247" s="15" t="n">
        <f aca="false">(BG246)+BE247-BF247</f>
        <v>0</v>
      </c>
      <c r="BH247" s="15" t="n">
        <f aca="false">BD247+BE247-BF247-AY247</f>
        <v>88792.4476547369</v>
      </c>
      <c r="BI247" s="15" t="n">
        <f aca="false">MAX(0,Parametri_v3!$C$30-BH247)</f>
        <v>0</v>
      </c>
      <c r="BJ247" s="15" t="n">
        <f aca="false">(BJ246)+K247</f>
        <v>5000</v>
      </c>
      <c r="BK247" s="15" t="n">
        <f aca="false">(BK246)+L247</f>
        <v>277.777777777778</v>
      </c>
      <c r="BL247" s="15" t="n">
        <f aca="false">BJ247-BK247</f>
        <v>4722.22222222222</v>
      </c>
      <c r="BM247" s="15" t="n">
        <f aca="false">(BM246)+Y247</f>
        <v>-36367.2325146199</v>
      </c>
      <c r="BN247" s="15" t="n">
        <f aca="false">(BN246)+AW247+AX247+AZ247</f>
        <v>130000</v>
      </c>
      <c r="BO247" s="15" t="n">
        <f aca="false">(BO246)+AY247</f>
        <v>0</v>
      </c>
      <c r="BP247" s="15" t="n">
        <f aca="false">0</f>
        <v>0</v>
      </c>
      <c r="BQ247" s="15" t="n">
        <f aca="false">BN247+BM247-BO247</f>
        <v>93632.7674853801</v>
      </c>
      <c r="BR247" s="15" t="n">
        <f aca="false">BH247+AD247+BL247+MAX(0,-AM247)+MAX(0,-AR247)+AG247</f>
        <v>109604.311912749</v>
      </c>
      <c r="BS247" s="15" t="n">
        <f aca="false">AJ247+AV247+MAX(0,AM247)+MAX(0,AR247)+BC247+BG247+BQ247</f>
        <v>109604.311912749</v>
      </c>
      <c r="BT247" s="15" t="n">
        <f aca="false">BR247-BS247</f>
        <v>0</v>
      </c>
      <c r="BU247" s="15" t="n">
        <f aca="false">BH247-(BD247+BE247-BF247-AY247)</f>
        <v>0</v>
      </c>
      <c r="BV247" s="15" t="n">
        <f aca="false">MIN(Piano_SS!$C$6,(BV246)+IF(AND(Motore_Operativo!C247&gt;=EDATE(Parametri_v3!$C$24,Ipotesi!G14*12),Motore_Operativo!C247&lt;EDATE(Parametri_v3!$C$24,Parametri_v3!$C$25+Ipotesi!G14*12)),MAX(0,(Motore_Operativo!Y247+Motore_Operativo!X247*Parametri_v3!$C$14)*(1-Parametri_v3!$C$32))*Piano_SS!$D$6,0))</f>
        <v>0</v>
      </c>
      <c r="BW247" s="15" t="n">
        <f aca="false">MIN(Piano_SS!$C$7,(BW246)+IF(AND(Motore_Operativo!C247&gt;=EDATE(Parametri_v3!$C$24,Ipotesi!G14*12),Motore_Operativo!C247&lt;EDATE(Parametri_v3!$C$24,Parametri_v3!$C$25+Ipotesi!G14*12)),MAX(0,(IF(3-(INT((Ipotesi!$C$91)/30))&lt;1,0,INDEX(Motore_Operativo!$BN$245:$BN$304,MAX(1,3-(INT((Ipotesi!$C$91)/30)))))*(1-(MOD((Ipotesi!$C$91),30)/30))+IF(3-(INT((Ipotesi!$C$91)/30))-1&lt;1,0,INDEX(Motore_Operativo!$BN$245:$BN$304,MAX(1,3-(INT((Ipotesi!$C$91)/30))-1)))*(MOD((Ipotesi!$C$91),30)/30)))*Piano_SS!$D$7,0))</f>
        <v>0</v>
      </c>
      <c r="BX247" s="15" t="n">
        <f aca="false">MIN(Piano_SS!$C$8,(BX246)+IF(AND(Motore_Operativo!C247&gt;=EDATE(Parametri_v3!$C$24,Ipotesi!G14*12),Motore_Operativo!C247&lt;EDATE(Parametri_v3!$C$24,Parametri_v3!$C$25+Ipotesi!G14*12)),MAX(0,Motore_Operativo!CE247)*Piano_SS!$D$8,0))</f>
        <v>0</v>
      </c>
      <c r="BY247" s="15" t="n">
        <f aca="false">MIN(Piano_SS!$C$9,(BY246)+IF(AND(Motore_Operativo!C247&gt;=EDATE(Parametri_v3!$C$24,Ipotesi!G14*12),Motore_Operativo!C247&lt;EDATE(Parametri_v3!$C$24,Parametri_v3!$C$25+Ipotesi!G14*12)),MAX(0,((IF(3-(INT((Ipotesi!$C$91)/30))&lt;1,0,INDEX(Motore_Operativo!$BQ$245:$BQ$304,MAX(1,3-(INT((Ipotesi!$C$91)/30)))))*(1-(MOD((Ipotesi!$C$91),30)/30))+IF(3-(INT((Ipotesi!$C$91)/30))-1&lt;1,0,INDEX(Motore_Operativo!$BQ$245:$BQ$304,MAX(1,3-(INT((Ipotesi!$C$91)/30))-1)))*(MOD((Ipotesi!$C$91),30)/30))+(IF(3-(INT((Ipotesi!$C$91)/30))&lt;1,0,INDEX(Motore_Operativo!$BR$245:$BR$304,MAX(1,3-(INT((Ipotesi!$C$91)/30)))))*(1-(MOD((Ipotesi!$C$91),30)/30))+IF(3-(INT((Ipotesi!$C$91)/30))-1&lt;1,0,INDEX(Motore_Operativo!$BR$245:$BR$304,MAX(1,3-(INT((Ipotesi!$C$91)/30))-1)))*(MOD((Ipotesi!$C$91),30)/30))))*Piano_SS!$D$9,0))</f>
        <v>0</v>
      </c>
      <c r="BZ247" s="15" t="n">
        <f aca="false">MIN(Piano_SS!$C$10,(BZ246)+IF(AND(Motore_Operativo!C247&gt;=EDATE(Parametri_v3!$C$24,Ipotesi!G14*12),Motore_Operativo!C247&lt;EDATE(Parametri_v3!$C$24,Parametri_v3!$C$25+Ipotesi!G14*12)),MAX(0,(IF(3-(INT((Ipotesi!$C$91)/30))&lt;1,0,INDEX(Motore_Operativo!$BO$245:$BO$304,MAX(1,3-(INT((Ipotesi!$C$91)/30)))))*(1-(MOD((Ipotesi!$C$91),30)/30))+IF(3-(INT((Ipotesi!$C$91)/30))-1&lt;1,0,INDEX(Motore_Operativo!$BO$245:$BO$304,MAX(1,3-(INT((Ipotesi!$C$91)/30))-1)))*(MOD((Ipotesi!$C$91),30)/30)))*Piano_SS!$D$10,0))</f>
        <v>0</v>
      </c>
      <c r="CA247" s="15" t="n">
        <f aca="false">SUM(BV247:BZ247)</f>
        <v>0</v>
      </c>
      <c r="CB247" s="15" t="n">
        <f aca="false">BV247*(1-Piano_SS!$E$6)+BW247*(1-Piano_SS!$E$7)+BX247*(1-Piano_SS!$E$8)+BY247*(1-Piano_SS!$E$9)+BZ247*(1-Piano_SS!$E$10)</f>
        <v>0</v>
      </c>
      <c r="CC247" s="15" t="n">
        <f aca="false">(CC246)+BA247</f>
        <v>0</v>
      </c>
      <c r="CD247" s="15" t="n">
        <f aca="false">IF(CA247=0,0,CC247*CB247/CA247*Ipotesi!$C$103*Parametri_v3!$C$64)</f>
        <v>0</v>
      </c>
      <c r="CE247" s="18" t="n">
        <f aca="false">IF(BA247&gt;0,Motore_Operativo!C247,(CE246))</f>
        <v>0</v>
      </c>
      <c r="CF247" s="18" t="n">
        <f aca="false">IF(AND(CC247&gt;0,OR(CC247&gt;=CG247-0.01,Motore_Operativo!C247&gt;=EDATE(MAX(Finanziamenti!$D$15:$D$17),Ipotesi!G14*12))),CE247,0)</f>
        <v>0</v>
      </c>
      <c r="CG247" s="15" t="n">
        <f aca="false">IF(AND(5&lt;&gt;6,5&lt;&gt;9,Finanziamenti!$F$11=1,OR(Parametri_v3!$C$6=0,Finanziamenti!$E$11=1)),MIN(Finanziamenti!$C$11,Piano_SS!$C$12*Ipotesi!$C$102),0)</f>
        <v>400000</v>
      </c>
      <c r="CH247" s="15" t="n">
        <f aca="false">IF(AND(AND(5&lt;&gt;8,5&lt;&gt;9,Finanziamenti!$F$10=1,OR(Parametri_v3!$C$6=0,Finanziamenti!$E$10=1)),Motore_Operativo!C247&gt;=Finanziamenti!$D$10,Motore_Operativo!C247&lt;Parametri_v3!$C$63),Finanziamenti!$C$10,0)</f>
        <v>150000</v>
      </c>
    </row>
    <row r="248" customFormat="false" ht="18" hidden="false" customHeight="true" outlineLevel="0" collapsed="false">
      <c r="A248" s="68" t="n">
        <f aca="false">5</f>
        <v>5</v>
      </c>
      <c r="B248" s="68" t="n">
        <f aca="false">4</f>
        <v>4</v>
      </c>
      <c r="C248" s="18" t="n">
        <f aca="false">Motore_Operativo!C248</f>
        <v>46478</v>
      </c>
      <c r="D248" s="68" t="n">
        <f aca="false">Motore_Operativo!D248</f>
        <v>2027</v>
      </c>
      <c r="E248" s="68" t="n">
        <f aca="false">Motore_Operativo!E248</f>
        <v>4</v>
      </c>
      <c r="F248" s="15" t="n">
        <f aca="false">Motore_Operativo!AQ248+Motore_Operativo!BF248</f>
        <v>3721.85096153846</v>
      </c>
      <c r="G248" s="15" t="n">
        <f aca="false">Motore_Operativo!BH248</f>
        <v>802.421052631579</v>
      </c>
      <c r="H248" s="15" t="n">
        <f aca="false">Motore_Operativo!BI248</f>
        <v>4524.27201417004</v>
      </c>
      <c r="I248" s="15" t="n">
        <f aca="false">Motore_Operativo!CA248</f>
        <v>16546.048432861</v>
      </c>
      <c r="J248" s="15" t="n">
        <f aca="false">Motore_Operativo!CC248</f>
        <v>-12021.776418691</v>
      </c>
      <c r="K248" s="15" t="n">
        <f aca="false">Motore_Operativo!CE248</f>
        <v>1666.66666666667</v>
      </c>
      <c r="L248" s="15" t="n">
        <f aca="false">SUM(INDEX($K$245:$K$304,MAX(1,4-Parametri_v3!$C$59+1)):K248)/Parametri_v3!$C$59</f>
        <v>185.185185185185</v>
      </c>
      <c r="M248" s="15" t="n">
        <f aca="false">J248-L248</f>
        <v>-12206.9616038761</v>
      </c>
      <c r="N248" s="15" t="n">
        <f aca="false">CD248-(CD247)</f>
        <v>0</v>
      </c>
      <c r="O248" s="15" t="n">
        <f aca="false">(BG247)*Ipotesi!$C$110/12+CH248*Parametri_v3!$C$39/12</f>
        <v>0</v>
      </c>
      <c r="P248" s="15" t="n">
        <f aca="false">M248+N248-O248</f>
        <v>-12206.9616038761</v>
      </c>
      <c r="Q248" s="15" t="n">
        <f aca="false">SUM(P245:P248)+Parametri_v3!$C$54*4/12</f>
        <v>-48574.194118496</v>
      </c>
      <c r="R248" s="15" t="n">
        <f aca="false">0</f>
        <v>0</v>
      </c>
      <c r="S248" s="15" t="n">
        <f aca="false">0</f>
        <v>0</v>
      </c>
      <c r="T248" s="15" t="n">
        <f aca="false">MIN(R248,MAX(0,Q248))</f>
        <v>0</v>
      </c>
      <c r="U248" s="15" t="n">
        <f aca="false">MIN(S248,MAX(0,Q248-T248)*Parametri_v3!$C$42)</f>
        <v>0</v>
      </c>
      <c r="V248" s="15" t="n">
        <f aca="false">MAX(0,Q248-T248-U248)*Ipotesi!$C$92</f>
        <v>0</v>
      </c>
      <c r="W248" s="15" t="n">
        <f aca="false">MAX(0,SUM(M245:M248)+Parametri_v3!$C$55*4/12)*Ipotesi!$C$93</f>
        <v>0</v>
      </c>
      <c r="X248" s="15" t="n">
        <f aca="false">V248+W248-(V247+W247)</f>
        <v>0</v>
      </c>
      <c r="Y248" s="15" t="n">
        <f aca="false">P248-X248</f>
        <v>-12206.9616038761</v>
      </c>
      <c r="Z248" s="15" t="n">
        <f aca="false">R248-T248+IF(AND(Parametri_v3!$C$40=1,D248-YEAR(Parametri_v3!$C$50)&lt;Parametri_v3!$C$41),MAX(0,-Q248),0)</f>
        <v>48574.194118496</v>
      </c>
      <c r="AA248" s="15" t="n">
        <f aca="false">S248-U248+IF(AND(Parametri_v3!$C$40=1,D248-YEAR(Parametri_v3!$C$50)&lt;Parametri_v3!$C$41),0,MAX(0,-Q248))</f>
        <v>0</v>
      </c>
      <c r="AB248" s="15" t="n">
        <f aca="false">F248*(1+Parametri_v3!$C$26)</f>
        <v>4540.65817307692</v>
      </c>
      <c r="AC248" s="15" t="n">
        <f aca="false">(IF(4-(INT((Motore_Operativo!L248)/30))&lt;1,0,INDEX(Motore_Startup!$AB$245:$AB$304,MAX(1,4-(INT((Motore_Operativo!L248)/30)))))*(1-(MOD((Motore_Operativo!L248),30)/30))+IF(4-(INT((Motore_Operativo!L248)/30))-1&lt;1,0,INDEX(Motore_Startup!$AB$245:$AB$304,MAX(1,4-(INT((Motore_Operativo!L248)/30))-1)))*(MOD((Motore_Operativo!L248),30)/30))</f>
        <v>0</v>
      </c>
      <c r="AD248" s="15" t="n">
        <f aca="false">(AD247)+AB248-AC248</f>
        <v>18128.4081730769</v>
      </c>
      <c r="AE248" s="15" t="n">
        <f aca="false">Motore_Operativo!BH248*(1+Parametri_v3!$C$26)</f>
        <v>978.953684210527</v>
      </c>
      <c r="AF248" s="15" t="n">
        <f aca="false">(IF(4-(INT((Parametri_v3!$C$29)/30))&lt;1,0,INDEX(Motore_Operativo!$BH$245:$BH$304,MAX(1,4-(INT((Parametri_v3!$C$29)/30)))))*(1-(MOD((Parametri_v3!$C$29),30)/30))+IF(4-(INT((Parametri_v3!$C$29)/30))-1&lt;1,0,INDEX(Motore_Operativo!$BH$245:$BH$304,MAX(1,4-(INT((Parametri_v3!$C$29)/30))-1)))*(MOD((Parametri_v3!$C$29),30)/30))*(1+Parametri_v3!$C$26)</f>
        <v>978.953684210527</v>
      </c>
      <c r="AG248" s="15" t="n">
        <f aca="false">(AG247)+AE248-AF248</f>
        <v>978.953684210527</v>
      </c>
      <c r="AH248" s="15" t="n">
        <f aca="false">(Motore_Operativo!CJ248)*(1+Parametri_v3!$C$27*Parametri_v3!$C$26)</f>
        <v>7201.38865647267</v>
      </c>
      <c r="AI248" s="15" t="n">
        <f aca="false">(IF(4-(INT((Ipotesi!$C$91)/30))&lt;1,0,INDEX(Motore_Startup!$AH$245:$AH$304,MAX(1,4-(INT((Ipotesi!$C$91)/30)))))*(1-(MOD((Ipotesi!$C$91),30)/30))+IF(4-(INT((Ipotesi!$C$91)/30))-1&lt;1,0,INDEX(Motore_Startup!$AH$245:$AH$304,MAX(1,4-(INT((Ipotesi!$C$91)/30))-1)))*(MOD((Ipotesi!$C$91),30)/30))</f>
        <v>7199.83471368421</v>
      </c>
      <c r="AJ248" s="15" t="n">
        <f aca="false">(AJ247)+AH248-AI248</f>
        <v>14401.2233701569</v>
      </c>
      <c r="AK248" s="15" t="n">
        <f aca="false">(F248+ Motore_Operativo!BH248-(Motore_Operativo!CJ248)*Parametri_v3!$C$27-Motore_Operativo!CE248)*Parametri_v3!$C$26</f>
        <v>-505.833713827597</v>
      </c>
      <c r="AL248" s="15" t="n">
        <f aca="false">MAX(0,(AM247))</f>
        <v>0</v>
      </c>
      <c r="AM248" s="15" t="n">
        <f aca="false">(AM247)+AK248-AL248</f>
        <v>-2028.77206540654</v>
      </c>
      <c r="AN248" s="15" t="n">
        <f aca="false">0</f>
        <v>0</v>
      </c>
      <c r="AO248" s="15" t="n">
        <f aca="false">0</f>
        <v>0</v>
      </c>
      <c r="AP248" s="15" t="n">
        <f aca="false">MAX(0,AN248)*IF(4=Parametri_v3!$C$43,Parametri_v3!$C$45,IF(4=Parametri_v3!$C$44,1-Parametri_v3!$C$45,0))</f>
        <v>0</v>
      </c>
      <c r="AQ248" s="15" t="n">
        <f aca="false">MAX(0,AP248+IF(4=Parametri_v3!$C$43,MAX(0,AN248-AO248),0)-MAX(0,-(AR247)))</f>
        <v>0</v>
      </c>
      <c r="AR248" s="15" t="n">
        <f aca="false">(AR247)+X248-AQ248</f>
        <v>0</v>
      </c>
      <c r="AS248" s="15" t="n">
        <f aca="false">Motore_Operativo!AB248-AT248+AU248</f>
        <v>9955.20833333333</v>
      </c>
      <c r="AT248" s="15" t="n">
        <f aca="false">Motore_Operativo!CH248</f>
        <v>523.958333333333</v>
      </c>
      <c r="AU248" s="15" t="n">
        <f aca="false">MIN(MAX(0,(AV247)+AT248),Parametri_v3!$C$60/12)</f>
        <v>0</v>
      </c>
      <c r="AV248" s="15" t="n">
        <f aca="false">(AV247)+AT248-AU248</f>
        <v>2095.83333333333</v>
      </c>
      <c r="AW248" s="15" t="n">
        <f aca="false">IF(AND(Motore_Operativo!C248=Finanziamenti!$D$6,Finanziamenti!$F$6=1),Finanziamenti!$C$6,0)</f>
        <v>0</v>
      </c>
      <c r="AX248" s="15" t="n">
        <f aca="false">IF(AND(5&lt;&gt;7,5&lt;&gt;9,Finanziamenti!$F$8=1,OR(Parametri_v3!$C$6=0,Finanziamenti!$E$8=1),Motore_Operativo!C248=EDATE(Finanziamenti!$D$8,Ipotesi!G15*12)),Finanziamenti!$C$8*1,0)+IF(AND(5&lt;&gt;7,5&lt;&gt;9,Finanziamenti!$F$9=1,OR(Parametri_v3!$C$6=0,Finanziamenti!$E$9=1),Motore_Operativo!C248=EDATE(Finanziamenti!$D$9,Ipotesi!G15*12)),Finanziamenti!$C$9*Ipotesi!G16,0)</f>
        <v>0</v>
      </c>
      <c r="AY248" s="15" t="n">
        <f aca="false">0</f>
        <v>0</v>
      </c>
      <c r="AZ248" s="15" t="n">
        <f aca="false">Motore_Advisory!AY248*(1-Ipotesi!$C$95)*Ipotesi!$C$96</f>
        <v>0</v>
      </c>
      <c r="BA248" s="15" t="n">
        <f aca="false">MAX(0,MIN(CG248*MIN(1,IF(Motore_Operativo!C248&gt;=EDATE(Finanziamenti!$D$15,Ipotesi!G14*12),Finanziamenti!$C$15,0)+IF(Motore_Operativo!C248&gt;=EDATE(Finanziamenti!$D$16,Ipotesi!G14*12),Finanziamenti!$C$16,0)+IF(Motore_Operativo!C248&gt;=EDATE(Finanziamenti!$D$17,Ipotesi!G14*12),Finanziamenti!$C$17,0)),CA248*Ipotesi!$C$102)-(CC247))</f>
        <v>0</v>
      </c>
      <c r="BB248" s="15" t="n">
        <f aca="false">IF(AND(CF248&gt;0,Motore_Operativo!C248&gt;=IF(CF248=0,0,EDATE(CF248,Parametri_v3!$C$37)),MOD(((D248-YEAR(IF(CF248=0,0,EDATE(CF248,Parametri_v3!$C$37))))*12+E248-MONTH(IF(CF248=0,0,EDATE(CF248,Parametri_v3!$C$37)))),Parametri_v3!$C$38)=0),MIN(MAX(0,(BC247)+BA248-N248),(CC248-CD248)/(Ipotesi!$C$108*12/Parametri_v3!$C$38)),0)</f>
        <v>0</v>
      </c>
      <c r="BC248" s="15" t="n">
        <f aca="false">(BC247)+BA248-N248-BB248</f>
        <v>0</v>
      </c>
      <c r="BD248" s="15" t="n">
        <f aca="false">(BH247)+AC248+AF248-AI248-AS248-K248*(1+Parametri_v3!$C$26)-AL248-AQ248-O248+AW248+AX248+AZ248+BA248-BB248</f>
        <v>70583.0249585965</v>
      </c>
      <c r="BE248" s="15" t="n">
        <f aca="false">MAX(0,MIN(MAX(0,CH248-(BG247)),Parametri_v3!$C$30-BD248))</f>
        <v>0</v>
      </c>
      <c r="BF248" s="15" t="n">
        <f aca="false">IF(Motore_Operativo!C248&gt;=Parametri_v3!$C$63,(BG247),MIN((BG247),MAX(0,BD248-Parametri_v3!$C$30)))</f>
        <v>0</v>
      </c>
      <c r="BG248" s="15" t="n">
        <f aca="false">(BG247)+BE248-BF248</f>
        <v>0</v>
      </c>
      <c r="BH248" s="15" t="n">
        <f aca="false">BD248+BE248-BF248-AY248</f>
        <v>70583.0249585965</v>
      </c>
      <c r="BI248" s="15" t="n">
        <f aca="false">MAX(0,Parametri_v3!$C$30-BH248)</f>
        <v>0</v>
      </c>
      <c r="BJ248" s="15" t="n">
        <f aca="false">(BJ247)+K248</f>
        <v>6666.66666666667</v>
      </c>
      <c r="BK248" s="15" t="n">
        <f aca="false">(BK247)+L248</f>
        <v>462.962962962963</v>
      </c>
      <c r="BL248" s="15" t="n">
        <f aca="false">BJ248-BK248</f>
        <v>6203.7037037037</v>
      </c>
      <c r="BM248" s="15" t="n">
        <f aca="false">(BM247)+Y248</f>
        <v>-48574.194118496</v>
      </c>
      <c r="BN248" s="15" t="n">
        <f aca="false">(BN247)+AW248+AX248+AZ248</f>
        <v>130000</v>
      </c>
      <c r="BO248" s="15" t="n">
        <f aca="false">(BO247)+AY248</f>
        <v>0</v>
      </c>
      <c r="BP248" s="15" t="n">
        <f aca="false">0</f>
        <v>0</v>
      </c>
      <c r="BQ248" s="15" t="n">
        <f aca="false">BN248+BM248-BO248</f>
        <v>81425.805881504</v>
      </c>
      <c r="BR248" s="15" t="n">
        <f aca="false">BH248+AD248+BL248+MAX(0,-AM248)+MAX(0,-AR248)+AG248</f>
        <v>97922.8625849943</v>
      </c>
      <c r="BS248" s="15" t="n">
        <f aca="false">AJ248+AV248+MAX(0,AM248)+MAX(0,AR248)+BC248+BG248+BQ248</f>
        <v>97922.8625849942</v>
      </c>
      <c r="BT248" s="15" t="n">
        <f aca="false">BR248-BS248</f>
        <v>0</v>
      </c>
      <c r="BU248" s="15" t="n">
        <f aca="false">BH248-(BD248+BE248-BF248-AY248)</f>
        <v>0</v>
      </c>
      <c r="BV248" s="15" t="n">
        <f aca="false">MIN(Piano_SS!$C$6,(BV247)+IF(AND(Motore_Operativo!C248&gt;=EDATE(Parametri_v3!$C$24,Ipotesi!G14*12),Motore_Operativo!C248&lt;EDATE(Parametri_v3!$C$24,Parametri_v3!$C$25+Ipotesi!G14*12)),MAX(0,(Motore_Operativo!Y248+Motore_Operativo!X248*Parametri_v3!$C$14)*(1-Parametri_v3!$C$32))*Piano_SS!$D$6,0))</f>
        <v>0</v>
      </c>
      <c r="BW248" s="15" t="n">
        <f aca="false">MIN(Piano_SS!$C$7,(BW247)+IF(AND(Motore_Operativo!C248&gt;=EDATE(Parametri_v3!$C$24,Ipotesi!G14*12),Motore_Operativo!C248&lt;EDATE(Parametri_v3!$C$24,Parametri_v3!$C$25+Ipotesi!G14*12)),MAX(0,(IF(4-(INT((Ipotesi!$C$91)/30))&lt;1,0,INDEX(Motore_Operativo!$BN$245:$BN$304,MAX(1,4-(INT((Ipotesi!$C$91)/30)))))*(1-(MOD((Ipotesi!$C$91),30)/30))+IF(4-(INT((Ipotesi!$C$91)/30))-1&lt;1,0,INDEX(Motore_Operativo!$BN$245:$BN$304,MAX(1,4-(INT((Ipotesi!$C$91)/30))-1)))*(MOD((Ipotesi!$C$91),30)/30)))*Piano_SS!$D$7,0))</f>
        <v>0</v>
      </c>
      <c r="BX248" s="15" t="n">
        <f aca="false">MIN(Piano_SS!$C$8,(BX247)+IF(AND(Motore_Operativo!C248&gt;=EDATE(Parametri_v3!$C$24,Ipotesi!G14*12),Motore_Operativo!C248&lt;EDATE(Parametri_v3!$C$24,Parametri_v3!$C$25+Ipotesi!G14*12)),MAX(0,Motore_Operativo!CE248)*Piano_SS!$D$8,0))</f>
        <v>0</v>
      </c>
      <c r="BY248" s="15" t="n">
        <f aca="false">MIN(Piano_SS!$C$9,(BY247)+IF(AND(Motore_Operativo!C248&gt;=EDATE(Parametri_v3!$C$24,Ipotesi!G14*12),Motore_Operativo!C248&lt;EDATE(Parametri_v3!$C$24,Parametri_v3!$C$25+Ipotesi!G14*12)),MAX(0,((IF(4-(INT((Ipotesi!$C$91)/30))&lt;1,0,INDEX(Motore_Operativo!$BQ$245:$BQ$304,MAX(1,4-(INT((Ipotesi!$C$91)/30)))))*(1-(MOD((Ipotesi!$C$91),30)/30))+IF(4-(INT((Ipotesi!$C$91)/30))-1&lt;1,0,INDEX(Motore_Operativo!$BQ$245:$BQ$304,MAX(1,4-(INT((Ipotesi!$C$91)/30))-1)))*(MOD((Ipotesi!$C$91),30)/30))+(IF(4-(INT((Ipotesi!$C$91)/30))&lt;1,0,INDEX(Motore_Operativo!$BR$245:$BR$304,MAX(1,4-(INT((Ipotesi!$C$91)/30)))))*(1-(MOD((Ipotesi!$C$91),30)/30))+IF(4-(INT((Ipotesi!$C$91)/30))-1&lt;1,0,INDEX(Motore_Operativo!$BR$245:$BR$304,MAX(1,4-(INT((Ipotesi!$C$91)/30))-1)))*(MOD((Ipotesi!$C$91),30)/30))))*Piano_SS!$D$9,0))</f>
        <v>0</v>
      </c>
      <c r="BZ248" s="15" t="n">
        <f aca="false">MIN(Piano_SS!$C$10,(BZ247)+IF(AND(Motore_Operativo!C248&gt;=EDATE(Parametri_v3!$C$24,Ipotesi!G14*12),Motore_Operativo!C248&lt;EDATE(Parametri_v3!$C$24,Parametri_v3!$C$25+Ipotesi!G14*12)),MAX(0,(IF(4-(INT((Ipotesi!$C$91)/30))&lt;1,0,INDEX(Motore_Operativo!$BO$245:$BO$304,MAX(1,4-(INT((Ipotesi!$C$91)/30)))))*(1-(MOD((Ipotesi!$C$91),30)/30))+IF(4-(INT((Ipotesi!$C$91)/30))-1&lt;1,0,INDEX(Motore_Operativo!$BO$245:$BO$304,MAX(1,4-(INT((Ipotesi!$C$91)/30))-1)))*(MOD((Ipotesi!$C$91),30)/30)))*Piano_SS!$D$10,0))</f>
        <v>0</v>
      </c>
      <c r="CA248" s="15" t="n">
        <f aca="false">SUM(BV248:BZ248)</f>
        <v>0</v>
      </c>
      <c r="CB248" s="15" t="n">
        <f aca="false">BV248*(1-Piano_SS!$E$6)+BW248*(1-Piano_SS!$E$7)+BX248*(1-Piano_SS!$E$8)+BY248*(1-Piano_SS!$E$9)+BZ248*(1-Piano_SS!$E$10)</f>
        <v>0</v>
      </c>
      <c r="CC248" s="15" t="n">
        <f aca="false">(CC247)+BA248</f>
        <v>0</v>
      </c>
      <c r="CD248" s="15" t="n">
        <f aca="false">IF(CA248=0,0,CC248*CB248/CA248*Ipotesi!$C$103*Parametri_v3!$C$64)</f>
        <v>0</v>
      </c>
      <c r="CE248" s="18" t="n">
        <f aca="false">IF(BA248&gt;0,Motore_Operativo!C248,(CE247))</f>
        <v>0</v>
      </c>
      <c r="CF248" s="18" t="n">
        <f aca="false">IF(AND(CC248&gt;0,OR(CC248&gt;=CG248-0.01,Motore_Operativo!C248&gt;=EDATE(MAX(Finanziamenti!$D$15:$D$17),Ipotesi!G14*12))),CE248,0)</f>
        <v>0</v>
      </c>
      <c r="CG248" s="15" t="n">
        <f aca="false">IF(AND(5&lt;&gt;6,5&lt;&gt;9,Finanziamenti!$F$11=1,OR(Parametri_v3!$C$6=0,Finanziamenti!$E$11=1)),MIN(Finanziamenti!$C$11,Piano_SS!$C$12*Ipotesi!$C$102),0)</f>
        <v>400000</v>
      </c>
      <c r="CH248" s="15" t="n">
        <f aca="false">IF(AND(AND(5&lt;&gt;8,5&lt;&gt;9,Finanziamenti!$F$10=1,OR(Parametri_v3!$C$6=0,Finanziamenti!$E$10=1)),Motore_Operativo!C248&gt;=Finanziamenti!$D$10,Motore_Operativo!C248&lt;Parametri_v3!$C$63),Finanziamenti!$C$10,0)</f>
        <v>150000</v>
      </c>
    </row>
    <row r="249" customFormat="false" ht="18" hidden="false" customHeight="true" outlineLevel="0" collapsed="false">
      <c r="A249" s="68" t="n">
        <f aca="false">5</f>
        <v>5</v>
      </c>
      <c r="B249" s="68" t="n">
        <f aca="false">5</f>
        <v>5</v>
      </c>
      <c r="C249" s="18" t="n">
        <f aca="false">Motore_Operativo!C249</f>
        <v>46508</v>
      </c>
      <c r="D249" s="68" t="n">
        <f aca="false">Motore_Operativo!D249</f>
        <v>2027</v>
      </c>
      <c r="E249" s="68" t="n">
        <f aca="false">Motore_Operativo!E249</f>
        <v>5</v>
      </c>
      <c r="F249" s="15" t="n">
        <f aca="false">Motore_Operativo!AQ249+Motore_Operativo!BF249</f>
        <v>3740.55288461539</v>
      </c>
      <c r="G249" s="15" t="n">
        <f aca="false">Motore_Operativo!BH249</f>
        <v>802.421052631579</v>
      </c>
      <c r="H249" s="15" t="n">
        <f aca="false">Motore_Operativo!BI249</f>
        <v>4542.97393724697</v>
      </c>
      <c r="I249" s="15" t="n">
        <f aca="false">Motore_Operativo!CA249</f>
        <v>16548.6667020918</v>
      </c>
      <c r="J249" s="15" t="n">
        <f aca="false">Motore_Operativo!CC249</f>
        <v>-12005.6927648448</v>
      </c>
      <c r="K249" s="15" t="n">
        <f aca="false">Motore_Operativo!CE249</f>
        <v>1666.66666666667</v>
      </c>
      <c r="L249" s="15" t="n">
        <f aca="false">SUM(INDEX($K$245:$K$304,MAX(1,5-Parametri_v3!$C$59+1)):K249)/Parametri_v3!$C$59</f>
        <v>231.481481481482</v>
      </c>
      <c r="M249" s="15" t="n">
        <f aca="false">J249-L249</f>
        <v>-12237.1742463263</v>
      </c>
      <c r="N249" s="15" t="n">
        <f aca="false">CD249-(CD248)</f>
        <v>0</v>
      </c>
      <c r="O249" s="15" t="n">
        <f aca="false">(BG248)*Ipotesi!$C$110/12+CH249*Parametri_v3!$C$39/12</f>
        <v>0</v>
      </c>
      <c r="P249" s="15" t="n">
        <f aca="false">M249+N249-O249</f>
        <v>-12237.1742463263</v>
      </c>
      <c r="Q249" s="15" t="n">
        <f aca="false">SUM(P245:P249)+Parametri_v3!$C$54*5/12</f>
        <v>-60811.3683648223</v>
      </c>
      <c r="R249" s="15" t="n">
        <f aca="false">0</f>
        <v>0</v>
      </c>
      <c r="S249" s="15" t="n">
        <f aca="false">0</f>
        <v>0</v>
      </c>
      <c r="T249" s="15" t="n">
        <f aca="false">MIN(R249,MAX(0,Q249))</f>
        <v>0</v>
      </c>
      <c r="U249" s="15" t="n">
        <f aca="false">MIN(S249,MAX(0,Q249-T249)*Parametri_v3!$C$42)</f>
        <v>0</v>
      </c>
      <c r="V249" s="15" t="n">
        <f aca="false">MAX(0,Q249-T249-U249)*Ipotesi!$C$92</f>
        <v>0</v>
      </c>
      <c r="W249" s="15" t="n">
        <f aca="false">MAX(0,SUM(M245:M249)+Parametri_v3!$C$55*5/12)*Ipotesi!$C$93</f>
        <v>0</v>
      </c>
      <c r="X249" s="15" t="n">
        <f aca="false">V249+W249-(V248+W248)</f>
        <v>0</v>
      </c>
      <c r="Y249" s="15" t="n">
        <f aca="false">P249-X249</f>
        <v>-12237.1742463263</v>
      </c>
      <c r="Z249" s="15" t="n">
        <f aca="false">R249-T249+IF(AND(Parametri_v3!$C$40=1,D249-YEAR(Parametri_v3!$C$50)&lt;Parametri_v3!$C$41),MAX(0,-Q249),0)</f>
        <v>60811.3683648223</v>
      </c>
      <c r="AA249" s="15" t="n">
        <f aca="false">S249-U249+IF(AND(Parametri_v3!$C$40=1,D249-YEAR(Parametri_v3!$C$50)&lt;Parametri_v3!$C$41),0,MAX(0,-Q249))</f>
        <v>0</v>
      </c>
      <c r="AB249" s="15" t="n">
        <f aca="false">F249*(1+Parametri_v3!$C$26)</f>
        <v>4563.47451923077</v>
      </c>
      <c r="AC249" s="15" t="n">
        <f aca="false">(IF(5-(INT((Motore_Operativo!L249)/30))&lt;1,0,INDEX(Motore_Startup!$AB$245:$AB$304,MAX(1,5-(INT((Motore_Operativo!L249)/30)))))*(1-(MOD((Motore_Operativo!L249),30)/30))+IF(5-(INT((Motore_Operativo!L249)/30))-1&lt;1,0,INDEX(Motore_Startup!$AB$245:$AB$304,MAX(1,5-(INT((Motore_Operativo!L249)/30))-1)))*(MOD((Motore_Operativo!L249),30)/30))</f>
        <v>4529.25</v>
      </c>
      <c r="AD249" s="15" t="n">
        <f aca="false">(AD248)+AB249-AC249</f>
        <v>18162.6326923077</v>
      </c>
      <c r="AE249" s="15" t="n">
        <f aca="false">Motore_Operativo!BH249*(1+Parametri_v3!$C$26)</f>
        <v>978.953684210527</v>
      </c>
      <c r="AF249" s="15" t="n">
        <f aca="false">(IF(5-(INT((Parametri_v3!$C$29)/30))&lt;1,0,INDEX(Motore_Operativo!$BH$245:$BH$304,MAX(1,5-(INT((Parametri_v3!$C$29)/30)))))*(1-(MOD((Parametri_v3!$C$29),30)/30))+IF(5-(INT((Parametri_v3!$C$29)/30))-1&lt;1,0,INDEX(Motore_Operativo!$BH$245:$BH$304,MAX(1,5-(INT((Parametri_v3!$C$29)/30))-1)))*(MOD((Parametri_v3!$C$29),30)/30))*(1+Parametri_v3!$C$26)</f>
        <v>978.953684210527</v>
      </c>
      <c r="AG249" s="15" t="n">
        <f aca="false">(AG248)+AE249-AF249</f>
        <v>978.953684210527</v>
      </c>
      <c r="AH249" s="15" t="n">
        <f aca="false">(Motore_Operativo!CJ249)*(1+Parametri_v3!$C$27*Parametri_v3!$C$26)</f>
        <v>7204.4965420496</v>
      </c>
      <c r="AI249" s="15" t="n">
        <f aca="false">(IF(5-(INT((Ipotesi!$C$91)/30))&lt;1,0,INDEX(Motore_Startup!$AH$245:$AH$304,MAX(1,5-(INT((Ipotesi!$C$91)/30)))))*(1-(MOD((Ipotesi!$C$91),30)/30))+IF(5-(INT((Ipotesi!$C$91)/30))-1&lt;1,0,INDEX(Motore_Startup!$AH$245:$AH$304,MAX(1,5-(INT((Ipotesi!$C$91)/30))-1)))*(MOD((Ipotesi!$C$91),30)/30))</f>
        <v>7199.83471368421</v>
      </c>
      <c r="AJ249" s="15" t="n">
        <f aca="false">(AJ248)+AH249-AI249</f>
        <v>14405.8851985223</v>
      </c>
      <c r="AK249" s="15" t="n">
        <f aca="false">(F249+ Motore_Operativo!BH249-(Motore_Operativo!CJ249)*Parametri_v3!$C$27-Motore_Operativo!CE249)*Parametri_v3!$C$26</f>
        <v>-502.208907096829</v>
      </c>
      <c r="AL249" s="15" t="n">
        <f aca="false">MAX(0,(AM248))</f>
        <v>0</v>
      </c>
      <c r="AM249" s="15" t="n">
        <f aca="false">(AM248)+AK249-AL249</f>
        <v>-2530.98097250337</v>
      </c>
      <c r="AN249" s="15" t="n">
        <f aca="false">0</f>
        <v>0</v>
      </c>
      <c r="AO249" s="15" t="n">
        <f aca="false">0</f>
        <v>0</v>
      </c>
      <c r="AP249" s="15" t="n">
        <f aca="false">MAX(0,AN249)*IF(5=Parametri_v3!$C$43,Parametri_v3!$C$45,IF(5=Parametri_v3!$C$44,1-Parametri_v3!$C$45,0))</f>
        <v>0</v>
      </c>
      <c r="AQ249" s="15" t="n">
        <f aca="false">MAX(0,AP249+IF(5=Parametri_v3!$C$43,MAX(0,AN249-AO249),0)-MAX(0,-(AR248)))</f>
        <v>0</v>
      </c>
      <c r="AR249" s="15" t="n">
        <f aca="false">(AR248)+X249-AQ249</f>
        <v>0</v>
      </c>
      <c r="AS249" s="15" t="n">
        <f aca="false">Motore_Operativo!AB249-AT249+AU249</f>
        <v>9955.20833333333</v>
      </c>
      <c r="AT249" s="15" t="n">
        <f aca="false">Motore_Operativo!CH249</f>
        <v>523.958333333333</v>
      </c>
      <c r="AU249" s="15" t="n">
        <f aca="false">MIN(MAX(0,(AV248)+AT249),Parametri_v3!$C$60/12)</f>
        <v>0</v>
      </c>
      <c r="AV249" s="15" t="n">
        <f aca="false">(AV248)+AT249-AU249</f>
        <v>2619.79166666667</v>
      </c>
      <c r="AW249" s="15" t="n">
        <f aca="false">IF(AND(Motore_Operativo!C249=Finanziamenti!$D$6,Finanziamenti!$F$6=1),Finanziamenti!$C$6,0)</f>
        <v>0</v>
      </c>
      <c r="AX249" s="15" t="n">
        <f aca="false">IF(AND(5&lt;&gt;7,5&lt;&gt;9,Finanziamenti!$F$8=1,OR(Parametri_v3!$C$6=0,Finanziamenti!$E$8=1),Motore_Operativo!C249=EDATE(Finanziamenti!$D$8,Ipotesi!G15*12)),Finanziamenti!$C$8*1,0)+IF(AND(5&lt;&gt;7,5&lt;&gt;9,Finanziamenti!$F$9=1,OR(Parametri_v3!$C$6=0,Finanziamenti!$E$9=1),Motore_Operativo!C249=EDATE(Finanziamenti!$D$9,Ipotesi!G15*12)),Finanziamenti!$C$9*Ipotesi!G16,0)</f>
        <v>0</v>
      </c>
      <c r="AY249" s="15" t="n">
        <f aca="false">0</f>
        <v>0</v>
      </c>
      <c r="AZ249" s="15" t="n">
        <f aca="false">Motore_Advisory!AY249*(1-Ipotesi!$C$95)*Ipotesi!$C$96</f>
        <v>0</v>
      </c>
      <c r="BA249" s="15" t="n">
        <f aca="false">MAX(0,MIN(CG249*MIN(1,IF(Motore_Operativo!C249&gt;=EDATE(Finanziamenti!$D$15,Ipotesi!G14*12),Finanziamenti!$C$15,0)+IF(Motore_Operativo!C249&gt;=EDATE(Finanziamenti!$D$16,Ipotesi!G14*12),Finanziamenti!$C$16,0)+IF(Motore_Operativo!C249&gt;=EDATE(Finanziamenti!$D$17,Ipotesi!G14*12),Finanziamenti!$C$17,0)),CA249*Ipotesi!$C$102)-(CC248))</f>
        <v>0</v>
      </c>
      <c r="BB249" s="15" t="n">
        <f aca="false">IF(AND(CF249&gt;0,Motore_Operativo!C249&gt;=IF(CF249=0,0,EDATE(CF249,Parametri_v3!$C$37)),MOD(((D249-YEAR(IF(CF249=0,0,EDATE(CF249,Parametri_v3!$C$37))))*12+E249-MONTH(IF(CF249=0,0,EDATE(CF249,Parametri_v3!$C$37)))),Parametri_v3!$C$38)=0),MIN(MAX(0,(BC248)+BA249-N249),(CC249-CD249)/(Ipotesi!$C$108*12/Parametri_v3!$C$38)),0)</f>
        <v>0</v>
      </c>
      <c r="BC249" s="15" t="n">
        <f aca="false">(BC248)+BA249-N249-BB249</f>
        <v>0</v>
      </c>
      <c r="BD249" s="15" t="n">
        <f aca="false">(BH248)+AC249+AF249-AI249-AS249-K249*(1+Parametri_v3!$C$26)-AL249-AQ249-O249+AW249+AX249+AZ249+BA249-BB249</f>
        <v>56902.8522624562</v>
      </c>
      <c r="BE249" s="15" t="n">
        <f aca="false">MAX(0,MIN(MAX(0,CH249-(BG248)),Parametri_v3!$C$30-BD249))</f>
        <v>0</v>
      </c>
      <c r="BF249" s="15" t="n">
        <f aca="false">IF(Motore_Operativo!C249&gt;=Parametri_v3!$C$63,(BG248),MIN((BG248),MAX(0,BD249-Parametri_v3!$C$30)))</f>
        <v>0</v>
      </c>
      <c r="BG249" s="15" t="n">
        <f aca="false">(BG248)+BE249-BF249</f>
        <v>0</v>
      </c>
      <c r="BH249" s="15" t="n">
        <f aca="false">BD249+BE249-BF249-AY249</f>
        <v>56902.8522624562</v>
      </c>
      <c r="BI249" s="15" t="n">
        <f aca="false">MAX(0,Parametri_v3!$C$30-BH249)</f>
        <v>0</v>
      </c>
      <c r="BJ249" s="15" t="n">
        <f aca="false">(BJ248)+K249</f>
        <v>8333.33333333333</v>
      </c>
      <c r="BK249" s="15" t="n">
        <f aca="false">(BK248)+L249</f>
        <v>694.444444444445</v>
      </c>
      <c r="BL249" s="15" t="n">
        <f aca="false">BJ249-BK249</f>
        <v>7638.88888888889</v>
      </c>
      <c r="BM249" s="15" t="n">
        <f aca="false">(BM248)+Y249</f>
        <v>-60811.3683648223</v>
      </c>
      <c r="BN249" s="15" t="n">
        <f aca="false">(BN248)+AW249+AX249+AZ249</f>
        <v>130000</v>
      </c>
      <c r="BO249" s="15" t="n">
        <f aca="false">(BO248)+AY249</f>
        <v>0</v>
      </c>
      <c r="BP249" s="15" t="n">
        <f aca="false">0</f>
        <v>0</v>
      </c>
      <c r="BQ249" s="15" t="n">
        <f aca="false">BN249+BM249-BO249</f>
        <v>69188.6316351777</v>
      </c>
      <c r="BR249" s="15" t="n">
        <f aca="false">BH249+AD249+BL249+MAX(0,-AM249)+MAX(0,-AR249)+AG249</f>
        <v>86214.3085003667</v>
      </c>
      <c r="BS249" s="15" t="n">
        <f aca="false">AJ249+AV249+MAX(0,AM249)+MAX(0,AR249)+BC249+BG249+BQ249</f>
        <v>86214.3085003666</v>
      </c>
      <c r="BT249" s="15" t="n">
        <f aca="false">BR249-BS249</f>
        <v>0</v>
      </c>
      <c r="BU249" s="15" t="n">
        <f aca="false">BH249-(BD249+BE249-BF249-AY249)</f>
        <v>0</v>
      </c>
      <c r="BV249" s="15" t="n">
        <f aca="false">MIN(Piano_SS!$C$6,(BV248)+IF(AND(Motore_Operativo!C249&gt;=EDATE(Parametri_v3!$C$24,Ipotesi!G14*12),Motore_Operativo!C249&lt;EDATE(Parametri_v3!$C$24,Parametri_v3!$C$25+Ipotesi!G14*12)),MAX(0,(Motore_Operativo!Y249+Motore_Operativo!X249*Parametri_v3!$C$14)*(1-Parametri_v3!$C$32))*Piano_SS!$D$6,0))</f>
        <v>0</v>
      </c>
      <c r="BW249" s="15" t="n">
        <f aca="false">MIN(Piano_SS!$C$7,(BW248)+IF(AND(Motore_Operativo!C249&gt;=EDATE(Parametri_v3!$C$24,Ipotesi!G14*12),Motore_Operativo!C249&lt;EDATE(Parametri_v3!$C$24,Parametri_v3!$C$25+Ipotesi!G14*12)),MAX(0,(IF(5-(INT((Ipotesi!$C$91)/30))&lt;1,0,INDEX(Motore_Operativo!$BN$245:$BN$304,MAX(1,5-(INT((Ipotesi!$C$91)/30)))))*(1-(MOD((Ipotesi!$C$91),30)/30))+IF(5-(INT((Ipotesi!$C$91)/30))-1&lt;1,0,INDEX(Motore_Operativo!$BN$245:$BN$304,MAX(1,5-(INT((Ipotesi!$C$91)/30))-1)))*(MOD((Ipotesi!$C$91),30)/30)))*Piano_SS!$D$7,0))</f>
        <v>0</v>
      </c>
      <c r="BX249" s="15" t="n">
        <f aca="false">MIN(Piano_SS!$C$8,(BX248)+IF(AND(Motore_Operativo!C249&gt;=EDATE(Parametri_v3!$C$24,Ipotesi!G14*12),Motore_Operativo!C249&lt;EDATE(Parametri_v3!$C$24,Parametri_v3!$C$25+Ipotesi!G14*12)),MAX(0,Motore_Operativo!CE249)*Piano_SS!$D$8,0))</f>
        <v>0</v>
      </c>
      <c r="BY249" s="15" t="n">
        <f aca="false">MIN(Piano_SS!$C$9,(BY248)+IF(AND(Motore_Operativo!C249&gt;=EDATE(Parametri_v3!$C$24,Ipotesi!G14*12),Motore_Operativo!C249&lt;EDATE(Parametri_v3!$C$24,Parametri_v3!$C$25+Ipotesi!G14*12)),MAX(0,((IF(5-(INT((Ipotesi!$C$91)/30))&lt;1,0,INDEX(Motore_Operativo!$BQ$245:$BQ$304,MAX(1,5-(INT((Ipotesi!$C$91)/30)))))*(1-(MOD((Ipotesi!$C$91),30)/30))+IF(5-(INT((Ipotesi!$C$91)/30))-1&lt;1,0,INDEX(Motore_Operativo!$BQ$245:$BQ$304,MAX(1,5-(INT((Ipotesi!$C$91)/30))-1)))*(MOD((Ipotesi!$C$91),30)/30))+(IF(5-(INT((Ipotesi!$C$91)/30))&lt;1,0,INDEX(Motore_Operativo!$BR$245:$BR$304,MAX(1,5-(INT((Ipotesi!$C$91)/30)))))*(1-(MOD((Ipotesi!$C$91),30)/30))+IF(5-(INT((Ipotesi!$C$91)/30))-1&lt;1,0,INDEX(Motore_Operativo!$BR$245:$BR$304,MAX(1,5-(INT((Ipotesi!$C$91)/30))-1)))*(MOD((Ipotesi!$C$91),30)/30))))*Piano_SS!$D$9,0))</f>
        <v>0</v>
      </c>
      <c r="BZ249" s="15" t="n">
        <f aca="false">MIN(Piano_SS!$C$10,(BZ248)+IF(AND(Motore_Operativo!C249&gt;=EDATE(Parametri_v3!$C$24,Ipotesi!G14*12),Motore_Operativo!C249&lt;EDATE(Parametri_v3!$C$24,Parametri_v3!$C$25+Ipotesi!G14*12)),MAX(0,(IF(5-(INT((Ipotesi!$C$91)/30))&lt;1,0,INDEX(Motore_Operativo!$BO$245:$BO$304,MAX(1,5-(INT((Ipotesi!$C$91)/30)))))*(1-(MOD((Ipotesi!$C$91),30)/30))+IF(5-(INT((Ipotesi!$C$91)/30))-1&lt;1,0,INDEX(Motore_Operativo!$BO$245:$BO$304,MAX(1,5-(INT((Ipotesi!$C$91)/30))-1)))*(MOD((Ipotesi!$C$91),30)/30)))*Piano_SS!$D$10,0))</f>
        <v>0</v>
      </c>
      <c r="CA249" s="15" t="n">
        <f aca="false">SUM(BV249:BZ249)</f>
        <v>0</v>
      </c>
      <c r="CB249" s="15" t="n">
        <f aca="false">BV249*(1-Piano_SS!$E$6)+BW249*(1-Piano_SS!$E$7)+BX249*(1-Piano_SS!$E$8)+BY249*(1-Piano_SS!$E$9)+BZ249*(1-Piano_SS!$E$10)</f>
        <v>0</v>
      </c>
      <c r="CC249" s="15" t="n">
        <f aca="false">(CC248)+BA249</f>
        <v>0</v>
      </c>
      <c r="CD249" s="15" t="n">
        <f aca="false">IF(CA249=0,0,CC249*CB249/CA249*Ipotesi!$C$103*Parametri_v3!$C$64)</f>
        <v>0</v>
      </c>
      <c r="CE249" s="18" t="n">
        <f aca="false">IF(BA249&gt;0,Motore_Operativo!C249,(CE248))</f>
        <v>0</v>
      </c>
      <c r="CF249" s="18" t="n">
        <f aca="false">IF(AND(CC249&gt;0,OR(CC249&gt;=CG249-0.01,Motore_Operativo!C249&gt;=EDATE(MAX(Finanziamenti!$D$15:$D$17),Ipotesi!G14*12))),CE249,0)</f>
        <v>0</v>
      </c>
      <c r="CG249" s="15" t="n">
        <f aca="false">IF(AND(5&lt;&gt;6,5&lt;&gt;9,Finanziamenti!$F$11=1,OR(Parametri_v3!$C$6=0,Finanziamenti!$E$11=1)),MIN(Finanziamenti!$C$11,Piano_SS!$C$12*Ipotesi!$C$102),0)</f>
        <v>400000</v>
      </c>
      <c r="CH249" s="15" t="n">
        <f aca="false">IF(AND(AND(5&lt;&gt;8,5&lt;&gt;9,Finanziamenti!$F$10=1,OR(Parametri_v3!$C$6=0,Finanziamenti!$E$10=1)),Motore_Operativo!C249&gt;=Finanziamenti!$D$10,Motore_Operativo!C249&lt;Parametri_v3!$C$63),Finanziamenti!$C$10,0)</f>
        <v>150000</v>
      </c>
    </row>
    <row r="250" customFormat="false" ht="18" hidden="false" customHeight="true" outlineLevel="0" collapsed="false">
      <c r="A250" s="68" t="n">
        <f aca="false">5</f>
        <v>5</v>
      </c>
      <c r="B250" s="68" t="n">
        <f aca="false">6</f>
        <v>6</v>
      </c>
      <c r="C250" s="18" t="n">
        <f aca="false">Motore_Operativo!C250</f>
        <v>46539</v>
      </c>
      <c r="D250" s="68" t="n">
        <f aca="false">Motore_Operativo!D250</f>
        <v>2027</v>
      </c>
      <c r="E250" s="68" t="n">
        <f aca="false">Motore_Operativo!E250</f>
        <v>6</v>
      </c>
      <c r="F250" s="15" t="n">
        <f aca="false">Motore_Operativo!AQ250+Motore_Operativo!BF250</f>
        <v>3759.25480769231</v>
      </c>
      <c r="G250" s="15" t="n">
        <f aca="false">Motore_Operativo!BH250</f>
        <v>802.421052631579</v>
      </c>
      <c r="H250" s="15" t="n">
        <f aca="false">Motore_Operativo!BI250</f>
        <v>4561.67586032389</v>
      </c>
      <c r="I250" s="15" t="n">
        <f aca="false">Motore_Operativo!CA250</f>
        <v>16551.2849713225</v>
      </c>
      <c r="J250" s="15" t="n">
        <f aca="false">Motore_Operativo!CC250</f>
        <v>-11989.6091109986</v>
      </c>
      <c r="K250" s="15" t="n">
        <f aca="false">Motore_Operativo!CE250</f>
        <v>1666.66666666667</v>
      </c>
      <c r="L250" s="15" t="n">
        <f aca="false">SUM(INDEX($K$245:$K$304,MAX(1,6-Parametri_v3!$C$59+1)):K250)/Parametri_v3!$C$59</f>
        <v>277.777777777778</v>
      </c>
      <c r="M250" s="15" t="n">
        <f aca="false">J250-L250</f>
        <v>-12267.3868887764</v>
      </c>
      <c r="N250" s="15" t="n">
        <f aca="false">CD250-(CD249)</f>
        <v>0</v>
      </c>
      <c r="O250" s="15" t="n">
        <f aca="false">(BG249)*Ipotesi!$C$110/12+CH250*Parametri_v3!$C$39/12</f>
        <v>0</v>
      </c>
      <c r="P250" s="15" t="n">
        <f aca="false">M250+N250-O250</f>
        <v>-12267.3868887764</v>
      </c>
      <c r="Q250" s="15" t="n">
        <f aca="false">SUM(P245:P250)+Parametri_v3!$C$54*6/12</f>
        <v>-73078.7552535987</v>
      </c>
      <c r="R250" s="15" t="n">
        <f aca="false">0</f>
        <v>0</v>
      </c>
      <c r="S250" s="15" t="n">
        <f aca="false">0</f>
        <v>0</v>
      </c>
      <c r="T250" s="15" t="n">
        <f aca="false">MIN(R250,MAX(0,Q250))</f>
        <v>0</v>
      </c>
      <c r="U250" s="15" t="n">
        <f aca="false">MIN(S250,MAX(0,Q250-T250)*Parametri_v3!$C$42)</f>
        <v>0</v>
      </c>
      <c r="V250" s="15" t="n">
        <f aca="false">MAX(0,Q250-T250-U250)*Ipotesi!$C$92</f>
        <v>0</v>
      </c>
      <c r="W250" s="15" t="n">
        <f aca="false">MAX(0,SUM(M245:M250)+Parametri_v3!$C$55*6/12)*Ipotesi!$C$93</f>
        <v>0</v>
      </c>
      <c r="X250" s="15" t="n">
        <f aca="false">V250+W250-(V249+W249)</f>
        <v>0</v>
      </c>
      <c r="Y250" s="15" t="n">
        <f aca="false">P250-X250</f>
        <v>-12267.3868887764</v>
      </c>
      <c r="Z250" s="15" t="n">
        <f aca="false">R250-T250+IF(AND(Parametri_v3!$C$40=1,D250-YEAR(Parametri_v3!$C$50)&lt;Parametri_v3!$C$41),MAX(0,-Q250),0)</f>
        <v>73078.7552535987</v>
      </c>
      <c r="AA250" s="15" t="n">
        <f aca="false">S250-U250+IF(AND(Parametri_v3!$C$40=1,D250-YEAR(Parametri_v3!$C$50)&lt;Parametri_v3!$C$41),0,MAX(0,-Q250))</f>
        <v>0</v>
      </c>
      <c r="AB250" s="15" t="n">
        <f aca="false">F250*(1+Parametri_v3!$C$26)</f>
        <v>4586.29086538462</v>
      </c>
      <c r="AC250" s="15" t="n">
        <f aca="false">(IF(6-(INT((Motore_Operativo!L250)/30))&lt;1,0,INDEX(Motore_Startup!$AB$245:$AB$304,MAX(1,6-(INT((Motore_Operativo!L250)/30)))))*(1-(MOD((Motore_Operativo!L250),30)/30))+IF(6-(INT((Motore_Operativo!L250)/30))-1&lt;1,0,INDEX(Motore_Startup!$AB$245:$AB$304,MAX(1,6-(INT((Motore_Operativo!L250)/30))-1)))*(MOD((Motore_Operativo!L250),30)/30))</f>
        <v>4529.25</v>
      </c>
      <c r="AD250" s="15" t="n">
        <f aca="false">(AD249)+AB250-AC250</f>
        <v>18219.6735576923</v>
      </c>
      <c r="AE250" s="15" t="n">
        <f aca="false">Motore_Operativo!BH250*(1+Parametri_v3!$C$26)</f>
        <v>978.953684210527</v>
      </c>
      <c r="AF250" s="15" t="n">
        <f aca="false">(IF(6-(INT((Parametri_v3!$C$29)/30))&lt;1,0,INDEX(Motore_Operativo!$BH$245:$BH$304,MAX(1,6-(INT((Parametri_v3!$C$29)/30)))))*(1-(MOD((Parametri_v3!$C$29),30)/30))+IF(6-(INT((Parametri_v3!$C$29)/30))-1&lt;1,0,INDEX(Motore_Operativo!$BH$245:$BH$304,MAX(1,6-(INT((Parametri_v3!$C$29)/30))-1)))*(MOD((Parametri_v3!$C$29),30)/30))*(1+Parametri_v3!$C$26)</f>
        <v>978.953684210527</v>
      </c>
      <c r="AG250" s="15" t="n">
        <f aca="false">(AG249)+AE250-AF250</f>
        <v>978.953684210527</v>
      </c>
      <c r="AH250" s="15" t="n">
        <f aca="false">(Motore_Operativo!CJ250)*(1+Parametri_v3!$C$27*Parametri_v3!$C$26)</f>
        <v>7207.60442762652</v>
      </c>
      <c r="AI250" s="15" t="n">
        <f aca="false">(IF(6-(INT((Ipotesi!$C$91)/30))&lt;1,0,INDEX(Motore_Startup!$AH$245:$AH$304,MAX(1,6-(INT((Ipotesi!$C$91)/30)))))*(1-(MOD((Ipotesi!$C$91),30)/30))+IF(6-(INT((Ipotesi!$C$91)/30))-1&lt;1,0,INDEX(Motore_Startup!$AH$245:$AH$304,MAX(1,6-(INT((Ipotesi!$C$91)/30))-1)))*(MOD((Ipotesi!$C$91),30)/30))</f>
        <v>7201.38865647267</v>
      </c>
      <c r="AJ250" s="15" t="n">
        <f aca="false">(AJ249)+AH250-AI250</f>
        <v>14412.1009696761</v>
      </c>
      <c r="AK250" s="15" t="n">
        <f aca="false">(F250+ Motore_Operativo!BH250-(Motore_Operativo!CJ250)*Parametri_v3!$C$27-Motore_Operativo!CE250)*Parametri_v3!$C$26</f>
        <v>-498.584100366059</v>
      </c>
      <c r="AL250" s="15" t="n">
        <f aca="false">MAX(0,(AM249))</f>
        <v>0</v>
      </c>
      <c r="AM250" s="15" t="n">
        <f aca="false">(AM249)+AK250-AL250</f>
        <v>-3029.56507286943</v>
      </c>
      <c r="AN250" s="15" t="n">
        <f aca="false">0</f>
        <v>0</v>
      </c>
      <c r="AO250" s="15" t="n">
        <f aca="false">0</f>
        <v>0</v>
      </c>
      <c r="AP250" s="15" t="n">
        <f aca="false">MAX(0,AN250)*IF(6=Parametri_v3!$C$43,Parametri_v3!$C$45,IF(6=Parametri_v3!$C$44,1-Parametri_v3!$C$45,0))</f>
        <v>0</v>
      </c>
      <c r="AQ250" s="15" t="n">
        <f aca="false">MAX(0,AP250+IF(6=Parametri_v3!$C$43,MAX(0,AN250-AO250),0)-MAX(0,-(AR249)))</f>
        <v>0</v>
      </c>
      <c r="AR250" s="15" t="n">
        <f aca="false">(AR249)+X250-AQ250</f>
        <v>0</v>
      </c>
      <c r="AS250" s="15" t="n">
        <f aca="false">Motore_Operativo!AB250-AT250+AU250</f>
        <v>9955.20833333333</v>
      </c>
      <c r="AT250" s="15" t="n">
        <f aca="false">Motore_Operativo!CH250</f>
        <v>523.958333333333</v>
      </c>
      <c r="AU250" s="15" t="n">
        <f aca="false">MIN(MAX(0,(AV249)+AT250),Parametri_v3!$C$60/12)</f>
        <v>0</v>
      </c>
      <c r="AV250" s="15" t="n">
        <f aca="false">(AV249)+AT250-AU250</f>
        <v>3143.75</v>
      </c>
      <c r="AW250" s="15" t="n">
        <f aca="false">IF(AND(Motore_Operativo!C250=Finanziamenti!$D$6,Finanziamenti!$F$6=1),Finanziamenti!$C$6,0)</f>
        <v>0</v>
      </c>
      <c r="AX250" s="15" t="n">
        <f aca="false">IF(AND(5&lt;&gt;7,5&lt;&gt;9,Finanziamenti!$F$8=1,OR(Parametri_v3!$C$6=0,Finanziamenti!$E$8=1),Motore_Operativo!C250=EDATE(Finanziamenti!$D$8,Ipotesi!G15*12)),Finanziamenti!$C$8*1,0)+IF(AND(5&lt;&gt;7,5&lt;&gt;9,Finanziamenti!$F$9=1,OR(Parametri_v3!$C$6=0,Finanziamenti!$E$9=1),Motore_Operativo!C250=EDATE(Finanziamenti!$D$9,Ipotesi!G15*12)),Finanziamenti!$C$9*Ipotesi!G16,0)</f>
        <v>0</v>
      </c>
      <c r="AY250" s="15" t="n">
        <f aca="false">0</f>
        <v>0</v>
      </c>
      <c r="AZ250" s="15" t="n">
        <f aca="false">Motore_Advisory!AY250*(1-Ipotesi!$C$95)*Ipotesi!$C$96</f>
        <v>0</v>
      </c>
      <c r="BA250" s="15" t="n">
        <f aca="false">MAX(0,MIN(CG250*MIN(1,IF(Motore_Operativo!C250&gt;=EDATE(Finanziamenti!$D$15,Ipotesi!G14*12),Finanziamenti!$C$15,0)+IF(Motore_Operativo!C250&gt;=EDATE(Finanziamenti!$D$16,Ipotesi!G14*12),Finanziamenti!$C$16,0)+IF(Motore_Operativo!C250&gt;=EDATE(Finanziamenti!$D$17,Ipotesi!G14*12),Finanziamenti!$C$17,0)),CA250*Ipotesi!$C$102)-(CC249))</f>
        <v>0</v>
      </c>
      <c r="BB250" s="15" t="n">
        <f aca="false">IF(AND(CF250&gt;0,Motore_Operativo!C250&gt;=IF(CF250=0,0,EDATE(CF250,Parametri_v3!$C$37)),MOD(((D250-YEAR(IF(CF250=0,0,EDATE(CF250,Parametri_v3!$C$37))))*12+E250-MONTH(IF(CF250=0,0,EDATE(CF250,Parametri_v3!$C$37)))),Parametri_v3!$C$38)=0),MIN(MAX(0,(BC249)+BA250-N250),(CC250-CD250)/(Ipotesi!$C$108*12/Parametri_v3!$C$38)),0)</f>
        <v>0</v>
      </c>
      <c r="BC250" s="15" t="n">
        <f aca="false">(BC249)+BA250-N250-BB250</f>
        <v>0</v>
      </c>
      <c r="BD250" s="15" t="n">
        <f aca="false">(BH249)+AC250+AF250-AI250-AS250-K250*(1+Parametri_v3!$C$26)-AL250-AQ250-O250+AW250+AX250+AZ250+BA250-BB250</f>
        <v>43221.1256235274</v>
      </c>
      <c r="BE250" s="15" t="n">
        <f aca="false">MAX(0,MIN(MAX(0,CH250-(BG249)),Parametri_v3!$C$30-BD250))</f>
        <v>0</v>
      </c>
      <c r="BF250" s="15" t="n">
        <f aca="false">IF(Motore_Operativo!C250&gt;=Parametri_v3!$C$63,(BG249),MIN((BG249),MAX(0,BD250-Parametri_v3!$C$30)))</f>
        <v>0</v>
      </c>
      <c r="BG250" s="15" t="n">
        <f aca="false">(BG249)+BE250-BF250</f>
        <v>0</v>
      </c>
      <c r="BH250" s="15" t="n">
        <f aca="false">BD250+BE250-BF250-AY250</f>
        <v>43221.1256235274</v>
      </c>
      <c r="BI250" s="15" t="n">
        <f aca="false">MAX(0,Parametri_v3!$C$30-BH250)</f>
        <v>0</v>
      </c>
      <c r="BJ250" s="15" t="n">
        <f aca="false">(BJ249)+K250</f>
        <v>10000</v>
      </c>
      <c r="BK250" s="15" t="n">
        <f aca="false">(BK249)+L250</f>
        <v>972.222222222222</v>
      </c>
      <c r="BL250" s="15" t="n">
        <f aca="false">BJ250-BK250</f>
        <v>9027.77777777778</v>
      </c>
      <c r="BM250" s="15" t="n">
        <f aca="false">(BM249)+Y250</f>
        <v>-73078.7552535987</v>
      </c>
      <c r="BN250" s="15" t="n">
        <f aca="false">(BN249)+AW250+AX250+AZ250</f>
        <v>130000</v>
      </c>
      <c r="BO250" s="15" t="n">
        <f aca="false">(BO249)+AY250</f>
        <v>0</v>
      </c>
      <c r="BP250" s="15" t="n">
        <f aca="false">0</f>
        <v>0</v>
      </c>
      <c r="BQ250" s="15" t="n">
        <f aca="false">BN250+BM250-BO250</f>
        <v>56921.2447464013</v>
      </c>
      <c r="BR250" s="15" t="n">
        <f aca="false">BH250+AD250+BL250+MAX(0,-AM250)+MAX(0,-AR250)+AG250</f>
        <v>74477.0957160774</v>
      </c>
      <c r="BS250" s="15" t="n">
        <f aca="false">AJ250+AV250+MAX(0,AM250)+MAX(0,AR250)+BC250+BG250+BQ250</f>
        <v>74477.0957160774</v>
      </c>
      <c r="BT250" s="15" t="n">
        <f aca="false">BR250-BS250</f>
        <v>0</v>
      </c>
      <c r="BU250" s="15" t="n">
        <f aca="false">BH250-(BD250+BE250-BF250-AY250)</f>
        <v>0</v>
      </c>
      <c r="BV250" s="15" t="n">
        <f aca="false">MIN(Piano_SS!$C$6,(BV249)+IF(AND(Motore_Operativo!C250&gt;=EDATE(Parametri_v3!$C$24,Ipotesi!G14*12),Motore_Operativo!C250&lt;EDATE(Parametri_v3!$C$24,Parametri_v3!$C$25+Ipotesi!G14*12)),MAX(0,(Motore_Operativo!Y250+Motore_Operativo!X250*Parametri_v3!$C$14)*(1-Parametri_v3!$C$32))*Piano_SS!$D$6,0))</f>
        <v>0</v>
      </c>
      <c r="BW250" s="15" t="n">
        <f aca="false">MIN(Piano_SS!$C$7,(BW249)+IF(AND(Motore_Operativo!C250&gt;=EDATE(Parametri_v3!$C$24,Ipotesi!G14*12),Motore_Operativo!C250&lt;EDATE(Parametri_v3!$C$24,Parametri_v3!$C$25+Ipotesi!G14*12)),MAX(0,(IF(6-(INT((Ipotesi!$C$91)/30))&lt;1,0,INDEX(Motore_Operativo!$BN$245:$BN$304,MAX(1,6-(INT((Ipotesi!$C$91)/30)))))*(1-(MOD((Ipotesi!$C$91),30)/30))+IF(6-(INT((Ipotesi!$C$91)/30))-1&lt;1,0,INDEX(Motore_Operativo!$BN$245:$BN$304,MAX(1,6-(INT((Ipotesi!$C$91)/30))-1)))*(MOD((Ipotesi!$C$91),30)/30)))*Piano_SS!$D$7,0))</f>
        <v>0</v>
      </c>
      <c r="BX250" s="15" t="n">
        <f aca="false">MIN(Piano_SS!$C$8,(BX249)+IF(AND(Motore_Operativo!C250&gt;=EDATE(Parametri_v3!$C$24,Ipotesi!G14*12),Motore_Operativo!C250&lt;EDATE(Parametri_v3!$C$24,Parametri_v3!$C$25+Ipotesi!G14*12)),MAX(0,Motore_Operativo!CE250)*Piano_SS!$D$8,0))</f>
        <v>0</v>
      </c>
      <c r="BY250" s="15" t="n">
        <f aca="false">MIN(Piano_SS!$C$9,(BY249)+IF(AND(Motore_Operativo!C250&gt;=EDATE(Parametri_v3!$C$24,Ipotesi!G14*12),Motore_Operativo!C250&lt;EDATE(Parametri_v3!$C$24,Parametri_v3!$C$25+Ipotesi!G14*12)),MAX(0,((IF(6-(INT((Ipotesi!$C$91)/30))&lt;1,0,INDEX(Motore_Operativo!$BQ$245:$BQ$304,MAX(1,6-(INT((Ipotesi!$C$91)/30)))))*(1-(MOD((Ipotesi!$C$91),30)/30))+IF(6-(INT((Ipotesi!$C$91)/30))-1&lt;1,0,INDEX(Motore_Operativo!$BQ$245:$BQ$304,MAX(1,6-(INT((Ipotesi!$C$91)/30))-1)))*(MOD((Ipotesi!$C$91),30)/30))+(IF(6-(INT((Ipotesi!$C$91)/30))&lt;1,0,INDEX(Motore_Operativo!$BR$245:$BR$304,MAX(1,6-(INT((Ipotesi!$C$91)/30)))))*(1-(MOD((Ipotesi!$C$91),30)/30))+IF(6-(INT((Ipotesi!$C$91)/30))-1&lt;1,0,INDEX(Motore_Operativo!$BR$245:$BR$304,MAX(1,6-(INT((Ipotesi!$C$91)/30))-1)))*(MOD((Ipotesi!$C$91),30)/30))))*Piano_SS!$D$9,0))</f>
        <v>0</v>
      </c>
      <c r="BZ250" s="15" t="n">
        <f aca="false">MIN(Piano_SS!$C$10,(BZ249)+IF(AND(Motore_Operativo!C250&gt;=EDATE(Parametri_v3!$C$24,Ipotesi!G14*12),Motore_Operativo!C250&lt;EDATE(Parametri_v3!$C$24,Parametri_v3!$C$25+Ipotesi!G14*12)),MAX(0,(IF(6-(INT((Ipotesi!$C$91)/30))&lt;1,0,INDEX(Motore_Operativo!$BO$245:$BO$304,MAX(1,6-(INT((Ipotesi!$C$91)/30)))))*(1-(MOD((Ipotesi!$C$91),30)/30))+IF(6-(INT((Ipotesi!$C$91)/30))-1&lt;1,0,INDEX(Motore_Operativo!$BO$245:$BO$304,MAX(1,6-(INT((Ipotesi!$C$91)/30))-1)))*(MOD((Ipotesi!$C$91),30)/30)))*Piano_SS!$D$10,0))</f>
        <v>0</v>
      </c>
      <c r="CA250" s="15" t="n">
        <f aca="false">SUM(BV250:BZ250)</f>
        <v>0</v>
      </c>
      <c r="CB250" s="15" t="n">
        <f aca="false">BV250*(1-Piano_SS!$E$6)+BW250*(1-Piano_SS!$E$7)+BX250*(1-Piano_SS!$E$8)+BY250*(1-Piano_SS!$E$9)+BZ250*(1-Piano_SS!$E$10)</f>
        <v>0</v>
      </c>
      <c r="CC250" s="15" t="n">
        <f aca="false">(CC249)+BA250</f>
        <v>0</v>
      </c>
      <c r="CD250" s="15" t="n">
        <f aca="false">IF(CA250=0,0,CC250*CB250/CA250*Ipotesi!$C$103*Parametri_v3!$C$64)</f>
        <v>0</v>
      </c>
      <c r="CE250" s="18" t="n">
        <f aca="false">IF(BA250&gt;0,Motore_Operativo!C250,(CE249))</f>
        <v>0</v>
      </c>
      <c r="CF250" s="18" t="n">
        <f aca="false">IF(AND(CC250&gt;0,OR(CC250&gt;=CG250-0.01,Motore_Operativo!C250&gt;=EDATE(MAX(Finanziamenti!$D$15:$D$17),Ipotesi!G14*12))),CE250,0)</f>
        <v>0</v>
      </c>
      <c r="CG250" s="15" t="n">
        <f aca="false">IF(AND(5&lt;&gt;6,5&lt;&gt;9,Finanziamenti!$F$11=1,OR(Parametri_v3!$C$6=0,Finanziamenti!$E$11=1)),MIN(Finanziamenti!$C$11,Piano_SS!$C$12*Ipotesi!$C$102),0)</f>
        <v>400000</v>
      </c>
      <c r="CH250" s="15" t="n">
        <f aca="false">IF(AND(AND(5&lt;&gt;8,5&lt;&gt;9,Finanziamenti!$F$10=1,OR(Parametri_v3!$C$6=0,Finanziamenti!$E$10=1)),Motore_Operativo!C250&gt;=Finanziamenti!$D$10,Motore_Operativo!C250&lt;Parametri_v3!$C$63),Finanziamenti!$C$10,0)</f>
        <v>150000</v>
      </c>
    </row>
    <row r="251" customFormat="false" ht="18" hidden="false" customHeight="true" outlineLevel="0" collapsed="false">
      <c r="A251" s="68" t="n">
        <f aca="false">5</f>
        <v>5</v>
      </c>
      <c r="B251" s="68" t="n">
        <f aca="false">7</f>
        <v>7</v>
      </c>
      <c r="C251" s="18" t="n">
        <f aca="false">Motore_Operativo!C251</f>
        <v>46569</v>
      </c>
      <c r="D251" s="68" t="n">
        <f aca="false">Motore_Operativo!D251</f>
        <v>2027</v>
      </c>
      <c r="E251" s="68" t="n">
        <f aca="false">Motore_Operativo!E251</f>
        <v>7</v>
      </c>
      <c r="F251" s="15" t="n">
        <f aca="false">Motore_Operativo!AQ251+Motore_Operativo!BF251</f>
        <v>3777.95673076923</v>
      </c>
      <c r="G251" s="15" t="n">
        <f aca="false">Motore_Operativo!BH251</f>
        <v>802.421052631579</v>
      </c>
      <c r="H251" s="15" t="n">
        <f aca="false">Motore_Operativo!BI251</f>
        <v>4580.37778340081</v>
      </c>
      <c r="I251" s="15" t="n">
        <f aca="false">Motore_Operativo!CA251</f>
        <v>16553.9032405533</v>
      </c>
      <c r="J251" s="15" t="n">
        <f aca="false">Motore_Operativo!CC251</f>
        <v>-11973.5254571525</v>
      </c>
      <c r="K251" s="15" t="n">
        <f aca="false">Motore_Operativo!CE251</f>
        <v>1666.66666666667</v>
      </c>
      <c r="L251" s="15" t="n">
        <f aca="false">SUM(INDEX($K$245:$K$304,MAX(1,7-Parametri_v3!$C$59+1)):K251)/Parametri_v3!$C$59</f>
        <v>324.074074074074</v>
      </c>
      <c r="M251" s="15" t="n">
        <f aca="false">J251-L251</f>
        <v>-12297.5995312266</v>
      </c>
      <c r="N251" s="15" t="n">
        <f aca="false">CD251-(CD250)</f>
        <v>0</v>
      </c>
      <c r="O251" s="15" t="n">
        <f aca="false">(BG250)*Ipotesi!$C$110/12+CH251*Parametri_v3!$C$39/12</f>
        <v>0</v>
      </c>
      <c r="P251" s="15" t="n">
        <f aca="false">M251+N251-O251</f>
        <v>-12297.5995312266</v>
      </c>
      <c r="Q251" s="15" t="n">
        <f aca="false">SUM(P245:P251)+Parametri_v3!$C$54*7/12</f>
        <v>-85376.3547848253</v>
      </c>
      <c r="R251" s="15" t="n">
        <f aca="false">0</f>
        <v>0</v>
      </c>
      <c r="S251" s="15" t="n">
        <f aca="false">0</f>
        <v>0</v>
      </c>
      <c r="T251" s="15" t="n">
        <f aca="false">MIN(R251,MAX(0,Q251))</f>
        <v>0</v>
      </c>
      <c r="U251" s="15" t="n">
        <f aca="false">MIN(S251,MAX(0,Q251-T251)*Parametri_v3!$C$42)</f>
        <v>0</v>
      </c>
      <c r="V251" s="15" t="n">
        <f aca="false">MAX(0,Q251-T251-U251)*Ipotesi!$C$92</f>
        <v>0</v>
      </c>
      <c r="W251" s="15" t="n">
        <f aca="false">MAX(0,SUM(M245:M251)+Parametri_v3!$C$55*7/12)*Ipotesi!$C$93</f>
        <v>0</v>
      </c>
      <c r="X251" s="15" t="n">
        <f aca="false">V251+W251-(V250+W250)</f>
        <v>0</v>
      </c>
      <c r="Y251" s="15" t="n">
        <f aca="false">P251-X251</f>
        <v>-12297.5995312266</v>
      </c>
      <c r="Z251" s="15" t="n">
        <f aca="false">R251-T251+IF(AND(Parametri_v3!$C$40=1,D251-YEAR(Parametri_v3!$C$50)&lt;Parametri_v3!$C$41),MAX(0,-Q251),0)</f>
        <v>85376.3547848253</v>
      </c>
      <c r="AA251" s="15" t="n">
        <f aca="false">S251-U251+IF(AND(Parametri_v3!$C$40=1,D251-YEAR(Parametri_v3!$C$50)&lt;Parametri_v3!$C$41),0,MAX(0,-Q251))</f>
        <v>0</v>
      </c>
      <c r="AB251" s="15" t="n">
        <f aca="false">F251*(1+Parametri_v3!$C$26)</f>
        <v>4609.10721153846</v>
      </c>
      <c r="AC251" s="15" t="n">
        <f aca="false">(IF(7-(INT((Motore_Operativo!L251)/30))&lt;1,0,INDEX(Motore_Startup!$AB$245:$AB$304,MAX(1,7-(INT((Motore_Operativo!L251)/30)))))*(1-(MOD((Motore_Operativo!L251),30)/30))+IF(7-(INT((Motore_Operativo!L251)/30))-1&lt;1,0,INDEX(Motore_Startup!$AB$245:$AB$304,MAX(1,7-(INT((Motore_Operativo!L251)/30))-1)))*(MOD((Motore_Operativo!L251),30)/30))</f>
        <v>4529.25</v>
      </c>
      <c r="AD251" s="15" t="n">
        <f aca="false">(AD250)+AB251-AC251</f>
        <v>18299.5307692308</v>
      </c>
      <c r="AE251" s="15" t="n">
        <f aca="false">Motore_Operativo!BH251*(1+Parametri_v3!$C$26)</f>
        <v>978.953684210527</v>
      </c>
      <c r="AF251" s="15" t="n">
        <f aca="false">(IF(7-(INT((Parametri_v3!$C$29)/30))&lt;1,0,INDEX(Motore_Operativo!$BH$245:$BH$304,MAX(1,7-(INT((Parametri_v3!$C$29)/30)))))*(1-(MOD((Parametri_v3!$C$29),30)/30))+IF(7-(INT((Parametri_v3!$C$29)/30))-1&lt;1,0,INDEX(Motore_Operativo!$BH$245:$BH$304,MAX(1,7-(INT((Parametri_v3!$C$29)/30))-1)))*(MOD((Parametri_v3!$C$29),30)/30))*(1+Parametri_v3!$C$26)</f>
        <v>978.953684210527</v>
      </c>
      <c r="AG251" s="15" t="n">
        <f aca="false">(AG250)+AE251-AF251</f>
        <v>978.953684210527</v>
      </c>
      <c r="AH251" s="15" t="n">
        <f aca="false">(Motore_Operativo!CJ251)*(1+Parametri_v3!$C$27*Parametri_v3!$C$26)</f>
        <v>7210.71231320344</v>
      </c>
      <c r="AI251" s="15" t="n">
        <f aca="false">(IF(7-(INT((Ipotesi!$C$91)/30))&lt;1,0,INDEX(Motore_Startup!$AH$245:$AH$304,MAX(1,7-(INT((Ipotesi!$C$91)/30)))))*(1-(MOD((Ipotesi!$C$91),30)/30))+IF(7-(INT((Ipotesi!$C$91)/30))-1&lt;1,0,INDEX(Motore_Startup!$AH$245:$AH$304,MAX(1,7-(INT((Ipotesi!$C$91)/30))-1)))*(MOD((Ipotesi!$C$91),30)/30))</f>
        <v>7204.4965420496</v>
      </c>
      <c r="AJ251" s="15" t="n">
        <f aca="false">(AJ250)+AH251-AI251</f>
        <v>14418.31674083</v>
      </c>
      <c r="AK251" s="15" t="n">
        <f aca="false">(F251+ Motore_Operativo!BH251-(Motore_Operativo!CJ251)*Parametri_v3!$C$27-Motore_Operativo!CE251)*Parametri_v3!$C$26</f>
        <v>-494.95929363529</v>
      </c>
      <c r="AL251" s="15" t="n">
        <f aca="false">MAX(0,(AM250))</f>
        <v>0</v>
      </c>
      <c r="AM251" s="15" t="n">
        <f aca="false">(AM250)+AK251-AL251</f>
        <v>-3524.52436650472</v>
      </c>
      <c r="AN251" s="15" t="n">
        <f aca="false">0</f>
        <v>0</v>
      </c>
      <c r="AO251" s="15" t="n">
        <f aca="false">0</f>
        <v>0</v>
      </c>
      <c r="AP251" s="15" t="n">
        <f aca="false">MAX(0,AN251)*IF(7=Parametri_v3!$C$43,Parametri_v3!$C$45,IF(7=Parametri_v3!$C$44,1-Parametri_v3!$C$45,0))</f>
        <v>0</v>
      </c>
      <c r="AQ251" s="15" t="n">
        <f aca="false">MAX(0,AP251+IF(7=Parametri_v3!$C$43,MAX(0,AN251-AO251),0)-MAX(0,-(AR250)))</f>
        <v>0</v>
      </c>
      <c r="AR251" s="15" t="n">
        <f aca="false">(AR250)+X251-AQ251</f>
        <v>0</v>
      </c>
      <c r="AS251" s="15" t="n">
        <f aca="false">Motore_Operativo!AB251-AT251+AU251</f>
        <v>9955.20833333333</v>
      </c>
      <c r="AT251" s="15" t="n">
        <f aca="false">Motore_Operativo!CH251</f>
        <v>523.958333333333</v>
      </c>
      <c r="AU251" s="15" t="n">
        <f aca="false">MIN(MAX(0,(AV250)+AT251),Parametri_v3!$C$60/12)</f>
        <v>0</v>
      </c>
      <c r="AV251" s="15" t="n">
        <f aca="false">(AV250)+AT251-AU251</f>
        <v>3667.70833333333</v>
      </c>
      <c r="AW251" s="15" t="n">
        <f aca="false">IF(AND(Motore_Operativo!C251=Finanziamenti!$D$6,Finanziamenti!$F$6=1),Finanziamenti!$C$6,0)</f>
        <v>0</v>
      </c>
      <c r="AX251" s="15" t="n">
        <f aca="false">IF(AND(5&lt;&gt;7,5&lt;&gt;9,Finanziamenti!$F$8=1,OR(Parametri_v3!$C$6=0,Finanziamenti!$E$8=1),Motore_Operativo!C251=EDATE(Finanziamenti!$D$8,Ipotesi!G15*12)),Finanziamenti!$C$8*1,0)+IF(AND(5&lt;&gt;7,5&lt;&gt;9,Finanziamenti!$F$9=1,OR(Parametri_v3!$C$6=0,Finanziamenti!$E$9=1),Motore_Operativo!C251=EDATE(Finanziamenti!$D$9,Ipotesi!G15*12)),Finanziamenti!$C$9*Ipotesi!G16,0)</f>
        <v>0</v>
      </c>
      <c r="AY251" s="15" t="n">
        <f aca="false">0</f>
        <v>0</v>
      </c>
      <c r="AZ251" s="15" t="n">
        <f aca="false">Motore_Advisory!AY251*(1-Ipotesi!$C$95)*Ipotesi!$C$96</f>
        <v>0</v>
      </c>
      <c r="BA251" s="15" t="n">
        <f aca="false">MAX(0,MIN(CG251*MIN(1,IF(Motore_Operativo!C251&gt;=EDATE(Finanziamenti!$D$15,Ipotesi!G14*12),Finanziamenti!$C$15,0)+IF(Motore_Operativo!C251&gt;=EDATE(Finanziamenti!$D$16,Ipotesi!G14*12),Finanziamenti!$C$16,0)+IF(Motore_Operativo!C251&gt;=EDATE(Finanziamenti!$D$17,Ipotesi!G14*12),Finanziamenti!$C$17,0)),CA251*Ipotesi!$C$102)-(CC250))</f>
        <v>0</v>
      </c>
      <c r="BB251" s="15" t="n">
        <f aca="false">IF(AND(CF251&gt;0,Motore_Operativo!C251&gt;=IF(CF251=0,0,EDATE(CF251,Parametri_v3!$C$37)),MOD(((D251-YEAR(IF(CF251=0,0,EDATE(CF251,Parametri_v3!$C$37))))*12+E251-MONTH(IF(CF251=0,0,EDATE(CF251,Parametri_v3!$C$37)))),Parametri_v3!$C$38)=0),MIN(MAX(0,(BC250)+BA251-N251),(CC251-CD251)/(Ipotesi!$C$108*12/Parametri_v3!$C$38)),0)</f>
        <v>0</v>
      </c>
      <c r="BC251" s="15" t="n">
        <f aca="false">(BC250)+BA251-N251-BB251</f>
        <v>0</v>
      </c>
      <c r="BD251" s="15" t="n">
        <f aca="false">(BH250)+AC251+AF251-AI251-AS251-K251*(1+Parametri_v3!$C$26)-AL251-AQ251-O251+AW251+AX251+AZ251+BA251-BB251</f>
        <v>29536.2910990216</v>
      </c>
      <c r="BE251" s="15" t="n">
        <f aca="false">MAX(0,MIN(MAX(0,CH251-(BG250)),Parametri_v3!$C$30-BD251))</f>
        <v>0</v>
      </c>
      <c r="BF251" s="15" t="n">
        <f aca="false">IF(Motore_Operativo!C251&gt;=Parametri_v3!$C$63,(BG250),MIN((BG250),MAX(0,BD251-Parametri_v3!$C$30)))</f>
        <v>0</v>
      </c>
      <c r="BG251" s="15" t="n">
        <f aca="false">(BG250)+BE251-BF251</f>
        <v>0</v>
      </c>
      <c r="BH251" s="15" t="n">
        <f aca="false">BD251+BE251-BF251-AY251</f>
        <v>29536.2910990216</v>
      </c>
      <c r="BI251" s="15" t="n">
        <f aca="false">MAX(0,Parametri_v3!$C$30-BH251)</f>
        <v>0</v>
      </c>
      <c r="BJ251" s="15" t="n">
        <f aca="false">(BJ250)+K251</f>
        <v>11666.6666666667</v>
      </c>
      <c r="BK251" s="15" t="n">
        <f aca="false">(BK250)+L251</f>
        <v>1296.2962962963</v>
      </c>
      <c r="BL251" s="15" t="n">
        <f aca="false">BJ251-BK251</f>
        <v>10370.3703703704</v>
      </c>
      <c r="BM251" s="15" t="n">
        <f aca="false">(BM250)+Y251</f>
        <v>-85376.3547848253</v>
      </c>
      <c r="BN251" s="15" t="n">
        <f aca="false">(BN250)+AW251+AX251+AZ251</f>
        <v>130000</v>
      </c>
      <c r="BO251" s="15" t="n">
        <f aca="false">(BO250)+AY251</f>
        <v>0</v>
      </c>
      <c r="BP251" s="15" t="n">
        <f aca="false">0</f>
        <v>0</v>
      </c>
      <c r="BQ251" s="15" t="n">
        <f aca="false">BN251+BM251-BO251</f>
        <v>44623.6452151747</v>
      </c>
      <c r="BR251" s="15" t="n">
        <f aca="false">BH251+AD251+BL251+MAX(0,-AM251)+MAX(0,-AR251)+AG251</f>
        <v>62709.6702893381</v>
      </c>
      <c r="BS251" s="15" t="n">
        <f aca="false">AJ251+AV251+MAX(0,AM251)+MAX(0,AR251)+BC251+BG251+BQ251</f>
        <v>62709.670289338</v>
      </c>
      <c r="BT251" s="15" t="n">
        <f aca="false">BR251-BS251</f>
        <v>0</v>
      </c>
      <c r="BU251" s="15" t="n">
        <f aca="false">BH251-(BD251+BE251-BF251-AY251)</f>
        <v>0</v>
      </c>
      <c r="BV251" s="15" t="n">
        <f aca="false">MIN(Piano_SS!$C$6,(BV250)+IF(AND(Motore_Operativo!C251&gt;=EDATE(Parametri_v3!$C$24,Ipotesi!G14*12),Motore_Operativo!C251&lt;EDATE(Parametri_v3!$C$24,Parametri_v3!$C$25+Ipotesi!G14*12)),MAX(0,(Motore_Operativo!Y251+Motore_Operativo!X251*Parametri_v3!$C$14)*(1-Parametri_v3!$C$32))*Piano_SS!$D$6,0))</f>
        <v>0</v>
      </c>
      <c r="BW251" s="15" t="n">
        <f aca="false">MIN(Piano_SS!$C$7,(BW250)+IF(AND(Motore_Operativo!C251&gt;=EDATE(Parametri_v3!$C$24,Ipotesi!G14*12),Motore_Operativo!C251&lt;EDATE(Parametri_v3!$C$24,Parametri_v3!$C$25+Ipotesi!G14*12)),MAX(0,(IF(7-(INT((Ipotesi!$C$91)/30))&lt;1,0,INDEX(Motore_Operativo!$BN$245:$BN$304,MAX(1,7-(INT((Ipotesi!$C$91)/30)))))*(1-(MOD((Ipotesi!$C$91),30)/30))+IF(7-(INT((Ipotesi!$C$91)/30))-1&lt;1,0,INDEX(Motore_Operativo!$BN$245:$BN$304,MAX(1,7-(INT((Ipotesi!$C$91)/30))-1)))*(MOD((Ipotesi!$C$91),30)/30)))*Piano_SS!$D$7,0))</f>
        <v>0</v>
      </c>
      <c r="BX251" s="15" t="n">
        <f aca="false">MIN(Piano_SS!$C$8,(BX250)+IF(AND(Motore_Operativo!C251&gt;=EDATE(Parametri_v3!$C$24,Ipotesi!G14*12),Motore_Operativo!C251&lt;EDATE(Parametri_v3!$C$24,Parametri_v3!$C$25+Ipotesi!G14*12)),MAX(0,Motore_Operativo!CE251)*Piano_SS!$D$8,0))</f>
        <v>0</v>
      </c>
      <c r="BY251" s="15" t="n">
        <f aca="false">MIN(Piano_SS!$C$9,(BY250)+IF(AND(Motore_Operativo!C251&gt;=EDATE(Parametri_v3!$C$24,Ipotesi!G14*12),Motore_Operativo!C251&lt;EDATE(Parametri_v3!$C$24,Parametri_v3!$C$25+Ipotesi!G14*12)),MAX(0,((IF(7-(INT((Ipotesi!$C$91)/30))&lt;1,0,INDEX(Motore_Operativo!$BQ$245:$BQ$304,MAX(1,7-(INT((Ipotesi!$C$91)/30)))))*(1-(MOD((Ipotesi!$C$91),30)/30))+IF(7-(INT((Ipotesi!$C$91)/30))-1&lt;1,0,INDEX(Motore_Operativo!$BQ$245:$BQ$304,MAX(1,7-(INT((Ipotesi!$C$91)/30))-1)))*(MOD((Ipotesi!$C$91),30)/30))+(IF(7-(INT((Ipotesi!$C$91)/30))&lt;1,0,INDEX(Motore_Operativo!$BR$245:$BR$304,MAX(1,7-(INT((Ipotesi!$C$91)/30)))))*(1-(MOD((Ipotesi!$C$91),30)/30))+IF(7-(INT((Ipotesi!$C$91)/30))-1&lt;1,0,INDEX(Motore_Operativo!$BR$245:$BR$304,MAX(1,7-(INT((Ipotesi!$C$91)/30))-1)))*(MOD((Ipotesi!$C$91),30)/30))))*Piano_SS!$D$9,0))</f>
        <v>0</v>
      </c>
      <c r="BZ251" s="15" t="n">
        <f aca="false">MIN(Piano_SS!$C$10,(BZ250)+IF(AND(Motore_Operativo!C251&gt;=EDATE(Parametri_v3!$C$24,Ipotesi!G14*12),Motore_Operativo!C251&lt;EDATE(Parametri_v3!$C$24,Parametri_v3!$C$25+Ipotesi!G14*12)),MAX(0,(IF(7-(INT((Ipotesi!$C$91)/30))&lt;1,0,INDEX(Motore_Operativo!$BO$245:$BO$304,MAX(1,7-(INT((Ipotesi!$C$91)/30)))))*(1-(MOD((Ipotesi!$C$91),30)/30))+IF(7-(INT((Ipotesi!$C$91)/30))-1&lt;1,0,INDEX(Motore_Operativo!$BO$245:$BO$304,MAX(1,7-(INT((Ipotesi!$C$91)/30))-1)))*(MOD((Ipotesi!$C$91),30)/30)))*Piano_SS!$D$10,0))</f>
        <v>0</v>
      </c>
      <c r="CA251" s="15" t="n">
        <f aca="false">SUM(BV251:BZ251)</f>
        <v>0</v>
      </c>
      <c r="CB251" s="15" t="n">
        <f aca="false">BV251*(1-Piano_SS!$E$6)+BW251*(1-Piano_SS!$E$7)+BX251*(1-Piano_SS!$E$8)+BY251*(1-Piano_SS!$E$9)+BZ251*(1-Piano_SS!$E$10)</f>
        <v>0</v>
      </c>
      <c r="CC251" s="15" t="n">
        <f aca="false">(CC250)+BA251</f>
        <v>0</v>
      </c>
      <c r="CD251" s="15" t="n">
        <f aca="false">IF(CA251=0,0,CC251*CB251/CA251*Ipotesi!$C$103*Parametri_v3!$C$64)</f>
        <v>0</v>
      </c>
      <c r="CE251" s="18" t="n">
        <f aca="false">IF(BA251&gt;0,Motore_Operativo!C251,(CE250))</f>
        <v>0</v>
      </c>
      <c r="CF251" s="18" t="n">
        <f aca="false">IF(AND(CC251&gt;0,OR(CC251&gt;=CG251-0.01,Motore_Operativo!C251&gt;=EDATE(MAX(Finanziamenti!$D$15:$D$17),Ipotesi!G14*12))),CE251,0)</f>
        <v>0</v>
      </c>
      <c r="CG251" s="15" t="n">
        <f aca="false">IF(AND(5&lt;&gt;6,5&lt;&gt;9,Finanziamenti!$F$11=1,OR(Parametri_v3!$C$6=0,Finanziamenti!$E$11=1)),MIN(Finanziamenti!$C$11,Piano_SS!$C$12*Ipotesi!$C$102),0)</f>
        <v>400000</v>
      </c>
      <c r="CH251" s="15" t="n">
        <f aca="false">IF(AND(AND(5&lt;&gt;8,5&lt;&gt;9,Finanziamenti!$F$10=1,OR(Parametri_v3!$C$6=0,Finanziamenti!$E$10=1)),Motore_Operativo!C251&gt;=Finanziamenti!$D$10,Motore_Operativo!C251&lt;Parametri_v3!$C$63),Finanziamenti!$C$10,0)</f>
        <v>150000</v>
      </c>
    </row>
    <row r="252" customFormat="false" ht="18" hidden="false" customHeight="true" outlineLevel="0" collapsed="false">
      <c r="A252" s="68" t="n">
        <f aca="false">5</f>
        <v>5</v>
      </c>
      <c r="B252" s="68" t="n">
        <f aca="false">8</f>
        <v>8</v>
      </c>
      <c r="C252" s="18" t="n">
        <f aca="false">Motore_Operativo!C252</f>
        <v>46600</v>
      </c>
      <c r="D252" s="68" t="n">
        <f aca="false">Motore_Operativo!D252</f>
        <v>2027</v>
      </c>
      <c r="E252" s="68" t="n">
        <f aca="false">Motore_Operativo!E252</f>
        <v>8</v>
      </c>
      <c r="F252" s="15" t="n">
        <f aca="false">Motore_Operativo!AQ252+Motore_Operativo!BF252</f>
        <v>3796.65865384615</v>
      </c>
      <c r="G252" s="15" t="n">
        <f aca="false">Motore_Operativo!BH252</f>
        <v>802.421052631579</v>
      </c>
      <c r="H252" s="15" t="n">
        <f aca="false">Motore_Operativo!BI252</f>
        <v>4599.07970647773</v>
      </c>
      <c r="I252" s="15" t="n">
        <f aca="false">Motore_Operativo!CA252</f>
        <v>16556.5215097841</v>
      </c>
      <c r="J252" s="15" t="n">
        <f aca="false">Motore_Operativo!CC252</f>
        <v>-11957.4418033063</v>
      </c>
      <c r="K252" s="15" t="n">
        <f aca="false">Motore_Operativo!CE252</f>
        <v>1666.66666666667</v>
      </c>
      <c r="L252" s="15" t="n">
        <f aca="false">SUM(INDEX($K$245:$K$304,MAX(1,8-Parametri_v3!$C$59+1)):K252)/Parametri_v3!$C$59</f>
        <v>370.37037037037</v>
      </c>
      <c r="M252" s="15" t="n">
        <f aca="false">J252-L252</f>
        <v>-12327.8121736767</v>
      </c>
      <c r="N252" s="15" t="n">
        <f aca="false">CD252-(CD251)</f>
        <v>0</v>
      </c>
      <c r="O252" s="15" t="n">
        <f aca="false">(BG251)*Ipotesi!$C$110/12+CH252*Parametri_v3!$C$39/12</f>
        <v>0</v>
      </c>
      <c r="P252" s="15" t="n">
        <f aca="false">M252+N252-O252</f>
        <v>-12327.8121736767</v>
      </c>
      <c r="Q252" s="15" t="n">
        <f aca="false">SUM(P245:P252)+Parametri_v3!$C$54*8/12</f>
        <v>-97704.166958502</v>
      </c>
      <c r="R252" s="15" t="n">
        <f aca="false">0</f>
        <v>0</v>
      </c>
      <c r="S252" s="15" t="n">
        <f aca="false">0</f>
        <v>0</v>
      </c>
      <c r="T252" s="15" t="n">
        <f aca="false">MIN(R252,MAX(0,Q252))</f>
        <v>0</v>
      </c>
      <c r="U252" s="15" t="n">
        <f aca="false">MIN(S252,MAX(0,Q252-T252)*Parametri_v3!$C$42)</f>
        <v>0</v>
      </c>
      <c r="V252" s="15" t="n">
        <f aca="false">MAX(0,Q252-T252-U252)*Ipotesi!$C$92</f>
        <v>0</v>
      </c>
      <c r="W252" s="15" t="n">
        <f aca="false">MAX(0,SUM(M245:M252)+Parametri_v3!$C$55*8/12)*Ipotesi!$C$93</f>
        <v>0</v>
      </c>
      <c r="X252" s="15" t="n">
        <f aca="false">V252+W252-(V251+W251)</f>
        <v>0</v>
      </c>
      <c r="Y252" s="15" t="n">
        <f aca="false">P252-X252</f>
        <v>-12327.8121736767</v>
      </c>
      <c r="Z252" s="15" t="n">
        <f aca="false">R252-T252+IF(AND(Parametri_v3!$C$40=1,D252-YEAR(Parametri_v3!$C$50)&lt;Parametri_v3!$C$41),MAX(0,-Q252),0)</f>
        <v>97704.166958502</v>
      </c>
      <c r="AA252" s="15" t="n">
        <f aca="false">S252-U252+IF(AND(Parametri_v3!$C$40=1,D252-YEAR(Parametri_v3!$C$50)&lt;Parametri_v3!$C$41),0,MAX(0,-Q252))</f>
        <v>0</v>
      </c>
      <c r="AB252" s="15" t="n">
        <f aca="false">F252*(1+Parametri_v3!$C$26)</f>
        <v>4631.92355769231</v>
      </c>
      <c r="AC252" s="15" t="n">
        <f aca="false">(IF(8-(INT((Motore_Operativo!L252)/30))&lt;1,0,INDEX(Motore_Startup!$AB$245:$AB$304,MAX(1,8-(INT((Motore_Operativo!L252)/30)))))*(1-(MOD((Motore_Operativo!L252),30)/30))+IF(8-(INT((Motore_Operativo!L252)/30))-1&lt;1,0,INDEX(Motore_Startup!$AB$245:$AB$304,MAX(1,8-(INT((Motore_Operativo!L252)/30))-1)))*(MOD((Motore_Operativo!L252),30)/30))</f>
        <v>4540.65817307692</v>
      </c>
      <c r="AD252" s="15" t="n">
        <f aca="false">(AD251)+AB252-AC252</f>
        <v>18390.7961538462</v>
      </c>
      <c r="AE252" s="15" t="n">
        <f aca="false">Motore_Operativo!BH252*(1+Parametri_v3!$C$26)</f>
        <v>978.953684210527</v>
      </c>
      <c r="AF252" s="15" t="n">
        <f aca="false">(IF(8-(INT((Parametri_v3!$C$29)/30))&lt;1,0,INDEX(Motore_Operativo!$BH$245:$BH$304,MAX(1,8-(INT((Parametri_v3!$C$29)/30)))))*(1-(MOD((Parametri_v3!$C$29),30)/30))+IF(8-(INT((Parametri_v3!$C$29)/30))-1&lt;1,0,INDEX(Motore_Operativo!$BH$245:$BH$304,MAX(1,8-(INT((Parametri_v3!$C$29)/30))-1)))*(MOD((Parametri_v3!$C$29),30)/30))*(1+Parametri_v3!$C$26)</f>
        <v>978.953684210527</v>
      </c>
      <c r="AG252" s="15" t="n">
        <f aca="false">(AG251)+AE252-AF252</f>
        <v>978.953684210527</v>
      </c>
      <c r="AH252" s="15" t="n">
        <f aca="false">(Motore_Operativo!CJ252)*(1+Parametri_v3!$C$27*Parametri_v3!$C$26)</f>
        <v>7213.82019878037</v>
      </c>
      <c r="AI252" s="15" t="n">
        <f aca="false">(IF(8-(INT((Ipotesi!$C$91)/30))&lt;1,0,INDEX(Motore_Startup!$AH$245:$AH$304,MAX(1,8-(INT((Ipotesi!$C$91)/30)))))*(1-(MOD((Ipotesi!$C$91),30)/30))+IF(8-(INT((Ipotesi!$C$91)/30))-1&lt;1,0,INDEX(Motore_Startup!$AH$245:$AH$304,MAX(1,8-(INT((Ipotesi!$C$91)/30))-1)))*(MOD((Ipotesi!$C$91),30)/30))</f>
        <v>7207.60442762652</v>
      </c>
      <c r="AJ252" s="15" t="n">
        <f aca="false">(AJ251)+AH252-AI252</f>
        <v>14424.5325119838</v>
      </c>
      <c r="AK252" s="15" t="n">
        <f aca="false">(F252+ Motore_Operativo!BH252-(Motore_Operativo!CJ252)*Parametri_v3!$C$27-Motore_Operativo!CE252)*Parametri_v3!$C$26</f>
        <v>-491.334486904521</v>
      </c>
      <c r="AL252" s="15" t="n">
        <f aca="false">MAX(0,(AM251))</f>
        <v>0</v>
      </c>
      <c r="AM252" s="15" t="n">
        <f aca="false">(AM251)+AK252-AL252</f>
        <v>-4015.85885340924</v>
      </c>
      <c r="AN252" s="15" t="n">
        <f aca="false">0</f>
        <v>0</v>
      </c>
      <c r="AO252" s="15" t="n">
        <f aca="false">0</f>
        <v>0</v>
      </c>
      <c r="AP252" s="15" t="n">
        <f aca="false">MAX(0,AN252)*IF(8=Parametri_v3!$C$43,Parametri_v3!$C$45,IF(8=Parametri_v3!$C$44,1-Parametri_v3!$C$45,0))</f>
        <v>0</v>
      </c>
      <c r="AQ252" s="15" t="n">
        <f aca="false">MAX(0,AP252+IF(8=Parametri_v3!$C$43,MAX(0,AN252-AO252),0)-MAX(0,-(AR251)))</f>
        <v>0</v>
      </c>
      <c r="AR252" s="15" t="n">
        <f aca="false">(AR251)+X252-AQ252</f>
        <v>0</v>
      </c>
      <c r="AS252" s="15" t="n">
        <f aca="false">Motore_Operativo!AB252-AT252+AU252</f>
        <v>9955.20833333333</v>
      </c>
      <c r="AT252" s="15" t="n">
        <f aca="false">Motore_Operativo!CH252</f>
        <v>523.958333333333</v>
      </c>
      <c r="AU252" s="15" t="n">
        <f aca="false">MIN(MAX(0,(AV251)+AT252),Parametri_v3!$C$60/12)</f>
        <v>0</v>
      </c>
      <c r="AV252" s="15" t="n">
        <f aca="false">(AV251)+AT252-AU252</f>
        <v>4191.66666666667</v>
      </c>
      <c r="AW252" s="15" t="n">
        <f aca="false">IF(AND(Motore_Operativo!C252=Finanziamenti!$D$6,Finanziamenti!$F$6=1),Finanziamenti!$C$6,0)</f>
        <v>0</v>
      </c>
      <c r="AX252" s="15" t="n">
        <f aca="false">IF(AND(5&lt;&gt;7,5&lt;&gt;9,Finanziamenti!$F$8=1,OR(Parametri_v3!$C$6=0,Finanziamenti!$E$8=1),Motore_Operativo!C252=EDATE(Finanziamenti!$D$8,Ipotesi!G15*12)),Finanziamenti!$C$8*1,0)+IF(AND(5&lt;&gt;7,5&lt;&gt;9,Finanziamenti!$F$9=1,OR(Parametri_v3!$C$6=0,Finanziamenti!$E$9=1),Motore_Operativo!C252=EDATE(Finanziamenti!$D$9,Ipotesi!G15*12)),Finanziamenti!$C$9*Ipotesi!G16,0)</f>
        <v>0</v>
      </c>
      <c r="AY252" s="15" t="n">
        <f aca="false">0</f>
        <v>0</v>
      </c>
      <c r="AZ252" s="15" t="n">
        <f aca="false">Motore_Advisory!AY252*(1-Ipotesi!$C$95)*Ipotesi!$C$96</f>
        <v>0</v>
      </c>
      <c r="BA252" s="15" t="n">
        <f aca="false">MAX(0,MIN(CG252*MIN(1,IF(Motore_Operativo!C252&gt;=EDATE(Finanziamenti!$D$15,Ipotesi!G14*12),Finanziamenti!$C$15,0)+IF(Motore_Operativo!C252&gt;=EDATE(Finanziamenti!$D$16,Ipotesi!G14*12),Finanziamenti!$C$16,0)+IF(Motore_Operativo!C252&gt;=EDATE(Finanziamenti!$D$17,Ipotesi!G14*12),Finanziamenti!$C$17,0)),CA252*Ipotesi!$C$102)-(CC251))</f>
        <v>0</v>
      </c>
      <c r="BB252" s="15" t="n">
        <f aca="false">IF(AND(CF252&gt;0,Motore_Operativo!C252&gt;=IF(CF252=0,0,EDATE(CF252,Parametri_v3!$C$37)),MOD(((D252-YEAR(IF(CF252=0,0,EDATE(CF252,Parametri_v3!$C$37))))*12+E252-MONTH(IF(CF252=0,0,EDATE(CF252,Parametri_v3!$C$37)))),Parametri_v3!$C$38)=0),MIN(MAX(0,(BC251)+BA252-N252),(CC252-CD252)/(Ipotesi!$C$108*12/Parametri_v3!$C$38)),0)</f>
        <v>0</v>
      </c>
      <c r="BC252" s="15" t="n">
        <f aca="false">(BC251)+BA252-N252-BB252</f>
        <v>0</v>
      </c>
      <c r="BD252" s="15" t="n">
        <f aca="false">(BH251)+AC252+AF252-AI252-AS252-K252*(1+Parametri_v3!$C$26)-AL252-AQ252-O252+AW252+AX252+AZ252+BA252-BB252</f>
        <v>15859.7568620159</v>
      </c>
      <c r="BE252" s="15" t="n">
        <f aca="false">MAX(0,MIN(MAX(0,CH252-(BG251)),Parametri_v3!$C$30-BD252))</f>
        <v>9140.24313798409</v>
      </c>
      <c r="BF252" s="15" t="n">
        <f aca="false">IF(Motore_Operativo!C252&gt;=Parametri_v3!$C$63,(BG251),MIN((BG251),MAX(0,BD252-Parametri_v3!$C$30)))</f>
        <v>0</v>
      </c>
      <c r="BG252" s="15" t="n">
        <f aca="false">(BG251)+BE252-BF252</f>
        <v>9140.24313798409</v>
      </c>
      <c r="BH252" s="15" t="n">
        <f aca="false">BD252+BE252-BF252-AY252</f>
        <v>25000</v>
      </c>
      <c r="BI252" s="15" t="n">
        <f aca="false">MAX(0,Parametri_v3!$C$30-BH252)</f>
        <v>0</v>
      </c>
      <c r="BJ252" s="15" t="n">
        <f aca="false">(BJ251)+K252</f>
        <v>13333.3333333333</v>
      </c>
      <c r="BK252" s="15" t="n">
        <f aca="false">(BK251)+L252</f>
        <v>1666.66666666667</v>
      </c>
      <c r="BL252" s="15" t="n">
        <f aca="false">BJ252-BK252</f>
        <v>11666.6666666667</v>
      </c>
      <c r="BM252" s="15" t="n">
        <f aca="false">(BM251)+Y252</f>
        <v>-97704.166958502</v>
      </c>
      <c r="BN252" s="15" t="n">
        <f aca="false">(BN251)+AW252+AX252+AZ252</f>
        <v>130000</v>
      </c>
      <c r="BO252" s="15" t="n">
        <f aca="false">(BO251)+AY252</f>
        <v>0</v>
      </c>
      <c r="BP252" s="15" t="n">
        <f aca="false">0</f>
        <v>0</v>
      </c>
      <c r="BQ252" s="15" t="n">
        <f aca="false">BN252+BM252-BO252</f>
        <v>32295.833041498</v>
      </c>
      <c r="BR252" s="15" t="n">
        <f aca="false">BH252+AD252+BL252+MAX(0,-AM252)+MAX(0,-AR252)+AG252</f>
        <v>60052.2753581326</v>
      </c>
      <c r="BS252" s="15" t="n">
        <f aca="false">AJ252+AV252+MAX(0,AM252)+MAX(0,AR252)+BC252+BG252+BQ252</f>
        <v>60052.2753581325</v>
      </c>
      <c r="BT252" s="15" t="n">
        <f aca="false">BR252-BS252</f>
        <v>0</v>
      </c>
      <c r="BU252" s="15" t="n">
        <f aca="false">BH252-(BD252+BE252-BF252-AY252)</f>
        <v>0</v>
      </c>
      <c r="BV252" s="15" t="n">
        <f aca="false">MIN(Piano_SS!$C$6,(BV251)+IF(AND(Motore_Operativo!C252&gt;=EDATE(Parametri_v3!$C$24,Ipotesi!G14*12),Motore_Operativo!C252&lt;EDATE(Parametri_v3!$C$24,Parametri_v3!$C$25+Ipotesi!G14*12)),MAX(0,(Motore_Operativo!Y252+Motore_Operativo!X252*Parametri_v3!$C$14)*(1-Parametri_v3!$C$32))*Piano_SS!$D$6,0))</f>
        <v>0</v>
      </c>
      <c r="BW252" s="15" t="n">
        <f aca="false">MIN(Piano_SS!$C$7,(BW251)+IF(AND(Motore_Operativo!C252&gt;=EDATE(Parametri_v3!$C$24,Ipotesi!G14*12),Motore_Operativo!C252&lt;EDATE(Parametri_v3!$C$24,Parametri_v3!$C$25+Ipotesi!G14*12)),MAX(0,(IF(8-(INT((Ipotesi!$C$91)/30))&lt;1,0,INDEX(Motore_Operativo!$BN$245:$BN$304,MAX(1,8-(INT((Ipotesi!$C$91)/30)))))*(1-(MOD((Ipotesi!$C$91),30)/30))+IF(8-(INT((Ipotesi!$C$91)/30))-1&lt;1,0,INDEX(Motore_Operativo!$BN$245:$BN$304,MAX(1,8-(INT((Ipotesi!$C$91)/30))-1)))*(MOD((Ipotesi!$C$91),30)/30)))*Piano_SS!$D$7,0))</f>
        <v>0</v>
      </c>
      <c r="BX252" s="15" t="n">
        <f aca="false">MIN(Piano_SS!$C$8,(BX251)+IF(AND(Motore_Operativo!C252&gt;=EDATE(Parametri_v3!$C$24,Ipotesi!G14*12),Motore_Operativo!C252&lt;EDATE(Parametri_v3!$C$24,Parametri_v3!$C$25+Ipotesi!G14*12)),MAX(0,Motore_Operativo!CE252)*Piano_SS!$D$8,0))</f>
        <v>0</v>
      </c>
      <c r="BY252" s="15" t="n">
        <f aca="false">MIN(Piano_SS!$C$9,(BY251)+IF(AND(Motore_Operativo!C252&gt;=EDATE(Parametri_v3!$C$24,Ipotesi!G14*12),Motore_Operativo!C252&lt;EDATE(Parametri_v3!$C$24,Parametri_v3!$C$25+Ipotesi!G14*12)),MAX(0,((IF(8-(INT((Ipotesi!$C$91)/30))&lt;1,0,INDEX(Motore_Operativo!$BQ$245:$BQ$304,MAX(1,8-(INT((Ipotesi!$C$91)/30)))))*(1-(MOD((Ipotesi!$C$91),30)/30))+IF(8-(INT((Ipotesi!$C$91)/30))-1&lt;1,0,INDEX(Motore_Operativo!$BQ$245:$BQ$304,MAX(1,8-(INT((Ipotesi!$C$91)/30))-1)))*(MOD((Ipotesi!$C$91),30)/30))+(IF(8-(INT((Ipotesi!$C$91)/30))&lt;1,0,INDEX(Motore_Operativo!$BR$245:$BR$304,MAX(1,8-(INT((Ipotesi!$C$91)/30)))))*(1-(MOD((Ipotesi!$C$91),30)/30))+IF(8-(INT((Ipotesi!$C$91)/30))-1&lt;1,0,INDEX(Motore_Operativo!$BR$245:$BR$304,MAX(1,8-(INT((Ipotesi!$C$91)/30))-1)))*(MOD((Ipotesi!$C$91),30)/30))))*Piano_SS!$D$9,0))</f>
        <v>0</v>
      </c>
      <c r="BZ252" s="15" t="n">
        <f aca="false">MIN(Piano_SS!$C$10,(BZ251)+IF(AND(Motore_Operativo!C252&gt;=EDATE(Parametri_v3!$C$24,Ipotesi!G14*12),Motore_Operativo!C252&lt;EDATE(Parametri_v3!$C$24,Parametri_v3!$C$25+Ipotesi!G14*12)),MAX(0,(IF(8-(INT((Ipotesi!$C$91)/30))&lt;1,0,INDEX(Motore_Operativo!$BO$245:$BO$304,MAX(1,8-(INT((Ipotesi!$C$91)/30)))))*(1-(MOD((Ipotesi!$C$91),30)/30))+IF(8-(INT((Ipotesi!$C$91)/30))-1&lt;1,0,INDEX(Motore_Operativo!$BO$245:$BO$304,MAX(1,8-(INT((Ipotesi!$C$91)/30))-1)))*(MOD((Ipotesi!$C$91),30)/30)))*Piano_SS!$D$10,0))</f>
        <v>0</v>
      </c>
      <c r="CA252" s="15" t="n">
        <f aca="false">SUM(BV252:BZ252)</f>
        <v>0</v>
      </c>
      <c r="CB252" s="15" t="n">
        <f aca="false">BV252*(1-Piano_SS!$E$6)+BW252*(1-Piano_SS!$E$7)+BX252*(1-Piano_SS!$E$8)+BY252*(1-Piano_SS!$E$9)+BZ252*(1-Piano_SS!$E$10)</f>
        <v>0</v>
      </c>
      <c r="CC252" s="15" t="n">
        <f aca="false">(CC251)+BA252</f>
        <v>0</v>
      </c>
      <c r="CD252" s="15" t="n">
        <f aca="false">IF(CA252=0,0,CC252*CB252/CA252*Ipotesi!$C$103*Parametri_v3!$C$64)</f>
        <v>0</v>
      </c>
      <c r="CE252" s="18" t="n">
        <f aca="false">IF(BA252&gt;0,Motore_Operativo!C252,(CE251))</f>
        <v>0</v>
      </c>
      <c r="CF252" s="18" t="n">
        <f aca="false">IF(AND(CC252&gt;0,OR(CC252&gt;=CG252-0.01,Motore_Operativo!C252&gt;=EDATE(MAX(Finanziamenti!$D$15:$D$17),Ipotesi!G14*12))),CE252,0)</f>
        <v>0</v>
      </c>
      <c r="CG252" s="15" t="n">
        <f aca="false">IF(AND(5&lt;&gt;6,5&lt;&gt;9,Finanziamenti!$F$11=1,OR(Parametri_v3!$C$6=0,Finanziamenti!$E$11=1)),MIN(Finanziamenti!$C$11,Piano_SS!$C$12*Ipotesi!$C$102),0)</f>
        <v>400000</v>
      </c>
      <c r="CH252" s="15" t="n">
        <f aca="false">IF(AND(AND(5&lt;&gt;8,5&lt;&gt;9,Finanziamenti!$F$10=1,OR(Parametri_v3!$C$6=0,Finanziamenti!$E$10=1)),Motore_Operativo!C252&gt;=Finanziamenti!$D$10,Motore_Operativo!C252&lt;Parametri_v3!$C$63),Finanziamenti!$C$10,0)</f>
        <v>150000</v>
      </c>
    </row>
    <row r="253" customFormat="false" ht="18" hidden="false" customHeight="true" outlineLevel="0" collapsed="false">
      <c r="A253" s="68" t="n">
        <f aca="false">5</f>
        <v>5</v>
      </c>
      <c r="B253" s="68" t="n">
        <f aca="false">9</f>
        <v>9</v>
      </c>
      <c r="C253" s="18" t="n">
        <f aca="false">Motore_Operativo!C253</f>
        <v>46631</v>
      </c>
      <c r="D253" s="68" t="n">
        <f aca="false">Motore_Operativo!D253</f>
        <v>2027</v>
      </c>
      <c r="E253" s="68" t="n">
        <f aca="false">Motore_Operativo!E253</f>
        <v>9</v>
      </c>
      <c r="F253" s="15" t="n">
        <f aca="false">Motore_Operativo!AQ253+Motore_Operativo!BF253</f>
        <v>3815.36057692308</v>
      </c>
      <c r="G253" s="15" t="n">
        <f aca="false">Motore_Operativo!BH253</f>
        <v>802.421052631579</v>
      </c>
      <c r="H253" s="15" t="n">
        <f aca="false">Motore_Operativo!BI253</f>
        <v>4617.78162955466</v>
      </c>
      <c r="I253" s="15" t="n">
        <f aca="false">Motore_Operativo!CA253</f>
        <v>16559.1397790148</v>
      </c>
      <c r="J253" s="15" t="n">
        <f aca="false">Motore_Operativo!CC253</f>
        <v>-11941.3581494602</v>
      </c>
      <c r="K253" s="15" t="n">
        <f aca="false">Motore_Operativo!CE253</f>
        <v>1666.66666666667</v>
      </c>
      <c r="L253" s="15" t="n">
        <f aca="false">SUM(INDEX($K$245:$K$304,MAX(1,9-Parametri_v3!$C$59+1)):K253)/Parametri_v3!$C$59</f>
        <v>416.666666666667</v>
      </c>
      <c r="M253" s="15" t="n">
        <f aca="false">J253-L253</f>
        <v>-12358.0248161269</v>
      </c>
      <c r="N253" s="15" t="n">
        <f aca="false">CD253-(CD252)</f>
        <v>0</v>
      </c>
      <c r="O253" s="15" t="n">
        <f aca="false">(BG252)*Ipotesi!$C$110/12+CH253*Parametri_v3!$C$39/12</f>
        <v>45.7012156899205</v>
      </c>
      <c r="P253" s="15" t="n">
        <f aca="false">M253+N253-O253</f>
        <v>-12403.7260318168</v>
      </c>
      <c r="Q253" s="15" t="n">
        <f aca="false">SUM(P245:P253)+Parametri_v3!$C$54*9/12</f>
        <v>-110107.892990319</v>
      </c>
      <c r="R253" s="15" t="n">
        <f aca="false">0</f>
        <v>0</v>
      </c>
      <c r="S253" s="15" t="n">
        <f aca="false">0</f>
        <v>0</v>
      </c>
      <c r="T253" s="15" t="n">
        <f aca="false">MIN(R253,MAX(0,Q253))</f>
        <v>0</v>
      </c>
      <c r="U253" s="15" t="n">
        <f aca="false">MIN(S253,MAX(0,Q253-T253)*Parametri_v3!$C$42)</f>
        <v>0</v>
      </c>
      <c r="V253" s="15" t="n">
        <f aca="false">MAX(0,Q253-T253-U253)*Ipotesi!$C$92</f>
        <v>0</v>
      </c>
      <c r="W253" s="15" t="n">
        <f aca="false">MAX(0,SUM(M245:M253)+Parametri_v3!$C$55*9/12)*Ipotesi!$C$93</f>
        <v>0</v>
      </c>
      <c r="X253" s="15" t="n">
        <f aca="false">V253+W253-(V252+W252)</f>
        <v>0</v>
      </c>
      <c r="Y253" s="15" t="n">
        <f aca="false">P253-X253</f>
        <v>-12403.7260318168</v>
      </c>
      <c r="Z253" s="15" t="n">
        <f aca="false">R253-T253+IF(AND(Parametri_v3!$C$40=1,D253-YEAR(Parametri_v3!$C$50)&lt;Parametri_v3!$C$41),MAX(0,-Q253),0)</f>
        <v>110107.892990319</v>
      </c>
      <c r="AA253" s="15" t="n">
        <f aca="false">S253-U253+IF(AND(Parametri_v3!$C$40=1,D253-YEAR(Parametri_v3!$C$50)&lt;Parametri_v3!$C$41),0,MAX(0,-Q253))</f>
        <v>0</v>
      </c>
      <c r="AB253" s="15" t="n">
        <f aca="false">F253*(1+Parametri_v3!$C$26)</f>
        <v>4654.73990384616</v>
      </c>
      <c r="AC253" s="15" t="n">
        <f aca="false">(IF(9-(INT((Motore_Operativo!L253)/30))&lt;1,0,INDEX(Motore_Startup!$AB$245:$AB$304,MAX(1,9-(INT((Motore_Operativo!L253)/30)))))*(1-(MOD((Motore_Operativo!L253),30)/30))+IF(9-(INT((Motore_Operativo!L253)/30))-1&lt;1,0,INDEX(Motore_Startup!$AB$245:$AB$304,MAX(1,9-(INT((Motore_Operativo!L253)/30))-1)))*(MOD((Motore_Operativo!L253),30)/30))</f>
        <v>4563.47451923077</v>
      </c>
      <c r="AD253" s="15" t="n">
        <f aca="false">(AD252)+AB253-AC253</f>
        <v>18482.0615384616</v>
      </c>
      <c r="AE253" s="15" t="n">
        <f aca="false">Motore_Operativo!BH253*(1+Parametri_v3!$C$26)</f>
        <v>978.953684210527</v>
      </c>
      <c r="AF253" s="15" t="n">
        <f aca="false">(IF(9-(INT((Parametri_v3!$C$29)/30))&lt;1,0,INDEX(Motore_Operativo!$BH$245:$BH$304,MAX(1,9-(INT((Parametri_v3!$C$29)/30)))))*(1-(MOD((Parametri_v3!$C$29),30)/30))+IF(9-(INT((Parametri_v3!$C$29)/30))-1&lt;1,0,INDEX(Motore_Operativo!$BH$245:$BH$304,MAX(1,9-(INT((Parametri_v3!$C$29)/30))-1)))*(MOD((Parametri_v3!$C$29),30)/30))*(1+Parametri_v3!$C$26)</f>
        <v>978.953684210527</v>
      </c>
      <c r="AG253" s="15" t="n">
        <f aca="false">(AG252)+AE253-AF253</f>
        <v>978.953684210527</v>
      </c>
      <c r="AH253" s="15" t="n">
        <f aca="false">(Motore_Operativo!CJ253)*(1+Parametri_v3!$C$27*Parametri_v3!$C$26)</f>
        <v>7216.92808435729</v>
      </c>
      <c r="AI253" s="15" t="n">
        <f aca="false">(IF(9-(INT((Ipotesi!$C$91)/30))&lt;1,0,INDEX(Motore_Startup!$AH$245:$AH$304,MAX(1,9-(INT((Ipotesi!$C$91)/30)))))*(1-(MOD((Ipotesi!$C$91),30)/30))+IF(9-(INT((Ipotesi!$C$91)/30))-1&lt;1,0,INDEX(Motore_Startup!$AH$245:$AH$304,MAX(1,9-(INT((Ipotesi!$C$91)/30))-1)))*(MOD((Ipotesi!$C$91),30)/30))</f>
        <v>7210.71231320344</v>
      </c>
      <c r="AJ253" s="15" t="n">
        <f aca="false">(AJ252)+AH253-AI253</f>
        <v>14430.7482831377</v>
      </c>
      <c r="AK253" s="15" t="n">
        <f aca="false">(F253+ Motore_Operativo!BH253-(Motore_Operativo!CJ253)*Parametri_v3!$C$27-Motore_Operativo!CE253)*Parametri_v3!$C$26</f>
        <v>-487.709680173751</v>
      </c>
      <c r="AL253" s="15" t="n">
        <f aca="false">MAX(0,(AM252))</f>
        <v>0</v>
      </c>
      <c r="AM253" s="15" t="n">
        <f aca="false">(AM252)+AK253-AL253</f>
        <v>-4503.56853358299</v>
      </c>
      <c r="AN253" s="15" t="n">
        <f aca="false">0</f>
        <v>0</v>
      </c>
      <c r="AO253" s="15" t="n">
        <f aca="false">0</f>
        <v>0</v>
      </c>
      <c r="AP253" s="15" t="n">
        <f aca="false">MAX(0,AN253)*IF(9=Parametri_v3!$C$43,Parametri_v3!$C$45,IF(9=Parametri_v3!$C$44,1-Parametri_v3!$C$45,0))</f>
        <v>0</v>
      </c>
      <c r="AQ253" s="15" t="n">
        <f aca="false">MAX(0,AP253+IF(9=Parametri_v3!$C$43,MAX(0,AN253-AO253),0)-MAX(0,-(AR252)))</f>
        <v>0</v>
      </c>
      <c r="AR253" s="15" t="n">
        <f aca="false">(AR252)+X253-AQ253</f>
        <v>0</v>
      </c>
      <c r="AS253" s="15" t="n">
        <f aca="false">Motore_Operativo!AB253-AT253+AU253</f>
        <v>9955.20833333333</v>
      </c>
      <c r="AT253" s="15" t="n">
        <f aca="false">Motore_Operativo!CH253</f>
        <v>523.958333333333</v>
      </c>
      <c r="AU253" s="15" t="n">
        <f aca="false">MIN(MAX(0,(AV252)+AT253),Parametri_v3!$C$60/12)</f>
        <v>0</v>
      </c>
      <c r="AV253" s="15" t="n">
        <f aca="false">(AV252)+AT253-AU253</f>
        <v>4715.625</v>
      </c>
      <c r="AW253" s="15" t="n">
        <f aca="false">IF(AND(Motore_Operativo!C253=Finanziamenti!$D$6,Finanziamenti!$F$6=1),Finanziamenti!$C$6,0)</f>
        <v>0</v>
      </c>
      <c r="AX253" s="15" t="n">
        <f aca="false">IF(AND(5&lt;&gt;7,5&lt;&gt;9,Finanziamenti!$F$8=1,OR(Parametri_v3!$C$6=0,Finanziamenti!$E$8=1),Motore_Operativo!C253=EDATE(Finanziamenti!$D$8,Ipotesi!G15*12)),Finanziamenti!$C$8*1,0)+IF(AND(5&lt;&gt;7,5&lt;&gt;9,Finanziamenti!$F$9=1,OR(Parametri_v3!$C$6=0,Finanziamenti!$E$9=1),Motore_Operativo!C253=EDATE(Finanziamenti!$D$9,Ipotesi!G15*12)),Finanziamenti!$C$9*Ipotesi!G16,0)</f>
        <v>0</v>
      </c>
      <c r="AY253" s="15" t="n">
        <f aca="false">0</f>
        <v>0</v>
      </c>
      <c r="AZ253" s="15" t="n">
        <f aca="false">Motore_Advisory!AY253*(1-Ipotesi!$C$95)*Ipotesi!$C$96</f>
        <v>0</v>
      </c>
      <c r="BA253" s="15" t="n">
        <f aca="false">MAX(0,MIN(CG253*MIN(1,IF(Motore_Operativo!C253&gt;=EDATE(Finanziamenti!$D$15,Ipotesi!G14*12),Finanziamenti!$C$15,0)+IF(Motore_Operativo!C253&gt;=EDATE(Finanziamenti!$D$16,Ipotesi!G14*12),Finanziamenti!$C$16,0)+IF(Motore_Operativo!C253&gt;=EDATE(Finanziamenti!$D$17,Ipotesi!G14*12),Finanziamenti!$C$17,0)),CA253*Ipotesi!$C$102)-(CC252))</f>
        <v>0</v>
      </c>
      <c r="BB253" s="15" t="n">
        <f aca="false">IF(AND(CF253&gt;0,Motore_Operativo!C253&gt;=IF(CF253=0,0,EDATE(CF253,Parametri_v3!$C$37)),MOD(((D253-YEAR(IF(CF253=0,0,EDATE(CF253,Parametri_v3!$C$37))))*12+E253-MONTH(IF(CF253=0,0,EDATE(CF253,Parametri_v3!$C$37)))),Parametri_v3!$C$38)=0),MIN(MAX(0,(BC252)+BA253-N253),(CC253-CD253)/(Ipotesi!$C$108*12/Parametri_v3!$C$38)),0)</f>
        <v>0</v>
      </c>
      <c r="BC253" s="15" t="n">
        <f aca="false">(BC252)+BA253-N253-BB253</f>
        <v>0</v>
      </c>
      <c r="BD253" s="15" t="n">
        <f aca="false">(BH252)+AC253+AF253-AI253-AS253-K253*(1+Parametri_v3!$C$26)-AL253-AQ253-O253+AW253+AX253+AZ253+BA253-BB253</f>
        <v>11297.4730078813</v>
      </c>
      <c r="BE253" s="15" t="n">
        <f aca="false">MAX(0,MIN(MAX(0,CH253-(BG252)),Parametri_v3!$C$30-BD253))</f>
        <v>13702.5269921187</v>
      </c>
      <c r="BF253" s="15" t="n">
        <f aca="false">IF(Motore_Operativo!C253&gt;=Parametri_v3!$C$63,(BG252),MIN((BG252),MAX(0,BD253-Parametri_v3!$C$30)))</f>
        <v>0</v>
      </c>
      <c r="BG253" s="15" t="n">
        <f aca="false">(BG252)+BE253-BF253</f>
        <v>22842.7701301028</v>
      </c>
      <c r="BH253" s="15" t="n">
        <f aca="false">BD253+BE253-BF253-AY253</f>
        <v>25000</v>
      </c>
      <c r="BI253" s="15" t="n">
        <f aca="false">MAX(0,Parametri_v3!$C$30-BH253)</f>
        <v>0</v>
      </c>
      <c r="BJ253" s="15" t="n">
        <f aca="false">(BJ252)+K253</f>
        <v>15000</v>
      </c>
      <c r="BK253" s="15" t="n">
        <f aca="false">(BK252)+L253</f>
        <v>2083.33333333333</v>
      </c>
      <c r="BL253" s="15" t="n">
        <f aca="false">BJ253-BK253</f>
        <v>12916.6666666667</v>
      </c>
      <c r="BM253" s="15" t="n">
        <f aca="false">(BM252)+Y253</f>
        <v>-110107.892990319</v>
      </c>
      <c r="BN253" s="15" t="n">
        <f aca="false">(BN252)+AW253+AX253+AZ253</f>
        <v>130000</v>
      </c>
      <c r="BO253" s="15" t="n">
        <f aca="false">(BO252)+AY253</f>
        <v>0</v>
      </c>
      <c r="BP253" s="15" t="n">
        <f aca="false">0</f>
        <v>0</v>
      </c>
      <c r="BQ253" s="15" t="n">
        <f aca="false">BN253+BM253-BO253</f>
        <v>19892.1070096812</v>
      </c>
      <c r="BR253" s="15" t="n">
        <f aca="false">BH253+AD253+BL253+MAX(0,-AM253)+MAX(0,-AR253)+AG253</f>
        <v>61881.2504229217</v>
      </c>
      <c r="BS253" s="15" t="n">
        <f aca="false">AJ253+AV253+MAX(0,AM253)+MAX(0,AR253)+BC253+BG253+BQ253</f>
        <v>61881.2504229217</v>
      </c>
      <c r="BT253" s="15" t="n">
        <f aca="false">BR253-BS253</f>
        <v>0</v>
      </c>
      <c r="BU253" s="15" t="n">
        <f aca="false">BH253-(BD253+BE253-BF253-AY253)</f>
        <v>0</v>
      </c>
      <c r="BV253" s="15" t="n">
        <f aca="false">MIN(Piano_SS!$C$6,(BV252)+IF(AND(Motore_Operativo!C253&gt;=EDATE(Parametri_v3!$C$24,Ipotesi!G14*12),Motore_Operativo!C253&lt;EDATE(Parametri_v3!$C$24,Parametri_v3!$C$25+Ipotesi!G14*12)),MAX(0,(Motore_Operativo!Y253+Motore_Operativo!X253*Parametri_v3!$C$14)*(1-Parametri_v3!$C$32))*Piano_SS!$D$6,0))</f>
        <v>0</v>
      </c>
      <c r="BW253" s="15" t="n">
        <f aca="false">MIN(Piano_SS!$C$7,(BW252)+IF(AND(Motore_Operativo!C253&gt;=EDATE(Parametri_v3!$C$24,Ipotesi!G14*12),Motore_Operativo!C253&lt;EDATE(Parametri_v3!$C$24,Parametri_v3!$C$25+Ipotesi!G14*12)),MAX(0,(IF(9-(INT((Ipotesi!$C$91)/30))&lt;1,0,INDEX(Motore_Operativo!$BN$245:$BN$304,MAX(1,9-(INT((Ipotesi!$C$91)/30)))))*(1-(MOD((Ipotesi!$C$91),30)/30))+IF(9-(INT((Ipotesi!$C$91)/30))-1&lt;1,0,INDEX(Motore_Operativo!$BN$245:$BN$304,MAX(1,9-(INT((Ipotesi!$C$91)/30))-1)))*(MOD((Ipotesi!$C$91),30)/30)))*Piano_SS!$D$7,0))</f>
        <v>0</v>
      </c>
      <c r="BX253" s="15" t="n">
        <f aca="false">MIN(Piano_SS!$C$8,(BX252)+IF(AND(Motore_Operativo!C253&gt;=EDATE(Parametri_v3!$C$24,Ipotesi!G14*12),Motore_Operativo!C253&lt;EDATE(Parametri_v3!$C$24,Parametri_v3!$C$25+Ipotesi!G14*12)),MAX(0,Motore_Operativo!CE253)*Piano_SS!$D$8,0))</f>
        <v>0</v>
      </c>
      <c r="BY253" s="15" t="n">
        <f aca="false">MIN(Piano_SS!$C$9,(BY252)+IF(AND(Motore_Operativo!C253&gt;=EDATE(Parametri_v3!$C$24,Ipotesi!G14*12),Motore_Operativo!C253&lt;EDATE(Parametri_v3!$C$24,Parametri_v3!$C$25+Ipotesi!G14*12)),MAX(0,((IF(9-(INT((Ipotesi!$C$91)/30))&lt;1,0,INDEX(Motore_Operativo!$BQ$245:$BQ$304,MAX(1,9-(INT((Ipotesi!$C$91)/30)))))*(1-(MOD((Ipotesi!$C$91),30)/30))+IF(9-(INT((Ipotesi!$C$91)/30))-1&lt;1,0,INDEX(Motore_Operativo!$BQ$245:$BQ$304,MAX(1,9-(INT((Ipotesi!$C$91)/30))-1)))*(MOD((Ipotesi!$C$91),30)/30))+(IF(9-(INT((Ipotesi!$C$91)/30))&lt;1,0,INDEX(Motore_Operativo!$BR$245:$BR$304,MAX(1,9-(INT((Ipotesi!$C$91)/30)))))*(1-(MOD((Ipotesi!$C$91),30)/30))+IF(9-(INT((Ipotesi!$C$91)/30))-1&lt;1,0,INDEX(Motore_Operativo!$BR$245:$BR$304,MAX(1,9-(INT((Ipotesi!$C$91)/30))-1)))*(MOD((Ipotesi!$C$91),30)/30))))*Piano_SS!$D$9,0))</f>
        <v>0</v>
      </c>
      <c r="BZ253" s="15" t="n">
        <f aca="false">MIN(Piano_SS!$C$10,(BZ252)+IF(AND(Motore_Operativo!C253&gt;=EDATE(Parametri_v3!$C$24,Ipotesi!G14*12),Motore_Operativo!C253&lt;EDATE(Parametri_v3!$C$24,Parametri_v3!$C$25+Ipotesi!G14*12)),MAX(0,(IF(9-(INT((Ipotesi!$C$91)/30))&lt;1,0,INDEX(Motore_Operativo!$BO$245:$BO$304,MAX(1,9-(INT((Ipotesi!$C$91)/30)))))*(1-(MOD((Ipotesi!$C$91),30)/30))+IF(9-(INT((Ipotesi!$C$91)/30))-1&lt;1,0,INDEX(Motore_Operativo!$BO$245:$BO$304,MAX(1,9-(INT((Ipotesi!$C$91)/30))-1)))*(MOD((Ipotesi!$C$91),30)/30)))*Piano_SS!$D$10,0))</f>
        <v>0</v>
      </c>
      <c r="CA253" s="15" t="n">
        <f aca="false">SUM(BV253:BZ253)</f>
        <v>0</v>
      </c>
      <c r="CB253" s="15" t="n">
        <f aca="false">BV253*(1-Piano_SS!$E$6)+BW253*(1-Piano_SS!$E$7)+BX253*(1-Piano_SS!$E$8)+BY253*(1-Piano_SS!$E$9)+BZ253*(1-Piano_SS!$E$10)</f>
        <v>0</v>
      </c>
      <c r="CC253" s="15" t="n">
        <f aca="false">(CC252)+BA253</f>
        <v>0</v>
      </c>
      <c r="CD253" s="15" t="n">
        <f aca="false">IF(CA253=0,0,CC253*CB253/CA253*Ipotesi!$C$103*Parametri_v3!$C$64)</f>
        <v>0</v>
      </c>
      <c r="CE253" s="18" t="n">
        <f aca="false">IF(BA253&gt;0,Motore_Operativo!C253,(CE252))</f>
        <v>0</v>
      </c>
      <c r="CF253" s="18" t="n">
        <f aca="false">IF(AND(CC253&gt;0,OR(CC253&gt;=CG253-0.01,Motore_Operativo!C253&gt;=EDATE(MAX(Finanziamenti!$D$15:$D$17),Ipotesi!G14*12))),CE253,0)</f>
        <v>0</v>
      </c>
      <c r="CG253" s="15" t="n">
        <f aca="false">IF(AND(5&lt;&gt;6,5&lt;&gt;9,Finanziamenti!$F$11=1,OR(Parametri_v3!$C$6=0,Finanziamenti!$E$11=1)),MIN(Finanziamenti!$C$11,Piano_SS!$C$12*Ipotesi!$C$102),0)</f>
        <v>400000</v>
      </c>
      <c r="CH253" s="15" t="n">
        <f aca="false">IF(AND(AND(5&lt;&gt;8,5&lt;&gt;9,Finanziamenti!$F$10=1,OR(Parametri_v3!$C$6=0,Finanziamenti!$E$10=1)),Motore_Operativo!C253&gt;=Finanziamenti!$D$10,Motore_Operativo!C253&lt;Parametri_v3!$C$63),Finanziamenti!$C$10,0)</f>
        <v>150000</v>
      </c>
    </row>
    <row r="254" customFormat="false" ht="18" hidden="false" customHeight="true" outlineLevel="0" collapsed="false">
      <c r="A254" s="68" t="n">
        <f aca="false">5</f>
        <v>5</v>
      </c>
      <c r="B254" s="68" t="n">
        <f aca="false">10</f>
        <v>10</v>
      </c>
      <c r="C254" s="18" t="n">
        <f aca="false">Motore_Operativo!C254</f>
        <v>46661</v>
      </c>
      <c r="D254" s="68" t="n">
        <f aca="false">Motore_Operativo!D254</f>
        <v>2027</v>
      </c>
      <c r="E254" s="68" t="n">
        <f aca="false">Motore_Operativo!E254</f>
        <v>10</v>
      </c>
      <c r="F254" s="15" t="n">
        <f aca="false">Motore_Operativo!AQ254+Motore_Operativo!BF254</f>
        <v>3834.0625</v>
      </c>
      <c r="G254" s="15" t="n">
        <f aca="false">Motore_Operativo!BH254</f>
        <v>802.421052631579</v>
      </c>
      <c r="H254" s="15" t="n">
        <f aca="false">Motore_Operativo!BI254</f>
        <v>4636.48355263158</v>
      </c>
      <c r="I254" s="15" t="n">
        <f aca="false">Motore_Operativo!CA254</f>
        <v>16561.7580482456</v>
      </c>
      <c r="J254" s="15" t="n">
        <f aca="false">Motore_Operativo!CC254</f>
        <v>-11925.274495614</v>
      </c>
      <c r="K254" s="15" t="n">
        <f aca="false">Motore_Operativo!CE254</f>
        <v>1666.66666666667</v>
      </c>
      <c r="L254" s="15" t="n">
        <f aca="false">SUM(INDEX($K$245:$K$304,MAX(1,10-Parametri_v3!$C$59+1)):K254)/Parametri_v3!$C$59</f>
        <v>462.962962962963</v>
      </c>
      <c r="M254" s="15" t="n">
        <f aca="false">J254-L254</f>
        <v>-12388.237458577</v>
      </c>
      <c r="N254" s="15" t="n">
        <f aca="false">CD254-(CD253)</f>
        <v>0</v>
      </c>
      <c r="O254" s="15" t="n">
        <f aca="false">(BG253)*Ipotesi!$C$110/12+CH254*Parametri_v3!$C$39/12</f>
        <v>114.213850650514</v>
      </c>
      <c r="P254" s="15" t="n">
        <f aca="false">M254+N254-O254</f>
        <v>-12502.4513092275</v>
      </c>
      <c r="Q254" s="15" t="n">
        <f aca="false">SUM(P245:P254)+Parametri_v3!$C$54*10/12</f>
        <v>-122610.344299546</v>
      </c>
      <c r="R254" s="15" t="n">
        <f aca="false">0</f>
        <v>0</v>
      </c>
      <c r="S254" s="15" t="n">
        <f aca="false">0</f>
        <v>0</v>
      </c>
      <c r="T254" s="15" t="n">
        <f aca="false">MIN(R254,MAX(0,Q254))</f>
        <v>0</v>
      </c>
      <c r="U254" s="15" t="n">
        <f aca="false">MIN(S254,MAX(0,Q254-T254)*Parametri_v3!$C$42)</f>
        <v>0</v>
      </c>
      <c r="V254" s="15" t="n">
        <f aca="false">MAX(0,Q254-T254-U254)*Ipotesi!$C$92</f>
        <v>0</v>
      </c>
      <c r="W254" s="15" t="n">
        <f aca="false">MAX(0,SUM(M245:M254)+Parametri_v3!$C$55*10/12)*Ipotesi!$C$93</f>
        <v>0</v>
      </c>
      <c r="X254" s="15" t="n">
        <f aca="false">V254+W254-(V253+W253)</f>
        <v>0</v>
      </c>
      <c r="Y254" s="15" t="n">
        <f aca="false">P254-X254</f>
        <v>-12502.4513092275</v>
      </c>
      <c r="Z254" s="15" t="n">
        <f aca="false">R254-T254+IF(AND(Parametri_v3!$C$40=1,D254-YEAR(Parametri_v3!$C$50)&lt;Parametri_v3!$C$41),MAX(0,-Q254),0)</f>
        <v>122610.344299546</v>
      </c>
      <c r="AA254" s="15" t="n">
        <f aca="false">S254-U254+IF(AND(Parametri_v3!$C$40=1,D254-YEAR(Parametri_v3!$C$50)&lt;Parametri_v3!$C$41),0,MAX(0,-Q254))</f>
        <v>0</v>
      </c>
      <c r="AB254" s="15" t="n">
        <f aca="false">F254*(1+Parametri_v3!$C$26)</f>
        <v>4677.55625</v>
      </c>
      <c r="AC254" s="15" t="n">
        <f aca="false">(IF(10-(INT((Motore_Operativo!L254)/30))&lt;1,0,INDEX(Motore_Startup!$AB$245:$AB$304,MAX(1,10-(INT((Motore_Operativo!L254)/30)))))*(1-(MOD((Motore_Operativo!L254),30)/30))+IF(10-(INT((Motore_Operativo!L254)/30))-1&lt;1,0,INDEX(Motore_Startup!$AB$245:$AB$304,MAX(1,10-(INT((Motore_Operativo!L254)/30))-1)))*(MOD((Motore_Operativo!L254),30)/30))</f>
        <v>4586.29086538462</v>
      </c>
      <c r="AD254" s="15" t="n">
        <f aca="false">(AD253)+AB254-AC254</f>
        <v>18573.3269230769</v>
      </c>
      <c r="AE254" s="15" t="n">
        <f aca="false">Motore_Operativo!BH254*(1+Parametri_v3!$C$26)</f>
        <v>978.953684210527</v>
      </c>
      <c r="AF254" s="15" t="n">
        <f aca="false">(IF(10-(INT((Parametri_v3!$C$29)/30))&lt;1,0,INDEX(Motore_Operativo!$BH$245:$BH$304,MAX(1,10-(INT((Parametri_v3!$C$29)/30)))))*(1-(MOD((Parametri_v3!$C$29),30)/30))+IF(10-(INT((Parametri_v3!$C$29)/30))-1&lt;1,0,INDEX(Motore_Operativo!$BH$245:$BH$304,MAX(1,10-(INT((Parametri_v3!$C$29)/30))-1)))*(MOD((Parametri_v3!$C$29),30)/30))*(1+Parametri_v3!$C$26)</f>
        <v>978.953684210527</v>
      </c>
      <c r="AG254" s="15" t="n">
        <f aca="false">(AG253)+AE254-AF254</f>
        <v>978.953684210527</v>
      </c>
      <c r="AH254" s="15" t="n">
        <f aca="false">(Motore_Operativo!CJ254)*(1+Parametri_v3!$C$27*Parametri_v3!$C$26)</f>
        <v>7220.03596993421</v>
      </c>
      <c r="AI254" s="15" t="n">
        <f aca="false">(IF(10-(INT((Ipotesi!$C$91)/30))&lt;1,0,INDEX(Motore_Startup!$AH$245:$AH$304,MAX(1,10-(INT((Ipotesi!$C$91)/30)))))*(1-(MOD((Ipotesi!$C$91),30)/30))+IF(10-(INT((Ipotesi!$C$91)/30))-1&lt;1,0,INDEX(Motore_Startup!$AH$245:$AH$304,MAX(1,10-(INT((Ipotesi!$C$91)/30))-1)))*(MOD((Ipotesi!$C$91),30)/30))</f>
        <v>7213.82019878037</v>
      </c>
      <c r="AJ254" s="15" t="n">
        <f aca="false">(AJ253)+AH254-AI254</f>
        <v>14436.9640542915</v>
      </c>
      <c r="AK254" s="15" t="n">
        <f aca="false">(F254+ Motore_Operativo!BH254-(Motore_Operativo!CJ254)*Parametri_v3!$C$27-Motore_Operativo!CE254)*Parametri_v3!$C$26</f>
        <v>-484.084873442983</v>
      </c>
      <c r="AL254" s="15" t="n">
        <f aca="false">MAX(0,(AM253))</f>
        <v>0</v>
      </c>
      <c r="AM254" s="15" t="n">
        <f aca="false">(AM253)+AK254-AL254</f>
        <v>-4987.65340702598</v>
      </c>
      <c r="AN254" s="15" t="n">
        <f aca="false">0</f>
        <v>0</v>
      </c>
      <c r="AO254" s="15" t="n">
        <f aca="false">0</f>
        <v>0</v>
      </c>
      <c r="AP254" s="15" t="n">
        <f aca="false">MAX(0,AN254)*IF(10=Parametri_v3!$C$43,Parametri_v3!$C$45,IF(10=Parametri_v3!$C$44,1-Parametri_v3!$C$45,0))</f>
        <v>0</v>
      </c>
      <c r="AQ254" s="15" t="n">
        <f aca="false">MAX(0,AP254+IF(10=Parametri_v3!$C$43,MAX(0,AN254-AO254),0)-MAX(0,-(AR253)))</f>
        <v>0</v>
      </c>
      <c r="AR254" s="15" t="n">
        <f aca="false">(AR253)+X254-AQ254</f>
        <v>0</v>
      </c>
      <c r="AS254" s="15" t="n">
        <f aca="false">Motore_Operativo!AB254-AT254+AU254</f>
        <v>9955.20833333333</v>
      </c>
      <c r="AT254" s="15" t="n">
        <f aca="false">Motore_Operativo!CH254</f>
        <v>523.958333333333</v>
      </c>
      <c r="AU254" s="15" t="n">
        <f aca="false">MIN(MAX(0,(AV253)+AT254),Parametri_v3!$C$60/12)</f>
        <v>0</v>
      </c>
      <c r="AV254" s="15" t="n">
        <f aca="false">(AV253)+AT254-AU254</f>
        <v>5239.58333333333</v>
      </c>
      <c r="AW254" s="15" t="n">
        <f aca="false">IF(AND(Motore_Operativo!C254=Finanziamenti!$D$6,Finanziamenti!$F$6=1),Finanziamenti!$C$6,0)</f>
        <v>0</v>
      </c>
      <c r="AX254" s="15" t="n">
        <f aca="false">IF(AND(5&lt;&gt;7,5&lt;&gt;9,Finanziamenti!$F$8=1,OR(Parametri_v3!$C$6=0,Finanziamenti!$E$8=1),Motore_Operativo!C254=EDATE(Finanziamenti!$D$8,Ipotesi!G15*12)),Finanziamenti!$C$8*1,0)+IF(AND(5&lt;&gt;7,5&lt;&gt;9,Finanziamenti!$F$9=1,OR(Parametri_v3!$C$6=0,Finanziamenti!$E$9=1),Motore_Operativo!C254=EDATE(Finanziamenti!$D$9,Ipotesi!G15*12)),Finanziamenti!$C$9*Ipotesi!G16,0)</f>
        <v>0</v>
      </c>
      <c r="AY254" s="15" t="n">
        <f aca="false">0</f>
        <v>0</v>
      </c>
      <c r="AZ254" s="15" t="n">
        <f aca="false">Motore_Advisory!AY254*(1-Ipotesi!$C$95)*Ipotesi!$C$96</f>
        <v>0</v>
      </c>
      <c r="BA254" s="15" t="n">
        <f aca="false">MAX(0,MIN(CG254*MIN(1,IF(Motore_Operativo!C254&gt;=EDATE(Finanziamenti!$D$15,Ipotesi!G14*12),Finanziamenti!$C$15,0)+IF(Motore_Operativo!C254&gt;=EDATE(Finanziamenti!$D$16,Ipotesi!G14*12),Finanziamenti!$C$16,0)+IF(Motore_Operativo!C254&gt;=EDATE(Finanziamenti!$D$17,Ipotesi!G14*12),Finanziamenti!$C$17,0)),CA254*Ipotesi!$C$102)-(CC253))</f>
        <v>0</v>
      </c>
      <c r="BB254" s="15" t="n">
        <f aca="false">IF(AND(CF254&gt;0,Motore_Operativo!C254&gt;=IF(CF254=0,0,EDATE(CF254,Parametri_v3!$C$37)),MOD(((D254-YEAR(IF(CF254=0,0,EDATE(CF254,Parametri_v3!$C$37))))*12+E254-MONTH(IF(CF254=0,0,EDATE(CF254,Parametri_v3!$C$37)))),Parametri_v3!$C$38)=0),MIN(MAX(0,(BC253)+BA254-N254),(CC254-CD254)/(Ipotesi!$C$108*12/Parametri_v3!$C$38)),0)</f>
        <v>0</v>
      </c>
      <c r="BC254" s="15" t="n">
        <f aca="false">(BC253)+BA254-N254-BB254</f>
        <v>0</v>
      </c>
      <c r="BD254" s="15" t="n">
        <f aca="false">(BH253)+AC254+AF254-AI254-AS254-K254*(1+Parametri_v3!$C$26)-AL254-AQ254-O254+AW254+AX254+AZ254+BA254-BB254</f>
        <v>11248.6688334976</v>
      </c>
      <c r="BE254" s="15" t="n">
        <f aca="false">MAX(0,MIN(MAX(0,CH254-(BG253)),Parametri_v3!$C$30-BD254))</f>
        <v>13751.3311665024</v>
      </c>
      <c r="BF254" s="15" t="n">
        <f aca="false">IF(Motore_Operativo!C254&gt;=Parametri_v3!$C$63,(BG253),MIN((BG253),MAX(0,BD254-Parametri_v3!$C$30)))</f>
        <v>0</v>
      </c>
      <c r="BG254" s="15" t="n">
        <f aca="false">(BG253)+BE254-BF254</f>
        <v>36594.1012966052</v>
      </c>
      <c r="BH254" s="15" t="n">
        <f aca="false">BD254+BE254-BF254-AY254</f>
        <v>25000</v>
      </c>
      <c r="BI254" s="15" t="n">
        <f aca="false">MAX(0,Parametri_v3!$C$30-BH254)</f>
        <v>0</v>
      </c>
      <c r="BJ254" s="15" t="n">
        <f aca="false">(BJ253)+K254</f>
        <v>16666.6666666667</v>
      </c>
      <c r="BK254" s="15" t="n">
        <f aca="false">(BK253)+L254</f>
        <v>2546.2962962963</v>
      </c>
      <c r="BL254" s="15" t="n">
        <f aca="false">BJ254-BK254</f>
        <v>14120.3703703704</v>
      </c>
      <c r="BM254" s="15" t="n">
        <f aca="false">(BM253)+Y254</f>
        <v>-122610.344299546</v>
      </c>
      <c r="BN254" s="15" t="n">
        <f aca="false">(BN253)+AW254+AX254+AZ254</f>
        <v>130000</v>
      </c>
      <c r="BO254" s="15" t="n">
        <f aca="false">(BO253)+AY254</f>
        <v>0</v>
      </c>
      <c r="BP254" s="15" t="n">
        <f aca="false">0</f>
        <v>0</v>
      </c>
      <c r="BQ254" s="15" t="n">
        <f aca="false">BN254+BM254-BO254</f>
        <v>7389.65570045369</v>
      </c>
      <c r="BR254" s="15" t="n">
        <f aca="false">BH254+AD254+BL254+MAX(0,-AM254)+MAX(0,-AR254)+AG254</f>
        <v>63660.3043846838</v>
      </c>
      <c r="BS254" s="15" t="n">
        <f aca="false">AJ254+AV254+MAX(0,AM254)+MAX(0,AR254)+BC254+BG254+BQ254</f>
        <v>63660.3043846837</v>
      </c>
      <c r="BT254" s="15" t="n">
        <f aca="false">BR254-BS254</f>
        <v>0</v>
      </c>
      <c r="BU254" s="15" t="n">
        <f aca="false">BH254-(BD254+BE254-BF254-AY254)</f>
        <v>0</v>
      </c>
      <c r="BV254" s="15" t="n">
        <f aca="false">MIN(Piano_SS!$C$6,(BV253)+IF(AND(Motore_Operativo!C254&gt;=EDATE(Parametri_v3!$C$24,Ipotesi!G14*12),Motore_Operativo!C254&lt;EDATE(Parametri_v3!$C$24,Parametri_v3!$C$25+Ipotesi!G14*12)),MAX(0,(Motore_Operativo!Y254+Motore_Operativo!X254*Parametri_v3!$C$14)*(1-Parametri_v3!$C$32))*Piano_SS!$D$6,0))</f>
        <v>0</v>
      </c>
      <c r="BW254" s="15" t="n">
        <f aca="false">MIN(Piano_SS!$C$7,(BW253)+IF(AND(Motore_Operativo!C254&gt;=EDATE(Parametri_v3!$C$24,Ipotesi!G14*12),Motore_Operativo!C254&lt;EDATE(Parametri_v3!$C$24,Parametri_v3!$C$25+Ipotesi!G14*12)),MAX(0,(IF(10-(INT((Ipotesi!$C$91)/30))&lt;1,0,INDEX(Motore_Operativo!$BN$245:$BN$304,MAX(1,10-(INT((Ipotesi!$C$91)/30)))))*(1-(MOD((Ipotesi!$C$91),30)/30))+IF(10-(INT((Ipotesi!$C$91)/30))-1&lt;1,0,INDEX(Motore_Operativo!$BN$245:$BN$304,MAX(1,10-(INT((Ipotesi!$C$91)/30))-1)))*(MOD((Ipotesi!$C$91),30)/30)))*Piano_SS!$D$7,0))</f>
        <v>0</v>
      </c>
      <c r="BX254" s="15" t="n">
        <f aca="false">MIN(Piano_SS!$C$8,(BX253)+IF(AND(Motore_Operativo!C254&gt;=EDATE(Parametri_v3!$C$24,Ipotesi!G14*12),Motore_Operativo!C254&lt;EDATE(Parametri_v3!$C$24,Parametri_v3!$C$25+Ipotesi!G14*12)),MAX(0,Motore_Operativo!CE254)*Piano_SS!$D$8,0))</f>
        <v>0</v>
      </c>
      <c r="BY254" s="15" t="n">
        <f aca="false">MIN(Piano_SS!$C$9,(BY253)+IF(AND(Motore_Operativo!C254&gt;=EDATE(Parametri_v3!$C$24,Ipotesi!G14*12),Motore_Operativo!C254&lt;EDATE(Parametri_v3!$C$24,Parametri_v3!$C$25+Ipotesi!G14*12)),MAX(0,((IF(10-(INT((Ipotesi!$C$91)/30))&lt;1,0,INDEX(Motore_Operativo!$BQ$245:$BQ$304,MAX(1,10-(INT((Ipotesi!$C$91)/30)))))*(1-(MOD((Ipotesi!$C$91),30)/30))+IF(10-(INT((Ipotesi!$C$91)/30))-1&lt;1,0,INDEX(Motore_Operativo!$BQ$245:$BQ$304,MAX(1,10-(INT((Ipotesi!$C$91)/30))-1)))*(MOD((Ipotesi!$C$91),30)/30))+(IF(10-(INT((Ipotesi!$C$91)/30))&lt;1,0,INDEX(Motore_Operativo!$BR$245:$BR$304,MAX(1,10-(INT((Ipotesi!$C$91)/30)))))*(1-(MOD((Ipotesi!$C$91),30)/30))+IF(10-(INT((Ipotesi!$C$91)/30))-1&lt;1,0,INDEX(Motore_Operativo!$BR$245:$BR$304,MAX(1,10-(INT((Ipotesi!$C$91)/30))-1)))*(MOD((Ipotesi!$C$91),30)/30))))*Piano_SS!$D$9,0))</f>
        <v>0</v>
      </c>
      <c r="BZ254" s="15" t="n">
        <f aca="false">MIN(Piano_SS!$C$10,(BZ253)+IF(AND(Motore_Operativo!C254&gt;=EDATE(Parametri_v3!$C$24,Ipotesi!G14*12),Motore_Operativo!C254&lt;EDATE(Parametri_v3!$C$24,Parametri_v3!$C$25+Ipotesi!G14*12)),MAX(0,(IF(10-(INT((Ipotesi!$C$91)/30))&lt;1,0,INDEX(Motore_Operativo!$BO$245:$BO$304,MAX(1,10-(INT((Ipotesi!$C$91)/30)))))*(1-(MOD((Ipotesi!$C$91),30)/30))+IF(10-(INT((Ipotesi!$C$91)/30))-1&lt;1,0,INDEX(Motore_Operativo!$BO$245:$BO$304,MAX(1,10-(INT((Ipotesi!$C$91)/30))-1)))*(MOD((Ipotesi!$C$91),30)/30)))*Piano_SS!$D$10,0))</f>
        <v>0</v>
      </c>
      <c r="CA254" s="15" t="n">
        <f aca="false">SUM(BV254:BZ254)</f>
        <v>0</v>
      </c>
      <c r="CB254" s="15" t="n">
        <f aca="false">BV254*(1-Piano_SS!$E$6)+BW254*(1-Piano_SS!$E$7)+BX254*(1-Piano_SS!$E$8)+BY254*(1-Piano_SS!$E$9)+BZ254*(1-Piano_SS!$E$10)</f>
        <v>0</v>
      </c>
      <c r="CC254" s="15" t="n">
        <f aca="false">(CC253)+BA254</f>
        <v>0</v>
      </c>
      <c r="CD254" s="15" t="n">
        <f aca="false">IF(CA254=0,0,CC254*CB254/CA254*Ipotesi!$C$103*Parametri_v3!$C$64)</f>
        <v>0</v>
      </c>
      <c r="CE254" s="18" t="n">
        <f aca="false">IF(BA254&gt;0,Motore_Operativo!C254,(CE253))</f>
        <v>0</v>
      </c>
      <c r="CF254" s="18" t="n">
        <f aca="false">IF(AND(CC254&gt;0,OR(CC254&gt;=CG254-0.01,Motore_Operativo!C254&gt;=EDATE(MAX(Finanziamenti!$D$15:$D$17),Ipotesi!G14*12))),CE254,0)</f>
        <v>0</v>
      </c>
      <c r="CG254" s="15" t="n">
        <f aca="false">IF(AND(5&lt;&gt;6,5&lt;&gt;9,Finanziamenti!$F$11=1,OR(Parametri_v3!$C$6=0,Finanziamenti!$E$11=1)),MIN(Finanziamenti!$C$11,Piano_SS!$C$12*Ipotesi!$C$102),0)</f>
        <v>400000</v>
      </c>
      <c r="CH254" s="15" t="n">
        <f aca="false">IF(AND(AND(5&lt;&gt;8,5&lt;&gt;9,Finanziamenti!$F$10=1,OR(Parametri_v3!$C$6=0,Finanziamenti!$E$10=1)),Motore_Operativo!C254&gt;=Finanziamenti!$D$10,Motore_Operativo!C254&lt;Parametri_v3!$C$63),Finanziamenti!$C$10,0)</f>
        <v>150000</v>
      </c>
    </row>
    <row r="255" customFormat="false" ht="18" hidden="false" customHeight="true" outlineLevel="0" collapsed="false">
      <c r="A255" s="68" t="n">
        <f aca="false">5</f>
        <v>5</v>
      </c>
      <c r="B255" s="68" t="n">
        <f aca="false">11</f>
        <v>11</v>
      </c>
      <c r="C255" s="18" t="n">
        <f aca="false">Motore_Operativo!C255</f>
        <v>46692</v>
      </c>
      <c r="D255" s="68" t="n">
        <f aca="false">Motore_Operativo!D255</f>
        <v>2027</v>
      </c>
      <c r="E255" s="68" t="n">
        <f aca="false">Motore_Operativo!E255</f>
        <v>11</v>
      </c>
      <c r="F255" s="15" t="n">
        <f aca="false">Motore_Operativo!AQ255+Motore_Operativo!BF255</f>
        <v>3852.76442307692</v>
      </c>
      <c r="G255" s="15" t="n">
        <f aca="false">Motore_Operativo!BH255</f>
        <v>802.421052631579</v>
      </c>
      <c r="H255" s="15" t="n">
        <f aca="false">Motore_Operativo!BI255</f>
        <v>4655.1854757085</v>
      </c>
      <c r="I255" s="15" t="n">
        <f aca="false">Motore_Operativo!CA255</f>
        <v>16564.3763174764</v>
      </c>
      <c r="J255" s="15" t="n">
        <f aca="false">Motore_Operativo!CC255</f>
        <v>-11909.1908417679</v>
      </c>
      <c r="K255" s="15" t="n">
        <f aca="false">Motore_Operativo!CE255</f>
        <v>1666.66666666667</v>
      </c>
      <c r="L255" s="15" t="n">
        <f aca="false">SUM(INDEX($K$245:$K$304,MAX(1,11-Parametri_v3!$C$59+1)):K255)/Parametri_v3!$C$59</f>
        <v>509.259259259259</v>
      </c>
      <c r="M255" s="15" t="n">
        <f aca="false">J255-L255</f>
        <v>-12418.4501010271</v>
      </c>
      <c r="N255" s="15" t="n">
        <f aca="false">CD255-(CD254)</f>
        <v>0</v>
      </c>
      <c r="O255" s="15" t="n">
        <f aca="false">(BG254)*Ipotesi!$C$110/12+CH255*Parametri_v3!$C$39/12</f>
        <v>182.970506483026</v>
      </c>
      <c r="P255" s="15" t="n">
        <f aca="false">M255+N255-O255</f>
        <v>-12601.4206075102</v>
      </c>
      <c r="Q255" s="15" t="n">
        <f aca="false">SUM(P245:P255)+Parametri_v3!$C$54*11/12</f>
        <v>-135211.764907056</v>
      </c>
      <c r="R255" s="15" t="n">
        <f aca="false">0</f>
        <v>0</v>
      </c>
      <c r="S255" s="15" t="n">
        <f aca="false">0</f>
        <v>0</v>
      </c>
      <c r="T255" s="15" t="n">
        <f aca="false">MIN(R255,MAX(0,Q255))</f>
        <v>0</v>
      </c>
      <c r="U255" s="15" t="n">
        <f aca="false">MIN(S255,MAX(0,Q255-T255)*Parametri_v3!$C$42)</f>
        <v>0</v>
      </c>
      <c r="V255" s="15" t="n">
        <f aca="false">MAX(0,Q255-T255-U255)*Ipotesi!$C$92</f>
        <v>0</v>
      </c>
      <c r="W255" s="15" t="n">
        <f aca="false">MAX(0,SUM(M245:M255)+Parametri_v3!$C$55*11/12)*Ipotesi!$C$93</f>
        <v>0</v>
      </c>
      <c r="X255" s="15" t="n">
        <f aca="false">V255+W255-(V254+W254)</f>
        <v>0</v>
      </c>
      <c r="Y255" s="15" t="n">
        <f aca="false">P255-X255</f>
        <v>-12601.4206075102</v>
      </c>
      <c r="Z255" s="15" t="n">
        <f aca="false">R255-T255+IF(AND(Parametri_v3!$C$40=1,D255-YEAR(Parametri_v3!$C$50)&lt;Parametri_v3!$C$41),MAX(0,-Q255),0)</f>
        <v>135211.764907056</v>
      </c>
      <c r="AA255" s="15" t="n">
        <f aca="false">S255-U255+IF(AND(Parametri_v3!$C$40=1,D255-YEAR(Parametri_v3!$C$50)&lt;Parametri_v3!$C$41),0,MAX(0,-Q255))</f>
        <v>0</v>
      </c>
      <c r="AB255" s="15" t="n">
        <f aca="false">F255*(1+Parametri_v3!$C$26)</f>
        <v>4700.37259615385</v>
      </c>
      <c r="AC255" s="15" t="n">
        <f aca="false">(IF(11-(INT((Motore_Operativo!L255)/30))&lt;1,0,INDEX(Motore_Startup!$AB$245:$AB$304,MAX(1,11-(INT((Motore_Operativo!L255)/30)))))*(1-(MOD((Motore_Operativo!L255),30)/30))+IF(11-(INT((Motore_Operativo!L255)/30))-1&lt;1,0,INDEX(Motore_Startup!$AB$245:$AB$304,MAX(1,11-(INT((Motore_Operativo!L255)/30))-1)))*(MOD((Motore_Operativo!L255),30)/30))</f>
        <v>4609.10721153846</v>
      </c>
      <c r="AD255" s="15" t="n">
        <f aca="false">(AD254)+AB255-AC255</f>
        <v>18664.5923076923</v>
      </c>
      <c r="AE255" s="15" t="n">
        <f aca="false">Motore_Operativo!BH255*(1+Parametri_v3!$C$26)</f>
        <v>978.953684210527</v>
      </c>
      <c r="AF255" s="15" t="n">
        <f aca="false">(IF(11-(INT((Parametri_v3!$C$29)/30))&lt;1,0,INDEX(Motore_Operativo!$BH$245:$BH$304,MAX(1,11-(INT((Parametri_v3!$C$29)/30)))))*(1-(MOD((Parametri_v3!$C$29),30)/30))+IF(11-(INT((Parametri_v3!$C$29)/30))-1&lt;1,0,INDEX(Motore_Operativo!$BH$245:$BH$304,MAX(1,11-(INT((Parametri_v3!$C$29)/30))-1)))*(MOD((Parametri_v3!$C$29),30)/30))*(1+Parametri_v3!$C$26)</f>
        <v>978.953684210527</v>
      </c>
      <c r="AG255" s="15" t="n">
        <f aca="false">(AG254)+AE255-AF255</f>
        <v>978.953684210527</v>
      </c>
      <c r="AH255" s="15" t="n">
        <f aca="false">(Motore_Operativo!CJ255)*(1+Parametri_v3!$C$27*Parametri_v3!$C$26)</f>
        <v>7223.14385551113</v>
      </c>
      <c r="AI255" s="15" t="n">
        <f aca="false">(IF(11-(INT((Ipotesi!$C$91)/30))&lt;1,0,INDEX(Motore_Startup!$AH$245:$AH$304,MAX(1,11-(INT((Ipotesi!$C$91)/30)))))*(1-(MOD((Ipotesi!$C$91),30)/30))+IF(11-(INT((Ipotesi!$C$91)/30))-1&lt;1,0,INDEX(Motore_Startup!$AH$245:$AH$304,MAX(1,11-(INT((Ipotesi!$C$91)/30))-1)))*(MOD((Ipotesi!$C$91),30)/30))</f>
        <v>7216.92808435729</v>
      </c>
      <c r="AJ255" s="15" t="n">
        <f aca="false">(AJ254)+AH255-AI255</f>
        <v>14443.1798254454</v>
      </c>
      <c r="AK255" s="15" t="n">
        <f aca="false">(F255+ Motore_Operativo!BH255-(Motore_Operativo!CJ255)*Parametri_v3!$C$27-Motore_Operativo!CE255)*Parametri_v3!$C$26</f>
        <v>-480.460066712213</v>
      </c>
      <c r="AL255" s="15" t="n">
        <f aca="false">MAX(0,(AM254))</f>
        <v>0</v>
      </c>
      <c r="AM255" s="15" t="n">
        <f aca="false">(AM254)+AK255-AL255</f>
        <v>-5468.11347373819</v>
      </c>
      <c r="AN255" s="15" t="n">
        <f aca="false">0</f>
        <v>0</v>
      </c>
      <c r="AO255" s="15" t="n">
        <f aca="false">0</f>
        <v>0</v>
      </c>
      <c r="AP255" s="15" t="n">
        <f aca="false">MAX(0,AN255)*IF(11=Parametri_v3!$C$43,Parametri_v3!$C$45,IF(11=Parametri_v3!$C$44,1-Parametri_v3!$C$45,0))</f>
        <v>0</v>
      </c>
      <c r="AQ255" s="15" t="n">
        <f aca="false">MAX(0,AP255+IF(11=Parametri_v3!$C$43,MAX(0,AN255-AO255),0)-MAX(0,-(AR254)))</f>
        <v>0</v>
      </c>
      <c r="AR255" s="15" t="n">
        <f aca="false">(AR254)+X255-AQ255</f>
        <v>0</v>
      </c>
      <c r="AS255" s="15" t="n">
        <f aca="false">Motore_Operativo!AB255-AT255+AU255</f>
        <v>9955.20833333333</v>
      </c>
      <c r="AT255" s="15" t="n">
        <f aca="false">Motore_Operativo!CH255</f>
        <v>523.958333333333</v>
      </c>
      <c r="AU255" s="15" t="n">
        <f aca="false">MIN(MAX(0,(AV254)+AT255),Parametri_v3!$C$60/12)</f>
        <v>0</v>
      </c>
      <c r="AV255" s="15" t="n">
        <f aca="false">(AV254)+AT255-AU255</f>
        <v>5763.54166666667</v>
      </c>
      <c r="AW255" s="15" t="n">
        <f aca="false">IF(AND(Motore_Operativo!C255=Finanziamenti!$D$6,Finanziamenti!$F$6=1),Finanziamenti!$C$6,0)</f>
        <v>0</v>
      </c>
      <c r="AX255" s="15" t="n">
        <f aca="false">IF(AND(5&lt;&gt;7,5&lt;&gt;9,Finanziamenti!$F$8=1,OR(Parametri_v3!$C$6=0,Finanziamenti!$E$8=1),Motore_Operativo!C255=EDATE(Finanziamenti!$D$8,Ipotesi!G15*12)),Finanziamenti!$C$8*1,0)+IF(AND(5&lt;&gt;7,5&lt;&gt;9,Finanziamenti!$F$9=1,OR(Parametri_v3!$C$6=0,Finanziamenti!$E$9=1),Motore_Operativo!C255=EDATE(Finanziamenti!$D$9,Ipotesi!G15*12)),Finanziamenti!$C$9*Ipotesi!G16,0)</f>
        <v>0</v>
      </c>
      <c r="AY255" s="15" t="n">
        <f aca="false">0</f>
        <v>0</v>
      </c>
      <c r="AZ255" s="15" t="n">
        <f aca="false">Motore_Advisory!AY255*(1-Ipotesi!$C$95)*Ipotesi!$C$96</f>
        <v>0</v>
      </c>
      <c r="BA255" s="15" t="n">
        <f aca="false">MAX(0,MIN(CG255*MIN(1,IF(Motore_Operativo!C255&gt;=EDATE(Finanziamenti!$D$15,Ipotesi!G14*12),Finanziamenti!$C$15,0)+IF(Motore_Operativo!C255&gt;=EDATE(Finanziamenti!$D$16,Ipotesi!G14*12),Finanziamenti!$C$16,0)+IF(Motore_Operativo!C255&gt;=EDATE(Finanziamenti!$D$17,Ipotesi!G14*12),Finanziamenti!$C$17,0)),CA255*Ipotesi!$C$102)-(CC254))</f>
        <v>0</v>
      </c>
      <c r="BB255" s="15" t="n">
        <f aca="false">IF(AND(CF255&gt;0,Motore_Operativo!C255&gt;=IF(CF255=0,0,EDATE(CF255,Parametri_v3!$C$37)),MOD(((D255-YEAR(IF(CF255=0,0,EDATE(CF255,Parametri_v3!$C$37))))*12+E255-MONTH(IF(CF255=0,0,EDATE(CF255,Parametri_v3!$C$37)))),Parametri_v3!$C$38)=0),MIN(MAX(0,(BC254)+BA255-N255),(CC255-CD255)/(Ipotesi!$C$108*12/Parametri_v3!$C$38)),0)</f>
        <v>0</v>
      </c>
      <c r="BC255" s="15" t="n">
        <f aca="false">(BC254)+BA255-N255-BB255</f>
        <v>0</v>
      </c>
      <c r="BD255" s="15" t="n">
        <f aca="false">(BH254)+AC255+AF255-AI255-AS255-K255*(1+Parametri_v3!$C$26)-AL255-AQ255-O255+AW255+AX255+AZ255+BA255-BB255</f>
        <v>11199.620638242</v>
      </c>
      <c r="BE255" s="15" t="n">
        <f aca="false">MAX(0,MIN(MAX(0,CH255-(BG254)),Parametri_v3!$C$30-BD255))</f>
        <v>13800.379361758</v>
      </c>
      <c r="BF255" s="15" t="n">
        <f aca="false">IF(Motore_Operativo!C255&gt;=Parametri_v3!$C$63,(BG254),MIN((BG254),MAX(0,BD255-Parametri_v3!$C$30)))</f>
        <v>0</v>
      </c>
      <c r="BG255" s="15" t="n">
        <f aca="false">(BG254)+BE255-BF255</f>
        <v>50394.4806583632</v>
      </c>
      <c r="BH255" s="15" t="n">
        <f aca="false">BD255+BE255-BF255-AY255</f>
        <v>25000</v>
      </c>
      <c r="BI255" s="15" t="n">
        <f aca="false">MAX(0,Parametri_v3!$C$30-BH255)</f>
        <v>0</v>
      </c>
      <c r="BJ255" s="15" t="n">
        <f aca="false">(BJ254)+K255</f>
        <v>18333.3333333333</v>
      </c>
      <c r="BK255" s="15" t="n">
        <f aca="false">(BK254)+L255</f>
        <v>3055.55555555556</v>
      </c>
      <c r="BL255" s="15" t="n">
        <f aca="false">BJ255-BK255</f>
        <v>15277.7777777778</v>
      </c>
      <c r="BM255" s="15" t="n">
        <f aca="false">(BM254)+Y255</f>
        <v>-135211.764907056</v>
      </c>
      <c r="BN255" s="15" t="n">
        <f aca="false">(BN254)+AW255+AX255+AZ255</f>
        <v>130000</v>
      </c>
      <c r="BO255" s="15" t="n">
        <f aca="false">(BO254)+AY255</f>
        <v>0</v>
      </c>
      <c r="BP255" s="15" t="n">
        <f aca="false">0</f>
        <v>0</v>
      </c>
      <c r="BQ255" s="15" t="n">
        <f aca="false">BN255+BM255-BO255</f>
        <v>-5211.76490705647</v>
      </c>
      <c r="BR255" s="15" t="n">
        <f aca="false">BH255+AD255+BL255+MAX(0,-AM255)+MAX(0,-AR255)+AG255</f>
        <v>65389.4372434188</v>
      </c>
      <c r="BS255" s="15" t="n">
        <f aca="false">AJ255+AV255+MAX(0,AM255)+MAX(0,AR255)+BC255+BG255+BQ255</f>
        <v>65389.4372434188</v>
      </c>
      <c r="BT255" s="15" t="n">
        <f aca="false">BR255-BS255</f>
        <v>0</v>
      </c>
      <c r="BU255" s="15" t="n">
        <f aca="false">BH255-(BD255+BE255-BF255-AY255)</f>
        <v>0</v>
      </c>
      <c r="BV255" s="15" t="n">
        <f aca="false">MIN(Piano_SS!$C$6,(BV254)+IF(AND(Motore_Operativo!C255&gt;=EDATE(Parametri_v3!$C$24,Ipotesi!G14*12),Motore_Operativo!C255&lt;EDATE(Parametri_v3!$C$24,Parametri_v3!$C$25+Ipotesi!G14*12)),MAX(0,(Motore_Operativo!Y255+Motore_Operativo!X255*Parametri_v3!$C$14)*(1-Parametri_v3!$C$32))*Piano_SS!$D$6,0))</f>
        <v>0</v>
      </c>
      <c r="BW255" s="15" t="n">
        <f aca="false">MIN(Piano_SS!$C$7,(BW254)+IF(AND(Motore_Operativo!C255&gt;=EDATE(Parametri_v3!$C$24,Ipotesi!G14*12),Motore_Operativo!C255&lt;EDATE(Parametri_v3!$C$24,Parametri_v3!$C$25+Ipotesi!G14*12)),MAX(0,(IF(11-(INT((Ipotesi!$C$91)/30))&lt;1,0,INDEX(Motore_Operativo!$BN$245:$BN$304,MAX(1,11-(INT((Ipotesi!$C$91)/30)))))*(1-(MOD((Ipotesi!$C$91),30)/30))+IF(11-(INT((Ipotesi!$C$91)/30))-1&lt;1,0,INDEX(Motore_Operativo!$BN$245:$BN$304,MAX(1,11-(INT((Ipotesi!$C$91)/30))-1)))*(MOD((Ipotesi!$C$91),30)/30)))*Piano_SS!$D$7,0))</f>
        <v>0</v>
      </c>
      <c r="BX255" s="15" t="n">
        <f aca="false">MIN(Piano_SS!$C$8,(BX254)+IF(AND(Motore_Operativo!C255&gt;=EDATE(Parametri_v3!$C$24,Ipotesi!G14*12),Motore_Operativo!C255&lt;EDATE(Parametri_v3!$C$24,Parametri_v3!$C$25+Ipotesi!G14*12)),MAX(0,Motore_Operativo!CE255)*Piano_SS!$D$8,0))</f>
        <v>0</v>
      </c>
      <c r="BY255" s="15" t="n">
        <f aca="false">MIN(Piano_SS!$C$9,(BY254)+IF(AND(Motore_Operativo!C255&gt;=EDATE(Parametri_v3!$C$24,Ipotesi!G14*12),Motore_Operativo!C255&lt;EDATE(Parametri_v3!$C$24,Parametri_v3!$C$25+Ipotesi!G14*12)),MAX(0,((IF(11-(INT((Ipotesi!$C$91)/30))&lt;1,0,INDEX(Motore_Operativo!$BQ$245:$BQ$304,MAX(1,11-(INT((Ipotesi!$C$91)/30)))))*(1-(MOD((Ipotesi!$C$91),30)/30))+IF(11-(INT((Ipotesi!$C$91)/30))-1&lt;1,0,INDEX(Motore_Operativo!$BQ$245:$BQ$304,MAX(1,11-(INT((Ipotesi!$C$91)/30))-1)))*(MOD((Ipotesi!$C$91),30)/30))+(IF(11-(INT((Ipotesi!$C$91)/30))&lt;1,0,INDEX(Motore_Operativo!$BR$245:$BR$304,MAX(1,11-(INT((Ipotesi!$C$91)/30)))))*(1-(MOD((Ipotesi!$C$91),30)/30))+IF(11-(INT((Ipotesi!$C$91)/30))-1&lt;1,0,INDEX(Motore_Operativo!$BR$245:$BR$304,MAX(1,11-(INT((Ipotesi!$C$91)/30))-1)))*(MOD((Ipotesi!$C$91),30)/30))))*Piano_SS!$D$9,0))</f>
        <v>0</v>
      </c>
      <c r="BZ255" s="15" t="n">
        <f aca="false">MIN(Piano_SS!$C$10,(BZ254)+IF(AND(Motore_Operativo!C255&gt;=EDATE(Parametri_v3!$C$24,Ipotesi!G14*12),Motore_Operativo!C255&lt;EDATE(Parametri_v3!$C$24,Parametri_v3!$C$25+Ipotesi!G14*12)),MAX(0,(IF(11-(INT((Ipotesi!$C$91)/30))&lt;1,0,INDEX(Motore_Operativo!$BO$245:$BO$304,MAX(1,11-(INT((Ipotesi!$C$91)/30)))))*(1-(MOD((Ipotesi!$C$91),30)/30))+IF(11-(INT((Ipotesi!$C$91)/30))-1&lt;1,0,INDEX(Motore_Operativo!$BO$245:$BO$304,MAX(1,11-(INT((Ipotesi!$C$91)/30))-1)))*(MOD((Ipotesi!$C$91),30)/30)))*Piano_SS!$D$10,0))</f>
        <v>0</v>
      </c>
      <c r="CA255" s="15" t="n">
        <f aca="false">SUM(BV255:BZ255)</f>
        <v>0</v>
      </c>
      <c r="CB255" s="15" t="n">
        <f aca="false">BV255*(1-Piano_SS!$E$6)+BW255*(1-Piano_SS!$E$7)+BX255*(1-Piano_SS!$E$8)+BY255*(1-Piano_SS!$E$9)+BZ255*(1-Piano_SS!$E$10)</f>
        <v>0</v>
      </c>
      <c r="CC255" s="15" t="n">
        <f aca="false">(CC254)+BA255</f>
        <v>0</v>
      </c>
      <c r="CD255" s="15" t="n">
        <f aca="false">IF(CA255=0,0,CC255*CB255/CA255*Ipotesi!$C$103*Parametri_v3!$C$64)</f>
        <v>0</v>
      </c>
      <c r="CE255" s="18" t="n">
        <f aca="false">IF(BA255&gt;0,Motore_Operativo!C255,(CE254))</f>
        <v>0</v>
      </c>
      <c r="CF255" s="18" t="n">
        <f aca="false">IF(AND(CC255&gt;0,OR(CC255&gt;=CG255-0.01,Motore_Operativo!C255&gt;=EDATE(MAX(Finanziamenti!$D$15:$D$17),Ipotesi!G14*12))),CE255,0)</f>
        <v>0</v>
      </c>
      <c r="CG255" s="15" t="n">
        <f aca="false">IF(AND(5&lt;&gt;6,5&lt;&gt;9,Finanziamenti!$F$11=1,OR(Parametri_v3!$C$6=0,Finanziamenti!$E$11=1)),MIN(Finanziamenti!$C$11,Piano_SS!$C$12*Ipotesi!$C$102),0)</f>
        <v>400000</v>
      </c>
      <c r="CH255" s="15" t="n">
        <f aca="false">IF(AND(AND(5&lt;&gt;8,5&lt;&gt;9,Finanziamenti!$F$10=1,OR(Parametri_v3!$C$6=0,Finanziamenti!$E$10=1)),Motore_Operativo!C255&gt;=Finanziamenti!$D$10,Motore_Operativo!C255&lt;Parametri_v3!$C$63),Finanziamenti!$C$10,0)</f>
        <v>150000</v>
      </c>
    </row>
    <row r="256" customFormat="false" ht="18" hidden="false" customHeight="true" outlineLevel="0" collapsed="false">
      <c r="A256" s="68" t="n">
        <f aca="false">5</f>
        <v>5</v>
      </c>
      <c r="B256" s="68" t="n">
        <f aca="false">12</f>
        <v>12</v>
      </c>
      <c r="C256" s="18" t="n">
        <f aca="false">Motore_Operativo!C256</f>
        <v>46722</v>
      </c>
      <c r="D256" s="68" t="n">
        <f aca="false">Motore_Operativo!D256</f>
        <v>2027</v>
      </c>
      <c r="E256" s="68" t="n">
        <f aca="false">Motore_Operativo!E256</f>
        <v>12</v>
      </c>
      <c r="F256" s="15" t="n">
        <f aca="false">Motore_Operativo!AQ256+Motore_Operativo!BF256</f>
        <v>3871.46634615385</v>
      </c>
      <c r="G256" s="15" t="n">
        <f aca="false">Motore_Operativo!BH256</f>
        <v>802.421052631579</v>
      </c>
      <c r="H256" s="15" t="n">
        <f aca="false">Motore_Operativo!BI256</f>
        <v>4673.88739878543</v>
      </c>
      <c r="I256" s="15" t="n">
        <f aca="false">Motore_Operativo!CA256</f>
        <v>16566.9945867072</v>
      </c>
      <c r="J256" s="15" t="n">
        <f aca="false">Motore_Operativo!CC256</f>
        <v>-11893.1071879217</v>
      </c>
      <c r="K256" s="15" t="n">
        <f aca="false">Motore_Operativo!CE256</f>
        <v>1666.66666666667</v>
      </c>
      <c r="L256" s="15" t="n">
        <f aca="false">SUM(INDEX($K$245:$K$304,MAX(1,12-Parametri_v3!$C$59+1)):K256)/Parametri_v3!$C$59</f>
        <v>555.555555555556</v>
      </c>
      <c r="M256" s="15" t="n">
        <f aca="false">J256-L256</f>
        <v>-12448.6627434773</v>
      </c>
      <c r="N256" s="15" t="n">
        <f aca="false">CD256-(CD255)</f>
        <v>0</v>
      </c>
      <c r="O256" s="15" t="n">
        <f aca="false">(BG255)*Ipotesi!$C$110/12+CH256*Parametri_v3!$C$39/12</f>
        <v>251.972403291816</v>
      </c>
      <c r="P256" s="15" t="n">
        <f aca="false">M256+N256-O256</f>
        <v>-12700.6351467691</v>
      </c>
      <c r="Q256" s="15" t="n">
        <f aca="false">SUM(P245:P256)+Parametri_v3!$C$54*12/12</f>
        <v>-147912.400053826</v>
      </c>
      <c r="R256" s="15" t="n">
        <f aca="false">0</f>
        <v>0</v>
      </c>
      <c r="S256" s="15" t="n">
        <f aca="false">0</f>
        <v>0</v>
      </c>
      <c r="T256" s="15" t="n">
        <f aca="false">MIN(R256,MAX(0,Q256))</f>
        <v>0</v>
      </c>
      <c r="U256" s="15" t="n">
        <f aca="false">MIN(S256,MAX(0,Q256-T256)*Parametri_v3!$C$42)</f>
        <v>0</v>
      </c>
      <c r="V256" s="15" t="n">
        <f aca="false">MAX(0,Q256-T256-U256)*Ipotesi!$C$92</f>
        <v>0</v>
      </c>
      <c r="W256" s="15" t="n">
        <f aca="false">MAX(0,SUM(M245:M256)+Parametri_v3!$C$55*12/12)*Ipotesi!$C$93</f>
        <v>0</v>
      </c>
      <c r="X256" s="15" t="n">
        <f aca="false">V256+W256-(V255+W255)</f>
        <v>0</v>
      </c>
      <c r="Y256" s="15" t="n">
        <f aca="false">P256-X256</f>
        <v>-12700.6351467691</v>
      </c>
      <c r="Z256" s="15" t="n">
        <f aca="false">R256-T256+IF(AND(Parametri_v3!$C$40=1,D256-YEAR(Parametri_v3!$C$50)&lt;Parametri_v3!$C$41),MAX(0,-Q256),0)</f>
        <v>147912.400053826</v>
      </c>
      <c r="AA256" s="15" t="n">
        <f aca="false">S256-U256+IF(AND(Parametri_v3!$C$40=1,D256-YEAR(Parametri_v3!$C$50)&lt;Parametri_v3!$C$41),0,MAX(0,-Q256))</f>
        <v>0</v>
      </c>
      <c r="AB256" s="15" t="n">
        <f aca="false">F256*(1+Parametri_v3!$C$26)</f>
        <v>4723.18894230769</v>
      </c>
      <c r="AC256" s="15" t="n">
        <f aca="false">(IF(12-(INT((Motore_Operativo!L256)/30))&lt;1,0,INDEX(Motore_Startup!$AB$245:$AB$304,MAX(1,12-(INT((Motore_Operativo!L256)/30)))))*(1-(MOD((Motore_Operativo!L256),30)/30))+IF(12-(INT((Motore_Operativo!L256)/30))-1&lt;1,0,INDEX(Motore_Startup!$AB$245:$AB$304,MAX(1,12-(INT((Motore_Operativo!L256)/30))-1)))*(MOD((Motore_Operativo!L256),30)/30))</f>
        <v>4631.92355769231</v>
      </c>
      <c r="AD256" s="15" t="n">
        <f aca="false">(AD255)+AB256-AC256</f>
        <v>18755.8576923077</v>
      </c>
      <c r="AE256" s="15" t="n">
        <f aca="false">Motore_Operativo!BH256*(1+Parametri_v3!$C$26)</f>
        <v>978.953684210527</v>
      </c>
      <c r="AF256" s="15" t="n">
        <f aca="false">(IF(12-(INT((Parametri_v3!$C$29)/30))&lt;1,0,INDEX(Motore_Operativo!$BH$245:$BH$304,MAX(1,12-(INT((Parametri_v3!$C$29)/30)))))*(1-(MOD((Parametri_v3!$C$29),30)/30))+IF(12-(INT((Parametri_v3!$C$29)/30))-1&lt;1,0,INDEX(Motore_Operativo!$BH$245:$BH$304,MAX(1,12-(INT((Parametri_v3!$C$29)/30))-1)))*(MOD((Parametri_v3!$C$29),30)/30))*(1+Parametri_v3!$C$26)</f>
        <v>978.953684210527</v>
      </c>
      <c r="AG256" s="15" t="n">
        <f aca="false">(AG255)+AE256-AF256</f>
        <v>978.953684210527</v>
      </c>
      <c r="AH256" s="15" t="n">
        <f aca="false">(Motore_Operativo!CJ256)*(1+Parametri_v3!$C$27*Parametri_v3!$C$26)</f>
        <v>7226.25174108805</v>
      </c>
      <c r="AI256" s="15" t="n">
        <f aca="false">(IF(12-(INT((Ipotesi!$C$91)/30))&lt;1,0,INDEX(Motore_Startup!$AH$245:$AH$304,MAX(1,12-(INT((Ipotesi!$C$91)/30)))))*(1-(MOD((Ipotesi!$C$91),30)/30))+IF(12-(INT((Ipotesi!$C$91)/30))-1&lt;1,0,INDEX(Motore_Startup!$AH$245:$AH$304,MAX(1,12-(INT((Ipotesi!$C$91)/30))-1)))*(MOD((Ipotesi!$C$91),30)/30))</f>
        <v>7220.03596993421</v>
      </c>
      <c r="AJ256" s="15" t="n">
        <f aca="false">(AJ255)+AH256-AI256</f>
        <v>14449.3955965992</v>
      </c>
      <c r="AK256" s="15" t="n">
        <f aca="false">(F256+ Motore_Operativo!BH256-(Motore_Operativo!CJ256)*Parametri_v3!$C$27-Motore_Operativo!CE256)*Parametri_v3!$C$26</f>
        <v>-476.835259981443</v>
      </c>
      <c r="AL256" s="15" t="n">
        <f aca="false">MAX(0,(AM255))</f>
        <v>0</v>
      </c>
      <c r="AM256" s="15" t="n">
        <f aca="false">(AM255)+AK256-AL256</f>
        <v>-5944.94873371963</v>
      </c>
      <c r="AN256" s="15" t="n">
        <f aca="false">0</f>
        <v>0</v>
      </c>
      <c r="AO256" s="15" t="n">
        <f aca="false">0</f>
        <v>0</v>
      </c>
      <c r="AP256" s="15" t="n">
        <f aca="false">MAX(0,AN256)*IF(12=Parametri_v3!$C$43,Parametri_v3!$C$45,IF(12=Parametri_v3!$C$44,1-Parametri_v3!$C$45,0))</f>
        <v>0</v>
      </c>
      <c r="AQ256" s="15" t="n">
        <f aca="false">MAX(0,AP256+IF(12=Parametri_v3!$C$43,MAX(0,AN256-AO256),0)-MAX(0,-(AR255)))</f>
        <v>0</v>
      </c>
      <c r="AR256" s="15" t="n">
        <f aca="false">(AR255)+X256-AQ256</f>
        <v>0</v>
      </c>
      <c r="AS256" s="15" t="n">
        <f aca="false">Motore_Operativo!AB256-AT256+AU256</f>
        <v>9955.20833333333</v>
      </c>
      <c r="AT256" s="15" t="n">
        <f aca="false">Motore_Operativo!CH256</f>
        <v>523.958333333333</v>
      </c>
      <c r="AU256" s="15" t="n">
        <f aca="false">MIN(MAX(0,(AV255)+AT256),Parametri_v3!$C$60/12)</f>
        <v>0</v>
      </c>
      <c r="AV256" s="15" t="n">
        <f aca="false">(AV255)+AT256-AU256</f>
        <v>6287.5</v>
      </c>
      <c r="AW256" s="15" t="n">
        <f aca="false">IF(AND(Motore_Operativo!C256=Finanziamenti!$D$6,Finanziamenti!$F$6=1),Finanziamenti!$C$6,0)</f>
        <v>0</v>
      </c>
      <c r="AX256" s="15" t="n">
        <f aca="false">IF(AND(5&lt;&gt;7,5&lt;&gt;9,Finanziamenti!$F$8=1,OR(Parametri_v3!$C$6=0,Finanziamenti!$E$8=1),Motore_Operativo!C256=EDATE(Finanziamenti!$D$8,Ipotesi!G15*12)),Finanziamenti!$C$8*1,0)+IF(AND(5&lt;&gt;7,5&lt;&gt;9,Finanziamenti!$F$9=1,OR(Parametri_v3!$C$6=0,Finanziamenti!$E$9=1),Motore_Operativo!C256=EDATE(Finanziamenti!$D$9,Ipotesi!G15*12)),Finanziamenti!$C$9*Ipotesi!G16,0)</f>
        <v>0</v>
      </c>
      <c r="AY256" s="15" t="n">
        <f aca="false">0</f>
        <v>0</v>
      </c>
      <c r="AZ256" s="15" t="n">
        <f aca="false">Motore_Advisory!AY256*(1-Ipotesi!$C$95)*Ipotesi!$C$96</f>
        <v>0</v>
      </c>
      <c r="BA256" s="15" t="n">
        <f aca="false">MAX(0,MIN(CG256*MIN(1,IF(Motore_Operativo!C256&gt;=EDATE(Finanziamenti!$D$15,Ipotesi!G14*12),Finanziamenti!$C$15,0)+IF(Motore_Operativo!C256&gt;=EDATE(Finanziamenti!$D$16,Ipotesi!G14*12),Finanziamenti!$C$16,0)+IF(Motore_Operativo!C256&gt;=EDATE(Finanziamenti!$D$17,Ipotesi!G14*12),Finanziamenti!$C$17,0)),CA256*Ipotesi!$C$102)-(CC255))</f>
        <v>0</v>
      </c>
      <c r="BB256" s="15" t="n">
        <f aca="false">IF(AND(CF256&gt;0,Motore_Operativo!C256&gt;=IF(CF256=0,0,EDATE(CF256,Parametri_v3!$C$37)),MOD(((D256-YEAR(IF(CF256=0,0,EDATE(CF256,Parametri_v3!$C$37))))*12+E256-MONTH(IF(CF256=0,0,EDATE(CF256,Parametri_v3!$C$37)))),Parametri_v3!$C$38)=0),MIN(MAX(0,(BC255)+BA256-N256),(CC256-CD256)/(Ipotesi!$C$108*12/Parametri_v3!$C$38)),0)</f>
        <v>0</v>
      </c>
      <c r="BC256" s="15" t="n">
        <f aca="false">(BC255)+BA256-N256-BB256</f>
        <v>0</v>
      </c>
      <c r="BD256" s="15" t="n">
        <f aca="false">(BH255)+AC256+AF256-AI256-AS256-K256*(1+Parametri_v3!$C$26)-AL256-AQ256-O256+AW256+AX256+AZ256+BA256-BB256</f>
        <v>11150.3272020101</v>
      </c>
      <c r="BE256" s="15" t="n">
        <f aca="false">MAX(0,MIN(MAX(0,CH256-(BG255)),Parametri_v3!$C$30-BD256))</f>
        <v>13849.6727979899</v>
      </c>
      <c r="BF256" s="15" t="n">
        <f aca="false">IF(Motore_Operativo!C256&gt;=Parametri_v3!$C$63,(BG255),MIN((BG255),MAX(0,BD256-Parametri_v3!$C$30)))</f>
        <v>0</v>
      </c>
      <c r="BG256" s="15" t="n">
        <f aca="false">(BG255)+BE256-BF256</f>
        <v>64244.1534563531</v>
      </c>
      <c r="BH256" s="15" t="n">
        <f aca="false">BD256+BE256-BF256-AY256</f>
        <v>25000</v>
      </c>
      <c r="BI256" s="15" t="n">
        <f aca="false">MAX(0,Parametri_v3!$C$30-BH256)</f>
        <v>0</v>
      </c>
      <c r="BJ256" s="15" t="n">
        <f aca="false">(BJ255)+K256</f>
        <v>20000</v>
      </c>
      <c r="BK256" s="15" t="n">
        <f aca="false">(BK255)+L256</f>
        <v>3611.11111111111</v>
      </c>
      <c r="BL256" s="15" t="n">
        <f aca="false">BJ256-BK256</f>
        <v>16388.8888888889</v>
      </c>
      <c r="BM256" s="15" t="n">
        <f aca="false">(BM255)+Y256</f>
        <v>-147912.400053826</v>
      </c>
      <c r="BN256" s="15" t="n">
        <f aca="false">(BN255)+AW256+AX256+AZ256</f>
        <v>130000</v>
      </c>
      <c r="BO256" s="15" t="n">
        <f aca="false">(BO255)+AY256</f>
        <v>0</v>
      </c>
      <c r="BP256" s="15" t="n">
        <f aca="false">0</f>
        <v>0</v>
      </c>
      <c r="BQ256" s="15" t="n">
        <f aca="false">BN256+BM256-BO256</f>
        <v>-17912.4000538256</v>
      </c>
      <c r="BR256" s="15" t="n">
        <f aca="false">BH256+AD256+BL256+MAX(0,-AM256)+MAX(0,-AR256)+AG256</f>
        <v>67068.6489991268</v>
      </c>
      <c r="BS256" s="15" t="n">
        <f aca="false">AJ256+AV256+MAX(0,AM256)+MAX(0,AR256)+BC256+BG256+BQ256</f>
        <v>67068.6489991267</v>
      </c>
      <c r="BT256" s="15" t="n">
        <f aca="false">BR256-BS256</f>
        <v>0</v>
      </c>
      <c r="BU256" s="15" t="n">
        <f aca="false">BH256-(BD256+BE256-BF256-AY256)</f>
        <v>0</v>
      </c>
      <c r="BV256" s="15" t="n">
        <f aca="false">MIN(Piano_SS!$C$6,(BV255)+IF(AND(Motore_Operativo!C256&gt;=EDATE(Parametri_v3!$C$24,Ipotesi!G14*12),Motore_Operativo!C256&lt;EDATE(Parametri_v3!$C$24,Parametri_v3!$C$25+Ipotesi!G14*12)),MAX(0,(Motore_Operativo!Y256+Motore_Operativo!X256*Parametri_v3!$C$14)*(1-Parametri_v3!$C$32))*Piano_SS!$D$6,0))</f>
        <v>0</v>
      </c>
      <c r="BW256" s="15" t="n">
        <f aca="false">MIN(Piano_SS!$C$7,(BW255)+IF(AND(Motore_Operativo!C256&gt;=EDATE(Parametri_v3!$C$24,Ipotesi!G14*12),Motore_Operativo!C256&lt;EDATE(Parametri_v3!$C$24,Parametri_v3!$C$25+Ipotesi!G14*12)),MAX(0,(IF(12-(INT((Ipotesi!$C$91)/30))&lt;1,0,INDEX(Motore_Operativo!$BN$245:$BN$304,MAX(1,12-(INT((Ipotesi!$C$91)/30)))))*(1-(MOD((Ipotesi!$C$91),30)/30))+IF(12-(INT((Ipotesi!$C$91)/30))-1&lt;1,0,INDEX(Motore_Operativo!$BN$245:$BN$304,MAX(1,12-(INT((Ipotesi!$C$91)/30))-1)))*(MOD((Ipotesi!$C$91),30)/30)))*Piano_SS!$D$7,0))</f>
        <v>0</v>
      </c>
      <c r="BX256" s="15" t="n">
        <f aca="false">MIN(Piano_SS!$C$8,(BX255)+IF(AND(Motore_Operativo!C256&gt;=EDATE(Parametri_v3!$C$24,Ipotesi!G14*12),Motore_Operativo!C256&lt;EDATE(Parametri_v3!$C$24,Parametri_v3!$C$25+Ipotesi!G14*12)),MAX(0,Motore_Operativo!CE256)*Piano_SS!$D$8,0))</f>
        <v>0</v>
      </c>
      <c r="BY256" s="15" t="n">
        <f aca="false">MIN(Piano_SS!$C$9,(BY255)+IF(AND(Motore_Operativo!C256&gt;=EDATE(Parametri_v3!$C$24,Ipotesi!G14*12),Motore_Operativo!C256&lt;EDATE(Parametri_v3!$C$24,Parametri_v3!$C$25+Ipotesi!G14*12)),MAX(0,((IF(12-(INT((Ipotesi!$C$91)/30))&lt;1,0,INDEX(Motore_Operativo!$BQ$245:$BQ$304,MAX(1,12-(INT((Ipotesi!$C$91)/30)))))*(1-(MOD((Ipotesi!$C$91),30)/30))+IF(12-(INT((Ipotesi!$C$91)/30))-1&lt;1,0,INDEX(Motore_Operativo!$BQ$245:$BQ$304,MAX(1,12-(INT((Ipotesi!$C$91)/30))-1)))*(MOD((Ipotesi!$C$91),30)/30))+(IF(12-(INT((Ipotesi!$C$91)/30))&lt;1,0,INDEX(Motore_Operativo!$BR$245:$BR$304,MAX(1,12-(INT((Ipotesi!$C$91)/30)))))*(1-(MOD((Ipotesi!$C$91),30)/30))+IF(12-(INT((Ipotesi!$C$91)/30))-1&lt;1,0,INDEX(Motore_Operativo!$BR$245:$BR$304,MAX(1,12-(INT((Ipotesi!$C$91)/30))-1)))*(MOD((Ipotesi!$C$91),30)/30))))*Piano_SS!$D$9,0))</f>
        <v>0</v>
      </c>
      <c r="BZ256" s="15" t="n">
        <f aca="false">MIN(Piano_SS!$C$10,(BZ255)+IF(AND(Motore_Operativo!C256&gt;=EDATE(Parametri_v3!$C$24,Ipotesi!G14*12),Motore_Operativo!C256&lt;EDATE(Parametri_v3!$C$24,Parametri_v3!$C$25+Ipotesi!G14*12)),MAX(0,(IF(12-(INT((Ipotesi!$C$91)/30))&lt;1,0,INDEX(Motore_Operativo!$BO$245:$BO$304,MAX(1,12-(INT((Ipotesi!$C$91)/30)))))*(1-(MOD((Ipotesi!$C$91),30)/30))+IF(12-(INT((Ipotesi!$C$91)/30))-1&lt;1,0,INDEX(Motore_Operativo!$BO$245:$BO$304,MAX(1,12-(INT((Ipotesi!$C$91)/30))-1)))*(MOD((Ipotesi!$C$91),30)/30)))*Piano_SS!$D$10,0))</f>
        <v>0</v>
      </c>
      <c r="CA256" s="15" t="n">
        <f aca="false">SUM(BV256:BZ256)</f>
        <v>0</v>
      </c>
      <c r="CB256" s="15" t="n">
        <f aca="false">BV256*(1-Piano_SS!$E$6)+BW256*(1-Piano_SS!$E$7)+BX256*(1-Piano_SS!$E$8)+BY256*(1-Piano_SS!$E$9)+BZ256*(1-Piano_SS!$E$10)</f>
        <v>0</v>
      </c>
      <c r="CC256" s="15" t="n">
        <f aca="false">(CC255)+BA256</f>
        <v>0</v>
      </c>
      <c r="CD256" s="15" t="n">
        <f aca="false">IF(CA256=0,0,CC256*CB256/CA256*Ipotesi!$C$103*Parametri_v3!$C$64)</f>
        <v>0</v>
      </c>
      <c r="CE256" s="18" t="n">
        <f aca="false">IF(BA256&gt;0,Motore_Operativo!C256,(CE255))</f>
        <v>0</v>
      </c>
      <c r="CF256" s="18" t="n">
        <f aca="false">IF(AND(CC256&gt;0,OR(CC256&gt;=CG256-0.01,Motore_Operativo!C256&gt;=EDATE(MAX(Finanziamenti!$D$15:$D$17),Ipotesi!G14*12))),CE256,0)</f>
        <v>0</v>
      </c>
      <c r="CG256" s="15" t="n">
        <f aca="false">IF(AND(5&lt;&gt;6,5&lt;&gt;9,Finanziamenti!$F$11=1,OR(Parametri_v3!$C$6=0,Finanziamenti!$E$11=1)),MIN(Finanziamenti!$C$11,Piano_SS!$C$12*Ipotesi!$C$102),0)</f>
        <v>400000</v>
      </c>
      <c r="CH256" s="15" t="n">
        <f aca="false">IF(AND(AND(5&lt;&gt;8,5&lt;&gt;9,Finanziamenti!$F$10=1,OR(Parametri_v3!$C$6=0,Finanziamenti!$E$10=1)),Motore_Operativo!C256&gt;=Finanziamenti!$D$10,Motore_Operativo!C256&lt;Parametri_v3!$C$63),Finanziamenti!$C$10,0)</f>
        <v>150000</v>
      </c>
    </row>
    <row r="257" customFormat="false" ht="18" hidden="false" customHeight="true" outlineLevel="0" collapsed="false">
      <c r="A257" s="68" t="n">
        <f aca="false">5</f>
        <v>5</v>
      </c>
      <c r="B257" s="68" t="n">
        <f aca="false">13</f>
        <v>13</v>
      </c>
      <c r="C257" s="18" t="n">
        <f aca="false">Motore_Operativo!C257</f>
        <v>46753</v>
      </c>
      <c r="D257" s="68" t="n">
        <f aca="false">Motore_Operativo!D257</f>
        <v>2028</v>
      </c>
      <c r="E257" s="68" t="n">
        <f aca="false">Motore_Operativo!E257</f>
        <v>1</v>
      </c>
      <c r="F257" s="15" t="n">
        <f aca="false">Motore_Operativo!AQ257+Motore_Operativo!BF257</f>
        <v>10946.9581227587</v>
      </c>
      <c r="G257" s="15" t="n">
        <f aca="false">Motore_Operativo!BH257</f>
        <v>1682.07042253521</v>
      </c>
      <c r="H257" s="15" t="n">
        <f aca="false">Motore_Operativo!BI257</f>
        <v>12629.0285452939</v>
      </c>
      <c r="I257" s="15" t="n">
        <f aca="false">Motore_Operativo!CA257</f>
        <v>29798.2529165289</v>
      </c>
      <c r="J257" s="15" t="n">
        <f aca="false">Motore_Operativo!CC257</f>
        <v>-17169.224371235</v>
      </c>
      <c r="K257" s="15" t="n">
        <f aca="false">Motore_Operativo!CE257</f>
        <v>2083.33333333333</v>
      </c>
      <c r="L257" s="15" t="n">
        <f aca="false">SUM(INDEX($K$245:$K$304,MAX(1,13-Parametri_v3!$C$59+1)):K257)/Parametri_v3!$C$59</f>
        <v>613.425925925926</v>
      </c>
      <c r="M257" s="15" t="n">
        <f aca="false">J257-L257</f>
        <v>-17782.650297161</v>
      </c>
      <c r="N257" s="15" t="n">
        <f aca="false">CD257-(CD256)</f>
        <v>0</v>
      </c>
      <c r="O257" s="15" t="n">
        <f aca="false">(BG256)*Ipotesi!$C$110/12+CH257*Parametri_v3!$C$39/12</f>
        <v>321.220767281765</v>
      </c>
      <c r="P257" s="15" t="n">
        <f aca="false">M257+N257-O257</f>
        <v>-18103.8710644427</v>
      </c>
      <c r="Q257" s="15" t="n">
        <f aca="false">SUM(P257)+Parametri_v3!$C$54*1/12</f>
        <v>-18103.8710644427</v>
      </c>
      <c r="R257" s="15" t="n">
        <f aca="false">Z256</f>
        <v>147912.400053826</v>
      </c>
      <c r="S257" s="15" t="n">
        <f aca="false">AA256</f>
        <v>0</v>
      </c>
      <c r="T257" s="15" t="n">
        <f aca="false">MIN(R257,MAX(0,Q257))</f>
        <v>0</v>
      </c>
      <c r="U257" s="15" t="n">
        <f aca="false">MIN(S257,MAX(0,Q257-T257)*Parametri_v3!$C$42)</f>
        <v>0</v>
      </c>
      <c r="V257" s="15" t="n">
        <f aca="false">MAX(0,Q257-T257-U257)*Ipotesi!$C$92</f>
        <v>0</v>
      </c>
      <c r="W257" s="15" t="n">
        <f aca="false">MAX(0,SUM(M257)+Parametri_v3!$C$55*1/12)*Ipotesi!$C$93</f>
        <v>0</v>
      </c>
      <c r="X257" s="15" t="n">
        <f aca="false">V257+W257-(0)</f>
        <v>0</v>
      </c>
      <c r="Y257" s="15" t="n">
        <f aca="false">P257-X257</f>
        <v>-18103.8710644427</v>
      </c>
      <c r="Z257" s="15" t="n">
        <f aca="false">R257-T257+IF(AND(Parametri_v3!$C$40=1,D257-YEAR(Parametri_v3!$C$50)&lt;Parametri_v3!$C$41),MAX(0,-Q257),0)</f>
        <v>166016.271118268</v>
      </c>
      <c r="AA257" s="15" t="n">
        <f aca="false">S257-U257+IF(AND(Parametri_v3!$C$40=1,D257-YEAR(Parametri_v3!$C$50)&lt;Parametri_v3!$C$41),0,MAX(0,-Q257))</f>
        <v>0</v>
      </c>
      <c r="AB257" s="15" t="n">
        <f aca="false">F257*(1+Parametri_v3!$C$26)</f>
        <v>13355.2889097656</v>
      </c>
      <c r="AC257" s="15" t="n">
        <f aca="false">(IF(13-(INT((Motore_Operativo!L257)/30))&lt;1,0,INDEX(Motore_Startup!$AB$245:$AB$304,MAX(1,13-(INT((Motore_Operativo!L257)/30)))))*(1-(MOD((Motore_Operativo!L257),30)/30))+IF(13-(INT((Motore_Operativo!L257)/30))-1&lt;1,0,INDEX(Motore_Startup!$AB$245:$AB$304,MAX(1,13-(INT((Motore_Operativo!L257)/30))-1)))*(MOD((Motore_Operativo!L257),30)/30))</f>
        <v>4654.73990384616</v>
      </c>
      <c r="AD257" s="15" t="n">
        <f aca="false">(AD256)+AB257-AC257</f>
        <v>27456.4066982272</v>
      </c>
      <c r="AE257" s="15" t="n">
        <f aca="false">Motore_Operativo!BH257*(1+Parametri_v3!$C$26)</f>
        <v>2052.12591549296</v>
      </c>
      <c r="AF257" s="15" t="n">
        <f aca="false">(IF(13-(INT((Parametri_v3!$C$29)/30))&lt;1,0,INDEX(Motore_Operativo!$BH$245:$BH$304,MAX(1,13-(INT((Parametri_v3!$C$29)/30)))))*(1-(MOD((Parametri_v3!$C$29),30)/30))+IF(13-(INT((Parametri_v3!$C$29)/30))-1&lt;1,0,INDEX(Motore_Operativo!$BH$245:$BH$304,MAX(1,13-(INT((Parametri_v3!$C$29)/30))-1)))*(MOD((Parametri_v3!$C$29),30)/30))*(1+Parametri_v3!$C$26)</f>
        <v>978.953684210527</v>
      </c>
      <c r="AG257" s="15" t="n">
        <f aca="false">(AG256)+AE257-AF257</f>
        <v>2052.12591549296</v>
      </c>
      <c r="AH257" s="15" t="n">
        <f aca="false">(Motore_Operativo!CJ257)*(1+Parametri_v3!$C$27*Parametri_v3!$C$26)</f>
        <v>11254.3955869199</v>
      </c>
      <c r="AI257" s="15" t="n">
        <f aca="false">(IF(13-(INT((Ipotesi!$C$91)/30))&lt;1,0,INDEX(Motore_Startup!$AH$245:$AH$304,MAX(1,13-(INT((Ipotesi!$C$91)/30)))))*(1-(MOD((Ipotesi!$C$91),30)/30))+IF(13-(INT((Ipotesi!$C$91)/30))-1&lt;1,0,INDEX(Motore_Startup!$AH$245:$AH$304,MAX(1,13-(INT((Ipotesi!$C$91)/30))-1)))*(MOD((Ipotesi!$C$91),30)/30))</f>
        <v>7223.14385551113</v>
      </c>
      <c r="AJ257" s="15" t="n">
        <f aca="false">(AJ256)+AH257-AI257</f>
        <v>18480.6473280079</v>
      </c>
      <c r="AK257" s="15" t="n">
        <f aca="false">(F257+ Motore_Operativo!BH257-(Motore_Operativo!CJ257)*Parametri_v3!$C$27-Motore_Operativo!CE257)*Parametri_v3!$C$26</f>
        <v>547.035276240414</v>
      </c>
      <c r="AL257" s="15" t="n">
        <f aca="false">MAX(0,(AM256))</f>
        <v>0</v>
      </c>
      <c r="AM257" s="15" t="n">
        <f aca="false">(AM256)+AK257-AL257</f>
        <v>-5397.91345747922</v>
      </c>
      <c r="AN257" s="15" t="n">
        <f aca="false">SUM(X245:X256)</f>
        <v>0</v>
      </c>
      <c r="AO257" s="15" t="n">
        <f aca="false">SUM(AP245:AP256)</f>
        <v>0</v>
      </c>
      <c r="AP257" s="15" t="n">
        <f aca="false">MAX(0,AN257)*IF(1=Parametri_v3!$C$43,Parametri_v3!$C$45,IF(1=Parametri_v3!$C$44,1-Parametri_v3!$C$45,0))</f>
        <v>0</v>
      </c>
      <c r="AQ257" s="15" t="n">
        <f aca="false">MAX(0,AP257+IF(1=Parametri_v3!$C$43,MAX(0,AN257-AO257),0)-MAX(0,-(AR256)))</f>
        <v>0</v>
      </c>
      <c r="AR257" s="15" t="n">
        <f aca="false">(AR256)+X257-AQ257</f>
        <v>0</v>
      </c>
      <c r="AS257" s="15" t="n">
        <f aca="false">Motore_Operativo!AB257-AT257+AU257</f>
        <v>19301.03125</v>
      </c>
      <c r="AT257" s="15" t="n">
        <f aca="false">Motore_Operativo!CH257</f>
        <v>1015.84375</v>
      </c>
      <c r="AU257" s="15" t="n">
        <f aca="false">MIN(MAX(0,(AV256)+AT257),Parametri_v3!$C$60/12)</f>
        <v>0</v>
      </c>
      <c r="AV257" s="15" t="n">
        <f aca="false">(AV256)+AT257-AU257</f>
        <v>7303.34375</v>
      </c>
      <c r="AW257" s="15" t="n">
        <f aca="false">IF(AND(Motore_Operativo!C257=Finanziamenti!$D$6,Finanziamenti!$F$6=1),Finanziamenti!$C$6,0)</f>
        <v>0</v>
      </c>
      <c r="AX257" s="15" t="n">
        <f aca="false">IF(AND(5&lt;&gt;7,5&lt;&gt;9,Finanziamenti!$F$8=1,OR(Parametri_v3!$C$6=0,Finanziamenti!$E$8=1),Motore_Operativo!C257=EDATE(Finanziamenti!$D$8,Ipotesi!G15*12)),Finanziamenti!$C$8*1,0)+IF(AND(5&lt;&gt;7,5&lt;&gt;9,Finanziamenti!$F$9=1,OR(Parametri_v3!$C$6=0,Finanziamenti!$E$9=1),Motore_Operativo!C257=EDATE(Finanziamenti!$D$9,Ipotesi!G15*12)),Finanziamenti!$C$9*Ipotesi!G16,0)</f>
        <v>0</v>
      </c>
      <c r="AY257" s="15" t="n">
        <f aca="false">0</f>
        <v>0</v>
      </c>
      <c r="AZ257" s="15" t="n">
        <f aca="false">Motore_Advisory!AY257*(1-Ipotesi!$C$95)*Ipotesi!$C$96</f>
        <v>0</v>
      </c>
      <c r="BA257" s="15" t="n">
        <f aca="false">MAX(0,MIN(CG257*MIN(1,IF(Motore_Operativo!C257&gt;=EDATE(Finanziamenti!$D$15,Ipotesi!G14*12),Finanziamenti!$C$15,0)+IF(Motore_Operativo!C257&gt;=EDATE(Finanziamenti!$D$16,Ipotesi!G14*12),Finanziamenti!$C$16,0)+IF(Motore_Operativo!C257&gt;=EDATE(Finanziamenti!$D$17,Ipotesi!G14*12),Finanziamenti!$C$17,0)),CA257*Ipotesi!$C$102)-(CC256))</f>
        <v>0</v>
      </c>
      <c r="BB257" s="15" t="n">
        <f aca="false">IF(AND(CF257&gt;0,Motore_Operativo!C257&gt;=IF(CF257=0,0,EDATE(CF257,Parametri_v3!$C$37)),MOD(((D257-YEAR(IF(CF257=0,0,EDATE(CF257,Parametri_v3!$C$37))))*12+E257-MONTH(IF(CF257=0,0,EDATE(CF257,Parametri_v3!$C$37)))),Parametri_v3!$C$38)=0),MIN(MAX(0,(BC256)+BA257-N257),(CC257-CD257)/(Ipotesi!$C$108*12/Parametri_v3!$C$38)),0)</f>
        <v>0</v>
      </c>
      <c r="BC257" s="15" t="n">
        <f aca="false">(BC256)+BA257-N257-BB257</f>
        <v>0</v>
      </c>
      <c r="BD257" s="15" t="n">
        <f aca="false">(BH256)+AC257+AF257-AI257-AS257-K257*(1+Parametri_v3!$C$26)-AL257-AQ257-O257+AW257+AX257+AZ257+BA257-BB257</f>
        <v>1246.63104859711</v>
      </c>
      <c r="BE257" s="15" t="n">
        <f aca="false">MAX(0,MIN(MAX(0,CH257-(BG256)),Parametri_v3!$C$30-BD257))</f>
        <v>23753.3689514029</v>
      </c>
      <c r="BF257" s="15" t="n">
        <f aca="false">IF(Motore_Operativo!C257&gt;=Parametri_v3!$C$63,(BG256),MIN((BG256),MAX(0,BD257-Parametri_v3!$C$30)))</f>
        <v>0</v>
      </c>
      <c r="BG257" s="15" t="n">
        <f aca="false">(BG256)+BE257-BF257</f>
        <v>87997.522407756</v>
      </c>
      <c r="BH257" s="15" t="n">
        <f aca="false">BD257+BE257-BF257-AY257</f>
        <v>25000</v>
      </c>
      <c r="BI257" s="15" t="n">
        <f aca="false">MAX(0,Parametri_v3!$C$30-BH257)</f>
        <v>0</v>
      </c>
      <c r="BJ257" s="15" t="n">
        <f aca="false">(BJ256)+K257</f>
        <v>22083.3333333333</v>
      </c>
      <c r="BK257" s="15" t="n">
        <f aca="false">(BK256)+L257</f>
        <v>4224.53703703704</v>
      </c>
      <c r="BL257" s="15" t="n">
        <f aca="false">BJ257-BK257</f>
        <v>17858.7962962963</v>
      </c>
      <c r="BM257" s="15" t="n">
        <f aca="false">(BM256)+Y257</f>
        <v>-166016.271118268</v>
      </c>
      <c r="BN257" s="15" t="n">
        <f aca="false">(BN256)+AW257+AX257+AZ257</f>
        <v>130000</v>
      </c>
      <c r="BO257" s="15" t="n">
        <f aca="false">(BO256)+AY257</f>
        <v>0</v>
      </c>
      <c r="BP257" s="15" t="n">
        <f aca="false">0</f>
        <v>0</v>
      </c>
      <c r="BQ257" s="15" t="n">
        <f aca="false">BN257+BM257-BO257</f>
        <v>-36016.2711182683</v>
      </c>
      <c r="BR257" s="15" t="n">
        <f aca="false">BH257+AD257+BL257+MAX(0,-AM257)+MAX(0,-AR257)+AG257</f>
        <v>77765.2423674956</v>
      </c>
      <c r="BS257" s="15" t="n">
        <f aca="false">AJ257+AV257+MAX(0,AM257)+MAX(0,AR257)+BC257+BG257+BQ257</f>
        <v>77765.2423674956</v>
      </c>
      <c r="BT257" s="15" t="n">
        <f aca="false">BR257-BS257</f>
        <v>0</v>
      </c>
      <c r="BU257" s="15" t="n">
        <f aca="false">BH257-(BD257+BE257-BF257-AY257)</f>
        <v>0</v>
      </c>
      <c r="BV257" s="15" t="n">
        <f aca="false">MIN(Piano_SS!$C$6,(BV256)+IF(AND(Motore_Operativo!C257&gt;=EDATE(Parametri_v3!$C$24,Ipotesi!G14*12),Motore_Operativo!C257&lt;EDATE(Parametri_v3!$C$24,Parametri_v3!$C$25+Ipotesi!G14*12)),MAX(0,(Motore_Operativo!Y257+Motore_Operativo!X257*Parametri_v3!$C$14)*(1-Parametri_v3!$C$32))*Piano_SS!$D$6,0))</f>
        <v>0</v>
      </c>
      <c r="BW257" s="15" t="n">
        <f aca="false">MIN(Piano_SS!$C$7,(BW256)+IF(AND(Motore_Operativo!C257&gt;=EDATE(Parametri_v3!$C$24,Ipotesi!G14*12),Motore_Operativo!C257&lt;EDATE(Parametri_v3!$C$24,Parametri_v3!$C$25+Ipotesi!G14*12)),MAX(0,(IF(13-(INT((Ipotesi!$C$91)/30))&lt;1,0,INDEX(Motore_Operativo!$BN$245:$BN$304,MAX(1,13-(INT((Ipotesi!$C$91)/30)))))*(1-(MOD((Ipotesi!$C$91),30)/30))+IF(13-(INT((Ipotesi!$C$91)/30))-1&lt;1,0,INDEX(Motore_Operativo!$BN$245:$BN$304,MAX(1,13-(INT((Ipotesi!$C$91)/30))-1)))*(MOD((Ipotesi!$C$91),30)/30)))*Piano_SS!$D$7,0))</f>
        <v>0</v>
      </c>
      <c r="BX257" s="15" t="n">
        <f aca="false">MIN(Piano_SS!$C$8,(BX256)+IF(AND(Motore_Operativo!C257&gt;=EDATE(Parametri_v3!$C$24,Ipotesi!G14*12),Motore_Operativo!C257&lt;EDATE(Parametri_v3!$C$24,Parametri_v3!$C$25+Ipotesi!G14*12)),MAX(0,Motore_Operativo!CE257)*Piano_SS!$D$8,0))</f>
        <v>0</v>
      </c>
      <c r="BY257" s="15" t="n">
        <f aca="false">MIN(Piano_SS!$C$9,(BY256)+IF(AND(Motore_Operativo!C257&gt;=EDATE(Parametri_v3!$C$24,Ipotesi!G14*12),Motore_Operativo!C257&lt;EDATE(Parametri_v3!$C$24,Parametri_v3!$C$25+Ipotesi!G14*12)),MAX(0,((IF(13-(INT((Ipotesi!$C$91)/30))&lt;1,0,INDEX(Motore_Operativo!$BQ$245:$BQ$304,MAX(1,13-(INT((Ipotesi!$C$91)/30)))))*(1-(MOD((Ipotesi!$C$91),30)/30))+IF(13-(INT((Ipotesi!$C$91)/30))-1&lt;1,0,INDEX(Motore_Operativo!$BQ$245:$BQ$304,MAX(1,13-(INT((Ipotesi!$C$91)/30))-1)))*(MOD((Ipotesi!$C$91),30)/30))+(IF(13-(INT((Ipotesi!$C$91)/30))&lt;1,0,INDEX(Motore_Operativo!$BR$245:$BR$304,MAX(1,13-(INT((Ipotesi!$C$91)/30)))))*(1-(MOD((Ipotesi!$C$91),30)/30))+IF(13-(INT((Ipotesi!$C$91)/30))-1&lt;1,0,INDEX(Motore_Operativo!$BR$245:$BR$304,MAX(1,13-(INT((Ipotesi!$C$91)/30))-1)))*(MOD((Ipotesi!$C$91),30)/30))))*Piano_SS!$D$9,0))</f>
        <v>0</v>
      </c>
      <c r="BZ257" s="15" t="n">
        <f aca="false">MIN(Piano_SS!$C$10,(BZ256)+IF(AND(Motore_Operativo!C257&gt;=EDATE(Parametri_v3!$C$24,Ipotesi!G14*12),Motore_Operativo!C257&lt;EDATE(Parametri_v3!$C$24,Parametri_v3!$C$25+Ipotesi!G14*12)),MAX(0,(IF(13-(INT((Ipotesi!$C$91)/30))&lt;1,0,INDEX(Motore_Operativo!$BO$245:$BO$304,MAX(1,13-(INT((Ipotesi!$C$91)/30)))))*(1-(MOD((Ipotesi!$C$91),30)/30))+IF(13-(INT((Ipotesi!$C$91)/30))-1&lt;1,0,INDEX(Motore_Operativo!$BO$245:$BO$304,MAX(1,13-(INT((Ipotesi!$C$91)/30))-1)))*(MOD((Ipotesi!$C$91),30)/30)))*Piano_SS!$D$10,0))</f>
        <v>0</v>
      </c>
      <c r="CA257" s="15" t="n">
        <f aca="false">SUM(BV257:BZ257)</f>
        <v>0</v>
      </c>
      <c r="CB257" s="15" t="n">
        <f aca="false">BV257*(1-Piano_SS!$E$6)+BW257*(1-Piano_SS!$E$7)+BX257*(1-Piano_SS!$E$8)+BY257*(1-Piano_SS!$E$9)+BZ257*(1-Piano_SS!$E$10)</f>
        <v>0</v>
      </c>
      <c r="CC257" s="15" t="n">
        <f aca="false">(CC256)+BA257</f>
        <v>0</v>
      </c>
      <c r="CD257" s="15" t="n">
        <f aca="false">IF(CA257=0,0,CC257*CB257/CA257*Ipotesi!$C$103*Parametri_v3!$C$64)</f>
        <v>0</v>
      </c>
      <c r="CE257" s="18" t="n">
        <f aca="false">IF(BA257&gt;0,Motore_Operativo!C257,(CE256))</f>
        <v>0</v>
      </c>
      <c r="CF257" s="18" t="n">
        <f aca="false">IF(AND(CC257&gt;0,OR(CC257&gt;=CG257-0.01,Motore_Operativo!C257&gt;=EDATE(MAX(Finanziamenti!$D$15:$D$17),Ipotesi!G14*12))),CE257,0)</f>
        <v>0</v>
      </c>
      <c r="CG257" s="15" t="n">
        <f aca="false">IF(AND(5&lt;&gt;6,5&lt;&gt;9,Finanziamenti!$F$11=1,OR(Parametri_v3!$C$6=0,Finanziamenti!$E$11=1)),MIN(Finanziamenti!$C$11,Piano_SS!$C$12*Ipotesi!$C$102),0)</f>
        <v>400000</v>
      </c>
      <c r="CH257" s="15" t="n">
        <f aca="false">IF(AND(AND(5&lt;&gt;8,5&lt;&gt;9,Finanziamenti!$F$10=1,OR(Parametri_v3!$C$6=0,Finanziamenti!$E$10=1)),Motore_Operativo!C257&gt;=Finanziamenti!$D$10,Motore_Operativo!C257&lt;Parametri_v3!$C$63),Finanziamenti!$C$10,0)</f>
        <v>150000</v>
      </c>
    </row>
    <row r="258" customFormat="false" ht="18" hidden="false" customHeight="true" outlineLevel="0" collapsed="false">
      <c r="A258" s="68" t="n">
        <f aca="false">5</f>
        <v>5</v>
      </c>
      <c r="B258" s="68" t="n">
        <f aca="false">14</f>
        <v>14</v>
      </c>
      <c r="C258" s="18" t="n">
        <f aca="false">Motore_Operativo!C258</f>
        <v>46784</v>
      </c>
      <c r="D258" s="68" t="n">
        <f aca="false">Motore_Operativo!D258</f>
        <v>2028</v>
      </c>
      <c r="E258" s="68" t="n">
        <f aca="false">Motore_Operativo!E258</f>
        <v>2</v>
      </c>
      <c r="F258" s="15" t="n">
        <f aca="false">Motore_Operativo!AQ258+Motore_Operativo!BF258</f>
        <v>11006.0955247095</v>
      </c>
      <c r="G258" s="15" t="n">
        <f aca="false">Motore_Operativo!BH258</f>
        <v>1682.07042253521</v>
      </c>
      <c r="H258" s="15" t="n">
        <f aca="false">Motore_Operativo!BI258</f>
        <v>12688.1659472447</v>
      </c>
      <c r="I258" s="15" t="n">
        <f aca="false">Motore_Operativo!CA258</f>
        <v>29806.5321528021</v>
      </c>
      <c r="J258" s="15" t="n">
        <f aca="false">Motore_Operativo!CC258</f>
        <v>-17118.3662055574</v>
      </c>
      <c r="K258" s="15" t="n">
        <f aca="false">Motore_Operativo!CE258</f>
        <v>2083.33333333333</v>
      </c>
      <c r="L258" s="15" t="n">
        <f aca="false">SUM(INDEX($K$245:$K$304,MAX(1,14-Parametri_v3!$C$59+1)):K258)/Parametri_v3!$C$59</f>
        <v>671.296296296296</v>
      </c>
      <c r="M258" s="15" t="n">
        <f aca="false">J258-L258</f>
        <v>-17789.6625018537</v>
      </c>
      <c r="N258" s="15" t="n">
        <f aca="false">CD258-(CD257)</f>
        <v>0</v>
      </c>
      <c r="O258" s="15" t="n">
        <f aca="false">(BG257)*Ipotesi!$C$110/12+CH258*Parametri_v3!$C$39/12</f>
        <v>439.98761203878</v>
      </c>
      <c r="P258" s="15" t="n">
        <f aca="false">M258+N258-O258</f>
        <v>-18229.6501138925</v>
      </c>
      <c r="Q258" s="15" t="n">
        <f aca="false">SUM(P257:P258)+Parametri_v3!$C$54*2/12</f>
        <v>-36333.5211783352</v>
      </c>
      <c r="R258" s="15" t="n">
        <f aca="false">Z256</f>
        <v>147912.400053826</v>
      </c>
      <c r="S258" s="15" t="n">
        <f aca="false">AA256</f>
        <v>0</v>
      </c>
      <c r="T258" s="15" t="n">
        <f aca="false">MIN(R258,MAX(0,Q258))</f>
        <v>0</v>
      </c>
      <c r="U258" s="15" t="n">
        <f aca="false">MIN(S258,MAX(0,Q258-T258)*Parametri_v3!$C$42)</f>
        <v>0</v>
      </c>
      <c r="V258" s="15" t="n">
        <f aca="false">MAX(0,Q258-T258-U258)*Ipotesi!$C$92</f>
        <v>0</v>
      </c>
      <c r="W258" s="15" t="n">
        <f aca="false">MAX(0,SUM(M257:M258)+Parametri_v3!$C$55*2/12)*Ipotesi!$C$93</f>
        <v>0</v>
      </c>
      <c r="X258" s="15" t="n">
        <f aca="false">V258+W258-(V257+W257)</f>
        <v>0</v>
      </c>
      <c r="Y258" s="15" t="n">
        <f aca="false">P258-X258</f>
        <v>-18229.6501138925</v>
      </c>
      <c r="Z258" s="15" t="n">
        <f aca="false">R258-T258+IF(AND(Parametri_v3!$C$40=1,D258-YEAR(Parametri_v3!$C$50)&lt;Parametri_v3!$C$41),MAX(0,-Q258),0)</f>
        <v>184245.921232161</v>
      </c>
      <c r="AA258" s="15" t="n">
        <f aca="false">S258-U258+IF(AND(Parametri_v3!$C$40=1,D258-YEAR(Parametri_v3!$C$50)&lt;Parametri_v3!$C$41),0,MAX(0,-Q258))</f>
        <v>0</v>
      </c>
      <c r="AB258" s="15" t="n">
        <f aca="false">F258*(1+Parametri_v3!$C$26)</f>
        <v>13427.4365401455</v>
      </c>
      <c r="AC258" s="15" t="n">
        <f aca="false">(IF(14-(INT((Motore_Operativo!L258)/30))&lt;1,0,INDEX(Motore_Startup!$AB$245:$AB$304,MAX(1,14-(INT((Motore_Operativo!L258)/30)))))*(1-(MOD((Motore_Operativo!L258),30)/30))+IF(14-(INT((Motore_Operativo!L258)/30))-1&lt;1,0,INDEX(Motore_Startup!$AB$245:$AB$304,MAX(1,14-(INT((Motore_Operativo!L258)/30))-1)))*(MOD((Motore_Operativo!L258),30)/30))</f>
        <v>4677.55625</v>
      </c>
      <c r="AD258" s="15" t="n">
        <f aca="false">(AD257)+AB258-AC258</f>
        <v>36206.2869883727</v>
      </c>
      <c r="AE258" s="15" t="n">
        <f aca="false">Motore_Operativo!BH258*(1+Parametri_v3!$C$26)</f>
        <v>2052.12591549296</v>
      </c>
      <c r="AF258" s="15" t="n">
        <f aca="false">(IF(14-(INT((Parametri_v3!$C$29)/30))&lt;1,0,INDEX(Motore_Operativo!$BH$245:$BH$304,MAX(1,14-(INT((Parametri_v3!$C$29)/30)))))*(1-(MOD((Parametri_v3!$C$29),30)/30))+IF(14-(INT((Parametri_v3!$C$29)/30))-1&lt;1,0,INDEX(Motore_Operativo!$BH$245:$BH$304,MAX(1,14-(INT((Parametri_v3!$C$29)/30))-1)))*(MOD((Parametri_v3!$C$29),30)/30))*(1+Parametri_v3!$C$26)</f>
        <v>2052.12591549296</v>
      </c>
      <c r="AG258" s="15" t="n">
        <f aca="false">(AG257)+AE258-AF258</f>
        <v>2052.12591549296</v>
      </c>
      <c r="AH258" s="15" t="n">
        <f aca="false">(Motore_Operativo!CJ258)*(1+Parametri_v3!$C$27*Parametri_v3!$C$26)</f>
        <v>11264.223040376</v>
      </c>
      <c r="AI258" s="15" t="n">
        <f aca="false">(IF(14-(INT((Ipotesi!$C$91)/30))&lt;1,0,INDEX(Motore_Startup!$AH$245:$AH$304,MAX(1,14-(INT((Ipotesi!$C$91)/30)))))*(1-(MOD((Ipotesi!$C$91),30)/30))+IF(14-(INT((Ipotesi!$C$91)/30))-1&lt;1,0,INDEX(Motore_Startup!$AH$245:$AH$304,MAX(1,14-(INT((Ipotesi!$C$91)/30))-1)))*(MOD((Ipotesi!$C$91),30)/30))</f>
        <v>7226.25174108805</v>
      </c>
      <c r="AJ258" s="15" t="n">
        <f aca="false">(AJ257)+AH258-AI258</f>
        <v>22518.6186272959</v>
      </c>
      <c r="AK258" s="15" t="n">
        <f aca="false">(F258+ Motore_Operativo!BH258-(Motore_Operativo!CJ258)*Parametri_v3!$C$27-Motore_Operativo!CE258)*Parametri_v3!$C$26</f>
        <v>558.497287486512</v>
      </c>
      <c r="AL258" s="15" t="n">
        <f aca="false">MAX(0,(AM257))</f>
        <v>0</v>
      </c>
      <c r="AM258" s="15" t="n">
        <f aca="false">(AM257)+AK258-AL258</f>
        <v>-4839.41616999271</v>
      </c>
      <c r="AN258" s="15" t="n">
        <f aca="false">SUM(X245:X256)</f>
        <v>0</v>
      </c>
      <c r="AO258" s="15" t="n">
        <f aca="false">SUM(AP245:AP256)</f>
        <v>0</v>
      </c>
      <c r="AP258" s="15" t="n">
        <f aca="false">MAX(0,AN258)*IF(2=Parametri_v3!$C$43,Parametri_v3!$C$45,IF(2=Parametri_v3!$C$44,1-Parametri_v3!$C$45,0))</f>
        <v>0</v>
      </c>
      <c r="AQ258" s="15" t="n">
        <f aca="false">MAX(0,AP258+IF(2=Parametri_v3!$C$43,MAX(0,AN258-AO258),0)-MAX(0,-(AR257)))</f>
        <v>0</v>
      </c>
      <c r="AR258" s="15" t="n">
        <f aca="false">(AR257)+X258-AQ258</f>
        <v>0</v>
      </c>
      <c r="AS258" s="15" t="n">
        <f aca="false">Motore_Operativo!AB258-AT258+AU258</f>
        <v>19301.03125</v>
      </c>
      <c r="AT258" s="15" t="n">
        <f aca="false">Motore_Operativo!CH258</f>
        <v>1015.84375</v>
      </c>
      <c r="AU258" s="15" t="n">
        <f aca="false">MIN(MAX(0,(AV257)+AT258),Parametri_v3!$C$60/12)</f>
        <v>0</v>
      </c>
      <c r="AV258" s="15" t="n">
        <f aca="false">(AV257)+AT258-AU258</f>
        <v>8319.1875</v>
      </c>
      <c r="AW258" s="15" t="n">
        <f aca="false">IF(AND(Motore_Operativo!C258=Finanziamenti!$D$6,Finanziamenti!$F$6=1),Finanziamenti!$C$6,0)</f>
        <v>0</v>
      </c>
      <c r="AX258" s="15" t="n">
        <f aca="false">IF(AND(5&lt;&gt;7,5&lt;&gt;9,Finanziamenti!$F$8=1,OR(Parametri_v3!$C$6=0,Finanziamenti!$E$8=1),Motore_Operativo!C258=EDATE(Finanziamenti!$D$8,Ipotesi!G15*12)),Finanziamenti!$C$8*1,0)+IF(AND(5&lt;&gt;7,5&lt;&gt;9,Finanziamenti!$F$9=1,OR(Parametri_v3!$C$6=0,Finanziamenti!$E$9=1),Motore_Operativo!C258=EDATE(Finanziamenti!$D$9,Ipotesi!G15*12)),Finanziamenti!$C$9*Ipotesi!G16,0)</f>
        <v>0</v>
      </c>
      <c r="AY258" s="15" t="n">
        <f aca="false">0</f>
        <v>0</v>
      </c>
      <c r="AZ258" s="15" t="n">
        <f aca="false">Motore_Advisory!AY258*(1-Ipotesi!$C$95)*Ipotesi!$C$96</f>
        <v>0</v>
      </c>
      <c r="BA258" s="15" t="n">
        <f aca="false">MAX(0,MIN(CG258*MIN(1,IF(Motore_Operativo!C258&gt;=EDATE(Finanziamenti!$D$15,Ipotesi!G14*12),Finanziamenti!$C$15,0)+IF(Motore_Operativo!C258&gt;=EDATE(Finanziamenti!$D$16,Ipotesi!G14*12),Finanziamenti!$C$16,0)+IF(Motore_Operativo!C258&gt;=EDATE(Finanziamenti!$D$17,Ipotesi!G14*12),Finanziamenti!$C$17,0)),CA258*Ipotesi!$C$102)-(CC257))</f>
        <v>0</v>
      </c>
      <c r="BB258" s="15" t="n">
        <f aca="false">IF(AND(CF258&gt;0,Motore_Operativo!C258&gt;=IF(CF258=0,0,EDATE(CF258,Parametri_v3!$C$37)),MOD(((D258-YEAR(IF(CF258=0,0,EDATE(CF258,Parametri_v3!$C$37))))*12+E258-MONTH(IF(CF258=0,0,EDATE(CF258,Parametri_v3!$C$37)))),Parametri_v3!$C$38)=0),MIN(MAX(0,(BC257)+BA258-N258),(CC258-CD258)/(Ipotesi!$C$108*12/Parametri_v3!$C$38)),0)</f>
        <v>0</v>
      </c>
      <c r="BC258" s="15" t="n">
        <f aca="false">(BC257)+BA258-N258-BB258</f>
        <v>0</v>
      </c>
      <c r="BD258" s="15" t="n">
        <f aca="false">(BH257)+AC258+AF258-AI258-AS258-K258*(1+Parametri_v3!$C$26)-AL258-AQ258-O258+AW258+AX258+AZ258+BA258-BB258</f>
        <v>2220.74489569946</v>
      </c>
      <c r="BE258" s="15" t="n">
        <f aca="false">MAX(0,MIN(MAX(0,CH258-(BG257)),Parametri_v3!$C$30-BD258))</f>
        <v>22779.2551043005</v>
      </c>
      <c r="BF258" s="15" t="n">
        <f aca="false">IF(Motore_Operativo!C258&gt;=Parametri_v3!$C$63,(BG257),MIN((BG257),MAX(0,BD258-Parametri_v3!$C$30)))</f>
        <v>0</v>
      </c>
      <c r="BG258" s="15" t="n">
        <f aca="false">(BG257)+BE258-BF258</f>
        <v>110776.777512057</v>
      </c>
      <c r="BH258" s="15" t="n">
        <f aca="false">BD258+BE258-BF258-AY258</f>
        <v>25000</v>
      </c>
      <c r="BI258" s="15" t="n">
        <f aca="false">MAX(0,Parametri_v3!$C$30-BH258)</f>
        <v>0</v>
      </c>
      <c r="BJ258" s="15" t="n">
        <f aca="false">(BJ257)+K258</f>
        <v>24166.6666666667</v>
      </c>
      <c r="BK258" s="15" t="n">
        <f aca="false">(BK257)+L258</f>
        <v>4895.83333333333</v>
      </c>
      <c r="BL258" s="15" t="n">
        <f aca="false">BJ258-BK258</f>
        <v>19270.8333333333</v>
      </c>
      <c r="BM258" s="15" t="n">
        <f aca="false">(BM257)+Y258</f>
        <v>-184245.921232161</v>
      </c>
      <c r="BN258" s="15" t="n">
        <f aca="false">(BN257)+AW258+AX258+AZ258</f>
        <v>130000</v>
      </c>
      <c r="BO258" s="15" t="n">
        <f aca="false">(BO257)+AY258</f>
        <v>0</v>
      </c>
      <c r="BP258" s="15" t="n">
        <f aca="false">0</f>
        <v>0</v>
      </c>
      <c r="BQ258" s="15" t="n">
        <f aca="false">BN258+BM258-BO258</f>
        <v>-54245.9212321608</v>
      </c>
      <c r="BR258" s="15" t="n">
        <f aca="false">BH258+AD258+BL258+MAX(0,-AM258)+MAX(0,-AR258)+AG258</f>
        <v>87368.6624071917</v>
      </c>
      <c r="BS258" s="15" t="n">
        <f aca="false">AJ258+AV258+MAX(0,AM258)+MAX(0,AR258)+BC258+BG258+BQ258</f>
        <v>87368.6624071916</v>
      </c>
      <c r="BT258" s="15" t="n">
        <f aca="false">BR258-BS258</f>
        <v>0</v>
      </c>
      <c r="BU258" s="15" t="n">
        <f aca="false">BH258-(BD258+BE258-BF258-AY258)</f>
        <v>0</v>
      </c>
      <c r="BV258" s="15" t="n">
        <f aca="false">MIN(Piano_SS!$C$6,(BV257)+IF(AND(Motore_Operativo!C258&gt;=EDATE(Parametri_v3!$C$24,Ipotesi!G14*12),Motore_Operativo!C258&lt;EDATE(Parametri_v3!$C$24,Parametri_v3!$C$25+Ipotesi!G14*12)),MAX(0,(Motore_Operativo!Y258+Motore_Operativo!X258*Parametri_v3!$C$14)*(1-Parametri_v3!$C$32))*Piano_SS!$D$6,0))</f>
        <v>0</v>
      </c>
      <c r="BW258" s="15" t="n">
        <f aca="false">MIN(Piano_SS!$C$7,(BW257)+IF(AND(Motore_Operativo!C258&gt;=EDATE(Parametri_v3!$C$24,Ipotesi!G14*12),Motore_Operativo!C258&lt;EDATE(Parametri_v3!$C$24,Parametri_v3!$C$25+Ipotesi!G14*12)),MAX(0,(IF(14-(INT((Ipotesi!$C$91)/30))&lt;1,0,INDEX(Motore_Operativo!$BN$245:$BN$304,MAX(1,14-(INT((Ipotesi!$C$91)/30)))))*(1-(MOD((Ipotesi!$C$91),30)/30))+IF(14-(INT((Ipotesi!$C$91)/30))-1&lt;1,0,INDEX(Motore_Operativo!$BN$245:$BN$304,MAX(1,14-(INT((Ipotesi!$C$91)/30))-1)))*(MOD((Ipotesi!$C$91),30)/30)))*Piano_SS!$D$7,0))</f>
        <v>0</v>
      </c>
      <c r="BX258" s="15" t="n">
        <f aca="false">MIN(Piano_SS!$C$8,(BX257)+IF(AND(Motore_Operativo!C258&gt;=EDATE(Parametri_v3!$C$24,Ipotesi!G14*12),Motore_Operativo!C258&lt;EDATE(Parametri_v3!$C$24,Parametri_v3!$C$25+Ipotesi!G14*12)),MAX(0,Motore_Operativo!CE258)*Piano_SS!$D$8,0))</f>
        <v>0</v>
      </c>
      <c r="BY258" s="15" t="n">
        <f aca="false">MIN(Piano_SS!$C$9,(BY257)+IF(AND(Motore_Operativo!C258&gt;=EDATE(Parametri_v3!$C$24,Ipotesi!G14*12),Motore_Operativo!C258&lt;EDATE(Parametri_v3!$C$24,Parametri_v3!$C$25+Ipotesi!G14*12)),MAX(0,((IF(14-(INT((Ipotesi!$C$91)/30))&lt;1,0,INDEX(Motore_Operativo!$BQ$245:$BQ$304,MAX(1,14-(INT((Ipotesi!$C$91)/30)))))*(1-(MOD((Ipotesi!$C$91),30)/30))+IF(14-(INT((Ipotesi!$C$91)/30))-1&lt;1,0,INDEX(Motore_Operativo!$BQ$245:$BQ$304,MAX(1,14-(INT((Ipotesi!$C$91)/30))-1)))*(MOD((Ipotesi!$C$91),30)/30))+(IF(14-(INT((Ipotesi!$C$91)/30))&lt;1,0,INDEX(Motore_Operativo!$BR$245:$BR$304,MAX(1,14-(INT((Ipotesi!$C$91)/30)))))*(1-(MOD((Ipotesi!$C$91),30)/30))+IF(14-(INT((Ipotesi!$C$91)/30))-1&lt;1,0,INDEX(Motore_Operativo!$BR$245:$BR$304,MAX(1,14-(INT((Ipotesi!$C$91)/30))-1)))*(MOD((Ipotesi!$C$91),30)/30))))*Piano_SS!$D$9,0))</f>
        <v>0</v>
      </c>
      <c r="BZ258" s="15" t="n">
        <f aca="false">MIN(Piano_SS!$C$10,(BZ257)+IF(AND(Motore_Operativo!C258&gt;=EDATE(Parametri_v3!$C$24,Ipotesi!G14*12),Motore_Operativo!C258&lt;EDATE(Parametri_v3!$C$24,Parametri_v3!$C$25+Ipotesi!G14*12)),MAX(0,(IF(14-(INT((Ipotesi!$C$91)/30))&lt;1,0,INDEX(Motore_Operativo!$BO$245:$BO$304,MAX(1,14-(INT((Ipotesi!$C$91)/30)))))*(1-(MOD((Ipotesi!$C$91),30)/30))+IF(14-(INT((Ipotesi!$C$91)/30))-1&lt;1,0,INDEX(Motore_Operativo!$BO$245:$BO$304,MAX(1,14-(INT((Ipotesi!$C$91)/30))-1)))*(MOD((Ipotesi!$C$91),30)/30)))*Piano_SS!$D$10,0))</f>
        <v>0</v>
      </c>
      <c r="CA258" s="15" t="n">
        <f aca="false">SUM(BV258:BZ258)</f>
        <v>0</v>
      </c>
      <c r="CB258" s="15" t="n">
        <f aca="false">BV258*(1-Piano_SS!$E$6)+BW258*(1-Piano_SS!$E$7)+BX258*(1-Piano_SS!$E$8)+BY258*(1-Piano_SS!$E$9)+BZ258*(1-Piano_SS!$E$10)</f>
        <v>0</v>
      </c>
      <c r="CC258" s="15" t="n">
        <f aca="false">(CC257)+BA258</f>
        <v>0</v>
      </c>
      <c r="CD258" s="15" t="n">
        <f aca="false">IF(CA258=0,0,CC258*CB258/CA258*Ipotesi!$C$103*Parametri_v3!$C$64)</f>
        <v>0</v>
      </c>
      <c r="CE258" s="18" t="n">
        <f aca="false">IF(BA258&gt;0,Motore_Operativo!C258,(CE257))</f>
        <v>0</v>
      </c>
      <c r="CF258" s="18" t="n">
        <f aca="false">IF(AND(CC258&gt;0,OR(CC258&gt;=CG258-0.01,Motore_Operativo!C258&gt;=EDATE(MAX(Finanziamenti!$D$15:$D$17),Ipotesi!G14*12))),CE258,0)</f>
        <v>0</v>
      </c>
      <c r="CG258" s="15" t="n">
        <f aca="false">IF(AND(5&lt;&gt;6,5&lt;&gt;9,Finanziamenti!$F$11=1,OR(Parametri_v3!$C$6=0,Finanziamenti!$E$11=1)),MIN(Finanziamenti!$C$11,Piano_SS!$C$12*Ipotesi!$C$102),0)</f>
        <v>400000</v>
      </c>
      <c r="CH258" s="15" t="n">
        <f aca="false">IF(AND(AND(5&lt;&gt;8,5&lt;&gt;9,Finanziamenti!$F$10=1,OR(Parametri_v3!$C$6=0,Finanziamenti!$E$10=1)),Motore_Operativo!C258&gt;=Finanziamenti!$D$10,Motore_Operativo!C258&lt;Parametri_v3!$C$63),Finanziamenti!$C$10,0)</f>
        <v>150000</v>
      </c>
    </row>
    <row r="259" customFormat="false" ht="18" hidden="false" customHeight="true" outlineLevel="0" collapsed="false">
      <c r="A259" s="68" t="n">
        <f aca="false">5</f>
        <v>5</v>
      </c>
      <c r="B259" s="68" t="n">
        <f aca="false">15</f>
        <v>15</v>
      </c>
      <c r="C259" s="18" t="n">
        <f aca="false">Motore_Operativo!C259</f>
        <v>46813</v>
      </c>
      <c r="D259" s="68" t="n">
        <f aca="false">Motore_Operativo!D259</f>
        <v>2028</v>
      </c>
      <c r="E259" s="68" t="n">
        <f aca="false">Motore_Operativo!E259</f>
        <v>3</v>
      </c>
      <c r="F259" s="15" t="n">
        <f aca="false">Motore_Operativo!AQ259+Motore_Operativo!BF259</f>
        <v>11064.7159704995</v>
      </c>
      <c r="G259" s="15" t="n">
        <f aca="false">Motore_Operativo!BH259</f>
        <v>1682.07042253521</v>
      </c>
      <c r="H259" s="15" t="n">
        <f aca="false">Motore_Operativo!BI259</f>
        <v>12746.7863930347</v>
      </c>
      <c r="I259" s="15" t="n">
        <f aca="false">Motore_Operativo!CA259</f>
        <v>29814.7390152127</v>
      </c>
      <c r="J259" s="15" t="n">
        <f aca="false">Motore_Operativo!CC259</f>
        <v>-17067.9526221779</v>
      </c>
      <c r="K259" s="15" t="n">
        <f aca="false">Motore_Operativo!CE259</f>
        <v>2083.33333333333</v>
      </c>
      <c r="L259" s="15" t="n">
        <f aca="false">SUM(INDEX($K$245:$K$304,MAX(1,15-Parametri_v3!$C$59+1)):K259)/Parametri_v3!$C$59</f>
        <v>729.166666666667</v>
      </c>
      <c r="M259" s="15" t="n">
        <f aca="false">J259-L259</f>
        <v>-17797.1192888446</v>
      </c>
      <c r="N259" s="15" t="n">
        <f aca="false">CD259-(CD258)</f>
        <v>0</v>
      </c>
      <c r="O259" s="15" t="n">
        <f aca="false">(BG258)*Ipotesi!$C$110/12+CH259*Parametri_v3!$C$39/12</f>
        <v>553.883887560283</v>
      </c>
      <c r="P259" s="15" t="n">
        <f aca="false">M259+N259-O259</f>
        <v>-18351.0031764049</v>
      </c>
      <c r="Q259" s="15" t="n">
        <f aca="false">SUM(P257:P259)+Parametri_v3!$C$54*3/12</f>
        <v>-54684.5243547401</v>
      </c>
      <c r="R259" s="15" t="n">
        <f aca="false">Z256</f>
        <v>147912.400053826</v>
      </c>
      <c r="S259" s="15" t="n">
        <f aca="false">AA256</f>
        <v>0</v>
      </c>
      <c r="T259" s="15" t="n">
        <f aca="false">MIN(R259,MAX(0,Q259))</f>
        <v>0</v>
      </c>
      <c r="U259" s="15" t="n">
        <f aca="false">MIN(S259,MAX(0,Q259-T259)*Parametri_v3!$C$42)</f>
        <v>0</v>
      </c>
      <c r="V259" s="15" t="n">
        <f aca="false">MAX(0,Q259-T259-U259)*Ipotesi!$C$92</f>
        <v>0</v>
      </c>
      <c r="W259" s="15" t="n">
        <f aca="false">MAX(0,SUM(M257:M259)+Parametri_v3!$C$55*3/12)*Ipotesi!$C$93</f>
        <v>0</v>
      </c>
      <c r="X259" s="15" t="n">
        <f aca="false">V259+W259-(V258+W258)</f>
        <v>0</v>
      </c>
      <c r="Y259" s="15" t="n">
        <f aca="false">P259-X259</f>
        <v>-18351.0031764049</v>
      </c>
      <c r="Z259" s="15" t="n">
        <f aca="false">R259-T259+IF(AND(Parametri_v3!$C$40=1,D259-YEAR(Parametri_v3!$C$50)&lt;Parametri_v3!$C$41),MAX(0,-Q259),0)</f>
        <v>202596.924408566</v>
      </c>
      <c r="AA259" s="15" t="n">
        <f aca="false">S259-U259+IF(AND(Parametri_v3!$C$40=1,D259-YEAR(Parametri_v3!$C$50)&lt;Parametri_v3!$C$41),0,MAX(0,-Q259))</f>
        <v>0</v>
      </c>
      <c r="AB259" s="15" t="n">
        <f aca="false">F259*(1+Parametri_v3!$C$26)</f>
        <v>13498.9534840094</v>
      </c>
      <c r="AC259" s="15" t="n">
        <f aca="false">(IF(15-(INT((Motore_Operativo!L259)/30))&lt;1,0,INDEX(Motore_Startup!$AB$245:$AB$304,MAX(1,15-(INT((Motore_Operativo!L259)/30)))))*(1-(MOD((Motore_Operativo!L259),30)/30))+IF(15-(INT((Motore_Operativo!L259)/30))-1&lt;1,0,INDEX(Motore_Startup!$AB$245:$AB$304,MAX(1,15-(INT((Motore_Operativo!L259)/30))-1)))*(MOD((Motore_Operativo!L259),30)/30))</f>
        <v>4700.37259615385</v>
      </c>
      <c r="AD259" s="15" t="n">
        <f aca="false">(AD258)+AB259-AC259</f>
        <v>45004.8678762283</v>
      </c>
      <c r="AE259" s="15" t="n">
        <f aca="false">Motore_Operativo!BH259*(1+Parametri_v3!$C$26)</f>
        <v>2052.12591549296</v>
      </c>
      <c r="AF259" s="15" t="n">
        <f aca="false">(IF(15-(INT((Parametri_v3!$C$29)/30))&lt;1,0,INDEX(Motore_Operativo!$BH$245:$BH$304,MAX(1,15-(INT((Parametri_v3!$C$29)/30)))))*(1-(MOD((Parametri_v3!$C$29),30)/30))+IF(15-(INT((Parametri_v3!$C$29)/30))-1&lt;1,0,INDEX(Motore_Operativo!$BH$245:$BH$304,MAX(1,15-(INT((Parametri_v3!$C$29)/30))-1)))*(MOD((Parametri_v3!$C$29),30)/30))*(1+Parametri_v3!$C$26)</f>
        <v>2052.12591549296</v>
      </c>
      <c r="AG259" s="15" t="n">
        <f aca="false">(AG258)+AE259-AF259</f>
        <v>2052.12591549296</v>
      </c>
      <c r="AH259" s="15" t="n">
        <f aca="false">(Motore_Operativo!CJ259)*(1+Parametri_v3!$C$27*Parametri_v3!$C$26)</f>
        <v>11273.9645860574</v>
      </c>
      <c r="AI259" s="15" t="n">
        <f aca="false">(IF(15-(INT((Ipotesi!$C$91)/30))&lt;1,0,INDEX(Motore_Startup!$AH$245:$AH$304,MAX(1,15-(INT((Ipotesi!$C$91)/30)))))*(1-(MOD((Ipotesi!$C$91),30)/30))+IF(15-(INT((Ipotesi!$C$91)/30))-1&lt;1,0,INDEX(Motore_Startup!$AH$245:$AH$304,MAX(1,15-(INT((Ipotesi!$C$91)/30))-1)))*(MOD((Ipotesi!$C$91),30)/30))</f>
        <v>11254.3955869199</v>
      </c>
      <c r="AJ259" s="15" t="n">
        <f aca="false">(AJ258)+AH259-AI259</f>
        <v>22538.1876264335</v>
      </c>
      <c r="AK259" s="15" t="n">
        <f aca="false">(F259+ Motore_Operativo!BH259-(Motore_Operativo!CJ259)*Parametri_v3!$C$27-Motore_Operativo!CE259)*Parametri_v3!$C$26</f>
        <v>569.859102289538</v>
      </c>
      <c r="AL259" s="15" t="n">
        <f aca="false">MAX(0,(AM258))</f>
        <v>0</v>
      </c>
      <c r="AM259" s="15" t="n">
        <f aca="false">(AM258)+AK259-AL259</f>
        <v>-4269.55706770317</v>
      </c>
      <c r="AN259" s="15" t="n">
        <f aca="false">SUM(X245:X256)</f>
        <v>0</v>
      </c>
      <c r="AO259" s="15" t="n">
        <f aca="false">SUM(AP245:AP256)</f>
        <v>0</v>
      </c>
      <c r="AP259" s="15" t="n">
        <f aca="false">MAX(0,AN259)*IF(3=Parametri_v3!$C$43,Parametri_v3!$C$45,IF(3=Parametri_v3!$C$44,1-Parametri_v3!$C$45,0))</f>
        <v>0</v>
      </c>
      <c r="AQ259" s="15" t="n">
        <f aca="false">MAX(0,AP259+IF(3=Parametri_v3!$C$43,MAX(0,AN259-AO259),0)-MAX(0,-(AR258)))</f>
        <v>0</v>
      </c>
      <c r="AR259" s="15" t="n">
        <f aca="false">(AR258)+X259-AQ259</f>
        <v>0</v>
      </c>
      <c r="AS259" s="15" t="n">
        <f aca="false">Motore_Operativo!AB259-AT259+AU259</f>
        <v>19301.03125</v>
      </c>
      <c r="AT259" s="15" t="n">
        <f aca="false">Motore_Operativo!CH259</f>
        <v>1015.84375</v>
      </c>
      <c r="AU259" s="15" t="n">
        <f aca="false">MIN(MAX(0,(AV258)+AT259),Parametri_v3!$C$60/12)</f>
        <v>0</v>
      </c>
      <c r="AV259" s="15" t="n">
        <f aca="false">(AV258)+AT259-AU259</f>
        <v>9335.03125</v>
      </c>
      <c r="AW259" s="15" t="n">
        <f aca="false">IF(AND(Motore_Operativo!C259=Finanziamenti!$D$6,Finanziamenti!$F$6=1),Finanziamenti!$C$6,0)</f>
        <v>0</v>
      </c>
      <c r="AX259" s="15" t="n">
        <f aca="false">IF(AND(5&lt;&gt;7,5&lt;&gt;9,Finanziamenti!$F$8=1,OR(Parametri_v3!$C$6=0,Finanziamenti!$E$8=1),Motore_Operativo!C259=EDATE(Finanziamenti!$D$8,Ipotesi!G15*12)),Finanziamenti!$C$8*1,0)+IF(AND(5&lt;&gt;7,5&lt;&gt;9,Finanziamenti!$F$9=1,OR(Parametri_v3!$C$6=0,Finanziamenti!$E$9=1),Motore_Operativo!C259=EDATE(Finanziamenti!$D$9,Ipotesi!G15*12)),Finanziamenti!$C$9*Ipotesi!G16,0)</f>
        <v>0</v>
      </c>
      <c r="AY259" s="15" t="n">
        <f aca="false">0</f>
        <v>0</v>
      </c>
      <c r="AZ259" s="15" t="n">
        <f aca="false">Motore_Advisory!AY259*(1-Ipotesi!$C$95)*Ipotesi!$C$96</f>
        <v>0</v>
      </c>
      <c r="BA259" s="15" t="n">
        <f aca="false">MAX(0,MIN(CG259*MIN(1,IF(Motore_Operativo!C259&gt;=EDATE(Finanziamenti!$D$15,Ipotesi!G14*12),Finanziamenti!$C$15,0)+IF(Motore_Operativo!C259&gt;=EDATE(Finanziamenti!$D$16,Ipotesi!G14*12),Finanziamenti!$C$16,0)+IF(Motore_Operativo!C259&gt;=EDATE(Finanziamenti!$D$17,Ipotesi!G14*12),Finanziamenti!$C$17,0)),CA259*Ipotesi!$C$102)-(CC258))</f>
        <v>0</v>
      </c>
      <c r="BB259" s="15" t="n">
        <f aca="false">IF(AND(CF259&gt;0,Motore_Operativo!C259&gt;=IF(CF259=0,0,EDATE(CF259,Parametri_v3!$C$37)),MOD(((D259-YEAR(IF(CF259=0,0,EDATE(CF259,Parametri_v3!$C$37))))*12+E259-MONTH(IF(CF259=0,0,EDATE(CF259,Parametri_v3!$C$37)))),Parametri_v3!$C$38)=0),MIN(MAX(0,(BC258)+BA259-N259),(CC259-CD259)/(Ipotesi!$C$108*12/Parametri_v3!$C$38)),0)</f>
        <v>0</v>
      </c>
      <c r="BC259" s="15" t="n">
        <f aca="false">(BC258)+BA259-N259-BB259</f>
        <v>0</v>
      </c>
      <c r="BD259" s="15" t="n">
        <f aca="false">(BH258)+AC259+AF259-AI259-AS259-K259*(1+Parametri_v3!$C$26)-AL259-AQ259-O259+AW259+AX259+AZ259+BA259-BB259</f>
        <v>-1898.4788795</v>
      </c>
      <c r="BE259" s="15" t="n">
        <f aca="false">MAX(0,MIN(MAX(0,CH259-(BG258)),Parametri_v3!$C$30-BD259))</f>
        <v>26898.4788795</v>
      </c>
      <c r="BF259" s="15" t="n">
        <f aca="false">IF(Motore_Operativo!C259&gt;=Parametri_v3!$C$63,(BG258),MIN((BG258),MAX(0,BD259-Parametri_v3!$C$30)))</f>
        <v>0</v>
      </c>
      <c r="BG259" s="15" t="n">
        <f aca="false">(BG258)+BE259-BF259</f>
        <v>137675.256391557</v>
      </c>
      <c r="BH259" s="15" t="n">
        <f aca="false">BD259+BE259-BF259-AY259</f>
        <v>25000</v>
      </c>
      <c r="BI259" s="15" t="n">
        <f aca="false">MAX(0,Parametri_v3!$C$30-BH259)</f>
        <v>0</v>
      </c>
      <c r="BJ259" s="15" t="n">
        <f aca="false">(BJ258)+K259</f>
        <v>26250</v>
      </c>
      <c r="BK259" s="15" t="n">
        <f aca="false">(BK258)+L259</f>
        <v>5625</v>
      </c>
      <c r="BL259" s="15" t="n">
        <f aca="false">BJ259-BK259</f>
        <v>20625</v>
      </c>
      <c r="BM259" s="15" t="n">
        <f aca="false">(BM258)+Y259</f>
        <v>-202596.924408566</v>
      </c>
      <c r="BN259" s="15" t="n">
        <f aca="false">(BN258)+AW259+AX259+AZ259</f>
        <v>130000</v>
      </c>
      <c r="BO259" s="15" t="n">
        <f aca="false">(BO258)+AY259</f>
        <v>0</v>
      </c>
      <c r="BP259" s="15" t="n">
        <f aca="false">0</f>
        <v>0</v>
      </c>
      <c r="BQ259" s="15" t="n">
        <f aca="false">BN259+BM259-BO259</f>
        <v>-72596.9244085657</v>
      </c>
      <c r="BR259" s="15" t="n">
        <f aca="false">BH259+AD259+BL259+MAX(0,-AM259)+MAX(0,-AR259)+AG259</f>
        <v>96951.5508594244</v>
      </c>
      <c r="BS259" s="15" t="n">
        <f aca="false">AJ259+AV259+MAX(0,AM259)+MAX(0,AR259)+BC259+BG259+BQ259</f>
        <v>96951.5508594243</v>
      </c>
      <c r="BT259" s="15" t="n">
        <f aca="false">BR259-BS259</f>
        <v>0</v>
      </c>
      <c r="BU259" s="15" t="n">
        <f aca="false">BH259-(BD259+BE259-BF259-AY259)</f>
        <v>0</v>
      </c>
      <c r="BV259" s="15" t="n">
        <f aca="false">MIN(Piano_SS!$C$6,(BV258)+IF(AND(Motore_Operativo!C259&gt;=EDATE(Parametri_v3!$C$24,Ipotesi!G14*12),Motore_Operativo!C259&lt;EDATE(Parametri_v3!$C$24,Parametri_v3!$C$25+Ipotesi!G14*12)),MAX(0,(Motore_Operativo!Y259+Motore_Operativo!X259*Parametri_v3!$C$14)*(1-Parametri_v3!$C$32))*Piano_SS!$D$6,0))</f>
        <v>0</v>
      </c>
      <c r="BW259" s="15" t="n">
        <f aca="false">MIN(Piano_SS!$C$7,(BW258)+IF(AND(Motore_Operativo!C259&gt;=EDATE(Parametri_v3!$C$24,Ipotesi!G14*12),Motore_Operativo!C259&lt;EDATE(Parametri_v3!$C$24,Parametri_v3!$C$25+Ipotesi!G14*12)),MAX(0,(IF(15-(INT((Ipotesi!$C$91)/30))&lt;1,0,INDEX(Motore_Operativo!$BN$245:$BN$304,MAX(1,15-(INT((Ipotesi!$C$91)/30)))))*(1-(MOD((Ipotesi!$C$91),30)/30))+IF(15-(INT((Ipotesi!$C$91)/30))-1&lt;1,0,INDEX(Motore_Operativo!$BN$245:$BN$304,MAX(1,15-(INT((Ipotesi!$C$91)/30))-1)))*(MOD((Ipotesi!$C$91),30)/30)))*Piano_SS!$D$7,0))</f>
        <v>0</v>
      </c>
      <c r="BX259" s="15" t="n">
        <f aca="false">MIN(Piano_SS!$C$8,(BX258)+IF(AND(Motore_Operativo!C259&gt;=EDATE(Parametri_v3!$C$24,Ipotesi!G14*12),Motore_Operativo!C259&lt;EDATE(Parametri_v3!$C$24,Parametri_v3!$C$25+Ipotesi!G14*12)),MAX(0,Motore_Operativo!CE259)*Piano_SS!$D$8,0))</f>
        <v>0</v>
      </c>
      <c r="BY259" s="15" t="n">
        <f aca="false">MIN(Piano_SS!$C$9,(BY258)+IF(AND(Motore_Operativo!C259&gt;=EDATE(Parametri_v3!$C$24,Ipotesi!G14*12),Motore_Operativo!C259&lt;EDATE(Parametri_v3!$C$24,Parametri_v3!$C$25+Ipotesi!G14*12)),MAX(0,((IF(15-(INT((Ipotesi!$C$91)/30))&lt;1,0,INDEX(Motore_Operativo!$BQ$245:$BQ$304,MAX(1,15-(INT((Ipotesi!$C$91)/30)))))*(1-(MOD((Ipotesi!$C$91),30)/30))+IF(15-(INT((Ipotesi!$C$91)/30))-1&lt;1,0,INDEX(Motore_Operativo!$BQ$245:$BQ$304,MAX(1,15-(INT((Ipotesi!$C$91)/30))-1)))*(MOD((Ipotesi!$C$91),30)/30))+(IF(15-(INT((Ipotesi!$C$91)/30))&lt;1,0,INDEX(Motore_Operativo!$BR$245:$BR$304,MAX(1,15-(INT((Ipotesi!$C$91)/30)))))*(1-(MOD((Ipotesi!$C$91),30)/30))+IF(15-(INT((Ipotesi!$C$91)/30))-1&lt;1,0,INDEX(Motore_Operativo!$BR$245:$BR$304,MAX(1,15-(INT((Ipotesi!$C$91)/30))-1)))*(MOD((Ipotesi!$C$91),30)/30))))*Piano_SS!$D$9,0))</f>
        <v>0</v>
      </c>
      <c r="BZ259" s="15" t="n">
        <f aca="false">MIN(Piano_SS!$C$10,(BZ258)+IF(AND(Motore_Operativo!C259&gt;=EDATE(Parametri_v3!$C$24,Ipotesi!G14*12),Motore_Operativo!C259&lt;EDATE(Parametri_v3!$C$24,Parametri_v3!$C$25+Ipotesi!G14*12)),MAX(0,(IF(15-(INT((Ipotesi!$C$91)/30))&lt;1,0,INDEX(Motore_Operativo!$BO$245:$BO$304,MAX(1,15-(INT((Ipotesi!$C$91)/30)))))*(1-(MOD((Ipotesi!$C$91),30)/30))+IF(15-(INT((Ipotesi!$C$91)/30))-1&lt;1,0,INDEX(Motore_Operativo!$BO$245:$BO$304,MAX(1,15-(INT((Ipotesi!$C$91)/30))-1)))*(MOD((Ipotesi!$C$91),30)/30)))*Piano_SS!$D$10,0))</f>
        <v>0</v>
      </c>
      <c r="CA259" s="15" t="n">
        <f aca="false">SUM(BV259:BZ259)</f>
        <v>0</v>
      </c>
      <c r="CB259" s="15" t="n">
        <f aca="false">BV259*(1-Piano_SS!$E$6)+BW259*(1-Piano_SS!$E$7)+BX259*(1-Piano_SS!$E$8)+BY259*(1-Piano_SS!$E$9)+BZ259*(1-Piano_SS!$E$10)</f>
        <v>0</v>
      </c>
      <c r="CC259" s="15" t="n">
        <f aca="false">(CC258)+BA259</f>
        <v>0</v>
      </c>
      <c r="CD259" s="15" t="n">
        <f aca="false">IF(CA259=0,0,CC259*CB259/CA259*Ipotesi!$C$103*Parametri_v3!$C$64)</f>
        <v>0</v>
      </c>
      <c r="CE259" s="18" t="n">
        <f aca="false">IF(BA259&gt;0,Motore_Operativo!C259,(CE258))</f>
        <v>0</v>
      </c>
      <c r="CF259" s="18" t="n">
        <f aca="false">IF(AND(CC259&gt;0,OR(CC259&gt;=CG259-0.01,Motore_Operativo!C259&gt;=EDATE(MAX(Finanziamenti!$D$15:$D$17),Ipotesi!G14*12))),CE259,0)</f>
        <v>0</v>
      </c>
      <c r="CG259" s="15" t="n">
        <f aca="false">IF(AND(5&lt;&gt;6,5&lt;&gt;9,Finanziamenti!$F$11=1,OR(Parametri_v3!$C$6=0,Finanziamenti!$E$11=1)),MIN(Finanziamenti!$C$11,Piano_SS!$C$12*Ipotesi!$C$102),0)</f>
        <v>400000</v>
      </c>
      <c r="CH259" s="15" t="n">
        <f aca="false">IF(AND(AND(5&lt;&gt;8,5&lt;&gt;9,Finanziamenti!$F$10=1,OR(Parametri_v3!$C$6=0,Finanziamenti!$E$10=1)),Motore_Operativo!C259&gt;=Finanziamenti!$D$10,Motore_Operativo!C259&lt;Parametri_v3!$C$63),Finanziamenti!$C$10,0)</f>
        <v>150000</v>
      </c>
    </row>
    <row r="260" customFormat="false" ht="18" hidden="false" customHeight="true" outlineLevel="0" collapsed="false">
      <c r="A260" s="68" t="n">
        <f aca="false">5</f>
        <v>5</v>
      </c>
      <c r="B260" s="68" t="n">
        <f aca="false">16</f>
        <v>16</v>
      </c>
      <c r="C260" s="18" t="n">
        <f aca="false">Motore_Operativo!C260</f>
        <v>46844</v>
      </c>
      <c r="D260" s="68" t="n">
        <f aca="false">Motore_Operativo!D260</f>
        <v>2028</v>
      </c>
      <c r="E260" s="68" t="n">
        <f aca="false">Motore_Operativo!E260</f>
        <v>4</v>
      </c>
      <c r="F260" s="15" t="n">
        <f aca="false">Motore_Operativo!AQ260+Motore_Operativo!BF260</f>
        <v>11173.7061906969</v>
      </c>
      <c r="G260" s="15" t="n">
        <f aca="false">Motore_Operativo!BH260</f>
        <v>1682.07042253521</v>
      </c>
      <c r="H260" s="15" t="n">
        <f aca="false">Motore_Operativo!BI260</f>
        <v>12855.7766132321</v>
      </c>
      <c r="I260" s="15" t="n">
        <f aca="false">Motore_Operativo!CA260</f>
        <v>29829.9976460403</v>
      </c>
      <c r="J260" s="15" t="n">
        <f aca="false">Motore_Operativo!CC260</f>
        <v>-16974.2210328082</v>
      </c>
      <c r="K260" s="15" t="n">
        <f aca="false">Motore_Operativo!CE260</f>
        <v>2083.33333333333</v>
      </c>
      <c r="L260" s="15" t="n">
        <f aca="false">SUM(INDEX($K$245:$K$304,MAX(1,16-Parametri_v3!$C$59+1)):K260)/Parametri_v3!$C$59</f>
        <v>787.037037037037</v>
      </c>
      <c r="M260" s="15" t="n">
        <f aca="false">J260-L260</f>
        <v>-17761.2580698452</v>
      </c>
      <c r="N260" s="15" t="n">
        <f aca="false">CD260-(CD259)</f>
        <v>0</v>
      </c>
      <c r="O260" s="15" t="n">
        <f aca="false">(BG259)*Ipotesi!$C$110/12+CH260*Parametri_v3!$C$39/12</f>
        <v>688.376281957783</v>
      </c>
      <c r="P260" s="15" t="n">
        <f aca="false">M260+N260-O260</f>
        <v>-18449.634351803</v>
      </c>
      <c r="Q260" s="15" t="n">
        <f aca="false">SUM(P257:P260)+Parametri_v3!$C$54*4/12</f>
        <v>-73134.158706543</v>
      </c>
      <c r="R260" s="15" t="n">
        <f aca="false">Z256</f>
        <v>147912.400053826</v>
      </c>
      <c r="S260" s="15" t="n">
        <f aca="false">AA256</f>
        <v>0</v>
      </c>
      <c r="T260" s="15" t="n">
        <f aca="false">MIN(R260,MAX(0,Q260))</f>
        <v>0</v>
      </c>
      <c r="U260" s="15" t="n">
        <f aca="false">MIN(S260,MAX(0,Q260-T260)*Parametri_v3!$C$42)</f>
        <v>0</v>
      </c>
      <c r="V260" s="15" t="n">
        <f aca="false">MAX(0,Q260-T260-U260)*Ipotesi!$C$92</f>
        <v>0</v>
      </c>
      <c r="W260" s="15" t="n">
        <f aca="false">MAX(0,SUM(M257:M260)+Parametri_v3!$C$55*4/12)*Ipotesi!$C$93</f>
        <v>0</v>
      </c>
      <c r="X260" s="15" t="n">
        <f aca="false">V260+W260-(V259+W259)</f>
        <v>0</v>
      </c>
      <c r="Y260" s="15" t="n">
        <f aca="false">P260-X260</f>
        <v>-18449.634351803</v>
      </c>
      <c r="Z260" s="15" t="n">
        <f aca="false">R260-T260+IF(AND(Parametri_v3!$C$40=1,D260-YEAR(Parametri_v3!$C$50)&lt;Parametri_v3!$C$41),MAX(0,-Q260),0)</f>
        <v>221046.558760369</v>
      </c>
      <c r="AA260" s="15" t="n">
        <f aca="false">S260-U260+IF(AND(Parametri_v3!$C$40=1,D260-YEAR(Parametri_v3!$C$50)&lt;Parametri_v3!$C$41),0,MAX(0,-Q260))</f>
        <v>0</v>
      </c>
      <c r="AB260" s="15" t="n">
        <f aca="false">F260*(1+Parametri_v3!$C$26)</f>
        <v>13631.9215526503</v>
      </c>
      <c r="AC260" s="15" t="n">
        <f aca="false">(IF(16-(INT((Motore_Operativo!L260)/30))&lt;1,0,INDEX(Motore_Startup!$AB$245:$AB$304,MAX(1,16-(INT((Motore_Operativo!L260)/30)))))*(1-(MOD((Motore_Operativo!L260),30)/30))+IF(16-(INT((Motore_Operativo!L260)/30))-1&lt;1,0,INDEX(Motore_Startup!$AB$245:$AB$304,MAX(1,16-(INT((Motore_Operativo!L260)/30))-1)))*(MOD((Motore_Operativo!L260),30)/30))</f>
        <v>4723.18894230769</v>
      </c>
      <c r="AD260" s="15" t="n">
        <f aca="false">(AD259)+AB260-AC260</f>
        <v>53913.6004865708</v>
      </c>
      <c r="AE260" s="15" t="n">
        <f aca="false">Motore_Operativo!BH260*(1+Parametri_v3!$C$26)</f>
        <v>2052.12591549296</v>
      </c>
      <c r="AF260" s="15" t="n">
        <f aca="false">(IF(16-(INT((Parametri_v3!$C$29)/30))&lt;1,0,INDEX(Motore_Operativo!$BH$245:$BH$304,MAX(1,16-(INT((Parametri_v3!$C$29)/30)))))*(1-(MOD((Parametri_v3!$C$29),30)/30))+IF(16-(INT((Parametri_v3!$C$29)/30))-1&lt;1,0,INDEX(Motore_Operativo!$BH$245:$BH$304,MAX(1,16-(INT((Parametri_v3!$C$29)/30))-1)))*(MOD((Parametri_v3!$C$29),30)/30))*(1+Parametri_v3!$C$26)</f>
        <v>2052.12591549296</v>
      </c>
      <c r="AG260" s="15" t="n">
        <f aca="false">(AG259)+AE260-AF260</f>
        <v>2052.12591549296</v>
      </c>
      <c r="AH260" s="15" t="n">
        <f aca="false">(Motore_Operativo!CJ260)*(1+Parametri_v3!$C$27*Parametri_v3!$C$26)</f>
        <v>11292.0765808498</v>
      </c>
      <c r="AI260" s="15" t="n">
        <f aca="false">(IF(16-(INT((Ipotesi!$C$91)/30))&lt;1,0,INDEX(Motore_Startup!$AH$245:$AH$304,MAX(1,16-(INT((Ipotesi!$C$91)/30)))))*(1-(MOD((Ipotesi!$C$91),30)/30))+IF(16-(INT((Ipotesi!$C$91)/30))-1&lt;1,0,INDEX(Motore_Startup!$AH$245:$AH$304,MAX(1,16-(INT((Ipotesi!$C$91)/30))-1)))*(MOD((Ipotesi!$C$91),30)/30))</f>
        <v>11264.223040376</v>
      </c>
      <c r="AJ260" s="15" t="n">
        <f aca="false">(AJ259)+AH260-AI260</f>
        <v>22566.0411669073</v>
      </c>
      <c r="AK260" s="15" t="n">
        <f aca="false">(F260+ Motore_Operativo!BH260-(Motore_Operativo!CJ260)*Parametri_v3!$C$27-Motore_Operativo!CE260)*Parametri_v3!$C$26</f>
        <v>590.983586768202</v>
      </c>
      <c r="AL260" s="15" t="n">
        <f aca="false">MAX(0,(AM259))</f>
        <v>0</v>
      </c>
      <c r="AM260" s="15" t="n">
        <f aca="false">(AM259)+AK260-AL260</f>
        <v>-3678.57348093497</v>
      </c>
      <c r="AN260" s="15" t="n">
        <f aca="false">SUM(X245:X256)</f>
        <v>0</v>
      </c>
      <c r="AO260" s="15" t="n">
        <f aca="false">SUM(AP245:AP256)</f>
        <v>0</v>
      </c>
      <c r="AP260" s="15" t="n">
        <f aca="false">MAX(0,AN260)*IF(4=Parametri_v3!$C$43,Parametri_v3!$C$45,IF(4=Parametri_v3!$C$44,1-Parametri_v3!$C$45,0))</f>
        <v>0</v>
      </c>
      <c r="AQ260" s="15" t="n">
        <f aca="false">MAX(0,AP260+IF(4=Parametri_v3!$C$43,MAX(0,AN260-AO260),0)-MAX(0,-(AR259)))</f>
        <v>0</v>
      </c>
      <c r="AR260" s="15" t="n">
        <f aca="false">(AR259)+X260-AQ260</f>
        <v>0</v>
      </c>
      <c r="AS260" s="15" t="n">
        <f aca="false">Motore_Operativo!AB260-AT260+AU260</f>
        <v>19301.03125</v>
      </c>
      <c r="AT260" s="15" t="n">
        <f aca="false">Motore_Operativo!CH260</f>
        <v>1015.84375</v>
      </c>
      <c r="AU260" s="15" t="n">
        <f aca="false">MIN(MAX(0,(AV259)+AT260),Parametri_v3!$C$60/12)</f>
        <v>0</v>
      </c>
      <c r="AV260" s="15" t="n">
        <f aca="false">(AV259)+AT260-AU260</f>
        <v>10350.875</v>
      </c>
      <c r="AW260" s="15" t="n">
        <f aca="false">IF(AND(Motore_Operativo!C260=Finanziamenti!$D$6,Finanziamenti!$F$6=1),Finanziamenti!$C$6,0)</f>
        <v>0</v>
      </c>
      <c r="AX260" s="15" t="n">
        <f aca="false">IF(AND(5&lt;&gt;7,5&lt;&gt;9,Finanziamenti!$F$8=1,OR(Parametri_v3!$C$6=0,Finanziamenti!$E$8=1),Motore_Operativo!C260=EDATE(Finanziamenti!$D$8,Ipotesi!G15*12)),Finanziamenti!$C$8*1,0)+IF(AND(5&lt;&gt;7,5&lt;&gt;9,Finanziamenti!$F$9=1,OR(Parametri_v3!$C$6=0,Finanziamenti!$E$9=1),Motore_Operativo!C260=EDATE(Finanziamenti!$D$9,Ipotesi!G15*12)),Finanziamenti!$C$9*Ipotesi!G16,0)</f>
        <v>0</v>
      </c>
      <c r="AY260" s="15" t="n">
        <f aca="false">0</f>
        <v>0</v>
      </c>
      <c r="AZ260" s="15" t="n">
        <f aca="false">Motore_Advisory!AY260*(1-Ipotesi!$C$95)*Ipotesi!$C$96</f>
        <v>0</v>
      </c>
      <c r="BA260" s="15" t="n">
        <f aca="false">MAX(0,MIN(CG260*MIN(1,IF(Motore_Operativo!C260&gt;=EDATE(Finanziamenti!$D$15,Ipotesi!G14*12),Finanziamenti!$C$15,0)+IF(Motore_Operativo!C260&gt;=EDATE(Finanziamenti!$D$16,Ipotesi!G14*12),Finanziamenti!$C$16,0)+IF(Motore_Operativo!C260&gt;=EDATE(Finanziamenti!$D$17,Ipotesi!G14*12),Finanziamenti!$C$17,0)),CA260*Ipotesi!$C$102)-(CC259))</f>
        <v>0</v>
      </c>
      <c r="BB260" s="15" t="n">
        <f aca="false">IF(AND(CF260&gt;0,Motore_Operativo!C260&gt;=IF(CF260=0,0,EDATE(CF260,Parametri_v3!$C$37)),MOD(((D260-YEAR(IF(CF260=0,0,EDATE(CF260,Parametri_v3!$C$37))))*12+E260-MONTH(IF(CF260=0,0,EDATE(CF260,Parametri_v3!$C$37)))),Parametri_v3!$C$38)=0),MIN(MAX(0,(BC259)+BA260-N260),(CC260-CD260)/(Ipotesi!$C$108*12/Parametri_v3!$C$38)),0)</f>
        <v>0</v>
      </c>
      <c r="BC260" s="15" t="n">
        <f aca="false">(BC259)+BA260-N260-BB260</f>
        <v>0</v>
      </c>
      <c r="BD260" s="15" t="n">
        <f aca="false">(BH259)+AC260+AF260-AI260-AS260-K260*(1+Parametri_v3!$C$26)-AL260-AQ260-O260+AW260+AX260+AZ260+BA260-BB260</f>
        <v>-2019.98238119983</v>
      </c>
      <c r="BE260" s="15" t="n">
        <f aca="false">MAX(0,MIN(MAX(0,CH260-(BG259)),Parametri_v3!$C$30-BD260))</f>
        <v>12324.7436084435</v>
      </c>
      <c r="BF260" s="15" t="n">
        <f aca="false">IF(Motore_Operativo!C260&gt;=Parametri_v3!$C$63,(BG259),MIN((BG259),MAX(0,BD260-Parametri_v3!$C$30)))</f>
        <v>0</v>
      </c>
      <c r="BG260" s="15" t="n">
        <f aca="false">(BG259)+BE260-BF260</f>
        <v>150000</v>
      </c>
      <c r="BH260" s="15" t="n">
        <f aca="false">BD260+BE260-BF260-AY260</f>
        <v>10304.7612272437</v>
      </c>
      <c r="BI260" s="15" t="n">
        <f aca="false">MAX(0,Parametri_v3!$C$30-BH260)</f>
        <v>14695.2387727563</v>
      </c>
      <c r="BJ260" s="15" t="n">
        <f aca="false">(BJ259)+K260</f>
        <v>28333.3333333333</v>
      </c>
      <c r="BK260" s="15" t="n">
        <f aca="false">(BK259)+L260</f>
        <v>6412.03703703704</v>
      </c>
      <c r="BL260" s="15" t="n">
        <f aca="false">BJ260-BK260</f>
        <v>21921.2962962963</v>
      </c>
      <c r="BM260" s="15" t="n">
        <f aca="false">(BM259)+Y260</f>
        <v>-221046.558760369</v>
      </c>
      <c r="BN260" s="15" t="n">
        <f aca="false">(BN259)+AW260+AX260+AZ260</f>
        <v>130000</v>
      </c>
      <c r="BO260" s="15" t="n">
        <f aca="false">(BO259)+AY260</f>
        <v>0</v>
      </c>
      <c r="BP260" s="15" t="n">
        <f aca="false">0</f>
        <v>0</v>
      </c>
      <c r="BQ260" s="15" t="n">
        <f aca="false">BN260+BM260-BO260</f>
        <v>-91046.5587603686</v>
      </c>
      <c r="BR260" s="15" t="n">
        <f aca="false">BH260+AD260+BL260+MAX(0,-AM260)+MAX(0,-AR260)+AG260</f>
        <v>91870.3574065387</v>
      </c>
      <c r="BS260" s="15" t="n">
        <f aca="false">AJ260+AV260+MAX(0,AM260)+MAX(0,AR260)+BC260+BG260+BQ260</f>
        <v>91870.3574065387</v>
      </c>
      <c r="BT260" s="15" t="n">
        <f aca="false">BR260-BS260</f>
        <v>0</v>
      </c>
      <c r="BU260" s="15" t="n">
        <f aca="false">BH260-(BD260+BE260-BF260-AY260)</f>
        <v>0</v>
      </c>
      <c r="BV260" s="15" t="n">
        <f aca="false">MIN(Piano_SS!$C$6,(BV259)+IF(AND(Motore_Operativo!C260&gt;=EDATE(Parametri_v3!$C$24,Ipotesi!G14*12),Motore_Operativo!C260&lt;EDATE(Parametri_v3!$C$24,Parametri_v3!$C$25+Ipotesi!G14*12)),MAX(0,(Motore_Operativo!Y260+Motore_Operativo!X260*Parametri_v3!$C$14)*(1-Parametri_v3!$C$32))*Piano_SS!$D$6,0))</f>
        <v>0</v>
      </c>
      <c r="BW260" s="15" t="n">
        <f aca="false">MIN(Piano_SS!$C$7,(BW259)+IF(AND(Motore_Operativo!C260&gt;=EDATE(Parametri_v3!$C$24,Ipotesi!G14*12),Motore_Operativo!C260&lt;EDATE(Parametri_v3!$C$24,Parametri_v3!$C$25+Ipotesi!G14*12)),MAX(0,(IF(16-(INT((Ipotesi!$C$91)/30))&lt;1,0,INDEX(Motore_Operativo!$BN$245:$BN$304,MAX(1,16-(INT((Ipotesi!$C$91)/30)))))*(1-(MOD((Ipotesi!$C$91),30)/30))+IF(16-(INT((Ipotesi!$C$91)/30))-1&lt;1,0,INDEX(Motore_Operativo!$BN$245:$BN$304,MAX(1,16-(INT((Ipotesi!$C$91)/30))-1)))*(MOD((Ipotesi!$C$91),30)/30)))*Piano_SS!$D$7,0))</f>
        <v>0</v>
      </c>
      <c r="BX260" s="15" t="n">
        <f aca="false">MIN(Piano_SS!$C$8,(BX259)+IF(AND(Motore_Operativo!C260&gt;=EDATE(Parametri_v3!$C$24,Ipotesi!G14*12),Motore_Operativo!C260&lt;EDATE(Parametri_v3!$C$24,Parametri_v3!$C$25+Ipotesi!G14*12)),MAX(0,Motore_Operativo!CE260)*Piano_SS!$D$8,0))</f>
        <v>0</v>
      </c>
      <c r="BY260" s="15" t="n">
        <f aca="false">MIN(Piano_SS!$C$9,(BY259)+IF(AND(Motore_Operativo!C260&gt;=EDATE(Parametri_v3!$C$24,Ipotesi!G14*12),Motore_Operativo!C260&lt;EDATE(Parametri_v3!$C$24,Parametri_v3!$C$25+Ipotesi!G14*12)),MAX(0,((IF(16-(INT((Ipotesi!$C$91)/30))&lt;1,0,INDEX(Motore_Operativo!$BQ$245:$BQ$304,MAX(1,16-(INT((Ipotesi!$C$91)/30)))))*(1-(MOD((Ipotesi!$C$91),30)/30))+IF(16-(INT((Ipotesi!$C$91)/30))-1&lt;1,0,INDEX(Motore_Operativo!$BQ$245:$BQ$304,MAX(1,16-(INT((Ipotesi!$C$91)/30))-1)))*(MOD((Ipotesi!$C$91),30)/30))+(IF(16-(INT((Ipotesi!$C$91)/30))&lt;1,0,INDEX(Motore_Operativo!$BR$245:$BR$304,MAX(1,16-(INT((Ipotesi!$C$91)/30)))))*(1-(MOD((Ipotesi!$C$91),30)/30))+IF(16-(INT((Ipotesi!$C$91)/30))-1&lt;1,0,INDEX(Motore_Operativo!$BR$245:$BR$304,MAX(1,16-(INT((Ipotesi!$C$91)/30))-1)))*(MOD((Ipotesi!$C$91),30)/30))))*Piano_SS!$D$9,0))</f>
        <v>0</v>
      </c>
      <c r="BZ260" s="15" t="n">
        <f aca="false">MIN(Piano_SS!$C$10,(BZ259)+IF(AND(Motore_Operativo!C260&gt;=EDATE(Parametri_v3!$C$24,Ipotesi!G14*12),Motore_Operativo!C260&lt;EDATE(Parametri_v3!$C$24,Parametri_v3!$C$25+Ipotesi!G14*12)),MAX(0,(IF(16-(INT((Ipotesi!$C$91)/30))&lt;1,0,INDEX(Motore_Operativo!$BO$245:$BO$304,MAX(1,16-(INT((Ipotesi!$C$91)/30)))))*(1-(MOD((Ipotesi!$C$91),30)/30))+IF(16-(INT((Ipotesi!$C$91)/30))-1&lt;1,0,INDEX(Motore_Operativo!$BO$245:$BO$304,MAX(1,16-(INT((Ipotesi!$C$91)/30))-1)))*(MOD((Ipotesi!$C$91),30)/30)))*Piano_SS!$D$10,0))</f>
        <v>0</v>
      </c>
      <c r="CA260" s="15" t="n">
        <f aca="false">SUM(BV260:BZ260)</f>
        <v>0</v>
      </c>
      <c r="CB260" s="15" t="n">
        <f aca="false">BV260*(1-Piano_SS!$E$6)+BW260*(1-Piano_SS!$E$7)+BX260*(1-Piano_SS!$E$8)+BY260*(1-Piano_SS!$E$9)+BZ260*(1-Piano_SS!$E$10)</f>
        <v>0</v>
      </c>
      <c r="CC260" s="15" t="n">
        <f aca="false">(CC259)+BA260</f>
        <v>0</v>
      </c>
      <c r="CD260" s="15" t="n">
        <f aca="false">IF(CA260=0,0,CC260*CB260/CA260*Ipotesi!$C$103*Parametri_v3!$C$64)</f>
        <v>0</v>
      </c>
      <c r="CE260" s="18" t="n">
        <f aca="false">IF(BA260&gt;0,Motore_Operativo!C260,(CE259))</f>
        <v>0</v>
      </c>
      <c r="CF260" s="18" t="n">
        <f aca="false">IF(AND(CC260&gt;0,OR(CC260&gt;=CG260-0.01,Motore_Operativo!C260&gt;=EDATE(MAX(Finanziamenti!$D$15:$D$17),Ipotesi!G14*12))),CE260,0)</f>
        <v>0</v>
      </c>
      <c r="CG260" s="15" t="n">
        <f aca="false">IF(AND(5&lt;&gt;6,5&lt;&gt;9,Finanziamenti!$F$11=1,OR(Parametri_v3!$C$6=0,Finanziamenti!$E$11=1)),MIN(Finanziamenti!$C$11,Piano_SS!$C$12*Ipotesi!$C$102),0)</f>
        <v>400000</v>
      </c>
      <c r="CH260" s="15" t="n">
        <f aca="false">IF(AND(AND(5&lt;&gt;8,5&lt;&gt;9,Finanziamenti!$F$10=1,OR(Parametri_v3!$C$6=0,Finanziamenti!$E$10=1)),Motore_Operativo!C260&gt;=Finanziamenti!$D$10,Motore_Operativo!C260&lt;Parametri_v3!$C$63),Finanziamenti!$C$10,0)</f>
        <v>150000</v>
      </c>
    </row>
    <row r="261" customFormat="false" ht="18" hidden="false" customHeight="true" outlineLevel="0" collapsed="false">
      <c r="A261" s="68" t="n">
        <f aca="false">5</f>
        <v>5</v>
      </c>
      <c r="B261" s="68" t="n">
        <f aca="false">17</f>
        <v>17</v>
      </c>
      <c r="C261" s="18" t="n">
        <f aca="false">Motore_Operativo!C261</f>
        <v>46874</v>
      </c>
      <c r="D261" s="68" t="n">
        <f aca="false">Motore_Operativo!D261</f>
        <v>2028</v>
      </c>
      <c r="E261" s="68" t="n">
        <f aca="false">Motore_Operativo!E261</f>
        <v>5</v>
      </c>
      <c r="F261" s="15" t="n">
        <f aca="false">Motore_Operativo!AQ261+Motore_Operativo!BF261</f>
        <v>11332.62587233</v>
      </c>
      <c r="G261" s="15" t="n">
        <f aca="false">Motore_Operativo!BH261</f>
        <v>1682.07042253521</v>
      </c>
      <c r="H261" s="15" t="n">
        <f aca="false">Motore_Operativo!BI261</f>
        <v>13014.6962948652</v>
      </c>
      <c r="I261" s="15" t="n">
        <f aca="false">Motore_Operativo!CA261</f>
        <v>29852.2464014689</v>
      </c>
      <c r="J261" s="15" t="n">
        <f aca="false">Motore_Operativo!CC261</f>
        <v>-16837.5501066037</v>
      </c>
      <c r="K261" s="15" t="n">
        <f aca="false">Motore_Operativo!CE261</f>
        <v>2083.33333333333</v>
      </c>
      <c r="L261" s="15" t="n">
        <f aca="false">SUM(INDEX($K$245:$K$304,MAX(1,17-Parametri_v3!$C$59+1)):K261)/Parametri_v3!$C$59</f>
        <v>844.907407407407</v>
      </c>
      <c r="M261" s="15" t="n">
        <f aca="false">J261-L261</f>
        <v>-17682.4575140112</v>
      </c>
      <c r="N261" s="15" t="n">
        <f aca="false">CD261-(CD260)</f>
        <v>0</v>
      </c>
      <c r="O261" s="15" t="n">
        <f aca="false">(BG260)*Ipotesi!$C$110/12+CH261*Parametri_v3!$C$39/12</f>
        <v>750</v>
      </c>
      <c r="P261" s="15" t="n">
        <f aca="false">M261+N261-O261</f>
        <v>-18432.4575140112</v>
      </c>
      <c r="Q261" s="15" t="n">
        <f aca="false">SUM(P257:P261)+Parametri_v3!$C$54*5/12</f>
        <v>-91566.6162205542</v>
      </c>
      <c r="R261" s="15" t="n">
        <f aca="false">Z256</f>
        <v>147912.400053826</v>
      </c>
      <c r="S261" s="15" t="n">
        <f aca="false">AA256</f>
        <v>0</v>
      </c>
      <c r="T261" s="15" t="n">
        <f aca="false">MIN(R261,MAX(0,Q261))</f>
        <v>0</v>
      </c>
      <c r="U261" s="15" t="n">
        <f aca="false">MIN(S261,MAX(0,Q261-T261)*Parametri_v3!$C$42)</f>
        <v>0</v>
      </c>
      <c r="V261" s="15" t="n">
        <f aca="false">MAX(0,Q261-T261-U261)*Ipotesi!$C$92</f>
        <v>0</v>
      </c>
      <c r="W261" s="15" t="n">
        <f aca="false">MAX(0,SUM(M257:M261)+Parametri_v3!$C$55*5/12)*Ipotesi!$C$93</f>
        <v>0</v>
      </c>
      <c r="X261" s="15" t="n">
        <f aca="false">V261+W261-(V260+W260)</f>
        <v>0</v>
      </c>
      <c r="Y261" s="15" t="n">
        <f aca="false">P261-X261</f>
        <v>-18432.4575140112</v>
      </c>
      <c r="Z261" s="15" t="n">
        <f aca="false">R261-T261+IF(AND(Parametri_v3!$C$40=1,D261-YEAR(Parametri_v3!$C$50)&lt;Parametri_v3!$C$41),MAX(0,-Q261),0)</f>
        <v>239479.01627438</v>
      </c>
      <c r="AA261" s="15" t="n">
        <f aca="false">S261-U261+IF(AND(Parametri_v3!$C$40=1,D261-YEAR(Parametri_v3!$C$50)&lt;Parametri_v3!$C$41),0,MAX(0,-Q261))</f>
        <v>0</v>
      </c>
      <c r="AB261" s="15" t="n">
        <f aca="false">F261*(1+Parametri_v3!$C$26)</f>
        <v>13825.8035642426</v>
      </c>
      <c r="AC261" s="15" t="n">
        <f aca="false">(IF(17-(INT((Motore_Operativo!L261)/30))&lt;1,0,INDEX(Motore_Startup!$AB$245:$AB$304,MAX(1,17-(INT((Motore_Operativo!L261)/30)))))*(1-(MOD((Motore_Operativo!L261),30)/30))+IF(17-(INT((Motore_Operativo!L261)/30))-1&lt;1,0,INDEX(Motore_Startup!$AB$245:$AB$304,MAX(1,17-(INT((Motore_Operativo!L261)/30))-1)))*(MOD((Motore_Operativo!L261),30)/30))</f>
        <v>13355.2889097656</v>
      </c>
      <c r="AD261" s="15" t="n">
        <f aca="false">(AD260)+AB261-AC261</f>
        <v>54384.1151410478</v>
      </c>
      <c r="AE261" s="15" t="n">
        <f aca="false">Motore_Operativo!BH261*(1+Parametri_v3!$C$26)</f>
        <v>2052.12591549296</v>
      </c>
      <c r="AF261" s="15" t="n">
        <f aca="false">(IF(17-(INT((Parametri_v3!$C$29)/30))&lt;1,0,INDEX(Motore_Operativo!$BH$245:$BH$304,MAX(1,17-(INT((Parametri_v3!$C$29)/30)))))*(1-(MOD((Parametri_v3!$C$29),30)/30))+IF(17-(INT((Parametri_v3!$C$29)/30))-1&lt;1,0,INDEX(Motore_Operativo!$BH$245:$BH$304,MAX(1,17-(INT((Parametri_v3!$C$29)/30))-1)))*(MOD((Parametri_v3!$C$29),30)/30))*(1+Parametri_v3!$C$26)</f>
        <v>2052.12591549296</v>
      </c>
      <c r="AG261" s="15" t="n">
        <f aca="false">(AG260)+AE261-AF261</f>
        <v>2052.12591549296</v>
      </c>
      <c r="AH261" s="15" t="n">
        <f aca="false">(Motore_Operativo!CJ261)*(1+Parametri_v3!$C$27*Parametri_v3!$C$26)</f>
        <v>11318.4858535436</v>
      </c>
      <c r="AI261" s="15" t="n">
        <f aca="false">(IF(17-(INT((Ipotesi!$C$91)/30))&lt;1,0,INDEX(Motore_Startup!$AH$245:$AH$304,MAX(1,17-(INT((Ipotesi!$C$91)/30)))))*(1-(MOD((Ipotesi!$C$91),30)/30))+IF(17-(INT((Ipotesi!$C$91)/30))-1&lt;1,0,INDEX(Motore_Startup!$AH$245:$AH$304,MAX(1,17-(INT((Ipotesi!$C$91)/30))-1)))*(MOD((Ipotesi!$C$91),30)/30))</f>
        <v>11273.9645860574</v>
      </c>
      <c r="AJ261" s="15" t="n">
        <f aca="false">(AJ260)+AH261-AI261</f>
        <v>22610.5624343934</v>
      </c>
      <c r="AK261" s="15" t="n">
        <f aca="false">(F261+ Motore_Operativo!BH261-(Motore_Operativo!CJ261)*Parametri_v3!$C$27-Motore_Operativo!CE261)*Parametri_v3!$C$26</f>
        <v>621.785399462319</v>
      </c>
      <c r="AL261" s="15" t="n">
        <f aca="false">MAX(0,(AM260))</f>
        <v>0</v>
      </c>
      <c r="AM261" s="15" t="n">
        <f aca="false">(AM260)+AK261-AL261</f>
        <v>-3056.78808147265</v>
      </c>
      <c r="AN261" s="15" t="n">
        <f aca="false">SUM(X245:X256)</f>
        <v>0</v>
      </c>
      <c r="AO261" s="15" t="n">
        <f aca="false">SUM(AP245:AP256)</f>
        <v>0</v>
      </c>
      <c r="AP261" s="15" t="n">
        <f aca="false">MAX(0,AN261)*IF(5=Parametri_v3!$C$43,Parametri_v3!$C$45,IF(5=Parametri_v3!$C$44,1-Parametri_v3!$C$45,0))</f>
        <v>0</v>
      </c>
      <c r="AQ261" s="15" t="n">
        <f aca="false">MAX(0,AP261+IF(5=Parametri_v3!$C$43,MAX(0,AN261-AO261),0)-MAX(0,-(AR260)))</f>
        <v>0</v>
      </c>
      <c r="AR261" s="15" t="n">
        <f aca="false">(AR260)+X261-AQ261</f>
        <v>0</v>
      </c>
      <c r="AS261" s="15" t="n">
        <f aca="false">Motore_Operativo!AB261-AT261+AU261</f>
        <v>19301.03125</v>
      </c>
      <c r="AT261" s="15" t="n">
        <f aca="false">Motore_Operativo!CH261</f>
        <v>1015.84375</v>
      </c>
      <c r="AU261" s="15" t="n">
        <f aca="false">MIN(MAX(0,(AV260)+AT261),Parametri_v3!$C$60/12)</f>
        <v>0</v>
      </c>
      <c r="AV261" s="15" t="n">
        <f aca="false">(AV260)+AT261-AU261</f>
        <v>11366.71875</v>
      </c>
      <c r="AW261" s="15" t="n">
        <f aca="false">IF(AND(Motore_Operativo!C261=Finanziamenti!$D$6,Finanziamenti!$F$6=1),Finanziamenti!$C$6,0)</f>
        <v>0</v>
      </c>
      <c r="AX261" s="15" t="n">
        <f aca="false">IF(AND(5&lt;&gt;7,5&lt;&gt;9,Finanziamenti!$F$8=1,OR(Parametri_v3!$C$6=0,Finanziamenti!$E$8=1),Motore_Operativo!C261=EDATE(Finanziamenti!$D$8,Ipotesi!G15*12)),Finanziamenti!$C$8*1,0)+IF(AND(5&lt;&gt;7,5&lt;&gt;9,Finanziamenti!$F$9=1,OR(Parametri_v3!$C$6=0,Finanziamenti!$E$9=1),Motore_Operativo!C261=EDATE(Finanziamenti!$D$9,Ipotesi!G15*12)),Finanziamenti!$C$9*Ipotesi!G16,0)</f>
        <v>0</v>
      </c>
      <c r="AY261" s="15" t="n">
        <f aca="false">0</f>
        <v>0</v>
      </c>
      <c r="AZ261" s="15" t="n">
        <f aca="false">Motore_Advisory!AY261*(1-Ipotesi!$C$95)*Ipotesi!$C$96</f>
        <v>0</v>
      </c>
      <c r="BA261" s="15" t="n">
        <f aca="false">MAX(0,MIN(CG261*MIN(1,IF(Motore_Operativo!C261&gt;=EDATE(Finanziamenti!$D$15,Ipotesi!G14*12),Finanziamenti!$C$15,0)+IF(Motore_Operativo!C261&gt;=EDATE(Finanziamenti!$D$16,Ipotesi!G14*12),Finanziamenti!$C$16,0)+IF(Motore_Operativo!C261&gt;=EDATE(Finanziamenti!$D$17,Ipotesi!G14*12),Finanziamenti!$C$17,0)),CA261*Ipotesi!$C$102)-(CC260))</f>
        <v>0</v>
      </c>
      <c r="BB261" s="15" t="n">
        <f aca="false">IF(AND(CF261&gt;0,Motore_Operativo!C261&gt;=IF(CF261=0,0,EDATE(CF261,Parametri_v3!$C$37)),MOD(((D261-YEAR(IF(CF261=0,0,EDATE(CF261,Parametri_v3!$C$37))))*12+E261-MONTH(IF(CF261=0,0,EDATE(CF261,Parametri_v3!$C$37)))),Parametri_v3!$C$38)=0),MIN(MAX(0,(BC260)+BA261-N261),(CC261-CD261)/(Ipotesi!$C$108*12/Parametri_v3!$C$38)),0)</f>
        <v>0</v>
      </c>
      <c r="BC261" s="15" t="n">
        <f aca="false">(BC260)+BA261-N261-BB261</f>
        <v>0</v>
      </c>
      <c r="BD261" s="15" t="n">
        <f aca="false">(BH260)+AC261+AF261-AI261-AS261-K261*(1+Parametri_v3!$C$26)-AL261-AQ261-O261+AW261+AX261+AZ261+BA261-BB261</f>
        <v>-8154.48645022185</v>
      </c>
      <c r="BE261" s="15" t="n">
        <f aca="false">MAX(0,MIN(MAX(0,CH261-(BG260)),Parametri_v3!$C$30-BD261))</f>
        <v>0</v>
      </c>
      <c r="BF261" s="15" t="n">
        <f aca="false">IF(Motore_Operativo!C261&gt;=Parametri_v3!$C$63,(BG260),MIN((BG260),MAX(0,BD261-Parametri_v3!$C$30)))</f>
        <v>0</v>
      </c>
      <c r="BG261" s="15" t="n">
        <f aca="false">(BG260)+BE261-BF261</f>
        <v>150000</v>
      </c>
      <c r="BH261" s="15" t="n">
        <f aca="false">BD261+BE261-BF261-AY261</f>
        <v>-8154.48645022185</v>
      </c>
      <c r="BI261" s="15" t="n">
        <f aca="false">MAX(0,Parametri_v3!$C$30-BH261)</f>
        <v>33154.4864502219</v>
      </c>
      <c r="BJ261" s="15" t="n">
        <f aca="false">(BJ260)+K261</f>
        <v>30416.6666666667</v>
      </c>
      <c r="BK261" s="15" t="n">
        <f aca="false">(BK260)+L261</f>
        <v>7256.94444444445</v>
      </c>
      <c r="BL261" s="15" t="n">
        <f aca="false">BJ261-BK261</f>
        <v>23159.7222222222</v>
      </c>
      <c r="BM261" s="15" t="n">
        <f aca="false">(BM260)+Y261</f>
        <v>-239479.01627438</v>
      </c>
      <c r="BN261" s="15" t="n">
        <f aca="false">(BN260)+AW261+AX261+AZ261</f>
        <v>130000</v>
      </c>
      <c r="BO261" s="15" t="n">
        <f aca="false">(BO260)+AY261</f>
        <v>0</v>
      </c>
      <c r="BP261" s="15" t="n">
        <f aca="false">0</f>
        <v>0</v>
      </c>
      <c r="BQ261" s="15" t="n">
        <f aca="false">BN261+BM261-BO261</f>
        <v>-109479.01627438</v>
      </c>
      <c r="BR261" s="15" t="n">
        <f aca="false">BH261+AD261+BL261+MAX(0,-AM261)+MAX(0,-AR261)+AG261</f>
        <v>74498.2649100138</v>
      </c>
      <c r="BS261" s="15" t="n">
        <f aca="false">AJ261+AV261+MAX(0,AM261)+MAX(0,AR261)+BC261+BG261+BQ261</f>
        <v>74498.2649100137</v>
      </c>
      <c r="BT261" s="15" t="n">
        <f aca="false">BR261-BS261</f>
        <v>0</v>
      </c>
      <c r="BU261" s="15" t="n">
        <f aca="false">BH261-(BD261+BE261-BF261-AY261)</f>
        <v>0</v>
      </c>
      <c r="BV261" s="15" t="n">
        <f aca="false">MIN(Piano_SS!$C$6,(BV260)+IF(AND(Motore_Operativo!C261&gt;=EDATE(Parametri_v3!$C$24,Ipotesi!G14*12),Motore_Operativo!C261&lt;EDATE(Parametri_v3!$C$24,Parametri_v3!$C$25+Ipotesi!G14*12)),MAX(0,(Motore_Operativo!Y261+Motore_Operativo!X261*Parametri_v3!$C$14)*(1-Parametri_v3!$C$32))*Piano_SS!$D$6,0))</f>
        <v>0</v>
      </c>
      <c r="BW261" s="15" t="n">
        <f aca="false">MIN(Piano_SS!$C$7,(BW260)+IF(AND(Motore_Operativo!C261&gt;=EDATE(Parametri_v3!$C$24,Ipotesi!G14*12),Motore_Operativo!C261&lt;EDATE(Parametri_v3!$C$24,Parametri_v3!$C$25+Ipotesi!G14*12)),MAX(0,(IF(17-(INT((Ipotesi!$C$91)/30))&lt;1,0,INDEX(Motore_Operativo!$BN$245:$BN$304,MAX(1,17-(INT((Ipotesi!$C$91)/30)))))*(1-(MOD((Ipotesi!$C$91),30)/30))+IF(17-(INT((Ipotesi!$C$91)/30))-1&lt;1,0,INDEX(Motore_Operativo!$BN$245:$BN$304,MAX(1,17-(INT((Ipotesi!$C$91)/30))-1)))*(MOD((Ipotesi!$C$91),30)/30)))*Piano_SS!$D$7,0))</f>
        <v>0</v>
      </c>
      <c r="BX261" s="15" t="n">
        <f aca="false">MIN(Piano_SS!$C$8,(BX260)+IF(AND(Motore_Operativo!C261&gt;=EDATE(Parametri_v3!$C$24,Ipotesi!G14*12),Motore_Operativo!C261&lt;EDATE(Parametri_v3!$C$24,Parametri_v3!$C$25+Ipotesi!G14*12)),MAX(0,Motore_Operativo!CE261)*Piano_SS!$D$8,0))</f>
        <v>0</v>
      </c>
      <c r="BY261" s="15" t="n">
        <f aca="false">MIN(Piano_SS!$C$9,(BY260)+IF(AND(Motore_Operativo!C261&gt;=EDATE(Parametri_v3!$C$24,Ipotesi!G14*12),Motore_Operativo!C261&lt;EDATE(Parametri_v3!$C$24,Parametri_v3!$C$25+Ipotesi!G14*12)),MAX(0,((IF(17-(INT((Ipotesi!$C$91)/30))&lt;1,0,INDEX(Motore_Operativo!$BQ$245:$BQ$304,MAX(1,17-(INT((Ipotesi!$C$91)/30)))))*(1-(MOD((Ipotesi!$C$91),30)/30))+IF(17-(INT((Ipotesi!$C$91)/30))-1&lt;1,0,INDEX(Motore_Operativo!$BQ$245:$BQ$304,MAX(1,17-(INT((Ipotesi!$C$91)/30))-1)))*(MOD((Ipotesi!$C$91),30)/30))+(IF(17-(INT((Ipotesi!$C$91)/30))&lt;1,0,INDEX(Motore_Operativo!$BR$245:$BR$304,MAX(1,17-(INT((Ipotesi!$C$91)/30)))))*(1-(MOD((Ipotesi!$C$91),30)/30))+IF(17-(INT((Ipotesi!$C$91)/30))-1&lt;1,0,INDEX(Motore_Operativo!$BR$245:$BR$304,MAX(1,17-(INT((Ipotesi!$C$91)/30))-1)))*(MOD((Ipotesi!$C$91),30)/30))))*Piano_SS!$D$9,0))</f>
        <v>0</v>
      </c>
      <c r="BZ261" s="15" t="n">
        <f aca="false">MIN(Piano_SS!$C$10,(BZ260)+IF(AND(Motore_Operativo!C261&gt;=EDATE(Parametri_v3!$C$24,Ipotesi!G14*12),Motore_Operativo!C261&lt;EDATE(Parametri_v3!$C$24,Parametri_v3!$C$25+Ipotesi!G14*12)),MAX(0,(IF(17-(INT((Ipotesi!$C$91)/30))&lt;1,0,INDEX(Motore_Operativo!$BO$245:$BO$304,MAX(1,17-(INT((Ipotesi!$C$91)/30)))))*(1-(MOD((Ipotesi!$C$91),30)/30))+IF(17-(INT((Ipotesi!$C$91)/30))-1&lt;1,0,INDEX(Motore_Operativo!$BO$245:$BO$304,MAX(1,17-(INT((Ipotesi!$C$91)/30))-1)))*(MOD((Ipotesi!$C$91),30)/30)))*Piano_SS!$D$10,0))</f>
        <v>0</v>
      </c>
      <c r="CA261" s="15" t="n">
        <f aca="false">SUM(BV261:BZ261)</f>
        <v>0</v>
      </c>
      <c r="CB261" s="15" t="n">
        <f aca="false">BV261*(1-Piano_SS!$E$6)+BW261*(1-Piano_SS!$E$7)+BX261*(1-Piano_SS!$E$8)+BY261*(1-Piano_SS!$E$9)+BZ261*(1-Piano_SS!$E$10)</f>
        <v>0</v>
      </c>
      <c r="CC261" s="15" t="n">
        <f aca="false">(CC260)+BA261</f>
        <v>0</v>
      </c>
      <c r="CD261" s="15" t="n">
        <f aca="false">IF(CA261=0,0,CC261*CB261/CA261*Ipotesi!$C$103*Parametri_v3!$C$64)</f>
        <v>0</v>
      </c>
      <c r="CE261" s="18" t="n">
        <f aca="false">IF(BA261&gt;0,Motore_Operativo!C261,(CE260))</f>
        <v>0</v>
      </c>
      <c r="CF261" s="18" t="n">
        <f aca="false">IF(AND(CC261&gt;0,OR(CC261&gt;=CG261-0.01,Motore_Operativo!C261&gt;=EDATE(MAX(Finanziamenti!$D$15:$D$17),Ipotesi!G14*12))),CE261,0)</f>
        <v>0</v>
      </c>
      <c r="CG261" s="15" t="n">
        <f aca="false">IF(AND(5&lt;&gt;6,5&lt;&gt;9,Finanziamenti!$F$11=1,OR(Parametri_v3!$C$6=0,Finanziamenti!$E$11=1)),MIN(Finanziamenti!$C$11,Piano_SS!$C$12*Ipotesi!$C$102),0)</f>
        <v>400000</v>
      </c>
      <c r="CH261" s="15" t="n">
        <f aca="false">IF(AND(AND(5&lt;&gt;8,5&lt;&gt;9,Finanziamenti!$F$10=1,OR(Parametri_v3!$C$6=0,Finanziamenti!$E$10=1)),Motore_Operativo!C261&gt;=Finanziamenti!$D$10,Motore_Operativo!C261&lt;Parametri_v3!$C$63),Finanziamenti!$C$10,0)</f>
        <v>150000</v>
      </c>
    </row>
    <row r="262" customFormat="false" ht="18" hidden="false" customHeight="true" outlineLevel="0" collapsed="false">
      <c r="A262" s="68" t="n">
        <f aca="false">5</f>
        <v>5</v>
      </c>
      <c r="B262" s="68" t="n">
        <f aca="false">18</f>
        <v>18</v>
      </c>
      <c r="C262" s="18" t="n">
        <f aca="false">Motore_Operativo!C262</f>
        <v>46905</v>
      </c>
      <c r="D262" s="68" t="n">
        <f aca="false">Motore_Operativo!D262</f>
        <v>2028</v>
      </c>
      <c r="E262" s="68" t="n">
        <f aca="false">Motore_Operativo!E262</f>
        <v>6</v>
      </c>
      <c r="F262" s="15" t="n">
        <f aca="false">Motore_Operativo!AQ262+Motore_Operativo!BF262</f>
        <v>11490.1563399331</v>
      </c>
      <c r="G262" s="15" t="n">
        <f aca="false">Motore_Operativo!BH262</f>
        <v>1682.07042253521</v>
      </c>
      <c r="H262" s="15" t="n">
        <f aca="false">Motore_Operativo!BI262</f>
        <v>13172.2267624683</v>
      </c>
      <c r="I262" s="15" t="n">
        <f aca="false">Motore_Operativo!CA262</f>
        <v>29874.3006669334</v>
      </c>
      <c r="J262" s="15" t="n">
        <f aca="false">Motore_Operativo!CC262</f>
        <v>-16702.073904465</v>
      </c>
      <c r="K262" s="15" t="n">
        <f aca="false">Motore_Operativo!CE262</f>
        <v>2083.33333333333</v>
      </c>
      <c r="L262" s="15" t="n">
        <f aca="false">SUM(INDEX($K$245:$K$304,MAX(1,18-Parametri_v3!$C$59+1)):K262)/Parametri_v3!$C$59</f>
        <v>902.777777777778</v>
      </c>
      <c r="M262" s="15" t="n">
        <f aca="false">J262-L262</f>
        <v>-17604.8516822428</v>
      </c>
      <c r="N262" s="15" t="n">
        <f aca="false">CD262-(CD261)</f>
        <v>0</v>
      </c>
      <c r="O262" s="15" t="n">
        <f aca="false">(BG261)*Ipotesi!$C$110/12+CH262*Parametri_v3!$C$39/12</f>
        <v>750</v>
      </c>
      <c r="P262" s="15" t="n">
        <f aca="false">M262+N262-O262</f>
        <v>-18354.8516822428</v>
      </c>
      <c r="Q262" s="15" t="n">
        <f aca="false">SUM(P257:P262)+Parametri_v3!$C$54*6/12</f>
        <v>-109921.467902797</v>
      </c>
      <c r="R262" s="15" t="n">
        <f aca="false">Z256</f>
        <v>147912.400053826</v>
      </c>
      <c r="S262" s="15" t="n">
        <f aca="false">AA256</f>
        <v>0</v>
      </c>
      <c r="T262" s="15" t="n">
        <f aca="false">MIN(R262,MAX(0,Q262))</f>
        <v>0</v>
      </c>
      <c r="U262" s="15" t="n">
        <f aca="false">MIN(S262,MAX(0,Q262-T262)*Parametri_v3!$C$42)</f>
        <v>0</v>
      </c>
      <c r="V262" s="15" t="n">
        <f aca="false">MAX(0,Q262-T262-U262)*Ipotesi!$C$92</f>
        <v>0</v>
      </c>
      <c r="W262" s="15" t="n">
        <f aca="false">MAX(0,SUM(M257:M262)+Parametri_v3!$C$55*6/12)*Ipotesi!$C$93</f>
        <v>0</v>
      </c>
      <c r="X262" s="15" t="n">
        <f aca="false">V262+W262-(V261+W261)</f>
        <v>0</v>
      </c>
      <c r="Y262" s="15" t="n">
        <f aca="false">P262-X262</f>
        <v>-18354.8516822428</v>
      </c>
      <c r="Z262" s="15" t="n">
        <f aca="false">R262-T262+IF(AND(Parametri_v3!$C$40=1,D262-YEAR(Parametri_v3!$C$50)&lt;Parametri_v3!$C$41),MAX(0,-Q262),0)</f>
        <v>257833.867956623</v>
      </c>
      <c r="AA262" s="15" t="n">
        <f aca="false">S262-U262+IF(AND(Parametri_v3!$C$40=1,D262-YEAR(Parametri_v3!$C$50)&lt;Parametri_v3!$C$41),0,MAX(0,-Q262))</f>
        <v>0</v>
      </c>
      <c r="AB262" s="15" t="n">
        <f aca="false">F262*(1+Parametri_v3!$C$26)</f>
        <v>14017.9907347184</v>
      </c>
      <c r="AC262" s="15" t="n">
        <f aca="false">(IF(18-(INT((Motore_Operativo!L262)/30))&lt;1,0,INDEX(Motore_Startup!$AB$245:$AB$304,MAX(1,18-(INT((Motore_Operativo!L262)/30)))))*(1-(MOD((Motore_Operativo!L262),30)/30))+IF(18-(INT((Motore_Operativo!L262)/30))-1&lt;1,0,INDEX(Motore_Startup!$AB$245:$AB$304,MAX(1,18-(INT((Motore_Operativo!L262)/30))-1)))*(MOD((Motore_Operativo!L262),30)/30))</f>
        <v>13427.4365401455</v>
      </c>
      <c r="AD262" s="15" t="n">
        <f aca="false">(AD261)+AB262-AC262</f>
        <v>54974.6693356206</v>
      </c>
      <c r="AE262" s="15" t="n">
        <f aca="false">Motore_Operativo!BH262*(1+Parametri_v3!$C$26)</f>
        <v>2052.12591549296</v>
      </c>
      <c r="AF262" s="15" t="n">
        <f aca="false">(IF(18-(INT((Parametri_v3!$C$29)/30))&lt;1,0,INDEX(Motore_Operativo!$BH$245:$BH$304,MAX(1,18-(INT((Parametri_v3!$C$29)/30)))))*(1-(MOD((Parametri_v3!$C$29),30)/30))+IF(18-(INT((Parametri_v3!$C$29)/30))-1&lt;1,0,INDEX(Motore_Operativo!$BH$245:$BH$304,MAX(1,18-(INT((Parametri_v3!$C$29)/30))-1)))*(MOD((Parametri_v3!$C$29),30)/30))*(1+Parametri_v3!$C$26)</f>
        <v>2052.12591549296</v>
      </c>
      <c r="AG262" s="15" t="n">
        <f aca="false">(AG261)+AE262-AF262</f>
        <v>2052.12591549296</v>
      </c>
      <c r="AH262" s="15" t="n">
        <f aca="false">(Motore_Operativo!CJ262)*(1+Parametri_v3!$C$27*Parametri_v3!$C$26)</f>
        <v>11344.6642666499</v>
      </c>
      <c r="AI262" s="15" t="n">
        <f aca="false">(IF(18-(INT((Ipotesi!$C$91)/30))&lt;1,0,INDEX(Motore_Startup!$AH$245:$AH$304,MAX(1,18-(INT((Ipotesi!$C$91)/30)))))*(1-(MOD((Ipotesi!$C$91),30)/30))+IF(18-(INT((Ipotesi!$C$91)/30))-1&lt;1,0,INDEX(Motore_Startup!$AH$245:$AH$304,MAX(1,18-(INT((Ipotesi!$C$91)/30))-1)))*(MOD((Ipotesi!$C$91),30)/30))</f>
        <v>11292.0765808498</v>
      </c>
      <c r="AJ262" s="15" t="n">
        <f aca="false">(AJ261)+AH262-AI262</f>
        <v>22663.1501201935</v>
      </c>
      <c r="AK262" s="15" t="n">
        <f aca="false">(F262+ Motore_Operativo!BH262-(Motore_Operativo!CJ262)*Parametri_v3!$C$27-Motore_Operativo!CE262)*Parametri_v3!$C$26</f>
        <v>652.317954693165</v>
      </c>
      <c r="AL262" s="15" t="n">
        <f aca="false">MAX(0,(AM261))</f>
        <v>0</v>
      </c>
      <c r="AM262" s="15" t="n">
        <f aca="false">(AM261)+AK262-AL262</f>
        <v>-2404.47012677948</v>
      </c>
      <c r="AN262" s="15" t="n">
        <f aca="false">SUM(X245:X256)</f>
        <v>0</v>
      </c>
      <c r="AO262" s="15" t="n">
        <f aca="false">SUM(AP245:AP256)</f>
        <v>0</v>
      </c>
      <c r="AP262" s="15" t="n">
        <f aca="false">MAX(0,AN262)*IF(6=Parametri_v3!$C$43,Parametri_v3!$C$45,IF(6=Parametri_v3!$C$44,1-Parametri_v3!$C$45,0))</f>
        <v>0</v>
      </c>
      <c r="AQ262" s="15" t="n">
        <f aca="false">MAX(0,AP262+IF(6=Parametri_v3!$C$43,MAX(0,AN262-AO262),0)-MAX(0,-(AR261)))</f>
        <v>0</v>
      </c>
      <c r="AR262" s="15" t="n">
        <f aca="false">(AR261)+X262-AQ262</f>
        <v>0</v>
      </c>
      <c r="AS262" s="15" t="n">
        <f aca="false">Motore_Operativo!AB262-AT262+AU262</f>
        <v>19301.03125</v>
      </c>
      <c r="AT262" s="15" t="n">
        <f aca="false">Motore_Operativo!CH262</f>
        <v>1015.84375</v>
      </c>
      <c r="AU262" s="15" t="n">
        <f aca="false">MIN(MAX(0,(AV261)+AT262),Parametri_v3!$C$60/12)</f>
        <v>0</v>
      </c>
      <c r="AV262" s="15" t="n">
        <f aca="false">(AV261)+AT262-AU262</f>
        <v>12382.5625</v>
      </c>
      <c r="AW262" s="15" t="n">
        <f aca="false">IF(AND(Motore_Operativo!C262=Finanziamenti!$D$6,Finanziamenti!$F$6=1),Finanziamenti!$C$6,0)</f>
        <v>0</v>
      </c>
      <c r="AX262" s="15" t="n">
        <f aca="false">IF(AND(5&lt;&gt;7,5&lt;&gt;9,Finanziamenti!$F$8=1,OR(Parametri_v3!$C$6=0,Finanziamenti!$E$8=1),Motore_Operativo!C262=EDATE(Finanziamenti!$D$8,Ipotesi!G15*12)),Finanziamenti!$C$8*1,0)+IF(AND(5&lt;&gt;7,5&lt;&gt;9,Finanziamenti!$F$9=1,OR(Parametri_v3!$C$6=0,Finanziamenti!$E$9=1),Motore_Operativo!C262=EDATE(Finanziamenti!$D$9,Ipotesi!G15*12)),Finanziamenti!$C$9*Ipotesi!G16,0)</f>
        <v>0</v>
      </c>
      <c r="AY262" s="15" t="n">
        <f aca="false">0</f>
        <v>0</v>
      </c>
      <c r="AZ262" s="15" t="n">
        <f aca="false">Motore_Advisory!AY262*(1-Ipotesi!$C$95)*Ipotesi!$C$96</f>
        <v>0</v>
      </c>
      <c r="BA262" s="15" t="n">
        <f aca="false">MAX(0,MIN(CG262*MIN(1,IF(Motore_Operativo!C262&gt;=EDATE(Finanziamenti!$D$15,Ipotesi!G14*12),Finanziamenti!$C$15,0)+IF(Motore_Operativo!C262&gt;=EDATE(Finanziamenti!$D$16,Ipotesi!G14*12),Finanziamenti!$C$16,0)+IF(Motore_Operativo!C262&gt;=EDATE(Finanziamenti!$D$17,Ipotesi!G14*12),Finanziamenti!$C$17,0)),CA262*Ipotesi!$C$102)-(CC261))</f>
        <v>0</v>
      </c>
      <c r="BB262" s="15" t="n">
        <f aca="false">IF(AND(CF262&gt;0,Motore_Operativo!C262&gt;=IF(CF262=0,0,EDATE(CF262,Parametri_v3!$C$37)),MOD(((D262-YEAR(IF(CF262=0,0,EDATE(CF262,Parametri_v3!$C$37))))*12+E262-MONTH(IF(CF262=0,0,EDATE(CF262,Parametri_v3!$C$37)))),Parametri_v3!$C$38)=0),MIN(MAX(0,(BC261)+BA262-N262),(CC262-CD262)/(Ipotesi!$C$108*12/Parametri_v3!$C$38)),0)</f>
        <v>0</v>
      </c>
      <c r="BC262" s="15" t="n">
        <f aca="false">(BC261)+BA262-N262-BB262</f>
        <v>0</v>
      </c>
      <c r="BD262" s="15" t="n">
        <f aca="false">(BH261)+AC262+AF262-AI262-AS262-K262*(1+Parametri_v3!$C$26)-AL262-AQ262-O262+AW262+AX262+AZ262+BA262-BB262</f>
        <v>-26559.6984920998</v>
      </c>
      <c r="BE262" s="15" t="n">
        <f aca="false">MAX(0,MIN(MAX(0,CH262-(BG261)),Parametri_v3!$C$30-BD262))</f>
        <v>0</v>
      </c>
      <c r="BF262" s="15" t="n">
        <f aca="false">IF(Motore_Operativo!C262&gt;=Parametri_v3!$C$63,(BG261),MIN((BG261),MAX(0,BD262-Parametri_v3!$C$30)))</f>
        <v>0</v>
      </c>
      <c r="BG262" s="15" t="n">
        <f aca="false">(BG261)+BE262-BF262</f>
        <v>150000</v>
      </c>
      <c r="BH262" s="15" t="n">
        <f aca="false">BD262+BE262-BF262-AY262</f>
        <v>-26559.6984920998</v>
      </c>
      <c r="BI262" s="15" t="n">
        <f aca="false">MAX(0,Parametri_v3!$C$30-BH262)</f>
        <v>51559.6984920998</v>
      </c>
      <c r="BJ262" s="15" t="n">
        <f aca="false">(BJ261)+K262</f>
        <v>32500</v>
      </c>
      <c r="BK262" s="15" t="n">
        <f aca="false">(BK261)+L262</f>
        <v>8159.72222222222</v>
      </c>
      <c r="BL262" s="15" t="n">
        <f aca="false">BJ262-BK262</f>
        <v>24340.2777777778</v>
      </c>
      <c r="BM262" s="15" t="n">
        <f aca="false">(BM261)+Y262</f>
        <v>-257833.867956623</v>
      </c>
      <c r="BN262" s="15" t="n">
        <f aca="false">(BN261)+AW262+AX262+AZ262</f>
        <v>130000</v>
      </c>
      <c r="BO262" s="15" t="n">
        <f aca="false">(BO261)+AY262</f>
        <v>0</v>
      </c>
      <c r="BP262" s="15" t="n">
        <f aca="false">0</f>
        <v>0</v>
      </c>
      <c r="BQ262" s="15" t="n">
        <f aca="false">BN262+BM262-BO262</f>
        <v>-127833.867956623</v>
      </c>
      <c r="BR262" s="15" t="n">
        <f aca="false">BH262+AD262+BL262+MAX(0,-AM262)+MAX(0,-AR262)+AG262</f>
        <v>57211.844663571</v>
      </c>
      <c r="BS262" s="15" t="n">
        <f aca="false">AJ262+AV262+MAX(0,AM262)+MAX(0,AR262)+BC262+BG262+BQ262</f>
        <v>57211.844663571</v>
      </c>
      <c r="BT262" s="15" t="n">
        <f aca="false">BR262-BS262</f>
        <v>0</v>
      </c>
      <c r="BU262" s="15" t="n">
        <f aca="false">BH262-(BD262+BE262-BF262-AY262)</f>
        <v>0</v>
      </c>
      <c r="BV262" s="15" t="n">
        <f aca="false">MIN(Piano_SS!$C$6,(BV261)+IF(AND(Motore_Operativo!C262&gt;=EDATE(Parametri_v3!$C$24,Ipotesi!G14*12),Motore_Operativo!C262&lt;EDATE(Parametri_v3!$C$24,Parametri_v3!$C$25+Ipotesi!G14*12)),MAX(0,(Motore_Operativo!Y262+Motore_Operativo!X262*Parametri_v3!$C$14)*(1-Parametri_v3!$C$32))*Piano_SS!$D$6,0))</f>
        <v>0</v>
      </c>
      <c r="BW262" s="15" t="n">
        <f aca="false">MIN(Piano_SS!$C$7,(BW261)+IF(AND(Motore_Operativo!C262&gt;=EDATE(Parametri_v3!$C$24,Ipotesi!G14*12),Motore_Operativo!C262&lt;EDATE(Parametri_v3!$C$24,Parametri_v3!$C$25+Ipotesi!G14*12)),MAX(0,(IF(18-(INT((Ipotesi!$C$91)/30))&lt;1,0,INDEX(Motore_Operativo!$BN$245:$BN$304,MAX(1,18-(INT((Ipotesi!$C$91)/30)))))*(1-(MOD((Ipotesi!$C$91),30)/30))+IF(18-(INT((Ipotesi!$C$91)/30))-1&lt;1,0,INDEX(Motore_Operativo!$BN$245:$BN$304,MAX(1,18-(INT((Ipotesi!$C$91)/30))-1)))*(MOD((Ipotesi!$C$91),30)/30)))*Piano_SS!$D$7,0))</f>
        <v>0</v>
      </c>
      <c r="BX262" s="15" t="n">
        <f aca="false">MIN(Piano_SS!$C$8,(BX261)+IF(AND(Motore_Operativo!C262&gt;=EDATE(Parametri_v3!$C$24,Ipotesi!G14*12),Motore_Operativo!C262&lt;EDATE(Parametri_v3!$C$24,Parametri_v3!$C$25+Ipotesi!G14*12)),MAX(0,Motore_Operativo!CE262)*Piano_SS!$D$8,0))</f>
        <v>0</v>
      </c>
      <c r="BY262" s="15" t="n">
        <f aca="false">MIN(Piano_SS!$C$9,(BY261)+IF(AND(Motore_Operativo!C262&gt;=EDATE(Parametri_v3!$C$24,Ipotesi!G14*12),Motore_Operativo!C262&lt;EDATE(Parametri_v3!$C$24,Parametri_v3!$C$25+Ipotesi!G14*12)),MAX(0,((IF(18-(INT((Ipotesi!$C$91)/30))&lt;1,0,INDEX(Motore_Operativo!$BQ$245:$BQ$304,MAX(1,18-(INT((Ipotesi!$C$91)/30)))))*(1-(MOD((Ipotesi!$C$91),30)/30))+IF(18-(INT((Ipotesi!$C$91)/30))-1&lt;1,0,INDEX(Motore_Operativo!$BQ$245:$BQ$304,MAX(1,18-(INT((Ipotesi!$C$91)/30))-1)))*(MOD((Ipotesi!$C$91),30)/30))+(IF(18-(INT((Ipotesi!$C$91)/30))&lt;1,0,INDEX(Motore_Operativo!$BR$245:$BR$304,MAX(1,18-(INT((Ipotesi!$C$91)/30)))))*(1-(MOD((Ipotesi!$C$91),30)/30))+IF(18-(INT((Ipotesi!$C$91)/30))-1&lt;1,0,INDEX(Motore_Operativo!$BR$245:$BR$304,MAX(1,18-(INT((Ipotesi!$C$91)/30))-1)))*(MOD((Ipotesi!$C$91),30)/30))))*Piano_SS!$D$9,0))</f>
        <v>0</v>
      </c>
      <c r="BZ262" s="15" t="n">
        <f aca="false">MIN(Piano_SS!$C$10,(BZ261)+IF(AND(Motore_Operativo!C262&gt;=EDATE(Parametri_v3!$C$24,Ipotesi!G14*12),Motore_Operativo!C262&lt;EDATE(Parametri_v3!$C$24,Parametri_v3!$C$25+Ipotesi!G14*12)),MAX(0,(IF(18-(INT((Ipotesi!$C$91)/30))&lt;1,0,INDEX(Motore_Operativo!$BO$245:$BO$304,MAX(1,18-(INT((Ipotesi!$C$91)/30)))))*(1-(MOD((Ipotesi!$C$91),30)/30))+IF(18-(INT((Ipotesi!$C$91)/30))-1&lt;1,0,INDEX(Motore_Operativo!$BO$245:$BO$304,MAX(1,18-(INT((Ipotesi!$C$91)/30))-1)))*(MOD((Ipotesi!$C$91),30)/30)))*Piano_SS!$D$10,0))</f>
        <v>0</v>
      </c>
      <c r="CA262" s="15" t="n">
        <f aca="false">SUM(BV262:BZ262)</f>
        <v>0</v>
      </c>
      <c r="CB262" s="15" t="n">
        <f aca="false">BV262*(1-Piano_SS!$E$6)+BW262*(1-Piano_SS!$E$7)+BX262*(1-Piano_SS!$E$8)+BY262*(1-Piano_SS!$E$9)+BZ262*(1-Piano_SS!$E$10)</f>
        <v>0</v>
      </c>
      <c r="CC262" s="15" t="n">
        <f aca="false">(CC261)+BA262</f>
        <v>0</v>
      </c>
      <c r="CD262" s="15" t="n">
        <f aca="false">IF(CA262=0,0,CC262*CB262/CA262*Ipotesi!$C$103*Parametri_v3!$C$64)</f>
        <v>0</v>
      </c>
      <c r="CE262" s="18" t="n">
        <f aca="false">IF(BA262&gt;0,Motore_Operativo!C262,(CE261))</f>
        <v>0</v>
      </c>
      <c r="CF262" s="18" t="n">
        <f aca="false">IF(AND(CC262&gt;0,OR(CC262&gt;=CG262-0.01,Motore_Operativo!C262&gt;=EDATE(MAX(Finanziamenti!$D$15:$D$17),Ipotesi!G14*12))),CE262,0)</f>
        <v>0</v>
      </c>
      <c r="CG262" s="15" t="n">
        <f aca="false">IF(AND(5&lt;&gt;6,5&lt;&gt;9,Finanziamenti!$F$11=1,OR(Parametri_v3!$C$6=0,Finanziamenti!$E$11=1)),MIN(Finanziamenti!$C$11,Piano_SS!$C$12*Ipotesi!$C$102),0)</f>
        <v>400000</v>
      </c>
      <c r="CH262" s="15" t="n">
        <f aca="false">IF(AND(AND(5&lt;&gt;8,5&lt;&gt;9,Finanziamenti!$F$10=1,OR(Parametri_v3!$C$6=0,Finanziamenti!$E$10=1)),Motore_Operativo!C262&gt;=Finanziamenti!$D$10,Motore_Operativo!C262&lt;Parametri_v3!$C$63),Finanziamenti!$C$10,0)</f>
        <v>150000</v>
      </c>
    </row>
    <row r="263" customFormat="false" ht="18" hidden="false" customHeight="true" outlineLevel="0" collapsed="false">
      <c r="A263" s="68" t="n">
        <f aca="false">5</f>
        <v>5</v>
      </c>
      <c r="B263" s="68" t="n">
        <f aca="false">19</f>
        <v>19</v>
      </c>
      <c r="C263" s="18" t="n">
        <f aca="false">Motore_Operativo!C263</f>
        <v>46935</v>
      </c>
      <c r="D263" s="68" t="n">
        <f aca="false">Motore_Operativo!D263</f>
        <v>2028</v>
      </c>
      <c r="E263" s="68" t="n">
        <f aca="false">Motore_Operativo!E263</f>
        <v>7</v>
      </c>
      <c r="F263" s="15" t="n">
        <f aca="false">Motore_Operativo!AQ263+Motore_Operativo!BF263</f>
        <v>11646.309737475</v>
      </c>
      <c r="G263" s="15" t="n">
        <f aca="false">Motore_Operativo!BH263</f>
        <v>1682.07042253521</v>
      </c>
      <c r="H263" s="15" t="n">
        <f aca="false">Motore_Operativo!BI263</f>
        <v>13328.3801600102</v>
      </c>
      <c r="I263" s="15" t="n">
        <f aca="false">Motore_Operativo!CA263</f>
        <v>29896.1621425892</v>
      </c>
      <c r="J263" s="15" t="n">
        <f aca="false">Motore_Operativo!CC263</f>
        <v>-16567.781982579</v>
      </c>
      <c r="K263" s="15" t="n">
        <f aca="false">Motore_Operativo!CE263</f>
        <v>2083.33333333333</v>
      </c>
      <c r="L263" s="15" t="n">
        <f aca="false">SUM(INDEX($K$245:$K$304,MAX(1,19-Parametri_v3!$C$59+1)):K263)/Parametri_v3!$C$59</f>
        <v>960.648148148148</v>
      </c>
      <c r="M263" s="15" t="n">
        <f aca="false">J263-L263</f>
        <v>-17528.4301307272</v>
      </c>
      <c r="N263" s="15" t="n">
        <f aca="false">CD263-(CD262)</f>
        <v>0</v>
      </c>
      <c r="O263" s="15" t="n">
        <f aca="false">(BG262)*Ipotesi!$C$110/12+CH263*Parametri_v3!$C$39/12</f>
        <v>750</v>
      </c>
      <c r="P263" s="15" t="n">
        <f aca="false">M263+N263-O263</f>
        <v>-18278.4301307272</v>
      </c>
      <c r="Q263" s="15" t="n">
        <f aca="false">SUM(P257:P263)+Parametri_v3!$C$54*7/12</f>
        <v>-128199.898033524</v>
      </c>
      <c r="R263" s="15" t="n">
        <f aca="false">Z256</f>
        <v>147912.400053826</v>
      </c>
      <c r="S263" s="15" t="n">
        <f aca="false">AA256</f>
        <v>0</v>
      </c>
      <c r="T263" s="15" t="n">
        <f aca="false">MIN(R263,MAX(0,Q263))</f>
        <v>0</v>
      </c>
      <c r="U263" s="15" t="n">
        <f aca="false">MIN(S263,MAX(0,Q263-T263)*Parametri_v3!$C$42)</f>
        <v>0</v>
      </c>
      <c r="V263" s="15" t="n">
        <f aca="false">MAX(0,Q263-T263-U263)*Ipotesi!$C$92</f>
        <v>0</v>
      </c>
      <c r="W263" s="15" t="n">
        <f aca="false">MAX(0,SUM(M257:M263)+Parametri_v3!$C$55*7/12)*Ipotesi!$C$93</f>
        <v>0</v>
      </c>
      <c r="X263" s="15" t="n">
        <f aca="false">V263+W263-(V262+W262)</f>
        <v>0</v>
      </c>
      <c r="Y263" s="15" t="n">
        <f aca="false">P263-X263</f>
        <v>-18278.4301307272</v>
      </c>
      <c r="Z263" s="15" t="n">
        <f aca="false">R263-T263+IF(AND(Parametri_v3!$C$40=1,D263-YEAR(Parametri_v3!$C$50)&lt;Parametri_v3!$C$41),MAX(0,-Q263),0)</f>
        <v>276112.29808735</v>
      </c>
      <c r="AA263" s="15" t="n">
        <f aca="false">S263-U263+IF(AND(Parametri_v3!$C$40=1,D263-YEAR(Parametri_v3!$C$50)&lt;Parametri_v3!$C$41),0,MAX(0,-Q263))</f>
        <v>0</v>
      </c>
      <c r="AB263" s="15" t="n">
        <f aca="false">F263*(1+Parametri_v3!$C$26)</f>
        <v>14208.4978797195</v>
      </c>
      <c r="AC263" s="15" t="n">
        <f aca="false">(IF(19-(INT((Motore_Operativo!L263)/30))&lt;1,0,INDEX(Motore_Startup!$AB$245:$AB$304,MAX(1,19-(INT((Motore_Operativo!L263)/30)))))*(1-(MOD((Motore_Operativo!L263),30)/30))+IF(19-(INT((Motore_Operativo!L263)/30))-1&lt;1,0,INDEX(Motore_Startup!$AB$245:$AB$304,MAX(1,19-(INT((Motore_Operativo!L263)/30))-1)))*(MOD((Motore_Operativo!L263),30)/30))</f>
        <v>13498.9534840094</v>
      </c>
      <c r="AD263" s="15" t="n">
        <f aca="false">(AD262)+AB263-AC263</f>
        <v>55684.2137313308</v>
      </c>
      <c r="AE263" s="15" t="n">
        <f aca="false">Motore_Operativo!BH263*(1+Parametri_v3!$C$26)</f>
        <v>2052.12591549296</v>
      </c>
      <c r="AF263" s="15" t="n">
        <f aca="false">(IF(19-(INT((Parametri_v3!$C$29)/30))&lt;1,0,INDEX(Motore_Operativo!$BH$245:$BH$304,MAX(1,19-(INT((Parametri_v3!$C$29)/30)))))*(1-(MOD((Parametri_v3!$C$29),30)/30))+IF(19-(INT((Parametri_v3!$C$29)/30))-1&lt;1,0,INDEX(Motore_Operativo!$BH$245:$BH$304,MAX(1,19-(INT((Parametri_v3!$C$29)/30))-1)))*(MOD((Parametri_v3!$C$29),30)/30))*(1+Parametri_v3!$C$26)</f>
        <v>2052.12591549296</v>
      </c>
      <c r="AG263" s="15" t="n">
        <f aca="false">(AG262)+AE263-AF263</f>
        <v>2052.12591549296</v>
      </c>
      <c r="AH263" s="15" t="n">
        <f aca="false">(Motore_Operativo!CJ263)*(1+Parametri_v3!$C$27*Parametri_v3!$C$26)</f>
        <v>11370.6138382534</v>
      </c>
      <c r="AI263" s="15" t="n">
        <f aca="false">(IF(19-(INT((Ipotesi!$C$91)/30))&lt;1,0,INDEX(Motore_Startup!$AH$245:$AH$304,MAX(1,19-(INT((Ipotesi!$C$91)/30)))))*(1-(MOD((Ipotesi!$C$91),30)/30))+IF(19-(INT((Ipotesi!$C$91)/30))-1&lt;1,0,INDEX(Motore_Startup!$AH$245:$AH$304,MAX(1,19-(INT((Ipotesi!$C$91)/30))-1)))*(MOD((Ipotesi!$C$91),30)/30))</f>
        <v>11318.4858535436</v>
      </c>
      <c r="AJ263" s="15" t="n">
        <f aca="false">(AJ262)+AH263-AI263</f>
        <v>22715.2781049033</v>
      </c>
      <c r="AK263" s="15" t="n">
        <f aca="false">(F263+ Motore_Operativo!BH263-(Motore_Operativo!CJ263)*Parametri_v3!$C$27-Motore_Operativo!CE263)*Parametri_v3!$C$26</f>
        <v>682.583606204729</v>
      </c>
      <c r="AL263" s="15" t="n">
        <f aca="false">MAX(0,(AM262))</f>
        <v>0</v>
      </c>
      <c r="AM263" s="15" t="n">
        <f aca="false">(AM262)+AK263-AL263</f>
        <v>-1721.88652057475</v>
      </c>
      <c r="AN263" s="15" t="n">
        <f aca="false">SUM(X245:X256)</f>
        <v>0</v>
      </c>
      <c r="AO263" s="15" t="n">
        <f aca="false">SUM(AP245:AP256)</f>
        <v>0</v>
      </c>
      <c r="AP263" s="15" t="n">
        <f aca="false">MAX(0,AN263)*IF(7=Parametri_v3!$C$43,Parametri_v3!$C$45,IF(7=Parametri_v3!$C$44,1-Parametri_v3!$C$45,0))</f>
        <v>0</v>
      </c>
      <c r="AQ263" s="15" t="n">
        <f aca="false">MAX(0,AP263+IF(7=Parametri_v3!$C$43,MAX(0,AN263-AO263),0)-MAX(0,-(AR262)))</f>
        <v>0</v>
      </c>
      <c r="AR263" s="15" t="n">
        <f aca="false">(AR262)+X263-AQ263</f>
        <v>0</v>
      </c>
      <c r="AS263" s="15" t="n">
        <f aca="false">Motore_Operativo!AB263-AT263+AU263</f>
        <v>19301.03125</v>
      </c>
      <c r="AT263" s="15" t="n">
        <f aca="false">Motore_Operativo!CH263</f>
        <v>1015.84375</v>
      </c>
      <c r="AU263" s="15" t="n">
        <f aca="false">MIN(MAX(0,(AV262)+AT263),Parametri_v3!$C$60/12)</f>
        <v>0</v>
      </c>
      <c r="AV263" s="15" t="n">
        <f aca="false">(AV262)+AT263-AU263</f>
        <v>13398.40625</v>
      </c>
      <c r="AW263" s="15" t="n">
        <f aca="false">IF(AND(Motore_Operativo!C263=Finanziamenti!$D$6,Finanziamenti!$F$6=1),Finanziamenti!$C$6,0)</f>
        <v>0</v>
      </c>
      <c r="AX263" s="15" t="n">
        <f aca="false">IF(AND(5&lt;&gt;7,5&lt;&gt;9,Finanziamenti!$F$8=1,OR(Parametri_v3!$C$6=0,Finanziamenti!$E$8=1),Motore_Operativo!C263=EDATE(Finanziamenti!$D$8,Ipotesi!G15*12)),Finanziamenti!$C$8*1,0)+IF(AND(5&lt;&gt;7,5&lt;&gt;9,Finanziamenti!$F$9=1,OR(Parametri_v3!$C$6=0,Finanziamenti!$E$9=1),Motore_Operativo!C263=EDATE(Finanziamenti!$D$9,Ipotesi!G15*12)),Finanziamenti!$C$9*Ipotesi!G16,0)</f>
        <v>0</v>
      </c>
      <c r="AY263" s="15" t="n">
        <f aca="false">0</f>
        <v>0</v>
      </c>
      <c r="AZ263" s="15" t="n">
        <f aca="false">Motore_Advisory!AY263*(1-Ipotesi!$C$95)*Ipotesi!$C$96</f>
        <v>0</v>
      </c>
      <c r="BA263" s="15" t="n">
        <f aca="false">MAX(0,MIN(CG263*MIN(1,IF(Motore_Operativo!C263&gt;=EDATE(Finanziamenti!$D$15,Ipotesi!G14*12),Finanziamenti!$C$15,0)+IF(Motore_Operativo!C263&gt;=EDATE(Finanziamenti!$D$16,Ipotesi!G14*12),Finanziamenti!$C$16,0)+IF(Motore_Operativo!C263&gt;=EDATE(Finanziamenti!$D$17,Ipotesi!G14*12),Finanziamenti!$C$17,0)),CA263*Ipotesi!$C$102)-(CC262))</f>
        <v>0</v>
      </c>
      <c r="BB263" s="15" t="n">
        <f aca="false">IF(AND(CF263&gt;0,Motore_Operativo!C263&gt;=IF(CF263=0,0,EDATE(CF263,Parametri_v3!$C$37)),MOD(((D263-YEAR(IF(CF263=0,0,EDATE(CF263,Parametri_v3!$C$37))))*12+E263-MONTH(IF(CF263=0,0,EDATE(CF263,Parametri_v3!$C$37)))),Parametri_v3!$C$38)=0),MIN(MAX(0,(BC262)+BA263-N263),(CC263-CD263)/(Ipotesi!$C$108*12/Parametri_v3!$C$38)),0)</f>
        <v>0</v>
      </c>
      <c r="BC263" s="15" t="n">
        <f aca="false">(BC262)+BA263-N263-BB263</f>
        <v>0</v>
      </c>
      <c r="BD263" s="15" t="n">
        <f aca="false">(BH262)+AC263+AF263-AI263-AS263-K263*(1+Parametri_v3!$C$26)-AL263-AQ263-O263+AW263+AX263+AZ263+BA263-BB263</f>
        <v>-44919.8028628078</v>
      </c>
      <c r="BE263" s="15" t="n">
        <f aca="false">MAX(0,MIN(MAX(0,CH263-(BG262)),Parametri_v3!$C$30-BD263))</f>
        <v>0</v>
      </c>
      <c r="BF263" s="15" t="n">
        <f aca="false">IF(Motore_Operativo!C263&gt;=Parametri_v3!$C$63,(BG262),MIN((BG262),MAX(0,BD263-Parametri_v3!$C$30)))</f>
        <v>0</v>
      </c>
      <c r="BG263" s="15" t="n">
        <f aca="false">(BG262)+BE263-BF263</f>
        <v>150000</v>
      </c>
      <c r="BH263" s="15" t="n">
        <f aca="false">BD263+BE263-BF263-AY263</f>
        <v>-44919.8028628078</v>
      </c>
      <c r="BI263" s="15" t="n">
        <f aca="false">MAX(0,Parametri_v3!$C$30-BH263)</f>
        <v>69919.8028628078</v>
      </c>
      <c r="BJ263" s="15" t="n">
        <f aca="false">(BJ262)+K263</f>
        <v>34583.3333333333</v>
      </c>
      <c r="BK263" s="15" t="n">
        <f aca="false">(BK262)+L263</f>
        <v>9120.37037037037</v>
      </c>
      <c r="BL263" s="15" t="n">
        <f aca="false">BJ263-BK263</f>
        <v>25462.962962963</v>
      </c>
      <c r="BM263" s="15" t="n">
        <f aca="false">(BM262)+Y263</f>
        <v>-276112.29808735</v>
      </c>
      <c r="BN263" s="15" t="n">
        <f aca="false">(BN262)+AW263+AX263+AZ263</f>
        <v>130000</v>
      </c>
      <c r="BO263" s="15" t="n">
        <f aca="false">(BO262)+AY263</f>
        <v>0</v>
      </c>
      <c r="BP263" s="15" t="n">
        <f aca="false">0</f>
        <v>0</v>
      </c>
      <c r="BQ263" s="15" t="n">
        <f aca="false">BN263+BM263-BO263</f>
        <v>-146112.29808735</v>
      </c>
      <c r="BR263" s="15" t="n">
        <f aca="false">BH263+AD263+BL263+MAX(0,-AM263)+MAX(0,-AR263)+AG263</f>
        <v>40001.3862675537</v>
      </c>
      <c r="BS263" s="15" t="n">
        <f aca="false">AJ263+AV263+MAX(0,AM263)+MAX(0,AR263)+BC263+BG263+BQ263</f>
        <v>40001.3862675536</v>
      </c>
      <c r="BT263" s="15" t="n">
        <f aca="false">BR263-BS263</f>
        <v>0</v>
      </c>
      <c r="BU263" s="15" t="n">
        <f aca="false">BH263-(BD263+BE263-BF263-AY263)</f>
        <v>0</v>
      </c>
      <c r="BV263" s="15" t="n">
        <f aca="false">MIN(Piano_SS!$C$6,(BV262)+IF(AND(Motore_Operativo!C263&gt;=EDATE(Parametri_v3!$C$24,Ipotesi!G14*12),Motore_Operativo!C263&lt;EDATE(Parametri_v3!$C$24,Parametri_v3!$C$25+Ipotesi!G14*12)),MAX(0,(Motore_Operativo!Y263+Motore_Operativo!X263*Parametri_v3!$C$14)*(1-Parametri_v3!$C$32))*Piano_SS!$D$6,0))</f>
        <v>4179.01041666667</v>
      </c>
      <c r="BW263" s="15" t="n">
        <f aca="false">MIN(Piano_SS!$C$7,(BW262)+IF(AND(Motore_Operativo!C263&gt;=EDATE(Parametri_v3!$C$24,Ipotesi!G14*12),Motore_Operativo!C263&lt;EDATE(Parametri_v3!$C$24,Parametri_v3!$C$25+Ipotesi!G14*12)),MAX(0,(IF(19-(INT((Ipotesi!$C$91)/30))&lt;1,0,INDEX(Motore_Operativo!$BN$245:$BN$304,MAX(1,19-(INT((Ipotesi!$C$91)/30)))))*(1-(MOD((Ipotesi!$C$91),30)/30))+IF(19-(INT((Ipotesi!$C$91)/30))-1&lt;1,0,INDEX(Motore_Operativo!$BN$245:$BN$304,MAX(1,19-(INT((Ipotesi!$C$91)/30))-1)))*(MOD((Ipotesi!$C$91),30)/30)))*Piano_SS!$D$7,0))</f>
        <v>810.160069786398</v>
      </c>
      <c r="BX263" s="15" t="n">
        <f aca="false">MIN(Piano_SS!$C$8,(BX262)+IF(AND(Motore_Operativo!C263&gt;=EDATE(Parametri_v3!$C$24,Ipotesi!G14*12),Motore_Operativo!C263&lt;EDATE(Parametri_v3!$C$24,Parametri_v3!$C$25+Ipotesi!G14*12)),MAX(0,Motore_Operativo!CE263)*Piano_SS!$D$8,0))</f>
        <v>2083.33333333333</v>
      </c>
      <c r="BY263" s="15" t="n">
        <f aca="false">MIN(Piano_SS!$C$9,(BY262)+IF(AND(Motore_Operativo!C263&gt;=EDATE(Parametri_v3!$C$24,Ipotesi!G14*12),Motore_Operativo!C263&lt;EDATE(Parametri_v3!$C$24,Parametri_v3!$C$25+Ipotesi!G14*12)),MAX(0,((IF(19-(INT((Ipotesi!$C$91)/30))&lt;1,0,INDEX(Motore_Operativo!$BQ$245:$BQ$304,MAX(1,19-(INT((Ipotesi!$C$91)/30)))))*(1-(MOD((Ipotesi!$C$91),30)/30))+IF(19-(INT((Ipotesi!$C$91)/30))-1&lt;1,0,INDEX(Motore_Operativo!$BQ$245:$BQ$304,MAX(1,19-(INT((Ipotesi!$C$91)/30))-1)))*(MOD((Ipotesi!$C$91),30)/30))+(IF(19-(INT((Ipotesi!$C$91)/30))&lt;1,0,INDEX(Motore_Operativo!$BR$245:$BR$304,MAX(1,19-(INT((Ipotesi!$C$91)/30)))))*(1-(MOD((Ipotesi!$C$91),30)/30))+IF(19-(INT((Ipotesi!$C$91)/30))-1&lt;1,0,INDEX(Motore_Operativo!$BR$245:$BR$304,MAX(1,19-(INT((Ipotesi!$C$91)/30))-1)))*(MOD((Ipotesi!$C$91),30)/30))))*Piano_SS!$D$9,0))</f>
        <v>2250</v>
      </c>
      <c r="BZ263" s="15" t="n">
        <f aca="false">MIN(Piano_SS!$C$10,(BZ262)+IF(AND(Motore_Operativo!C263&gt;=EDATE(Parametri_v3!$C$24,Ipotesi!G14*12),Motore_Operativo!C263&lt;EDATE(Parametri_v3!$C$24,Parametri_v3!$C$25+Ipotesi!G14*12)),MAX(0,(IF(19-(INT((Ipotesi!$C$91)/30))&lt;1,0,INDEX(Motore_Operativo!$BO$245:$BO$304,MAX(1,19-(INT((Ipotesi!$C$91)/30)))))*(1-(MOD((Ipotesi!$C$91),30)/30))+IF(19-(INT((Ipotesi!$C$91)/30))-1&lt;1,0,INDEX(Motore_Operativo!$BO$245:$BO$304,MAX(1,19-(INT((Ipotesi!$C$91)/30))-1)))*(MOD((Ipotesi!$C$91),30)/30)))*Piano_SS!$D$10,0))</f>
        <v>1100</v>
      </c>
      <c r="CA263" s="15" t="n">
        <f aca="false">SUM(BV263:BZ263)</f>
        <v>10422.5038197864</v>
      </c>
      <c r="CB263" s="15" t="n">
        <f aca="false">BV263*(1-Piano_SS!$E$6)+BW263*(1-Piano_SS!$E$7)+BX263*(1-Piano_SS!$E$8)+BY263*(1-Piano_SS!$E$9)+BZ263*(1-Piano_SS!$E$10)</f>
        <v>9322.5038197864</v>
      </c>
      <c r="CC263" s="15" t="n">
        <f aca="false">(CC262)+BA263</f>
        <v>0</v>
      </c>
      <c r="CD263" s="15" t="n">
        <f aca="false">IF(CA263=0,0,CC263*CB263/CA263*Ipotesi!$C$103*Parametri_v3!$C$64)</f>
        <v>0</v>
      </c>
      <c r="CE263" s="18" t="n">
        <f aca="false">IF(BA263&gt;0,Motore_Operativo!C263,(CE262))</f>
        <v>0</v>
      </c>
      <c r="CF263" s="18" t="n">
        <f aca="false">IF(AND(CC263&gt;0,OR(CC263&gt;=CG263-0.01,Motore_Operativo!C263&gt;=EDATE(MAX(Finanziamenti!$D$15:$D$17),Ipotesi!G14*12))),CE263,0)</f>
        <v>0</v>
      </c>
      <c r="CG263" s="15" t="n">
        <f aca="false">IF(AND(5&lt;&gt;6,5&lt;&gt;9,Finanziamenti!$F$11=1,OR(Parametri_v3!$C$6=0,Finanziamenti!$E$11=1)),MIN(Finanziamenti!$C$11,Piano_SS!$C$12*Ipotesi!$C$102),0)</f>
        <v>400000</v>
      </c>
      <c r="CH263" s="15" t="n">
        <f aca="false">IF(AND(AND(5&lt;&gt;8,5&lt;&gt;9,Finanziamenti!$F$10=1,OR(Parametri_v3!$C$6=0,Finanziamenti!$E$10=1)),Motore_Operativo!C263&gt;=Finanziamenti!$D$10,Motore_Operativo!C263&lt;Parametri_v3!$C$63),Finanziamenti!$C$10,0)</f>
        <v>150000</v>
      </c>
    </row>
    <row r="264" customFormat="false" ht="18" hidden="false" customHeight="true" outlineLevel="0" collapsed="false">
      <c r="A264" s="68" t="n">
        <f aca="false">5</f>
        <v>5</v>
      </c>
      <c r="B264" s="68" t="n">
        <f aca="false">20</f>
        <v>20</v>
      </c>
      <c r="C264" s="18" t="n">
        <f aca="false">Motore_Operativo!C264</f>
        <v>46966</v>
      </c>
      <c r="D264" s="68" t="n">
        <f aca="false">Motore_Operativo!D264</f>
        <v>2028</v>
      </c>
      <c r="E264" s="68" t="n">
        <f aca="false">Motore_Operativo!E264</f>
        <v>8</v>
      </c>
      <c r="F264" s="15" t="n">
        <f aca="false">Motore_Operativo!AQ264+Motore_Operativo!BF264</f>
        <v>11801.0981027663</v>
      </c>
      <c r="G264" s="15" t="n">
        <f aca="false">Motore_Operativo!BH264</f>
        <v>1682.07042253521</v>
      </c>
      <c r="H264" s="15" t="n">
        <f aca="false">Motore_Operativo!BI264</f>
        <v>13483.1685253015</v>
      </c>
      <c r="I264" s="15" t="n">
        <f aca="false">Motore_Operativo!CA264</f>
        <v>29917.83251373</v>
      </c>
      <c r="J264" s="15" t="n">
        <f aca="false">Motore_Operativo!CC264</f>
        <v>-16434.6639884285</v>
      </c>
      <c r="K264" s="15" t="n">
        <f aca="false">Motore_Operativo!CE264</f>
        <v>2083.33333333333</v>
      </c>
      <c r="L264" s="15" t="n">
        <f aca="false">SUM(INDEX($K$245:$K$304,MAX(1,20-Parametri_v3!$C$59+1)):K264)/Parametri_v3!$C$59</f>
        <v>1018.51851851852</v>
      </c>
      <c r="M264" s="15" t="n">
        <f aca="false">J264-L264</f>
        <v>-17453.182506947</v>
      </c>
      <c r="N264" s="15" t="n">
        <f aca="false">CD264-(CD263)</f>
        <v>0</v>
      </c>
      <c r="O264" s="15" t="n">
        <f aca="false">(BG263)*Ipotesi!$C$110/12+CH264*Parametri_v3!$C$39/12</f>
        <v>750</v>
      </c>
      <c r="P264" s="15" t="n">
        <f aca="false">M264+N264-O264</f>
        <v>-18203.182506947</v>
      </c>
      <c r="Q264" s="15" t="n">
        <f aca="false">SUM(P257:P264)+Parametri_v3!$C$54*8/12</f>
        <v>-146403.080540471</v>
      </c>
      <c r="R264" s="15" t="n">
        <f aca="false">Z256</f>
        <v>147912.400053826</v>
      </c>
      <c r="S264" s="15" t="n">
        <f aca="false">AA256</f>
        <v>0</v>
      </c>
      <c r="T264" s="15" t="n">
        <f aca="false">MIN(R264,MAX(0,Q264))</f>
        <v>0</v>
      </c>
      <c r="U264" s="15" t="n">
        <f aca="false">MIN(S264,MAX(0,Q264-T264)*Parametri_v3!$C$42)</f>
        <v>0</v>
      </c>
      <c r="V264" s="15" t="n">
        <f aca="false">MAX(0,Q264-T264-U264)*Ipotesi!$C$92</f>
        <v>0</v>
      </c>
      <c r="W264" s="15" t="n">
        <f aca="false">MAX(0,SUM(M257:M264)+Parametri_v3!$C$55*8/12)*Ipotesi!$C$93</f>
        <v>0</v>
      </c>
      <c r="X264" s="15" t="n">
        <f aca="false">V264+W264-(V263+W263)</f>
        <v>0</v>
      </c>
      <c r="Y264" s="15" t="n">
        <f aca="false">P264-X264</f>
        <v>-18203.182506947</v>
      </c>
      <c r="Z264" s="15" t="n">
        <f aca="false">R264-T264+IF(AND(Parametri_v3!$C$40=1,D264-YEAR(Parametri_v3!$C$50)&lt;Parametri_v3!$C$41),MAX(0,-Q264),0)</f>
        <v>294315.480594297</v>
      </c>
      <c r="AA264" s="15" t="n">
        <f aca="false">S264-U264+IF(AND(Parametri_v3!$C$40=1,D264-YEAR(Parametri_v3!$C$50)&lt;Parametri_v3!$C$41),0,MAX(0,-Q264))</f>
        <v>0</v>
      </c>
      <c r="AB264" s="15" t="n">
        <f aca="false">F264*(1+Parametri_v3!$C$26)</f>
        <v>14397.3396853749</v>
      </c>
      <c r="AC264" s="15" t="n">
        <f aca="false">(IF(20-(INT((Motore_Operativo!L264)/30))&lt;1,0,INDEX(Motore_Startup!$AB$245:$AB$304,MAX(1,20-(INT((Motore_Operativo!L264)/30)))))*(1-(MOD((Motore_Operativo!L264),30)/30))+IF(20-(INT((Motore_Operativo!L264)/30))-1&lt;1,0,INDEX(Motore_Startup!$AB$245:$AB$304,MAX(1,20-(INT((Motore_Operativo!L264)/30))-1)))*(MOD((Motore_Operativo!L264),30)/30))</f>
        <v>13631.9215526503</v>
      </c>
      <c r="AD264" s="15" t="n">
        <f aca="false">(AD263)+AB264-AC264</f>
        <v>56449.6318640554</v>
      </c>
      <c r="AE264" s="15" t="n">
        <f aca="false">Motore_Operativo!BH264*(1+Parametri_v3!$C$26)</f>
        <v>2052.12591549296</v>
      </c>
      <c r="AF264" s="15" t="n">
        <f aca="false">(IF(20-(INT((Parametri_v3!$C$29)/30))&lt;1,0,INDEX(Motore_Operativo!$BH$245:$BH$304,MAX(1,20-(INT((Parametri_v3!$C$29)/30)))))*(1-(MOD((Parametri_v3!$C$29),30)/30))+IF(20-(INT((Parametri_v3!$C$29)/30))-1&lt;1,0,INDEX(Motore_Operativo!$BH$245:$BH$304,MAX(1,20-(INT((Parametri_v3!$C$29)/30))-1)))*(MOD((Parametri_v3!$C$29),30)/30))*(1+Parametri_v3!$C$26)</f>
        <v>2052.12591549296</v>
      </c>
      <c r="AG264" s="15" t="n">
        <f aca="false">(AG263)+AE264-AF264</f>
        <v>2052.12591549296</v>
      </c>
      <c r="AH264" s="15" t="n">
        <f aca="false">(Motore_Operativo!CJ264)*(1+Parametri_v3!$C$27*Parametri_v3!$C$26)</f>
        <v>11396.3365687975</v>
      </c>
      <c r="AI264" s="15" t="n">
        <f aca="false">(IF(20-(INT((Ipotesi!$C$91)/30))&lt;1,0,INDEX(Motore_Startup!$AH$245:$AH$304,MAX(1,20-(INT((Ipotesi!$C$91)/30)))))*(1-(MOD((Ipotesi!$C$91),30)/30))+IF(20-(INT((Ipotesi!$C$91)/30))-1&lt;1,0,INDEX(Motore_Startup!$AH$245:$AH$304,MAX(1,20-(INT((Ipotesi!$C$91)/30))-1)))*(MOD((Ipotesi!$C$91),30)/30))</f>
        <v>11344.6642666499</v>
      </c>
      <c r="AJ264" s="15" t="n">
        <f aca="false">(AJ263)+AH264-AI264</f>
        <v>22766.9504070509</v>
      </c>
      <c r="AK264" s="15" t="n">
        <f aca="false">(F264+ Motore_Operativo!BH264-(Motore_Operativo!CJ264)*Parametri_v3!$C$27-Motore_Operativo!CE264)*Parametri_v3!$C$26</f>
        <v>712.58468716549</v>
      </c>
      <c r="AL264" s="15" t="n">
        <f aca="false">MAX(0,(AM263))</f>
        <v>0</v>
      </c>
      <c r="AM264" s="15" t="n">
        <f aca="false">(AM263)+AK264-AL264</f>
        <v>-1009.30183340926</v>
      </c>
      <c r="AN264" s="15" t="n">
        <f aca="false">SUM(X245:X256)</f>
        <v>0</v>
      </c>
      <c r="AO264" s="15" t="n">
        <f aca="false">SUM(AP245:AP256)</f>
        <v>0</v>
      </c>
      <c r="AP264" s="15" t="n">
        <f aca="false">MAX(0,AN264)*IF(8=Parametri_v3!$C$43,Parametri_v3!$C$45,IF(8=Parametri_v3!$C$44,1-Parametri_v3!$C$45,0))</f>
        <v>0</v>
      </c>
      <c r="AQ264" s="15" t="n">
        <f aca="false">MAX(0,AP264+IF(8=Parametri_v3!$C$43,MAX(0,AN264-AO264),0)-MAX(0,-(AR263)))</f>
        <v>0</v>
      </c>
      <c r="AR264" s="15" t="n">
        <f aca="false">(AR263)+X264-AQ264</f>
        <v>0</v>
      </c>
      <c r="AS264" s="15" t="n">
        <f aca="false">Motore_Operativo!AB264-AT264+AU264</f>
        <v>19301.03125</v>
      </c>
      <c r="AT264" s="15" t="n">
        <f aca="false">Motore_Operativo!CH264</f>
        <v>1015.84375</v>
      </c>
      <c r="AU264" s="15" t="n">
        <f aca="false">MIN(MAX(0,(AV263)+AT264),Parametri_v3!$C$60/12)</f>
        <v>0</v>
      </c>
      <c r="AV264" s="15" t="n">
        <f aca="false">(AV263)+AT264-AU264</f>
        <v>14414.25</v>
      </c>
      <c r="AW264" s="15" t="n">
        <f aca="false">IF(AND(Motore_Operativo!C264=Finanziamenti!$D$6,Finanziamenti!$F$6=1),Finanziamenti!$C$6,0)</f>
        <v>0</v>
      </c>
      <c r="AX264" s="15" t="n">
        <f aca="false">IF(AND(5&lt;&gt;7,5&lt;&gt;9,Finanziamenti!$F$8=1,OR(Parametri_v3!$C$6=0,Finanziamenti!$E$8=1),Motore_Operativo!C264=EDATE(Finanziamenti!$D$8,Ipotesi!G15*12)),Finanziamenti!$C$8*1,0)+IF(AND(5&lt;&gt;7,5&lt;&gt;9,Finanziamenti!$F$9=1,OR(Parametri_v3!$C$6=0,Finanziamenti!$E$9=1),Motore_Operativo!C264=EDATE(Finanziamenti!$D$9,Ipotesi!G15*12)),Finanziamenti!$C$9*Ipotesi!G16,0)</f>
        <v>0</v>
      </c>
      <c r="AY264" s="15" t="n">
        <f aca="false">0</f>
        <v>0</v>
      </c>
      <c r="AZ264" s="15" t="n">
        <f aca="false">Motore_Advisory!AY264*(1-Ipotesi!$C$95)*Ipotesi!$C$96</f>
        <v>0</v>
      </c>
      <c r="BA264" s="15" t="n">
        <f aca="false">MAX(0,MIN(CG264*MIN(1,IF(Motore_Operativo!C264&gt;=EDATE(Finanziamenti!$D$15,Ipotesi!G14*12),Finanziamenti!$C$15,0)+IF(Motore_Operativo!C264&gt;=EDATE(Finanziamenti!$D$16,Ipotesi!G14*12),Finanziamenti!$C$16,0)+IF(Motore_Operativo!C264&gt;=EDATE(Finanziamenti!$D$17,Ipotesi!G14*12),Finanziamenti!$C$17,0)),CA264*Ipotesi!$C$102)-(CC263))</f>
        <v>0</v>
      </c>
      <c r="BB264" s="15" t="n">
        <f aca="false">IF(AND(CF264&gt;0,Motore_Operativo!C264&gt;=IF(CF264=0,0,EDATE(CF264,Parametri_v3!$C$37)),MOD(((D264-YEAR(IF(CF264=0,0,EDATE(CF264,Parametri_v3!$C$37))))*12+E264-MONTH(IF(CF264=0,0,EDATE(CF264,Parametri_v3!$C$37)))),Parametri_v3!$C$38)=0),MIN(MAX(0,(BC263)+BA264-N264),(CC264-CD264)/(Ipotesi!$C$108*12/Parametri_v3!$C$38)),0)</f>
        <v>0</v>
      </c>
      <c r="BC264" s="15" t="n">
        <f aca="false">(BC263)+BA264-N264-BB264</f>
        <v>0</v>
      </c>
      <c r="BD264" s="15" t="n">
        <f aca="false">(BH263)+AC264+AF264-AI264-AS264-K264*(1+Parametri_v3!$C$26)-AL264-AQ264-O264+AW264+AX264+AZ264+BA264-BB264</f>
        <v>-63173.1175779811</v>
      </c>
      <c r="BE264" s="15" t="n">
        <f aca="false">MAX(0,MIN(MAX(0,CH264-(BG263)),Parametri_v3!$C$30-BD264))</f>
        <v>0</v>
      </c>
      <c r="BF264" s="15" t="n">
        <f aca="false">IF(Motore_Operativo!C264&gt;=Parametri_v3!$C$63,(BG263),MIN((BG263),MAX(0,BD264-Parametri_v3!$C$30)))</f>
        <v>0</v>
      </c>
      <c r="BG264" s="15" t="n">
        <f aca="false">(BG263)+BE264-BF264</f>
        <v>150000</v>
      </c>
      <c r="BH264" s="15" t="n">
        <f aca="false">BD264+BE264-BF264-AY264</f>
        <v>-63173.1175779811</v>
      </c>
      <c r="BI264" s="15" t="n">
        <f aca="false">MAX(0,Parametri_v3!$C$30-BH264)</f>
        <v>88173.1175779811</v>
      </c>
      <c r="BJ264" s="15" t="n">
        <f aca="false">(BJ263)+K264</f>
        <v>36666.6666666667</v>
      </c>
      <c r="BK264" s="15" t="n">
        <f aca="false">(BK263)+L264</f>
        <v>10138.8888888889</v>
      </c>
      <c r="BL264" s="15" t="n">
        <f aca="false">BJ264-BK264</f>
        <v>26527.7777777778</v>
      </c>
      <c r="BM264" s="15" t="n">
        <f aca="false">(BM263)+Y264</f>
        <v>-294315.480594297</v>
      </c>
      <c r="BN264" s="15" t="n">
        <f aca="false">(BN263)+AW264+AX264+AZ264</f>
        <v>130000</v>
      </c>
      <c r="BO264" s="15" t="n">
        <f aca="false">(BO263)+AY264</f>
        <v>0</v>
      </c>
      <c r="BP264" s="15" t="n">
        <f aca="false">0</f>
        <v>0</v>
      </c>
      <c r="BQ264" s="15" t="n">
        <f aca="false">BN264+BM264-BO264</f>
        <v>-164315.480594297</v>
      </c>
      <c r="BR264" s="15" t="n">
        <f aca="false">BH264+AD264+BL264+MAX(0,-AM264)+MAX(0,-AR264)+AG264</f>
        <v>22865.7198127543</v>
      </c>
      <c r="BS264" s="15" t="n">
        <f aca="false">AJ264+AV264+MAX(0,AM264)+MAX(0,AR264)+BC264+BG264+BQ264</f>
        <v>22865.7198127542</v>
      </c>
      <c r="BT264" s="15" t="n">
        <f aca="false">BR264-BS264</f>
        <v>1.16415321826935E-010</v>
      </c>
      <c r="BU264" s="15" t="n">
        <f aca="false">BH264-(BD264+BE264-BF264-AY264)</f>
        <v>0</v>
      </c>
      <c r="BV264" s="15" t="n">
        <f aca="false">MIN(Piano_SS!$C$6,(BV263)+IF(AND(Motore_Operativo!C264&gt;=EDATE(Parametri_v3!$C$24,Ipotesi!G14*12),Motore_Operativo!C264&lt;EDATE(Parametri_v3!$C$24,Parametri_v3!$C$25+Ipotesi!G14*12)),MAX(0,(Motore_Operativo!Y264+Motore_Operativo!X264*Parametri_v3!$C$14)*(1-Parametri_v3!$C$32))*Piano_SS!$D$6,0))</f>
        <v>8358.02083333333</v>
      </c>
      <c r="BW264" s="15" t="n">
        <f aca="false">MIN(Piano_SS!$C$7,(BW263)+IF(AND(Motore_Operativo!C264&gt;=EDATE(Parametri_v3!$C$24,Ipotesi!G14*12),Motore_Operativo!C264&lt;EDATE(Parametri_v3!$C$24,Parametri_v3!$C$25+Ipotesi!G14*12)),MAX(0,(IF(20-(INT((Ipotesi!$C$91)/30))&lt;1,0,INDEX(Motore_Operativo!$BN$245:$BN$304,MAX(1,20-(INT((Ipotesi!$C$91)/30)))))*(1-(MOD((Ipotesi!$C$91),30)/30))+IF(20-(INT((Ipotesi!$C$91)/30))-1&lt;1,0,INDEX(Motore_Operativo!$BN$245:$BN$304,MAX(1,20-(INT((Ipotesi!$C$91)/30))-1)))*(MOD((Ipotesi!$C$91),30)/30)))*Piano_SS!$D$7,0))</f>
        <v>1632.92257698105</v>
      </c>
      <c r="BX264" s="15" t="n">
        <f aca="false">MIN(Piano_SS!$C$8,(BX263)+IF(AND(Motore_Operativo!C264&gt;=EDATE(Parametri_v3!$C$24,Ipotesi!G14*12),Motore_Operativo!C264&lt;EDATE(Parametri_v3!$C$24,Parametri_v3!$C$25+Ipotesi!G14*12)),MAX(0,Motore_Operativo!CE264)*Piano_SS!$D$8,0))</f>
        <v>4166.66666666667</v>
      </c>
      <c r="BY264" s="15" t="n">
        <f aca="false">MIN(Piano_SS!$C$9,(BY263)+IF(AND(Motore_Operativo!C264&gt;=EDATE(Parametri_v3!$C$24,Ipotesi!G14*12),Motore_Operativo!C264&lt;EDATE(Parametri_v3!$C$24,Parametri_v3!$C$25+Ipotesi!G14*12)),MAX(0,((IF(20-(INT((Ipotesi!$C$91)/30))&lt;1,0,INDEX(Motore_Operativo!$BQ$245:$BQ$304,MAX(1,20-(INT((Ipotesi!$C$91)/30)))))*(1-(MOD((Ipotesi!$C$91),30)/30))+IF(20-(INT((Ipotesi!$C$91)/30))-1&lt;1,0,INDEX(Motore_Operativo!$BQ$245:$BQ$304,MAX(1,20-(INT((Ipotesi!$C$91)/30))-1)))*(MOD((Ipotesi!$C$91),30)/30))+(IF(20-(INT((Ipotesi!$C$91)/30))&lt;1,0,INDEX(Motore_Operativo!$BR$245:$BR$304,MAX(1,20-(INT((Ipotesi!$C$91)/30)))))*(1-(MOD((Ipotesi!$C$91),30)/30))+IF(20-(INT((Ipotesi!$C$91)/30))-1&lt;1,0,INDEX(Motore_Operativo!$BR$245:$BR$304,MAX(1,20-(INT((Ipotesi!$C$91)/30))-1)))*(MOD((Ipotesi!$C$91),30)/30))))*Piano_SS!$D$9,0))</f>
        <v>4500</v>
      </c>
      <c r="BZ264" s="15" t="n">
        <f aca="false">MIN(Piano_SS!$C$10,(BZ263)+IF(AND(Motore_Operativo!C264&gt;=EDATE(Parametri_v3!$C$24,Ipotesi!G14*12),Motore_Operativo!C264&lt;EDATE(Parametri_v3!$C$24,Parametri_v3!$C$25+Ipotesi!G14*12)),MAX(0,(IF(20-(INT((Ipotesi!$C$91)/30))&lt;1,0,INDEX(Motore_Operativo!$BO$245:$BO$304,MAX(1,20-(INT((Ipotesi!$C$91)/30)))))*(1-(MOD((Ipotesi!$C$91),30)/30))+IF(20-(INT((Ipotesi!$C$91)/30))-1&lt;1,0,INDEX(Motore_Operativo!$BO$245:$BO$304,MAX(1,20-(INT((Ipotesi!$C$91)/30))-1)))*(MOD((Ipotesi!$C$91),30)/30)))*Piano_SS!$D$10,0))</f>
        <v>2200</v>
      </c>
      <c r="CA264" s="15" t="n">
        <f aca="false">SUM(BV264:BZ264)</f>
        <v>20857.6100769811</v>
      </c>
      <c r="CB264" s="15" t="n">
        <f aca="false">BV264*(1-Piano_SS!$E$6)+BW264*(1-Piano_SS!$E$7)+BX264*(1-Piano_SS!$E$8)+BY264*(1-Piano_SS!$E$9)+BZ264*(1-Piano_SS!$E$10)</f>
        <v>18657.6100769811</v>
      </c>
      <c r="CC264" s="15" t="n">
        <f aca="false">(CC263)+BA264</f>
        <v>0</v>
      </c>
      <c r="CD264" s="15" t="n">
        <f aca="false">IF(CA264=0,0,CC264*CB264/CA264*Ipotesi!$C$103*Parametri_v3!$C$64)</f>
        <v>0</v>
      </c>
      <c r="CE264" s="18" t="n">
        <f aca="false">IF(BA264&gt;0,Motore_Operativo!C264,(CE263))</f>
        <v>0</v>
      </c>
      <c r="CF264" s="18" t="n">
        <f aca="false">IF(AND(CC264&gt;0,OR(CC264&gt;=CG264-0.01,Motore_Operativo!C264&gt;=EDATE(MAX(Finanziamenti!$D$15:$D$17),Ipotesi!G14*12))),CE264,0)</f>
        <v>0</v>
      </c>
      <c r="CG264" s="15" t="n">
        <f aca="false">IF(AND(5&lt;&gt;6,5&lt;&gt;9,Finanziamenti!$F$11=1,OR(Parametri_v3!$C$6=0,Finanziamenti!$E$11=1)),MIN(Finanziamenti!$C$11,Piano_SS!$C$12*Ipotesi!$C$102),0)</f>
        <v>400000</v>
      </c>
      <c r="CH264" s="15" t="n">
        <f aca="false">IF(AND(AND(5&lt;&gt;8,5&lt;&gt;9,Finanziamenti!$F$10=1,OR(Parametri_v3!$C$6=0,Finanziamenti!$E$10=1)),Motore_Operativo!C264&gt;=Finanziamenti!$D$10,Motore_Operativo!C264&lt;Parametri_v3!$C$63),Finanziamenti!$C$10,0)</f>
        <v>150000</v>
      </c>
    </row>
    <row r="265" customFormat="false" ht="18" hidden="false" customHeight="true" outlineLevel="0" collapsed="false">
      <c r="A265" s="68" t="n">
        <f aca="false">5</f>
        <v>5</v>
      </c>
      <c r="B265" s="68" t="n">
        <f aca="false">21</f>
        <v>21</v>
      </c>
      <c r="C265" s="18" t="n">
        <f aca="false">Motore_Operativo!C265</f>
        <v>46997</v>
      </c>
      <c r="D265" s="68" t="n">
        <f aca="false">Motore_Operativo!D265</f>
        <v>2028</v>
      </c>
      <c r="E265" s="68" t="n">
        <f aca="false">Motore_Operativo!E265</f>
        <v>9</v>
      </c>
      <c r="F265" s="15" t="n">
        <f aca="false">Motore_Operativo!AQ265+Motore_Operativo!BF265</f>
        <v>11954.5333683879</v>
      </c>
      <c r="G265" s="15" t="n">
        <f aca="false">Motore_Operativo!BH265</f>
        <v>1682.07042253521</v>
      </c>
      <c r="H265" s="15" t="n">
        <f aca="false">Motore_Operativo!BI265</f>
        <v>13636.6037909231</v>
      </c>
      <c r="I265" s="15" t="n">
        <f aca="false">Motore_Operativo!CA265</f>
        <v>29939.313450917</v>
      </c>
      <c r="J265" s="15" t="n">
        <f aca="false">Motore_Operativo!CC265</f>
        <v>-16302.7096599939</v>
      </c>
      <c r="K265" s="15" t="n">
        <f aca="false">Motore_Operativo!CE265</f>
        <v>2083.33333333333</v>
      </c>
      <c r="L265" s="15" t="n">
        <f aca="false">SUM(INDEX($K$245:$K$304,MAX(1,21-Parametri_v3!$C$59+1)):K265)/Parametri_v3!$C$59</f>
        <v>1076.38888888889</v>
      </c>
      <c r="M265" s="15" t="n">
        <f aca="false">J265-L265</f>
        <v>-17379.0985488828</v>
      </c>
      <c r="N265" s="15" t="n">
        <f aca="false">CD265-(CD264)</f>
        <v>0</v>
      </c>
      <c r="O265" s="15" t="n">
        <f aca="false">(BG264)*Ipotesi!$C$110/12+CH265*Parametri_v3!$C$39/12</f>
        <v>750</v>
      </c>
      <c r="P265" s="15" t="n">
        <f aca="false">M265+N265-O265</f>
        <v>-18129.0985488828</v>
      </c>
      <c r="Q265" s="15" t="n">
        <f aca="false">SUM(P257:P265)+Parametri_v3!$C$54*9/12</f>
        <v>-164532.179089354</v>
      </c>
      <c r="R265" s="15" t="n">
        <f aca="false">Z256</f>
        <v>147912.400053826</v>
      </c>
      <c r="S265" s="15" t="n">
        <f aca="false">AA256</f>
        <v>0</v>
      </c>
      <c r="T265" s="15" t="n">
        <f aca="false">MIN(R265,MAX(0,Q265))</f>
        <v>0</v>
      </c>
      <c r="U265" s="15" t="n">
        <f aca="false">MIN(S265,MAX(0,Q265-T265)*Parametri_v3!$C$42)</f>
        <v>0</v>
      </c>
      <c r="V265" s="15" t="n">
        <f aca="false">MAX(0,Q265-T265-U265)*Ipotesi!$C$92</f>
        <v>0</v>
      </c>
      <c r="W265" s="15" t="n">
        <f aca="false">MAX(0,SUM(M257:M265)+Parametri_v3!$C$55*9/12)*Ipotesi!$C$93</f>
        <v>0</v>
      </c>
      <c r="X265" s="15" t="n">
        <f aca="false">V265+W265-(V264+W264)</f>
        <v>0</v>
      </c>
      <c r="Y265" s="15" t="n">
        <f aca="false">P265-X265</f>
        <v>-18129.0985488828</v>
      </c>
      <c r="Z265" s="15" t="n">
        <f aca="false">R265-T265+IF(AND(Parametri_v3!$C$40=1,D265-YEAR(Parametri_v3!$C$50)&lt;Parametri_v3!$C$41),MAX(0,-Q265),0)</f>
        <v>312444.57914318</v>
      </c>
      <c r="AA265" s="15" t="n">
        <f aca="false">S265-U265+IF(AND(Parametri_v3!$C$40=1,D265-YEAR(Parametri_v3!$C$50)&lt;Parametri_v3!$C$41),0,MAX(0,-Q265))</f>
        <v>0</v>
      </c>
      <c r="AB265" s="15" t="n">
        <f aca="false">F265*(1+Parametri_v3!$C$26)</f>
        <v>14584.5307094333</v>
      </c>
      <c r="AC265" s="15" t="n">
        <f aca="false">(IF(21-(INT((Motore_Operativo!L265)/30))&lt;1,0,INDEX(Motore_Startup!$AB$245:$AB$304,MAX(1,21-(INT((Motore_Operativo!L265)/30)))))*(1-(MOD((Motore_Operativo!L265),30)/30))+IF(21-(INT((Motore_Operativo!L265)/30))-1&lt;1,0,INDEX(Motore_Startup!$AB$245:$AB$304,MAX(1,21-(INT((Motore_Operativo!L265)/30))-1)))*(MOD((Motore_Operativo!L265),30)/30))</f>
        <v>13825.8035642426</v>
      </c>
      <c r="AD265" s="15" t="n">
        <f aca="false">(AD264)+AB265-AC265</f>
        <v>57208.3590092461</v>
      </c>
      <c r="AE265" s="15" t="n">
        <f aca="false">Motore_Operativo!BH265*(1+Parametri_v3!$C$26)</f>
        <v>2052.12591549296</v>
      </c>
      <c r="AF265" s="15" t="n">
        <f aca="false">(IF(21-(INT((Parametri_v3!$C$29)/30))&lt;1,0,INDEX(Motore_Operativo!$BH$245:$BH$304,MAX(1,21-(INT((Parametri_v3!$C$29)/30)))))*(1-(MOD((Parametri_v3!$C$29),30)/30))+IF(21-(INT((Parametri_v3!$C$29)/30))-1&lt;1,0,INDEX(Motore_Operativo!$BH$245:$BH$304,MAX(1,21-(INT((Parametri_v3!$C$29)/30))-1)))*(MOD((Parametri_v3!$C$29),30)/30))*(1+Parametri_v3!$C$26)</f>
        <v>2052.12591549296</v>
      </c>
      <c r="AG265" s="15" t="n">
        <f aca="false">(AG264)+AE265-AF265</f>
        <v>2052.12591549296</v>
      </c>
      <c r="AH265" s="15" t="n">
        <f aca="false">(Motore_Operativo!CJ265)*(1+Parametri_v3!$C$27*Parametri_v3!$C$26)</f>
        <v>11421.8344412385</v>
      </c>
      <c r="AI265" s="15" t="n">
        <f aca="false">(IF(21-(INT((Ipotesi!$C$91)/30))&lt;1,0,INDEX(Motore_Startup!$AH$245:$AH$304,MAX(1,21-(INT((Ipotesi!$C$91)/30)))))*(1-(MOD((Ipotesi!$C$91),30)/30))+IF(21-(INT((Ipotesi!$C$91)/30))-1&lt;1,0,INDEX(Motore_Startup!$AH$245:$AH$304,MAX(1,21-(INT((Ipotesi!$C$91)/30))-1)))*(MOD((Ipotesi!$C$91),30)/30))</f>
        <v>11370.6138382534</v>
      </c>
      <c r="AJ265" s="15" t="n">
        <f aca="false">(AJ264)+AH265-AI265</f>
        <v>22818.171010036</v>
      </c>
      <c r="AK265" s="15" t="n">
        <f aca="false">(F265+ Motore_Operativo!BH265-(Motore_Operativo!CJ265)*Parametri_v3!$C$27-Motore_Operativo!CE265)*Parametri_v3!$C$26</f>
        <v>742.323510348271</v>
      </c>
      <c r="AL265" s="15" t="n">
        <f aca="false">MAX(0,(AM264))</f>
        <v>0</v>
      </c>
      <c r="AM265" s="15" t="n">
        <f aca="false">(AM264)+AK265-AL265</f>
        <v>-266.978323060994</v>
      </c>
      <c r="AN265" s="15" t="n">
        <f aca="false">SUM(X245:X256)</f>
        <v>0</v>
      </c>
      <c r="AO265" s="15" t="n">
        <f aca="false">SUM(AP245:AP256)</f>
        <v>0</v>
      </c>
      <c r="AP265" s="15" t="n">
        <f aca="false">MAX(0,AN265)*IF(9=Parametri_v3!$C$43,Parametri_v3!$C$45,IF(9=Parametri_v3!$C$44,1-Parametri_v3!$C$45,0))</f>
        <v>0</v>
      </c>
      <c r="AQ265" s="15" t="n">
        <f aca="false">MAX(0,AP265+IF(9=Parametri_v3!$C$43,MAX(0,AN265-AO265),0)-MAX(0,-(AR264)))</f>
        <v>0</v>
      </c>
      <c r="AR265" s="15" t="n">
        <f aca="false">(AR264)+X265-AQ265</f>
        <v>0</v>
      </c>
      <c r="AS265" s="15" t="n">
        <f aca="false">Motore_Operativo!AB265-AT265+AU265</f>
        <v>19301.03125</v>
      </c>
      <c r="AT265" s="15" t="n">
        <f aca="false">Motore_Operativo!CH265</f>
        <v>1015.84375</v>
      </c>
      <c r="AU265" s="15" t="n">
        <f aca="false">MIN(MAX(0,(AV264)+AT265),Parametri_v3!$C$60/12)</f>
        <v>0</v>
      </c>
      <c r="AV265" s="15" t="n">
        <f aca="false">(AV264)+AT265-AU265</f>
        <v>15430.09375</v>
      </c>
      <c r="AW265" s="15" t="n">
        <f aca="false">IF(AND(Motore_Operativo!C265=Finanziamenti!$D$6,Finanziamenti!$F$6=1),Finanziamenti!$C$6,0)</f>
        <v>0</v>
      </c>
      <c r="AX265" s="15" t="n">
        <f aca="false">IF(AND(5&lt;&gt;7,5&lt;&gt;9,Finanziamenti!$F$8=1,OR(Parametri_v3!$C$6=0,Finanziamenti!$E$8=1),Motore_Operativo!C265=EDATE(Finanziamenti!$D$8,Ipotesi!G15*12)),Finanziamenti!$C$8*1,0)+IF(AND(5&lt;&gt;7,5&lt;&gt;9,Finanziamenti!$F$9=1,OR(Parametri_v3!$C$6=0,Finanziamenti!$E$9=1),Motore_Operativo!C265=EDATE(Finanziamenti!$D$9,Ipotesi!G15*12)),Finanziamenti!$C$9*Ipotesi!G16,0)</f>
        <v>0</v>
      </c>
      <c r="AY265" s="15" t="n">
        <f aca="false">0</f>
        <v>0</v>
      </c>
      <c r="AZ265" s="15" t="n">
        <f aca="false">Motore_Advisory!AY265*(1-Ipotesi!$C$95)*Ipotesi!$C$96</f>
        <v>0</v>
      </c>
      <c r="BA265" s="15" t="n">
        <f aca="false">MAX(0,MIN(CG265*MIN(1,IF(Motore_Operativo!C265&gt;=EDATE(Finanziamenti!$D$15,Ipotesi!G14*12),Finanziamenti!$C$15,0)+IF(Motore_Operativo!C265&gt;=EDATE(Finanziamenti!$D$16,Ipotesi!G14*12),Finanziamenti!$C$16,0)+IF(Motore_Operativo!C265&gt;=EDATE(Finanziamenti!$D$17,Ipotesi!G14*12),Finanziamenti!$C$17,0)),CA265*Ipotesi!$C$102)-(CC264))</f>
        <v>0</v>
      </c>
      <c r="BB265" s="15" t="n">
        <f aca="false">IF(AND(CF265&gt;0,Motore_Operativo!C265&gt;=IF(CF265=0,0,EDATE(CF265,Parametri_v3!$C$37)),MOD(((D265-YEAR(IF(CF265=0,0,EDATE(CF265,Parametri_v3!$C$37))))*12+E265-MONTH(IF(CF265=0,0,EDATE(CF265,Parametri_v3!$C$37)))),Parametri_v3!$C$38)=0),MIN(MAX(0,(BC264)+BA265-N265),(CC265-CD265)/(Ipotesi!$C$108*12/Parametri_v3!$C$38)),0)</f>
        <v>0</v>
      </c>
      <c r="BC265" s="15" t="n">
        <f aca="false">(BC264)+BA265-N265-BB265</f>
        <v>0</v>
      </c>
      <c r="BD265" s="15" t="n">
        <f aca="false">(BH264)+AC265+AF265-AI265-AS265-K265*(1+Parametri_v3!$C$26)-AL265-AQ265-O265+AW265+AX265+AZ265+BA265-BB265</f>
        <v>-81258.4998531657</v>
      </c>
      <c r="BE265" s="15" t="n">
        <f aca="false">MAX(0,MIN(MAX(0,CH265-(BG264)),Parametri_v3!$C$30-BD265))</f>
        <v>0</v>
      </c>
      <c r="BF265" s="15" t="n">
        <f aca="false">IF(Motore_Operativo!C265&gt;=Parametri_v3!$C$63,(BG264),MIN((BG264),MAX(0,BD265-Parametri_v3!$C$30)))</f>
        <v>0</v>
      </c>
      <c r="BG265" s="15" t="n">
        <f aca="false">(BG264)+BE265-BF265</f>
        <v>150000</v>
      </c>
      <c r="BH265" s="15" t="n">
        <f aca="false">BD265+BE265-BF265-AY265</f>
        <v>-81258.4998531657</v>
      </c>
      <c r="BI265" s="15" t="n">
        <f aca="false">MAX(0,Parametri_v3!$C$30-BH265)</f>
        <v>106258.499853166</v>
      </c>
      <c r="BJ265" s="15" t="n">
        <f aca="false">(BJ264)+K265</f>
        <v>38750</v>
      </c>
      <c r="BK265" s="15" t="n">
        <f aca="false">(BK264)+L265</f>
        <v>11215.2777777778</v>
      </c>
      <c r="BL265" s="15" t="n">
        <f aca="false">BJ265-BK265</f>
        <v>27534.7222222222</v>
      </c>
      <c r="BM265" s="15" t="n">
        <f aca="false">(BM264)+Y265</f>
        <v>-312444.57914318</v>
      </c>
      <c r="BN265" s="15" t="n">
        <f aca="false">(BN264)+AW265+AX265+AZ265</f>
        <v>130000</v>
      </c>
      <c r="BO265" s="15" t="n">
        <f aca="false">(BO264)+AY265</f>
        <v>0</v>
      </c>
      <c r="BP265" s="15" t="n">
        <f aca="false">0</f>
        <v>0</v>
      </c>
      <c r="BQ265" s="15" t="n">
        <f aca="false">BN265+BM265-BO265</f>
        <v>-182444.57914318</v>
      </c>
      <c r="BR265" s="15" t="n">
        <f aca="false">BH265+AD265+BL265+MAX(0,-AM265)+MAX(0,-AR265)+AG265</f>
        <v>5803.68561685661</v>
      </c>
      <c r="BS265" s="15" t="n">
        <f aca="false">AJ265+AV265+MAX(0,AM265)+MAX(0,AR265)+BC265+BG265+BQ265</f>
        <v>5803.68561685644</v>
      </c>
      <c r="BT265" s="15" t="n">
        <f aca="false">BR265-BS265</f>
        <v>1.67347025126219E-010</v>
      </c>
      <c r="BU265" s="15" t="n">
        <f aca="false">BH265-(BD265+BE265-BF265-AY265)</f>
        <v>0</v>
      </c>
      <c r="BV265" s="15" t="n">
        <f aca="false">MIN(Piano_SS!$C$6,(BV264)+IF(AND(Motore_Operativo!C265&gt;=EDATE(Parametri_v3!$C$24,Ipotesi!G14*12),Motore_Operativo!C265&lt;EDATE(Parametri_v3!$C$24,Parametri_v3!$C$25+Ipotesi!G14*12)),MAX(0,(Motore_Operativo!Y265+Motore_Operativo!X265*Parametri_v3!$C$14)*(1-Parametri_v3!$C$32))*Piano_SS!$D$6,0))</f>
        <v>12537.03125</v>
      </c>
      <c r="BW265" s="15" t="n">
        <f aca="false">MIN(Piano_SS!$C$7,(BW264)+IF(AND(Motore_Operativo!C265&gt;=EDATE(Parametri_v3!$C$24,Ipotesi!G14*12),Motore_Operativo!C265&lt;EDATE(Parametri_v3!$C$24,Parametri_v3!$C$25+Ipotesi!G14*12)),MAX(0,(IF(21-(INT((Ipotesi!$C$91)/30))&lt;1,0,INDEX(Motore_Operativo!$BN$245:$BN$304,MAX(1,21-(INT((Ipotesi!$C$91)/30)))))*(1-(MOD((Ipotesi!$C$91),30)/30))+IF(21-(INT((Ipotesi!$C$91)/30))-1&lt;1,0,INDEX(Motore_Operativo!$BN$245:$BN$304,MAX(1,21-(INT((Ipotesi!$C$91)/30))-1)))*(MOD((Ipotesi!$C$91),30)/30)))*Piano_SS!$D$7,0))</f>
        <v>2468.17735597905</v>
      </c>
      <c r="BX265" s="15" t="n">
        <f aca="false">MIN(Piano_SS!$C$8,(BX264)+IF(AND(Motore_Operativo!C265&gt;=EDATE(Parametri_v3!$C$24,Ipotesi!G14*12),Motore_Operativo!C265&lt;EDATE(Parametri_v3!$C$24,Parametri_v3!$C$25+Ipotesi!G14*12)),MAX(0,Motore_Operativo!CE265)*Piano_SS!$D$8,0))</f>
        <v>6250</v>
      </c>
      <c r="BY265" s="15" t="n">
        <f aca="false">MIN(Piano_SS!$C$9,(BY264)+IF(AND(Motore_Operativo!C265&gt;=EDATE(Parametri_v3!$C$24,Ipotesi!G14*12),Motore_Operativo!C265&lt;EDATE(Parametri_v3!$C$24,Parametri_v3!$C$25+Ipotesi!G14*12)),MAX(0,((IF(21-(INT((Ipotesi!$C$91)/30))&lt;1,0,INDEX(Motore_Operativo!$BQ$245:$BQ$304,MAX(1,21-(INT((Ipotesi!$C$91)/30)))))*(1-(MOD((Ipotesi!$C$91),30)/30))+IF(21-(INT((Ipotesi!$C$91)/30))-1&lt;1,0,INDEX(Motore_Operativo!$BQ$245:$BQ$304,MAX(1,21-(INT((Ipotesi!$C$91)/30))-1)))*(MOD((Ipotesi!$C$91),30)/30))+(IF(21-(INT((Ipotesi!$C$91)/30))&lt;1,0,INDEX(Motore_Operativo!$BR$245:$BR$304,MAX(1,21-(INT((Ipotesi!$C$91)/30)))))*(1-(MOD((Ipotesi!$C$91),30)/30))+IF(21-(INT((Ipotesi!$C$91)/30))-1&lt;1,0,INDEX(Motore_Operativo!$BR$245:$BR$304,MAX(1,21-(INT((Ipotesi!$C$91)/30))-1)))*(MOD((Ipotesi!$C$91),30)/30))))*Piano_SS!$D$9,0))</f>
        <v>6750</v>
      </c>
      <c r="BZ265" s="15" t="n">
        <f aca="false">MIN(Piano_SS!$C$10,(BZ264)+IF(AND(Motore_Operativo!C265&gt;=EDATE(Parametri_v3!$C$24,Ipotesi!G14*12),Motore_Operativo!C265&lt;EDATE(Parametri_v3!$C$24,Parametri_v3!$C$25+Ipotesi!G14*12)),MAX(0,(IF(21-(INT((Ipotesi!$C$91)/30))&lt;1,0,INDEX(Motore_Operativo!$BO$245:$BO$304,MAX(1,21-(INT((Ipotesi!$C$91)/30)))))*(1-(MOD((Ipotesi!$C$91),30)/30))+IF(21-(INT((Ipotesi!$C$91)/30))-1&lt;1,0,INDEX(Motore_Operativo!$BO$245:$BO$304,MAX(1,21-(INT((Ipotesi!$C$91)/30))-1)))*(MOD((Ipotesi!$C$91),30)/30)))*Piano_SS!$D$10,0))</f>
        <v>3300</v>
      </c>
      <c r="CA265" s="15" t="n">
        <f aca="false">SUM(BV265:BZ265)</f>
        <v>31305.2086059791</v>
      </c>
      <c r="CB265" s="15" t="n">
        <f aca="false">BV265*(1-Piano_SS!$E$6)+BW265*(1-Piano_SS!$E$7)+BX265*(1-Piano_SS!$E$8)+BY265*(1-Piano_SS!$E$9)+BZ265*(1-Piano_SS!$E$10)</f>
        <v>28005.2086059791</v>
      </c>
      <c r="CC265" s="15" t="n">
        <f aca="false">(CC264)+BA265</f>
        <v>0</v>
      </c>
      <c r="CD265" s="15" t="n">
        <f aca="false">IF(CA265=0,0,CC265*CB265/CA265*Ipotesi!$C$103*Parametri_v3!$C$64)</f>
        <v>0</v>
      </c>
      <c r="CE265" s="18" t="n">
        <f aca="false">IF(BA265&gt;0,Motore_Operativo!C265,(CE264))</f>
        <v>0</v>
      </c>
      <c r="CF265" s="18" t="n">
        <f aca="false">IF(AND(CC265&gt;0,OR(CC265&gt;=CG265-0.01,Motore_Operativo!C265&gt;=EDATE(MAX(Finanziamenti!$D$15:$D$17),Ipotesi!G14*12))),CE265,0)</f>
        <v>0</v>
      </c>
      <c r="CG265" s="15" t="n">
        <f aca="false">IF(AND(5&lt;&gt;6,5&lt;&gt;9,Finanziamenti!$F$11=1,OR(Parametri_v3!$C$6=0,Finanziamenti!$E$11=1)),MIN(Finanziamenti!$C$11,Piano_SS!$C$12*Ipotesi!$C$102),0)</f>
        <v>400000</v>
      </c>
      <c r="CH265" s="15" t="n">
        <f aca="false">IF(AND(AND(5&lt;&gt;8,5&lt;&gt;9,Finanziamenti!$F$10=1,OR(Parametri_v3!$C$6=0,Finanziamenti!$E$10=1)),Motore_Operativo!C265&gt;=Finanziamenti!$D$10,Motore_Operativo!C265&lt;Parametri_v3!$C$63),Finanziamenti!$C$10,0)</f>
        <v>150000</v>
      </c>
    </row>
    <row r="266" customFormat="false" ht="18" hidden="false" customHeight="true" outlineLevel="0" collapsed="false">
      <c r="A266" s="68" t="n">
        <f aca="false">5</f>
        <v>5</v>
      </c>
      <c r="B266" s="68" t="n">
        <f aca="false">22</f>
        <v>22</v>
      </c>
      <c r="C266" s="18" t="n">
        <f aca="false">Motore_Operativo!C266</f>
        <v>47027</v>
      </c>
      <c r="D266" s="68" t="n">
        <f aca="false">Motore_Operativo!D266</f>
        <v>2028</v>
      </c>
      <c r="E266" s="68" t="n">
        <f aca="false">Motore_Operativo!E266</f>
        <v>10</v>
      </c>
      <c r="F266" s="15" t="n">
        <f aca="false">Motore_Operativo!AQ266+Motore_Operativo!BF266</f>
        <v>12106.6273626107</v>
      </c>
      <c r="G266" s="15" t="n">
        <f aca="false">Motore_Operativo!BH266</f>
        <v>1682.07042253521</v>
      </c>
      <c r="H266" s="15" t="n">
        <f aca="false">Motore_Operativo!BI266</f>
        <v>13788.6977851459</v>
      </c>
      <c r="I266" s="15" t="n">
        <f aca="false">Motore_Operativo!CA266</f>
        <v>29960.6066101082</v>
      </c>
      <c r="J266" s="15" t="n">
        <f aca="false">Motore_Operativo!CC266</f>
        <v>-16171.9088249623</v>
      </c>
      <c r="K266" s="15" t="n">
        <f aca="false">Motore_Operativo!CE266</f>
        <v>2083.33333333333</v>
      </c>
      <c r="L266" s="15" t="n">
        <f aca="false">SUM(INDEX($K$245:$K$304,MAX(1,22-Parametri_v3!$C$59+1)):K266)/Parametri_v3!$C$59</f>
        <v>1134.25925925926</v>
      </c>
      <c r="M266" s="15" t="n">
        <f aca="false">J266-L266</f>
        <v>-17306.1680842215</v>
      </c>
      <c r="N266" s="15" t="n">
        <f aca="false">CD266-(CD265)</f>
        <v>0</v>
      </c>
      <c r="O266" s="15" t="n">
        <f aca="false">(BG265)*Ipotesi!$C$110/12+CH266*Parametri_v3!$C$39/12</f>
        <v>750</v>
      </c>
      <c r="P266" s="15" t="n">
        <f aca="false">M266+N266-O266</f>
        <v>-18056.1680842215</v>
      </c>
      <c r="Q266" s="15" t="n">
        <f aca="false">SUM(P257:P266)+Parametri_v3!$C$54*10/12</f>
        <v>-182588.347173576</v>
      </c>
      <c r="R266" s="15" t="n">
        <f aca="false">Z256</f>
        <v>147912.400053826</v>
      </c>
      <c r="S266" s="15" t="n">
        <f aca="false">AA256</f>
        <v>0</v>
      </c>
      <c r="T266" s="15" t="n">
        <f aca="false">MIN(R266,MAX(0,Q266))</f>
        <v>0</v>
      </c>
      <c r="U266" s="15" t="n">
        <f aca="false">MIN(S266,MAX(0,Q266-T266)*Parametri_v3!$C$42)</f>
        <v>0</v>
      </c>
      <c r="V266" s="15" t="n">
        <f aca="false">MAX(0,Q266-T266-U266)*Ipotesi!$C$92</f>
        <v>0</v>
      </c>
      <c r="W266" s="15" t="n">
        <f aca="false">MAX(0,SUM(M257:M266)+Parametri_v3!$C$55*10/12)*Ipotesi!$C$93</f>
        <v>0</v>
      </c>
      <c r="X266" s="15" t="n">
        <f aca="false">V266+W266-(V265+W265)</f>
        <v>0</v>
      </c>
      <c r="Y266" s="15" t="n">
        <f aca="false">P266-X266</f>
        <v>-18056.1680842215</v>
      </c>
      <c r="Z266" s="15" t="n">
        <f aca="false">R266-T266+IF(AND(Parametri_v3!$C$40=1,D266-YEAR(Parametri_v3!$C$50)&lt;Parametri_v3!$C$41),MAX(0,-Q266),0)</f>
        <v>330500.747227401</v>
      </c>
      <c r="AA266" s="15" t="n">
        <f aca="false">S266-U266+IF(AND(Parametri_v3!$C$40=1,D266-YEAR(Parametri_v3!$C$50)&lt;Parametri_v3!$C$41),0,MAX(0,-Q266))</f>
        <v>0</v>
      </c>
      <c r="AB266" s="15" t="n">
        <f aca="false">F266*(1+Parametri_v3!$C$26)</f>
        <v>14770.0853823851</v>
      </c>
      <c r="AC266" s="15" t="n">
        <f aca="false">(IF(22-(INT((Motore_Operativo!L266)/30))&lt;1,0,INDEX(Motore_Startup!$AB$245:$AB$304,MAX(1,22-(INT((Motore_Operativo!L266)/30)))))*(1-(MOD((Motore_Operativo!L266),30)/30))+IF(22-(INT((Motore_Operativo!L266)/30))-1&lt;1,0,INDEX(Motore_Startup!$AB$245:$AB$304,MAX(1,22-(INT((Motore_Operativo!L266)/30))-1)))*(MOD((Motore_Operativo!L266),30)/30))</f>
        <v>14017.9907347184</v>
      </c>
      <c r="AD266" s="15" t="n">
        <f aca="false">(AD265)+AB266-AC266</f>
        <v>57960.4536569128</v>
      </c>
      <c r="AE266" s="15" t="n">
        <f aca="false">Motore_Operativo!BH266*(1+Parametri_v3!$C$26)</f>
        <v>2052.12591549296</v>
      </c>
      <c r="AF266" s="15" t="n">
        <f aca="false">(IF(22-(INT((Parametri_v3!$C$29)/30))&lt;1,0,INDEX(Motore_Operativo!$BH$245:$BH$304,MAX(1,22-(INT((Parametri_v3!$C$29)/30)))))*(1-(MOD((Parametri_v3!$C$29),30)/30))+IF(22-(INT((Parametri_v3!$C$29)/30))-1&lt;1,0,INDEX(Motore_Operativo!$BH$245:$BH$304,MAX(1,22-(INT((Parametri_v3!$C$29)/30))-1)))*(MOD((Parametri_v3!$C$29),30)/30))*(1+Parametri_v3!$C$26)</f>
        <v>2052.12591549296</v>
      </c>
      <c r="AG266" s="15" t="n">
        <f aca="false">(AG265)+AE266-AF266</f>
        <v>2052.12591549296</v>
      </c>
      <c r="AH266" s="15" t="n">
        <f aca="false">(Motore_Operativo!CJ266)*(1+Parametri_v3!$C$27*Parametri_v3!$C$26)</f>
        <v>11447.1094211985</v>
      </c>
      <c r="AI266" s="15" t="n">
        <f aca="false">(IF(22-(INT((Ipotesi!$C$91)/30))&lt;1,0,INDEX(Motore_Startup!$AH$245:$AH$304,MAX(1,22-(INT((Ipotesi!$C$91)/30)))))*(1-(MOD((Ipotesi!$C$91),30)/30))+IF(22-(INT((Ipotesi!$C$91)/30))-1&lt;1,0,INDEX(Motore_Startup!$AH$245:$AH$304,MAX(1,22-(INT((Ipotesi!$C$91)/30))-1)))*(MOD((Ipotesi!$C$91),30)/30))</f>
        <v>11396.3365687975</v>
      </c>
      <c r="AJ266" s="15" t="n">
        <f aca="false">(AJ265)+AH266-AI266</f>
        <v>22868.943862437</v>
      </c>
      <c r="AK266" s="15" t="n">
        <f aca="false">(F266+ Motore_Operativo!BH266-(Motore_Operativo!CJ266)*Parametri_v3!$C$27-Motore_Operativo!CE266)*Parametri_v3!$C$26</f>
        <v>771.802368308536</v>
      </c>
      <c r="AL266" s="15" t="n">
        <f aca="false">MAX(0,(AM265))</f>
        <v>0</v>
      </c>
      <c r="AM266" s="15" t="n">
        <f aca="false">(AM265)+AK266-AL266</f>
        <v>504.824045247542</v>
      </c>
      <c r="AN266" s="15" t="n">
        <f aca="false">SUM(X245:X256)</f>
        <v>0</v>
      </c>
      <c r="AO266" s="15" t="n">
        <f aca="false">SUM(AP245:AP256)</f>
        <v>0</v>
      </c>
      <c r="AP266" s="15" t="n">
        <f aca="false">MAX(0,AN266)*IF(10=Parametri_v3!$C$43,Parametri_v3!$C$45,IF(10=Parametri_v3!$C$44,1-Parametri_v3!$C$45,0))</f>
        <v>0</v>
      </c>
      <c r="AQ266" s="15" t="n">
        <f aca="false">MAX(0,AP266+IF(10=Parametri_v3!$C$43,MAX(0,AN266-AO266),0)-MAX(0,-(AR265)))</f>
        <v>0</v>
      </c>
      <c r="AR266" s="15" t="n">
        <f aca="false">(AR265)+X266-AQ266</f>
        <v>0</v>
      </c>
      <c r="AS266" s="15" t="n">
        <f aca="false">Motore_Operativo!AB266-AT266+AU266</f>
        <v>19301.03125</v>
      </c>
      <c r="AT266" s="15" t="n">
        <f aca="false">Motore_Operativo!CH266</f>
        <v>1015.84375</v>
      </c>
      <c r="AU266" s="15" t="n">
        <f aca="false">MIN(MAX(0,(AV265)+AT266),Parametri_v3!$C$60/12)</f>
        <v>0</v>
      </c>
      <c r="AV266" s="15" t="n">
        <f aca="false">(AV265)+AT266-AU266</f>
        <v>16445.9375</v>
      </c>
      <c r="AW266" s="15" t="n">
        <f aca="false">IF(AND(Motore_Operativo!C266=Finanziamenti!$D$6,Finanziamenti!$F$6=1),Finanziamenti!$C$6,0)</f>
        <v>0</v>
      </c>
      <c r="AX266" s="15" t="n">
        <f aca="false">IF(AND(5&lt;&gt;7,5&lt;&gt;9,Finanziamenti!$F$8=1,OR(Parametri_v3!$C$6=0,Finanziamenti!$E$8=1),Motore_Operativo!C266=EDATE(Finanziamenti!$D$8,Ipotesi!G15*12)),Finanziamenti!$C$8*1,0)+IF(AND(5&lt;&gt;7,5&lt;&gt;9,Finanziamenti!$F$9=1,OR(Parametri_v3!$C$6=0,Finanziamenti!$E$9=1),Motore_Operativo!C266=EDATE(Finanziamenti!$D$9,Ipotesi!G15*12)),Finanziamenti!$C$9*Ipotesi!G16,0)</f>
        <v>0</v>
      </c>
      <c r="AY266" s="15" t="n">
        <f aca="false">0</f>
        <v>0</v>
      </c>
      <c r="AZ266" s="15" t="n">
        <f aca="false">Motore_Advisory!AY266*(1-Ipotesi!$C$95)*Ipotesi!$C$96</f>
        <v>0</v>
      </c>
      <c r="BA266" s="15" t="n">
        <f aca="false">MAX(0,MIN(CG266*MIN(1,IF(Motore_Operativo!C266&gt;=EDATE(Finanziamenti!$D$15,Ipotesi!G14*12),Finanziamenti!$C$15,0)+IF(Motore_Operativo!C266&gt;=EDATE(Finanziamenti!$D$16,Ipotesi!G14*12),Finanziamenti!$C$16,0)+IF(Motore_Operativo!C266&gt;=EDATE(Finanziamenti!$D$17,Ipotesi!G14*12),Finanziamenti!$C$17,0)),CA266*Ipotesi!$C$102)-(CC265))</f>
        <v>0</v>
      </c>
      <c r="BB266" s="15" t="n">
        <f aca="false">IF(AND(CF266&gt;0,Motore_Operativo!C266&gt;=IF(CF266=0,0,EDATE(CF266,Parametri_v3!$C$37)),MOD(((D266-YEAR(IF(CF266=0,0,EDATE(CF266,Parametri_v3!$C$37))))*12+E266-MONTH(IF(CF266=0,0,EDATE(CF266,Parametri_v3!$C$37)))),Parametri_v3!$C$38)=0),MIN(MAX(0,(BC265)+BA266-N266),(CC266-CD266)/(Ipotesi!$C$108*12/Parametri_v3!$C$38)),0)</f>
        <v>0</v>
      </c>
      <c r="BC266" s="15" t="n">
        <f aca="false">(BC265)+BA266-N266-BB266</f>
        <v>0</v>
      </c>
      <c r="BD266" s="15" t="n">
        <f aca="false">(BH265)+AC266+AF266-AI266-AS266-K266*(1+Parametri_v3!$C$26)-AL266-AQ266-O266+AW266+AX266+AZ266+BA266-BB266</f>
        <v>-99177.4176884185</v>
      </c>
      <c r="BE266" s="15" t="n">
        <f aca="false">MAX(0,MIN(MAX(0,CH266-(BG265)),Parametri_v3!$C$30-BD266))</f>
        <v>0</v>
      </c>
      <c r="BF266" s="15" t="n">
        <f aca="false">IF(Motore_Operativo!C266&gt;=Parametri_v3!$C$63,(BG265),MIN((BG265),MAX(0,BD266-Parametri_v3!$C$30)))</f>
        <v>0</v>
      </c>
      <c r="BG266" s="15" t="n">
        <f aca="false">(BG265)+BE266-BF266</f>
        <v>150000</v>
      </c>
      <c r="BH266" s="15" t="n">
        <f aca="false">BD266+BE266-BF266-AY266</f>
        <v>-99177.4176884185</v>
      </c>
      <c r="BI266" s="15" t="n">
        <f aca="false">MAX(0,Parametri_v3!$C$30-BH266)</f>
        <v>124177.417688418</v>
      </c>
      <c r="BJ266" s="15" t="n">
        <f aca="false">(BJ265)+K266</f>
        <v>40833.3333333333</v>
      </c>
      <c r="BK266" s="15" t="n">
        <f aca="false">(BK265)+L266</f>
        <v>12349.537037037</v>
      </c>
      <c r="BL266" s="15" t="n">
        <f aca="false">BJ266-BK266</f>
        <v>28483.7962962963</v>
      </c>
      <c r="BM266" s="15" t="n">
        <f aca="false">(BM265)+Y266</f>
        <v>-330500.747227401</v>
      </c>
      <c r="BN266" s="15" t="n">
        <f aca="false">(BN265)+AW266+AX266+AZ266</f>
        <v>130000</v>
      </c>
      <c r="BO266" s="15" t="n">
        <f aca="false">(BO265)+AY266</f>
        <v>0</v>
      </c>
      <c r="BP266" s="15" t="n">
        <f aca="false">0</f>
        <v>0</v>
      </c>
      <c r="BQ266" s="15" t="n">
        <f aca="false">BN266+BM266-BO266</f>
        <v>-200500.747227401</v>
      </c>
      <c r="BR266" s="15" t="n">
        <f aca="false">BH266+AD266+BL266+MAX(0,-AM266)+MAX(0,-AR266)+AG266</f>
        <v>-10681.0418197164</v>
      </c>
      <c r="BS266" s="15" t="n">
        <f aca="false">AJ266+AV266+MAX(0,AM266)+MAX(0,AR266)+BC266+BG266+BQ266</f>
        <v>-10681.0418197166</v>
      </c>
      <c r="BT266" s="15" t="n">
        <f aca="false">BR266-BS266</f>
        <v>1.60071067512035E-010</v>
      </c>
      <c r="BU266" s="15" t="n">
        <f aca="false">BH266-(BD266+BE266-BF266-AY266)</f>
        <v>0</v>
      </c>
      <c r="BV266" s="15" t="n">
        <f aca="false">MIN(Piano_SS!$C$6,(BV265)+IF(AND(Motore_Operativo!C266&gt;=EDATE(Parametri_v3!$C$24,Ipotesi!G14*12),Motore_Operativo!C266&lt;EDATE(Parametri_v3!$C$24,Parametri_v3!$C$25+Ipotesi!G14*12)),MAX(0,(Motore_Operativo!Y266+Motore_Operativo!X266*Parametri_v3!$C$14)*(1-Parametri_v3!$C$32))*Piano_SS!$D$6,0))</f>
        <v>16716.0416666667</v>
      </c>
      <c r="BW266" s="15" t="n">
        <f aca="false">MIN(Piano_SS!$C$7,(BW265)+IF(AND(Motore_Operativo!C266&gt;=EDATE(Parametri_v3!$C$24,Ipotesi!G14*12),Motore_Operativo!C266&lt;EDATE(Parametri_v3!$C$24,Parametri_v3!$C$25+Ipotesi!G14*12)),MAX(0,(IF(22-(INT((Ipotesi!$C$91)/30))&lt;1,0,INDEX(Motore_Operativo!$BN$245:$BN$304,MAX(1,22-(INT((Ipotesi!$C$91)/30)))))*(1-(MOD((Ipotesi!$C$91),30)/30))+IF(22-(INT((Ipotesi!$C$91)/30))-1&lt;1,0,INDEX(Motore_Operativo!$BN$245:$BN$304,MAX(1,22-(INT((Ipotesi!$C$91)/30))-1)))*(MOD((Ipotesi!$C$91),30)/30)))*Piano_SS!$D$7,0))</f>
        <v>3315.81520420035</v>
      </c>
      <c r="BX266" s="15" t="n">
        <f aca="false">MIN(Piano_SS!$C$8,(BX265)+IF(AND(Motore_Operativo!C266&gt;=EDATE(Parametri_v3!$C$24,Ipotesi!G14*12),Motore_Operativo!C266&lt;EDATE(Parametri_v3!$C$24,Parametri_v3!$C$25+Ipotesi!G14*12)),MAX(0,Motore_Operativo!CE266)*Piano_SS!$D$8,0))</f>
        <v>8333.33333333333</v>
      </c>
      <c r="BY266" s="15" t="n">
        <f aca="false">MIN(Piano_SS!$C$9,(BY265)+IF(AND(Motore_Operativo!C266&gt;=EDATE(Parametri_v3!$C$24,Ipotesi!G14*12),Motore_Operativo!C266&lt;EDATE(Parametri_v3!$C$24,Parametri_v3!$C$25+Ipotesi!G14*12)),MAX(0,((IF(22-(INT((Ipotesi!$C$91)/30))&lt;1,0,INDEX(Motore_Operativo!$BQ$245:$BQ$304,MAX(1,22-(INT((Ipotesi!$C$91)/30)))))*(1-(MOD((Ipotesi!$C$91),30)/30))+IF(22-(INT((Ipotesi!$C$91)/30))-1&lt;1,0,INDEX(Motore_Operativo!$BQ$245:$BQ$304,MAX(1,22-(INT((Ipotesi!$C$91)/30))-1)))*(MOD((Ipotesi!$C$91),30)/30))+(IF(22-(INT((Ipotesi!$C$91)/30))&lt;1,0,INDEX(Motore_Operativo!$BR$245:$BR$304,MAX(1,22-(INT((Ipotesi!$C$91)/30)))))*(1-(MOD((Ipotesi!$C$91),30)/30))+IF(22-(INT((Ipotesi!$C$91)/30))-1&lt;1,0,INDEX(Motore_Operativo!$BR$245:$BR$304,MAX(1,22-(INT((Ipotesi!$C$91)/30))-1)))*(MOD((Ipotesi!$C$91),30)/30))))*Piano_SS!$D$9,0))</f>
        <v>9000</v>
      </c>
      <c r="BZ266" s="15" t="n">
        <f aca="false">MIN(Piano_SS!$C$10,(BZ265)+IF(AND(Motore_Operativo!C266&gt;=EDATE(Parametri_v3!$C$24,Ipotesi!G14*12),Motore_Operativo!C266&lt;EDATE(Parametri_v3!$C$24,Parametri_v3!$C$25+Ipotesi!G14*12)),MAX(0,(IF(22-(INT((Ipotesi!$C$91)/30))&lt;1,0,INDEX(Motore_Operativo!$BO$245:$BO$304,MAX(1,22-(INT((Ipotesi!$C$91)/30)))))*(1-(MOD((Ipotesi!$C$91),30)/30))+IF(22-(INT((Ipotesi!$C$91)/30))-1&lt;1,0,INDEX(Motore_Operativo!$BO$245:$BO$304,MAX(1,22-(INT((Ipotesi!$C$91)/30))-1)))*(MOD((Ipotesi!$C$91),30)/30)))*Piano_SS!$D$10,0))</f>
        <v>4400</v>
      </c>
      <c r="CA266" s="15" t="n">
        <f aca="false">SUM(BV266:BZ266)</f>
        <v>41765.1902042004</v>
      </c>
      <c r="CB266" s="15" t="n">
        <f aca="false">BV266*(1-Piano_SS!$E$6)+BW266*(1-Piano_SS!$E$7)+BX266*(1-Piano_SS!$E$8)+BY266*(1-Piano_SS!$E$9)+BZ266*(1-Piano_SS!$E$10)</f>
        <v>37365.1902042004</v>
      </c>
      <c r="CC266" s="15" t="n">
        <f aca="false">(CC265)+BA266</f>
        <v>0</v>
      </c>
      <c r="CD266" s="15" t="n">
        <f aca="false">IF(CA266=0,0,CC266*CB266/CA266*Ipotesi!$C$103*Parametri_v3!$C$64)</f>
        <v>0</v>
      </c>
      <c r="CE266" s="18" t="n">
        <f aca="false">IF(BA266&gt;0,Motore_Operativo!C266,(CE265))</f>
        <v>0</v>
      </c>
      <c r="CF266" s="18" t="n">
        <f aca="false">IF(AND(CC266&gt;0,OR(CC266&gt;=CG266-0.01,Motore_Operativo!C266&gt;=EDATE(MAX(Finanziamenti!$D$15:$D$17),Ipotesi!G14*12))),CE266,0)</f>
        <v>0</v>
      </c>
      <c r="CG266" s="15" t="n">
        <f aca="false">IF(AND(5&lt;&gt;6,5&lt;&gt;9,Finanziamenti!$F$11=1,OR(Parametri_v3!$C$6=0,Finanziamenti!$E$11=1)),MIN(Finanziamenti!$C$11,Piano_SS!$C$12*Ipotesi!$C$102),0)</f>
        <v>400000</v>
      </c>
      <c r="CH266" s="15" t="n">
        <f aca="false">IF(AND(AND(5&lt;&gt;8,5&lt;&gt;9,Finanziamenti!$F$10=1,OR(Parametri_v3!$C$6=0,Finanziamenti!$E$10=1)),Motore_Operativo!C266&gt;=Finanziamenti!$D$10,Motore_Operativo!C266&lt;Parametri_v3!$C$63),Finanziamenti!$C$10,0)</f>
        <v>150000</v>
      </c>
    </row>
    <row r="267" customFormat="false" ht="18" hidden="false" customHeight="true" outlineLevel="0" collapsed="false">
      <c r="A267" s="68" t="n">
        <f aca="false">5</f>
        <v>5</v>
      </c>
      <c r="B267" s="68" t="n">
        <f aca="false">23</f>
        <v>23</v>
      </c>
      <c r="C267" s="18" t="n">
        <f aca="false">Motore_Operativo!C267</f>
        <v>47058</v>
      </c>
      <c r="D267" s="68" t="n">
        <f aca="false">Motore_Operativo!D267</f>
        <v>2028</v>
      </c>
      <c r="E267" s="68" t="n">
        <f aca="false">Motore_Operativo!E267</f>
        <v>11</v>
      </c>
      <c r="F267" s="15" t="n">
        <f aca="false">Motore_Operativo!AQ267+Motore_Operativo!BF267</f>
        <v>12257.3918103075</v>
      </c>
      <c r="G267" s="15" t="n">
        <f aca="false">Motore_Operativo!BH267</f>
        <v>1682.07042253521</v>
      </c>
      <c r="H267" s="15" t="n">
        <f aca="false">Motore_Operativo!BI267</f>
        <v>13939.4622328427</v>
      </c>
      <c r="I267" s="15" t="n">
        <f aca="false">Motore_Operativo!CA267</f>
        <v>29981.7136327858</v>
      </c>
      <c r="J267" s="15" t="n">
        <f aca="false">Motore_Operativo!CC267</f>
        <v>-16042.2513999431</v>
      </c>
      <c r="K267" s="15" t="n">
        <f aca="false">Motore_Operativo!CE267</f>
        <v>2083.33333333333</v>
      </c>
      <c r="L267" s="15" t="n">
        <f aca="false">SUM(INDEX($K$245:$K$304,MAX(1,23-Parametri_v3!$C$59+1)):K267)/Parametri_v3!$C$59</f>
        <v>1192.12962962963</v>
      </c>
      <c r="M267" s="15" t="n">
        <f aca="false">J267-L267</f>
        <v>-17234.3810295727</v>
      </c>
      <c r="N267" s="15" t="n">
        <f aca="false">CD267-(CD266)</f>
        <v>0</v>
      </c>
      <c r="O267" s="15" t="n">
        <f aca="false">(BG266)*Ipotesi!$C$110/12+CH267*Parametri_v3!$C$39/12</f>
        <v>750</v>
      </c>
      <c r="P267" s="15" t="n">
        <f aca="false">M267+N267-O267</f>
        <v>-17984.3810295727</v>
      </c>
      <c r="Q267" s="15" t="n">
        <f aca="false">SUM(P257:P267)+Parametri_v3!$C$54*11/12</f>
        <v>-200572.728203148</v>
      </c>
      <c r="R267" s="15" t="n">
        <f aca="false">Z256</f>
        <v>147912.400053826</v>
      </c>
      <c r="S267" s="15" t="n">
        <f aca="false">AA256</f>
        <v>0</v>
      </c>
      <c r="T267" s="15" t="n">
        <f aca="false">MIN(R267,MAX(0,Q267))</f>
        <v>0</v>
      </c>
      <c r="U267" s="15" t="n">
        <f aca="false">MIN(S267,MAX(0,Q267-T267)*Parametri_v3!$C$42)</f>
        <v>0</v>
      </c>
      <c r="V267" s="15" t="n">
        <f aca="false">MAX(0,Q267-T267-U267)*Ipotesi!$C$92</f>
        <v>0</v>
      </c>
      <c r="W267" s="15" t="n">
        <f aca="false">MAX(0,SUM(M257:M267)+Parametri_v3!$C$55*11/12)*Ipotesi!$C$93</f>
        <v>0</v>
      </c>
      <c r="X267" s="15" t="n">
        <f aca="false">V267+W267-(V266+W266)</f>
        <v>0</v>
      </c>
      <c r="Y267" s="15" t="n">
        <f aca="false">P267-X267</f>
        <v>-17984.3810295727</v>
      </c>
      <c r="Z267" s="15" t="n">
        <f aca="false">R267-T267+IF(AND(Parametri_v3!$C$40=1,D267-YEAR(Parametri_v3!$C$50)&lt;Parametri_v3!$C$41),MAX(0,-Q267),0)</f>
        <v>348485.128256974</v>
      </c>
      <c r="AA267" s="15" t="n">
        <f aca="false">S267-U267+IF(AND(Parametri_v3!$C$40=1,D267-YEAR(Parametri_v3!$C$50)&lt;Parametri_v3!$C$41),0,MAX(0,-Q267))</f>
        <v>0</v>
      </c>
      <c r="AB267" s="15" t="n">
        <f aca="false">F267*(1+Parametri_v3!$C$26)</f>
        <v>14954.0180085752</v>
      </c>
      <c r="AC267" s="15" t="n">
        <f aca="false">(IF(23-(INT((Motore_Operativo!L267)/30))&lt;1,0,INDEX(Motore_Startup!$AB$245:$AB$304,MAX(1,23-(INT((Motore_Operativo!L267)/30)))))*(1-(MOD((Motore_Operativo!L267),30)/30))+IF(23-(INT((Motore_Operativo!L267)/30))-1&lt;1,0,INDEX(Motore_Startup!$AB$245:$AB$304,MAX(1,23-(INT((Motore_Operativo!L267)/30))-1)))*(MOD((Motore_Operativo!L267),30)/30))</f>
        <v>14208.4978797195</v>
      </c>
      <c r="AD267" s="15" t="n">
        <f aca="false">(AD266)+AB267-AC267</f>
        <v>58705.9737857684</v>
      </c>
      <c r="AE267" s="15" t="n">
        <f aca="false">Motore_Operativo!BH267*(1+Parametri_v3!$C$26)</f>
        <v>2052.12591549296</v>
      </c>
      <c r="AF267" s="15" t="n">
        <f aca="false">(IF(23-(INT((Parametri_v3!$C$29)/30))&lt;1,0,INDEX(Motore_Operativo!$BH$245:$BH$304,MAX(1,23-(INT((Parametri_v3!$C$29)/30)))))*(1-(MOD((Parametri_v3!$C$29),30)/30))+IF(23-(INT((Parametri_v3!$C$29)/30))-1&lt;1,0,INDEX(Motore_Operativo!$BH$245:$BH$304,MAX(1,23-(INT((Parametri_v3!$C$29)/30))-1)))*(MOD((Parametri_v3!$C$29),30)/30))*(1+Parametri_v3!$C$26)</f>
        <v>2052.12591549296</v>
      </c>
      <c r="AG267" s="15" t="n">
        <f aca="false">(AG266)+AE267-AF267</f>
        <v>2052.12591549296</v>
      </c>
      <c r="AH267" s="15" t="n">
        <f aca="false">(Motore_Operativo!CJ267)*(1+Parametri_v3!$C$27*Parametri_v3!$C$26)</f>
        <v>11472.1634571167</v>
      </c>
      <c r="AI267" s="15" t="n">
        <f aca="false">(IF(23-(INT((Ipotesi!$C$91)/30))&lt;1,0,INDEX(Motore_Startup!$AH$245:$AH$304,MAX(1,23-(INT((Ipotesi!$C$91)/30)))))*(1-(MOD((Ipotesi!$C$91),30)/30))+IF(23-(INT((Ipotesi!$C$91)/30))-1&lt;1,0,INDEX(Motore_Startup!$AH$245:$AH$304,MAX(1,23-(INT((Ipotesi!$C$91)/30))-1)))*(MOD((Ipotesi!$C$91),30)/30))</f>
        <v>11421.8344412385</v>
      </c>
      <c r="AJ267" s="15" t="n">
        <f aca="false">(AJ266)+AH267-AI267</f>
        <v>22919.2728783152</v>
      </c>
      <c r="AK267" s="15" t="n">
        <f aca="false">(F267+ Motore_Operativo!BH267-(Motore_Operativo!CJ267)*Parametri_v3!$C$27-Motore_Operativo!CE267)*Parametri_v3!$C$26</f>
        <v>801.023533561126</v>
      </c>
      <c r="AL267" s="15" t="n">
        <f aca="false">MAX(0,(AM266))</f>
        <v>504.824045247542</v>
      </c>
      <c r="AM267" s="15" t="n">
        <f aca="false">(AM266)+AK267-AL267</f>
        <v>801.023533561126</v>
      </c>
      <c r="AN267" s="15" t="n">
        <f aca="false">SUM(X245:X256)</f>
        <v>0</v>
      </c>
      <c r="AO267" s="15" t="n">
        <f aca="false">SUM(AP245:AP256)</f>
        <v>0</v>
      </c>
      <c r="AP267" s="15" t="n">
        <f aca="false">MAX(0,AN267)*IF(11=Parametri_v3!$C$43,Parametri_v3!$C$45,IF(11=Parametri_v3!$C$44,1-Parametri_v3!$C$45,0))</f>
        <v>0</v>
      </c>
      <c r="AQ267" s="15" t="n">
        <f aca="false">MAX(0,AP267+IF(11=Parametri_v3!$C$43,MAX(0,AN267-AO267),0)-MAX(0,-(AR266)))</f>
        <v>0</v>
      </c>
      <c r="AR267" s="15" t="n">
        <f aca="false">(AR266)+X267-AQ267</f>
        <v>0</v>
      </c>
      <c r="AS267" s="15" t="n">
        <f aca="false">Motore_Operativo!AB267-AT267+AU267</f>
        <v>19301.03125</v>
      </c>
      <c r="AT267" s="15" t="n">
        <f aca="false">Motore_Operativo!CH267</f>
        <v>1015.84375</v>
      </c>
      <c r="AU267" s="15" t="n">
        <f aca="false">MIN(MAX(0,(AV266)+AT267),Parametri_v3!$C$60/12)</f>
        <v>0</v>
      </c>
      <c r="AV267" s="15" t="n">
        <f aca="false">(AV266)+AT267-AU267</f>
        <v>17461.78125</v>
      </c>
      <c r="AW267" s="15" t="n">
        <f aca="false">IF(AND(Motore_Operativo!C267=Finanziamenti!$D$6,Finanziamenti!$F$6=1),Finanziamenti!$C$6,0)</f>
        <v>0</v>
      </c>
      <c r="AX267" s="15" t="n">
        <f aca="false">IF(AND(5&lt;&gt;7,5&lt;&gt;9,Finanziamenti!$F$8=1,OR(Parametri_v3!$C$6=0,Finanziamenti!$E$8=1),Motore_Operativo!C267=EDATE(Finanziamenti!$D$8,Ipotesi!G15*12)),Finanziamenti!$C$8*1,0)+IF(AND(5&lt;&gt;7,5&lt;&gt;9,Finanziamenti!$F$9=1,OR(Parametri_v3!$C$6=0,Finanziamenti!$E$9=1),Motore_Operativo!C267=EDATE(Finanziamenti!$D$9,Ipotesi!G15*12)),Finanziamenti!$C$9*Ipotesi!G16,0)</f>
        <v>0</v>
      </c>
      <c r="AY267" s="15" t="n">
        <f aca="false">0</f>
        <v>0</v>
      </c>
      <c r="AZ267" s="15" t="n">
        <f aca="false">Motore_Advisory!AY267*(1-Ipotesi!$C$95)*Ipotesi!$C$96</f>
        <v>0</v>
      </c>
      <c r="BA267" s="15" t="n">
        <f aca="false">MAX(0,MIN(CG267*MIN(1,IF(Motore_Operativo!C267&gt;=EDATE(Finanziamenti!$D$15,Ipotesi!G14*12),Finanziamenti!$C$15,0)+IF(Motore_Operativo!C267&gt;=EDATE(Finanziamenti!$D$16,Ipotesi!G14*12),Finanziamenti!$C$16,0)+IF(Motore_Operativo!C267&gt;=EDATE(Finanziamenti!$D$17,Ipotesi!G14*12),Finanziamenti!$C$17,0)),CA267*Ipotesi!$C$102)-(CC266))</f>
        <v>0</v>
      </c>
      <c r="BB267" s="15" t="n">
        <f aca="false">IF(AND(CF267&gt;0,Motore_Operativo!C267&gt;=IF(CF267=0,0,EDATE(CF267,Parametri_v3!$C$37)),MOD(((D267-YEAR(IF(CF267=0,0,EDATE(CF267,Parametri_v3!$C$37))))*12+E267-MONTH(IF(CF267=0,0,EDATE(CF267,Parametri_v3!$C$37)))),Parametri_v3!$C$38)=0),MIN(MAX(0,(BC266)+BA267-N267),(CC267-CD267)/(Ipotesi!$C$108*12/Parametri_v3!$C$38)),0)</f>
        <v>0</v>
      </c>
      <c r="BC267" s="15" t="n">
        <f aca="false">(BC266)+BA267-N267-BB267</f>
        <v>0</v>
      </c>
      <c r="BD267" s="15" t="n">
        <f aca="false">(BH266)+AC267+AF267-AI267-AS267-K267*(1+Parametri_v3!$C$26)-AL267-AQ267-O267+AW267+AX267+AZ267+BA267-BB267</f>
        <v>-117436.150296359</v>
      </c>
      <c r="BE267" s="15" t="n">
        <f aca="false">MAX(0,MIN(MAX(0,CH267-(BG266)),Parametri_v3!$C$30-BD267))</f>
        <v>0</v>
      </c>
      <c r="BF267" s="15" t="n">
        <f aca="false">IF(Motore_Operativo!C267&gt;=Parametri_v3!$C$63,(BG266),MIN((BG266),MAX(0,BD267-Parametri_v3!$C$30)))</f>
        <v>0</v>
      </c>
      <c r="BG267" s="15" t="n">
        <f aca="false">(BG266)+BE267-BF267</f>
        <v>150000</v>
      </c>
      <c r="BH267" s="15" t="n">
        <f aca="false">BD267+BE267-BF267-AY267</f>
        <v>-117436.150296359</v>
      </c>
      <c r="BI267" s="15" t="n">
        <f aca="false">MAX(0,Parametri_v3!$C$30-BH267)</f>
        <v>142436.150296359</v>
      </c>
      <c r="BJ267" s="15" t="n">
        <f aca="false">(BJ266)+K267</f>
        <v>42916.6666666667</v>
      </c>
      <c r="BK267" s="15" t="n">
        <f aca="false">(BK266)+L267</f>
        <v>13541.6666666667</v>
      </c>
      <c r="BL267" s="15" t="n">
        <f aca="false">BJ267-BK267</f>
        <v>29375</v>
      </c>
      <c r="BM267" s="15" t="n">
        <f aca="false">(BM266)+Y267</f>
        <v>-348485.128256974</v>
      </c>
      <c r="BN267" s="15" t="n">
        <f aca="false">(BN266)+AW267+AX267+AZ267</f>
        <v>130000</v>
      </c>
      <c r="BO267" s="15" t="n">
        <f aca="false">(BO266)+AY267</f>
        <v>0</v>
      </c>
      <c r="BP267" s="15" t="n">
        <f aca="false">0</f>
        <v>0</v>
      </c>
      <c r="BQ267" s="15" t="n">
        <f aca="false">BN267+BM267-BO267</f>
        <v>-218485.128256974</v>
      </c>
      <c r="BR267" s="15" t="n">
        <f aca="false">BH267+AD267+BL267+MAX(0,-AM267)+MAX(0,-AR267)+AG267</f>
        <v>-27303.0505950974</v>
      </c>
      <c r="BS267" s="15" t="n">
        <f aca="false">AJ267+AV267+MAX(0,AM267)+MAX(0,AR267)+BC267+BG267+BQ267</f>
        <v>-27303.0505950975</v>
      </c>
      <c r="BT267" s="15" t="n">
        <f aca="false">BR267-BS267</f>
        <v>1.52795109897852E-010</v>
      </c>
      <c r="BU267" s="15" t="n">
        <f aca="false">BH267-(BD267+BE267-BF267-AY267)</f>
        <v>0</v>
      </c>
      <c r="BV267" s="15" t="n">
        <f aca="false">MIN(Piano_SS!$C$6,(BV266)+IF(AND(Motore_Operativo!C267&gt;=EDATE(Parametri_v3!$C$24,Ipotesi!G14*12),Motore_Operativo!C267&lt;EDATE(Parametri_v3!$C$24,Parametri_v3!$C$25+Ipotesi!G14*12)),MAX(0,(Motore_Operativo!Y267+Motore_Operativo!X267*Parametri_v3!$C$14)*(1-Parametri_v3!$C$32))*Piano_SS!$D$6,0))</f>
        <v>20895.0520833333</v>
      </c>
      <c r="BW267" s="15" t="n">
        <f aca="false">MIN(Piano_SS!$C$7,(BW266)+IF(AND(Motore_Operativo!C267&gt;=EDATE(Parametri_v3!$C$24,Ipotesi!G14*12),Motore_Operativo!C267&lt;EDATE(Parametri_v3!$C$24,Parametri_v3!$C$25+Ipotesi!G14*12)),MAX(0,(IF(23-(INT((Ipotesi!$C$91)/30))&lt;1,0,INDEX(Motore_Operativo!$BN$245:$BN$304,MAX(1,23-(INT((Ipotesi!$C$91)/30)))))*(1-(MOD((Ipotesi!$C$91),30)/30))+IF(23-(INT((Ipotesi!$C$91)/30))-1&lt;1,0,INDEX(Motore_Operativo!$BN$245:$BN$304,MAX(1,23-(INT((Ipotesi!$C$91)/30))-1)))*(MOD((Ipotesi!$C$91),30)/30)))*Piano_SS!$D$7,0))</f>
        <v>4175.72787367139</v>
      </c>
      <c r="BX267" s="15" t="n">
        <f aca="false">MIN(Piano_SS!$C$8,(BX266)+IF(AND(Motore_Operativo!C267&gt;=EDATE(Parametri_v3!$C$24,Ipotesi!G14*12),Motore_Operativo!C267&lt;EDATE(Parametri_v3!$C$24,Parametri_v3!$C$25+Ipotesi!G14*12)),MAX(0,Motore_Operativo!CE267)*Piano_SS!$D$8,0))</f>
        <v>10416.6666666667</v>
      </c>
      <c r="BY267" s="15" t="n">
        <f aca="false">MIN(Piano_SS!$C$9,(BY266)+IF(AND(Motore_Operativo!C267&gt;=EDATE(Parametri_v3!$C$24,Ipotesi!G14*12),Motore_Operativo!C267&lt;EDATE(Parametri_v3!$C$24,Parametri_v3!$C$25+Ipotesi!G14*12)),MAX(0,((IF(23-(INT((Ipotesi!$C$91)/30))&lt;1,0,INDEX(Motore_Operativo!$BQ$245:$BQ$304,MAX(1,23-(INT((Ipotesi!$C$91)/30)))))*(1-(MOD((Ipotesi!$C$91),30)/30))+IF(23-(INT((Ipotesi!$C$91)/30))-1&lt;1,0,INDEX(Motore_Operativo!$BQ$245:$BQ$304,MAX(1,23-(INT((Ipotesi!$C$91)/30))-1)))*(MOD((Ipotesi!$C$91),30)/30))+(IF(23-(INT((Ipotesi!$C$91)/30))&lt;1,0,INDEX(Motore_Operativo!$BR$245:$BR$304,MAX(1,23-(INT((Ipotesi!$C$91)/30)))))*(1-(MOD((Ipotesi!$C$91),30)/30))+IF(23-(INT((Ipotesi!$C$91)/30))-1&lt;1,0,INDEX(Motore_Operativo!$BR$245:$BR$304,MAX(1,23-(INT((Ipotesi!$C$91)/30))-1)))*(MOD((Ipotesi!$C$91),30)/30))))*Piano_SS!$D$9,0))</f>
        <v>11250</v>
      </c>
      <c r="BZ267" s="15" t="n">
        <f aca="false">MIN(Piano_SS!$C$10,(BZ266)+IF(AND(Motore_Operativo!C267&gt;=EDATE(Parametri_v3!$C$24,Ipotesi!G14*12),Motore_Operativo!C267&lt;EDATE(Parametri_v3!$C$24,Parametri_v3!$C$25+Ipotesi!G14*12)),MAX(0,(IF(23-(INT((Ipotesi!$C$91)/30))&lt;1,0,INDEX(Motore_Operativo!$BO$245:$BO$304,MAX(1,23-(INT((Ipotesi!$C$91)/30)))))*(1-(MOD((Ipotesi!$C$91),30)/30))+IF(23-(INT((Ipotesi!$C$91)/30))-1&lt;1,0,INDEX(Motore_Operativo!$BO$245:$BO$304,MAX(1,23-(INT((Ipotesi!$C$91)/30))-1)))*(MOD((Ipotesi!$C$91),30)/30)))*Piano_SS!$D$10,0))</f>
        <v>5500</v>
      </c>
      <c r="CA267" s="15" t="n">
        <f aca="false">SUM(BV267:BZ267)</f>
        <v>52237.4466236714</v>
      </c>
      <c r="CB267" s="15" t="n">
        <f aca="false">BV267*(1-Piano_SS!$E$6)+BW267*(1-Piano_SS!$E$7)+BX267*(1-Piano_SS!$E$8)+BY267*(1-Piano_SS!$E$9)+BZ267*(1-Piano_SS!$E$10)</f>
        <v>46737.4466236714</v>
      </c>
      <c r="CC267" s="15" t="n">
        <f aca="false">(CC266)+BA267</f>
        <v>0</v>
      </c>
      <c r="CD267" s="15" t="n">
        <f aca="false">IF(CA267=0,0,CC267*CB267/CA267*Ipotesi!$C$103*Parametri_v3!$C$64)</f>
        <v>0</v>
      </c>
      <c r="CE267" s="18" t="n">
        <f aca="false">IF(BA267&gt;0,Motore_Operativo!C267,(CE266))</f>
        <v>0</v>
      </c>
      <c r="CF267" s="18" t="n">
        <f aca="false">IF(AND(CC267&gt;0,OR(CC267&gt;=CG267-0.01,Motore_Operativo!C267&gt;=EDATE(MAX(Finanziamenti!$D$15:$D$17),Ipotesi!G14*12))),CE267,0)</f>
        <v>0</v>
      </c>
      <c r="CG267" s="15" t="n">
        <f aca="false">IF(AND(5&lt;&gt;6,5&lt;&gt;9,Finanziamenti!$F$11=1,OR(Parametri_v3!$C$6=0,Finanziamenti!$E$11=1)),MIN(Finanziamenti!$C$11,Piano_SS!$C$12*Ipotesi!$C$102),0)</f>
        <v>400000</v>
      </c>
      <c r="CH267" s="15" t="n">
        <f aca="false">IF(AND(AND(5&lt;&gt;8,5&lt;&gt;9,Finanziamenti!$F$10=1,OR(Parametri_v3!$C$6=0,Finanziamenti!$E$10=1)),Motore_Operativo!C267&gt;=Finanziamenti!$D$10,Motore_Operativo!C267&lt;Parametri_v3!$C$63),Finanziamenti!$C$10,0)</f>
        <v>150000</v>
      </c>
    </row>
    <row r="268" customFormat="false" ht="18" hidden="false" customHeight="true" outlineLevel="0" collapsed="false">
      <c r="A268" s="68" t="n">
        <f aca="false">5</f>
        <v>5</v>
      </c>
      <c r="B268" s="68" t="n">
        <f aca="false">24</f>
        <v>24</v>
      </c>
      <c r="C268" s="18" t="n">
        <f aca="false">Motore_Operativo!C268</f>
        <v>47088</v>
      </c>
      <c r="D268" s="68" t="n">
        <f aca="false">Motore_Operativo!D268</f>
        <v>2028</v>
      </c>
      <c r="E268" s="68" t="n">
        <f aca="false">Motore_Operativo!E268</f>
        <v>12</v>
      </c>
      <c r="F268" s="15" t="n">
        <f aca="false">Motore_Operativo!AQ268+Motore_Operativo!BF268</f>
        <v>12406.8383338567</v>
      </c>
      <c r="G268" s="15" t="n">
        <f aca="false">Motore_Operativo!BH268</f>
        <v>1682.07042253521</v>
      </c>
      <c r="H268" s="15" t="n">
        <f aca="false">Motore_Operativo!BI268</f>
        <v>14088.9087563919</v>
      </c>
      <c r="I268" s="15" t="n">
        <f aca="false">Motore_Operativo!CA268</f>
        <v>30002.6361460827</v>
      </c>
      <c r="J268" s="15" t="n">
        <f aca="false">Motore_Operativo!CC268</f>
        <v>-15913.7273896907</v>
      </c>
      <c r="K268" s="15" t="n">
        <f aca="false">Motore_Operativo!CE268</f>
        <v>2083.33333333333</v>
      </c>
      <c r="L268" s="15" t="n">
        <f aca="false">SUM(INDEX($K$245:$K$304,MAX(1,24-Parametri_v3!$C$59+1)):K268)/Parametri_v3!$C$59</f>
        <v>1250</v>
      </c>
      <c r="M268" s="15" t="n">
        <f aca="false">J268-L268</f>
        <v>-17163.7273896907</v>
      </c>
      <c r="N268" s="15" t="n">
        <f aca="false">CD268-(CD267)</f>
        <v>13469.2489350433</v>
      </c>
      <c r="O268" s="15" t="n">
        <f aca="false">(BG267)*Ipotesi!$C$110/12+CH268*Parametri_v3!$C$39/12</f>
        <v>750</v>
      </c>
      <c r="P268" s="15" t="n">
        <f aca="false">M268+N268-O268</f>
        <v>-4444.47845464748</v>
      </c>
      <c r="Q268" s="15" t="n">
        <f aca="false">SUM(P257:P268)+Parametri_v3!$C$54*12/12</f>
        <v>-205017.206657796</v>
      </c>
      <c r="R268" s="15" t="n">
        <f aca="false">Z256</f>
        <v>147912.400053826</v>
      </c>
      <c r="S268" s="15" t="n">
        <f aca="false">AA256</f>
        <v>0</v>
      </c>
      <c r="T268" s="15" t="n">
        <f aca="false">MIN(R268,MAX(0,Q268))</f>
        <v>0</v>
      </c>
      <c r="U268" s="15" t="n">
        <f aca="false">MIN(S268,MAX(0,Q268-T268)*Parametri_v3!$C$42)</f>
        <v>0</v>
      </c>
      <c r="V268" s="15" t="n">
        <f aca="false">MAX(0,Q268-T268-U268)*Ipotesi!$C$92</f>
        <v>0</v>
      </c>
      <c r="W268" s="15" t="n">
        <f aca="false">MAX(0,SUM(M257:M268)+Parametri_v3!$C$55*12/12)*Ipotesi!$C$93</f>
        <v>0</v>
      </c>
      <c r="X268" s="15" t="n">
        <f aca="false">V268+W268-(V267+W267)</f>
        <v>0</v>
      </c>
      <c r="Y268" s="15" t="n">
        <f aca="false">P268-X268</f>
        <v>-4444.47845464748</v>
      </c>
      <c r="Z268" s="15" t="n">
        <f aca="false">R268-T268+IF(AND(Parametri_v3!$C$40=1,D268-YEAR(Parametri_v3!$C$50)&lt;Parametri_v3!$C$41),MAX(0,-Q268),0)</f>
        <v>352929.606711621</v>
      </c>
      <c r="AA268" s="15" t="n">
        <f aca="false">S268-U268+IF(AND(Parametri_v3!$C$40=1,D268-YEAR(Parametri_v3!$C$50)&lt;Parametri_v3!$C$41),0,MAX(0,-Q268))</f>
        <v>0</v>
      </c>
      <c r="AB268" s="15" t="n">
        <f aca="false">F268*(1+Parametri_v3!$C$26)</f>
        <v>15136.3427673052</v>
      </c>
      <c r="AC268" s="15" t="n">
        <f aca="false">(IF(24-(INT((Motore_Operativo!L268)/30))&lt;1,0,INDEX(Motore_Startup!$AB$245:$AB$304,MAX(1,24-(INT((Motore_Operativo!L268)/30)))))*(1-(MOD((Motore_Operativo!L268),30)/30))+IF(24-(INT((Motore_Operativo!L268)/30))-1&lt;1,0,INDEX(Motore_Startup!$AB$245:$AB$304,MAX(1,24-(INT((Motore_Operativo!L268)/30))-1)))*(MOD((Motore_Operativo!L268),30)/30))</f>
        <v>14397.3396853749</v>
      </c>
      <c r="AD268" s="15" t="n">
        <f aca="false">(AD267)+AB268-AC268</f>
        <v>59444.9768676987</v>
      </c>
      <c r="AE268" s="15" t="n">
        <f aca="false">Motore_Operativo!BH268*(1+Parametri_v3!$C$26)</f>
        <v>2052.12591549296</v>
      </c>
      <c r="AF268" s="15" t="n">
        <f aca="false">(IF(24-(INT((Parametri_v3!$C$29)/30))&lt;1,0,INDEX(Motore_Operativo!$BH$245:$BH$304,MAX(1,24-(INT((Parametri_v3!$C$29)/30)))))*(1-(MOD((Parametri_v3!$C$29),30)/30))+IF(24-(INT((Parametri_v3!$C$29)/30))-1&lt;1,0,INDEX(Motore_Operativo!$BH$245:$BH$304,MAX(1,24-(INT((Parametri_v3!$C$29)/30))-1)))*(MOD((Parametri_v3!$C$29),30)/30))*(1+Parametri_v3!$C$26)</f>
        <v>2052.12591549296</v>
      </c>
      <c r="AG268" s="15" t="n">
        <f aca="false">(AG267)+AE268-AF268</f>
        <v>2052.12591549296</v>
      </c>
      <c r="AH268" s="15" t="n">
        <f aca="false">(Motore_Operativo!CJ268)*(1+Parametri_v3!$C$27*Parametri_v3!$C$26)</f>
        <v>11496.9984804001</v>
      </c>
      <c r="AI268" s="15" t="n">
        <f aca="false">(IF(24-(INT((Ipotesi!$C$91)/30))&lt;1,0,INDEX(Motore_Startup!$AH$245:$AH$304,MAX(1,24-(INT((Ipotesi!$C$91)/30)))))*(1-(MOD((Ipotesi!$C$91),30)/30))+IF(24-(INT((Ipotesi!$C$91)/30))-1&lt;1,0,INDEX(Motore_Startup!$AH$245:$AH$304,MAX(1,24-(INT((Ipotesi!$C$91)/30))-1)))*(MOD((Ipotesi!$C$91),30)/30))</f>
        <v>11447.1094211985</v>
      </c>
      <c r="AJ268" s="15" t="n">
        <f aca="false">(AJ267)+AH268-AI268</f>
        <v>22969.1619375168</v>
      </c>
      <c r="AK268" s="15" t="n">
        <f aca="false">(F268+ Motore_Operativo!BH268-(Motore_Operativo!CJ268)*Parametri_v3!$C$27-Motore_Operativo!CE268)*Parametri_v3!$C$26</f>
        <v>829.989258755433</v>
      </c>
      <c r="AL268" s="15" t="n">
        <f aca="false">MAX(0,(AM267))</f>
        <v>801.023533561126</v>
      </c>
      <c r="AM268" s="15" t="n">
        <f aca="false">(AM267)+AK268-AL268</f>
        <v>829.989258755434</v>
      </c>
      <c r="AN268" s="15" t="n">
        <f aca="false">SUM(X245:X256)</f>
        <v>0</v>
      </c>
      <c r="AO268" s="15" t="n">
        <f aca="false">SUM(AP245:AP256)</f>
        <v>0</v>
      </c>
      <c r="AP268" s="15" t="n">
        <f aca="false">MAX(0,AN268)*IF(12=Parametri_v3!$C$43,Parametri_v3!$C$45,IF(12=Parametri_v3!$C$44,1-Parametri_v3!$C$45,0))</f>
        <v>0</v>
      </c>
      <c r="AQ268" s="15" t="n">
        <f aca="false">MAX(0,AP268+IF(12=Parametri_v3!$C$43,MAX(0,AN268-AO268),0)-MAX(0,-(AR267)))</f>
        <v>0</v>
      </c>
      <c r="AR268" s="15" t="n">
        <f aca="false">(AR267)+X268-AQ268</f>
        <v>0</v>
      </c>
      <c r="AS268" s="15" t="n">
        <f aca="false">Motore_Operativo!AB268-AT268+AU268</f>
        <v>19301.03125</v>
      </c>
      <c r="AT268" s="15" t="n">
        <f aca="false">Motore_Operativo!CH268</f>
        <v>1015.84375</v>
      </c>
      <c r="AU268" s="15" t="n">
        <f aca="false">MIN(MAX(0,(AV267)+AT268),Parametri_v3!$C$60/12)</f>
        <v>0</v>
      </c>
      <c r="AV268" s="15" t="n">
        <f aca="false">(AV267)+AT268-AU268</f>
        <v>18477.625</v>
      </c>
      <c r="AW268" s="15" t="n">
        <f aca="false">IF(AND(Motore_Operativo!C268=Finanziamenti!$D$6,Finanziamenti!$F$6=1),Finanziamenti!$C$6,0)</f>
        <v>0</v>
      </c>
      <c r="AX268" s="15" t="n">
        <f aca="false">IF(AND(5&lt;&gt;7,5&lt;&gt;9,Finanziamenti!$F$8=1,OR(Parametri_v3!$C$6=0,Finanziamenti!$E$8=1),Motore_Operativo!C268=EDATE(Finanziamenti!$D$8,Ipotesi!G15*12)),Finanziamenti!$C$8*1,0)+IF(AND(5&lt;&gt;7,5&lt;&gt;9,Finanziamenti!$F$9=1,OR(Parametri_v3!$C$6=0,Finanziamenti!$E$9=1),Motore_Operativo!C268=EDATE(Finanziamenti!$D$9,Ipotesi!G15*12)),Finanziamenti!$C$9*Ipotesi!G16,0)</f>
        <v>0</v>
      </c>
      <c r="AY268" s="15" t="n">
        <f aca="false">0</f>
        <v>0</v>
      </c>
      <c r="AZ268" s="15" t="n">
        <f aca="false">Motore_Advisory!AY268*(1-Ipotesi!$C$95)*Ipotesi!$C$96</f>
        <v>0</v>
      </c>
      <c r="BA268" s="15" t="n">
        <f aca="false">MAX(0,MIN(CG268*MIN(1,IF(Motore_Operativo!C268&gt;=EDATE(Finanziamenti!$D$15,Ipotesi!G14*12),Finanziamenti!$C$15,0)+IF(Motore_Operativo!C268&gt;=EDATE(Finanziamenti!$D$16,Ipotesi!G14*12),Finanziamenti!$C$16,0)+IF(Motore_Operativo!C268&gt;=EDATE(Finanziamenti!$D$17,Ipotesi!G14*12),Finanziamenti!$C$17,0)),CA268*Ipotesi!$C$102)-(CC267))</f>
        <v>50177.4964501442</v>
      </c>
      <c r="BB268" s="15" t="n">
        <f aca="false">IF(AND(CF268&gt;0,Motore_Operativo!C268&gt;=IF(CF268=0,0,EDATE(CF268,Parametri_v3!$C$37)),MOD(((D268-YEAR(IF(CF268=0,0,EDATE(CF268,Parametri_v3!$C$37))))*12+E268-MONTH(IF(CF268=0,0,EDATE(CF268,Parametri_v3!$C$37)))),Parametri_v3!$C$38)=0),MIN(MAX(0,(BC267)+BA268-N268),(CC268-CD268)/(Ipotesi!$C$108*12/Parametri_v3!$C$38)),0)</f>
        <v>0</v>
      </c>
      <c r="BC268" s="15" t="n">
        <f aca="false">(BC267)+BA268-N268-BB268</f>
        <v>36708.247515101</v>
      </c>
      <c r="BD268" s="15" t="n">
        <f aca="false">(BH267)+AC268+AF268-AI268-AS268-K268*(1+Parametri_v3!$C$26)-AL268-AQ268-O268+AW268+AX268+AZ268+BA268-BB268</f>
        <v>-85650.0191167729</v>
      </c>
      <c r="BE268" s="15" t="n">
        <f aca="false">MAX(0,MIN(MAX(0,CH268-(BG267)),Parametri_v3!$C$30-BD268))</f>
        <v>0</v>
      </c>
      <c r="BF268" s="15" t="n">
        <f aca="false">IF(Motore_Operativo!C268&gt;=Parametri_v3!$C$63,(BG267),MIN((BG267),MAX(0,BD268-Parametri_v3!$C$30)))</f>
        <v>0</v>
      </c>
      <c r="BG268" s="15" t="n">
        <f aca="false">(BG267)+BE268-BF268</f>
        <v>150000</v>
      </c>
      <c r="BH268" s="15" t="n">
        <f aca="false">BD268+BE268-BF268-AY268</f>
        <v>-85650.0191167729</v>
      </c>
      <c r="BI268" s="15" t="n">
        <f aca="false">MAX(0,Parametri_v3!$C$30-BH268)</f>
        <v>110650.019116773</v>
      </c>
      <c r="BJ268" s="15" t="n">
        <f aca="false">(BJ267)+K268</f>
        <v>45000</v>
      </c>
      <c r="BK268" s="15" t="n">
        <f aca="false">(BK267)+L268</f>
        <v>14791.6666666667</v>
      </c>
      <c r="BL268" s="15" t="n">
        <f aca="false">BJ268-BK268</f>
        <v>30208.3333333333</v>
      </c>
      <c r="BM268" s="15" t="n">
        <f aca="false">(BM267)+Y268</f>
        <v>-352929.606711621</v>
      </c>
      <c r="BN268" s="15" t="n">
        <f aca="false">(BN267)+AW268+AX268+AZ268</f>
        <v>130000</v>
      </c>
      <c r="BO268" s="15" t="n">
        <f aca="false">(BO267)+AY268</f>
        <v>0</v>
      </c>
      <c r="BP268" s="15" t="n">
        <f aca="false">0</f>
        <v>0</v>
      </c>
      <c r="BQ268" s="15" t="n">
        <f aca="false">BN268+BM268-BO268</f>
        <v>-222929.606711621</v>
      </c>
      <c r="BR268" s="15" t="n">
        <f aca="false">BH268+AD268+BL268+MAX(0,-AM268)+MAX(0,-AR268)+AG268</f>
        <v>6055.41699975213</v>
      </c>
      <c r="BS268" s="15" t="n">
        <f aca="false">AJ268+AV268+MAX(0,AM268)+MAX(0,AR268)+BC268+BG268+BQ268</f>
        <v>6055.41699975194</v>
      </c>
      <c r="BT268" s="15" t="n">
        <f aca="false">BR268-BS268</f>
        <v>1.96450855582953E-010</v>
      </c>
      <c r="BU268" s="15" t="n">
        <f aca="false">BH268-(BD268+BE268-BF268-AY268)</f>
        <v>0</v>
      </c>
      <c r="BV268" s="15" t="n">
        <f aca="false">MIN(Piano_SS!$C$6,(BV267)+IF(AND(Motore_Operativo!C268&gt;=EDATE(Parametri_v3!$C$24,Ipotesi!G14*12),Motore_Operativo!C268&lt;EDATE(Parametri_v3!$C$24,Parametri_v3!$C$25+Ipotesi!G14*12)),MAX(0,(Motore_Operativo!Y268+Motore_Operativo!X268*Parametri_v3!$C$14)*(1-Parametri_v3!$C$32))*Piano_SS!$D$6,0))</f>
        <v>25074.0625</v>
      </c>
      <c r="BW268" s="15" t="n">
        <f aca="false">MIN(Piano_SS!$C$7,(BW267)+IF(AND(Motore_Operativo!C268&gt;=EDATE(Parametri_v3!$C$24,Ipotesi!G14*12),Motore_Operativo!C268&lt;EDATE(Parametri_v3!$C$24,Parametri_v3!$C$25+Ipotesi!G14*12)),MAX(0,(IF(24-(INT((Ipotesi!$C$91)/30))&lt;1,0,INDEX(Motore_Operativo!$BN$245:$BN$304,MAX(1,24-(INT((Ipotesi!$C$91)/30)))))*(1-(MOD((Ipotesi!$C$91),30)/30))+IF(24-(INT((Ipotesi!$C$91)/30))-1&lt;1,0,INDEX(Motore_Operativo!$BN$245:$BN$304,MAX(1,24-(INT((Ipotesi!$C$91)/30))-1)))*(MOD((Ipotesi!$C$91),30)/30)))*Piano_SS!$D$7,0))</f>
        <v>5047.80806268025</v>
      </c>
      <c r="BX268" s="15" t="n">
        <f aca="false">MIN(Piano_SS!$C$8,(BX267)+IF(AND(Motore_Operativo!C268&gt;=EDATE(Parametri_v3!$C$24,Ipotesi!G14*12),Motore_Operativo!C268&lt;EDATE(Parametri_v3!$C$24,Parametri_v3!$C$25+Ipotesi!G14*12)),MAX(0,Motore_Operativo!CE268)*Piano_SS!$D$8,0))</f>
        <v>12500</v>
      </c>
      <c r="BY268" s="15" t="n">
        <f aca="false">MIN(Piano_SS!$C$9,(BY267)+IF(AND(Motore_Operativo!C268&gt;=EDATE(Parametri_v3!$C$24,Ipotesi!G14*12),Motore_Operativo!C268&lt;EDATE(Parametri_v3!$C$24,Parametri_v3!$C$25+Ipotesi!G14*12)),MAX(0,((IF(24-(INT((Ipotesi!$C$91)/30))&lt;1,0,INDEX(Motore_Operativo!$BQ$245:$BQ$304,MAX(1,24-(INT((Ipotesi!$C$91)/30)))))*(1-(MOD((Ipotesi!$C$91),30)/30))+IF(24-(INT((Ipotesi!$C$91)/30))-1&lt;1,0,INDEX(Motore_Operativo!$BQ$245:$BQ$304,MAX(1,24-(INT((Ipotesi!$C$91)/30))-1)))*(MOD((Ipotesi!$C$91),30)/30))+(IF(24-(INT((Ipotesi!$C$91)/30))&lt;1,0,INDEX(Motore_Operativo!$BR$245:$BR$304,MAX(1,24-(INT((Ipotesi!$C$91)/30)))))*(1-(MOD((Ipotesi!$C$91),30)/30))+IF(24-(INT((Ipotesi!$C$91)/30))-1&lt;1,0,INDEX(Motore_Operativo!$BR$245:$BR$304,MAX(1,24-(INT((Ipotesi!$C$91)/30))-1)))*(MOD((Ipotesi!$C$91),30)/30))))*Piano_SS!$D$9,0))</f>
        <v>13500</v>
      </c>
      <c r="BZ268" s="15" t="n">
        <f aca="false">MIN(Piano_SS!$C$10,(BZ267)+IF(AND(Motore_Operativo!C268&gt;=EDATE(Parametri_v3!$C$24,Ipotesi!G14*12),Motore_Operativo!C268&lt;EDATE(Parametri_v3!$C$24,Parametri_v3!$C$25+Ipotesi!G14*12)),MAX(0,(IF(24-(INT((Ipotesi!$C$91)/30))&lt;1,0,INDEX(Motore_Operativo!$BO$245:$BO$304,MAX(1,24-(INT((Ipotesi!$C$91)/30)))))*(1-(MOD((Ipotesi!$C$91),30)/30))+IF(24-(INT((Ipotesi!$C$91)/30))-1&lt;1,0,INDEX(Motore_Operativo!$BO$245:$BO$304,MAX(1,24-(INT((Ipotesi!$C$91)/30))-1)))*(MOD((Ipotesi!$C$91),30)/30)))*Piano_SS!$D$10,0))</f>
        <v>6600</v>
      </c>
      <c r="CA268" s="15" t="n">
        <f aca="false">SUM(BV268:BZ268)</f>
        <v>62721.8705626803</v>
      </c>
      <c r="CB268" s="15" t="n">
        <f aca="false">BV268*(1-Piano_SS!$E$6)+BW268*(1-Piano_SS!$E$7)+BX268*(1-Piano_SS!$E$8)+BY268*(1-Piano_SS!$E$9)+BZ268*(1-Piano_SS!$E$10)</f>
        <v>56121.8705626803</v>
      </c>
      <c r="CC268" s="15" t="n">
        <f aca="false">(CC267)+BA268</f>
        <v>50177.4964501442</v>
      </c>
      <c r="CD268" s="15" t="n">
        <f aca="false">IF(CA268=0,0,CC268*CB268/CA268*Ipotesi!$C$103*Parametri_v3!$C$64)</f>
        <v>13469.2489350433</v>
      </c>
      <c r="CE268" s="18" t="n">
        <f aca="false">IF(BA268&gt;0,Motore_Operativo!C268,(CE267))</f>
        <v>47088</v>
      </c>
      <c r="CF268" s="18" t="n">
        <f aca="false">IF(AND(CC268&gt;0,OR(CC268&gt;=CG268-0.01,Motore_Operativo!C268&gt;=EDATE(MAX(Finanziamenti!$D$15:$D$17),Ipotesi!G14*12))),CE268,0)</f>
        <v>0</v>
      </c>
      <c r="CG268" s="15" t="n">
        <f aca="false">IF(AND(5&lt;&gt;6,5&lt;&gt;9,Finanziamenti!$F$11=1,OR(Parametri_v3!$C$6=0,Finanziamenti!$E$11=1)),MIN(Finanziamenti!$C$11,Piano_SS!$C$12*Ipotesi!$C$102),0)</f>
        <v>400000</v>
      </c>
      <c r="CH268" s="15" t="n">
        <f aca="false">IF(AND(AND(5&lt;&gt;8,5&lt;&gt;9,Finanziamenti!$F$10=1,OR(Parametri_v3!$C$6=0,Finanziamenti!$E$10=1)),Motore_Operativo!C268&gt;=Finanziamenti!$D$10,Motore_Operativo!C268&lt;Parametri_v3!$C$63),Finanziamenti!$C$10,0)</f>
        <v>150000</v>
      </c>
    </row>
    <row r="269" customFormat="false" ht="18" hidden="false" customHeight="true" outlineLevel="0" collapsed="false">
      <c r="A269" s="68" t="n">
        <f aca="false">5</f>
        <v>5</v>
      </c>
      <c r="B269" s="68" t="n">
        <f aca="false">25</f>
        <v>25</v>
      </c>
      <c r="C269" s="18" t="n">
        <f aca="false">Motore_Operativo!C269</f>
        <v>47119</v>
      </c>
      <c r="D269" s="68" t="n">
        <f aca="false">Motore_Operativo!D269</f>
        <v>2029</v>
      </c>
      <c r="E269" s="68" t="n">
        <f aca="false">Motore_Operativo!E269</f>
        <v>1</v>
      </c>
      <c r="F269" s="15" t="n">
        <f aca="false">Motore_Operativo!AQ269+Motore_Operativo!BF269</f>
        <v>23294.6073534697</v>
      </c>
      <c r="G269" s="15" t="n">
        <f aca="false">Motore_Operativo!BH269</f>
        <v>2994.75</v>
      </c>
      <c r="H269" s="15" t="n">
        <f aca="false">Motore_Operativo!BI269</f>
        <v>26289.3573534697</v>
      </c>
      <c r="I269" s="15" t="n">
        <f aca="false">Motore_Operativo!CA269</f>
        <v>50493.3729461524</v>
      </c>
      <c r="J269" s="15" t="n">
        <f aca="false">Motore_Operativo!CC269</f>
        <v>-24204.0155926828</v>
      </c>
      <c r="K269" s="15" t="n">
        <f aca="false">Motore_Operativo!CE269</f>
        <v>2500</v>
      </c>
      <c r="L269" s="15" t="n">
        <f aca="false">SUM(INDEX($K$245:$K$304,MAX(1,25-Parametri_v3!$C$59+1)):K269)/Parametri_v3!$C$59</f>
        <v>1319.44444444444</v>
      </c>
      <c r="M269" s="15" t="n">
        <f aca="false">J269-L269</f>
        <v>-25523.4600371272</v>
      </c>
      <c r="N269" s="15" t="n">
        <f aca="false">CD269-(CD268)</f>
        <v>3362.8646477579</v>
      </c>
      <c r="O269" s="15" t="n">
        <f aca="false">(BG268)*Ipotesi!$C$110/12+CH269*Parametri_v3!$C$39/12</f>
        <v>750</v>
      </c>
      <c r="P269" s="15" t="n">
        <f aca="false">M269+N269-O269</f>
        <v>-22910.5953893693</v>
      </c>
      <c r="Q269" s="15" t="n">
        <f aca="false">SUM(P269)+Parametri_v3!$C$54*1/12</f>
        <v>-22910.5953893693</v>
      </c>
      <c r="R269" s="15" t="n">
        <f aca="false">Z268</f>
        <v>352929.606711621</v>
      </c>
      <c r="S269" s="15" t="n">
        <f aca="false">AA268</f>
        <v>0</v>
      </c>
      <c r="T269" s="15" t="n">
        <f aca="false">MIN(R269,MAX(0,Q269))</f>
        <v>0</v>
      </c>
      <c r="U269" s="15" t="n">
        <f aca="false">MIN(S269,MAX(0,Q269-T269)*Parametri_v3!$C$42)</f>
        <v>0</v>
      </c>
      <c r="V269" s="15" t="n">
        <f aca="false">MAX(0,Q269-T269-U269)*Ipotesi!$C$92</f>
        <v>0</v>
      </c>
      <c r="W269" s="15" t="n">
        <f aca="false">MAX(0,SUM(M269)+Parametri_v3!$C$55*1/12)*Ipotesi!$C$93</f>
        <v>0</v>
      </c>
      <c r="X269" s="15" t="n">
        <f aca="false">V269+W269-(0)</f>
        <v>0</v>
      </c>
      <c r="Y269" s="15" t="n">
        <f aca="false">P269-X269</f>
        <v>-22910.5953893693</v>
      </c>
      <c r="Z269" s="15" t="n">
        <f aca="false">R269-T269+IF(AND(Parametri_v3!$C$40=1,D269-YEAR(Parametri_v3!$C$50)&lt;Parametri_v3!$C$41),MAX(0,-Q269),0)</f>
        <v>375840.202100991</v>
      </c>
      <c r="AA269" s="15" t="n">
        <f aca="false">S269-U269+IF(AND(Parametri_v3!$C$40=1,D269-YEAR(Parametri_v3!$C$50)&lt;Parametri_v3!$C$41),0,MAX(0,-Q269))</f>
        <v>0</v>
      </c>
      <c r="AB269" s="15" t="n">
        <f aca="false">F269*(1+Parametri_v3!$C$26)</f>
        <v>28419.420971233</v>
      </c>
      <c r="AC269" s="15" t="n">
        <f aca="false">(IF(25-(INT((Motore_Operativo!L269)/30))&lt;1,0,INDEX(Motore_Startup!$AB$245:$AB$304,MAX(1,25-(INT((Motore_Operativo!L269)/30)))))*(1-(MOD((Motore_Operativo!L269),30)/30))+IF(25-(INT((Motore_Operativo!L269)/30))-1&lt;1,0,INDEX(Motore_Startup!$AB$245:$AB$304,MAX(1,25-(INT((Motore_Operativo!L269)/30))-1)))*(MOD((Motore_Operativo!L269),30)/30))</f>
        <v>14584.5307094333</v>
      </c>
      <c r="AD269" s="15" t="n">
        <f aca="false">(AD268)+AB269-AC269</f>
        <v>73279.8671294985</v>
      </c>
      <c r="AE269" s="15" t="n">
        <f aca="false">Motore_Operativo!BH269*(1+Parametri_v3!$C$26)</f>
        <v>3653.595</v>
      </c>
      <c r="AF269" s="15" t="n">
        <f aca="false">(IF(25-(INT((Parametri_v3!$C$29)/30))&lt;1,0,INDEX(Motore_Operativo!$BH$245:$BH$304,MAX(1,25-(INT((Parametri_v3!$C$29)/30)))))*(1-(MOD((Parametri_v3!$C$29),30)/30))+IF(25-(INT((Parametri_v3!$C$29)/30))-1&lt;1,0,INDEX(Motore_Operativo!$BH$245:$BH$304,MAX(1,25-(INT((Parametri_v3!$C$29)/30))-1)))*(MOD((Parametri_v3!$C$29),30)/30))*(1+Parametri_v3!$C$26)</f>
        <v>2052.12591549296</v>
      </c>
      <c r="AG269" s="15" t="n">
        <f aca="false">(AG268)+AE269-AF269</f>
        <v>3653.595</v>
      </c>
      <c r="AH269" s="15" t="n">
        <f aca="false">(Motore_Operativo!CJ269)*(1+Parametri_v3!$C$27*Parametri_v3!$C$26)</f>
        <v>19919.3981891663</v>
      </c>
      <c r="AI269" s="15" t="n">
        <f aca="false">(IF(25-(INT((Ipotesi!$C$91)/30))&lt;1,0,INDEX(Motore_Startup!$AH$245:$AH$304,MAX(1,25-(INT((Ipotesi!$C$91)/30)))))*(1-(MOD((Ipotesi!$C$91),30)/30))+IF(25-(INT((Ipotesi!$C$91)/30))-1&lt;1,0,INDEX(Motore_Startup!$AH$245:$AH$304,MAX(1,25-(INT((Ipotesi!$C$91)/30))-1)))*(MOD((Ipotesi!$C$91),30)/30))</f>
        <v>11472.1634571167</v>
      </c>
      <c r="AJ269" s="15" t="n">
        <f aca="false">(AJ268)+AH269-AI269</f>
        <v>31416.3966695664</v>
      </c>
      <c r="AK269" s="15" t="n">
        <f aca="false">(F269+ Motore_Operativo!BH269-(Motore_Operativo!CJ269)*Parametri_v3!$C$27-Motore_Operativo!CE269)*Parametri_v3!$C$26</f>
        <v>2095.55629141615</v>
      </c>
      <c r="AL269" s="15" t="n">
        <f aca="false">MAX(0,(AM268))</f>
        <v>829.989258755434</v>
      </c>
      <c r="AM269" s="15" t="n">
        <f aca="false">(AM268)+AK269-AL269</f>
        <v>2095.55629141615</v>
      </c>
      <c r="AN269" s="15" t="n">
        <f aca="false">SUM(X257:X268)</f>
        <v>0</v>
      </c>
      <c r="AO269" s="15" t="n">
        <f aca="false">SUM(AP257:AP268)</f>
        <v>0</v>
      </c>
      <c r="AP269" s="15" t="n">
        <f aca="false">MAX(0,AN269)*IF(1=Parametri_v3!$C$43,Parametri_v3!$C$45,IF(1=Parametri_v3!$C$44,1-Parametri_v3!$C$45,0))</f>
        <v>0</v>
      </c>
      <c r="AQ269" s="15" t="n">
        <f aca="false">MAX(0,AP269+IF(1=Parametri_v3!$C$43,MAX(0,AN269-AO269),0)-MAX(0,-(AR268)))</f>
        <v>0</v>
      </c>
      <c r="AR269" s="15" t="n">
        <f aca="false">(AR268)+X269-AQ269</f>
        <v>0</v>
      </c>
      <c r="AS269" s="15" t="n">
        <f aca="false">Motore_Operativo!AB269-AT269+AU269</f>
        <v>32026.4732291667</v>
      </c>
      <c r="AT269" s="15" t="n">
        <f aca="false">Motore_Operativo!CH269</f>
        <v>1685.60385416667</v>
      </c>
      <c r="AU269" s="15" t="n">
        <f aca="false">MIN(MAX(0,(AV268)+AT269),Parametri_v3!$C$60/12)</f>
        <v>0</v>
      </c>
      <c r="AV269" s="15" t="n">
        <f aca="false">(AV268)+AT269-AU269</f>
        <v>20163.2288541667</v>
      </c>
      <c r="AW269" s="15" t="n">
        <f aca="false">IF(AND(Motore_Operativo!C269=Finanziamenti!$D$6,Finanziamenti!$F$6=1),Finanziamenti!$C$6,0)</f>
        <v>0</v>
      </c>
      <c r="AX269" s="15" t="n">
        <f aca="false">IF(AND(5&lt;&gt;7,5&lt;&gt;9,Finanziamenti!$F$8=1,OR(Parametri_v3!$C$6=0,Finanziamenti!$E$8=1),Motore_Operativo!C269=EDATE(Finanziamenti!$D$8,Ipotesi!G15*12)),Finanziamenti!$C$8*1,0)+IF(AND(5&lt;&gt;7,5&lt;&gt;9,Finanziamenti!$F$9=1,OR(Parametri_v3!$C$6=0,Finanziamenti!$E$9=1),Motore_Operativo!C269=EDATE(Finanziamenti!$D$9,Ipotesi!G15*12)),Finanziamenti!$C$9*Ipotesi!G16,0)</f>
        <v>0</v>
      </c>
      <c r="AY269" s="15" t="n">
        <f aca="false">0</f>
        <v>0</v>
      </c>
      <c r="AZ269" s="15" t="n">
        <f aca="false">Motore_Advisory!AY269*(1-Ipotesi!$C$95)*Ipotesi!$C$96</f>
        <v>0</v>
      </c>
      <c r="BA269" s="15" t="n">
        <f aca="false">MAX(0,MIN(CG269*MIN(1,IF(Motore_Operativo!C269&gt;=EDATE(Finanziamenti!$D$15,Ipotesi!G14*12),Finanziamenti!$C$15,0)+IF(Motore_Operativo!C269&gt;=EDATE(Finanziamenti!$D$16,Ipotesi!G14*12),Finanziamenti!$C$16,0)+IF(Motore_Operativo!C269&gt;=EDATE(Finanziamenti!$D$17,Ipotesi!G14*12),Finanziamenti!$C$17,0)),CA269*Ipotesi!$C$102)-(CC268))</f>
        <v>12089.5488258597</v>
      </c>
      <c r="BB269" s="15" t="n">
        <f aca="false">IF(AND(CF269&gt;0,Motore_Operativo!C269&gt;=IF(CF269=0,0,EDATE(CF269,Parametri_v3!$C$37)),MOD(((D269-YEAR(IF(CF269=0,0,EDATE(CF269,Parametri_v3!$C$37))))*12+E269-MONTH(IF(CF269=0,0,EDATE(CF269,Parametri_v3!$C$37)))),Parametri_v3!$C$38)=0),MIN(MAX(0,(BC268)+BA269-N269),(CC269-CD269)/(Ipotesi!$C$108*12/Parametri_v3!$C$38)),0)</f>
        <v>0</v>
      </c>
      <c r="BC269" s="15" t="n">
        <f aca="false">(BC268)+BA269-N269-BB269</f>
        <v>45434.9316932027</v>
      </c>
      <c r="BD269" s="15" t="n">
        <f aca="false">(BH268)+AC269+AF269-AI269-AS269-K269*(1+Parametri_v3!$C$26)-AL269-AQ269-O269+AW269+AX269+AZ269+BA269-BB269</f>
        <v>-105052.439611026</v>
      </c>
      <c r="BE269" s="15" t="n">
        <f aca="false">MAX(0,MIN(MAX(0,CH269-(BG268)),Parametri_v3!$C$30-BD269))</f>
        <v>0</v>
      </c>
      <c r="BF269" s="15" t="n">
        <f aca="false">IF(Motore_Operativo!C269&gt;=Parametri_v3!$C$63,(BG268),MIN((BG268),MAX(0,BD269-Parametri_v3!$C$30)))</f>
        <v>0</v>
      </c>
      <c r="BG269" s="15" t="n">
        <f aca="false">(BG268)+BE269-BF269</f>
        <v>150000</v>
      </c>
      <c r="BH269" s="15" t="n">
        <f aca="false">BD269+BE269-BF269-AY269</f>
        <v>-105052.439611026</v>
      </c>
      <c r="BI269" s="15" t="n">
        <f aca="false">MAX(0,Parametri_v3!$C$30-BH269)</f>
        <v>130052.439611026</v>
      </c>
      <c r="BJ269" s="15" t="n">
        <f aca="false">(BJ268)+K269</f>
        <v>47500</v>
      </c>
      <c r="BK269" s="15" t="n">
        <f aca="false">(BK268)+L269</f>
        <v>16111.1111111111</v>
      </c>
      <c r="BL269" s="15" t="n">
        <f aca="false">BJ269-BK269</f>
        <v>31388.8888888889</v>
      </c>
      <c r="BM269" s="15" t="n">
        <f aca="false">(BM268)+Y269</f>
        <v>-375840.202100991</v>
      </c>
      <c r="BN269" s="15" t="n">
        <f aca="false">(BN268)+AW269+AX269+AZ269</f>
        <v>130000</v>
      </c>
      <c r="BO269" s="15" t="n">
        <f aca="false">(BO268)+AY269</f>
        <v>0</v>
      </c>
      <c r="BP269" s="15" t="n">
        <f aca="false">0</f>
        <v>0</v>
      </c>
      <c r="BQ269" s="15" t="n">
        <f aca="false">BN269+BM269-BO269</f>
        <v>-245840.202100991</v>
      </c>
      <c r="BR269" s="15" t="n">
        <f aca="false">BH269+AD269+BL269+MAX(0,-AM269)+MAX(0,-AR269)+AG269</f>
        <v>3269.91140736153</v>
      </c>
      <c r="BS269" s="15" t="n">
        <f aca="false">AJ269+AV269+MAX(0,AM269)+MAX(0,AR269)+BC269+BG269+BQ269</f>
        <v>3269.91140736136</v>
      </c>
      <c r="BT269" s="15" t="n">
        <f aca="false">BR269-BS269</f>
        <v>1.65073288371786E-010</v>
      </c>
      <c r="BU269" s="15" t="n">
        <f aca="false">BH269-(BD269+BE269-BF269-AY269)</f>
        <v>0</v>
      </c>
      <c r="BV269" s="15" t="n">
        <f aca="false">MIN(Piano_SS!$C$6,(BV268)+IF(AND(Motore_Operativo!C269&gt;=EDATE(Parametri_v3!$C$24,Ipotesi!G14*12),Motore_Operativo!C269&lt;EDATE(Parametri_v3!$C$24,Parametri_v3!$C$25+Ipotesi!G14*12)),MAX(0,(Motore_Operativo!Y269+Motore_Operativo!X269*Parametri_v3!$C$14)*(1-Parametri_v3!$C$32))*Piano_SS!$D$6,0))</f>
        <v>33451.8571875</v>
      </c>
      <c r="BW269" s="15" t="n">
        <f aca="false">MIN(Piano_SS!$C$7,(BW268)+IF(AND(Motore_Operativo!C269&gt;=EDATE(Parametri_v3!$C$24,Ipotesi!G14*12),Motore_Operativo!C269&lt;EDATE(Parametri_v3!$C$24,Parametri_v3!$C$25+Ipotesi!G14*12)),MAX(0,(IF(25-(INT((Ipotesi!$C$91)/30))&lt;1,0,INDEX(Motore_Operativo!$BN$245:$BN$304,MAX(1,25-(INT((Ipotesi!$C$91)/30)))))*(1-(MOD((Ipotesi!$C$91),30)/30))+IF(25-(INT((Ipotesi!$C$91)/30))-1&lt;1,0,INDEX(Motore_Operativo!$BN$245:$BN$304,MAX(1,25-(INT((Ipotesi!$C$91)/30))-1)))*(MOD((Ipotesi!$C$91),30)/30)))*Piano_SS!$D$7,0))</f>
        <v>5931.94940750485</v>
      </c>
      <c r="BX269" s="15" t="n">
        <f aca="false">MIN(Piano_SS!$C$8,(BX268)+IF(AND(Motore_Operativo!C269&gt;=EDATE(Parametri_v3!$C$24,Ipotesi!G14*12),Motore_Operativo!C269&lt;EDATE(Parametri_v3!$C$24,Parametri_v3!$C$25+Ipotesi!G14*12)),MAX(0,Motore_Operativo!CE269)*Piano_SS!$D$8,0))</f>
        <v>15000</v>
      </c>
      <c r="BY269" s="15" t="n">
        <f aca="false">MIN(Piano_SS!$C$9,(BY268)+IF(AND(Motore_Operativo!C269&gt;=EDATE(Parametri_v3!$C$24,Ipotesi!G14*12),Motore_Operativo!C269&lt;EDATE(Parametri_v3!$C$24,Parametri_v3!$C$25+Ipotesi!G14*12)),MAX(0,((IF(25-(INT((Ipotesi!$C$91)/30))&lt;1,0,INDEX(Motore_Operativo!$BQ$245:$BQ$304,MAX(1,25-(INT((Ipotesi!$C$91)/30)))))*(1-(MOD((Ipotesi!$C$91),30)/30))+IF(25-(INT((Ipotesi!$C$91)/30))-1&lt;1,0,INDEX(Motore_Operativo!$BQ$245:$BQ$304,MAX(1,25-(INT((Ipotesi!$C$91)/30))-1)))*(MOD((Ipotesi!$C$91),30)/30))+(IF(25-(INT((Ipotesi!$C$91)/30))&lt;1,0,INDEX(Motore_Operativo!$BR$245:$BR$304,MAX(1,25-(INT((Ipotesi!$C$91)/30)))))*(1-(MOD((Ipotesi!$C$91),30)/30))+IF(25-(INT((Ipotesi!$C$91)/30))-1&lt;1,0,INDEX(Motore_Operativo!$BR$245:$BR$304,MAX(1,25-(INT((Ipotesi!$C$91)/30))-1)))*(MOD((Ipotesi!$C$91),30)/30))))*Piano_SS!$D$9,0))</f>
        <v>15750</v>
      </c>
      <c r="BZ269" s="15" t="n">
        <f aca="false">MIN(Piano_SS!$C$10,(BZ268)+IF(AND(Motore_Operativo!C269&gt;=EDATE(Parametri_v3!$C$24,Ipotesi!G14*12),Motore_Operativo!C269&lt;EDATE(Parametri_v3!$C$24,Parametri_v3!$C$25+Ipotesi!G14*12)),MAX(0,(IF(25-(INT((Ipotesi!$C$91)/30))&lt;1,0,INDEX(Motore_Operativo!$BO$245:$BO$304,MAX(1,25-(INT((Ipotesi!$C$91)/30)))))*(1-(MOD((Ipotesi!$C$91),30)/30))+IF(25-(INT((Ipotesi!$C$91)/30))-1&lt;1,0,INDEX(Motore_Operativo!$BO$245:$BO$304,MAX(1,25-(INT((Ipotesi!$C$91)/30))-1)))*(MOD((Ipotesi!$C$91),30)/30)))*Piano_SS!$D$10,0))</f>
        <v>7700</v>
      </c>
      <c r="CA269" s="15" t="n">
        <f aca="false">SUM(BV269:BZ269)</f>
        <v>77833.8065950049</v>
      </c>
      <c r="CB269" s="15" t="n">
        <f aca="false">BV269*(1-Piano_SS!$E$6)+BW269*(1-Piano_SS!$E$7)+BX269*(1-Piano_SS!$E$8)+BY269*(1-Piano_SS!$E$9)+BZ269*(1-Piano_SS!$E$10)</f>
        <v>70133.8065950049</v>
      </c>
      <c r="CC269" s="15" t="n">
        <f aca="false">(CC268)+BA269</f>
        <v>62267.0452760039</v>
      </c>
      <c r="CD269" s="15" t="n">
        <f aca="false">IF(CA269=0,0,CC269*CB269/CA269*Ipotesi!$C$103*Parametri_v3!$C$64)</f>
        <v>16832.1135828012</v>
      </c>
      <c r="CE269" s="18" t="n">
        <f aca="false">IF(BA269&gt;0,Motore_Operativo!C269,(CE268))</f>
        <v>47119</v>
      </c>
      <c r="CF269" s="18" t="n">
        <f aca="false">IF(AND(CC269&gt;0,OR(CC269&gt;=CG269-0.01,Motore_Operativo!C269&gt;=EDATE(MAX(Finanziamenti!$D$15:$D$17),Ipotesi!G14*12))),CE269,0)</f>
        <v>0</v>
      </c>
      <c r="CG269" s="15" t="n">
        <f aca="false">IF(AND(5&lt;&gt;6,5&lt;&gt;9,Finanziamenti!$F$11=1,OR(Parametri_v3!$C$6=0,Finanziamenti!$E$11=1)),MIN(Finanziamenti!$C$11,Piano_SS!$C$12*Ipotesi!$C$102),0)</f>
        <v>400000</v>
      </c>
      <c r="CH269" s="15" t="n">
        <f aca="false">IF(AND(AND(5&lt;&gt;8,5&lt;&gt;9,Finanziamenti!$F$10=1,OR(Parametri_v3!$C$6=0,Finanziamenti!$E$10=1)),Motore_Operativo!C269&gt;=Finanziamenti!$D$10,Motore_Operativo!C269&lt;Parametri_v3!$C$63),Finanziamenti!$C$10,0)</f>
        <v>150000</v>
      </c>
    </row>
    <row r="270" customFormat="false" ht="18" hidden="false" customHeight="true" outlineLevel="0" collapsed="false">
      <c r="A270" s="68" t="n">
        <f aca="false">5</f>
        <v>5</v>
      </c>
      <c r="B270" s="68" t="n">
        <f aca="false">26</f>
        <v>26</v>
      </c>
      <c r="C270" s="18" t="n">
        <f aca="false">Motore_Operativo!C270</f>
        <v>47150</v>
      </c>
      <c r="D270" s="68" t="n">
        <f aca="false">Motore_Operativo!D270</f>
        <v>2029</v>
      </c>
      <c r="E270" s="68" t="n">
        <f aca="false">Motore_Operativo!E270</f>
        <v>2</v>
      </c>
      <c r="F270" s="15" t="n">
        <f aca="false">Motore_Operativo!AQ270+Motore_Operativo!BF270</f>
        <v>23406.6566220838</v>
      </c>
      <c r="G270" s="15" t="n">
        <f aca="false">Motore_Operativo!BH270</f>
        <v>2994.75</v>
      </c>
      <c r="H270" s="15" t="n">
        <f aca="false">Motore_Operativo!BI270</f>
        <v>26401.4066220838</v>
      </c>
      <c r="I270" s="15" t="n">
        <f aca="false">Motore_Operativo!CA270</f>
        <v>50509.0598437584</v>
      </c>
      <c r="J270" s="15" t="n">
        <f aca="false">Motore_Operativo!CC270</f>
        <v>-24107.6532216746</v>
      </c>
      <c r="K270" s="15" t="n">
        <f aca="false">Motore_Operativo!CE270</f>
        <v>2500</v>
      </c>
      <c r="L270" s="15" t="n">
        <f aca="false">SUM(INDEX($K$245:$K$304,MAX(1,26-Parametri_v3!$C$59+1)):K270)/Parametri_v3!$C$59</f>
        <v>1388.88888888889</v>
      </c>
      <c r="M270" s="15" t="n">
        <f aca="false">J270-L270</f>
        <v>-25496.5421105635</v>
      </c>
      <c r="N270" s="15" t="n">
        <f aca="false">CD270-(CD269)</f>
        <v>3365.73402101005</v>
      </c>
      <c r="O270" s="15" t="n">
        <f aca="false">(BG269)*Ipotesi!$C$110/12+CH270*Parametri_v3!$C$39/12</f>
        <v>750</v>
      </c>
      <c r="P270" s="15" t="n">
        <f aca="false">M270+N270-O270</f>
        <v>-22880.8080895534</v>
      </c>
      <c r="Q270" s="15" t="n">
        <f aca="false">SUM(P269:P270)+Parametri_v3!$C$54*2/12</f>
        <v>-45791.4034789227</v>
      </c>
      <c r="R270" s="15" t="n">
        <f aca="false">Z268</f>
        <v>352929.606711621</v>
      </c>
      <c r="S270" s="15" t="n">
        <f aca="false">AA268</f>
        <v>0</v>
      </c>
      <c r="T270" s="15" t="n">
        <f aca="false">MIN(R270,MAX(0,Q270))</f>
        <v>0</v>
      </c>
      <c r="U270" s="15" t="n">
        <f aca="false">MIN(S270,MAX(0,Q270-T270)*Parametri_v3!$C$42)</f>
        <v>0</v>
      </c>
      <c r="V270" s="15" t="n">
        <f aca="false">MAX(0,Q270-T270-U270)*Ipotesi!$C$92</f>
        <v>0</v>
      </c>
      <c r="W270" s="15" t="n">
        <f aca="false">MAX(0,SUM(M269:M270)+Parametri_v3!$C$55*2/12)*Ipotesi!$C$93</f>
        <v>0</v>
      </c>
      <c r="X270" s="15" t="n">
        <f aca="false">V270+W270-(V269+W269)</f>
        <v>0</v>
      </c>
      <c r="Y270" s="15" t="n">
        <f aca="false">P270-X270</f>
        <v>-22880.8080895534</v>
      </c>
      <c r="Z270" s="15" t="n">
        <f aca="false">R270-T270+IF(AND(Parametri_v3!$C$40=1,D270-YEAR(Parametri_v3!$C$50)&lt;Parametri_v3!$C$41),MAX(0,-Q270),0)</f>
        <v>398721.010190544</v>
      </c>
      <c r="AA270" s="15" t="n">
        <f aca="false">S270-U270+IF(AND(Parametri_v3!$C$40=1,D270-YEAR(Parametri_v3!$C$50)&lt;Parametri_v3!$C$41),0,MAX(0,-Q270))</f>
        <v>0</v>
      </c>
      <c r="AB270" s="15" t="n">
        <f aca="false">F270*(1+Parametri_v3!$C$26)</f>
        <v>28556.1210789423</v>
      </c>
      <c r="AC270" s="15" t="n">
        <f aca="false">(IF(26-(INT((Motore_Operativo!L270)/30))&lt;1,0,INDEX(Motore_Startup!$AB$245:$AB$304,MAX(1,26-(INT((Motore_Operativo!L270)/30)))))*(1-(MOD((Motore_Operativo!L270),30)/30))+IF(26-(INT((Motore_Operativo!L270)/30))-1&lt;1,0,INDEX(Motore_Startup!$AB$245:$AB$304,MAX(1,26-(INT((Motore_Operativo!L270)/30))-1)))*(MOD((Motore_Operativo!L270),30)/30))</f>
        <v>14770.0853823851</v>
      </c>
      <c r="AD270" s="15" t="n">
        <f aca="false">(AD269)+AB270-AC270</f>
        <v>87065.9028260556</v>
      </c>
      <c r="AE270" s="15" t="n">
        <f aca="false">Motore_Operativo!BH270*(1+Parametri_v3!$C$26)</f>
        <v>3653.595</v>
      </c>
      <c r="AF270" s="15" t="n">
        <f aca="false">(IF(26-(INT((Parametri_v3!$C$29)/30))&lt;1,0,INDEX(Motore_Operativo!$BH$245:$BH$304,MAX(1,26-(INT((Parametri_v3!$C$29)/30)))))*(1-(MOD((Parametri_v3!$C$29),30)/30))+IF(26-(INT((Parametri_v3!$C$29)/30))-1&lt;1,0,INDEX(Motore_Operativo!$BH$245:$BH$304,MAX(1,26-(INT((Parametri_v3!$C$29)/30))-1)))*(MOD((Parametri_v3!$C$29),30)/30))*(1+Parametri_v3!$C$26)</f>
        <v>3653.595</v>
      </c>
      <c r="AG270" s="15" t="n">
        <f aca="false">(AG269)+AE270-AF270</f>
        <v>3653.595</v>
      </c>
      <c r="AH270" s="15" t="n">
        <f aca="false">(Motore_Operativo!CJ270)*(1+Parametri_v3!$C$27*Parametri_v3!$C$26)</f>
        <v>19938.0185366246</v>
      </c>
      <c r="AI270" s="15" t="n">
        <f aca="false">(IF(26-(INT((Ipotesi!$C$91)/30))&lt;1,0,INDEX(Motore_Startup!$AH$245:$AH$304,MAX(1,26-(INT((Ipotesi!$C$91)/30)))))*(1-(MOD((Ipotesi!$C$91),30)/30))+IF(26-(INT((Ipotesi!$C$91)/30))-1&lt;1,0,INDEX(Motore_Startup!$AH$245:$AH$304,MAX(1,26-(INT((Ipotesi!$C$91)/30))-1)))*(MOD((Ipotesi!$C$91),30)/30))</f>
        <v>11496.9984804001</v>
      </c>
      <c r="AJ270" s="15" t="n">
        <f aca="false">(AJ269)+AH270-AI270</f>
        <v>39857.4167257908</v>
      </c>
      <c r="AK270" s="15" t="n">
        <f aca="false">(F270+ Motore_Operativo!BH270-(Motore_Operativo!CJ270)*Parametri_v3!$C$27-Motore_Operativo!CE270)*Parametri_v3!$C$26</f>
        <v>2117.27368065895</v>
      </c>
      <c r="AL270" s="15" t="n">
        <f aca="false">MAX(0,(AM269))</f>
        <v>2095.55629141615</v>
      </c>
      <c r="AM270" s="15" t="n">
        <f aca="false">(AM269)+AK270-AL270</f>
        <v>2117.27368065895</v>
      </c>
      <c r="AN270" s="15" t="n">
        <f aca="false">SUM(X257:X268)</f>
        <v>0</v>
      </c>
      <c r="AO270" s="15" t="n">
        <f aca="false">SUM(AP257:AP268)</f>
        <v>0</v>
      </c>
      <c r="AP270" s="15" t="n">
        <f aca="false">MAX(0,AN270)*IF(2=Parametri_v3!$C$43,Parametri_v3!$C$45,IF(2=Parametri_v3!$C$44,1-Parametri_v3!$C$45,0))</f>
        <v>0</v>
      </c>
      <c r="AQ270" s="15" t="n">
        <f aca="false">MAX(0,AP270+IF(2=Parametri_v3!$C$43,MAX(0,AN270-AO270),0)-MAX(0,-(AR269)))</f>
        <v>0</v>
      </c>
      <c r="AR270" s="15" t="n">
        <f aca="false">(AR269)+X270-AQ270</f>
        <v>0</v>
      </c>
      <c r="AS270" s="15" t="n">
        <f aca="false">Motore_Operativo!AB270-AT270+AU270</f>
        <v>32026.4732291667</v>
      </c>
      <c r="AT270" s="15" t="n">
        <f aca="false">Motore_Operativo!CH270</f>
        <v>1685.60385416667</v>
      </c>
      <c r="AU270" s="15" t="n">
        <f aca="false">MIN(MAX(0,(AV269)+AT270),Parametri_v3!$C$60/12)</f>
        <v>0</v>
      </c>
      <c r="AV270" s="15" t="n">
        <f aca="false">(AV269)+AT270-AU270</f>
        <v>21848.8327083333</v>
      </c>
      <c r="AW270" s="15" t="n">
        <f aca="false">IF(AND(Motore_Operativo!C270=Finanziamenti!$D$6,Finanziamenti!$F$6=1),Finanziamenti!$C$6,0)</f>
        <v>0</v>
      </c>
      <c r="AX270" s="15" t="n">
        <f aca="false">IF(AND(5&lt;&gt;7,5&lt;&gt;9,Finanziamenti!$F$8=1,OR(Parametri_v3!$C$6=0,Finanziamenti!$E$8=1),Motore_Operativo!C270=EDATE(Finanziamenti!$D$8,Ipotesi!G15*12)),Finanziamenti!$C$8*1,0)+IF(AND(5&lt;&gt;7,5&lt;&gt;9,Finanziamenti!$F$9=1,OR(Parametri_v3!$C$6=0,Finanziamenti!$E$9=1),Motore_Operativo!C270=EDATE(Finanziamenti!$D$9,Ipotesi!G15*12)),Finanziamenti!$C$9*Ipotesi!G16,0)</f>
        <v>0</v>
      </c>
      <c r="AY270" s="15" t="n">
        <f aca="false">0</f>
        <v>0</v>
      </c>
      <c r="AZ270" s="15" t="n">
        <f aca="false">Motore_Advisory!AY270*(1-Ipotesi!$C$95)*Ipotesi!$C$96</f>
        <v>0</v>
      </c>
      <c r="BA270" s="15" t="n">
        <f aca="false">MAX(0,MIN(CG270*MIN(1,IF(Motore_Operativo!C270&gt;=EDATE(Finanziamenti!$D$15,Ipotesi!G14*12),Finanziamenti!$C$15,0)+IF(Motore_Operativo!C270&gt;=EDATE(Finanziamenti!$D$16,Ipotesi!G14*12),Finanziamenti!$C$16,0)+IF(Motore_Operativo!C270&gt;=EDATE(Finanziamenti!$D$17,Ipotesi!G14*12),Finanziamenti!$C$17,0)),CA270*Ipotesi!$C$102)-(CC269))</f>
        <v>12099.1134033668</v>
      </c>
      <c r="BB270" s="15" t="n">
        <f aca="false">IF(AND(CF270&gt;0,Motore_Operativo!C270&gt;=IF(CF270=0,0,EDATE(CF270,Parametri_v3!$C$37)),MOD(((D270-YEAR(IF(CF270=0,0,EDATE(CF270,Parametri_v3!$C$37))))*12+E270-MONTH(IF(CF270=0,0,EDATE(CF270,Parametri_v3!$C$37)))),Parametri_v3!$C$38)=0),MIN(MAX(0,(BC269)+BA270-N270),(CC270-CD270)/(Ipotesi!$C$108*12/Parametri_v3!$C$38)),0)</f>
        <v>0</v>
      </c>
      <c r="BC270" s="15" t="n">
        <f aca="false">(BC269)+BA270-N270-BB270</f>
        <v>54168.3110755595</v>
      </c>
      <c r="BD270" s="15" t="n">
        <f aca="false">(BH269)+AC270+AF270-AI270-AS270-K270*(1+Parametri_v3!$C$26)-AL270-AQ270-O270+AW270+AX270+AZ270+BA270-BB270</f>
        <v>-123948.673826257</v>
      </c>
      <c r="BE270" s="15" t="n">
        <f aca="false">MAX(0,MIN(MAX(0,CH270-(BG269)),Parametri_v3!$C$30-BD270))</f>
        <v>0</v>
      </c>
      <c r="BF270" s="15" t="n">
        <f aca="false">IF(Motore_Operativo!C270&gt;=Parametri_v3!$C$63,(BG269),MIN((BG269),MAX(0,BD270-Parametri_v3!$C$30)))</f>
        <v>0</v>
      </c>
      <c r="BG270" s="15" t="n">
        <f aca="false">(BG269)+BE270-BF270</f>
        <v>150000</v>
      </c>
      <c r="BH270" s="15" t="n">
        <f aca="false">BD270+BE270-BF270-AY270</f>
        <v>-123948.673826257</v>
      </c>
      <c r="BI270" s="15" t="n">
        <f aca="false">MAX(0,Parametri_v3!$C$30-BH270)</f>
        <v>148948.673826257</v>
      </c>
      <c r="BJ270" s="15" t="n">
        <f aca="false">(BJ269)+K270</f>
        <v>50000</v>
      </c>
      <c r="BK270" s="15" t="n">
        <f aca="false">(BK269)+L270</f>
        <v>17500</v>
      </c>
      <c r="BL270" s="15" t="n">
        <f aca="false">BJ270-BK270</f>
        <v>32500</v>
      </c>
      <c r="BM270" s="15" t="n">
        <f aca="false">(BM269)+Y270</f>
        <v>-398721.010190544</v>
      </c>
      <c r="BN270" s="15" t="n">
        <f aca="false">(BN269)+AW270+AX270+AZ270</f>
        <v>130000</v>
      </c>
      <c r="BO270" s="15" t="n">
        <f aca="false">(BO269)+AY270</f>
        <v>0</v>
      </c>
      <c r="BP270" s="15" t="n">
        <f aca="false">0</f>
        <v>0</v>
      </c>
      <c r="BQ270" s="15" t="n">
        <f aca="false">BN270+BM270-BO270</f>
        <v>-268721.010190544</v>
      </c>
      <c r="BR270" s="15" t="n">
        <f aca="false">BH270+AD270+BL270+MAX(0,-AM270)+MAX(0,-AR270)+AG270</f>
        <v>-729.176000201225</v>
      </c>
      <c r="BS270" s="15" t="n">
        <f aca="false">AJ270+AV270+MAX(0,AM270)+MAX(0,AR270)+BC270+BG270+BQ270</f>
        <v>-729.176000201434</v>
      </c>
      <c r="BT270" s="15" t="n">
        <f aca="false">BR270-BS270</f>
        <v>2.09183781407774E-010</v>
      </c>
      <c r="BU270" s="15" t="n">
        <f aca="false">BH270-(BD270+BE270-BF270-AY270)</f>
        <v>0</v>
      </c>
      <c r="BV270" s="15" t="n">
        <f aca="false">MIN(Piano_SS!$C$6,(BV269)+IF(AND(Motore_Operativo!C270&gt;=EDATE(Parametri_v3!$C$24,Ipotesi!G14*12),Motore_Operativo!C270&lt;EDATE(Parametri_v3!$C$24,Parametri_v3!$C$25+Ipotesi!G14*12)),MAX(0,(Motore_Operativo!Y270+Motore_Operativo!X270*Parametri_v3!$C$14)*(1-Parametri_v3!$C$32))*Piano_SS!$D$6,0))</f>
        <v>41829.651875</v>
      </c>
      <c r="BW270" s="15" t="n">
        <f aca="false">MIN(Piano_SS!$C$7,(BW269)+IF(AND(Motore_Operativo!C270&gt;=EDATE(Parametri_v3!$C$24,Ipotesi!G14*12),Motore_Operativo!C270&lt;EDATE(Parametri_v3!$C$24,Parametri_v3!$C$25+Ipotesi!G14*12)),MAX(0,(IF(26-(INT((Ipotesi!$C$91)/30))&lt;1,0,INDEX(Motore_Operativo!$BN$245:$BN$304,MAX(1,26-(INT((Ipotesi!$C$91)/30)))))*(1-(MOD((Ipotesi!$C$91),30)/30))+IF(26-(INT((Ipotesi!$C$91)/30))-1&lt;1,0,INDEX(Motore_Operativo!$BN$245:$BN$304,MAX(1,26-(INT((Ipotesi!$C$91)/30))-1)))*(MOD((Ipotesi!$C$91),30)/30)))*Piano_SS!$D$7,0))</f>
        <v>6828.04647421338</v>
      </c>
      <c r="BX270" s="15" t="n">
        <f aca="false">MIN(Piano_SS!$C$8,(BX269)+IF(AND(Motore_Operativo!C270&gt;=EDATE(Parametri_v3!$C$24,Ipotesi!G14*12),Motore_Operativo!C270&lt;EDATE(Parametri_v3!$C$24,Parametri_v3!$C$25+Ipotesi!G14*12)),MAX(0,Motore_Operativo!CE270)*Piano_SS!$D$8,0))</f>
        <v>17500</v>
      </c>
      <c r="BY270" s="15" t="n">
        <f aca="false">MIN(Piano_SS!$C$9,(BY269)+IF(AND(Motore_Operativo!C270&gt;=EDATE(Parametri_v3!$C$24,Ipotesi!G14*12),Motore_Operativo!C270&lt;EDATE(Parametri_v3!$C$24,Parametri_v3!$C$25+Ipotesi!G14*12)),MAX(0,((IF(26-(INT((Ipotesi!$C$91)/30))&lt;1,0,INDEX(Motore_Operativo!$BQ$245:$BQ$304,MAX(1,26-(INT((Ipotesi!$C$91)/30)))))*(1-(MOD((Ipotesi!$C$91),30)/30))+IF(26-(INT((Ipotesi!$C$91)/30))-1&lt;1,0,INDEX(Motore_Operativo!$BQ$245:$BQ$304,MAX(1,26-(INT((Ipotesi!$C$91)/30))-1)))*(MOD((Ipotesi!$C$91),30)/30))+(IF(26-(INT((Ipotesi!$C$91)/30))&lt;1,0,INDEX(Motore_Operativo!$BR$245:$BR$304,MAX(1,26-(INT((Ipotesi!$C$91)/30)))))*(1-(MOD((Ipotesi!$C$91),30)/30))+IF(26-(INT((Ipotesi!$C$91)/30))-1&lt;1,0,INDEX(Motore_Operativo!$BR$245:$BR$304,MAX(1,26-(INT((Ipotesi!$C$91)/30))-1)))*(MOD((Ipotesi!$C$91),30)/30))))*Piano_SS!$D$9,0))</f>
        <v>18000</v>
      </c>
      <c r="BZ270" s="15" t="n">
        <f aca="false">MIN(Piano_SS!$C$10,(BZ269)+IF(AND(Motore_Operativo!C270&gt;=EDATE(Parametri_v3!$C$24,Ipotesi!G14*12),Motore_Operativo!C270&lt;EDATE(Parametri_v3!$C$24,Parametri_v3!$C$25+Ipotesi!G14*12)),MAX(0,(IF(26-(INT((Ipotesi!$C$91)/30))&lt;1,0,INDEX(Motore_Operativo!$BO$245:$BO$304,MAX(1,26-(INT((Ipotesi!$C$91)/30)))))*(1-(MOD((Ipotesi!$C$91),30)/30))+IF(26-(INT((Ipotesi!$C$91)/30))-1&lt;1,0,INDEX(Motore_Operativo!$BO$245:$BO$304,MAX(1,26-(INT((Ipotesi!$C$91)/30))-1)))*(MOD((Ipotesi!$C$91),30)/30)))*Piano_SS!$D$10,0))</f>
        <v>8800</v>
      </c>
      <c r="CA270" s="15" t="n">
        <f aca="false">SUM(BV270:BZ270)</f>
        <v>92957.6983492134</v>
      </c>
      <c r="CB270" s="15" t="n">
        <f aca="false">BV270*(1-Piano_SS!$E$6)+BW270*(1-Piano_SS!$E$7)+BX270*(1-Piano_SS!$E$8)+BY270*(1-Piano_SS!$E$9)+BZ270*(1-Piano_SS!$E$10)</f>
        <v>84157.6983492134</v>
      </c>
      <c r="CC270" s="15" t="n">
        <f aca="false">(CC269)+BA270</f>
        <v>74366.1586793707</v>
      </c>
      <c r="CD270" s="15" t="n">
        <f aca="false">IF(CA270=0,0,CC270*CB270/CA270*Ipotesi!$C$103*Parametri_v3!$C$64)</f>
        <v>20197.8476038112</v>
      </c>
      <c r="CE270" s="18" t="n">
        <f aca="false">IF(BA270&gt;0,Motore_Operativo!C270,(CE269))</f>
        <v>47150</v>
      </c>
      <c r="CF270" s="18" t="n">
        <f aca="false">IF(AND(CC270&gt;0,OR(CC270&gt;=CG270-0.01,Motore_Operativo!C270&gt;=EDATE(MAX(Finanziamenti!$D$15:$D$17),Ipotesi!G14*12))),CE270,0)</f>
        <v>0</v>
      </c>
      <c r="CG270" s="15" t="n">
        <f aca="false">IF(AND(5&lt;&gt;6,5&lt;&gt;9,Finanziamenti!$F$11=1,OR(Parametri_v3!$C$6=0,Finanziamenti!$E$11=1)),MIN(Finanziamenti!$C$11,Piano_SS!$C$12*Ipotesi!$C$102),0)</f>
        <v>400000</v>
      </c>
      <c r="CH270" s="15" t="n">
        <f aca="false">IF(AND(AND(5&lt;&gt;8,5&lt;&gt;9,Finanziamenti!$F$10=1,OR(Parametri_v3!$C$6=0,Finanziamenti!$E$10=1)),Motore_Operativo!C270&gt;=Finanziamenti!$D$10,Motore_Operativo!C270&lt;Parametri_v3!$C$63),Finanziamenti!$C$10,0)</f>
        <v>150000</v>
      </c>
    </row>
    <row r="271" customFormat="false" ht="18" hidden="false" customHeight="true" outlineLevel="0" collapsed="false">
      <c r="A271" s="68" t="n">
        <f aca="false">5</f>
        <v>5</v>
      </c>
      <c r="B271" s="68" t="n">
        <f aca="false">27</f>
        <v>27</v>
      </c>
      <c r="C271" s="18" t="n">
        <f aca="false">Motore_Operativo!C271</f>
        <v>47178</v>
      </c>
      <c r="D271" s="68" t="n">
        <f aca="false">Motore_Operativo!D271</f>
        <v>2029</v>
      </c>
      <c r="E271" s="68" t="n">
        <f aca="false">Motore_Operativo!E271</f>
        <v>3</v>
      </c>
      <c r="F271" s="15" t="n">
        <f aca="false">Motore_Operativo!AQ271+Motore_Operativo!BF271</f>
        <v>23517.726399584</v>
      </c>
      <c r="G271" s="15" t="n">
        <f aca="false">Motore_Operativo!BH271</f>
        <v>2994.75</v>
      </c>
      <c r="H271" s="15" t="n">
        <f aca="false">Motore_Operativo!BI271</f>
        <v>26512.476399584</v>
      </c>
      <c r="I271" s="15" t="n">
        <f aca="false">Motore_Operativo!CA271</f>
        <v>50524.6096126084</v>
      </c>
      <c r="J271" s="15" t="n">
        <f aca="false">Motore_Operativo!CC271</f>
        <v>-24012.1332130244</v>
      </c>
      <c r="K271" s="15" t="n">
        <f aca="false">Motore_Operativo!CE271</f>
        <v>2500</v>
      </c>
      <c r="L271" s="15" t="n">
        <f aca="false">SUM(INDEX($K$245:$K$304,MAX(1,27-Parametri_v3!$C$59+1)):K271)/Parametri_v3!$C$59</f>
        <v>1458.33333333333</v>
      </c>
      <c r="M271" s="15" t="n">
        <f aca="false">J271-L271</f>
        <v>-25470.4665463578</v>
      </c>
      <c r="N271" s="15" t="n">
        <f aca="false">CD271-(CD270)</f>
        <v>1489.09968141234</v>
      </c>
      <c r="O271" s="15" t="n">
        <f aca="false">(BG270)*Ipotesi!$C$110/12+CH271*Parametri_v3!$C$39/12</f>
        <v>750</v>
      </c>
      <c r="P271" s="15" t="n">
        <f aca="false">M271+N271-O271</f>
        <v>-24731.3668649454</v>
      </c>
      <c r="Q271" s="15" t="n">
        <f aca="false">SUM(P269:P271)+Parametri_v3!$C$54*3/12</f>
        <v>-70522.7703438682</v>
      </c>
      <c r="R271" s="15" t="n">
        <f aca="false">Z268</f>
        <v>352929.606711621</v>
      </c>
      <c r="S271" s="15" t="n">
        <f aca="false">AA268</f>
        <v>0</v>
      </c>
      <c r="T271" s="15" t="n">
        <f aca="false">MIN(R271,MAX(0,Q271))</f>
        <v>0</v>
      </c>
      <c r="U271" s="15" t="n">
        <f aca="false">MIN(S271,MAX(0,Q271-T271)*Parametri_v3!$C$42)</f>
        <v>0</v>
      </c>
      <c r="V271" s="15" t="n">
        <f aca="false">MAX(0,Q271-T271-U271)*Ipotesi!$C$92</f>
        <v>0</v>
      </c>
      <c r="W271" s="15" t="n">
        <f aca="false">MAX(0,SUM(M269:M271)+Parametri_v3!$C$55*3/12)*Ipotesi!$C$93</f>
        <v>0</v>
      </c>
      <c r="X271" s="15" t="n">
        <f aca="false">V271+W271-(V270+W270)</f>
        <v>0</v>
      </c>
      <c r="Y271" s="15" t="n">
        <f aca="false">P271-X271</f>
        <v>-24731.3668649454</v>
      </c>
      <c r="Z271" s="15" t="n">
        <f aca="false">R271-T271+IF(AND(Parametri_v3!$C$40=1,D271-YEAR(Parametri_v3!$C$50)&lt;Parametri_v3!$C$41),MAX(0,-Q271),0)</f>
        <v>423452.377055489</v>
      </c>
      <c r="AA271" s="15" t="n">
        <f aca="false">S271-U271+IF(AND(Parametri_v3!$C$40=1,D271-YEAR(Parametri_v3!$C$50)&lt;Parametri_v3!$C$41),0,MAX(0,-Q271))</f>
        <v>0</v>
      </c>
      <c r="AB271" s="15" t="n">
        <f aca="false">F271*(1+Parametri_v3!$C$26)</f>
        <v>28691.6262074925</v>
      </c>
      <c r="AC271" s="15" t="n">
        <f aca="false">(IF(27-(INT((Motore_Operativo!L271)/30))&lt;1,0,INDEX(Motore_Startup!$AB$245:$AB$304,MAX(1,27-(INT((Motore_Operativo!L271)/30)))))*(1-(MOD((Motore_Operativo!L271),30)/30))+IF(27-(INT((Motore_Operativo!L271)/30))-1&lt;1,0,INDEX(Motore_Startup!$AB$245:$AB$304,MAX(1,27-(INT((Motore_Operativo!L271)/30))-1)))*(MOD((Motore_Operativo!L271),30)/30))</f>
        <v>14954.0180085752</v>
      </c>
      <c r="AD271" s="15" t="n">
        <f aca="false">(AD270)+AB271-AC271</f>
        <v>100803.511024973</v>
      </c>
      <c r="AE271" s="15" t="n">
        <f aca="false">Motore_Operativo!BH271*(1+Parametri_v3!$C$26)</f>
        <v>3653.595</v>
      </c>
      <c r="AF271" s="15" t="n">
        <f aca="false">(IF(27-(INT((Parametri_v3!$C$29)/30))&lt;1,0,INDEX(Motore_Operativo!$BH$245:$BH$304,MAX(1,27-(INT((Parametri_v3!$C$29)/30)))))*(1-(MOD((Parametri_v3!$C$29),30)/30))+IF(27-(INT((Parametri_v3!$C$29)/30))-1&lt;1,0,INDEX(Motore_Operativo!$BH$245:$BH$304,MAX(1,27-(INT((Parametri_v3!$C$29)/30))-1)))*(MOD((Parametri_v3!$C$29),30)/30))*(1+Parametri_v3!$C$26)</f>
        <v>3653.595</v>
      </c>
      <c r="AG271" s="15" t="n">
        <f aca="false">(AG270)+AE271-AF271</f>
        <v>3653.595</v>
      </c>
      <c r="AH271" s="15" t="n">
        <f aca="false">(Motore_Operativo!CJ271)*(1+Parametri_v3!$C$27*Parametri_v3!$C$26)</f>
        <v>19956.4761122495</v>
      </c>
      <c r="AI271" s="15" t="n">
        <f aca="false">(IF(27-(INT((Ipotesi!$C$91)/30))&lt;1,0,INDEX(Motore_Startup!$AH$245:$AH$304,MAX(1,27-(INT((Ipotesi!$C$91)/30)))))*(1-(MOD((Ipotesi!$C$91),30)/30))+IF(27-(INT((Ipotesi!$C$91)/30))-1&lt;1,0,INDEX(Motore_Startup!$AH$245:$AH$304,MAX(1,27-(INT((Ipotesi!$C$91)/30))-1)))*(MOD((Ipotesi!$C$91),30)/30))</f>
        <v>19919.3981891663</v>
      </c>
      <c r="AJ271" s="15" t="n">
        <f aca="false">(AJ270)+AH271-AI271</f>
        <v>39894.4946488741</v>
      </c>
      <c r="AK271" s="15" t="n">
        <f aca="false">(F271+ Motore_Operativo!BH271-(Motore_Operativo!CJ271)*Parametri_v3!$C$27-Motore_Operativo!CE271)*Parametri_v3!$C$26</f>
        <v>2138.80122493404</v>
      </c>
      <c r="AL271" s="15" t="n">
        <f aca="false">MAX(0,(AM270))</f>
        <v>2117.27368065895</v>
      </c>
      <c r="AM271" s="15" t="n">
        <f aca="false">(AM270)+AK271-AL271</f>
        <v>2138.80122493404</v>
      </c>
      <c r="AN271" s="15" t="n">
        <f aca="false">SUM(X257:X268)</f>
        <v>0</v>
      </c>
      <c r="AO271" s="15" t="n">
        <f aca="false">SUM(AP257:AP268)</f>
        <v>0</v>
      </c>
      <c r="AP271" s="15" t="n">
        <f aca="false">MAX(0,AN271)*IF(3=Parametri_v3!$C$43,Parametri_v3!$C$45,IF(3=Parametri_v3!$C$44,1-Parametri_v3!$C$45,0))</f>
        <v>0</v>
      </c>
      <c r="AQ271" s="15" t="n">
        <f aca="false">MAX(0,AP271+IF(3=Parametri_v3!$C$43,MAX(0,AN271-AO271),0)-MAX(0,-(AR270)))</f>
        <v>0</v>
      </c>
      <c r="AR271" s="15" t="n">
        <f aca="false">(AR270)+X271-AQ271</f>
        <v>0</v>
      </c>
      <c r="AS271" s="15" t="n">
        <f aca="false">Motore_Operativo!AB271-AT271+AU271</f>
        <v>32026.4732291667</v>
      </c>
      <c r="AT271" s="15" t="n">
        <f aca="false">Motore_Operativo!CH271</f>
        <v>1685.60385416667</v>
      </c>
      <c r="AU271" s="15" t="n">
        <f aca="false">MIN(MAX(0,(AV270)+AT271),Parametri_v3!$C$60/12)</f>
        <v>0</v>
      </c>
      <c r="AV271" s="15" t="n">
        <f aca="false">(AV270)+AT271-AU271</f>
        <v>23534.4365625</v>
      </c>
      <c r="AW271" s="15" t="n">
        <f aca="false">IF(AND(Motore_Operativo!C271=Finanziamenti!$D$6,Finanziamenti!$F$6=1),Finanziamenti!$C$6,0)</f>
        <v>0</v>
      </c>
      <c r="AX271" s="15" t="n">
        <f aca="false">IF(AND(5&lt;&gt;7,5&lt;&gt;9,Finanziamenti!$F$8=1,OR(Parametri_v3!$C$6=0,Finanziamenti!$E$8=1),Motore_Operativo!C271=EDATE(Finanziamenti!$D$8,Ipotesi!G15*12)),Finanziamenti!$C$8*1,0)+IF(AND(5&lt;&gt;7,5&lt;&gt;9,Finanziamenti!$F$9=1,OR(Parametri_v3!$C$6=0,Finanziamenti!$E$9=1),Motore_Operativo!C271=EDATE(Finanziamenti!$D$9,Ipotesi!G15*12)),Finanziamenti!$C$9*Ipotesi!G16,0)</f>
        <v>0</v>
      </c>
      <c r="AY271" s="15" t="n">
        <f aca="false">0</f>
        <v>0</v>
      </c>
      <c r="AZ271" s="15" t="n">
        <f aca="false">Motore_Advisory!AY271*(1-Ipotesi!$C$95)*Ipotesi!$C$96</f>
        <v>0</v>
      </c>
      <c r="BA271" s="15" t="n">
        <f aca="false">MAX(0,MIN(CG271*MIN(1,IF(Motore_Operativo!C271&gt;=EDATE(Finanziamenti!$D$15,Ipotesi!G14*12),Finanziamenti!$C$15,0)+IF(Motore_Operativo!C271&gt;=EDATE(Finanziamenti!$D$16,Ipotesi!G14*12),Finanziamenti!$C$16,0)+IF(Motore_Operativo!C271&gt;=EDATE(Finanziamenti!$D$17,Ipotesi!G14*12),Finanziamenti!$C$17,0)),CA271*Ipotesi!$C$102)-(CC270))</f>
        <v>5633.84132062929</v>
      </c>
      <c r="BB271" s="15" t="n">
        <f aca="false">IF(AND(CF271&gt;0,Motore_Operativo!C271&gt;=IF(CF271=0,0,EDATE(CF271,Parametri_v3!$C$37)),MOD(((D271-YEAR(IF(CF271=0,0,EDATE(CF271,Parametri_v3!$C$37))))*12+E271-MONTH(IF(CF271=0,0,EDATE(CF271,Parametri_v3!$C$37)))),Parametri_v3!$C$38)=0),MIN(MAX(0,(BC270)+BA271-N271),(CC271-CD271)/(Ipotesi!$C$108*12/Parametri_v3!$C$38)),0)</f>
        <v>0</v>
      </c>
      <c r="BC271" s="15" t="n">
        <f aca="false">(BC270)+BA271-N271-BB271</f>
        <v>58313.0527147765</v>
      </c>
      <c r="BD271" s="15" t="n">
        <f aca="false">(BH270)+AC271+AF271-AI271-AS271-K271*(1+Parametri_v3!$C$26)-AL271-AQ271-O271+AW271+AX271+AZ271+BA271-BB271</f>
        <v>-157570.364596044</v>
      </c>
      <c r="BE271" s="15" t="n">
        <f aca="false">MAX(0,MIN(MAX(0,CH271-(BG270)),Parametri_v3!$C$30-BD271))</f>
        <v>0</v>
      </c>
      <c r="BF271" s="15" t="n">
        <f aca="false">IF(Motore_Operativo!C271&gt;=Parametri_v3!$C$63,(BG270),MIN((BG270),MAX(0,BD271-Parametri_v3!$C$30)))</f>
        <v>0</v>
      </c>
      <c r="BG271" s="15" t="n">
        <f aca="false">(BG270)+BE271-BF271</f>
        <v>150000</v>
      </c>
      <c r="BH271" s="15" t="n">
        <f aca="false">BD271+BE271-BF271-AY271</f>
        <v>-157570.364596044</v>
      </c>
      <c r="BI271" s="15" t="n">
        <f aca="false">MAX(0,Parametri_v3!$C$30-BH271)</f>
        <v>182570.364596044</v>
      </c>
      <c r="BJ271" s="15" t="n">
        <f aca="false">(BJ270)+K271</f>
        <v>52500</v>
      </c>
      <c r="BK271" s="15" t="n">
        <f aca="false">(BK270)+L271</f>
        <v>18958.3333333333</v>
      </c>
      <c r="BL271" s="15" t="n">
        <f aca="false">BJ271-BK271</f>
        <v>33541.6666666667</v>
      </c>
      <c r="BM271" s="15" t="n">
        <f aca="false">(BM270)+Y271</f>
        <v>-423452.377055489</v>
      </c>
      <c r="BN271" s="15" t="n">
        <f aca="false">(BN270)+AW271+AX271+AZ271</f>
        <v>130000</v>
      </c>
      <c r="BO271" s="15" t="n">
        <f aca="false">(BO270)+AY271</f>
        <v>0</v>
      </c>
      <c r="BP271" s="15" t="n">
        <f aca="false">0</f>
        <v>0</v>
      </c>
      <c r="BQ271" s="15" t="n">
        <f aca="false">BN271+BM271-BO271</f>
        <v>-293452.377055489</v>
      </c>
      <c r="BR271" s="15" t="n">
        <f aca="false">BH271+AD271+BL271+MAX(0,-AM271)+MAX(0,-AR271)+AG271</f>
        <v>-19571.5919044047</v>
      </c>
      <c r="BS271" s="15" t="n">
        <f aca="false">AJ271+AV271+MAX(0,AM271)+MAX(0,AR271)+BC271+BG271+BQ271</f>
        <v>-19571.5919044049</v>
      </c>
      <c r="BT271" s="15" t="n">
        <f aca="false">BR271-BS271</f>
        <v>1.89174897968769E-010</v>
      </c>
      <c r="BU271" s="15" t="n">
        <f aca="false">BH271-(BD271+BE271-BF271-AY271)</f>
        <v>0</v>
      </c>
      <c r="BV271" s="15" t="n">
        <f aca="false">MIN(Piano_SS!$C$6,(BV270)+IF(AND(Motore_Operativo!C271&gt;=EDATE(Parametri_v3!$C$24,Ipotesi!G14*12),Motore_Operativo!C271&lt;EDATE(Parametri_v3!$C$24,Parametri_v3!$C$25+Ipotesi!G14*12)),MAX(0,(Motore_Operativo!Y271+Motore_Operativo!X271*Parametri_v3!$C$14)*(1-Parametri_v3!$C$32))*Piano_SS!$D$6,0))</f>
        <v>50207.4465625</v>
      </c>
      <c r="BW271" s="15" t="n">
        <f aca="false">MIN(Piano_SS!$C$7,(BW270)+IF(AND(Motore_Operativo!C271&gt;=EDATE(Parametri_v3!$C$24,Ipotesi!G14*12),Motore_Operativo!C271&lt;EDATE(Parametri_v3!$C$24,Parametri_v3!$C$25+Ipotesi!G14*12)),MAX(0,(IF(27-(INT((Ipotesi!$C$91)/30))&lt;1,0,INDEX(Motore_Operativo!$BN$245:$BN$304,MAX(1,27-(INT((Ipotesi!$C$91)/30)))))*(1-(MOD((Ipotesi!$C$91),30)/30))+IF(27-(INT((Ipotesi!$C$91)/30))-1&lt;1,0,INDEX(Motore_Operativo!$BN$245:$BN$304,MAX(1,27-(INT((Ipotesi!$C$91)/30))-1)))*(MOD((Ipotesi!$C$91),30)/30)))*Piano_SS!$D$7,0))</f>
        <v>7791.61506249096</v>
      </c>
      <c r="BX271" s="15" t="n">
        <f aca="false">MIN(Piano_SS!$C$8,(BX270)+IF(AND(Motore_Operativo!C271&gt;=EDATE(Parametri_v3!$C$24,Ipotesi!G14*12),Motore_Operativo!C271&lt;EDATE(Parametri_v3!$C$24,Parametri_v3!$C$25+Ipotesi!G14*12)),MAX(0,Motore_Operativo!CE271)*Piano_SS!$D$8,0))</f>
        <v>20000</v>
      </c>
      <c r="BY271" s="15" t="n">
        <f aca="false">MIN(Piano_SS!$C$9,(BY270)+IF(AND(Motore_Operativo!C271&gt;=EDATE(Parametri_v3!$C$24,Ipotesi!G14*12),Motore_Operativo!C271&lt;EDATE(Parametri_v3!$C$24,Parametri_v3!$C$25+Ipotesi!G14*12)),MAX(0,((IF(27-(INT((Ipotesi!$C$91)/30))&lt;1,0,INDEX(Motore_Operativo!$BQ$245:$BQ$304,MAX(1,27-(INT((Ipotesi!$C$91)/30)))))*(1-(MOD((Ipotesi!$C$91),30)/30))+IF(27-(INT((Ipotesi!$C$91)/30))-1&lt;1,0,INDEX(Motore_Operativo!$BQ$245:$BQ$304,MAX(1,27-(INT((Ipotesi!$C$91)/30))-1)))*(MOD((Ipotesi!$C$91),30)/30))+(IF(27-(INT((Ipotesi!$C$91)/30))&lt;1,0,INDEX(Motore_Operativo!$BR$245:$BR$304,MAX(1,27-(INT((Ipotesi!$C$91)/30)))))*(1-(MOD((Ipotesi!$C$91),30)/30))+IF(27-(INT((Ipotesi!$C$91)/30))-1&lt;1,0,INDEX(Motore_Operativo!$BR$245:$BR$304,MAX(1,27-(INT((Ipotesi!$C$91)/30))-1)))*(MOD((Ipotesi!$C$91),30)/30))))*Piano_SS!$D$9,0))</f>
        <v>20916.6666666667</v>
      </c>
      <c r="BZ271" s="15" t="n">
        <f aca="false">MIN(Piano_SS!$C$10,(BZ270)+IF(AND(Motore_Operativo!C271&gt;=EDATE(Parametri_v3!$C$24,Ipotesi!G14*12),Motore_Operativo!C271&lt;EDATE(Parametri_v3!$C$24,Parametri_v3!$C$25+Ipotesi!G14*12)),MAX(0,(IF(27-(INT((Ipotesi!$C$91)/30))&lt;1,0,INDEX(Motore_Operativo!$BO$245:$BO$304,MAX(1,27-(INT((Ipotesi!$C$91)/30)))))*(1-(MOD((Ipotesi!$C$91),30)/30))+IF(27-(INT((Ipotesi!$C$91)/30))-1&lt;1,0,INDEX(Motore_Operativo!$BO$245:$BO$304,MAX(1,27-(INT((Ipotesi!$C$91)/30))-1)))*(MOD((Ipotesi!$C$91),30)/30)))*Piano_SS!$D$10,0))</f>
        <v>10550</v>
      </c>
      <c r="CA271" s="15" t="n">
        <f aca="false">SUM(BV271:BZ271)</f>
        <v>109465.728291658</v>
      </c>
      <c r="CB271" s="15" t="n">
        <f aca="false">BV271*(1-Piano_SS!$E$6)+BW271*(1-Piano_SS!$E$7)+BX271*(1-Piano_SS!$E$8)+BY271*(1-Piano_SS!$E$9)+BZ271*(1-Piano_SS!$E$10)</f>
        <v>98915.7282916576</v>
      </c>
      <c r="CC271" s="15" t="n">
        <f aca="false">(CC270)+BA271</f>
        <v>80000</v>
      </c>
      <c r="CD271" s="15" t="n">
        <f aca="false">IF(CA271=0,0,CC271*CB271/CA271*Ipotesi!$C$103*Parametri_v3!$C$64)</f>
        <v>21686.9472852236</v>
      </c>
      <c r="CE271" s="18" t="n">
        <f aca="false">IF(BA271&gt;0,Motore_Operativo!C271,(CE270))</f>
        <v>47178</v>
      </c>
      <c r="CF271" s="18" t="n">
        <f aca="false">IF(AND(CC271&gt;0,OR(CC271&gt;=CG271-0.01,Motore_Operativo!C271&gt;=EDATE(MAX(Finanziamenti!$D$15:$D$17),Ipotesi!G14*12))),CE271,0)</f>
        <v>0</v>
      </c>
      <c r="CG271" s="15" t="n">
        <f aca="false">IF(AND(5&lt;&gt;6,5&lt;&gt;9,Finanziamenti!$F$11=1,OR(Parametri_v3!$C$6=0,Finanziamenti!$E$11=1)),MIN(Finanziamenti!$C$11,Piano_SS!$C$12*Ipotesi!$C$102),0)</f>
        <v>400000</v>
      </c>
      <c r="CH271" s="15" t="n">
        <f aca="false">IF(AND(AND(5&lt;&gt;8,5&lt;&gt;9,Finanziamenti!$F$10=1,OR(Parametri_v3!$C$6=0,Finanziamenti!$E$10=1)),Motore_Operativo!C271&gt;=Finanziamenti!$D$10,Motore_Operativo!C271&lt;Parametri_v3!$C$63),Finanziamenti!$C$10,0)</f>
        <v>150000</v>
      </c>
    </row>
    <row r="272" customFormat="false" ht="18" hidden="false" customHeight="true" outlineLevel="0" collapsed="false">
      <c r="A272" s="68" t="n">
        <f aca="false">5</f>
        <v>5</v>
      </c>
      <c r="B272" s="68" t="n">
        <f aca="false">28</f>
        <v>28</v>
      </c>
      <c r="C272" s="18" t="n">
        <f aca="false">Motore_Operativo!C272</f>
        <v>47209</v>
      </c>
      <c r="D272" s="68" t="n">
        <f aca="false">Motore_Operativo!D272</f>
        <v>2029</v>
      </c>
      <c r="E272" s="68" t="n">
        <f aca="false">Motore_Operativo!E272</f>
        <v>4</v>
      </c>
      <c r="F272" s="15" t="n">
        <f aca="false">Motore_Operativo!AQ272+Motore_Operativo!BF272</f>
        <v>23793.0943516658</v>
      </c>
      <c r="G272" s="15" t="n">
        <f aca="false">Motore_Operativo!BH272</f>
        <v>2994.75</v>
      </c>
      <c r="H272" s="15" t="n">
        <f aca="false">Motore_Operativo!BI272</f>
        <v>26787.8443516658</v>
      </c>
      <c r="I272" s="15" t="n">
        <f aca="false">Motore_Operativo!CA272</f>
        <v>50563.1611258999</v>
      </c>
      <c r="J272" s="15" t="n">
        <f aca="false">Motore_Operativo!CC272</f>
        <v>-23775.316774234</v>
      </c>
      <c r="K272" s="15" t="n">
        <f aca="false">Motore_Operativo!CE272</f>
        <v>2500</v>
      </c>
      <c r="L272" s="15" t="n">
        <f aca="false">SUM(INDEX($K$245:$K$304,MAX(1,28-Parametri_v3!$C$59+1)):K272)/Parametri_v3!$C$59</f>
        <v>1527.77777777778</v>
      </c>
      <c r="M272" s="15" t="n">
        <f aca="false">J272-L272</f>
        <v>-25303.0945520118</v>
      </c>
      <c r="N272" s="15" t="n">
        <f aca="false">CD272-(CD271)</f>
        <v>-30.1257378097653</v>
      </c>
      <c r="O272" s="15" t="n">
        <f aca="false">(BG271)*Ipotesi!$C$110/12+CH272*Parametri_v3!$C$39/12</f>
        <v>750</v>
      </c>
      <c r="P272" s="15" t="n">
        <f aca="false">M272+N272-O272</f>
        <v>-26083.2202898216</v>
      </c>
      <c r="Q272" s="15" t="n">
        <f aca="false">SUM(P269:P272)+Parametri_v3!$C$54*4/12</f>
        <v>-96605.9906336897</v>
      </c>
      <c r="R272" s="15" t="n">
        <f aca="false">Z268</f>
        <v>352929.606711621</v>
      </c>
      <c r="S272" s="15" t="n">
        <f aca="false">AA268</f>
        <v>0</v>
      </c>
      <c r="T272" s="15" t="n">
        <f aca="false">MIN(R272,MAX(0,Q272))</f>
        <v>0</v>
      </c>
      <c r="U272" s="15" t="n">
        <f aca="false">MIN(S272,MAX(0,Q272-T272)*Parametri_v3!$C$42)</f>
        <v>0</v>
      </c>
      <c r="V272" s="15" t="n">
        <f aca="false">MAX(0,Q272-T272-U272)*Ipotesi!$C$92</f>
        <v>0</v>
      </c>
      <c r="W272" s="15" t="n">
        <f aca="false">MAX(0,SUM(M269:M272)+Parametri_v3!$C$55*4/12)*Ipotesi!$C$93</f>
        <v>0</v>
      </c>
      <c r="X272" s="15" t="n">
        <f aca="false">V272+W272-(V271+W271)</f>
        <v>0</v>
      </c>
      <c r="Y272" s="15" t="n">
        <f aca="false">P272-X272</f>
        <v>-26083.2202898216</v>
      </c>
      <c r="Z272" s="15" t="n">
        <f aca="false">R272-T272+IF(AND(Parametri_v3!$C$40=1,D272-YEAR(Parametri_v3!$C$50)&lt;Parametri_v3!$C$41),MAX(0,-Q272),0)</f>
        <v>449535.597345311</v>
      </c>
      <c r="AA272" s="15" t="n">
        <f aca="false">S272-U272+IF(AND(Parametri_v3!$C$40=1,D272-YEAR(Parametri_v3!$C$50)&lt;Parametri_v3!$C$41),0,MAX(0,-Q272))</f>
        <v>0</v>
      </c>
      <c r="AB272" s="15" t="n">
        <f aca="false">F272*(1+Parametri_v3!$C$26)</f>
        <v>29027.5751090323</v>
      </c>
      <c r="AC272" s="15" t="n">
        <f aca="false">(IF(28-(INT((Motore_Operativo!L272)/30))&lt;1,0,INDEX(Motore_Startup!$AB$245:$AB$304,MAX(1,28-(INT((Motore_Operativo!L272)/30)))))*(1-(MOD((Motore_Operativo!L272),30)/30))+IF(28-(INT((Motore_Operativo!L272)/30))-1&lt;1,0,INDEX(Motore_Startup!$AB$245:$AB$304,MAX(1,28-(INT((Motore_Operativo!L272)/30))-1)))*(MOD((Motore_Operativo!L272),30)/30))</f>
        <v>15136.3427673052</v>
      </c>
      <c r="AD272" s="15" t="n">
        <f aca="false">(AD271)+AB272-AC272</f>
        <v>114694.7433667</v>
      </c>
      <c r="AE272" s="15" t="n">
        <f aca="false">Motore_Operativo!BH272*(1+Parametri_v3!$C$26)</f>
        <v>3653.595</v>
      </c>
      <c r="AF272" s="15" t="n">
        <f aca="false">(IF(28-(INT((Parametri_v3!$C$29)/30))&lt;1,0,INDEX(Motore_Operativo!$BH$245:$BH$304,MAX(1,28-(INT((Parametri_v3!$C$29)/30)))))*(1-(MOD((Parametri_v3!$C$29),30)/30))+IF(28-(INT((Parametri_v3!$C$29)/30))-1&lt;1,0,INDEX(Motore_Operativo!$BH$245:$BH$304,MAX(1,28-(INT((Parametri_v3!$C$29)/30))-1)))*(MOD((Parametri_v3!$C$29),30)/30))*(1+Parametri_v3!$C$26)</f>
        <v>3653.595</v>
      </c>
      <c r="AG272" s="15" t="n">
        <f aca="false">(AG271)+AE272-AF272</f>
        <v>3653.595</v>
      </c>
      <c r="AH272" s="15" t="n">
        <f aca="false">(Motore_Operativo!CJ272)*(1+Parametri_v3!$C$27*Parametri_v3!$C$26)</f>
        <v>20002.2367585265</v>
      </c>
      <c r="AI272" s="15" t="n">
        <f aca="false">(IF(28-(INT((Ipotesi!$C$91)/30))&lt;1,0,INDEX(Motore_Startup!$AH$245:$AH$304,MAX(1,28-(INT((Ipotesi!$C$91)/30)))))*(1-(MOD((Ipotesi!$C$91),30)/30))+IF(28-(INT((Ipotesi!$C$91)/30))-1&lt;1,0,INDEX(Motore_Startup!$AH$245:$AH$304,MAX(1,28-(INT((Ipotesi!$C$91)/30))-1)))*(MOD((Ipotesi!$C$91),30)/30))</f>
        <v>19938.0185366246</v>
      </c>
      <c r="AJ272" s="15" t="n">
        <f aca="false">(AJ271)+AH272-AI272</f>
        <v>39958.712870776</v>
      </c>
      <c r="AK272" s="15" t="n">
        <f aca="false">(F272+ Motore_Operativo!BH272-(Motore_Operativo!CJ272)*Parametri_v3!$C$27-Motore_Operativo!CE272)*Parametri_v3!$C$26</f>
        <v>2192.17304140654</v>
      </c>
      <c r="AL272" s="15" t="n">
        <f aca="false">MAX(0,(AM271))</f>
        <v>2138.80122493404</v>
      </c>
      <c r="AM272" s="15" t="n">
        <f aca="false">(AM271)+AK272-AL272</f>
        <v>2192.17304140654</v>
      </c>
      <c r="AN272" s="15" t="n">
        <f aca="false">SUM(X257:X268)</f>
        <v>0</v>
      </c>
      <c r="AO272" s="15" t="n">
        <f aca="false">SUM(AP257:AP268)</f>
        <v>0</v>
      </c>
      <c r="AP272" s="15" t="n">
        <f aca="false">MAX(0,AN272)*IF(4=Parametri_v3!$C$43,Parametri_v3!$C$45,IF(4=Parametri_v3!$C$44,1-Parametri_v3!$C$45,0))</f>
        <v>0</v>
      </c>
      <c r="AQ272" s="15" t="n">
        <f aca="false">MAX(0,AP272+IF(4=Parametri_v3!$C$43,MAX(0,AN272-AO272),0)-MAX(0,-(AR271)))</f>
        <v>0</v>
      </c>
      <c r="AR272" s="15" t="n">
        <f aca="false">(AR271)+X272-AQ272</f>
        <v>0</v>
      </c>
      <c r="AS272" s="15" t="n">
        <f aca="false">Motore_Operativo!AB272-AT272+AU272</f>
        <v>32026.4732291667</v>
      </c>
      <c r="AT272" s="15" t="n">
        <f aca="false">Motore_Operativo!CH272</f>
        <v>1685.60385416667</v>
      </c>
      <c r="AU272" s="15" t="n">
        <f aca="false">MIN(MAX(0,(AV271)+AT272),Parametri_v3!$C$60/12)</f>
        <v>0</v>
      </c>
      <c r="AV272" s="15" t="n">
        <f aca="false">(AV271)+AT272-AU272</f>
        <v>25220.0404166667</v>
      </c>
      <c r="AW272" s="15" t="n">
        <f aca="false">IF(AND(Motore_Operativo!C272=Finanziamenti!$D$6,Finanziamenti!$F$6=1),Finanziamenti!$C$6,0)</f>
        <v>0</v>
      </c>
      <c r="AX272" s="15" t="n">
        <f aca="false">IF(AND(5&lt;&gt;7,5&lt;&gt;9,Finanziamenti!$F$8=1,OR(Parametri_v3!$C$6=0,Finanziamenti!$E$8=1),Motore_Operativo!C272=EDATE(Finanziamenti!$D$8,Ipotesi!G15*12)),Finanziamenti!$C$8*1,0)+IF(AND(5&lt;&gt;7,5&lt;&gt;9,Finanziamenti!$F$9=1,OR(Parametri_v3!$C$6=0,Finanziamenti!$E$9=1),Motore_Operativo!C272=EDATE(Finanziamenti!$D$9,Ipotesi!G15*12)),Finanziamenti!$C$9*Ipotesi!G16,0)</f>
        <v>0</v>
      </c>
      <c r="AY272" s="15" t="n">
        <f aca="false">0</f>
        <v>0</v>
      </c>
      <c r="AZ272" s="15" t="n">
        <f aca="false">Motore_Advisory!AY272*(1-Ipotesi!$C$95)*Ipotesi!$C$96</f>
        <v>0</v>
      </c>
      <c r="BA272" s="15" t="n">
        <f aca="false">MAX(0,MIN(CG272*MIN(1,IF(Motore_Operativo!C272&gt;=EDATE(Finanziamenti!$D$15,Ipotesi!G14*12),Finanziamenti!$C$15,0)+IF(Motore_Operativo!C272&gt;=EDATE(Finanziamenti!$D$16,Ipotesi!G14*12),Finanziamenti!$C$16,0)+IF(Motore_Operativo!C272&gt;=EDATE(Finanziamenti!$D$17,Ipotesi!G14*12),Finanziamenti!$C$17,0)),CA272*Ipotesi!$C$102)-(CC271))</f>
        <v>0</v>
      </c>
      <c r="BB272" s="15" t="n">
        <f aca="false">IF(AND(CF272&gt;0,Motore_Operativo!C272&gt;=IF(CF272=0,0,EDATE(CF272,Parametri_v3!$C$37)),MOD(((D272-YEAR(IF(CF272=0,0,EDATE(CF272,Parametri_v3!$C$37))))*12+E272-MONTH(IF(CF272=0,0,EDATE(CF272,Parametri_v3!$C$37)))),Parametri_v3!$C$38)=0),MIN(MAX(0,(BC271)+BA272-N272),(CC272-CD272)/(Ipotesi!$C$108*12/Parametri_v3!$C$38)),0)</f>
        <v>0</v>
      </c>
      <c r="BC272" s="15" t="n">
        <f aca="false">(BC271)+BA272-N272-BB272</f>
        <v>58343.1784525862</v>
      </c>
      <c r="BD272" s="15" t="n">
        <f aca="false">(BH271)+AC272+AF272-AI272-AS272-K272*(1+Parametri_v3!$C$26)-AL272-AQ272-O272+AW272+AX272+AZ272+BA272-BB272</f>
        <v>-196683.719819464</v>
      </c>
      <c r="BE272" s="15" t="n">
        <f aca="false">MAX(0,MIN(MAX(0,CH272-(BG271)),Parametri_v3!$C$30-BD272))</f>
        <v>0</v>
      </c>
      <c r="BF272" s="15" t="n">
        <f aca="false">IF(Motore_Operativo!C272&gt;=Parametri_v3!$C$63,(BG271),MIN((BG271),MAX(0,BD272-Parametri_v3!$C$30)))</f>
        <v>0</v>
      </c>
      <c r="BG272" s="15" t="n">
        <f aca="false">(BG271)+BE272-BF272</f>
        <v>150000</v>
      </c>
      <c r="BH272" s="15" t="n">
        <f aca="false">BD272+BE272-BF272-AY272</f>
        <v>-196683.719819464</v>
      </c>
      <c r="BI272" s="15" t="n">
        <f aca="false">MAX(0,Parametri_v3!$C$30-BH272)</f>
        <v>221683.719819464</v>
      </c>
      <c r="BJ272" s="15" t="n">
        <f aca="false">(BJ271)+K272</f>
        <v>55000</v>
      </c>
      <c r="BK272" s="15" t="n">
        <f aca="false">(BK271)+L272</f>
        <v>20486.1111111111</v>
      </c>
      <c r="BL272" s="15" t="n">
        <f aca="false">BJ272-BK272</f>
        <v>34513.8888888889</v>
      </c>
      <c r="BM272" s="15" t="n">
        <f aca="false">(BM271)+Y272</f>
        <v>-449535.597345311</v>
      </c>
      <c r="BN272" s="15" t="n">
        <f aca="false">(BN271)+AW272+AX272+AZ272</f>
        <v>130000</v>
      </c>
      <c r="BO272" s="15" t="n">
        <f aca="false">(BO271)+AY272</f>
        <v>0</v>
      </c>
      <c r="BP272" s="15" t="n">
        <f aca="false">0</f>
        <v>0</v>
      </c>
      <c r="BQ272" s="15" t="n">
        <f aca="false">BN272+BM272-BO272</f>
        <v>-319535.597345311</v>
      </c>
      <c r="BR272" s="15" t="n">
        <f aca="false">BH272+AD272+BL272+MAX(0,-AM272)+MAX(0,-AR272)+AG272</f>
        <v>-43821.4925638754</v>
      </c>
      <c r="BS272" s="15" t="n">
        <f aca="false">AJ272+AV272+MAX(0,AM272)+MAX(0,AR272)+BC272+BG272+BQ272</f>
        <v>-43821.4925638756</v>
      </c>
      <c r="BT272" s="15" t="n">
        <f aca="false">BR272-BS272</f>
        <v>1.96450855582953E-010</v>
      </c>
      <c r="BU272" s="15" t="n">
        <f aca="false">BH272-(BD272+BE272-BF272-AY272)</f>
        <v>0</v>
      </c>
      <c r="BV272" s="15" t="n">
        <f aca="false">MIN(Piano_SS!$C$6,(BV271)+IF(AND(Motore_Operativo!C272&gt;=EDATE(Parametri_v3!$C$24,Ipotesi!G14*12),Motore_Operativo!C272&lt;EDATE(Parametri_v3!$C$24,Parametri_v3!$C$25+Ipotesi!G14*12)),MAX(0,(Motore_Operativo!Y272+Motore_Operativo!X272*Parametri_v3!$C$14)*(1-Parametri_v3!$C$32))*Piano_SS!$D$6,0))</f>
        <v>58585.24125</v>
      </c>
      <c r="BW272" s="15" t="n">
        <f aca="false">MIN(Piano_SS!$C$7,(BW271)+IF(AND(Motore_Operativo!C272&gt;=EDATE(Parametri_v3!$C$24,Ipotesi!G14*12),Motore_Operativo!C272&lt;EDATE(Parametri_v3!$C$24,Parametri_v3!$C$25+Ipotesi!G14*12)),MAX(0,(IF(28-(INT((Ipotesi!$C$91)/30))&lt;1,0,INDEX(Motore_Operativo!$BN$245:$BN$304,MAX(1,28-(INT((Ipotesi!$C$91)/30)))))*(1-(MOD((Ipotesi!$C$91),30)/30))+IF(28-(INT((Ipotesi!$C$91)/30))-1&lt;1,0,INDEX(Motore_Operativo!$BN$245:$BN$304,MAX(1,28-(INT((Ipotesi!$C$91)/30))-1)))*(MOD((Ipotesi!$C$91),30)/30)))*Piano_SS!$D$7,0))</f>
        <v>8764.14759225766</v>
      </c>
      <c r="BX272" s="15" t="n">
        <f aca="false">MIN(Piano_SS!$C$8,(BX271)+IF(AND(Motore_Operativo!C272&gt;=EDATE(Parametri_v3!$C$24,Ipotesi!G14*12),Motore_Operativo!C272&lt;EDATE(Parametri_v3!$C$24,Parametri_v3!$C$25+Ipotesi!G14*12)),MAX(0,Motore_Operativo!CE272)*Piano_SS!$D$8,0))</f>
        <v>22500</v>
      </c>
      <c r="BY272" s="15" t="n">
        <f aca="false">MIN(Piano_SS!$C$9,(BY271)+IF(AND(Motore_Operativo!C272&gt;=EDATE(Parametri_v3!$C$24,Ipotesi!G14*12),Motore_Operativo!C272&lt;EDATE(Parametri_v3!$C$24,Parametri_v3!$C$25+Ipotesi!G14*12)),MAX(0,((IF(28-(INT((Ipotesi!$C$91)/30))&lt;1,0,INDEX(Motore_Operativo!$BQ$245:$BQ$304,MAX(1,28-(INT((Ipotesi!$C$91)/30)))))*(1-(MOD((Ipotesi!$C$91),30)/30))+IF(28-(INT((Ipotesi!$C$91)/30))-1&lt;1,0,INDEX(Motore_Operativo!$BQ$245:$BQ$304,MAX(1,28-(INT((Ipotesi!$C$91)/30))-1)))*(MOD((Ipotesi!$C$91),30)/30))+(IF(28-(INT((Ipotesi!$C$91)/30))&lt;1,0,INDEX(Motore_Operativo!$BR$245:$BR$304,MAX(1,28-(INT((Ipotesi!$C$91)/30)))))*(1-(MOD((Ipotesi!$C$91),30)/30))+IF(28-(INT((Ipotesi!$C$91)/30))-1&lt;1,0,INDEX(Motore_Operativo!$BR$245:$BR$304,MAX(1,28-(INT((Ipotesi!$C$91)/30))-1)))*(MOD((Ipotesi!$C$91),30)/30))))*Piano_SS!$D$9,0))</f>
        <v>23833.3333333333</v>
      </c>
      <c r="BZ272" s="15" t="n">
        <f aca="false">MIN(Piano_SS!$C$10,(BZ271)+IF(AND(Motore_Operativo!C272&gt;=EDATE(Parametri_v3!$C$24,Ipotesi!G14*12),Motore_Operativo!C272&lt;EDATE(Parametri_v3!$C$24,Parametri_v3!$C$25+Ipotesi!G14*12)),MAX(0,(IF(28-(INT((Ipotesi!$C$91)/30))&lt;1,0,INDEX(Motore_Operativo!$BO$245:$BO$304,MAX(1,28-(INT((Ipotesi!$C$91)/30)))))*(1-(MOD((Ipotesi!$C$91),30)/30))+IF(28-(INT((Ipotesi!$C$91)/30))-1&lt;1,0,INDEX(Motore_Operativo!$BO$245:$BO$304,MAX(1,28-(INT((Ipotesi!$C$91)/30))-1)))*(MOD((Ipotesi!$C$91),30)/30)))*Piano_SS!$D$10,0))</f>
        <v>12300</v>
      </c>
      <c r="CA272" s="15" t="n">
        <f aca="false">SUM(BV272:BZ272)</f>
        <v>125982.722175591</v>
      </c>
      <c r="CB272" s="15" t="n">
        <f aca="false">BV272*(1-Piano_SS!$E$6)+BW272*(1-Piano_SS!$E$7)+BX272*(1-Piano_SS!$E$8)+BY272*(1-Piano_SS!$E$9)+BZ272*(1-Piano_SS!$E$10)</f>
        <v>113682.722175591</v>
      </c>
      <c r="CC272" s="15" t="n">
        <f aca="false">(CC271)+BA272</f>
        <v>80000</v>
      </c>
      <c r="CD272" s="15" t="n">
        <f aca="false">IF(CA272=0,0,CC272*CB272/CA272*Ipotesi!$C$103*Parametri_v3!$C$64)</f>
        <v>21656.8215474138</v>
      </c>
      <c r="CE272" s="18" t="n">
        <f aca="false">IF(BA272&gt;0,Motore_Operativo!C272,(CE271))</f>
        <v>47178</v>
      </c>
      <c r="CF272" s="18" t="n">
        <f aca="false">IF(AND(CC272&gt;0,OR(CC272&gt;=CG272-0.01,Motore_Operativo!C272&gt;=EDATE(MAX(Finanziamenti!$D$15:$D$17),Ipotesi!G14*12))),CE272,0)</f>
        <v>0</v>
      </c>
      <c r="CG272" s="15" t="n">
        <f aca="false">IF(AND(5&lt;&gt;6,5&lt;&gt;9,Finanziamenti!$F$11=1,OR(Parametri_v3!$C$6=0,Finanziamenti!$E$11=1)),MIN(Finanziamenti!$C$11,Piano_SS!$C$12*Ipotesi!$C$102),0)</f>
        <v>400000</v>
      </c>
      <c r="CH272" s="15" t="n">
        <f aca="false">IF(AND(AND(5&lt;&gt;8,5&lt;&gt;9,Finanziamenti!$F$10=1,OR(Parametri_v3!$C$6=0,Finanziamenti!$E$10=1)),Motore_Operativo!C272&gt;=Finanziamenti!$D$10,Motore_Operativo!C272&lt;Parametri_v3!$C$63),Finanziamenti!$C$10,0)</f>
        <v>150000</v>
      </c>
    </row>
    <row r="273" customFormat="false" ht="18" hidden="false" customHeight="true" outlineLevel="0" collapsed="false">
      <c r="A273" s="68" t="n">
        <f aca="false">5</f>
        <v>5</v>
      </c>
      <c r="B273" s="68" t="n">
        <f aca="false">29</f>
        <v>29</v>
      </c>
      <c r="C273" s="18" t="n">
        <f aca="false">Motore_Operativo!C273</f>
        <v>47239</v>
      </c>
      <c r="D273" s="68" t="n">
        <f aca="false">Motore_Operativo!D273</f>
        <v>2029</v>
      </c>
      <c r="E273" s="68" t="n">
        <f aca="false">Motore_Operativo!E273</f>
        <v>5</v>
      </c>
      <c r="F273" s="15" t="n">
        <f aca="false">Motore_Operativo!AQ273+Motore_Operativo!BF273</f>
        <v>24231.3242476066</v>
      </c>
      <c r="G273" s="15" t="n">
        <f aca="false">Motore_Operativo!BH273</f>
        <v>2994.75</v>
      </c>
      <c r="H273" s="15" t="n">
        <f aca="false">Motore_Operativo!BI273</f>
        <v>27226.0742476066</v>
      </c>
      <c r="I273" s="15" t="n">
        <f aca="false">Motore_Operativo!CA273</f>
        <v>50624.5133113316</v>
      </c>
      <c r="J273" s="15" t="n">
        <f aca="false">Motore_Operativo!CC273</f>
        <v>-23398.439063725</v>
      </c>
      <c r="K273" s="15" t="n">
        <f aca="false">Motore_Operativo!CE273</f>
        <v>2500</v>
      </c>
      <c r="L273" s="15" t="n">
        <f aca="false">SUM(INDEX($K$245:$K$304,MAX(1,29-Parametri_v3!$C$59+1)):K273)/Parametri_v3!$C$59</f>
        <v>1597.22222222222</v>
      </c>
      <c r="M273" s="15" t="n">
        <f aca="false">J273-L273</f>
        <v>-24995.6612859472</v>
      </c>
      <c r="N273" s="15" t="n">
        <f aca="false">CD273-(CD272)</f>
        <v>-22.9945090132678</v>
      </c>
      <c r="O273" s="15" t="n">
        <f aca="false">(BG272)*Ipotesi!$C$110/12+CH273*Parametri_v3!$C$39/12</f>
        <v>750</v>
      </c>
      <c r="P273" s="15" t="n">
        <f aca="false">M273+N273-O273</f>
        <v>-25768.6557949605</v>
      </c>
      <c r="Q273" s="15" t="n">
        <f aca="false">SUM(P269:P273)+Parametri_v3!$C$54*5/12</f>
        <v>-122374.64642865</v>
      </c>
      <c r="R273" s="15" t="n">
        <f aca="false">Z268</f>
        <v>352929.606711621</v>
      </c>
      <c r="S273" s="15" t="n">
        <f aca="false">AA268</f>
        <v>0</v>
      </c>
      <c r="T273" s="15" t="n">
        <f aca="false">MIN(R273,MAX(0,Q273))</f>
        <v>0</v>
      </c>
      <c r="U273" s="15" t="n">
        <f aca="false">MIN(S273,MAX(0,Q273-T273)*Parametri_v3!$C$42)</f>
        <v>0</v>
      </c>
      <c r="V273" s="15" t="n">
        <f aca="false">MAX(0,Q273-T273-U273)*Ipotesi!$C$92</f>
        <v>0</v>
      </c>
      <c r="W273" s="15" t="n">
        <f aca="false">MAX(0,SUM(M269:M273)+Parametri_v3!$C$55*5/12)*Ipotesi!$C$93</f>
        <v>0</v>
      </c>
      <c r="X273" s="15" t="n">
        <f aca="false">V273+W273-(V272+W272)</f>
        <v>0</v>
      </c>
      <c r="Y273" s="15" t="n">
        <f aca="false">P273-X273</f>
        <v>-25768.6557949605</v>
      </c>
      <c r="Z273" s="15" t="n">
        <f aca="false">R273-T273+IF(AND(Parametri_v3!$C$40=1,D273-YEAR(Parametri_v3!$C$50)&lt;Parametri_v3!$C$41),MAX(0,-Q273),0)</f>
        <v>475304.253140271</v>
      </c>
      <c r="AA273" s="15" t="n">
        <f aca="false">S273-U273+IF(AND(Parametri_v3!$C$40=1,D273-YEAR(Parametri_v3!$C$50)&lt;Parametri_v3!$C$41),0,MAX(0,-Q273))</f>
        <v>0</v>
      </c>
      <c r="AB273" s="15" t="n">
        <f aca="false">F273*(1+Parametri_v3!$C$26)</f>
        <v>29562.21558208</v>
      </c>
      <c r="AC273" s="15" t="n">
        <f aca="false">(IF(29-(INT((Motore_Operativo!L273)/30))&lt;1,0,INDEX(Motore_Startup!$AB$245:$AB$304,MAX(1,29-(INT((Motore_Operativo!L273)/30)))))*(1-(MOD((Motore_Operativo!L273),30)/30))+IF(29-(INT((Motore_Operativo!L273)/30))-1&lt;1,0,INDEX(Motore_Startup!$AB$245:$AB$304,MAX(1,29-(INT((Motore_Operativo!L273)/30))-1)))*(MOD((Motore_Operativo!L273),30)/30))</f>
        <v>28419.420971233</v>
      </c>
      <c r="AD273" s="15" t="n">
        <f aca="false">(AD272)+AB273-AC273</f>
        <v>115837.537977547</v>
      </c>
      <c r="AE273" s="15" t="n">
        <f aca="false">Motore_Operativo!BH273*(1+Parametri_v3!$C$26)</f>
        <v>3653.595</v>
      </c>
      <c r="AF273" s="15" t="n">
        <f aca="false">(IF(29-(INT((Parametri_v3!$C$29)/30))&lt;1,0,INDEX(Motore_Operativo!$BH$245:$BH$304,MAX(1,29-(INT((Parametri_v3!$C$29)/30)))))*(1-(MOD((Parametri_v3!$C$29),30)/30))+IF(29-(INT((Parametri_v3!$C$29)/30))-1&lt;1,0,INDEX(Motore_Operativo!$BH$245:$BH$304,MAX(1,29-(INT((Parametri_v3!$C$29)/30))-1)))*(MOD((Parametri_v3!$C$29),30)/30))*(1+Parametri_v3!$C$26)</f>
        <v>3653.595</v>
      </c>
      <c r="AG273" s="15" t="n">
        <f aca="false">(AG272)+AE273-AF273</f>
        <v>3653.595</v>
      </c>
      <c r="AH273" s="15" t="n">
        <f aca="false">(Motore_Operativo!CJ273)*(1+Parametri_v3!$C$27*Parametri_v3!$C$26)</f>
        <v>20075.0618026339</v>
      </c>
      <c r="AI273" s="15" t="n">
        <f aca="false">(IF(29-(INT((Ipotesi!$C$91)/30))&lt;1,0,INDEX(Motore_Startup!$AH$245:$AH$304,MAX(1,29-(INT((Ipotesi!$C$91)/30)))))*(1-(MOD((Ipotesi!$C$91),30)/30))+IF(29-(INT((Ipotesi!$C$91)/30))-1&lt;1,0,INDEX(Motore_Startup!$AH$245:$AH$304,MAX(1,29-(INT((Ipotesi!$C$91)/30))-1)))*(MOD((Ipotesi!$C$91),30)/30))</f>
        <v>19956.4761122495</v>
      </c>
      <c r="AJ273" s="15" t="n">
        <f aca="false">(AJ272)+AH273-AI273</f>
        <v>40077.2985611604</v>
      </c>
      <c r="AK273" s="15" t="n">
        <f aca="false">(F273+ Motore_Operativo!BH273-(Motore_Operativo!CJ273)*Parametri_v3!$C$27-Motore_Operativo!CE273)*Parametri_v3!$C$26</f>
        <v>2277.11075983777</v>
      </c>
      <c r="AL273" s="15" t="n">
        <f aca="false">MAX(0,(AM272))</f>
        <v>2192.17304140654</v>
      </c>
      <c r="AM273" s="15" t="n">
        <f aca="false">(AM272)+AK273-AL273</f>
        <v>2277.11075983777</v>
      </c>
      <c r="AN273" s="15" t="n">
        <f aca="false">SUM(X257:X268)</f>
        <v>0</v>
      </c>
      <c r="AO273" s="15" t="n">
        <f aca="false">SUM(AP257:AP268)</f>
        <v>0</v>
      </c>
      <c r="AP273" s="15" t="n">
        <f aca="false">MAX(0,AN273)*IF(5=Parametri_v3!$C$43,Parametri_v3!$C$45,IF(5=Parametri_v3!$C$44,1-Parametri_v3!$C$45,0))</f>
        <v>0</v>
      </c>
      <c r="AQ273" s="15" t="n">
        <f aca="false">MAX(0,AP273+IF(5=Parametri_v3!$C$43,MAX(0,AN273-AO273),0)-MAX(0,-(AR272)))</f>
        <v>0</v>
      </c>
      <c r="AR273" s="15" t="n">
        <f aca="false">(AR272)+X273-AQ273</f>
        <v>0</v>
      </c>
      <c r="AS273" s="15" t="n">
        <f aca="false">Motore_Operativo!AB273-AT273+AU273</f>
        <v>32026.4732291667</v>
      </c>
      <c r="AT273" s="15" t="n">
        <f aca="false">Motore_Operativo!CH273</f>
        <v>1685.60385416667</v>
      </c>
      <c r="AU273" s="15" t="n">
        <f aca="false">MIN(MAX(0,(AV272)+AT273),Parametri_v3!$C$60/12)</f>
        <v>0</v>
      </c>
      <c r="AV273" s="15" t="n">
        <f aca="false">(AV272)+AT273-AU273</f>
        <v>26905.6442708333</v>
      </c>
      <c r="AW273" s="15" t="n">
        <f aca="false">IF(AND(Motore_Operativo!C273=Finanziamenti!$D$6,Finanziamenti!$F$6=1),Finanziamenti!$C$6,0)</f>
        <v>0</v>
      </c>
      <c r="AX273" s="15" t="n">
        <f aca="false">IF(AND(5&lt;&gt;7,5&lt;&gt;9,Finanziamenti!$F$8=1,OR(Parametri_v3!$C$6=0,Finanziamenti!$E$8=1),Motore_Operativo!C273=EDATE(Finanziamenti!$D$8,Ipotesi!G15*12)),Finanziamenti!$C$8*1,0)+IF(AND(5&lt;&gt;7,5&lt;&gt;9,Finanziamenti!$F$9=1,OR(Parametri_v3!$C$6=0,Finanziamenti!$E$9=1),Motore_Operativo!C273=EDATE(Finanziamenti!$D$9,Ipotesi!G15*12)),Finanziamenti!$C$9*Ipotesi!G16,0)</f>
        <v>0</v>
      </c>
      <c r="AY273" s="15" t="n">
        <f aca="false">0</f>
        <v>0</v>
      </c>
      <c r="AZ273" s="15" t="n">
        <f aca="false">Motore_Advisory!AY273*(1-Ipotesi!$C$95)*Ipotesi!$C$96</f>
        <v>0</v>
      </c>
      <c r="BA273" s="15" t="n">
        <f aca="false">MAX(0,MIN(CG273*MIN(1,IF(Motore_Operativo!C273&gt;=EDATE(Finanziamenti!$D$15,Ipotesi!G14*12),Finanziamenti!$C$15,0)+IF(Motore_Operativo!C273&gt;=EDATE(Finanziamenti!$D$16,Ipotesi!G14*12),Finanziamenti!$C$16,0)+IF(Motore_Operativo!C273&gt;=EDATE(Finanziamenti!$D$17,Ipotesi!G14*12),Finanziamenti!$C$17,0)),CA273*Ipotesi!$C$102)-(CC272))</f>
        <v>0</v>
      </c>
      <c r="BB273" s="15" t="n">
        <f aca="false">IF(AND(CF273&gt;0,Motore_Operativo!C273&gt;=IF(CF273=0,0,EDATE(CF273,Parametri_v3!$C$37)),MOD(((D273-YEAR(IF(CF273=0,0,EDATE(CF273,Parametri_v3!$C$37))))*12+E273-MONTH(IF(CF273=0,0,EDATE(CF273,Parametri_v3!$C$37)))),Parametri_v3!$C$38)=0),MIN(MAX(0,(BC272)+BA273-N273),(CC273-CD273)/(Ipotesi!$C$108*12/Parametri_v3!$C$38)),0)</f>
        <v>0</v>
      </c>
      <c r="BC273" s="15" t="n">
        <f aca="false">(BC272)+BA273-N273-BB273</f>
        <v>58366.1729615995</v>
      </c>
      <c r="BD273" s="15" t="n">
        <f aca="false">(BH272)+AC273+AF273-AI273-AS273-K273*(1+Parametri_v3!$C$26)-AL273-AQ273-O273+AW273+AX273+AZ273+BA273-BB273</f>
        <v>-222585.826231054</v>
      </c>
      <c r="BE273" s="15" t="n">
        <f aca="false">MAX(0,MIN(MAX(0,CH273-(BG272)),Parametri_v3!$C$30-BD273))</f>
        <v>0</v>
      </c>
      <c r="BF273" s="15" t="n">
        <f aca="false">IF(Motore_Operativo!C273&gt;=Parametri_v3!$C$63,(BG272),MIN((BG272),MAX(0,BD273-Parametri_v3!$C$30)))</f>
        <v>0</v>
      </c>
      <c r="BG273" s="15" t="n">
        <f aca="false">(BG272)+BE273-BF273</f>
        <v>150000</v>
      </c>
      <c r="BH273" s="15" t="n">
        <f aca="false">BD273+BE273-BF273-AY273</f>
        <v>-222585.826231054</v>
      </c>
      <c r="BI273" s="15" t="n">
        <f aca="false">MAX(0,Parametri_v3!$C$30-BH273)</f>
        <v>247585.826231054</v>
      </c>
      <c r="BJ273" s="15" t="n">
        <f aca="false">(BJ272)+K273</f>
        <v>57500</v>
      </c>
      <c r="BK273" s="15" t="n">
        <f aca="false">(BK272)+L273</f>
        <v>22083.3333333333</v>
      </c>
      <c r="BL273" s="15" t="n">
        <f aca="false">BJ273-BK273</f>
        <v>35416.6666666667</v>
      </c>
      <c r="BM273" s="15" t="n">
        <f aca="false">(BM272)+Y273</f>
        <v>-475304.253140272</v>
      </c>
      <c r="BN273" s="15" t="n">
        <f aca="false">(BN272)+AW273+AX273+AZ273</f>
        <v>130000</v>
      </c>
      <c r="BO273" s="15" t="n">
        <f aca="false">(BO272)+AY273</f>
        <v>0</v>
      </c>
      <c r="BP273" s="15" t="n">
        <f aca="false">0</f>
        <v>0</v>
      </c>
      <c r="BQ273" s="15" t="n">
        <f aca="false">BN273+BM273-BO273</f>
        <v>-345304.253140272</v>
      </c>
      <c r="BR273" s="15" t="n">
        <f aca="false">BH273+AD273+BL273+MAX(0,-AM273)+MAX(0,-AR273)+AG273</f>
        <v>-67678.0265868403</v>
      </c>
      <c r="BS273" s="15" t="n">
        <f aca="false">AJ273+AV273+MAX(0,AM273)+MAX(0,AR273)+BC273+BG273+BQ273</f>
        <v>-67678.0265868405</v>
      </c>
      <c r="BT273" s="15" t="n">
        <f aca="false">BR273-BS273</f>
        <v>0</v>
      </c>
      <c r="BU273" s="15" t="n">
        <f aca="false">BH273-(BD273+BE273-BF273-AY273)</f>
        <v>0</v>
      </c>
      <c r="BV273" s="15" t="n">
        <f aca="false">MIN(Piano_SS!$C$6,(BV272)+IF(AND(Motore_Operativo!C273&gt;=EDATE(Parametri_v3!$C$24,Ipotesi!G14*12),Motore_Operativo!C273&lt;EDATE(Parametri_v3!$C$24,Parametri_v3!$C$25+Ipotesi!G14*12)),MAX(0,(Motore_Operativo!Y273+Motore_Operativo!X273*Parametri_v3!$C$14)*(1-Parametri_v3!$C$32))*Piano_SS!$D$6,0))</f>
        <v>66963.0359375</v>
      </c>
      <c r="BW273" s="15" t="n">
        <f aca="false">MIN(Piano_SS!$C$7,(BW272)+IF(AND(Motore_Operativo!C273&gt;=EDATE(Parametri_v3!$C$24,Ipotesi!G14*12),Motore_Operativo!C273&lt;EDATE(Parametri_v3!$C$24,Parametri_v3!$C$25+Ipotesi!G14*12)),MAX(0,(IF(29-(INT((Ipotesi!$C$91)/30))&lt;1,0,INDEX(Motore_Operativo!$BN$245:$BN$304,MAX(1,29-(INT((Ipotesi!$C$91)/30)))))*(1-(MOD((Ipotesi!$C$91),30)/30))+IF(29-(INT((Ipotesi!$C$91)/30))-1&lt;1,0,INDEX(Motore_Operativo!$BN$245:$BN$304,MAX(1,29-(INT((Ipotesi!$C$91)/30))-1)))*(MOD((Ipotesi!$C$91),30)/30)))*Piano_SS!$D$7,0))</f>
        <v>9745.56570422438</v>
      </c>
      <c r="BX273" s="15" t="n">
        <f aca="false">MIN(Piano_SS!$C$8,(BX272)+IF(AND(Motore_Operativo!C273&gt;=EDATE(Parametri_v3!$C$24,Ipotesi!G14*12),Motore_Operativo!C273&lt;EDATE(Parametri_v3!$C$24,Parametri_v3!$C$25+Ipotesi!G14*12)),MAX(0,Motore_Operativo!CE273)*Piano_SS!$D$8,0))</f>
        <v>25000</v>
      </c>
      <c r="BY273" s="15" t="n">
        <f aca="false">MIN(Piano_SS!$C$9,(BY272)+IF(AND(Motore_Operativo!C273&gt;=EDATE(Parametri_v3!$C$24,Ipotesi!G14*12),Motore_Operativo!C273&lt;EDATE(Parametri_v3!$C$24,Parametri_v3!$C$25+Ipotesi!G14*12)),MAX(0,((IF(29-(INT((Ipotesi!$C$91)/30))&lt;1,0,INDEX(Motore_Operativo!$BQ$245:$BQ$304,MAX(1,29-(INT((Ipotesi!$C$91)/30)))))*(1-(MOD((Ipotesi!$C$91),30)/30))+IF(29-(INT((Ipotesi!$C$91)/30))-1&lt;1,0,INDEX(Motore_Operativo!$BQ$245:$BQ$304,MAX(1,29-(INT((Ipotesi!$C$91)/30))-1)))*(MOD((Ipotesi!$C$91),30)/30))+(IF(29-(INT((Ipotesi!$C$91)/30))&lt;1,0,INDEX(Motore_Operativo!$BR$245:$BR$304,MAX(1,29-(INT((Ipotesi!$C$91)/30)))))*(1-(MOD((Ipotesi!$C$91),30)/30))+IF(29-(INT((Ipotesi!$C$91)/30))-1&lt;1,0,INDEX(Motore_Operativo!$BR$245:$BR$304,MAX(1,29-(INT((Ipotesi!$C$91)/30))-1)))*(MOD((Ipotesi!$C$91),30)/30))))*Piano_SS!$D$9,0))</f>
        <v>26750</v>
      </c>
      <c r="BZ273" s="15" t="n">
        <f aca="false">MIN(Piano_SS!$C$10,(BZ272)+IF(AND(Motore_Operativo!C273&gt;=EDATE(Parametri_v3!$C$24,Ipotesi!G14*12),Motore_Operativo!C273&lt;EDATE(Parametri_v3!$C$24,Parametri_v3!$C$25+Ipotesi!G14*12)),MAX(0,(IF(29-(INT((Ipotesi!$C$91)/30))&lt;1,0,INDEX(Motore_Operativo!$BO$245:$BO$304,MAX(1,29-(INT((Ipotesi!$C$91)/30)))))*(1-(MOD((Ipotesi!$C$91),30)/30))+IF(29-(INT((Ipotesi!$C$91)/30))-1&lt;1,0,INDEX(Motore_Operativo!$BO$245:$BO$304,MAX(1,29-(INT((Ipotesi!$C$91)/30))-1)))*(MOD((Ipotesi!$C$91),30)/30)))*Piano_SS!$D$10,0))</f>
        <v>14050</v>
      </c>
      <c r="CA273" s="15" t="n">
        <f aca="false">SUM(BV273:BZ273)</f>
        <v>142508.601641724</v>
      </c>
      <c r="CB273" s="15" t="n">
        <f aca="false">BV273*(1-Piano_SS!$E$6)+BW273*(1-Piano_SS!$E$7)+BX273*(1-Piano_SS!$E$8)+BY273*(1-Piano_SS!$E$9)+BZ273*(1-Piano_SS!$E$10)</f>
        <v>128458.601641724</v>
      </c>
      <c r="CC273" s="15" t="n">
        <f aca="false">(CC272)+BA273</f>
        <v>80000</v>
      </c>
      <c r="CD273" s="15" t="n">
        <f aca="false">IF(CA273=0,0,CC273*CB273/CA273*Ipotesi!$C$103*Parametri_v3!$C$64)</f>
        <v>21633.8270384005</v>
      </c>
      <c r="CE273" s="18" t="n">
        <f aca="false">IF(BA273&gt;0,Motore_Operativo!C273,(CE272))</f>
        <v>47178</v>
      </c>
      <c r="CF273" s="18" t="n">
        <f aca="false">IF(AND(CC273&gt;0,OR(CC273&gt;=CG273-0.01,Motore_Operativo!C273&gt;=EDATE(MAX(Finanziamenti!$D$15:$D$17),Ipotesi!G14*12))),CE273,0)</f>
        <v>0</v>
      </c>
      <c r="CG273" s="15" t="n">
        <f aca="false">IF(AND(5&lt;&gt;6,5&lt;&gt;9,Finanziamenti!$F$11=1,OR(Parametri_v3!$C$6=0,Finanziamenti!$E$11=1)),MIN(Finanziamenti!$C$11,Piano_SS!$C$12*Ipotesi!$C$102),0)</f>
        <v>400000</v>
      </c>
      <c r="CH273" s="15" t="n">
        <f aca="false">IF(AND(AND(5&lt;&gt;8,5&lt;&gt;9,Finanziamenti!$F$10=1,OR(Parametri_v3!$C$6=0,Finanziamenti!$E$10=1)),Motore_Operativo!C273&gt;=Finanziamenti!$D$10,Motore_Operativo!C273&lt;Parametri_v3!$C$63),Finanziamenti!$C$10,0)</f>
        <v>150000</v>
      </c>
    </row>
    <row r="274" customFormat="false" ht="18" hidden="false" customHeight="true" outlineLevel="0" collapsed="false">
      <c r="A274" s="68" t="n">
        <f aca="false">5</f>
        <v>5</v>
      </c>
      <c r="B274" s="68" t="n">
        <f aca="false">30</f>
        <v>30</v>
      </c>
      <c r="C274" s="18" t="n">
        <f aca="false">Motore_Operativo!C274</f>
        <v>47270</v>
      </c>
      <c r="D274" s="68" t="n">
        <f aca="false">Motore_Operativo!D274</f>
        <v>2029</v>
      </c>
      <c r="E274" s="68" t="n">
        <f aca="false">Motore_Operativo!E274</f>
        <v>6</v>
      </c>
      <c r="F274" s="15" t="n">
        <f aca="false">Motore_Operativo!AQ274+Motore_Operativo!BF274</f>
        <v>24665.7233082883</v>
      </c>
      <c r="G274" s="15" t="n">
        <f aca="false">Motore_Operativo!BH274</f>
        <v>2994.75</v>
      </c>
      <c r="H274" s="15" t="n">
        <f aca="false">Motore_Operativo!BI274</f>
        <v>27660.4733082883</v>
      </c>
      <c r="I274" s="15" t="n">
        <f aca="false">Motore_Operativo!CA274</f>
        <v>50685.329179827</v>
      </c>
      <c r="J274" s="15" t="n">
        <f aca="false">Motore_Operativo!CC274</f>
        <v>-23024.8558715387</v>
      </c>
      <c r="K274" s="15" t="n">
        <f aca="false">Motore_Operativo!CE274</f>
        <v>2500</v>
      </c>
      <c r="L274" s="15" t="n">
        <f aca="false">SUM(INDEX($K$245:$K$304,MAX(1,30-Parametri_v3!$C$59+1)):K274)/Parametri_v3!$C$59</f>
        <v>1666.66666666667</v>
      </c>
      <c r="M274" s="15" t="n">
        <f aca="false">J274-L274</f>
        <v>-24691.5225382054</v>
      </c>
      <c r="N274" s="15" t="n">
        <f aca="false">CD274-(CD273)</f>
        <v>-17.8853752960895</v>
      </c>
      <c r="O274" s="15" t="n">
        <f aca="false">(BG273)*Ipotesi!$C$110/12+CH274*Parametri_v3!$C$39/12</f>
        <v>750</v>
      </c>
      <c r="P274" s="15" t="n">
        <f aca="false">M274+N274-O274</f>
        <v>-25459.4079135015</v>
      </c>
      <c r="Q274" s="15" t="n">
        <f aca="false">SUM(P269:P274)+Parametri_v3!$C$54*6/12</f>
        <v>-147834.054342152</v>
      </c>
      <c r="R274" s="15" t="n">
        <f aca="false">Z268</f>
        <v>352929.606711621</v>
      </c>
      <c r="S274" s="15" t="n">
        <f aca="false">AA268</f>
        <v>0</v>
      </c>
      <c r="T274" s="15" t="n">
        <f aca="false">MIN(R274,MAX(0,Q274))</f>
        <v>0</v>
      </c>
      <c r="U274" s="15" t="n">
        <f aca="false">MIN(S274,MAX(0,Q274-T274)*Parametri_v3!$C$42)</f>
        <v>0</v>
      </c>
      <c r="V274" s="15" t="n">
        <f aca="false">MAX(0,Q274-T274-U274)*Ipotesi!$C$92</f>
        <v>0</v>
      </c>
      <c r="W274" s="15" t="n">
        <f aca="false">MAX(0,SUM(M269:M274)+Parametri_v3!$C$55*6/12)*Ipotesi!$C$93</f>
        <v>0</v>
      </c>
      <c r="X274" s="15" t="n">
        <f aca="false">V274+W274-(V273+W273)</f>
        <v>0</v>
      </c>
      <c r="Y274" s="15" t="n">
        <f aca="false">P274-X274</f>
        <v>-25459.4079135015</v>
      </c>
      <c r="Z274" s="15" t="n">
        <f aca="false">R274-T274+IF(AND(Parametri_v3!$C$40=1,D274-YEAR(Parametri_v3!$C$50)&lt;Parametri_v3!$C$41),MAX(0,-Q274),0)</f>
        <v>500763.661053773</v>
      </c>
      <c r="AA274" s="15" t="n">
        <f aca="false">S274-U274+IF(AND(Parametri_v3!$C$40=1,D274-YEAR(Parametri_v3!$C$50)&lt;Parametri_v3!$C$41),0,MAX(0,-Q274))</f>
        <v>0</v>
      </c>
      <c r="AB274" s="15" t="n">
        <f aca="false">F274*(1+Parametri_v3!$C$26)</f>
        <v>30092.1824361117</v>
      </c>
      <c r="AC274" s="15" t="n">
        <f aca="false">(IF(30-(INT((Motore_Operativo!L274)/30))&lt;1,0,INDEX(Motore_Startup!$AB$245:$AB$304,MAX(1,30-(INT((Motore_Operativo!L274)/30)))))*(1-(MOD((Motore_Operativo!L274),30)/30))+IF(30-(INT((Motore_Operativo!L274)/30))-1&lt;1,0,INDEX(Motore_Startup!$AB$245:$AB$304,MAX(1,30-(INT((Motore_Operativo!L274)/30))-1)))*(MOD((Motore_Operativo!L274),30)/30))</f>
        <v>28556.1210789423</v>
      </c>
      <c r="AD274" s="15" t="n">
        <f aca="false">(AD273)+AB274-AC274</f>
        <v>117373.599334717</v>
      </c>
      <c r="AE274" s="15" t="n">
        <f aca="false">Motore_Operativo!BH274*(1+Parametri_v3!$C$26)</f>
        <v>3653.595</v>
      </c>
      <c r="AF274" s="15" t="n">
        <f aca="false">(IF(30-(INT((Parametri_v3!$C$29)/30))&lt;1,0,INDEX(Motore_Operativo!$BH$245:$BH$304,MAX(1,30-(INT((Parametri_v3!$C$29)/30)))))*(1-(MOD((Parametri_v3!$C$29),30)/30))+IF(30-(INT((Parametri_v3!$C$29)/30))-1&lt;1,0,INDEX(Motore_Operativo!$BH$245:$BH$304,MAX(1,30-(INT((Parametri_v3!$C$29)/30))-1)))*(MOD((Parametri_v3!$C$29),30)/30))*(1+Parametri_v3!$C$26)</f>
        <v>3653.595</v>
      </c>
      <c r="AG274" s="15" t="n">
        <f aca="false">(AG273)+AE274-AF274</f>
        <v>3653.595</v>
      </c>
      <c r="AH274" s="15" t="n">
        <f aca="false">(Motore_Operativo!CJ274)*(1+Parametri_v3!$C$27*Parametri_v3!$C$26)</f>
        <v>20147.250238538</v>
      </c>
      <c r="AI274" s="15" t="n">
        <f aca="false">(IF(30-(INT((Ipotesi!$C$91)/30))&lt;1,0,INDEX(Motore_Startup!$AH$245:$AH$304,MAX(1,30-(INT((Ipotesi!$C$91)/30)))))*(1-(MOD((Ipotesi!$C$91),30)/30))+IF(30-(INT((Ipotesi!$C$91)/30))-1&lt;1,0,INDEX(Motore_Startup!$AH$245:$AH$304,MAX(1,30-(INT((Ipotesi!$C$91)/30))-1)))*(MOD((Ipotesi!$C$91),30)/30))</f>
        <v>20002.2367585265</v>
      </c>
      <c r="AJ274" s="15" t="n">
        <f aca="false">(AJ273)+AH274-AI274</f>
        <v>40222.3120411719</v>
      </c>
      <c r="AK274" s="15" t="n">
        <f aca="false">(F274+ Motore_Operativo!BH274-(Motore_Operativo!CJ274)*Parametri_v3!$C$27-Motore_Operativo!CE274)*Parametri_v3!$C$26</f>
        <v>2361.3059857791</v>
      </c>
      <c r="AL274" s="15" t="n">
        <f aca="false">MAX(0,(AM273))</f>
        <v>2277.11075983777</v>
      </c>
      <c r="AM274" s="15" t="n">
        <f aca="false">(AM273)+AK274-AL274</f>
        <v>2361.3059857791</v>
      </c>
      <c r="AN274" s="15" t="n">
        <f aca="false">SUM(X257:X268)</f>
        <v>0</v>
      </c>
      <c r="AO274" s="15" t="n">
        <f aca="false">SUM(AP257:AP268)</f>
        <v>0</v>
      </c>
      <c r="AP274" s="15" t="n">
        <f aca="false">MAX(0,AN274)*IF(6=Parametri_v3!$C$43,Parametri_v3!$C$45,IF(6=Parametri_v3!$C$44,1-Parametri_v3!$C$45,0))</f>
        <v>0</v>
      </c>
      <c r="AQ274" s="15" t="n">
        <f aca="false">MAX(0,AP274+IF(6=Parametri_v3!$C$43,MAX(0,AN274-AO274),0)-MAX(0,-(AR273)))</f>
        <v>0</v>
      </c>
      <c r="AR274" s="15" t="n">
        <f aca="false">(AR273)+X274-AQ274</f>
        <v>0</v>
      </c>
      <c r="AS274" s="15" t="n">
        <f aca="false">Motore_Operativo!AB274-AT274+AU274</f>
        <v>32026.4732291667</v>
      </c>
      <c r="AT274" s="15" t="n">
        <f aca="false">Motore_Operativo!CH274</f>
        <v>1685.60385416667</v>
      </c>
      <c r="AU274" s="15" t="n">
        <f aca="false">MIN(MAX(0,(AV273)+AT274),Parametri_v3!$C$60/12)</f>
        <v>0</v>
      </c>
      <c r="AV274" s="15" t="n">
        <f aca="false">(AV273)+AT274-AU274</f>
        <v>28591.248125</v>
      </c>
      <c r="AW274" s="15" t="n">
        <f aca="false">IF(AND(Motore_Operativo!C274=Finanziamenti!$D$6,Finanziamenti!$F$6=1),Finanziamenti!$C$6,0)</f>
        <v>0</v>
      </c>
      <c r="AX274" s="15" t="n">
        <f aca="false">IF(AND(5&lt;&gt;7,5&lt;&gt;9,Finanziamenti!$F$8=1,OR(Parametri_v3!$C$6=0,Finanziamenti!$E$8=1),Motore_Operativo!C274=EDATE(Finanziamenti!$D$8,Ipotesi!G15*12)),Finanziamenti!$C$8*1,0)+IF(AND(5&lt;&gt;7,5&lt;&gt;9,Finanziamenti!$F$9=1,OR(Parametri_v3!$C$6=0,Finanziamenti!$E$9=1),Motore_Operativo!C274=EDATE(Finanziamenti!$D$9,Ipotesi!G15*12)),Finanziamenti!$C$9*Ipotesi!G16,0)</f>
        <v>300000</v>
      </c>
      <c r="AY274" s="15" t="n">
        <f aca="false">0</f>
        <v>0</v>
      </c>
      <c r="AZ274" s="15" t="n">
        <f aca="false">Motore_Advisory!AY274*(1-Ipotesi!$C$95)*Ipotesi!$C$96</f>
        <v>0</v>
      </c>
      <c r="BA274" s="15" t="n">
        <f aca="false">MAX(0,MIN(CG274*MIN(1,IF(Motore_Operativo!C274&gt;=EDATE(Finanziamenti!$D$15,Ipotesi!G14*12),Finanziamenti!$C$15,0)+IF(Motore_Operativo!C274&gt;=EDATE(Finanziamenti!$D$16,Ipotesi!G14*12),Finanziamenti!$C$16,0)+IF(Motore_Operativo!C274&gt;=EDATE(Finanziamenti!$D$17,Ipotesi!G14*12),Finanziamenti!$C$17,0)),CA274*Ipotesi!$C$102)-(CC273))</f>
        <v>0</v>
      </c>
      <c r="BB274" s="15" t="n">
        <f aca="false">IF(AND(CF274&gt;0,Motore_Operativo!C274&gt;=IF(CF274=0,0,EDATE(CF274,Parametri_v3!$C$37)),MOD(((D274-YEAR(IF(CF274=0,0,EDATE(CF274,Parametri_v3!$C$37))))*12+E274-MONTH(IF(CF274=0,0,EDATE(CF274,Parametri_v3!$C$37)))),Parametri_v3!$C$38)=0),MIN(MAX(0,(BC273)+BA274-N274),(CC274-CD274)/(Ipotesi!$C$108*12/Parametri_v3!$C$38)),0)</f>
        <v>0</v>
      </c>
      <c r="BC274" s="15" t="n">
        <f aca="false">(BC273)+BA274-N274-BB274</f>
        <v>58384.0583368956</v>
      </c>
      <c r="BD274" s="15" t="n">
        <f aca="false">(BH273)+AC274+AF274-AI274-AS274-K274*(1+Parametri_v3!$C$26)-AL274-AQ274-O274+AW274+AX274+AZ274+BA274-BB274</f>
        <v>51518.0691003572</v>
      </c>
      <c r="BE274" s="15" t="n">
        <f aca="false">MAX(0,MIN(MAX(0,CH274-(BG273)),Parametri_v3!$C$30-BD274))</f>
        <v>0</v>
      </c>
      <c r="BF274" s="15" t="n">
        <f aca="false">IF(Motore_Operativo!C274&gt;=Parametri_v3!$C$63,(BG273),MIN((BG273),MAX(0,BD274-Parametri_v3!$C$30)))</f>
        <v>26518.0691003572</v>
      </c>
      <c r="BG274" s="15" t="n">
        <f aca="false">(BG273)+BE274-BF274</f>
        <v>123481.930899643</v>
      </c>
      <c r="BH274" s="15" t="n">
        <f aca="false">BD274+BE274-BF274-AY274</f>
        <v>25000</v>
      </c>
      <c r="BI274" s="15" t="n">
        <f aca="false">MAX(0,Parametri_v3!$C$30-BH274)</f>
        <v>0</v>
      </c>
      <c r="BJ274" s="15" t="n">
        <f aca="false">(BJ273)+K274</f>
        <v>60000</v>
      </c>
      <c r="BK274" s="15" t="n">
        <f aca="false">(BK273)+L274</f>
        <v>23750</v>
      </c>
      <c r="BL274" s="15" t="n">
        <f aca="false">BJ274-BK274</f>
        <v>36250</v>
      </c>
      <c r="BM274" s="15" t="n">
        <f aca="false">(BM273)+Y274</f>
        <v>-500763.661053773</v>
      </c>
      <c r="BN274" s="15" t="n">
        <f aca="false">(BN273)+AW274+AX274+AZ274</f>
        <v>430000</v>
      </c>
      <c r="BO274" s="15" t="n">
        <f aca="false">(BO273)+AY274</f>
        <v>0</v>
      </c>
      <c r="BP274" s="15" t="n">
        <f aca="false">0</f>
        <v>0</v>
      </c>
      <c r="BQ274" s="15" t="n">
        <f aca="false">BN274+BM274-BO274</f>
        <v>-70763.661053773</v>
      </c>
      <c r="BR274" s="15" t="n">
        <f aca="false">BH274+AD274+BL274+MAX(0,-AM274)+MAX(0,-AR274)+AG274</f>
        <v>182277.194334717</v>
      </c>
      <c r="BS274" s="15" t="n">
        <f aca="false">AJ274+AV274+MAX(0,AM274)+MAX(0,AR274)+BC274+BG274+BQ274</f>
        <v>182277.194334716</v>
      </c>
      <c r="BT274" s="15" t="n">
        <f aca="false">BR274-BS274</f>
        <v>0</v>
      </c>
      <c r="BU274" s="15" t="n">
        <f aca="false">BH274-(BD274+BE274-BF274-AY274)</f>
        <v>0</v>
      </c>
      <c r="BV274" s="15" t="n">
        <f aca="false">MIN(Piano_SS!$C$6,(BV273)+IF(AND(Motore_Operativo!C274&gt;=EDATE(Parametri_v3!$C$24,Ipotesi!G14*12),Motore_Operativo!C274&lt;EDATE(Parametri_v3!$C$24,Parametri_v3!$C$25+Ipotesi!G14*12)),MAX(0,(Motore_Operativo!Y274+Motore_Operativo!X274*Parametri_v3!$C$14)*(1-Parametri_v3!$C$32))*Piano_SS!$D$6,0))</f>
        <v>75340.830625</v>
      </c>
      <c r="BW274" s="15" t="n">
        <f aca="false">MIN(Piano_SS!$C$7,(BW273)+IF(AND(Motore_Operativo!C274&gt;=EDATE(Parametri_v3!$C$24,Ipotesi!G14*12),Motore_Operativo!C274&lt;EDATE(Parametri_v3!$C$24,Parametri_v3!$C$25+Ipotesi!G14*12)),MAX(0,(IF(30-(INT((Ipotesi!$C$91)/30))&lt;1,0,INDEX(Motore_Operativo!$BN$245:$BN$304,MAX(1,30-(INT((Ipotesi!$C$91)/30)))))*(1-(MOD((Ipotesi!$C$91),30)/30))+IF(30-(INT((Ipotesi!$C$91)/30))-1&lt;1,0,INDEX(Motore_Operativo!$BN$245:$BN$304,MAX(1,30-(INT((Ipotesi!$C$91)/30))-1)))*(MOD((Ipotesi!$C$91),30)/30)))*Piano_SS!$D$7,0))</f>
        <v>10749.0132523577</v>
      </c>
      <c r="BX274" s="15" t="n">
        <f aca="false">MIN(Piano_SS!$C$8,(BX273)+IF(AND(Motore_Operativo!C274&gt;=EDATE(Parametri_v3!$C$24,Ipotesi!G14*12),Motore_Operativo!C274&lt;EDATE(Parametri_v3!$C$24,Parametri_v3!$C$25+Ipotesi!G14*12)),MAX(0,Motore_Operativo!CE274)*Piano_SS!$D$8,0))</f>
        <v>27500</v>
      </c>
      <c r="BY274" s="15" t="n">
        <f aca="false">MIN(Piano_SS!$C$9,(BY273)+IF(AND(Motore_Operativo!C274&gt;=EDATE(Parametri_v3!$C$24,Ipotesi!G14*12),Motore_Operativo!C274&lt;EDATE(Parametri_v3!$C$24,Parametri_v3!$C$25+Ipotesi!G14*12)),MAX(0,((IF(30-(INT((Ipotesi!$C$91)/30))&lt;1,0,INDEX(Motore_Operativo!$BQ$245:$BQ$304,MAX(1,30-(INT((Ipotesi!$C$91)/30)))))*(1-(MOD((Ipotesi!$C$91),30)/30))+IF(30-(INT((Ipotesi!$C$91)/30))-1&lt;1,0,INDEX(Motore_Operativo!$BQ$245:$BQ$304,MAX(1,30-(INT((Ipotesi!$C$91)/30))-1)))*(MOD((Ipotesi!$C$91),30)/30))+(IF(30-(INT((Ipotesi!$C$91)/30))&lt;1,0,INDEX(Motore_Operativo!$BR$245:$BR$304,MAX(1,30-(INT((Ipotesi!$C$91)/30)))))*(1-(MOD((Ipotesi!$C$91),30)/30))+IF(30-(INT((Ipotesi!$C$91)/30))-1&lt;1,0,INDEX(Motore_Operativo!$BR$245:$BR$304,MAX(1,30-(INT((Ipotesi!$C$91)/30))-1)))*(MOD((Ipotesi!$C$91),30)/30))))*Piano_SS!$D$9,0))</f>
        <v>29666.6666666667</v>
      </c>
      <c r="BZ274" s="15" t="n">
        <f aca="false">MIN(Piano_SS!$C$10,(BZ273)+IF(AND(Motore_Operativo!C274&gt;=EDATE(Parametri_v3!$C$24,Ipotesi!G14*12),Motore_Operativo!C274&lt;EDATE(Parametri_v3!$C$24,Parametri_v3!$C$25+Ipotesi!G14*12)),MAX(0,(IF(30-(INT((Ipotesi!$C$91)/30))&lt;1,0,INDEX(Motore_Operativo!$BO$245:$BO$304,MAX(1,30-(INT((Ipotesi!$C$91)/30)))))*(1-(MOD((Ipotesi!$C$91),30)/30))+IF(30-(INT((Ipotesi!$C$91)/30))-1&lt;1,0,INDEX(Motore_Operativo!$BO$245:$BO$304,MAX(1,30-(INT((Ipotesi!$C$91)/30))-1)))*(MOD((Ipotesi!$C$91),30)/30)))*Piano_SS!$D$10,0))</f>
        <v>15800</v>
      </c>
      <c r="CA274" s="15" t="n">
        <f aca="false">SUM(BV274:BZ274)</f>
        <v>159056.510544024</v>
      </c>
      <c r="CB274" s="15" t="n">
        <f aca="false">BV274*(1-Piano_SS!$E$6)+BW274*(1-Piano_SS!$E$7)+BX274*(1-Piano_SS!$E$8)+BY274*(1-Piano_SS!$E$9)+BZ274*(1-Piano_SS!$E$10)</f>
        <v>143256.510544024</v>
      </c>
      <c r="CC274" s="15" t="n">
        <f aca="false">(CC273)+BA274</f>
        <v>80000</v>
      </c>
      <c r="CD274" s="15" t="n">
        <f aca="false">IF(CA274=0,0,CC274*CB274/CA274*Ipotesi!$C$103*Parametri_v3!$C$64)</f>
        <v>21615.9416631044</v>
      </c>
      <c r="CE274" s="18" t="n">
        <f aca="false">IF(BA274&gt;0,Motore_Operativo!C274,(CE273))</f>
        <v>47178</v>
      </c>
      <c r="CF274" s="18" t="n">
        <f aca="false">IF(AND(CC274&gt;0,OR(CC274&gt;=CG274-0.01,Motore_Operativo!C274&gt;=EDATE(MAX(Finanziamenti!$D$15:$D$17),Ipotesi!G14*12))),CE274,0)</f>
        <v>0</v>
      </c>
      <c r="CG274" s="15" t="n">
        <f aca="false">IF(AND(5&lt;&gt;6,5&lt;&gt;9,Finanziamenti!$F$11=1,OR(Parametri_v3!$C$6=0,Finanziamenti!$E$11=1)),MIN(Finanziamenti!$C$11,Piano_SS!$C$12*Ipotesi!$C$102),0)</f>
        <v>400000</v>
      </c>
      <c r="CH274" s="15" t="n">
        <f aca="false">IF(AND(AND(5&lt;&gt;8,5&lt;&gt;9,Finanziamenti!$F$10=1,OR(Parametri_v3!$C$6=0,Finanziamenti!$E$10=1)),Motore_Operativo!C274&gt;=Finanziamenti!$D$10,Motore_Operativo!C274&lt;Parametri_v3!$C$63),Finanziamenti!$C$10,0)</f>
        <v>150000</v>
      </c>
    </row>
    <row r="275" customFormat="false" ht="18" hidden="false" customHeight="true" outlineLevel="0" collapsed="false">
      <c r="A275" s="68" t="n">
        <f aca="false">5</f>
        <v>5</v>
      </c>
      <c r="B275" s="68" t="n">
        <f aca="false">31</f>
        <v>31</v>
      </c>
      <c r="C275" s="18" t="n">
        <f aca="false">Motore_Operativo!C275</f>
        <v>47300</v>
      </c>
      <c r="D275" s="68" t="n">
        <f aca="false">Motore_Operativo!D275</f>
        <v>2029</v>
      </c>
      <c r="E275" s="68" t="n">
        <f aca="false">Motore_Operativo!E275</f>
        <v>7</v>
      </c>
      <c r="F275" s="15" t="n">
        <f aca="false">Motore_Operativo!AQ275+Motore_Operativo!BF275</f>
        <v>25096.3250213824</v>
      </c>
      <c r="G275" s="15" t="n">
        <f aca="false">Motore_Operativo!BH275</f>
        <v>2994.75</v>
      </c>
      <c r="H275" s="15" t="n">
        <f aca="false">Motore_Operativo!BI275</f>
        <v>28091.0750213824</v>
      </c>
      <c r="I275" s="15" t="n">
        <f aca="false">Motore_Operativo!CA275</f>
        <v>50745.6134196602</v>
      </c>
      <c r="J275" s="15" t="n">
        <f aca="false">Motore_Operativo!CC275</f>
        <v>-22654.5383982778</v>
      </c>
      <c r="K275" s="15" t="n">
        <f aca="false">Motore_Operativo!CE275</f>
        <v>2500</v>
      </c>
      <c r="L275" s="15" t="n">
        <f aca="false">SUM(INDEX($K$245:$K$304,MAX(1,31-Parametri_v3!$C$59+1)):K275)/Parametri_v3!$C$59</f>
        <v>1736.11111111111</v>
      </c>
      <c r="M275" s="15" t="n">
        <f aca="false">J275-L275</f>
        <v>-24390.6495093889</v>
      </c>
      <c r="N275" s="15" t="n">
        <f aca="false">CD275-(CD274)</f>
        <v>-14.0357885520789</v>
      </c>
      <c r="O275" s="15" t="n">
        <f aca="false">(BG274)*Ipotesi!$C$110/12+CH275*Parametri_v3!$C$39/12</f>
        <v>617.409654498214</v>
      </c>
      <c r="P275" s="15" t="n">
        <f aca="false">M275+N275-O275</f>
        <v>-25022.0949524392</v>
      </c>
      <c r="Q275" s="15" t="n">
        <f aca="false">SUM(P269:P275)+Parametri_v3!$C$54*7/12</f>
        <v>-172856.149294591</v>
      </c>
      <c r="R275" s="15" t="n">
        <f aca="false">Z268</f>
        <v>352929.606711621</v>
      </c>
      <c r="S275" s="15" t="n">
        <f aca="false">AA268</f>
        <v>0</v>
      </c>
      <c r="T275" s="15" t="n">
        <f aca="false">MIN(R275,MAX(0,Q275))</f>
        <v>0</v>
      </c>
      <c r="U275" s="15" t="n">
        <f aca="false">MIN(S275,MAX(0,Q275-T275)*Parametri_v3!$C$42)</f>
        <v>0</v>
      </c>
      <c r="V275" s="15" t="n">
        <f aca="false">MAX(0,Q275-T275-U275)*Ipotesi!$C$92</f>
        <v>0</v>
      </c>
      <c r="W275" s="15" t="n">
        <f aca="false">MAX(0,SUM(M269:M275)+Parametri_v3!$C$55*7/12)*Ipotesi!$C$93</f>
        <v>0</v>
      </c>
      <c r="X275" s="15" t="n">
        <f aca="false">V275+W275-(V274+W274)</f>
        <v>0</v>
      </c>
      <c r="Y275" s="15" t="n">
        <f aca="false">P275-X275</f>
        <v>-25022.0949524392</v>
      </c>
      <c r="Z275" s="15" t="n">
        <f aca="false">R275-T275+IF(AND(Parametri_v3!$C$40=1,D275-YEAR(Parametri_v3!$C$50)&lt;Parametri_v3!$C$41),MAX(0,-Q275),0)</f>
        <v>525785.756006212</v>
      </c>
      <c r="AA275" s="15" t="n">
        <f aca="false">S275-U275+IF(AND(Parametri_v3!$C$40=1,D275-YEAR(Parametri_v3!$C$50)&lt;Parametri_v3!$C$41),0,MAX(0,-Q275))</f>
        <v>0</v>
      </c>
      <c r="AB275" s="15" t="n">
        <f aca="false">F275*(1+Parametri_v3!$C$26)</f>
        <v>30617.5165260866</v>
      </c>
      <c r="AC275" s="15" t="n">
        <f aca="false">(IF(31-(INT((Motore_Operativo!L275)/30))&lt;1,0,INDEX(Motore_Startup!$AB$245:$AB$304,MAX(1,31-(INT((Motore_Operativo!L275)/30)))))*(1-(MOD((Motore_Operativo!L275),30)/30))+IF(31-(INT((Motore_Operativo!L275)/30))-1&lt;1,0,INDEX(Motore_Startup!$AB$245:$AB$304,MAX(1,31-(INT((Motore_Operativo!L275)/30))-1)))*(MOD((Motore_Operativo!L275),30)/30))</f>
        <v>28691.6262074925</v>
      </c>
      <c r="AD275" s="15" t="n">
        <f aca="false">(AD274)+AB275-AC275</f>
        <v>119299.489653311</v>
      </c>
      <c r="AE275" s="15" t="n">
        <f aca="false">Motore_Operativo!BH275*(1+Parametri_v3!$C$26)</f>
        <v>3653.595</v>
      </c>
      <c r="AF275" s="15" t="n">
        <f aca="false">(IF(31-(INT((Parametri_v3!$C$29)/30))&lt;1,0,INDEX(Motore_Operativo!$BH$245:$BH$304,MAX(1,31-(INT((Parametri_v3!$C$29)/30)))))*(1-(MOD((Parametri_v3!$C$29),30)/30))+IF(31-(INT((Parametri_v3!$C$29)/30))-1&lt;1,0,INDEX(Motore_Operativo!$BH$245:$BH$304,MAX(1,31-(INT((Parametri_v3!$C$29)/30))-1)))*(MOD((Parametri_v3!$C$29),30)/30))*(1+Parametri_v3!$C$26)</f>
        <v>3653.595</v>
      </c>
      <c r="AG275" s="15" t="n">
        <f aca="false">(AG274)+AE275-AF275</f>
        <v>3653.595</v>
      </c>
      <c r="AH275" s="15" t="n">
        <f aca="false">(Motore_Operativo!CJ275)*(1+Parametri_v3!$C$27*Parametri_v3!$C$26)</f>
        <v>20218.80763122</v>
      </c>
      <c r="AI275" s="15" t="n">
        <f aca="false">(IF(31-(INT((Ipotesi!$C$91)/30))&lt;1,0,INDEX(Motore_Startup!$AH$245:$AH$304,MAX(1,31-(INT((Ipotesi!$C$91)/30)))))*(1-(MOD((Ipotesi!$C$91),30)/30))+IF(31-(INT((Ipotesi!$C$91)/30))-1&lt;1,0,INDEX(Motore_Startup!$AH$245:$AH$304,MAX(1,31-(INT((Ipotesi!$C$91)/30))-1)))*(MOD((Ipotesi!$C$91),30)/30))</f>
        <v>20075.0618026339</v>
      </c>
      <c r="AJ275" s="15" t="n">
        <f aca="false">(AJ274)+AH275-AI275</f>
        <v>40366.057869758</v>
      </c>
      <c r="AK275" s="15" t="n">
        <f aca="false">(F275+ Motore_Operativo!BH275-(Motore_Operativo!CJ275)*Parametri_v3!$C$27-Motore_Operativo!CE275)*Parametri_v3!$C$26</f>
        <v>2444.76520981101</v>
      </c>
      <c r="AL275" s="15" t="n">
        <f aca="false">MAX(0,(AM274))</f>
        <v>2361.3059857791</v>
      </c>
      <c r="AM275" s="15" t="n">
        <f aca="false">(AM274)+AK275-AL275</f>
        <v>2444.76520981101</v>
      </c>
      <c r="AN275" s="15" t="n">
        <f aca="false">SUM(X257:X268)</f>
        <v>0</v>
      </c>
      <c r="AO275" s="15" t="n">
        <f aca="false">SUM(AP257:AP268)</f>
        <v>0</v>
      </c>
      <c r="AP275" s="15" t="n">
        <f aca="false">MAX(0,AN275)*IF(7=Parametri_v3!$C$43,Parametri_v3!$C$45,IF(7=Parametri_v3!$C$44,1-Parametri_v3!$C$45,0))</f>
        <v>0</v>
      </c>
      <c r="AQ275" s="15" t="n">
        <f aca="false">MAX(0,AP275+IF(7=Parametri_v3!$C$43,MAX(0,AN275-AO275),0)-MAX(0,-(AR274)))</f>
        <v>0</v>
      </c>
      <c r="AR275" s="15" t="n">
        <f aca="false">(AR274)+X275-AQ275</f>
        <v>0</v>
      </c>
      <c r="AS275" s="15" t="n">
        <f aca="false">Motore_Operativo!AB275-AT275+AU275</f>
        <v>32026.4732291667</v>
      </c>
      <c r="AT275" s="15" t="n">
        <f aca="false">Motore_Operativo!CH275</f>
        <v>1685.60385416667</v>
      </c>
      <c r="AU275" s="15" t="n">
        <f aca="false">MIN(MAX(0,(AV274)+AT275),Parametri_v3!$C$60/12)</f>
        <v>0</v>
      </c>
      <c r="AV275" s="15" t="n">
        <f aca="false">(AV274)+AT275-AU275</f>
        <v>30276.8519791667</v>
      </c>
      <c r="AW275" s="15" t="n">
        <f aca="false">IF(AND(Motore_Operativo!C275=Finanziamenti!$D$6,Finanziamenti!$F$6=1),Finanziamenti!$C$6,0)</f>
        <v>0</v>
      </c>
      <c r="AX275" s="15" t="n">
        <f aca="false">IF(AND(5&lt;&gt;7,5&lt;&gt;9,Finanziamenti!$F$8=1,OR(Parametri_v3!$C$6=0,Finanziamenti!$E$8=1),Motore_Operativo!C275=EDATE(Finanziamenti!$D$8,Ipotesi!G15*12)),Finanziamenti!$C$8*1,0)+IF(AND(5&lt;&gt;7,5&lt;&gt;9,Finanziamenti!$F$9=1,OR(Parametri_v3!$C$6=0,Finanziamenti!$E$9=1),Motore_Operativo!C275=EDATE(Finanziamenti!$D$9,Ipotesi!G15*12)),Finanziamenti!$C$9*Ipotesi!G16,0)</f>
        <v>0</v>
      </c>
      <c r="AY275" s="15" t="n">
        <f aca="false">0</f>
        <v>0</v>
      </c>
      <c r="AZ275" s="15" t="n">
        <f aca="false">Motore_Advisory!AY275*(1-Ipotesi!$C$95)*Ipotesi!$C$96</f>
        <v>0</v>
      </c>
      <c r="BA275" s="15" t="n">
        <f aca="false">MAX(0,MIN(CG275*MIN(1,IF(Motore_Operativo!C275&gt;=EDATE(Finanziamenti!$D$15,Ipotesi!G14*12),Finanziamenti!$C$15,0)+IF(Motore_Operativo!C275&gt;=EDATE(Finanziamenti!$D$16,Ipotesi!G14*12),Finanziamenti!$C$16,0)+IF(Motore_Operativo!C275&gt;=EDATE(Finanziamenti!$D$17,Ipotesi!G14*12),Finanziamenti!$C$17,0)),CA275*Ipotesi!$C$102)-(CC274))</f>
        <v>0</v>
      </c>
      <c r="BB275" s="15" t="n">
        <f aca="false">IF(AND(CF275&gt;0,Motore_Operativo!C275&gt;=IF(CF275=0,0,EDATE(CF275,Parametri_v3!$C$37)),MOD(((D275-YEAR(IF(CF275=0,0,EDATE(CF275,Parametri_v3!$C$37))))*12+E275-MONTH(IF(CF275=0,0,EDATE(CF275,Parametri_v3!$C$37)))),Parametri_v3!$C$38)=0),MIN(MAX(0,(BC274)+BA275-N275),(CC275-CD275)/(Ipotesi!$C$108*12/Parametri_v3!$C$38)),0)</f>
        <v>0</v>
      </c>
      <c r="BC275" s="15" t="n">
        <f aca="false">(BC274)+BA275-N275-BB275</f>
        <v>58398.0941254477</v>
      </c>
      <c r="BD275" s="15" t="n">
        <f aca="false">(BH274)+AC275+AF275-AI275-AS275-K275*(1+Parametri_v3!$C$26)-AL275-AQ275-O275+AW275+AX275+AZ275+BA275-BB275</f>
        <v>-785.029464585425</v>
      </c>
      <c r="BE275" s="15" t="n">
        <f aca="false">MAX(0,MIN(MAX(0,CH275-(BG274)),Parametri_v3!$C$30-BD275))</f>
        <v>25785.0294645854</v>
      </c>
      <c r="BF275" s="15" t="n">
        <f aca="false">IF(Motore_Operativo!C275&gt;=Parametri_v3!$C$63,(BG274),MIN((BG274),MAX(0,BD275-Parametri_v3!$C$30)))</f>
        <v>0</v>
      </c>
      <c r="BG275" s="15" t="n">
        <f aca="false">(BG274)+BE275-BF275</f>
        <v>149266.960364228</v>
      </c>
      <c r="BH275" s="15" t="n">
        <f aca="false">BD275+BE275-BF275-AY275</f>
        <v>25000</v>
      </c>
      <c r="BI275" s="15" t="n">
        <f aca="false">MAX(0,Parametri_v3!$C$30-BH275)</f>
        <v>0</v>
      </c>
      <c r="BJ275" s="15" t="n">
        <f aca="false">(BJ274)+K275</f>
        <v>62500</v>
      </c>
      <c r="BK275" s="15" t="n">
        <f aca="false">(BK274)+L275</f>
        <v>25486.1111111111</v>
      </c>
      <c r="BL275" s="15" t="n">
        <f aca="false">BJ275-BK275</f>
        <v>37013.8888888889</v>
      </c>
      <c r="BM275" s="15" t="n">
        <f aca="false">(BM274)+Y275</f>
        <v>-525785.756006212</v>
      </c>
      <c r="BN275" s="15" t="n">
        <f aca="false">(BN274)+AW275+AX275+AZ275</f>
        <v>430000</v>
      </c>
      <c r="BO275" s="15" t="n">
        <f aca="false">(BO274)+AY275</f>
        <v>0</v>
      </c>
      <c r="BP275" s="15" t="n">
        <f aca="false">0</f>
        <v>0</v>
      </c>
      <c r="BQ275" s="15" t="n">
        <f aca="false">BN275+BM275-BO275</f>
        <v>-95785.7560062122</v>
      </c>
      <c r="BR275" s="15" t="n">
        <f aca="false">BH275+AD275+BL275+MAX(0,-AM275)+MAX(0,-AR275)+AG275</f>
        <v>184966.9735422</v>
      </c>
      <c r="BS275" s="15" t="n">
        <f aca="false">AJ275+AV275+MAX(0,AM275)+MAX(0,AR275)+BC275+BG275+BQ275</f>
        <v>184966.973542199</v>
      </c>
      <c r="BT275" s="15" t="n">
        <f aca="false">BR275-BS275</f>
        <v>0</v>
      </c>
      <c r="BU275" s="15" t="n">
        <f aca="false">BH275-(BD275+BE275-BF275-AY275)</f>
        <v>0</v>
      </c>
      <c r="BV275" s="15" t="n">
        <f aca="false">MIN(Piano_SS!$C$6,(BV274)+IF(AND(Motore_Operativo!C275&gt;=EDATE(Parametri_v3!$C$24,Ipotesi!G14*12),Motore_Operativo!C275&lt;EDATE(Parametri_v3!$C$24,Parametri_v3!$C$25+Ipotesi!G14*12)),MAX(0,(Motore_Operativo!Y275+Motore_Operativo!X275*Parametri_v3!$C$14)*(1-Parametri_v3!$C$32))*Piano_SS!$D$6,0))</f>
        <v>83718.6253125</v>
      </c>
      <c r="BW275" s="15" t="n">
        <f aca="false">MIN(Piano_SS!$C$7,(BW274)+IF(AND(Motore_Operativo!C275&gt;=EDATE(Parametri_v3!$C$24,Ipotesi!G14*12),Motore_Operativo!C275&lt;EDATE(Parametri_v3!$C$24,Parametri_v3!$C$25+Ipotesi!G14*12)),MAX(0,(IF(31-(INT((Ipotesi!$C$91)/30))&lt;1,0,INDEX(Motore_Operativo!$BN$245:$BN$304,MAX(1,31-(INT((Ipotesi!$C$91)/30)))))*(1-(MOD((Ipotesi!$C$91),30)/30))+IF(31-(INT((Ipotesi!$C$91)/30))-1&lt;1,0,INDEX(Motore_Operativo!$BN$245:$BN$304,MAX(1,31-(INT((Ipotesi!$C$91)/30))-1)))*(MOD((Ipotesi!$C$91),30)/30)))*Piano_SS!$D$7,0))</f>
        <v>11787.5191921662</v>
      </c>
      <c r="BX275" s="15" t="n">
        <f aca="false">MIN(Piano_SS!$C$8,(BX274)+IF(AND(Motore_Operativo!C275&gt;=EDATE(Parametri_v3!$C$24,Ipotesi!G14*12),Motore_Operativo!C275&lt;EDATE(Parametri_v3!$C$24,Parametri_v3!$C$25+Ipotesi!G14*12)),MAX(0,Motore_Operativo!CE275)*Piano_SS!$D$8,0))</f>
        <v>30000</v>
      </c>
      <c r="BY275" s="15" t="n">
        <f aca="false">MIN(Piano_SS!$C$9,(BY274)+IF(AND(Motore_Operativo!C275&gt;=EDATE(Parametri_v3!$C$24,Ipotesi!G14*12),Motore_Operativo!C275&lt;EDATE(Parametri_v3!$C$24,Parametri_v3!$C$25+Ipotesi!G14*12)),MAX(0,((IF(31-(INT((Ipotesi!$C$91)/30))&lt;1,0,INDEX(Motore_Operativo!$BQ$245:$BQ$304,MAX(1,31-(INT((Ipotesi!$C$91)/30)))))*(1-(MOD((Ipotesi!$C$91),30)/30))+IF(31-(INT((Ipotesi!$C$91)/30))-1&lt;1,0,INDEX(Motore_Operativo!$BQ$245:$BQ$304,MAX(1,31-(INT((Ipotesi!$C$91)/30))-1)))*(MOD((Ipotesi!$C$91),30)/30))+(IF(31-(INT((Ipotesi!$C$91)/30))&lt;1,0,INDEX(Motore_Operativo!$BR$245:$BR$304,MAX(1,31-(INT((Ipotesi!$C$91)/30)))))*(1-(MOD((Ipotesi!$C$91),30)/30))+IF(31-(INT((Ipotesi!$C$91)/30))-1&lt;1,0,INDEX(Motore_Operativo!$BR$245:$BR$304,MAX(1,31-(INT((Ipotesi!$C$91)/30))-1)))*(MOD((Ipotesi!$C$91),30)/30))))*Piano_SS!$D$9,0))</f>
        <v>32583.3333333333</v>
      </c>
      <c r="BZ275" s="15" t="n">
        <f aca="false">MIN(Piano_SS!$C$10,(BZ274)+IF(AND(Motore_Operativo!C275&gt;=EDATE(Parametri_v3!$C$24,Ipotesi!G14*12),Motore_Operativo!C275&lt;EDATE(Parametri_v3!$C$24,Parametri_v3!$C$25+Ipotesi!G14*12)),MAX(0,(IF(31-(INT((Ipotesi!$C$91)/30))&lt;1,0,INDEX(Motore_Operativo!$BO$245:$BO$304,MAX(1,31-(INT((Ipotesi!$C$91)/30)))))*(1-(MOD((Ipotesi!$C$91),30)/30))+IF(31-(INT((Ipotesi!$C$91)/30))-1&lt;1,0,INDEX(Motore_Operativo!$BO$245:$BO$304,MAX(1,31-(INT((Ipotesi!$C$91)/30))-1)))*(MOD((Ipotesi!$C$91),30)/30)))*Piano_SS!$D$10,0))</f>
        <v>17550</v>
      </c>
      <c r="CA275" s="15" t="n">
        <f aca="false">SUM(BV275:BZ275)</f>
        <v>175639.477838</v>
      </c>
      <c r="CB275" s="15" t="n">
        <f aca="false">BV275*(1-Piano_SS!$E$6)+BW275*(1-Piano_SS!$E$7)+BX275*(1-Piano_SS!$E$8)+BY275*(1-Piano_SS!$E$9)+BZ275*(1-Piano_SS!$E$10)</f>
        <v>158089.477838</v>
      </c>
      <c r="CC275" s="15" t="n">
        <f aca="false">(CC274)+BA275</f>
        <v>80000</v>
      </c>
      <c r="CD275" s="15" t="n">
        <f aca="false">IF(CA275=0,0,CC275*CB275/CA275*Ipotesi!$C$103*Parametri_v3!$C$64)</f>
        <v>21601.9058745523</v>
      </c>
      <c r="CE275" s="18" t="n">
        <f aca="false">IF(BA275&gt;0,Motore_Operativo!C275,(CE274))</f>
        <v>47178</v>
      </c>
      <c r="CF275" s="18" t="n">
        <f aca="false">IF(AND(CC275&gt;0,OR(CC275&gt;=CG275-0.01,Motore_Operativo!C275&gt;=EDATE(MAX(Finanziamenti!$D$15:$D$17),Ipotesi!G14*12))),CE275,0)</f>
        <v>0</v>
      </c>
      <c r="CG275" s="15" t="n">
        <f aca="false">IF(AND(5&lt;&gt;6,5&lt;&gt;9,Finanziamenti!$F$11=1,OR(Parametri_v3!$C$6=0,Finanziamenti!$E$11=1)),MIN(Finanziamenti!$C$11,Piano_SS!$C$12*Ipotesi!$C$102),0)</f>
        <v>400000</v>
      </c>
      <c r="CH275" s="15" t="n">
        <f aca="false">IF(AND(AND(5&lt;&gt;8,5&lt;&gt;9,Finanziamenti!$F$10=1,OR(Parametri_v3!$C$6=0,Finanziamenti!$E$10=1)),Motore_Operativo!C275&gt;=Finanziamenti!$D$10,Motore_Operativo!C275&lt;Parametri_v3!$C$63),Finanziamenti!$C$10,0)</f>
        <v>150000</v>
      </c>
    </row>
    <row r="276" customFormat="false" ht="18" hidden="false" customHeight="true" outlineLevel="0" collapsed="false">
      <c r="A276" s="68" t="n">
        <f aca="false">5</f>
        <v>5</v>
      </c>
      <c r="B276" s="68" t="n">
        <f aca="false">32</f>
        <v>32</v>
      </c>
      <c r="C276" s="18" t="n">
        <f aca="false">Motore_Operativo!C276</f>
        <v>47331</v>
      </c>
      <c r="D276" s="68" t="n">
        <f aca="false">Motore_Operativo!D276</f>
        <v>2029</v>
      </c>
      <c r="E276" s="68" t="n">
        <f aca="false">Motore_Operativo!E276</f>
        <v>8</v>
      </c>
      <c r="F276" s="15" t="n">
        <f aca="false">Motore_Operativo!AQ276+Motore_Operativo!BF276</f>
        <v>25523.1625818243</v>
      </c>
      <c r="G276" s="15" t="n">
        <f aca="false">Motore_Operativo!BH276</f>
        <v>2994.75</v>
      </c>
      <c r="H276" s="15" t="n">
        <f aca="false">Motore_Operativo!BI276</f>
        <v>28517.9125818243</v>
      </c>
      <c r="I276" s="15" t="n">
        <f aca="false">Motore_Operativo!CA276</f>
        <v>50805.3706781221</v>
      </c>
      <c r="J276" s="15" t="n">
        <f aca="false">Motore_Operativo!CC276</f>
        <v>-22287.4580962978</v>
      </c>
      <c r="K276" s="15" t="n">
        <f aca="false">Motore_Operativo!CE276</f>
        <v>2500</v>
      </c>
      <c r="L276" s="15" t="n">
        <f aca="false">SUM(INDEX($K$245:$K$304,MAX(1,32-Parametri_v3!$C$59+1)):K276)/Parametri_v3!$C$59</f>
        <v>1805.55555555556</v>
      </c>
      <c r="M276" s="15" t="n">
        <f aca="false">J276-L276</f>
        <v>-24093.0136518533</v>
      </c>
      <c r="N276" s="15" t="n">
        <f aca="false">CD276-(CD275)</f>
        <v>-11.178490042952</v>
      </c>
      <c r="O276" s="15" t="n">
        <f aca="false">(BG275)*Ipotesi!$C$110/12+CH276*Parametri_v3!$C$39/12</f>
        <v>746.334801821141</v>
      </c>
      <c r="P276" s="15" t="n">
        <f aca="false">M276+N276-O276</f>
        <v>-24850.5269437174</v>
      </c>
      <c r="Q276" s="15" t="n">
        <f aca="false">SUM(P269:P276)+Parametri_v3!$C$54*8/12</f>
        <v>-197706.676238308</v>
      </c>
      <c r="R276" s="15" t="n">
        <f aca="false">Z268</f>
        <v>352929.606711621</v>
      </c>
      <c r="S276" s="15" t="n">
        <f aca="false">AA268</f>
        <v>0</v>
      </c>
      <c r="T276" s="15" t="n">
        <f aca="false">MIN(R276,MAX(0,Q276))</f>
        <v>0</v>
      </c>
      <c r="U276" s="15" t="n">
        <f aca="false">MIN(S276,MAX(0,Q276-T276)*Parametri_v3!$C$42)</f>
        <v>0</v>
      </c>
      <c r="V276" s="15" t="n">
        <f aca="false">MAX(0,Q276-T276-U276)*Ipotesi!$C$92</f>
        <v>0</v>
      </c>
      <c r="W276" s="15" t="n">
        <f aca="false">MAX(0,SUM(M269:M276)+Parametri_v3!$C$55*8/12)*Ipotesi!$C$93</f>
        <v>0</v>
      </c>
      <c r="X276" s="15" t="n">
        <f aca="false">V276+W276-(V275+W275)</f>
        <v>0</v>
      </c>
      <c r="Y276" s="15" t="n">
        <f aca="false">P276-X276</f>
        <v>-24850.5269437174</v>
      </c>
      <c r="Z276" s="15" t="n">
        <f aca="false">R276-T276+IF(AND(Parametri_v3!$C$40=1,D276-YEAR(Parametri_v3!$C$50)&lt;Parametri_v3!$C$41),MAX(0,-Q276),0)</f>
        <v>550636.28294993</v>
      </c>
      <c r="AA276" s="15" t="n">
        <f aca="false">S276-U276+IF(AND(Parametri_v3!$C$40=1,D276-YEAR(Parametri_v3!$C$50)&lt;Parametri_v3!$C$41),0,MAX(0,-Q276))</f>
        <v>0</v>
      </c>
      <c r="AB276" s="15" t="n">
        <f aca="false">F276*(1+Parametri_v3!$C$26)</f>
        <v>31138.2583498256</v>
      </c>
      <c r="AC276" s="15" t="n">
        <f aca="false">(IF(32-(INT((Motore_Operativo!L276)/30))&lt;1,0,INDEX(Motore_Startup!$AB$245:$AB$304,MAX(1,32-(INT((Motore_Operativo!L276)/30)))))*(1-(MOD((Motore_Operativo!L276),30)/30))+IF(32-(INT((Motore_Operativo!L276)/30))-1&lt;1,0,INDEX(Motore_Startup!$AB$245:$AB$304,MAX(1,32-(INT((Motore_Operativo!L276)/30))-1)))*(MOD((Motore_Operativo!L276),30)/30))</f>
        <v>29027.5751090323</v>
      </c>
      <c r="AD276" s="15" t="n">
        <f aca="false">(AD275)+AB276-AC276</f>
        <v>121410.172894104</v>
      </c>
      <c r="AE276" s="15" t="n">
        <f aca="false">Motore_Operativo!BH276*(1+Parametri_v3!$C$26)</f>
        <v>3653.595</v>
      </c>
      <c r="AF276" s="15" t="n">
        <f aca="false">(IF(32-(INT((Parametri_v3!$C$29)/30))&lt;1,0,INDEX(Motore_Operativo!$BH$245:$BH$304,MAX(1,32-(INT((Parametri_v3!$C$29)/30)))))*(1-(MOD((Parametri_v3!$C$29),30)/30))+IF(32-(INT((Parametri_v3!$C$29)/30))-1&lt;1,0,INDEX(Motore_Operativo!$BH$245:$BH$304,MAX(1,32-(INT((Parametri_v3!$C$29)/30))-1)))*(MOD((Parametri_v3!$C$29),30)/30))*(1+Parametri_v3!$C$26)</f>
        <v>3653.595</v>
      </c>
      <c r="AG276" s="15" t="n">
        <f aca="false">(AG275)+AE276-AF276</f>
        <v>3653.595</v>
      </c>
      <c r="AH276" s="15" t="n">
        <f aca="false">(Motore_Operativo!CJ276)*(1+Parametri_v3!$C$27*Parametri_v3!$C$26)</f>
        <v>20289.7394970142</v>
      </c>
      <c r="AI276" s="15" t="n">
        <f aca="false">(IF(32-(INT((Ipotesi!$C$91)/30))&lt;1,0,INDEX(Motore_Startup!$AH$245:$AH$304,MAX(1,32-(INT((Ipotesi!$C$91)/30)))))*(1-(MOD((Ipotesi!$C$91),30)/30))+IF(32-(INT((Ipotesi!$C$91)/30))-1&lt;1,0,INDEX(Motore_Startup!$AH$245:$AH$304,MAX(1,32-(INT((Ipotesi!$C$91)/30))-1)))*(MOD((Ipotesi!$C$91),30)/30))</f>
        <v>20147.250238538</v>
      </c>
      <c r="AJ276" s="15" t="n">
        <f aca="false">(AJ275)+AH276-AI276</f>
        <v>40508.5471282342</v>
      </c>
      <c r="AK276" s="15" t="n">
        <f aca="false">(F276+ Motore_Operativo!BH276-(Motore_Operativo!CJ276)*Parametri_v3!$C$27-Motore_Operativo!CE276)*Parametri_v3!$C$26</f>
        <v>2527.49486577585</v>
      </c>
      <c r="AL276" s="15" t="n">
        <f aca="false">MAX(0,(AM275))</f>
        <v>2444.76520981101</v>
      </c>
      <c r="AM276" s="15" t="n">
        <f aca="false">(AM275)+AK276-AL276</f>
        <v>2527.49486577585</v>
      </c>
      <c r="AN276" s="15" t="n">
        <f aca="false">SUM(X257:X268)</f>
        <v>0</v>
      </c>
      <c r="AO276" s="15" t="n">
        <f aca="false">SUM(AP257:AP268)</f>
        <v>0</v>
      </c>
      <c r="AP276" s="15" t="n">
        <f aca="false">MAX(0,AN276)*IF(8=Parametri_v3!$C$43,Parametri_v3!$C$45,IF(8=Parametri_v3!$C$44,1-Parametri_v3!$C$45,0))</f>
        <v>0</v>
      </c>
      <c r="AQ276" s="15" t="n">
        <f aca="false">MAX(0,AP276+IF(8=Parametri_v3!$C$43,MAX(0,AN276-AO276),0)-MAX(0,-(AR275)))</f>
        <v>0</v>
      </c>
      <c r="AR276" s="15" t="n">
        <f aca="false">(AR275)+X276-AQ276</f>
        <v>0</v>
      </c>
      <c r="AS276" s="15" t="n">
        <f aca="false">Motore_Operativo!AB276-AT276+AU276</f>
        <v>32026.4732291667</v>
      </c>
      <c r="AT276" s="15" t="n">
        <f aca="false">Motore_Operativo!CH276</f>
        <v>1685.60385416667</v>
      </c>
      <c r="AU276" s="15" t="n">
        <f aca="false">MIN(MAX(0,(AV275)+AT276),Parametri_v3!$C$60/12)</f>
        <v>0</v>
      </c>
      <c r="AV276" s="15" t="n">
        <f aca="false">(AV275)+AT276-AU276</f>
        <v>31962.4558333333</v>
      </c>
      <c r="AW276" s="15" t="n">
        <f aca="false">IF(AND(Motore_Operativo!C276=Finanziamenti!$D$6,Finanziamenti!$F$6=1),Finanziamenti!$C$6,0)</f>
        <v>0</v>
      </c>
      <c r="AX276" s="15" t="n">
        <f aca="false">IF(AND(5&lt;&gt;7,5&lt;&gt;9,Finanziamenti!$F$8=1,OR(Parametri_v3!$C$6=0,Finanziamenti!$E$8=1),Motore_Operativo!C276=EDATE(Finanziamenti!$D$8,Ipotesi!G15*12)),Finanziamenti!$C$8*1,0)+IF(AND(5&lt;&gt;7,5&lt;&gt;9,Finanziamenti!$F$9=1,OR(Parametri_v3!$C$6=0,Finanziamenti!$E$9=1),Motore_Operativo!C276=EDATE(Finanziamenti!$D$9,Ipotesi!G15*12)),Finanziamenti!$C$9*Ipotesi!G16,0)</f>
        <v>0</v>
      </c>
      <c r="AY276" s="15" t="n">
        <f aca="false">0</f>
        <v>0</v>
      </c>
      <c r="AZ276" s="15" t="n">
        <f aca="false">Motore_Advisory!AY276*(1-Ipotesi!$C$95)*Ipotesi!$C$96</f>
        <v>0</v>
      </c>
      <c r="BA276" s="15" t="n">
        <f aca="false">MAX(0,MIN(CG276*MIN(1,IF(Motore_Operativo!C276&gt;=EDATE(Finanziamenti!$D$15,Ipotesi!G14*12),Finanziamenti!$C$15,0)+IF(Motore_Operativo!C276&gt;=EDATE(Finanziamenti!$D$16,Ipotesi!G14*12),Finanziamenti!$C$16,0)+IF(Motore_Operativo!C276&gt;=EDATE(Finanziamenti!$D$17,Ipotesi!G14*12),Finanziamenti!$C$17,0)),CA276*Ipotesi!$C$102)-(CC275))</f>
        <v>0</v>
      </c>
      <c r="BB276" s="15" t="n">
        <f aca="false">IF(AND(CF276&gt;0,Motore_Operativo!C276&gt;=IF(CF276=0,0,EDATE(CF276,Parametri_v3!$C$37)),MOD(((D276-YEAR(IF(CF276=0,0,EDATE(CF276,Parametri_v3!$C$37))))*12+E276-MONTH(IF(CF276=0,0,EDATE(CF276,Parametri_v3!$C$37)))),Parametri_v3!$C$38)=0),MIN(MAX(0,(BC275)+BA276-N276),(CC276-CD276)/(Ipotesi!$C$108*12/Parametri_v3!$C$38)),0)</f>
        <v>0</v>
      </c>
      <c r="BC276" s="15" t="n">
        <f aca="false">(BC275)+BA276-N276-BB276</f>
        <v>58409.2726154906</v>
      </c>
      <c r="BD276" s="15" t="n">
        <f aca="false">(BH275)+AC276+AF276-AI276-AS276-K276*(1+Parametri_v3!$C$26)-AL276-AQ276-O276+AW276+AX276+AZ276+BA276-BB276</f>
        <v>-733.653370304499</v>
      </c>
      <c r="BE276" s="15" t="n">
        <f aca="false">MAX(0,MIN(MAX(0,CH276-(BG275)),Parametri_v3!$C$30-BD276))</f>
        <v>733.03963577174</v>
      </c>
      <c r="BF276" s="15" t="n">
        <f aca="false">IF(Motore_Operativo!C276&gt;=Parametri_v3!$C$63,(BG275),MIN((BG275),MAX(0,BD276-Parametri_v3!$C$30)))</f>
        <v>0</v>
      </c>
      <c r="BG276" s="15" t="n">
        <f aca="false">(BG275)+BE276-BF276</f>
        <v>150000</v>
      </c>
      <c r="BH276" s="15" t="n">
        <f aca="false">BD276+BE276-BF276-AY276</f>
        <v>-0.613734532759168</v>
      </c>
      <c r="BI276" s="15" t="n">
        <f aca="false">MAX(0,Parametri_v3!$C$30-BH276)</f>
        <v>25000.6137345328</v>
      </c>
      <c r="BJ276" s="15" t="n">
        <f aca="false">(BJ275)+K276</f>
        <v>65000</v>
      </c>
      <c r="BK276" s="15" t="n">
        <f aca="false">(BK275)+L276</f>
        <v>27291.6666666667</v>
      </c>
      <c r="BL276" s="15" t="n">
        <f aca="false">BJ276-BK276</f>
        <v>37708.3333333333</v>
      </c>
      <c r="BM276" s="15" t="n">
        <f aca="false">(BM275)+Y276</f>
        <v>-550636.28294993</v>
      </c>
      <c r="BN276" s="15" t="n">
        <f aca="false">(BN275)+AW276+AX276+AZ276</f>
        <v>430000</v>
      </c>
      <c r="BO276" s="15" t="n">
        <f aca="false">(BO275)+AY276</f>
        <v>0</v>
      </c>
      <c r="BP276" s="15" t="n">
        <f aca="false">0</f>
        <v>0</v>
      </c>
      <c r="BQ276" s="15" t="n">
        <f aca="false">BN276+BM276-BO276</f>
        <v>-120636.28294993</v>
      </c>
      <c r="BR276" s="15" t="n">
        <f aca="false">BH276+AD276+BL276+MAX(0,-AM276)+MAX(0,-AR276)+AG276</f>
        <v>162771.487492905</v>
      </c>
      <c r="BS276" s="15" t="n">
        <f aca="false">AJ276+AV276+MAX(0,AM276)+MAX(0,AR276)+BC276+BG276+BQ276</f>
        <v>162771.487492904</v>
      </c>
      <c r="BT276" s="15" t="n">
        <f aca="false">BR276-BS276</f>
        <v>0</v>
      </c>
      <c r="BU276" s="15" t="n">
        <f aca="false">BH276-(BD276+BE276-BF276-AY276)</f>
        <v>0</v>
      </c>
      <c r="BV276" s="15" t="n">
        <f aca="false">MIN(Piano_SS!$C$6,(BV275)+IF(AND(Motore_Operativo!C276&gt;=EDATE(Parametri_v3!$C$24,Ipotesi!G14*12),Motore_Operativo!C276&lt;EDATE(Parametri_v3!$C$24,Parametri_v3!$C$25+Ipotesi!G14*12)),MAX(0,(Motore_Operativo!Y276+Motore_Operativo!X276*Parametri_v3!$C$14)*(1-Parametri_v3!$C$32))*Piano_SS!$D$6,0))</f>
        <v>92096.42</v>
      </c>
      <c r="BW276" s="15" t="n">
        <f aca="false">MIN(Piano_SS!$C$7,(BW275)+IF(AND(Motore_Operativo!C276&gt;=EDATE(Parametri_v3!$C$24,Ipotesi!G14*12),Motore_Operativo!C276&lt;EDATE(Parametri_v3!$C$24,Parametri_v3!$C$25+Ipotesi!G14*12)),MAX(0,(IF(32-(INT((Ipotesi!$C$91)/30))&lt;1,0,INDEX(Motore_Operativo!$BN$245:$BN$304,MAX(1,32-(INT((Ipotesi!$C$91)/30)))))*(1-(MOD((Ipotesi!$C$91),30)/30))+IF(32-(INT((Ipotesi!$C$91)/30))-1&lt;1,0,INDEX(Motore_Operativo!$BN$245:$BN$304,MAX(1,32-(INT((Ipotesi!$C$91)/30))-1)))*(MOD((Ipotesi!$C$91),30)/30)))*Piano_SS!$D$7,0))</f>
        <v>12860.7770568292</v>
      </c>
      <c r="BX276" s="15" t="n">
        <f aca="false">MIN(Piano_SS!$C$8,(BX275)+IF(AND(Motore_Operativo!C276&gt;=EDATE(Parametri_v3!$C$24,Ipotesi!G14*12),Motore_Operativo!C276&lt;EDATE(Parametri_v3!$C$24,Parametri_v3!$C$25+Ipotesi!G14*12)),MAX(0,Motore_Operativo!CE276)*Piano_SS!$D$8,0))</f>
        <v>32500</v>
      </c>
      <c r="BY276" s="15" t="n">
        <f aca="false">MIN(Piano_SS!$C$9,(BY275)+IF(AND(Motore_Operativo!C276&gt;=EDATE(Parametri_v3!$C$24,Ipotesi!G14*12),Motore_Operativo!C276&lt;EDATE(Parametri_v3!$C$24,Parametri_v3!$C$25+Ipotesi!G14*12)),MAX(0,((IF(32-(INT((Ipotesi!$C$91)/30))&lt;1,0,INDEX(Motore_Operativo!$BQ$245:$BQ$304,MAX(1,32-(INT((Ipotesi!$C$91)/30)))))*(1-(MOD((Ipotesi!$C$91),30)/30))+IF(32-(INT((Ipotesi!$C$91)/30))-1&lt;1,0,INDEX(Motore_Operativo!$BQ$245:$BQ$304,MAX(1,32-(INT((Ipotesi!$C$91)/30))-1)))*(MOD((Ipotesi!$C$91),30)/30))+(IF(32-(INT((Ipotesi!$C$91)/30))&lt;1,0,INDEX(Motore_Operativo!$BR$245:$BR$304,MAX(1,32-(INT((Ipotesi!$C$91)/30)))))*(1-(MOD((Ipotesi!$C$91),30)/30))+IF(32-(INT((Ipotesi!$C$91)/30))-1&lt;1,0,INDEX(Motore_Operativo!$BR$245:$BR$304,MAX(1,32-(INT((Ipotesi!$C$91)/30))-1)))*(MOD((Ipotesi!$C$91),30)/30))))*Piano_SS!$D$9,0))</f>
        <v>35500</v>
      </c>
      <c r="BZ276" s="15" t="n">
        <f aca="false">MIN(Piano_SS!$C$10,(BZ275)+IF(AND(Motore_Operativo!C276&gt;=EDATE(Parametri_v3!$C$24,Ipotesi!G14*12),Motore_Operativo!C276&lt;EDATE(Parametri_v3!$C$24,Parametri_v3!$C$25+Ipotesi!G14*12)),MAX(0,(IF(32-(INT((Ipotesi!$C$91)/30))&lt;1,0,INDEX(Motore_Operativo!$BO$245:$BO$304,MAX(1,32-(INT((Ipotesi!$C$91)/30)))))*(1-(MOD((Ipotesi!$C$91),30)/30))+IF(32-(INT((Ipotesi!$C$91)/30))-1&lt;1,0,INDEX(Motore_Operativo!$BO$245:$BO$304,MAX(1,32-(INT((Ipotesi!$C$91)/30))-1)))*(MOD((Ipotesi!$C$91),30)/30)))*Piano_SS!$D$10,0))</f>
        <v>19300</v>
      </c>
      <c r="CA276" s="15" t="n">
        <f aca="false">SUM(BV276:BZ276)</f>
        <v>192257.197056829</v>
      </c>
      <c r="CB276" s="15" t="n">
        <f aca="false">BV276*(1-Piano_SS!$E$6)+BW276*(1-Piano_SS!$E$7)+BX276*(1-Piano_SS!$E$8)+BY276*(1-Piano_SS!$E$9)+BZ276*(1-Piano_SS!$E$10)</f>
        <v>172957.197056829</v>
      </c>
      <c r="CC276" s="15" t="n">
        <f aca="false">(CC275)+BA276</f>
        <v>80000</v>
      </c>
      <c r="CD276" s="15" t="n">
        <f aca="false">IF(CA276=0,0,CC276*CB276/CA276*Ipotesi!$C$103*Parametri_v3!$C$64)</f>
        <v>21590.7273845094</v>
      </c>
      <c r="CE276" s="18" t="n">
        <f aca="false">IF(BA276&gt;0,Motore_Operativo!C276,(CE275))</f>
        <v>47178</v>
      </c>
      <c r="CF276" s="18" t="n">
        <f aca="false">IF(AND(CC276&gt;0,OR(CC276&gt;=CG276-0.01,Motore_Operativo!C276&gt;=EDATE(MAX(Finanziamenti!$D$15:$D$17),Ipotesi!G14*12))),CE276,0)</f>
        <v>0</v>
      </c>
      <c r="CG276" s="15" t="n">
        <f aca="false">IF(AND(5&lt;&gt;6,5&lt;&gt;9,Finanziamenti!$F$11=1,OR(Parametri_v3!$C$6=0,Finanziamenti!$E$11=1)),MIN(Finanziamenti!$C$11,Piano_SS!$C$12*Ipotesi!$C$102),0)</f>
        <v>400000</v>
      </c>
      <c r="CH276" s="15" t="n">
        <f aca="false">IF(AND(AND(5&lt;&gt;8,5&lt;&gt;9,Finanziamenti!$F$10=1,OR(Parametri_v3!$C$6=0,Finanziamenti!$E$10=1)),Motore_Operativo!C276&gt;=Finanziamenti!$D$10,Motore_Operativo!C276&lt;Parametri_v3!$C$63),Finanziamenti!$C$10,0)</f>
        <v>150000</v>
      </c>
    </row>
    <row r="277" customFormat="false" ht="18" hidden="false" customHeight="true" outlineLevel="0" collapsed="false">
      <c r="A277" s="68" t="n">
        <f aca="false">5</f>
        <v>5</v>
      </c>
      <c r="B277" s="68" t="n">
        <f aca="false">33</f>
        <v>33</v>
      </c>
      <c r="C277" s="18" t="n">
        <f aca="false">Motore_Operativo!C277</f>
        <v>47362</v>
      </c>
      <c r="D277" s="68" t="n">
        <f aca="false">Motore_Operativo!D277</f>
        <v>2029</v>
      </c>
      <c r="E277" s="68" t="n">
        <f aca="false">Motore_Operativo!E277</f>
        <v>9</v>
      </c>
      <c r="F277" s="15" t="n">
        <f aca="false">Motore_Operativo!AQ277+Motore_Operativo!BF277</f>
        <v>25946.2688943719</v>
      </c>
      <c r="G277" s="15" t="n">
        <f aca="false">Motore_Operativo!BH277</f>
        <v>2994.75</v>
      </c>
      <c r="H277" s="15" t="n">
        <f aca="false">Motore_Operativo!BI277</f>
        <v>28941.0188943719</v>
      </c>
      <c r="I277" s="15" t="n">
        <f aca="false">Motore_Operativo!CA277</f>
        <v>50864.6055618787</v>
      </c>
      <c r="J277" s="15" t="n">
        <f aca="false">Motore_Operativo!CC277</f>
        <v>-21923.5866675068</v>
      </c>
      <c r="K277" s="15" t="n">
        <f aca="false">Motore_Operativo!CE277</f>
        <v>2500</v>
      </c>
      <c r="L277" s="15" t="n">
        <f aca="false">SUM(INDEX($K$245:$K$304,MAX(1,33-Parametri_v3!$C$59+1)):K277)/Parametri_v3!$C$59</f>
        <v>1875</v>
      </c>
      <c r="M277" s="15" t="n">
        <f aca="false">J277-L277</f>
        <v>-23798.5866675068</v>
      </c>
      <c r="N277" s="15" t="n">
        <f aca="false">CD277-(CD276)</f>
        <v>-9.00098090961546</v>
      </c>
      <c r="O277" s="15" t="n">
        <f aca="false">(BG276)*Ipotesi!$C$110/12+CH277*Parametri_v3!$C$39/12</f>
        <v>750</v>
      </c>
      <c r="P277" s="15" t="n">
        <f aca="false">M277+N277-O277</f>
        <v>-24557.5876484165</v>
      </c>
      <c r="Q277" s="15" t="n">
        <f aca="false">SUM(P269:P277)+Parametri_v3!$C$54*9/12</f>
        <v>-222264.263886725</v>
      </c>
      <c r="R277" s="15" t="n">
        <f aca="false">Z268</f>
        <v>352929.606711621</v>
      </c>
      <c r="S277" s="15" t="n">
        <f aca="false">AA268</f>
        <v>0</v>
      </c>
      <c r="T277" s="15" t="n">
        <f aca="false">MIN(R277,MAX(0,Q277))</f>
        <v>0</v>
      </c>
      <c r="U277" s="15" t="n">
        <f aca="false">MIN(S277,MAX(0,Q277-T277)*Parametri_v3!$C$42)</f>
        <v>0</v>
      </c>
      <c r="V277" s="15" t="n">
        <f aca="false">MAX(0,Q277-T277-U277)*Ipotesi!$C$92</f>
        <v>0</v>
      </c>
      <c r="W277" s="15" t="n">
        <f aca="false">MAX(0,SUM(M269:M277)+Parametri_v3!$C$55*9/12)*Ipotesi!$C$93</f>
        <v>0</v>
      </c>
      <c r="X277" s="15" t="n">
        <f aca="false">V277+W277-(V276+W276)</f>
        <v>0</v>
      </c>
      <c r="Y277" s="15" t="n">
        <f aca="false">P277-X277</f>
        <v>-24557.5876484165</v>
      </c>
      <c r="Z277" s="15" t="n">
        <f aca="false">R277-T277+IF(AND(Parametri_v3!$C$40=1,D277-YEAR(Parametri_v3!$C$50)&lt;Parametri_v3!$C$41),MAX(0,-Q277),0)</f>
        <v>575193.870598346</v>
      </c>
      <c r="AA277" s="15" t="n">
        <f aca="false">S277-U277+IF(AND(Parametri_v3!$C$40=1,D277-YEAR(Parametri_v3!$C$50)&lt;Parametri_v3!$C$41),0,MAX(0,-Q277))</f>
        <v>0</v>
      </c>
      <c r="AB277" s="15" t="n">
        <f aca="false">F277*(1+Parametri_v3!$C$26)</f>
        <v>31654.4480511337</v>
      </c>
      <c r="AC277" s="15" t="n">
        <f aca="false">(IF(33-(INT((Motore_Operativo!L277)/30))&lt;1,0,INDEX(Motore_Startup!$AB$245:$AB$304,MAX(1,33-(INT((Motore_Operativo!L277)/30)))))*(1-(MOD((Motore_Operativo!L277),30)/30))+IF(33-(INT((Motore_Operativo!L277)/30))-1&lt;1,0,INDEX(Motore_Startup!$AB$245:$AB$304,MAX(1,33-(INT((Motore_Operativo!L277)/30))-1)))*(MOD((Motore_Operativo!L277),30)/30))</f>
        <v>29562.21558208</v>
      </c>
      <c r="AD277" s="15" t="n">
        <f aca="false">(AD276)+AB277-AC277</f>
        <v>123502.405363158</v>
      </c>
      <c r="AE277" s="15" t="n">
        <f aca="false">Motore_Operativo!BH277*(1+Parametri_v3!$C$26)</f>
        <v>3653.595</v>
      </c>
      <c r="AF277" s="15" t="n">
        <f aca="false">(IF(33-(INT((Parametri_v3!$C$29)/30))&lt;1,0,INDEX(Motore_Operativo!$BH$245:$BH$304,MAX(1,33-(INT((Parametri_v3!$C$29)/30)))))*(1-(MOD((Parametri_v3!$C$29),30)/30))+IF(33-(INT((Parametri_v3!$C$29)/30))-1&lt;1,0,INDEX(Motore_Operativo!$BH$245:$BH$304,MAX(1,33-(INT((Parametri_v3!$C$29)/30))-1)))*(MOD((Parametri_v3!$C$29),30)/30))*(1+Parametri_v3!$C$26)</f>
        <v>3653.595</v>
      </c>
      <c r="AG277" s="15" t="n">
        <f aca="false">(AG276)+AE277-AF277</f>
        <v>3653.595</v>
      </c>
      <c r="AH277" s="15" t="n">
        <f aca="false">(Motore_Operativo!CJ277)*(1+Parametri_v3!$C$27*Parametri_v3!$C$26)</f>
        <v>20360.0513040334</v>
      </c>
      <c r="AI277" s="15" t="n">
        <f aca="false">(IF(33-(INT((Ipotesi!$C$91)/30))&lt;1,0,INDEX(Motore_Startup!$AH$245:$AH$304,MAX(1,33-(INT((Ipotesi!$C$91)/30)))))*(1-(MOD((Ipotesi!$C$91),30)/30))+IF(33-(INT((Ipotesi!$C$91)/30))-1&lt;1,0,INDEX(Motore_Startup!$AH$245:$AH$304,MAX(1,33-(INT((Ipotesi!$C$91)/30))-1)))*(MOD((Ipotesi!$C$91),30)/30))</f>
        <v>20218.80763122</v>
      </c>
      <c r="AJ277" s="15" t="n">
        <f aca="false">(AJ276)+AH277-AI277</f>
        <v>40649.7908010476</v>
      </c>
      <c r="AK277" s="15" t="n">
        <f aca="false">(F277+ Motore_Operativo!BH277-(Motore_Operativo!CJ277)*Parametri_v3!$C$27-Motore_Operativo!CE277)*Parametri_v3!$C$26</f>
        <v>2609.50133127382</v>
      </c>
      <c r="AL277" s="15" t="n">
        <f aca="false">MAX(0,(AM276))</f>
        <v>2527.49486577585</v>
      </c>
      <c r="AM277" s="15" t="n">
        <f aca="false">(AM276)+AK277-AL277</f>
        <v>2609.50133127382</v>
      </c>
      <c r="AN277" s="15" t="n">
        <f aca="false">SUM(X257:X268)</f>
        <v>0</v>
      </c>
      <c r="AO277" s="15" t="n">
        <f aca="false">SUM(AP257:AP268)</f>
        <v>0</v>
      </c>
      <c r="AP277" s="15" t="n">
        <f aca="false">MAX(0,AN277)*IF(9=Parametri_v3!$C$43,Parametri_v3!$C$45,IF(9=Parametri_v3!$C$44,1-Parametri_v3!$C$45,0))</f>
        <v>0</v>
      </c>
      <c r="AQ277" s="15" t="n">
        <f aca="false">MAX(0,AP277+IF(9=Parametri_v3!$C$43,MAX(0,AN277-AO277),0)-MAX(0,-(AR276)))</f>
        <v>0</v>
      </c>
      <c r="AR277" s="15" t="n">
        <f aca="false">(AR276)+X277-AQ277</f>
        <v>0</v>
      </c>
      <c r="AS277" s="15" t="n">
        <f aca="false">Motore_Operativo!AB277-AT277+AU277</f>
        <v>32026.4732291667</v>
      </c>
      <c r="AT277" s="15" t="n">
        <f aca="false">Motore_Operativo!CH277</f>
        <v>1685.60385416667</v>
      </c>
      <c r="AU277" s="15" t="n">
        <f aca="false">MIN(MAX(0,(AV276)+AT277),Parametri_v3!$C$60/12)</f>
        <v>0</v>
      </c>
      <c r="AV277" s="15" t="n">
        <f aca="false">(AV276)+AT277-AU277</f>
        <v>33648.0596875</v>
      </c>
      <c r="AW277" s="15" t="n">
        <f aca="false">IF(AND(Motore_Operativo!C277=Finanziamenti!$D$6,Finanziamenti!$F$6=1),Finanziamenti!$C$6,0)</f>
        <v>0</v>
      </c>
      <c r="AX277" s="15" t="n">
        <f aca="false">IF(AND(5&lt;&gt;7,5&lt;&gt;9,Finanziamenti!$F$8=1,OR(Parametri_v3!$C$6=0,Finanziamenti!$E$8=1),Motore_Operativo!C277=EDATE(Finanziamenti!$D$8,Ipotesi!G15*12)),Finanziamenti!$C$8*1,0)+IF(AND(5&lt;&gt;7,5&lt;&gt;9,Finanziamenti!$F$9=1,OR(Parametri_v3!$C$6=0,Finanziamenti!$E$9=1),Motore_Operativo!C277=EDATE(Finanziamenti!$D$9,Ipotesi!G15*12)),Finanziamenti!$C$9*Ipotesi!G16,0)</f>
        <v>0</v>
      </c>
      <c r="AY277" s="15" t="n">
        <f aca="false">0</f>
        <v>0</v>
      </c>
      <c r="AZ277" s="15" t="n">
        <f aca="false">Motore_Advisory!AY277*(1-Ipotesi!$C$95)*Ipotesi!$C$96</f>
        <v>0</v>
      </c>
      <c r="BA277" s="15" t="n">
        <f aca="false">MAX(0,MIN(CG277*MIN(1,IF(Motore_Operativo!C277&gt;=EDATE(Finanziamenti!$D$15,Ipotesi!G14*12),Finanziamenti!$C$15,0)+IF(Motore_Operativo!C277&gt;=EDATE(Finanziamenti!$D$16,Ipotesi!G14*12),Finanziamenti!$C$16,0)+IF(Motore_Operativo!C277&gt;=EDATE(Finanziamenti!$D$17,Ipotesi!G14*12),Finanziamenti!$C$17,0)),CA277*Ipotesi!$C$102)-(CC276))</f>
        <v>0</v>
      </c>
      <c r="BB277" s="15" t="n">
        <f aca="false">IF(AND(CF277&gt;0,Motore_Operativo!C277&gt;=IF(CF277=0,0,EDATE(CF277,Parametri_v3!$C$37)),MOD(((D277-YEAR(IF(CF277=0,0,EDATE(CF277,Parametri_v3!$C$37))))*12+E277-MONTH(IF(CF277=0,0,EDATE(CF277,Parametri_v3!$C$37)))),Parametri_v3!$C$38)=0),MIN(MAX(0,(BC276)+BA277-N277),(CC277-CD277)/(Ipotesi!$C$108*12/Parametri_v3!$C$38)),0)</f>
        <v>0</v>
      </c>
      <c r="BC277" s="15" t="n">
        <f aca="false">(BC276)+BA277-N277-BB277</f>
        <v>58418.2735964002</v>
      </c>
      <c r="BD277" s="15" t="n">
        <f aca="false">(BH276)+AC277+AF277-AI277-AS277-K277*(1+Parametri_v3!$C$26)-AL277-AQ277-O277+AW277+AX277+AZ277+BA277-BB277</f>
        <v>-25357.5788786152</v>
      </c>
      <c r="BE277" s="15" t="n">
        <f aca="false">MAX(0,MIN(MAX(0,CH277-(BG276)),Parametri_v3!$C$30-BD277))</f>
        <v>0</v>
      </c>
      <c r="BF277" s="15" t="n">
        <f aca="false">IF(Motore_Operativo!C277&gt;=Parametri_v3!$C$63,(BG276),MIN((BG276),MAX(0,BD277-Parametri_v3!$C$30)))</f>
        <v>0</v>
      </c>
      <c r="BG277" s="15" t="n">
        <f aca="false">(BG276)+BE277-BF277</f>
        <v>150000</v>
      </c>
      <c r="BH277" s="15" t="n">
        <f aca="false">BD277+BE277-BF277-AY277</f>
        <v>-25357.5788786152</v>
      </c>
      <c r="BI277" s="15" t="n">
        <f aca="false">MAX(0,Parametri_v3!$C$30-BH277)</f>
        <v>50357.5788786152</v>
      </c>
      <c r="BJ277" s="15" t="n">
        <f aca="false">(BJ276)+K277</f>
        <v>67500</v>
      </c>
      <c r="BK277" s="15" t="n">
        <f aca="false">(BK276)+L277</f>
        <v>29166.6666666667</v>
      </c>
      <c r="BL277" s="15" t="n">
        <f aca="false">BJ277-BK277</f>
        <v>38333.3333333333</v>
      </c>
      <c r="BM277" s="15" t="n">
        <f aca="false">(BM276)+Y277</f>
        <v>-575193.870598346</v>
      </c>
      <c r="BN277" s="15" t="n">
        <f aca="false">(BN276)+AW277+AX277+AZ277</f>
        <v>430000</v>
      </c>
      <c r="BO277" s="15" t="n">
        <f aca="false">(BO276)+AY277</f>
        <v>0</v>
      </c>
      <c r="BP277" s="15" t="n">
        <f aca="false">0</f>
        <v>0</v>
      </c>
      <c r="BQ277" s="15" t="n">
        <f aca="false">BN277+BM277-BO277</f>
        <v>-145193.870598346</v>
      </c>
      <c r="BR277" s="15" t="n">
        <f aca="false">BH277+AD277+BL277+MAX(0,-AM277)+MAX(0,-AR277)+AG277</f>
        <v>140131.754817876</v>
      </c>
      <c r="BS277" s="15" t="n">
        <f aca="false">AJ277+AV277+MAX(0,AM277)+MAX(0,AR277)+BC277+BG277+BQ277</f>
        <v>140131.754817876</v>
      </c>
      <c r="BT277" s="15" t="n">
        <f aca="false">BR277-BS277</f>
        <v>0</v>
      </c>
      <c r="BU277" s="15" t="n">
        <f aca="false">BH277-(BD277+BE277-BF277-AY277)</f>
        <v>0</v>
      </c>
      <c r="BV277" s="15" t="n">
        <f aca="false">MIN(Piano_SS!$C$6,(BV276)+IF(AND(Motore_Operativo!C277&gt;=EDATE(Parametri_v3!$C$24,Ipotesi!G14*12),Motore_Operativo!C277&lt;EDATE(Parametri_v3!$C$24,Parametri_v3!$C$25+Ipotesi!G14*12)),MAX(0,(Motore_Operativo!Y277+Motore_Operativo!X277*Parametri_v3!$C$14)*(1-Parametri_v3!$C$32))*Piano_SS!$D$6,0))</f>
        <v>100474.2146875</v>
      </c>
      <c r="BW277" s="15" t="n">
        <f aca="false">MIN(Piano_SS!$C$7,(BW276)+IF(AND(Motore_Operativo!C277&gt;=EDATE(Parametri_v3!$C$24,Ipotesi!G14*12),Motore_Operativo!C277&lt;EDATE(Parametri_v3!$C$24,Parametri_v3!$C$25+Ipotesi!G14*12)),MAX(0,(IF(33-(INT((Ipotesi!$C$91)/30))&lt;1,0,INDEX(Motore_Operativo!$BN$245:$BN$304,MAX(1,33-(INT((Ipotesi!$C$91)/30)))))*(1-(MOD((Ipotesi!$C$91),30)/30))+IF(33-(INT((Ipotesi!$C$91)/30))-1&lt;1,0,INDEX(Motore_Operativo!$BN$245:$BN$304,MAX(1,33-(INT((Ipotesi!$C$91)/30))-1)))*(MOD((Ipotesi!$C$91),30)/30)))*Piano_SS!$D$7,0))</f>
        <v>13968.4830585398</v>
      </c>
      <c r="BX277" s="15" t="n">
        <f aca="false">MIN(Piano_SS!$C$8,(BX276)+IF(AND(Motore_Operativo!C277&gt;=EDATE(Parametri_v3!$C$24,Ipotesi!G14*12),Motore_Operativo!C277&lt;EDATE(Parametri_v3!$C$24,Parametri_v3!$C$25+Ipotesi!G14*12)),MAX(0,Motore_Operativo!CE277)*Piano_SS!$D$8,0))</f>
        <v>35000</v>
      </c>
      <c r="BY277" s="15" t="n">
        <f aca="false">MIN(Piano_SS!$C$9,(BY276)+IF(AND(Motore_Operativo!C277&gt;=EDATE(Parametri_v3!$C$24,Ipotesi!G14*12),Motore_Operativo!C277&lt;EDATE(Parametri_v3!$C$24,Parametri_v3!$C$25+Ipotesi!G14*12)),MAX(0,((IF(33-(INT((Ipotesi!$C$91)/30))&lt;1,0,INDEX(Motore_Operativo!$BQ$245:$BQ$304,MAX(1,33-(INT((Ipotesi!$C$91)/30)))))*(1-(MOD((Ipotesi!$C$91),30)/30))+IF(33-(INT((Ipotesi!$C$91)/30))-1&lt;1,0,INDEX(Motore_Operativo!$BQ$245:$BQ$304,MAX(1,33-(INT((Ipotesi!$C$91)/30))-1)))*(MOD((Ipotesi!$C$91),30)/30))+(IF(33-(INT((Ipotesi!$C$91)/30))&lt;1,0,INDEX(Motore_Operativo!$BR$245:$BR$304,MAX(1,33-(INT((Ipotesi!$C$91)/30)))))*(1-(MOD((Ipotesi!$C$91),30)/30))+IF(33-(INT((Ipotesi!$C$91)/30))-1&lt;1,0,INDEX(Motore_Operativo!$BR$245:$BR$304,MAX(1,33-(INT((Ipotesi!$C$91)/30))-1)))*(MOD((Ipotesi!$C$91),30)/30))))*Piano_SS!$D$9,0))</f>
        <v>38416.6666666667</v>
      </c>
      <c r="BZ277" s="15" t="n">
        <f aca="false">MIN(Piano_SS!$C$10,(BZ276)+IF(AND(Motore_Operativo!C277&gt;=EDATE(Parametri_v3!$C$24,Ipotesi!G14*12),Motore_Operativo!C277&lt;EDATE(Parametri_v3!$C$24,Parametri_v3!$C$25+Ipotesi!G14*12)),MAX(0,(IF(33-(INT((Ipotesi!$C$91)/30))&lt;1,0,INDEX(Motore_Operativo!$BO$245:$BO$304,MAX(1,33-(INT((Ipotesi!$C$91)/30)))))*(1-(MOD((Ipotesi!$C$91),30)/30))+IF(33-(INT((Ipotesi!$C$91)/30))-1&lt;1,0,INDEX(Motore_Operativo!$BO$245:$BO$304,MAX(1,33-(INT((Ipotesi!$C$91)/30))-1)))*(MOD((Ipotesi!$C$91),30)/30)))*Piano_SS!$D$10,0))</f>
        <v>21050</v>
      </c>
      <c r="CA277" s="15" t="n">
        <f aca="false">SUM(BV277:BZ277)</f>
        <v>208909.364412707</v>
      </c>
      <c r="CB277" s="15" t="n">
        <f aca="false">BV277*(1-Piano_SS!$E$6)+BW277*(1-Piano_SS!$E$7)+BX277*(1-Piano_SS!$E$8)+BY277*(1-Piano_SS!$E$9)+BZ277*(1-Piano_SS!$E$10)</f>
        <v>187859.364412707</v>
      </c>
      <c r="CC277" s="15" t="n">
        <f aca="false">(CC276)+BA277</f>
        <v>80000</v>
      </c>
      <c r="CD277" s="15" t="n">
        <f aca="false">IF(CA277=0,0,CC277*CB277/CA277*Ipotesi!$C$103*Parametri_v3!$C$64)</f>
        <v>21581.7264035998</v>
      </c>
      <c r="CE277" s="18" t="n">
        <f aca="false">IF(BA277&gt;0,Motore_Operativo!C277,(CE276))</f>
        <v>47178</v>
      </c>
      <c r="CF277" s="18" t="n">
        <f aca="false">IF(AND(CC277&gt;0,OR(CC277&gt;=CG277-0.01,Motore_Operativo!C277&gt;=EDATE(MAX(Finanziamenti!$D$15:$D$17),Ipotesi!G14*12))),CE277,0)</f>
        <v>0</v>
      </c>
      <c r="CG277" s="15" t="n">
        <f aca="false">IF(AND(5&lt;&gt;6,5&lt;&gt;9,Finanziamenti!$F$11=1,OR(Parametri_v3!$C$6=0,Finanziamenti!$E$11=1)),MIN(Finanziamenti!$C$11,Piano_SS!$C$12*Ipotesi!$C$102),0)</f>
        <v>400000</v>
      </c>
      <c r="CH277" s="15" t="n">
        <f aca="false">IF(AND(AND(5&lt;&gt;8,5&lt;&gt;9,Finanziamenti!$F$10=1,OR(Parametri_v3!$C$6=0,Finanziamenti!$E$10=1)),Motore_Operativo!C277&gt;=Finanziamenti!$D$10,Motore_Operativo!C277&lt;Parametri_v3!$C$63),Finanziamenti!$C$10,0)</f>
        <v>150000</v>
      </c>
    </row>
    <row r="278" customFormat="false" ht="18" hidden="false" customHeight="true" outlineLevel="0" collapsed="false">
      <c r="A278" s="68" t="n">
        <f aca="false">5</f>
        <v>5</v>
      </c>
      <c r="B278" s="68" t="n">
        <f aca="false">34</f>
        <v>34</v>
      </c>
      <c r="C278" s="18" t="n">
        <f aca="false">Motore_Operativo!C278</f>
        <v>47392</v>
      </c>
      <c r="D278" s="68" t="n">
        <f aca="false">Motore_Operativo!D278</f>
        <v>2029</v>
      </c>
      <c r="E278" s="68" t="n">
        <f aca="false">Motore_Operativo!E278</f>
        <v>10</v>
      </c>
      <c r="F278" s="15" t="n">
        <f aca="false">Motore_Operativo!AQ278+Motore_Operativo!BF278</f>
        <v>26365.6765761427</v>
      </c>
      <c r="G278" s="15" t="n">
        <f aca="false">Motore_Operativo!BH278</f>
        <v>2994.75</v>
      </c>
      <c r="H278" s="15" t="n">
        <f aca="false">Motore_Operativo!BI278</f>
        <v>29360.4265761427</v>
      </c>
      <c r="I278" s="15" t="n">
        <f aca="false">Motore_Operativo!CA278</f>
        <v>50923.3226373266</v>
      </c>
      <c r="J278" s="15" t="n">
        <f aca="false">Motore_Operativo!CC278</f>
        <v>-21562.8960611839</v>
      </c>
      <c r="K278" s="15" t="n">
        <f aca="false">Motore_Operativo!CE278</f>
        <v>2500</v>
      </c>
      <c r="L278" s="15" t="n">
        <f aca="false">SUM(INDEX($K$245:$K$304,MAX(1,34-Parametri_v3!$C$59+1)):K278)/Parametri_v3!$C$59</f>
        <v>1944.44444444444</v>
      </c>
      <c r="M278" s="15" t="n">
        <f aca="false">J278-L278</f>
        <v>-23507.3405056284</v>
      </c>
      <c r="N278" s="15" t="n">
        <f aca="false">CD278-(CD277)</f>
        <v>-21.7258556976849</v>
      </c>
      <c r="O278" s="15" t="n">
        <f aca="false">(BG277)*Ipotesi!$C$110/12+CH278*Parametri_v3!$C$39/12</f>
        <v>750</v>
      </c>
      <c r="P278" s="15" t="n">
        <f aca="false">M278+N278-O278</f>
        <v>-24279.0663613261</v>
      </c>
      <c r="Q278" s="15" t="n">
        <f aca="false">SUM(P269:P278)+Parametri_v3!$C$54*10/12</f>
        <v>-246543.330248051</v>
      </c>
      <c r="R278" s="15" t="n">
        <f aca="false">Z268</f>
        <v>352929.606711621</v>
      </c>
      <c r="S278" s="15" t="n">
        <f aca="false">AA268</f>
        <v>0</v>
      </c>
      <c r="T278" s="15" t="n">
        <f aca="false">MIN(R278,MAX(0,Q278))</f>
        <v>0</v>
      </c>
      <c r="U278" s="15" t="n">
        <f aca="false">MIN(S278,MAX(0,Q278-T278)*Parametri_v3!$C$42)</f>
        <v>0</v>
      </c>
      <c r="V278" s="15" t="n">
        <f aca="false">MAX(0,Q278-T278-U278)*Ipotesi!$C$92</f>
        <v>0</v>
      </c>
      <c r="W278" s="15" t="n">
        <f aca="false">MAX(0,SUM(M269:M278)+Parametri_v3!$C$55*10/12)*Ipotesi!$C$93</f>
        <v>0</v>
      </c>
      <c r="X278" s="15" t="n">
        <f aca="false">V278+W278-(V277+W277)</f>
        <v>0</v>
      </c>
      <c r="Y278" s="15" t="n">
        <f aca="false">P278-X278</f>
        <v>-24279.0663613261</v>
      </c>
      <c r="Z278" s="15" t="n">
        <f aca="false">R278-T278+IF(AND(Parametri_v3!$C$40=1,D278-YEAR(Parametri_v3!$C$50)&lt;Parametri_v3!$C$41),MAX(0,-Q278),0)</f>
        <v>599472.936959672</v>
      </c>
      <c r="AA278" s="15" t="n">
        <f aca="false">S278-U278+IF(AND(Parametri_v3!$C$40=1,D278-YEAR(Parametri_v3!$C$50)&lt;Parametri_v3!$C$41),0,MAX(0,-Q278))</f>
        <v>0</v>
      </c>
      <c r="AB278" s="15" t="n">
        <f aca="false">F278*(1+Parametri_v3!$C$26)</f>
        <v>32166.1254228941</v>
      </c>
      <c r="AC278" s="15" t="n">
        <f aca="false">(IF(34-(INT((Motore_Operativo!L278)/30))&lt;1,0,INDEX(Motore_Startup!$AB$245:$AB$304,MAX(1,34-(INT((Motore_Operativo!L278)/30)))))*(1-(MOD((Motore_Operativo!L278),30)/30))+IF(34-(INT((Motore_Operativo!L278)/30))-1&lt;1,0,INDEX(Motore_Startup!$AB$245:$AB$304,MAX(1,34-(INT((Motore_Operativo!L278)/30))-1)))*(MOD((Motore_Operativo!L278),30)/30))</f>
        <v>30092.1824361117</v>
      </c>
      <c r="AD278" s="15" t="n">
        <f aca="false">(AD277)+AB278-AC278</f>
        <v>125576.34834994</v>
      </c>
      <c r="AE278" s="15" t="n">
        <f aca="false">Motore_Operativo!BH278*(1+Parametri_v3!$C$26)</f>
        <v>3653.595</v>
      </c>
      <c r="AF278" s="15" t="n">
        <f aca="false">(IF(34-(INT((Parametri_v3!$C$29)/30))&lt;1,0,INDEX(Motore_Operativo!$BH$245:$BH$304,MAX(1,34-(INT((Parametri_v3!$C$29)/30)))))*(1-(MOD((Parametri_v3!$C$29),30)/30))+IF(34-(INT((Parametri_v3!$C$29)/30))-1&lt;1,0,INDEX(Motore_Operativo!$BH$245:$BH$304,MAX(1,34-(INT((Parametri_v3!$C$29)/30))-1)))*(MOD((Parametri_v3!$C$29),30)/30))*(1+Parametri_v3!$C$26)</f>
        <v>3653.595</v>
      </c>
      <c r="AG278" s="15" t="n">
        <f aca="false">(AG277)+AE278-AF278</f>
        <v>3653.595</v>
      </c>
      <c r="AH278" s="15" t="n">
        <f aca="false">(Motore_Operativo!CJ278)*(1+Parametri_v3!$C$27*Parametri_v3!$C$26)</f>
        <v>20429.7484725901</v>
      </c>
      <c r="AI278" s="15" t="n">
        <f aca="false">(IF(34-(INT((Ipotesi!$C$91)/30))&lt;1,0,INDEX(Motore_Startup!$AH$245:$AH$304,MAX(1,34-(INT((Ipotesi!$C$91)/30)))))*(1-(MOD((Ipotesi!$C$91),30)/30))+IF(34-(INT((Ipotesi!$C$91)/30))-1&lt;1,0,INDEX(Motore_Startup!$AH$245:$AH$304,MAX(1,34-(INT((Ipotesi!$C$91)/30))-1)))*(MOD((Ipotesi!$C$91),30)/30))</f>
        <v>20289.7394970142</v>
      </c>
      <c r="AJ278" s="15" t="n">
        <f aca="false">(AJ277)+AH278-AI278</f>
        <v>40789.7997766234</v>
      </c>
      <c r="AK278" s="15" t="n">
        <f aca="false">(F278+ Motore_Operativo!BH278-(Motore_Operativo!CJ278)*Parametri_v3!$C$27-Motore_Operativo!CE278)*Parametri_v3!$C$26</f>
        <v>2690.79092815465</v>
      </c>
      <c r="AL278" s="15" t="n">
        <f aca="false">MAX(0,(AM277))</f>
        <v>2609.50133127382</v>
      </c>
      <c r="AM278" s="15" t="n">
        <f aca="false">(AM277)+AK278-AL278</f>
        <v>2690.79092815465</v>
      </c>
      <c r="AN278" s="15" t="n">
        <f aca="false">SUM(X257:X268)</f>
        <v>0</v>
      </c>
      <c r="AO278" s="15" t="n">
        <f aca="false">SUM(AP257:AP268)</f>
        <v>0</v>
      </c>
      <c r="AP278" s="15" t="n">
        <f aca="false">MAX(0,AN278)*IF(10=Parametri_v3!$C$43,Parametri_v3!$C$45,IF(10=Parametri_v3!$C$44,1-Parametri_v3!$C$45,0))</f>
        <v>0</v>
      </c>
      <c r="AQ278" s="15" t="n">
        <f aca="false">MAX(0,AP278+IF(10=Parametri_v3!$C$43,MAX(0,AN278-AO278),0)-MAX(0,-(AR277)))</f>
        <v>0</v>
      </c>
      <c r="AR278" s="15" t="n">
        <f aca="false">(AR277)+X278-AQ278</f>
        <v>0</v>
      </c>
      <c r="AS278" s="15" t="n">
        <f aca="false">Motore_Operativo!AB278-AT278+AU278</f>
        <v>32026.4732291667</v>
      </c>
      <c r="AT278" s="15" t="n">
        <f aca="false">Motore_Operativo!CH278</f>
        <v>1685.60385416667</v>
      </c>
      <c r="AU278" s="15" t="n">
        <f aca="false">MIN(MAX(0,(AV277)+AT278),Parametri_v3!$C$60/12)</f>
        <v>0</v>
      </c>
      <c r="AV278" s="15" t="n">
        <f aca="false">(AV277)+AT278-AU278</f>
        <v>35333.6635416667</v>
      </c>
      <c r="AW278" s="15" t="n">
        <f aca="false">IF(AND(Motore_Operativo!C278=Finanziamenti!$D$6,Finanziamenti!$F$6=1),Finanziamenti!$C$6,0)</f>
        <v>0</v>
      </c>
      <c r="AX278" s="15" t="n">
        <f aca="false">IF(AND(5&lt;&gt;7,5&lt;&gt;9,Finanziamenti!$F$8=1,OR(Parametri_v3!$C$6=0,Finanziamenti!$E$8=1),Motore_Operativo!C278=EDATE(Finanziamenti!$D$8,Ipotesi!G15*12)),Finanziamenti!$C$8*1,0)+IF(AND(5&lt;&gt;7,5&lt;&gt;9,Finanziamenti!$F$9=1,OR(Parametri_v3!$C$6=0,Finanziamenti!$E$9=1),Motore_Operativo!C278=EDATE(Finanziamenti!$D$9,Ipotesi!G15*12)),Finanziamenti!$C$9*Ipotesi!G16,0)</f>
        <v>0</v>
      </c>
      <c r="AY278" s="15" t="n">
        <f aca="false">0</f>
        <v>0</v>
      </c>
      <c r="AZ278" s="15" t="n">
        <f aca="false">Motore_Advisory!AY278*(1-Ipotesi!$C$95)*Ipotesi!$C$96</f>
        <v>0</v>
      </c>
      <c r="BA278" s="15" t="n">
        <f aca="false">MAX(0,MIN(CG278*MIN(1,IF(Motore_Operativo!C278&gt;=EDATE(Finanziamenti!$D$15,Ipotesi!G14*12),Finanziamenti!$C$15,0)+IF(Motore_Operativo!C278&gt;=EDATE(Finanziamenti!$D$16,Ipotesi!G14*12),Finanziamenti!$C$16,0)+IF(Motore_Operativo!C278&gt;=EDATE(Finanziamenti!$D$17,Ipotesi!G14*12),Finanziamenti!$C$17,0)),CA278*Ipotesi!$C$102)-(CC277))</f>
        <v>0</v>
      </c>
      <c r="BB278" s="15" t="n">
        <f aca="false">IF(AND(CF278&gt;0,Motore_Operativo!C278&gt;=IF(CF278=0,0,EDATE(CF278,Parametri_v3!$C$37)),MOD(((D278-YEAR(IF(CF278=0,0,EDATE(CF278,Parametri_v3!$C$37))))*12+E278-MONTH(IF(CF278=0,0,EDATE(CF278,Parametri_v3!$C$37)))),Parametri_v3!$C$38)=0),MIN(MAX(0,(BC277)+BA278-N278),(CC278-CD278)/(Ipotesi!$C$108*12/Parametri_v3!$C$38)),0)</f>
        <v>0</v>
      </c>
      <c r="BC278" s="15" t="n">
        <f aca="false">(BC277)+BA278-N278-BB278</f>
        <v>58439.9994520979</v>
      </c>
      <c r="BD278" s="15" t="n">
        <f aca="false">(BH277)+AC278+AF278-AI278-AS278-K278*(1+Parametri_v3!$C$26)-AL278-AQ278-O278+AW278+AX278+AZ278+BA278-BB278</f>
        <v>-50337.5154999582</v>
      </c>
      <c r="BE278" s="15" t="n">
        <f aca="false">MAX(0,MIN(MAX(0,CH278-(BG277)),Parametri_v3!$C$30-BD278))</f>
        <v>0</v>
      </c>
      <c r="BF278" s="15" t="n">
        <f aca="false">IF(Motore_Operativo!C278&gt;=Parametri_v3!$C$63,(BG277),MIN((BG277),MAX(0,BD278-Parametri_v3!$C$30)))</f>
        <v>0</v>
      </c>
      <c r="BG278" s="15" t="n">
        <f aca="false">(BG277)+BE278-BF278</f>
        <v>150000</v>
      </c>
      <c r="BH278" s="15" t="n">
        <f aca="false">BD278+BE278-BF278-AY278</f>
        <v>-50337.5154999582</v>
      </c>
      <c r="BI278" s="15" t="n">
        <f aca="false">MAX(0,Parametri_v3!$C$30-BH278)</f>
        <v>75337.5154999582</v>
      </c>
      <c r="BJ278" s="15" t="n">
        <f aca="false">(BJ277)+K278</f>
        <v>70000</v>
      </c>
      <c r="BK278" s="15" t="n">
        <f aca="false">(BK277)+L278</f>
        <v>31111.1111111111</v>
      </c>
      <c r="BL278" s="15" t="n">
        <f aca="false">BJ278-BK278</f>
        <v>38888.8888888889</v>
      </c>
      <c r="BM278" s="15" t="n">
        <f aca="false">(BM277)+Y278</f>
        <v>-599472.936959672</v>
      </c>
      <c r="BN278" s="15" t="n">
        <f aca="false">(BN277)+AW278+AX278+AZ278</f>
        <v>430000</v>
      </c>
      <c r="BO278" s="15" t="n">
        <f aca="false">(BO277)+AY278</f>
        <v>0</v>
      </c>
      <c r="BP278" s="15" t="n">
        <f aca="false">0</f>
        <v>0</v>
      </c>
      <c r="BQ278" s="15" t="n">
        <f aca="false">BN278+BM278-BO278</f>
        <v>-169472.936959672</v>
      </c>
      <c r="BR278" s="15" t="n">
        <f aca="false">BH278+AD278+BL278+MAX(0,-AM278)+MAX(0,-AR278)+AG278</f>
        <v>117781.316738871</v>
      </c>
      <c r="BS278" s="15" t="n">
        <f aca="false">AJ278+AV278+MAX(0,AM278)+MAX(0,AR278)+BC278+BG278+BQ278</f>
        <v>117781.316738871</v>
      </c>
      <c r="BT278" s="15" t="n">
        <f aca="false">BR278-BS278</f>
        <v>0</v>
      </c>
      <c r="BU278" s="15" t="n">
        <f aca="false">BH278-(BD278+BE278-BF278-AY278)</f>
        <v>0</v>
      </c>
      <c r="BV278" s="15" t="n">
        <f aca="false">MIN(Piano_SS!$C$6,(BV277)+IF(AND(Motore_Operativo!C278&gt;=EDATE(Parametri_v3!$C$24,Ipotesi!G14*12),Motore_Operativo!C278&lt;EDATE(Parametri_v3!$C$24,Parametri_v3!$C$25+Ipotesi!G14*12)),MAX(0,(Motore_Operativo!Y278+Motore_Operativo!X278*Parametri_v3!$C$14)*(1-Parametri_v3!$C$32))*Piano_SS!$D$6,0))</f>
        <v>108852.009375</v>
      </c>
      <c r="BW278" s="15" t="n">
        <f aca="false">MIN(Piano_SS!$C$7,(BW277)+IF(AND(Motore_Operativo!C278&gt;=EDATE(Parametri_v3!$C$24,Ipotesi!G14*12),Motore_Operativo!C278&lt;EDATE(Parametri_v3!$C$24,Parametri_v3!$C$25+Ipotesi!G14*12)),MAX(0,(IF(34-(INT((Ipotesi!$C$91)/30))&lt;1,0,INDEX(Motore_Operativo!$BN$245:$BN$304,MAX(1,34-(INT((Ipotesi!$C$91)/30)))))*(1-(MOD((Ipotesi!$C$91),30)/30))+IF(34-(INT((Ipotesi!$C$91)/30))-1&lt;1,0,INDEX(Motore_Operativo!$BN$245:$BN$304,MAX(1,34-(INT((Ipotesi!$C$91)/30))-1)))*(MOD((Ipotesi!$C$91),30)/30)))*Piano_SS!$D$7,0))</f>
        <v>15110.3360650858</v>
      </c>
      <c r="BX278" s="15" t="n">
        <f aca="false">MIN(Piano_SS!$C$8,(BX277)+IF(AND(Motore_Operativo!C278&gt;=EDATE(Parametri_v3!$C$24,Ipotesi!G14*12),Motore_Operativo!C278&lt;EDATE(Parametri_v3!$C$24,Parametri_v3!$C$25+Ipotesi!G14*12)),MAX(0,Motore_Operativo!CE278)*Piano_SS!$D$8,0))</f>
        <v>37500</v>
      </c>
      <c r="BY278" s="15" t="n">
        <f aca="false">MIN(Piano_SS!$C$9,(BY277)+IF(AND(Motore_Operativo!C278&gt;=EDATE(Parametri_v3!$C$24,Ipotesi!G14*12),Motore_Operativo!C278&lt;EDATE(Parametri_v3!$C$24,Parametri_v3!$C$25+Ipotesi!G14*12)),MAX(0,((IF(34-(INT((Ipotesi!$C$91)/30))&lt;1,0,INDEX(Motore_Operativo!$BQ$245:$BQ$304,MAX(1,34-(INT((Ipotesi!$C$91)/30)))))*(1-(MOD((Ipotesi!$C$91),30)/30))+IF(34-(INT((Ipotesi!$C$91)/30))-1&lt;1,0,INDEX(Motore_Operativo!$BQ$245:$BQ$304,MAX(1,34-(INT((Ipotesi!$C$91)/30))-1)))*(MOD((Ipotesi!$C$91),30)/30))+(IF(34-(INT((Ipotesi!$C$91)/30))&lt;1,0,INDEX(Motore_Operativo!$BR$245:$BR$304,MAX(1,34-(INT((Ipotesi!$C$91)/30)))))*(1-(MOD((Ipotesi!$C$91),30)/30))+IF(34-(INT((Ipotesi!$C$91)/30))-1&lt;1,0,INDEX(Motore_Operativo!$BR$245:$BR$304,MAX(1,34-(INT((Ipotesi!$C$91)/30))-1)))*(MOD((Ipotesi!$C$91),30)/30))))*Piano_SS!$D$9,0))</f>
        <v>40000</v>
      </c>
      <c r="BZ278" s="15" t="n">
        <f aca="false">MIN(Piano_SS!$C$10,(BZ277)+IF(AND(Motore_Operativo!C278&gt;=EDATE(Parametri_v3!$C$24,Ipotesi!G14*12),Motore_Operativo!C278&lt;EDATE(Parametri_v3!$C$24,Parametri_v3!$C$25+Ipotesi!G14*12)),MAX(0,(IF(34-(INT((Ipotesi!$C$91)/30))&lt;1,0,INDEX(Motore_Operativo!$BO$245:$BO$304,MAX(1,34-(INT((Ipotesi!$C$91)/30)))))*(1-(MOD((Ipotesi!$C$91),30)/30))+IF(34-(INT((Ipotesi!$C$91)/30))-1&lt;1,0,INDEX(Motore_Operativo!$BO$245:$BO$304,MAX(1,34-(INT((Ipotesi!$C$91)/30))-1)))*(MOD((Ipotesi!$C$91),30)/30)))*Piano_SS!$D$10,0))</f>
        <v>22800</v>
      </c>
      <c r="CA278" s="15" t="n">
        <f aca="false">SUM(BV278:BZ278)</f>
        <v>224262.345440086</v>
      </c>
      <c r="CB278" s="15" t="n">
        <f aca="false">BV278*(1-Piano_SS!$E$6)+BW278*(1-Piano_SS!$E$7)+BX278*(1-Piano_SS!$E$8)+BY278*(1-Piano_SS!$E$9)+BZ278*(1-Piano_SS!$E$10)</f>
        <v>201462.345440086</v>
      </c>
      <c r="CC278" s="15" t="n">
        <f aca="false">(CC277)+BA278</f>
        <v>80000</v>
      </c>
      <c r="CD278" s="15" t="n">
        <f aca="false">IF(CA278=0,0,CC278*CB278/CA278*Ipotesi!$C$103*Parametri_v3!$C$64)</f>
        <v>21560.0005479021</v>
      </c>
      <c r="CE278" s="18" t="n">
        <f aca="false">IF(BA278&gt;0,Motore_Operativo!C278,(CE277))</f>
        <v>47178</v>
      </c>
      <c r="CF278" s="18" t="n">
        <f aca="false">IF(AND(CC278&gt;0,OR(CC278&gt;=CG278-0.01,Motore_Operativo!C278&gt;=EDATE(MAX(Finanziamenti!$D$15:$D$17),Ipotesi!G14*12))),CE278,0)</f>
        <v>0</v>
      </c>
      <c r="CG278" s="15" t="n">
        <f aca="false">IF(AND(5&lt;&gt;6,5&lt;&gt;9,Finanziamenti!$F$11=1,OR(Parametri_v3!$C$6=0,Finanziamenti!$E$11=1)),MIN(Finanziamenti!$C$11,Piano_SS!$C$12*Ipotesi!$C$102),0)</f>
        <v>400000</v>
      </c>
      <c r="CH278" s="15" t="n">
        <f aca="false">IF(AND(AND(5&lt;&gt;8,5&lt;&gt;9,Finanziamenti!$F$10=1,OR(Parametri_v3!$C$6=0,Finanziamenti!$E$10=1)),Motore_Operativo!C278&gt;=Finanziamenti!$D$10,Motore_Operativo!C278&lt;Parametri_v3!$C$63),Finanziamenti!$C$10,0)</f>
        <v>150000</v>
      </c>
    </row>
    <row r="279" customFormat="false" ht="18" hidden="false" customHeight="true" outlineLevel="0" collapsed="false">
      <c r="A279" s="68" t="n">
        <f aca="false">5</f>
        <v>5</v>
      </c>
      <c r="B279" s="68" t="n">
        <f aca="false">35</f>
        <v>35</v>
      </c>
      <c r="C279" s="18" t="n">
        <f aca="false">Motore_Operativo!C279</f>
        <v>47423</v>
      </c>
      <c r="D279" s="68" t="n">
        <f aca="false">Motore_Operativo!D279</f>
        <v>2029</v>
      </c>
      <c r="E279" s="68" t="n">
        <f aca="false">Motore_Operativo!E279</f>
        <v>11</v>
      </c>
      <c r="F279" s="15" t="n">
        <f aca="false">Motore_Operativo!AQ279+Motore_Operativo!BF279</f>
        <v>26781.4179591281</v>
      </c>
      <c r="G279" s="15" t="n">
        <f aca="false">Motore_Operativo!BH279</f>
        <v>2994.75</v>
      </c>
      <c r="H279" s="15" t="n">
        <f aca="false">Motore_Operativo!BI279</f>
        <v>29776.1679591281</v>
      </c>
      <c r="I279" s="15" t="n">
        <f aca="false">Motore_Operativo!CA279</f>
        <v>50981.5264309446</v>
      </c>
      <c r="J279" s="15" t="n">
        <f aca="false">Motore_Operativo!CC279</f>
        <v>-21205.3584718165</v>
      </c>
      <c r="K279" s="15" t="n">
        <f aca="false">Motore_Operativo!CE279</f>
        <v>2500</v>
      </c>
      <c r="L279" s="15" t="n">
        <f aca="false">SUM(INDEX($K$245:$K$304,MAX(1,35-Parametri_v3!$C$59+1)):K279)/Parametri_v3!$C$59</f>
        <v>2013.88888888889</v>
      </c>
      <c r="M279" s="15" t="n">
        <f aca="false">J279-L279</f>
        <v>-23219.2473607054</v>
      </c>
      <c r="N279" s="15" t="n">
        <f aca="false">CD279-(CD278)</f>
        <v>-34.9461173430063</v>
      </c>
      <c r="O279" s="15" t="n">
        <f aca="false">(BG278)*Ipotesi!$C$110/12+CH279*Parametri_v3!$C$39/12</f>
        <v>750</v>
      </c>
      <c r="P279" s="15" t="n">
        <f aca="false">M279+N279-O279</f>
        <v>-24004.1934780484</v>
      </c>
      <c r="Q279" s="15" t="n">
        <f aca="false">SUM(P269:P279)+Parametri_v3!$C$54*11/12</f>
        <v>-270547.523726099</v>
      </c>
      <c r="R279" s="15" t="n">
        <f aca="false">Z268</f>
        <v>352929.606711621</v>
      </c>
      <c r="S279" s="15" t="n">
        <f aca="false">AA268</f>
        <v>0</v>
      </c>
      <c r="T279" s="15" t="n">
        <f aca="false">MIN(R279,MAX(0,Q279))</f>
        <v>0</v>
      </c>
      <c r="U279" s="15" t="n">
        <f aca="false">MIN(S279,MAX(0,Q279-T279)*Parametri_v3!$C$42)</f>
        <v>0</v>
      </c>
      <c r="V279" s="15" t="n">
        <f aca="false">MAX(0,Q279-T279-U279)*Ipotesi!$C$92</f>
        <v>0</v>
      </c>
      <c r="W279" s="15" t="n">
        <f aca="false">MAX(0,SUM(M269:M279)+Parametri_v3!$C$55*11/12)*Ipotesi!$C$93</f>
        <v>0</v>
      </c>
      <c r="X279" s="15" t="n">
        <f aca="false">V279+W279-(V278+W278)</f>
        <v>0</v>
      </c>
      <c r="Y279" s="15" t="n">
        <f aca="false">P279-X279</f>
        <v>-24004.1934780484</v>
      </c>
      <c r="Z279" s="15" t="n">
        <f aca="false">R279-T279+IF(AND(Parametri_v3!$C$40=1,D279-YEAR(Parametri_v3!$C$50)&lt;Parametri_v3!$C$41),MAX(0,-Q279),0)</f>
        <v>623477.130437721</v>
      </c>
      <c r="AA279" s="15" t="n">
        <f aca="false">S279-U279+IF(AND(Parametri_v3!$C$40=1,D279-YEAR(Parametri_v3!$C$50)&lt;Parametri_v3!$C$41),0,MAX(0,-Q279))</f>
        <v>0</v>
      </c>
      <c r="AB279" s="15" t="n">
        <f aca="false">F279*(1+Parametri_v3!$C$26)</f>
        <v>32673.3299101363</v>
      </c>
      <c r="AC279" s="15" t="n">
        <f aca="false">(IF(35-(INT((Motore_Operativo!L279)/30))&lt;1,0,INDEX(Motore_Startup!$AB$245:$AB$304,MAX(1,35-(INT((Motore_Operativo!L279)/30)))))*(1-(MOD((Motore_Operativo!L279),30)/30))+IF(35-(INT((Motore_Operativo!L279)/30))-1&lt;1,0,INDEX(Motore_Startup!$AB$245:$AB$304,MAX(1,35-(INT((Motore_Operativo!L279)/30))-1)))*(MOD((Motore_Operativo!L279),30)/30))</f>
        <v>30617.5165260866</v>
      </c>
      <c r="AD279" s="15" t="n">
        <f aca="false">(AD278)+AB279-AC279</f>
        <v>127632.16173399</v>
      </c>
      <c r="AE279" s="15" t="n">
        <f aca="false">Motore_Operativo!BH279*(1+Parametri_v3!$C$26)</f>
        <v>3653.595</v>
      </c>
      <c r="AF279" s="15" t="n">
        <f aca="false">(IF(35-(INT((Parametri_v3!$C$29)/30))&lt;1,0,INDEX(Motore_Operativo!$BH$245:$BH$304,MAX(1,35-(INT((Parametri_v3!$C$29)/30)))))*(1-(MOD((Parametri_v3!$C$29),30)/30))+IF(35-(INT((Parametri_v3!$C$29)/30))-1&lt;1,0,INDEX(Motore_Operativo!$BH$245:$BH$304,MAX(1,35-(INT((Parametri_v3!$C$29)/30))-1)))*(MOD((Parametri_v3!$C$29),30)/30))*(1+Parametri_v3!$C$26)</f>
        <v>3653.595</v>
      </c>
      <c r="AG279" s="15" t="n">
        <f aca="false">(AG278)+AE279-AF279</f>
        <v>3653.595</v>
      </c>
      <c r="AH279" s="15" t="n">
        <f aca="false">(Motore_Operativo!CJ279)*(1+Parametri_v3!$C$27*Parametri_v3!$C$26)</f>
        <v>20498.8363756146</v>
      </c>
      <c r="AI279" s="15" t="n">
        <f aca="false">(IF(35-(INT((Ipotesi!$C$91)/30))&lt;1,0,INDEX(Motore_Startup!$AH$245:$AH$304,MAX(1,35-(INT((Ipotesi!$C$91)/30)))))*(1-(MOD((Ipotesi!$C$91),30)/30))+IF(35-(INT((Ipotesi!$C$91)/30))-1&lt;1,0,INDEX(Motore_Startup!$AH$245:$AH$304,MAX(1,35-(INT((Ipotesi!$C$91)/30))-1)))*(MOD((Ipotesi!$C$91),30)/30))</f>
        <v>20360.0513040334</v>
      </c>
      <c r="AJ279" s="15" t="n">
        <f aca="false">(AJ278)+AH279-AI279</f>
        <v>40928.5848482046</v>
      </c>
      <c r="AK279" s="15" t="n">
        <f aca="false">(F279+ Motore_Operativo!BH279-(Motore_Operativo!CJ279)*Parametri_v3!$C$27-Motore_Operativo!CE279)*Parametri_v3!$C$26</f>
        <v>2771.36992300488</v>
      </c>
      <c r="AL279" s="15" t="n">
        <f aca="false">MAX(0,(AM278))</f>
        <v>2690.79092815465</v>
      </c>
      <c r="AM279" s="15" t="n">
        <f aca="false">(AM278)+AK279-AL279</f>
        <v>2771.36992300488</v>
      </c>
      <c r="AN279" s="15" t="n">
        <f aca="false">SUM(X257:X268)</f>
        <v>0</v>
      </c>
      <c r="AO279" s="15" t="n">
        <f aca="false">SUM(AP257:AP268)</f>
        <v>0</v>
      </c>
      <c r="AP279" s="15" t="n">
        <f aca="false">MAX(0,AN279)*IF(11=Parametri_v3!$C$43,Parametri_v3!$C$45,IF(11=Parametri_v3!$C$44,1-Parametri_v3!$C$45,0))</f>
        <v>0</v>
      </c>
      <c r="AQ279" s="15" t="n">
        <f aca="false">MAX(0,AP279+IF(11=Parametri_v3!$C$43,MAX(0,AN279-AO279),0)-MAX(0,-(AR278)))</f>
        <v>0</v>
      </c>
      <c r="AR279" s="15" t="n">
        <f aca="false">(AR278)+X279-AQ279</f>
        <v>0</v>
      </c>
      <c r="AS279" s="15" t="n">
        <f aca="false">Motore_Operativo!AB279-AT279+AU279</f>
        <v>32026.4732291667</v>
      </c>
      <c r="AT279" s="15" t="n">
        <f aca="false">Motore_Operativo!CH279</f>
        <v>1685.60385416667</v>
      </c>
      <c r="AU279" s="15" t="n">
        <f aca="false">MIN(MAX(0,(AV278)+AT279),Parametri_v3!$C$60/12)</f>
        <v>0</v>
      </c>
      <c r="AV279" s="15" t="n">
        <f aca="false">(AV278)+AT279-AU279</f>
        <v>37019.2673958333</v>
      </c>
      <c r="AW279" s="15" t="n">
        <f aca="false">IF(AND(Motore_Operativo!C279=Finanziamenti!$D$6,Finanziamenti!$F$6=1),Finanziamenti!$C$6,0)</f>
        <v>0</v>
      </c>
      <c r="AX279" s="15" t="n">
        <f aca="false">IF(AND(5&lt;&gt;7,5&lt;&gt;9,Finanziamenti!$F$8=1,OR(Parametri_v3!$C$6=0,Finanziamenti!$E$8=1),Motore_Operativo!C279=EDATE(Finanziamenti!$D$8,Ipotesi!G15*12)),Finanziamenti!$C$8*1,0)+IF(AND(5&lt;&gt;7,5&lt;&gt;9,Finanziamenti!$F$9=1,OR(Parametri_v3!$C$6=0,Finanziamenti!$E$9=1),Motore_Operativo!C279=EDATE(Finanziamenti!$D$9,Ipotesi!G15*12)),Finanziamenti!$C$9*Ipotesi!G16,0)</f>
        <v>0</v>
      </c>
      <c r="AY279" s="15" t="n">
        <f aca="false">0</f>
        <v>0</v>
      </c>
      <c r="AZ279" s="15" t="n">
        <f aca="false">Motore_Advisory!AY279*(1-Ipotesi!$C$95)*Ipotesi!$C$96</f>
        <v>0</v>
      </c>
      <c r="BA279" s="15" t="n">
        <f aca="false">MAX(0,MIN(CG279*MIN(1,IF(Motore_Operativo!C279&gt;=EDATE(Finanziamenti!$D$15,Ipotesi!G14*12),Finanziamenti!$C$15,0)+IF(Motore_Operativo!C279&gt;=EDATE(Finanziamenti!$D$16,Ipotesi!G14*12),Finanziamenti!$C$16,0)+IF(Motore_Operativo!C279&gt;=EDATE(Finanziamenti!$D$17,Ipotesi!G14*12),Finanziamenti!$C$17,0)),CA279*Ipotesi!$C$102)-(CC278))</f>
        <v>0</v>
      </c>
      <c r="BB279" s="15" t="n">
        <f aca="false">IF(AND(CF279&gt;0,Motore_Operativo!C279&gt;=IF(CF279=0,0,EDATE(CF279,Parametri_v3!$C$37)),MOD(((D279-YEAR(IF(CF279=0,0,EDATE(CF279,Parametri_v3!$C$37))))*12+E279-MONTH(IF(CF279=0,0,EDATE(CF279,Parametri_v3!$C$37)))),Parametri_v3!$C$38)=0),MIN(MAX(0,(BC278)+BA279-N279),(CC279-CD279)/(Ipotesi!$C$108*12/Parametri_v3!$C$38)),0)</f>
        <v>0</v>
      </c>
      <c r="BC279" s="15" t="n">
        <f aca="false">(BC278)+BA279-N279-BB279</f>
        <v>58474.9455694409</v>
      </c>
      <c r="BD279" s="15" t="n">
        <f aca="false">(BH278)+AC279+AF279-AI279-AS279-K279*(1+Parametri_v3!$C$26)-AL279-AQ279-O279+AW279+AX279+AZ279+BA279-BB279</f>
        <v>-74943.7194352264</v>
      </c>
      <c r="BE279" s="15" t="n">
        <f aca="false">MAX(0,MIN(MAX(0,CH279-(BG278)),Parametri_v3!$C$30-BD279))</f>
        <v>0</v>
      </c>
      <c r="BF279" s="15" t="n">
        <f aca="false">IF(Motore_Operativo!C279&gt;=Parametri_v3!$C$63,(BG278),MIN((BG278),MAX(0,BD279-Parametri_v3!$C$30)))</f>
        <v>0</v>
      </c>
      <c r="BG279" s="15" t="n">
        <f aca="false">(BG278)+BE279-BF279</f>
        <v>150000</v>
      </c>
      <c r="BH279" s="15" t="n">
        <f aca="false">BD279+BE279-BF279-AY279</f>
        <v>-74943.7194352264</v>
      </c>
      <c r="BI279" s="15" t="n">
        <f aca="false">MAX(0,Parametri_v3!$C$30-BH279)</f>
        <v>99943.7194352264</v>
      </c>
      <c r="BJ279" s="15" t="n">
        <f aca="false">(BJ278)+K279</f>
        <v>72500</v>
      </c>
      <c r="BK279" s="15" t="n">
        <f aca="false">(BK278)+L279</f>
        <v>33125</v>
      </c>
      <c r="BL279" s="15" t="n">
        <f aca="false">BJ279-BK279</f>
        <v>39375</v>
      </c>
      <c r="BM279" s="15" t="n">
        <f aca="false">(BM278)+Y279</f>
        <v>-623477.130437721</v>
      </c>
      <c r="BN279" s="15" t="n">
        <f aca="false">(BN278)+AW279+AX279+AZ279</f>
        <v>430000</v>
      </c>
      <c r="BO279" s="15" t="n">
        <f aca="false">(BO278)+AY279</f>
        <v>0</v>
      </c>
      <c r="BP279" s="15" t="n">
        <f aca="false">0</f>
        <v>0</v>
      </c>
      <c r="BQ279" s="15" t="n">
        <f aca="false">BN279+BM279-BO279</f>
        <v>-193477.13043772</v>
      </c>
      <c r="BR279" s="15" t="n">
        <f aca="false">BH279+AD279+BL279+MAX(0,-AM279)+MAX(0,-AR279)+AG279</f>
        <v>95717.0372987634</v>
      </c>
      <c r="BS279" s="15" t="n">
        <f aca="false">AJ279+AV279+MAX(0,AM279)+MAX(0,AR279)+BC279+BG279+BQ279</f>
        <v>95717.0372987633</v>
      </c>
      <c r="BT279" s="15" t="n">
        <f aca="false">BR279-BS279</f>
        <v>0</v>
      </c>
      <c r="BU279" s="15" t="n">
        <f aca="false">BH279-(BD279+BE279-BF279-AY279)</f>
        <v>0</v>
      </c>
      <c r="BV279" s="15" t="n">
        <f aca="false">MIN(Piano_SS!$C$6,(BV278)+IF(AND(Motore_Operativo!C279&gt;=EDATE(Parametri_v3!$C$24,Ipotesi!G14*12),Motore_Operativo!C279&lt;EDATE(Parametri_v3!$C$24,Parametri_v3!$C$25+Ipotesi!G14*12)),MAX(0,(Motore_Operativo!Y279+Motore_Operativo!X279*Parametri_v3!$C$14)*(1-Parametri_v3!$C$32))*Piano_SS!$D$6,0))</f>
        <v>117229.8040625</v>
      </c>
      <c r="BW279" s="15" t="n">
        <f aca="false">MIN(Piano_SS!$C$7,(BW278)+IF(AND(Motore_Operativo!C279&gt;=EDATE(Parametri_v3!$C$24,Ipotesi!G14*12),Motore_Operativo!C279&lt;EDATE(Parametri_v3!$C$24,Parametri_v3!$C$25+Ipotesi!G14*12)),MAX(0,(IF(35-(INT((Ipotesi!$C$91)/30))&lt;1,0,INDEX(Motore_Operativo!$BN$245:$BN$304,MAX(1,35-(INT((Ipotesi!$C$91)/30)))))*(1-(MOD((Ipotesi!$C$91),30)/30))+IF(35-(INT((Ipotesi!$C$91)/30))-1&lt;1,0,INDEX(Motore_Operativo!$BN$245:$BN$304,MAX(1,35-(INT((Ipotesi!$C$91)/30))-1)))*(MOD((Ipotesi!$C$91),30)/30)))*Piano_SS!$D$7,0))</f>
        <v>16286.0375766355</v>
      </c>
      <c r="BX279" s="15" t="n">
        <f aca="false">MIN(Piano_SS!$C$8,(BX278)+IF(AND(Motore_Operativo!C279&gt;=EDATE(Parametri_v3!$C$24,Ipotesi!G14*12),Motore_Operativo!C279&lt;EDATE(Parametri_v3!$C$24,Parametri_v3!$C$25+Ipotesi!G14*12)),MAX(0,Motore_Operativo!CE279)*Piano_SS!$D$8,0))</f>
        <v>40000</v>
      </c>
      <c r="BY279" s="15" t="n">
        <f aca="false">MIN(Piano_SS!$C$9,(BY278)+IF(AND(Motore_Operativo!C279&gt;=EDATE(Parametri_v3!$C$24,Ipotesi!G14*12),Motore_Operativo!C279&lt;EDATE(Parametri_v3!$C$24,Parametri_v3!$C$25+Ipotesi!G14*12)),MAX(0,((IF(35-(INT((Ipotesi!$C$91)/30))&lt;1,0,INDEX(Motore_Operativo!$BQ$245:$BQ$304,MAX(1,35-(INT((Ipotesi!$C$91)/30)))))*(1-(MOD((Ipotesi!$C$91),30)/30))+IF(35-(INT((Ipotesi!$C$91)/30))-1&lt;1,0,INDEX(Motore_Operativo!$BQ$245:$BQ$304,MAX(1,35-(INT((Ipotesi!$C$91)/30))-1)))*(MOD((Ipotesi!$C$91),30)/30))+(IF(35-(INT((Ipotesi!$C$91)/30))&lt;1,0,INDEX(Motore_Operativo!$BR$245:$BR$304,MAX(1,35-(INT((Ipotesi!$C$91)/30)))))*(1-(MOD((Ipotesi!$C$91),30)/30))+IF(35-(INT((Ipotesi!$C$91)/30))-1&lt;1,0,INDEX(Motore_Operativo!$BR$245:$BR$304,MAX(1,35-(INT((Ipotesi!$C$91)/30))-1)))*(MOD((Ipotesi!$C$91),30)/30))))*Piano_SS!$D$9,0))</f>
        <v>40000</v>
      </c>
      <c r="BZ279" s="15" t="n">
        <f aca="false">MIN(Piano_SS!$C$10,(BZ278)+IF(AND(Motore_Operativo!C279&gt;=EDATE(Parametri_v3!$C$24,Ipotesi!G14*12),Motore_Operativo!C279&lt;EDATE(Parametri_v3!$C$24,Parametri_v3!$C$25+Ipotesi!G14*12)),MAX(0,(IF(35-(INT((Ipotesi!$C$91)/30))&lt;1,0,INDEX(Motore_Operativo!$BO$245:$BO$304,MAX(1,35-(INT((Ipotesi!$C$91)/30)))))*(1-(MOD((Ipotesi!$C$91),30)/30))+IF(35-(INT((Ipotesi!$C$91)/30))-1&lt;1,0,INDEX(Motore_Operativo!$BO$245:$BO$304,MAX(1,35-(INT((Ipotesi!$C$91)/30))-1)))*(MOD((Ipotesi!$C$91),30)/30)))*Piano_SS!$D$10,0))</f>
        <v>24550</v>
      </c>
      <c r="CA279" s="15" t="n">
        <f aca="false">SUM(BV279:BZ279)</f>
        <v>238065.841639136</v>
      </c>
      <c r="CB279" s="15" t="n">
        <f aca="false">BV279*(1-Piano_SS!$E$6)+BW279*(1-Piano_SS!$E$7)+BX279*(1-Piano_SS!$E$8)+BY279*(1-Piano_SS!$E$9)+BZ279*(1-Piano_SS!$E$10)</f>
        <v>213515.841639136</v>
      </c>
      <c r="CC279" s="15" t="n">
        <f aca="false">(CC278)+BA279</f>
        <v>80000</v>
      </c>
      <c r="CD279" s="15" t="n">
        <f aca="false">IF(CA279=0,0,CC279*CB279/CA279*Ipotesi!$C$103*Parametri_v3!$C$64)</f>
        <v>21525.0544305591</v>
      </c>
      <c r="CE279" s="18" t="n">
        <f aca="false">IF(BA279&gt;0,Motore_Operativo!C279,(CE278))</f>
        <v>47178</v>
      </c>
      <c r="CF279" s="18" t="n">
        <f aca="false">IF(AND(CC279&gt;0,OR(CC279&gt;=CG279-0.01,Motore_Operativo!C279&gt;=EDATE(MAX(Finanziamenti!$D$15:$D$17),Ipotesi!G14*12))),CE279,0)</f>
        <v>0</v>
      </c>
      <c r="CG279" s="15" t="n">
        <f aca="false">IF(AND(5&lt;&gt;6,5&lt;&gt;9,Finanziamenti!$F$11=1,OR(Parametri_v3!$C$6=0,Finanziamenti!$E$11=1)),MIN(Finanziamenti!$C$11,Piano_SS!$C$12*Ipotesi!$C$102),0)</f>
        <v>400000</v>
      </c>
      <c r="CH279" s="15" t="n">
        <f aca="false">IF(AND(AND(5&lt;&gt;8,5&lt;&gt;9,Finanziamenti!$F$10=1,OR(Parametri_v3!$C$6=0,Finanziamenti!$E$10=1)),Motore_Operativo!C279&gt;=Finanziamenti!$D$10,Motore_Operativo!C279&lt;Parametri_v3!$C$63),Finanziamenti!$C$10,0)</f>
        <v>150000</v>
      </c>
    </row>
    <row r="280" customFormat="false" ht="18" hidden="false" customHeight="true" outlineLevel="0" collapsed="false">
      <c r="A280" s="68" t="n">
        <f aca="false">5</f>
        <v>5</v>
      </c>
      <c r="B280" s="68" t="n">
        <f aca="false">36</f>
        <v>36</v>
      </c>
      <c r="C280" s="18" t="n">
        <f aca="false">Motore_Operativo!C280</f>
        <v>47453</v>
      </c>
      <c r="D280" s="68" t="n">
        <f aca="false">Motore_Operativo!D280</f>
        <v>2029</v>
      </c>
      <c r="E280" s="68" t="n">
        <f aca="false">Motore_Operativo!E280</f>
        <v>12</v>
      </c>
      <c r="F280" s="15" t="n">
        <f aca="false">Motore_Operativo!AQ280+Motore_Operativo!BF280</f>
        <v>27193.5250926857</v>
      </c>
      <c r="G280" s="15" t="n">
        <f aca="false">Motore_Operativo!BH280</f>
        <v>2994.75</v>
      </c>
      <c r="H280" s="15" t="n">
        <f aca="false">Motore_Operativo!BI280</f>
        <v>30188.2750926857</v>
      </c>
      <c r="I280" s="15" t="n">
        <f aca="false">Motore_Operativo!CA280</f>
        <v>51039.2214296427</v>
      </c>
      <c r="J280" s="15" t="n">
        <f aca="false">Motore_Operativo!CC280</f>
        <v>-20850.946336957</v>
      </c>
      <c r="K280" s="15" t="n">
        <f aca="false">Motore_Operativo!CE280</f>
        <v>2500</v>
      </c>
      <c r="L280" s="15" t="n">
        <f aca="false">SUM(INDEX($K$245:$K$304,MAX(1,36-Parametri_v3!$C$59+1)):K280)/Parametri_v3!$C$59</f>
        <v>2083.33333333333</v>
      </c>
      <c r="M280" s="15" t="n">
        <f aca="false">J280-L280</f>
        <v>-22934.2796702903</v>
      </c>
      <c r="N280" s="15" t="n">
        <f aca="false">CD280-(CD279)</f>
        <v>32619.6392780954</v>
      </c>
      <c r="O280" s="15" t="n">
        <f aca="false">(BG279)*Ipotesi!$C$110/12+CH280*Parametri_v3!$C$39/12</f>
        <v>750</v>
      </c>
      <c r="P280" s="15" t="n">
        <f aca="false">M280+N280-O280</f>
        <v>8935.35960780506</v>
      </c>
      <c r="Q280" s="15" t="n">
        <f aca="false">SUM(P269:P280)+Parametri_v3!$C$54*12/12</f>
        <v>-261612.164118294</v>
      </c>
      <c r="R280" s="15" t="n">
        <f aca="false">Z268</f>
        <v>352929.606711621</v>
      </c>
      <c r="S280" s="15" t="n">
        <f aca="false">AA268</f>
        <v>0</v>
      </c>
      <c r="T280" s="15" t="n">
        <f aca="false">MIN(R280,MAX(0,Q280))</f>
        <v>0</v>
      </c>
      <c r="U280" s="15" t="n">
        <f aca="false">MIN(S280,MAX(0,Q280-T280)*Parametri_v3!$C$42)</f>
        <v>0</v>
      </c>
      <c r="V280" s="15" t="n">
        <f aca="false">MAX(0,Q280-T280-U280)*Ipotesi!$C$92</f>
        <v>0</v>
      </c>
      <c r="W280" s="15" t="n">
        <f aca="false">MAX(0,SUM(M269:M280)+Parametri_v3!$C$55*12/12)*Ipotesi!$C$93</f>
        <v>0</v>
      </c>
      <c r="X280" s="15" t="n">
        <f aca="false">V280+W280-(V279+W279)</f>
        <v>0</v>
      </c>
      <c r="Y280" s="15" t="n">
        <f aca="false">P280-X280</f>
        <v>8935.35960780506</v>
      </c>
      <c r="Z280" s="15" t="n">
        <f aca="false">R280-T280+IF(AND(Parametri_v3!$C$40=1,D280-YEAR(Parametri_v3!$C$50)&lt;Parametri_v3!$C$41),MAX(0,-Q280),0)</f>
        <v>614541.770829915</v>
      </c>
      <c r="AA280" s="15" t="n">
        <f aca="false">S280-U280+IF(AND(Parametri_v3!$C$40=1,D280-YEAR(Parametri_v3!$C$50)&lt;Parametri_v3!$C$41),0,MAX(0,-Q280))</f>
        <v>0</v>
      </c>
      <c r="AB280" s="15" t="n">
        <f aca="false">F280*(1+Parametri_v3!$C$26)</f>
        <v>33176.1006130765</v>
      </c>
      <c r="AC280" s="15" t="n">
        <f aca="false">(IF(36-(INT((Motore_Operativo!L280)/30))&lt;1,0,INDEX(Motore_Startup!$AB$245:$AB$304,MAX(1,36-(INT((Motore_Operativo!L280)/30)))))*(1-(MOD((Motore_Operativo!L280),30)/30))+IF(36-(INT((Motore_Operativo!L280)/30))-1&lt;1,0,INDEX(Motore_Startup!$AB$245:$AB$304,MAX(1,36-(INT((Motore_Operativo!L280)/30))-1)))*(MOD((Motore_Operativo!L280),30)/30))</f>
        <v>31138.2583498256</v>
      </c>
      <c r="AD280" s="15" t="n">
        <f aca="false">(AD279)+AB280-AC280</f>
        <v>129670.003997241</v>
      </c>
      <c r="AE280" s="15" t="n">
        <f aca="false">Motore_Operativo!BH280*(1+Parametri_v3!$C$26)</f>
        <v>3653.595</v>
      </c>
      <c r="AF280" s="15" t="n">
        <f aca="false">(IF(36-(INT((Parametri_v3!$C$29)/30))&lt;1,0,INDEX(Motore_Operativo!$BH$245:$BH$304,MAX(1,36-(INT((Parametri_v3!$C$29)/30)))))*(1-(MOD((Parametri_v3!$C$29),30)/30))+IF(36-(INT((Parametri_v3!$C$29)/30))-1&lt;1,0,INDEX(Motore_Operativo!$BH$245:$BH$304,MAX(1,36-(INT((Parametri_v3!$C$29)/30))-1)))*(MOD((Parametri_v3!$C$29),30)/30))*(1+Parametri_v3!$C$26)</f>
        <v>3653.595</v>
      </c>
      <c r="AG280" s="15" t="n">
        <f aca="false">(AG279)+AE280-AF280</f>
        <v>3653.595</v>
      </c>
      <c r="AH280" s="15" t="n">
        <f aca="false">(Motore_Operativo!CJ280)*(1+Parametri_v3!$C$27*Parametri_v3!$C$26)</f>
        <v>20567.3203390692</v>
      </c>
      <c r="AI280" s="15" t="n">
        <f aca="false">(IF(36-(INT((Ipotesi!$C$91)/30))&lt;1,0,INDEX(Motore_Startup!$AH$245:$AH$304,MAX(1,36-(INT((Ipotesi!$C$91)/30)))))*(1-(MOD((Ipotesi!$C$91),30)/30))+IF(36-(INT((Ipotesi!$C$91)/30))-1&lt;1,0,INDEX(Motore_Startup!$AH$245:$AH$304,MAX(1,36-(INT((Ipotesi!$C$91)/30))-1)))*(MOD((Ipotesi!$C$91),30)/30))</f>
        <v>20429.7484725901</v>
      </c>
      <c r="AJ280" s="15" t="n">
        <f aca="false">(AJ279)+AH280-AI280</f>
        <v>41066.1567146837</v>
      </c>
      <c r="AK280" s="15" t="n">
        <f aca="false">(F280+ Motore_Operativo!BH280-(Motore_Operativo!CJ280)*Parametri_v3!$C$27-Motore_Operativo!CE280)*Parametri_v3!$C$26</f>
        <v>2851.244527631</v>
      </c>
      <c r="AL280" s="15" t="n">
        <f aca="false">MAX(0,(AM279))</f>
        <v>2771.36992300488</v>
      </c>
      <c r="AM280" s="15" t="n">
        <f aca="false">(AM279)+AK280-AL280</f>
        <v>2851.244527631</v>
      </c>
      <c r="AN280" s="15" t="n">
        <f aca="false">SUM(X257:X268)</f>
        <v>0</v>
      </c>
      <c r="AO280" s="15" t="n">
        <f aca="false">SUM(AP257:AP268)</f>
        <v>0</v>
      </c>
      <c r="AP280" s="15" t="n">
        <f aca="false">MAX(0,AN280)*IF(12=Parametri_v3!$C$43,Parametri_v3!$C$45,IF(12=Parametri_v3!$C$44,1-Parametri_v3!$C$45,0))</f>
        <v>0</v>
      </c>
      <c r="AQ280" s="15" t="n">
        <f aca="false">MAX(0,AP280+IF(12=Parametri_v3!$C$43,MAX(0,AN280-AO280),0)-MAX(0,-(AR279)))</f>
        <v>0</v>
      </c>
      <c r="AR280" s="15" t="n">
        <f aca="false">(AR279)+X280-AQ280</f>
        <v>0</v>
      </c>
      <c r="AS280" s="15" t="n">
        <f aca="false">Motore_Operativo!AB280-AT280+AU280</f>
        <v>32026.4732291667</v>
      </c>
      <c r="AT280" s="15" t="n">
        <f aca="false">Motore_Operativo!CH280</f>
        <v>1685.60385416667</v>
      </c>
      <c r="AU280" s="15" t="n">
        <f aca="false">MIN(MAX(0,(AV279)+AT280),Parametri_v3!$C$60/12)</f>
        <v>0</v>
      </c>
      <c r="AV280" s="15" t="n">
        <f aca="false">(AV279)+AT280-AU280</f>
        <v>38704.87125</v>
      </c>
      <c r="AW280" s="15" t="n">
        <f aca="false">IF(AND(Motore_Operativo!C280=Finanziamenti!$D$6,Finanziamenti!$F$6=1),Finanziamenti!$C$6,0)</f>
        <v>0</v>
      </c>
      <c r="AX280" s="15" t="n">
        <f aca="false">IF(AND(5&lt;&gt;7,5&lt;&gt;9,Finanziamenti!$F$8=1,OR(Parametri_v3!$C$6=0,Finanziamenti!$E$8=1),Motore_Operativo!C280=EDATE(Finanziamenti!$D$8,Ipotesi!G15*12)),Finanziamenti!$C$8*1,0)+IF(AND(5&lt;&gt;7,5&lt;&gt;9,Finanziamenti!$F$9=1,OR(Parametri_v3!$C$6=0,Finanziamenti!$E$9=1),Motore_Operativo!C280=EDATE(Finanziamenti!$D$9,Ipotesi!G15*12)),Finanziamenti!$C$9*Ipotesi!G16,0)</f>
        <v>0</v>
      </c>
      <c r="AY280" s="15" t="n">
        <f aca="false">0</f>
        <v>0</v>
      </c>
      <c r="AZ280" s="15" t="n">
        <f aca="false">Motore_Advisory!AY280*(1-Ipotesi!$C$95)*Ipotesi!$C$96</f>
        <v>0</v>
      </c>
      <c r="BA280" s="15" t="n">
        <f aca="false">MAX(0,MIN(CG280*MIN(1,IF(Motore_Operativo!C280&gt;=EDATE(Finanziamenti!$D$15,Ipotesi!G14*12),Finanziamenti!$C$15,0)+IF(Motore_Operativo!C280&gt;=EDATE(Finanziamenti!$D$16,Ipotesi!G14*12),Finanziamenti!$C$16,0)+IF(Motore_Operativo!C280&gt;=EDATE(Finanziamenti!$D$17,Ipotesi!G14*12),Finanziamenti!$C$17,0)),CA280*Ipotesi!$C$102)-(CC279))</f>
        <v>121522.312362182</v>
      </c>
      <c r="BB280" s="15" t="n">
        <f aca="false">IF(AND(CF280&gt;0,Motore_Operativo!C280&gt;=IF(CF280=0,0,EDATE(CF280,Parametri_v3!$C$37)),MOD(((D280-YEAR(IF(CF280=0,0,EDATE(CF280,Parametri_v3!$C$37))))*12+E280-MONTH(IF(CF280=0,0,EDATE(CF280,Parametri_v3!$C$37)))),Parametri_v3!$C$38)=0),MIN(MAX(0,(BC279)+BA280-N280),(CC280-CD280)/(Ipotesi!$C$108*12/Parametri_v3!$C$38)),0)</f>
        <v>0</v>
      </c>
      <c r="BC280" s="15" t="n">
        <f aca="false">(BC279)+BA280-N280-BB280</f>
        <v>147377.618653527</v>
      </c>
      <c r="BD280" s="15" t="n">
        <f aca="false">(BH279)+AC280+AF280-AI280-AS280-K280*(1+Parametri_v3!$C$26)-AL280-AQ280-O280+AW280+AX280+AZ280+BA280-BB280</f>
        <v>22342.8546520192</v>
      </c>
      <c r="BE280" s="15" t="n">
        <f aca="false">MAX(0,MIN(MAX(0,CH280-(BG279)),Parametri_v3!$C$30-BD280))</f>
        <v>0</v>
      </c>
      <c r="BF280" s="15" t="n">
        <f aca="false">IF(Motore_Operativo!C280&gt;=Parametri_v3!$C$63,(BG279),MIN((BG279),MAX(0,BD280-Parametri_v3!$C$30)))</f>
        <v>0</v>
      </c>
      <c r="BG280" s="15" t="n">
        <f aca="false">(BG279)+BE280-BF280</f>
        <v>150000</v>
      </c>
      <c r="BH280" s="15" t="n">
        <f aca="false">BD280+BE280-BF280-AY280</f>
        <v>22342.8546520192</v>
      </c>
      <c r="BI280" s="15" t="n">
        <f aca="false">MAX(0,Parametri_v3!$C$30-BH280)</f>
        <v>2657.14534798075</v>
      </c>
      <c r="BJ280" s="15" t="n">
        <f aca="false">(BJ279)+K280</f>
        <v>75000</v>
      </c>
      <c r="BK280" s="15" t="n">
        <f aca="false">(BK279)+L280</f>
        <v>35208.3333333333</v>
      </c>
      <c r="BL280" s="15" t="n">
        <f aca="false">BJ280-BK280</f>
        <v>39791.6666666667</v>
      </c>
      <c r="BM280" s="15" t="n">
        <f aca="false">(BM279)+Y280</f>
        <v>-614541.770829915</v>
      </c>
      <c r="BN280" s="15" t="n">
        <f aca="false">(BN279)+AW280+AX280+AZ280</f>
        <v>430000</v>
      </c>
      <c r="BO280" s="15" t="n">
        <f aca="false">(BO279)+AY280</f>
        <v>0</v>
      </c>
      <c r="BP280" s="15" t="n">
        <f aca="false">0</f>
        <v>0</v>
      </c>
      <c r="BQ280" s="15" t="n">
        <f aca="false">BN280+BM280-BO280</f>
        <v>-184541.770829915</v>
      </c>
      <c r="BR280" s="15" t="n">
        <f aca="false">BH280+AD280+BL280+MAX(0,-AM280)+MAX(0,-AR280)+AG280</f>
        <v>195458.120315927</v>
      </c>
      <c r="BS280" s="15" t="n">
        <f aca="false">AJ280+AV280+MAX(0,AM280)+MAX(0,AR280)+BC280+BG280+BQ280</f>
        <v>195458.120315926</v>
      </c>
      <c r="BT280" s="15" t="n">
        <f aca="false">BR280-BS280</f>
        <v>0</v>
      </c>
      <c r="BU280" s="15" t="n">
        <f aca="false">BH280-(BD280+BE280-BF280-AY280)</f>
        <v>0</v>
      </c>
      <c r="BV280" s="15" t="n">
        <f aca="false">MIN(Piano_SS!$C$6,(BV279)+IF(AND(Motore_Operativo!C280&gt;=EDATE(Parametri_v3!$C$24,Ipotesi!G14*12),Motore_Operativo!C280&lt;EDATE(Parametri_v3!$C$24,Parametri_v3!$C$25+Ipotesi!G14*12)),MAX(0,(Motore_Operativo!Y280+Motore_Operativo!X280*Parametri_v3!$C$14)*(1-Parametri_v3!$C$32))*Piano_SS!$D$6,0))</f>
        <v>125607.59875</v>
      </c>
      <c r="BW280" s="15" t="n">
        <f aca="false">MIN(Piano_SS!$C$7,(BW279)+IF(AND(Motore_Operativo!C280&gt;=EDATE(Parametri_v3!$C$24,Ipotesi!G14*12),Motore_Operativo!C280&lt;EDATE(Parametri_v3!$C$24,Parametri_v3!$C$25+Ipotesi!G14*12)),MAX(0,(IF(36-(INT((Ipotesi!$C$91)/30))&lt;1,0,INDEX(Motore_Operativo!$BN$245:$BN$304,MAX(1,36-(INT((Ipotesi!$C$91)/30)))))*(1-(MOD((Ipotesi!$C$91),30)/30))+IF(36-(INT((Ipotesi!$C$91)/30))-1&lt;1,0,INDEX(Motore_Operativo!$BN$245:$BN$304,MAX(1,36-(INT((Ipotesi!$C$91)/30))-1)))*(MOD((Ipotesi!$C$91),30)/30)))*Piano_SS!$D$7,0))</f>
        <v>17495.2917027269</v>
      </c>
      <c r="BX280" s="15" t="n">
        <f aca="false">MIN(Piano_SS!$C$8,(BX279)+IF(AND(Motore_Operativo!C280&gt;=EDATE(Parametri_v3!$C$24,Ipotesi!G14*12),Motore_Operativo!C280&lt;EDATE(Parametri_v3!$C$24,Parametri_v3!$C$25+Ipotesi!G14*12)),MAX(0,Motore_Operativo!CE280)*Piano_SS!$D$8,0))</f>
        <v>42500</v>
      </c>
      <c r="BY280" s="15" t="n">
        <f aca="false">MIN(Piano_SS!$C$9,(BY279)+IF(AND(Motore_Operativo!C280&gt;=EDATE(Parametri_v3!$C$24,Ipotesi!G14*12),Motore_Operativo!C280&lt;EDATE(Parametri_v3!$C$24,Parametri_v3!$C$25+Ipotesi!G14*12)),MAX(0,((IF(36-(INT((Ipotesi!$C$91)/30))&lt;1,0,INDEX(Motore_Operativo!$BQ$245:$BQ$304,MAX(1,36-(INT((Ipotesi!$C$91)/30)))))*(1-(MOD((Ipotesi!$C$91),30)/30))+IF(36-(INT((Ipotesi!$C$91)/30))-1&lt;1,0,INDEX(Motore_Operativo!$BQ$245:$BQ$304,MAX(1,36-(INT((Ipotesi!$C$91)/30))-1)))*(MOD((Ipotesi!$C$91),30)/30))+(IF(36-(INT((Ipotesi!$C$91)/30))&lt;1,0,INDEX(Motore_Operativo!$BR$245:$BR$304,MAX(1,36-(INT((Ipotesi!$C$91)/30)))))*(1-(MOD((Ipotesi!$C$91),30)/30))+IF(36-(INT((Ipotesi!$C$91)/30))-1&lt;1,0,INDEX(Motore_Operativo!$BR$245:$BR$304,MAX(1,36-(INT((Ipotesi!$C$91)/30))-1)))*(MOD((Ipotesi!$C$91),30)/30))))*Piano_SS!$D$9,0))</f>
        <v>40000</v>
      </c>
      <c r="BZ280" s="15" t="n">
        <f aca="false">MIN(Piano_SS!$C$10,(BZ279)+IF(AND(Motore_Operativo!C280&gt;=EDATE(Parametri_v3!$C$24,Ipotesi!G14*12),Motore_Operativo!C280&lt;EDATE(Parametri_v3!$C$24,Parametri_v3!$C$25+Ipotesi!G14*12)),MAX(0,(IF(36-(INT((Ipotesi!$C$91)/30))&lt;1,0,INDEX(Motore_Operativo!$BO$245:$BO$304,MAX(1,36-(INT((Ipotesi!$C$91)/30)))))*(1-(MOD((Ipotesi!$C$91),30)/30))+IF(36-(INT((Ipotesi!$C$91)/30))-1&lt;1,0,INDEX(Motore_Operativo!$BO$245:$BO$304,MAX(1,36-(INT((Ipotesi!$C$91)/30))-1)))*(MOD((Ipotesi!$C$91),30)/30)))*Piano_SS!$D$10,0))</f>
        <v>26300</v>
      </c>
      <c r="CA280" s="15" t="n">
        <f aca="false">SUM(BV280:BZ280)</f>
        <v>251902.890452727</v>
      </c>
      <c r="CB280" s="15" t="n">
        <f aca="false">BV280*(1-Piano_SS!$E$6)+BW280*(1-Piano_SS!$E$7)+BX280*(1-Piano_SS!$E$8)+BY280*(1-Piano_SS!$E$9)+BZ280*(1-Piano_SS!$E$10)</f>
        <v>225602.890452727</v>
      </c>
      <c r="CC280" s="15" t="n">
        <f aca="false">(CC279)+BA280</f>
        <v>201522.312362182</v>
      </c>
      <c r="CD280" s="15" t="n">
        <f aca="false">IF(CA280=0,0,CC280*CB280/CA280*Ipotesi!$C$103*Parametri_v3!$C$64)</f>
        <v>54144.6937086545</v>
      </c>
      <c r="CE280" s="18" t="n">
        <f aca="false">IF(BA280&gt;0,Motore_Operativo!C280,(CE279))</f>
        <v>47453</v>
      </c>
      <c r="CF280" s="18" t="n">
        <f aca="false">IF(AND(CC280&gt;0,OR(CC280&gt;=CG280-0.01,Motore_Operativo!C280&gt;=EDATE(MAX(Finanziamenti!$D$15:$D$17),Ipotesi!G14*12))),CE280,0)</f>
        <v>0</v>
      </c>
      <c r="CG280" s="15" t="n">
        <f aca="false">IF(AND(5&lt;&gt;6,5&lt;&gt;9,Finanziamenti!$F$11=1,OR(Parametri_v3!$C$6=0,Finanziamenti!$E$11=1)),MIN(Finanziamenti!$C$11,Piano_SS!$C$12*Ipotesi!$C$102),0)</f>
        <v>400000</v>
      </c>
      <c r="CH280" s="15" t="n">
        <f aca="false">IF(AND(AND(5&lt;&gt;8,5&lt;&gt;9,Finanziamenti!$F$10=1,OR(Parametri_v3!$C$6=0,Finanziamenti!$E$10=1)),Motore_Operativo!C280&gt;=Finanziamenti!$D$10,Motore_Operativo!C280&lt;Parametri_v3!$C$63),Finanziamenti!$C$10,0)</f>
        <v>150000</v>
      </c>
    </row>
    <row r="281" customFormat="false" ht="18" hidden="false" customHeight="true" outlineLevel="0" collapsed="false">
      <c r="A281" s="68" t="n">
        <f aca="false">5</f>
        <v>5</v>
      </c>
      <c r="B281" s="68" t="n">
        <f aca="false">37</f>
        <v>37</v>
      </c>
      <c r="C281" s="18" t="n">
        <f aca="false">Motore_Operativo!C281</f>
        <v>47484</v>
      </c>
      <c r="D281" s="68" t="n">
        <f aca="false">Motore_Operativo!D281</f>
        <v>2030</v>
      </c>
      <c r="E281" s="68" t="n">
        <f aca="false">Motore_Operativo!E281</f>
        <v>1</v>
      </c>
      <c r="F281" s="15" t="n">
        <f aca="false">Motore_Operativo!AQ281+Motore_Operativo!BF281</f>
        <v>39620.1984370809</v>
      </c>
      <c r="G281" s="15" t="n">
        <f aca="false">Motore_Operativo!BH281</f>
        <v>4466.9625</v>
      </c>
      <c r="H281" s="15" t="n">
        <f aca="false">Motore_Operativo!BI281</f>
        <v>44087.1609370809</v>
      </c>
      <c r="I281" s="15" t="n">
        <f aca="false">Motore_Operativo!CA281</f>
        <v>65597.427822858</v>
      </c>
      <c r="J281" s="15" t="n">
        <f aca="false">Motore_Operativo!CC281</f>
        <v>-21510.2668857771</v>
      </c>
      <c r="K281" s="15" t="n">
        <f aca="false">Motore_Operativo!CE281</f>
        <v>3333.33333333333</v>
      </c>
      <c r="L281" s="15" t="n">
        <f aca="false">SUM(INDEX($K$245:$K$304,MAX(1,37-Parametri_v3!$C$59+1)):K281)/Parametri_v3!$C$59</f>
        <v>2129.62962962963</v>
      </c>
      <c r="M281" s="15" t="n">
        <f aca="false">J281-L281</f>
        <v>-23639.8965154067</v>
      </c>
      <c r="N281" s="15" t="n">
        <f aca="false">CD281-(CD280)</f>
        <v>3709.00120956527</v>
      </c>
      <c r="O281" s="15" t="n">
        <f aca="false">(BG280)*Ipotesi!$C$110/12+CH281*Parametri_v3!$C$39/12</f>
        <v>750</v>
      </c>
      <c r="P281" s="15" t="n">
        <f aca="false">M281+N281-O281</f>
        <v>-20680.8953058415</v>
      </c>
      <c r="Q281" s="15" t="n">
        <f aca="false">SUM(P281)+Parametri_v3!$C$54*1/12</f>
        <v>-20680.8953058415</v>
      </c>
      <c r="R281" s="15" t="n">
        <f aca="false">Z280</f>
        <v>614541.770829915</v>
      </c>
      <c r="S281" s="15" t="n">
        <f aca="false">AA280</f>
        <v>0</v>
      </c>
      <c r="T281" s="15" t="n">
        <f aca="false">MIN(R281,MAX(0,Q281))</f>
        <v>0</v>
      </c>
      <c r="U281" s="15" t="n">
        <f aca="false">MIN(S281,MAX(0,Q281-T281)*Parametri_v3!$C$42)</f>
        <v>0</v>
      </c>
      <c r="V281" s="15" t="n">
        <f aca="false">MAX(0,Q281-T281-U281)*Ipotesi!$C$92</f>
        <v>0</v>
      </c>
      <c r="W281" s="15" t="n">
        <f aca="false">MAX(0,SUM(M281)+Parametri_v3!$C$55*1/12)*Ipotesi!$C$93</f>
        <v>0</v>
      </c>
      <c r="X281" s="15" t="n">
        <f aca="false">V281+W281-(0)</f>
        <v>0</v>
      </c>
      <c r="Y281" s="15" t="n">
        <f aca="false">P281-X281</f>
        <v>-20680.8953058415</v>
      </c>
      <c r="Z281" s="15" t="n">
        <f aca="false">R281-T281+IF(AND(Parametri_v3!$C$40=1,D281-YEAR(Parametri_v3!$C$50)&lt;Parametri_v3!$C$41),MAX(0,-Q281),0)</f>
        <v>614541.770829915</v>
      </c>
      <c r="AA281" s="15" t="n">
        <f aca="false">S281-U281+IF(AND(Parametri_v3!$C$40=1,D281-YEAR(Parametri_v3!$C$50)&lt;Parametri_v3!$C$41),0,MAX(0,-Q281))</f>
        <v>20680.8953058415</v>
      </c>
      <c r="AB281" s="15" t="n">
        <f aca="false">F281*(1+Parametri_v3!$C$26)</f>
        <v>48336.6420932387</v>
      </c>
      <c r="AC281" s="15" t="n">
        <f aca="false">(IF(37-(INT((Motore_Operativo!L281)/30))&lt;1,0,INDEX(Motore_Startup!$AB$245:$AB$304,MAX(1,37-(INT((Motore_Operativo!L281)/30)))))*(1-(MOD((Motore_Operativo!L281),30)/30))+IF(37-(INT((Motore_Operativo!L281)/30))-1&lt;1,0,INDEX(Motore_Startup!$AB$245:$AB$304,MAX(1,37-(INT((Motore_Operativo!L281)/30))-1)))*(MOD((Motore_Operativo!L281),30)/30))</f>
        <v>31654.4480511337</v>
      </c>
      <c r="AD281" s="15" t="n">
        <f aca="false">(AD280)+AB281-AC281</f>
        <v>146352.198039346</v>
      </c>
      <c r="AE281" s="15" t="n">
        <f aca="false">Motore_Operativo!BH281*(1+Parametri_v3!$C$26)</f>
        <v>5449.69425</v>
      </c>
      <c r="AF281" s="15" t="n">
        <f aca="false">(IF(37-(INT((Parametri_v3!$C$29)/30))&lt;1,0,INDEX(Motore_Operativo!$BH$245:$BH$304,MAX(1,37-(INT((Parametri_v3!$C$29)/30)))))*(1-(MOD((Parametri_v3!$C$29),30)/30))+IF(37-(INT((Parametri_v3!$C$29)/30))-1&lt;1,0,INDEX(Motore_Operativo!$BH$245:$BH$304,MAX(1,37-(INT((Parametri_v3!$C$29)/30))-1)))*(MOD((Parametri_v3!$C$29),30)/30))*(1+Parametri_v3!$C$26)</f>
        <v>3653.595</v>
      </c>
      <c r="AG281" s="15" t="n">
        <f aca="false">(AG280)+AE281-AF281</f>
        <v>5449.69425</v>
      </c>
      <c r="AH281" s="15" t="n">
        <f aca="false">(Motore_Operativo!CJ281)*(1+Parametri_v3!$C$27*Parametri_v3!$C$26)</f>
        <v>26612.3757858991</v>
      </c>
      <c r="AI281" s="15" t="n">
        <f aca="false">(IF(37-(INT((Ipotesi!$C$91)/30))&lt;1,0,INDEX(Motore_Startup!$AH$245:$AH$304,MAX(1,37-(INT((Ipotesi!$C$91)/30)))))*(1-(MOD((Ipotesi!$C$91),30)/30))+IF(37-(INT((Ipotesi!$C$91)/30))-1&lt;1,0,INDEX(Motore_Startup!$AH$245:$AH$304,MAX(1,37-(INT((Ipotesi!$C$91)/30))-1)))*(MOD((Ipotesi!$C$91),30)/30))</f>
        <v>20498.8363756146</v>
      </c>
      <c r="AJ281" s="15" t="n">
        <f aca="false">(AJ280)+AH281-AI281</f>
        <v>47179.6961249682</v>
      </c>
      <c r="AK281" s="15" t="n">
        <f aca="false">(F281+ Motore_Operativo!BH281-(Motore_Operativo!CJ281)*Parametri_v3!$C$27-Motore_Operativo!CE281)*Parametri_v3!$C$26</f>
        <v>4773.32794311668</v>
      </c>
      <c r="AL281" s="15" t="n">
        <f aca="false">MAX(0,(AM280))</f>
        <v>2851.244527631</v>
      </c>
      <c r="AM281" s="15" t="n">
        <f aca="false">(AM280)+AK281-AL281</f>
        <v>4773.32794311668</v>
      </c>
      <c r="AN281" s="15" t="n">
        <f aca="false">SUM(X269:X280)</f>
        <v>0</v>
      </c>
      <c r="AO281" s="15" t="n">
        <f aca="false">SUM(AP269:AP280)</f>
        <v>0</v>
      </c>
      <c r="AP281" s="15" t="n">
        <f aca="false">MAX(0,AN281)*IF(1=Parametri_v3!$C$43,Parametri_v3!$C$45,IF(1=Parametri_v3!$C$44,1-Parametri_v3!$C$45,0))</f>
        <v>0</v>
      </c>
      <c r="AQ281" s="15" t="n">
        <f aca="false">MAX(0,AP281+IF(1=Parametri_v3!$C$43,MAX(0,AN281-AO281),0)-MAX(0,-(AR280)))</f>
        <v>0</v>
      </c>
      <c r="AR281" s="15" t="n">
        <f aca="false">(AR280)+X281-AQ281</f>
        <v>0</v>
      </c>
      <c r="AS281" s="15" t="n">
        <f aca="false">Motore_Operativo!AB281-AT281+AU281</f>
        <v>41018.6878583333</v>
      </c>
      <c r="AT281" s="15" t="n">
        <f aca="false">Motore_Operativo!CH281</f>
        <v>2158.87830833333</v>
      </c>
      <c r="AU281" s="15" t="n">
        <f aca="false">MIN(MAX(0,(AV280)+AT281),Parametri_v3!$C$60/12)</f>
        <v>0</v>
      </c>
      <c r="AV281" s="15" t="n">
        <f aca="false">(AV280)+AT281-AU281</f>
        <v>40863.7495583333</v>
      </c>
      <c r="AW281" s="15" t="n">
        <f aca="false">IF(AND(Motore_Operativo!C281=Finanziamenti!$D$6,Finanziamenti!$F$6=1),Finanziamenti!$C$6,0)</f>
        <v>0</v>
      </c>
      <c r="AX281" s="15" t="n">
        <f aca="false">IF(AND(5&lt;&gt;7,5&lt;&gt;9,Finanziamenti!$F$8=1,OR(Parametri_v3!$C$6=0,Finanziamenti!$E$8=1),Motore_Operativo!C281=EDATE(Finanziamenti!$D$8,Ipotesi!G15*12)),Finanziamenti!$C$8*1,0)+IF(AND(5&lt;&gt;7,5&lt;&gt;9,Finanziamenti!$F$9=1,OR(Parametri_v3!$C$6=0,Finanziamenti!$E$9=1),Motore_Operativo!C281=EDATE(Finanziamenti!$D$9,Ipotesi!G15*12)),Finanziamenti!$C$9*Ipotesi!G16,0)</f>
        <v>0</v>
      </c>
      <c r="AY281" s="15" t="n">
        <f aca="false">0</f>
        <v>0</v>
      </c>
      <c r="AZ281" s="15" t="n">
        <f aca="false">Motore_Advisory!AY281*(1-Ipotesi!$C$95)*Ipotesi!$C$96</f>
        <v>0</v>
      </c>
      <c r="BA281" s="15" t="n">
        <f aca="false">MAX(0,MIN(CG281*MIN(1,IF(Motore_Operativo!C281&gt;=EDATE(Finanziamenti!$D$15,Ipotesi!G14*12),Finanziamenti!$C$15,0)+IF(Motore_Operativo!C281&gt;=EDATE(Finanziamenti!$D$16,Ipotesi!G14*12),Finanziamenti!$C$16,0)+IF(Motore_Operativo!C281&gt;=EDATE(Finanziamenti!$D$17,Ipotesi!G14*12),Finanziamenti!$C$17,0)),CA281*Ipotesi!$C$102)-(CC280))</f>
        <v>13763.3373652175</v>
      </c>
      <c r="BB281" s="15" t="n">
        <f aca="false">IF(AND(CF281&gt;0,Motore_Operativo!C281&gt;=IF(CF281=0,0,EDATE(CF281,Parametri_v3!$C$37)),MOD(((D281-YEAR(IF(CF281=0,0,EDATE(CF281,Parametri_v3!$C$37))))*12+E281-MONTH(IF(CF281=0,0,EDATE(CF281,Parametri_v3!$C$37)))),Parametri_v3!$C$38)=0),MIN(MAX(0,(BC280)+BA281-N281),(CC281-CD281)/(Ipotesi!$C$108*12/Parametri_v3!$C$38)),0)</f>
        <v>0</v>
      </c>
      <c r="BC281" s="15" t="n">
        <f aca="false">(BC280)+BA281-N281-BB281</f>
        <v>157431.954809179</v>
      </c>
      <c r="BD281" s="15" t="n">
        <f aca="false">(BH280)+AC281+AF281-AI281-AS281-K281*(1+Parametri_v3!$C$26)-AL281-AQ281-O281+AW281+AX281+AZ281+BA281-BB281</f>
        <v>2228.79964012489</v>
      </c>
      <c r="BE281" s="15" t="n">
        <f aca="false">MAX(0,MIN(MAX(0,CH281-(BG280)),Parametri_v3!$C$30-BD281))</f>
        <v>0</v>
      </c>
      <c r="BF281" s="15" t="n">
        <f aca="false">IF(Motore_Operativo!C281&gt;=Parametri_v3!$C$63,(BG280),MIN((BG280),MAX(0,BD281-Parametri_v3!$C$30)))</f>
        <v>0</v>
      </c>
      <c r="BG281" s="15" t="n">
        <f aca="false">(BG280)+BE281-BF281</f>
        <v>150000</v>
      </c>
      <c r="BH281" s="15" t="n">
        <f aca="false">BD281+BE281-BF281-AY281</f>
        <v>2228.79964012489</v>
      </c>
      <c r="BI281" s="15" t="n">
        <f aca="false">MAX(0,Parametri_v3!$C$30-BH281)</f>
        <v>22771.2003598751</v>
      </c>
      <c r="BJ281" s="15" t="n">
        <f aca="false">(BJ280)+K281</f>
        <v>78333.3333333333</v>
      </c>
      <c r="BK281" s="15" t="n">
        <f aca="false">(BK280)+L281</f>
        <v>37337.962962963</v>
      </c>
      <c r="BL281" s="15" t="n">
        <f aca="false">BJ281-BK281</f>
        <v>40995.3703703704</v>
      </c>
      <c r="BM281" s="15" t="n">
        <f aca="false">(BM280)+Y281</f>
        <v>-635222.666135757</v>
      </c>
      <c r="BN281" s="15" t="n">
        <f aca="false">(BN280)+AW281+AX281+AZ281</f>
        <v>430000</v>
      </c>
      <c r="BO281" s="15" t="n">
        <f aca="false">(BO280)+AY281</f>
        <v>0</v>
      </c>
      <c r="BP281" s="15" t="n">
        <f aca="false">0</f>
        <v>0</v>
      </c>
      <c r="BQ281" s="15" t="n">
        <f aca="false">BN281+BM281-BO281</f>
        <v>-205222.666135757</v>
      </c>
      <c r="BR281" s="15" t="n">
        <f aca="false">BH281+AD281+BL281+MAX(0,-AM281)+MAX(0,-AR281)+AG281</f>
        <v>195026.062299841</v>
      </c>
      <c r="BS281" s="15" t="n">
        <f aca="false">AJ281+AV281+MAX(0,AM281)+MAX(0,AR281)+BC281+BG281+BQ281</f>
        <v>195026.062299841</v>
      </c>
      <c r="BT281" s="15" t="n">
        <f aca="false">BR281-BS281</f>
        <v>0</v>
      </c>
      <c r="BU281" s="15" t="n">
        <f aca="false">BH281-(BD281+BE281-BF281-AY281)</f>
        <v>0</v>
      </c>
      <c r="BV281" s="15" t="n">
        <f aca="false">MIN(Piano_SS!$C$6,(BV280)+IF(AND(Motore_Operativo!C281&gt;=EDATE(Parametri_v3!$C$24,Ipotesi!G14*12),Motore_Operativo!C281&lt;EDATE(Parametri_v3!$C$24,Parametri_v3!$C$25+Ipotesi!G14*12)),MAX(0,(Motore_Operativo!Y281+Motore_Operativo!X281*Parametri_v3!$C$14)*(1-Parametri_v3!$C$32))*Piano_SS!$D$6,0))</f>
        <v>136485.923686458</v>
      </c>
      <c r="BW281" s="15" t="n">
        <f aca="false">MIN(Piano_SS!$C$7,(BW280)+IF(AND(Motore_Operativo!C281&gt;=EDATE(Parametri_v3!$C$24,Ipotesi!G14*12),Motore_Operativo!C281&lt;EDATE(Parametri_v3!$C$24,Parametri_v3!$C$25+Ipotesi!G14*12)),MAX(0,(IF(37-(INT((Ipotesi!$C$91)/30))&lt;1,0,INDEX(Motore_Operativo!$BN$245:$BN$304,MAX(1,37-(INT((Ipotesi!$C$91)/30)))))*(1-(MOD((Ipotesi!$C$91),30)/30))+IF(37-(INT((Ipotesi!$C$91)/30))-1&lt;1,0,INDEX(Motore_Operativo!$BN$245:$BN$304,MAX(1,37-(INT((Ipotesi!$C$91)/30))-1)))*(MOD((Ipotesi!$C$91),30)/30)))*Piano_SS!$D$7,0))</f>
        <v>18737.8051394572</v>
      </c>
      <c r="BX281" s="15" t="n">
        <f aca="false">MIN(Piano_SS!$C$8,(BX280)+IF(AND(Motore_Operativo!C281&gt;=EDATE(Parametri_v3!$C$24,Ipotesi!G14*12),Motore_Operativo!C281&lt;EDATE(Parametri_v3!$C$24,Parametri_v3!$C$25+Ipotesi!G14*12)),MAX(0,Motore_Operativo!CE281)*Piano_SS!$D$8,0))</f>
        <v>45833.3333333333</v>
      </c>
      <c r="BY281" s="15" t="n">
        <f aca="false">MIN(Piano_SS!$C$9,(BY280)+IF(AND(Motore_Operativo!C281&gt;=EDATE(Parametri_v3!$C$24,Ipotesi!G14*12),Motore_Operativo!C281&lt;EDATE(Parametri_v3!$C$24,Parametri_v3!$C$25+Ipotesi!G14*12)),MAX(0,((IF(37-(INT((Ipotesi!$C$91)/30))&lt;1,0,INDEX(Motore_Operativo!$BQ$245:$BQ$304,MAX(1,37-(INT((Ipotesi!$C$91)/30)))))*(1-(MOD((Ipotesi!$C$91),30)/30))+IF(37-(INT((Ipotesi!$C$91)/30))-1&lt;1,0,INDEX(Motore_Operativo!$BQ$245:$BQ$304,MAX(1,37-(INT((Ipotesi!$C$91)/30))-1)))*(MOD((Ipotesi!$C$91),30)/30))+(IF(37-(INT((Ipotesi!$C$91)/30))&lt;1,0,INDEX(Motore_Operativo!$BR$245:$BR$304,MAX(1,37-(INT((Ipotesi!$C$91)/30)))))*(1-(MOD((Ipotesi!$C$91),30)/30))+IF(37-(INT((Ipotesi!$C$91)/30))-1&lt;1,0,INDEX(Motore_Operativo!$BR$245:$BR$304,MAX(1,37-(INT((Ipotesi!$C$91)/30))-1)))*(MOD((Ipotesi!$C$91),30)/30))))*Piano_SS!$D$9,0))</f>
        <v>40000</v>
      </c>
      <c r="BZ281" s="15" t="n">
        <f aca="false">MIN(Piano_SS!$C$10,(BZ280)+IF(AND(Motore_Operativo!C281&gt;=EDATE(Parametri_v3!$C$24,Ipotesi!G14*12),Motore_Operativo!C281&lt;EDATE(Parametri_v3!$C$24,Parametri_v3!$C$25+Ipotesi!G14*12)),MAX(0,(IF(37-(INT((Ipotesi!$C$91)/30))&lt;1,0,INDEX(Motore_Operativo!$BO$245:$BO$304,MAX(1,37-(INT((Ipotesi!$C$91)/30)))))*(1-(MOD((Ipotesi!$C$91),30)/30))+IF(37-(INT((Ipotesi!$C$91)/30))-1&lt;1,0,INDEX(Motore_Operativo!$BO$245:$BO$304,MAX(1,37-(INT((Ipotesi!$C$91)/30))-1)))*(MOD((Ipotesi!$C$91),30)/30)))*Piano_SS!$D$10,0))</f>
        <v>28050</v>
      </c>
      <c r="CA281" s="15" t="n">
        <f aca="false">SUM(BV281:BZ281)</f>
        <v>269107.062159249</v>
      </c>
      <c r="CB281" s="15" t="n">
        <f aca="false">BV281*(1-Piano_SS!$E$6)+BW281*(1-Piano_SS!$E$7)+BX281*(1-Piano_SS!$E$8)+BY281*(1-Piano_SS!$E$9)+BZ281*(1-Piano_SS!$E$10)</f>
        <v>241057.062159249</v>
      </c>
      <c r="CC281" s="15" t="n">
        <f aca="false">(CC280)+BA281</f>
        <v>215285.649727399</v>
      </c>
      <c r="CD281" s="15" t="n">
        <f aca="false">IF(CA281=0,0,CC281*CB281/CA281*Ipotesi!$C$103*Parametri_v3!$C$64)</f>
        <v>57853.6949182197</v>
      </c>
      <c r="CE281" s="18" t="n">
        <f aca="false">IF(BA281&gt;0,Motore_Operativo!C281,(CE280))</f>
        <v>47484</v>
      </c>
      <c r="CF281" s="18" t="n">
        <f aca="false">IF(AND(CC281&gt;0,OR(CC281&gt;=CG281-0.01,Motore_Operativo!C281&gt;=EDATE(MAX(Finanziamenti!$D$15:$D$17),Ipotesi!G14*12))),CE281,0)</f>
        <v>0</v>
      </c>
      <c r="CG281" s="15" t="n">
        <f aca="false">IF(AND(5&lt;&gt;6,5&lt;&gt;9,Finanziamenti!$F$11=1,OR(Parametri_v3!$C$6=0,Finanziamenti!$E$11=1)),MIN(Finanziamenti!$C$11,Piano_SS!$C$12*Ipotesi!$C$102),0)</f>
        <v>400000</v>
      </c>
      <c r="CH281" s="15" t="n">
        <f aca="false">IF(AND(AND(5&lt;&gt;8,5&lt;&gt;9,Finanziamenti!$F$10=1,OR(Parametri_v3!$C$6=0,Finanziamenti!$E$10=1)),Motore_Operativo!C281&gt;=Finanziamenti!$D$10,Motore_Operativo!C281&lt;Parametri_v3!$C$63),Finanziamenti!$C$10,0)</f>
        <v>150000</v>
      </c>
    </row>
    <row r="282" customFormat="false" ht="18" hidden="false" customHeight="true" outlineLevel="0" collapsed="false">
      <c r="A282" s="68" t="n">
        <f aca="false">5</f>
        <v>5</v>
      </c>
      <c r="B282" s="68" t="n">
        <f aca="false">38</f>
        <v>38</v>
      </c>
      <c r="C282" s="18" t="n">
        <f aca="false">Motore_Operativo!C282</f>
        <v>47515</v>
      </c>
      <c r="D282" s="68" t="n">
        <f aca="false">Motore_Operativo!D282</f>
        <v>2030</v>
      </c>
      <c r="E282" s="68" t="n">
        <f aca="false">Motore_Operativo!E282</f>
        <v>2</v>
      </c>
      <c r="F282" s="15" t="n">
        <f aca="false">Motore_Operativo!AQ282+Motore_Operativo!BF282</f>
        <v>39977.6010383539</v>
      </c>
      <c r="G282" s="15" t="n">
        <f aca="false">Motore_Operativo!BH282</f>
        <v>4466.9625</v>
      </c>
      <c r="H282" s="15" t="n">
        <f aca="false">Motore_Operativo!BI282</f>
        <v>44444.5635383539</v>
      </c>
      <c r="I282" s="15" t="n">
        <f aca="false">Motore_Operativo!CA282</f>
        <v>65647.4641870362</v>
      </c>
      <c r="J282" s="15" t="n">
        <f aca="false">Motore_Operativo!CC282</f>
        <v>-21202.9006486823</v>
      </c>
      <c r="K282" s="15" t="n">
        <f aca="false">Motore_Operativo!CE282</f>
        <v>3333.33333333333</v>
      </c>
      <c r="L282" s="15" t="n">
        <f aca="false">SUM(INDEX($K$245:$K$304,MAX(1,38-Parametri_v3!$C$59+1)):K282)/Parametri_v3!$C$59</f>
        <v>2175.92592592593</v>
      </c>
      <c r="M282" s="15" t="n">
        <f aca="false">J282-L282</f>
        <v>-23378.8265746082</v>
      </c>
      <c r="N282" s="15" t="n">
        <f aca="false">CD282-(CD281)</f>
        <v>3716.91366652955</v>
      </c>
      <c r="O282" s="15" t="n">
        <f aca="false">(BG281)*Ipotesi!$C$110/12+CH282*Parametri_v3!$C$39/12</f>
        <v>750</v>
      </c>
      <c r="P282" s="15" t="n">
        <f aca="false">M282+N282-O282</f>
        <v>-20411.9129080787</v>
      </c>
      <c r="Q282" s="15" t="n">
        <f aca="false">SUM(P281:P282)+Parametri_v3!$C$54*2/12</f>
        <v>-41092.8082139202</v>
      </c>
      <c r="R282" s="15" t="n">
        <f aca="false">Z280</f>
        <v>614541.770829915</v>
      </c>
      <c r="S282" s="15" t="n">
        <f aca="false">AA280</f>
        <v>0</v>
      </c>
      <c r="T282" s="15" t="n">
        <f aca="false">MIN(R282,MAX(0,Q282))</f>
        <v>0</v>
      </c>
      <c r="U282" s="15" t="n">
        <f aca="false">MIN(S282,MAX(0,Q282-T282)*Parametri_v3!$C$42)</f>
        <v>0</v>
      </c>
      <c r="V282" s="15" t="n">
        <f aca="false">MAX(0,Q282-T282-U282)*Ipotesi!$C$92</f>
        <v>0</v>
      </c>
      <c r="W282" s="15" t="n">
        <f aca="false">MAX(0,SUM(M281:M282)+Parametri_v3!$C$55*2/12)*Ipotesi!$C$93</f>
        <v>0</v>
      </c>
      <c r="X282" s="15" t="n">
        <f aca="false">V282+W282-(V281+W281)</f>
        <v>0</v>
      </c>
      <c r="Y282" s="15" t="n">
        <f aca="false">P282-X282</f>
        <v>-20411.9129080787</v>
      </c>
      <c r="Z282" s="15" t="n">
        <f aca="false">R282-T282+IF(AND(Parametri_v3!$C$40=1,D282-YEAR(Parametri_v3!$C$50)&lt;Parametri_v3!$C$41),MAX(0,-Q282),0)</f>
        <v>614541.770829915</v>
      </c>
      <c r="AA282" s="15" t="n">
        <f aca="false">S282-U282+IF(AND(Parametri_v3!$C$40=1,D282-YEAR(Parametri_v3!$C$50)&lt;Parametri_v3!$C$41),0,MAX(0,-Q282))</f>
        <v>41092.8082139202</v>
      </c>
      <c r="AB282" s="15" t="n">
        <f aca="false">F282*(1+Parametri_v3!$C$26)</f>
        <v>48772.6732667918</v>
      </c>
      <c r="AC282" s="15" t="n">
        <f aca="false">(IF(38-(INT((Motore_Operativo!L282)/30))&lt;1,0,INDEX(Motore_Startup!$AB$245:$AB$304,MAX(1,38-(INT((Motore_Operativo!L282)/30)))))*(1-(MOD((Motore_Operativo!L282),30)/30))+IF(38-(INT((Motore_Operativo!L282)/30))-1&lt;1,0,INDEX(Motore_Startup!$AB$245:$AB$304,MAX(1,38-(INT((Motore_Operativo!L282)/30))-1)))*(MOD((Motore_Operativo!L282),30)/30))</f>
        <v>32166.1254228941</v>
      </c>
      <c r="AD282" s="15" t="n">
        <f aca="false">(AD281)+AB282-AC282</f>
        <v>162958.745883243</v>
      </c>
      <c r="AE282" s="15" t="n">
        <f aca="false">Motore_Operativo!BH282*(1+Parametri_v3!$C$26)</f>
        <v>5449.69425</v>
      </c>
      <c r="AF282" s="15" t="n">
        <f aca="false">(IF(38-(INT((Parametri_v3!$C$29)/30))&lt;1,0,INDEX(Motore_Operativo!$BH$245:$BH$304,MAX(1,38-(INT((Parametri_v3!$C$29)/30)))))*(1-(MOD((Parametri_v3!$C$29),30)/30))+IF(38-(INT((Parametri_v3!$C$29)/30))-1&lt;1,0,INDEX(Motore_Operativo!$BH$245:$BH$304,MAX(1,38-(INT((Parametri_v3!$C$29)/30))-1)))*(MOD((Parametri_v3!$C$29),30)/30))*(1+Parametri_v3!$C$26)</f>
        <v>5449.69425</v>
      </c>
      <c r="AG282" s="15" t="n">
        <f aca="false">(AG281)+AE282-AF282</f>
        <v>5449.69425</v>
      </c>
      <c r="AH282" s="15" t="n">
        <f aca="false">(Motore_Operativo!CJ282)*(1+Parametri_v3!$C$27*Parametri_v3!$C$26)</f>
        <v>26671.7689501787</v>
      </c>
      <c r="AI282" s="15" t="n">
        <f aca="false">(IF(38-(INT((Ipotesi!$C$91)/30))&lt;1,0,INDEX(Motore_Startup!$AH$245:$AH$304,MAX(1,38-(INT((Ipotesi!$C$91)/30)))))*(1-(MOD((Ipotesi!$C$91),30)/30))+IF(38-(INT((Ipotesi!$C$91)/30))-1&lt;1,0,INDEX(Motore_Startup!$AH$245:$AH$304,MAX(1,38-(INT((Ipotesi!$C$91)/30))-1)))*(MOD((Ipotesi!$C$91),30)/30))</f>
        <v>20567.3203390692</v>
      </c>
      <c r="AJ282" s="15" t="n">
        <f aca="false">(AJ281)+AH282-AI282</f>
        <v>53284.1447360777</v>
      </c>
      <c r="AK282" s="15" t="n">
        <f aca="false">(F282+ Motore_Operativo!BH282-(Motore_Operativo!CJ282)*Parametri_v3!$C$27-Motore_Operativo!CE282)*Parametri_v3!$C$26</f>
        <v>4842.59971529542</v>
      </c>
      <c r="AL282" s="15" t="n">
        <f aca="false">MAX(0,(AM281))</f>
        <v>4773.32794311668</v>
      </c>
      <c r="AM282" s="15" t="n">
        <f aca="false">(AM281)+AK282-AL282</f>
        <v>4842.59971529542</v>
      </c>
      <c r="AN282" s="15" t="n">
        <f aca="false">SUM(X269:X280)</f>
        <v>0</v>
      </c>
      <c r="AO282" s="15" t="n">
        <f aca="false">SUM(AP269:AP280)</f>
        <v>0</v>
      </c>
      <c r="AP282" s="15" t="n">
        <f aca="false">MAX(0,AN282)*IF(2=Parametri_v3!$C$43,Parametri_v3!$C$45,IF(2=Parametri_v3!$C$44,1-Parametri_v3!$C$45,0))</f>
        <v>0</v>
      </c>
      <c r="AQ282" s="15" t="n">
        <f aca="false">MAX(0,AP282+IF(2=Parametri_v3!$C$43,MAX(0,AN282-AO282),0)-MAX(0,-(AR281)))</f>
        <v>0</v>
      </c>
      <c r="AR282" s="15" t="n">
        <f aca="false">(AR281)+X282-AQ282</f>
        <v>0</v>
      </c>
      <c r="AS282" s="15" t="n">
        <f aca="false">Motore_Operativo!AB282-AT282+AU282</f>
        <v>41018.6878583333</v>
      </c>
      <c r="AT282" s="15" t="n">
        <f aca="false">Motore_Operativo!CH282</f>
        <v>2158.87830833333</v>
      </c>
      <c r="AU282" s="15" t="n">
        <f aca="false">MIN(MAX(0,(AV281)+AT282),Parametri_v3!$C$60/12)</f>
        <v>0</v>
      </c>
      <c r="AV282" s="15" t="n">
        <f aca="false">(AV281)+AT282-AU282</f>
        <v>43022.6278666667</v>
      </c>
      <c r="AW282" s="15" t="n">
        <f aca="false">IF(AND(Motore_Operativo!C282=Finanziamenti!$D$6,Finanziamenti!$F$6=1),Finanziamenti!$C$6,0)</f>
        <v>0</v>
      </c>
      <c r="AX282" s="15" t="n">
        <f aca="false">IF(AND(5&lt;&gt;7,5&lt;&gt;9,Finanziamenti!$F$8=1,OR(Parametri_v3!$C$6=0,Finanziamenti!$E$8=1),Motore_Operativo!C282=EDATE(Finanziamenti!$D$8,Ipotesi!G15*12)),Finanziamenti!$C$8*1,0)+IF(AND(5&lt;&gt;7,5&lt;&gt;9,Finanziamenti!$F$9=1,OR(Parametri_v3!$C$6=0,Finanziamenti!$E$9=1),Motore_Operativo!C282=EDATE(Finanziamenti!$D$9,Ipotesi!G15*12)),Finanziamenti!$C$9*Ipotesi!G16,0)</f>
        <v>0</v>
      </c>
      <c r="AY282" s="15" t="n">
        <f aca="false">0</f>
        <v>0</v>
      </c>
      <c r="AZ282" s="15" t="n">
        <f aca="false">Motore_Advisory!AY282*(1-Ipotesi!$C$95)*Ipotesi!$C$96</f>
        <v>0</v>
      </c>
      <c r="BA282" s="15" t="n">
        <f aca="false">MAX(0,MIN(CG282*MIN(1,IF(Motore_Operativo!C282&gt;=EDATE(Finanziamenti!$D$15,Ipotesi!G14*12),Finanziamenti!$C$15,0)+IF(Motore_Operativo!C282&gt;=EDATE(Finanziamenti!$D$16,Ipotesi!G14*12),Finanziamenti!$C$16,0)+IF(Motore_Operativo!C282&gt;=EDATE(Finanziamenti!$D$17,Ipotesi!G14*12),Finanziamenti!$C$17,0)),CA282*Ipotesi!$C$102)-(CC281))</f>
        <v>13789.7122217652</v>
      </c>
      <c r="BB282" s="15" t="n">
        <f aca="false">IF(AND(CF282&gt;0,Motore_Operativo!C282&gt;=IF(CF282=0,0,EDATE(CF282,Parametri_v3!$C$37)),MOD(((D282-YEAR(IF(CF282=0,0,EDATE(CF282,Parametri_v3!$C$37))))*12+E282-MONTH(IF(CF282=0,0,EDATE(CF282,Parametri_v3!$C$37)))),Parametri_v3!$C$38)=0),MIN(MAX(0,(BC281)+BA282-N282),(CC282-CD282)/(Ipotesi!$C$108*12/Parametri_v3!$C$38)),0)</f>
        <v>0</v>
      </c>
      <c r="BC282" s="15" t="n">
        <f aca="false">(BC281)+BA282-N282-BB282</f>
        <v>167504.753364415</v>
      </c>
      <c r="BD282" s="15" t="n">
        <f aca="false">(BH281)+AC282+AF282-AI282-AS282-K282*(1+Parametri_v3!$C$26)-AL282-AQ282-O282+AW282+AX282+AZ282+BA282-BB282</f>
        <v>-17541.6712724017</v>
      </c>
      <c r="BE282" s="15" t="n">
        <f aca="false">MAX(0,MIN(MAX(0,CH282-(BG281)),Parametri_v3!$C$30-BD282))</f>
        <v>0</v>
      </c>
      <c r="BF282" s="15" t="n">
        <f aca="false">IF(Motore_Operativo!C282&gt;=Parametri_v3!$C$63,(BG281),MIN((BG281),MAX(0,BD282-Parametri_v3!$C$30)))</f>
        <v>0</v>
      </c>
      <c r="BG282" s="15" t="n">
        <f aca="false">(BG281)+BE282-BF282</f>
        <v>150000</v>
      </c>
      <c r="BH282" s="15" t="n">
        <f aca="false">BD282+BE282-BF282-AY282</f>
        <v>-17541.6712724017</v>
      </c>
      <c r="BI282" s="15" t="n">
        <f aca="false">MAX(0,Parametri_v3!$C$30-BH282)</f>
        <v>42541.6712724017</v>
      </c>
      <c r="BJ282" s="15" t="n">
        <f aca="false">(BJ281)+K282</f>
        <v>81666.6666666667</v>
      </c>
      <c r="BK282" s="15" t="n">
        <f aca="false">(BK281)+L282</f>
        <v>39513.8888888889</v>
      </c>
      <c r="BL282" s="15" t="n">
        <f aca="false">BJ282-BK282</f>
        <v>42152.7777777778</v>
      </c>
      <c r="BM282" s="15" t="n">
        <f aca="false">(BM281)+Y282</f>
        <v>-655634.579043836</v>
      </c>
      <c r="BN282" s="15" t="n">
        <f aca="false">(BN281)+AW282+AX282+AZ282</f>
        <v>430000</v>
      </c>
      <c r="BO282" s="15" t="n">
        <f aca="false">(BO281)+AY282</f>
        <v>0</v>
      </c>
      <c r="BP282" s="15" t="n">
        <f aca="false">0</f>
        <v>0</v>
      </c>
      <c r="BQ282" s="15" t="n">
        <f aca="false">BN282+BM282-BO282</f>
        <v>-225634.579043836</v>
      </c>
      <c r="BR282" s="15" t="n">
        <f aca="false">BH282+AD282+BL282+MAX(0,-AM282)+MAX(0,-AR282)+AG282</f>
        <v>193019.546638619</v>
      </c>
      <c r="BS282" s="15" t="n">
        <f aca="false">AJ282+AV282+MAX(0,AM282)+MAX(0,AR282)+BC282+BG282+BQ282</f>
        <v>193019.546638619</v>
      </c>
      <c r="BT282" s="15" t="n">
        <f aca="false">BR282-BS282</f>
        <v>0</v>
      </c>
      <c r="BU282" s="15" t="n">
        <f aca="false">BH282-(BD282+BE282-BF282-AY282)</f>
        <v>0</v>
      </c>
      <c r="BV282" s="15" t="n">
        <f aca="false">MIN(Piano_SS!$C$6,(BV281)+IF(AND(Motore_Operativo!C282&gt;=EDATE(Parametri_v3!$C$24,Ipotesi!G14*12),Motore_Operativo!C282&lt;EDATE(Parametri_v3!$C$24,Parametri_v3!$C$25+Ipotesi!G14*12)),MAX(0,(Motore_Operativo!Y282+Motore_Operativo!X282*Parametri_v3!$C$14)*(1-Parametri_v3!$C$32))*Piano_SS!$D$6,0))</f>
        <v>147364.248622917</v>
      </c>
      <c r="BW282" s="15" t="n">
        <f aca="false">MIN(Piano_SS!$C$7,(BW281)+IF(AND(Motore_Operativo!C282&gt;=EDATE(Parametri_v3!$C$24,Ipotesi!G14*12),Motore_Operativo!C282&lt;EDATE(Parametri_v3!$C$24,Parametri_v3!$C$25+Ipotesi!G14*12)),MAX(0,(IF(38-(INT((Ipotesi!$C$91)/30))&lt;1,0,INDEX(Motore_Operativo!$BN$245:$BN$304,MAX(1,38-(INT((Ipotesi!$C$91)/30)))))*(1-(MOD((Ipotesi!$C$91),30)/30))+IF(38-(INT((Ipotesi!$C$91)/30))-1&lt;1,0,INDEX(Motore_Operativo!$BN$245:$BN$304,MAX(1,38-(INT((Ipotesi!$C$91)/30))-1)))*(MOD((Ipotesi!$C$91),30)/30)))*Piano_SS!$D$7,0))</f>
        <v>20013.287146872</v>
      </c>
      <c r="BX282" s="15" t="n">
        <f aca="false">MIN(Piano_SS!$C$8,(BX281)+IF(AND(Motore_Operativo!C282&gt;=EDATE(Parametri_v3!$C$24,Ipotesi!G14*12),Motore_Operativo!C282&lt;EDATE(Parametri_v3!$C$24,Parametri_v3!$C$25+Ipotesi!G14*12)),MAX(0,Motore_Operativo!CE282)*Piano_SS!$D$8,0))</f>
        <v>49166.6666666667</v>
      </c>
      <c r="BY282" s="15" t="n">
        <f aca="false">MIN(Piano_SS!$C$9,(BY281)+IF(AND(Motore_Operativo!C282&gt;=EDATE(Parametri_v3!$C$24,Ipotesi!G14*12),Motore_Operativo!C282&lt;EDATE(Parametri_v3!$C$24,Parametri_v3!$C$25+Ipotesi!G14*12)),MAX(0,((IF(38-(INT((Ipotesi!$C$91)/30))&lt;1,0,INDEX(Motore_Operativo!$BQ$245:$BQ$304,MAX(1,38-(INT((Ipotesi!$C$91)/30)))))*(1-(MOD((Ipotesi!$C$91),30)/30))+IF(38-(INT((Ipotesi!$C$91)/30))-1&lt;1,0,INDEX(Motore_Operativo!$BQ$245:$BQ$304,MAX(1,38-(INT((Ipotesi!$C$91)/30))-1)))*(MOD((Ipotesi!$C$91),30)/30))+(IF(38-(INT((Ipotesi!$C$91)/30))&lt;1,0,INDEX(Motore_Operativo!$BR$245:$BR$304,MAX(1,38-(INT((Ipotesi!$C$91)/30)))))*(1-(MOD((Ipotesi!$C$91),30)/30))+IF(38-(INT((Ipotesi!$C$91)/30))-1&lt;1,0,INDEX(Motore_Operativo!$BR$245:$BR$304,MAX(1,38-(INT((Ipotesi!$C$91)/30))-1)))*(MOD((Ipotesi!$C$91),30)/30))))*Piano_SS!$D$9,0))</f>
        <v>40000</v>
      </c>
      <c r="BZ282" s="15" t="n">
        <f aca="false">MIN(Piano_SS!$C$10,(BZ281)+IF(AND(Motore_Operativo!C282&gt;=EDATE(Parametri_v3!$C$24,Ipotesi!G14*12),Motore_Operativo!C282&lt;EDATE(Parametri_v3!$C$24,Parametri_v3!$C$25+Ipotesi!G14*12)),MAX(0,(IF(38-(INT((Ipotesi!$C$91)/30))&lt;1,0,INDEX(Motore_Operativo!$BO$245:$BO$304,MAX(1,38-(INT((Ipotesi!$C$91)/30)))))*(1-(MOD((Ipotesi!$C$91),30)/30))+IF(38-(INT((Ipotesi!$C$91)/30))-1&lt;1,0,INDEX(Motore_Operativo!$BO$245:$BO$304,MAX(1,38-(INT((Ipotesi!$C$91)/30))-1)))*(MOD((Ipotesi!$C$91),30)/30)))*Piano_SS!$D$10,0))</f>
        <v>29800</v>
      </c>
      <c r="CA282" s="15" t="n">
        <f aca="false">SUM(BV282:BZ282)</f>
        <v>286344.202436455</v>
      </c>
      <c r="CB282" s="15" t="n">
        <f aca="false">BV282*(1-Piano_SS!$E$6)+BW282*(1-Piano_SS!$E$7)+BX282*(1-Piano_SS!$E$8)+BY282*(1-Piano_SS!$E$9)+BZ282*(1-Piano_SS!$E$10)</f>
        <v>256544.202436455</v>
      </c>
      <c r="CC282" s="15" t="n">
        <f aca="false">(CC281)+BA282</f>
        <v>229075.361949164</v>
      </c>
      <c r="CD282" s="15" t="n">
        <f aca="false">IF(CA282=0,0,CC282*CB282/CA282*Ipotesi!$C$103*Parametri_v3!$C$64)</f>
        <v>61570.6085847493</v>
      </c>
      <c r="CE282" s="18" t="n">
        <f aca="false">IF(BA282&gt;0,Motore_Operativo!C282,(CE281))</f>
        <v>47515</v>
      </c>
      <c r="CF282" s="18" t="n">
        <f aca="false">IF(AND(CC282&gt;0,OR(CC282&gt;=CG282-0.01,Motore_Operativo!C282&gt;=EDATE(MAX(Finanziamenti!$D$15:$D$17),Ipotesi!G14*12))),CE282,0)</f>
        <v>0</v>
      </c>
      <c r="CG282" s="15" t="n">
        <f aca="false">IF(AND(5&lt;&gt;6,5&lt;&gt;9,Finanziamenti!$F$11=1,OR(Parametri_v3!$C$6=0,Finanziamenti!$E$11=1)),MIN(Finanziamenti!$C$11,Piano_SS!$C$12*Ipotesi!$C$102),0)</f>
        <v>400000</v>
      </c>
      <c r="CH282" s="15" t="n">
        <f aca="false">IF(AND(AND(5&lt;&gt;8,5&lt;&gt;9,Finanziamenti!$F$10=1,OR(Parametri_v3!$C$6=0,Finanziamenti!$E$10=1)),Motore_Operativo!C282&gt;=Finanziamenti!$D$10,Motore_Operativo!C282&lt;Parametri_v3!$C$63),Finanziamenti!$C$10,0)</f>
        <v>150000</v>
      </c>
    </row>
    <row r="283" customFormat="false" ht="18" hidden="false" customHeight="true" outlineLevel="0" collapsed="false">
      <c r="A283" s="68" t="n">
        <f aca="false">5</f>
        <v>5</v>
      </c>
      <c r="B283" s="68" t="n">
        <f aca="false">39</f>
        <v>39</v>
      </c>
      <c r="C283" s="18" t="n">
        <f aca="false">Motore_Operativo!C283</f>
        <v>47543</v>
      </c>
      <c r="D283" s="68" t="n">
        <f aca="false">Motore_Operativo!D283</f>
        <v>2030</v>
      </c>
      <c r="E283" s="68" t="n">
        <f aca="false">Motore_Operativo!E283</f>
        <v>3</v>
      </c>
      <c r="F283" s="15" t="n">
        <f aca="false">Motore_Operativo!AQ283+Motore_Operativo!BF283</f>
        <v>40331.8793651324</v>
      </c>
      <c r="G283" s="15" t="n">
        <f aca="false">Motore_Operativo!BH283</f>
        <v>4466.9625</v>
      </c>
      <c r="H283" s="15" t="n">
        <f aca="false">Motore_Operativo!BI283</f>
        <v>44798.8418651324</v>
      </c>
      <c r="I283" s="15" t="n">
        <f aca="false">Motore_Operativo!CA283</f>
        <v>65697.0631527852</v>
      </c>
      <c r="J283" s="15" t="n">
        <f aca="false">Motore_Operativo!CC283</f>
        <v>-20898.2212876528</v>
      </c>
      <c r="K283" s="15" t="n">
        <f aca="false">Motore_Operativo!CE283</f>
        <v>3333.33333333333</v>
      </c>
      <c r="L283" s="15" t="n">
        <f aca="false">SUM(INDEX($K$245:$K$304,MAX(1,39-Parametri_v3!$C$59+1)):K283)/Parametri_v3!$C$59</f>
        <v>2222.22222222222</v>
      </c>
      <c r="M283" s="15" t="n">
        <f aca="false">J283-L283</f>
        <v>-23120.443509875</v>
      </c>
      <c r="N283" s="15" t="n">
        <f aca="false">CD283-(CD282)</f>
        <v>3136.12179474196</v>
      </c>
      <c r="O283" s="15" t="n">
        <f aca="false">(BG282)*Ipotesi!$C$110/12+CH283*Parametri_v3!$C$39/12</f>
        <v>750</v>
      </c>
      <c r="P283" s="15" t="n">
        <f aca="false">M283+N283-O283</f>
        <v>-20734.3217151331</v>
      </c>
      <c r="Q283" s="15" t="n">
        <f aca="false">SUM(P281:P283)+Parametri_v3!$C$54*3/12</f>
        <v>-61827.1299290532</v>
      </c>
      <c r="R283" s="15" t="n">
        <f aca="false">Z280</f>
        <v>614541.770829915</v>
      </c>
      <c r="S283" s="15" t="n">
        <f aca="false">AA280</f>
        <v>0</v>
      </c>
      <c r="T283" s="15" t="n">
        <f aca="false">MIN(R283,MAX(0,Q283))</f>
        <v>0</v>
      </c>
      <c r="U283" s="15" t="n">
        <f aca="false">MIN(S283,MAX(0,Q283-T283)*Parametri_v3!$C$42)</f>
        <v>0</v>
      </c>
      <c r="V283" s="15" t="n">
        <f aca="false">MAX(0,Q283-T283-U283)*Ipotesi!$C$92</f>
        <v>0</v>
      </c>
      <c r="W283" s="15" t="n">
        <f aca="false">MAX(0,SUM(M281:M283)+Parametri_v3!$C$55*3/12)*Ipotesi!$C$93</f>
        <v>0</v>
      </c>
      <c r="X283" s="15" t="n">
        <f aca="false">V283+W283-(V282+W282)</f>
        <v>0</v>
      </c>
      <c r="Y283" s="15" t="n">
        <f aca="false">P283-X283</f>
        <v>-20734.3217151331</v>
      </c>
      <c r="Z283" s="15" t="n">
        <f aca="false">R283-T283+IF(AND(Parametri_v3!$C$40=1,D283-YEAR(Parametri_v3!$C$50)&lt;Parametri_v3!$C$41),MAX(0,-Q283),0)</f>
        <v>614541.770829915</v>
      </c>
      <c r="AA283" s="15" t="n">
        <f aca="false">S283-U283+IF(AND(Parametri_v3!$C$40=1,D283-YEAR(Parametri_v3!$C$50)&lt;Parametri_v3!$C$41),0,MAX(0,-Q283))</f>
        <v>61827.1299290532</v>
      </c>
      <c r="AB283" s="15" t="n">
        <f aca="false">F283*(1+Parametri_v3!$C$26)</f>
        <v>49204.8928254615</v>
      </c>
      <c r="AC283" s="15" t="n">
        <f aca="false">(IF(39-(INT((Motore_Operativo!L283)/30))&lt;1,0,INDEX(Motore_Startup!$AB$245:$AB$304,MAX(1,39-(INT((Motore_Operativo!L283)/30)))))*(1-(MOD((Motore_Operativo!L283),30)/30))+IF(39-(INT((Motore_Operativo!L283)/30))-1&lt;1,0,INDEX(Motore_Startup!$AB$245:$AB$304,MAX(1,39-(INT((Motore_Operativo!L283)/30))-1)))*(MOD((Motore_Operativo!L283),30)/30))</f>
        <v>32673.3299101363</v>
      </c>
      <c r="AD283" s="15" t="n">
        <f aca="false">(AD282)+AB283-AC283</f>
        <v>179490.308798569</v>
      </c>
      <c r="AE283" s="15" t="n">
        <f aca="false">Motore_Operativo!BH283*(1+Parametri_v3!$C$26)</f>
        <v>5449.69425</v>
      </c>
      <c r="AF283" s="15" t="n">
        <f aca="false">(IF(39-(INT((Parametri_v3!$C$29)/30))&lt;1,0,INDEX(Motore_Operativo!$BH$245:$BH$304,MAX(1,39-(INT((Parametri_v3!$C$29)/30)))))*(1-(MOD((Parametri_v3!$C$29),30)/30))+IF(39-(INT((Parametri_v3!$C$29)/30))-1&lt;1,0,INDEX(Motore_Operativo!$BH$245:$BH$304,MAX(1,39-(INT((Parametri_v3!$C$29)/30))-1)))*(MOD((Parametri_v3!$C$29),30)/30))*(1+Parametri_v3!$C$26)</f>
        <v>5449.69425</v>
      </c>
      <c r="AG283" s="15" t="n">
        <f aca="false">(AG282)+AE283-AF283</f>
        <v>5449.69425</v>
      </c>
      <c r="AH283" s="15" t="n">
        <f aca="false">(Motore_Operativo!CJ283)*(1+Parametri_v3!$C$27*Parametri_v3!$C$26)</f>
        <v>26730.6429225227</v>
      </c>
      <c r="AI283" s="15" t="n">
        <f aca="false">(IF(39-(INT((Ipotesi!$C$91)/30))&lt;1,0,INDEX(Motore_Startup!$AH$245:$AH$304,MAX(1,39-(INT((Ipotesi!$C$91)/30)))))*(1-(MOD((Ipotesi!$C$91),30)/30))+IF(39-(INT((Ipotesi!$C$91)/30))-1&lt;1,0,INDEX(Motore_Startup!$AH$245:$AH$304,MAX(1,39-(INT((Ipotesi!$C$91)/30))-1)))*(MOD((Ipotesi!$C$91),30)/30))</f>
        <v>26612.3757858991</v>
      </c>
      <c r="AJ283" s="15" t="n">
        <f aca="false">(AJ282)+AH283-AI283</f>
        <v>53402.4118727014</v>
      </c>
      <c r="AK283" s="15" t="n">
        <f aca="false">(F283+ Motore_Operativo!BH283-(Motore_Operativo!CJ283)*Parametri_v3!$C$27-Motore_Operativo!CE283)*Parametri_v3!$C$26</f>
        <v>4911.26594059163</v>
      </c>
      <c r="AL283" s="15" t="n">
        <f aca="false">MAX(0,(AM282))</f>
        <v>4842.59971529542</v>
      </c>
      <c r="AM283" s="15" t="n">
        <f aca="false">(AM282)+AK283-AL283</f>
        <v>4911.26594059163</v>
      </c>
      <c r="AN283" s="15" t="n">
        <f aca="false">SUM(X269:X280)</f>
        <v>0</v>
      </c>
      <c r="AO283" s="15" t="n">
        <f aca="false">SUM(AP269:AP280)</f>
        <v>0</v>
      </c>
      <c r="AP283" s="15" t="n">
        <f aca="false">MAX(0,AN283)*IF(3=Parametri_v3!$C$43,Parametri_v3!$C$45,IF(3=Parametri_v3!$C$44,1-Parametri_v3!$C$45,0))</f>
        <v>0</v>
      </c>
      <c r="AQ283" s="15" t="n">
        <f aca="false">MAX(0,AP283+IF(3=Parametri_v3!$C$43,MAX(0,AN283-AO283),0)-MAX(0,-(AR282)))</f>
        <v>0</v>
      </c>
      <c r="AR283" s="15" t="n">
        <f aca="false">(AR282)+X283-AQ283</f>
        <v>0</v>
      </c>
      <c r="AS283" s="15" t="n">
        <f aca="false">Motore_Operativo!AB283-AT283+AU283</f>
        <v>41018.6878583333</v>
      </c>
      <c r="AT283" s="15" t="n">
        <f aca="false">Motore_Operativo!CH283</f>
        <v>2158.87830833333</v>
      </c>
      <c r="AU283" s="15" t="n">
        <f aca="false">MIN(MAX(0,(AV282)+AT283),Parametri_v3!$C$60/12)</f>
        <v>0</v>
      </c>
      <c r="AV283" s="15" t="n">
        <f aca="false">(AV282)+AT283-AU283</f>
        <v>45181.506175</v>
      </c>
      <c r="AW283" s="15" t="n">
        <f aca="false">IF(AND(Motore_Operativo!C283=Finanziamenti!$D$6,Finanziamenti!$F$6=1),Finanziamenti!$C$6,0)</f>
        <v>0</v>
      </c>
      <c r="AX283" s="15" t="n">
        <f aca="false">IF(AND(5&lt;&gt;7,5&lt;&gt;9,Finanziamenti!$F$8=1,OR(Parametri_v3!$C$6=0,Finanziamenti!$E$8=1),Motore_Operativo!C283=EDATE(Finanziamenti!$D$8,Ipotesi!G15*12)),Finanziamenti!$C$8*1,0)+IF(AND(5&lt;&gt;7,5&lt;&gt;9,Finanziamenti!$F$9=1,OR(Parametri_v3!$C$6=0,Finanziamenti!$E$9=1),Motore_Operativo!C283=EDATE(Finanziamenti!$D$9,Ipotesi!G15*12)),Finanziamenti!$C$9*Ipotesi!G16,0)</f>
        <v>0</v>
      </c>
      <c r="AY283" s="15" t="n">
        <f aca="false">0</f>
        <v>0</v>
      </c>
      <c r="AZ283" s="15" t="n">
        <f aca="false">Motore_Advisory!AY283*(1-Ipotesi!$C$95)*Ipotesi!$C$96</f>
        <v>0</v>
      </c>
      <c r="BA283" s="15" t="n">
        <f aca="false">MAX(0,MIN(CG283*MIN(1,IF(Motore_Operativo!C283&gt;=EDATE(Finanziamenti!$D$15,Ipotesi!G14*12),Finanziamenti!$C$15,0)+IF(Motore_Operativo!C283&gt;=EDATE(Finanziamenti!$D$16,Ipotesi!G14*12),Finanziamenti!$C$16,0)+IF(Motore_Operativo!C283&gt;=EDATE(Finanziamenti!$D$17,Ipotesi!G14*12),Finanziamenti!$C$17,0)),CA283*Ipotesi!$C$102)-(CC282))</f>
        <v>10613.7393158065</v>
      </c>
      <c r="BB283" s="15" t="n">
        <f aca="false">IF(AND(CF283&gt;0,Motore_Operativo!C283&gt;=IF(CF283=0,0,EDATE(CF283,Parametri_v3!$C$37)),MOD(((D283-YEAR(IF(CF283=0,0,EDATE(CF283,Parametri_v3!$C$37))))*12+E283-MONTH(IF(CF283=0,0,EDATE(CF283,Parametri_v3!$C$37)))),Parametri_v3!$C$38)=0),MIN(MAX(0,(BC282)+BA283-N283),(CC283-CD283)/(Ipotesi!$C$108*12/Parametri_v3!$C$38)),0)</f>
        <v>0</v>
      </c>
      <c r="BC283" s="15" t="n">
        <f aca="false">(BC282)+BA283-N283-BB283</f>
        <v>174982.37088548</v>
      </c>
      <c r="BD283" s="15" t="n">
        <f aca="false">(BH282)+AC283+AF283-AI283-AS283-K283*(1+Parametri_v3!$C$26)-AL283-AQ283-O283+AW283+AX283+AZ283+BA283-BB283</f>
        <v>-46095.2378226534</v>
      </c>
      <c r="BE283" s="15" t="n">
        <f aca="false">MAX(0,MIN(MAX(0,CH283-(BG282)),Parametri_v3!$C$30-BD283))</f>
        <v>0</v>
      </c>
      <c r="BF283" s="15" t="n">
        <f aca="false">IF(Motore_Operativo!C283&gt;=Parametri_v3!$C$63,(BG282),MIN((BG282),MAX(0,BD283-Parametri_v3!$C$30)))</f>
        <v>0</v>
      </c>
      <c r="BG283" s="15" t="n">
        <f aca="false">(BG282)+BE283-BF283</f>
        <v>150000</v>
      </c>
      <c r="BH283" s="15" t="n">
        <f aca="false">BD283+BE283-BF283-AY283</f>
        <v>-46095.2378226534</v>
      </c>
      <c r="BI283" s="15" t="n">
        <f aca="false">MAX(0,Parametri_v3!$C$30-BH283)</f>
        <v>71095.2378226534</v>
      </c>
      <c r="BJ283" s="15" t="n">
        <f aca="false">(BJ282)+K283</f>
        <v>85000</v>
      </c>
      <c r="BK283" s="15" t="n">
        <f aca="false">(BK282)+L283</f>
        <v>41736.1111111111</v>
      </c>
      <c r="BL283" s="15" t="n">
        <f aca="false">BJ283-BK283</f>
        <v>43263.8888888889</v>
      </c>
      <c r="BM283" s="15" t="n">
        <f aca="false">(BM282)+Y283</f>
        <v>-676368.900758969</v>
      </c>
      <c r="BN283" s="15" t="n">
        <f aca="false">(BN282)+AW283+AX283+AZ283</f>
        <v>430000</v>
      </c>
      <c r="BO283" s="15" t="n">
        <f aca="false">(BO282)+AY283</f>
        <v>0</v>
      </c>
      <c r="BP283" s="15" t="n">
        <f aca="false">0</f>
        <v>0</v>
      </c>
      <c r="BQ283" s="15" t="n">
        <f aca="false">BN283+BM283-BO283</f>
        <v>-246368.900758969</v>
      </c>
      <c r="BR283" s="15" t="n">
        <f aca="false">BH283+AD283+BL283+MAX(0,-AM283)+MAX(0,-AR283)+AG283</f>
        <v>182108.654114804</v>
      </c>
      <c r="BS283" s="15" t="n">
        <f aca="false">AJ283+AV283+MAX(0,AM283)+MAX(0,AR283)+BC283+BG283+BQ283</f>
        <v>182108.654114804</v>
      </c>
      <c r="BT283" s="15" t="n">
        <f aca="false">BR283-BS283</f>
        <v>0</v>
      </c>
      <c r="BU283" s="15" t="n">
        <f aca="false">BH283-(BD283+BE283-BF283-AY283)</f>
        <v>0</v>
      </c>
      <c r="BV283" s="15" t="n">
        <f aca="false">MIN(Piano_SS!$C$6,(BV282)+IF(AND(Motore_Operativo!C283&gt;=EDATE(Parametri_v3!$C$24,Ipotesi!G14*12),Motore_Operativo!C283&lt;EDATE(Parametri_v3!$C$24,Parametri_v3!$C$25+Ipotesi!G14*12)),MAX(0,(Motore_Operativo!Y283+Motore_Operativo!X283*Parametri_v3!$C$14)*(1-Parametri_v3!$C$32))*Piano_SS!$D$6,0))</f>
        <v>158242.573559375</v>
      </c>
      <c r="BW283" s="15" t="n">
        <f aca="false">MIN(Piano_SS!$C$7,(BW282)+IF(AND(Motore_Operativo!C283&gt;=EDATE(Parametri_v3!$C$24,Ipotesi!G14*12),Motore_Operativo!C283&lt;EDATE(Parametri_v3!$C$24,Parametri_v3!$C$25+Ipotesi!G14*12)),MAX(0,(IF(39-(INT((Ipotesi!$C$91)/30))&lt;1,0,INDEX(Motore_Operativo!$BN$245:$BN$304,MAX(1,39-(INT((Ipotesi!$C$91)/30)))))*(1-(MOD((Ipotesi!$C$91),30)/30))+IF(39-(INT((Ipotesi!$C$91)/30))-1&lt;1,0,INDEX(Motore_Operativo!$BN$245:$BN$304,MAX(1,39-(INT((Ipotesi!$C$91)/30))-1)))*(MOD((Ipotesi!$C$91),30)/30)))*Piano_SS!$D$7,0))</f>
        <v>21368.8030218385</v>
      </c>
      <c r="BX283" s="15" t="n">
        <f aca="false">MIN(Piano_SS!$C$8,(BX282)+IF(AND(Motore_Operativo!C283&gt;=EDATE(Parametri_v3!$C$24,Ipotesi!G14*12),Motore_Operativo!C283&lt;EDATE(Parametri_v3!$C$24,Parametri_v3!$C$25+Ipotesi!G14*12)),MAX(0,Motore_Operativo!CE283)*Piano_SS!$D$8,0))</f>
        <v>50000</v>
      </c>
      <c r="BY283" s="15" t="n">
        <f aca="false">MIN(Piano_SS!$C$9,(BY282)+IF(AND(Motore_Operativo!C283&gt;=EDATE(Parametri_v3!$C$24,Ipotesi!G14*12),Motore_Operativo!C283&lt;EDATE(Parametri_v3!$C$24,Parametri_v3!$C$25+Ipotesi!G14*12)),MAX(0,((IF(39-(INT((Ipotesi!$C$91)/30))&lt;1,0,INDEX(Motore_Operativo!$BQ$245:$BQ$304,MAX(1,39-(INT((Ipotesi!$C$91)/30)))))*(1-(MOD((Ipotesi!$C$91),30)/30))+IF(39-(INT((Ipotesi!$C$91)/30))-1&lt;1,0,INDEX(Motore_Operativo!$BQ$245:$BQ$304,MAX(1,39-(INT((Ipotesi!$C$91)/30))-1)))*(MOD((Ipotesi!$C$91),30)/30))+(IF(39-(INT((Ipotesi!$C$91)/30))&lt;1,0,INDEX(Motore_Operativo!$BR$245:$BR$304,MAX(1,39-(INT((Ipotesi!$C$91)/30)))))*(1-(MOD((Ipotesi!$C$91),30)/30))+IF(39-(INT((Ipotesi!$C$91)/30))-1&lt;1,0,INDEX(Motore_Operativo!$BR$245:$BR$304,MAX(1,39-(INT((Ipotesi!$C$91)/30))-1)))*(MOD((Ipotesi!$C$91),30)/30))))*Piano_SS!$D$9,0))</f>
        <v>40000</v>
      </c>
      <c r="BZ283" s="15" t="n">
        <f aca="false">MIN(Piano_SS!$C$10,(BZ282)+IF(AND(Motore_Operativo!C283&gt;=EDATE(Parametri_v3!$C$24,Ipotesi!G14*12),Motore_Operativo!C283&lt;EDATE(Parametri_v3!$C$24,Parametri_v3!$C$25+Ipotesi!G14*12)),MAX(0,(IF(39-(INT((Ipotesi!$C$91)/30))&lt;1,0,INDEX(Motore_Operativo!$BO$245:$BO$304,MAX(1,39-(INT((Ipotesi!$C$91)/30)))))*(1-(MOD((Ipotesi!$C$91),30)/30))+IF(39-(INT((Ipotesi!$C$91)/30))-1&lt;1,0,INDEX(Motore_Operativo!$BO$245:$BO$304,MAX(1,39-(INT((Ipotesi!$C$91)/30))-1)))*(MOD((Ipotesi!$C$91),30)/30)))*Piano_SS!$D$10,0))</f>
        <v>30000</v>
      </c>
      <c r="CA283" s="15" t="n">
        <f aca="false">SUM(BV283:BZ283)</f>
        <v>299611.376581214</v>
      </c>
      <c r="CB283" s="15" t="n">
        <f aca="false">BV283*(1-Piano_SS!$E$6)+BW283*(1-Piano_SS!$E$7)+BX283*(1-Piano_SS!$E$8)+BY283*(1-Piano_SS!$E$9)+BZ283*(1-Piano_SS!$E$10)</f>
        <v>269611.376581214</v>
      </c>
      <c r="CC283" s="15" t="n">
        <f aca="false">(CC282)+BA283</f>
        <v>239689.101264971</v>
      </c>
      <c r="CD283" s="15" t="n">
        <f aca="false">IF(CA283=0,0,CC283*CB283/CA283*Ipotesi!$C$103*Parametri_v3!$C$64)</f>
        <v>64706.7303794913</v>
      </c>
      <c r="CE283" s="18" t="n">
        <f aca="false">IF(BA283&gt;0,Motore_Operativo!C283,(CE282))</f>
        <v>47543</v>
      </c>
      <c r="CF283" s="18" t="n">
        <f aca="false">IF(AND(CC283&gt;0,OR(CC283&gt;=CG283-0.01,Motore_Operativo!C283&gt;=EDATE(MAX(Finanziamenti!$D$15:$D$17),Ipotesi!G14*12))),CE283,0)</f>
        <v>0</v>
      </c>
      <c r="CG283" s="15" t="n">
        <f aca="false">IF(AND(5&lt;&gt;6,5&lt;&gt;9,Finanziamenti!$F$11=1,OR(Parametri_v3!$C$6=0,Finanziamenti!$E$11=1)),MIN(Finanziamenti!$C$11,Piano_SS!$C$12*Ipotesi!$C$102),0)</f>
        <v>400000</v>
      </c>
      <c r="CH283" s="15" t="n">
        <f aca="false">IF(AND(AND(5&lt;&gt;8,5&lt;&gt;9,Finanziamenti!$F$10=1,OR(Parametri_v3!$C$6=0,Finanziamenti!$E$10=1)),Motore_Operativo!C283&gt;=Finanziamenti!$D$10,Motore_Operativo!C283&lt;Parametri_v3!$C$63),Finanziamenti!$C$10,0)</f>
        <v>150000</v>
      </c>
    </row>
    <row r="284" customFormat="false" ht="18" hidden="false" customHeight="true" outlineLevel="0" collapsed="false">
      <c r="A284" s="68" t="n">
        <f aca="false">5</f>
        <v>5</v>
      </c>
      <c r="B284" s="68" t="n">
        <f aca="false">40</f>
        <v>40</v>
      </c>
      <c r="C284" s="18" t="n">
        <f aca="false">Motore_Operativo!C284</f>
        <v>47574</v>
      </c>
      <c r="D284" s="68" t="n">
        <f aca="false">Motore_Operativo!D284</f>
        <v>2030</v>
      </c>
      <c r="E284" s="68" t="n">
        <f aca="false">Motore_Operativo!E284</f>
        <v>4</v>
      </c>
      <c r="F284" s="15" t="n">
        <f aca="false">Motore_Operativo!AQ284+Motore_Operativo!BF284</f>
        <v>40756.4485429114</v>
      </c>
      <c r="G284" s="15" t="n">
        <f aca="false">Motore_Operativo!BH284</f>
        <v>4466.9625</v>
      </c>
      <c r="H284" s="15" t="n">
        <f aca="false">Motore_Operativo!BI284</f>
        <v>45223.4110429114</v>
      </c>
      <c r="I284" s="15" t="n">
        <f aca="false">Motore_Operativo!CA284</f>
        <v>65756.5028376743</v>
      </c>
      <c r="J284" s="15" t="n">
        <f aca="false">Motore_Operativo!CC284</f>
        <v>-20533.0917947628</v>
      </c>
      <c r="K284" s="15" t="n">
        <f aca="false">Motore_Operativo!CE284</f>
        <v>3333.33333333333</v>
      </c>
      <c r="L284" s="15" t="n">
        <f aca="false">SUM(INDEX($K$245:$K$304,MAX(1,40-Parametri_v3!$C$59+1)):K284)/Parametri_v3!$C$59</f>
        <v>2268.51851851852</v>
      </c>
      <c r="M284" s="15" t="n">
        <f aca="false">J284-L284</f>
        <v>-22801.6103132814</v>
      </c>
      <c r="N284" s="15" t="n">
        <f aca="false">CD284-(CD283)</f>
        <v>2942.98392468639</v>
      </c>
      <c r="O284" s="15" t="n">
        <f aca="false">(BG283)*Ipotesi!$C$110/12+CH284*Parametri_v3!$C$39/12</f>
        <v>750</v>
      </c>
      <c r="P284" s="15" t="n">
        <f aca="false">M284+N284-O284</f>
        <v>-20608.626388595</v>
      </c>
      <c r="Q284" s="15" t="n">
        <f aca="false">SUM(P281:P284)+Parametri_v3!$C$54*4/12</f>
        <v>-82435.7563176482</v>
      </c>
      <c r="R284" s="15" t="n">
        <f aca="false">Z280</f>
        <v>614541.770829915</v>
      </c>
      <c r="S284" s="15" t="n">
        <f aca="false">AA280</f>
        <v>0</v>
      </c>
      <c r="T284" s="15" t="n">
        <f aca="false">MIN(R284,MAX(0,Q284))</f>
        <v>0</v>
      </c>
      <c r="U284" s="15" t="n">
        <f aca="false">MIN(S284,MAX(0,Q284-T284)*Parametri_v3!$C$42)</f>
        <v>0</v>
      </c>
      <c r="V284" s="15" t="n">
        <f aca="false">MAX(0,Q284-T284-U284)*Ipotesi!$C$92</f>
        <v>0</v>
      </c>
      <c r="W284" s="15" t="n">
        <f aca="false">MAX(0,SUM(M281:M284)+Parametri_v3!$C$55*4/12)*Ipotesi!$C$93</f>
        <v>0</v>
      </c>
      <c r="X284" s="15" t="n">
        <f aca="false">V284+W284-(V283+W283)</f>
        <v>0</v>
      </c>
      <c r="Y284" s="15" t="n">
        <f aca="false">P284-X284</f>
        <v>-20608.626388595</v>
      </c>
      <c r="Z284" s="15" t="n">
        <f aca="false">R284-T284+IF(AND(Parametri_v3!$C$40=1,D284-YEAR(Parametri_v3!$C$50)&lt;Parametri_v3!$C$41),MAX(0,-Q284),0)</f>
        <v>614541.770829915</v>
      </c>
      <c r="AA284" s="15" t="n">
        <f aca="false">S284-U284+IF(AND(Parametri_v3!$C$40=1,D284-YEAR(Parametri_v3!$C$50)&lt;Parametri_v3!$C$41),0,MAX(0,-Q284))</f>
        <v>82435.7563176482</v>
      </c>
      <c r="AB284" s="15" t="n">
        <f aca="false">F284*(1+Parametri_v3!$C$26)</f>
        <v>49722.8672223519</v>
      </c>
      <c r="AC284" s="15" t="n">
        <f aca="false">(IF(40-(INT((Motore_Operativo!L284)/30))&lt;1,0,INDEX(Motore_Startup!$AB$245:$AB$304,MAX(1,40-(INT((Motore_Operativo!L284)/30)))))*(1-(MOD((Motore_Operativo!L284),30)/30))+IF(40-(INT((Motore_Operativo!L284)/30))-1&lt;1,0,INDEX(Motore_Startup!$AB$245:$AB$304,MAX(1,40-(INT((Motore_Operativo!L284)/30))-1)))*(MOD((Motore_Operativo!L284),30)/30))</f>
        <v>33176.1006130765</v>
      </c>
      <c r="AD284" s="15" t="n">
        <f aca="false">(AD283)+AB284-AC284</f>
        <v>196037.075407844</v>
      </c>
      <c r="AE284" s="15" t="n">
        <f aca="false">Motore_Operativo!BH284*(1+Parametri_v3!$C$26)</f>
        <v>5449.69425</v>
      </c>
      <c r="AF284" s="15" t="n">
        <f aca="false">(IF(40-(INT((Parametri_v3!$C$29)/30))&lt;1,0,INDEX(Motore_Operativo!$BH$245:$BH$304,MAX(1,40-(INT((Parametri_v3!$C$29)/30)))))*(1-(MOD((Parametri_v3!$C$29),30)/30))+IF(40-(INT((Parametri_v3!$C$29)/30))-1&lt;1,0,INDEX(Motore_Operativo!$BH$245:$BH$304,MAX(1,40-(INT((Parametri_v3!$C$29)/30))-1)))*(MOD((Parametri_v3!$C$29),30)/30))*(1+Parametri_v3!$C$26)</f>
        <v>5449.69425</v>
      </c>
      <c r="AG284" s="15" t="n">
        <f aca="false">(AG283)+AE284-AF284</f>
        <v>5449.69425</v>
      </c>
      <c r="AH284" s="15" t="n">
        <f aca="false">(Motore_Operativo!CJ284)*(1+Parametri_v3!$C$27*Parametri_v3!$C$26)</f>
        <v>26801.197828486</v>
      </c>
      <c r="AI284" s="15" t="n">
        <f aca="false">(IF(40-(INT((Ipotesi!$C$91)/30))&lt;1,0,INDEX(Motore_Startup!$AH$245:$AH$304,MAX(1,40-(INT((Ipotesi!$C$91)/30)))))*(1-(MOD((Ipotesi!$C$91),30)/30))+IF(40-(INT((Ipotesi!$C$91)/30))-1&lt;1,0,INDEX(Motore_Startup!$AH$245:$AH$304,MAX(1,40-(INT((Ipotesi!$C$91)/30))-1)))*(MOD((Ipotesi!$C$91),30)/30))</f>
        <v>26671.7689501787</v>
      </c>
      <c r="AJ284" s="15" t="n">
        <f aca="false">(AJ283)+AH284-AI284</f>
        <v>53531.8407510087</v>
      </c>
      <c r="AK284" s="15" t="n">
        <f aca="false">(F284+ Motore_Operativo!BH284-(Motore_Operativo!CJ284)*Parametri_v3!$C$27-Motore_Operativo!CE284)*Parametri_v3!$C$26</f>
        <v>4993.55593862876</v>
      </c>
      <c r="AL284" s="15" t="n">
        <f aca="false">MAX(0,(AM283))</f>
        <v>4911.26594059163</v>
      </c>
      <c r="AM284" s="15" t="n">
        <f aca="false">(AM283)+AK284-AL284</f>
        <v>4993.55593862876</v>
      </c>
      <c r="AN284" s="15" t="n">
        <f aca="false">SUM(X269:X280)</f>
        <v>0</v>
      </c>
      <c r="AO284" s="15" t="n">
        <f aca="false">SUM(AP269:AP280)</f>
        <v>0</v>
      </c>
      <c r="AP284" s="15" t="n">
        <f aca="false">MAX(0,AN284)*IF(4=Parametri_v3!$C$43,Parametri_v3!$C$45,IF(4=Parametri_v3!$C$44,1-Parametri_v3!$C$45,0))</f>
        <v>0</v>
      </c>
      <c r="AQ284" s="15" t="n">
        <f aca="false">MAX(0,AP284+IF(4=Parametri_v3!$C$43,MAX(0,AN284-AO284),0)-MAX(0,-(AR283)))</f>
        <v>0</v>
      </c>
      <c r="AR284" s="15" t="n">
        <f aca="false">(AR283)+X284-AQ284</f>
        <v>0</v>
      </c>
      <c r="AS284" s="15" t="n">
        <f aca="false">Motore_Operativo!AB284-AT284+AU284</f>
        <v>41018.6878583333</v>
      </c>
      <c r="AT284" s="15" t="n">
        <f aca="false">Motore_Operativo!CH284</f>
        <v>2158.87830833333</v>
      </c>
      <c r="AU284" s="15" t="n">
        <f aca="false">MIN(MAX(0,(AV283)+AT284),Parametri_v3!$C$60/12)</f>
        <v>0</v>
      </c>
      <c r="AV284" s="15" t="n">
        <f aca="false">(AV283)+AT284-AU284</f>
        <v>47340.3844833333</v>
      </c>
      <c r="AW284" s="15" t="n">
        <f aca="false">IF(AND(Motore_Operativo!C284=Finanziamenti!$D$6,Finanziamenti!$F$6=1),Finanziamenti!$C$6,0)</f>
        <v>0</v>
      </c>
      <c r="AX284" s="15" t="n">
        <f aca="false">IF(AND(5&lt;&gt;7,5&lt;&gt;9,Finanziamenti!$F$8=1,OR(Parametri_v3!$C$6=0,Finanziamenti!$E$8=1),Motore_Operativo!C284=EDATE(Finanziamenti!$D$8,Ipotesi!G15*12)),Finanziamenti!$C$8*1,0)+IF(AND(5&lt;&gt;7,5&lt;&gt;9,Finanziamenti!$F$9=1,OR(Parametri_v3!$C$6=0,Finanziamenti!$E$9=1),Motore_Operativo!C284=EDATE(Finanziamenti!$D$9,Ipotesi!G15*12)),Finanziamenti!$C$9*Ipotesi!G16,0)</f>
        <v>0</v>
      </c>
      <c r="AY284" s="15" t="n">
        <f aca="false">0</f>
        <v>0</v>
      </c>
      <c r="AZ284" s="15" t="n">
        <f aca="false">Motore_Advisory!AY284*(1-Ipotesi!$C$95)*Ipotesi!$C$96</f>
        <v>0</v>
      </c>
      <c r="BA284" s="15" t="n">
        <f aca="false">MAX(0,MIN(CG284*MIN(1,IF(Motore_Operativo!C284&gt;=EDATE(Finanziamenti!$D$15,Ipotesi!G14*12),Finanziamenti!$C$15,0)+IF(Motore_Operativo!C284&gt;=EDATE(Finanziamenti!$D$16,Ipotesi!G14*12),Finanziamenti!$C$16,0)+IF(Motore_Operativo!C284&gt;=EDATE(Finanziamenti!$D$17,Ipotesi!G14*12),Finanziamenti!$C$17,0)),CA284*Ipotesi!$C$102)-(CC283))</f>
        <v>9809.94641562129</v>
      </c>
      <c r="BB284" s="15" t="n">
        <f aca="false">IF(AND(CF284&gt;0,Motore_Operativo!C284&gt;=IF(CF284=0,0,EDATE(CF284,Parametri_v3!$C$37)),MOD(((D284-YEAR(IF(CF284=0,0,EDATE(CF284,Parametri_v3!$C$37))))*12+E284-MONTH(IF(CF284=0,0,EDATE(CF284,Parametri_v3!$C$37)))),Parametri_v3!$C$38)=0),MIN(MAX(0,(BC283)+BA284-N284),(CC284-CD284)/(Ipotesi!$C$108*12/Parametri_v3!$C$38)),0)</f>
        <v>0</v>
      </c>
      <c r="BC284" s="15" t="n">
        <f aca="false">(BC283)+BA284-N284-BB284</f>
        <v>181849.333376415</v>
      </c>
      <c r="BD284" s="15" t="n">
        <f aca="false">(BH283)+AC284+AF284-AI284-AS284-K284*(1+Parametri_v3!$C$26)-AL284-AQ284-O284+AW284+AX284+AZ284+BA284-BB284</f>
        <v>-75077.8859597258</v>
      </c>
      <c r="BE284" s="15" t="n">
        <f aca="false">MAX(0,MIN(MAX(0,CH284-(BG283)),Parametri_v3!$C$30-BD284))</f>
        <v>0</v>
      </c>
      <c r="BF284" s="15" t="n">
        <f aca="false">IF(Motore_Operativo!C284&gt;=Parametri_v3!$C$63,(BG283),MIN((BG283),MAX(0,BD284-Parametri_v3!$C$30)))</f>
        <v>0</v>
      </c>
      <c r="BG284" s="15" t="n">
        <f aca="false">(BG283)+BE284-BF284</f>
        <v>150000</v>
      </c>
      <c r="BH284" s="15" t="n">
        <f aca="false">BD284+BE284-BF284-AY284</f>
        <v>-75077.8859597258</v>
      </c>
      <c r="BI284" s="15" t="n">
        <f aca="false">MAX(0,Parametri_v3!$C$30-BH284)</f>
        <v>100077.885959726</v>
      </c>
      <c r="BJ284" s="15" t="n">
        <f aca="false">(BJ283)+K284</f>
        <v>88333.3333333333</v>
      </c>
      <c r="BK284" s="15" t="n">
        <f aca="false">(BK283)+L284</f>
        <v>44004.6296296296</v>
      </c>
      <c r="BL284" s="15" t="n">
        <f aca="false">BJ284-BK284</f>
        <v>44328.7037037037</v>
      </c>
      <c r="BM284" s="15" t="n">
        <f aca="false">(BM283)+Y284</f>
        <v>-696977.527147564</v>
      </c>
      <c r="BN284" s="15" t="n">
        <f aca="false">(BN283)+AW284+AX284+AZ284</f>
        <v>430000</v>
      </c>
      <c r="BO284" s="15" t="n">
        <f aca="false">(BO283)+AY284</f>
        <v>0</v>
      </c>
      <c r="BP284" s="15" t="n">
        <f aca="false">0</f>
        <v>0</v>
      </c>
      <c r="BQ284" s="15" t="n">
        <f aca="false">BN284+BM284-BO284</f>
        <v>-266977.527147564</v>
      </c>
      <c r="BR284" s="15" t="n">
        <f aca="false">BH284+AD284+BL284+MAX(0,-AM284)+MAX(0,-AR284)+AG284</f>
        <v>170737.587401822</v>
      </c>
      <c r="BS284" s="15" t="n">
        <f aca="false">AJ284+AV284+MAX(0,AM284)+MAX(0,AR284)+BC284+BG284+BQ284</f>
        <v>170737.587401822</v>
      </c>
      <c r="BT284" s="15" t="n">
        <f aca="false">BR284-BS284</f>
        <v>0</v>
      </c>
      <c r="BU284" s="15" t="n">
        <f aca="false">BH284-(BD284+BE284-BF284-AY284)</f>
        <v>0</v>
      </c>
      <c r="BV284" s="15" t="n">
        <f aca="false">MIN(Piano_SS!$C$6,(BV283)+IF(AND(Motore_Operativo!C284&gt;=EDATE(Parametri_v3!$C$24,Ipotesi!G14*12),Motore_Operativo!C284&lt;EDATE(Parametri_v3!$C$24,Parametri_v3!$C$25+Ipotesi!G14*12)),MAX(0,(Motore_Operativo!Y284+Motore_Operativo!X284*Parametri_v3!$C$14)*(1-Parametri_v3!$C$32))*Piano_SS!$D$6,0))</f>
        <v>169120.898495833</v>
      </c>
      <c r="BW284" s="15" t="n">
        <f aca="false">MIN(Piano_SS!$C$7,(BW283)+IF(AND(Motore_Operativo!C284&gt;=EDATE(Parametri_v3!$C$24,Ipotesi!G14*12),Motore_Operativo!C284&lt;EDATE(Parametri_v3!$C$24,Parametri_v3!$C$25+Ipotesi!G14*12)),MAX(0,(IF(40-(INT((Ipotesi!$C$91)/30))&lt;1,0,INDEX(Motore_Operativo!$BN$245:$BN$304,MAX(1,40-(INT((Ipotesi!$C$91)/30)))))*(1-(MOD((Ipotesi!$C$91),30)/30))+IF(40-(INT((Ipotesi!$C$91)/30))-1&lt;1,0,INDEX(Motore_Operativo!$BN$245:$BN$304,MAX(1,40-(INT((Ipotesi!$C$91)/30))-1)))*(MOD((Ipotesi!$C$91),30)/30)))*Piano_SS!$D$7,0))</f>
        <v>22752.9111049068</v>
      </c>
      <c r="BX284" s="15" t="n">
        <f aca="false">MIN(Piano_SS!$C$8,(BX283)+IF(AND(Motore_Operativo!C284&gt;=EDATE(Parametri_v3!$C$24,Ipotesi!G14*12),Motore_Operativo!C284&lt;EDATE(Parametri_v3!$C$24,Parametri_v3!$C$25+Ipotesi!G14*12)),MAX(0,Motore_Operativo!CE284)*Piano_SS!$D$8,0))</f>
        <v>50000</v>
      </c>
      <c r="BY284" s="15" t="n">
        <f aca="false">MIN(Piano_SS!$C$9,(BY283)+IF(AND(Motore_Operativo!C284&gt;=EDATE(Parametri_v3!$C$24,Ipotesi!G14*12),Motore_Operativo!C284&lt;EDATE(Parametri_v3!$C$24,Parametri_v3!$C$25+Ipotesi!G14*12)),MAX(0,((IF(40-(INT((Ipotesi!$C$91)/30))&lt;1,0,INDEX(Motore_Operativo!$BQ$245:$BQ$304,MAX(1,40-(INT((Ipotesi!$C$91)/30)))))*(1-(MOD((Ipotesi!$C$91),30)/30))+IF(40-(INT((Ipotesi!$C$91)/30))-1&lt;1,0,INDEX(Motore_Operativo!$BQ$245:$BQ$304,MAX(1,40-(INT((Ipotesi!$C$91)/30))-1)))*(MOD((Ipotesi!$C$91),30)/30))+(IF(40-(INT((Ipotesi!$C$91)/30))&lt;1,0,INDEX(Motore_Operativo!$BR$245:$BR$304,MAX(1,40-(INT((Ipotesi!$C$91)/30)))))*(1-(MOD((Ipotesi!$C$91),30)/30))+IF(40-(INT((Ipotesi!$C$91)/30))-1&lt;1,0,INDEX(Motore_Operativo!$BR$245:$BR$304,MAX(1,40-(INT((Ipotesi!$C$91)/30))-1)))*(MOD((Ipotesi!$C$91),30)/30))))*Piano_SS!$D$9,0))</f>
        <v>40000</v>
      </c>
      <c r="BZ284" s="15" t="n">
        <f aca="false">MIN(Piano_SS!$C$10,(BZ283)+IF(AND(Motore_Operativo!C284&gt;=EDATE(Parametri_v3!$C$24,Ipotesi!G14*12),Motore_Operativo!C284&lt;EDATE(Parametri_v3!$C$24,Parametri_v3!$C$25+Ipotesi!G14*12)),MAX(0,(IF(40-(INT((Ipotesi!$C$91)/30))&lt;1,0,INDEX(Motore_Operativo!$BO$245:$BO$304,MAX(1,40-(INT((Ipotesi!$C$91)/30)))))*(1-(MOD((Ipotesi!$C$91),30)/30))+IF(40-(INT((Ipotesi!$C$91)/30))-1&lt;1,0,INDEX(Motore_Operativo!$BO$245:$BO$304,MAX(1,40-(INT((Ipotesi!$C$91)/30))-1)))*(MOD((Ipotesi!$C$91),30)/30)))*Piano_SS!$D$10,0))</f>
        <v>30000</v>
      </c>
      <c r="CA284" s="15" t="n">
        <f aca="false">SUM(BV284:BZ284)</f>
        <v>311873.80960074</v>
      </c>
      <c r="CB284" s="15" t="n">
        <f aca="false">BV284*(1-Piano_SS!$E$6)+BW284*(1-Piano_SS!$E$7)+BX284*(1-Piano_SS!$E$8)+BY284*(1-Piano_SS!$E$9)+BZ284*(1-Piano_SS!$E$10)</f>
        <v>281873.80960074</v>
      </c>
      <c r="CC284" s="15" t="n">
        <f aca="false">(CC283)+BA284</f>
        <v>249499.047680592</v>
      </c>
      <c r="CD284" s="15" t="n">
        <f aca="false">IF(CA284=0,0,CC284*CB284/CA284*Ipotesi!$C$103*Parametri_v3!$C$64)</f>
        <v>67649.7143041776</v>
      </c>
      <c r="CE284" s="18" t="n">
        <f aca="false">IF(BA284&gt;0,Motore_Operativo!C284,(CE283))</f>
        <v>47574</v>
      </c>
      <c r="CF284" s="18" t="n">
        <f aca="false">IF(AND(CC284&gt;0,OR(CC284&gt;=CG284-0.01,Motore_Operativo!C284&gt;=EDATE(MAX(Finanziamenti!$D$15:$D$17),Ipotesi!G14*12))),CE284,0)</f>
        <v>0</v>
      </c>
      <c r="CG284" s="15" t="n">
        <f aca="false">IF(AND(5&lt;&gt;6,5&lt;&gt;9,Finanziamenti!$F$11=1,OR(Parametri_v3!$C$6=0,Finanziamenti!$E$11=1)),MIN(Finanziamenti!$C$11,Piano_SS!$C$12*Ipotesi!$C$102),0)</f>
        <v>400000</v>
      </c>
      <c r="CH284" s="15" t="n">
        <f aca="false">IF(AND(AND(5&lt;&gt;8,5&lt;&gt;9,Finanziamenti!$F$10=1,OR(Parametri_v3!$C$6=0,Finanziamenti!$E$10=1)),Motore_Operativo!C284&gt;=Finanziamenti!$D$10,Motore_Operativo!C284&lt;Parametri_v3!$C$63),Finanziamenti!$C$10,0)</f>
        <v>150000</v>
      </c>
    </row>
    <row r="285" customFormat="false" ht="18" hidden="false" customHeight="true" outlineLevel="0" collapsed="false">
      <c r="A285" s="68" t="n">
        <f aca="false">5</f>
        <v>5</v>
      </c>
      <c r="B285" s="68" t="n">
        <f aca="false">41</f>
        <v>41</v>
      </c>
      <c r="C285" s="18" t="n">
        <f aca="false">Motore_Operativo!C285</f>
        <v>47604</v>
      </c>
      <c r="D285" s="68" t="n">
        <f aca="false">Motore_Operativo!D285</f>
        <v>2030</v>
      </c>
      <c r="E285" s="68" t="n">
        <f aca="false">Motore_Operativo!E285</f>
        <v>5</v>
      </c>
      <c r="F285" s="15" t="n">
        <f aca="false">Motore_Operativo!AQ285+Motore_Operativo!BF285</f>
        <v>41250.6941164178</v>
      </c>
      <c r="G285" s="15" t="n">
        <f aca="false">Motore_Operativo!BH285</f>
        <v>4466.9625</v>
      </c>
      <c r="H285" s="15" t="n">
        <f aca="false">Motore_Operativo!BI285</f>
        <v>45717.6566164178</v>
      </c>
      <c r="I285" s="15" t="n">
        <f aca="false">Motore_Operativo!CA285</f>
        <v>65825.6972179652</v>
      </c>
      <c r="J285" s="15" t="n">
        <f aca="false">Motore_Operativo!CC285</f>
        <v>-20108.0406015474</v>
      </c>
      <c r="K285" s="15" t="n">
        <f aca="false">Motore_Operativo!CE285</f>
        <v>3333.33333333333</v>
      </c>
      <c r="L285" s="15" t="n">
        <f aca="false">SUM(INDEX($K$245:$K$304,MAX(1,41-Parametri_v3!$C$59+1)):K285)/Parametri_v3!$C$59</f>
        <v>2314.81481481482</v>
      </c>
      <c r="M285" s="15" t="n">
        <f aca="false">J285-L285</f>
        <v>-22422.8554163622</v>
      </c>
      <c r="N285" s="15" t="n">
        <f aca="false">CD285-(CD284)</f>
        <v>2949.78606856054</v>
      </c>
      <c r="O285" s="15" t="n">
        <f aca="false">(BG284)*Ipotesi!$C$110/12+CH285*Parametri_v3!$C$39/12</f>
        <v>750</v>
      </c>
      <c r="P285" s="15" t="n">
        <f aca="false">M285+N285-O285</f>
        <v>-20223.0693478016</v>
      </c>
      <c r="Q285" s="15" t="n">
        <f aca="false">SUM(P281:P285)+Parametri_v3!$C$54*5/12</f>
        <v>-102658.82566545</v>
      </c>
      <c r="R285" s="15" t="n">
        <f aca="false">Z280</f>
        <v>614541.770829915</v>
      </c>
      <c r="S285" s="15" t="n">
        <f aca="false">AA280</f>
        <v>0</v>
      </c>
      <c r="T285" s="15" t="n">
        <f aca="false">MIN(R285,MAX(0,Q285))</f>
        <v>0</v>
      </c>
      <c r="U285" s="15" t="n">
        <f aca="false">MIN(S285,MAX(0,Q285-T285)*Parametri_v3!$C$42)</f>
        <v>0</v>
      </c>
      <c r="V285" s="15" t="n">
        <f aca="false">MAX(0,Q285-T285-U285)*Ipotesi!$C$92</f>
        <v>0</v>
      </c>
      <c r="W285" s="15" t="n">
        <f aca="false">MAX(0,SUM(M281:M285)+Parametri_v3!$C$55*5/12)*Ipotesi!$C$93</f>
        <v>0</v>
      </c>
      <c r="X285" s="15" t="n">
        <f aca="false">V285+W285-(V284+W284)</f>
        <v>0</v>
      </c>
      <c r="Y285" s="15" t="n">
        <f aca="false">P285-X285</f>
        <v>-20223.0693478016</v>
      </c>
      <c r="Z285" s="15" t="n">
        <f aca="false">R285-T285+IF(AND(Parametri_v3!$C$40=1,D285-YEAR(Parametri_v3!$C$50)&lt;Parametri_v3!$C$41),MAX(0,-Q285),0)</f>
        <v>614541.770829915</v>
      </c>
      <c r="AA285" s="15" t="n">
        <f aca="false">S285-U285+IF(AND(Parametri_v3!$C$40=1,D285-YEAR(Parametri_v3!$C$50)&lt;Parametri_v3!$C$41),0,MAX(0,-Q285))</f>
        <v>102658.82566545</v>
      </c>
      <c r="AB285" s="15" t="n">
        <f aca="false">F285*(1+Parametri_v3!$C$26)</f>
        <v>50325.8468220297</v>
      </c>
      <c r="AC285" s="15" t="n">
        <f aca="false">(IF(41-(INT((Motore_Operativo!L285)/30))&lt;1,0,INDEX(Motore_Startup!$AB$245:$AB$304,MAX(1,41-(INT((Motore_Operativo!L285)/30)))))*(1-(MOD((Motore_Operativo!L285),30)/30))+IF(41-(INT((Motore_Operativo!L285)/30))-1&lt;1,0,INDEX(Motore_Startup!$AB$245:$AB$304,MAX(1,41-(INT((Motore_Operativo!L285)/30))-1)))*(MOD((Motore_Operativo!L285),30)/30))</f>
        <v>48336.6420932387</v>
      </c>
      <c r="AD285" s="15" t="n">
        <f aca="false">(AD284)+AB285-AC285</f>
        <v>198026.280136635</v>
      </c>
      <c r="AE285" s="15" t="n">
        <f aca="false">Motore_Operativo!BH285*(1+Parametri_v3!$C$26)</f>
        <v>5449.69425</v>
      </c>
      <c r="AF285" s="15" t="n">
        <f aca="false">(IF(41-(INT((Parametri_v3!$C$29)/30))&lt;1,0,INDEX(Motore_Operativo!$BH$245:$BH$304,MAX(1,41-(INT((Parametri_v3!$C$29)/30)))))*(1-(MOD((Parametri_v3!$C$29),30)/30))+IF(41-(INT((Parametri_v3!$C$29)/30))-1&lt;1,0,INDEX(Motore_Operativo!$BH$245:$BH$304,MAX(1,41-(INT((Parametri_v3!$C$29)/30))-1)))*(MOD((Parametri_v3!$C$29),30)/30))*(1+Parametri_v3!$C$26)</f>
        <v>5449.69425</v>
      </c>
      <c r="AG285" s="15" t="n">
        <f aca="false">(AG284)+AE285-AF285</f>
        <v>5449.69425</v>
      </c>
      <c r="AH285" s="15" t="n">
        <f aca="false">(Motore_Operativo!CJ285)*(1+Parametri_v3!$C$27*Parametri_v3!$C$26)</f>
        <v>26883.3315578913</v>
      </c>
      <c r="AI285" s="15" t="n">
        <f aca="false">(IF(41-(INT((Ipotesi!$C$91)/30))&lt;1,0,INDEX(Motore_Startup!$AH$245:$AH$304,MAX(1,41-(INT((Ipotesi!$C$91)/30)))))*(1-(MOD((Ipotesi!$C$91),30)/30))+IF(41-(INT((Ipotesi!$C$91)/30))-1&lt;1,0,INDEX(Motore_Startup!$AH$245:$AH$304,MAX(1,41-(INT((Ipotesi!$C$91)/30))-1)))*(MOD((Ipotesi!$C$91),30)/30))</f>
        <v>26730.6429225227</v>
      </c>
      <c r="AJ285" s="15" t="n">
        <f aca="false">(AJ284)+AH285-AI285</f>
        <v>53684.5293863773</v>
      </c>
      <c r="AK285" s="15" t="n">
        <f aca="false">(F285+ Motore_Operativo!BH285-(Motore_Operativo!CJ285)*Parametri_v3!$C$27-Motore_Operativo!CE285)*Parametri_v3!$C$26</f>
        <v>5089.35061568577</v>
      </c>
      <c r="AL285" s="15" t="n">
        <f aca="false">MAX(0,(AM284))</f>
        <v>4993.55593862876</v>
      </c>
      <c r="AM285" s="15" t="n">
        <f aca="false">(AM284)+AK285-AL285</f>
        <v>5089.35061568577</v>
      </c>
      <c r="AN285" s="15" t="n">
        <f aca="false">SUM(X269:X280)</f>
        <v>0</v>
      </c>
      <c r="AO285" s="15" t="n">
        <f aca="false">SUM(AP269:AP280)</f>
        <v>0</v>
      </c>
      <c r="AP285" s="15" t="n">
        <f aca="false">MAX(0,AN285)*IF(5=Parametri_v3!$C$43,Parametri_v3!$C$45,IF(5=Parametri_v3!$C$44,1-Parametri_v3!$C$45,0))</f>
        <v>0</v>
      </c>
      <c r="AQ285" s="15" t="n">
        <f aca="false">MAX(0,AP285+IF(5=Parametri_v3!$C$43,MAX(0,AN285-AO285),0)-MAX(0,-(AR284)))</f>
        <v>0</v>
      </c>
      <c r="AR285" s="15" t="n">
        <f aca="false">(AR284)+X285-AQ285</f>
        <v>0</v>
      </c>
      <c r="AS285" s="15" t="n">
        <f aca="false">Motore_Operativo!AB285-AT285+AU285</f>
        <v>41018.6878583333</v>
      </c>
      <c r="AT285" s="15" t="n">
        <f aca="false">Motore_Operativo!CH285</f>
        <v>2158.87830833333</v>
      </c>
      <c r="AU285" s="15" t="n">
        <f aca="false">MIN(MAX(0,(AV284)+AT285),Parametri_v3!$C$60/12)</f>
        <v>0</v>
      </c>
      <c r="AV285" s="15" t="n">
        <f aca="false">(AV284)+AT285-AU285</f>
        <v>49499.2627916667</v>
      </c>
      <c r="AW285" s="15" t="n">
        <f aca="false">IF(AND(Motore_Operativo!C285=Finanziamenti!$D$6,Finanziamenti!$F$6=1),Finanziamenti!$C$6,0)</f>
        <v>0</v>
      </c>
      <c r="AX285" s="15" t="n">
        <f aca="false">IF(AND(5&lt;&gt;7,5&lt;&gt;9,Finanziamenti!$F$8=1,OR(Parametri_v3!$C$6=0,Finanziamenti!$E$8=1),Motore_Operativo!C285=EDATE(Finanziamenti!$D$8,Ipotesi!G15*12)),Finanziamenti!$C$8*1,0)+IF(AND(5&lt;&gt;7,5&lt;&gt;9,Finanziamenti!$F$9=1,OR(Parametri_v3!$C$6=0,Finanziamenti!$E$9=1),Motore_Operativo!C285=EDATE(Finanziamenti!$D$9,Ipotesi!G15*12)),Finanziamenti!$C$9*Ipotesi!G16,0)</f>
        <v>0</v>
      </c>
      <c r="AY285" s="15" t="n">
        <f aca="false">0</f>
        <v>0</v>
      </c>
      <c r="AZ285" s="15" t="n">
        <f aca="false">Motore_Advisory!AY285*(1-Ipotesi!$C$95)*Ipotesi!$C$96</f>
        <v>0</v>
      </c>
      <c r="BA285" s="15" t="n">
        <f aca="false">MAX(0,MIN(CG285*MIN(1,IF(Motore_Operativo!C285&gt;=EDATE(Finanziamenti!$D$15,Ipotesi!G14*12),Finanziamenti!$C$15,0)+IF(Motore_Operativo!C285&gt;=EDATE(Finanziamenti!$D$16,Ipotesi!G14*12),Finanziamenti!$C$16,0)+IF(Motore_Operativo!C285&gt;=EDATE(Finanziamenti!$D$17,Ipotesi!G14*12),Finanziamenti!$C$17,0)),CA285*Ipotesi!$C$102)-(CC284))</f>
        <v>9832.62022853512</v>
      </c>
      <c r="BB285" s="15" t="n">
        <f aca="false">IF(AND(CF285&gt;0,Motore_Operativo!C285&gt;=IF(CF285=0,0,EDATE(CF285,Parametri_v3!$C$37)),MOD(((D285-YEAR(IF(CF285=0,0,EDATE(CF285,Parametri_v3!$C$37))))*12+E285-MONTH(IF(CF285=0,0,EDATE(CF285,Parametri_v3!$C$37)))),Parametri_v3!$C$38)=0),MIN(MAX(0,(BC284)+BA285-N285),(CC285-CD285)/(Ipotesi!$C$108*12/Parametri_v3!$C$38)),0)</f>
        <v>0</v>
      </c>
      <c r="BC285" s="15" t="n">
        <f aca="false">(BC284)+BA285-N285-BB285</f>
        <v>188732.167536389</v>
      </c>
      <c r="BD285" s="15" t="n">
        <f aca="false">(BH284)+AC285+AF285-AI285-AS285-K285*(1+Parametri_v3!$C$26)-AL285-AQ285-O285+AW285+AX285+AZ285+BA285-BB285</f>
        <v>-89018.4827741036</v>
      </c>
      <c r="BE285" s="15" t="n">
        <f aca="false">MAX(0,MIN(MAX(0,CH285-(BG284)),Parametri_v3!$C$30-BD285))</f>
        <v>0</v>
      </c>
      <c r="BF285" s="15" t="n">
        <f aca="false">IF(Motore_Operativo!C285&gt;=Parametri_v3!$C$63,(BG284),MIN((BG284),MAX(0,BD285-Parametri_v3!$C$30)))</f>
        <v>0</v>
      </c>
      <c r="BG285" s="15" t="n">
        <f aca="false">(BG284)+BE285-BF285</f>
        <v>150000</v>
      </c>
      <c r="BH285" s="15" t="n">
        <f aca="false">BD285+BE285-BF285-AY285</f>
        <v>-89018.4827741036</v>
      </c>
      <c r="BI285" s="15" t="n">
        <f aca="false">MAX(0,Parametri_v3!$C$30-BH285)</f>
        <v>114018.482774104</v>
      </c>
      <c r="BJ285" s="15" t="n">
        <f aca="false">(BJ284)+K285</f>
        <v>91666.6666666666</v>
      </c>
      <c r="BK285" s="15" t="n">
        <f aca="false">(BK284)+L285</f>
        <v>46319.4444444444</v>
      </c>
      <c r="BL285" s="15" t="n">
        <f aca="false">BJ285-BK285</f>
        <v>45347.2222222222</v>
      </c>
      <c r="BM285" s="15" t="n">
        <f aca="false">(BM284)+Y285</f>
        <v>-717200.596495365</v>
      </c>
      <c r="BN285" s="15" t="n">
        <f aca="false">(BN284)+AW285+AX285+AZ285</f>
        <v>430000</v>
      </c>
      <c r="BO285" s="15" t="n">
        <f aca="false">(BO284)+AY285</f>
        <v>0</v>
      </c>
      <c r="BP285" s="15" t="n">
        <f aca="false">0</f>
        <v>0</v>
      </c>
      <c r="BQ285" s="15" t="n">
        <f aca="false">BN285+BM285-BO285</f>
        <v>-287200.596495365</v>
      </c>
      <c r="BR285" s="15" t="n">
        <f aca="false">BH285+AD285+BL285+MAX(0,-AM285)+MAX(0,-AR285)+AG285</f>
        <v>159804.713834754</v>
      </c>
      <c r="BS285" s="15" t="n">
        <f aca="false">AJ285+AV285+MAX(0,AM285)+MAX(0,AR285)+BC285+BG285+BQ285</f>
        <v>159804.713834754</v>
      </c>
      <c r="BT285" s="15" t="n">
        <f aca="false">BR285-BS285</f>
        <v>0</v>
      </c>
      <c r="BU285" s="15" t="n">
        <f aca="false">BH285-(BD285+BE285-BF285-AY285)</f>
        <v>0</v>
      </c>
      <c r="BV285" s="15" t="n">
        <f aca="false">MIN(Piano_SS!$C$6,(BV284)+IF(AND(Motore_Operativo!C285&gt;=EDATE(Parametri_v3!$C$24,Ipotesi!G14*12),Motore_Operativo!C285&lt;EDATE(Parametri_v3!$C$24,Parametri_v3!$C$25+Ipotesi!G14*12)),MAX(0,(Motore_Operativo!Y285+Motore_Operativo!X285*Parametri_v3!$C$14)*(1-Parametri_v3!$C$32))*Piano_SS!$D$6,0))</f>
        <v>179999.223432292</v>
      </c>
      <c r="BW285" s="15" t="n">
        <f aca="false">MIN(Piano_SS!$C$7,(BW284)+IF(AND(Motore_Operativo!C285&gt;=EDATE(Parametri_v3!$C$24,Ipotesi!G14*12),Motore_Operativo!C285&lt;EDATE(Parametri_v3!$C$24,Parametri_v3!$C$25+Ipotesi!G14*12)),MAX(0,(IF(41-(INT((Ipotesi!$C$91)/30))&lt;1,0,INDEX(Motore_Operativo!$BN$245:$BN$304,MAX(1,41-(INT((Ipotesi!$C$91)/30)))))*(1-(MOD((Ipotesi!$C$91),30)/30))+IF(41-(INT((Ipotesi!$C$91)/30))-1&lt;1,0,INDEX(Motore_Operativo!$BN$245:$BN$304,MAX(1,41-(INT((Ipotesi!$C$91)/30))-1)))*(MOD((Ipotesi!$C$91),30)/30)))*Piano_SS!$D$7,0))</f>
        <v>24165.3614541174</v>
      </c>
      <c r="BX285" s="15" t="n">
        <f aca="false">MIN(Piano_SS!$C$8,(BX284)+IF(AND(Motore_Operativo!C285&gt;=EDATE(Parametri_v3!$C$24,Ipotesi!G14*12),Motore_Operativo!C285&lt;EDATE(Parametri_v3!$C$24,Parametri_v3!$C$25+Ipotesi!G14*12)),MAX(0,Motore_Operativo!CE285)*Piano_SS!$D$8,0))</f>
        <v>50000</v>
      </c>
      <c r="BY285" s="15" t="n">
        <f aca="false">MIN(Piano_SS!$C$9,(BY284)+IF(AND(Motore_Operativo!C285&gt;=EDATE(Parametri_v3!$C$24,Ipotesi!G14*12),Motore_Operativo!C285&lt;EDATE(Parametri_v3!$C$24,Parametri_v3!$C$25+Ipotesi!G14*12)),MAX(0,((IF(41-(INT((Ipotesi!$C$91)/30))&lt;1,0,INDEX(Motore_Operativo!$BQ$245:$BQ$304,MAX(1,41-(INT((Ipotesi!$C$91)/30)))))*(1-(MOD((Ipotesi!$C$91),30)/30))+IF(41-(INT((Ipotesi!$C$91)/30))-1&lt;1,0,INDEX(Motore_Operativo!$BQ$245:$BQ$304,MAX(1,41-(INT((Ipotesi!$C$91)/30))-1)))*(MOD((Ipotesi!$C$91),30)/30))+(IF(41-(INT((Ipotesi!$C$91)/30))&lt;1,0,INDEX(Motore_Operativo!$BR$245:$BR$304,MAX(1,41-(INT((Ipotesi!$C$91)/30)))))*(1-(MOD((Ipotesi!$C$91),30)/30))+IF(41-(INT((Ipotesi!$C$91)/30))-1&lt;1,0,INDEX(Motore_Operativo!$BR$245:$BR$304,MAX(1,41-(INT((Ipotesi!$C$91)/30))-1)))*(MOD((Ipotesi!$C$91),30)/30))))*Piano_SS!$D$9,0))</f>
        <v>40000</v>
      </c>
      <c r="BZ285" s="15" t="n">
        <f aca="false">MIN(Piano_SS!$C$10,(BZ284)+IF(AND(Motore_Operativo!C285&gt;=EDATE(Parametri_v3!$C$24,Ipotesi!G14*12),Motore_Operativo!C285&lt;EDATE(Parametri_v3!$C$24,Parametri_v3!$C$25+Ipotesi!G14*12)),MAX(0,(IF(41-(INT((Ipotesi!$C$91)/30))&lt;1,0,INDEX(Motore_Operativo!$BO$245:$BO$304,MAX(1,41-(INT((Ipotesi!$C$91)/30)))))*(1-(MOD((Ipotesi!$C$91),30)/30))+IF(41-(INT((Ipotesi!$C$91)/30))-1&lt;1,0,INDEX(Motore_Operativo!$BO$245:$BO$304,MAX(1,41-(INT((Ipotesi!$C$91)/30))-1)))*(MOD((Ipotesi!$C$91),30)/30)))*Piano_SS!$D$10,0))</f>
        <v>30000</v>
      </c>
      <c r="CA285" s="15" t="n">
        <f aca="false">SUM(BV285:BZ285)</f>
        <v>324164.584886409</v>
      </c>
      <c r="CB285" s="15" t="n">
        <f aca="false">BV285*(1-Piano_SS!$E$6)+BW285*(1-Piano_SS!$E$7)+BX285*(1-Piano_SS!$E$8)+BY285*(1-Piano_SS!$E$9)+BZ285*(1-Piano_SS!$E$10)</f>
        <v>294164.584886409</v>
      </c>
      <c r="CC285" s="15" t="n">
        <f aca="false">(CC284)+BA285</f>
        <v>259331.667909127</v>
      </c>
      <c r="CD285" s="15" t="n">
        <f aca="false">IF(CA285=0,0,CC285*CB285/CA285*Ipotesi!$C$103*Parametri_v3!$C$64)</f>
        <v>70599.5003727382</v>
      </c>
      <c r="CE285" s="18" t="n">
        <f aca="false">IF(BA285&gt;0,Motore_Operativo!C285,(CE284))</f>
        <v>47604</v>
      </c>
      <c r="CF285" s="18" t="n">
        <f aca="false">IF(AND(CC285&gt;0,OR(CC285&gt;=CG285-0.01,Motore_Operativo!C285&gt;=EDATE(MAX(Finanziamenti!$D$15:$D$17),Ipotesi!G14*12))),CE285,0)</f>
        <v>0</v>
      </c>
      <c r="CG285" s="15" t="n">
        <f aca="false">IF(AND(5&lt;&gt;6,5&lt;&gt;9,Finanziamenti!$F$11=1,OR(Parametri_v3!$C$6=0,Finanziamenti!$E$11=1)),MIN(Finanziamenti!$C$11,Piano_SS!$C$12*Ipotesi!$C$102),0)</f>
        <v>400000</v>
      </c>
      <c r="CH285" s="15" t="n">
        <f aca="false">IF(AND(AND(5&lt;&gt;8,5&lt;&gt;9,Finanziamenti!$F$10=1,OR(Parametri_v3!$C$6=0,Finanziamenti!$E$10=1)),Motore_Operativo!C285&gt;=Finanziamenti!$D$10,Motore_Operativo!C285&lt;Parametri_v3!$C$63),Finanziamenti!$C$10,0)</f>
        <v>150000</v>
      </c>
    </row>
    <row r="286" customFormat="false" ht="18" hidden="false" customHeight="true" outlineLevel="0" collapsed="false">
      <c r="A286" s="68" t="n">
        <f aca="false">5</f>
        <v>5</v>
      </c>
      <c r="B286" s="68" t="n">
        <f aca="false">42</f>
        <v>42</v>
      </c>
      <c r="C286" s="18" t="n">
        <f aca="false">Motore_Operativo!C286</f>
        <v>47635</v>
      </c>
      <c r="D286" s="68" t="n">
        <f aca="false">Motore_Operativo!D286</f>
        <v>2030</v>
      </c>
      <c r="E286" s="68" t="n">
        <f aca="false">Motore_Operativo!E286</f>
        <v>6</v>
      </c>
      <c r="F286" s="15" t="n">
        <f aca="false">Motore_Operativo!AQ286+Motore_Operativo!BF286</f>
        <v>41740.6191874046</v>
      </c>
      <c r="G286" s="15" t="n">
        <f aca="false">Motore_Operativo!BH286</f>
        <v>4466.9625</v>
      </c>
      <c r="H286" s="15" t="n">
        <f aca="false">Motore_Operativo!BI286</f>
        <v>46207.5816874046</v>
      </c>
      <c r="I286" s="15" t="n">
        <f aca="false">Motore_Operativo!CA286</f>
        <v>65894.2867279033</v>
      </c>
      <c r="J286" s="15" t="n">
        <f aca="false">Motore_Operativo!CC286</f>
        <v>-19686.7050404987</v>
      </c>
      <c r="K286" s="15" t="n">
        <f aca="false">Motore_Operativo!CE286</f>
        <v>3333.33333333333</v>
      </c>
      <c r="L286" s="15" t="n">
        <f aca="false">SUM(INDEX($K$245:$K$304,MAX(1,42-Parametri_v3!$C$59+1)):K286)/Parametri_v3!$C$59</f>
        <v>2361.11111111111</v>
      </c>
      <c r="M286" s="15" t="n">
        <f aca="false">J286-L286</f>
        <v>-22047.8161516099</v>
      </c>
      <c r="N286" s="15" t="n">
        <f aca="false">CD286-(CD285)</f>
        <v>2957.9377967739</v>
      </c>
      <c r="O286" s="15" t="n">
        <f aca="false">(BG285)*Ipotesi!$C$110/12+CH286*Parametri_v3!$C$39/12</f>
        <v>750</v>
      </c>
      <c r="P286" s="15" t="n">
        <f aca="false">M286+N286-O286</f>
        <v>-19839.878354836</v>
      </c>
      <c r="Q286" s="15" t="n">
        <f aca="false">SUM(P281:P286)+Parametri_v3!$C$54*6/12</f>
        <v>-122498.704020286</v>
      </c>
      <c r="R286" s="15" t="n">
        <f aca="false">Z280</f>
        <v>614541.770829915</v>
      </c>
      <c r="S286" s="15" t="n">
        <f aca="false">AA280</f>
        <v>0</v>
      </c>
      <c r="T286" s="15" t="n">
        <f aca="false">MIN(R286,MAX(0,Q286))</f>
        <v>0</v>
      </c>
      <c r="U286" s="15" t="n">
        <f aca="false">MIN(S286,MAX(0,Q286-T286)*Parametri_v3!$C$42)</f>
        <v>0</v>
      </c>
      <c r="V286" s="15" t="n">
        <f aca="false">MAX(0,Q286-T286-U286)*Ipotesi!$C$92</f>
        <v>0</v>
      </c>
      <c r="W286" s="15" t="n">
        <f aca="false">MAX(0,SUM(M281:M286)+Parametri_v3!$C$55*6/12)*Ipotesi!$C$93</f>
        <v>0</v>
      </c>
      <c r="X286" s="15" t="n">
        <f aca="false">V286+W286-(V285+W285)</f>
        <v>0</v>
      </c>
      <c r="Y286" s="15" t="n">
        <f aca="false">P286-X286</f>
        <v>-19839.878354836</v>
      </c>
      <c r="Z286" s="15" t="n">
        <f aca="false">R286-T286+IF(AND(Parametri_v3!$C$40=1,D286-YEAR(Parametri_v3!$C$50)&lt;Parametri_v3!$C$41),MAX(0,-Q286),0)</f>
        <v>614541.770829915</v>
      </c>
      <c r="AA286" s="15" t="n">
        <f aca="false">S286-U286+IF(AND(Parametri_v3!$C$40=1,D286-YEAR(Parametri_v3!$C$50)&lt;Parametri_v3!$C$41),0,MAX(0,-Q286))</f>
        <v>122498.704020286</v>
      </c>
      <c r="AB286" s="15" t="n">
        <f aca="false">F286*(1+Parametri_v3!$C$26)</f>
        <v>50923.5554086336</v>
      </c>
      <c r="AC286" s="15" t="n">
        <f aca="false">(IF(42-(INT((Motore_Operativo!L286)/30))&lt;1,0,INDEX(Motore_Startup!$AB$245:$AB$304,MAX(1,42-(INT((Motore_Operativo!L286)/30)))))*(1-(MOD((Motore_Operativo!L286),30)/30))+IF(42-(INT((Motore_Operativo!L286)/30))-1&lt;1,0,INDEX(Motore_Startup!$AB$245:$AB$304,MAX(1,42-(INT((Motore_Operativo!L286)/30))-1)))*(MOD((Motore_Operativo!L286),30)/30))</f>
        <v>48772.6732667918</v>
      </c>
      <c r="AD286" s="15" t="n">
        <f aca="false">(AD285)+AB286-AC286</f>
        <v>200177.162278477</v>
      </c>
      <c r="AE286" s="15" t="n">
        <f aca="false">Motore_Operativo!BH286*(1+Parametri_v3!$C$26)</f>
        <v>5449.69425</v>
      </c>
      <c r="AF286" s="15" t="n">
        <f aca="false">(IF(42-(INT((Parametri_v3!$C$29)/30))&lt;1,0,INDEX(Motore_Operativo!$BH$245:$BH$304,MAX(1,42-(INT((Parametri_v3!$C$29)/30)))))*(1-(MOD((Parametri_v3!$C$29),30)/30))+IF(42-(INT((Parametri_v3!$C$29)/30))-1&lt;1,0,INDEX(Motore_Operativo!$BH$245:$BH$304,MAX(1,42-(INT((Parametri_v3!$C$29)/30))-1)))*(MOD((Parametri_v3!$C$29),30)/30))*(1+Parametri_v3!$C$26)</f>
        <v>5449.69425</v>
      </c>
      <c r="AG286" s="15" t="n">
        <f aca="false">(AG285)+AE286-AF286</f>
        <v>5449.69425</v>
      </c>
      <c r="AH286" s="15" t="n">
        <f aca="false">(Motore_Operativo!CJ286)*(1+Parametri_v3!$C$27*Parametri_v3!$C$26)</f>
        <v>26964.7473061879</v>
      </c>
      <c r="AI286" s="15" t="n">
        <f aca="false">(IF(42-(INT((Ipotesi!$C$91)/30))&lt;1,0,INDEX(Motore_Startup!$AH$245:$AH$304,MAX(1,42-(INT((Ipotesi!$C$91)/30)))))*(1-(MOD((Ipotesi!$C$91),30)/30))+IF(42-(INT((Ipotesi!$C$91)/30))-1&lt;1,0,INDEX(Motore_Startup!$AH$245:$AH$304,MAX(1,42-(INT((Ipotesi!$C$91)/30))-1)))*(MOD((Ipotesi!$C$91),30)/30))</f>
        <v>26801.197828486</v>
      </c>
      <c r="AJ286" s="15" t="n">
        <f aca="false">(AJ285)+AH286-AI286</f>
        <v>53848.0788640792</v>
      </c>
      <c r="AK286" s="15" t="n">
        <f aca="false">(F286+ Motore_Operativo!BH286-(Motore_Operativo!CJ286)*Parametri_v3!$C$27-Motore_Operativo!CE286)*Parametri_v3!$C$26</f>
        <v>5184.30789294442</v>
      </c>
      <c r="AL286" s="15" t="n">
        <f aca="false">MAX(0,(AM285))</f>
        <v>5089.35061568577</v>
      </c>
      <c r="AM286" s="15" t="n">
        <f aca="false">(AM285)+AK286-AL286</f>
        <v>5184.30789294442</v>
      </c>
      <c r="AN286" s="15" t="n">
        <f aca="false">SUM(X269:X280)</f>
        <v>0</v>
      </c>
      <c r="AO286" s="15" t="n">
        <f aca="false">SUM(AP269:AP280)</f>
        <v>0</v>
      </c>
      <c r="AP286" s="15" t="n">
        <f aca="false">MAX(0,AN286)*IF(6=Parametri_v3!$C$43,Parametri_v3!$C$45,IF(6=Parametri_v3!$C$44,1-Parametri_v3!$C$45,0))</f>
        <v>0</v>
      </c>
      <c r="AQ286" s="15" t="n">
        <f aca="false">MAX(0,AP286+IF(6=Parametri_v3!$C$43,MAX(0,AN286-AO286),0)-MAX(0,-(AR285)))</f>
        <v>0</v>
      </c>
      <c r="AR286" s="15" t="n">
        <f aca="false">(AR285)+X286-AQ286</f>
        <v>0</v>
      </c>
      <c r="AS286" s="15" t="n">
        <f aca="false">Motore_Operativo!AB286-AT286+AU286</f>
        <v>41018.6878583333</v>
      </c>
      <c r="AT286" s="15" t="n">
        <f aca="false">Motore_Operativo!CH286</f>
        <v>2158.87830833333</v>
      </c>
      <c r="AU286" s="15" t="n">
        <f aca="false">MIN(MAX(0,(AV285)+AT286),Parametri_v3!$C$60/12)</f>
        <v>0</v>
      </c>
      <c r="AV286" s="15" t="n">
        <f aca="false">(AV285)+AT286-AU286</f>
        <v>51658.1411</v>
      </c>
      <c r="AW286" s="15" t="n">
        <f aca="false">IF(AND(Motore_Operativo!C286=Finanziamenti!$D$6,Finanziamenti!$F$6=1),Finanziamenti!$C$6,0)</f>
        <v>0</v>
      </c>
      <c r="AX286" s="15" t="n">
        <f aca="false">IF(AND(5&lt;&gt;7,5&lt;&gt;9,Finanziamenti!$F$8=1,OR(Parametri_v3!$C$6=0,Finanziamenti!$E$8=1),Motore_Operativo!C286=EDATE(Finanziamenti!$D$8,Ipotesi!G15*12)),Finanziamenti!$C$8*1,0)+IF(AND(5&lt;&gt;7,5&lt;&gt;9,Finanziamenti!$F$9=1,OR(Parametri_v3!$C$6=0,Finanziamenti!$E$9=1),Motore_Operativo!C286=EDATE(Finanziamenti!$D$9,Ipotesi!G15*12)),Finanziamenti!$C$9*Ipotesi!G16,0)</f>
        <v>0</v>
      </c>
      <c r="AY286" s="15" t="n">
        <f aca="false">0</f>
        <v>0</v>
      </c>
      <c r="AZ286" s="15" t="n">
        <f aca="false">Motore_Advisory!AY286*(1-Ipotesi!$C$95)*Ipotesi!$C$96</f>
        <v>0</v>
      </c>
      <c r="BA286" s="15" t="n">
        <f aca="false">MAX(0,MIN(CG286*MIN(1,IF(Motore_Operativo!C286&gt;=EDATE(Finanziamenti!$D$15,Ipotesi!G14*12),Finanziamenti!$C$15,0)+IF(Motore_Operativo!C286&gt;=EDATE(Finanziamenti!$D$16,Ipotesi!G14*12),Finanziamenti!$C$16,0)+IF(Motore_Operativo!C286&gt;=EDATE(Finanziamenti!$D$17,Ipotesi!G14*12),Finanziamenti!$C$17,0)),CA286*Ipotesi!$C$102)-(CC285))</f>
        <v>9859.79265591304</v>
      </c>
      <c r="BB286" s="15" t="n">
        <f aca="false">IF(AND(CF286&gt;0,Motore_Operativo!C286&gt;=IF(CF286=0,0,EDATE(CF286,Parametri_v3!$C$37)),MOD(((D286-YEAR(IF(CF286=0,0,EDATE(CF286,Parametri_v3!$C$37))))*12+E286-MONTH(IF(CF286=0,0,EDATE(CF286,Parametri_v3!$C$37)))),Parametri_v3!$C$38)=0),MIN(MAX(0,(BC285)+BA286-N286),(CC286-CD286)/(Ipotesi!$C$108*12/Parametri_v3!$C$38)),0)</f>
        <v>0</v>
      </c>
      <c r="BC286" s="15" t="n">
        <f aca="false">(BC285)+BA286-N286-BB286</f>
        <v>195634.022395528</v>
      </c>
      <c r="BD286" s="15" t="n">
        <f aca="false">(BH285)+AC286+AF286-AI286-AS286-K286*(1+Parametri_v3!$C$26)-AL286-AQ286-O286+AW286+AX286+AZ286+BA286-BB286</f>
        <v>-102662.225570571</v>
      </c>
      <c r="BE286" s="15" t="n">
        <f aca="false">MAX(0,MIN(MAX(0,CH286-(BG285)),Parametri_v3!$C$30-BD286))</f>
        <v>0</v>
      </c>
      <c r="BF286" s="15" t="n">
        <f aca="false">IF(Motore_Operativo!C286&gt;=Parametri_v3!$C$63,(BG285),MIN((BG285),MAX(0,BD286-Parametri_v3!$C$30)))</f>
        <v>0</v>
      </c>
      <c r="BG286" s="15" t="n">
        <f aca="false">(BG285)+BE286-BF286</f>
        <v>150000</v>
      </c>
      <c r="BH286" s="15" t="n">
        <f aca="false">BD286+BE286-BF286-AY286</f>
        <v>-102662.225570571</v>
      </c>
      <c r="BI286" s="15" t="n">
        <f aca="false">MAX(0,Parametri_v3!$C$30-BH286)</f>
        <v>127662.225570571</v>
      </c>
      <c r="BJ286" s="15" t="n">
        <f aca="false">(BJ285)+K286</f>
        <v>95000</v>
      </c>
      <c r="BK286" s="15" t="n">
        <f aca="false">(BK285)+L286</f>
        <v>48680.5555555556</v>
      </c>
      <c r="BL286" s="15" t="n">
        <f aca="false">BJ286-BK286</f>
        <v>46319.4444444444</v>
      </c>
      <c r="BM286" s="15" t="n">
        <f aca="false">(BM285)+Y286</f>
        <v>-737040.474850201</v>
      </c>
      <c r="BN286" s="15" t="n">
        <f aca="false">(BN285)+AW286+AX286+AZ286</f>
        <v>430000</v>
      </c>
      <c r="BO286" s="15" t="n">
        <f aca="false">(BO285)+AY286</f>
        <v>0</v>
      </c>
      <c r="BP286" s="15" t="n">
        <f aca="false">0</f>
        <v>0</v>
      </c>
      <c r="BQ286" s="15" t="n">
        <f aca="false">BN286+BM286-BO286</f>
        <v>-307040.474850201</v>
      </c>
      <c r="BR286" s="15" t="n">
        <f aca="false">BH286+AD286+BL286+MAX(0,-AM286)+MAX(0,-AR286)+AG286</f>
        <v>149284.075402351</v>
      </c>
      <c r="BS286" s="15" t="n">
        <f aca="false">AJ286+AV286+MAX(0,AM286)+MAX(0,AR286)+BC286+BG286+BQ286</f>
        <v>149284.075402351</v>
      </c>
      <c r="BT286" s="15" t="n">
        <f aca="false">BR286-BS286</f>
        <v>0</v>
      </c>
      <c r="BU286" s="15" t="n">
        <f aca="false">BH286-(BD286+BE286-BF286-AY286)</f>
        <v>0</v>
      </c>
      <c r="BV286" s="15" t="n">
        <f aca="false">MIN(Piano_SS!$C$6,(BV285)+IF(AND(Motore_Operativo!C286&gt;=EDATE(Parametri_v3!$C$24,Ipotesi!G14*12),Motore_Operativo!C286&lt;EDATE(Parametri_v3!$C$24,Parametri_v3!$C$25+Ipotesi!G14*12)),MAX(0,(Motore_Operativo!Y286+Motore_Operativo!X286*Parametri_v3!$C$14)*(1-Parametri_v3!$C$32))*Piano_SS!$D$6,0))</f>
        <v>190877.54836875</v>
      </c>
      <c r="BW286" s="15" t="n">
        <f aca="false">MIN(Piano_SS!$C$7,(BW285)+IF(AND(Motore_Operativo!C286&gt;=EDATE(Parametri_v3!$C$24,Ipotesi!G14*12),Motore_Operativo!C286&lt;EDATE(Parametri_v3!$C$24,Parametri_v3!$C$25+Ipotesi!G14*12)),MAX(0,(IF(42-(INT((Ipotesi!$C$91)/30))&lt;1,0,INDEX(Motore_Operativo!$BN$245:$BN$304,MAX(1,42-(INT((Ipotesi!$C$91)/30)))))*(1-(MOD((Ipotesi!$C$91),30)/30))+IF(42-(INT((Ipotesi!$C$91)/30))-1&lt;1,0,INDEX(Motore_Operativo!$BN$245:$BN$304,MAX(1,42-(INT((Ipotesi!$C$91)/30))-1)))*(MOD((Ipotesi!$C$91),30)/30)))*Piano_SS!$D$7,0))</f>
        <v>25611.7773375503</v>
      </c>
      <c r="BX286" s="15" t="n">
        <f aca="false">MIN(Piano_SS!$C$8,(BX285)+IF(AND(Motore_Operativo!C286&gt;=EDATE(Parametri_v3!$C$24,Ipotesi!G14*12),Motore_Operativo!C286&lt;EDATE(Parametri_v3!$C$24,Parametri_v3!$C$25+Ipotesi!G14*12)),MAX(0,Motore_Operativo!CE286)*Piano_SS!$D$8,0))</f>
        <v>50000</v>
      </c>
      <c r="BY286" s="15" t="n">
        <f aca="false">MIN(Piano_SS!$C$9,(BY285)+IF(AND(Motore_Operativo!C286&gt;=EDATE(Parametri_v3!$C$24,Ipotesi!G14*12),Motore_Operativo!C286&lt;EDATE(Parametri_v3!$C$24,Parametri_v3!$C$25+Ipotesi!G14*12)),MAX(0,((IF(42-(INT((Ipotesi!$C$91)/30))&lt;1,0,INDEX(Motore_Operativo!$BQ$245:$BQ$304,MAX(1,42-(INT((Ipotesi!$C$91)/30)))))*(1-(MOD((Ipotesi!$C$91),30)/30))+IF(42-(INT((Ipotesi!$C$91)/30))-1&lt;1,0,INDEX(Motore_Operativo!$BQ$245:$BQ$304,MAX(1,42-(INT((Ipotesi!$C$91)/30))-1)))*(MOD((Ipotesi!$C$91),30)/30))+(IF(42-(INT((Ipotesi!$C$91)/30))&lt;1,0,INDEX(Motore_Operativo!$BR$245:$BR$304,MAX(1,42-(INT((Ipotesi!$C$91)/30)))))*(1-(MOD((Ipotesi!$C$91),30)/30))+IF(42-(INT((Ipotesi!$C$91)/30))-1&lt;1,0,INDEX(Motore_Operativo!$BR$245:$BR$304,MAX(1,42-(INT((Ipotesi!$C$91)/30))-1)))*(MOD((Ipotesi!$C$91),30)/30))))*Piano_SS!$D$9,0))</f>
        <v>40000</v>
      </c>
      <c r="BZ286" s="15" t="n">
        <f aca="false">MIN(Piano_SS!$C$10,(BZ285)+IF(AND(Motore_Operativo!C286&gt;=EDATE(Parametri_v3!$C$24,Ipotesi!G14*12),Motore_Operativo!C286&lt;EDATE(Parametri_v3!$C$24,Parametri_v3!$C$25+Ipotesi!G14*12)),MAX(0,(IF(42-(INT((Ipotesi!$C$91)/30))&lt;1,0,INDEX(Motore_Operativo!$BO$245:$BO$304,MAX(1,42-(INT((Ipotesi!$C$91)/30)))))*(1-(MOD((Ipotesi!$C$91),30)/30))+IF(42-(INT((Ipotesi!$C$91)/30))-1&lt;1,0,INDEX(Motore_Operativo!$BO$245:$BO$304,MAX(1,42-(INT((Ipotesi!$C$91)/30))-1)))*(MOD((Ipotesi!$C$91),30)/30)))*Piano_SS!$D$10,0))</f>
        <v>30000</v>
      </c>
      <c r="CA286" s="15" t="n">
        <f aca="false">SUM(BV286:BZ286)</f>
        <v>336489.3257063</v>
      </c>
      <c r="CB286" s="15" t="n">
        <f aca="false">BV286*(1-Piano_SS!$E$6)+BW286*(1-Piano_SS!$E$7)+BX286*(1-Piano_SS!$E$8)+BY286*(1-Piano_SS!$E$9)+BZ286*(1-Piano_SS!$E$10)</f>
        <v>306489.3257063</v>
      </c>
      <c r="CC286" s="15" t="n">
        <f aca="false">(CC285)+BA286</f>
        <v>269191.46056504</v>
      </c>
      <c r="CD286" s="15" t="n">
        <f aca="false">IF(CA286=0,0,CC286*CB286/CA286*Ipotesi!$C$103*Parametri_v3!$C$64)</f>
        <v>73557.4381695121</v>
      </c>
      <c r="CE286" s="18" t="n">
        <f aca="false">IF(BA286&gt;0,Motore_Operativo!C286,(CE285))</f>
        <v>47635</v>
      </c>
      <c r="CF286" s="18" t="n">
        <f aca="false">IF(AND(CC286&gt;0,OR(CC286&gt;=CG286-0.01,Motore_Operativo!C286&gt;=EDATE(MAX(Finanziamenti!$D$15:$D$17),Ipotesi!G14*12))),CE286,0)</f>
        <v>47635</v>
      </c>
      <c r="CG286" s="15" t="n">
        <f aca="false">IF(AND(5&lt;&gt;6,5&lt;&gt;9,Finanziamenti!$F$11=1,OR(Parametri_v3!$C$6=0,Finanziamenti!$E$11=1)),MIN(Finanziamenti!$C$11,Piano_SS!$C$12*Ipotesi!$C$102),0)</f>
        <v>400000</v>
      </c>
      <c r="CH286" s="15" t="n">
        <f aca="false">IF(AND(AND(5&lt;&gt;8,5&lt;&gt;9,Finanziamenti!$F$10=1,OR(Parametri_v3!$C$6=0,Finanziamenti!$E$10=1)),Motore_Operativo!C286&gt;=Finanziamenti!$D$10,Motore_Operativo!C286&lt;Parametri_v3!$C$63),Finanziamenti!$C$10,0)</f>
        <v>150000</v>
      </c>
    </row>
    <row r="287" customFormat="false" ht="18" hidden="false" customHeight="true" outlineLevel="0" collapsed="false">
      <c r="A287" s="68" t="n">
        <f aca="false">5</f>
        <v>5</v>
      </c>
      <c r="B287" s="68" t="n">
        <f aca="false">43</f>
        <v>43</v>
      </c>
      <c r="C287" s="18" t="n">
        <f aca="false">Motore_Operativo!C287</f>
        <v>47665</v>
      </c>
      <c r="D287" s="68" t="n">
        <f aca="false">Motore_Operativo!D287</f>
        <v>2030</v>
      </c>
      <c r="E287" s="68" t="n">
        <f aca="false">Motore_Operativo!E287</f>
        <v>7</v>
      </c>
      <c r="F287" s="15" t="n">
        <f aca="false">Motore_Operativo!AQ287+Motore_Operativo!BF287</f>
        <v>42226.2615240238</v>
      </c>
      <c r="G287" s="15" t="n">
        <f aca="false">Motore_Operativo!BH287</f>
        <v>4466.9625</v>
      </c>
      <c r="H287" s="15" t="n">
        <f aca="false">Motore_Operativo!BI287</f>
        <v>46693.2240240238</v>
      </c>
      <c r="I287" s="15" t="n">
        <f aca="false">Motore_Operativo!CA287</f>
        <v>65962.27665503</v>
      </c>
      <c r="J287" s="15" t="n">
        <f aca="false">Motore_Operativo!CC287</f>
        <v>-19269.0526310062</v>
      </c>
      <c r="K287" s="15" t="n">
        <f aca="false">Motore_Operativo!CE287</f>
        <v>3333.33333333333</v>
      </c>
      <c r="L287" s="15" t="n">
        <f aca="false">SUM(INDEX($K$245:$K$304,MAX(1,43-Parametri_v3!$C$59+1)):K287)/Parametri_v3!$C$59</f>
        <v>2407.40740740741</v>
      </c>
      <c r="M287" s="15" t="n">
        <f aca="false">J287-L287</f>
        <v>-21676.4600384136</v>
      </c>
      <c r="N287" s="15" t="n">
        <f aca="false">CD287-(CD286)</f>
        <v>0</v>
      </c>
      <c r="O287" s="15" t="n">
        <f aca="false">(BG286)*Ipotesi!$C$110/12+CH287*Parametri_v3!$C$39/12</f>
        <v>750</v>
      </c>
      <c r="P287" s="15" t="n">
        <f aca="false">M287+N287-O287</f>
        <v>-22426.4600384136</v>
      </c>
      <c r="Q287" s="15" t="n">
        <f aca="false">SUM(P281:P287)+Parametri_v3!$C$54*7/12</f>
        <v>-144925.164058699</v>
      </c>
      <c r="R287" s="15" t="n">
        <f aca="false">Z280</f>
        <v>614541.770829915</v>
      </c>
      <c r="S287" s="15" t="n">
        <f aca="false">AA280</f>
        <v>0</v>
      </c>
      <c r="T287" s="15" t="n">
        <f aca="false">MIN(R287,MAX(0,Q287))</f>
        <v>0</v>
      </c>
      <c r="U287" s="15" t="n">
        <f aca="false">MIN(S287,MAX(0,Q287-T287)*Parametri_v3!$C$42)</f>
        <v>0</v>
      </c>
      <c r="V287" s="15" t="n">
        <f aca="false">MAX(0,Q287-T287-U287)*Ipotesi!$C$92</f>
        <v>0</v>
      </c>
      <c r="W287" s="15" t="n">
        <f aca="false">MAX(0,SUM(M281:M287)+Parametri_v3!$C$55*7/12)*Ipotesi!$C$93</f>
        <v>0</v>
      </c>
      <c r="X287" s="15" t="n">
        <f aca="false">V287+W287-(V286+W286)</f>
        <v>0</v>
      </c>
      <c r="Y287" s="15" t="n">
        <f aca="false">P287-X287</f>
        <v>-22426.4600384136</v>
      </c>
      <c r="Z287" s="15" t="n">
        <f aca="false">R287-T287+IF(AND(Parametri_v3!$C$40=1,D287-YEAR(Parametri_v3!$C$50)&lt;Parametri_v3!$C$41),MAX(0,-Q287),0)</f>
        <v>614541.770829915</v>
      </c>
      <c r="AA287" s="15" t="n">
        <f aca="false">S287-U287+IF(AND(Parametri_v3!$C$40=1,D287-YEAR(Parametri_v3!$C$50)&lt;Parametri_v3!$C$41),0,MAX(0,-Q287))</f>
        <v>144925.164058699</v>
      </c>
      <c r="AB287" s="15" t="n">
        <f aca="false">F287*(1+Parametri_v3!$C$26)</f>
        <v>51516.039059309</v>
      </c>
      <c r="AC287" s="15" t="n">
        <f aca="false">(IF(43-(INT((Motore_Operativo!L287)/30))&lt;1,0,INDEX(Motore_Startup!$AB$245:$AB$304,MAX(1,43-(INT((Motore_Operativo!L287)/30)))))*(1-(MOD((Motore_Operativo!L287),30)/30))+IF(43-(INT((Motore_Operativo!L287)/30))-1&lt;1,0,INDEX(Motore_Startup!$AB$245:$AB$304,MAX(1,43-(INT((Motore_Operativo!L287)/30))-1)))*(MOD((Motore_Operativo!L287),30)/30))</f>
        <v>49204.8928254615</v>
      </c>
      <c r="AD287" s="15" t="n">
        <f aca="false">(AD286)+AB287-AC287</f>
        <v>202488.308512324</v>
      </c>
      <c r="AE287" s="15" t="n">
        <f aca="false">Motore_Operativo!BH287*(1+Parametri_v3!$C$26)</f>
        <v>5449.69425</v>
      </c>
      <c r="AF287" s="15" t="n">
        <f aca="false">(IF(43-(INT((Parametri_v3!$C$29)/30))&lt;1,0,INDEX(Motore_Operativo!$BH$245:$BH$304,MAX(1,43-(INT((Parametri_v3!$C$29)/30)))))*(1-(MOD((Parametri_v3!$C$29),30)/30))+IF(43-(INT((Parametri_v3!$C$29)/30))-1&lt;1,0,INDEX(Motore_Operativo!$BH$245:$BH$304,MAX(1,43-(INT((Parametri_v3!$C$29)/30))-1)))*(MOD((Parametri_v3!$C$29),30)/30))*(1+Parametri_v3!$C$26)</f>
        <v>5449.69425</v>
      </c>
      <c r="AG287" s="15" t="n">
        <f aca="false">(AG286)+AE287-AF287</f>
        <v>5449.69425</v>
      </c>
      <c r="AH287" s="15" t="n">
        <f aca="false">(Motore_Operativo!CJ287)*(1+Parametri_v3!$C$27*Parametri_v3!$C$26)</f>
        <v>27045.4513496873</v>
      </c>
      <c r="AI287" s="15" t="n">
        <f aca="false">(IF(43-(INT((Ipotesi!$C$91)/30))&lt;1,0,INDEX(Motore_Startup!$AH$245:$AH$304,MAX(1,43-(INT((Ipotesi!$C$91)/30)))))*(1-(MOD((Ipotesi!$C$91),30)/30))+IF(43-(INT((Ipotesi!$C$91)/30))-1&lt;1,0,INDEX(Motore_Startup!$AH$245:$AH$304,MAX(1,43-(INT((Ipotesi!$C$91)/30))-1)))*(MOD((Ipotesi!$C$91),30)/30))</f>
        <v>26883.3315578913</v>
      </c>
      <c r="AJ287" s="15" t="n">
        <f aca="false">(AJ286)+AH287-AI287</f>
        <v>54010.1986558751</v>
      </c>
      <c r="AK287" s="15" t="n">
        <f aca="false">(F287+ Motore_Operativo!BH287-(Motore_Operativo!CJ287)*Parametri_v3!$C$27-Motore_Operativo!CE287)*Parametri_v3!$C$26</f>
        <v>5278.43509062795</v>
      </c>
      <c r="AL287" s="15" t="n">
        <f aca="false">MAX(0,(AM286))</f>
        <v>5184.30789294442</v>
      </c>
      <c r="AM287" s="15" t="n">
        <f aca="false">(AM286)+AK287-AL287</f>
        <v>5278.43509062795</v>
      </c>
      <c r="AN287" s="15" t="n">
        <f aca="false">SUM(X269:X280)</f>
        <v>0</v>
      </c>
      <c r="AO287" s="15" t="n">
        <f aca="false">SUM(AP269:AP280)</f>
        <v>0</v>
      </c>
      <c r="AP287" s="15" t="n">
        <f aca="false">MAX(0,AN287)*IF(7=Parametri_v3!$C$43,Parametri_v3!$C$45,IF(7=Parametri_v3!$C$44,1-Parametri_v3!$C$45,0))</f>
        <v>0</v>
      </c>
      <c r="AQ287" s="15" t="n">
        <f aca="false">MAX(0,AP287+IF(7=Parametri_v3!$C$43,MAX(0,AN287-AO287),0)-MAX(0,-(AR286)))</f>
        <v>0</v>
      </c>
      <c r="AR287" s="15" t="n">
        <f aca="false">(AR286)+X287-AQ287</f>
        <v>0</v>
      </c>
      <c r="AS287" s="15" t="n">
        <f aca="false">Motore_Operativo!AB287-AT287+AU287</f>
        <v>41018.6878583333</v>
      </c>
      <c r="AT287" s="15" t="n">
        <f aca="false">Motore_Operativo!CH287</f>
        <v>2158.87830833333</v>
      </c>
      <c r="AU287" s="15" t="n">
        <f aca="false">MIN(MAX(0,(AV286)+AT287),Parametri_v3!$C$60/12)</f>
        <v>0</v>
      </c>
      <c r="AV287" s="15" t="n">
        <f aca="false">(AV286)+AT287-AU287</f>
        <v>53817.0194083333</v>
      </c>
      <c r="AW287" s="15" t="n">
        <f aca="false">IF(AND(Motore_Operativo!C287=Finanziamenti!$D$6,Finanziamenti!$F$6=1),Finanziamenti!$C$6,0)</f>
        <v>0</v>
      </c>
      <c r="AX287" s="15" t="n">
        <f aca="false">IF(AND(5&lt;&gt;7,5&lt;&gt;9,Finanziamenti!$F$8=1,OR(Parametri_v3!$C$6=0,Finanziamenti!$E$8=1),Motore_Operativo!C287=EDATE(Finanziamenti!$D$8,Ipotesi!G15*12)),Finanziamenti!$C$8*1,0)+IF(AND(5&lt;&gt;7,5&lt;&gt;9,Finanziamenti!$F$9=1,OR(Parametri_v3!$C$6=0,Finanziamenti!$E$9=1),Motore_Operativo!C287=EDATE(Finanziamenti!$D$9,Ipotesi!G15*12)),Finanziamenti!$C$9*Ipotesi!G16,0)</f>
        <v>0</v>
      </c>
      <c r="AY287" s="15" t="n">
        <f aca="false">0</f>
        <v>0</v>
      </c>
      <c r="AZ287" s="15" t="n">
        <f aca="false">Motore_Advisory!AY287*(1-Ipotesi!$C$95)*Ipotesi!$C$96</f>
        <v>0</v>
      </c>
      <c r="BA287" s="15" t="n">
        <f aca="false">MAX(0,MIN(CG287*MIN(1,IF(Motore_Operativo!C287&gt;=EDATE(Finanziamenti!$D$15,Ipotesi!G14*12),Finanziamenti!$C$15,0)+IF(Motore_Operativo!C287&gt;=EDATE(Finanziamenti!$D$16,Ipotesi!G14*12),Finanziamenti!$C$16,0)+IF(Motore_Operativo!C287&gt;=EDATE(Finanziamenti!$D$17,Ipotesi!G14*12),Finanziamenti!$C$17,0)),CA287*Ipotesi!$C$102)-(CC286))</f>
        <v>0</v>
      </c>
      <c r="BB287" s="15" t="n">
        <f aca="false">IF(AND(CF287&gt;0,Motore_Operativo!C287&gt;=IF(CF287=0,0,EDATE(CF287,Parametri_v3!$C$37)),MOD(((D287-YEAR(IF(CF287=0,0,EDATE(CF287,Parametri_v3!$C$37))))*12+E287-MONTH(IF(CF287=0,0,EDATE(CF287,Parametri_v3!$C$37)))),Parametri_v3!$C$38)=0),MIN(MAX(0,(BC286)+BA287-N287),(CC287-CD287)/(Ipotesi!$C$108*12/Parametri_v3!$C$38)),0)</f>
        <v>0</v>
      </c>
      <c r="BC287" s="15" t="n">
        <f aca="false">(BC286)+BA287-N287-BB287</f>
        <v>195634.022395528</v>
      </c>
      <c r="BD287" s="15" t="n">
        <f aca="false">(BH286)+AC287+AF287-AI287-AS287-K287*(1+Parametri_v3!$C$26)-AL287-AQ287-O287+AW287+AX287+AZ287+BA287-BB287</f>
        <v>-125910.632470945</v>
      </c>
      <c r="BE287" s="15" t="n">
        <f aca="false">MAX(0,MIN(MAX(0,CH287-(BG286)),Parametri_v3!$C$30-BD287))</f>
        <v>0</v>
      </c>
      <c r="BF287" s="15" t="n">
        <f aca="false">IF(Motore_Operativo!C287&gt;=Parametri_v3!$C$63,(BG286),MIN((BG286),MAX(0,BD287-Parametri_v3!$C$30)))</f>
        <v>0</v>
      </c>
      <c r="BG287" s="15" t="n">
        <f aca="false">(BG286)+BE287-BF287</f>
        <v>150000</v>
      </c>
      <c r="BH287" s="15" t="n">
        <f aca="false">BD287+BE287-BF287-AY287</f>
        <v>-125910.632470945</v>
      </c>
      <c r="BI287" s="15" t="n">
        <f aca="false">MAX(0,Parametri_v3!$C$30-BH287)</f>
        <v>150910.632470945</v>
      </c>
      <c r="BJ287" s="15" t="n">
        <f aca="false">(BJ286)+K287</f>
        <v>98333.3333333333</v>
      </c>
      <c r="BK287" s="15" t="n">
        <f aca="false">(BK286)+L287</f>
        <v>51087.962962963</v>
      </c>
      <c r="BL287" s="15" t="n">
        <f aca="false">BJ287-BK287</f>
        <v>47245.3703703703</v>
      </c>
      <c r="BM287" s="15" t="n">
        <f aca="false">(BM286)+Y287</f>
        <v>-759466.934888615</v>
      </c>
      <c r="BN287" s="15" t="n">
        <f aca="false">(BN286)+AW287+AX287+AZ287</f>
        <v>430000</v>
      </c>
      <c r="BO287" s="15" t="n">
        <f aca="false">(BO286)+AY287</f>
        <v>0</v>
      </c>
      <c r="BP287" s="15" t="n">
        <f aca="false">0</f>
        <v>0</v>
      </c>
      <c r="BQ287" s="15" t="n">
        <f aca="false">BN287+BM287-BO287</f>
        <v>-329466.934888615</v>
      </c>
      <c r="BR287" s="15" t="n">
        <f aca="false">BH287+AD287+BL287+MAX(0,-AM287)+MAX(0,-AR287)+AG287</f>
        <v>129272.74066175</v>
      </c>
      <c r="BS287" s="15" t="n">
        <f aca="false">AJ287+AV287+MAX(0,AM287)+MAX(0,AR287)+BC287+BG287+BQ287</f>
        <v>129272.74066175</v>
      </c>
      <c r="BT287" s="15" t="n">
        <f aca="false">BR287-BS287</f>
        <v>0</v>
      </c>
      <c r="BU287" s="15" t="n">
        <f aca="false">BH287-(BD287+BE287-BF287-AY287)</f>
        <v>0</v>
      </c>
      <c r="BV287" s="15" t="n">
        <f aca="false">MIN(Piano_SS!$C$6,(BV286)+IF(AND(Motore_Operativo!C287&gt;=EDATE(Parametri_v3!$C$24,Ipotesi!G14*12),Motore_Operativo!C287&lt;EDATE(Parametri_v3!$C$24,Parametri_v3!$C$25+Ipotesi!G14*12)),MAX(0,(Motore_Operativo!Y287+Motore_Operativo!X287*Parametri_v3!$C$14)*(1-Parametri_v3!$C$32))*Piano_SS!$D$6,0))</f>
        <v>190877.54836875</v>
      </c>
      <c r="BW287" s="15" t="n">
        <f aca="false">MIN(Piano_SS!$C$7,(BW286)+IF(AND(Motore_Operativo!C287&gt;=EDATE(Parametri_v3!$C$24,Ipotesi!G14*12),Motore_Operativo!C287&lt;EDATE(Parametri_v3!$C$24,Parametri_v3!$C$25+Ipotesi!G14*12)),MAX(0,(IF(43-(INT((Ipotesi!$C$91)/30))&lt;1,0,INDEX(Motore_Operativo!$BN$245:$BN$304,MAX(1,43-(INT((Ipotesi!$C$91)/30)))))*(1-(MOD((Ipotesi!$C$91),30)/30))+IF(43-(INT((Ipotesi!$C$91)/30))-1&lt;1,0,INDEX(Motore_Operativo!$BN$245:$BN$304,MAX(1,43-(INT((Ipotesi!$C$91)/30))-1)))*(MOD((Ipotesi!$C$91),30)/30)))*Piano_SS!$D$7,0))</f>
        <v>25611.7773375503</v>
      </c>
      <c r="BX287" s="15" t="n">
        <f aca="false">MIN(Piano_SS!$C$8,(BX286)+IF(AND(Motore_Operativo!C287&gt;=EDATE(Parametri_v3!$C$24,Ipotesi!G14*12),Motore_Operativo!C287&lt;EDATE(Parametri_v3!$C$24,Parametri_v3!$C$25+Ipotesi!G14*12)),MAX(0,Motore_Operativo!CE287)*Piano_SS!$D$8,0))</f>
        <v>50000</v>
      </c>
      <c r="BY287" s="15" t="n">
        <f aca="false">MIN(Piano_SS!$C$9,(BY286)+IF(AND(Motore_Operativo!C287&gt;=EDATE(Parametri_v3!$C$24,Ipotesi!G14*12),Motore_Operativo!C287&lt;EDATE(Parametri_v3!$C$24,Parametri_v3!$C$25+Ipotesi!G14*12)),MAX(0,((IF(43-(INT((Ipotesi!$C$91)/30))&lt;1,0,INDEX(Motore_Operativo!$BQ$245:$BQ$304,MAX(1,43-(INT((Ipotesi!$C$91)/30)))))*(1-(MOD((Ipotesi!$C$91),30)/30))+IF(43-(INT((Ipotesi!$C$91)/30))-1&lt;1,0,INDEX(Motore_Operativo!$BQ$245:$BQ$304,MAX(1,43-(INT((Ipotesi!$C$91)/30))-1)))*(MOD((Ipotesi!$C$91),30)/30))+(IF(43-(INT((Ipotesi!$C$91)/30))&lt;1,0,INDEX(Motore_Operativo!$BR$245:$BR$304,MAX(1,43-(INT((Ipotesi!$C$91)/30)))))*(1-(MOD((Ipotesi!$C$91),30)/30))+IF(43-(INT((Ipotesi!$C$91)/30))-1&lt;1,0,INDEX(Motore_Operativo!$BR$245:$BR$304,MAX(1,43-(INT((Ipotesi!$C$91)/30))-1)))*(MOD((Ipotesi!$C$91),30)/30))))*Piano_SS!$D$9,0))</f>
        <v>40000</v>
      </c>
      <c r="BZ287" s="15" t="n">
        <f aca="false">MIN(Piano_SS!$C$10,(BZ286)+IF(AND(Motore_Operativo!C287&gt;=EDATE(Parametri_v3!$C$24,Ipotesi!G14*12),Motore_Operativo!C287&lt;EDATE(Parametri_v3!$C$24,Parametri_v3!$C$25+Ipotesi!G14*12)),MAX(0,(IF(43-(INT((Ipotesi!$C$91)/30))&lt;1,0,INDEX(Motore_Operativo!$BO$245:$BO$304,MAX(1,43-(INT((Ipotesi!$C$91)/30)))))*(1-(MOD((Ipotesi!$C$91),30)/30))+IF(43-(INT((Ipotesi!$C$91)/30))-1&lt;1,0,INDEX(Motore_Operativo!$BO$245:$BO$304,MAX(1,43-(INT((Ipotesi!$C$91)/30))-1)))*(MOD((Ipotesi!$C$91),30)/30)))*Piano_SS!$D$10,0))</f>
        <v>30000</v>
      </c>
      <c r="CA287" s="15" t="n">
        <f aca="false">SUM(BV287:BZ287)</f>
        <v>336489.3257063</v>
      </c>
      <c r="CB287" s="15" t="n">
        <f aca="false">BV287*(1-Piano_SS!$E$6)+BW287*(1-Piano_SS!$E$7)+BX287*(1-Piano_SS!$E$8)+BY287*(1-Piano_SS!$E$9)+BZ287*(1-Piano_SS!$E$10)</f>
        <v>306489.3257063</v>
      </c>
      <c r="CC287" s="15" t="n">
        <f aca="false">(CC286)+BA287</f>
        <v>269191.46056504</v>
      </c>
      <c r="CD287" s="15" t="n">
        <f aca="false">IF(CA287=0,0,CC287*CB287/CA287*Ipotesi!$C$103*Parametri_v3!$C$64)</f>
        <v>73557.4381695121</v>
      </c>
      <c r="CE287" s="18" t="n">
        <f aca="false">IF(BA287&gt;0,Motore_Operativo!C287,(CE286))</f>
        <v>47635</v>
      </c>
      <c r="CF287" s="18" t="n">
        <f aca="false">IF(AND(CC287&gt;0,OR(CC287&gt;=CG287-0.01,Motore_Operativo!C287&gt;=EDATE(MAX(Finanziamenti!$D$15:$D$17),Ipotesi!G14*12))),CE287,0)</f>
        <v>47635</v>
      </c>
      <c r="CG287" s="15" t="n">
        <f aca="false">IF(AND(5&lt;&gt;6,5&lt;&gt;9,Finanziamenti!$F$11=1,OR(Parametri_v3!$C$6=0,Finanziamenti!$E$11=1)),MIN(Finanziamenti!$C$11,Piano_SS!$C$12*Ipotesi!$C$102),0)</f>
        <v>400000</v>
      </c>
      <c r="CH287" s="15" t="n">
        <f aca="false">IF(AND(AND(5&lt;&gt;8,5&lt;&gt;9,Finanziamenti!$F$10=1,OR(Parametri_v3!$C$6=0,Finanziamenti!$E$10=1)),Motore_Operativo!C287&gt;=Finanziamenti!$D$10,Motore_Operativo!C287&lt;Parametri_v3!$C$63),Finanziamenti!$C$10,0)</f>
        <v>150000</v>
      </c>
    </row>
    <row r="288" customFormat="false" ht="18" hidden="false" customHeight="true" outlineLevel="0" collapsed="false">
      <c r="A288" s="68" t="n">
        <f aca="false">5</f>
        <v>5</v>
      </c>
      <c r="B288" s="68" t="n">
        <f aca="false">44</f>
        <v>44</v>
      </c>
      <c r="C288" s="18" t="n">
        <f aca="false">Motore_Operativo!C288</f>
        <v>47696</v>
      </c>
      <c r="D288" s="68" t="n">
        <f aca="false">Motore_Operativo!D288</f>
        <v>2030</v>
      </c>
      <c r="E288" s="68" t="n">
        <f aca="false">Motore_Operativo!E288</f>
        <v>8</v>
      </c>
      <c r="F288" s="15" t="n">
        <f aca="false">Motore_Operativo!AQ288+Motore_Operativo!BF288</f>
        <v>42707.6585642731</v>
      </c>
      <c r="G288" s="15" t="n">
        <f aca="false">Motore_Operativo!BH288</f>
        <v>4466.9625</v>
      </c>
      <c r="H288" s="15" t="n">
        <f aca="false">Motore_Operativo!BI288</f>
        <v>47174.6210642731</v>
      </c>
      <c r="I288" s="15" t="n">
        <f aca="false">Motore_Operativo!CA288</f>
        <v>66029.6722406649</v>
      </c>
      <c r="J288" s="15" t="n">
        <f aca="false">Motore_Operativo!CC288</f>
        <v>-18855.0511763918</v>
      </c>
      <c r="K288" s="15" t="n">
        <f aca="false">Motore_Operativo!CE288</f>
        <v>3333.33333333333</v>
      </c>
      <c r="L288" s="15" t="n">
        <f aca="false">SUM(INDEX($K$245:$K$304,MAX(1,44-Parametri_v3!$C$59+1)):K288)/Parametri_v3!$C$59</f>
        <v>2453.7037037037</v>
      </c>
      <c r="M288" s="15" t="n">
        <f aca="false">J288-L288</f>
        <v>-21308.7548800955</v>
      </c>
      <c r="N288" s="15" t="n">
        <f aca="false">CD288-(CD287)</f>
        <v>0</v>
      </c>
      <c r="O288" s="15" t="n">
        <f aca="false">(BG287)*Ipotesi!$C$110/12+CH288*Parametri_v3!$C$39/12</f>
        <v>750</v>
      </c>
      <c r="P288" s="15" t="n">
        <f aca="false">M288+N288-O288</f>
        <v>-22058.7548800955</v>
      </c>
      <c r="Q288" s="15" t="n">
        <f aca="false">SUM(P281:P288)+Parametri_v3!$C$54*8/12</f>
        <v>-166983.918938795</v>
      </c>
      <c r="R288" s="15" t="n">
        <f aca="false">Z280</f>
        <v>614541.770829915</v>
      </c>
      <c r="S288" s="15" t="n">
        <f aca="false">AA280</f>
        <v>0</v>
      </c>
      <c r="T288" s="15" t="n">
        <f aca="false">MIN(R288,MAX(0,Q288))</f>
        <v>0</v>
      </c>
      <c r="U288" s="15" t="n">
        <f aca="false">MIN(S288,MAX(0,Q288-T288)*Parametri_v3!$C$42)</f>
        <v>0</v>
      </c>
      <c r="V288" s="15" t="n">
        <f aca="false">MAX(0,Q288-T288-U288)*Ipotesi!$C$92</f>
        <v>0</v>
      </c>
      <c r="W288" s="15" t="n">
        <f aca="false">MAX(0,SUM(M281:M288)+Parametri_v3!$C$55*8/12)*Ipotesi!$C$93</f>
        <v>0</v>
      </c>
      <c r="X288" s="15" t="n">
        <f aca="false">V288+W288-(V287+W287)</f>
        <v>0</v>
      </c>
      <c r="Y288" s="15" t="n">
        <f aca="false">P288-X288</f>
        <v>-22058.7548800955</v>
      </c>
      <c r="Z288" s="15" t="n">
        <f aca="false">R288-T288+IF(AND(Parametri_v3!$C$40=1,D288-YEAR(Parametri_v3!$C$50)&lt;Parametri_v3!$C$41),MAX(0,-Q288),0)</f>
        <v>614541.770829915</v>
      </c>
      <c r="AA288" s="15" t="n">
        <f aca="false">S288-U288+IF(AND(Parametri_v3!$C$40=1,D288-YEAR(Parametri_v3!$C$50)&lt;Parametri_v3!$C$41),0,MAX(0,-Q288))</f>
        <v>166983.918938795</v>
      </c>
      <c r="AB288" s="15" t="n">
        <f aca="false">F288*(1+Parametri_v3!$C$26)</f>
        <v>52103.3434484132</v>
      </c>
      <c r="AC288" s="15" t="n">
        <f aca="false">(IF(44-(INT((Motore_Operativo!L288)/30))&lt;1,0,INDEX(Motore_Startup!$AB$245:$AB$304,MAX(1,44-(INT((Motore_Operativo!L288)/30)))))*(1-(MOD((Motore_Operativo!L288),30)/30))+IF(44-(INT((Motore_Operativo!L288)/30))-1&lt;1,0,INDEX(Motore_Startup!$AB$245:$AB$304,MAX(1,44-(INT((Motore_Operativo!L288)/30))-1)))*(MOD((Motore_Operativo!L288),30)/30))</f>
        <v>49722.8672223519</v>
      </c>
      <c r="AD288" s="15" t="n">
        <f aca="false">(AD287)+AB288-AC288</f>
        <v>204868.784738386</v>
      </c>
      <c r="AE288" s="15" t="n">
        <f aca="false">Motore_Operativo!BH288*(1+Parametri_v3!$C$26)</f>
        <v>5449.69425</v>
      </c>
      <c r="AF288" s="15" t="n">
        <f aca="false">(IF(44-(INT((Parametri_v3!$C$29)/30))&lt;1,0,INDEX(Motore_Operativo!$BH$245:$BH$304,MAX(1,44-(INT((Parametri_v3!$C$29)/30)))))*(1-(MOD((Parametri_v3!$C$29),30)/30))+IF(44-(INT((Parametri_v3!$C$29)/30))-1&lt;1,0,INDEX(Motore_Operativo!$BH$245:$BH$304,MAX(1,44-(INT((Parametri_v3!$C$29)/30))-1)))*(MOD((Parametri_v3!$C$29),30)/30))*(1+Parametri_v3!$C$26)</f>
        <v>5449.69425</v>
      </c>
      <c r="AG288" s="15" t="n">
        <f aca="false">(AG287)+AE288-AF288</f>
        <v>5449.69425</v>
      </c>
      <c r="AH288" s="15" t="n">
        <f aca="false">(Motore_Operativo!CJ288)*(1+Parametri_v3!$C$27*Parametri_v3!$C$26)</f>
        <v>27125.4499098359</v>
      </c>
      <c r="AI288" s="15" t="n">
        <f aca="false">(IF(44-(INT((Ipotesi!$C$91)/30))&lt;1,0,INDEX(Motore_Startup!$AH$245:$AH$304,MAX(1,44-(INT((Ipotesi!$C$91)/30)))))*(1-(MOD((Ipotesi!$C$91),30)/30))+IF(44-(INT((Ipotesi!$C$91)/30))-1&lt;1,0,INDEX(Motore_Startup!$AH$245:$AH$304,MAX(1,44-(INT((Ipotesi!$C$91)/30))-1)))*(MOD((Ipotesi!$C$91),30)/30))</f>
        <v>26964.7473061879</v>
      </c>
      <c r="AJ288" s="15" t="n">
        <f aca="false">(AJ287)+AH288-AI288</f>
        <v>54170.9012595232</v>
      </c>
      <c r="AK288" s="15" t="n">
        <f aca="false">(F288+ Motore_Operativo!BH288-(Motore_Operativo!CJ288)*Parametri_v3!$C$27-Motore_Operativo!CE288)*Parametri_v3!$C$26</f>
        <v>5371.73946496908</v>
      </c>
      <c r="AL288" s="15" t="n">
        <f aca="false">MAX(0,(AM287))</f>
        <v>5278.43509062795</v>
      </c>
      <c r="AM288" s="15" t="n">
        <f aca="false">(AM287)+AK288-AL288</f>
        <v>5371.73946496908</v>
      </c>
      <c r="AN288" s="15" t="n">
        <f aca="false">SUM(X269:X280)</f>
        <v>0</v>
      </c>
      <c r="AO288" s="15" t="n">
        <f aca="false">SUM(AP269:AP280)</f>
        <v>0</v>
      </c>
      <c r="AP288" s="15" t="n">
        <f aca="false">MAX(0,AN288)*IF(8=Parametri_v3!$C$43,Parametri_v3!$C$45,IF(8=Parametri_v3!$C$44,1-Parametri_v3!$C$45,0))</f>
        <v>0</v>
      </c>
      <c r="AQ288" s="15" t="n">
        <f aca="false">MAX(0,AP288+IF(8=Parametri_v3!$C$43,MAX(0,AN288-AO288),0)-MAX(0,-(AR287)))</f>
        <v>0</v>
      </c>
      <c r="AR288" s="15" t="n">
        <f aca="false">(AR287)+X288-AQ288</f>
        <v>0</v>
      </c>
      <c r="AS288" s="15" t="n">
        <f aca="false">Motore_Operativo!AB288-AT288+AU288</f>
        <v>41018.6878583333</v>
      </c>
      <c r="AT288" s="15" t="n">
        <f aca="false">Motore_Operativo!CH288</f>
        <v>2158.87830833333</v>
      </c>
      <c r="AU288" s="15" t="n">
        <f aca="false">MIN(MAX(0,(AV287)+AT288),Parametri_v3!$C$60/12)</f>
        <v>0</v>
      </c>
      <c r="AV288" s="15" t="n">
        <f aca="false">(AV287)+AT288-AU288</f>
        <v>55975.8977166667</v>
      </c>
      <c r="AW288" s="15" t="n">
        <f aca="false">IF(AND(Motore_Operativo!C288=Finanziamenti!$D$6,Finanziamenti!$F$6=1),Finanziamenti!$C$6,0)</f>
        <v>0</v>
      </c>
      <c r="AX288" s="15" t="n">
        <f aca="false">IF(AND(5&lt;&gt;7,5&lt;&gt;9,Finanziamenti!$F$8=1,OR(Parametri_v3!$C$6=0,Finanziamenti!$E$8=1),Motore_Operativo!C288=EDATE(Finanziamenti!$D$8,Ipotesi!G15*12)),Finanziamenti!$C$8*1,0)+IF(AND(5&lt;&gt;7,5&lt;&gt;9,Finanziamenti!$F$9=1,OR(Parametri_v3!$C$6=0,Finanziamenti!$E$9=1),Motore_Operativo!C288=EDATE(Finanziamenti!$D$9,Ipotesi!G15*12)),Finanziamenti!$C$9*Ipotesi!G16,0)</f>
        <v>0</v>
      </c>
      <c r="AY288" s="15" t="n">
        <f aca="false">0</f>
        <v>0</v>
      </c>
      <c r="AZ288" s="15" t="n">
        <f aca="false">Motore_Advisory!AY288*(1-Ipotesi!$C$95)*Ipotesi!$C$96</f>
        <v>0</v>
      </c>
      <c r="BA288" s="15" t="n">
        <f aca="false">MAX(0,MIN(CG288*MIN(1,IF(Motore_Operativo!C288&gt;=EDATE(Finanziamenti!$D$15,Ipotesi!G14*12),Finanziamenti!$C$15,0)+IF(Motore_Operativo!C288&gt;=EDATE(Finanziamenti!$D$16,Ipotesi!G14*12),Finanziamenti!$C$16,0)+IF(Motore_Operativo!C288&gt;=EDATE(Finanziamenti!$D$17,Ipotesi!G14*12),Finanziamenti!$C$17,0)),CA288*Ipotesi!$C$102)-(CC287))</f>
        <v>0</v>
      </c>
      <c r="BB288" s="15" t="n">
        <f aca="false">IF(AND(CF288&gt;0,Motore_Operativo!C288&gt;=IF(CF288=0,0,EDATE(CF288,Parametri_v3!$C$37)),MOD(((D288-YEAR(IF(CF288=0,0,EDATE(CF288,Parametri_v3!$C$37))))*12+E288-MONTH(IF(CF288=0,0,EDATE(CF288,Parametri_v3!$C$37)))),Parametri_v3!$C$38)=0),MIN(MAX(0,(BC287)+BA288-N288),(CC288-CD288)/(Ipotesi!$C$108*12/Parametri_v3!$C$38)),0)</f>
        <v>0</v>
      </c>
      <c r="BC288" s="15" t="n">
        <f aca="false">(BC287)+BA288-N288-BB288</f>
        <v>195634.022395528</v>
      </c>
      <c r="BD288" s="15" t="n">
        <f aca="false">(BH287)+AC288+AF288-AI288-AS288-K288*(1+Parametri_v3!$C$26)-AL288-AQ288-O288+AW288+AX288+AZ288+BA288-BB288</f>
        <v>-148816.607920409</v>
      </c>
      <c r="BE288" s="15" t="n">
        <f aca="false">MAX(0,MIN(MAX(0,CH288-(BG287)),Parametri_v3!$C$30-BD288))</f>
        <v>0</v>
      </c>
      <c r="BF288" s="15" t="n">
        <f aca="false">IF(Motore_Operativo!C288&gt;=Parametri_v3!$C$63,(BG287),MIN((BG287),MAX(0,BD288-Parametri_v3!$C$30)))</f>
        <v>0</v>
      </c>
      <c r="BG288" s="15" t="n">
        <f aca="false">(BG287)+BE288-BF288</f>
        <v>150000</v>
      </c>
      <c r="BH288" s="15" t="n">
        <f aca="false">BD288+BE288-BF288-AY288</f>
        <v>-148816.607920409</v>
      </c>
      <c r="BI288" s="15" t="n">
        <f aca="false">MAX(0,Parametri_v3!$C$30-BH288)</f>
        <v>173816.607920409</v>
      </c>
      <c r="BJ288" s="15" t="n">
        <f aca="false">(BJ287)+K288</f>
        <v>101666.666666667</v>
      </c>
      <c r="BK288" s="15" t="n">
        <f aca="false">(BK287)+L288</f>
        <v>53541.6666666667</v>
      </c>
      <c r="BL288" s="15" t="n">
        <f aca="false">BJ288-BK288</f>
        <v>48125</v>
      </c>
      <c r="BM288" s="15" t="n">
        <f aca="false">(BM287)+Y288</f>
        <v>-781525.68976871</v>
      </c>
      <c r="BN288" s="15" t="n">
        <f aca="false">(BN287)+AW288+AX288+AZ288</f>
        <v>430000</v>
      </c>
      <c r="BO288" s="15" t="n">
        <f aca="false">(BO287)+AY288</f>
        <v>0</v>
      </c>
      <c r="BP288" s="15" t="n">
        <f aca="false">0</f>
        <v>0</v>
      </c>
      <c r="BQ288" s="15" t="n">
        <f aca="false">BN288+BM288-BO288</f>
        <v>-351525.68976871</v>
      </c>
      <c r="BR288" s="15" t="n">
        <f aca="false">BH288+AD288+BL288+MAX(0,-AM288)+MAX(0,-AR288)+AG288</f>
        <v>109626.871067977</v>
      </c>
      <c r="BS288" s="15" t="n">
        <f aca="false">AJ288+AV288+MAX(0,AM288)+MAX(0,AR288)+BC288+BG288+BQ288</f>
        <v>109626.871067977</v>
      </c>
      <c r="BT288" s="15" t="n">
        <f aca="false">BR288-BS288</f>
        <v>0</v>
      </c>
      <c r="BU288" s="15" t="n">
        <f aca="false">BH288-(BD288+BE288-BF288-AY288)</f>
        <v>0</v>
      </c>
      <c r="BV288" s="15" t="n">
        <f aca="false">MIN(Piano_SS!$C$6,(BV287)+IF(AND(Motore_Operativo!C288&gt;=EDATE(Parametri_v3!$C$24,Ipotesi!G14*12),Motore_Operativo!C288&lt;EDATE(Parametri_v3!$C$24,Parametri_v3!$C$25+Ipotesi!G14*12)),MAX(0,(Motore_Operativo!Y288+Motore_Operativo!X288*Parametri_v3!$C$14)*(1-Parametri_v3!$C$32))*Piano_SS!$D$6,0))</f>
        <v>190877.54836875</v>
      </c>
      <c r="BW288" s="15" t="n">
        <f aca="false">MIN(Piano_SS!$C$7,(BW287)+IF(AND(Motore_Operativo!C288&gt;=EDATE(Parametri_v3!$C$24,Ipotesi!G14*12),Motore_Operativo!C288&lt;EDATE(Parametri_v3!$C$24,Parametri_v3!$C$25+Ipotesi!G14*12)),MAX(0,(IF(44-(INT((Ipotesi!$C$91)/30))&lt;1,0,INDEX(Motore_Operativo!$BN$245:$BN$304,MAX(1,44-(INT((Ipotesi!$C$91)/30)))))*(1-(MOD((Ipotesi!$C$91),30)/30))+IF(44-(INT((Ipotesi!$C$91)/30))-1&lt;1,0,INDEX(Motore_Operativo!$BN$245:$BN$304,MAX(1,44-(INT((Ipotesi!$C$91)/30))-1)))*(MOD((Ipotesi!$C$91),30)/30)))*Piano_SS!$D$7,0))</f>
        <v>25611.7773375503</v>
      </c>
      <c r="BX288" s="15" t="n">
        <f aca="false">MIN(Piano_SS!$C$8,(BX287)+IF(AND(Motore_Operativo!C288&gt;=EDATE(Parametri_v3!$C$24,Ipotesi!G14*12),Motore_Operativo!C288&lt;EDATE(Parametri_v3!$C$24,Parametri_v3!$C$25+Ipotesi!G14*12)),MAX(0,Motore_Operativo!CE288)*Piano_SS!$D$8,0))</f>
        <v>50000</v>
      </c>
      <c r="BY288" s="15" t="n">
        <f aca="false">MIN(Piano_SS!$C$9,(BY287)+IF(AND(Motore_Operativo!C288&gt;=EDATE(Parametri_v3!$C$24,Ipotesi!G14*12),Motore_Operativo!C288&lt;EDATE(Parametri_v3!$C$24,Parametri_v3!$C$25+Ipotesi!G14*12)),MAX(0,((IF(44-(INT((Ipotesi!$C$91)/30))&lt;1,0,INDEX(Motore_Operativo!$BQ$245:$BQ$304,MAX(1,44-(INT((Ipotesi!$C$91)/30)))))*(1-(MOD((Ipotesi!$C$91),30)/30))+IF(44-(INT((Ipotesi!$C$91)/30))-1&lt;1,0,INDEX(Motore_Operativo!$BQ$245:$BQ$304,MAX(1,44-(INT((Ipotesi!$C$91)/30))-1)))*(MOD((Ipotesi!$C$91),30)/30))+(IF(44-(INT((Ipotesi!$C$91)/30))&lt;1,0,INDEX(Motore_Operativo!$BR$245:$BR$304,MAX(1,44-(INT((Ipotesi!$C$91)/30)))))*(1-(MOD((Ipotesi!$C$91),30)/30))+IF(44-(INT((Ipotesi!$C$91)/30))-1&lt;1,0,INDEX(Motore_Operativo!$BR$245:$BR$304,MAX(1,44-(INT((Ipotesi!$C$91)/30))-1)))*(MOD((Ipotesi!$C$91),30)/30))))*Piano_SS!$D$9,0))</f>
        <v>40000</v>
      </c>
      <c r="BZ288" s="15" t="n">
        <f aca="false">MIN(Piano_SS!$C$10,(BZ287)+IF(AND(Motore_Operativo!C288&gt;=EDATE(Parametri_v3!$C$24,Ipotesi!G14*12),Motore_Operativo!C288&lt;EDATE(Parametri_v3!$C$24,Parametri_v3!$C$25+Ipotesi!G14*12)),MAX(0,(IF(44-(INT((Ipotesi!$C$91)/30))&lt;1,0,INDEX(Motore_Operativo!$BO$245:$BO$304,MAX(1,44-(INT((Ipotesi!$C$91)/30)))))*(1-(MOD((Ipotesi!$C$91),30)/30))+IF(44-(INT((Ipotesi!$C$91)/30))-1&lt;1,0,INDEX(Motore_Operativo!$BO$245:$BO$304,MAX(1,44-(INT((Ipotesi!$C$91)/30))-1)))*(MOD((Ipotesi!$C$91),30)/30)))*Piano_SS!$D$10,0))</f>
        <v>30000</v>
      </c>
      <c r="CA288" s="15" t="n">
        <f aca="false">SUM(BV288:BZ288)</f>
        <v>336489.3257063</v>
      </c>
      <c r="CB288" s="15" t="n">
        <f aca="false">BV288*(1-Piano_SS!$E$6)+BW288*(1-Piano_SS!$E$7)+BX288*(1-Piano_SS!$E$8)+BY288*(1-Piano_SS!$E$9)+BZ288*(1-Piano_SS!$E$10)</f>
        <v>306489.3257063</v>
      </c>
      <c r="CC288" s="15" t="n">
        <f aca="false">(CC287)+BA288</f>
        <v>269191.46056504</v>
      </c>
      <c r="CD288" s="15" t="n">
        <f aca="false">IF(CA288=0,0,CC288*CB288/CA288*Ipotesi!$C$103*Parametri_v3!$C$64)</f>
        <v>73557.4381695121</v>
      </c>
      <c r="CE288" s="18" t="n">
        <f aca="false">IF(BA288&gt;0,Motore_Operativo!C288,(CE287))</f>
        <v>47635</v>
      </c>
      <c r="CF288" s="18" t="n">
        <f aca="false">IF(AND(CC288&gt;0,OR(CC288&gt;=CG288-0.01,Motore_Operativo!C288&gt;=EDATE(MAX(Finanziamenti!$D$15:$D$17),Ipotesi!G14*12))),CE288,0)</f>
        <v>47635</v>
      </c>
      <c r="CG288" s="15" t="n">
        <f aca="false">IF(AND(5&lt;&gt;6,5&lt;&gt;9,Finanziamenti!$F$11=1,OR(Parametri_v3!$C$6=0,Finanziamenti!$E$11=1)),MIN(Finanziamenti!$C$11,Piano_SS!$C$12*Ipotesi!$C$102),0)</f>
        <v>400000</v>
      </c>
      <c r="CH288" s="15" t="n">
        <f aca="false">IF(AND(AND(5&lt;&gt;8,5&lt;&gt;9,Finanziamenti!$F$10=1,OR(Parametri_v3!$C$6=0,Finanziamenti!$E$10=1)),Motore_Operativo!C288&gt;=Finanziamenti!$D$10,Motore_Operativo!C288&lt;Parametri_v3!$C$63),Finanziamenti!$C$10,0)</f>
        <v>150000</v>
      </c>
    </row>
    <row r="289" customFormat="false" ht="18" hidden="false" customHeight="true" outlineLevel="0" collapsed="false">
      <c r="A289" s="68" t="n">
        <f aca="false">5</f>
        <v>5</v>
      </c>
      <c r="B289" s="68" t="n">
        <f aca="false">45</f>
        <v>45</v>
      </c>
      <c r="C289" s="18" t="n">
        <f aca="false">Motore_Operativo!C289</f>
        <v>47727</v>
      </c>
      <c r="D289" s="68" t="n">
        <f aca="false">Motore_Operativo!D289</f>
        <v>2030</v>
      </c>
      <c r="E289" s="68" t="n">
        <f aca="false">Motore_Operativo!E289</f>
        <v>9</v>
      </c>
      <c r="F289" s="15" t="n">
        <f aca="false">Motore_Operativo!AQ289+Motore_Operativo!BF289</f>
        <v>43184.8474188819</v>
      </c>
      <c r="G289" s="15" t="n">
        <f aca="false">Motore_Operativo!BH289</f>
        <v>4466.9625</v>
      </c>
      <c r="H289" s="15" t="n">
        <f aca="false">Motore_Operativo!BI289</f>
        <v>47651.8099188819</v>
      </c>
      <c r="I289" s="15" t="n">
        <f aca="false">Motore_Operativo!CA289</f>
        <v>66096.4786803101</v>
      </c>
      <c r="J289" s="15" t="n">
        <f aca="false">Motore_Operativo!CC289</f>
        <v>-18444.6687614283</v>
      </c>
      <c r="K289" s="15" t="n">
        <f aca="false">Motore_Operativo!CE289</f>
        <v>3333.33333333333</v>
      </c>
      <c r="L289" s="15" t="n">
        <f aca="false">SUM(INDEX($K$245:$K$304,MAX(1,45-Parametri_v3!$C$59+1)):K289)/Parametri_v3!$C$59</f>
        <v>2500</v>
      </c>
      <c r="M289" s="15" t="n">
        <f aca="false">J289-L289</f>
        <v>-20944.6687614283</v>
      </c>
      <c r="N289" s="15" t="n">
        <f aca="false">CD289-(CD288)</f>
        <v>0</v>
      </c>
      <c r="O289" s="15" t="n">
        <f aca="false">(BG288)*Ipotesi!$C$110/12+CH289*Parametri_v3!$C$39/12</f>
        <v>750</v>
      </c>
      <c r="P289" s="15" t="n">
        <f aca="false">M289+N289-O289</f>
        <v>-21694.6687614283</v>
      </c>
      <c r="Q289" s="15" t="n">
        <f aca="false">SUM(P281:P289)+Parametri_v3!$C$54*9/12</f>
        <v>-188678.587700223</v>
      </c>
      <c r="R289" s="15" t="n">
        <f aca="false">Z280</f>
        <v>614541.770829915</v>
      </c>
      <c r="S289" s="15" t="n">
        <f aca="false">AA280</f>
        <v>0</v>
      </c>
      <c r="T289" s="15" t="n">
        <f aca="false">MIN(R289,MAX(0,Q289))</f>
        <v>0</v>
      </c>
      <c r="U289" s="15" t="n">
        <f aca="false">MIN(S289,MAX(0,Q289-T289)*Parametri_v3!$C$42)</f>
        <v>0</v>
      </c>
      <c r="V289" s="15" t="n">
        <f aca="false">MAX(0,Q289-T289-U289)*Ipotesi!$C$92</f>
        <v>0</v>
      </c>
      <c r="W289" s="15" t="n">
        <f aca="false">MAX(0,SUM(M281:M289)+Parametri_v3!$C$55*9/12)*Ipotesi!$C$93</f>
        <v>0</v>
      </c>
      <c r="X289" s="15" t="n">
        <f aca="false">V289+W289-(V288+W288)</f>
        <v>0</v>
      </c>
      <c r="Y289" s="15" t="n">
        <f aca="false">P289-X289</f>
        <v>-21694.6687614283</v>
      </c>
      <c r="Z289" s="15" t="n">
        <f aca="false">R289-T289+IF(AND(Parametri_v3!$C$40=1,D289-YEAR(Parametri_v3!$C$50)&lt;Parametri_v3!$C$41),MAX(0,-Q289),0)</f>
        <v>614541.770829915</v>
      </c>
      <c r="AA289" s="15" t="n">
        <f aca="false">S289-U289+IF(AND(Parametri_v3!$C$40=1,D289-YEAR(Parametri_v3!$C$50)&lt;Parametri_v3!$C$41),0,MAX(0,-Q289))</f>
        <v>188678.587700223</v>
      </c>
      <c r="AB289" s="15" t="n">
        <f aca="false">F289*(1+Parametri_v3!$C$26)</f>
        <v>52685.5138510359</v>
      </c>
      <c r="AC289" s="15" t="n">
        <f aca="false">(IF(45-(INT((Motore_Operativo!L289)/30))&lt;1,0,INDEX(Motore_Startup!$AB$245:$AB$304,MAX(1,45-(INT((Motore_Operativo!L289)/30)))))*(1-(MOD((Motore_Operativo!L289),30)/30))+IF(45-(INT((Motore_Operativo!L289)/30))-1&lt;1,0,INDEX(Motore_Startup!$AB$245:$AB$304,MAX(1,45-(INT((Motore_Operativo!L289)/30))-1)))*(MOD((Motore_Operativo!L289),30)/30))</f>
        <v>50325.8468220297</v>
      </c>
      <c r="AD289" s="15" t="n">
        <f aca="false">(AD288)+AB289-AC289</f>
        <v>207228.451767392</v>
      </c>
      <c r="AE289" s="15" t="n">
        <f aca="false">Motore_Operativo!BH289*(1+Parametri_v3!$C$26)</f>
        <v>5449.69425</v>
      </c>
      <c r="AF289" s="15" t="n">
        <f aca="false">(IF(45-(INT((Parametri_v3!$C$29)/30))&lt;1,0,INDEX(Motore_Operativo!$BH$245:$BH$304,MAX(1,45-(INT((Parametri_v3!$C$29)/30)))))*(1-(MOD((Parametri_v3!$C$29),30)/30))+IF(45-(INT((Parametri_v3!$C$29)/30))-1&lt;1,0,INDEX(Motore_Operativo!$BH$245:$BH$304,MAX(1,45-(INT((Parametri_v3!$C$29)/30))-1)))*(MOD((Parametri_v3!$C$29),30)/30))*(1+Parametri_v3!$C$26)</f>
        <v>5449.69425</v>
      </c>
      <c r="AG289" s="15" t="n">
        <f aca="false">(AG288)+AE289-AF289</f>
        <v>5449.69425</v>
      </c>
      <c r="AH289" s="15" t="n">
        <f aca="false">(Motore_Operativo!CJ289)*(1+Parametri_v3!$C$27*Parametri_v3!$C$26)</f>
        <v>27204.7491536948</v>
      </c>
      <c r="AI289" s="15" t="n">
        <f aca="false">(IF(45-(INT((Ipotesi!$C$91)/30))&lt;1,0,INDEX(Motore_Startup!$AH$245:$AH$304,MAX(1,45-(INT((Ipotesi!$C$91)/30)))))*(1-(MOD((Ipotesi!$C$91),30)/30))+IF(45-(INT((Ipotesi!$C$91)/30))-1&lt;1,0,INDEX(Motore_Startup!$AH$245:$AH$304,MAX(1,45-(INT((Ipotesi!$C$91)/30))-1)))*(MOD((Ipotesi!$C$91),30)/30))</f>
        <v>27045.4513496873</v>
      </c>
      <c r="AJ289" s="15" t="n">
        <f aca="false">(AJ288)+AH289-AI289</f>
        <v>54330.1990635307</v>
      </c>
      <c r="AK289" s="15" t="n">
        <f aca="false">(F289+ Motore_Operativo!BH289-(Motore_Operativo!CJ289)*Parametri_v3!$C$27-Motore_Operativo!CE289)*Parametri_v3!$C$26</f>
        <v>5464.22820876935</v>
      </c>
      <c r="AL289" s="15" t="n">
        <f aca="false">MAX(0,(AM288))</f>
        <v>5371.73946496908</v>
      </c>
      <c r="AM289" s="15" t="n">
        <f aca="false">(AM288)+AK289-AL289</f>
        <v>5464.22820876935</v>
      </c>
      <c r="AN289" s="15" t="n">
        <f aca="false">SUM(X269:X280)</f>
        <v>0</v>
      </c>
      <c r="AO289" s="15" t="n">
        <f aca="false">SUM(AP269:AP280)</f>
        <v>0</v>
      </c>
      <c r="AP289" s="15" t="n">
        <f aca="false">MAX(0,AN289)*IF(9=Parametri_v3!$C$43,Parametri_v3!$C$45,IF(9=Parametri_v3!$C$44,1-Parametri_v3!$C$45,0))</f>
        <v>0</v>
      </c>
      <c r="AQ289" s="15" t="n">
        <f aca="false">MAX(0,AP289+IF(9=Parametri_v3!$C$43,MAX(0,AN289-AO289),0)-MAX(0,-(AR288)))</f>
        <v>0</v>
      </c>
      <c r="AR289" s="15" t="n">
        <f aca="false">(AR288)+X289-AQ289</f>
        <v>0</v>
      </c>
      <c r="AS289" s="15" t="n">
        <f aca="false">Motore_Operativo!AB289-AT289+AU289</f>
        <v>41018.6878583333</v>
      </c>
      <c r="AT289" s="15" t="n">
        <f aca="false">Motore_Operativo!CH289</f>
        <v>2158.87830833333</v>
      </c>
      <c r="AU289" s="15" t="n">
        <f aca="false">MIN(MAX(0,(AV288)+AT289),Parametri_v3!$C$60/12)</f>
        <v>0</v>
      </c>
      <c r="AV289" s="15" t="n">
        <f aca="false">(AV288)+AT289-AU289</f>
        <v>58134.776025</v>
      </c>
      <c r="AW289" s="15" t="n">
        <f aca="false">IF(AND(Motore_Operativo!C289=Finanziamenti!$D$6,Finanziamenti!$F$6=1),Finanziamenti!$C$6,0)</f>
        <v>0</v>
      </c>
      <c r="AX289" s="15" t="n">
        <f aca="false">IF(AND(5&lt;&gt;7,5&lt;&gt;9,Finanziamenti!$F$8=1,OR(Parametri_v3!$C$6=0,Finanziamenti!$E$8=1),Motore_Operativo!C289=EDATE(Finanziamenti!$D$8,Ipotesi!G15*12)),Finanziamenti!$C$8*1,0)+IF(AND(5&lt;&gt;7,5&lt;&gt;9,Finanziamenti!$F$9=1,OR(Parametri_v3!$C$6=0,Finanziamenti!$E$9=1),Motore_Operativo!C289=EDATE(Finanziamenti!$D$9,Ipotesi!G15*12)),Finanziamenti!$C$9*Ipotesi!G16,0)</f>
        <v>0</v>
      </c>
      <c r="AY289" s="15" t="n">
        <f aca="false">0</f>
        <v>0</v>
      </c>
      <c r="AZ289" s="15" t="n">
        <f aca="false">Motore_Advisory!AY289*(1-Ipotesi!$C$95)*Ipotesi!$C$96</f>
        <v>0</v>
      </c>
      <c r="BA289" s="15" t="n">
        <f aca="false">MAX(0,MIN(CG289*MIN(1,IF(Motore_Operativo!C289&gt;=EDATE(Finanziamenti!$D$15,Ipotesi!G14*12),Finanziamenti!$C$15,0)+IF(Motore_Operativo!C289&gt;=EDATE(Finanziamenti!$D$16,Ipotesi!G14*12),Finanziamenti!$C$16,0)+IF(Motore_Operativo!C289&gt;=EDATE(Finanziamenti!$D$17,Ipotesi!G14*12),Finanziamenti!$C$17,0)),CA289*Ipotesi!$C$102)-(CC288))</f>
        <v>0</v>
      </c>
      <c r="BB289" s="15" t="n">
        <f aca="false">IF(AND(CF289&gt;0,Motore_Operativo!C289&gt;=IF(CF289=0,0,EDATE(CF289,Parametri_v3!$C$37)),MOD(((D289-YEAR(IF(CF289=0,0,EDATE(CF289,Parametri_v3!$C$37))))*12+E289-MONTH(IF(CF289=0,0,EDATE(CF289,Parametri_v3!$C$37)))),Parametri_v3!$C$38)=0),MIN(MAX(0,(BC288)+BA289-N289),(CC289-CD289)/(Ipotesi!$C$108*12/Parametri_v3!$C$38)),0)</f>
        <v>0</v>
      </c>
      <c r="BC289" s="15" t="n">
        <f aca="false">(BC288)+BA289-N289-BB289</f>
        <v>195634.022395528</v>
      </c>
      <c r="BD289" s="15" t="n">
        <f aca="false">(BH288)+AC289+AF289-AI289-AS289-K289*(1+Parametri_v3!$C$26)-AL289-AQ289-O289+AW289+AX289+AZ289+BA289-BB289</f>
        <v>-171293.612188035</v>
      </c>
      <c r="BE289" s="15" t="n">
        <f aca="false">MAX(0,MIN(MAX(0,CH289-(BG288)),Parametri_v3!$C$30-BD289))</f>
        <v>0</v>
      </c>
      <c r="BF289" s="15" t="n">
        <f aca="false">IF(Motore_Operativo!C289&gt;=Parametri_v3!$C$63,(BG288),MIN((BG288),MAX(0,BD289-Parametri_v3!$C$30)))</f>
        <v>0</v>
      </c>
      <c r="BG289" s="15" t="n">
        <f aca="false">(BG288)+BE289-BF289</f>
        <v>150000</v>
      </c>
      <c r="BH289" s="15" t="n">
        <f aca="false">BD289+BE289-BF289-AY289</f>
        <v>-171293.612188035</v>
      </c>
      <c r="BI289" s="15" t="n">
        <f aca="false">MAX(0,Parametri_v3!$C$30-BH289)</f>
        <v>196293.612188035</v>
      </c>
      <c r="BJ289" s="15" t="n">
        <f aca="false">(BJ288)+K289</f>
        <v>105000</v>
      </c>
      <c r="BK289" s="15" t="n">
        <f aca="false">(BK288)+L289</f>
        <v>56041.6666666667</v>
      </c>
      <c r="BL289" s="15" t="n">
        <f aca="false">BJ289-BK289</f>
        <v>48958.3333333333</v>
      </c>
      <c r="BM289" s="15" t="n">
        <f aca="false">(BM288)+Y289</f>
        <v>-803220.358530139</v>
      </c>
      <c r="BN289" s="15" t="n">
        <f aca="false">(BN288)+AW289+AX289+AZ289</f>
        <v>430000</v>
      </c>
      <c r="BO289" s="15" t="n">
        <f aca="false">(BO288)+AY289</f>
        <v>0</v>
      </c>
      <c r="BP289" s="15" t="n">
        <f aca="false">0</f>
        <v>0</v>
      </c>
      <c r="BQ289" s="15" t="n">
        <f aca="false">BN289+BM289-BO289</f>
        <v>-373220.358530139</v>
      </c>
      <c r="BR289" s="15" t="n">
        <f aca="false">BH289+AD289+BL289+MAX(0,-AM289)+MAX(0,-AR289)+AG289</f>
        <v>90342.8671626897</v>
      </c>
      <c r="BS289" s="15" t="n">
        <f aca="false">AJ289+AV289+MAX(0,AM289)+MAX(0,AR289)+BC289+BG289+BQ289</f>
        <v>90342.8671626897</v>
      </c>
      <c r="BT289" s="15" t="n">
        <f aca="false">BR289-BS289</f>
        <v>0</v>
      </c>
      <c r="BU289" s="15" t="n">
        <f aca="false">BH289-(BD289+BE289-BF289-AY289)</f>
        <v>0</v>
      </c>
      <c r="BV289" s="15" t="n">
        <f aca="false">MIN(Piano_SS!$C$6,(BV288)+IF(AND(Motore_Operativo!C289&gt;=EDATE(Parametri_v3!$C$24,Ipotesi!G14*12),Motore_Operativo!C289&lt;EDATE(Parametri_v3!$C$24,Parametri_v3!$C$25+Ipotesi!G14*12)),MAX(0,(Motore_Operativo!Y289+Motore_Operativo!X289*Parametri_v3!$C$14)*(1-Parametri_v3!$C$32))*Piano_SS!$D$6,0))</f>
        <v>190877.54836875</v>
      </c>
      <c r="BW289" s="15" t="n">
        <f aca="false">MIN(Piano_SS!$C$7,(BW288)+IF(AND(Motore_Operativo!C289&gt;=EDATE(Parametri_v3!$C$24,Ipotesi!G14*12),Motore_Operativo!C289&lt;EDATE(Parametri_v3!$C$24,Parametri_v3!$C$25+Ipotesi!G14*12)),MAX(0,(IF(45-(INT((Ipotesi!$C$91)/30))&lt;1,0,INDEX(Motore_Operativo!$BN$245:$BN$304,MAX(1,45-(INT((Ipotesi!$C$91)/30)))))*(1-(MOD((Ipotesi!$C$91),30)/30))+IF(45-(INT((Ipotesi!$C$91)/30))-1&lt;1,0,INDEX(Motore_Operativo!$BN$245:$BN$304,MAX(1,45-(INT((Ipotesi!$C$91)/30))-1)))*(MOD((Ipotesi!$C$91),30)/30)))*Piano_SS!$D$7,0))</f>
        <v>25611.7773375503</v>
      </c>
      <c r="BX289" s="15" t="n">
        <f aca="false">MIN(Piano_SS!$C$8,(BX288)+IF(AND(Motore_Operativo!C289&gt;=EDATE(Parametri_v3!$C$24,Ipotesi!G14*12),Motore_Operativo!C289&lt;EDATE(Parametri_v3!$C$24,Parametri_v3!$C$25+Ipotesi!G14*12)),MAX(0,Motore_Operativo!CE289)*Piano_SS!$D$8,0))</f>
        <v>50000</v>
      </c>
      <c r="BY289" s="15" t="n">
        <f aca="false">MIN(Piano_SS!$C$9,(BY288)+IF(AND(Motore_Operativo!C289&gt;=EDATE(Parametri_v3!$C$24,Ipotesi!G14*12),Motore_Operativo!C289&lt;EDATE(Parametri_v3!$C$24,Parametri_v3!$C$25+Ipotesi!G14*12)),MAX(0,((IF(45-(INT((Ipotesi!$C$91)/30))&lt;1,0,INDEX(Motore_Operativo!$BQ$245:$BQ$304,MAX(1,45-(INT((Ipotesi!$C$91)/30)))))*(1-(MOD((Ipotesi!$C$91),30)/30))+IF(45-(INT((Ipotesi!$C$91)/30))-1&lt;1,0,INDEX(Motore_Operativo!$BQ$245:$BQ$304,MAX(1,45-(INT((Ipotesi!$C$91)/30))-1)))*(MOD((Ipotesi!$C$91),30)/30))+(IF(45-(INT((Ipotesi!$C$91)/30))&lt;1,0,INDEX(Motore_Operativo!$BR$245:$BR$304,MAX(1,45-(INT((Ipotesi!$C$91)/30)))))*(1-(MOD((Ipotesi!$C$91),30)/30))+IF(45-(INT((Ipotesi!$C$91)/30))-1&lt;1,0,INDEX(Motore_Operativo!$BR$245:$BR$304,MAX(1,45-(INT((Ipotesi!$C$91)/30))-1)))*(MOD((Ipotesi!$C$91),30)/30))))*Piano_SS!$D$9,0))</f>
        <v>40000</v>
      </c>
      <c r="BZ289" s="15" t="n">
        <f aca="false">MIN(Piano_SS!$C$10,(BZ288)+IF(AND(Motore_Operativo!C289&gt;=EDATE(Parametri_v3!$C$24,Ipotesi!G14*12),Motore_Operativo!C289&lt;EDATE(Parametri_v3!$C$24,Parametri_v3!$C$25+Ipotesi!G14*12)),MAX(0,(IF(45-(INT((Ipotesi!$C$91)/30))&lt;1,0,INDEX(Motore_Operativo!$BO$245:$BO$304,MAX(1,45-(INT((Ipotesi!$C$91)/30)))))*(1-(MOD((Ipotesi!$C$91),30)/30))+IF(45-(INT((Ipotesi!$C$91)/30))-1&lt;1,0,INDEX(Motore_Operativo!$BO$245:$BO$304,MAX(1,45-(INT((Ipotesi!$C$91)/30))-1)))*(MOD((Ipotesi!$C$91),30)/30)))*Piano_SS!$D$10,0))</f>
        <v>30000</v>
      </c>
      <c r="CA289" s="15" t="n">
        <f aca="false">SUM(BV289:BZ289)</f>
        <v>336489.3257063</v>
      </c>
      <c r="CB289" s="15" t="n">
        <f aca="false">BV289*(1-Piano_SS!$E$6)+BW289*(1-Piano_SS!$E$7)+BX289*(1-Piano_SS!$E$8)+BY289*(1-Piano_SS!$E$9)+BZ289*(1-Piano_SS!$E$10)</f>
        <v>306489.3257063</v>
      </c>
      <c r="CC289" s="15" t="n">
        <f aca="false">(CC288)+BA289</f>
        <v>269191.46056504</v>
      </c>
      <c r="CD289" s="15" t="n">
        <f aca="false">IF(CA289=0,0,CC289*CB289/CA289*Ipotesi!$C$103*Parametri_v3!$C$64)</f>
        <v>73557.4381695121</v>
      </c>
      <c r="CE289" s="18" t="n">
        <f aca="false">IF(BA289&gt;0,Motore_Operativo!C289,(CE288))</f>
        <v>47635</v>
      </c>
      <c r="CF289" s="18" t="n">
        <f aca="false">IF(AND(CC289&gt;0,OR(CC289&gt;=CG289-0.01,Motore_Operativo!C289&gt;=EDATE(MAX(Finanziamenti!$D$15:$D$17),Ipotesi!G14*12))),CE289,0)</f>
        <v>47635</v>
      </c>
      <c r="CG289" s="15" t="n">
        <f aca="false">IF(AND(5&lt;&gt;6,5&lt;&gt;9,Finanziamenti!$F$11=1,OR(Parametri_v3!$C$6=0,Finanziamenti!$E$11=1)),MIN(Finanziamenti!$C$11,Piano_SS!$C$12*Ipotesi!$C$102),0)</f>
        <v>400000</v>
      </c>
      <c r="CH289" s="15" t="n">
        <f aca="false">IF(AND(AND(5&lt;&gt;8,5&lt;&gt;9,Finanziamenti!$F$10=1,OR(Parametri_v3!$C$6=0,Finanziamenti!$E$10=1)),Motore_Operativo!C289&gt;=Finanziamenti!$D$10,Motore_Operativo!C289&lt;Parametri_v3!$C$63),Finanziamenti!$C$10,0)</f>
        <v>150000</v>
      </c>
    </row>
    <row r="290" customFormat="false" ht="18" hidden="false" customHeight="true" outlineLevel="0" collapsed="false">
      <c r="A290" s="68" t="n">
        <f aca="false">5</f>
        <v>5</v>
      </c>
      <c r="B290" s="68" t="n">
        <f aca="false">46</f>
        <v>46</v>
      </c>
      <c r="C290" s="18" t="n">
        <f aca="false">Motore_Operativo!C290</f>
        <v>47757</v>
      </c>
      <c r="D290" s="68" t="n">
        <f aca="false">Motore_Operativo!D290</f>
        <v>2030</v>
      </c>
      <c r="E290" s="68" t="n">
        <f aca="false">Motore_Operativo!E290</f>
        <v>10</v>
      </c>
      <c r="F290" s="15" t="n">
        <f aca="false">Motore_Operativo!AQ290+Motore_Operativo!BF290</f>
        <v>43657.8648741717</v>
      </c>
      <c r="G290" s="15" t="n">
        <f aca="false">Motore_Operativo!BH290</f>
        <v>4466.9625</v>
      </c>
      <c r="H290" s="15" t="n">
        <f aca="false">Motore_Operativo!BI290</f>
        <v>48124.8273741717</v>
      </c>
      <c r="I290" s="15" t="n">
        <f aca="false">Motore_Operativo!CA290</f>
        <v>66162.7011240507</v>
      </c>
      <c r="J290" s="15" t="n">
        <f aca="false">Motore_Operativo!CC290</f>
        <v>-18037.873749879</v>
      </c>
      <c r="K290" s="15" t="n">
        <f aca="false">Motore_Operativo!CE290</f>
        <v>3333.33333333333</v>
      </c>
      <c r="L290" s="15" t="n">
        <f aca="false">SUM(INDEX($K$245:$K$304,MAX(1,46-Parametri_v3!$C$59+1)):K290)/Parametri_v3!$C$59</f>
        <v>2546.2962962963</v>
      </c>
      <c r="M290" s="15" t="n">
        <f aca="false">J290-L290</f>
        <v>-20584.1700461753</v>
      </c>
      <c r="N290" s="15" t="n">
        <f aca="false">CD290-(CD289)</f>
        <v>0</v>
      </c>
      <c r="O290" s="15" t="n">
        <f aca="false">(BG289)*Ipotesi!$C$110/12+CH290*Parametri_v3!$C$39/12</f>
        <v>750</v>
      </c>
      <c r="P290" s="15" t="n">
        <f aca="false">M290+N290-O290</f>
        <v>-21334.1700461753</v>
      </c>
      <c r="Q290" s="15" t="n">
        <f aca="false">SUM(P281:P290)+Parametri_v3!$C$54*10/12</f>
        <v>-210012.757746398</v>
      </c>
      <c r="R290" s="15" t="n">
        <f aca="false">Z280</f>
        <v>614541.770829915</v>
      </c>
      <c r="S290" s="15" t="n">
        <f aca="false">AA280</f>
        <v>0</v>
      </c>
      <c r="T290" s="15" t="n">
        <f aca="false">MIN(R290,MAX(0,Q290))</f>
        <v>0</v>
      </c>
      <c r="U290" s="15" t="n">
        <f aca="false">MIN(S290,MAX(0,Q290-T290)*Parametri_v3!$C$42)</f>
        <v>0</v>
      </c>
      <c r="V290" s="15" t="n">
        <f aca="false">MAX(0,Q290-T290-U290)*Ipotesi!$C$92</f>
        <v>0</v>
      </c>
      <c r="W290" s="15" t="n">
        <f aca="false">MAX(0,SUM(M281:M290)+Parametri_v3!$C$55*10/12)*Ipotesi!$C$93</f>
        <v>0</v>
      </c>
      <c r="X290" s="15" t="n">
        <f aca="false">V290+W290-(V289+W289)</f>
        <v>0</v>
      </c>
      <c r="Y290" s="15" t="n">
        <f aca="false">P290-X290</f>
        <v>-21334.1700461753</v>
      </c>
      <c r="Z290" s="15" t="n">
        <f aca="false">R290-T290+IF(AND(Parametri_v3!$C$40=1,D290-YEAR(Parametri_v3!$C$50)&lt;Parametri_v3!$C$41),MAX(0,-Q290),0)</f>
        <v>614541.770829915</v>
      </c>
      <c r="AA290" s="15" t="n">
        <f aca="false">S290-U290+IF(AND(Parametri_v3!$C$40=1,D290-YEAR(Parametri_v3!$C$50)&lt;Parametri_v3!$C$41),0,MAX(0,-Q290))</f>
        <v>210012.757746398</v>
      </c>
      <c r="AB290" s="15" t="n">
        <f aca="false">F290*(1+Parametri_v3!$C$26)</f>
        <v>53262.5951464895</v>
      </c>
      <c r="AC290" s="15" t="n">
        <f aca="false">(IF(46-(INT((Motore_Operativo!L290)/30))&lt;1,0,INDEX(Motore_Startup!$AB$245:$AB$304,MAX(1,46-(INT((Motore_Operativo!L290)/30)))))*(1-(MOD((Motore_Operativo!L290),30)/30))+IF(46-(INT((Motore_Operativo!L290)/30))-1&lt;1,0,INDEX(Motore_Startup!$AB$245:$AB$304,MAX(1,46-(INT((Motore_Operativo!L290)/30))-1)))*(MOD((Motore_Operativo!L290),30)/30))</f>
        <v>50923.5554086336</v>
      </c>
      <c r="AD290" s="15" t="n">
        <f aca="false">(AD289)+AB290-AC290</f>
        <v>209567.491505248</v>
      </c>
      <c r="AE290" s="15" t="n">
        <f aca="false">Motore_Operativo!BH290*(1+Parametri_v3!$C$26)</f>
        <v>5449.69425</v>
      </c>
      <c r="AF290" s="15" t="n">
        <f aca="false">(IF(46-(INT((Parametri_v3!$C$29)/30))&lt;1,0,INDEX(Motore_Operativo!$BH$245:$BH$304,MAX(1,46-(INT((Parametri_v3!$C$29)/30)))))*(1-(MOD((Parametri_v3!$C$29),30)/30))+IF(46-(INT((Parametri_v3!$C$29)/30))-1&lt;1,0,INDEX(Motore_Operativo!$BH$245:$BH$304,MAX(1,46-(INT((Parametri_v3!$C$29)/30))-1)))*(MOD((Parametri_v3!$C$29),30)/30))*(1+Parametri_v3!$C$26)</f>
        <v>5449.69425</v>
      </c>
      <c r="AG290" s="15" t="n">
        <f aca="false">(AG289)+AE290-AF290</f>
        <v>5449.69425</v>
      </c>
      <c r="AH290" s="15" t="n">
        <f aca="false">(Motore_Operativo!CJ290)*(1+Parametri_v3!$C$27*Parametri_v3!$C$26)</f>
        <v>27283.3551944149</v>
      </c>
      <c r="AI290" s="15" t="n">
        <f aca="false">(IF(46-(INT((Ipotesi!$C$91)/30))&lt;1,0,INDEX(Motore_Startup!$AH$245:$AH$304,MAX(1,46-(INT((Ipotesi!$C$91)/30)))))*(1-(MOD((Ipotesi!$C$91),30)/30))+IF(46-(INT((Ipotesi!$C$91)/30))-1&lt;1,0,INDEX(Motore_Startup!$AH$245:$AH$304,MAX(1,46-(INT((Ipotesi!$C$91)/30))-1)))*(MOD((Ipotesi!$C$91),30)/30))</f>
        <v>27125.4499098359</v>
      </c>
      <c r="AJ290" s="15" t="n">
        <f aca="false">(AJ289)+AH290-AI290</f>
        <v>54488.1043481096</v>
      </c>
      <c r="AK290" s="15" t="n">
        <f aca="false">(F290+ Motore_Operativo!BH290-(Motore_Operativo!CJ290)*Parametri_v3!$C$27-Motore_Operativo!CE290)*Parametri_v3!$C$26</f>
        <v>5555.90845195363</v>
      </c>
      <c r="AL290" s="15" t="n">
        <f aca="false">MAX(0,(AM289))</f>
        <v>5464.22820876935</v>
      </c>
      <c r="AM290" s="15" t="n">
        <f aca="false">(AM289)+AK290-AL290</f>
        <v>5555.90845195363</v>
      </c>
      <c r="AN290" s="15" t="n">
        <f aca="false">SUM(X269:X280)</f>
        <v>0</v>
      </c>
      <c r="AO290" s="15" t="n">
        <f aca="false">SUM(AP269:AP280)</f>
        <v>0</v>
      </c>
      <c r="AP290" s="15" t="n">
        <f aca="false">MAX(0,AN290)*IF(10=Parametri_v3!$C$43,Parametri_v3!$C$45,IF(10=Parametri_v3!$C$44,1-Parametri_v3!$C$45,0))</f>
        <v>0</v>
      </c>
      <c r="AQ290" s="15" t="n">
        <f aca="false">MAX(0,AP290+IF(10=Parametri_v3!$C$43,MAX(0,AN290-AO290),0)-MAX(0,-(AR289)))</f>
        <v>0</v>
      </c>
      <c r="AR290" s="15" t="n">
        <f aca="false">(AR289)+X290-AQ290</f>
        <v>0</v>
      </c>
      <c r="AS290" s="15" t="n">
        <f aca="false">Motore_Operativo!AB290-AT290+AU290</f>
        <v>41018.6878583333</v>
      </c>
      <c r="AT290" s="15" t="n">
        <f aca="false">Motore_Operativo!CH290</f>
        <v>2158.87830833333</v>
      </c>
      <c r="AU290" s="15" t="n">
        <f aca="false">MIN(MAX(0,(AV289)+AT290),Parametri_v3!$C$60/12)</f>
        <v>0</v>
      </c>
      <c r="AV290" s="15" t="n">
        <f aca="false">(AV289)+AT290-AU290</f>
        <v>60293.6543333333</v>
      </c>
      <c r="AW290" s="15" t="n">
        <f aca="false">IF(AND(Motore_Operativo!C290=Finanziamenti!$D$6,Finanziamenti!$F$6=1),Finanziamenti!$C$6,0)</f>
        <v>0</v>
      </c>
      <c r="AX290" s="15" t="n">
        <f aca="false">IF(AND(5&lt;&gt;7,5&lt;&gt;9,Finanziamenti!$F$8=1,OR(Parametri_v3!$C$6=0,Finanziamenti!$E$8=1),Motore_Operativo!C290=EDATE(Finanziamenti!$D$8,Ipotesi!G15*12)),Finanziamenti!$C$8*1,0)+IF(AND(5&lt;&gt;7,5&lt;&gt;9,Finanziamenti!$F$9=1,OR(Parametri_v3!$C$6=0,Finanziamenti!$E$9=1),Motore_Operativo!C290=EDATE(Finanziamenti!$D$9,Ipotesi!G15*12)),Finanziamenti!$C$9*Ipotesi!G16,0)</f>
        <v>0</v>
      </c>
      <c r="AY290" s="15" t="n">
        <f aca="false">0</f>
        <v>0</v>
      </c>
      <c r="AZ290" s="15" t="n">
        <f aca="false">Motore_Advisory!AY290*(1-Ipotesi!$C$95)*Ipotesi!$C$96</f>
        <v>0</v>
      </c>
      <c r="BA290" s="15" t="n">
        <f aca="false">MAX(0,MIN(CG290*MIN(1,IF(Motore_Operativo!C290&gt;=EDATE(Finanziamenti!$D$15,Ipotesi!G14*12),Finanziamenti!$C$15,0)+IF(Motore_Operativo!C290&gt;=EDATE(Finanziamenti!$D$16,Ipotesi!G14*12),Finanziamenti!$C$16,0)+IF(Motore_Operativo!C290&gt;=EDATE(Finanziamenti!$D$17,Ipotesi!G14*12),Finanziamenti!$C$17,0)),CA290*Ipotesi!$C$102)-(CC289))</f>
        <v>0</v>
      </c>
      <c r="BB290" s="15" t="n">
        <f aca="false">IF(AND(CF290&gt;0,Motore_Operativo!C290&gt;=IF(CF290=0,0,EDATE(CF290,Parametri_v3!$C$37)),MOD(((D290-YEAR(IF(CF290=0,0,EDATE(CF290,Parametri_v3!$C$37))))*12+E290-MONTH(IF(CF290=0,0,EDATE(CF290,Parametri_v3!$C$37)))),Parametri_v3!$C$38)=0),MIN(MAX(0,(BC289)+BA290-N290),(CC290-CD290)/(Ipotesi!$C$108*12/Parametri_v3!$C$38)),0)</f>
        <v>0</v>
      </c>
      <c r="BC290" s="15" t="n">
        <f aca="false">(BC289)+BA290-N290-BB290</f>
        <v>195634.022395528</v>
      </c>
      <c r="BD290" s="15" t="n">
        <f aca="false">(BH289)+AC290+AF290-AI290-AS290-K290*(1+Parametri_v3!$C$26)-AL290-AQ290-O290+AW290+AX290+AZ290+BA290-BB290</f>
        <v>-193345.395173007</v>
      </c>
      <c r="BE290" s="15" t="n">
        <f aca="false">MAX(0,MIN(MAX(0,CH290-(BG289)),Parametri_v3!$C$30-BD290))</f>
        <v>0</v>
      </c>
      <c r="BF290" s="15" t="n">
        <f aca="false">IF(Motore_Operativo!C290&gt;=Parametri_v3!$C$63,(BG289),MIN((BG289),MAX(0,BD290-Parametri_v3!$C$30)))</f>
        <v>0</v>
      </c>
      <c r="BG290" s="15" t="n">
        <f aca="false">(BG289)+BE290-BF290</f>
        <v>150000</v>
      </c>
      <c r="BH290" s="15" t="n">
        <f aca="false">BD290+BE290-BF290-AY290</f>
        <v>-193345.395173007</v>
      </c>
      <c r="BI290" s="15" t="n">
        <f aca="false">MAX(0,Parametri_v3!$C$30-BH290)</f>
        <v>218345.395173007</v>
      </c>
      <c r="BJ290" s="15" t="n">
        <f aca="false">(BJ289)+K290</f>
        <v>108333.333333333</v>
      </c>
      <c r="BK290" s="15" t="n">
        <f aca="false">(BK289)+L290</f>
        <v>58587.962962963</v>
      </c>
      <c r="BL290" s="15" t="n">
        <f aca="false">BJ290-BK290</f>
        <v>49745.3703703703</v>
      </c>
      <c r="BM290" s="15" t="n">
        <f aca="false">(BM289)+Y290</f>
        <v>-824554.528576314</v>
      </c>
      <c r="BN290" s="15" t="n">
        <f aca="false">(BN289)+AW290+AX290+AZ290</f>
        <v>430000</v>
      </c>
      <c r="BO290" s="15" t="n">
        <f aca="false">(BO289)+AY290</f>
        <v>0</v>
      </c>
      <c r="BP290" s="15" t="n">
        <f aca="false">0</f>
        <v>0</v>
      </c>
      <c r="BQ290" s="15" t="n">
        <f aca="false">BN290+BM290-BO290</f>
        <v>-394554.528576314</v>
      </c>
      <c r="BR290" s="15" t="n">
        <f aca="false">BH290+AD290+BL290+MAX(0,-AM290)+MAX(0,-AR290)+AG290</f>
        <v>71417.1609526109</v>
      </c>
      <c r="BS290" s="15" t="n">
        <f aca="false">AJ290+AV290+MAX(0,AM290)+MAX(0,AR290)+BC290+BG290+BQ290</f>
        <v>71417.160952611</v>
      </c>
      <c r="BT290" s="15" t="n">
        <f aca="false">BR290-BS290</f>
        <v>0</v>
      </c>
      <c r="BU290" s="15" t="n">
        <f aca="false">BH290-(BD290+BE290-BF290-AY290)</f>
        <v>0</v>
      </c>
      <c r="BV290" s="15" t="n">
        <f aca="false">MIN(Piano_SS!$C$6,(BV289)+IF(AND(Motore_Operativo!C290&gt;=EDATE(Parametri_v3!$C$24,Ipotesi!G14*12),Motore_Operativo!C290&lt;EDATE(Parametri_v3!$C$24,Parametri_v3!$C$25+Ipotesi!G14*12)),MAX(0,(Motore_Operativo!Y290+Motore_Operativo!X290*Parametri_v3!$C$14)*(1-Parametri_v3!$C$32))*Piano_SS!$D$6,0))</f>
        <v>190877.54836875</v>
      </c>
      <c r="BW290" s="15" t="n">
        <f aca="false">MIN(Piano_SS!$C$7,(BW289)+IF(AND(Motore_Operativo!C290&gt;=EDATE(Parametri_v3!$C$24,Ipotesi!G14*12),Motore_Operativo!C290&lt;EDATE(Parametri_v3!$C$24,Parametri_v3!$C$25+Ipotesi!G14*12)),MAX(0,(IF(46-(INT((Ipotesi!$C$91)/30))&lt;1,0,INDEX(Motore_Operativo!$BN$245:$BN$304,MAX(1,46-(INT((Ipotesi!$C$91)/30)))))*(1-(MOD((Ipotesi!$C$91),30)/30))+IF(46-(INT((Ipotesi!$C$91)/30))-1&lt;1,0,INDEX(Motore_Operativo!$BN$245:$BN$304,MAX(1,46-(INT((Ipotesi!$C$91)/30))-1)))*(MOD((Ipotesi!$C$91),30)/30)))*Piano_SS!$D$7,0))</f>
        <v>25611.7773375503</v>
      </c>
      <c r="BX290" s="15" t="n">
        <f aca="false">MIN(Piano_SS!$C$8,(BX289)+IF(AND(Motore_Operativo!C290&gt;=EDATE(Parametri_v3!$C$24,Ipotesi!G14*12),Motore_Operativo!C290&lt;EDATE(Parametri_v3!$C$24,Parametri_v3!$C$25+Ipotesi!G14*12)),MAX(0,Motore_Operativo!CE290)*Piano_SS!$D$8,0))</f>
        <v>50000</v>
      </c>
      <c r="BY290" s="15" t="n">
        <f aca="false">MIN(Piano_SS!$C$9,(BY289)+IF(AND(Motore_Operativo!C290&gt;=EDATE(Parametri_v3!$C$24,Ipotesi!G14*12),Motore_Operativo!C290&lt;EDATE(Parametri_v3!$C$24,Parametri_v3!$C$25+Ipotesi!G14*12)),MAX(0,((IF(46-(INT((Ipotesi!$C$91)/30))&lt;1,0,INDEX(Motore_Operativo!$BQ$245:$BQ$304,MAX(1,46-(INT((Ipotesi!$C$91)/30)))))*(1-(MOD((Ipotesi!$C$91),30)/30))+IF(46-(INT((Ipotesi!$C$91)/30))-1&lt;1,0,INDEX(Motore_Operativo!$BQ$245:$BQ$304,MAX(1,46-(INT((Ipotesi!$C$91)/30))-1)))*(MOD((Ipotesi!$C$91),30)/30))+(IF(46-(INT((Ipotesi!$C$91)/30))&lt;1,0,INDEX(Motore_Operativo!$BR$245:$BR$304,MAX(1,46-(INT((Ipotesi!$C$91)/30)))))*(1-(MOD((Ipotesi!$C$91),30)/30))+IF(46-(INT((Ipotesi!$C$91)/30))-1&lt;1,0,INDEX(Motore_Operativo!$BR$245:$BR$304,MAX(1,46-(INT((Ipotesi!$C$91)/30))-1)))*(MOD((Ipotesi!$C$91),30)/30))))*Piano_SS!$D$9,0))</f>
        <v>40000</v>
      </c>
      <c r="BZ290" s="15" t="n">
        <f aca="false">MIN(Piano_SS!$C$10,(BZ289)+IF(AND(Motore_Operativo!C290&gt;=EDATE(Parametri_v3!$C$24,Ipotesi!G14*12),Motore_Operativo!C290&lt;EDATE(Parametri_v3!$C$24,Parametri_v3!$C$25+Ipotesi!G14*12)),MAX(0,(IF(46-(INT((Ipotesi!$C$91)/30))&lt;1,0,INDEX(Motore_Operativo!$BO$245:$BO$304,MAX(1,46-(INT((Ipotesi!$C$91)/30)))))*(1-(MOD((Ipotesi!$C$91),30)/30))+IF(46-(INT((Ipotesi!$C$91)/30))-1&lt;1,0,INDEX(Motore_Operativo!$BO$245:$BO$304,MAX(1,46-(INT((Ipotesi!$C$91)/30))-1)))*(MOD((Ipotesi!$C$91),30)/30)))*Piano_SS!$D$10,0))</f>
        <v>30000</v>
      </c>
      <c r="CA290" s="15" t="n">
        <f aca="false">SUM(BV290:BZ290)</f>
        <v>336489.3257063</v>
      </c>
      <c r="CB290" s="15" t="n">
        <f aca="false">BV290*(1-Piano_SS!$E$6)+BW290*(1-Piano_SS!$E$7)+BX290*(1-Piano_SS!$E$8)+BY290*(1-Piano_SS!$E$9)+BZ290*(1-Piano_SS!$E$10)</f>
        <v>306489.3257063</v>
      </c>
      <c r="CC290" s="15" t="n">
        <f aca="false">(CC289)+BA290</f>
        <v>269191.46056504</v>
      </c>
      <c r="CD290" s="15" t="n">
        <f aca="false">IF(CA290=0,0,CC290*CB290/CA290*Ipotesi!$C$103*Parametri_v3!$C$64)</f>
        <v>73557.4381695121</v>
      </c>
      <c r="CE290" s="18" t="n">
        <f aca="false">IF(BA290&gt;0,Motore_Operativo!C290,(CE289))</f>
        <v>47635</v>
      </c>
      <c r="CF290" s="18" t="n">
        <f aca="false">IF(AND(CC290&gt;0,OR(CC290&gt;=CG290-0.01,Motore_Operativo!C290&gt;=EDATE(MAX(Finanziamenti!$D$15:$D$17),Ipotesi!G14*12))),CE290,0)</f>
        <v>47635</v>
      </c>
      <c r="CG290" s="15" t="n">
        <f aca="false">IF(AND(5&lt;&gt;6,5&lt;&gt;9,Finanziamenti!$F$11=1,OR(Parametri_v3!$C$6=0,Finanziamenti!$E$11=1)),MIN(Finanziamenti!$C$11,Piano_SS!$C$12*Ipotesi!$C$102),0)</f>
        <v>400000</v>
      </c>
      <c r="CH290" s="15" t="n">
        <f aca="false">IF(AND(AND(5&lt;&gt;8,5&lt;&gt;9,Finanziamenti!$F$10=1,OR(Parametri_v3!$C$6=0,Finanziamenti!$E$10=1)),Motore_Operativo!C290&gt;=Finanziamenti!$D$10,Motore_Operativo!C290&lt;Parametri_v3!$C$63),Finanziamenti!$C$10,0)</f>
        <v>150000</v>
      </c>
    </row>
    <row r="291" customFormat="false" ht="18" hidden="false" customHeight="true" outlineLevel="0" collapsed="false">
      <c r="A291" s="68" t="n">
        <f aca="false">5</f>
        <v>5</v>
      </c>
      <c r="B291" s="68" t="n">
        <f aca="false">47</f>
        <v>47</v>
      </c>
      <c r="C291" s="18" t="n">
        <f aca="false">Motore_Operativo!C291</f>
        <v>47788</v>
      </c>
      <c r="D291" s="68" t="n">
        <f aca="false">Motore_Operativo!D291</f>
        <v>2030</v>
      </c>
      <c r="E291" s="68" t="n">
        <f aca="false">Motore_Operativo!E291</f>
        <v>11</v>
      </c>
      <c r="F291" s="15" t="n">
        <f aca="false">Motore_Operativo!AQ291+Motore_Operativo!BF291</f>
        <v>44126.7473948926</v>
      </c>
      <c r="G291" s="15" t="n">
        <f aca="false">Motore_Operativo!BH291</f>
        <v>4466.9625</v>
      </c>
      <c r="H291" s="15" t="n">
        <f aca="false">Motore_Operativo!BI291</f>
        <v>48593.7098948926</v>
      </c>
      <c r="I291" s="15" t="n">
        <f aca="false">Motore_Operativo!CA291</f>
        <v>66228.3446769516</v>
      </c>
      <c r="J291" s="15" t="n">
        <f aca="false">Motore_Operativo!CC291</f>
        <v>-17634.634782059</v>
      </c>
      <c r="K291" s="15" t="n">
        <f aca="false">Motore_Operativo!CE291</f>
        <v>3333.33333333333</v>
      </c>
      <c r="L291" s="15" t="n">
        <f aca="false">SUM(INDEX($K$245:$K$304,MAX(1,47-Parametri_v3!$C$59+1)):K291)/Parametri_v3!$C$59</f>
        <v>2592.59259259259</v>
      </c>
      <c r="M291" s="15" t="n">
        <f aca="false">J291-L291</f>
        <v>-20227.2273746516</v>
      </c>
      <c r="N291" s="15" t="n">
        <f aca="false">CD291-(CD290)</f>
        <v>0</v>
      </c>
      <c r="O291" s="15" t="n">
        <f aca="false">(BG290)*Ipotesi!$C$110/12+CH291*Parametri_v3!$C$39/12</f>
        <v>750</v>
      </c>
      <c r="P291" s="15" t="n">
        <f aca="false">M291+N291-O291</f>
        <v>-20977.2273746516</v>
      </c>
      <c r="Q291" s="15" t="n">
        <f aca="false">SUM(P281:P291)+Parametri_v3!$C$54*11/12</f>
        <v>-230989.98512105</v>
      </c>
      <c r="R291" s="15" t="n">
        <f aca="false">Z280</f>
        <v>614541.770829915</v>
      </c>
      <c r="S291" s="15" t="n">
        <f aca="false">AA280</f>
        <v>0</v>
      </c>
      <c r="T291" s="15" t="n">
        <f aca="false">MIN(R291,MAX(0,Q291))</f>
        <v>0</v>
      </c>
      <c r="U291" s="15" t="n">
        <f aca="false">MIN(S291,MAX(0,Q291-T291)*Parametri_v3!$C$42)</f>
        <v>0</v>
      </c>
      <c r="V291" s="15" t="n">
        <f aca="false">MAX(0,Q291-T291-U291)*Ipotesi!$C$92</f>
        <v>0</v>
      </c>
      <c r="W291" s="15" t="n">
        <f aca="false">MAX(0,SUM(M281:M291)+Parametri_v3!$C$55*11/12)*Ipotesi!$C$93</f>
        <v>0</v>
      </c>
      <c r="X291" s="15" t="n">
        <f aca="false">V291+W291-(V290+W290)</f>
        <v>0</v>
      </c>
      <c r="Y291" s="15" t="n">
        <f aca="false">P291-X291</f>
        <v>-20977.2273746516</v>
      </c>
      <c r="Z291" s="15" t="n">
        <f aca="false">R291-T291+IF(AND(Parametri_v3!$C$40=1,D291-YEAR(Parametri_v3!$C$50)&lt;Parametri_v3!$C$41),MAX(0,-Q291),0)</f>
        <v>614541.770829915</v>
      </c>
      <c r="AA291" s="15" t="n">
        <f aca="false">S291-U291+IF(AND(Parametri_v3!$C$40=1,D291-YEAR(Parametri_v3!$C$50)&lt;Parametri_v3!$C$41),0,MAX(0,-Q291))</f>
        <v>230989.98512105</v>
      </c>
      <c r="AB291" s="15" t="n">
        <f aca="false">F291*(1+Parametri_v3!$C$26)</f>
        <v>53834.631821769</v>
      </c>
      <c r="AC291" s="15" t="n">
        <f aca="false">(IF(47-(INT((Motore_Operativo!L291)/30))&lt;1,0,INDEX(Motore_Startup!$AB$245:$AB$304,MAX(1,47-(INT((Motore_Operativo!L291)/30)))))*(1-(MOD((Motore_Operativo!L291),30)/30))+IF(47-(INT((Motore_Operativo!L291)/30))-1&lt;1,0,INDEX(Motore_Startup!$AB$245:$AB$304,MAX(1,47-(INT((Motore_Operativo!L291)/30))-1)))*(MOD((Motore_Operativo!L291),30)/30))</f>
        <v>51516.039059309</v>
      </c>
      <c r="AD291" s="15" t="n">
        <f aca="false">(AD290)+AB291-AC291</f>
        <v>211886.084267708</v>
      </c>
      <c r="AE291" s="15" t="n">
        <f aca="false">Motore_Operativo!BH291*(1+Parametri_v3!$C$26)</f>
        <v>5449.69425</v>
      </c>
      <c r="AF291" s="15" t="n">
        <f aca="false">(IF(47-(INT((Parametri_v3!$C$29)/30))&lt;1,0,INDEX(Motore_Operativo!$BH$245:$BH$304,MAX(1,47-(INT((Parametri_v3!$C$29)/30)))))*(1-(MOD((Parametri_v3!$C$29),30)/30))+IF(47-(INT((Parametri_v3!$C$29)/30))-1&lt;1,0,INDEX(Motore_Operativo!$BH$245:$BH$304,MAX(1,47-(INT((Parametri_v3!$C$29)/30))-1)))*(MOD((Parametri_v3!$C$29),30)/30))*(1+Parametri_v3!$C$26)</f>
        <v>5449.69425</v>
      </c>
      <c r="AG291" s="15" t="n">
        <f aca="false">(AG290)+AE291-AF291</f>
        <v>5449.69425</v>
      </c>
      <c r="AH291" s="15" t="n">
        <f aca="false">(Motore_Operativo!CJ291)*(1+Parametri_v3!$C$27*Parametri_v3!$C$26)</f>
        <v>27361.2740917083</v>
      </c>
      <c r="AI291" s="15" t="n">
        <f aca="false">(IF(47-(INT((Ipotesi!$C$91)/30))&lt;1,0,INDEX(Motore_Startup!$AH$245:$AH$304,MAX(1,47-(INT((Ipotesi!$C$91)/30)))))*(1-(MOD((Ipotesi!$C$91),30)/30))+IF(47-(INT((Ipotesi!$C$91)/30))-1&lt;1,0,INDEX(Motore_Startup!$AH$245:$AH$304,MAX(1,47-(INT((Ipotesi!$C$91)/30))-1)))*(MOD((Ipotesi!$C$91),30)/30))</f>
        <v>27204.7491536948</v>
      </c>
      <c r="AJ291" s="15" t="n">
        <f aca="false">(AJ290)+AH291-AI291</f>
        <v>54644.6292861231</v>
      </c>
      <c r="AK291" s="15" t="n">
        <f aca="false">(F291+ Motore_Operativo!BH291-(Motore_Operativo!CJ291)*Parametri_v3!$C$27-Motore_Operativo!CE291)*Parametri_v3!$C$26</f>
        <v>5646.78726211975</v>
      </c>
      <c r="AL291" s="15" t="n">
        <f aca="false">MAX(0,(AM290))</f>
        <v>5555.90845195363</v>
      </c>
      <c r="AM291" s="15" t="n">
        <f aca="false">(AM290)+AK291-AL291</f>
        <v>5646.78726211975</v>
      </c>
      <c r="AN291" s="15" t="n">
        <f aca="false">SUM(X269:X280)</f>
        <v>0</v>
      </c>
      <c r="AO291" s="15" t="n">
        <f aca="false">SUM(AP269:AP280)</f>
        <v>0</v>
      </c>
      <c r="AP291" s="15" t="n">
        <f aca="false">MAX(0,AN291)*IF(11=Parametri_v3!$C$43,Parametri_v3!$C$45,IF(11=Parametri_v3!$C$44,1-Parametri_v3!$C$45,0))</f>
        <v>0</v>
      </c>
      <c r="AQ291" s="15" t="n">
        <f aca="false">MAX(0,AP291+IF(11=Parametri_v3!$C$43,MAX(0,AN291-AO291),0)-MAX(0,-(AR290)))</f>
        <v>0</v>
      </c>
      <c r="AR291" s="15" t="n">
        <f aca="false">(AR290)+X291-AQ291</f>
        <v>0</v>
      </c>
      <c r="AS291" s="15" t="n">
        <f aca="false">Motore_Operativo!AB291-AT291+AU291</f>
        <v>41018.6878583333</v>
      </c>
      <c r="AT291" s="15" t="n">
        <f aca="false">Motore_Operativo!CH291</f>
        <v>2158.87830833333</v>
      </c>
      <c r="AU291" s="15" t="n">
        <f aca="false">MIN(MAX(0,(AV290)+AT291),Parametri_v3!$C$60/12)</f>
        <v>0</v>
      </c>
      <c r="AV291" s="15" t="n">
        <f aca="false">(AV290)+AT291-AU291</f>
        <v>62452.5326416667</v>
      </c>
      <c r="AW291" s="15" t="n">
        <f aca="false">IF(AND(Motore_Operativo!C291=Finanziamenti!$D$6,Finanziamenti!$F$6=1),Finanziamenti!$C$6,0)</f>
        <v>0</v>
      </c>
      <c r="AX291" s="15" t="n">
        <f aca="false">IF(AND(5&lt;&gt;7,5&lt;&gt;9,Finanziamenti!$F$8=1,OR(Parametri_v3!$C$6=0,Finanziamenti!$E$8=1),Motore_Operativo!C291=EDATE(Finanziamenti!$D$8,Ipotesi!G15*12)),Finanziamenti!$C$8*1,0)+IF(AND(5&lt;&gt;7,5&lt;&gt;9,Finanziamenti!$F$9=1,OR(Parametri_v3!$C$6=0,Finanziamenti!$E$9=1),Motore_Operativo!C291=EDATE(Finanziamenti!$D$9,Ipotesi!G15*12)),Finanziamenti!$C$9*Ipotesi!G16,0)</f>
        <v>0</v>
      </c>
      <c r="AY291" s="15" t="n">
        <f aca="false">0</f>
        <v>0</v>
      </c>
      <c r="AZ291" s="15" t="n">
        <f aca="false">Motore_Advisory!AY291*(1-Ipotesi!$C$95)*Ipotesi!$C$96</f>
        <v>0</v>
      </c>
      <c r="BA291" s="15" t="n">
        <f aca="false">MAX(0,MIN(CG291*MIN(1,IF(Motore_Operativo!C291&gt;=EDATE(Finanziamenti!$D$15,Ipotesi!G14*12),Finanziamenti!$C$15,0)+IF(Motore_Operativo!C291&gt;=EDATE(Finanziamenti!$D$16,Ipotesi!G14*12),Finanziamenti!$C$16,0)+IF(Motore_Operativo!C291&gt;=EDATE(Finanziamenti!$D$17,Ipotesi!G14*12),Finanziamenti!$C$17,0)),CA291*Ipotesi!$C$102)-(CC290))</f>
        <v>0</v>
      </c>
      <c r="BB291" s="15" t="n">
        <f aca="false">IF(AND(CF291&gt;0,Motore_Operativo!C291&gt;=IF(CF291=0,0,EDATE(CF291,Parametri_v3!$C$37)),MOD(((D291-YEAR(IF(CF291=0,0,EDATE(CF291,Parametri_v3!$C$37))))*12+E291-MONTH(IF(CF291=0,0,EDATE(CF291,Parametri_v3!$C$37)))),Parametri_v3!$C$38)=0),MIN(MAX(0,(BC290)+BA291-N291),(CC291-CD291)/(Ipotesi!$C$108*12/Parametri_v3!$C$38)),0)</f>
        <v>0</v>
      </c>
      <c r="BC291" s="15" t="n">
        <f aca="false">(BC290)+BA291-N291-BB291</f>
        <v>195634.022395528</v>
      </c>
      <c r="BD291" s="15" t="n">
        <f aca="false">(BH290)+AC291+AF291-AI291-AS291-K291*(1+Parametri_v3!$C$26)-AL291-AQ291-O291+AW291+AX291+AZ291+BA291-BB291</f>
        <v>-214975.673994346</v>
      </c>
      <c r="BE291" s="15" t="n">
        <f aca="false">MAX(0,MIN(MAX(0,CH291-(BG290)),Parametri_v3!$C$30-BD291))</f>
        <v>0</v>
      </c>
      <c r="BF291" s="15" t="n">
        <f aca="false">IF(Motore_Operativo!C291&gt;=Parametri_v3!$C$63,(BG290),MIN((BG290),MAX(0,BD291-Parametri_v3!$C$30)))</f>
        <v>0</v>
      </c>
      <c r="BG291" s="15" t="n">
        <f aca="false">(BG290)+BE291-BF291</f>
        <v>150000</v>
      </c>
      <c r="BH291" s="15" t="n">
        <f aca="false">BD291+BE291-BF291-AY291</f>
        <v>-214975.673994346</v>
      </c>
      <c r="BI291" s="15" t="n">
        <f aca="false">MAX(0,Parametri_v3!$C$30-BH291)</f>
        <v>239975.673994346</v>
      </c>
      <c r="BJ291" s="15" t="n">
        <f aca="false">(BJ290)+K291</f>
        <v>111666.666666667</v>
      </c>
      <c r="BK291" s="15" t="n">
        <f aca="false">(BK290)+L291</f>
        <v>61180.5555555556</v>
      </c>
      <c r="BL291" s="15" t="n">
        <f aca="false">BJ291-BK291</f>
        <v>50486.1111111111</v>
      </c>
      <c r="BM291" s="15" t="n">
        <f aca="false">(BM290)+Y291</f>
        <v>-845531.755950965</v>
      </c>
      <c r="BN291" s="15" t="n">
        <f aca="false">(BN290)+AW291+AX291+AZ291</f>
        <v>430000</v>
      </c>
      <c r="BO291" s="15" t="n">
        <f aca="false">(BO290)+AY291</f>
        <v>0</v>
      </c>
      <c r="BP291" s="15" t="n">
        <f aca="false">0</f>
        <v>0</v>
      </c>
      <c r="BQ291" s="15" t="n">
        <f aca="false">BN291+BM291-BO291</f>
        <v>-415531.755950965</v>
      </c>
      <c r="BR291" s="15" t="n">
        <f aca="false">BH291+AD291+BL291+MAX(0,-AM291)+MAX(0,-AR291)+AG291</f>
        <v>52846.2156344723</v>
      </c>
      <c r="BS291" s="15" t="n">
        <f aca="false">AJ291+AV291+MAX(0,AM291)+MAX(0,AR291)+BC291+BG291+BQ291</f>
        <v>52846.2156344724</v>
      </c>
      <c r="BT291" s="15" t="n">
        <f aca="false">BR291-BS291</f>
        <v>0</v>
      </c>
      <c r="BU291" s="15" t="n">
        <f aca="false">BH291-(BD291+BE291-BF291-AY291)</f>
        <v>0</v>
      </c>
      <c r="BV291" s="15" t="n">
        <f aca="false">MIN(Piano_SS!$C$6,(BV290)+IF(AND(Motore_Operativo!C291&gt;=EDATE(Parametri_v3!$C$24,Ipotesi!G14*12),Motore_Operativo!C291&lt;EDATE(Parametri_v3!$C$24,Parametri_v3!$C$25+Ipotesi!G14*12)),MAX(0,(Motore_Operativo!Y291+Motore_Operativo!X291*Parametri_v3!$C$14)*(1-Parametri_v3!$C$32))*Piano_SS!$D$6,0))</f>
        <v>190877.54836875</v>
      </c>
      <c r="BW291" s="15" t="n">
        <f aca="false">MIN(Piano_SS!$C$7,(BW290)+IF(AND(Motore_Operativo!C291&gt;=EDATE(Parametri_v3!$C$24,Ipotesi!G14*12),Motore_Operativo!C291&lt;EDATE(Parametri_v3!$C$24,Parametri_v3!$C$25+Ipotesi!G14*12)),MAX(0,(IF(47-(INT((Ipotesi!$C$91)/30))&lt;1,0,INDEX(Motore_Operativo!$BN$245:$BN$304,MAX(1,47-(INT((Ipotesi!$C$91)/30)))))*(1-(MOD((Ipotesi!$C$91),30)/30))+IF(47-(INT((Ipotesi!$C$91)/30))-1&lt;1,0,INDEX(Motore_Operativo!$BN$245:$BN$304,MAX(1,47-(INT((Ipotesi!$C$91)/30))-1)))*(MOD((Ipotesi!$C$91),30)/30)))*Piano_SS!$D$7,0))</f>
        <v>25611.7773375503</v>
      </c>
      <c r="BX291" s="15" t="n">
        <f aca="false">MIN(Piano_SS!$C$8,(BX290)+IF(AND(Motore_Operativo!C291&gt;=EDATE(Parametri_v3!$C$24,Ipotesi!G14*12),Motore_Operativo!C291&lt;EDATE(Parametri_v3!$C$24,Parametri_v3!$C$25+Ipotesi!G14*12)),MAX(0,Motore_Operativo!CE291)*Piano_SS!$D$8,0))</f>
        <v>50000</v>
      </c>
      <c r="BY291" s="15" t="n">
        <f aca="false">MIN(Piano_SS!$C$9,(BY290)+IF(AND(Motore_Operativo!C291&gt;=EDATE(Parametri_v3!$C$24,Ipotesi!G14*12),Motore_Operativo!C291&lt;EDATE(Parametri_v3!$C$24,Parametri_v3!$C$25+Ipotesi!G14*12)),MAX(0,((IF(47-(INT((Ipotesi!$C$91)/30))&lt;1,0,INDEX(Motore_Operativo!$BQ$245:$BQ$304,MAX(1,47-(INT((Ipotesi!$C$91)/30)))))*(1-(MOD((Ipotesi!$C$91),30)/30))+IF(47-(INT((Ipotesi!$C$91)/30))-1&lt;1,0,INDEX(Motore_Operativo!$BQ$245:$BQ$304,MAX(1,47-(INT((Ipotesi!$C$91)/30))-1)))*(MOD((Ipotesi!$C$91),30)/30))+(IF(47-(INT((Ipotesi!$C$91)/30))&lt;1,0,INDEX(Motore_Operativo!$BR$245:$BR$304,MAX(1,47-(INT((Ipotesi!$C$91)/30)))))*(1-(MOD((Ipotesi!$C$91),30)/30))+IF(47-(INT((Ipotesi!$C$91)/30))-1&lt;1,0,INDEX(Motore_Operativo!$BR$245:$BR$304,MAX(1,47-(INT((Ipotesi!$C$91)/30))-1)))*(MOD((Ipotesi!$C$91),30)/30))))*Piano_SS!$D$9,0))</f>
        <v>40000</v>
      </c>
      <c r="BZ291" s="15" t="n">
        <f aca="false">MIN(Piano_SS!$C$10,(BZ290)+IF(AND(Motore_Operativo!C291&gt;=EDATE(Parametri_v3!$C$24,Ipotesi!G14*12),Motore_Operativo!C291&lt;EDATE(Parametri_v3!$C$24,Parametri_v3!$C$25+Ipotesi!G14*12)),MAX(0,(IF(47-(INT((Ipotesi!$C$91)/30))&lt;1,0,INDEX(Motore_Operativo!$BO$245:$BO$304,MAX(1,47-(INT((Ipotesi!$C$91)/30)))))*(1-(MOD((Ipotesi!$C$91),30)/30))+IF(47-(INT((Ipotesi!$C$91)/30))-1&lt;1,0,INDEX(Motore_Operativo!$BO$245:$BO$304,MAX(1,47-(INT((Ipotesi!$C$91)/30))-1)))*(MOD((Ipotesi!$C$91),30)/30)))*Piano_SS!$D$10,0))</f>
        <v>30000</v>
      </c>
      <c r="CA291" s="15" t="n">
        <f aca="false">SUM(BV291:BZ291)</f>
        <v>336489.3257063</v>
      </c>
      <c r="CB291" s="15" t="n">
        <f aca="false">BV291*(1-Piano_SS!$E$6)+BW291*(1-Piano_SS!$E$7)+BX291*(1-Piano_SS!$E$8)+BY291*(1-Piano_SS!$E$9)+BZ291*(1-Piano_SS!$E$10)</f>
        <v>306489.3257063</v>
      </c>
      <c r="CC291" s="15" t="n">
        <f aca="false">(CC290)+BA291</f>
        <v>269191.46056504</v>
      </c>
      <c r="CD291" s="15" t="n">
        <f aca="false">IF(CA291=0,0,CC291*CB291/CA291*Ipotesi!$C$103*Parametri_v3!$C$64)</f>
        <v>73557.4381695121</v>
      </c>
      <c r="CE291" s="18" t="n">
        <f aca="false">IF(BA291&gt;0,Motore_Operativo!C291,(CE290))</f>
        <v>47635</v>
      </c>
      <c r="CF291" s="18" t="n">
        <f aca="false">IF(AND(CC291&gt;0,OR(CC291&gt;=CG291-0.01,Motore_Operativo!C291&gt;=EDATE(MAX(Finanziamenti!$D$15:$D$17),Ipotesi!G14*12))),CE291,0)</f>
        <v>47635</v>
      </c>
      <c r="CG291" s="15" t="n">
        <f aca="false">IF(AND(5&lt;&gt;6,5&lt;&gt;9,Finanziamenti!$F$11=1,OR(Parametri_v3!$C$6=0,Finanziamenti!$E$11=1)),MIN(Finanziamenti!$C$11,Piano_SS!$C$12*Ipotesi!$C$102),0)</f>
        <v>400000</v>
      </c>
      <c r="CH291" s="15" t="n">
        <f aca="false">IF(AND(AND(5&lt;&gt;8,5&lt;&gt;9,Finanziamenti!$F$10=1,OR(Parametri_v3!$C$6=0,Finanziamenti!$E$10=1)),Motore_Operativo!C291&gt;=Finanziamenti!$D$10,Motore_Operativo!C291&lt;Parametri_v3!$C$63),Finanziamenti!$C$10,0)</f>
        <v>150000</v>
      </c>
    </row>
    <row r="292" customFormat="false" ht="18" hidden="false" customHeight="true" outlineLevel="0" collapsed="false">
      <c r="A292" s="68" t="n">
        <f aca="false">5</f>
        <v>5</v>
      </c>
      <c r="B292" s="68" t="n">
        <f aca="false">48</f>
        <v>48</v>
      </c>
      <c r="C292" s="18" t="n">
        <f aca="false">Motore_Operativo!C292</f>
        <v>47818</v>
      </c>
      <c r="D292" s="68" t="n">
        <f aca="false">Motore_Operativo!D292</f>
        <v>2030</v>
      </c>
      <c r="E292" s="68" t="n">
        <f aca="false">Motore_Operativo!E292</f>
        <v>12</v>
      </c>
      <c r="F292" s="15" t="n">
        <f aca="false">Motore_Operativo!AQ292+Motore_Operativo!BF292</f>
        <v>44591.5311270339</v>
      </c>
      <c r="G292" s="15" t="n">
        <f aca="false">Motore_Operativo!BH292</f>
        <v>4466.9625</v>
      </c>
      <c r="H292" s="15" t="n">
        <f aca="false">Motore_Operativo!BI292</f>
        <v>49058.4936270339</v>
      </c>
      <c r="I292" s="15" t="n">
        <f aca="false">Motore_Operativo!CA292</f>
        <v>66293.4143994514</v>
      </c>
      <c r="J292" s="15" t="n">
        <f aca="false">Motore_Operativo!CC292</f>
        <v>-17234.9207724175</v>
      </c>
      <c r="K292" s="15" t="n">
        <f aca="false">Motore_Operativo!CE292</f>
        <v>3333.33333333333</v>
      </c>
      <c r="L292" s="15" t="n">
        <f aca="false">SUM(INDEX($K$245:$K$304,MAX(1,48-Parametri_v3!$C$59+1)):K292)/Parametri_v3!$C$59</f>
        <v>2638.88888888889</v>
      </c>
      <c r="M292" s="15" t="n">
        <f aca="false">J292-L292</f>
        <v>-19873.8096613064</v>
      </c>
      <c r="N292" s="15" t="n">
        <f aca="false">CD292-(CD291)</f>
        <v>0</v>
      </c>
      <c r="O292" s="15" t="n">
        <f aca="false">(BG291)*Ipotesi!$C$110/12+CH292*Parametri_v3!$C$39/12</f>
        <v>750</v>
      </c>
      <c r="P292" s="15" t="n">
        <f aca="false">M292+N292-O292</f>
        <v>-20623.8096613064</v>
      </c>
      <c r="Q292" s="15" t="n">
        <f aca="false">SUM(P281:P292)+Parametri_v3!$C$54*12/12</f>
        <v>-251613.794782356</v>
      </c>
      <c r="R292" s="15" t="n">
        <f aca="false">Z280</f>
        <v>614541.770829915</v>
      </c>
      <c r="S292" s="15" t="n">
        <f aca="false">AA280</f>
        <v>0</v>
      </c>
      <c r="T292" s="15" t="n">
        <f aca="false">MIN(R292,MAX(0,Q292))</f>
        <v>0</v>
      </c>
      <c r="U292" s="15" t="n">
        <f aca="false">MIN(S292,MAX(0,Q292-T292)*Parametri_v3!$C$42)</f>
        <v>0</v>
      </c>
      <c r="V292" s="15" t="n">
        <f aca="false">MAX(0,Q292-T292-U292)*Ipotesi!$C$92</f>
        <v>0</v>
      </c>
      <c r="W292" s="15" t="n">
        <f aca="false">MAX(0,SUM(M281:M292)+Parametri_v3!$C$55*12/12)*Ipotesi!$C$93</f>
        <v>0</v>
      </c>
      <c r="X292" s="15" t="n">
        <f aca="false">V292+W292-(V291+W291)</f>
        <v>0</v>
      </c>
      <c r="Y292" s="15" t="n">
        <f aca="false">P292-X292</f>
        <v>-20623.8096613064</v>
      </c>
      <c r="Z292" s="15" t="n">
        <f aca="false">R292-T292+IF(AND(Parametri_v3!$C$40=1,D292-YEAR(Parametri_v3!$C$50)&lt;Parametri_v3!$C$41),MAX(0,-Q292),0)</f>
        <v>614541.770829915</v>
      </c>
      <c r="AA292" s="15" t="n">
        <f aca="false">S292-U292+IF(AND(Parametri_v3!$C$40=1,D292-YEAR(Parametri_v3!$C$50)&lt;Parametri_v3!$C$41),0,MAX(0,-Q292))</f>
        <v>251613.794782356</v>
      </c>
      <c r="AB292" s="15" t="n">
        <f aca="false">F292*(1+Parametri_v3!$C$26)</f>
        <v>54401.6679749814</v>
      </c>
      <c r="AC292" s="15" t="n">
        <f aca="false">(IF(48-(INT((Motore_Operativo!L292)/30))&lt;1,0,INDEX(Motore_Startup!$AB$245:$AB$304,MAX(1,48-(INT((Motore_Operativo!L292)/30)))))*(1-(MOD((Motore_Operativo!L292),30)/30))+IF(48-(INT((Motore_Operativo!L292)/30))-1&lt;1,0,INDEX(Motore_Startup!$AB$245:$AB$304,MAX(1,48-(INT((Motore_Operativo!L292)/30))-1)))*(MOD((Motore_Operativo!L292),30)/30))</f>
        <v>52103.3434484132</v>
      </c>
      <c r="AD292" s="15" t="n">
        <f aca="false">(AD291)+AB292-AC292</f>
        <v>214184.408794276</v>
      </c>
      <c r="AE292" s="15" t="n">
        <f aca="false">Motore_Operativo!BH292*(1+Parametri_v3!$C$26)</f>
        <v>5449.69425</v>
      </c>
      <c r="AF292" s="15" t="n">
        <f aca="false">(IF(48-(INT((Parametri_v3!$C$29)/30))&lt;1,0,INDEX(Motore_Operativo!$BH$245:$BH$304,MAX(1,48-(INT((Parametri_v3!$C$29)/30)))))*(1-(MOD((Parametri_v3!$C$29),30)/30))+IF(48-(INT((Parametri_v3!$C$29)/30))-1&lt;1,0,INDEX(Motore_Operativo!$BH$245:$BH$304,MAX(1,48-(INT((Parametri_v3!$C$29)/30))-1)))*(MOD((Parametri_v3!$C$29),30)/30))*(1+Parametri_v3!$C$26)</f>
        <v>5449.69425</v>
      </c>
      <c r="AG292" s="15" t="n">
        <f aca="false">(AG291)+AE292-AF292</f>
        <v>5449.69425</v>
      </c>
      <c r="AH292" s="15" t="n">
        <f aca="false">(Motore_Operativo!CJ292)*(1+Parametri_v3!$C$27*Parametri_v3!$C$26)</f>
        <v>27438.5118523155</v>
      </c>
      <c r="AI292" s="15" t="n">
        <f aca="false">(IF(48-(INT((Ipotesi!$C$91)/30))&lt;1,0,INDEX(Motore_Startup!$AH$245:$AH$304,MAX(1,48-(INT((Ipotesi!$C$91)/30)))))*(1-(MOD((Ipotesi!$C$91),30)/30))+IF(48-(INT((Ipotesi!$C$91)/30))-1&lt;1,0,INDEX(Motore_Startup!$AH$245:$AH$304,MAX(1,48-(INT((Ipotesi!$C$91)/30))-1)))*(MOD((Ipotesi!$C$91),30)/30))</f>
        <v>27283.3551944149</v>
      </c>
      <c r="AJ292" s="15" t="n">
        <f aca="false">(AJ291)+AH292-AI292</f>
        <v>54799.7859440238</v>
      </c>
      <c r="AK292" s="15" t="n">
        <f aca="false">(F292+ Motore_Operativo!BH292-(Motore_Operativo!CJ292)*Parametri_v3!$C$27-Motore_Operativo!CE292)*Parametri_v3!$C$26</f>
        <v>5736.87164508338</v>
      </c>
      <c r="AL292" s="15" t="n">
        <f aca="false">MAX(0,(AM291))</f>
        <v>5646.78726211975</v>
      </c>
      <c r="AM292" s="15" t="n">
        <f aca="false">(AM291)+AK292-AL292</f>
        <v>5736.87164508338</v>
      </c>
      <c r="AN292" s="15" t="n">
        <f aca="false">SUM(X269:X280)</f>
        <v>0</v>
      </c>
      <c r="AO292" s="15" t="n">
        <f aca="false">SUM(AP269:AP280)</f>
        <v>0</v>
      </c>
      <c r="AP292" s="15" t="n">
        <f aca="false">MAX(0,AN292)*IF(12=Parametri_v3!$C$43,Parametri_v3!$C$45,IF(12=Parametri_v3!$C$44,1-Parametri_v3!$C$45,0))</f>
        <v>0</v>
      </c>
      <c r="AQ292" s="15" t="n">
        <f aca="false">MAX(0,AP292+IF(12=Parametri_v3!$C$43,MAX(0,AN292-AO292),0)-MAX(0,-(AR291)))</f>
        <v>0</v>
      </c>
      <c r="AR292" s="15" t="n">
        <f aca="false">(AR291)+X292-AQ292</f>
        <v>0</v>
      </c>
      <c r="AS292" s="15" t="n">
        <f aca="false">Motore_Operativo!AB292-AT292+AU292</f>
        <v>41018.6878583333</v>
      </c>
      <c r="AT292" s="15" t="n">
        <f aca="false">Motore_Operativo!CH292</f>
        <v>2158.87830833333</v>
      </c>
      <c r="AU292" s="15" t="n">
        <f aca="false">MIN(MAX(0,(AV291)+AT292),Parametri_v3!$C$60/12)</f>
        <v>0</v>
      </c>
      <c r="AV292" s="15" t="n">
        <f aca="false">(AV291)+AT292-AU292</f>
        <v>64611.41095</v>
      </c>
      <c r="AW292" s="15" t="n">
        <f aca="false">IF(AND(Motore_Operativo!C292=Finanziamenti!$D$6,Finanziamenti!$F$6=1),Finanziamenti!$C$6,0)</f>
        <v>0</v>
      </c>
      <c r="AX292" s="15" t="n">
        <f aca="false">IF(AND(5&lt;&gt;7,5&lt;&gt;9,Finanziamenti!$F$8=1,OR(Parametri_v3!$C$6=0,Finanziamenti!$E$8=1),Motore_Operativo!C292=EDATE(Finanziamenti!$D$8,Ipotesi!G15*12)),Finanziamenti!$C$8*1,0)+IF(AND(5&lt;&gt;7,5&lt;&gt;9,Finanziamenti!$F$9=1,OR(Parametri_v3!$C$6=0,Finanziamenti!$E$9=1),Motore_Operativo!C292=EDATE(Finanziamenti!$D$9,Ipotesi!G15*12)),Finanziamenti!$C$9*Ipotesi!G16,0)</f>
        <v>0</v>
      </c>
      <c r="AY292" s="15" t="n">
        <f aca="false">0</f>
        <v>0</v>
      </c>
      <c r="AZ292" s="15" t="n">
        <f aca="false">Motore_Advisory!AY292*(1-Ipotesi!$C$95)*Ipotesi!$C$96</f>
        <v>0</v>
      </c>
      <c r="BA292" s="15" t="n">
        <f aca="false">MAX(0,MIN(CG292*MIN(1,IF(Motore_Operativo!C292&gt;=EDATE(Finanziamenti!$D$15,Ipotesi!G14*12),Finanziamenti!$C$15,0)+IF(Motore_Operativo!C292&gt;=EDATE(Finanziamenti!$D$16,Ipotesi!G14*12),Finanziamenti!$C$16,0)+IF(Motore_Operativo!C292&gt;=EDATE(Finanziamenti!$D$17,Ipotesi!G14*12),Finanziamenti!$C$17,0)),CA292*Ipotesi!$C$102)-(CC291))</f>
        <v>0</v>
      </c>
      <c r="BB292" s="15" t="n">
        <f aca="false">IF(AND(CF292&gt;0,Motore_Operativo!C292&gt;=IF(CF292=0,0,EDATE(CF292,Parametri_v3!$C$37)),MOD(((D292-YEAR(IF(CF292=0,0,EDATE(CF292,Parametri_v3!$C$37))))*12+E292-MONTH(IF(CF292=0,0,EDATE(CF292,Parametri_v3!$C$37)))),Parametri_v3!$C$38)=0),MIN(MAX(0,(BC291)+BA292-N292),(CC292-CD292)/(Ipotesi!$C$108*12/Parametri_v3!$C$38)),0)</f>
        <v>0</v>
      </c>
      <c r="BC292" s="15" t="n">
        <f aca="false">(BC291)+BA292-N292-BB292</f>
        <v>195634.022395528</v>
      </c>
      <c r="BD292" s="15" t="n">
        <f aca="false">(BH291)+AC292+AF292-AI292-AS292-K292*(1+Parametri_v3!$C$26)-AL292-AQ292-O292+AW292+AX292+AZ292+BA292-BB292</f>
        <v>-236188.133277468</v>
      </c>
      <c r="BE292" s="15" t="n">
        <f aca="false">MAX(0,MIN(MAX(0,CH292-(BG291)),Parametri_v3!$C$30-BD292))</f>
        <v>0</v>
      </c>
      <c r="BF292" s="15" t="n">
        <f aca="false">IF(Motore_Operativo!C292&gt;=Parametri_v3!$C$63,(BG291),MIN((BG291),MAX(0,BD292-Parametri_v3!$C$30)))</f>
        <v>0</v>
      </c>
      <c r="BG292" s="15" t="n">
        <f aca="false">(BG291)+BE292-BF292</f>
        <v>150000</v>
      </c>
      <c r="BH292" s="15" t="n">
        <f aca="false">BD292+BE292-BF292-AY292</f>
        <v>-236188.133277468</v>
      </c>
      <c r="BI292" s="15" t="n">
        <f aca="false">MAX(0,Parametri_v3!$C$30-BH292)</f>
        <v>261188.133277468</v>
      </c>
      <c r="BJ292" s="15" t="n">
        <f aca="false">(BJ291)+K292</f>
        <v>115000</v>
      </c>
      <c r="BK292" s="15" t="n">
        <f aca="false">(BK291)+L292</f>
        <v>63819.4444444444</v>
      </c>
      <c r="BL292" s="15" t="n">
        <f aca="false">BJ292-BK292</f>
        <v>51180.5555555555</v>
      </c>
      <c r="BM292" s="15" t="n">
        <f aca="false">(BM291)+Y292</f>
        <v>-866155.565612272</v>
      </c>
      <c r="BN292" s="15" t="n">
        <f aca="false">(BN291)+AW292+AX292+AZ292</f>
        <v>430000</v>
      </c>
      <c r="BO292" s="15" t="n">
        <f aca="false">(BO291)+AY292</f>
        <v>0</v>
      </c>
      <c r="BP292" s="15" t="n">
        <f aca="false">0</f>
        <v>0</v>
      </c>
      <c r="BQ292" s="15" t="n">
        <f aca="false">BN292+BM292-BO292</f>
        <v>-436155.565612272</v>
      </c>
      <c r="BR292" s="15" t="n">
        <f aca="false">BH292+AD292+BL292+MAX(0,-AM292)+MAX(0,-AR292)+AG292</f>
        <v>34626.5253223635</v>
      </c>
      <c r="BS292" s="15" t="n">
        <f aca="false">AJ292+AV292+MAX(0,AM292)+MAX(0,AR292)+BC292+BG292+BQ292</f>
        <v>34626.5253223637</v>
      </c>
      <c r="BT292" s="15" t="n">
        <f aca="false">BR292-BS292</f>
        <v>-2.11002770811319E-010</v>
      </c>
      <c r="BU292" s="15" t="n">
        <f aca="false">BH292-(BD292+BE292-BF292-AY292)</f>
        <v>0</v>
      </c>
      <c r="BV292" s="15" t="n">
        <f aca="false">MIN(Piano_SS!$C$6,(BV291)+IF(AND(Motore_Operativo!C292&gt;=EDATE(Parametri_v3!$C$24,Ipotesi!G14*12),Motore_Operativo!C292&lt;EDATE(Parametri_v3!$C$24,Parametri_v3!$C$25+Ipotesi!G14*12)),MAX(0,(Motore_Operativo!Y292+Motore_Operativo!X292*Parametri_v3!$C$14)*(1-Parametri_v3!$C$32))*Piano_SS!$D$6,0))</f>
        <v>190877.54836875</v>
      </c>
      <c r="BW292" s="15" t="n">
        <f aca="false">MIN(Piano_SS!$C$7,(BW291)+IF(AND(Motore_Operativo!C292&gt;=EDATE(Parametri_v3!$C$24,Ipotesi!G14*12),Motore_Operativo!C292&lt;EDATE(Parametri_v3!$C$24,Parametri_v3!$C$25+Ipotesi!G14*12)),MAX(0,(IF(48-(INT((Ipotesi!$C$91)/30))&lt;1,0,INDEX(Motore_Operativo!$BN$245:$BN$304,MAX(1,48-(INT((Ipotesi!$C$91)/30)))))*(1-(MOD((Ipotesi!$C$91),30)/30))+IF(48-(INT((Ipotesi!$C$91)/30))-1&lt;1,0,INDEX(Motore_Operativo!$BN$245:$BN$304,MAX(1,48-(INT((Ipotesi!$C$91)/30))-1)))*(MOD((Ipotesi!$C$91),30)/30)))*Piano_SS!$D$7,0))</f>
        <v>25611.7773375503</v>
      </c>
      <c r="BX292" s="15" t="n">
        <f aca="false">MIN(Piano_SS!$C$8,(BX291)+IF(AND(Motore_Operativo!C292&gt;=EDATE(Parametri_v3!$C$24,Ipotesi!G14*12),Motore_Operativo!C292&lt;EDATE(Parametri_v3!$C$24,Parametri_v3!$C$25+Ipotesi!G14*12)),MAX(0,Motore_Operativo!CE292)*Piano_SS!$D$8,0))</f>
        <v>50000</v>
      </c>
      <c r="BY292" s="15" t="n">
        <f aca="false">MIN(Piano_SS!$C$9,(BY291)+IF(AND(Motore_Operativo!C292&gt;=EDATE(Parametri_v3!$C$24,Ipotesi!G14*12),Motore_Operativo!C292&lt;EDATE(Parametri_v3!$C$24,Parametri_v3!$C$25+Ipotesi!G14*12)),MAX(0,((IF(48-(INT((Ipotesi!$C$91)/30))&lt;1,0,INDEX(Motore_Operativo!$BQ$245:$BQ$304,MAX(1,48-(INT((Ipotesi!$C$91)/30)))))*(1-(MOD((Ipotesi!$C$91),30)/30))+IF(48-(INT((Ipotesi!$C$91)/30))-1&lt;1,0,INDEX(Motore_Operativo!$BQ$245:$BQ$304,MAX(1,48-(INT((Ipotesi!$C$91)/30))-1)))*(MOD((Ipotesi!$C$91),30)/30))+(IF(48-(INT((Ipotesi!$C$91)/30))&lt;1,0,INDEX(Motore_Operativo!$BR$245:$BR$304,MAX(1,48-(INT((Ipotesi!$C$91)/30)))))*(1-(MOD((Ipotesi!$C$91),30)/30))+IF(48-(INT((Ipotesi!$C$91)/30))-1&lt;1,0,INDEX(Motore_Operativo!$BR$245:$BR$304,MAX(1,48-(INT((Ipotesi!$C$91)/30))-1)))*(MOD((Ipotesi!$C$91),30)/30))))*Piano_SS!$D$9,0))</f>
        <v>40000</v>
      </c>
      <c r="BZ292" s="15" t="n">
        <f aca="false">MIN(Piano_SS!$C$10,(BZ291)+IF(AND(Motore_Operativo!C292&gt;=EDATE(Parametri_v3!$C$24,Ipotesi!G14*12),Motore_Operativo!C292&lt;EDATE(Parametri_v3!$C$24,Parametri_v3!$C$25+Ipotesi!G14*12)),MAX(0,(IF(48-(INT((Ipotesi!$C$91)/30))&lt;1,0,INDEX(Motore_Operativo!$BO$245:$BO$304,MAX(1,48-(INT((Ipotesi!$C$91)/30)))))*(1-(MOD((Ipotesi!$C$91),30)/30))+IF(48-(INT((Ipotesi!$C$91)/30))-1&lt;1,0,INDEX(Motore_Operativo!$BO$245:$BO$304,MAX(1,48-(INT((Ipotesi!$C$91)/30))-1)))*(MOD((Ipotesi!$C$91),30)/30)))*Piano_SS!$D$10,0))</f>
        <v>30000</v>
      </c>
      <c r="CA292" s="15" t="n">
        <f aca="false">SUM(BV292:BZ292)</f>
        <v>336489.3257063</v>
      </c>
      <c r="CB292" s="15" t="n">
        <f aca="false">BV292*(1-Piano_SS!$E$6)+BW292*(1-Piano_SS!$E$7)+BX292*(1-Piano_SS!$E$8)+BY292*(1-Piano_SS!$E$9)+BZ292*(1-Piano_SS!$E$10)</f>
        <v>306489.3257063</v>
      </c>
      <c r="CC292" s="15" t="n">
        <f aca="false">(CC291)+BA292</f>
        <v>269191.46056504</v>
      </c>
      <c r="CD292" s="15" t="n">
        <f aca="false">IF(CA292=0,0,CC292*CB292/CA292*Ipotesi!$C$103*Parametri_v3!$C$64)</f>
        <v>73557.4381695121</v>
      </c>
      <c r="CE292" s="18" t="n">
        <f aca="false">IF(BA292&gt;0,Motore_Operativo!C292,(CE291))</f>
        <v>47635</v>
      </c>
      <c r="CF292" s="18" t="n">
        <f aca="false">IF(AND(CC292&gt;0,OR(CC292&gt;=CG292-0.01,Motore_Operativo!C292&gt;=EDATE(MAX(Finanziamenti!$D$15:$D$17),Ipotesi!G14*12))),CE292,0)</f>
        <v>47635</v>
      </c>
      <c r="CG292" s="15" t="n">
        <f aca="false">IF(AND(5&lt;&gt;6,5&lt;&gt;9,Finanziamenti!$F$11=1,OR(Parametri_v3!$C$6=0,Finanziamenti!$E$11=1)),MIN(Finanziamenti!$C$11,Piano_SS!$C$12*Ipotesi!$C$102),0)</f>
        <v>400000</v>
      </c>
      <c r="CH292" s="15" t="n">
        <f aca="false">IF(AND(AND(5&lt;&gt;8,5&lt;&gt;9,Finanziamenti!$F$10=1,OR(Parametri_v3!$C$6=0,Finanziamenti!$E$10=1)),Motore_Operativo!C292&gt;=Finanziamenti!$D$10,Motore_Operativo!C292&lt;Parametri_v3!$C$63),Finanziamenti!$C$10,0)</f>
        <v>150000</v>
      </c>
    </row>
    <row r="293" customFormat="false" ht="18" hidden="false" customHeight="true" outlineLevel="0" collapsed="false">
      <c r="A293" s="68" t="n">
        <f aca="false">5</f>
        <v>5</v>
      </c>
      <c r="B293" s="68" t="n">
        <f aca="false">49</f>
        <v>49</v>
      </c>
      <c r="C293" s="18" t="n">
        <f aca="false">Motore_Operativo!C293</f>
        <v>47849</v>
      </c>
      <c r="D293" s="68" t="n">
        <f aca="false">Motore_Operativo!D293</f>
        <v>2031</v>
      </c>
      <c r="E293" s="68" t="n">
        <f aca="false">Motore_Operativo!E293</f>
        <v>1</v>
      </c>
      <c r="F293" s="15" t="n">
        <f aca="false">Motore_Operativo!AQ293+Motore_Operativo!BF293</f>
        <v>57879.2011511363</v>
      </c>
      <c r="G293" s="15" t="n">
        <f aca="false">Motore_Operativo!BH293</f>
        <v>5739.9375</v>
      </c>
      <c r="H293" s="15" t="n">
        <f aca="false">Motore_Operativo!BI293</f>
        <v>63619.1386511363</v>
      </c>
      <c r="I293" s="15" t="n">
        <f aca="false">Motore_Operativo!CA293</f>
        <v>81131.7300117841</v>
      </c>
      <c r="J293" s="15" t="n">
        <f aca="false">Motore_Operativo!CC293</f>
        <v>-17512.5913606478</v>
      </c>
      <c r="K293" s="15" t="n">
        <f aca="false">Motore_Operativo!CE293</f>
        <v>4166.66666666667</v>
      </c>
      <c r="L293" s="15" t="n">
        <f aca="false">SUM(INDEX($K$245:$K$304,MAX(1,49-Parametri_v3!$C$59+1)):K293)/Parametri_v3!$C$59</f>
        <v>2696.75925925926</v>
      </c>
      <c r="M293" s="15" t="n">
        <f aca="false">J293-L293</f>
        <v>-20209.3506199071</v>
      </c>
      <c r="N293" s="15" t="n">
        <f aca="false">CD293-(CD292)</f>
        <v>0</v>
      </c>
      <c r="O293" s="15" t="n">
        <f aca="false">(BG292)*Ipotesi!$C$110/12+CH293*Parametri_v3!$C$39/12</f>
        <v>750</v>
      </c>
      <c r="P293" s="15" t="n">
        <f aca="false">M293+N293-O293</f>
        <v>-20959.3506199071</v>
      </c>
      <c r="Q293" s="15" t="n">
        <f aca="false">SUM(P293)+Parametri_v3!$C$54*1/12</f>
        <v>-20959.3506199071</v>
      </c>
      <c r="R293" s="15" t="n">
        <f aca="false">Z292</f>
        <v>614541.770829915</v>
      </c>
      <c r="S293" s="15" t="n">
        <f aca="false">AA292</f>
        <v>251613.794782356</v>
      </c>
      <c r="T293" s="15" t="n">
        <f aca="false">MIN(R293,MAX(0,Q293))</f>
        <v>0</v>
      </c>
      <c r="U293" s="15" t="n">
        <f aca="false">MIN(S293,MAX(0,Q293-T293)*Parametri_v3!$C$42)</f>
        <v>0</v>
      </c>
      <c r="V293" s="15" t="n">
        <f aca="false">MAX(0,Q293-T293-U293)*Ipotesi!$C$92</f>
        <v>0</v>
      </c>
      <c r="W293" s="15" t="n">
        <f aca="false">MAX(0,SUM(M293)+Parametri_v3!$C$55*1/12)*Ipotesi!$C$93</f>
        <v>0</v>
      </c>
      <c r="X293" s="15" t="n">
        <f aca="false">V293+W293-(0)</f>
        <v>0</v>
      </c>
      <c r="Y293" s="15" t="n">
        <f aca="false">P293-X293</f>
        <v>-20959.3506199071</v>
      </c>
      <c r="Z293" s="15" t="n">
        <f aca="false">R293-T293+IF(AND(Parametri_v3!$C$40=1,D293-YEAR(Parametri_v3!$C$50)&lt;Parametri_v3!$C$41),MAX(0,-Q293),0)</f>
        <v>614541.770829915</v>
      </c>
      <c r="AA293" s="15" t="n">
        <f aca="false">S293-U293+IF(AND(Parametri_v3!$C$40=1,D293-YEAR(Parametri_v3!$C$50)&lt;Parametri_v3!$C$41),0,MAX(0,-Q293))</f>
        <v>272573.145402264</v>
      </c>
      <c r="AB293" s="15" t="n">
        <f aca="false">F293*(1+Parametri_v3!$C$26)</f>
        <v>70612.6254043862</v>
      </c>
      <c r="AC293" s="15" t="n">
        <f aca="false">(IF(49-(INT((Motore_Operativo!L293)/30))&lt;1,0,INDEX(Motore_Startup!$AB$245:$AB$304,MAX(1,49-(INT((Motore_Operativo!L293)/30)))))*(1-(MOD((Motore_Operativo!L293),30)/30))+IF(49-(INT((Motore_Operativo!L293)/30))-1&lt;1,0,INDEX(Motore_Startup!$AB$245:$AB$304,MAX(1,49-(INT((Motore_Operativo!L293)/30))-1)))*(MOD((Motore_Operativo!L293),30)/30))</f>
        <v>52685.5138510359</v>
      </c>
      <c r="AD293" s="15" t="n">
        <f aca="false">(AD292)+AB293-AC293</f>
        <v>232111.520347626</v>
      </c>
      <c r="AE293" s="15" t="n">
        <f aca="false">Motore_Operativo!BH293*(1+Parametri_v3!$C$26)</f>
        <v>7002.72375</v>
      </c>
      <c r="AF293" s="15" t="n">
        <f aca="false">(IF(49-(INT((Parametri_v3!$C$29)/30))&lt;1,0,INDEX(Motore_Operativo!$BH$245:$BH$304,MAX(1,49-(INT((Parametri_v3!$C$29)/30)))))*(1-(MOD((Parametri_v3!$C$29),30)/30))+IF(49-(INT((Parametri_v3!$C$29)/30))-1&lt;1,0,INDEX(Motore_Operativo!$BH$245:$BH$304,MAX(1,49-(INT((Parametri_v3!$C$29)/30))-1)))*(MOD((Parametri_v3!$C$29),30)/30))*(1+Parametri_v3!$C$26)</f>
        <v>5449.69425</v>
      </c>
      <c r="AG293" s="15" t="n">
        <f aca="false">(AG292)+AE293-AF293</f>
        <v>7002.72375</v>
      </c>
      <c r="AH293" s="15" t="n">
        <f aca="false">(Motore_Operativo!CJ293)*(1+Parametri_v3!$C$27*Parametri_v3!$C$26)</f>
        <v>33505.7591466708</v>
      </c>
      <c r="AI293" s="15" t="n">
        <f aca="false">(IF(49-(INT((Ipotesi!$C$91)/30))&lt;1,0,INDEX(Motore_Startup!$AH$245:$AH$304,MAX(1,49-(INT((Ipotesi!$C$91)/30)))))*(1-(MOD((Ipotesi!$C$91),30)/30))+IF(49-(INT((Ipotesi!$C$91)/30))-1&lt;1,0,INDEX(Motore_Startup!$AH$245:$AH$304,MAX(1,49-(INT((Ipotesi!$C$91)/30))-1)))*(MOD((Ipotesi!$C$91),30)/30))</f>
        <v>27361.2740917083</v>
      </c>
      <c r="AJ293" s="15" t="n">
        <f aca="false">(AJ292)+AH293-AI293</f>
        <v>60944.2709989863</v>
      </c>
      <c r="AK293" s="15" t="n">
        <f aca="false">(F293+ Motore_Operativo!BH293-(Motore_Operativo!CJ293)*Parametri_v3!$C$27-Motore_Operativo!CE293)*Parametri_v3!$C$26</f>
        <v>7801.04597607156</v>
      </c>
      <c r="AL293" s="15" t="n">
        <f aca="false">MAX(0,(AM292))</f>
        <v>5736.87164508338</v>
      </c>
      <c r="AM293" s="15" t="n">
        <f aca="false">(AM292)+AK293-AL293</f>
        <v>7801.04597607156</v>
      </c>
      <c r="AN293" s="15" t="n">
        <f aca="false">SUM(X281:X292)</f>
        <v>0</v>
      </c>
      <c r="AO293" s="15" t="n">
        <f aca="false">SUM(AP281:AP292)</f>
        <v>0</v>
      </c>
      <c r="AP293" s="15" t="n">
        <f aca="false">MAX(0,AN293)*IF(1=Parametri_v3!$C$43,Parametri_v3!$C$45,IF(1=Parametri_v3!$C$44,1-Parametri_v3!$C$45,0))</f>
        <v>0</v>
      </c>
      <c r="AQ293" s="15" t="n">
        <f aca="false">MAX(0,AP293+IF(1=Parametri_v3!$C$43,MAX(0,AN293-AO293),0)-MAX(0,-(AR292)))</f>
        <v>0</v>
      </c>
      <c r="AR293" s="15" t="n">
        <f aca="false">(AR292)+X293-AQ293</f>
        <v>0</v>
      </c>
      <c r="AS293" s="15" t="n">
        <f aca="false">Motore_Operativo!AB293-AT293+AU293</f>
        <v>50259.2452893438</v>
      </c>
      <c r="AT293" s="15" t="n">
        <f aca="false">Motore_Operativo!CH293</f>
        <v>2645.22343628125</v>
      </c>
      <c r="AU293" s="15" t="n">
        <f aca="false">MIN(MAX(0,(AV292)+AT293),Parametri_v3!$C$60/12)</f>
        <v>0</v>
      </c>
      <c r="AV293" s="15" t="n">
        <f aca="false">(AV292)+AT293-AU293</f>
        <v>67256.6343862812</v>
      </c>
      <c r="AW293" s="15" t="n">
        <f aca="false">IF(AND(Motore_Operativo!C293=Finanziamenti!$D$6,Finanziamenti!$F$6=1),Finanziamenti!$C$6,0)</f>
        <v>0</v>
      </c>
      <c r="AX293" s="15" t="n">
        <f aca="false">IF(AND(5&lt;&gt;7,5&lt;&gt;9,Finanziamenti!$F$8=1,OR(Parametri_v3!$C$6=0,Finanziamenti!$E$8=1),Motore_Operativo!C293=EDATE(Finanziamenti!$D$8,Ipotesi!G15*12)),Finanziamenti!$C$8*1,0)+IF(AND(5&lt;&gt;7,5&lt;&gt;9,Finanziamenti!$F$9=1,OR(Parametri_v3!$C$6=0,Finanziamenti!$E$9=1),Motore_Operativo!C293=EDATE(Finanziamenti!$D$9,Ipotesi!G15*12)),Finanziamenti!$C$9*Ipotesi!G16,0)</f>
        <v>0</v>
      </c>
      <c r="AY293" s="15" t="n">
        <f aca="false">0</f>
        <v>0</v>
      </c>
      <c r="AZ293" s="15" t="n">
        <f aca="false">Motore_Advisory!AY293*(1-Ipotesi!$C$95)*Ipotesi!$C$96</f>
        <v>0</v>
      </c>
      <c r="BA293" s="15" t="n">
        <f aca="false">MAX(0,MIN(CG293*MIN(1,IF(Motore_Operativo!C293&gt;=EDATE(Finanziamenti!$D$15,Ipotesi!G14*12),Finanziamenti!$C$15,0)+IF(Motore_Operativo!C293&gt;=EDATE(Finanziamenti!$D$16,Ipotesi!G14*12),Finanziamenti!$C$16,0)+IF(Motore_Operativo!C293&gt;=EDATE(Finanziamenti!$D$17,Ipotesi!G14*12),Finanziamenti!$C$17,0)),CA293*Ipotesi!$C$102)-(CC292))</f>
        <v>0</v>
      </c>
      <c r="BB293" s="15" t="n">
        <f aca="false">IF(AND(CF293&gt;0,Motore_Operativo!C293&gt;=IF(CF293=0,0,EDATE(CF293,Parametri_v3!$C$37)),MOD(((D293-YEAR(IF(CF293=0,0,EDATE(CF293,Parametri_v3!$C$37))))*12+E293-MONTH(IF(CF293=0,0,EDATE(CF293,Parametri_v3!$C$37)))),Parametri_v3!$C$38)=0),MIN(MAX(0,(BC292)+BA293-N293),(CC293-CD293)/(Ipotesi!$C$108*12/Parametri_v3!$C$38)),0)</f>
        <v>0</v>
      </c>
      <c r="BC293" s="15" t="n">
        <f aca="false">(BC292)+BA293-N293-BB293</f>
        <v>195634.022395528</v>
      </c>
      <c r="BD293" s="15" t="n">
        <f aca="false">(BH292)+AC293+AF293-AI293-AS293-K293*(1+Parametri_v3!$C$26)-AL293-AQ293-O293+AW293+AX293+AZ293+BA293-BB293</f>
        <v>-267243.649535901</v>
      </c>
      <c r="BE293" s="15" t="n">
        <f aca="false">MAX(0,MIN(MAX(0,CH293-(BG292)),Parametri_v3!$C$30-BD293))</f>
        <v>0</v>
      </c>
      <c r="BF293" s="15" t="n">
        <f aca="false">IF(Motore_Operativo!C293&gt;=Parametri_v3!$C$63,(BG292),MIN((BG292),MAX(0,BD293-Parametri_v3!$C$30)))</f>
        <v>0</v>
      </c>
      <c r="BG293" s="15" t="n">
        <f aca="false">(BG292)+BE293-BF293</f>
        <v>150000</v>
      </c>
      <c r="BH293" s="15" t="n">
        <f aca="false">BD293+BE293-BF293-AY293</f>
        <v>-267243.649535901</v>
      </c>
      <c r="BI293" s="15" t="n">
        <f aca="false">MAX(0,Parametri_v3!$C$30-BH293)</f>
        <v>292243.649535901</v>
      </c>
      <c r="BJ293" s="15" t="n">
        <f aca="false">(BJ292)+K293</f>
        <v>119166.666666667</v>
      </c>
      <c r="BK293" s="15" t="n">
        <f aca="false">(BK292)+L293</f>
        <v>66516.2037037037</v>
      </c>
      <c r="BL293" s="15" t="n">
        <f aca="false">BJ293-BK293</f>
        <v>52650.4629629629</v>
      </c>
      <c r="BM293" s="15" t="n">
        <f aca="false">(BM292)+Y293</f>
        <v>-887114.916232179</v>
      </c>
      <c r="BN293" s="15" t="n">
        <f aca="false">(BN292)+AW293+AX293+AZ293</f>
        <v>430000</v>
      </c>
      <c r="BO293" s="15" t="n">
        <f aca="false">(BO292)+AY293</f>
        <v>0</v>
      </c>
      <c r="BP293" s="15" t="n">
        <f aca="false">0</f>
        <v>0</v>
      </c>
      <c r="BQ293" s="15" t="n">
        <f aca="false">BN293+BM293-BO293</f>
        <v>-457114.916232179</v>
      </c>
      <c r="BR293" s="15" t="n">
        <f aca="false">BH293+AD293+BL293+MAX(0,-AM293)+MAX(0,-AR293)+AG293</f>
        <v>24521.0575246884</v>
      </c>
      <c r="BS293" s="15" t="n">
        <f aca="false">AJ293+AV293+MAX(0,AM293)+MAX(0,AR293)+BC293+BG293+BQ293</f>
        <v>24521.0575246885</v>
      </c>
      <c r="BT293" s="15" t="n">
        <f aca="false">BR293-BS293</f>
        <v>-1.30967237055302E-010</v>
      </c>
      <c r="BU293" s="15" t="n">
        <f aca="false">BH293-(BD293+BE293-BF293-AY293)</f>
        <v>0</v>
      </c>
      <c r="BV293" s="15" t="n">
        <f aca="false">MIN(Piano_SS!$C$6,(BV292)+IF(AND(Motore_Operativo!C293&gt;=EDATE(Parametri_v3!$C$24,Ipotesi!G14*12),Motore_Operativo!C293&lt;EDATE(Parametri_v3!$C$24,Parametri_v3!$C$25+Ipotesi!G14*12)),MAX(0,(Motore_Operativo!Y293+Motore_Operativo!X293*Parametri_v3!$C$14)*(1-Parametri_v3!$C$32))*Piano_SS!$D$6,0))</f>
        <v>190877.54836875</v>
      </c>
      <c r="BW293" s="15" t="n">
        <f aca="false">MIN(Piano_SS!$C$7,(BW292)+IF(AND(Motore_Operativo!C293&gt;=EDATE(Parametri_v3!$C$24,Ipotesi!G14*12),Motore_Operativo!C293&lt;EDATE(Parametri_v3!$C$24,Parametri_v3!$C$25+Ipotesi!G14*12)),MAX(0,(IF(49-(INT((Ipotesi!$C$91)/30))&lt;1,0,INDEX(Motore_Operativo!$BN$245:$BN$304,MAX(1,49-(INT((Ipotesi!$C$91)/30)))))*(1-(MOD((Ipotesi!$C$91),30)/30))+IF(49-(INT((Ipotesi!$C$91)/30))-1&lt;1,0,INDEX(Motore_Operativo!$BN$245:$BN$304,MAX(1,49-(INT((Ipotesi!$C$91)/30))-1)))*(MOD((Ipotesi!$C$91),30)/30)))*Piano_SS!$D$7,0))</f>
        <v>25611.7773375503</v>
      </c>
      <c r="BX293" s="15" t="n">
        <f aca="false">MIN(Piano_SS!$C$8,(BX292)+IF(AND(Motore_Operativo!C293&gt;=EDATE(Parametri_v3!$C$24,Ipotesi!G14*12),Motore_Operativo!C293&lt;EDATE(Parametri_v3!$C$24,Parametri_v3!$C$25+Ipotesi!G14*12)),MAX(0,Motore_Operativo!CE293)*Piano_SS!$D$8,0))</f>
        <v>50000</v>
      </c>
      <c r="BY293" s="15" t="n">
        <f aca="false">MIN(Piano_SS!$C$9,(BY292)+IF(AND(Motore_Operativo!C293&gt;=EDATE(Parametri_v3!$C$24,Ipotesi!G14*12),Motore_Operativo!C293&lt;EDATE(Parametri_v3!$C$24,Parametri_v3!$C$25+Ipotesi!G14*12)),MAX(0,((IF(49-(INT((Ipotesi!$C$91)/30))&lt;1,0,INDEX(Motore_Operativo!$BQ$245:$BQ$304,MAX(1,49-(INT((Ipotesi!$C$91)/30)))))*(1-(MOD((Ipotesi!$C$91),30)/30))+IF(49-(INT((Ipotesi!$C$91)/30))-1&lt;1,0,INDEX(Motore_Operativo!$BQ$245:$BQ$304,MAX(1,49-(INT((Ipotesi!$C$91)/30))-1)))*(MOD((Ipotesi!$C$91),30)/30))+(IF(49-(INT((Ipotesi!$C$91)/30))&lt;1,0,INDEX(Motore_Operativo!$BR$245:$BR$304,MAX(1,49-(INT((Ipotesi!$C$91)/30)))))*(1-(MOD((Ipotesi!$C$91),30)/30))+IF(49-(INT((Ipotesi!$C$91)/30))-1&lt;1,0,INDEX(Motore_Operativo!$BR$245:$BR$304,MAX(1,49-(INT((Ipotesi!$C$91)/30))-1)))*(MOD((Ipotesi!$C$91),30)/30))))*Piano_SS!$D$9,0))</f>
        <v>40000</v>
      </c>
      <c r="BZ293" s="15" t="n">
        <f aca="false">MIN(Piano_SS!$C$10,(BZ292)+IF(AND(Motore_Operativo!C293&gt;=EDATE(Parametri_v3!$C$24,Ipotesi!G14*12),Motore_Operativo!C293&lt;EDATE(Parametri_v3!$C$24,Parametri_v3!$C$25+Ipotesi!G14*12)),MAX(0,(IF(49-(INT((Ipotesi!$C$91)/30))&lt;1,0,INDEX(Motore_Operativo!$BO$245:$BO$304,MAX(1,49-(INT((Ipotesi!$C$91)/30)))))*(1-(MOD((Ipotesi!$C$91),30)/30))+IF(49-(INT((Ipotesi!$C$91)/30))-1&lt;1,0,INDEX(Motore_Operativo!$BO$245:$BO$304,MAX(1,49-(INT((Ipotesi!$C$91)/30))-1)))*(MOD((Ipotesi!$C$91),30)/30)))*Piano_SS!$D$10,0))</f>
        <v>30000</v>
      </c>
      <c r="CA293" s="15" t="n">
        <f aca="false">SUM(BV293:BZ293)</f>
        <v>336489.3257063</v>
      </c>
      <c r="CB293" s="15" t="n">
        <f aca="false">BV293*(1-Piano_SS!$E$6)+BW293*(1-Piano_SS!$E$7)+BX293*(1-Piano_SS!$E$8)+BY293*(1-Piano_SS!$E$9)+BZ293*(1-Piano_SS!$E$10)</f>
        <v>306489.3257063</v>
      </c>
      <c r="CC293" s="15" t="n">
        <f aca="false">(CC292)+BA293</f>
        <v>269191.46056504</v>
      </c>
      <c r="CD293" s="15" t="n">
        <f aca="false">IF(CA293=0,0,CC293*CB293/CA293*Ipotesi!$C$103*Parametri_v3!$C$64)</f>
        <v>73557.4381695121</v>
      </c>
      <c r="CE293" s="18" t="n">
        <f aca="false">IF(BA293&gt;0,Motore_Operativo!C293,(CE292))</f>
        <v>47635</v>
      </c>
      <c r="CF293" s="18" t="n">
        <f aca="false">IF(AND(CC293&gt;0,OR(CC293&gt;=CG293-0.01,Motore_Operativo!C293&gt;=EDATE(MAX(Finanziamenti!$D$15:$D$17),Ipotesi!G14*12))),CE293,0)</f>
        <v>47635</v>
      </c>
      <c r="CG293" s="15" t="n">
        <f aca="false">IF(AND(5&lt;&gt;6,5&lt;&gt;9,Finanziamenti!$F$11=1,OR(Parametri_v3!$C$6=0,Finanziamenti!$E$11=1)),MIN(Finanziamenti!$C$11,Piano_SS!$C$12*Ipotesi!$C$102),0)</f>
        <v>400000</v>
      </c>
      <c r="CH293" s="15" t="n">
        <f aca="false">IF(AND(AND(5&lt;&gt;8,5&lt;&gt;9,Finanziamenti!$F$10=1,OR(Parametri_v3!$C$6=0,Finanziamenti!$E$10=1)),Motore_Operativo!C293&gt;=Finanziamenti!$D$10,Motore_Operativo!C293&lt;Parametri_v3!$C$63),Finanziamenti!$C$10,0)</f>
        <v>150000</v>
      </c>
    </row>
    <row r="294" customFormat="false" ht="18" hidden="false" customHeight="true" outlineLevel="0" collapsed="false">
      <c r="A294" s="68" t="n">
        <f aca="false">5</f>
        <v>5</v>
      </c>
      <c r="B294" s="68" t="n">
        <f aca="false">50</f>
        <v>50</v>
      </c>
      <c r="C294" s="18" t="n">
        <f aca="false">Motore_Operativo!C294</f>
        <v>47880</v>
      </c>
      <c r="D294" s="68" t="n">
        <f aca="false">Motore_Operativo!D294</f>
        <v>2031</v>
      </c>
      <c r="E294" s="68" t="n">
        <f aca="false">Motore_Operativo!E294</f>
        <v>2</v>
      </c>
      <c r="F294" s="15" t="n">
        <f aca="false">Motore_Operativo!AQ294+Motore_Operativo!BF294</f>
        <v>58305.9807853096</v>
      </c>
      <c r="G294" s="15" t="n">
        <f aca="false">Motore_Operativo!BH294</f>
        <v>5739.9375</v>
      </c>
      <c r="H294" s="15" t="n">
        <f aca="false">Motore_Operativo!BI294</f>
        <v>64045.9182853096</v>
      </c>
      <c r="I294" s="15" t="n">
        <f aca="false">Motore_Operativo!CA294</f>
        <v>81191.4791605684</v>
      </c>
      <c r="J294" s="15" t="n">
        <f aca="false">Motore_Operativo!CC294</f>
        <v>-17145.5608752588</v>
      </c>
      <c r="K294" s="15" t="n">
        <f aca="false">Motore_Operativo!CE294</f>
        <v>4166.66666666667</v>
      </c>
      <c r="L294" s="15" t="n">
        <f aca="false">SUM(INDEX($K$245:$K$304,MAX(1,50-Parametri_v3!$C$59+1)):K294)/Parametri_v3!$C$59</f>
        <v>2754.62962962963</v>
      </c>
      <c r="M294" s="15" t="n">
        <f aca="false">J294-L294</f>
        <v>-19900.1905048884</v>
      </c>
      <c r="N294" s="15" t="n">
        <f aca="false">CD294-(CD293)</f>
        <v>0</v>
      </c>
      <c r="O294" s="15" t="n">
        <f aca="false">(BG293)*Ipotesi!$C$110/12+CH294*Parametri_v3!$C$39/12</f>
        <v>750</v>
      </c>
      <c r="P294" s="15" t="n">
        <f aca="false">M294+N294-O294</f>
        <v>-20650.1905048884</v>
      </c>
      <c r="Q294" s="15" t="n">
        <f aca="false">SUM(P293:P294)+Parametri_v3!$C$54*2/12</f>
        <v>-41609.5411247955</v>
      </c>
      <c r="R294" s="15" t="n">
        <f aca="false">Z292</f>
        <v>614541.770829915</v>
      </c>
      <c r="S294" s="15" t="n">
        <f aca="false">AA292</f>
        <v>251613.794782356</v>
      </c>
      <c r="T294" s="15" t="n">
        <f aca="false">MIN(R294,MAX(0,Q294))</f>
        <v>0</v>
      </c>
      <c r="U294" s="15" t="n">
        <f aca="false">MIN(S294,MAX(0,Q294-T294)*Parametri_v3!$C$42)</f>
        <v>0</v>
      </c>
      <c r="V294" s="15" t="n">
        <f aca="false">MAX(0,Q294-T294-U294)*Ipotesi!$C$92</f>
        <v>0</v>
      </c>
      <c r="W294" s="15" t="n">
        <f aca="false">MAX(0,SUM(M293:M294)+Parametri_v3!$C$55*2/12)*Ipotesi!$C$93</f>
        <v>0</v>
      </c>
      <c r="X294" s="15" t="n">
        <f aca="false">V294+W294-(V293+W293)</f>
        <v>0</v>
      </c>
      <c r="Y294" s="15" t="n">
        <f aca="false">P294-X294</f>
        <v>-20650.1905048884</v>
      </c>
      <c r="Z294" s="15" t="n">
        <f aca="false">R294-T294+IF(AND(Parametri_v3!$C$40=1,D294-YEAR(Parametri_v3!$C$50)&lt;Parametri_v3!$C$41),MAX(0,-Q294),0)</f>
        <v>614541.770829915</v>
      </c>
      <c r="AA294" s="15" t="n">
        <f aca="false">S294-U294+IF(AND(Parametri_v3!$C$40=1,D294-YEAR(Parametri_v3!$C$50)&lt;Parametri_v3!$C$41),0,MAX(0,-Q294))</f>
        <v>293223.335907152</v>
      </c>
      <c r="AB294" s="15" t="n">
        <f aca="false">F294*(1+Parametri_v3!$C$26)</f>
        <v>71133.2965580777</v>
      </c>
      <c r="AC294" s="15" t="n">
        <f aca="false">(IF(50-(INT((Motore_Operativo!L294)/30))&lt;1,0,INDEX(Motore_Startup!$AB$245:$AB$304,MAX(1,50-(INT((Motore_Operativo!L294)/30)))))*(1-(MOD((Motore_Operativo!L294),30)/30))+IF(50-(INT((Motore_Operativo!L294)/30))-1&lt;1,0,INDEX(Motore_Startup!$AB$245:$AB$304,MAX(1,50-(INT((Motore_Operativo!L294)/30))-1)))*(MOD((Motore_Operativo!L294),30)/30))</f>
        <v>53262.5951464895</v>
      </c>
      <c r="AD294" s="15" t="n">
        <f aca="false">(AD293)+AB294-AC294</f>
        <v>249982.221759214</v>
      </c>
      <c r="AE294" s="15" t="n">
        <f aca="false">Motore_Operativo!BH294*(1+Parametri_v3!$C$26)</f>
        <v>7002.72375</v>
      </c>
      <c r="AF294" s="15" t="n">
        <f aca="false">(IF(50-(INT((Parametri_v3!$C$29)/30))&lt;1,0,INDEX(Motore_Operativo!$BH$245:$BH$304,MAX(1,50-(INT((Parametri_v3!$C$29)/30)))))*(1-(MOD((Parametri_v3!$C$29),30)/30))+IF(50-(INT((Parametri_v3!$C$29)/30))-1&lt;1,0,INDEX(Motore_Operativo!$BH$245:$BH$304,MAX(1,50-(INT((Parametri_v3!$C$29)/30))-1)))*(MOD((Parametri_v3!$C$29),30)/30))*(1+Parametri_v3!$C$26)</f>
        <v>7002.72375</v>
      </c>
      <c r="AG294" s="15" t="n">
        <f aca="false">(AG293)+AE294-AF294</f>
        <v>7002.72375000001</v>
      </c>
      <c r="AH294" s="15" t="n">
        <f aca="false">(Motore_Operativo!CJ294)*(1+Parametri_v3!$C$27*Parametri_v3!$C$26)</f>
        <v>33576.6813862778</v>
      </c>
      <c r="AI294" s="15" t="n">
        <f aca="false">(IF(50-(INT((Ipotesi!$C$91)/30))&lt;1,0,INDEX(Motore_Startup!$AH$245:$AH$304,MAX(1,50-(INT((Ipotesi!$C$91)/30)))))*(1-(MOD((Ipotesi!$C$91),30)/30))+IF(50-(INT((Ipotesi!$C$91)/30))-1&lt;1,0,INDEX(Motore_Startup!$AH$245:$AH$304,MAX(1,50-(INT((Ipotesi!$C$91)/30))-1)))*(MOD((Ipotesi!$C$91),30)/30))</f>
        <v>27438.5118523155</v>
      </c>
      <c r="AJ294" s="15" t="n">
        <f aca="false">(AJ293)+AH294-AI294</f>
        <v>67082.4405329486</v>
      </c>
      <c r="AK294" s="15" t="n">
        <f aca="false">(F294+ Motore_Operativo!BH294-(Motore_Operativo!CJ294)*Parametri_v3!$C$27-Motore_Operativo!CE294)*Parametri_v3!$C$26</f>
        <v>7883.76440476704</v>
      </c>
      <c r="AL294" s="15" t="n">
        <f aca="false">MAX(0,(AM293))</f>
        <v>7801.04597607156</v>
      </c>
      <c r="AM294" s="15" t="n">
        <f aca="false">(AM293)+AK294-AL294</f>
        <v>7883.76440476704</v>
      </c>
      <c r="AN294" s="15" t="n">
        <f aca="false">SUM(X281:X292)</f>
        <v>0</v>
      </c>
      <c r="AO294" s="15" t="n">
        <f aca="false">SUM(AP281:AP292)</f>
        <v>0</v>
      </c>
      <c r="AP294" s="15" t="n">
        <f aca="false">MAX(0,AN294)*IF(2=Parametri_v3!$C$43,Parametri_v3!$C$45,IF(2=Parametri_v3!$C$44,1-Parametri_v3!$C$45,0))</f>
        <v>0</v>
      </c>
      <c r="AQ294" s="15" t="n">
        <f aca="false">MAX(0,AP294+IF(2=Parametri_v3!$C$43,MAX(0,AN294-AO294),0)-MAX(0,-(AR293)))</f>
        <v>0</v>
      </c>
      <c r="AR294" s="15" t="n">
        <f aca="false">(AR293)+X294-AQ294</f>
        <v>0</v>
      </c>
      <c r="AS294" s="15" t="n">
        <f aca="false">Motore_Operativo!AB294-AT294+AU294</f>
        <v>50259.2452893438</v>
      </c>
      <c r="AT294" s="15" t="n">
        <f aca="false">Motore_Operativo!CH294</f>
        <v>2645.22343628125</v>
      </c>
      <c r="AU294" s="15" t="n">
        <f aca="false">MIN(MAX(0,(AV293)+AT294),Parametri_v3!$C$60/12)</f>
        <v>0</v>
      </c>
      <c r="AV294" s="15" t="n">
        <f aca="false">(AV293)+AT294-AU294</f>
        <v>69901.8578225625</v>
      </c>
      <c r="AW294" s="15" t="n">
        <f aca="false">IF(AND(Motore_Operativo!C294=Finanziamenti!$D$6,Finanziamenti!$F$6=1),Finanziamenti!$C$6,0)</f>
        <v>0</v>
      </c>
      <c r="AX294" s="15" t="n">
        <f aca="false">IF(AND(5&lt;&gt;7,5&lt;&gt;9,Finanziamenti!$F$8=1,OR(Parametri_v3!$C$6=0,Finanziamenti!$E$8=1),Motore_Operativo!C294=EDATE(Finanziamenti!$D$8,Ipotesi!G15*12)),Finanziamenti!$C$8*1,0)+IF(AND(5&lt;&gt;7,5&lt;&gt;9,Finanziamenti!$F$9=1,OR(Parametri_v3!$C$6=0,Finanziamenti!$E$9=1),Motore_Operativo!C294=EDATE(Finanziamenti!$D$9,Ipotesi!G15*12)),Finanziamenti!$C$9*Ipotesi!G16,0)</f>
        <v>0</v>
      </c>
      <c r="AY294" s="15" t="n">
        <f aca="false">0</f>
        <v>0</v>
      </c>
      <c r="AZ294" s="15" t="n">
        <f aca="false">Motore_Advisory!AY294*(1-Ipotesi!$C$95)*Ipotesi!$C$96</f>
        <v>0</v>
      </c>
      <c r="BA294" s="15" t="n">
        <f aca="false">MAX(0,MIN(CG294*MIN(1,IF(Motore_Operativo!C294&gt;=EDATE(Finanziamenti!$D$15,Ipotesi!G14*12),Finanziamenti!$C$15,0)+IF(Motore_Operativo!C294&gt;=EDATE(Finanziamenti!$D$16,Ipotesi!G14*12),Finanziamenti!$C$16,0)+IF(Motore_Operativo!C294&gt;=EDATE(Finanziamenti!$D$17,Ipotesi!G14*12),Finanziamenti!$C$17,0)),CA294*Ipotesi!$C$102)-(CC293))</f>
        <v>0</v>
      </c>
      <c r="BB294" s="15" t="n">
        <f aca="false">IF(AND(CF294&gt;0,Motore_Operativo!C294&gt;=IF(CF294=0,0,EDATE(CF294,Parametri_v3!$C$37)),MOD(((D294-YEAR(IF(CF294=0,0,EDATE(CF294,Parametri_v3!$C$37))))*12+E294-MONTH(IF(CF294=0,0,EDATE(CF294,Parametri_v3!$C$37)))),Parametri_v3!$C$38)=0),MIN(MAX(0,(BC293)+BA294-N294),(CC294-CD294)/(Ipotesi!$C$108*12/Parametri_v3!$C$38)),0)</f>
        <v>0</v>
      </c>
      <c r="BC294" s="15" t="n">
        <f aca="false">(BC293)+BA294-N294-BB294</f>
        <v>195634.022395528</v>
      </c>
      <c r="BD294" s="15" t="n">
        <f aca="false">(BH293)+AC294+AF294-AI294-AS294-K294*(1+Parametri_v3!$C$26)-AL294-AQ294-O294+AW294+AX294+AZ294+BA294-BB294</f>
        <v>-298310.467090475</v>
      </c>
      <c r="BE294" s="15" t="n">
        <f aca="false">MAX(0,MIN(MAX(0,CH294-(BG293)),Parametri_v3!$C$30-BD294))</f>
        <v>0</v>
      </c>
      <c r="BF294" s="15" t="n">
        <f aca="false">IF(Motore_Operativo!C294&gt;=Parametri_v3!$C$63,(BG293),MIN((BG293),MAX(0,BD294-Parametri_v3!$C$30)))</f>
        <v>0</v>
      </c>
      <c r="BG294" s="15" t="n">
        <f aca="false">(BG293)+BE294-BF294</f>
        <v>150000</v>
      </c>
      <c r="BH294" s="15" t="n">
        <f aca="false">BD294+BE294-BF294-AY294</f>
        <v>-298310.467090475</v>
      </c>
      <c r="BI294" s="15" t="n">
        <f aca="false">MAX(0,Parametri_v3!$C$30-BH294)</f>
        <v>323310.467090475</v>
      </c>
      <c r="BJ294" s="15" t="n">
        <f aca="false">(BJ293)+K294</f>
        <v>123333.333333333</v>
      </c>
      <c r="BK294" s="15" t="n">
        <f aca="false">(BK293)+L294</f>
        <v>69270.8333333333</v>
      </c>
      <c r="BL294" s="15" t="n">
        <f aca="false">BJ294-BK294</f>
        <v>54062.4999999999</v>
      </c>
      <c r="BM294" s="15" t="n">
        <f aca="false">(BM293)+Y294</f>
        <v>-907765.106737067</v>
      </c>
      <c r="BN294" s="15" t="n">
        <f aca="false">(BN293)+AW294+AX294+AZ294</f>
        <v>430000</v>
      </c>
      <c r="BO294" s="15" t="n">
        <f aca="false">(BO293)+AY294</f>
        <v>0</v>
      </c>
      <c r="BP294" s="15" t="n">
        <f aca="false">0</f>
        <v>0</v>
      </c>
      <c r="BQ294" s="15" t="n">
        <f aca="false">BN294+BM294-BO294</f>
        <v>-477765.106737067</v>
      </c>
      <c r="BR294" s="15" t="n">
        <f aca="false">BH294+AD294+BL294+MAX(0,-AM294)+MAX(0,-AR294)+AG294</f>
        <v>12736.978418739</v>
      </c>
      <c r="BS294" s="15" t="n">
        <f aca="false">AJ294+AV294+MAX(0,AM294)+MAX(0,AR294)+BC294+BG294+BQ294</f>
        <v>12736.9784187391</v>
      </c>
      <c r="BT294" s="15" t="n">
        <f aca="false">BR294-BS294</f>
        <v>-8.73114913702011E-011</v>
      </c>
      <c r="BU294" s="15" t="n">
        <f aca="false">BH294-(BD294+BE294-BF294-AY294)</f>
        <v>0</v>
      </c>
      <c r="BV294" s="15" t="n">
        <f aca="false">MIN(Piano_SS!$C$6,(BV293)+IF(AND(Motore_Operativo!C294&gt;=EDATE(Parametri_v3!$C$24,Ipotesi!G14*12),Motore_Operativo!C294&lt;EDATE(Parametri_v3!$C$24,Parametri_v3!$C$25+Ipotesi!G14*12)),MAX(0,(Motore_Operativo!Y294+Motore_Operativo!X294*Parametri_v3!$C$14)*(1-Parametri_v3!$C$32))*Piano_SS!$D$6,0))</f>
        <v>190877.54836875</v>
      </c>
      <c r="BW294" s="15" t="n">
        <f aca="false">MIN(Piano_SS!$C$7,(BW293)+IF(AND(Motore_Operativo!C294&gt;=EDATE(Parametri_v3!$C$24,Ipotesi!G14*12),Motore_Operativo!C294&lt;EDATE(Parametri_v3!$C$24,Parametri_v3!$C$25+Ipotesi!G14*12)),MAX(0,(IF(50-(INT((Ipotesi!$C$91)/30))&lt;1,0,INDEX(Motore_Operativo!$BN$245:$BN$304,MAX(1,50-(INT((Ipotesi!$C$91)/30)))))*(1-(MOD((Ipotesi!$C$91),30)/30))+IF(50-(INT((Ipotesi!$C$91)/30))-1&lt;1,0,INDEX(Motore_Operativo!$BN$245:$BN$304,MAX(1,50-(INT((Ipotesi!$C$91)/30))-1)))*(MOD((Ipotesi!$C$91),30)/30)))*Piano_SS!$D$7,0))</f>
        <v>25611.7773375503</v>
      </c>
      <c r="BX294" s="15" t="n">
        <f aca="false">MIN(Piano_SS!$C$8,(BX293)+IF(AND(Motore_Operativo!C294&gt;=EDATE(Parametri_v3!$C$24,Ipotesi!G14*12),Motore_Operativo!C294&lt;EDATE(Parametri_v3!$C$24,Parametri_v3!$C$25+Ipotesi!G14*12)),MAX(0,Motore_Operativo!CE294)*Piano_SS!$D$8,0))</f>
        <v>50000</v>
      </c>
      <c r="BY294" s="15" t="n">
        <f aca="false">MIN(Piano_SS!$C$9,(BY293)+IF(AND(Motore_Operativo!C294&gt;=EDATE(Parametri_v3!$C$24,Ipotesi!G14*12),Motore_Operativo!C294&lt;EDATE(Parametri_v3!$C$24,Parametri_v3!$C$25+Ipotesi!G14*12)),MAX(0,((IF(50-(INT((Ipotesi!$C$91)/30))&lt;1,0,INDEX(Motore_Operativo!$BQ$245:$BQ$304,MAX(1,50-(INT((Ipotesi!$C$91)/30)))))*(1-(MOD((Ipotesi!$C$91),30)/30))+IF(50-(INT((Ipotesi!$C$91)/30))-1&lt;1,0,INDEX(Motore_Operativo!$BQ$245:$BQ$304,MAX(1,50-(INT((Ipotesi!$C$91)/30))-1)))*(MOD((Ipotesi!$C$91),30)/30))+(IF(50-(INT((Ipotesi!$C$91)/30))&lt;1,0,INDEX(Motore_Operativo!$BR$245:$BR$304,MAX(1,50-(INT((Ipotesi!$C$91)/30)))))*(1-(MOD((Ipotesi!$C$91),30)/30))+IF(50-(INT((Ipotesi!$C$91)/30))-1&lt;1,0,INDEX(Motore_Operativo!$BR$245:$BR$304,MAX(1,50-(INT((Ipotesi!$C$91)/30))-1)))*(MOD((Ipotesi!$C$91),30)/30))))*Piano_SS!$D$9,0))</f>
        <v>40000</v>
      </c>
      <c r="BZ294" s="15" t="n">
        <f aca="false">MIN(Piano_SS!$C$10,(BZ293)+IF(AND(Motore_Operativo!C294&gt;=EDATE(Parametri_v3!$C$24,Ipotesi!G14*12),Motore_Operativo!C294&lt;EDATE(Parametri_v3!$C$24,Parametri_v3!$C$25+Ipotesi!G14*12)),MAX(0,(IF(50-(INT((Ipotesi!$C$91)/30))&lt;1,0,INDEX(Motore_Operativo!$BO$245:$BO$304,MAX(1,50-(INT((Ipotesi!$C$91)/30)))))*(1-(MOD((Ipotesi!$C$91),30)/30))+IF(50-(INT((Ipotesi!$C$91)/30))-1&lt;1,0,INDEX(Motore_Operativo!$BO$245:$BO$304,MAX(1,50-(INT((Ipotesi!$C$91)/30))-1)))*(MOD((Ipotesi!$C$91),30)/30)))*Piano_SS!$D$10,0))</f>
        <v>30000</v>
      </c>
      <c r="CA294" s="15" t="n">
        <f aca="false">SUM(BV294:BZ294)</f>
        <v>336489.3257063</v>
      </c>
      <c r="CB294" s="15" t="n">
        <f aca="false">BV294*(1-Piano_SS!$E$6)+BW294*(1-Piano_SS!$E$7)+BX294*(1-Piano_SS!$E$8)+BY294*(1-Piano_SS!$E$9)+BZ294*(1-Piano_SS!$E$10)</f>
        <v>306489.3257063</v>
      </c>
      <c r="CC294" s="15" t="n">
        <f aca="false">(CC293)+BA294</f>
        <v>269191.46056504</v>
      </c>
      <c r="CD294" s="15" t="n">
        <f aca="false">IF(CA294=0,0,CC294*CB294/CA294*Ipotesi!$C$103*Parametri_v3!$C$64)</f>
        <v>73557.4381695121</v>
      </c>
      <c r="CE294" s="18" t="n">
        <f aca="false">IF(BA294&gt;0,Motore_Operativo!C294,(CE293))</f>
        <v>47635</v>
      </c>
      <c r="CF294" s="18" t="n">
        <f aca="false">IF(AND(CC294&gt;0,OR(CC294&gt;=CG294-0.01,Motore_Operativo!C294&gt;=EDATE(MAX(Finanziamenti!$D$15:$D$17),Ipotesi!G14*12))),CE294,0)</f>
        <v>47635</v>
      </c>
      <c r="CG294" s="15" t="n">
        <f aca="false">IF(AND(5&lt;&gt;6,5&lt;&gt;9,Finanziamenti!$F$11=1,OR(Parametri_v3!$C$6=0,Finanziamenti!$E$11=1)),MIN(Finanziamenti!$C$11,Piano_SS!$C$12*Ipotesi!$C$102),0)</f>
        <v>400000</v>
      </c>
      <c r="CH294" s="15" t="n">
        <f aca="false">IF(AND(AND(5&lt;&gt;8,5&lt;&gt;9,Finanziamenti!$F$10=1,OR(Parametri_v3!$C$6=0,Finanziamenti!$E$10=1)),Motore_Operativo!C294&gt;=Finanziamenti!$D$10,Motore_Operativo!C294&lt;Parametri_v3!$C$63),Finanziamenti!$C$10,0)</f>
        <v>150000</v>
      </c>
    </row>
    <row r="295" customFormat="false" ht="18" hidden="false" customHeight="true" outlineLevel="0" collapsed="false">
      <c r="A295" s="68" t="n">
        <f aca="false">5</f>
        <v>5</v>
      </c>
      <c r="B295" s="68" t="n">
        <f aca="false">51</f>
        <v>51</v>
      </c>
      <c r="C295" s="18" t="n">
        <f aca="false">Motore_Operativo!C295</f>
        <v>47908</v>
      </c>
      <c r="D295" s="68" t="n">
        <f aca="false">Motore_Operativo!D295</f>
        <v>2031</v>
      </c>
      <c r="E295" s="68" t="n">
        <f aca="false">Motore_Operativo!E295</f>
        <v>3</v>
      </c>
      <c r="F295" s="15" t="n">
        <f aca="false">Motore_Operativo!AQ295+Motore_Operativo!BF295</f>
        <v>58729.0296779576</v>
      </c>
      <c r="G295" s="15" t="n">
        <f aca="false">Motore_Operativo!BH295</f>
        <v>5739.9375</v>
      </c>
      <c r="H295" s="15" t="n">
        <f aca="false">Motore_Operativo!BI295</f>
        <v>64468.9671779576</v>
      </c>
      <c r="I295" s="15" t="n">
        <f aca="false">Motore_Operativo!CA295</f>
        <v>81250.7060055391</v>
      </c>
      <c r="J295" s="15" t="n">
        <f aca="false">Motore_Operativo!CC295</f>
        <v>-16781.7388275815</v>
      </c>
      <c r="K295" s="15" t="n">
        <f aca="false">Motore_Operativo!CE295</f>
        <v>4166.66666666667</v>
      </c>
      <c r="L295" s="15" t="n">
        <f aca="false">SUM(INDEX($K$245:$K$304,MAX(1,51-Parametri_v3!$C$59+1)):K295)/Parametri_v3!$C$59</f>
        <v>2812.5</v>
      </c>
      <c r="M295" s="15" t="n">
        <f aca="false">J295-L295</f>
        <v>-19594.2388275815</v>
      </c>
      <c r="N295" s="15" t="n">
        <f aca="false">CD295-(CD294)</f>
        <v>0</v>
      </c>
      <c r="O295" s="15" t="n">
        <f aca="false">(BG294)*Ipotesi!$C$110/12+CH295*Parametri_v3!$C$39/12</f>
        <v>750</v>
      </c>
      <c r="P295" s="15" t="n">
        <f aca="false">M295+N295-O295</f>
        <v>-20344.2388275815</v>
      </c>
      <c r="Q295" s="15" t="n">
        <f aca="false">SUM(P293:P295)+Parametri_v3!$C$54*3/12</f>
        <v>-61953.779952377</v>
      </c>
      <c r="R295" s="15" t="n">
        <f aca="false">Z292</f>
        <v>614541.770829915</v>
      </c>
      <c r="S295" s="15" t="n">
        <f aca="false">AA292</f>
        <v>251613.794782356</v>
      </c>
      <c r="T295" s="15" t="n">
        <f aca="false">MIN(R295,MAX(0,Q295))</f>
        <v>0</v>
      </c>
      <c r="U295" s="15" t="n">
        <f aca="false">MIN(S295,MAX(0,Q295-T295)*Parametri_v3!$C$42)</f>
        <v>0</v>
      </c>
      <c r="V295" s="15" t="n">
        <f aca="false">MAX(0,Q295-T295-U295)*Ipotesi!$C$92</f>
        <v>0</v>
      </c>
      <c r="W295" s="15" t="n">
        <f aca="false">MAX(0,SUM(M293:M295)+Parametri_v3!$C$55*3/12)*Ipotesi!$C$93</f>
        <v>0</v>
      </c>
      <c r="X295" s="15" t="n">
        <f aca="false">V295+W295-(V294+W294)</f>
        <v>0</v>
      </c>
      <c r="Y295" s="15" t="n">
        <f aca="false">P295-X295</f>
        <v>-20344.2388275815</v>
      </c>
      <c r="Z295" s="15" t="n">
        <f aca="false">R295-T295+IF(AND(Parametri_v3!$C$40=1,D295-YEAR(Parametri_v3!$C$50)&lt;Parametri_v3!$C$41),MAX(0,-Q295),0)</f>
        <v>614541.770829915</v>
      </c>
      <c r="AA295" s="15" t="n">
        <f aca="false">S295-U295+IF(AND(Parametri_v3!$C$40=1,D295-YEAR(Parametri_v3!$C$50)&lt;Parametri_v3!$C$41),0,MAX(0,-Q295))</f>
        <v>313567.574734733</v>
      </c>
      <c r="AB295" s="15" t="n">
        <f aca="false">F295*(1+Parametri_v3!$C$26)</f>
        <v>71649.4162071083</v>
      </c>
      <c r="AC295" s="15" t="n">
        <f aca="false">(IF(51-(INT((Motore_Operativo!L295)/30))&lt;1,0,INDEX(Motore_Startup!$AB$245:$AB$304,MAX(1,51-(INT((Motore_Operativo!L295)/30)))))*(1-(MOD((Motore_Operativo!L295),30)/30))+IF(51-(INT((Motore_Operativo!L295)/30))-1&lt;1,0,INDEX(Motore_Startup!$AB$245:$AB$304,MAX(1,51-(INT((Motore_Operativo!L295)/30))-1)))*(MOD((Motore_Operativo!L295),30)/30))</f>
        <v>53834.631821769</v>
      </c>
      <c r="AD295" s="15" t="n">
        <f aca="false">(AD294)+AB295-AC295</f>
        <v>267797.006144554</v>
      </c>
      <c r="AE295" s="15" t="n">
        <f aca="false">Motore_Operativo!BH295*(1+Parametri_v3!$C$26)</f>
        <v>7002.72375</v>
      </c>
      <c r="AF295" s="15" t="n">
        <f aca="false">(IF(51-(INT((Parametri_v3!$C$29)/30))&lt;1,0,INDEX(Motore_Operativo!$BH$245:$BH$304,MAX(1,51-(INT((Parametri_v3!$C$29)/30)))))*(1-(MOD((Parametri_v3!$C$29),30)/30))+IF(51-(INT((Parametri_v3!$C$29)/30))-1&lt;1,0,INDEX(Motore_Operativo!$BH$245:$BH$304,MAX(1,51-(INT((Parametri_v3!$C$29)/30))-1)))*(MOD((Parametri_v3!$C$29),30)/30))*(1+Parametri_v3!$C$26)</f>
        <v>7002.72375</v>
      </c>
      <c r="AG295" s="15" t="n">
        <f aca="false">(AG294)+AE295-AF295</f>
        <v>7002.72375000001</v>
      </c>
      <c r="AH295" s="15" t="n">
        <f aca="false">(Motore_Operativo!CJ295)*(1+Parametri_v3!$C$27*Parametri_v3!$C$26)</f>
        <v>33646.983651258</v>
      </c>
      <c r="AI295" s="15" t="n">
        <f aca="false">(IF(51-(INT((Ipotesi!$C$91)/30))&lt;1,0,INDEX(Motore_Startup!$AH$245:$AH$304,MAX(1,51-(INT((Ipotesi!$C$91)/30)))))*(1-(MOD((Ipotesi!$C$91),30)/30))+IF(51-(INT((Ipotesi!$C$91)/30))-1&lt;1,0,INDEX(Motore_Startup!$AH$245:$AH$304,MAX(1,51-(INT((Ipotesi!$C$91)/30))-1)))*(MOD((Ipotesi!$C$91),30)/30))</f>
        <v>33505.7591466708</v>
      </c>
      <c r="AJ295" s="15" t="n">
        <f aca="false">(AJ294)+AH295-AI295</f>
        <v>67223.6650375358</v>
      </c>
      <c r="AK295" s="15" t="n">
        <f aca="false">(F295+ Motore_Operativo!BH295-(Motore_Operativo!CJ295)*Parametri_v3!$C$27-Motore_Operativo!CE295)*Parametri_v3!$C$26</f>
        <v>7965.75974114007</v>
      </c>
      <c r="AL295" s="15" t="n">
        <f aca="false">MAX(0,(AM294))</f>
        <v>7883.76440476704</v>
      </c>
      <c r="AM295" s="15" t="n">
        <f aca="false">(AM294)+AK295-AL295</f>
        <v>7965.75974114007</v>
      </c>
      <c r="AN295" s="15" t="n">
        <f aca="false">SUM(X281:X292)</f>
        <v>0</v>
      </c>
      <c r="AO295" s="15" t="n">
        <f aca="false">SUM(AP281:AP292)</f>
        <v>0</v>
      </c>
      <c r="AP295" s="15" t="n">
        <f aca="false">MAX(0,AN295)*IF(3=Parametri_v3!$C$43,Parametri_v3!$C$45,IF(3=Parametri_v3!$C$44,1-Parametri_v3!$C$45,0))</f>
        <v>0</v>
      </c>
      <c r="AQ295" s="15" t="n">
        <f aca="false">MAX(0,AP295+IF(3=Parametri_v3!$C$43,MAX(0,AN295-AO295),0)-MAX(0,-(AR294)))</f>
        <v>0</v>
      </c>
      <c r="AR295" s="15" t="n">
        <f aca="false">(AR294)+X295-AQ295</f>
        <v>0</v>
      </c>
      <c r="AS295" s="15" t="n">
        <f aca="false">Motore_Operativo!AB295-AT295+AU295</f>
        <v>50259.2452893438</v>
      </c>
      <c r="AT295" s="15" t="n">
        <f aca="false">Motore_Operativo!CH295</f>
        <v>2645.22343628125</v>
      </c>
      <c r="AU295" s="15" t="n">
        <f aca="false">MIN(MAX(0,(AV294)+AT295),Parametri_v3!$C$60/12)</f>
        <v>0</v>
      </c>
      <c r="AV295" s="15" t="n">
        <f aca="false">(AV294)+AT295-AU295</f>
        <v>72547.0812588437</v>
      </c>
      <c r="AW295" s="15" t="n">
        <f aca="false">IF(AND(Motore_Operativo!C295=Finanziamenti!$D$6,Finanziamenti!$F$6=1),Finanziamenti!$C$6,0)</f>
        <v>0</v>
      </c>
      <c r="AX295" s="15" t="n">
        <f aca="false">IF(AND(5&lt;&gt;7,5&lt;&gt;9,Finanziamenti!$F$8=1,OR(Parametri_v3!$C$6=0,Finanziamenti!$E$8=1),Motore_Operativo!C295=EDATE(Finanziamenti!$D$8,Ipotesi!G15*12)),Finanziamenti!$C$8*1,0)+IF(AND(5&lt;&gt;7,5&lt;&gt;9,Finanziamenti!$F$9=1,OR(Parametri_v3!$C$6=0,Finanziamenti!$E$9=1),Motore_Operativo!C295=EDATE(Finanziamenti!$D$9,Ipotesi!G15*12)),Finanziamenti!$C$9*Ipotesi!G16,0)</f>
        <v>0</v>
      </c>
      <c r="AY295" s="15" t="n">
        <f aca="false">0</f>
        <v>0</v>
      </c>
      <c r="AZ295" s="15" t="n">
        <f aca="false">Motore_Advisory!AY295*(1-Ipotesi!$C$95)*Ipotesi!$C$96</f>
        <v>0</v>
      </c>
      <c r="BA295" s="15" t="n">
        <f aca="false">MAX(0,MIN(CG295*MIN(1,IF(Motore_Operativo!C295&gt;=EDATE(Finanziamenti!$D$15,Ipotesi!G14*12),Finanziamenti!$C$15,0)+IF(Motore_Operativo!C295&gt;=EDATE(Finanziamenti!$D$16,Ipotesi!G14*12),Finanziamenti!$C$16,0)+IF(Motore_Operativo!C295&gt;=EDATE(Finanziamenti!$D$17,Ipotesi!G14*12),Finanziamenti!$C$17,0)),CA295*Ipotesi!$C$102)-(CC294))</f>
        <v>0</v>
      </c>
      <c r="BB295" s="15" t="n">
        <f aca="false">IF(AND(CF295&gt;0,Motore_Operativo!C295&gt;=IF(CF295=0,0,EDATE(CF295,Parametri_v3!$C$37)),MOD(((D295-YEAR(IF(CF295=0,0,EDATE(CF295,Parametri_v3!$C$37))))*12+E295-MONTH(IF(CF295=0,0,EDATE(CF295,Parametri_v3!$C$37)))),Parametri_v3!$C$38)=0),MIN(MAX(0,(BC294)+BA295-N295),(CC295-CD295)/(Ipotesi!$C$108*12/Parametri_v3!$C$38)),0)</f>
        <v>0</v>
      </c>
      <c r="BC295" s="15" t="n">
        <f aca="false">(BC294)+BA295-N295-BB295</f>
        <v>195634.022395528</v>
      </c>
      <c r="BD295" s="15" t="n">
        <f aca="false">(BH294)+AC295+AF295-AI295-AS295-K295*(1+Parametri_v3!$C$26)-AL295-AQ295-O295+AW295+AX295+AZ295+BA295-BB295</f>
        <v>-334955.213692821</v>
      </c>
      <c r="BE295" s="15" t="n">
        <f aca="false">MAX(0,MIN(MAX(0,CH295-(BG294)),Parametri_v3!$C$30-BD295))</f>
        <v>0</v>
      </c>
      <c r="BF295" s="15" t="n">
        <f aca="false">IF(Motore_Operativo!C295&gt;=Parametri_v3!$C$63,(BG294),MIN((BG294),MAX(0,BD295-Parametri_v3!$C$30)))</f>
        <v>0</v>
      </c>
      <c r="BG295" s="15" t="n">
        <f aca="false">(BG294)+BE295-BF295</f>
        <v>150000</v>
      </c>
      <c r="BH295" s="15" t="n">
        <f aca="false">BD295+BE295-BF295-AY295</f>
        <v>-334955.213692821</v>
      </c>
      <c r="BI295" s="15" t="n">
        <f aca="false">MAX(0,Parametri_v3!$C$30-BH295)</f>
        <v>359955.213692821</v>
      </c>
      <c r="BJ295" s="15" t="n">
        <f aca="false">(BJ294)+K295</f>
        <v>127500</v>
      </c>
      <c r="BK295" s="15" t="n">
        <f aca="false">(BK294)+L295</f>
        <v>72083.3333333333</v>
      </c>
      <c r="BL295" s="15" t="n">
        <f aca="false">BJ295-BK295</f>
        <v>55416.6666666666</v>
      </c>
      <c r="BM295" s="15" t="n">
        <f aca="false">(BM294)+Y295</f>
        <v>-928109.345564649</v>
      </c>
      <c r="BN295" s="15" t="n">
        <f aca="false">(BN294)+AW295+AX295+AZ295</f>
        <v>430000</v>
      </c>
      <c r="BO295" s="15" t="n">
        <f aca="false">(BO294)+AY295</f>
        <v>0</v>
      </c>
      <c r="BP295" s="15" t="n">
        <f aca="false">0</f>
        <v>0</v>
      </c>
      <c r="BQ295" s="15" t="n">
        <f aca="false">BN295+BM295-BO295</f>
        <v>-498109.345564649</v>
      </c>
      <c r="BR295" s="15" t="n">
        <f aca="false">BH295+AD295+BL295+MAX(0,-AM295)+MAX(0,-AR295)+AG295</f>
        <v>-4738.81713160094</v>
      </c>
      <c r="BS295" s="15" t="n">
        <f aca="false">AJ295+AV295+MAX(0,AM295)+MAX(0,AR295)+BC295+BG295+BQ295</f>
        <v>-4738.81713160098</v>
      </c>
      <c r="BT295" s="15" t="n">
        <f aca="false">BR295-BS295</f>
        <v>4.36557456851006E-011</v>
      </c>
      <c r="BU295" s="15" t="n">
        <f aca="false">BH295-(BD295+BE295-BF295-AY295)</f>
        <v>0</v>
      </c>
      <c r="BV295" s="15" t="n">
        <f aca="false">MIN(Piano_SS!$C$6,(BV294)+IF(AND(Motore_Operativo!C295&gt;=EDATE(Parametri_v3!$C$24,Ipotesi!G14*12),Motore_Operativo!C295&lt;EDATE(Parametri_v3!$C$24,Parametri_v3!$C$25+Ipotesi!G14*12)),MAX(0,(Motore_Operativo!Y295+Motore_Operativo!X295*Parametri_v3!$C$14)*(1-Parametri_v3!$C$32))*Piano_SS!$D$6,0))</f>
        <v>190877.54836875</v>
      </c>
      <c r="BW295" s="15" t="n">
        <f aca="false">MIN(Piano_SS!$C$7,(BW294)+IF(AND(Motore_Operativo!C295&gt;=EDATE(Parametri_v3!$C$24,Ipotesi!G14*12),Motore_Operativo!C295&lt;EDATE(Parametri_v3!$C$24,Parametri_v3!$C$25+Ipotesi!G14*12)),MAX(0,(IF(51-(INT((Ipotesi!$C$91)/30))&lt;1,0,INDEX(Motore_Operativo!$BN$245:$BN$304,MAX(1,51-(INT((Ipotesi!$C$91)/30)))))*(1-(MOD((Ipotesi!$C$91),30)/30))+IF(51-(INT((Ipotesi!$C$91)/30))-1&lt;1,0,INDEX(Motore_Operativo!$BN$245:$BN$304,MAX(1,51-(INT((Ipotesi!$C$91)/30))-1)))*(MOD((Ipotesi!$C$91),30)/30)))*Piano_SS!$D$7,0))</f>
        <v>25611.7773375503</v>
      </c>
      <c r="BX295" s="15" t="n">
        <f aca="false">MIN(Piano_SS!$C$8,(BX294)+IF(AND(Motore_Operativo!C295&gt;=EDATE(Parametri_v3!$C$24,Ipotesi!G14*12),Motore_Operativo!C295&lt;EDATE(Parametri_v3!$C$24,Parametri_v3!$C$25+Ipotesi!G14*12)),MAX(0,Motore_Operativo!CE295)*Piano_SS!$D$8,0))</f>
        <v>50000</v>
      </c>
      <c r="BY295" s="15" t="n">
        <f aca="false">MIN(Piano_SS!$C$9,(BY294)+IF(AND(Motore_Operativo!C295&gt;=EDATE(Parametri_v3!$C$24,Ipotesi!G14*12),Motore_Operativo!C295&lt;EDATE(Parametri_v3!$C$24,Parametri_v3!$C$25+Ipotesi!G14*12)),MAX(0,((IF(51-(INT((Ipotesi!$C$91)/30))&lt;1,0,INDEX(Motore_Operativo!$BQ$245:$BQ$304,MAX(1,51-(INT((Ipotesi!$C$91)/30)))))*(1-(MOD((Ipotesi!$C$91),30)/30))+IF(51-(INT((Ipotesi!$C$91)/30))-1&lt;1,0,INDEX(Motore_Operativo!$BQ$245:$BQ$304,MAX(1,51-(INT((Ipotesi!$C$91)/30))-1)))*(MOD((Ipotesi!$C$91),30)/30))+(IF(51-(INT((Ipotesi!$C$91)/30))&lt;1,0,INDEX(Motore_Operativo!$BR$245:$BR$304,MAX(1,51-(INT((Ipotesi!$C$91)/30)))))*(1-(MOD((Ipotesi!$C$91),30)/30))+IF(51-(INT((Ipotesi!$C$91)/30))-1&lt;1,0,INDEX(Motore_Operativo!$BR$245:$BR$304,MAX(1,51-(INT((Ipotesi!$C$91)/30))-1)))*(MOD((Ipotesi!$C$91),30)/30))))*Piano_SS!$D$9,0))</f>
        <v>40000</v>
      </c>
      <c r="BZ295" s="15" t="n">
        <f aca="false">MIN(Piano_SS!$C$10,(BZ294)+IF(AND(Motore_Operativo!C295&gt;=EDATE(Parametri_v3!$C$24,Ipotesi!G14*12),Motore_Operativo!C295&lt;EDATE(Parametri_v3!$C$24,Parametri_v3!$C$25+Ipotesi!G14*12)),MAX(0,(IF(51-(INT((Ipotesi!$C$91)/30))&lt;1,0,INDEX(Motore_Operativo!$BO$245:$BO$304,MAX(1,51-(INT((Ipotesi!$C$91)/30)))))*(1-(MOD((Ipotesi!$C$91),30)/30))+IF(51-(INT((Ipotesi!$C$91)/30))-1&lt;1,0,INDEX(Motore_Operativo!$BO$245:$BO$304,MAX(1,51-(INT((Ipotesi!$C$91)/30))-1)))*(MOD((Ipotesi!$C$91),30)/30)))*Piano_SS!$D$10,0))</f>
        <v>30000</v>
      </c>
      <c r="CA295" s="15" t="n">
        <f aca="false">SUM(BV295:BZ295)</f>
        <v>336489.3257063</v>
      </c>
      <c r="CB295" s="15" t="n">
        <f aca="false">BV295*(1-Piano_SS!$E$6)+BW295*(1-Piano_SS!$E$7)+BX295*(1-Piano_SS!$E$8)+BY295*(1-Piano_SS!$E$9)+BZ295*(1-Piano_SS!$E$10)</f>
        <v>306489.3257063</v>
      </c>
      <c r="CC295" s="15" t="n">
        <f aca="false">(CC294)+BA295</f>
        <v>269191.46056504</v>
      </c>
      <c r="CD295" s="15" t="n">
        <f aca="false">IF(CA295=0,0,CC295*CB295/CA295*Ipotesi!$C$103*Parametri_v3!$C$64)</f>
        <v>73557.4381695121</v>
      </c>
      <c r="CE295" s="18" t="n">
        <f aca="false">IF(BA295&gt;0,Motore_Operativo!C295,(CE294))</f>
        <v>47635</v>
      </c>
      <c r="CF295" s="18" t="n">
        <f aca="false">IF(AND(CC295&gt;0,OR(CC295&gt;=CG295-0.01,Motore_Operativo!C295&gt;=EDATE(MAX(Finanziamenti!$D$15:$D$17),Ipotesi!G14*12))),CE295,0)</f>
        <v>47635</v>
      </c>
      <c r="CG295" s="15" t="n">
        <f aca="false">IF(AND(5&lt;&gt;6,5&lt;&gt;9,Finanziamenti!$F$11=1,OR(Parametri_v3!$C$6=0,Finanziamenti!$E$11=1)),MIN(Finanziamenti!$C$11,Piano_SS!$C$12*Ipotesi!$C$102),0)</f>
        <v>400000</v>
      </c>
      <c r="CH295" s="15" t="n">
        <f aca="false">IF(AND(AND(5&lt;&gt;8,5&lt;&gt;9,Finanziamenti!$F$10=1,OR(Parametri_v3!$C$6=0,Finanziamenti!$E$10=1)),Motore_Operativo!C295&gt;=Finanziamenti!$D$10,Motore_Operativo!C295&lt;Parametri_v3!$C$63),Finanziamenti!$C$10,0)</f>
        <v>150000</v>
      </c>
    </row>
    <row r="296" customFormat="false" ht="18" hidden="false" customHeight="true" outlineLevel="0" collapsed="false">
      <c r="A296" s="68" t="n">
        <f aca="false">5</f>
        <v>5</v>
      </c>
      <c r="B296" s="68" t="n">
        <f aca="false">52</f>
        <v>52</v>
      </c>
      <c r="C296" s="18" t="n">
        <f aca="false">Motore_Operativo!C296</f>
        <v>47939</v>
      </c>
      <c r="D296" s="68" t="n">
        <f aca="false">Motore_Operativo!D296</f>
        <v>2031</v>
      </c>
      <c r="E296" s="68" t="n">
        <f aca="false">Motore_Operativo!E296</f>
        <v>4</v>
      </c>
      <c r="F296" s="15" t="n">
        <f aca="false">Motore_Operativo!AQ296+Motore_Operativo!BF296</f>
        <v>59219.8845070144</v>
      </c>
      <c r="G296" s="15" t="n">
        <f aca="false">Motore_Operativo!BH296</f>
        <v>5739.9375</v>
      </c>
      <c r="H296" s="15" t="n">
        <f aca="false">Motore_Operativo!BI296</f>
        <v>64959.8220070144</v>
      </c>
      <c r="I296" s="15" t="n">
        <f aca="false">Motore_Operativo!CA296</f>
        <v>81319.425681607</v>
      </c>
      <c r="J296" s="15" t="n">
        <f aca="false">Motore_Operativo!CC296</f>
        <v>-16359.6036745927</v>
      </c>
      <c r="K296" s="15" t="n">
        <f aca="false">Motore_Operativo!CE296</f>
        <v>4166.66666666667</v>
      </c>
      <c r="L296" s="15" t="n">
        <f aca="false">SUM(INDEX($K$245:$K$304,MAX(1,52-Parametri_v3!$C$59+1)):K296)/Parametri_v3!$C$59</f>
        <v>2870.37037037037</v>
      </c>
      <c r="M296" s="15" t="n">
        <f aca="false">J296-L296</f>
        <v>-19229.974044963</v>
      </c>
      <c r="N296" s="15" t="n">
        <f aca="false">CD296-(CD295)</f>
        <v>0</v>
      </c>
      <c r="O296" s="15" t="n">
        <f aca="false">(BG295)*Ipotesi!$C$110/12+CH296*Parametri_v3!$C$39/12</f>
        <v>750</v>
      </c>
      <c r="P296" s="15" t="n">
        <f aca="false">M296+N296-O296</f>
        <v>-19979.974044963</v>
      </c>
      <c r="Q296" s="15" t="n">
        <f aca="false">SUM(P293:P296)+Parametri_v3!$C$54*4/12</f>
        <v>-81933.75399734</v>
      </c>
      <c r="R296" s="15" t="n">
        <f aca="false">Z292</f>
        <v>614541.770829915</v>
      </c>
      <c r="S296" s="15" t="n">
        <f aca="false">AA292</f>
        <v>251613.794782356</v>
      </c>
      <c r="T296" s="15" t="n">
        <f aca="false">MIN(R296,MAX(0,Q296))</f>
        <v>0</v>
      </c>
      <c r="U296" s="15" t="n">
        <f aca="false">MIN(S296,MAX(0,Q296-T296)*Parametri_v3!$C$42)</f>
        <v>0</v>
      </c>
      <c r="V296" s="15" t="n">
        <f aca="false">MAX(0,Q296-T296-U296)*Ipotesi!$C$92</f>
        <v>0</v>
      </c>
      <c r="W296" s="15" t="n">
        <f aca="false">MAX(0,SUM(M293:M296)+Parametri_v3!$C$55*4/12)*Ipotesi!$C$93</f>
        <v>0</v>
      </c>
      <c r="X296" s="15" t="n">
        <f aca="false">V296+W296-(V295+W295)</f>
        <v>0</v>
      </c>
      <c r="Y296" s="15" t="n">
        <f aca="false">P296-X296</f>
        <v>-19979.974044963</v>
      </c>
      <c r="Z296" s="15" t="n">
        <f aca="false">R296-T296+IF(AND(Parametri_v3!$C$40=1,D296-YEAR(Parametri_v3!$C$50)&lt;Parametri_v3!$C$41),MAX(0,-Q296),0)</f>
        <v>614541.770829915</v>
      </c>
      <c r="AA296" s="15" t="n">
        <f aca="false">S296-U296+IF(AND(Parametri_v3!$C$40=1,D296-YEAR(Parametri_v3!$C$50)&lt;Parametri_v3!$C$41),0,MAX(0,-Q296))</f>
        <v>333547.548779696</v>
      </c>
      <c r="AB296" s="15" t="n">
        <f aca="false">F296*(1+Parametri_v3!$C$26)</f>
        <v>72248.2590985575</v>
      </c>
      <c r="AC296" s="15" t="n">
        <f aca="false">(IF(52-(INT((Motore_Operativo!L296)/30))&lt;1,0,INDEX(Motore_Startup!$AB$245:$AB$304,MAX(1,52-(INT((Motore_Operativo!L296)/30)))))*(1-(MOD((Motore_Operativo!L296),30)/30))+IF(52-(INT((Motore_Operativo!L296)/30))-1&lt;1,0,INDEX(Motore_Startup!$AB$245:$AB$304,MAX(1,52-(INT((Motore_Operativo!L296)/30))-1)))*(MOD((Motore_Operativo!L296),30)/30))</f>
        <v>54401.6679749814</v>
      </c>
      <c r="AD296" s="15" t="n">
        <f aca="false">(AD295)+AB296-AC296</f>
        <v>285643.59726813</v>
      </c>
      <c r="AE296" s="15" t="n">
        <f aca="false">Motore_Operativo!BH296*(1+Parametri_v3!$C$26)</f>
        <v>7002.72375</v>
      </c>
      <c r="AF296" s="15" t="n">
        <f aca="false">(IF(52-(INT((Parametri_v3!$C$29)/30))&lt;1,0,INDEX(Motore_Operativo!$BH$245:$BH$304,MAX(1,52-(INT((Parametri_v3!$C$29)/30)))))*(1-(MOD((Parametri_v3!$C$29),30)/30))+IF(52-(INT((Parametri_v3!$C$29)/30))-1&lt;1,0,INDEX(Motore_Operativo!$BH$245:$BH$304,MAX(1,52-(INT((Parametri_v3!$C$29)/30))-1)))*(MOD((Parametri_v3!$C$29),30)/30))*(1+Parametri_v3!$C$26)</f>
        <v>7002.72375</v>
      </c>
      <c r="AG296" s="15" t="n">
        <f aca="false">(AG295)+AE296-AF296</f>
        <v>7002.72375000001</v>
      </c>
      <c r="AH296" s="15" t="n">
        <f aca="false">(Motore_Operativo!CJ296)*(1+Parametri_v3!$C$27*Parametri_v3!$C$26)</f>
        <v>33728.5539067507</v>
      </c>
      <c r="AI296" s="15" t="n">
        <f aca="false">(IF(52-(INT((Ipotesi!$C$91)/30))&lt;1,0,INDEX(Motore_Startup!$AH$245:$AH$304,MAX(1,52-(INT((Ipotesi!$C$91)/30)))))*(1-(MOD((Ipotesi!$C$91),30)/30))+IF(52-(INT((Ipotesi!$C$91)/30))-1&lt;1,0,INDEX(Motore_Startup!$AH$245:$AH$304,MAX(1,52-(INT((Ipotesi!$C$91)/30))-1)))*(MOD((Ipotesi!$C$91),30)/30))</f>
        <v>33576.6813862778</v>
      </c>
      <c r="AJ296" s="15" t="n">
        <f aca="false">(AJ295)+AH296-AI296</f>
        <v>67375.5375580087</v>
      </c>
      <c r="AK296" s="15" t="n">
        <f aca="false">(F296+ Motore_Operativo!BH296-(Motore_Operativo!CJ296)*Parametri_v3!$C$27-Motore_Operativo!CE296)*Parametri_v3!$C$26</f>
        <v>8060.89722410786</v>
      </c>
      <c r="AL296" s="15" t="n">
        <f aca="false">MAX(0,(AM295))</f>
        <v>7965.75974114007</v>
      </c>
      <c r="AM296" s="15" t="n">
        <f aca="false">(AM295)+AK296-AL296</f>
        <v>8060.89722410786</v>
      </c>
      <c r="AN296" s="15" t="n">
        <f aca="false">SUM(X281:X292)</f>
        <v>0</v>
      </c>
      <c r="AO296" s="15" t="n">
        <f aca="false">SUM(AP281:AP292)</f>
        <v>0</v>
      </c>
      <c r="AP296" s="15" t="n">
        <f aca="false">MAX(0,AN296)*IF(4=Parametri_v3!$C$43,Parametri_v3!$C$45,IF(4=Parametri_v3!$C$44,1-Parametri_v3!$C$45,0))</f>
        <v>0</v>
      </c>
      <c r="AQ296" s="15" t="n">
        <f aca="false">MAX(0,AP296+IF(4=Parametri_v3!$C$43,MAX(0,AN296-AO296),0)-MAX(0,-(AR295)))</f>
        <v>0</v>
      </c>
      <c r="AR296" s="15" t="n">
        <f aca="false">(AR295)+X296-AQ296</f>
        <v>0</v>
      </c>
      <c r="AS296" s="15" t="n">
        <f aca="false">Motore_Operativo!AB296-AT296+AU296</f>
        <v>50259.2452893438</v>
      </c>
      <c r="AT296" s="15" t="n">
        <f aca="false">Motore_Operativo!CH296</f>
        <v>2645.22343628125</v>
      </c>
      <c r="AU296" s="15" t="n">
        <f aca="false">MIN(MAX(0,(AV295)+AT296),Parametri_v3!$C$60/12)</f>
        <v>0</v>
      </c>
      <c r="AV296" s="15" t="n">
        <f aca="false">(AV295)+AT296-AU296</f>
        <v>75192.304695125</v>
      </c>
      <c r="AW296" s="15" t="n">
        <f aca="false">IF(AND(Motore_Operativo!C296=Finanziamenti!$D$6,Finanziamenti!$F$6=1),Finanziamenti!$C$6,0)</f>
        <v>0</v>
      </c>
      <c r="AX296" s="15" t="n">
        <f aca="false">IF(AND(5&lt;&gt;7,5&lt;&gt;9,Finanziamenti!$F$8=1,OR(Parametri_v3!$C$6=0,Finanziamenti!$E$8=1),Motore_Operativo!C296=EDATE(Finanziamenti!$D$8,Ipotesi!G15*12)),Finanziamenti!$C$8*1,0)+IF(AND(5&lt;&gt;7,5&lt;&gt;9,Finanziamenti!$F$9=1,OR(Parametri_v3!$C$6=0,Finanziamenti!$E$9=1),Motore_Operativo!C296=EDATE(Finanziamenti!$D$9,Ipotesi!G15*12)),Finanziamenti!$C$9*Ipotesi!G16,0)</f>
        <v>0</v>
      </c>
      <c r="AY296" s="15" t="n">
        <f aca="false">0</f>
        <v>0</v>
      </c>
      <c r="AZ296" s="15" t="n">
        <f aca="false">Motore_Advisory!AY296*(1-Ipotesi!$C$95)*Ipotesi!$C$96</f>
        <v>0</v>
      </c>
      <c r="BA296" s="15" t="n">
        <f aca="false">MAX(0,MIN(CG296*MIN(1,IF(Motore_Operativo!C296&gt;=EDATE(Finanziamenti!$D$15,Ipotesi!G14*12),Finanziamenti!$C$15,0)+IF(Motore_Operativo!C296&gt;=EDATE(Finanziamenti!$D$16,Ipotesi!G14*12),Finanziamenti!$C$16,0)+IF(Motore_Operativo!C296&gt;=EDATE(Finanziamenti!$D$17,Ipotesi!G14*12),Finanziamenti!$C$17,0)),CA296*Ipotesi!$C$102)-(CC295))</f>
        <v>0</v>
      </c>
      <c r="BB296" s="15" t="n">
        <f aca="false">IF(AND(CF296&gt;0,Motore_Operativo!C296&gt;=IF(CF296=0,0,EDATE(CF296,Parametri_v3!$C$37)),MOD(((D296-YEAR(IF(CF296=0,0,EDATE(CF296,Parametri_v3!$C$37))))*12+E296-MONTH(IF(CF296=0,0,EDATE(CF296,Parametri_v3!$C$37)))),Parametri_v3!$C$38)=0),MIN(MAX(0,(BC295)+BA296-N296),(CC296-CD296)/(Ipotesi!$C$108*12/Parametri_v3!$C$38)),0)</f>
        <v>0</v>
      </c>
      <c r="BC296" s="15" t="n">
        <f aca="false">(BC295)+BA296-N296-BB296</f>
        <v>195634.022395528</v>
      </c>
      <c r="BD296" s="15" t="n">
        <f aca="false">(BH295)+AC296+AF296-AI296-AS296-K296*(1+Parametri_v3!$C$26)-AL296-AQ296-O296+AW296+AX296+AZ296+BA296-BB296</f>
        <v>-371185.841717935</v>
      </c>
      <c r="BE296" s="15" t="n">
        <f aca="false">MAX(0,MIN(MAX(0,CH296-(BG295)),Parametri_v3!$C$30-BD296))</f>
        <v>0</v>
      </c>
      <c r="BF296" s="15" t="n">
        <f aca="false">IF(Motore_Operativo!C296&gt;=Parametri_v3!$C$63,(BG295),MIN((BG295),MAX(0,BD296-Parametri_v3!$C$30)))</f>
        <v>0</v>
      </c>
      <c r="BG296" s="15" t="n">
        <f aca="false">(BG295)+BE296-BF296</f>
        <v>150000</v>
      </c>
      <c r="BH296" s="15" t="n">
        <f aca="false">BD296+BE296-BF296-AY296</f>
        <v>-371185.841717935</v>
      </c>
      <c r="BI296" s="15" t="n">
        <f aca="false">MAX(0,Parametri_v3!$C$30-BH296)</f>
        <v>396185.841717935</v>
      </c>
      <c r="BJ296" s="15" t="n">
        <f aca="false">(BJ295)+K296</f>
        <v>131666.666666667</v>
      </c>
      <c r="BK296" s="15" t="n">
        <f aca="false">(BK295)+L296</f>
        <v>74953.7037037037</v>
      </c>
      <c r="BL296" s="15" t="n">
        <f aca="false">BJ296-BK296</f>
        <v>56712.9629629629</v>
      </c>
      <c r="BM296" s="15" t="n">
        <f aca="false">(BM295)+Y296</f>
        <v>-948089.319609612</v>
      </c>
      <c r="BN296" s="15" t="n">
        <f aca="false">(BN295)+AW296+AX296+AZ296</f>
        <v>430000</v>
      </c>
      <c r="BO296" s="15" t="n">
        <f aca="false">(BO295)+AY296</f>
        <v>0</v>
      </c>
      <c r="BP296" s="15" t="n">
        <f aca="false">0</f>
        <v>0</v>
      </c>
      <c r="BQ296" s="15" t="n">
        <f aca="false">BN296+BM296-BO296</f>
        <v>-518089.319609612</v>
      </c>
      <c r="BR296" s="15" t="n">
        <f aca="false">BH296+AD296+BL296+MAX(0,-AM296)+MAX(0,-AR296)+AG296</f>
        <v>-21826.557736842</v>
      </c>
      <c r="BS296" s="15" t="n">
        <f aca="false">AJ296+AV296+MAX(0,AM296)+MAX(0,AR296)+BC296+BG296+BQ296</f>
        <v>-21826.5577368421</v>
      </c>
      <c r="BT296" s="15" t="n">
        <f aca="false">BR296-BS296</f>
        <v>0</v>
      </c>
      <c r="BU296" s="15" t="n">
        <f aca="false">BH296-(BD296+BE296-BF296-AY296)</f>
        <v>0</v>
      </c>
      <c r="BV296" s="15" t="n">
        <f aca="false">MIN(Piano_SS!$C$6,(BV295)+IF(AND(Motore_Operativo!C296&gt;=EDATE(Parametri_v3!$C$24,Ipotesi!G14*12),Motore_Operativo!C296&lt;EDATE(Parametri_v3!$C$24,Parametri_v3!$C$25+Ipotesi!G14*12)),MAX(0,(Motore_Operativo!Y296+Motore_Operativo!X296*Parametri_v3!$C$14)*(1-Parametri_v3!$C$32))*Piano_SS!$D$6,0))</f>
        <v>190877.54836875</v>
      </c>
      <c r="BW296" s="15" t="n">
        <f aca="false">MIN(Piano_SS!$C$7,(BW295)+IF(AND(Motore_Operativo!C296&gt;=EDATE(Parametri_v3!$C$24,Ipotesi!G14*12),Motore_Operativo!C296&lt;EDATE(Parametri_v3!$C$24,Parametri_v3!$C$25+Ipotesi!G14*12)),MAX(0,(IF(52-(INT((Ipotesi!$C$91)/30))&lt;1,0,INDEX(Motore_Operativo!$BN$245:$BN$304,MAX(1,52-(INT((Ipotesi!$C$91)/30)))))*(1-(MOD((Ipotesi!$C$91),30)/30))+IF(52-(INT((Ipotesi!$C$91)/30))-1&lt;1,0,INDEX(Motore_Operativo!$BN$245:$BN$304,MAX(1,52-(INT((Ipotesi!$C$91)/30))-1)))*(MOD((Ipotesi!$C$91),30)/30)))*Piano_SS!$D$7,0))</f>
        <v>25611.7773375503</v>
      </c>
      <c r="BX296" s="15" t="n">
        <f aca="false">MIN(Piano_SS!$C$8,(BX295)+IF(AND(Motore_Operativo!C296&gt;=EDATE(Parametri_v3!$C$24,Ipotesi!G14*12),Motore_Operativo!C296&lt;EDATE(Parametri_v3!$C$24,Parametri_v3!$C$25+Ipotesi!G14*12)),MAX(0,Motore_Operativo!CE296)*Piano_SS!$D$8,0))</f>
        <v>50000</v>
      </c>
      <c r="BY296" s="15" t="n">
        <f aca="false">MIN(Piano_SS!$C$9,(BY295)+IF(AND(Motore_Operativo!C296&gt;=EDATE(Parametri_v3!$C$24,Ipotesi!G14*12),Motore_Operativo!C296&lt;EDATE(Parametri_v3!$C$24,Parametri_v3!$C$25+Ipotesi!G14*12)),MAX(0,((IF(52-(INT((Ipotesi!$C$91)/30))&lt;1,0,INDEX(Motore_Operativo!$BQ$245:$BQ$304,MAX(1,52-(INT((Ipotesi!$C$91)/30)))))*(1-(MOD((Ipotesi!$C$91),30)/30))+IF(52-(INT((Ipotesi!$C$91)/30))-1&lt;1,0,INDEX(Motore_Operativo!$BQ$245:$BQ$304,MAX(1,52-(INT((Ipotesi!$C$91)/30))-1)))*(MOD((Ipotesi!$C$91),30)/30))+(IF(52-(INT((Ipotesi!$C$91)/30))&lt;1,0,INDEX(Motore_Operativo!$BR$245:$BR$304,MAX(1,52-(INT((Ipotesi!$C$91)/30)))))*(1-(MOD((Ipotesi!$C$91),30)/30))+IF(52-(INT((Ipotesi!$C$91)/30))-1&lt;1,0,INDEX(Motore_Operativo!$BR$245:$BR$304,MAX(1,52-(INT((Ipotesi!$C$91)/30))-1)))*(MOD((Ipotesi!$C$91),30)/30))))*Piano_SS!$D$9,0))</f>
        <v>40000</v>
      </c>
      <c r="BZ296" s="15" t="n">
        <f aca="false">MIN(Piano_SS!$C$10,(BZ295)+IF(AND(Motore_Operativo!C296&gt;=EDATE(Parametri_v3!$C$24,Ipotesi!G14*12),Motore_Operativo!C296&lt;EDATE(Parametri_v3!$C$24,Parametri_v3!$C$25+Ipotesi!G14*12)),MAX(0,(IF(52-(INT((Ipotesi!$C$91)/30))&lt;1,0,INDEX(Motore_Operativo!$BO$245:$BO$304,MAX(1,52-(INT((Ipotesi!$C$91)/30)))))*(1-(MOD((Ipotesi!$C$91),30)/30))+IF(52-(INT((Ipotesi!$C$91)/30))-1&lt;1,0,INDEX(Motore_Operativo!$BO$245:$BO$304,MAX(1,52-(INT((Ipotesi!$C$91)/30))-1)))*(MOD((Ipotesi!$C$91),30)/30)))*Piano_SS!$D$10,0))</f>
        <v>30000</v>
      </c>
      <c r="CA296" s="15" t="n">
        <f aca="false">SUM(BV296:BZ296)</f>
        <v>336489.3257063</v>
      </c>
      <c r="CB296" s="15" t="n">
        <f aca="false">BV296*(1-Piano_SS!$E$6)+BW296*(1-Piano_SS!$E$7)+BX296*(1-Piano_SS!$E$8)+BY296*(1-Piano_SS!$E$9)+BZ296*(1-Piano_SS!$E$10)</f>
        <v>306489.3257063</v>
      </c>
      <c r="CC296" s="15" t="n">
        <f aca="false">(CC295)+BA296</f>
        <v>269191.46056504</v>
      </c>
      <c r="CD296" s="15" t="n">
        <f aca="false">IF(CA296=0,0,CC296*CB296/CA296*Ipotesi!$C$103*Parametri_v3!$C$64)</f>
        <v>73557.4381695121</v>
      </c>
      <c r="CE296" s="18" t="n">
        <f aca="false">IF(BA296&gt;0,Motore_Operativo!C296,(CE295))</f>
        <v>47635</v>
      </c>
      <c r="CF296" s="18" t="n">
        <f aca="false">IF(AND(CC296&gt;0,OR(CC296&gt;=CG296-0.01,Motore_Operativo!C296&gt;=EDATE(MAX(Finanziamenti!$D$15:$D$17),Ipotesi!G14*12))),CE296,0)</f>
        <v>47635</v>
      </c>
      <c r="CG296" s="15" t="n">
        <f aca="false">IF(AND(5&lt;&gt;6,5&lt;&gt;9,Finanziamenti!$F$11=1,OR(Parametri_v3!$C$6=0,Finanziamenti!$E$11=1)),MIN(Finanziamenti!$C$11,Piano_SS!$C$12*Ipotesi!$C$102),0)</f>
        <v>400000</v>
      </c>
      <c r="CH296" s="15" t="n">
        <f aca="false">IF(AND(AND(5&lt;&gt;8,5&lt;&gt;9,Finanziamenti!$F$10=1,OR(Parametri_v3!$C$6=0,Finanziamenti!$E$10=1)),Motore_Operativo!C296&gt;=Finanziamenti!$D$10,Motore_Operativo!C296&lt;Parametri_v3!$C$63),Finanziamenti!$C$10,0)</f>
        <v>150000</v>
      </c>
    </row>
    <row r="297" customFormat="false" ht="18" hidden="false" customHeight="true" outlineLevel="0" collapsed="false">
      <c r="A297" s="68" t="n">
        <f aca="false">5</f>
        <v>5</v>
      </c>
      <c r="B297" s="68" t="n">
        <f aca="false">53</f>
        <v>53</v>
      </c>
      <c r="C297" s="18" t="n">
        <f aca="false">Motore_Operativo!C297</f>
        <v>47969</v>
      </c>
      <c r="D297" s="68" t="n">
        <f aca="false">Motore_Operativo!D297</f>
        <v>2031</v>
      </c>
      <c r="E297" s="68" t="n">
        <f aca="false">Motore_Operativo!E297</f>
        <v>5</v>
      </c>
      <c r="F297" s="15" t="n">
        <f aca="false">Motore_Operativo!AQ297+Motore_Operativo!BF297</f>
        <v>59777.9525393634</v>
      </c>
      <c r="G297" s="15" t="n">
        <f aca="false">Motore_Operativo!BH297</f>
        <v>5739.9375</v>
      </c>
      <c r="H297" s="15" t="n">
        <f aca="false">Motore_Operativo!BI297</f>
        <v>65517.8900393634</v>
      </c>
      <c r="I297" s="15" t="n">
        <f aca="false">Motore_Operativo!CA297</f>
        <v>81397.5552061359</v>
      </c>
      <c r="J297" s="15" t="n">
        <f aca="false">Motore_Operativo!CC297</f>
        <v>-15879.6651667725</v>
      </c>
      <c r="K297" s="15" t="n">
        <f aca="false">Motore_Operativo!CE297</f>
        <v>4166.66666666667</v>
      </c>
      <c r="L297" s="15" t="n">
        <f aca="false">SUM(INDEX($K$245:$K$304,MAX(1,53-Parametri_v3!$C$59+1)):K297)/Parametri_v3!$C$59</f>
        <v>2928.24074074074</v>
      </c>
      <c r="M297" s="15" t="n">
        <f aca="false">J297-L297</f>
        <v>-18807.9059075132</v>
      </c>
      <c r="N297" s="15" t="n">
        <f aca="false">CD297-(CD296)</f>
        <v>0</v>
      </c>
      <c r="O297" s="15" t="n">
        <f aca="false">(BG296)*Ipotesi!$C$110/12+CH297*Parametri_v3!$C$39/12</f>
        <v>750</v>
      </c>
      <c r="P297" s="15" t="n">
        <f aca="false">M297+N297-O297</f>
        <v>-19557.9059075132</v>
      </c>
      <c r="Q297" s="15" t="n">
        <f aca="false">SUM(P293:P297)+Parametri_v3!$C$54*5/12</f>
        <v>-101491.659904853</v>
      </c>
      <c r="R297" s="15" t="n">
        <f aca="false">Z292</f>
        <v>614541.770829915</v>
      </c>
      <c r="S297" s="15" t="n">
        <f aca="false">AA292</f>
        <v>251613.794782356</v>
      </c>
      <c r="T297" s="15" t="n">
        <f aca="false">MIN(R297,MAX(0,Q297))</f>
        <v>0</v>
      </c>
      <c r="U297" s="15" t="n">
        <f aca="false">MIN(S297,MAX(0,Q297-T297)*Parametri_v3!$C$42)</f>
        <v>0</v>
      </c>
      <c r="V297" s="15" t="n">
        <f aca="false">MAX(0,Q297-T297-U297)*Ipotesi!$C$92</f>
        <v>0</v>
      </c>
      <c r="W297" s="15" t="n">
        <f aca="false">MAX(0,SUM(M293:M297)+Parametri_v3!$C$55*5/12)*Ipotesi!$C$93</f>
        <v>0</v>
      </c>
      <c r="X297" s="15" t="n">
        <f aca="false">V297+W297-(V296+W296)</f>
        <v>0</v>
      </c>
      <c r="Y297" s="15" t="n">
        <f aca="false">P297-X297</f>
        <v>-19557.9059075132</v>
      </c>
      <c r="Z297" s="15" t="n">
        <f aca="false">R297-T297+IF(AND(Parametri_v3!$C$40=1,D297-YEAR(Parametri_v3!$C$50)&lt;Parametri_v3!$C$41),MAX(0,-Q297),0)</f>
        <v>614541.770829915</v>
      </c>
      <c r="AA297" s="15" t="n">
        <f aca="false">S297-U297+IF(AND(Parametri_v3!$C$40=1,D297-YEAR(Parametri_v3!$C$50)&lt;Parametri_v3!$C$41),0,MAX(0,-Q297))</f>
        <v>353105.45468721</v>
      </c>
      <c r="AB297" s="15" t="n">
        <f aca="false">F297*(1+Parametri_v3!$C$26)</f>
        <v>72929.1020980233</v>
      </c>
      <c r="AC297" s="15" t="n">
        <f aca="false">(IF(53-(INT((Motore_Operativo!L297)/30))&lt;1,0,INDEX(Motore_Startup!$AB$245:$AB$304,MAX(1,53-(INT((Motore_Operativo!L297)/30)))))*(1-(MOD((Motore_Operativo!L297),30)/30))+IF(53-(INT((Motore_Operativo!L297)/30))-1&lt;1,0,INDEX(Motore_Startup!$AB$245:$AB$304,MAX(1,53-(INT((Motore_Operativo!L297)/30))-1)))*(MOD((Motore_Operativo!L297),30)/30))</f>
        <v>70612.6254043862</v>
      </c>
      <c r="AD297" s="15" t="n">
        <f aca="false">(AD296)+AB297-AC297</f>
        <v>287960.073961767</v>
      </c>
      <c r="AE297" s="15" t="n">
        <f aca="false">Motore_Operativo!BH297*(1+Parametri_v3!$C$26)</f>
        <v>7002.72375</v>
      </c>
      <c r="AF297" s="15" t="n">
        <f aca="false">(IF(53-(INT((Parametri_v3!$C$29)/30))&lt;1,0,INDEX(Motore_Operativo!$BH$245:$BH$304,MAX(1,53-(INT((Parametri_v3!$C$29)/30)))))*(1-(MOD((Parametri_v3!$C$29),30)/30))+IF(53-(INT((Parametri_v3!$C$29)/30))-1&lt;1,0,INDEX(Motore_Operativo!$BH$245:$BH$304,MAX(1,53-(INT((Parametri_v3!$C$29)/30))-1)))*(MOD((Parametri_v3!$C$29),30)/30))*(1+Parametri_v3!$C$26)</f>
        <v>7002.72375</v>
      </c>
      <c r="AG297" s="15" t="n">
        <f aca="false">(AG296)+AE297-AF297</f>
        <v>7002.72375000001</v>
      </c>
      <c r="AH297" s="15" t="n">
        <f aca="false">(Motore_Operativo!CJ297)*(1+Parametri_v3!$C$27*Parametri_v3!$C$26)</f>
        <v>33821.2936523664</v>
      </c>
      <c r="AI297" s="15" t="n">
        <f aca="false">(IF(53-(INT((Ipotesi!$C$91)/30))&lt;1,0,INDEX(Motore_Startup!$AH$245:$AH$304,MAX(1,53-(INT((Ipotesi!$C$91)/30)))))*(1-(MOD((Ipotesi!$C$91),30)/30))+IF(53-(INT((Ipotesi!$C$91)/30))-1&lt;1,0,INDEX(Motore_Startup!$AH$245:$AH$304,MAX(1,53-(INT((Ipotesi!$C$91)/30))-1)))*(MOD((Ipotesi!$C$91),30)/30))</f>
        <v>33646.983651258</v>
      </c>
      <c r="AJ297" s="15" t="n">
        <f aca="false">(AJ296)+AH297-AI297</f>
        <v>67549.8475591171</v>
      </c>
      <c r="AK297" s="15" t="n">
        <f aca="false">(F297+ Motore_Operativo!BH297-(Motore_Operativo!CJ297)*Parametri_v3!$C$27-Motore_Operativo!CE297)*Parametri_v3!$C$26</f>
        <v>8169.06197013775</v>
      </c>
      <c r="AL297" s="15" t="n">
        <f aca="false">MAX(0,(AM296))</f>
        <v>8060.89722410786</v>
      </c>
      <c r="AM297" s="15" t="n">
        <f aca="false">(AM296)+AK297-AL297</f>
        <v>8169.06197013775</v>
      </c>
      <c r="AN297" s="15" t="n">
        <f aca="false">SUM(X281:X292)</f>
        <v>0</v>
      </c>
      <c r="AO297" s="15" t="n">
        <f aca="false">SUM(AP281:AP292)</f>
        <v>0</v>
      </c>
      <c r="AP297" s="15" t="n">
        <f aca="false">MAX(0,AN297)*IF(5=Parametri_v3!$C$43,Parametri_v3!$C$45,IF(5=Parametri_v3!$C$44,1-Parametri_v3!$C$45,0))</f>
        <v>0</v>
      </c>
      <c r="AQ297" s="15" t="n">
        <f aca="false">MAX(0,AP297+IF(5=Parametri_v3!$C$43,MAX(0,AN297-AO297),0)-MAX(0,-(AR296)))</f>
        <v>0</v>
      </c>
      <c r="AR297" s="15" t="n">
        <f aca="false">(AR296)+X297-AQ297</f>
        <v>0</v>
      </c>
      <c r="AS297" s="15" t="n">
        <f aca="false">Motore_Operativo!AB297-AT297+AU297</f>
        <v>50259.2452893438</v>
      </c>
      <c r="AT297" s="15" t="n">
        <f aca="false">Motore_Operativo!CH297</f>
        <v>2645.22343628125</v>
      </c>
      <c r="AU297" s="15" t="n">
        <f aca="false">MIN(MAX(0,(AV296)+AT297),Parametri_v3!$C$60/12)</f>
        <v>0</v>
      </c>
      <c r="AV297" s="15" t="n">
        <f aca="false">(AV296)+AT297-AU297</f>
        <v>77837.5281314062</v>
      </c>
      <c r="AW297" s="15" t="n">
        <f aca="false">IF(AND(Motore_Operativo!C297=Finanziamenti!$D$6,Finanziamenti!$F$6=1),Finanziamenti!$C$6,0)</f>
        <v>0</v>
      </c>
      <c r="AX297" s="15" t="n">
        <f aca="false">IF(AND(5&lt;&gt;7,5&lt;&gt;9,Finanziamenti!$F$8=1,OR(Parametri_v3!$C$6=0,Finanziamenti!$E$8=1),Motore_Operativo!C297=EDATE(Finanziamenti!$D$8,Ipotesi!G15*12)),Finanziamenti!$C$8*1,0)+IF(AND(5&lt;&gt;7,5&lt;&gt;9,Finanziamenti!$F$9=1,OR(Parametri_v3!$C$6=0,Finanziamenti!$E$9=1),Motore_Operativo!C297=EDATE(Finanziamenti!$D$9,Ipotesi!G15*12)),Finanziamenti!$C$9*Ipotesi!G16,0)</f>
        <v>0</v>
      </c>
      <c r="AY297" s="15" t="n">
        <f aca="false">0</f>
        <v>0</v>
      </c>
      <c r="AZ297" s="15" t="n">
        <f aca="false">Motore_Advisory!AY297*(1-Ipotesi!$C$95)*Ipotesi!$C$96</f>
        <v>0</v>
      </c>
      <c r="BA297" s="15" t="n">
        <f aca="false">MAX(0,MIN(CG297*MIN(1,IF(Motore_Operativo!C297&gt;=EDATE(Finanziamenti!$D$15,Ipotesi!G14*12),Finanziamenti!$C$15,0)+IF(Motore_Operativo!C297&gt;=EDATE(Finanziamenti!$D$16,Ipotesi!G14*12),Finanziamenti!$C$16,0)+IF(Motore_Operativo!C297&gt;=EDATE(Finanziamenti!$D$17,Ipotesi!G14*12),Finanziamenti!$C$17,0)),CA297*Ipotesi!$C$102)-(CC296))</f>
        <v>0</v>
      </c>
      <c r="BB297" s="15" t="n">
        <f aca="false">IF(AND(CF297&gt;0,Motore_Operativo!C297&gt;=IF(CF297=0,0,EDATE(CF297,Parametri_v3!$C$37)),MOD(((D297-YEAR(IF(CF297=0,0,EDATE(CF297,Parametri_v3!$C$37))))*12+E297-MONTH(IF(CF297=0,0,EDATE(CF297,Parametri_v3!$C$37)))),Parametri_v3!$C$38)=0),MIN(MAX(0,(BC296)+BA297-N297),(CC297-CD297)/(Ipotesi!$C$108*12/Parametri_v3!$C$38)),0)</f>
        <v>0</v>
      </c>
      <c r="BC297" s="15" t="n">
        <f aca="false">(BC296)+BA297-N297-BB297</f>
        <v>195634.022395528</v>
      </c>
      <c r="BD297" s="15" t="n">
        <f aca="false">(BH296)+AC297+AF297-AI297-AS297-K297*(1+Parametri_v3!$C$26)-AL297-AQ297-O297+AW297+AX297+AZ297+BA297-BB297</f>
        <v>-391370.952061591</v>
      </c>
      <c r="BE297" s="15" t="n">
        <f aca="false">MAX(0,MIN(MAX(0,CH297-(BG296)),Parametri_v3!$C$30-BD297))</f>
        <v>0</v>
      </c>
      <c r="BF297" s="15" t="n">
        <f aca="false">IF(Motore_Operativo!C297&gt;=Parametri_v3!$C$63,(BG296),MIN((BG296),MAX(0,BD297-Parametri_v3!$C$30)))</f>
        <v>0</v>
      </c>
      <c r="BG297" s="15" t="n">
        <f aca="false">(BG296)+BE297-BF297</f>
        <v>150000</v>
      </c>
      <c r="BH297" s="15" t="n">
        <f aca="false">BD297+BE297-BF297-AY297</f>
        <v>-391370.952061591</v>
      </c>
      <c r="BI297" s="15" t="n">
        <f aca="false">MAX(0,Parametri_v3!$C$30-BH297)</f>
        <v>416370.952061591</v>
      </c>
      <c r="BJ297" s="15" t="n">
        <f aca="false">(BJ296)+K297</f>
        <v>135833.333333333</v>
      </c>
      <c r="BK297" s="15" t="n">
        <f aca="false">(BK296)+L297</f>
        <v>77881.9444444445</v>
      </c>
      <c r="BL297" s="15" t="n">
        <f aca="false">BJ297-BK297</f>
        <v>57951.3888888888</v>
      </c>
      <c r="BM297" s="15" t="n">
        <f aca="false">(BM296)+Y297</f>
        <v>-967647.225517125</v>
      </c>
      <c r="BN297" s="15" t="n">
        <f aca="false">(BN296)+AW297+AX297+AZ297</f>
        <v>430000</v>
      </c>
      <c r="BO297" s="15" t="n">
        <f aca="false">(BO296)+AY297</f>
        <v>0</v>
      </c>
      <c r="BP297" s="15" t="n">
        <f aca="false">0</f>
        <v>0</v>
      </c>
      <c r="BQ297" s="15" t="n">
        <f aca="false">BN297+BM297-BO297</f>
        <v>-537647.225517125</v>
      </c>
      <c r="BR297" s="15" t="n">
        <f aca="false">BH297+AD297+BL297+MAX(0,-AM297)+MAX(0,-AR297)+AG297</f>
        <v>-38456.7654609357</v>
      </c>
      <c r="BS297" s="15" t="n">
        <f aca="false">AJ297+AV297+MAX(0,AM297)+MAX(0,AR297)+BC297+BG297+BQ297</f>
        <v>-38456.7654609357</v>
      </c>
      <c r="BT297" s="15" t="n">
        <f aca="false">BR297-BS297</f>
        <v>0</v>
      </c>
      <c r="BU297" s="15" t="n">
        <f aca="false">BH297-(BD297+BE297-BF297-AY297)</f>
        <v>0</v>
      </c>
      <c r="BV297" s="15" t="n">
        <f aca="false">MIN(Piano_SS!$C$6,(BV296)+IF(AND(Motore_Operativo!C297&gt;=EDATE(Parametri_v3!$C$24,Ipotesi!G14*12),Motore_Operativo!C297&lt;EDATE(Parametri_v3!$C$24,Parametri_v3!$C$25+Ipotesi!G14*12)),MAX(0,(Motore_Operativo!Y297+Motore_Operativo!X297*Parametri_v3!$C$14)*(1-Parametri_v3!$C$32))*Piano_SS!$D$6,0))</f>
        <v>190877.54836875</v>
      </c>
      <c r="BW297" s="15" t="n">
        <f aca="false">MIN(Piano_SS!$C$7,(BW296)+IF(AND(Motore_Operativo!C297&gt;=EDATE(Parametri_v3!$C$24,Ipotesi!G14*12),Motore_Operativo!C297&lt;EDATE(Parametri_v3!$C$24,Parametri_v3!$C$25+Ipotesi!G14*12)),MAX(0,(IF(53-(INT((Ipotesi!$C$91)/30))&lt;1,0,INDEX(Motore_Operativo!$BN$245:$BN$304,MAX(1,53-(INT((Ipotesi!$C$91)/30)))))*(1-(MOD((Ipotesi!$C$91),30)/30))+IF(53-(INT((Ipotesi!$C$91)/30))-1&lt;1,0,INDEX(Motore_Operativo!$BN$245:$BN$304,MAX(1,53-(INT((Ipotesi!$C$91)/30))-1)))*(MOD((Ipotesi!$C$91),30)/30)))*Piano_SS!$D$7,0))</f>
        <v>25611.7773375503</v>
      </c>
      <c r="BX297" s="15" t="n">
        <f aca="false">MIN(Piano_SS!$C$8,(BX296)+IF(AND(Motore_Operativo!C297&gt;=EDATE(Parametri_v3!$C$24,Ipotesi!G14*12),Motore_Operativo!C297&lt;EDATE(Parametri_v3!$C$24,Parametri_v3!$C$25+Ipotesi!G14*12)),MAX(0,Motore_Operativo!CE297)*Piano_SS!$D$8,0))</f>
        <v>50000</v>
      </c>
      <c r="BY297" s="15" t="n">
        <f aca="false">MIN(Piano_SS!$C$9,(BY296)+IF(AND(Motore_Operativo!C297&gt;=EDATE(Parametri_v3!$C$24,Ipotesi!G14*12),Motore_Operativo!C297&lt;EDATE(Parametri_v3!$C$24,Parametri_v3!$C$25+Ipotesi!G14*12)),MAX(0,((IF(53-(INT((Ipotesi!$C$91)/30))&lt;1,0,INDEX(Motore_Operativo!$BQ$245:$BQ$304,MAX(1,53-(INT((Ipotesi!$C$91)/30)))))*(1-(MOD((Ipotesi!$C$91),30)/30))+IF(53-(INT((Ipotesi!$C$91)/30))-1&lt;1,0,INDEX(Motore_Operativo!$BQ$245:$BQ$304,MAX(1,53-(INT((Ipotesi!$C$91)/30))-1)))*(MOD((Ipotesi!$C$91),30)/30))+(IF(53-(INT((Ipotesi!$C$91)/30))&lt;1,0,INDEX(Motore_Operativo!$BR$245:$BR$304,MAX(1,53-(INT((Ipotesi!$C$91)/30)))))*(1-(MOD((Ipotesi!$C$91),30)/30))+IF(53-(INT((Ipotesi!$C$91)/30))-1&lt;1,0,INDEX(Motore_Operativo!$BR$245:$BR$304,MAX(1,53-(INT((Ipotesi!$C$91)/30))-1)))*(MOD((Ipotesi!$C$91),30)/30))))*Piano_SS!$D$9,0))</f>
        <v>40000</v>
      </c>
      <c r="BZ297" s="15" t="n">
        <f aca="false">MIN(Piano_SS!$C$10,(BZ296)+IF(AND(Motore_Operativo!C297&gt;=EDATE(Parametri_v3!$C$24,Ipotesi!G14*12),Motore_Operativo!C297&lt;EDATE(Parametri_v3!$C$24,Parametri_v3!$C$25+Ipotesi!G14*12)),MAX(0,(IF(53-(INT((Ipotesi!$C$91)/30))&lt;1,0,INDEX(Motore_Operativo!$BO$245:$BO$304,MAX(1,53-(INT((Ipotesi!$C$91)/30)))))*(1-(MOD((Ipotesi!$C$91),30)/30))+IF(53-(INT((Ipotesi!$C$91)/30))-1&lt;1,0,INDEX(Motore_Operativo!$BO$245:$BO$304,MAX(1,53-(INT((Ipotesi!$C$91)/30))-1)))*(MOD((Ipotesi!$C$91),30)/30)))*Piano_SS!$D$10,0))</f>
        <v>30000</v>
      </c>
      <c r="CA297" s="15" t="n">
        <f aca="false">SUM(BV297:BZ297)</f>
        <v>336489.3257063</v>
      </c>
      <c r="CB297" s="15" t="n">
        <f aca="false">BV297*(1-Piano_SS!$E$6)+BW297*(1-Piano_SS!$E$7)+BX297*(1-Piano_SS!$E$8)+BY297*(1-Piano_SS!$E$9)+BZ297*(1-Piano_SS!$E$10)</f>
        <v>306489.3257063</v>
      </c>
      <c r="CC297" s="15" t="n">
        <f aca="false">(CC296)+BA297</f>
        <v>269191.46056504</v>
      </c>
      <c r="CD297" s="15" t="n">
        <f aca="false">IF(CA297=0,0,CC297*CB297/CA297*Ipotesi!$C$103*Parametri_v3!$C$64)</f>
        <v>73557.4381695121</v>
      </c>
      <c r="CE297" s="18" t="n">
        <f aca="false">IF(BA297&gt;0,Motore_Operativo!C297,(CE296))</f>
        <v>47635</v>
      </c>
      <c r="CF297" s="18" t="n">
        <f aca="false">IF(AND(CC297&gt;0,OR(CC297&gt;=CG297-0.01,Motore_Operativo!C297&gt;=EDATE(MAX(Finanziamenti!$D$15:$D$17),Ipotesi!G14*12))),CE297,0)</f>
        <v>47635</v>
      </c>
      <c r="CG297" s="15" t="n">
        <f aca="false">IF(AND(5&lt;&gt;6,5&lt;&gt;9,Finanziamenti!$F$11=1,OR(Parametri_v3!$C$6=0,Finanziamenti!$E$11=1)),MIN(Finanziamenti!$C$11,Piano_SS!$C$12*Ipotesi!$C$102),0)</f>
        <v>400000</v>
      </c>
      <c r="CH297" s="15" t="n">
        <f aca="false">IF(AND(AND(5&lt;&gt;8,5&lt;&gt;9,Finanziamenti!$F$10=1,OR(Parametri_v3!$C$6=0,Finanziamenti!$E$10=1)),Motore_Operativo!C297&gt;=Finanziamenti!$D$10,Motore_Operativo!C297&lt;Parametri_v3!$C$63),Finanziamenti!$C$10,0)</f>
        <v>150000</v>
      </c>
    </row>
    <row r="298" customFormat="false" ht="18" hidden="false" customHeight="true" outlineLevel="0" collapsed="false">
      <c r="A298" s="68" t="n">
        <f aca="false">5</f>
        <v>5</v>
      </c>
      <c r="B298" s="68" t="n">
        <f aca="false">54</f>
        <v>54</v>
      </c>
      <c r="C298" s="18" t="n">
        <f aca="false">Motore_Operativo!C298</f>
        <v>48000</v>
      </c>
      <c r="D298" s="68" t="n">
        <f aca="false">Motore_Operativo!D298</f>
        <v>2031</v>
      </c>
      <c r="E298" s="68" t="n">
        <f aca="false">Motore_Operativo!E298</f>
        <v>6</v>
      </c>
      <c r="F298" s="15" t="n">
        <f aca="false">Motore_Operativo!AQ298+Motore_Operativo!BF298</f>
        <v>60331.1421580874</v>
      </c>
      <c r="G298" s="15" t="n">
        <f aca="false">Motore_Operativo!BH298</f>
        <v>5739.9375</v>
      </c>
      <c r="H298" s="15" t="n">
        <f aca="false">Motore_Operativo!BI298</f>
        <v>66071.0796580874</v>
      </c>
      <c r="I298" s="15" t="n">
        <f aca="false">Motore_Operativo!CA298</f>
        <v>81475.0017527573</v>
      </c>
      <c r="J298" s="15" t="n">
        <f aca="false">Motore_Operativo!CC298</f>
        <v>-15403.9220946698</v>
      </c>
      <c r="K298" s="15" t="n">
        <f aca="false">Motore_Operativo!CE298</f>
        <v>4166.66666666667</v>
      </c>
      <c r="L298" s="15" t="n">
        <f aca="false">SUM(INDEX($K$245:$K$304,MAX(1,54-Parametri_v3!$C$59+1)):K298)/Parametri_v3!$C$59</f>
        <v>2986.11111111111</v>
      </c>
      <c r="M298" s="15" t="n">
        <f aca="false">J298-L298</f>
        <v>-18390.0332057809</v>
      </c>
      <c r="N298" s="15" t="n">
        <f aca="false">CD298-(CD297)</f>
        <v>0</v>
      </c>
      <c r="O298" s="15" t="n">
        <f aca="false">(BG297)*Ipotesi!$C$110/12+CH298*Parametri_v3!$C$39/12</f>
        <v>750</v>
      </c>
      <c r="P298" s="15" t="n">
        <f aca="false">M298+N298-O298</f>
        <v>-19140.0332057809</v>
      </c>
      <c r="Q298" s="15" t="n">
        <f aca="false">SUM(P293:P298)+Parametri_v3!$C$54*6/12</f>
        <v>-120631.693110634</v>
      </c>
      <c r="R298" s="15" t="n">
        <f aca="false">Z292</f>
        <v>614541.770829915</v>
      </c>
      <c r="S298" s="15" t="n">
        <f aca="false">AA292</f>
        <v>251613.794782356</v>
      </c>
      <c r="T298" s="15" t="n">
        <f aca="false">MIN(R298,MAX(0,Q298))</f>
        <v>0</v>
      </c>
      <c r="U298" s="15" t="n">
        <f aca="false">MIN(S298,MAX(0,Q298-T298)*Parametri_v3!$C$42)</f>
        <v>0</v>
      </c>
      <c r="V298" s="15" t="n">
        <f aca="false">MAX(0,Q298-T298-U298)*Ipotesi!$C$92</f>
        <v>0</v>
      </c>
      <c r="W298" s="15" t="n">
        <f aca="false">MAX(0,SUM(M293:M298)+Parametri_v3!$C$55*6/12)*Ipotesi!$C$93</f>
        <v>0</v>
      </c>
      <c r="X298" s="15" t="n">
        <f aca="false">V298+W298-(V297+W297)</f>
        <v>0</v>
      </c>
      <c r="Y298" s="15" t="n">
        <f aca="false">P298-X298</f>
        <v>-19140.0332057809</v>
      </c>
      <c r="Z298" s="15" t="n">
        <f aca="false">R298-T298+IF(AND(Parametri_v3!$C$40=1,D298-YEAR(Parametri_v3!$C$50)&lt;Parametri_v3!$C$41),MAX(0,-Q298),0)</f>
        <v>614541.770829915</v>
      </c>
      <c r="AA298" s="15" t="n">
        <f aca="false">S298-U298+IF(AND(Parametri_v3!$C$40=1,D298-YEAR(Parametri_v3!$C$50)&lt;Parametri_v3!$C$41),0,MAX(0,-Q298))</f>
        <v>372245.487892991</v>
      </c>
      <c r="AB298" s="15" t="n">
        <f aca="false">F298*(1+Parametri_v3!$C$26)</f>
        <v>73603.9934328666</v>
      </c>
      <c r="AC298" s="15" t="n">
        <f aca="false">(IF(54-(INT((Motore_Operativo!L298)/30))&lt;1,0,INDEX(Motore_Startup!$AB$245:$AB$304,MAX(1,54-(INT((Motore_Operativo!L298)/30)))))*(1-(MOD((Motore_Operativo!L298),30)/30))+IF(54-(INT((Motore_Operativo!L298)/30))-1&lt;1,0,INDEX(Motore_Startup!$AB$245:$AB$304,MAX(1,54-(INT((Motore_Operativo!L298)/30))-1)))*(MOD((Motore_Operativo!L298),30)/30))</f>
        <v>71133.2965580777</v>
      </c>
      <c r="AD298" s="15" t="n">
        <f aca="false">(AD297)+AB298-AC298</f>
        <v>290430.770836556</v>
      </c>
      <c r="AE298" s="15" t="n">
        <f aca="false">Motore_Operativo!BH298*(1+Parametri_v3!$C$26)</f>
        <v>7002.72375</v>
      </c>
      <c r="AF298" s="15" t="n">
        <f aca="false">(IF(54-(INT((Parametri_v3!$C$29)/30))&lt;1,0,INDEX(Motore_Operativo!$BH$245:$BH$304,MAX(1,54-(INT((Parametri_v3!$C$29)/30)))))*(1-(MOD((Parametri_v3!$C$29),30)/30))+IF(54-(INT((Parametri_v3!$C$29)/30))-1&lt;1,0,INDEX(Motore_Operativo!$BH$245:$BH$304,MAX(1,54-(INT((Parametri_v3!$C$29)/30))-1)))*(MOD((Parametri_v3!$C$29),30)/30))*(1+Parametri_v3!$C$26)</f>
        <v>7002.72375</v>
      </c>
      <c r="AG298" s="15" t="n">
        <f aca="false">(AG297)+AE298-AF298</f>
        <v>7002.72375000001</v>
      </c>
      <c r="AH298" s="15" t="n">
        <f aca="false">(Motore_Operativo!CJ298)*(1+Parametri_v3!$C$27*Parametri_v3!$C$26)</f>
        <v>33913.222703206</v>
      </c>
      <c r="AI298" s="15" t="n">
        <f aca="false">(IF(54-(INT((Ipotesi!$C$91)/30))&lt;1,0,INDEX(Motore_Startup!$AH$245:$AH$304,MAX(1,54-(INT((Ipotesi!$C$91)/30)))))*(1-(MOD((Ipotesi!$C$91),30)/30))+IF(54-(INT((Ipotesi!$C$91)/30))-1&lt;1,0,INDEX(Motore_Startup!$AH$245:$AH$304,MAX(1,54-(INT((Ipotesi!$C$91)/30))-1)))*(MOD((Ipotesi!$C$91),30)/30))</f>
        <v>33728.5539067507</v>
      </c>
      <c r="AJ298" s="15" t="n">
        <f aca="false">(AJ297)+AH298-AI298</f>
        <v>67734.5163555724</v>
      </c>
      <c r="AK298" s="15" t="n">
        <f aca="false">(F298+ Motore_Operativo!BH298-(Motore_Operativo!CJ298)*Parametri_v3!$C$27-Motore_Operativo!CE298)*Parametri_v3!$C$26</f>
        <v>8276.28118203884</v>
      </c>
      <c r="AL298" s="15" t="n">
        <f aca="false">MAX(0,(AM297))</f>
        <v>8169.06197013775</v>
      </c>
      <c r="AM298" s="15" t="n">
        <f aca="false">(AM297)+AK298-AL298</f>
        <v>8276.28118203883</v>
      </c>
      <c r="AN298" s="15" t="n">
        <f aca="false">SUM(X281:X292)</f>
        <v>0</v>
      </c>
      <c r="AO298" s="15" t="n">
        <f aca="false">SUM(AP281:AP292)</f>
        <v>0</v>
      </c>
      <c r="AP298" s="15" t="n">
        <f aca="false">MAX(0,AN298)*IF(6=Parametri_v3!$C$43,Parametri_v3!$C$45,IF(6=Parametri_v3!$C$44,1-Parametri_v3!$C$45,0))</f>
        <v>0</v>
      </c>
      <c r="AQ298" s="15" t="n">
        <f aca="false">MAX(0,AP298+IF(6=Parametri_v3!$C$43,MAX(0,AN298-AO298),0)-MAX(0,-(AR297)))</f>
        <v>0</v>
      </c>
      <c r="AR298" s="15" t="n">
        <f aca="false">(AR297)+X298-AQ298</f>
        <v>0</v>
      </c>
      <c r="AS298" s="15" t="n">
        <f aca="false">Motore_Operativo!AB298-AT298+AU298</f>
        <v>50259.2452893438</v>
      </c>
      <c r="AT298" s="15" t="n">
        <f aca="false">Motore_Operativo!CH298</f>
        <v>2645.22343628125</v>
      </c>
      <c r="AU298" s="15" t="n">
        <f aca="false">MIN(MAX(0,(AV297)+AT298),Parametri_v3!$C$60/12)</f>
        <v>0</v>
      </c>
      <c r="AV298" s="15" t="n">
        <f aca="false">(AV297)+AT298-AU298</f>
        <v>80482.7515676875</v>
      </c>
      <c r="AW298" s="15" t="n">
        <f aca="false">IF(AND(Motore_Operativo!C298=Finanziamenti!$D$6,Finanziamenti!$F$6=1),Finanziamenti!$C$6,0)</f>
        <v>0</v>
      </c>
      <c r="AX298" s="15" t="n">
        <f aca="false">IF(AND(5&lt;&gt;7,5&lt;&gt;9,Finanziamenti!$F$8=1,OR(Parametri_v3!$C$6=0,Finanziamenti!$E$8=1),Motore_Operativo!C298=EDATE(Finanziamenti!$D$8,Ipotesi!G15*12)),Finanziamenti!$C$8*1,0)+IF(AND(5&lt;&gt;7,5&lt;&gt;9,Finanziamenti!$F$9=1,OR(Parametri_v3!$C$6=0,Finanziamenti!$E$9=1),Motore_Operativo!C298=EDATE(Finanziamenti!$D$9,Ipotesi!G15*12)),Finanziamenti!$C$9*Ipotesi!G16,0)</f>
        <v>0</v>
      </c>
      <c r="AY298" s="15" t="n">
        <f aca="false">0</f>
        <v>0</v>
      </c>
      <c r="AZ298" s="15" t="n">
        <f aca="false">Motore_Advisory!AY298*(1-Ipotesi!$C$95)*Ipotesi!$C$96</f>
        <v>0</v>
      </c>
      <c r="BA298" s="15" t="n">
        <f aca="false">MAX(0,MIN(CG298*MIN(1,IF(Motore_Operativo!C298&gt;=EDATE(Finanziamenti!$D$15,Ipotesi!G14*12),Finanziamenti!$C$15,0)+IF(Motore_Operativo!C298&gt;=EDATE(Finanziamenti!$D$16,Ipotesi!G14*12),Finanziamenti!$C$16,0)+IF(Motore_Operativo!C298&gt;=EDATE(Finanziamenti!$D$17,Ipotesi!G14*12),Finanziamenti!$C$17,0)),CA298*Ipotesi!$C$102)-(CC297))</f>
        <v>0</v>
      </c>
      <c r="BB298" s="15" t="n">
        <f aca="false">IF(AND(CF298&gt;0,Motore_Operativo!C298&gt;=IF(CF298=0,0,EDATE(CF298,Parametri_v3!$C$37)),MOD(((D298-YEAR(IF(CF298=0,0,EDATE(CF298,Parametri_v3!$C$37))))*12+E298-MONTH(IF(CF298=0,0,EDATE(CF298,Parametri_v3!$C$37)))),Parametri_v3!$C$38)=0),MIN(MAX(0,(BC297)+BA298-N298),(CC298-CD298)/(Ipotesi!$C$108*12/Parametri_v3!$C$38)),0)</f>
        <v>9781.70111977641</v>
      </c>
      <c r="BC298" s="15" t="n">
        <f aca="false">(BC297)+BA298-N298-BB298</f>
        <v>185852.321275752</v>
      </c>
      <c r="BD298" s="15" t="n">
        <f aca="false">(BH297)+AC298+AF298-AI298-AS298-K298*(1+Parametri_v3!$C$26)-AL298-AQ298-O298+AW298+AX298+AZ298+BA298-BB298</f>
        <v>-421006.827372856</v>
      </c>
      <c r="BE298" s="15" t="n">
        <f aca="false">MAX(0,MIN(MAX(0,CH298-(BG297)),Parametri_v3!$C$30-BD298))</f>
        <v>0</v>
      </c>
      <c r="BF298" s="15" t="n">
        <f aca="false">IF(Motore_Operativo!C298&gt;=Parametri_v3!$C$63,(BG297),MIN((BG297),MAX(0,BD298-Parametri_v3!$C$30)))</f>
        <v>0</v>
      </c>
      <c r="BG298" s="15" t="n">
        <f aca="false">(BG297)+BE298-BF298</f>
        <v>150000</v>
      </c>
      <c r="BH298" s="15" t="n">
        <f aca="false">BD298+BE298-BF298-AY298</f>
        <v>-421006.827372856</v>
      </c>
      <c r="BI298" s="15" t="n">
        <f aca="false">MAX(0,Parametri_v3!$C$30-BH298)</f>
        <v>446006.827372856</v>
      </c>
      <c r="BJ298" s="15" t="n">
        <f aca="false">(BJ297)+K298</f>
        <v>140000</v>
      </c>
      <c r="BK298" s="15" t="n">
        <f aca="false">(BK297)+L298</f>
        <v>80868.0555555556</v>
      </c>
      <c r="BL298" s="15" t="n">
        <f aca="false">BJ298-BK298</f>
        <v>59131.9444444444</v>
      </c>
      <c r="BM298" s="15" t="n">
        <f aca="false">(BM297)+Y298</f>
        <v>-986787.258722906</v>
      </c>
      <c r="BN298" s="15" t="n">
        <f aca="false">(BN297)+AW298+AX298+AZ298</f>
        <v>430000</v>
      </c>
      <c r="BO298" s="15" t="n">
        <f aca="false">(BO297)+AY298</f>
        <v>0</v>
      </c>
      <c r="BP298" s="15" t="n">
        <f aca="false">0</f>
        <v>0</v>
      </c>
      <c r="BQ298" s="15" t="n">
        <f aca="false">BN298+BM298-BO298</f>
        <v>-556787.258722906</v>
      </c>
      <c r="BR298" s="15" t="n">
        <f aca="false">BH298+AD298+BL298+MAX(0,-AM298)+MAX(0,-AR298)+AG298</f>
        <v>-64441.3883418554</v>
      </c>
      <c r="BS298" s="15" t="n">
        <f aca="false">AJ298+AV298+MAX(0,AM298)+MAX(0,AR298)+BC298+BG298+BQ298</f>
        <v>-64441.3883418554</v>
      </c>
      <c r="BT298" s="15" t="n">
        <f aca="false">BR298-BS298</f>
        <v>0</v>
      </c>
      <c r="BU298" s="15" t="n">
        <f aca="false">BH298-(BD298+BE298-BF298-AY298)</f>
        <v>0</v>
      </c>
      <c r="BV298" s="15" t="n">
        <f aca="false">MIN(Piano_SS!$C$6,(BV297)+IF(AND(Motore_Operativo!C298&gt;=EDATE(Parametri_v3!$C$24,Ipotesi!G14*12),Motore_Operativo!C298&lt;EDATE(Parametri_v3!$C$24,Parametri_v3!$C$25+Ipotesi!G14*12)),MAX(0,(Motore_Operativo!Y298+Motore_Operativo!X298*Parametri_v3!$C$14)*(1-Parametri_v3!$C$32))*Piano_SS!$D$6,0))</f>
        <v>190877.54836875</v>
      </c>
      <c r="BW298" s="15" t="n">
        <f aca="false">MIN(Piano_SS!$C$7,(BW297)+IF(AND(Motore_Operativo!C298&gt;=EDATE(Parametri_v3!$C$24,Ipotesi!G14*12),Motore_Operativo!C298&lt;EDATE(Parametri_v3!$C$24,Parametri_v3!$C$25+Ipotesi!G14*12)),MAX(0,(IF(54-(INT((Ipotesi!$C$91)/30))&lt;1,0,INDEX(Motore_Operativo!$BN$245:$BN$304,MAX(1,54-(INT((Ipotesi!$C$91)/30)))))*(1-(MOD((Ipotesi!$C$91),30)/30))+IF(54-(INT((Ipotesi!$C$91)/30))-1&lt;1,0,INDEX(Motore_Operativo!$BN$245:$BN$304,MAX(1,54-(INT((Ipotesi!$C$91)/30))-1)))*(MOD((Ipotesi!$C$91),30)/30)))*Piano_SS!$D$7,0))</f>
        <v>25611.7773375503</v>
      </c>
      <c r="BX298" s="15" t="n">
        <f aca="false">MIN(Piano_SS!$C$8,(BX297)+IF(AND(Motore_Operativo!C298&gt;=EDATE(Parametri_v3!$C$24,Ipotesi!G14*12),Motore_Operativo!C298&lt;EDATE(Parametri_v3!$C$24,Parametri_v3!$C$25+Ipotesi!G14*12)),MAX(0,Motore_Operativo!CE298)*Piano_SS!$D$8,0))</f>
        <v>50000</v>
      </c>
      <c r="BY298" s="15" t="n">
        <f aca="false">MIN(Piano_SS!$C$9,(BY297)+IF(AND(Motore_Operativo!C298&gt;=EDATE(Parametri_v3!$C$24,Ipotesi!G14*12),Motore_Operativo!C298&lt;EDATE(Parametri_v3!$C$24,Parametri_v3!$C$25+Ipotesi!G14*12)),MAX(0,((IF(54-(INT((Ipotesi!$C$91)/30))&lt;1,0,INDEX(Motore_Operativo!$BQ$245:$BQ$304,MAX(1,54-(INT((Ipotesi!$C$91)/30)))))*(1-(MOD((Ipotesi!$C$91),30)/30))+IF(54-(INT((Ipotesi!$C$91)/30))-1&lt;1,0,INDEX(Motore_Operativo!$BQ$245:$BQ$304,MAX(1,54-(INT((Ipotesi!$C$91)/30))-1)))*(MOD((Ipotesi!$C$91),30)/30))+(IF(54-(INT((Ipotesi!$C$91)/30))&lt;1,0,INDEX(Motore_Operativo!$BR$245:$BR$304,MAX(1,54-(INT((Ipotesi!$C$91)/30)))))*(1-(MOD((Ipotesi!$C$91),30)/30))+IF(54-(INT((Ipotesi!$C$91)/30))-1&lt;1,0,INDEX(Motore_Operativo!$BR$245:$BR$304,MAX(1,54-(INT((Ipotesi!$C$91)/30))-1)))*(MOD((Ipotesi!$C$91),30)/30))))*Piano_SS!$D$9,0))</f>
        <v>40000</v>
      </c>
      <c r="BZ298" s="15" t="n">
        <f aca="false">MIN(Piano_SS!$C$10,(BZ297)+IF(AND(Motore_Operativo!C298&gt;=EDATE(Parametri_v3!$C$24,Ipotesi!G14*12),Motore_Operativo!C298&lt;EDATE(Parametri_v3!$C$24,Parametri_v3!$C$25+Ipotesi!G14*12)),MAX(0,(IF(54-(INT((Ipotesi!$C$91)/30))&lt;1,0,INDEX(Motore_Operativo!$BO$245:$BO$304,MAX(1,54-(INT((Ipotesi!$C$91)/30)))))*(1-(MOD((Ipotesi!$C$91),30)/30))+IF(54-(INT((Ipotesi!$C$91)/30))-1&lt;1,0,INDEX(Motore_Operativo!$BO$245:$BO$304,MAX(1,54-(INT((Ipotesi!$C$91)/30))-1)))*(MOD((Ipotesi!$C$91),30)/30)))*Piano_SS!$D$10,0))</f>
        <v>30000</v>
      </c>
      <c r="CA298" s="15" t="n">
        <f aca="false">SUM(BV298:BZ298)</f>
        <v>336489.3257063</v>
      </c>
      <c r="CB298" s="15" t="n">
        <f aca="false">BV298*(1-Piano_SS!$E$6)+BW298*(1-Piano_SS!$E$7)+BX298*(1-Piano_SS!$E$8)+BY298*(1-Piano_SS!$E$9)+BZ298*(1-Piano_SS!$E$10)</f>
        <v>306489.3257063</v>
      </c>
      <c r="CC298" s="15" t="n">
        <f aca="false">(CC297)+BA298</f>
        <v>269191.46056504</v>
      </c>
      <c r="CD298" s="15" t="n">
        <f aca="false">IF(CA298=0,0,CC298*CB298/CA298*Ipotesi!$C$103*Parametri_v3!$C$64)</f>
        <v>73557.4381695121</v>
      </c>
      <c r="CE298" s="18" t="n">
        <f aca="false">IF(BA298&gt;0,Motore_Operativo!C298,(CE297))</f>
        <v>47635</v>
      </c>
      <c r="CF298" s="18" t="n">
        <f aca="false">IF(AND(CC298&gt;0,OR(CC298&gt;=CG298-0.01,Motore_Operativo!C298&gt;=EDATE(MAX(Finanziamenti!$D$15:$D$17),Ipotesi!G14*12))),CE298,0)</f>
        <v>47635</v>
      </c>
      <c r="CG298" s="15" t="n">
        <f aca="false">IF(AND(5&lt;&gt;6,5&lt;&gt;9,Finanziamenti!$F$11=1,OR(Parametri_v3!$C$6=0,Finanziamenti!$E$11=1)),MIN(Finanziamenti!$C$11,Piano_SS!$C$12*Ipotesi!$C$102),0)</f>
        <v>400000</v>
      </c>
      <c r="CH298" s="15" t="n">
        <f aca="false">IF(AND(AND(5&lt;&gt;8,5&lt;&gt;9,Finanziamenti!$F$10=1,OR(Parametri_v3!$C$6=0,Finanziamenti!$E$10=1)),Motore_Operativo!C298&gt;=Finanziamenti!$D$10,Motore_Operativo!C298&lt;Parametri_v3!$C$63),Finanziamenti!$C$10,0)</f>
        <v>150000</v>
      </c>
    </row>
    <row r="299" customFormat="false" ht="18" hidden="false" customHeight="true" outlineLevel="0" collapsed="false">
      <c r="A299" s="68" t="n">
        <f aca="false">5</f>
        <v>5</v>
      </c>
      <c r="B299" s="68" t="n">
        <f aca="false">55</f>
        <v>55</v>
      </c>
      <c r="C299" s="18" t="n">
        <f aca="false">Motore_Operativo!C299</f>
        <v>48030</v>
      </c>
      <c r="D299" s="68" t="n">
        <f aca="false">Motore_Operativo!D299</f>
        <v>2031</v>
      </c>
      <c r="E299" s="68" t="n">
        <f aca="false">Motore_Operativo!E299</f>
        <v>7</v>
      </c>
      <c r="F299" s="15" t="n">
        <f aca="false">Motore_Operativo!AQ299+Motore_Operativo!BF299</f>
        <v>60879.4960083803</v>
      </c>
      <c r="G299" s="15" t="n">
        <f aca="false">Motore_Operativo!BH299</f>
        <v>5739.9375</v>
      </c>
      <c r="H299" s="15" t="n">
        <f aca="false">Motore_Operativo!BI299</f>
        <v>66619.4335083804</v>
      </c>
      <c r="I299" s="15" t="n">
        <f aca="false">Motore_Operativo!CA299</f>
        <v>81551.7712917983</v>
      </c>
      <c r="J299" s="15" t="n">
        <f aca="false">Motore_Operativo!CC299</f>
        <v>-14932.3377834179</v>
      </c>
      <c r="K299" s="15" t="n">
        <f aca="false">Motore_Operativo!CE299</f>
        <v>4166.66666666667</v>
      </c>
      <c r="L299" s="15" t="n">
        <f aca="false">SUM(INDEX($K$245:$K$304,MAX(1,55-Parametri_v3!$C$59+1)):K299)/Parametri_v3!$C$59</f>
        <v>3043.98148148148</v>
      </c>
      <c r="M299" s="15" t="n">
        <f aca="false">J299-L299</f>
        <v>-17976.3192648994</v>
      </c>
      <c r="N299" s="15" t="n">
        <f aca="false">CD299-(CD298)</f>
        <v>0</v>
      </c>
      <c r="O299" s="15" t="n">
        <f aca="false">(BG298)*Ipotesi!$C$110/12+CH299*Parametri_v3!$C$39/12</f>
        <v>750</v>
      </c>
      <c r="P299" s="15" t="n">
        <f aca="false">M299+N299-O299</f>
        <v>-18726.3192648994</v>
      </c>
      <c r="Q299" s="15" t="n">
        <f aca="false">SUM(P293:P299)+Parametri_v3!$C$54*7/12</f>
        <v>-139358.012375534</v>
      </c>
      <c r="R299" s="15" t="n">
        <f aca="false">Z292</f>
        <v>614541.770829915</v>
      </c>
      <c r="S299" s="15" t="n">
        <f aca="false">AA292</f>
        <v>251613.794782356</v>
      </c>
      <c r="T299" s="15" t="n">
        <f aca="false">MIN(R299,MAX(0,Q299))</f>
        <v>0</v>
      </c>
      <c r="U299" s="15" t="n">
        <f aca="false">MIN(S299,MAX(0,Q299-T299)*Parametri_v3!$C$42)</f>
        <v>0</v>
      </c>
      <c r="V299" s="15" t="n">
        <f aca="false">MAX(0,Q299-T299-U299)*Ipotesi!$C$92</f>
        <v>0</v>
      </c>
      <c r="W299" s="15" t="n">
        <f aca="false">MAX(0,SUM(M293:M299)+Parametri_v3!$C$55*7/12)*Ipotesi!$C$93</f>
        <v>0</v>
      </c>
      <c r="X299" s="15" t="n">
        <f aca="false">V299+W299-(V298+W298)</f>
        <v>0</v>
      </c>
      <c r="Y299" s="15" t="n">
        <f aca="false">P299-X299</f>
        <v>-18726.3192648994</v>
      </c>
      <c r="Z299" s="15" t="n">
        <f aca="false">R299-T299+IF(AND(Parametri_v3!$C$40=1,D299-YEAR(Parametri_v3!$C$50)&lt;Parametri_v3!$C$41),MAX(0,-Q299),0)</f>
        <v>614541.770829915</v>
      </c>
      <c r="AA299" s="15" t="n">
        <f aca="false">S299-U299+IF(AND(Parametri_v3!$C$40=1,D299-YEAR(Parametri_v3!$C$50)&lt;Parametri_v3!$C$41),0,MAX(0,-Q299))</f>
        <v>390971.80715789</v>
      </c>
      <c r="AB299" s="15" t="n">
        <f aca="false">F299*(1+Parametri_v3!$C$26)</f>
        <v>74272.985130224</v>
      </c>
      <c r="AC299" s="15" t="n">
        <f aca="false">(IF(55-(INT((Motore_Operativo!L299)/30))&lt;1,0,INDEX(Motore_Startup!$AB$245:$AB$304,MAX(1,55-(INT((Motore_Operativo!L299)/30)))))*(1-(MOD((Motore_Operativo!L299),30)/30))+IF(55-(INT((Motore_Operativo!L299)/30))-1&lt;1,0,INDEX(Motore_Startup!$AB$245:$AB$304,MAX(1,55-(INT((Motore_Operativo!L299)/30))-1)))*(MOD((Motore_Operativo!L299),30)/30))</f>
        <v>71649.4162071083</v>
      </c>
      <c r="AD299" s="15" t="n">
        <f aca="false">(AD298)+AB299-AC299</f>
        <v>293054.339759672</v>
      </c>
      <c r="AE299" s="15" t="n">
        <f aca="false">Motore_Operativo!BH299*(1+Parametri_v3!$C$26)</f>
        <v>7002.72375</v>
      </c>
      <c r="AF299" s="15" t="n">
        <f aca="false">(IF(55-(INT((Parametri_v3!$C$29)/30))&lt;1,0,INDEX(Motore_Operativo!$BH$245:$BH$304,MAX(1,55-(INT((Parametri_v3!$C$29)/30)))))*(1-(MOD((Parametri_v3!$C$29),30)/30))+IF(55-(INT((Parametri_v3!$C$29)/30))-1&lt;1,0,INDEX(Motore_Operativo!$BH$245:$BH$304,MAX(1,55-(INT((Parametri_v3!$C$29)/30))-1)))*(MOD((Parametri_v3!$C$29),30)/30))*(1+Parametri_v3!$C$26)</f>
        <v>7002.72375</v>
      </c>
      <c r="AG299" s="15" t="n">
        <f aca="false">(AG298)+AE299-AF299</f>
        <v>7002.72375000001</v>
      </c>
      <c r="AH299" s="15" t="n">
        <f aca="false">(Motore_Operativo!CJ299)*(1+Parametri_v3!$C$27*Parametri_v3!$C$26)</f>
        <v>34004.3481460477</v>
      </c>
      <c r="AI299" s="15" t="n">
        <f aca="false">(IF(55-(INT((Ipotesi!$C$91)/30))&lt;1,0,INDEX(Motore_Startup!$AH$245:$AH$304,MAX(1,55-(INT((Ipotesi!$C$91)/30)))))*(1-(MOD((Ipotesi!$C$91),30)/30))+IF(55-(INT((Ipotesi!$C$91)/30))-1&lt;1,0,INDEX(Motore_Startup!$AH$245:$AH$304,MAX(1,55-(INT((Ipotesi!$C$91)/30))-1)))*(MOD((Ipotesi!$C$91),30)/30))</f>
        <v>33821.2936523664</v>
      </c>
      <c r="AJ299" s="15" t="n">
        <f aca="false">(AJ298)+AH299-AI299</f>
        <v>67917.5708492536</v>
      </c>
      <c r="AK299" s="15" t="n">
        <f aca="false">(F299+ Motore_Operativo!BH299-(Motore_Operativo!CJ299)*Parametri_v3!$C$27-Motore_Operativo!CE299)*Parametri_v3!$C$26</f>
        <v>8382.56312530261</v>
      </c>
      <c r="AL299" s="15" t="n">
        <f aca="false">MAX(0,(AM298))</f>
        <v>8276.28118203883</v>
      </c>
      <c r="AM299" s="15" t="n">
        <f aca="false">(AM298)+AK299-AL299</f>
        <v>8382.56312530261</v>
      </c>
      <c r="AN299" s="15" t="n">
        <f aca="false">SUM(X281:X292)</f>
        <v>0</v>
      </c>
      <c r="AO299" s="15" t="n">
        <f aca="false">SUM(AP281:AP292)</f>
        <v>0</v>
      </c>
      <c r="AP299" s="15" t="n">
        <f aca="false">MAX(0,AN299)*IF(7=Parametri_v3!$C$43,Parametri_v3!$C$45,IF(7=Parametri_v3!$C$44,1-Parametri_v3!$C$45,0))</f>
        <v>0</v>
      </c>
      <c r="AQ299" s="15" t="n">
        <f aca="false">MAX(0,AP299+IF(7=Parametri_v3!$C$43,MAX(0,AN299-AO299),0)-MAX(0,-(AR298)))</f>
        <v>0</v>
      </c>
      <c r="AR299" s="15" t="n">
        <f aca="false">(AR298)+X299-AQ299</f>
        <v>0</v>
      </c>
      <c r="AS299" s="15" t="n">
        <f aca="false">Motore_Operativo!AB299-AT299+AU299</f>
        <v>50259.2452893438</v>
      </c>
      <c r="AT299" s="15" t="n">
        <f aca="false">Motore_Operativo!CH299</f>
        <v>2645.22343628125</v>
      </c>
      <c r="AU299" s="15" t="n">
        <f aca="false">MIN(MAX(0,(AV298)+AT299),Parametri_v3!$C$60/12)</f>
        <v>0</v>
      </c>
      <c r="AV299" s="15" t="n">
        <f aca="false">(AV298)+AT299-AU299</f>
        <v>83127.9750039687</v>
      </c>
      <c r="AW299" s="15" t="n">
        <f aca="false">IF(AND(Motore_Operativo!C299=Finanziamenti!$D$6,Finanziamenti!$F$6=1),Finanziamenti!$C$6,0)</f>
        <v>0</v>
      </c>
      <c r="AX299" s="15" t="n">
        <f aca="false">IF(AND(5&lt;&gt;7,5&lt;&gt;9,Finanziamenti!$F$8=1,OR(Parametri_v3!$C$6=0,Finanziamenti!$E$8=1),Motore_Operativo!C299=EDATE(Finanziamenti!$D$8,Ipotesi!G15*12)),Finanziamenti!$C$8*1,0)+IF(AND(5&lt;&gt;7,5&lt;&gt;9,Finanziamenti!$F$9=1,OR(Parametri_v3!$C$6=0,Finanziamenti!$E$9=1),Motore_Operativo!C299=EDATE(Finanziamenti!$D$9,Ipotesi!G15*12)),Finanziamenti!$C$9*Ipotesi!G16,0)</f>
        <v>0</v>
      </c>
      <c r="AY299" s="15" t="n">
        <f aca="false">0</f>
        <v>0</v>
      </c>
      <c r="AZ299" s="15" t="n">
        <f aca="false">Motore_Advisory!AY299*(1-Ipotesi!$C$95)*Ipotesi!$C$96</f>
        <v>0</v>
      </c>
      <c r="BA299" s="15" t="n">
        <f aca="false">MAX(0,MIN(CG299*MIN(1,IF(Motore_Operativo!C299&gt;=EDATE(Finanziamenti!$D$15,Ipotesi!G14*12),Finanziamenti!$C$15,0)+IF(Motore_Operativo!C299&gt;=EDATE(Finanziamenti!$D$16,Ipotesi!G14*12),Finanziamenti!$C$16,0)+IF(Motore_Operativo!C299&gt;=EDATE(Finanziamenti!$D$17,Ipotesi!G14*12),Finanziamenti!$C$17,0)),CA299*Ipotesi!$C$102)-(CC298))</f>
        <v>0</v>
      </c>
      <c r="BB299" s="15" t="n">
        <f aca="false">IF(AND(CF299&gt;0,Motore_Operativo!C299&gt;=IF(CF299=0,0,EDATE(CF299,Parametri_v3!$C$37)),MOD(((D299-YEAR(IF(CF299=0,0,EDATE(CF299,Parametri_v3!$C$37))))*12+E299-MONTH(IF(CF299=0,0,EDATE(CF299,Parametri_v3!$C$37)))),Parametri_v3!$C$38)=0),MIN(MAX(0,(BC298)+BA299-N299),(CC299-CD299)/(Ipotesi!$C$108*12/Parametri_v3!$C$38)),0)</f>
        <v>0</v>
      </c>
      <c r="BC299" s="15" t="n">
        <f aca="false">(BC298)+BA299-N299-BB299</f>
        <v>185852.321275752</v>
      </c>
      <c r="BD299" s="15" t="n">
        <f aca="false">(BH298)+AC299+AF299-AI299-AS299-K299*(1+Parametri_v3!$C$26)-AL299-AQ299-O299+AW299+AX299+AZ299+BA299-BB299</f>
        <v>-440544.84087283</v>
      </c>
      <c r="BE299" s="15" t="n">
        <f aca="false">MAX(0,MIN(MAX(0,CH299-(BG298)),Parametri_v3!$C$30-BD299))</f>
        <v>0</v>
      </c>
      <c r="BF299" s="15" t="n">
        <f aca="false">IF(Motore_Operativo!C299&gt;=Parametri_v3!$C$63,(BG298),MIN((BG298),MAX(0,BD299-Parametri_v3!$C$30)))</f>
        <v>0</v>
      </c>
      <c r="BG299" s="15" t="n">
        <f aca="false">(BG298)+BE299-BF299</f>
        <v>150000</v>
      </c>
      <c r="BH299" s="15" t="n">
        <f aca="false">BD299+BE299-BF299-AY299</f>
        <v>-440544.84087283</v>
      </c>
      <c r="BI299" s="15" t="n">
        <f aca="false">MAX(0,Parametri_v3!$C$30-BH299)</f>
        <v>465544.84087283</v>
      </c>
      <c r="BJ299" s="15" t="n">
        <f aca="false">(BJ298)+K299</f>
        <v>144166.666666667</v>
      </c>
      <c r="BK299" s="15" t="n">
        <f aca="false">(BK298)+L299</f>
        <v>83912.0370370371</v>
      </c>
      <c r="BL299" s="15" t="n">
        <f aca="false">BJ299-BK299</f>
        <v>60254.6296296296</v>
      </c>
      <c r="BM299" s="15" t="n">
        <f aca="false">(BM298)+Y299</f>
        <v>-1005513.57798781</v>
      </c>
      <c r="BN299" s="15" t="n">
        <f aca="false">(BN298)+AW299+AX299+AZ299</f>
        <v>430000</v>
      </c>
      <c r="BO299" s="15" t="n">
        <f aca="false">(BO298)+AY299</f>
        <v>0</v>
      </c>
      <c r="BP299" s="15" t="n">
        <f aca="false">0</f>
        <v>0</v>
      </c>
      <c r="BQ299" s="15" t="n">
        <f aca="false">BN299+BM299-BO299</f>
        <v>-575513.577987805</v>
      </c>
      <c r="BR299" s="15" t="n">
        <f aca="false">BH299+AD299+BL299+MAX(0,-AM299)+MAX(0,-AR299)+AG299</f>
        <v>-80233.1477335285</v>
      </c>
      <c r="BS299" s="15" t="n">
        <f aca="false">AJ299+AV299+MAX(0,AM299)+MAX(0,AR299)+BC299+BG299+BQ299</f>
        <v>-80233.1477335285</v>
      </c>
      <c r="BT299" s="15" t="n">
        <f aca="false">BR299-BS299</f>
        <v>0</v>
      </c>
      <c r="BU299" s="15" t="n">
        <f aca="false">BH299-(BD299+BE299-BF299-AY299)</f>
        <v>0</v>
      </c>
      <c r="BV299" s="15" t="n">
        <f aca="false">MIN(Piano_SS!$C$6,(BV298)+IF(AND(Motore_Operativo!C299&gt;=EDATE(Parametri_v3!$C$24,Ipotesi!G14*12),Motore_Operativo!C299&lt;EDATE(Parametri_v3!$C$24,Parametri_v3!$C$25+Ipotesi!G14*12)),MAX(0,(Motore_Operativo!Y299+Motore_Operativo!X299*Parametri_v3!$C$14)*(1-Parametri_v3!$C$32))*Piano_SS!$D$6,0))</f>
        <v>190877.54836875</v>
      </c>
      <c r="BW299" s="15" t="n">
        <f aca="false">MIN(Piano_SS!$C$7,(BW298)+IF(AND(Motore_Operativo!C299&gt;=EDATE(Parametri_v3!$C$24,Ipotesi!G14*12),Motore_Operativo!C299&lt;EDATE(Parametri_v3!$C$24,Parametri_v3!$C$25+Ipotesi!G14*12)),MAX(0,(IF(55-(INT((Ipotesi!$C$91)/30))&lt;1,0,INDEX(Motore_Operativo!$BN$245:$BN$304,MAX(1,55-(INT((Ipotesi!$C$91)/30)))))*(1-(MOD((Ipotesi!$C$91),30)/30))+IF(55-(INT((Ipotesi!$C$91)/30))-1&lt;1,0,INDEX(Motore_Operativo!$BN$245:$BN$304,MAX(1,55-(INT((Ipotesi!$C$91)/30))-1)))*(MOD((Ipotesi!$C$91),30)/30)))*Piano_SS!$D$7,0))</f>
        <v>25611.7773375503</v>
      </c>
      <c r="BX299" s="15" t="n">
        <f aca="false">MIN(Piano_SS!$C$8,(BX298)+IF(AND(Motore_Operativo!C299&gt;=EDATE(Parametri_v3!$C$24,Ipotesi!G14*12),Motore_Operativo!C299&lt;EDATE(Parametri_v3!$C$24,Parametri_v3!$C$25+Ipotesi!G14*12)),MAX(0,Motore_Operativo!CE299)*Piano_SS!$D$8,0))</f>
        <v>50000</v>
      </c>
      <c r="BY299" s="15" t="n">
        <f aca="false">MIN(Piano_SS!$C$9,(BY298)+IF(AND(Motore_Operativo!C299&gt;=EDATE(Parametri_v3!$C$24,Ipotesi!G14*12),Motore_Operativo!C299&lt;EDATE(Parametri_v3!$C$24,Parametri_v3!$C$25+Ipotesi!G14*12)),MAX(0,((IF(55-(INT((Ipotesi!$C$91)/30))&lt;1,0,INDEX(Motore_Operativo!$BQ$245:$BQ$304,MAX(1,55-(INT((Ipotesi!$C$91)/30)))))*(1-(MOD((Ipotesi!$C$91),30)/30))+IF(55-(INT((Ipotesi!$C$91)/30))-1&lt;1,0,INDEX(Motore_Operativo!$BQ$245:$BQ$304,MAX(1,55-(INT((Ipotesi!$C$91)/30))-1)))*(MOD((Ipotesi!$C$91),30)/30))+(IF(55-(INT((Ipotesi!$C$91)/30))&lt;1,0,INDEX(Motore_Operativo!$BR$245:$BR$304,MAX(1,55-(INT((Ipotesi!$C$91)/30)))))*(1-(MOD((Ipotesi!$C$91),30)/30))+IF(55-(INT((Ipotesi!$C$91)/30))-1&lt;1,0,INDEX(Motore_Operativo!$BR$245:$BR$304,MAX(1,55-(INT((Ipotesi!$C$91)/30))-1)))*(MOD((Ipotesi!$C$91),30)/30))))*Piano_SS!$D$9,0))</f>
        <v>40000</v>
      </c>
      <c r="BZ299" s="15" t="n">
        <f aca="false">MIN(Piano_SS!$C$10,(BZ298)+IF(AND(Motore_Operativo!C299&gt;=EDATE(Parametri_v3!$C$24,Ipotesi!G14*12),Motore_Operativo!C299&lt;EDATE(Parametri_v3!$C$24,Parametri_v3!$C$25+Ipotesi!G14*12)),MAX(0,(IF(55-(INT((Ipotesi!$C$91)/30))&lt;1,0,INDEX(Motore_Operativo!$BO$245:$BO$304,MAX(1,55-(INT((Ipotesi!$C$91)/30)))))*(1-(MOD((Ipotesi!$C$91),30)/30))+IF(55-(INT((Ipotesi!$C$91)/30))-1&lt;1,0,INDEX(Motore_Operativo!$BO$245:$BO$304,MAX(1,55-(INT((Ipotesi!$C$91)/30))-1)))*(MOD((Ipotesi!$C$91),30)/30)))*Piano_SS!$D$10,0))</f>
        <v>30000</v>
      </c>
      <c r="CA299" s="15" t="n">
        <f aca="false">SUM(BV299:BZ299)</f>
        <v>336489.3257063</v>
      </c>
      <c r="CB299" s="15" t="n">
        <f aca="false">BV299*(1-Piano_SS!$E$6)+BW299*(1-Piano_SS!$E$7)+BX299*(1-Piano_SS!$E$8)+BY299*(1-Piano_SS!$E$9)+BZ299*(1-Piano_SS!$E$10)</f>
        <v>306489.3257063</v>
      </c>
      <c r="CC299" s="15" t="n">
        <f aca="false">(CC298)+BA299</f>
        <v>269191.46056504</v>
      </c>
      <c r="CD299" s="15" t="n">
        <f aca="false">IF(CA299=0,0,CC299*CB299/CA299*Ipotesi!$C$103*Parametri_v3!$C$64)</f>
        <v>73557.4381695121</v>
      </c>
      <c r="CE299" s="18" t="n">
        <f aca="false">IF(BA299&gt;0,Motore_Operativo!C299,(CE298))</f>
        <v>47635</v>
      </c>
      <c r="CF299" s="18" t="n">
        <f aca="false">IF(AND(CC299&gt;0,OR(CC299&gt;=CG299-0.01,Motore_Operativo!C299&gt;=EDATE(MAX(Finanziamenti!$D$15:$D$17),Ipotesi!G14*12))),CE299,0)</f>
        <v>47635</v>
      </c>
      <c r="CG299" s="15" t="n">
        <f aca="false">IF(AND(5&lt;&gt;6,5&lt;&gt;9,Finanziamenti!$F$11=1,OR(Parametri_v3!$C$6=0,Finanziamenti!$E$11=1)),MIN(Finanziamenti!$C$11,Piano_SS!$C$12*Ipotesi!$C$102),0)</f>
        <v>400000</v>
      </c>
      <c r="CH299" s="15" t="n">
        <f aca="false">IF(AND(AND(5&lt;&gt;8,5&lt;&gt;9,Finanziamenti!$F$10=1,OR(Parametri_v3!$C$6=0,Finanziamenti!$E$10=1)),Motore_Operativo!C299&gt;=Finanziamenti!$D$10,Motore_Operativo!C299&lt;Parametri_v3!$C$63),Finanziamenti!$C$10,0)</f>
        <v>150000</v>
      </c>
    </row>
    <row r="300" customFormat="false" ht="18" hidden="false" customHeight="true" outlineLevel="0" collapsed="false">
      <c r="A300" s="68" t="n">
        <f aca="false">5</f>
        <v>5</v>
      </c>
      <c r="B300" s="68" t="n">
        <f aca="false">56</f>
        <v>56</v>
      </c>
      <c r="C300" s="18" t="n">
        <f aca="false">Motore_Operativo!C300</f>
        <v>48061</v>
      </c>
      <c r="D300" s="68" t="n">
        <f aca="false">Motore_Operativo!D300</f>
        <v>2031</v>
      </c>
      <c r="E300" s="68" t="n">
        <f aca="false">Motore_Operativo!E300</f>
        <v>8</v>
      </c>
      <c r="F300" s="15" t="n">
        <f aca="false">Motore_Operativo!AQ300+Motore_Operativo!BF300</f>
        <v>61423.0563626485</v>
      </c>
      <c r="G300" s="15" t="n">
        <f aca="false">Motore_Operativo!BH300</f>
        <v>5739.9375</v>
      </c>
      <c r="H300" s="15" t="n">
        <f aca="false">Motore_Operativo!BI300</f>
        <v>67162.9938626485</v>
      </c>
      <c r="I300" s="15" t="n">
        <f aca="false">Motore_Operativo!CA300</f>
        <v>81627.8697413958</v>
      </c>
      <c r="J300" s="15" t="n">
        <f aca="false">Motore_Operativo!CC300</f>
        <v>-14464.8758787473</v>
      </c>
      <c r="K300" s="15" t="n">
        <f aca="false">Motore_Operativo!CE300</f>
        <v>4166.66666666667</v>
      </c>
      <c r="L300" s="15" t="n">
        <f aca="false">SUM(INDEX($K$245:$K$304,MAX(1,56-Parametri_v3!$C$59+1)):K300)/Parametri_v3!$C$59</f>
        <v>3101.85185185185</v>
      </c>
      <c r="M300" s="15" t="n">
        <f aca="false">J300-L300</f>
        <v>-17566.7277305991</v>
      </c>
      <c r="N300" s="15" t="n">
        <f aca="false">CD300-(CD299)</f>
        <v>0</v>
      </c>
      <c r="O300" s="15" t="n">
        <f aca="false">(BG299)*Ipotesi!$C$110/12+CH300*Parametri_v3!$C$39/12</f>
        <v>750</v>
      </c>
      <c r="P300" s="15" t="n">
        <f aca="false">M300+N300-O300</f>
        <v>-18316.7277305991</v>
      </c>
      <c r="Q300" s="15" t="n">
        <f aca="false">SUM(P293:P300)+Parametri_v3!$C$54*8/12</f>
        <v>-157674.740106133</v>
      </c>
      <c r="R300" s="15" t="n">
        <f aca="false">Z292</f>
        <v>614541.770829915</v>
      </c>
      <c r="S300" s="15" t="n">
        <f aca="false">AA292</f>
        <v>251613.794782356</v>
      </c>
      <c r="T300" s="15" t="n">
        <f aca="false">MIN(R300,MAX(0,Q300))</f>
        <v>0</v>
      </c>
      <c r="U300" s="15" t="n">
        <f aca="false">MIN(S300,MAX(0,Q300-T300)*Parametri_v3!$C$42)</f>
        <v>0</v>
      </c>
      <c r="V300" s="15" t="n">
        <f aca="false">MAX(0,Q300-T300-U300)*Ipotesi!$C$92</f>
        <v>0</v>
      </c>
      <c r="W300" s="15" t="n">
        <f aca="false">MAX(0,SUM(M293:M300)+Parametri_v3!$C$55*8/12)*Ipotesi!$C$93</f>
        <v>0</v>
      </c>
      <c r="X300" s="15" t="n">
        <f aca="false">V300+W300-(V299+W299)</f>
        <v>0</v>
      </c>
      <c r="Y300" s="15" t="n">
        <f aca="false">P300-X300</f>
        <v>-18316.7277305991</v>
      </c>
      <c r="Z300" s="15" t="n">
        <f aca="false">R300-T300+IF(AND(Parametri_v3!$C$40=1,D300-YEAR(Parametri_v3!$C$50)&lt;Parametri_v3!$C$41),MAX(0,-Q300),0)</f>
        <v>614541.770829915</v>
      </c>
      <c r="AA300" s="15" t="n">
        <f aca="false">S300-U300+IF(AND(Parametri_v3!$C$40=1,D300-YEAR(Parametri_v3!$C$50)&lt;Parametri_v3!$C$41),0,MAX(0,-Q300))</f>
        <v>409288.534888489</v>
      </c>
      <c r="AB300" s="15" t="n">
        <f aca="false">F300*(1+Parametri_v3!$C$26)</f>
        <v>74936.1287624312</v>
      </c>
      <c r="AC300" s="15" t="n">
        <f aca="false">(IF(56-(INT((Motore_Operativo!L300)/30))&lt;1,0,INDEX(Motore_Startup!$AB$245:$AB$304,MAX(1,56-(INT((Motore_Operativo!L300)/30)))))*(1-(MOD((Motore_Operativo!L300),30)/30))+IF(56-(INT((Motore_Operativo!L300)/30))-1&lt;1,0,INDEX(Motore_Startup!$AB$245:$AB$304,MAX(1,56-(INT((Motore_Operativo!L300)/30))-1)))*(MOD((Motore_Operativo!L300),30)/30))</f>
        <v>72248.2590985575</v>
      </c>
      <c r="AD300" s="15" t="n">
        <f aca="false">(AD299)+AB300-AC300</f>
        <v>295742.209423545</v>
      </c>
      <c r="AE300" s="15" t="n">
        <f aca="false">Motore_Operativo!BH300*(1+Parametri_v3!$C$26)</f>
        <v>7002.72375</v>
      </c>
      <c r="AF300" s="15" t="n">
        <f aca="false">(IF(56-(INT((Parametri_v3!$C$29)/30))&lt;1,0,INDEX(Motore_Operativo!$BH$245:$BH$304,MAX(1,56-(INT((Parametri_v3!$C$29)/30)))))*(1-(MOD((Parametri_v3!$C$29),30)/30))+IF(56-(INT((Parametri_v3!$C$29)/30))-1&lt;1,0,INDEX(Motore_Operativo!$BH$245:$BH$304,MAX(1,56-(INT((Parametri_v3!$C$29)/30))-1)))*(MOD((Parametri_v3!$C$29),30)/30))*(1+Parametri_v3!$C$26)</f>
        <v>7002.72375</v>
      </c>
      <c r="AG300" s="15" t="n">
        <f aca="false">(AG299)+AE300-AF300</f>
        <v>7002.72375000001</v>
      </c>
      <c r="AH300" s="15" t="n">
        <f aca="false">(Motore_Operativo!CJ300)*(1+Parametri_v3!$C$27*Parametri_v3!$C$26)</f>
        <v>34094.6770057199</v>
      </c>
      <c r="AI300" s="15" t="n">
        <f aca="false">(IF(56-(INT((Ipotesi!$C$91)/30))&lt;1,0,INDEX(Motore_Startup!$AH$245:$AH$304,MAX(1,56-(INT((Ipotesi!$C$91)/30)))))*(1-(MOD((Ipotesi!$C$91),30)/30))+IF(56-(INT((Ipotesi!$C$91)/30))-1&lt;1,0,INDEX(Motore_Startup!$AH$245:$AH$304,MAX(1,56-(INT((Ipotesi!$C$91)/30))-1)))*(MOD((Ipotesi!$C$91),30)/30))</f>
        <v>33913.222703206</v>
      </c>
      <c r="AJ300" s="15" t="n">
        <f aca="false">(AJ299)+AH300-AI300</f>
        <v>68099.0251517676</v>
      </c>
      <c r="AK300" s="15" t="n">
        <f aca="false">(F300+ Motore_Operativo!BH300-(Motore_Operativo!CJ300)*Parametri_v3!$C$27-Motore_Operativo!CE300)*Parametri_v3!$C$26</f>
        <v>8487.91599316687</v>
      </c>
      <c r="AL300" s="15" t="n">
        <f aca="false">MAX(0,(AM299))</f>
        <v>8382.56312530261</v>
      </c>
      <c r="AM300" s="15" t="n">
        <f aca="false">(AM299)+AK300-AL300</f>
        <v>8487.91599316687</v>
      </c>
      <c r="AN300" s="15" t="n">
        <f aca="false">SUM(X281:X292)</f>
        <v>0</v>
      </c>
      <c r="AO300" s="15" t="n">
        <f aca="false">SUM(AP281:AP292)</f>
        <v>0</v>
      </c>
      <c r="AP300" s="15" t="n">
        <f aca="false">MAX(0,AN300)*IF(8=Parametri_v3!$C$43,Parametri_v3!$C$45,IF(8=Parametri_v3!$C$44,1-Parametri_v3!$C$45,0))</f>
        <v>0</v>
      </c>
      <c r="AQ300" s="15" t="n">
        <f aca="false">MAX(0,AP300+IF(8=Parametri_v3!$C$43,MAX(0,AN300-AO300),0)-MAX(0,-(AR299)))</f>
        <v>0</v>
      </c>
      <c r="AR300" s="15" t="n">
        <f aca="false">(AR299)+X300-AQ300</f>
        <v>0</v>
      </c>
      <c r="AS300" s="15" t="n">
        <f aca="false">Motore_Operativo!AB300-AT300+AU300</f>
        <v>50259.2452893438</v>
      </c>
      <c r="AT300" s="15" t="n">
        <f aca="false">Motore_Operativo!CH300</f>
        <v>2645.22343628125</v>
      </c>
      <c r="AU300" s="15" t="n">
        <f aca="false">MIN(MAX(0,(AV299)+AT300),Parametri_v3!$C$60/12)</f>
        <v>0</v>
      </c>
      <c r="AV300" s="15" t="n">
        <f aca="false">(AV299)+AT300-AU300</f>
        <v>85773.19844025</v>
      </c>
      <c r="AW300" s="15" t="n">
        <f aca="false">IF(AND(Motore_Operativo!C300=Finanziamenti!$D$6,Finanziamenti!$F$6=1),Finanziamenti!$C$6,0)</f>
        <v>0</v>
      </c>
      <c r="AX300" s="15" t="n">
        <f aca="false">IF(AND(5&lt;&gt;7,5&lt;&gt;9,Finanziamenti!$F$8=1,OR(Parametri_v3!$C$6=0,Finanziamenti!$E$8=1),Motore_Operativo!C300=EDATE(Finanziamenti!$D$8,Ipotesi!G15*12)),Finanziamenti!$C$8*1,0)+IF(AND(5&lt;&gt;7,5&lt;&gt;9,Finanziamenti!$F$9=1,OR(Parametri_v3!$C$6=0,Finanziamenti!$E$9=1),Motore_Operativo!C300=EDATE(Finanziamenti!$D$9,Ipotesi!G15*12)),Finanziamenti!$C$9*Ipotesi!G16,0)</f>
        <v>0</v>
      </c>
      <c r="AY300" s="15" t="n">
        <f aca="false">0</f>
        <v>0</v>
      </c>
      <c r="AZ300" s="15" t="n">
        <f aca="false">Motore_Advisory!AY300*(1-Ipotesi!$C$95)*Ipotesi!$C$96</f>
        <v>0</v>
      </c>
      <c r="BA300" s="15" t="n">
        <f aca="false">MAX(0,MIN(CG300*MIN(1,IF(Motore_Operativo!C300&gt;=EDATE(Finanziamenti!$D$15,Ipotesi!G14*12),Finanziamenti!$C$15,0)+IF(Motore_Operativo!C300&gt;=EDATE(Finanziamenti!$D$16,Ipotesi!G14*12),Finanziamenti!$C$16,0)+IF(Motore_Operativo!C300&gt;=EDATE(Finanziamenti!$D$17,Ipotesi!G14*12),Finanziamenti!$C$17,0)),CA300*Ipotesi!$C$102)-(CC299))</f>
        <v>0</v>
      </c>
      <c r="BB300" s="15" t="n">
        <f aca="false">IF(AND(CF300&gt;0,Motore_Operativo!C300&gt;=IF(CF300=0,0,EDATE(CF300,Parametri_v3!$C$37)),MOD(((D300-YEAR(IF(CF300=0,0,EDATE(CF300,Parametri_v3!$C$37))))*12+E300-MONTH(IF(CF300=0,0,EDATE(CF300,Parametri_v3!$C$37)))),Parametri_v3!$C$38)=0),MIN(MAX(0,(BC299)+BA300-N300),(CC300-CD300)/(Ipotesi!$C$108*12/Parametri_v3!$C$38)),0)</f>
        <v>0</v>
      </c>
      <c r="BC300" s="15" t="n">
        <f aca="false">(BC299)+BA300-N300-BB300</f>
        <v>185852.321275752</v>
      </c>
      <c r="BD300" s="15" t="n">
        <f aca="false">(BH299)+AC300+AF300-AI300-AS300-K300*(1+Parametri_v3!$C$26)-AL300-AQ300-O300+AW300+AX300+AZ300+BA300-BB300</f>
        <v>-459682.222475458</v>
      </c>
      <c r="BE300" s="15" t="n">
        <f aca="false">MAX(0,MIN(MAX(0,CH300-(BG299)),Parametri_v3!$C$30-BD300))</f>
        <v>0</v>
      </c>
      <c r="BF300" s="15" t="n">
        <f aca="false">IF(Motore_Operativo!C300&gt;=Parametri_v3!$C$63,(BG299),MIN((BG299),MAX(0,BD300-Parametri_v3!$C$30)))</f>
        <v>0</v>
      </c>
      <c r="BG300" s="15" t="n">
        <f aca="false">(BG299)+BE300-BF300</f>
        <v>150000</v>
      </c>
      <c r="BH300" s="15" t="n">
        <f aca="false">BD300+BE300-BF300-AY300</f>
        <v>-459682.222475458</v>
      </c>
      <c r="BI300" s="15" t="n">
        <f aca="false">MAX(0,Parametri_v3!$C$30-BH300)</f>
        <v>484682.222475458</v>
      </c>
      <c r="BJ300" s="15" t="n">
        <f aca="false">(BJ299)+K300</f>
        <v>148333.333333333</v>
      </c>
      <c r="BK300" s="15" t="n">
        <f aca="false">(BK299)+L300</f>
        <v>87013.8888888889</v>
      </c>
      <c r="BL300" s="15" t="n">
        <f aca="false">BJ300-BK300</f>
        <v>61319.4444444444</v>
      </c>
      <c r="BM300" s="15" t="n">
        <f aca="false">(BM299)+Y300</f>
        <v>-1023830.3057184</v>
      </c>
      <c r="BN300" s="15" t="n">
        <f aca="false">(BN299)+AW300+AX300+AZ300</f>
        <v>430000</v>
      </c>
      <c r="BO300" s="15" t="n">
        <f aca="false">(BO299)+AY300</f>
        <v>0</v>
      </c>
      <c r="BP300" s="15" t="n">
        <f aca="false">0</f>
        <v>0</v>
      </c>
      <c r="BQ300" s="15" t="n">
        <f aca="false">BN300+BM300-BO300</f>
        <v>-593830.305718404</v>
      </c>
      <c r="BR300" s="15" t="n">
        <f aca="false">BH300+AD300+BL300+MAX(0,-AM300)+MAX(0,-AR300)+AG300</f>
        <v>-95617.8448574682</v>
      </c>
      <c r="BS300" s="15" t="n">
        <f aca="false">AJ300+AV300+MAX(0,AM300)+MAX(0,AR300)+BC300+BG300+BQ300</f>
        <v>-95617.8448574682</v>
      </c>
      <c r="BT300" s="15" t="n">
        <f aca="false">BR300-BS300</f>
        <v>0</v>
      </c>
      <c r="BU300" s="15" t="n">
        <f aca="false">BH300-(BD300+BE300-BF300-AY300)</f>
        <v>0</v>
      </c>
      <c r="BV300" s="15" t="n">
        <f aca="false">MIN(Piano_SS!$C$6,(BV299)+IF(AND(Motore_Operativo!C300&gt;=EDATE(Parametri_v3!$C$24,Ipotesi!G14*12),Motore_Operativo!C300&lt;EDATE(Parametri_v3!$C$24,Parametri_v3!$C$25+Ipotesi!G14*12)),MAX(0,(Motore_Operativo!Y300+Motore_Operativo!X300*Parametri_v3!$C$14)*(1-Parametri_v3!$C$32))*Piano_SS!$D$6,0))</f>
        <v>190877.54836875</v>
      </c>
      <c r="BW300" s="15" t="n">
        <f aca="false">MIN(Piano_SS!$C$7,(BW299)+IF(AND(Motore_Operativo!C300&gt;=EDATE(Parametri_v3!$C$24,Ipotesi!G14*12),Motore_Operativo!C300&lt;EDATE(Parametri_v3!$C$24,Parametri_v3!$C$25+Ipotesi!G14*12)),MAX(0,(IF(56-(INT((Ipotesi!$C$91)/30))&lt;1,0,INDEX(Motore_Operativo!$BN$245:$BN$304,MAX(1,56-(INT((Ipotesi!$C$91)/30)))))*(1-(MOD((Ipotesi!$C$91),30)/30))+IF(56-(INT((Ipotesi!$C$91)/30))-1&lt;1,0,INDEX(Motore_Operativo!$BN$245:$BN$304,MAX(1,56-(INT((Ipotesi!$C$91)/30))-1)))*(MOD((Ipotesi!$C$91),30)/30)))*Piano_SS!$D$7,0))</f>
        <v>25611.7773375503</v>
      </c>
      <c r="BX300" s="15" t="n">
        <f aca="false">MIN(Piano_SS!$C$8,(BX299)+IF(AND(Motore_Operativo!C300&gt;=EDATE(Parametri_v3!$C$24,Ipotesi!G14*12),Motore_Operativo!C300&lt;EDATE(Parametri_v3!$C$24,Parametri_v3!$C$25+Ipotesi!G14*12)),MAX(0,Motore_Operativo!CE300)*Piano_SS!$D$8,0))</f>
        <v>50000</v>
      </c>
      <c r="BY300" s="15" t="n">
        <f aca="false">MIN(Piano_SS!$C$9,(BY299)+IF(AND(Motore_Operativo!C300&gt;=EDATE(Parametri_v3!$C$24,Ipotesi!G14*12),Motore_Operativo!C300&lt;EDATE(Parametri_v3!$C$24,Parametri_v3!$C$25+Ipotesi!G14*12)),MAX(0,((IF(56-(INT((Ipotesi!$C$91)/30))&lt;1,0,INDEX(Motore_Operativo!$BQ$245:$BQ$304,MAX(1,56-(INT((Ipotesi!$C$91)/30)))))*(1-(MOD((Ipotesi!$C$91),30)/30))+IF(56-(INT((Ipotesi!$C$91)/30))-1&lt;1,0,INDEX(Motore_Operativo!$BQ$245:$BQ$304,MAX(1,56-(INT((Ipotesi!$C$91)/30))-1)))*(MOD((Ipotesi!$C$91),30)/30))+(IF(56-(INT((Ipotesi!$C$91)/30))&lt;1,0,INDEX(Motore_Operativo!$BR$245:$BR$304,MAX(1,56-(INT((Ipotesi!$C$91)/30)))))*(1-(MOD((Ipotesi!$C$91),30)/30))+IF(56-(INT((Ipotesi!$C$91)/30))-1&lt;1,0,INDEX(Motore_Operativo!$BR$245:$BR$304,MAX(1,56-(INT((Ipotesi!$C$91)/30))-1)))*(MOD((Ipotesi!$C$91),30)/30))))*Piano_SS!$D$9,0))</f>
        <v>40000</v>
      </c>
      <c r="BZ300" s="15" t="n">
        <f aca="false">MIN(Piano_SS!$C$10,(BZ299)+IF(AND(Motore_Operativo!C300&gt;=EDATE(Parametri_v3!$C$24,Ipotesi!G14*12),Motore_Operativo!C300&lt;EDATE(Parametri_v3!$C$24,Parametri_v3!$C$25+Ipotesi!G14*12)),MAX(0,(IF(56-(INT((Ipotesi!$C$91)/30))&lt;1,0,INDEX(Motore_Operativo!$BO$245:$BO$304,MAX(1,56-(INT((Ipotesi!$C$91)/30)))))*(1-(MOD((Ipotesi!$C$91),30)/30))+IF(56-(INT((Ipotesi!$C$91)/30))-1&lt;1,0,INDEX(Motore_Operativo!$BO$245:$BO$304,MAX(1,56-(INT((Ipotesi!$C$91)/30))-1)))*(MOD((Ipotesi!$C$91),30)/30)))*Piano_SS!$D$10,0))</f>
        <v>30000</v>
      </c>
      <c r="CA300" s="15" t="n">
        <f aca="false">SUM(BV300:BZ300)</f>
        <v>336489.3257063</v>
      </c>
      <c r="CB300" s="15" t="n">
        <f aca="false">BV300*(1-Piano_SS!$E$6)+BW300*(1-Piano_SS!$E$7)+BX300*(1-Piano_SS!$E$8)+BY300*(1-Piano_SS!$E$9)+BZ300*(1-Piano_SS!$E$10)</f>
        <v>306489.3257063</v>
      </c>
      <c r="CC300" s="15" t="n">
        <f aca="false">(CC299)+BA300</f>
        <v>269191.46056504</v>
      </c>
      <c r="CD300" s="15" t="n">
        <f aca="false">IF(CA300=0,0,CC300*CB300/CA300*Ipotesi!$C$103*Parametri_v3!$C$64)</f>
        <v>73557.4381695121</v>
      </c>
      <c r="CE300" s="18" t="n">
        <f aca="false">IF(BA300&gt;0,Motore_Operativo!C300,(CE299))</f>
        <v>47635</v>
      </c>
      <c r="CF300" s="18" t="n">
        <f aca="false">IF(AND(CC300&gt;0,OR(CC300&gt;=CG300-0.01,Motore_Operativo!C300&gt;=EDATE(MAX(Finanziamenti!$D$15:$D$17),Ipotesi!G14*12))),CE300,0)</f>
        <v>47635</v>
      </c>
      <c r="CG300" s="15" t="n">
        <f aca="false">IF(AND(5&lt;&gt;6,5&lt;&gt;9,Finanziamenti!$F$11=1,OR(Parametri_v3!$C$6=0,Finanziamenti!$E$11=1)),MIN(Finanziamenti!$C$11,Piano_SS!$C$12*Ipotesi!$C$102),0)</f>
        <v>400000</v>
      </c>
      <c r="CH300" s="15" t="n">
        <f aca="false">IF(AND(AND(5&lt;&gt;8,5&lt;&gt;9,Finanziamenti!$F$10=1,OR(Parametri_v3!$C$6=0,Finanziamenti!$E$10=1)),Motore_Operativo!C300&gt;=Finanziamenti!$D$10,Motore_Operativo!C300&lt;Parametri_v3!$C$63),Finanziamenti!$C$10,0)</f>
        <v>150000</v>
      </c>
    </row>
    <row r="301" customFormat="false" ht="18" hidden="false" customHeight="true" outlineLevel="0" collapsed="false">
      <c r="A301" s="68" t="n">
        <f aca="false">5</f>
        <v>5</v>
      </c>
      <c r="B301" s="68" t="n">
        <f aca="false">57</f>
        <v>57</v>
      </c>
      <c r="C301" s="18" t="n">
        <f aca="false">Motore_Operativo!C301</f>
        <v>48092</v>
      </c>
      <c r="D301" s="68" t="n">
        <f aca="false">Motore_Operativo!D301</f>
        <v>2031</v>
      </c>
      <c r="E301" s="68" t="n">
        <f aca="false">Motore_Operativo!E301</f>
        <v>9</v>
      </c>
      <c r="F301" s="15" t="n">
        <f aca="false">Motore_Operativo!AQ301+Motore_Operativo!BF301</f>
        <v>61961.8651237693</v>
      </c>
      <c r="G301" s="15" t="n">
        <f aca="false">Motore_Operativo!BH301</f>
        <v>5739.9375</v>
      </c>
      <c r="H301" s="15" t="n">
        <f aca="false">Motore_Operativo!BI301</f>
        <v>67701.8026237693</v>
      </c>
      <c r="I301" s="15" t="n">
        <f aca="false">Motore_Operativo!CA301</f>
        <v>81703.3029679527</v>
      </c>
      <c r="J301" s="15" t="n">
        <f aca="false">Motore_Operativo!CC301</f>
        <v>-14001.5003441834</v>
      </c>
      <c r="K301" s="15" t="n">
        <f aca="false">Motore_Operativo!CE301</f>
        <v>4166.66666666667</v>
      </c>
      <c r="L301" s="15" t="n">
        <f aca="false">SUM(INDEX($K$245:$K$304,MAX(1,57-Parametri_v3!$C$59+1)):K301)/Parametri_v3!$C$59</f>
        <v>3159.72222222222</v>
      </c>
      <c r="M301" s="15" t="n">
        <f aca="false">J301-L301</f>
        <v>-17161.2225664057</v>
      </c>
      <c r="N301" s="15" t="n">
        <f aca="false">CD301-(CD300)</f>
        <v>0</v>
      </c>
      <c r="O301" s="15" t="n">
        <f aca="false">(BG300)*Ipotesi!$C$110/12+CH301*Parametri_v3!$C$39/12</f>
        <v>750</v>
      </c>
      <c r="P301" s="15" t="n">
        <f aca="false">M301+N301-O301</f>
        <v>-17911.2225664057</v>
      </c>
      <c r="Q301" s="15" t="n">
        <f aca="false">SUM(P293:P301)+Parametri_v3!$C$54*9/12</f>
        <v>-175585.962672538</v>
      </c>
      <c r="R301" s="15" t="n">
        <f aca="false">Z292</f>
        <v>614541.770829915</v>
      </c>
      <c r="S301" s="15" t="n">
        <f aca="false">AA292</f>
        <v>251613.794782356</v>
      </c>
      <c r="T301" s="15" t="n">
        <f aca="false">MIN(R301,MAX(0,Q301))</f>
        <v>0</v>
      </c>
      <c r="U301" s="15" t="n">
        <f aca="false">MIN(S301,MAX(0,Q301-T301)*Parametri_v3!$C$42)</f>
        <v>0</v>
      </c>
      <c r="V301" s="15" t="n">
        <f aca="false">MAX(0,Q301-T301-U301)*Ipotesi!$C$92</f>
        <v>0</v>
      </c>
      <c r="W301" s="15" t="n">
        <f aca="false">MAX(0,SUM(M293:M301)+Parametri_v3!$C$55*9/12)*Ipotesi!$C$93</f>
        <v>0</v>
      </c>
      <c r="X301" s="15" t="n">
        <f aca="false">V301+W301-(V300+W300)</f>
        <v>0</v>
      </c>
      <c r="Y301" s="15" t="n">
        <f aca="false">P301-X301</f>
        <v>-17911.2225664057</v>
      </c>
      <c r="Z301" s="15" t="n">
        <f aca="false">R301-T301+IF(AND(Parametri_v3!$C$40=1,D301-YEAR(Parametri_v3!$C$50)&lt;Parametri_v3!$C$41),MAX(0,-Q301),0)</f>
        <v>614541.770829915</v>
      </c>
      <c r="AA301" s="15" t="n">
        <f aca="false">S301-U301+IF(AND(Parametri_v3!$C$40=1,D301-YEAR(Parametri_v3!$C$50)&lt;Parametri_v3!$C$41),0,MAX(0,-Q301))</f>
        <v>427199.757454895</v>
      </c>
      <c r="AB301" s="15" t="n">
        <f aca="false">F301*(1+Parametri_v3!$C$26)</f>
        <v>75593.4754509985</v>
      </c>
      <c r="AC301" s="15" t="n">
        <f aca="false">(IF(57-(INT((Motore_Operativo!L301)/30))&lt;1,0,INDEX(Motore_Startup!$AB$245:$AB$304,MAX(1,57-(INT((Motore_Operativo!L301)/30)))))*(1-(MOD((Motore_Operativo!L301),30)/30))+IF(57-(INT((Motore_Operativo!L301)/30))-1&lt;1,0,INDEX(Motore_Startup!$AB$245:$AB$304,MAX(1,57-(INT((Motore_Operativo!L301)/30))-1)))*(MOD((Motore_Operativo!L301),30)/30))</f>
        <v>72929.1020980233</v>
      </c>
      <c r="AD301" s="15" t="n">
        <f aca="false">(AD300)+AB301-AC301</f>
        <v>298406.58277652</v>
      </c>
      <c r="AE301" s="15" t="n">
        <f aca="false">Motore_Operativo!BH301*(1+Parametri_v3!$C$26)</f>
        <v>7002.72375</v>
      </c>
      <c r="AF301" s="15" t="n">
        <f aca="false">(IF(57-(INT((Parametri_v3!$C$29)/30))&lt;1,0,INDEX(Motore_Operativo!$BH$245:$BH$304,MAX(1,57-(INT((Parametri_v3!$C$29)/30)))))*(1-(MOD((Parametri_v3!$C$29),30)/30))+IF(57-(INT((Parametri_v3!$C$29)/30))-1&lt;1,0,INDEX(Motore_Operativo!$BH$245:$BH$304,MAX(1,57-(INT((Parametri_v3!$C$29)/30))-1)))*(MOD((Parametri_v3!$C$29),30)/30))*(1+Parametri_v3!$C$26)</f>
        <v>7002.72375</v>
      </c>
      <c r="AG301" s="15" t="n">
        <f aca="false">(AG300)+AE301-AF301</f>
        <v>7002.72375000001</v>
      </c>
      <c r="AH301" s="15" t="n">
        <f aca="false">(Motore_Operativo!CJ301)*(1+Parametri_v3!$C$27*Parametri_v3!$C$26)</f>
        <v>34184.216245643</v>
      </c>
      <c r="AI301" s="15" t="n">
        <f aca="false">(IF(57-(INT((Ipotesi!$C$91)/30))&lt;1,0,INDEX(Motore_Startup!$AH$245:$AH$304,MAX(1,57-(INT((Ipotesi!$C$91)/30)))))*(1-(MOD((Ipotesi!$C$91),30)/30))+IF(57-(INT((Ipotesi!$C$91)/30))-1&lt;1,0,INDEX(Motore_Startup!$AH$245:$AH$304,MAX(1,57-(INT((Ipotesi!$C$91)/30))-1)))*(MOD((Ipotesi!$C$91),30)/30))</f>
        <v>34004.3481460477</v>
      </c>
      <c r="AJ301" s="15" t="n">
        <f aca="false">(AJ300)+AH301-AI301</f>
        <v>68278.8932513629</v>
      </c>
      <c r="AK301" s="15" t="n">
        <f aca="false">(F301+ Motore_Operativo!BH301-(Motore_Operativo!CJ301)*Parametri_v3!$C$27-Motore_Operativo!CE301)*Parametri_v3!$C$26</f>
        <v>8592.3479072473</v>
      </c>
      <c r="AL301" s="15" t="n">
        <f aca="false">MAX(0,(AM300))</f>
        <v>8487.91599316687</v>
      </c>
      <c r="AM301" s="15" t="n">
        <f aca="false">(AM300)+AK301-AL301</f>
        <v>8592.3479072473</v>
      </c>
      <c r="AN301" s="15" t="n">
        <f aca="false">SUM(X281:X292)</f>
        <v>0</v>
      </c>
      <c r="AO301" s="15" t="n">
        <f aca="false">SUM(AP281:AP292)</f>
        <v>0</v>
      </c>
      <c r="AP301" s="15" t="n">
        <f aca="false">MAX(0,AN301)*IF(9=Parametri_v3!$C$43,Parametri_v3!$C$45,IF(9=Parametri_v3!$C$44,1-Parametri_v3!$C$45,0))</f>
        <v>0</v>
      </c>
      <c r="AQ301" s="15" t="n">
        <f aca="false">MAX(0,AP301+IF(9=Parametri_v3!$C$43,MAX(0,AN301-AO301),0)-MAX(0,-(AR300)))</f>
        <v>0</v>
      </c>
      <c r="AR301" s="15" t="n">
        <f aca="false">(AR300)+X301-AQ301</f>
        <v>0</v>
      </c>
      <c r="AS301" s="15" t="n">
        <f aca="false">Motore_Operativo!AB301-AT301+AU301</f>
        <v>50259.2452893438</v>
      </c>
      <c r="AT301" s="15" t="n">
        <f aca="false">Motore_Operativo!CH301</f>
        <v>2645.22343628125</v>
      </c>
      <c r="AU301" s="15" t="n">
        <f aca="false">MIN(MAX(0,(AV300)+AT301),Parametri_v3!$C$60/12)</f>
        <v>0</v>
      </c>
      <c r="AV301" s="15" t="n">
        <f aca="false">(AV300)+AT301-AU301</f>
        <v>88418.4218765312</v>
      </c>
      <c r="AW301" s="15" t="n">
        <f aca="false">IF(AND(Motore_Operativo!C301=Finanziamenti!$D$6,Finanziamenti!$F$6=1),Finanziamenti!$C$6,0)</f>
        <v>0</v>
      </c>
      <c r="AX301" s="15" t="n">
        <f aca="false">IF(AND(5&lt;&gt;7,5&lt;&gt;9,Finanziamenti!$F$8=1,OR(Parametri_v3!$C$6=0,Finanziamenti!$E$8=1),Motore_Operativo!C301=EDATE(Finanziamenti!$D$8,Ipotesi!G15*12)),Finanziamenti!$C$8*1,0)+IF(AND(5&lt;&gt;7,5&lt;&gt;9,Finanziamenti!$F$9=1,OR(Parametri_v3!$C$6=0,Finanziamenti!$E$9=1),Motore_Operativo!C301=EDATE(Finanziamenti!$D$9,Ipotesi!G15*12)),Finanziamenti!$C$9*Ipotesi!G16,0)</f>
        <v>0</v>
      </c>
      <c r="AY301" s="15" t="n">
        <f aca="false">0</f>
        <v>0</v>
      </c>
      <c r="AZ301" s="15" t="n">
        <f aca="false">Motore_Advisory!AY301*(1-Ipotesi!$C$95)*Ipotesi!$C$96</f>
        <v>0</v>
      </c>
      <c r="BA301" s="15" t="n">
        <f aca="false">MAX(0,MIN(CG301*MIN(1,IF(Motore_Operativo!C301&gt;=EDATE(Finanziamenti!$D$15,Ipotesi!G14*12),Finanziamenti!$C$15,0)+IF(Motore_Operativo!C301&gt;=EDATE(Finanziamenti!$D$16,Ipotesi!G14*12),Finanziamenti!$C$16,0)+IF(Motore_Operativo!C301&gt;=EDATE(Finanziamenti!$D$17,Ipotesi!G14*12),Finanziamenti!$C$17,0)),CA301*Ipotesi!$C$102)-(CC300))</f>
        <v>0</v>
      </c>
      <c r="BB301" s="15" t="n">
        <f aca="false">IF(AND(CF301&gt;0,Motore_Operativo!C301&gt;=IF(CF301=0,0,EDATE(CF301,Parametri_v3!$C$37)),MOD(((D301-YEAR(IF(CF301=0,0,EDATE(CF301,Parametri_v3!$C$37))))*12+E301-MONTH(IF(CF301=0,0,EDATE(CF301,Parametri_v3!$C$37)))),Parametri_v3!$C$38)=0),MIN(MAX(0,(BC300)+BA301-N301),(CC301-CD301)/(Ipotesi!$C$108*12/Parametri_v3!$C$38)),0)</f>
        <v>0</v>
      </c>
      <c r="BC301" s="15" t="n">
        <f aca="false">(BC300)+BA301-N301-BB301</f>
        <v>185852.321275752</v>
      </c>
      <c r="BD301" s="15" t="n">
        <f aca="false">(BH300)+AC301+AF301-AI301-AS301-K301*(1+Parametri_v3!$C$26)-AL301-AQ301-O301+AW301+AX301+AZ301+BA301-BB301</f>
        <v>-478335.239389326</v>
      </c>
      <c r="BE301" s="15" t="n">
        <f aca="false">MAX(0,MIN(MAX(0,CH301-(BG300)),Parametri_v3!$C$30-BD301))</f>
        <v>0</v>
      </c>
      <c r="BF301" s="15" t="n">
        <f aca="false">IF(Motore_Operativo!C301&gt;=Parametri_v3!$C$63,(BG300),MIN((BG300),MAX(0,BD301-Parametri_v3!$C$30)))</f>
        <v>0</v>
      </c>
      <c r="BG301" s="15" t="n">
        <f aca="false">(BG300)+BE301-BF301</f>
        <v>150000</v>
      </c>
      <c r="BH301" s="15" t="n">
        <f aca="false">BD301+BE301-BF301-AY301</f>
        <v>-478335.239389326</v>
      </c>
      <c r="BI301" s="15" t="n">
        <f aca="false">MAX(0,Parametri_v3!$C$30-BH301)</f>
        <v>503335.239389326</v>
      </c>
      <c r="BJ301" s="15" t="n">
        <f aca="false">(BJ300)+K301</f>
        <v>152500</v>
      </c>
      <c r="BK301" s="15" t="n">
        <f aca="false">(BK300)+L301</f>
        <v>90173.6111111111</v>
      </c>
      <c r="BL301" s="15" t="n">
        <f aca="false">BJ301-BK301</f>
        <v>62326.3888888888</v>
      </c>
      <c r="BM301" s="15" t="n">
        <f aca="false">(BM300)+Y301</f>
        <v>-1041741.52828481</v>
      </c>
      <c r="BN301" s="15" t="n">
        <f aca="false">(BN300)+AW301+AX301+AZ301</f>
        <v>430000</v>
      </c>
      <c r="BO301" s="15" t="n">
        <f aca="false">(BO300)+AY301</f>
        <v>0</v>
      </c>
      <c r="BP301" s="15" t="n">
        <f aca="false">0</f>
        <v>0</v>
      </c>
      <c r="BQ301" s="15" t="n">
        <f aca="false">BN301+BM301-BO301</f>
        <v>-611741.52828481</v>
      </c>
      <c r="BR301" s="15" t="n">
        <f aca="false">BH301+AD301+BL301+MAX(0,-AM301)+MAX(0,-AR301)+AG301</f>
        <v>-110599.543973917</v>
      </c>
      <c r="BS301" s="15" t="n">
        <f aca="false">AJ301+AV301+MAX(0,AM301)+MAX(0,AR301)+BC301+BG301+BQ301</f>
        <v>-110599.543973917</v>
      </c>
      <c r="BT301" s="15" t="n">
        <f aca="false">BR301-BS301</f>
        <v>0</v>
      </c>
      <c r="BU301" s="15" t="n">
        <f aca="false">BH301-(BD301+BE301-BF301-AY301)</f>
        <v>0</v>
      </c>
      <c r="BV301" s="15" t="n">
        <f aca="false">MIN(Piano_SS!$C$6,(BV300)+IF(AND(Motore_Operativo!C301&gt;=EDATE(Parametri_v3!$C$24,Ipotesi!G14*12),Motore_Operativo!C301&lt;EDATE(Parametri_v3!$C$24,Parametri_v3!$C$25+Ipotesi!G14*12)),MAX(0,(Motore_Operativo!Y301+Motore_Operativo!X301*Parametri_v3!$C$14)*(1-Parametri_v3!$C$32))*Piano_SS!$D$6,0))</f>
        <v>190877.54836875</v>
      </c>
      <c r="BW301" s="15" t="n">
        <f aca="false">MIN(Piano_SS!$C$7,(BW300)+IF(AND(Motore_Operativo!C301&gt;=EDATE(Parametri_v3!$C$24,Ipotesi!G14*12),Motore_Operativo!C301&lt;EDATE(Parametri_v3!$C$24,Parametri_v3!$C$25+Ipotesi!G14*12)),MAX(0,(IF(57-(INT((Ipotesi!$C$91)/30))&lt;1,0,INDEX(Motore_Operativo!$BN$245:$BN$304,MAX(1,57-(INT((Ipotesi!$C$91)/30)))))*(1-(MOD((Ipotesi!$C$91),30)/30))+IF(57-(INT((Ipotesi!$C$91)/30))-1&lt;1,0,INDEX(Motore_Operativo!$BN$245:$BN$304,MAX(1,57-(INT((Ipotesi!$C$91)/30))-1)))*(MOD((Ipotesi!$C$91),30)/30)))*Piano_SS!$D$7,0))</f>
        <v>25611.7773375503</v>
      </c>
      <c r="BX301" s="15" t="n">
        <f aca="false">MIN(Piano_SS!$C$8,(BX300)+IF(AND(Motore_Operativo!C301&gt;=EDATE(Parametri_v3!$C$24,Ipotesi!G14*12),Motore_Operativo!C301&lt;EDATE(Parametri_v3!$C$24,Parametri_v3!$C$25+Ipotesi!G14*12)),MAX(0,Motore_Operativo!CE301)*Piano_SS!$D$8,0))</f>
        <v>50000</v>
      </c>
      <c r="BY301" s="15" t="n">
        <f aca="false">MIN(Piano_SS!$C$9,(BY300)+IF(AND(Motore_Operativo!C301&gt;=EDATE(Parametri_v3!$C$24,Ipotesi!G14*12),Motore_Operativo!C301&lt;EDATE(Parametri_v3!$C$24,Parametri_v3!$C$25+Ipotesi!G14*12)),MAX(0,((IF(57-(INT((Ipotesi!$C$91)/30))&lt;1,0,INDEX(Motore_Operativo!$BQ$245:$BQ$304,MAX(1,57-(INT((Ipotesi!$C$91)/30)))))*(1-(MOD((Ipotesi!$C$91),30)/30))+IF(57-(INT((Ipotesi!$C$91)/30))-1&lt;1,0,INDEX(Motore_Operativo!$BQ$245:$BQ$304,MAX(1,57-(INT((Ipotesi!$C$91)/30))-1)))*(MOD((Ipotesi!$C$91),30)/30))+(IF(57-(INT((Ipotesi!$C$91)/30))&lt;1,0,INDEX(Motore_Operativo!$BR$245:$BR$304,MAX(1,57-(INT((Ipotesi!$C$91)/30)))))*(1-(MOD((Ipotesi!$C$91),30)/30))+IF(57-(INT((Ipotesi!$C$91)/30))-1&lt;1,0,INDEX(Motore_Operativo!$BR$245:$BR$304,MAX(1,57-(INT((Ipotesi!$C$91)/30))-1)))*(MOD((Ipotesi!$C$91),30)/30))))*Piano_SS!$D$9,0))</f>
        <v>40000</v>
      </c>
      <c r="BZ301" s="15" t="n">
        <f aca="false">MIN(Piano_SS!$C$10,(BZ300)+IF(AND(Motore_Operativo!C301&gt;=EDATE(Parametri_v3!$C$24,Ipotesi!G14*12),Motore_Operativo!C301&lt;EDATE(Parametri_v3!$C$24,Parametri_v3!$C$25+Ipotesi!G14*12)),MAX(0,(IF(57-(INT((Ipotesi!$C$91)/30))&lt;1,0,INDEX(Motore_Operativo!$BO$245:$BO$304,MAX(1,57-(INT((Ipotesi!$C$91)/30)))))*(1-(MOD((Ipotesi!$C$91),30)/30))+IF(57-(INT((Ipotesi!$C$91)/30))-1&lt;1,0,INDEX(Motore_Operativo!$BO$245:$BO$304,MAX(1,57-(INT((Ipotesi!$C$91)/30))-1)))*(MOD((Ipotesi!$C$91),30)/30)))*Piano_SS!$D$10,0))</f>
        <v>30000</v>
      </c>
      <c r="CA301" s="15" t="n">
        <f aca="false">SUM(BV301:BZ301)</f>
        <v>336489.3257063</v>
      </c>
      <c r="CB301" s="15" t="n">
        <f aca="false">BV301*(1-Piano_SS!$E$6)+BW301*(1-Piano_SS!$E$7)+BX301*(1-Piano_SS!$E$8)+BY301*(1-Piano_SS!$E$9)+BZ301*(1-Piano_SS!$E$10)</f>
        <v>306489.3257063</v>
      </c>
      <c r="CC301" s="15" t="n">
        <f aca="false">(CC300)+BA301</f>
        <v>269191.46056504</v>
      </c>
      <c r="CD301" s="15" t="n">
        <f aca="false">IF(CA301=0,0,CC301*CB301/CA301*Ipotesi!$C$103*Parametri_v3!$C$64)</f>
        <v>73557.4381695121</v>
      </c>
      <c r="CE301" s="18" t="n">
        <f aca="false">IF(BA301&gt;0,Motore_Operativo!C301,(CE300))</f>
        <v>47635</v>
      </c>
      <c r="CF301" s="18" t="n">
        <f aca="false">IF(AND(CC301&gt;0,OR(CC301&gt;=CG301-0.01,Motore_Operativo!C301&gt;=EDATE(MAX(Finanziamenti!$D$15:$D$17),Ipotesi!G14*12))),CE301,0)</f>
        <v>47635</v>
      </c>
      <c r="CG301" s="15" t="n">
        <f aca="false">IF(AND(5&lt;&gt;6,5&lt;&gt;9,Finanziamenti!$F$11=1,OR(Parametri_v3!$C$6=0,Finanziamenti!$E$11=1)),MIN(Finanziamenti!$C$11,Piano_SS!$C$12*Ipotesi!$C$102),0)</f>
        <v>400000</v>
      </c>
      <c r="CH301" s="15" t="n">
        <f aca="false">IF(AND(AND(5&lt;&gt;8,5&lt;&gt;9,Finanziamenti!$F$10=1,OR(Parametri_v3!$C$6=0,Finanziamenti!$E$10=1)),Motore_Operativo!C301&gt;=Finanziamenti!$D$10,Motore_Operativo!C301&lt;Parametri_v3!$C$63),Finanziamenti!$C$10,0)</f>
        <v>150000</v>
      </c>
    </row>
    <row r="302" customFormat="false" ht="18" hidden="false" customHeight="true" outlineLevel="0" collapsed="false">
      <c r="A302" s="68" t="n">
        <f aca="false">5</f>
        <v>5</v>
      </c>
      <c r="B302" s="68" t="n">
        <f aca="false">58</f>
        <v>58</v>
      </c>
      <c r="C302" s="18" t="n">
        <f aca="false">Motore_Operativo!C302</f>
        <v>48122</v>
      </c>
      <c r="D302" s="68" t="n">
        <f aca="false">Motore_Operativo!D302</f>
        <v>2031</v>
      </c>
      <c r="E302" s="68" t="n">
        <f aca="false">Motore_Operativo!E302</f>
        <v>10</v>
      </c>
      <c r="F302" s="15" t="n">
        <f aca="false">Motore_Operativo!AQ302+Motore_Operativo!BF302</f>
        <v>62495.9638283213</v>
      </c>
      <c r="G302" s="15" t="n">
        <f aca="false">Motore_Operativo!BH302</f>
        <v>5739.9375</v>
      </c>
      <c r="H302" s="15" t="n">
        <f aca="false">Motore_Operativo!BI302</f>
        <v>68235.9013283213</v>
      </c>
      <c r="I302" s="15" t="n">
        <f aca="false">Motore_Operativo!CA302</f>
        <v>81778.07678659</v>
      </c>
      <c r="J302" s="15" t="n">
        <f aca="false">Motore_Operativo!CC302</f>
        <v>-13542.1754582687</v>
      </c>
      <c r="K302" s="15" t="n">
        <f aca="false">Motore_Operativo!CE302</f>
        <v>4166.66666666667</v>
      </c>
      <c r="L302" s="15" t="n">
        <f aca="false">SUM(INDEX($K$245:$K$304,MAX(1,58-Parametri_v3!$C$59+1)):K302)/Parametri_v3!$C$59</f>
        <v>3217.59259259259</v>
      </c>
      <c r="M302" s="15" t="n">
        <f aca="false">J302-L302</f>
        <v>-16759.7680508612</v>
      </c>
      <c r="N302" s="15" t="n">
        <f aca="false">CD302-(CD301)</f>
        <v>0</v>
      </c>
      <c r="O302" s="15" t="n">
        <f aca="false">(BG301)*Ipotesi!$C$110/12+CH302*Parametri_v3!$C$39/12</f>
        <v>750</v>
      </c>
      <c r="P302" s="15" t="n">
        <f aca="false">M302+N302-O302</f>
        <v>-17509.7680508612</v>
      </c>
      <c r="Q302" s="15" t="n">
        <f aca="false">SUM(P293:P302)+Parametri_v3!$C$54*10/12</f>
        <v>-193095.7307234</v>
      </c>
      <c r="R302" s="15" t="n">
        <f aca="false">Z292</f>
        <v>614541.770829915</v>
      </c>
      <c r="S302" s="15" t="n">
        <f aca="false">AA292</f>
        <v>251613.794782356</v>
      </c>
      <c r="T302" s="15" t="n">
        <f aca="false">MIN(R302,MAX(0,Q302))</f>
        <v>0</v>
      </c>
      <c r="U302" s="15" t="n">
        <f aca="false">MIN(S302,MAX(0,Q302-T302)*Parametri_v3!$C$42)</f>
        <v>0</v>
      </c>
      <c r="V302" s="15" t="n">
        <f aca="false">MAX(0,Q302-T302-U302)*Ipotesi!$C$92</f>
        <v>0</v>
      </c>
      <c r="W302" s="15" t="n">
        <f aca="false">MAX(0,SUM(M293:M302)+Parametri_v3!$C$55*10/12)*Ipotesi!$C$93</f>
        <v>0</v>
      </c>
      <c r="X302" s="15" t="n">
        <f aca="false">V302+W302-(V301+W301)</f>
        <v>0</v>
      </c>
      <c r="Y302" s="15" t="n">
        <f aca="false">P302-X302</f>
        <v>-17509.7680508612</v>
      </c>
      <c r="Z302" s="15" t="n">
        <f aca="false">R302-T302+IF(AND(Parametri_v3!$C$40=1,D302-YEAR(Parametri_v3!$C$50)&lt;Parametri_v3!$C$41),MAX(0,-Q302),0)</f>
        <v>614541.770829915</v>
      </c>
      <c r="AA302" s="15" t="n">
        <f aca="false">S302-U302+IF(AND(Parametri_v3!$C$40=1,D302-YEAR(Parametri_v3!$C$50)&lt;Parametri_v3!$C$41),0,MAX(0,-Q302))</f>
        <v>444709.525505756</v>
      </c>
      <c r="AB302" s="15" t="n">
        <f aca="false">F302*(1+Parametri_v3!$C$26)</f>
        <v>76245.075870552</v>
      </c>
      <c r="AC302" s="15" t="n">
        <f aca="false">(IF(58-(INT((Motore_Operativo!L302)/30))&lt;1,0,INDEX(Motore_Startup!$AB$245:$AB$304,MAX(1,58-(INT((Motore_Operativo!L302)/30)))))*(1-(MOD((Motore_Operativo!L302),30)/30))+IF(58-(INT((Motore_Operativo!L302)/30))-1&lt;1,0,INDEX(Motore_Startup!$AB$245:$AB$304,MAX(1,58-(INT((Motore_Operativo!L302)/30))-1)))*(MOD((Motore_Operativo!L302),30)/30))</f>
        <v>73603.9934328666</v>
      </c>
      <c r="AD302" s="15" t="n">
        <f aca="false">(AD301)+AB302-AC302</f>
        <v>301047.665214206</v>
      </c>
      <c r="AE302" s="15" t="n">
        <f aca="false">Motore_Operativo!BH302*(1+Parametri_v3!$C$26)</f>
        <v>7002.72375</v>
      </c>
      <c r="AF302" s="15" t="n">
        <f aca="false">(IF(58-(INT((Parametri_v3!$C$29)/30))&lt;1,0,INDEX(Motore_Operativo!$BH$245:$BH$304,MAX(1,58-(INT((Parametri_v3!$C$29)/30)))))*(1-(MOD((Parametri_v3!$C$29),30)/30))+IF(58-(INT((Parametri_v3!$C$29)/30))-1&lt;1,0,INDEX(Motore_Operativo!$BH$245:$BH$304,MAX(1,58-(INT((Parametri_v3!$C$29)/30))-1)))*(MOD((Parametri_v3!$C$29),30)/30))*(1+Parametri_v3!$C$26)</f>
        <v>7002.72375</v>
      </c>
      <c r="AG302" s="15" t="n">
        <f aca="false">(AG301)+AE302-AF302</f>
        <v>7002.72375000001</v>
      </c>
      <c r="AH302" s="15" t="n">
        <f aca="false">(Motore_Operativo!CJ302)*(1+Parametri_v3!$C$27*Parametri_v3!$C$26)</f>
        <v>34272.9727683654</v>
      </c>
      <c r="AI302" s="15" t="n">
        <f aca="false">(IF(58-(INT((Ipotesi!$C$91)/30))&lt;1,0,INDEX(Motore_Startup!$AH$245:$AH$304,MAX(1,58-(INT((Ipotesi!$C$91)/30)))))*(1-(MOD((Ipotesi!$C$91),30)/30))+IF(58-(INT((Ipotesi!$C$91)/30))-1&lt;1,0,INDEX(Motore_Startup!$AH$245:$AH$304,MAX(1,58-(INT((Ipotesi!$C$91)/30))-1)))*(MOD((Ipotesi!$C$91),30)/30))</f>
        <v>34094.6770057199</v>
      </c>
      <c r="AJ302" s="15" t="n">
        <f aca="false">(AJ301)+AH302-AI302</f>
        <v>68457.1890140084</v>
      </c>
      <c r="AK302" s="15" t="n">
        <f aca="false">(F302+ Motore_Operativo!BH302-(Motore_Operativo!CJ302)*Parametri_v3!$C$27-Motore_Operativo!CE302)*Parametri_v3!$C$26</f>
        <v>8695.86691816358</v>
      </c>
      <c r="AL302" s="15" t="n">
        <f aca="false">MAX(0,(AM301))</f>
        <v>8592.3479072473</v>
      </c>
      <c r="AM302" s="15" t="n">
        <f aca="false">(AM301)+AK302-AL302</f>
        <v>8695.86691816357</v>
      </c>
      <c r="AN302" s="15" t="n">
        <f aca="false">SUM(X281:X292)</f>
        <v>0</v>
      </c>
      <c r="AO302" s="15" t="n">
        <f aca="false">SUM(AP281:AP292)</f>
        <v>0</v>
      </c>
      <c r="AP302" s="15" t="n">
        <f aca="false">MAX(0,AN302)*IF(10=Parametri_v3!$C$43,Parametri_v3!$C$45,IF(10=Parametri_v3!$C$44,1-Parametri_v3!$C$45,0))</f>
        <v>0</v>
      </c>
      <c r="AQ302" s="15" t="n">
        <f aca="false">MAX(0,AP302+IF(10=Parametri_v3!$C$43,MAX(0,AN302-AO302),0)-MAX(0,-(AR301)))</f>
        <v>0</v>
      </c>
      <c r="AR302" s="15" t="n">
        <f aca="false">(AR301)+X302-AQ302</f>
        <v>0</v>
      </c>
      <c r="AS302" s="15" t="n">
        <f aca="false">Motore_Operativo!AB302-AT302+AU302</f>
        <v>50259.2452893438</v>
      </c>
      <c r="AT302" s="15" t="n">
        <f aca="false">Motore_Operativo!CH302</f>
        <v>2645.22343628125</v>
      </c>
      <c r="AU302" s="15" t="n">
        <f aca="false">MIN(MAX(0,(AV301)+AT302),Parametri_v3!$C$60/12)</f>
        <v>0</v>
      </c>
      <c r="AV302" s="15" t="n">
        <f aca="false">(AV301)+AT302-AU302</f>
        <v>91063.6453128124</v>
      </c>
      <c r="AW302" s="15" t="n">
        <f aca="false">IF(AND(Motore_Operativo!C302=Finanziamenti!$D$6,Finanziamenti!$F$6=1),Finanziamenti!$C$6,0)</f>
        <v>0</v>
      </c>
      <c r="AX302" s="15" t="n">
        <f aca="false">IF(AND(5&lt;&gt;7,5&lt;&gt;9,Finanziamenti!$F$8=1,OR(Parametri_v3!$C$6=0,Finanziamenti!$E$8=1),Motore_Operativo!C302=EDATE(Finanziamenti!$D$8,Ipotesi!G15*12)),Finanziamenti!$C$8*1,0)+IF(AND(5&lt;&gt;7,5&lt;&gt;9,Finanziamenti!$F$9=1,OR(Parametri_v3!$C$6=0,Finanziamenti!$E$9=1),Motore_Operativo!C302=EDATE(Finanziamenti!$D$9,Ipotesi!G15*12)),Finanziamenti!$C$9*Ipotesi!G16,0)</f>
        <v>0</v>
      </c>
      <c r="AY302" s="15" t="n">
        <f aca="false">0</f>
        <v>0</v>
      </c>
      <c r="AZ302" s="15" t="n">
        <f aca="false">Motore_Advisory!AY302*(1-Ipotesi!$C$95)*Ipotesi!$C$96</f>
        <v>0</v>
      </c>
      <c r="BA302" s="15" t="n">
        <f aca="false">MAX(0,MIN(CG302*MIN(1,IF(Motore_Operativo!C302&gt;=EDATE(Finanziamenti!$D$15,Ipotesi!G14*12),Finanziamenti!$C$15,0)+IF(Motore_Operativo!C302&gt;=EDATE(Finanziamenti!$D$16,Ipotesi!G14*12),Finanziamenti!$C$16,0)+IF(Motore_Operativo!C302&gt;=EDATE(Finanziamenti!$D$17,Ipotesi!G14*12),Finanziamenti!$C$17,0)),CA302*Ipotesi!$C$102)-(CC301))</f>
        <v>0</v>
      </c>
      <c r="BB302" s="15" t="n">
        <f aca="false">IF(AND(CF302&gt;0,Motore_Operativo!C302&gt;=IF(CF302=0,0,EDATE(CF302,Parametri_v3!$C$37)),MOD(((D302-YEAR(IF(CF302=0,0,EDATE(CF302,Parametri_v3!$C$37))))*12+E302-MONTH(IF(CF302=0,0,EDATE(CF302,Parametri_v3!$C$37)))),Parametri_v3!$C$38)=0),MIN(MAX(0,(BC301)+BA302-N302),(CC302-CD302)/(Ipotesi!$C$108*12/Parametri_v3!$C$38)),0)</f>
        <v>0</v>
      </c>
      <c r="BC302" s="15" t="n">
        <f aca="false">(BC301)+BA302-N302-BB302</f>
        <v>185852.321275752</v>
      </c>
      <c r="BD302" s="15" t="n">
        <f aca="false">(BH301)+AC302+AF302-AI302-AS302-K302*(1+Parametri_v3!$C$26)-AL302-AQ302-O302+AW302+AX302+AZ302+BA302-BB302</f>
        <v>-496508.125742104</v>
      </c>
      <c r="BE302" s="15" t="n">
        <f aca="false">MAX(0,MIN(MAX(0,CH302-(BG301)),Parametri_v3!$C$30-BD302))</f>
        <v>0</v>
      </c>
      <c r="BF302" s="15" t="n">
        <f aca="false">IF(Motore_Operativo!C302&gt;=Parametri_v3!$C$63,(BG301),MIN((BG301),MAX(0,BD302-Parametri_v3!$C$30)))</f>
        <v>0</v>
      </c>
      <c r="BG302" s="15" t="n">
        <f aca="false">(BG301)+BE302-BF302</f>
        <v>150000</v>
      </c>
      <c r="BH302" s="15" t="n">
        <f aca="false">BD302+BE302-BF302-AY302</f>
        <v>-496508.125742104</v>
      </c>
      <c r="BI302" s="15" t="n">
        <f aca="false">MAX(0,Parametri_v3!$C$30-BH302)</f>
        <v>521508.125742104</v>
      </c>
      <c r="BJ302" s="15" t="n">
        <f aca="false">(BJ301)+K302</f>
        <v>156666.666666667</v>
      </c>
      <c r="BK302" s="15" t="n">
        <f aca="false">(BK301)+L302</f>
        <v>93391.2037037037</v>
      </c>
      <c r="BL302" s="15" t="n">
        <f aca="false">BJ302-BK302</f>
        <v>63275.4629629629</v>
      </c>
      <c r="BM302" s="15" t="n">
        <f aca="false">(BM301)+Y302</f>
        <v>-1059251.29633567</v>
      </c>
      <c r="BN302" s="15" t="n">
        <f aca="false">(BN301)+AW302+AX302+AZ302</f>
        <v>430000</v>
      </c>
      <c r="BO302" s="15" t="n">
        <f aca="false">(BO301)+AY302</f>
        <v>0</v>
      </c>
      <c r="BP302" s="15" t="n">
        <f aca="false">0</f>
        <v>0</v>
      </c>
      <c r="BQ302" s="15" t="n">
        <f aca="false">BN302+BM302-BO302</f>
        <v>-629251.296335671</v>
      </c>
      <c r="BR302" s="15" t="n">
        <f aca="false">BH302+AD302+BL302+MAX(0,-AM302)+MAX(0,-AR302)+AG302</f>
        <v>-125182.273814935</v>
      </c>
      <c r="BS302" s="15" t="n">
        <f aca="false">AJ302+AV302+MAX(0,AM302)+MAX(0,AR302)+BC302+BG302+BQ302</f>
        <v>-125182.273814935</v>
      </c>
      <c r="BT302" s="15" t="n">
        <f aca="false">BR302-BS302</f>
        <v>0</v>
      </c>
      <c r="BU302" s="15" t="n">
        <f aca="false">BH302-(BD302+BE302-BF302-AY302)</f>
        <v>0</v>
      </c>
      <c r="BV302" s="15" t="n">
        <f aca="false">MIN(Piano_SS!$C$6,(BV301)+IF(AND(Motore_Operativo!C302&gt;=EDATE(Parametri_v3!$C$24,Ipotesi!G14*12),Motore_Operativo!C302&lt;EDATE(Parametri_v3!$C$24,Parametri_v3!$C$25+Ipotesi!G14*12)),MAX(0,(Motore_Operativo!Y302+Motore_Operativo!X302*Parametri_v3!$C$14)*(1-Parametri_v3!$C$32))*Piano_SS!$D$6,0))</f>
        <v>190877.54836875</v>
      </c>
      <c r="BW302" s="15" t="n">
        <f aca="false">MIN(Piano_SS!$C$7,(BW301)+IF(AND(Motore_Operativo!C302&gt;=EDATE(Parametri_v3!$C$24,Ipotesi!G14*12),Motore_Operativo!C302&lt;EDATE(Parametri_v3!$C$24,Parametri_v3!$C$25+Ipotesi!G14*12)),MAX(0,(IF(58-(INT((Ipotesi!$C$91)/30))&lt;1,0,INDEX(Motore_Operativo!$BN$245:$BN$304,MAX(1,58-(INT((Ipotesi!$C$91)/30)))))*(1-(MOD((Ipotesi!$C$91),30)/30))+IF(58-(INT((Ipotesi!$C$91)/30))-1&lt;1,0,INDEX(Motore_Operativo!$BN$245:$BN$304,MAX(1,58-(INT((Ipotesi!$C$91)/30))-1)))*(MOD((Ipotesi!$C$91),30)/30)))*Piano_SS!$D$7,0))</f>
        <v>25611.7773375503</v>
      </c>
      <c r="BX302" s="15" t="n">
        <f aca="false">MIN(Piano_SS!$C$8,(BX301)+IF(AND(Motore_Operativo!C302&gt;=EDATE(Parametri_v3!$C$24,Ipotesi!G14*12),Motore_Operativo!C302&lt;EDATE(Parametri_v3!$C$24,Parametri_v3!$C$25+Ipotesi!G14*12)),MAX(0,Motore_Operativo!CE302)*Piano_SS!$D$8,0))</f>
        <v>50000</v>
      </c>
      <c r="BY302" s="15" t="n">
        <f aca="false">MIN(Piano_SS!$C$9,(BY301)+IF(AND(Motore_Operativo!C302&gt;=EDATE(Parametri_v3!$C$24,Ipotesi!G14*12),Motore_Operativo!C302&lt;EDATE(Parametri_v3!$C$24,Parametri_v3!$C$25+Ipotesi!G14*12)),MAX(0,((IF(58-(INT((Ipotesi!$C$91)/30))&lt;1,0,INDEX(Motore_Operativo!$BQ$245:$BQ$304,MAX(1,58-(INT((Ipotesi!$C$91)/30)))))*(1-(MOD((Ipotesi!$C$91),30)/30))+IF(58-(INT((Ipotesi!$C$91)/30))-1&lt;1,0,INDEX(Motore_Operativo!$BQ$245:$BQ$304,MAX(1,58-(INT((Ipotesi!$C$91)/30))-1)))*(MOD((Ipotesi!$C$91),30)/30))+(IF(58-(INT((Ipotesi!$C$91)/30))&lt;1,0,INDEX(Motore_Operativo!$BR$245:$BR$304,MAX(1,58-(INT((Ipotesi!$C$91)/30)))))*(1-(MOD((Ipotesi!$C$91),30)/30))+IF(58-(INT((Ipotesi!$C$91)/30))-1&lt;1,0,INDEX(Motore_Operativo!$BR$245:$BR$304,MAX(1,58-(INT((Ipotesi!$C$91)/30))-1)))*(MOD((Ipotesi!$C$91),30)/30))))*Piano_SS!$D$9,0))</f>
        <v>40000</v>
      </c>
      <c r="BZ302" s="15" t="n">
        <f aca="false">MIN(Piano_SS!$C$10,(BZ301)+IF(AND(Motore_Operativo!C302&gt;=EDATE(Parametri_v3!$C$24,Ipotesi!G14*12),Motore_Operativo!C302&lt;EDATE(Parametri_v3!$C$24,Parametri_v3!$C$25+Ipotesi!G14*12)),MAX(0,(IF(58-(INT((Ipotesi!$C$91)/30))&lt;1,0,INDEX(Motore_Operativo!$BO$245:$BO$304,MAX(1,58-(INT((Ipotesi!$C$91)/30)))))*(1-(MOD((Ipotesi!$C$91),30)/30))+IF(58-(INT((Ipotesi!$C$91)/30))-1&lt;1,0,INDEX(Motore_Operativo!$BO$245:$BO$304,MAX(1,58-(INT((Ipotesi!$C$91)/30))-1)))*(MOD((Ipotesi!$C$91),30)/30)))*Piano_SS!$D$10,0))</f>
        <v>30000</v>
      </c>
      <c r="CA302" s="15" t="n">
        <f aca="false">SUM(BV302:BZ302)</f>
        <v>336489.3257063</v>
      </c>
      <c r="CB302" s="15" t="n">
        <f aca="false">BV302*(1-Piano_SS!$E$6)+BW302*(1-Piano_SS!$E$7)+BX302*(1-Piano_SS!$E$8)+BY302*(1-Piano_SS!$E$9)+BZ302*(1-Piano_SS!$E$10)</f>
        <v>306489.3257063</v>
      </c>
      <c r="CC302" s="15" t="n">
        <f aca="false">(CC301)+BA302</f>
        <v>269191.46056504</v>
      </c>
      <c r="CD302" s="15" t="n">
        <f aca="false">IF(CA302=0,0,CC302*CB302/CA302*Ipotesi!$C$103*Parametri_v3!$C$64)</f>
        <v>73557.4381695121</v>
      </c>
      <c r="CE302" s="18" t="n">
        <f aca="false">IF(BA302&gt;0,Motore_Operativo!C302,(CE301))</f>
        <v>47635</v>
      </c>
      <c r="CF302" s="18" t="n">
        <f aca="false">IF(AND(CC302&gt;0,OR(CC302&gt;=CG302-0.01,Motore_Operativo!C302&gt;=EDATE(MAX(Finanziamenti!$D$15:$D$17),Ipotesi!G14*12))),CE302,0)</f>
        <v>47635</v>
      </c>
      <c r="CG302" s="15" t="n">
        <f aca="false">IF(AND(5&lt;&gt;6,5&lt;&gt;9,Finanziamenti!$F$11=1,OR(Parametri_v3!$C$6=0,Finanziamenti!$E$11=1)),MIN(Finanziamenti!$C$11,Piano_SS!$C$12*Ipotesi!$C$102),0)</f>
        <v>400000</v>
      </c>
      <c r="CH302" s="15" t="n">
        <f aca="false">IF(AND(AND(5&lt;&gt;8,5&lt;&gt;9,Finanziamenti!$F$10=1,OR(Parametri_v3!$C$6=0,Finanziamenti!$E$10=1)),Motore_Operativo!C302&gt;=Finanziamenti!$D$10,Motore_Operativo!C302&lt;Parametri_v3!$C$63),Finanziamenti!$C$10,0)</f>
        <v>150000</v>
      </c>
    </row>
    <row r="303" customFormat="false" ht="18" hidden="false" customHeight="true" outlineLevel="0" collapsed="false">
      <c r="A303" s="68" t="n">
        <f aca="false">5</f>
        <v>5</v>
      </c>
      <c r="B303" s="68" t="n">
        <f aca="false">59</f>
        <v>59</v>
      </c>
      <c r="C303" s="18" t="n">
        <f aca="false">Motore_Operativo!C303</f>
        <v>48153</v>
      </c>
      <c r="D303" s="68" t="n">
        <f aca="false">Motore_Operativo!D303</f>
        <v>2031</v>
      </c>
      <c r="E303" s="68" t="n">
        <f aca="false">Motore_Operativo!E303</f>
        <v>11</v>
      </c>
      <c r="F303" s="15" t="n">
        <f aca="false">Motore_Operativo!AQ303+Motore_Operativo!BF303</f>
        <v>63025.3936497868</v>
      </c>
      <c r="G303" s="15" t="n">
        <f aca="false">Motore_Operativo!BH303</f>
        <v>5739.9375</v>
      </c>
      <c r="H303" s="15" t="n">
        <f aca="false">Motore_Operativo!BI303</f>
        <v>68765.3311497868</v>
      </c>
      <c r="I303" s="15" t="n">
        <f aca="false">Motore_Operativo!CA303</f>
        <v>81852.1969615952</v>
      </c>
      <c r="J303" s="15" t="n">
        <f aca="false">Motore_Operativo!CC303</f>
        <v>-13086.8658118084</v>
      </c>
      <c r="K303" s="15" t="n">
        <f aca="false">Motore_Operativo!CE303</f>
        <v>4166.66666666667</v>
      </c>
      <c r="L303" s="15" t="n">
        <f aca="false">SUM(INDEX($K$245:$K$304,MAX(1,59-Parametri_v3!$C$59+1)):K303)/Parametri_v3!$C$59</f>
        <v>3275.46296296296</v>
      </c>
      <c r="M303" s="15" t="n">
        <f aca="false">J303-L303</f>
        <v>-16362.3287747713</v>
      </c>
      <c r="N303" s="15" t="n">
        <f aca="false">CD303-(CD302)</f>
        <v>0</v>
      </c>
      <c r="O303" s="15" t="n">
        <f aca="false">(BG302)*Ipotesi!$C$110/12+CH303*Parametri_v3!$C$39/12</f>
        <v>750</v>
      </c>
      <c r="P303" s="15" t="n">
        <f aca="false">M303+N303-O303</f>
        <v>-17112.3287747713</v>
      </c>
      <c r="Q303" s="15" t="n">
        <f aca="false">SUM(P293:P303)+Parametri_v3!$C$54*11/12</f>
        <v>-210208.059498171</v>
      </c>
      <c r="R303" s="15" t="n">
        <f aca="false">Z292</f>
        <v>614541.770829915</v>
      </c>
      <c r="S303" s="15" t="n">
        <f aca="false">AA292</f>
        <v>251613.794782356</v>
      </c>
      <c r="T303" s="15" t="n">
        <f aca="false">MIN(R303,MAX(0,Q303))</f>
        <v>0</v>
      </c>
      <c r="U303" s="15" t="n">
        <f aca="false">MIN(S303,MAX(0,Q303-T303)*Parametri_v3!$C$42)</f>
        <v>0</v>
      </c>
      <c r="V303" s="15" t="n">
        <f aca="false">MAX(0,Q303-T303-U303)*Ipotesi!$C$92</f>
        <v>0</v>
      </c>
      <c r="W303" s="15" t="n">
        <f aca="false">MAX(0,SUM(M293:M303)+Parametri_v3!$C$55*11/12)*Ipotesi!$C$93</f>
        <v>0</v>
      </c>
      <c r="X303" s="15" t="n">
        <f aca="false">V303+W303-(V302+W302)</f>
        <v>0</v>
      </c>
      <c r="Y303" s="15" t="n">
        <f aca="false">P303-X303</f>
        <v>-17112.3287747713</v>
      </c>
      <c r="Z303" s="15" t="n">
        <f aca="false">R303-T303+IF(AND(Parametri_v3!$C$40=1,D303-YEAR(Parametri_v3!$C$50)&lt;Parametri_v3!$C$41),MAX(0,-Q303),0)</f>
        <v>614541.770829915</v>
      </c>
      <c r="AA303" s="15" t="n">
        <f aca="false">S303-U303+IF(AND(Parametri_v3!$C$40=1,D303-YEAR(Parametri_v3!$C$50)&lt;Parametri_v3!$C$41),0,MAX(0,-Q303))</f>
        <v>461821.854280527</v>
      </c>
      <c r="AB303" s="15" t="n">
        <f aca="false">F303*(1+Parametri_v3!$C$26)</f>
        <v>76890.9802527399</v>
      </c>
      <c r="AC303" s="15" t="n">
        <f aca="false">(IF(59-(INT((Motore_Operativo!L303)/30))&lt;1,0,INDEX(Motore_Startup!$AB$245:$AB$304,MAX(1,59-(INT((Motore_Operativo!L303)/30)))))*(1-(MOD((Motore_Operativo!L303),30)/30))+IF(59-(INT((Motore_Operativo!L303)/30))-1&lt;1,0,INDEX(Motore_Startup!$AB$245:$AB$304,MAX(1,59-(INT((Motore_Operativo!L303)/30))-1)))*(MOD((Motore_Operativo!L303),30)/30))</f>
        <v>74272.985130224</v>
      </c>
      <c r="AD303" s="15" t="n">
        <f aca="false">(AD302)+AB303-AC303</f>
        <v>303665.660336722</v>
      </c>
      <c r="AE303" s="15" t="n">
        <f aca="false">Motore_Operativo!BH303*(1+Parametri_v3!$C$26)</f>
        <v>7002.72375</v>
      </c>
      <c r="AF303" s="15" t="n">
        <f aca="false">(IF(59-(INT((Parametri_v3!$C$29)/30))&lt;1,0,INDEX(Motore_Operativo!$BH$245:$BH$304,MAX(1,59-(INT((Parametri_v3!$C$29)/30)))))*(1-(MOD((Parametri_v3!$C$29),30)/30))+IF(59-(INT((Parametri_v3!$C$29)/30))-1&lt;1,0,INDEX(Motore_Operativo!$BH$245:$BH$304,MAX(1,59-(INT((Parametri_v3!$C$29)/30))-1)))*(MOD((Parametri_v3!$C$29),30)/30))*(1+Parametri_v3!$C$26)</f>
        <v>7002.72375</v>
      </c>
      <c r="AG303" s="15" t="n">
        <f aca="false">(AG302)+AE303-AF303</f>
        <v>7002.72375000001</v>
      </c>
      <c r="AH303" s="15" t="n">
        <f aca="false">(Motore_Operativo!CJ303)*(1+Parametri_v3!$C$27*Parametri_v3!$C$26)</f>
        <v>34360.9534160966</v>
      </c>
      <c r="AI303" s="15" t="n">
        <f aca="false">(IF(59-(INT((Ipotesi!$C$91)/30))&lt;1,0,INDEX(Motore_Startup!$AH$245:$AH$304,MAX(1,59-(INT((Ipotesi!$C$91)/30)))))*(1-(MOD((Ipotesi!$C$91),30)/30))+IF(59-(INT((Ipotesi!$C$91)/30))-1&lt;1,0,INDEX(Motore_Startup!$AH$245:$AH$304,MAX(1,59-(INT((Ipotesi!$C$91)/30))-1)))*(MOD((Ipotesi!$C$91),30)/30))</f>
        <v>34184.216245643</v>
      </c>
      <c r="AJ303" s="15" t="n">
        <f aca="false">(AJ302)+AH303-AI303</f>
        <v>68633.926184462</v>
      </c>
      <c r="AK303" s="15" t="n">
        <f aca="false">(F303+ Motore_Operativo!BH303-(Motore_Operativo!CJ303)*Parametri_v3!$C$27-Motore_Operativo!CE303)*Parametri_v3!$C$26</f>
        <v>8798.48100616001</v>
      </c>
      <c r="AL303" s="15" t="n">
        <f aca="false">MAX(0,(AM302))</f>
        <v>8695.86691816357</v>
      </c>
      <c r="AM303" s="15" t="n">
        <f aca="false">(AM302)+AK303-AL303</f>
        <v>8798.48100616001</v>
      </c>
      <c r="AN303" s="15" t="n">
        <f aca="false">SUM(X281:X292)</f>
        <v>0</v>
      </c>
      <c r="AO303" s="15" t="n">
        <f aca="false">SUM(AP281:AP292)</f>
        <v>0</v>
      </c>
      <c r="AP303" s="15" t="n">
        <f aca="false">MAX(0,AN303)*IF(11=Parametri_v3!$C$43,Parametri_v3!$C$45,IF(11=Parametri_v3!$C$44,1-Parametri_v3!$C$45,0))</f>
        <v>0</v>
      </c>
      <c r="AQ303" s="15" t="n">
        <f aca="false">MAX(0,AP303+IF(11=Parametri_v3!$C$43,MAX(0,AN303-AO303),0)-MAX(0,-(AR302)))</f>
        <v>0</v>
      </c>
      <c r="AR303" s="15" t="n">
        <f aca="false">(AR302)+X303-AQ303</f>
        <v>0</v>
      </c>
      <c r="AS303" s="15" t="n">
        <f aca="false">Motore_Operativo!AB303-AT303+AU303</f>
        <v>50259.2452893438</v>
      </c>
      <c r="AT303" s="15" t="n">
        <f aca="false">Motore_Operativo!CH303</f>
        <v>2645.22343628125</v>
      </c>
      <c r="AU303" s="15" t="n">
        <f aca="false">MIN(MAX(0,(AV302)+AT303),Parametri_v3!$C$60/12)</f>
        <v>0</v>
      </c>
      <c r="AV303" s="15" t="n">
        <f aca="false">(AV302)+AT303-AU303</f>
        <v>93708.8687490937</v>
      </c>
      <c r="AW303" s="15" t="n">
        <f aca="false">IF(AND(Motore_Operativo!C303=Finanziamenti!$D$6,Finanziamenti!$F$6=1),Finanziamenti!$C$6,0)</f>
        <v>0</v>
      </c>
      <c r="AX303" s="15" t="n">
        <f aca="false">IF(AND(5&lt;&gt;7,5&lt;&gt;9,Finanziamenti!$F$8=1,OR(Parametri_v3!$C$6=0,Finanziamenti!$E$8=1),Motore_Operativo!C303=EDATE(Finanziamenti!$D$8,Ipotesi!G15*12)),Finanziamenti!$C$8*1,0)+IF(AND(5&lt;&gt;7,5&lt;&gt;9,Finanziamenti!$F$9=1,OR(Parametri_v3!$C$6=0,Finanziamenti!$E$9=1),Motore_Operativo!C303=EDATE(Finanziamenti!$D$9,Ipotesi!G15*12)),Finanziamenti!$C$9*Ipotesi!G16,0)</f>
        <v>0</v>
      </c>
      <c r="AY303" s="15" t="n">
        <f aca="false">0</f>
        <v>0</v>
      </c>
      <c r="AZ303" s="15" t="n">
        <f aca="false">Motore_Advisory!AY303*(1-Ipotesi!$C$95)*Ipotesi!$C$96</f>
        <v>0</v>
      </c>
      <c r="BA303" s="15" t="n">
        <f aca="false">MAX(0,MIN(CG303*MIN(1,IF(Motore_Operativo!C303&gt;=EDATE(Finanziamenti!$D$15,Ipotesi!G14*12),Finanziamenti!$C$15,0)+IF(Motore_Operativo!C303&gt;=EDATE(Finanziamenti!$D$16,Ipotesi!G14*12),Finanziamenti!$C$16,0)+IF(Motore_Operativo!C303&gt;=EDATE(Finanziamenti!$D$17,Ipotesi!G14*12),Finanziamenti!$C$17,0)),CA303*Ipotesi!$C$102)-(CC302))</f>
        <v>0</v>
      </c>
      <c r="BB303" s="15" t="n">
        <f aca="false">IF(AND(CF303&gt;0,Motore_Operativo!C303&gt;=IF(CF303=0,0,EDATE(CF303,Parametri_v3!$C$37)),MOD(((D303-YEAR(IF(CF303=0,0,EDATE(CF303,Parametri_v3!$C$37))))*12+E303-MONTH(IF(CF303=0,0,EDATE(CF303,Parametri_v3!$C$37)))),Parametri_v3!$C$38)=0),MIN(MAX(0,(BC302)+BA303-N303),(CC303-CD303)/(Ipotesi!$C$108*12/Parametri_v3!$C$38)),0)</f>
        <v>0</v>
      </c>
      <c r="BC303" s="15" t="n">
        <f aca="false">(BC302)+BA303-N303-BB303</f>
        <v>185852.321275752</v>
      </c>
      <c r="BD303" s="15" t="n">
        <f aca="false">(BH302)+AC303+AF303-AI303-AS303-K303*(1+Parametri_v3!$C$26)-AL303-AQ303-O303+AW303+AX303+AZ303+BA303-BB303</f>
        <v>-514205.078648363</v>
      </c>
      <c r="BE303" s="15" t="n">
        <f aca="false">MAX(0,MIN(MAX(0,CH303-(BG302)),Parametri_v3!$C$30-BD303))</f>
        <v>0</v>
      </c>
      <c r="BF303" s="15" t="n">
        <f aca="false">IF(Motore_Operativo!C303&gt;=Parametri_v3!$C$63,(BG302),MIN((BG302),MAX(0,BD303-Parametri_v3!$C$30)))</f>
        <v>0</v>
      </c>
      <c r="BG303" s="15" t="n">
        <f aca="false">(BG302)+BE303-BF303</f>
        <v>150000</v>
      </c>
      <c r="BH303" s="15" t="n">
        <f aca="false">BD303+BE303-BF303-AY303</f>
        <v>-514205.078648363</v>
      </c>
      <c r="BI303" s="15" t="n">
        <f aca="false">MAX(0,Parametri_v3!$C$30-BH303)</f>
        <v>539205.078648363</v>
      </c>
      <c r="BJ303" s="15" t="n">
        <f aca="false">(BJ302)+K303</f>
        <v>160833.333333333</v>
      </c>
      <c r="BK303" s="15" t="n">
        <f aca="false">(BK302)+L303</f>
        <v>96666.6666666667</v>
      </c>
      <c r="BL303" s="15" t="n">
        <f aca="false">BJ303-BK303</f>
        <v>64166.6666666665</v>
      </c>
      <c r="BM303" s="15" t="n">
        <f aca="false">(BM302)+Y303</f>
        <v>-1076363.62511044</v>
      </c>
      <c r="BN303" s="15" t="n">
        <f aca="false">(BN302)+AW303+AX303+AZ303</f>
        <v>430000</v>
      </c>
      <c r="BO303" s="15" t="n">
        <f aca="false">(BO302)+AY303</f>
        <v>0</v>
      </c>
      <c r="BP303" s="15" t="n">
        <f aca="false">0</f>
        <v>0</v>
      </c>
      <c r="BQ303" s="15" t="n">
        <f aca="false">BN303+BM303-BO303</f>
        <v>-646363.625110443</v>
      </c>
      <c r="BR303" s="15" t="n">
        <f aca="false">BH303+AD303+BL303+MAX(0,-AM303)+MAX(0,-AR303)+AG303</f>
        <v>-139370.027894975</v>
      </c>
      <c r="BS303" s="15" t="n">
        <f aca="false">AJ303+AV303+MAX(0,AM303)+MAX(0,AR303)+BC303+BG303+BQ303</f>
        <v>-139370.027894975</v>
      </c>
      <c r="BT303" s="15" t="n">
        <f aca="false">BR303-BS303</f>
        <v>0</v>
      </c>
      <c r="BU303" s="15" t="n">
        <f aca="false">BH303-(BD303+BE303-BF303-AY303)</f>
        <v>0</v>
      </c>
      <c r="BV303" s="15" t="n">
        <f aca="false">MIN(Piano_SS!$C$6,(BV302)+IF(AND(Motore_Operativo!C303&gt;=EDATE(Parametri_v3!$C$24,Ipotesi!G14*12),Motore_Operativo!C303&lt;EDATE(Parametri_v3!$C$24,Parametri_v3!$C$25+Ipotesi!G14*12)),MAX(0,(Motore_Operativo!Y303+Motore_Operativo!X303*Parametri_v3!$C$14)*(1-Parametri_v3!$C$32))*Piano_SS!$D$6,0))</f>
        <v>190877.54836875</v>
      </c>
      <c r="BW303" s="15" t="n">
        <f aca="false">MIN(Piano_SS!$C$7,(BW302)+IF(AND(Motore_Operativo!C303&gt;=EDATE(Parametri_v3!$C$24,Ipotesi!G14*12),Motore_Operativo!C303&lt;EDATE(Parametri_v3!$C$24,Parametri_v3!$C$25+Ipotesi!G14*12)),MAX(0,(IF(59-(INT((Ipotesi!$C$91)/30))&lt;1,0,INDEX(Motore_Operativo!$BN$245:$BN$304,MAX(1,59-(INT((Ipotesi!$C$91)/30)))))*(1-(MOD((Ipotesi!$C$91),30)/30))+IF(59-(INT((Ipotesi!$C$91)/30))-1&lt;1,0,INDEX(Motore_Operativo!$BN$245:$BN$304,MAX(1,59-(INT((Ipotesi!$C$91)/30))-1)))*(MOD((Ipotesi!$C$91),30)/30)))*Piano_SS!$D$7,0))</f>
        <v>25611.7773375503</v>
      </c>
      <c r="BX303" s="15" t="n">
        <f aca="false">MIN(Piano_SS!$C$8,(BX302)+IF(AND(Motore_Operativo!C303&gt;=EDATE(Parametri_v3!$C$24,Ipotesi!G14*12),Motore_Operativo!C303&lt;EDATE(Parametri_v3!$C$24,Parametri_v3!$C$25+Ipotesi!G14*12)),MAX(0,Motore_Operativo!CE303)*Piano_SS!$D$8,0))</f>
        <v>50000</v>
      </c>
      <c r="BY303" s="15" t="n">
        <f aca="false">MIN(Piano_SS!$C$9,(BY302)+IF(AND(Motore_Operativo!C303&gt;=EDATE(Parametri_v3!$C$24,Ipotesi!G14*12),Motore_Operativo!C303&lt;EDATE(Parametri_v3!$C$24,Parametri_v3!$C$25+Ipotesi!G14*12)),MAX(0,((IF(59-(INT((Ipotesi!$C$91)/30))&lt;1,0,INDEX(Motore_Operativo!$BQ$245:$BQ$304,MAX(1,59-(INT((Ipotesi!$C$91)/30)))))*(1-(MOD((Ipotesi!$C$91),30)/30))+IF(59-(INT((Ipotesi!$C$91)/30))-1&lt;1,0,INDEX(Motore_Operativo!$BQ$245:$BQ$304,MAX(1,59-(INT((Ipotesi!$C$91)/30))-1)))*(MOD((Ipotesi!$C$91),30)/30))+(IF(59-(INT((Ipotesi!$C$91)/30))&lt;1,0,INDEX(Motore_Operativo!$BR$245:$BR$304,MAX(1,59-(INT((Ipotesi!$C$91)/30)))))*(1-(MOD((Ipotesi!$C$91),30)/30))+IF(59-(INT((Ipotesi!$C$91)/30))-1&lt;1,0,INDEX(Motore_Operativo!$BR$245:$BR$304,MAX(1,59-(INT((Ipotesi!$C$91)/30))-1)))*(MOD((Ipotesi!$C$91),30)/30))))*Piano_SS!$D$9,0))</f>
        <v>40000</v>
      </c>
      <c r="BZ303" s="15" t="n">
        <f aca="false">MIN(Piano_SS!$C$10,(BZ302)+IF(AND(Motore_Operativo!C303&gt;=EDATE(Parametri_v3!$C$24,Ipotesi!G14*12),Motore_Operativo!C303&lt;EDATE(Parametri_v3!$C$24,Parametri_v3!$C$25+Ipotesi!G14*12)),MAX(0,(IF(59-(INT((Ipotesi!$C$91)/30))&lt;1,0,INDEX(Motore_Operativo!$BO$245:$BO$304,MAX(1,59-(INT((Ipotesi!$C$91)/30)))))*(1-(MOD((Ipotesi!$C$91),30)/30))+IF(59-(INT((Ipotesi!$C$91)/30))-1&lt;1,0,INDEX(Motore_Operativo!$BO$245:$BO$304,MAX(1,59-(INT((Ipotesi!$C$91)/30))-1)))*(MOD((Ipotesi!$C$91),30)/30)))*Piano_SS!$D$10,0))</f>
        <v>30000</v>
      </c>
      <c r="CA303" s="15" t="n">
        <f aca="false">SUM(BV303:BZ303)</f>
        <v>336489.3257063</v>
      </c>
      <c r="CB303" s="15" t="n">
        <f aca="false">BV303*(1-Piano_SS!$E$6)+BW303*(1-Piano_SS!$E$7)+BX303*(1-Piano_SS!$E$8)+BY303*(1-Piano_SS!$E$9)+BZ303*(1-Piano_SS!$E$10)</f>
        <v>306489.3257063</v>
      </c>
      <c r="CC303" s="15" t="n">
        <f aca="false">(CC302)+BA303</f>
        <v>269191.46056504</v>
      </c>
      <c r="CD303" s="15" t="n">
        <f aca="false">IF(CA303=0,0,CC303*CB303/CA303*Ipotesi!$C$103*Parametri_v3!$C$64)</f>
        <v>73557.4381695121</v>
      </c>
      <c r="CE303" s="18" t="n">
        <f aca="false">IF(BA303&gt;0,Motore_Operativo!C303,(CE302))</f>
        <v>47635</v>
      </c>
      <c r="CF303" s="18" t="n">
        <f aca="false">IF(AND(CC303&gt;0,OR(CC303&gt;=CG303-0.01,Motore_Operativo!C303&gt;=EDATE(MAX(Finanziamenti!$D$15:$D$17),Ipotesi!G14*12))),CE303,0)</f>
        <v>47635</v>
      </c>
      <c r="CG303" s="15" t="n">
        <f aca="false">IF(AND(5&lt;&gt;6,5&lt;&gt;9,Finanziamenti!$F$11=1,OR(Parametri_v3!$C$6=0,Finanziamenti!$E$11=1)),MIN(Finanziamenti!$C$11,Piano_SS!$C$12*Ipotesi!$C$102),0)</f>
        <v>400000</v>
      </c>
      <c r="CH303" s="15" t="n">
        <f aca="false">IF(AND(AND(5&lt;&gt;8,5&lt;&gt;9,Finanziamenti!$F$10=1,OR(Parametri_v3!$C$6=0,Finanziamenti!$E$10=1)),Motore_Operativo!C303&gt;=Finanziamenti!$D$10,Motore_Operativo!C303&lt;Parametri_v3!$C$63),Finanziamenti!$C$10,0)</f>
        <v>150000</v>
      </c>
    </row>
    <row r="304" customFormat="false" ht="18" hidden="false" customHeight="true" outlineLevel="0" collapsed="false">
      <c r="A304" s="68" t="n">
        <f aca="false">5</f>
        <v>5</v>
      </c>
      <c r="B304" s="68" t="n">
        <f aca="false">60</f>
        <v>60</v>
      </c>
      <c r="C304" s="18" t="n">
        <f aca="false">Motore_Operativo!C304</f>
        <v>48183</v>
      </c>
      <c r="D304" s="68" t="n">
        <f aca="false">Motore_Operativo!D304</f>
        <v>2031</v>
      </c>
      <c r="E304" s="68" t="n">
        <f aca="false">Motore_Operativo!E304</f>
        <v>12</v>
      </c>
      <c r="F304" s="15" t="n">
        <f aca="false">Motore_Operativo!AQ304+Motore_Operativo!BF304</f>
        <v>63550.1954017252</v>
      </c>
      <c r="G304" s="15" t="n">
        <f aca="false">Motore_Operativo!BH304</f>
        <v>5739.9375</v>
      </c>
      <c r="H304" s="15" t="n">
        <f aca="false">Motore_Operativo!BI304</f>
        <v>69290.1329017252</v>
      </c>
      <c r="I304" s="15" t="n">
        <f aca="false">Motore_Operativo!CA304</f>
        <v>81925.6692068665</v>
      </c>
      <c r="J304" s="15" t="n">
        <f aca="false">Motore_Operativo!CC304</f>
        <v>-12635.5363051414</v>
      </c>
      <c r="K304" s="15" t="n">
        <f aca="false">Motore_Operativo!CE304</f>
        <v>4166.66666666667</v>
      </c>
      <c r="L304" s="15" t="n">
        <f aca="false">SUM(INDEX($K$245:$K$304,MAX(1,60-Parametri_v3!$C$59+1)):K304)/Parametri_v3!$C$59</f>
        <v>3333.33333333333</v>
      </c>
      <c r="M304" s="15" t="n">
        <f aca="false">J304-L304</f>
        <v>-15968.8696384747</v>
      </c>
      <c r="N304" s="15" t="n">
        <f aca="false">CD304-(CD303)</f>
        <v>0</v>
      </c>
      <c r="O304" s="15" t="n">
        <f aca="false">(BG303)*Ipotesi!$C$110/12+CH304*Parametri_v3!$C$39/12</f>
        <v>750</v>
      </c>
      <c r="P304" s="15" t="n">
        <f aca="false">M304+N304-O304</f>
        <v>-16718.8696384747</v>
      </c>
      <c r="Q304" s="15" t="n">
        <f aca="false">SUM(P293:P304)+Parametri_v3!$C$54*12/12</f>
        <v>-226926.929136646</v>
      </c>
      <c r="R304" s="15" t="n">
        <f aca="false">Z292</f>
        <v>614541.770829915</v>
      </c>
      <c r="S304" s="15" t="n">
        <f aca="false">AA292</f>
        <v>251613.794782356</v>
      </c>
      <c r="T304" s="15" t="n">
        <f aca="false">MIN(R304,MAX(0,Q304))</f>
        <v>0</v>
      </c>
      <c r="U304" s="15" t="n">
        <f aca="false">MIN(S304,MAX(0,Q304-T304)*Parametri_v3!$C$42)</f>
        <v>0</v>
      </c>
      <c r="V304" s="15" t="n">
        <f aca="false">MAX(0,Q304-T304-U304)*Ipotesi!$C$92</f>
        <v>0</v>
      </c>
      <c r="W304" s="15" t="n">
        <f aca="false">MAX(0,SUM(M293:M304)+Parametri_v3!$C$55*12/12)*Ipotesi!$C$93</f>
        <v>0</v>
      </c>
      <c r="X304" s="15" t="n">
        <f aca="false">V304+W304-(V303+W303)</f>
        <v>0</v>
      </c>
      <c r="Y304" s="15" t="n">
        <f aca="false">P304-X304</f>
        <v>-16718.8696384747</v>
      </c>
      <c r="Z304" s="15" t="n">
        <f aca="false">R304-T304+IF(AND(Parametri_v3!$C$40=1,D304-YEAR(Parametri_v3!$C$50)&lt;Parametri_v3!$C$41),MAX(0,-Q304),0)</f>
        <v>614541.770829915</v>
      </c>
      <c r="AA304" s="15" t="n">
        <f aca="false">S304-U304+IF(AND(Parametri_v3!$C$40=1,D304-YEAR(Parametri_v3!$C$50)&lt;Parametri_v3!$C$41),0,MAX(0,-Q304))</f>
        <v>478540.723919002</v>
      </c>
      <c r="AB304" s="15" t="n">
        <f aca="false">F304*(1+Parametri_v3!$C$26)</f>
        <v>77531.2383901047</v>
      </c>
      <c r="AC304" s="15" t="n">
        <f aca="false">(IF(60-(INT((Motore_Operativo!L304)/30))&lt;1,0,INDEX(Motore_Startup!$AB$245:$AB$304,MAX(1,60-(INT((Motore_Operativo!L304)/30)))))*(1-(MOD((Motore_Operativo!L304),30)/30))+IF(60-(INT((Motore_Operativo!L304)/30))-1&lt;1,0,INDEX(Motore_Startup!$AB$245:$AB$304,MAX(1,60-(INT((Motore_Operativo!L304)/30))-1)))*(MOD((Motore_Operativo!L304),30)/30))</f>
        <v>74936.1287624312</v>
      </c>
      <c r="AD304" s="15" t="n">
        <f aca="false">(AD303)+AB304-AC304</f>
        <v>306260.769964395</v>
      </c>
      <c r="AE304" s="15" t="n">
        <f aca="false">Motore_Operativo!BH304*(1+Parametri_v3!$C$26)</f>
        <v>7002.72375</v>
      </c>
      <c r="AF304" s="15" t="n">
        <f aca="false">(IF(60-(INT((Parametri_v3!$C$29)/30))&lt;1,0,INDEX(Motore_Operativo!$BH$245:$BH$304,MAX(1,60-(INT((Parametri_v3!$C$29)/30)))))*(1-(MOD((Parametri_v3!$C$29),30)/30))+IF(60-(INT((Parametri_v3!$C$29)/30))-1&lt;1,0,INDEX(Motore_Operativo!$BH$245:$BH$304,MAX(1,60-(INT((Parametri_v3!$C$29)/30))-1)))*(MOD((Parametri_v3!$C$29),30)/30))*(1+Parametri_v3!$C$26)</f>
        <v>7002.72375</v>
      </c>
      <c r="AG304" s="15" t="n">
        <f aca="false">(AG303)+AE304-AF304</f>
        <v>7002.72375000001</v>
      </c>
      <c r="AH304" s="15" t="n">
        <f aca="false">(Motore_Operativo!CJ304)*(1+Parametri_v3!$C$27*Parametri_v3!$C$26)</f>
        <v>34448.1649712337</v>
      </c>
      <c r="AI304" s="15" t="n">
        <f aca="false">(IF(60-(INT((Ipotesi!$C$91)/30))&lt;1,0,INDEX(Motore_Startup!$AH$245:$AH$304,MAX(1,60-(INT((Ipotesi!$C$91)/30)))))*(1-(MOD((Ipotesi!$C$91),30)/30))+IF(60-(INT((Ipotesi!$C$91)/30))-1&lt;1,0,INDEX(Motore_Startup!$AH$245:$AH$304,MAX(1,60-(INT((Ipotesi!$C$91)/30))-1)))*(MOD((Ipotesi!$C$91),30)/30))</f>
        <v>34272.9727683654</v>
      </c>
      <c r="AJ304" s="15" t="n">
        <f aca="false">(AJ303)+AH304-AI304</f>
        <v>68809.1183873302</v>
      </c>
      <c r="AK304" s="15" t="n">
        <f aca="false">(F304+ Motore_Operativo!BH304-(Motore_Operativo!CJ304)*Parametri_v3!$C$27-Motore_Operativo!CE304)*Parametri_v3!$C$26</f>
        <v>8900.19808172071</v>
      </c>
      <c r="AL304" s="15" t="n">
        <f aca="false">MAX(0,(AM303))</f>
        <v>8798.48100616001</v>
      </c>
      <c r="AM304" s="15" t="n">
        <f aca="false">(AM303)+AK304-AL304</f>
        <v>8900.19808172071</v>
      </c>
      <c r="AN304" s="15" t="n">
        <f aca="false">SUM(X281:X292)</f>
        <v>0</v>
      </c>
      <c r="AO304" s="15" t="n">
        <f aca="false">SUM(AP281:AP292)</f>
        <v>0</v>
      </c>
      <c r="AP304" s="15" t="n">
        <f aca="false">MAX(0,AN304)*IF(12=Parametri_v3!$C$43,Parametri_v3!$C$45,IF(12=Parametri_v3!$C$44,1-Parametri_v3!$C$45,0))</f>
        <v>0</v>
      </c>
      <c r="AQ304" s="15" t="n">
        <f aca="false">MAX(0,AP304+IF(12=Parametri_v3!$C$43,MAX(0,AN304-AO304),0)-MAX(0,-(AR303)))</f>
        <v>0</v>
      </c>
      <c r="AR304" s="15" t="n">
        <f aca="false">(AR303)+X304-AQ304</f>
        <v>0</v>
      </c>
      <c r="AS304" s="15" t="n">
        <f aca="false">Motore_Operativo!AB304-AT304+AU304</f>
        <v>50259.2452893438</v>
      </c>
      <c r="AT304" s="15" t="n">
        <f aca="false">Motore_Operativo!CH304</f>
        <v>2645.22343628125</v>
      </c>
      <c r="AU304" s="15" t="n">
        <f aca="false">MIN(MAX(0,(AV303)+AT304),Parametri_v3!$C$60/12)</f>
        <v>0</v>
      </c>
      <c r="AV304" s="15" t="n">
        <f aca="false">(AV303)+AT304-AU304</f>
        <v>96354.0921853749</v>
      </c>
      <c r="AW304" s="15" t="n">
        <f aca="false">IF(AND(Motore_Operativo!C304=Finanziamenti!$D$6,Finanziamenti!$F$6=1),Finanziamenti!$C$6,0)</f>
        <v>0</v>
      </c>
      <c r="AX304" s="15" t="n">
        <f aca="false">IF(AND(5&lt;&gt;7,5&lt;&gt;9,Finanziamenti!$F$8=1,OR(Parametri_v3!$C$6=0,Finanziamenti!$E$8=1),Motore_Operativo!C304=EDATE(Finanziamenti!$D$8,Ipotesi!G15*12)),Finanziamenti!$C$8*1,0)+IF(AND(5&lt;&gt;7,5&lt;&gt;9,Finanziamenti!$F$9=1,OR(Parametri_v3!$C$6=0,Finanziamenti!$E$9=1),Motore_Operativo!C304=EDATE(Finanziamenti!$D$9,Ipotesi!G15*12)),Finanziamenti!$C$9*Ipotesi!G16,0)</f>
        <v>0</v>
      </c>
      <c r="AY304" s="15" t="n">
        <f aca="false">0</f>
        <v>0</v>
      </c>
      <c r="AZ304" s="15" t="n">
        <f aca="false">Motore_Advisory!AY304*(1-Ipotesi!$C$95)*Ipotesi!$C$96</f>
        <v>0</v>
      </c>
      <c r="BA304" s="15" t="n">
        <f aca="false">MAX(0,MIN(CG304*MIN(1,IF(Motore_Operativo!C304&gt;=EDATE(Finanziamenti!$D$15,Ipotesi!G14*12),Finanziamenti!$C$15,0)+IF(Motore_Operativo!C304&gt;=EDATE(Finanziamenti!$D$16,Ipotesi!G14*12),Finanziamenti!$C$16,0)+IF(Motore_Operativo!C304&gt;=EDATE(Finanziamenti!$D$17,Ipotesi!G14*12),Finanziamenti!$C$17,0)),CA304*Ipotesi!$C$102)-(CC303))</f>
        <v>0</v>
      </c>
      <c r="BB304" s="15" t="n">
        <f aca="false">IF(AND(CF304&gt;0,Motore_Operativo!C304&gt;=IF(CF304=0,0,EDATE(CF304,Parametri_v3!$C$37)),MOD(((D304-YEAR(IF(CF304=0,0,EDATE(CF304,Parametri_v3!$C$37))))*12+E304-MONTH(IF(CF304=0,0,EDATE(CF304,Parametri_v3!$C$37)))),Parametri_v3!$C$38)=0),MIN(MAX(0,(BC303)+BA304-N304),(CC304-CD304)/(Ipotesi!$C$108*12/Parametri_v3!$C$38)),0)</f>
        <v>9781.70111977641</v>
      </c>
      <c r="BC304" s="15" t="n">
        <f aca="false">(BC303)+BA304-N304-BB304</f>
        <v>176070.620155975</v>
      </c>
      <c r="BD304" s="15" t="n">
        <f aca="false">(BH303)+AC304+AF304-AI304-AS304-K304*(1+Parametri_v3!$C$26)-AL304-AQ304-O304+AW304+AX304+AZ304+BA304-BB304</f>
        <v>-541211.959652911</v>
      </c>
      <c r="BE304" s="15" t="n">
        <f aca="false">MAX(0,MIN(MAX(0,CH304-(BG303)),Parametri_v3!$C$30-BD304))</f>
        <v>0</v>
      </c>
      <c r="BF304" s="15" t="n">
        <f aca="false">IF(Motore_Operativo!C304&gt;=Parametri_v3!$C$63,(BG303),MIN((BG303),MAX(0,BD304-Parametri_v3!$C$30)))</f>
        <v>0</v>
      </c>
      <c r="BG304" s="15" t="n">
        <f aca="false">(BG303)+BE304-BF304</f>
        <v>150000</v>
      </c>
      <c r="BH304" s="15" t="n">
        <f aca="false">BD304+BE304-BF304-AY304</f>
        <v>-541211.959652911</v>
      </c>
      <c r="BI304" s="15" t="n">
        <f aca="false">MAX(0,Parametri_v3!$C$30-BH304)</f>
        <v>566211.959652911</v>
      </c>
      <c r="BJ304" s="15" t="n">
        <f aca="false">(BJ303)+K304</f>
        <v>165000</v>
      </c>
      <c r="BK304" s="15" t="n">
        <f aca="false">(BK303)+L304</f>
        <v>100000</v>
      </c>
      <c r="BL304" s="15" t="n">
        <f aca="false">BJ304-BK304</f>
        <v>64999.9999999999</v>
      </c>
      <c r="BM304" s="15" t="n">
        <f aca="false">(BM303)+Y304</f>
        <v>-1093082.49474892</v>
      </c>
      <c r="BN304" s="15" t="n">
        <f aca="false">(BN303)+AW304+AX304+AZ304</f>
        <v>430000</v>
      </c>
      <c r="BO304" s="15" t="n">
        <f aca="false">(BO303)+AY304</f>
        <v>0</v>
      </c>
      <c r="BP304" s="15" t="n">
        <f aca="false">0</f>
        <v>0</v>
      </c>
      <c r="BQ304" s="15" t="n">
        <f aca="false">BN304+BM304-BO304</f>
        <v>-663082.494748917</v>
      </c>
      <c r="BR304" s="15" t="n">
        <f aca="false">BH304+AD304+BL304+MAX(0,-AM304)+MAX(0,-AR304)+AG304</f>
        <v>-162948.465938516</v>
      </c>
      <c r="BS304" s="15" t="n">
        <f aca="false">AJ304+AV304+MAX(0,AM304)+MAX(0,AR304)+BC304+BG304+BQ304</f>
        <v>-162948.465938516</v>
      </c>
      <c r="BT304" s="15" t="n">
        <f aca="false">BR304-BS304</f>
        <v>0</v>
      </c>
      <c r="BU304" s="15" t="n">
        <f aca="false">BH304-(BD304+BE304-BF304-AY304)</f>
        <v>0</v>
      </c>
      <c r="BV304" s="15" t="n">
        <f aca="false">MIN(Piano_SS!$C$6,(BV303)+IF(AND(Motore_Operativo!C304&gt;=EDATE(Parametri_v3!$C$24,Ipotesi!G14*12),Motore_Operativo!C304&lt;EDATE(Parametri_v3!$C$24,Parametri_v3!$C$25+Ipotesi!G14*12)),MAX(0,(Motore_Operativo!Y304+Motore_Operativo!X304*Parametri_v3!$C$14)*(1-Parametri_v3!$C$32))*Piano_SS!$D$6,0))</f>
        <v>190877.54836875</v>
      </c>
      <c r="BW304" s="15" t="n">
        <f aca="false">MIN(Piano_SS!$C$7,(BW303)+IF(AND(Motore_Operativo!C304&gt;=EDATE(Parametri_v3!$C$24,Ipotesi!G14*12),Motore_Operativo!C304&lt;EDATE(Parametri_v3!$C$24,Parametri_v3!$C$25+Ipotesi!G14*12)),MAX(0,(IF(60-(INT((Ipotesi!$C$91)/30))&lt;1,0,INDEX(Motore_Operativo!$BN$245:$BN$304,MAX(1,60-(INT((Ipotesi!$C$91)/30)))))*(1-(MOD((Ipotesi!$C$91),30)/30))+IF(60-(INT((Ipotesi!$C$91)/30))-1&lt;1,0,INDEX(Motore_Operativo!$BN$245:$BN$304,MAX(1,60-(INT((Ipotesi!$C$91)/30))-1)))*(MOD((Ipotesi!$C$91),30)/30)))*Piano_SS!$D$7,0))</f>
        <v>25611.7773375503</v>
      </c>
      <c r="BX304" s="15" t="n">
        <f aca="false">MIN(Piano_SS!$C$8,(BX303)+IF(AND(Motore_Operativo!C304&gt;=EDATE(Parametri_v3!$C$24,Ipotesi!G14*12),Motore_Operativo!C304&lt;EDATE(Parametri_v3!$C$24,Parametri_v3!$C$25+Ipotesi!G14*12)),MAX(0,Motore_Operativo!CE304)*Piano_SS!$D$8,0))</f>
        <v>50000</v>
      </c>
      <c r="BY304" s="15" t="n">
        <f aca="false">MIN(Piano_SS!$C$9,(BY303)+IF(AND(Motore_Operativo!C304&gt;=EDATE(Parametri_v3!$C$24,Ipotesi!G14*12),Motore_Operativo!C304&lt;EDATE(Parametri_v3!$C$24,Parametri_v3!$C$25+Ipotesi!G14*12)),MAX(0,((IF(60-(INT((Ipotesi!$C$91)/30))&lt;1,0,INDEX(Motore_Operativo!$BQ$245:$BQ$304,MAX(1,60-(INT((Ipotesi!$C$91)/30)))))*(1-(MOD((Ipotesi!$C$91),30)/30))+IF(60-(INT((Ipotesi!$C$91)/30))-1&lt;1,0,INDEX(Motore_Operativo!$BQ$245:$BQ$304,MAX(1,60-(INT((Ipotesi!$C$91)/30))-1)))*(MOD((Ipotesi!$C$91),30)/30))+(IF(60-(INT((Ipotesi!$C$91)/30))&lt;1,0,INDEX(Motore_Operativo!$BR$245:$BR$304,MAX(1,60-(INT((Ipotesi!$C$91)/30)))))*(1-(MOD((Ipotesi!$C$91),30)/30))+IF(60-(INT((Ipotesi!$C$91)/30))-1&lt;1,0,INDEX(Motore_Operativo!$BR$245:$BR$304,MAX(1,60-(INT((Ipotesi!$C$91)/30))-1)))*(MOD((Ipotesi!$C$91),30)/30))))*Piano_SS!$D$9,0))</f>
        <v>40000</v>
      </c>
      <c r="BZ304" s="15" t="n">
        <f aca="false">MIN(Piano_SS!$C$10,(BZ303)+IF(AND(Motore_Operativo!C304&gt;=EDATE(Parametri_v3!$C$24,Ipotesi!G14*12),Motore_Operativo!C304&lt;EDATE(Parametri_v3!$C$24,Parametri_v3!$C$25+Ipotesi!G14*12)),MAX(0,(IF(60-(INT((Ipotesi!$C$91)/30))&lt;1,0,INDEX(Motore_Operativo!$BO$245:$BO$304,MAX(1,60-(INT((Ipotesi!$C$91)/30)))))*(1-(MOD((Ipotesi!$C$91),30)/30))+IF(60-(INT((Ipotesi!$C$91)/30))-1&lt;1,0,INDEX(Motore_Operativo!$BO$245:$BO$304,MAX(1,60-(INT((Ipotesi!$C$91)/30))-1)))*(MOD((Ipotesi!$C$91),30)/30)))*Piano_SS!$D$10,0))</f>
        <v>30000</v>
      </c>
      <c r="CA304" s="15" t="n">
        <f aca="false">SUM(BV304:BZ304)</f>
        <v>336489.3257063</v>
      </c>
      <c r="CB304" s="15" t="n">
        <f aca="false">BV304*(1-Piano_SS!$E$6)+BW304*(1-Piano_SS!$E$7)+BX304*(1-Piano_SS!$E$8)+BY304*(1-Piano_SS!$E$9)+BZ304*(1-Piano_SS!$E$10)</f>
        <v>306489.3257063</v>
      </c>
      <c r="CC304" s="15" t="n">
        <f aca="false">(CC303)+BA304</f>
        <v>269191.46056504</v>
      </c>
      <c r="CD304" s="15" t="n">
        <f aca="false">IF(CA304=0,0,CC304*CB304/CA304*Ipotesi!$C$103*Parametri_v3!$C$64)</f>
        <v>73557.4381695121</v>
      </c>
      <c r="CE304" s="18" t="n">
        <f aca="false">IF(BA304&gt;0,Motore_Operativo!C304,(CE303))</f>
        <v>47635</v>
      </c>
      <c r="CF304" s="18" t="n">
        <f aca="false">IF(AND(CC304&gt;0,OR(CC304&gt;=CG304-0.01,Motore_Operativo!C304&gt;=EDATE(MAX(Finanziamenti!$D$15:$D$17),Ipotesi!G14*12))),CE304,0)</f>
        <v>47635</v>
      </c>
      <c r="CG304" s="15" t="n">
        <f aca="false">IF(AND(5&lt;&gt;6,5&lt;&gt;9,Finanziamenti!$F$11=1,OR(Parametri_v3!$C$6=0,Finanziamenti!$E$11=1)),MIN(Finanziamenti!$C$11,Piano_SS!$C$12*Ipotesi!$C$102),0)</f>
        <v>400000</v>
      </c>
      <c r="CH304" s="15" t="n">
        <f aca="false">IF(AND(AND(5&lt;&gt;8,5&lt;&gt;9,Finanziamenti!$F$10=1,OR(Parametri_v3!$C$6=0,Finanziamenti!$E$10=1)),Motore_Operativo!C304&gt;=Finanziamenti!$D$10,Motore_Operativo!C304&lt;Parametri_v3!$C$63),Finanziamenti!$C$10,0)</f>
        <v>150000</v>
      </c>
    </row>
    <row r="305" customFormat="false" ht="18" hidden="false" customHeight="true" outlineLevel="0" collapsed="false">
      <c r="A305" s="68" t="n">
        <f aca="false">6</f>
        <v>6</v>
      </c>
      <c r="B305" s="68" t="n">
        <f aca="false">1</f>
        <v>1</v>
      </c>
      <c r="C305" s="18" t="n">
        <f aca="false">Motore_Operativo!C305</f>
        <v>46388</v>
      </c>
      <c r="D305" s="68" t="n">
        <f aca="false">Motore_Operativo!D305</f>
        <v>2027</v>
      </c>
      <c r="E305" s="68" t="n">
        <f aca="false">Motore_Operativo!E305</f>
        <v>1</v>
      </c>
      <c r="F305" s="15" t="n">
        <f aca="false">Motore_Operativo!AQ305+Motore_Operativo!BF305</f>
        <v>7500</v>
      </c>
      <c r="G305" s="15" t="n">
        <f aca="false">Motore_Operativo!BH305</f>
        <v>1621.05263157895</v>
      </c>
      <c r="H305" s="15" t="n">
        <f aca="false">Motore_Operativo!BI305</f>
        <v>9121.05263157895</v>
      </c>
      <c r="I305" s="15" t="n">
        <f aca="false">Motore_Operativo!CA305</f>
        <v>27738.2149122807</v>
      </c>
      <c r="J305" s="15" t="n">
        <f aca="false">Motore_Operativo!CC305</f>
        <v>-18617.1622807018</v>
      </c>
      <c r="K305" s="15" t="n">
        <f aca="false">Motore_Operativo!CE305</f>
        <v>1666.66666666667</v>
      </c>
      <c r="L305" s="15" t="n">
        <f aca="false">SUM(INDEX($K$305:$K$364,MAX(1,1-Parametri_v3!$C$59+1)):K305)/Parametri_v3!$C$59</f>
        <v>46.2962962962963</v>
      </c>
      <c r="M305" s="15" t="n">
        <f aca="false">J305-L305</f>
        <v>-18663.4585769981</v>
      </c>
      <c r="N305" s="15" t="n">
        <f aca="false">CD305-(0)</f>
        <v>0</v>
      </c>
      <c r="O305" s="15" t="n">
        <f aca="false">(0)*Ipotesi!$C$110/12+CH305*Parametri_v3!$C$39/12</f>
        <v>0</v>
      </c>
      <c r="P305" s="15" t="n">
        <f aca="false">M305+N305-O305</f>
        <v>-18663.4585769981</v>
      </c>
      <c r="Q305" s="15" t="n">
        <f aca="false">SUM(P305)+Parametri_v3!$C$54*1/12</f>
        <v>-18663.4585769981</v>
      </c>
      <c r="R305" s="15" t="n">
        <f aca="false">0</f>
        <v>0</v>
      </c>
      <c r="S305" s="15" t="n">
        <f aca="false">0</f>
        <v>0</v>
      </c>
      <c r="T305" s="15" t="n">
        <f aca="false">MIN(R305,MAX(0,Q305))</f>
        <v>0</v>
      </c>
      <c r="U305" s="15" t="n">
        <f aca="false">MIN(S305,MAX(0,Q305-T305)*Parametri_v3!$C$42)</f>
        <v>0</v>
      </c>
      <c r="V305" s="15" t="n">
        <f aca="false">MAX(0,Q305-T305-U305)*Ipotesi!$C$92</f>
        <v>0</v>
      </c>
      <c r="W305" s="15" t="n">
        <f aca="false">MAX(0,SUM(M305)+Parametri_v3!$C$55*1/12)*Ipotesi!$C$93</f>
        <v>0</v>
      </c>
      <c r="X305" s="15" t="n">
        <f aca="false">V305+W305-(0)</f>
        <v>0</v>
      </c>
      <c r="Y305" s="15" t="n">
        <f aca="false">P305-X305</f>
        <v>-18663.4585769981</v>
      </c>
      <c r="Z305" s="15" t="n">
        <f aca="false">R305-T305+IF(AND(Parametri_v3!$C$40=1,D305-YEAR(Parametri_v3!$C$50)&lt;Parametri_v3!$C$41),MAX(0,-Q305),0)</f>
        <v>18663.4585769981</v>
      </c>
      <c r="AA305" s="15" t="n">
        <f aca="false">S305-U305+IF(AND(Parametri_v3!$C$40=1,D305-YEAR(Parametri_v3!$C$50)&lt;Parametri_v3!$C$41),0,MAX(0,-Q305))</f>
        <v>0</v>
      </c>
      <c r="AB305" s="15" t="n">
        <f aca="false">F305*(1+Parametri_v3!$C$26)</f>
        <v>9150</v>
      </c>
      <c r="AC305" s="15" t="n">
        <f aca="false">(IF(1-(INT((Motore_Operativo!L305)/30))&lt;1,0,INDEX(Motore_Startup!$AB$305:$AB$364,MAX(1,1-(INT((Motore_Operativo!L305)/30)))))*(1-(MOD((Motore_Operativo!L305),30)/30))+IF(1-(INT((Motore_Operativo!L305)/30))-1&lt;1,0,INDEX(Motore_Startup!$AB$305:$AB$364,MAX(1,1-(INT((Motore_Operativo!L305)/30))-1)))*(MOD((Motore_Operativo!L305),30)/30))</f>
        <v>0</v>
      </c>
      <c r="AD305" s="15" t="n">
        <f aca="false">(0)+AB305-AC305</f>
        <v>9150</v>
      </c>
      <c r="AE305" s="15" t="n">
        <f aca="false">Motore_Operativo!BH305*(1+Parametri_v3!$C$26)</f>
        <v>1977.68421052632</v>
      </c>
      <c r="AF305" s="15" t="n">
        <f aca="false">(IF(1-(INT((Parametri_v3!$C$29)/30))&lt;1,0,INDEX(Motore_Operativo!$BH$305:$BH$364,MAX(1,1-(INT((Parametri_v3!$C$29)/30)))))*(1-(MOD((Parametri_v3!$C$29),30)/30))+IF(1-(INT((Parametri_v3!$C$29)/30))-1&lt;1,0,INDEX(Motore_Operativo!$BH$305:$BH$364,MAX(1,1-(INT((Parametri_v3!$C$29)/30))-1)))*(MOD((Parametri_v3!$C$29),30)/30))*(1+Parametri_v3!$C$26)</f>
        <v>0</v>
      </c>
      <c r="AG305" s="15" t="n">
        <f aca="false">(0)+AE305-AF305</f>
        <v>1977.68421052632</v>
      </c>
      <c r="AH305" s="15" t="n">
        <f aca="false">(Motore_Operativo!CJ305)*(1+Parametri_v3!$C$27*Parametri_v3!$C$26)</f>
        <v>11658.1777675439</v>
      </c>
      <c r="AI305" s="15" t="n">
        <f aca="false">(IF(1-(INT((Ipotesi!$C$91)/30))&lt;1,0,INDEX(Motore_Startup!$AH$305:$AH$364,MAX(1,1-(INT((Ipotesi!$C$91)/30)))))*(1-(MOD((Ipotesi!$C$91),30)/30))+IF(1-(INT((Ipotesi!$C$91)/30))-1&lt;1,0,INDEX(Motore_Startup!$AH$305:$AH$364,MAX(1,1-(INT((Ipotesi!$C$91)/30))-1)))*(MOD((Ipotesi!$C$91),30)/30))</f>
        <v>0</v>
      </c>
      <c r="AJ305" s="15" t="n">
        <f aca="false">(0)+AH305-AI305</f>
        <v>11658.1777675439</v>
      </c>
      <c r="AK305" s="15" t="n">
        <f aca="false">(F305+ Motore_Operativo!BH305-(Motore_Operativo!CJ305)*Parametri_v3!$C$27-Motore_Operativo!CE305)*Parametri_v3!$C$26</f>
        <v>-196.664609649123</v>
      </c>
      <c r="AL305" s="15" t="n">
        <f aca="false">MAX(0,(0))</f>
        <v>0</v>
      </c>
      <c r="AM305" s="15" t="n">
        <f aca="false">(0)+AK305-AL305</f>
        <v>-196.664609649123</v>
      </c>
      <c r="AN305" s="15" t="n">
        <f aca="false">0</f>
        <v>0</v>
      </c>
      <c r="AO305" s="15" t="n">
        <f aca="false">0</f>
        <v>0</v>
      </c>
      <c r="AP305" s="15" t="n">
        <f aca="false">MAX(0,AN305)*IF(1=Parametri_v3!$C$43,Parametri_v3!$C$45,IF(1=Parametri_v3!$C$44,1-Parametri_v3!$C$45,0))</f>
        <v>0</v>
      </c>
      <c r="AQ305" s="15" t="n">
        <f aca="false">MAX(0,AP305+IF(1=Parametri_v3!$C$43,MAX(0,AN305-AO305),0)-MAX(0,-(0)))</f>
        <v>0</v>
      </c>
      <c r="AR305" s="15" t="n">
        <f aca="false">(0)+X305-AQ305</f>
        <v>0</v>
      </c>
      <c r="AS305" s="15" t="n">
        <f aca="false">Motore_Operativo!AB305-AT305+AU305</f>
        <v>17020.8333333333</v>
      </c>
      <c r="AT305" s="15" t="n">
        <f aca="false">Motore_Operativo!CH305</f>
        <v>895.833333333334</v>
      </c>
      <c r="AU305" s="15" t="n">
        <f aca="false">MIN(MAX(0,(0)+AT305),Parametri_v3!$C$60/12)</f>
        <v>0</v>
      </c>
      <c r="AV305" s="15" t="n">
        <f aca="false">(0)+AT305-AU305</f>
        <v>895.833333333334</v>
      </c>
      <c r="AW305" s="15" t="n">
        <f aca="false">IF(AND(Motore_Operativo!C305=Finanziamenti!$D$6,Finanziamenti!$F$6=1),Finanziamenti!$C$6,0)</f>
        <v>130000</v>
      </c>
      <c r="AX305" s="15" t="n">
        <f aca="false">IF(AND(6&lt;&gt;7,6&lt;&gt;9,Finanziamenti!$F$8=1,OR(Parametri_v3!$C$6=0,Finanziamenti!$E$8=1),Motore_Operativo!C305=EDATE(Finanziamenti!$D$8,Ipotesi!H15*12)),Finanziamenti!$C$8*1,0)+IF(AND(6&lt;&gt;7,6&lt;&gt;9,Finanziamenti!$F$9=1,OR(Parametri_v3!$C$6=0,Finanziamenti!$E$9=1),Motore_Operativo!C305=EDATE(Finanziamenti!$D$9,Ipotesi!H15*12)),Finanziamenti!$C$9*Ipotesi!H16,0)</f>
        <v>0</v>
      </c>
      <c r="AY305" s="15" t="n">
        <f aca="false">0</f>
        <v>0</v>
      </c>
      <c r="AZ305" s="15" t="n">
        <f aca="false">Motore_Advisory!AY305*(1-Ipotesi!$C$95)*Ipotesi!$C$96</f>
        <v>0</v>
      </c>
      <c r="BA305" s="15" t="n">
        <f aca="false">MAX(0,MIN(CG305*MIN(1,IF(Motore_Operativo!C305&gt;=EDATE(Finanziamenti!$D$15,Ipotesi!H14*12),Finanziamenti!$C$15,0)+IF(Motore_Operativo!C305&gt;=EDATE(Finanziamenti!$D$16,Ipotesi!H14*12),Finanziamenti!$C$16,0)+IF(Motore_Operativo!C305&gt;=EDATE(Finanziamenti!$D$17,Ipotesi!H14*12),Finanziamenti!$C$17,0)),CA305*Ipotesi!$C$102)-(0))</f>
        <v>0</v>
      </c>
      <c r="BB305" s="15" t="n">
        <f aca="false">IF(AND(CF305&gt;0,Motore_Operativo!C305&gt;=IF(CF305=0,0,EDATE(CF305,Parametri_v3!$C$37)),MOD(((D305-YEAR(IF(CF305=0,0,EDATE(CF305,Parametri_v3!$C$37))))*12+E305-MONTH(IF(CF305=0,0,EDATE(CF305,Parametri_v3!$C$37)))),Parametri_v3!$C$38)=0),MIN(MAX(0,(0)+BA305-N305),(CC305-CD305)/(Ipotesi!$C$108*12/Parametri_v3!$C$38)),0)</f>
        <v>0</v>
      </c>
      <c r="BC305" s="15" t="n">
        <f aca="false">(0)+BA305-N305-BB305</f>
        <v>0</v>
      </c>
      <c r="BD305" s="15" t="n">
        <f aca="false">(0)+AC305+AF305-AI305-AS305-K305*(1+Parametri_v3!$C$26)-AL305-AQ305-O305+AW305+AX305+AZ305+BA305-BB305</f>
        <v>110945.833333333</v>
      </c>
      <c r="BE305" s="15" t="n">
        <f aca="false">MAX(0,MIN(MAX(0,CH305-(0)),Parametri_v3!$C$30-BD305))</f>
        <v>0</v>
      </c>
      <c r="BF305" s="15" t="n">
        <f aca="false">IF(Motore_Operativo!C305&gt;=Parametri_v3!$C$63,(0),MIN((0),MAX(0,BD305-Parametri_v3!$C$30)))</f>
        <v>0</v>
      </c>
      <c r="BG305" s="15" t="n">
        <f aca="false">(0)+BE305-BF305</f>
        <v>0</v>
      </c>
      <c r="BH305" s="15" t="n">
        <f aca="false">BD305+BE305-BF305-AY305</f>
        <v>110945.833333333</v>
      </c>
      <c r="BI305" s="15" t="n">
        <f aca="false">MAX(0,Parametri_v3!$C$30-BH305)</f>
        <v>0</v>
      </c>
      <c r="BJ305" s="15" t="n">
        <f aca="false">(0)+K305</f>
        <v>1666.66666666667</v>
      </c>
      <c r="BK305" s="15" t="n">
        <f aca="false">(0)+L305</f>
        <v>46.2962962962963</v>
      </c>
      <c r="BL305" s="15" t="n">
        <f aca="false">BJ305-BK305</f>
        <v>1620.37037037037</v>
      </c>
      <c r="BM305" s="15" t="n">
        <f aca="false">(0)+Y305</f>
        <v>-18663.4585769981</v>
      </c>
      <c r="BN305" s="15" t="n">
        <f aca="false">(0)+AW305+AX305+AZ305</f>
        <v>130000</v>
      </c>
      <c r="BO305" s="15" t="n">
        <f aca="false">(0)+AY305</f>
        <v>0</v>
      </c>
      <c r="BP305" s="15" t="n">
        <f aca="false">0</f>
        <v>0</v>
      </c>
      <c r="BQ305" s="15" t="n">
        <f aca="false">BN305+BM305-BO305</f>
        <v>111336.541423002</v>
      </c>
      <c r="BR305" s="15" t="n">
        <f aca="false">BH305+AD305+BL305+MAX(0,-AM305)+MAX(0,-AR305)+AG305</f>
        <v>123890.552523879</v>
      </c>
      <c r="BS305" s="15" t="n">
        <f aca="false">AJ305+AV305+MAX(0,AM305)+MAX(0,AR305)+BC305+BG305+BQ305</f>
        <v>123890.552523879</v>
      </c>
      <c r="BT305" s="15" t="n">
        <f aca="false">BR305-BS305</f>
        <v>0</v>
      </c>
      <c r="BU305" s="15" t="n">
        <f aca="false">BH305-(BD305+BE305-BF305-AY305)</f>
        <v>0</v>
      </c>
      <c r="BV305" s="15" t="n">
        <f aca="false">MIN(Piano_SS!$C$6,(0)+IF(AND(Motore_Operativo!C305&gt;=EDATE(Parametri_v3!$C$24,Ipotesi!H14*12),Motore_Operativo!C305&lt;EDATE(Parametri_v3!$C$24,Parametri_v3!$C$25+Ipotesi!H14*12)),MAX(0,(Motore_Operativo!Y305+Motore_Operativo!X305*Parametri_v3!$C$14)*(1-Parametri_v3!$C$32))*Piano_SS!$D$6,0))</f>
        <v>0</v>
      </c>
      <c r="BW305" s="15" t="n">
        <f aca="false">MIN(Piano_SS!$C$7,(0)+IF(AND(Motore_Operativo!C305&gt;=EDATE(Parametri_v3!$C$24,Ipotesi!H14*12),Motore_Operativo!C305&lt;EDATE(Parametri_v3!$C$24,Parametri_v3!$C$25+Ipotesi!H14*12)),MAX(0,(IF(1-(INT((Ipotesi!$C$91)/30))&lt;1,0,INDEX(Motore_Operativo!$BN$305:$BN$364,MAX(1,1-(INT((Ipotesi!$C$91)/30)))))*(1-(MOD((Ipotesi!$C$91),30)/30))+IF(1-(INT((Ipotesi!$C$91)/30))-1&lt;1,0,INDEX(Motore_Operativo!$BN$305:$BN$364,MAX(1,1-(INT((Ipotesi!$C$91)/30))-1)))*(MOD((Ipotesi!$C$91),30)/30)))*Piano_SS!$D$7,0))</f>
        <v>0</v>
      </c>
      <c r="BX305" s="15" t="n">
        <f aca="false">MIN(Piano_SS!$C$8,(0)+IF(AND(Motore_Operativo!C305&gt;=EDATE(Parametri_v3!$C$24,Ipotesi!H14*12),Motore_Operativo!C305&lt;EDATE(Parametri_v3!$C$24,Parametri_v3!$C$25+Ipotesi!H14*12)),MAX(0,Motore_Operativo!CE305)*Piano_SS!$D$8,0))</f>
        <v>0</v>
      </c>
      <c r="BY305" s="15" t="n">
        <f aca="false">MIN(Piano_SS!$C$9,(0)+IF(AND(Motore_Operativo!C305&gt;=EDATE(Parametri_v3!$C$24,Ipotesi!H14*12),Motore_Operativo!C305&lt;EDATE(Parametri_v3!$C$24,Parametri_v3!$C$25+Ipotesi!H14*12)),MAX(0,((IF(1-(INT((Ipotesi!$C$91)/30))&lt;1,0,INDEX(Motore_Operativo!$BQ$305:$BQ$364,MAX(1,1-(INT((Ipotesi!$C$91)/30)))))*(1-(MOD((Ipotesi!$C$91),30)/30))+IF(1-(INT((Ipotesi!$C$91)/30))-1&lt;1,0,INDEX(Motore_Operativo!$BQ$305:$BQ$364,MAX(1,1-(INT((Ipotesi!$C$91)/30))-1)))*(MOD((Ipotesi!$C$91),30)/30))+(IF(1-(INT((Ipotesi!$C$91)/30))&lt;1,0,INDEX(Motore_Operativo!$BR$305:$BR$364,MAX(1,1-(INT((Ipotesi!$C$91)/30)))))*(1-(MOD((Ipotesi!$C$91),30)/30))+IF(1-(INT((Ipotesi!$C$91)/30))-1&lt;1,0,INDEX(Motore_Operativo!$BR$305:$BR$364,MAX(1,1-(INT((Ipotesi!$C$91)/30))-1)))*(MOD((Ipotesi!$C$91),30)/30))))*Piano_SS!$D$9,0))</f>
        <v>0</v>
      </c>
      <c r="BZ305" s="15" t="n">
        <f aca="false">MIN(Piano_SS!$C$10,(0)+IF(AND(Motore_Operativo!C305&gt;=EDATE(Parametri_v3!$C$24,Ipotesi!H14*12),Motore_Operativo!C305&lt;EDATE(Parametri_v3!$C$24,Parametri_v3!$C$25+Ipotesi!H14*12)),MAX(0,(IF(1-(INT((Ipotesi!$C$91)/30))&lt;1,0,INDEX(Motore_Operativo!$BO$305:$BO$364,MAX(1,1-(INT((Ipotesi!$C$91)/30)))))*(1-(MOD((Ipotesi!$C$91),30)/30))+IF(1-(INT((Ipotesi!$C$91)/30))-1&lt;1,0,INDEX(Motore_Operativo!$BO$305:$BO$364,MAX(1,1-(INT((Ipotesi!$C$91)/30))-1)))*(MOD((Ipotesi!$C$91),30)/30)))*Piano_SS!$D$10,0))</f>
        <v>0</v>
      </c>
      <c r="CA305" s="15" t="n">
        <f aca="false">SUM(BV305:BZ305)</f>
        <v>0</v>
      </c>
      <c r="CB305" s="15" t="n">
        <f aca="false">BV305*(1-Piano_SS!$E$6)+BW305*(1-Piano_SS!$E$7)+BX305*(1-Piano_SS!$E$8)+BY305*(1-Piano_SS!$E$9)+BZ305*(1-Piano_SS!$E$10)</f>
        <v>0</v>
      </c>
      <c r="CC305" s="15" t="n">
        <f aca="false">(0)+BA305</f>
        <v>0</v>
      </c>
      <c r="CD305" s="15" t="n">
        <f aca="false">IF(CA305=0,0,CC305*CB305/CA305*Ipotesi!$C$103*Parametri_v3!$C$64)</f>
        <v>0</v>
      </c>
      <c r="CE305" s="18" t="n">
        <f aca="false">IF(BA305&gt;0,Motore_Operativo!C305,(0))</f>
        <v>0</v>
      </c>
      <c r="CF305" s="18" t="n">
        <f aca="false">IF(AND(CC305&gt;0,OR(CC305&gt;=CG305-0.01,Motore_Operativo!C305&gt;=EDATE(MAX(Finanziamenti!$D$15:$D$17),Ipotesi!H14*12))),CE305,0)</f>
        <v>0</v>
      </c>
      <c r="CG305" s="15" t="n">
        <f aca="false">IF(AND(6&lt;&gt;6,6&lt;&gt;9,Finanziamenti!$F$11=1,OR(Parametri_v3!$C$6=0,Finanziamenti!$E$11=1)),MIN(Finanziamenti!$C$11,Piano_SS!$C$12*Ipotesi!$C$102),0)</f>
        <v>0</v>
      </c>
      <c r="CH305" s="15" t="n">
        <f aca="false">IF(AND(AND(6&lt;&gt;8,6&lt;&gt;9,Finanziamenti!$F$10=1,OR(Parametri_v3!$C$6=0,Finanziamenti!$E$10=1)),Motore_Operativo!C305&gt;=Finanziamenti!$D$10,Motore_Operativo!C305&lt;Parametri_v3!$C$63),Finanziamenti!$C$10,0)</f>
        <v>150000</v>
      </c>
    </row>
    <row r="306" customFormat="false" ht="18" hidden="false" customHeight="true" outlineLevel="0" collapsed="false">
      <c r="A306" s="68" t="n">
        <f aca="false">6</f>
        <v>6</v>
      </c>
      <c r="B306" s="68" t="n">
        <f aca="false">2</f>
        <v>2</v>
      </c>
      <c r="C306" s="18" t="n">
        <f aca="false">Motore_Operativo!C306</f>
        <v>46419</v>
      </c>
      <c r="D306" s="68" t="n">
        <f aca="false">Motore_Operativo!D306</f>
        <v>2027</v>
      </c>
      <c r="E306" s="68" t="n">
        <f aca="false">Motore_Operativo!E306</f>
        <v>2</v>
      </c>
      <c r="F306" s="15" t="n">
        <f aca="false">Motore_Operativo!AQ306+Motore_Operativo!BF306</f>
        <v>7500</v>
      </c>
      <c r="G306" s="15" t="n">
        <f aca="false">Motore_Operativo!BH306</f>
        <v>1621.05263157895</v>
      </c>
      <c r="H306" s="15" t="n">
        <f aca="false">Motore_Operativo!BI306</f>
        <v>9121.05263157895</v>
      </c>
      <c r="I306" s="15" t="n">
        <f aca="false">Motore_Operativo!CA306</f>
        <v>27738.2149122807</v>
      </c>
      <c r="J306" s="15" t="n">
        <f aca="false">Motore_Operativo!CC306</f>
        <v>-18617.1622807018</v>
      </c>
      <c r="K306" s="15" t="n">
        <f aca="false">Motore_Operativo!CE306</f>
        <v>1666.66666666667</v>
      </c>
      <c r="L306" s="15" t="n">
        <f aca="false">SUM(INDEX($K$305:$K$364,MAX(1,2-Parametri_v3!$C$59+1)):K306)/Parametri_v3!$C$59</f>
        <v>92.5925925925926</v>
      </c>
      <c r="M306" s="15" t="n">
        <f aca="false">J306-L306</f>
        <v>-18709.7548732943</v>
      </c>
      <c r="N306" s="15" t="n">
        <f aca="false">CD306-(CD305)</f>
        <v>0</v>
      </c>
      <c r="O306" s="15" t="n">
        <f aca="false">(BG305)*Ipotesi!$C$110/12+CH306*Parametri_v3!$C$39/12</f>
        <v>0</v>
      </c>
      <c r="P306" s="15" t="n">
        <f aca="false">M306+N306-O306</f>
        <v>-18709.7548732943</v>
      </c>
      <c r="Q306" s="15" t="n">
        <f aca="false">SUM(P305:P306)+Parametri_v3!$C$54*2/12</f>
        <v>-37373.2134502924</v>
      </c>
      <c r="R306" s="15" t="n">
        <f aca="false">0</f>
        <v>0</v>
      </c>
      <c r="S306" s="15" t="n">
        <f aca="false">0</f>
        <v>0</v>
      </c>
      <c r="T306" s="15" t="n">
        <f aca="false">MIN(R306,MAX(0,Q306))</f>
        <v>0</v>
      </c>
      <c r="U306" s="15" t="n">
        <f aca="false">MIN(S306,MAX(0,Q306-T306)*Parametri_v3!$C$42)</f>
        <v>0</v>
      </c>
      <c r="V306" s="15" t="n">
        <f aca="false">MAX(0,Q306-T306-U306)*Ipotesi!$C$92</f>
        <v>0</v>
      </c>
      <c r="W306" s="15" t="n">
        <f aca="false">MAX(0,SUM(M305:M306)+Parametri_v3!$C$55*2/12)*Ipotesi!$C$93</f>
        <v>0</v>
      </c>
      <c r="X306" s="15" t="n">
        <f aca="false">V306+W306-(V305+W305)</f>
        <v>0</v>
      </c>
      <c r="Y306" s="15" t="n">
        <f aca="false">P306-X306</f>
        <v>-18709.7548732943</v>
      </c>
      <c r="Z306" s="15" t="n">
        <f aca="false">R306-T306+IF(AND(Parametri_v3!$C$40=1,D306-YEAR(Parametri_v3!$C$50)&lt;Parametri_v3!$C$41),MAX(0,-Q306),0)</f>
        <v>37373.2134502924</v>
      </c>
      <c r="AA306" s="15" t="n">
        <f aca="false">S306-U306+IF(AND(Parametri_v3!$C$40=1,D306-YEAR(Parametri_v3!$C$50)&lt;Parametri_v3!$C$41),0,MAX(0,-Q306))</f>
        <v>0</v>
      </c>
      <c r="AB306" s="15" t="n">
        <f aca="false">F306*(1+Parametri_v3!$C$26)</f>
        <v>9150</v>
      </c>
      <c r="AC306" s="15" t="n">
        <f aca="false">(IF(2-(INT((Motore_Operativo!L306)/30))&lt;1,0,INDEX(Motore_Startup!$AB$305:$AB$364,MAX(1,2-(INT((Motore_Operativo!L306)/30)))))*(1-(MOD((Motore_Operativo!L306),30)/30))+IF(2-(INT((Motore_Operativo!L306)/30))-1&lt;1,0,INDEX(Motore_Startup!$AB$305:$AB$364,MAX(1,2-(INT((Motore_Operativo!L306)/30))-1)))*(MOD((Motore_Operativo!L306),30)/30))</f>
        <v>0</v>
      </c>
      <c r="AD306" s="15" t="n">
        <f aca="false">(AD305)+AB306-AC306</f>
        <v>18300</v>
      </c>
      <c r="AE306" s="15" t="n">
        <f aca="false">Motore_Operativo!BH306*(1+Parametri_v3!$C$26)</f>
        <v>1977.68421052632</v>
      </c>
      <c r="AF306" s="15" t="n">
        <f aca="false">(IF(2-(INT((Parametri_v3!$C$29)/30))&lt;1,0,INDEX(Motore_Operativo!$BH$305:$BH$364,MAX(1,2-(INT((Parametri_v3!$C$29)/30)))))*(1-(MOD((Parametri_v3!$C$29),30)/30))+IF(2-(INT((Parametri_v3!$C$29)/30))-1&lt;1,0,INDEX(Motore_Operativo!$BH$305:$BH$364,MAX(1,2-(INT((Parametri_v3!$C$29)/30))-1)))*(MOD((Parametri_v3!$C$29),30)/30))*(1+Parametri_v3!$C$26)</f>
        <v>1977.68421052632</v>
      </c>
      <c r="AG306" s="15" t="n">
        <f aca="false">(AG305)+AE306-AF306</f>
        <v>1977.68421052632</v>
      </c>
      <c r="AH306" s="15" t="n">
        <f aca="false">(Motore_Operativo!CJ306)*(1+Parametri_v3!$C$27*Parametri_v3!$C$26)</f>
        <v>11658.1777675439</v>
      </c>
      <c r="AI306" s="15" t="n">
        <f aca="false">(IF(2-(INT((Ipotesi!$C$91)/30))&lt;1,0,INDEX(Motore_Startup!$AH$305:$AH$364,MAX(1,2-(INT((Ipotesi!$C$91)/30)))))*(1-(MOD((Ipotesi!$C$91),30)/30))+IF(2-(INT((Ipotesi!$C$91)/30))-1&lt;1,0,INDEX(Motore_Startup!$AH$305:$AH$364,MAX(1,2-(INT((Ipotesi!$C$91)/30))-1)))*(MOD((Ipotesi!$C$91),30)/30))</f>
        <v>0</v>
      </c>
      <c r="AJ306" s="15" t="n">
        <f aca="false">(AJ305)+AH306-AI306</f>
        <v>23316.3555350877</v>
      </c>
      <c r="AK306" s="15" t="n">
        <f aca="false">(F306+ Motore_Operativo!BH306-(Motore_Operativo!CJ306)*Parametri_v3!$C$27-Motore_Operativo!CE306)*Parametri_v3!$C$26</f>
        <v>-196.664609649123</v>
      </c>
      <c r="AL306" s="15" t="n">
        <f aca="false">MAX(0,(AM305))</f>
        <v>0</v>
      </c>
      <c r="AM306" s="15" t="n">
        <f aca="false">(AM305)+AK306-AL306</f>
        <v>-393.329219298245</v>
      </c>
      <c r="AN306" s="15" t="n">
        <f aca="false">0</f>
        <v>0</v>
      </c>
      <c r="AO306" s="15" t="n">
        <f aca="false">0</f>
        <v>0</v>
      </c>
      <c r="AP306" s="15" t="n">
        <f aca="false">MAX(0,AN306)*IF(2=Parametri_v3!$C$43,Parametri_v3!$C$45,IF(2=Parametri_v3!$C$44,1-Parametri_v3!$C$45,0))</f>
        <v>0</v>
      </c>
      <c r="AQ306" s="15" t="n">
        <f aca="false">MAX(0,AP306+IF(2=Parametri_v3!$C$43,MAX(0,AN306-AO306),0)-MAX(0,-(AR305)))</f>
        <v>0</v>
      </c>
      <c r="AR306" s="15" t="n">
        <f aca="false">(AR305)+X306-AQ306</f>
        <v>0</v>
      </c>
      <c r="AS306" s="15" t="n">
        <f aca="false">Motore_Operativo!AB306-AT306+AU306</f>
        <v>17020.8333333333</v>
      </c>
      <c r="AT306" s="15" t="n">
        <f aca="false">Motore_Operativo!CH306</f>
        <v>895.833333333334</v>
      </c>
      <c r="AU306" s="15" t="n">
        <f aca="false">MIN(MAX(0,(AV305)+AT306),Parametri_v3!$C$60/12)</f>
        <v>0</v>
      </c>
      <c r="AV306" s="15" t="n">
        <f aca="false">(AV305)+AT306-AU306</f>
        <v>1791.66666666667</v>
      </c>
      <c r="AW306" s="15" t="n">
        <f aca="false">IF(AND(Motore_Operativo!C306=Finanziamenti!$D$6,Finanziamenti!$F$6=1),Finanziamenti!$C$6,0)</f>
        <v>0</v>
      </c>
      <c r="AX306" s="15" t="n">
        <f aca="false">IF(AND(6&lt;&gt;7,6&lt;&gt;9,Finanziamenti!$F$8=1,OR(Parametri_v3!$C$6=0,Finanziamenti!$E$8=1),Motore_Operativo!C306=EDATE(Finanziamenti!$D$8,Ipotesi!H15*12)),Finanziamenti!$C$8*1,0)+IF(AND(6&lt;&gt;7,6&lt;&gt;9,Finanziamenti!$F$9=1,OR(Parametri_v3!$C$6=0,Finanziamenti!$E$9=1),Motore_Operativo!C306=EDATE(Finanziamenti!$D$9,Ipotesi!H15*12)),Finanziamenti!$C$9*Ipotesi!H16,0)</f>
        <v>0</v>
      </c>
      <c r="AY306" s="15" t="n">
        <f aca="false">0</f>
        <v>0</v>
      </c>
      <c r="AZ306" s="15" t="n">
        <f aca="false">Motore_Advisory!AY306*(1-Ipotesi!$C$95)*Ipotesi!$C$96</f>
        <v>0</v>
      </c>
      <c r="BA306" s="15" t="n">
        <f aca="false">MAX(0,MIN(CG306*MIN(1,IF(Motore_Operativo!C306&gt;=EDATE(Finanziamenti!$D$15,Ipotesi!H14*12),Finanziamenti!$C$15,0)+IF(Motore_Operativo!C306&gt;=EDATE(Finanziamenti!$D$16,Ipotesi!H14*12),Finanziamenti!$C$16,0)+IF(Motore_Operativo!C306&gt;=EDATE(Finanziamenti!$D$17,Ipotesi!H14*12),Finanziamenti!$C$17,0)),CA306*Ipotesi!$C$102)-(CC305))</f>
        <v>0</v>
      </c>
      <c r="BB306" s="15" t="n">
        <f aca="false">IF(AND(CF306&gt;0,Motore_Operativo!C306&gt;=IF(CF306=0,0,EDATE(CF306,Parametri_v3!$C$37)),MOD(((D306-YEAR(IF(CF306=0,0,EDATE(CF306,Parametri_v3!$C$37))))*12+E306-MONTH(IF(CF306=0,0,EDATE(CF306,Parametri_v3!$C$37)))),Parametri_v3!$C$38)=0),MIN(MAX(0,(BC305)+BA306-N306),(CC306-CD306)/(Ipotesi!$C$108*12/Parametri_v3!$C$38)),0)</f>
        <v>0</v>
      </c>
      <c r="BC306" s="15" t="n">
        <f aca="false">(BC305)+BA306-N306-BB306</f>
        <v>0</v>
      </c>
      <c r="BD306" s="15" t="n">
        <f aca="false">(BH305)+AC306+AF306-AI306-AS306-K306*(1+Parametri_v3!$C$26)-AL306-AQ306-O306+AW306+AX306+AZ306+BA306-BB306</f>
        <v>93869.350877193</v>
      </c>
      <c r="BE306" s="15" t="n">
        <f aca="false">MAX(0,MIN(MAX(0,CH306-(BG305)),Parametri_v3!$C$30-BD306))</f>
        <v>0</v>
      </c>
      <c r="BF306" s="15" t="n">
        <f aca="false">IF(Motore_Operativo!C306&gt;=Parametri_v3!$C$63,(BG305),MIN((BG305),MAX(0,BD306-Parametri_v3!$C$30)))</f>
        <v>0</v>
      </c>
      <c r="BG306" s="15" t="n">
        <f aca="false">(BG305)+BE306-BF306</f>
        <v>0</v>
      </c>
      <c r="BH306" s="15" t="n">
        <f aca="false">BD306+BE306-BF306-AY306</f>
        <v>93869.350877193</v>
      </c>
      <c r="BI306" s="15" t="n">
        <f aca="false">MAX(0,Parametri_v3!$C$30-BH306)</f>
        <v>0</v>
      </c>
      <c r="BJ306" s="15" t="n">
        <f aca="false">(BJ305)+K306</f>
        <v>3333.33333333333</v>
      </c>
      <c r="BK306" s="15" t="n">
        <f aca="false">(BK305)+L306</f>
        <v>138.888888888889</v>
      </c>
      <c r="BL306" s="15" t="n">
        <f aca="false">BJ306-BK306</f>
        <v>3194.44444444445</v>
      </c>
      <c r="BM306" s="15" t="n">
        <f aca="false">(BM305)+Y306</f>
        <v>-37373.2134502924</v>
      </c>
      <c r="BN306" s="15" t="n">
        <f aca="false">(BN305)+AW306+AX306+AZ306</f>
        <v>130000</v>
      </c>
      <c r="BO306" s="15" t="n">
        <f aca="false">(BO305)+AY306</f>
        <v>0</v>
      </c>
      <c r="BP306" s="15" t="n">
        <f aca="false">0</f>
        <v>0</v>
      </c>
      <c r="BQ306" s="15" t="n">
        <f aca="false">BN306+BM306-BO306</f>
        <v>92626.7865497076</v>
      </c>
      <c r="BR306" s="15" t="n">
        <f aca="false">BH306+AD306+BL306+MAX(0,-AM306)+MAX(0,-AR306)+AG306</f>
        <v>117734.808751462</v>
      </c>
      <c r="BS306" s="15" t="n">
        <f aca="false">AJ306+AV306+MAX(0,AM306)+MAX(0,AR306)+BC306+BG306+BQ306</f>
        <v>117734.808751462</v>
      </c>
      <c r="BT306" s="15" t="n">
        <f aca="false">BR306-BS306</f>
        <v>0</v>
      </c>
      <c r="BU306" s="15" t="n">
        <f aca="false">BH306-(BD306+BE306-BF306-AY306)</f>
        <v>0</v>
      </c>
      <c r="BV306" s="15" t="n">
        <f aca="false">MIN(Piano_SS!$C$6,(BV305)+IF(AND(Motore_Operativo!C306&gt;=EDATE(Parametri_v3!$C$24,Ipotesi!H14*12),Motore_Operativo!C306&lt;EDATE(Parametri_v3!$C$24,Parametri_v3!$C$25+Ipotesi!H14*12)),MAX(0,(Motore_Operativo!Y306+Motore_Operativo!X306*Parametri_v3!$C$14)*(1-Parametri_v3!$C$32))*Piano_SS!$D$6,0))</f>
        <v>0</v>
      </c>
      <c r="BW306" s="15" t="n">
        <f aca="false">MIN(Piano_SS!$C$7,(BW305)+IF(AND(Motore_Operativo!C306&gt;=EDATE(Parametri_v3!$C$24,Ipotesi!H14*12),Motore_Operativo!C306&lt;EDATE(Parametri_v3!$C$24,Parametri_v3!$C$25+Ipotesi!H14*12)),MAX(0,(IF(2-(INT((Ipotesi!$C$91)/30))&lt;1,0,INDEX(Motore_Operativo!$BN$305:$BN$364,MAX(1,2-(INT((Ipotesi!$C$91)/30)))))*(1-(MOD((Ipotesi!$C$91),30)/30))+IF(2-(INT((Ipotesi!$C$91)/30))-1&lt;1,0,INDEX(Motore_Operativo!$BN$305:$BN$364,MAX(1,2-(INT((Ipotesi!$C$91)/30))-1)))*(MOD((Ipotesi!$C$91),30)/30)))*Piano_SS!$D$7,0))</f>
        <v>0</v>
      </c>
      <c r="BX306" s="15" t="n">
        <f aca="false">MIN(Piano_SS!$C$8,(BX305)+IF(AND(Motore_Operativo!C306&gt;=EDATE(Parametri_v3!$C$24,Ipotesi!H14*12),Motore_Operativo!C306&lt;EDATE(Parametri_v3!$C$24,Parametri_v3!$C$25+Ipotesi!H14*12)),MAX(0,Motore_Operativo!CE306)*Piano_SS!$D$8,0))</f>
        <v>0</v>
      </c>
      <c r="BY306" s="15" t="n">
        <f aca="false">MIN(Piano_SS!$C$9,(BY305)+IF(AND(Motore_Operativo!C306&gt;=EDATE(Parametri_v3!$C$24,Ipotesi!H14*12),Motore_Operativo!C306&lt;EDATE(Parametri_v3!$C$24,Parametri_v3!$C$25+Ipotesi!H14*12)),MAX(0,((IF(2-(INT((Ipotesi!$C$91)/30))&lt;1,0,INDEX(Motore_Operativo!$BQ$305:$BQ$364,MAX(1,2-(INT((Ipotesi!$C$91)/30)))))*(1-(MOD((Ipotesi!$C$91),30)/30))+IF(2-(INT((Ipotesi!$C$91)/30))-1&lt;1,0,INDEX(Motore_Operativo!$BQ$305:$BQ$364,MAX(1,2-(INT((Ipotesi!$C$91)/30))-1)))*(MOD((Ipotesi!$C$91),30)/30))+(IF(2-(INT((Ipotesi!$C$91)/30))&lt;1,0,INDEX(Motore_Operativo!$BR$305:$BR$364,MAX(1,2-(INT((Ipotesi!$C$91)/30)))))*(1-(MOD((Ipotesi!$C$91),30)/30))+IF(2-(INT((Ipotesi!$C$91)/30))-1&lt;1,0,INDEX(Motore_Operativo!$BR$305:$BR$364,MAX(1,2-(INT((Ipotesi!$C$91)/30))-1)))*(MOD((Ipotesi!$C$91),30)/30))))*Piano_SS!$D$9,0))</f>
        <v>0</v>
      </c>
      <c r="BZ306" s="15" t="n">
        <f aca="false">MIN(Piano_SS!$C$10,(BZ305)+IF(AND(Motore_Operativo!C306&gt;=EDATE(Parametri_v3!$C$24,Ipotesi!H14*12),Motore_Operativo!C306&lt;EDATE(Parametri_v3!$C$24,Parametri_v3!$C$25+Ipotesi!H14*12)),MAX(0,(IF(2-(INT((Ipotesi!$C$91)/30))&lt;1,0,INDEX(Motore_Operativo!$BO$305:$BO$364,MAX(1,2-(INT((Ipotesi!$C$91)/30)))))*(1-(MOD((Ipotesi!$C$91),30)/30))+IF(2-(INT((Ipotesi!$C$91)/30))-1&lt;1,0,INDEX(Motore_Operativo!$BO$305:$BO$364,MAX(1,2-(INT((Ipotesi!$C$91)/30))-1)))*(MOD((Ipotesi!$C$91),30)/30)))*Piano_SS!$D$10,0))</f>
        <v>0</v>
      </c>
      <c r="CA306" s="15" t="n">
        <f aca="false">SUM(BV306:BZ306)</f>
        <v>0</v>
      </c>
      <c r="CB306" s="15" t="n">
        <f aca="false">BV306*(1-Piano_SS!$E$6)+BW306*(1-Piano_SS!$E$7)+BX306*(1-Piano_SS!$E$8)+BY306*(1-Piano_SS!$E$9)+BZ306*(1-Piano_SS!$E$10)</f>
        <v>0</v>
      </c>
      <c r="CC306" s="15" t="n">
        <f aca="false">(CC305)+BA306</f>
        <v>0</v>
      </c>
      <c r="CD306" s="15" t="n">
        <f aca="false">IF(CA306=0,0,CC306*CB306/CA306*Ipotesi!$C$103*Parametri_v3!$C$64)</f>
        <v>0</v>
      </c>
      <c r="CE306" s="18" t="n">
        <f aca="false">IF(BA306&gt;0,Motore_Operativo!C306,(CE305))</f>
        <v>0</v>
      </c>
      <c r="CF306" s="18" t="n">
        <f aca="false">IF(AND(CC306&gt;0,OR(CC306&gt;=CG306-0.01,Motore_Operativo!C306&gt;=EDATE(MAX(Finanziamenti!$D$15:$D$17),Ipotesi!H14*12))),CE306,0)</f>
        <v>0</v>
      </c>
      <c r="CG306" s="15" t="n">
        <f aca="false">IF(AND(6&lt;&gt;6,6&lt;&gt;9,Finanziamenti!$F$11=1,OR(Parametri_v3!$C$6=0,Finanziamenti!$E$11=1)),MIN(Finanziamenti!$C$11,Piano_SS!$C$12*Ipotesi!$C$102),0)</f>
        <v>0</v>
      </c>
      <c r="CH306" s="15" t="n">
        <f aca="false">IF(AND(AND(6&lt;&gt;8,6&lt;&gt;9,Finanziamenti!$F$10=1,OR(Parametri_v3!$C$6=0,Finanziamenti!$E$10=1)),Motore_Operativo!C306&gt;=Finanziamenti!$D$10,Motore_Operativo!C306&lt;Parametri_v3!$C$63),Finanziamenti!$C$10,0)</f>
        <v>150000</v>
      </c>
    </row>
    <row r="307" customFormat="false" ht="18" hidden="false" customHeight="true" outlineLevel="0" collapsed="false">
      <c r="A307" s="68" t="n">
        <f aca="false">6</f>
        <v>6</v>
      </c>
      <c r="B307" s="68" t="n">
        <f aca="false">3</f>
        <v>3</v>
      </c>
      <c r="C307" s="18" t="n">
        <f aca="false">Motore_Operativo!C307</f>
        <v>46447</v>
      </c>
      <c r="D307" s="68" t="n">
        <f aca="false">Motore_Operativo!D307</f>
        <v>2027</v>
      </c>
      <c r="E307" s="68" t="n">
        <f aca="false">Motore_Operativo!E307</f>
        <v>3</v>
      </c>
      <c r="F307" s="15" t="n">
        <f aca="false">Motore_Operativo!AQ307+Motore_Operativo!BF307</f>
        <v>7500</v>
      </c>
      <c r="G307" s="15" t="n">
        <f aca="false">Motore_Operativo!BH307</f>
        <v>1621.05263157895</v>
      </c>
      <c r="H307" s="15" t="n">
        <f aca="false">Motore_Operativo!BI307</f>
        <v>9121.05263157895</v>
      </c>
      <c r="I307" s="15" t="n">
        <f aca="false">Motore_Operativo!CA307</f>
        <v>27738.2149122807</v>
      </c>
      <c r="J307" s="15" t="n">
        <f aca="false">Motore_Operativo!CC307</f>
        <v>-18617.1622807018</v>
      </c>
      <c r="K307" s="15" t="n">
        <f aca="false">Motore_Operativo!CE307</f>
        <v>1666.66666666667</v>
      </c>
      <c r="L307" s="15" t="n">
        <f aca="false">SUM(INDEX($K$305:$K$364,MAX(1,3-Parametri_v3!$C$59+1)):K307)/Parametri_v3!$C$59</f>
        <v>138.888888888889</v>
      </c>
      <c r="M307" s="15" t="n">
        <f aca="false">J307-L307</f>
        <v>-18756.0511695906</v>
      </c>
      <c r="N307" s="15" t="n">
        <f aca="false">CD307-(CD306)</f>
        <v>0</v>
      </c>
      <c r="O307" s="15" t="n">
        <f aca="false">(BG306)*Ipotesi!$C$110/12+CH307*Parametri_v3!$C$39/12</f>
        <v>0</v>
      </c>
      <c r="P307" s="15" t="n">
        <f aca="false">M307+N307-O307</f>
        <v>-18756.0511695906</v>
      </c>
      <c r="Q307" s="15" t="n">
        <f aca="false">SUM(P305:P307)+Parametri_v3!$C$54*3/12</f>
        <v>-56129.2646198831</v>
      </c>
      <c r="R307" s="15" t="n">
        <f aca="false">0</f>
        <v>0</v>
      </c>
      <c r="S307" s="15" t="n">
        <f aca="false">0</f>
        <v>0</v>
      </c>
      <c r="T307" s="15" t="n">
        <f aca="false">MIN(R307,MAX(0,Q307))</f>
        <v>0</v>
      </c>
      <c r="U307" s="15" t="n">
        <f aca="false">MIN(S307,MAX(0,Q307-T307)*Parametri_v3!$C$42)</f>
        <v>0</v>
      </c>
      <c r="V307" s="15" t="n">
        <f aca="false">MAX(0,Q307-T307-U307)*Ipotesi!$C$92</f>
        <v>0</v>
      </c>
      <c r="W307" s="15" t="n">
        <f aca="false">MAX(0,SUM(M305:M307)+Parametri_v3!$C$55*3/12)*Ipotesi!$C$93</f>
        <v>0</v>
      </c>
      <c r="X307" s="15" t="n">
        <f aca="false">V307+W307-(V306+W306)</f>
        <v>0</v>
      </c>
      <c r="Y307" s="15" t="n">
        <f aca="false">P307-X307</f>
        <v>-18756.0511695906</v>
      </c>
      <c r="Z307" s="15" t="n">
        <f aca="false">R307-T307+IF(AND(Parametri_v3!$C$40=1,D307-YEAR(Parametri_v3!$C$50)&lt;Parametri_v3!$C$41),MAX(0,-Q307),0)</f>
        <v>56129.2646198831</v>
      </c>
      <c r="AA307" s="15" t="n">
        <f aca="false">S307-U307+IF(AND(Parametri_v3!$C$40=1,D307-YEAR(Parametri_v3!$C$50)&lt;Parametri_v3!$C$41),0,MAX(0,-Q307))</f>
        <v>0</v>
      </c>
      <c r="AB307" s="15" t="n">
        <f aca="false">F307*(1+Parametri_v3!$C$26)</f>
        <v>9150</v>
      </c>
      <c r="AC307" s="15" t="n">
        <f aca="false">(IF(3-(INT((Motore_Operativo!L307)/30))&lt;1,0,INDEX(Motore_Startup!$AB$305:$AB$364,MAX(1,3-(INT((Motore_Operativo!L307)/30)))))*(1-(MOD((Motore_Operativo!L307),30)/30))+IF(3-(INT((Motore_Operativo!L307)/30))-1&lt;1,0,INDEX(Motore_Startup!$AB$305:$AB$364,MAX(1,3-(INT((Motore_Operativo!L307)/30))-1)))*(MOD((Motore_Operativo!L307),30)/30))</f>
        <v>0</v>
      </c>
      <c r="AD307" s="15" t="n">
        <f aca="false">(AD306)+AB307-AC307</f>
        <v>27450</v>
      </c>
      <c r="AE307" s="15" t="n">
        <f aca="false">Motore_Operativo!BH307*(1+Parametri_v3!$C$26)</f>
        <v>1977.68421052632</v>
      </c>
      <c r="AF307" s="15" t="n">
        <f aca="false">(IF(3-(INT((Parametri_v3!$C$29)/30))&lt;1,0,INDEX(Motore_Operativo!$BH$305:$BH$364,MAX(1,3-(INT((Parametri_v3!$C$29)/30)))))*(1-(MOD((Parametri_v3!$C$29),30)/30))+IF(3-(INT((Parametri_v3!$C$29)/30))-1&lt;1,0,INDEX(Motore_Operativo!$BH$305:$BH$364,MAX(1,3-(INT((Parametri_v3!$C$29)/30))-1)))*(MOD((Parametri_v3!$C$29),30)/30))*(1+Parametri_v3!$C$26)</f>
        <v>1977.68421052632</v>
      </c>
      <c r="AG307" s="15" t="n">
        <f aca="false">(AG306)+AE307-AF307</f>
        <v>1977.68421052632</v>
      </c>
      <c r="AH307" s="15" t="n">
        <f aca="false">(Motore_Operativo!CJ307)*(1+Parametri_v3!$C$27*Parametri_v3!$C$26)</f>
        <v>11658.1777675439</v>
      </c>
      <c r="AI307" s="15" t="n">
        <f aca="false">(IF(3-(INT((Ipotesi!$C$91)/30))&lt;1,0,INDEX(Motore_Startup!$AH$305:$AH$364,MAX(1,3-(INT((Ipotesi!$C$91)/30)))))*(1-(MOD((Ipotesi!$C$91),30)/30))+IF(3-(INT((Ipotesi!$C$91)/30))-1&lt;1,0,INDEX(Motore_Startup!$AH$305:$AH$364,MAX(1,3-(INT((Ipotesi!$C$91)/30))-1)))*(MOD((Ipotesi!$C$91),30)/30))</f>
        <v>11658.1777675439</v>
      </c>
      <c r="AJ307" s="15" t="n">
        <f aca="false">(AJ306)+AH307-AI307</f>
        <v>23316.3555350877</v>
      </c>
      <c r="AK307" s="15" t="n">
        <f aca="false">(F307+ Motore_Operativo!BH307-(Motore_Operativo!CJ307)*Parametri_v3!$C$27-Motore_Operativo!CE307)*Parametri_v3!$C$26</f>
        <v>-196.664609649123</v>
      </c>
      <c r="AL307" s="15" t="n">
        <f aca="false">MAX(0,(AM306))</f>
        <v>0</v>
      </c>
      <c r="AM307" s="15" t="n">
        <f aca="false">(AM306)+AK307-AL307</f>
        <v>-589.993828947368</v>
      </c>
      <c r="AN307" s="15" t="n">
        <f aca="false">0</f>
        <v>0</v>
      </c>
      <c r="AO307" s="15" t="n">
        <f aca="false">0</f>
        <v>0</v>
      </c>
      <c r="AP307" s="15" t="n">
        <f aca="false">MAX(0,AN307)*IF(3=Parametri_v3!$C$43,Parametri_v3!$C$45,IF(3=Parametri_v3!$C$44,1-Parametri_v3!$C$45,0))</f>
        <v>0</v>
      </c>
      <c r="AQ307" s="15" t="n">
        <f aca="false">MAX(0,AP307+IF(3=Parametri_v3!$C$43,MAX(0,AN307-AO307),0)-MAX(0,-(AR306)))</f>
        <v>0</v>
      </c>
      <c r="AR307" s="15" t="n">
        <f aca="false">(AR306)+X307-AQ307</f>
        <v>0</v>
      </c>
      <c r="AS307" s="15" t="n">
        <f aca="false">Motore_Operativo!AB307-AT307+AU307</f>
        <v>17020.8333333333</v>
      </c>
      <c r="AT307" s="15" t="n">
        <f aca="false">Motore_Operativo!CH307</f>
        <v>895.833333333334</v>
      </c>
      <c r="AU307" s="15" t="n">
        <f aca="false">MIN(MAX(0,(AV306)+AT307),Parametri_v3!$C$60/12)</f>
        <v>0</v>
      </c>
      <c r="AV307" s="15" t="n">
        <f aca="false">(AV306)+AT307-AU307</f>
        <v>2687.5</v>
      </c>
      <c r="AW307" s="15" t="n">
        <f aca="false">IF(AND(Motore_Operativo!C307=Finanziamenti!$D$6,Finanziamenti!$F$6=1),Finanziamenti!$C$6,0)</f>
        <v>0</v>
      </c>
      <c r="AX307" s="15" t="n">
        <f aca="false">IF(AND(6&lt;&gt;7,6&lt;&gt;9,Finanziamenti!$F$8=1,OR(Parametri_v3!$C$6=0,Finanziamenti!$E$8=1),Motore_Operativo!C307=EDATE(Finanziamenti!$D$8,Ipotesi!H15*12)),Finanziamenti!$C$8*1,0)+IF(AND(6&lt;&gt;7,6&lt;&gt;9,Finanziamenti!$F$9=1,OR(Parametri_v3!$C$6=0,Finanziamenti!$E$9=1),Motore_Operativo!C307=EDATE(Finanziamenti!$D$9,Ipotesi!H15*12)),Finanziamenti!$C$9*Ipotesi!H16,0)</f>
        <v>0</v>
      </c>
      <c r="AY307" s="15" t="n">
        <f aca="false">0</f>
        <v>0</v>
      </c>
      <c r="AZ307" s="15" t="n">
        <f aca="false">Motore_Advisory!AY307*(1-Ipotesi!$C$95)*Ipotesi!$C$96</f>
        <v>0</v>
      </c>
      <c r="BA307" s="15" t="n">
        <f aca="false">MAX(0,MIN(CG307*MIN(1,IF(Motore_Operativo!C307&gt;=EDATE(Finanziamenti!$D$15,Ipotesi!H14*12),Finanziamenti!$C$15,0)+IF(Motore_Operativo!C307&gt;=EDATE(Finanziamenti!$D$16,Ipotesi!H14*12),Finanziamenti!$C$16,0)+IF(Motore_Operativo!C307&gt;=EDATE(Finanziamenti!$D$17,Ipotesi!H14*12),Finanziamenti!$C$17,0)),CA307*Ipotesi!$C$102)-(CC306))</f>
        <v>0</v>
      </c>
      <c r="BB307" s="15" t="n">
        <f aca="false">IF(AND(CF307&gt;0,Motore_Operativo!C307&gt;=IF(CF307=0,0,EDATE(CF307,Parametri_v3!$C$37)),MOD(((D307-YEAR(IF(CF307=0,0,EDATE(CF307,Parametri_v3!$C$37))))*12+E307-MONTH(IF(CF307=0,0,EDATE(CF307,Parametri_v3!$C$37)))),Parametri_v3!$C$38)=0),MIN(MAX(0,(BC306)+BA307-N307),(CC307-CD307)/(Ipotesi!$C$108*12/Parametri_v3!$C$38)),0)</f>
        <v>0</v>
      </c>
      <c r="BC307" s="15" t="n">
        <f aca="false">(BC306)+BA307-N307-BB307</f>
        <v>0</v>
      </c>
      <c r="BD307" s="15" t="n">
        <f aca="false">(BH306)+AC307+AF307-AI307-AS307-K307*(1+Parametri_v3!$C$26)-AL307-AQ307-O307+AW307+AX307+AZ307+BA307-BB307</f>
        <v>65134.6906535088</v>
      </c>
      <c r="BE307" s="15" t="n">
        <f aca="false">MAX(0,MIN(MAX(0,CH307-(BG306)),Parametri_v3!$C$30-BD307))</f>
        <v>0</v>
      </c>
      <c r="BF307" s="15" t="n">
        <f aca="false">IF(Motore_Operativo!C307&gt;=Parametri_v3!$C$63,(BG306),MIN((BG306),MAX(0,BD307-Parametri_v3!$C$30)))</f>
        <v>0</v>
      </c>
      <c r="BG307" s="15" t="n">
        <f aca="false">(BG306)+BE307-BF307</f>
        <v>0</v>
      </c>
      <c r="BH307" s="15" t="n">
        <f aca="false">BD307+BE307-BF307-AY307</f>
        <v>65134.6906535088</v>
      </c>
      <c r="BI307" s="15" t="n">
        <f aca="false">MAX(0,Parametri_v3!$C$30-BH307)</f>
        <v>0</v>
      </c>
      <c r="BJ307" s="15" t="n">
        <f aca="false">(BJ306)+K307</f>
        <v>5000</v>
      </c>
      <c r="BK307" s="15" t="n">
        <f aca="false">(BK306)+L307</f>
        <v>277.777777777778</v>
      </c>
      <c r="BL307" s="15" t="n">
        <f aca="false">BJ307-BK307</f>
        <v>4722.22222222222</v>
      </c>
      <c r="BM307" s="15" t="n">
        <f aca="false">(BM306)+Y307</f>
        <v>-56129.2646198831</v>
      </c>
      <c r="BN307" s="15" t="n">
        <f aca="false">(BN306)+AW307+AX307+AZ307</f>
        <v>130000</v>
      </c>
      <c r="BO307" s="15" t="n">
        <f aca="false">(BO306)+AY307</f>
        <v>0</v>
      </c>
      <c r="BP307" s="15" t="n">
        <f aca="false">0</f>
        <v>0</v>
      </c>
      <c r="BQ307" s="15" t="n">
        <f aca="false">BN307+BM307-BO307</f>
        <v>73870.735380117</v>
      </c>
      <c r="BR307" s="15" t="n">
        <f aca="false">BH307+AD307+BL307+MAX(0,-AM307)+MAX(0,-AR307)+AG307</f>
        <v>99874.5909152047</v>
      </c>
      <c r="BS307" s="15" t="n">
        <f aca="false">AJ307+AV307+MAX(0,AM307)+MAX(0,AR307)+BC307+BG307+BQ307</f>
        <v>99874.5909152047</v>
      </c>
      <c r="BT307" s="15" t="n">
        <f aca="false">BR307-BS307</f>
        <v>0</v>
      </c>
      <c r="BU307" s="15" t="n">
        <f aca="false">BH307-(BD307+BE307-BF307-AY307)</f>
        <v>0</v>
      </c>
      <c r="BV307" s="15" t="n">
        <f aca="false">MIN(Piano_SS!$C$6,(BV306)+IF(AND(Motore_Operativo!C307&gt;=EDATE(Parametri_v3!$C$24,Ipotesi!H14*12),Motore_Operativo!C307&lt;EDATE(Parametri_v3!$C$24,Parametri_v3!$C$25+Ipotesi!H14*12)),MAX(0,(Motore_Operativo!Y307+Motore_Operativo!X307*Parametri_v3!$C$14)*(1-Parametri_v3!$C$32))*Piano_SS!$D$6,0))</f>
        <v>0</v>
      </c>
      <c r="BW307" s="15" t="n">
        <f aca="false">MIN(Piano_SS!$C$7,(BW306)+IF(AND(Motore_Operativo!C307&gt;=EDATE(Parametri_v3!$C$24,Ipotesi!H14*12),Motore_Operativo!C307&lt;EDATE(Parametri_v3!$C$24,Parametri_v3!$C$25+Ipotesi!H14*12)),MAX(0,(IF(3-(INT((Ipotesi!$C$91)/30))&lt;1,0,INDEX(Motore_Operativo!$BN$305:$BN$364,MAX(1,3-(INT((Ipotesi!$C$91)/30)))))*(1-(MOD((Ipotesi!$C$91),30)/30))+IF(3-(INT((Ipotesi!$C$91)/30))-1&lt;1,0,INDEX(Motore_Operativo!$BN$305:$BN$364,MAX(1,3-(INT((Ipotesi!$C$91)/30))-1)))*(MOD((Ipotesi!$C$91),30)/30)))*Piano_SS!$D$7,0))</f>
        <v>0</v>
      </c>
      <c r="BX307" s="15" t="n">
        <f aca="false">MIN(Piano_SS!$C$8,(BX306)+IF(AND(Motore_Operativo!C307&gt;=EDATE(Parametri_v3!$C$24,Ipotesi!H14*12),Motore_Operativo!C307&lt;EDATE(Parametri_v3!$C$24,Parametri_v3!$C$25+Ipotesi!H14*12)),MAX(0,Motore_Operativo!CE307)*Piano_SS!$D$8,0))</f>
        <v>0</v>
      </c>
      <c r="BY307" s="15" t="n">
        <f aca="false">MIN(Piano_SS!$C$9,(BY306)+IF(AND(Motore_Operativo!C307&gt;=EDATE(Parametri_v3!$C$24,Ipotesi!H14*12),Motore_Operativo!C307&lt;EDATE(Parametri_v3!$C$24,Parametri_v3!$C$25+Ipotesi!H14*12)),MAX(0,((IF(3-(INT((Ipotesi!$C$91)/30))&lt;1,0,INDEX(Motore_Operativo!$BQ$305:$BQ$364,MAX(1,3-(INT((Ipotesi!$C$91)/30)))))*(1-(MOD((Ipotesi!$C$91),30)/30))+IF(3-(INT((Ipotesi!$C$91)/30))-1&lt;1,0,INDEX(Motore_Operativo!$BQ$305:$BQ$364,MAX(1,3-(INT((Ipotesi!$C$91)/30))-1)))*(MOD((Ipotesi!$C$91),30)/30))+(IF(3-(INT((Ipotesi!$C$91)/30))&lt;1,0,INDEX(Motore_Operativo!$BR$305:$BR$364,MAX(1,3-(INT((Ipotesi!$C$91)/30)))))*(1-(MOD((Ipotesi!$C$91),30)/30))+IF(3-(INT((Ipotesi!$C$91)/30))-1&lt;1,0,INDEX(Motore_Operativo!$BR$305:$BR$364,MAX(1,3-(INT((Ipotesi!$C$91)/30))-1)))*(MOD((Ipotesi!$C$91),30)/30))))*Piano_SS!$D$9,0))</f>
        <v>0</v>
      </c>
      <c r="BZ307" s="15" t="n">
        <f aca="false">MIN(Piano_SS!$C$10,(BZ306)+IF(AND(Motore_Operativo!C307&gt;=EDATE(Parametri_v3!$C$24,Ipotesi!H14*12),Motore_Operativo!C307&lt;EDATE(Parametri_v3!$C$24,Parametri_v3!$C$25+Ipotesi!H14*12)),MAX(0,(IF(3-(INT((Ipotesi!$C$91)/30))&lt;1,0,INDEX(Motore_Operativo!$BO$305:$BO$364,MAX(1,3-(INT((Ipotesi!$C$91)/30)))))*(1-(MOD((Ipotesi!$C$91),30)/30))+IF(3-(INT((Ipotesi!$C$91)/30))-1&lt;1,0,INDEX(Motore_Operativo!$BO$305:$BO$364,MAX(1,3-(INT((Ipotesi!$C$91)/30))-1)))*(MOD((Ipotesi!$C$91),30)/30)))*Piano_SS!$D$10,0))</f>
        <v>0</v>
      </c>
      <c r="CA307" s="15" t="n">
        <f aca="false">SUM(BV307:BZ307)</f>
        <v>0</v>
      </c>
      <c r="CB307" s="15" t="n">
        <f aca="false">BV307*(1-Piano_SS!$E$6)+BW307*(1-Piano_SS!$E$7)+BX307*(1-Piano_SS!$E$8)+BY307*(1-Piano_SS!$E$9)+BZ307*(1-Piano_SS!$E$10)</f>
        <v>0</v>
      </c>
      <c r="CC307" s="15" t="n">
        <f aca="false">(CC306)+BA307</f>
        <v>0</v>
      </c>
      <c r="CD307" s="15" t="n">
        <f aca="false">IF(CA307=0,0,CC307*CB307/CA307*Ipotesi!$C$103*Parametri_v3!$C$64)</f>
        <v>0</v>
      </c>
      <c r="CE307" s="18" t="n">
        <f aca="false">IF(BA307&gt;0,Motore_Operativo!C307,(CE306))</f>
        <v>0</v>
      </c>
      <c r="CF307" s="18" t="n">
        <f aca="false">IF(AND(CC307&gt;0,OR(CC307&gt;=CG307-0.01,Motore_Operativo!C307&gt;=EDATE(MAX(Finanziamenti!$D$15:$D$17),Ipotesi!H14*12))),CE307,0)</f>
        <v>0</v>
      </c>
      <c r="CG307" s="15" t="n">
        <f aca="false">IF(AND(6&lt;&gt;6,6&lt;&gt;9,Finanziamenti!$F$11=1,OR(Parametri_v3!$C$6=0,Finanziamenti!$E$11=1)),MIN(Finanziamenti!$C$11,Piano_SS!$C$12*Ipotesi!$C$102),0)</f>
        <v>0</v>
      </c>
      <c r="CH307" s="15" t="n">
        <f aca="false">IF(AND(AND(6&lt;&gt;8,6&lt;&gt;9,Finanziamenti!$F$10=1,OR(Parametri_v3!$C$6=0,Finanziamenti!$E$10=1)),Motore_Operativo!C307&gt;=Finanziamenti!$D$10,Motore_Operativo!C307&lt;Parametri_v3!$C$63),Finanziamenti!$C$10,0)</f>
        <v>150000</v>
      </c>
    </row>
    <row r="308" customFormat="false" ht="18" hidden="false" customHeight="true" outlineLevel="0" collapsed="false">
      <c r="A308" s="68" t="n">
        <f aca="false">6</f>
        <v>6</v>
      </c>
      <c r="B308" s="68" t="n">
        <f aca="false">4</f>
        <v>4</v>
      </c>
      <c r="C308" s="18" t="n">
        <f aca="false">Motore_Operativo!C308</f>
        <v>46478</v>
      </c>
      <c r="D308" s="68" t="n">
        <f aca="false">Motore_Operativo!D308</f>
        <v>2027</v>
      </c>
      <c r="E308" s="68" t="n">
        <f aca="false">Motore_Operativo!E308</f>
        <v>4</v>
      </c>
      <c r="F308" s="15" t="n">
        <f aca="false">Motore_Operativo!AQ308+Motore_Operativo!BF308</f>
        <v>7546.2962962963</v>
      </c>
      <c r="G308" s="15" t="n">
        <f aca="false">Motore_Operativo!BH308</f>
        <v>1621.05263157895</v>
      </c>
      <c r="H308" s="15" t="n">
        <f aca="false">Motore_Operativo!BI308</f>
        <v>9167.34892787525</v>
      </c>
      <c r="I308" s="15" t="n">
        <f aca="false">Motore_Operativo!CA308</f>
        <v>27744.6963937622</v>
      </c>
      <c r="J308" s="15" t="n">
        <f aca="false">Motore_Operativo!CC308</f>
        <v>-18577.3474658869</v>
      </c>
      <c r="K308" s="15" t="n">
        <f aca="false">Motore_Operativo!CE308</f>
        <v>1666.66666666667</v>
      </c>
      <c r="L308" s="15" t="n">
        <f aca="false">SUM(INDEX($K$305:$K$364,MAX(1,4-Parametri_v3!$C$59+1)):K308)/Parametri_v3!$C$59</f>
        <v>185.185185185185</v>
      </c>
      <c r="M308" s="15" t="n">
        <f aca="false">J308-L308</f>
        <v>-18762.5326510721</v>
      </c>
      <c r="N308" s="15" t="n">
        <f aca="false">CD308-(CD307)</f>
        <v>0</v>
      </c>
      <c r="O308" s="15" t="n">
        <f aca="false">(BG307)*Ipotesi!$C$110/12+CH308*Parametri_v3!$C$39/12</f>
        <v>0</v>
      </c>
      <c r="P308" s="15" t="n">
        <f aca="false">M308+N308-O308</f>
        <v>-18762.5326510721</v>
      </c>
      <c r="Q308" s="15" t="n">
        <f aca="false">SUM(P305:P308)+Parametri_v3!$C$54*4/12</f>
        <v>-74891.7972709552</v>
      </c>
      <c r="R308" s="15" t="n">
        <f aca="false">0</f>
        <v>0</v>
      </c>
      <c r="S308" s="15" t="n">
        <f aca="false">0</f>
        <v>0</v>
      </c>
      <c r="T308" s="15" t="n">
        <f aca="false">MIN(R308,MAX(0,Q308))</f>
        <v>0</v>
      </c>
      <c r="U308" s="15" t="n">
        <f aca="false">MIN(S308,MAX(0,Q308-T308)*Parametri_v3!$C$42)</f>
        <v>0</v>
      </c>
      <c r="V308" s="15" t="n">
        <f aca="false">MAX(0,Q308-T308-U308)*Ipotesi!$C$92</f>
        <v>0</v>
      </c>
      <c r="W308" s="15" t="n">
        <f aca="false">MAX(0,SUM(M305:M308)+Parametri_v3!$C$55*4/12)*Ipotesi!$C$93</f>
        <v>0</v>
      </c>
      <c r="X308" s="15" t="n">
        <f aca="false">V308+W308-(V307+W307)</f>
        <v>0</v>
      </c>
      <c r="Y308" s="15" t="n">
        <f aca="false">P308-X308</f>
        <v>-18762.5326510721</v>
      </c>
      <c r="Z308" s="15" t="n">
        <f aca="false">R308-T308+IF(AND(Parametri_v3!$C$40=1,D308-YEAR(Parametri_v3!$C$50)&lt;Parametri_v3!$C$41),MAX(0,-Q308),0)</f>
        <v>74891.7972709552</v>
      </c>
      <c r="AA308" s="15" t="n">
        <f aca="false">S308-U308+IF(AND(Parametri_v3!$C$40=1,D308-YEAR(Parametri_v3!$C$50)&lt;Parametri_v3!$C$41),0,MAX(0,-Q308))</f>
        <v>0</v>
      </c>
      <c r="AB308" s="15" t="n">
        <f aca="false">F308*(1+Parametri_v3!$C$26)</f>
        <v>9206.48148148148</v>
      </c>
      <c r="AC308" s="15" t="n">
        <f aca="false">(IF(4-(INT((Motore_Operativo!L308)/30))&lt;1,0,INDEX(Motore_Startup!$AB$305:$AB$364,MAX(1,4-(INT((Motore_Operativo!L308)/30)))))*(1-(MOD((Motore_Operativo!L308),30)/30))+IF(4-(INT((Motore_Operativo!L308)/30))-1&lt;1,0,INDEX(Motore_Startup!$AB$305:$AB$364,MAX(1,4-(INT((Motore_Operativo!L308)/30))-1)))*(MOD((Motore_Operativo!L308),30)/30))</f>
        <v>9150</v>
      </c>
      <c r="AD308" s="15" t="n">
        <f aca="false">(AD307)+AB308-AC308</f>
        <v>27506.4814814815</v>
      </c>
      <c r="AE308" s="15" t="n">
        <f aca="false">Motore_Operativo!BH308*(1+Parametri_v3!$C$26)</f>
        <v>1977.68421052632</v>
      </c>
      <c r="AF308" s="15" t="n">
        <f aca="false">(IF(4-(INT((Parametri_v3!$C$29)/30))&lt;1,0,INDEX(Motore_Operativo!$BH$305:$BH$364,MAX(1,4-(INT((Parametri_v3!$C$29)/30)))))*(1-(MOD((Parametri_v3!$C$29),30)/30))+IF(4-(INT((Parametri_v3!$C$29)/30))-1&lt;1,0,INDEX(Motore_Operativo!$BH$305:$BH$364,MAX(1,4-(INT((Parametri_v3!$C$29)/30))-1)))*(MOD((Parametri_v3!$C$29),30)/30))*(1+Parametri_v3!$C$26)</f>
        <v>1977.68421052632</v>
      </c>
      <c r="AG308" s="15" t="n">
        <f aca="false">(AG307)+AE308-AF308</f>
        <v>1977.68421052632</v>
      </c>
      <c r="AH308" s="15" t="n">
        <f aca="false">(Motore_Operativo!CJ308)*(1+Parametri_v3!$C$27*Parametri_v3!$C$26)</f>
        <v>11665.8712860624</v>
      </c>
      <c r="AI308" s="15" t="n">
        <f aca="false">(IF(4-(INT((Ipotesi!$C$91)/30))&lt;1,0,INDEX(Motore_Startup!$AH$305:$AH$364,MAX(1,4-(INT((Ipotesi!$C$91)/30)))))*(1-(MOD((Ipotesi!$C$91),30)/30))+IF(4-(INT((Ipotesi!$C$91)/30))-1&lt;1,0,INDEX(Motore_Startup!$AH$305:$AH$364,MAX(1,4-(INT((Ipotesi!$C$91)/30))-1)))*(MOD((Ipotesi!$C$91),30)/30))</f>
        <v>11658.1777675439</v>
      </c>
      <c r="AJ308" s="15" t="n">
        <f aca="false">(AJ307)+AH308-AI308</f>
        <v>23324.0490536062</v>
      </c>
      <c r="AK308" s="15" t="n">
        <f aca="false">(F308+ Motore_Operativo!BH308-(Motore_Operativo!CJ308)*Parametri_v3!$C$27-Motore_Operativo!CE308)*Parametri_v3!$C$26</f>
        <v>-187.691461500974</v>
      </c>
      <c r="AL308" s="15" t="n">
        <f aca="false">MAX(0,(AM307))</f>
        <v>0</v>
      </c>
      <c r="AM308" s="15" t="n">
        <f aca="false">(AM307)+AK308-AL308</f>
        <v>-777.685290448342</v>
      </c>
      <c r="AN308" s="15" t="n">
        <f aca="false">0</f>
        <v>0</v>
      </c>
      <c r="AO308" s="15" t="n">
        <f aca="false">0</f>
        <v>0</v>
      </c>
      <c r="AP308" s="15" t="n">
        <f aca="false">MAX(0,AN308)*IF(4=Parametri_v3!$C$43,Parametri_v3!$C$45,IF(4=Parametri_v3!$C$44,1-Parametri_v3!$C$45,0))</f>
        <v>0</v>
      </c>
      <c r="AQ308" s="15" t="n">
        <f aca="false">MAX(0,AP308+IF(4=Parametri_v3!$C$43,MAX(0,AN308-AO308),0)-MAX(0,-(AR307)))</f>
        <v>0</v>
      </c>
      <c r="AR308" s="15" t="n">
        <f aca="false">(AR307)+X308-AQ308</f>
        <v>0</v>
      </c>
      <c r="AS308" s="15" t="n">
        <f aca="false">Motore_Operativo!AB308-AT308+AU308</f>
        <v>17020.8333333333</v>
      </c>
      <c r="AT308" s="15" t="n">
        <f aca="false">Motore_Operativo!CH308</f>
        <v>895.833333333334</v>
      </c>
      <c r="AU308" s="15" t="n">
        <f aca="false">MIN(MAX(0,(AV307)+AT308),Parametri_v3!$C$60/12)</f>
        <v>0</v>
      </c>
      <c r="AV308" s="15" t="n">
        <f aca="false">(AV307)+AT308-AU308</f>
        <v>3583.33333333333</v>
      </c>
      <c r="AW308" s="15" t="n">
        <f aca="false">IF(AND(Motore_Operativo!C308=Finanziamenti!$D$6,Finanziamenti!$F$6=1),Finanziamenti!$C$6,0)</f>
        <v>0</v>
      </c>
      <c r="AX308" s="15" t="n">
        <f aca="false">IF(AND(6&lt;&gt;7,6&lt;&gt;9,Finanziamenti!$F$8=1,OR(Parametri_v3!$C$6=0,Finanziamenti!$E$8=1),Motore_Operativo!C308=EDATE(Finanziamenti!$D$8,Ipotesi!H15*12)),Finanziamenti!$C$8*1,0)+IF(AND(6&lt;&gt;7,6&lt;&gt;9,Finanziamenti!$F$9=1,OR(Parametri_v3!$C$6=0,Finanziamenti!$E$9=1),Motore_Operativo!C308=EDATE(Finanziamenti!$D$9,Ipotesi!H15*12)),Finanziamenti!$C$9*Ipotesi!H16,0)</f>
        <v>0</v>
      </c>
      <c r="AY308" s="15" t="n">
        <f aca="false">0</f>
        <v>0</v>
      </c>
      <c r="AZ308" s="15" t="n">
        <f aca="false">Motore_Advisory!AY308*(1-Ipotesi!$C$95)*Ipotesi!$C$96</f>
        <v>0</v>
      </c>
      <c r="BA308" s="15" t="n">
        <f aca="false">MAX(0,MIN(CG308*MIN(1,IF(Motore_Operativo!C308&gt;=EDATE(Finanziamenti!$D$15,Ipotesi!H14*12),Finanziamenti!$C$15,0)+IF(Motore_Operativo!C308&gt;=EDATE(Finanziamenti!$D$16,Ipotesi!H14*12),Finanziamenti!$C$16,0)+IF(Motore_Operativo!C308&gt;=EDATE(Finanziamenti!$D$17,Ipotesi!H14*12),Finanziamenti!$C$17,0)),CA308*Ipotesi!$C$102)-(CC307))</f>
        <v>0</v>
      </c>
      <c r="BB308" s="15" t="n">
        <f aca="false">IF(AND(CF308&gt;0,Motore_Operativo!C308&gt;=IF(CF308=0,0,EDATE(CF308,Parametri_v3!$C$37)),MOD(((D308-YEAR(IF(CF308=0,0,EDATE(CF308,Parametri_v3!$C$37))))*12+E308-MONTH(IF(CF308=0,0,EDATE(CF308,Parametri_v3!$C$37)))),Parametri_v3!$C$38)=0),MIN(MAX(0,(BC307)+BA308-N308),(CC308-CD308)/(Ipotesi!$C$108*12/Parametri_v3!$C$38)),0)</f>
        <v>0</v>
      </c>
      <c r="BC308" s="15" t="n">
        <f aca="false">(BC307)+BA308-N308-BB308</f>
        <v>0</v>
      </c>
      <c r="BD308" s="15" t="n">
        <f aca="false">(BH307)+AC308+AF308-AI308-AS308-K308*(1+Parametri_v3!$C$26)-AL308-AQ308-O308+AW308+AX308+AZ308+BA308-BB308</f>
        <v>45550.0304298246</v>
      </c>
      <c r="BE308" s="15" t="n">
        <f aca="false">MAX(0,MIN(MAX(0,CH308-(BG307)),Parametri_v3!$C$30-BD308))</f>
        <v>0</v>
      </c>
      <c r="BF308" s="15" t="n">
        <f aca="false">IF(Motore_Operativo!C308&gt;=Parametri_v3!$C$63,(BG307),MIN((BG307),MAX(0,BD308-Parametri_v3!$C$30)))</f>
        <v>0</v>
      </c>
      <c r="BG308" s="15" t="n">
        <f aca="false">(BG307)+BE308-BF308</f>
        <v>0</v>
      </c>
      <c r="BH308" s="15" t="n">
        <f aca="false">BD308+BE308-BF308-AY308</f>
        <v>45550.0304298246</v>
      </c>
      <c r="BI308" s="15" t="n">
        <f aca="false">MAX(0,Parametri_v3!$C$30-BH308)</f>
        <v>0</v>
      </c>
      <c r="BJ308" s="15" t="n">
        <f aca="false">(BJ307)+K308</f>
        <v>6666.66666666667</v>
      </c>
      <c r="BK308" s="15" t="n">
        <f aca="false">(BK307)+L308</f>
        <v>462.962962962963</v>
      </c>
      <c r="BL308" s="15" t="n">
        <f aca="false">BJ308-BK308</f>
        <v>6203.7037037037</v>
      </c>
      <c r="BM308" s="15" t="n">
        <f aca="false">(BM307)+Y308</f>
        <v>-74891.7972709552</v>
      </c>
      <c r="BN308" s="15" t="n">
        <f aca="false">(BN307)+AW308+AX308+AZ308</f>
        <v>130000</v>
      </c>
      <c r="BO308" s="15" t="n">
        <f aca="false">(BO307)+AY308</f>
        <v>0</v>
      </c>
      <c r="BP308" s="15" t="n">
        <f aca="false">0</f>
        <v>0</v>
      </c>
      <c r="BQ308" s="15" t="n">
        <f aca="false">BN308+BM308-BO308</f>
        <v>55108.2027290448</v>
      </c>
      <c r="BR308" s="15" t="n">
        <f aca="false">BH308+AD308+BL308+MAX(0,-AM308)+MAX(0,-AR308)+AG308</f>
        <v>82015.5851159844</v>
      </c>
      <c r="BS308" s="15" t="n">
        <f aca="false">AJ308+AV308+MAX(0,AM308)+MAX(0,AR308)+BC308+BG308+BQ308</f>
        <v>82015.5851159844</v>
      </c>
      <c r="BT308" s="15" t="n">
        <f aca="false">BR308-BS308</f>
        <v>0</v>
      </c>
      <c r="BU308" s="15" t="n">
        <f aca="false">BH308-(BD308+BE308-BF308-AY308)</f>
        <v>0</v>
      </c>
      <c r="BV308" s="15" t="n">
        <f aca="false">MIN(Piano_SS!$C$6,(BV307)+IF(AND(Motore_Operativo!C308&gt;=EDATE(Parametri_v3!$C$24,Ipotesi!H14*12),Motore_Operativo!C308&lt;EDATE(Parametri_v3!$C$24,Parametri_v3!$C$25+Ipotesi!H14*12)),MAX(0,(Motore_Operativo!Y308+Motore_Operativo!X308*Parametri_v3!$C$14)*(1-Parametri_v3!$C$32))*Piano_SS!$D$6,0))</f>
        <v>0</v>
      </c>
      <c r="BW308" s="15" t="n">
        <f aca="false">MIN(Piano_SS!$C$7,(BW307)+IF(AND(Motore_Operativo!C308&gt;=EDATE(Parametri_v3!$C$24,Ipotesi!H14*12),Motore_Operativo!C308&lt;EDATE(Parametri_v3!$C$24,Parametri_v3!$C$25+Ipotesi!H14*12)),MAX(0,(IF(4-(INT((Ipotesi!$C$91)/30))&lt;1,0,INDEX(Motore_Operativo!$BN$305:$BN$364,MAX(1,4-(INT((Ipotesi!$C$91)/30)))))*(1-(MOD((Ipotesi!$C$91),30)/30))+IF(4-(INT((Ipotesi!$C$91)/30))-1&lt;1,0,INDEX(Motore_Operativo!$BN$305:$BN$364,MAX(1,4-(INT((Ipotesi!$C$91)/30))-1)))*(MOD((Ipotesi!$C$91),30)/30)))*Piano_SS!$D$7,0))</f>
        <v>0</v>
      </c>
      <c r="BX308" s="15" t="n">
        <f aca="false">MIN(Piano_SS!$C$8,(BX307)+IF(AND(Motore_Operativo!C308&gt;=EDATE(Parametri_v3!$C$24,Ipotesi!H14*12),Motore_Operativo!C308&lt;EDATE(Parametri_v3!$C$24,Parametri_v3!$C$25+Ipotesi!H14*12)),MAX(0,Motore_Operativo!CE308)*Piano_SS!$D$8,0))</f>
        <v>0</v>
      </c>
      <c r="BY308" s="15" t="n">
        <f aca="false">MIN(Piano_SS!$C$9,(BY307)+IF(AND(Motore_Operativo!C308&gt;=EDATE(Parametri_v3!$C$24,Ipotesi!H14*12),Motore_Operativo!C308&lt;EDATE(Parametri_v3!$C$24,Parametri_v3!$C$25+Ipotesi!H14*12)),MAX(0,((IF(4-(INT((Ipotesi!$C$91)/30))&lt;1,0,INDEX(Motore_Operativo!$BQ$305:$BQ$364,MAX(1,4-(INT((Ipotesi!$C$91)/30)))))*(1-(MOD((Ipotesi!$C$91),30)/30))+IF(4-(INT((Ipotesi!$C$91)/30))-1&lt;1,0,INDEX(Motore_Operativo!$BQ$305:$BQ$364,MAX(1,4-(INT((Ipotesi!$C$91)/30))-1)))*(MOD((Ipotesi!$C$91),30)/30))+(IF(4-(INT((Ipotesi!$C$91)/30))&lt;1,0,INDEX(Motore_Operativo!$BR$305:$BR$364,MAX(1,4-(INT((Ipotesi!$C$91)/30)))))*(1-(MOD((Ipotesi!$C$91),30)/30))+IF(4-(INT((Ipotesi!$C$91)/30))-1&lt;1,0,INDEX(Motore_Operativo!$BR$305:$BR$364,MAX(1,4-(INT((Ipotesi!$C$91)/30))-1)))*(MOD((Ipotesi!$C$91),30)/30))))*Piano_SS!$D$9,0))</f>
        <v>0</v>
      </c>
      <c r="BZ308" s="15" t="n">
        <f aca="false">MIN(Piano_SS!$C$10,(BZ307)+IF(AND(Motore_Operativo!C308&gt;=EDATE(Parametri_v3!$C$24,Ipotesi!H14*12),Motore_Operativo!C308&lt;EDATE(Parametri_v3!$C$24,Parametri_v3!$C$25+Ipotesi!H14*12)),MAX(0,(IF(4-(INT((Ipotesi!$C$91)/30))&lt;1,0,INDEX(Motore_Operativo!$BO$305:$BO$364,MAX(1,4-(INT((Ipotesi!$C$91)/30)))))*(1-(MOD((Ipotesi!$C$91),30)/30))+IF(4-(INT((Ipotesi!$C$91)/30))-1&lt;1,0,INDEX(Motore_Operativo!$BO$305:$BO$364,MAX(1,4-(INT((Ipotesi!$C$91)/30))-1)))*(MOD((Ipotesi!$C$91),30)/30)))*Piano_SS!$D$10,0))</f>
        <v>0</v>
      </c>
      <c r="CA308" s="15" t="n">
        <f aca="false">SUM(BV308:BZ308)</f>
        <v>0</v>
      </c>
      <c r="CB308" s="15" t="n">
        <f aca="false">BV308*(1-Piano_SS!$E$6)+BW308*(1-Piano_SS!$E$7)+BX308*(1-Piano_SS!$E$8)+BY308*(1-Piano_SS!$E$9)+BZ308*(1-Piano_SS!$E$10)</f>
        <v>0</v>
      </c>
      <c r="CC308" s="15" t="n">
        <f aca="false">(CC307)+BA308</f>
        <v>0</v>
      </c>
      <c r="CD308" s="15" t="n">
        <f aca="false">IF(CA308=0,0,CC308*CB308/CA308*Ipotesi!$C$103*Parametri_v3!$C$64)</f>
        <v>0</v>
      </c>
      <c r="CE308" s="18" t="n">
        <f aca="false">IF(BA308&gt;0,Motore_Operativo!C308,(CE307))</f>
        <v>0</v>
      </c>
      <c r="CF308" s="18" t="n">
        <f aca="false">IF(AND(CC308&gt;0,OR(CC308&gt;=CG308-0.01,Motore_Operativo!C308&gt;=EDATE(MAX(Finanziamenti!$D$15:$D$17),Ipotesi!H14*12))),CE308,0)</f>
        <v>0</v>
      </c>
      <c r="CG308" s="15" t="n">
        <f aca="false">IF(AND(6&lt;&gt;6,6&lt;&gt;9,Finanziamenti!$F$11=1,OR(Parametri_v3!$C$6=0,Finanziamenti!$E$11=1)),MIN(Finanziamenti!$C$11,Piano_SS!$C$12*Ipotesi!$C$102),0)</f>
        <v>0</v>
      </c>
      <c r="CH308" s="15" t="n">
        <f aca="false">IF(AND(AND(6&lt;&gt;8,6&lt;&gt;9,Finanziamenti!$F$10=1,OR(Parametri_v3!$C$6=0,Finanziamenti!$E$10=1)),Motore_Operativo!C308&gt;=Finanziamenti!$D$10,Motore_Operativo!C308&lt;Parametri_v3!$C$63),Finanziamenti!$C$10,0)</f>
        <v>150000</v>
      </c>
    </row>
    <row r="309" customFormat="false" ht="18" hidden="false" customHeight="true" outlineLevel="0" collapsed="false">
      <c r="A309" s="68" t="n">
        <f aca="false">6</f>
        <v>6</v>
      </c>
      <c r="B309" s="68" t="n">
        <f aca="false">5</f>
        <v>5</v>
      </c>
      <c r="C309" s="18" t="n">
        <f aca="false">Motore_Operativo!C309</f>
        <v>46508</v>
      </c>
      <c r="D309" s="68" t="n">
        <f aca="false">Motore_Operativo!D309</f>
        <v>2027</v>
      </c>
      <c r="E309" s="68" t="n">
        <f aca="false">Motore_Operativo!E309</f>
        <v>5</v>
      </c>
      <c r="F309" s="15" t="n">
        <f aca="false">Motore_Operativo!AQ309+Motore_Operativo!BF309</f>
        <v>7638.88888888889</v>
      </c>
      <c r="G309" s="15" t="n">
        <f aca="false">Motore_Operativo!BH309</f>
        <v>1621.05263157895</v>
      </c>
      <c r="H309" s="15" t="n">
        <f aca="false">Motore_Operativo!BI309</f>
        <v>9259.94152046784</v>
      </c>
      <c r="I309" s="15" t="n">
        <f aca="false">Motore_Operativo!CA309</f>
        <v>27757.6593567251</v>
      </c>
      <c r="J309" s="15" t="n">
        <f aca="false">Motore_Operativo!CC309</f>
        <v>-18497.7178362573</v>
      </c>
      <c r="K309" s="15" t="n">
        <f aca="false">Motore_Operativo!CE309</f>
        <v>1666.66666666667</v>
      </c>
      <c r="L309" s="15" t="n">
        <f aca="false">SUM(INDEX($K$305:$K$364,MAX(1,5-Parametri_v3!$C$59+1)):K309)/Parametri_v3!$C$59</f>
        <v>231.481481481482</v>
      </c>
      <c r="M309" s="15" t="n">
        <f aca="false">J309-L309</f>
        <v>-18729.1993177388</v>
      </c>
      <c r="N309" s="15" t="n">
        <f aca="false">CD309-(CD308)</f>
        <v>0</v>
      </c>
      <c r="O309" s="15" t="n">
        <f aca="false">(BG308)*Ipotesi!$C$110/12+CH309*Parametri_v3!$C$39/12</f>
        <v>0</v>
      </c>
      <c r="P309" s="15" t="n">
        <f aca="false">M309+N309-O309</f>
        <v>-18729.1993177388</v>
      </c>
      <c r="Q309" s="15" t="n">
        <f aca="false">SUM(P305:P309)+Parametri_v3!$C$54*5/12</f>
        <v>-93620.996588694</v>
      </c>
      <c r="R309" s="15" t="n">
        <f aca="false">0</f>
        <v>0</v>
      </c>
      <c r="S309" s="15" t="n">
        <f aca="false">0</f>
        <v>0</v>
      </c>
      <c r="T309" s="15" t="n">
        <f aca="false">MIN(R309,MAX(0,Q309))</f>
        <v>0</v>
      </c>
      <c r="U309" s="15" t="n">
        <f aca="false">MIN(S309,MAX(0,Q309-T309)*Parametri_v3!$C$42)</f>
        <v>0</v>
      </c>
      <c r="V309" s="15" t="n">
        <f aca="false">MAX(0,Q309-T309-U309)*Ipotesi!$C$92</f>
        <v>0</v>
      </c>
      <c r="W309" s="15" t="n">
        <f aca="false">MAX(0,SUM(M305:M309)+Parametri_v3!$C$55*5/12)*Ipotesi!$C$93</f>
        <v>0</v>
      </c>
      <c r="X309" s="15" t="n">
        <f aca="false">V309+W309-(V308+W308)</f>
        <v>0</v>
      </c>
      <c r="Y309" s="15" t="n">
        <f aca="false">P309-X309</f>
        <v>-18729.1993177388</v>
      </c>
      <c r="Z309" s="15" t="n">
        <f aca="false">R309-T309+IF(AND(Parametri_v3!$C$40=1,D309-YEAR(Parametri_v3!$C$50)&lt;Parametri_v3!$C$41),MAX(0,-Q309),0)</f>
        <v>93620.996588694</v>
      </c>
      <c r="AA309" s="15" t="n">
        <f aca="false">S309-U309+IF(AND(Parametri_v3!$C$40=1,D309-YEAR(Parametri_v3!$C$50)&lt;Parametri_v3!$C$41),0,MAX(0,-Q309))</f>
        <v>0</v>
      </c>
      <c r="AB309" s="15" t="n">
        <f aca="false">F309*(1+Parametri_v3!$C$26)</f>
        <v>9319.44444444445</v>
      </c>
      <c r="AC309" s="15" t="n">
        <f aca="false">(IF(5-(INT((Motore_Operativo!L309)/30))&lt;1,0,INDEX(Motore_Startup!$AB$305:$AB$364,MAX(1,5-(INT((Motore_Operativo!L309)/30)))))*(1-(MOD((Motore_Operativo!L309),30)/30))+IF(5-(INT((Motore_Operativo!L309)/30))-1&lt;1,0,INDEX(Motore_Startup!$AB$305:$AB$364,MAX(1,5-(INT((Motore_Operativo!L309)/30))-1)))*(MOD((Motore_Operativo!L309),30)/30))</f>
        <v>9150</v>
      </c>
      <c r="AD309" s="15" t="n">
        <f aca="false">(AD308)+AB309-AC309</f>
        <v>27675.9259259259</v>
      </c>
      <c r="AE309" s="15" t="n">
        <f aca="false">Motore_Operativo!BH309*(1+Parametri_v3!$C$26)</f>
        <v>1977.68421052632</v>
      </c>
      <c r="AF309" s="15" t="n">
        <f aca="false">(IF(5-(INT((Parametri_v3!$C$29)/30))&lt;1,0,INDEX(Motore_Operativo!$BH$305:$BH$364,MAX(1,5-(INT((Parametri_v3!$C$29)/30)))))*(1-(MOD((Parametri_v3!$C$29),30)/30))+IF(5-(INT((Parametri_v3!$C$29)/30))-1&lt;1,0,INDEX(Motore_Operativo!$BH$305:$BH$364,MAX(1,5-(INT((Parametri_v3!$C$29)/30))-1)))*(MOD((Parametri_v3!$C$29),30)/30))*(1+Parametri_v3!$C$26)</f>
        <v>1977.68421052632</v>
      </c>
      <c r="AG309" s="15" t="n">
        <f aca="false">(AG308)+AE309-AF309</f>
        <v>1977.68421052632</v>
      </c>
      <c r="AH309" s="15" t="n">
        <f aca="false">(Motore_Operativo!CJ309)*(1+Parametri_v3!$C$27*Parametri_v3!$C$26)</f>
        <v>11681.2583230994</v>
      </c>
      <c r="AI309" s="15" t="n">
        <f aca="false">(IF(5-(INT((Ipotesi!$C$91)/30))&lt;1,0,INDEX(Motore_Startup!$AH$305:$AH$364,MAX(1,5-(INT((Ipotesi!$C$91)/30)))))*(1-(MOD((Ipotesi!$C$91),30)/30))+IF(5-(INT((Ipotesi!$C$91)/30))-1&lt;1,0,INDEX(Motore_Startup!$AH$305:$AH$364,MAX(1,5-(INT((Ipotesi!$C$91)/30))-1)))*(MOD((Ipotesi!$C$91),30)/30))</f>
        <v>11658.1777675439</v>
      </c>
      <c r="AJ309" s="15" t="n">
        <f aca="false">(AJ308)+AH309-AI309</f>
        <v>23347.1296091618</v>
      </c>
      <c r="AK309" s="15" t="n">
        <f aca="false">(F309+ Motore_Operativo!BH309-(Motore_Operativo!CJ309)*Parametri_v3!$C$27-Motore_Operativo!CE309)*Parametri_v3!$C$26</f>
        <v>-169.745165204677</v>
      </c>
      <c r="AL309" s="15" t="n">
        <f aca="false">MAX(0,(AM308))</f>
        <v>0</v>
      </c>
      <c r="AM309" s="15" t="n">
        <f aca="false">(AM308)+AK309-AL309</f>
        <v>-947.430455653019</v>
      </c>
      <c r="AN309" s="15" t="n">
        <f aca="false">0</f>
        <v>0</v>
      </c>
      <c r="AO309" s="15" t="n">
        <f aca="false">0</f>
        <v>0</v>
      </c>
      <c r="AP309" s="15" t="n">
        <f aca="false">MAX(0,AN309)*IF(5=Parametri_v3!$C$43,Parametri_v3!$C$45,IF(5=Parametri_v3!$C$44,1-Parametri_v3!$C$45,0))</f>
        <v>0</v>
      </c>
      <c r="AQ309" s="15" t="n">
        <f aca="false">MAX(0,AP309+IF(5=Parametri_v3!$C$43,MAX(0,AN309-AO309),0)-MAX(0,-(AR308)))</f>
        <v>0</v>
      </c>
      <c r="AR309" s="15" t="n">
        <f aca="false">(AR308)+X309-AQ309</f>
        <v>0</v>
      </c>
      <c r="AS309" s="15" t="n">
        <f aca="false">Motore_Operativo!AB309-AT309+AU309</f>
        <v>17020.8333333333</v>
      </c>
      <c r="AT309" s="15" t="n">
        <f aca="false">Motore_Operativo!CH309</f>
        <v>895.833333333334</v>
      </c>
      <c r="AU309" s="15" t="n">
        <f aca="false">MIN(MAX(0,(AV308)+AT309),Parametri_v3!$C$60/12)</f>
        <v>0</v>
      </c>
      <c r="AV309" s="15" t="n">
        <f aca="false">(AV308)+AT309-AU309</f>
        <v>4479.16666666667</v>
      </c>
      <c r="AW309" s="15" t="n">
        <f aca="false">IF(AND(Motore_Operativo!C309=Finanziamenti!$D$6,Finanziamenti!$F$6=1),Finanziamenti!$C$6,0)</f>
        <v>0</v>
      </c>
      <c r="AX309" s="15" t="n">
        <f aca="false">IF(AND(6&lt;&gt;7,6&lt;&gt;9,Finanziamenti!$F$8=1,OR(Parametri_v3!$C$6=0,Finanziamenti!$E$8=1),Motore_Operativo!C309=EDATE(Finanziamenti!$D$8,Ipotesi!H15*12)),Finanziamenti!$C$8*1,0)+IF(AND(6&lt;&gt;7,6&lt;&gt;9,Finanziamenti!$F$9=1,OR(Parametri_v3!$C$6=0,Finanziamenti!$E$9=1),Motore_Operativo!C309=EDATE(Finanziamenti!$D$9,Ipotesi!H15*12)),Finanziamenti!$C$9*Ipotesi!H16,0)</f>
        <v>0</v>
      </c>
      <c r="AY309" s="15" t="n">
        <f aca="false">0</f>
        <v>0</v>
      </c>
      <c r="AZ309" s="15" t="n">
        <f aca="false">Motore_Advisory!AY309*(1-Ipotesi!$C$95)*Ipotesi!$C$96</f>
        <v>0</v>
      </c>
      <c r="BA309" s="15" t="n">
        <f aca="false">MAX(0,MIN(CG309*MIN(1,IF(Motore_Operativo!C309&gt;=EDATE(Finanziamenti!$D$15,Ipotesi!H14*12),Finanziamenti!$C$15,0)+IF(Motore_Operativo!C309&gt;=EDATE(Finanziamenti!$D$16,Ipotesi!H14*12),Finanziamenti!$C$16,0)+IF(Motore_Operativo!C309&gt;=EDATE(Finanziamenti!$D$17,Ipotesi!H14*12),Finanziamenti!$C$17,0)),CA309*Ipotesi!$C$102)-(CC308))</f>
        <v>0</v>
      </c>
      <c r="BB309" s="15" t="n">
        <f aca="false">IF(AND(CF309&gt;0,Motore_Operativo!C309&gt;=IF(CF309=0,0,EDATE(CF309,Parametri_v3!$C$37)),MOD(((D309-YEAR(IF(CF309=0,0,EDATE(CF309,Parametri_v3!$C$37))))*12+E309-MONTH(IF(CF309=0,0,EDATE(CF309,Parametri_v3!$C$37)))),Parametri_v3!$C$38)=0),MIN(MAX(0,(BC308)+BA309-N309),(CC309-CD309)/(Ipotesi!$C$108*12/Parametri_v3!$C$38)),0)</f>
        <v>0</v>
      </c>
      <c r="BC309" s="15" t="n">
        <f aca="false">(BC308)+BA309-N309-BB309</f>
        <v>0</v>
      </c>
      <c r="BD309" s="15" t="n">
        <f aca="false">(BH308)+AC309+AF309-AI309-AS309-K309*(1+Parametri_v3!$C$26)-AL309-AQ309-O309+AW309+AX309+AZ309+BA309-BB309</f>
        <v>25965.3702061404</v>
      </c>
      <c r="BE309" s="15" t="n">
        <f aca="false">MAX(0,MIN(MAX(0,CH309-(BG308)),Parametri_v3!$C$30-BD309))</f>
        <v>0</v>
      </c>
      <c r="BF309" s="15" t="n">
        <f aca="false">IF(Motore_Operativo!C309&gt;=Parametri_v3!$C$63,(BG308),MIN((BG308),MAX(0,BD309-Parametri_v3!$C$30)))</f>
        <v>0</v>
      </c>
      <c r="BG309" s="15" t="n">
        <f aca="false">(BG308)+BE309-BF309</f>
        <v>0</v>
      </c>
      <c r="BH309" s="15" t="n">
        <f aca="false">BD309+BE309-BF309-AY309</f>
        <v>25965.3702061404</v>
      </c>
      <c r="BI309" s="15" t="n">
        <f aca="false">MAX(0,Parametri_v3!$C$30-BH309)</f>
        <v>0</v>
      </c>
      <c r="BJ309" s="15" t="n">
        <f aca="false">(BJ308)+K309</f>
        <v>8333.33333333333</v>
      </c>
      <c r="BK309" s="15" t="n">
        <f aca="false">(BK308)+L309</f>
        <v>694.444444444445</v>
      </c>
      <c r="BL309" s="15" t="n">
        <f aca="false">BJ309-BK309</f>
        <v>7638.88888888889</v>
      </c>
      <c r="BM309" s="15" t="n">
        <f aca="false">(BM308)+Y309</f>
        <v>-93620.996588694</v>
      </c>
      <c r="BN309" s="15" t="n">
        <f aca="false">(BN308)+AW309+AX309+AZ309</f>
        <v>130000</v>
      </c>
      <c r="BO309" s="15" t="n">
        <f aca="false">(BO308)+AY309</f>
        <v>0</v>
      </c>
      <c r="BP309" s="15" t="n">
        <f aca="false">0</f>
        <v>0</v>
      </c>
      <c r="BQ309" s="15" t="n">
        <f aca="false">BN309+BM309-BO309</f>
        <v>36379.003411306</v>
      </c>
      <c r="BR309" s="15" t="n">
        <f aca="false">BH309+AD309+BL309+MAX(0,-AM309)+MAX(0,-AR309)+AG309</f>
        <v>64205.2996871345</v>
      </c>
      <c r="BS309" s="15" t="n">
        <f aca="false">AJ309+AV309+MAX(0,AM309)+MAX(0,AR309)+BC309+BG309+BQ309</f>
        <v>64205.2996871345</v>
      </c>
      <c r="BT309" s="15" t="n">
        <f aca="false">BR309-BS309</f>
        <v>0</v>
      </c>
      <c r="BU309" s="15" t="n">
        <f aca="false">BH309-(BD309+BE309-BF309-AY309)</f>
        <v>0</v>
      </c>
      <c r="BV309" s="15" t="n">
        <f aca="false">MIN(Piano_SS!$C$6,(BV308)+IF(AND(Motore_Operativo!C309&gt;=EDATE(Parametri_v3!$C$24,Ipotesi!H14*12),Motore_Operativo!C309&lt;EDATE(Parametri_v3!$C$24,Parametri_v3!$C$25+Ipotesi!H14*12)),MAX(0,(Motore_Operativo!Y309+Motore_Operativo!X309*Parametri_v3!$C$14)*(1-Parametri_v3!$C$32))*Piano_SS!$D$6,0))</f>
        <v>0</v>
      </c>
      <c r="BW309" s="15" t="n">
        <f aca="false">MIN(Piano_SS!$C$7,(BW308)+IF(AND(Motore_Operativo!C309&gt;=EDATE(Parametri_v3!$C$24,Ipotesi!H14*12),Motore_Operativo!C309&lt;EDATE(Parametri_v3!$C$24,Parametri_v3!$C$25+Ipotesi!H14*12)),MAX(0,(IF(5-(INT((Ipotesi!$C$91)/30))&lt;1,0,INDEX(Motore_Operativo!$BN$305:$BN$364,MAX(1,5-(INT((Ipotesi!$C$91)/30)))))*(1-(MOD((Ipotesi!$C$91),30)/30))+IF(5-(INT((Ipotesi!$C$91)/30))-1&lt;1,0,INDEX(Motore_Operativo!$BN$305:$BN$364,MAX(1,5-(INT((Ipotesi!$C$91)/30))-1)))*(MOD((Ipotesi!$C$91),30)/30)))*Piano_SS!$D$7,0))</f>
        <v>0</v>
      </c>
      <c r="BX309" s="15" t="n">
        <f aca="false">MIN(Piano_SS!$C$8,(BX308)+IF(AND(Motore_Operativo!C309&gt;=EDATE(Parametri_v3!$C$24,Ipotesi!H14*12),Motore_Operativo!C309&lt;EDATE(Parametri_v3!$C$24,Parametri_v3!$C$25+Ipotesi!H14*12)),MAX(0,Motore_Operativo!CE309)*Piano_SS!$D$8,0))</f>
        <v>0</v>
      </c>
      <c r="BY309" s="15" t="n">
        <f aca="false">MIN(Piano_SS!$C$9,(BY308)+IF(AND(Motore_Operativo!C309&gt;=EDATE(Parametri_v3!$C$24,Ipotesi!H14*12),Motore_Operativo!C309&lt;EDATE(Parametri_v3!$C$24,Parametri_v3!$C$25+Ipotesi!H14*12)),MAX(0,((IF(5-(INT((Ipotesi!$C$91)/30))&lt;1,0,INDEX(Motore_Operativo!$BQ$305:$BQ$364,MAX(1,5-(INT((Ipotesi!$C$91)/30)))))*(1-(MOD((Ipotesi!$C$91),30)/30))+IF(5-(INT((Ipotesi!$C$91)/30))-1&lt;1,0,INDEX(Motore_Operativo!$BQ$305:$BQ$364,MAX(1,5-(INT((Ipotesi!$C$91)/30))-1)))*(MOD((Ipotesi!$C$91),30)/30))+(IF(5-(INT((Ipotesi!$C$91)/30))&lt;1,0,INDEX(Motore_Operativo!$BR$305:$BR$364,MAX(1,5-(INT((Ipotesi!$C$91)/30)))))*(1-(MOD((Ipotesi!$C$91),30)/30))+IF(5-(INT((Ipotesi!$C$91)/30))-1&lt;1,0,INDEX(Motore_Operativo!$BR$305:$BR$364,MAX(1,5-(INT((Ipotesi!$C$91)/30))-1)))*(MOD((Ipotesi!$C$91),30)/30))))*Piano_SS!$D$9,0))</f>
        <v>0</v>
      </c>
      <c r="BZ309" s="15" t="n">
        <f aca="false">MIN(Piano_SS!$C$10,(BZ308)+IF(AND(Motore_Operativo!C309&gt;=EDATE(Parametri_v3!$C$24,Ipotesi!H14*12),Motore_Operativo!C309&lt;EDATE(Parametri_v3!$C$24,Parametri_v3!$C$25+Ipotesi!H14*12)),MAX(0,(IF(5-(INT((Ipotesi!$C$91)/30))&lt;1,0,INDEX(Motore_Operativo!$BO$305:$BO$364,MAX(1,5-(INT((Ipotesi!$C$91)/30)))))*(1-(MOD((Ipotesi!$C$91),30)/30))+IF(5-(INT((Ipotesi!$C$91)/30))-1&lt;1,0,INDEX(Motore_Operativo!$BO$305:$BO$364,MAX(1,5-(INT((Ipotesi!$C$91)/30))-1)))*(MOD((Ipotesi!$C$91),30)/30)))*Piano_SS!$D$10,0))</f>
        <v>0</v>
      </c>
      <c r="CA309" s="15" t="n">
        <f aca="false">SUM(BV309:BZ309)</f>
        <v>0</v>
      </c>
      <c r="CB309" s="15" t="n">
        <f aca="false">BV309*(1-Piano_SS!$E$6)+BW309*(1-Piano_SS!$E$7)+BX309*(1-Piano_SS!$E$8)+BY309*(1-Piano_SS!$E$9)+BZ309*(1-Piano_SS!$E$10)</f>
        <v>0</v>
      </c>
      <c r="CC309" s="15" t="n">
        <f aca="false">(CC308)+BA309</f>
        <v>0</v>
      </c>
      <c r="CD309" s="15" t="n">
        <f aca="false">IF(CA309=0,0,CC309*CB309/CA309*Ipotesi!$C$103*Parametri_v3!$C$64)</f>
        <v>0</v>
      </c>
      <c r="CE309" s="18" t="n">
        <f aca="false">IF(BA309&gt;0,Motore_Operativo!C309,(CE308))</f>
        <v>0</v>
      </c>
      <c r="CF309" s="18" t="n">
        <f aca="false">IF(AND(CC309&gt;0,OR(CC309&gt;=CG309-0.01,Motore_Operativo!C309&gt;=EDATE(MAX(Finanziamenti!$D$15:$D$17),Ipotesi!H14*12))),CE309,0)</f>
        <v>0</v>
      </c>
      <c r="CG309" s="15" t="n">
        <f aca="false">IF(AND(6&lt;&gt;6,6&lt;&gt;9,Finanziamenti!$F$11=1,OR(Parametri_v3!$C$6=0,Finanziamenti!$E$11=1)),MIN(Finanziamenti!$C$11,Piano_SS!$C$12*Ipotesi!$C$102),0)</f>
        <v>0</v>
      </c>
      <c r="CH309" s="15" t="n">
        <f aca="false">IF(AND(AND(6&lt;&gt;8,6&lt;&gt;9,Finanziamenti!$F$10=1,OR(Parametri_v3!$C$6=0,Finanziamenti!$E$10=1)),Motore_Operativo!C309&gt;=Finanziamenti!$D$10,Motore_Operativo!C309&lt;Parametri_v3!$C$63),Finanziamenti!$C$10,0)</f>
        <v>150000</v>
      </c>
    </row>
    <row r="310" customFormat="false" ht="18" hidden="false" customHeight="true" outlineLevel="0" collapsed="false">
      <c r="A310" s="68" t="n">
        <f aca="false">6</f>
        <v>6</v>
      </c>
      <c r="B310" s="68" t="n">
        <f aca="false">6</f>
        <v>6</v>
      </c>
      <c r="C310" s="18" t="n">
        <f aca="false">Motore_Operativo!C310</f>
        <v>46539</v>
      </c>
      <c r="D310" s="68" t="n">
        <f aca="false">Motore_Operativo!D310</f>
        <v>2027</v>
      </c>
      <c r="E310" s="68" t="n">
        <f aca="false">Motore_Operativo!E310</f>
        <v>6</v>
      </c>
      <c r="F310" s="15" t="n">
        <f aca="false">Motore_Operativo!AQ310+Motore_Operativo!BF310</f>
        <v>7731.48148148148</v>
      </c>
      <c r="G310" s="15" t="n">
        <f aca="false">Motore_Operativo!BH310</f>
        <v>1621.05263157895</v>
      </c>
      <c r="H310" s="15" t="n">
        <f aca="false">Motore_Operativo!BI310</f>
        <v>9352.53411306043</v>
      </c>
      <c r="I310" s="15" t="n">
        <f aca="false">Motore_Operativo!CA310</f>
        <v>27770.6223196881</v>
      </c>
      <c r="J310" s="15" t="n">
        <f aca="false">Motore_Operativo!CC310</f>
        <v>-18418.0882066277</v>
      </c>
      <c r="K310" s="15" t="n">
        <f aca="false">Motore_Operativo!CE310</f>
        <v>1666.66666666667</v>
      </c>
      <c r="L310" s="15" t="n">
        <f aca="false">SUM(INDEX($K$305:$K$364,MAX(1,6-Parametri_v3!$C$59+1)):K310)/Parametri_v3!$C$59</f>
        <v>277.777777777778</v>
      </c>
      <c r="M310" s="15" t="n">
        <f aca="false">J310-L310</f>
        <v>-18695.8659844055</v>
      </c>
      <c r="N310" s="15" t="n">
        <f aca="false">CD310-(CD309)</f>
        <v>0</v>
      </c>
      <c r="O310" s="15" t="n">
        <f aca="false">(BG309)*Ipotesi!$C$110/12+CH310*Parametri_v3!$C$39/12</f>
        <v>0</v>
      </c>
      <c r="P310" s="15" t="n">
        <f aca="false">M310+N310-O310</f>
        <v>-18695.8659844055</v>
      </c>
      <c r="Q310" s="15" t="n">
        <f aca="false">SUM(P305:P310)+Parametri_v3!$C$54*6/12</f>
        <v>-112316.862573099</v>
      </c>
      <c r="R310" s="15" t="n">
        <f aca="false">0</f>
        <v>0</v>
      </c>
      <c r="S310" s="15" t="n">
        <f aca="false">0</f>
        <v>0</v>
      </c>
      <c r="T310" s="15" t="n">
        <f aca="false">MIN(R310,MAX(0,Q310))</f>
        <v>0</v>
      </c>
      <c r="U310" s="15" t="n">
        <f aca="false">MIN(S310,MAX(0,Q310-T310)*Parametri_v3!$C$42)</f>
        <v>0</v>
      </c>
      <c r="V310" s="15" t="n">
        <f aca="false">MAX(0,Q310-T310-U310)*Ipotesi!$C$92</f>
        <v>0</v>
      </c>
      <c r="W310" s="15" t="n">
        <f aca="false">MAX(0,SUM(M305:M310)+Parametri_v3!$C$55*6/12)*Ipotesi!$C$93</f>
        <v>0</v>
      </c>
      <c r="X310" s="15" t="n">
        <f aca="false">V310+W310-(V309+W309)</f>
        <v>0</v>
      </c>
      <c r="Y310" s="15" t="n">
        <f aca="false">P310-X310</f>
        <v>-18695.8659844055</v>
      </c>
      <c r="Z310" s="15" t="n">
        <f aca="false">R310-T310+IF(AND(Parametri_v3!$C$40=1,D310-YEAR(Parametri_v3!$C$50)&lt;Parametri_v3!$C$41),MAX(0,-Q310),0)</f>
        <v>112316.862573099</v>
      </c>
      <c r="AA310" s="15" t="n">
        <f aca="false">S310-U310+IF(AND(Parametri_v3!$C$40=1,D310-YEAR(Parametri_v3!$C$50)&lt;Parametri_v3!$C$41),0,MAX(0,-Q310))</f>
        <v>0</v>
      </c>
      <c r="AB310" s="15" t="n">
        <f aca="false">F310*(1+Parametri_v3!$C$26)</f>
        <v>9432.40740740741</v>
      </c>
      <c r="AC310" s="15" t="n">
        <f aca="false">(IF(6-(INT((Motore_Operativo!L310)/30))&lt;1,0,INDEX(Motore_Startup!$AB$305:$AB$364,MAX(1,6-(INT((Motore_Operativo!L310)/30)))))*(1-(MOD((Motore_Operativo!L310),30)/30))+IF(6-(INT((Motore_Operativo!L310)/30))-1&lt;1,0,INDEX(Motore_Startup!$AB$305:$AB$364,MAX(1,6-(INT((Motore_Operativo!L310)/30))-1)))*(MOD((Motore_Operativo!L310),30)/30))</f>
        <v>9150</v>
      </c>
      <c r="AD310" s="15" t="n">
        <f aca="false">(AD309)+AB310-AC310</f>
        <v>27958.3333333333</v>
      </c>
      <c r="AE310" s="15" t="n">
        <f aca="false">Motore_Operativo!BH310*(1+Parametri_v3!$C$26)</f>
        <v>1977.68421052632</v>
      </c>
      <c r="AF310" s="15" t="n">
        <f aca="false">(IF(6-(INT((Parametri_v3!$C$29)/30))&lt;1,0,INDEX(Motore_Operativo!$BH$305:$BH$364,MAX(1,6-(INT((Parametri_v3!$C$29)/30)))))*(1-(MOD((Parametri_v3!$C$29),30)/30))+IF(6-(INT((Parametri_v3!$C$29)/30))-1&lt;1,0,INDEX(Motore_Operativo!$BH$305:$BH$364,MAX(1,6-(INT((Parametri_v3!$C$29)/30))-1)))*(MOD((Parametri_v3!$C$29),30)/30))*(1+Parametri_v3!$C$26)</f>
        <v>1977.68421052632</v>
      </c>
      <c r="AG310" s="15" t="n">
        <f aca="false">(AG309)+AE310-AF310</f>
        <v>1977.68421052632</v>
      </c>
      <c r="AH310" s="15" t="n">
        <f aca="false">(Motore_Operativo!CJ310)*(1+Parametri_v3!$C$27*Parametri_v3!$C$26)</f>
        <v>11696.6453601365</v>
      </c>
      <c r="AI310" s="15" t="n">
        <f aca="false">(IF(6-(INT((Ipotesi!$C$91)/30))&lt;1,0,INDEX(Motore_Startup!$AH$305:$AH$364,MAX(1,6-(INT((Ipotesi!$C$91)/30)))))*(1-(MOD((Ipotesi!$C$91),30)/30))+IF(6-(INT((Ipotesi!$C$91)/30))-1&lt;1,0,INDEX(Motore_Startup!$AH$305:$AH$364,MAX(1,6-(INT((Ipotesi!$C$91)/30))-1)))*(MOD((Ipotesi!$C$91),30)/30))</f>
        <v>11665.8712860624</v>
      </c>
      <c r="AJ310" s="15" t="n">
        <f aca="false">(AJ309)+AH310-AI310</f>
        <v>23377.9036832359</v>
      </c>
      <c r="AK310" s="15" t="n">
        <f aca="false">(F310+ Motore_Operativo!BH310-(Motore_Operativo!CJ310)*Parametri_v3!$C$27-Motore_Operativo!CE310)*Parametri_v3!$C$26</f>
        <v>-151.798868908381</v>
      </c>
      <c r="AL310" s="15" t="n">
        <f aca="false">MAX(0,(AM309))</f>
        <v>0</v>
      </c>
      <c r="AM310" s="15" t="n">
        <f aca="false">(AM309)+AK310-AL310</f>
        <v>-1099.2293245614</v>
      </c>
      <c r="AN310" s="15" t="n">
        <f aca="false">0</f>
        <v>0</v>
      </c>
      <c r="AO310" s="15" t="n">
        <f aca="false">0</f>
        <v>0</v>
      </c>
      <c r="AP310" s="15" t="n">
        <f aca="false">MAX(0,AN310)*IF(6=Parametri_v3!$C$43,Parametri_v3!$C$45,IF(6=Parametri_v3!$C$44,1-Parametri_v3!$C$45,0))</f>
        <v>0</v>
      </c>
      <c r="AQ310" s="15" t="n">
        <f aca="false">MAX(0,AP310+IF(6=Parametri_v3!$C$43,MAX(0,AN310-AO310),0)-MAX(0,-(AR309)))</f>
        <v>0</v>
      </c>
      <c r="AR310" s="15" t="n">
        <f aca="false">(AR309)+X310-AQ310</f>
        <v>0</v>
      </c>
      <c r="AS310" s="15" t="n">
        <f aca="false">Motore_Operativo!AB310-AT310+AU310</f>
        <v>17020.8333333333</v>
      </c>
      <c r="AT310" s="15" t="n">
        <f aca="false">Motore_Operativo!CH310</f>
        <v>895.833333333334</v>
      </c>
      <c r="AU310" s="15" t="n">
        <f aca="false">MIN(MAX(0,(AV309)+AT310),Parametri_v3!$C$60/12)</f>
        <v>0</v>
      </c>
      <c r="AV310" s="15" t="n">
        <f aca="false">(AV309)+AT310-AU310</f>
        <v>5375</v>
      </c>
      <c r="AW310" s="15" t="n">
        <f aca="false">IF(AND(Motore_Operativo!C310=Finanziamenti!$D$6,Finanziamenti!$F$6=1),Finanziamenti!$C$6,0)</f>
        <v>0</v>
      </c>
      <c r="AX310" s="15" t="n">
        <f aca="false">IF(AND(6&lt;&gt;7,6&lt;&gt;9,Finanziamenti!$F$8=1,OR(Parametri_v3!$C$6=0,Finanziamenti!$E$8=1),Motore_Operativo!C310=EDATE(Finanziamenti!$D$8,Ipotesi!H15*12)),Finanziamenti!$C$8*1,0)+IF(AND(6&lt;&gt;7,6&lt;&gt;9,Finanziamenti!$F$9=1,OR(Parametri_v3!$C$6=0,Finanziamenti!$E$9=1),Motore_Operativo!C310=EDATE(Finanziamenti!$D$9,Ipotesi!H15*12)),Finanziamenti!$C$9*Ipotesi!H16,0)</f>
        <v>0</v>
      </c>
      <c r="AY310" s="15" t="n">
        <f aca="false">0</f>
        <v>0</v>
      </c>
      <c r="AZ310" s="15" t="n">
        <f aca="false">Motore_Advisory!AY310*(1-Ipotesi!$C$95)*Ipotesi!$C$96</f>
        <v>0</v>
      </c>
      <c r="BA310" s="15" t="n">
        <f aca="false">MAX(0,MIN(CG310*MIN(1,IF(Motore_Operativo!C310&gt;=EDATE(Finanziamenti!$D$15,Ipotesi!H14*12),Finanziamenti!$C$15,0)+IF(Motore_Operativo!C310&gt;=EDATE(Finanziamenti!$D$16,Ipotesi!H14*12),Finanziamenti!$C$16,0)+IF(Motore_Operativo!C310&gt;=EDATE(Finanziamenti!$D$17,Ipotesi!H14*12),Finanziamenti!$C$17,0)),CA310*Ipotesi!$C$102)-(CC309))</f>
        <v>0</v>
      </c>
      <c r="BB310" s="15" t="n">
        <f aca="false">IF(AND(CF310&gt;0,Motore_Operativo!C310&gt;=IF(CF310=0,0,EDATE(CF310,Parametri_v3!$C$37)),MOD(((D310-YEAR(IF(CF310=0,0,EDATE(CF310,Parametri_v3!$C$37))))*12+E310-MONTH(IF(CF310=0,0,EDATE(CF310,Parametri_v3!$C$37)))),Parametri_v3!$C$38)=0),MIN(MAX(0,(BC309)+BA310-N310),(CC310-CD310)/(Ipotesi!$C$108*12/Parametri_v3!$C$38)),0)</f>
        <v>0</v>
      </c>
      <c r="BC310" s="15" t="n">
        <f aca="false">(BC309)+BA310-N310-BB310</f>
        <v>0</v>
      </c>
      <c r="BD310" s="15" t="n">
        <f aca="false">(BH309)+AC310+AF310-AI310-AS310-K310*(1+Parametri_v3!$C$26)-AL310-AQ310-O310+AW310+AX310+AZ310+BA310-BB310</f>
        <v>6373.01646393763</v>
      </c>
      <c r="BE310" s="15" t="n">
        <f aca="false">MAX(0,MIN(MAX(0,CH310-(BG309)),Parametri_v3!$C$30-BD310))</f>
        <v>18626.9835360624</v>
      </c>
      <c r="BF310" s="15" t="n">
        <f aca="false">IF(Motore_Operativo!C310&gt;=Parametri_v3!$C$63,(BG309),MIN((BG309),MAX(0,BD310-Parametri_v3!$C$30)))</f>
        <v>0</v>
      </c>
      <c r="BG310" s="15" t="n">
        <f aca="false">(BG309)+BE310-BF310</f>
        <v>18626.9835360624</v>
      </c>
      <c r="BH310" s="15" t="n">
        <f aca="false">BD310+BE310-BF310-AY310</f>
        <v>25000</v>
      </c>
      <c r="BI310" s="15" t="n">
        <f aca="false">MAX(0,Parametri_v3!$C$30-BH310)</f>
        <v>0</v>
      </c>
      <c r="BJ310" s="15" t="n">
        <f aca="false">(BJ309)+K310</f>
        <v>10000</v>
      </c>
      <c r="BK310" s="15" t="n">
        <f aca="false">(BK309)+L310</f>
        <v>972.222222222222</v>
      </c>
      <c r="BL310" s="15" t="n">
        <f aca="false">BJ310-BK310</f>
        <v>9027.77777777778</v>
      </c>
      <c r="BM310" s="15" t="n">
        <f aca="false">(BM309)+Y310</f>
        <v>-112316.862573099</v>
      </c>
      <c r="BN310" s="15" t="n">
        <f aca="false">(BN309)+AW310+AX310+AZ310</f>
        <v>130000</v>
      </c>
      <c r="BO310" s="15" t="n">
        <f aca="false">(BO309)+AY310</f>
        <v>0</v>
      </c>
      <c r="BP310" s="15" t="n">
        <f aca="false">0</f>
        <v>0</v>
      </c>
      <c r="BQ310" s="15" t="n">
        <f aca="false">BN310+BM310-BO310</f>
        <v>17683.1374269006</v>
      </c>
      <c r="BR310" s="15" t="n">
        <f aca="false">BH310+AD310+BL310+MAX(0,-AM310)+MAX(0,-AR310)+AG310</f>
        <v>65063.0246461988</v>
      </c>
      <c r="BS310" s="15" t="n">
        <f aca="false">AJ310+AV310+MAX(0,AM310)+MAX(0,AR310)+BC310+BG310+BQ310</f>
        <v>65063.0246461988</v>
      </c>
      <c r="BT310" s="15" t="n">
        <f aca="false">BR310-BS310</f>
        <v>0</v>
      </c>
      <c r="BU310" s="15" t="n">
        <f aca="false">BH310-(BD310+BE310-BF310-AY310)</f>
        <v>0</v>
      </c>
      <c r="BV310" s="15" t="n">
        <f aca="false">MIN(Piano_SS!$C$6,(BV309)+IF(AND(Motore_Operativo!C310&gt;=EDATE(Parametri_v3!$C$24,Ipotesi!H14*12),Motore_Operativo!C310&lt;EDATE(Parametri_v3!$C$24,Parametri_v3!$C$25+Ipotesi!H14*12)),MAX(0,(Motore_Operativo!Y310+Motore_Operativo!X310*Parametri_v3!$C$14)*(1-Parametri_v3!$C$32))*Piano_SS!$D$6,0))</f>
        <v>0</v>
      </c>
      <c r="BW310" s="15" t="n">
        <f aca="false">MIN(Piano_SS!$C$7,(BW309)+IF(AND(Motore_Operativo!C310&gt;=EDATE(Parametri_v3!$C$24,Ipotesi!H14*12),Motore_Operativo!C310&lt;EDATE(Parametri_v3!$C$24,Parametri_v3!$C$25+Ipotesi!H14*12)),MAX(0,(IF(6-(INT((Ipotesi!$C$91)/30))&lt;1,0,INDEX(Motore_Operativo!$BN$305:$BN$364,MAX(1,6-(INT((Ipotesi!$C$91)/30)))))*(1-(MOD((Ipotesi!$C$91),30)/30))+IF(6-(INT((Ipotesi!$C$91)/30))-1&lt;1,0,INDEX(Motore_Operativo!$BN$305:$BN$364,MAX(1,6-(INT((Ipotesi!$C$91)/30))-1)))*(MOD((Ipotesi!$C$91),30)/30)))*Piano_SS!$D$7,0))</f>
        <v>0</v>
      </c>
      <c r="BX310" s="15" t="n">
        <f aca="false">MIN(Piano_SS!$C$8,(BX309)+IF(AND(Motore_Operativo!C310&gt;=EDATE(Parametri_v3!$C$24,Ipotesi!H14*12),Motore_Operativo!C310&lt;EDATE(Parametri_v3!$C$24,Parametri_v3!$C$25+Ipotesi!H14*12)),MAX(0,Motore_Operativo!CE310)*Piano_SS!$D$8,0))</f>
        <v>0</v>
      </c>
      <c r="BY310" s="15" t="n">
        <f aca="false">MIN(Piano_SS!$C$9,(BY309)+IF(AND(Motore_Operativo!C310&gt;=EDATE(Parametri_v3!$C$24,Ipotesi!H14*12),Motore_Operativo!C310&lt;EDATE(Parametri_v3!$C$24,Parametri_v3!$C$25+Ipotesi!H14*12)),MAX(0,((IF(6-(INT((Ipotesi!$C$91)/30))&lt;1,0,INDEX(Motore_Operativo!$BQ$305:$BQ$364,MAX(1,6-(INT((Ipotesi!$C$91)/30)))))*(1-(MOD((Ipotesi!$C$91),30)/30))+IF(6-(INT((Ipotesi!$C$91)/30))-1&lt;1,0,INDEX(Motore_Operativo!$BQ$305:$BQ$364,MAX(1,6-(INT((Ipotesi!$C$91)/30))-1)))*(MOD((Ipotesi!$C$91),30)/30))+(IF(6-(INT((Ipotesi!$C$91)/30))&lt;1,0,INDEX(Motore_Operativo!$BR$305:$BR$364,MAX(1,6-(INT((Ipotesi!$C$91)/30)))))*(1-(MOD((Ipotesi!$C$91),30)/30))+IF(6-(INT((Ipotesi!$C$91)/30))-1&lt;1,0,INDEX(Motore_Operativo!$BR$305:$BR$364,MAX(1,6-(INT((Ipotesi!$C$91)/30))-1)))*(MOD((Ipotesi!$C$91),30)/30))))*Piano_SS!$D$9,0))</f>
        <v>0</v>
      </c>
      <c r="BZ310" s="15" t="n">
        <f aca="false">MIN(Piano_SS!$C$10,(BZ309)+IF(AND(Motore_Operativo!C310&gt;=EDATE(Parametri_v3!$C$24,Ipotesi!H14*12),Motore_Operativo!C310&lt;EDATE(Parametri_v3!$C$24,Parametri_v3!$C$25+Ipotesi!H14*12)),MAX(0,(IF(6-(INT((Ipotesi!$C$91)/30))&lt;1,0,INDEX(Motore_Operativo!$BO$305:$BO$364,MAX(1,6-(INT((Ipotesi!$C$91)/30)))))*(1-(MOD((Ipotesi!$C$91),30)/30))+IF(6-(INT((Ipotesi!$C$91)/30))-1&lt;1,0,INDEX(Motore_Operativo!$BO$305:$BO$364,MAX(1,6-(INT((Ipotesi!$C$91)/30))-1)))*(MOD((Ipotesi!$C$91),30)/30)))*Piano_SS!$D$10,0))</f>
        <v>0</v>
      </c>
      <c r="CA310" s="15" t="n">
        <f aca="false">SUM(BV310:BZ310)</f>
        <v>0</v>
      </c>
      <c r="CB310" s="15" t="n">
        <f aca="false">BV310*(1-Piano_SS!$E$6)+BW310*(1-Piano_SS!$E$7)+BX310*(1-Piano_SS!$E$8)+BY310*(1-Piano_SS!$E$9)+BZ310*(1-Piano_SS!$E$10)</f>
        <v>0</v>
      </c>
      <c r="CC310" s="15" t="n">
        <f aca="false">(CC309)+BA310</f>
        <v>0</v>
      </c>
      <c r="CD310" s="15" t="n">
        <f aca="false">IF(CA310=0,0,CC310*CB310/CA310*Ipotesi!$C$103*Parametri_v3!$C$64)</f>
        <v>0</v>
      </c>
      <c r="CE310" s="18" t="n">
        <f aca="false">IF(BA310&gt;0,Motore_Operativo!C310,(CE309))</f>
        <v>0</v>
      </c>
      <c r="CF310" s="18" t="n">
        <f aca="false">IF(AND(CC310&gt;0,OR(CC310&gt;=CG310-0.01,Motore_Operativo!C310&gt;=EDATE(MAX(Finanziamenti!$D$15:$D$17),Ipotesi!H14*12))),CE310,0)</f>
        <v>0</v>
      </c>
      <c r="CG310" s="15" t="n">
        <f aca="false">IF(AND(6&lt;&gt;6,6&lt;&gt;9,Finanziamenti!$F$11=1,OR(Parametri_v3!$C$6=0,Finanziamenti!$E$11=1)),MIN(Finanziamenti!$C$11,Piano_SS!$C$12*Ipotesi!$C$102),0)</f>
        <v>0</v>
      </c>
      <c r="CH310" s="15" t="n">
        <f aca="false">IF(AND(AND(6&lt;&gt;8,6&lt;&gt;9,Finanziamenti!$F$10=1,OR(Parametri_v3!$C$6=0,Finanziamenti!$E$10=1)),Motore_Operativo!C310&gt;=Finanziamenti!$D$10,Motore_Operativo!C310&lt;Parametri_v3!$C$63),Finanziamenti!$C$10,0)</f>
        <v>150000</v>
      </c>
    </row>
    <row r="311" customFormat="false" ht="18" hidden="false" customHeight="true" outlineLevel="0" collapsed="false">
      <c r="A311" s="68" t="n">
        <f aca="false">6</f>
        <v>6</v>
      </c>
      <c r="B311" s="68" t="n">
        <f aca="false">7</f>
        <v>7</v>
      </c>
      <c r="C311" s="18" t="n">
        <f aca="false">Motore_Operativo!C311</f>
        <v>46569</v>
      </c>
      <c r="D311" s="68" t="n">
        <f aca="false">Motore_Operativo!D311</f>
        <v>2027</v>
      </c>
      <c r="E311" s="68" t="n">
        <f aca="false">Motore_Operativo!E311</f>
        <v>7</v>
      </c>
      <c r="F311" s="15" t="n">
        <f aca="false">Motore_Operativo!AQ311+Motore_Operativo!BF311</f>
        <v>7824.07407407408</v>
      </c>
      <c r="G311" s="15" t="n">
        <f aca="false">Motore_Operativo!BH311</f>
        <v>1621.05263157895</v>
      </c>
      <c r="H311" s="15" t="n">
        <f aca="false">Motore_Operativo!BI311</f>
        <v>9445.12670565302</v>
      </c>
      <c r="I311" s="15" t="n">
        <f aca="false">Motore_Operativo!CA311</f>
        <v>27783.5852826511</v>
      </c>
      <c r="J311" s="15" t="n">
        <f aca="false">Motore_Operativo!CC311</f>
        <v>-18338.458576998</v>
      </c>
      <c r="K311" s="15" t="n">
        <f aca="false">Motore_Operativo!CE311</f>
        <v>1666.66666666667</v>
      </c>
      <c r="L311" s="15" t="n">
        <f aca="false">SUM(INDEX($K$305:$K$364,MAX(1,7-Parametri_v3!$C$59+1)):K311)/Parametri_v3!$C$59</f>
        <v>324.074074074074</v>
      </c>
      <c r="M311" s="15" t="n">
        <f aca="false">J311-L311</f>
        <v>-18662.5326510721</v>
      </c>
      <c r="N311" s="15" t="n">
        <f aca="false">CD311-(CD310)</f>
        <v>0</v>
      </c>
      <c r="O311" s="15" t="n">
        <f aca="false">(BG310)*Ipotesi!$C$110/12+CH311*Parametri_v3!$C$39/12</f>
        <v>93.1349176803119</v>
      </c>
      <c r="P311" s="15" t="n">
        <f aca="false">M311+N311-O311</f>
        <v>-18755.6675687524</v>
      </c>
      <c r="Q311" s="15" t="n">
        <f aca="false">SUM(P305:P311)+Parametri_v3!$C$54*7/12</f>
        <v>-131072.530141852</v>
      </c>
      <c r="R311" s="15" t="n">
        <f aca="false">0</f>
        <v>0</v>
      </c>
      <c r="S311" s="15" t="n">
        <f aca="false">0</f>
        <v>0</v>
      </c>
      <c r="T311" s="15" t="n">
        <f aca="false">MIN(R311,MAX(0,Q311))</f>
        <v>0</v>
      </c>
      <c r="U311" s="15" t="n">
        <f aca="false">MIN(S311,MAX(0,Q311-T311)*Parametri_v3!$C$42)</f>
        <v>0</v>
      </c>
      <c r="V311" s="15" t="n">
        <f aca="false">MAX(0,Q311-T311-U311)*Ipotesi!$C$92</f>
        <v>0</v>
      </c>
      <c r="W311" s="15" t="n">
        <f aca="false">MAX(0,SUM(M305:M311)+Parametri_v3!$C$55*7/12)*Ipotesi!$C$93</f>
        <v>0</v>
      </c>
      <c r="X311" s="15" t="n">
        <f aca="false">V311+W311-(V310+W310)</f>
        <v>0</v>
      </c>
      <c r="Y311" s="15" t="n">
        <f aca="false">P311-X311</f>
        <v>-18755.6675687524</v>
      </c>
      <c r="Z311" s="15" t="n">
        <f aca="false">R311-T311+IF(AND(Parametri_v3!$C$40=1,D311-YEAR(Parametri_v3!$C$50)&lt;Parametri_v3!$C$41),MAX(0,-Q311),0)</f>
        <v>131072.530141852</v>
      </c>
      <c r="AA311" s="15" t="n">
        <f aca="false">S311-U311+IF(AND(Parametri_v3!$C$40=1,D311-YEAR(Parametri_v3!$C$50)&lt;Parametri_v3!$C$41),0,MAX(0,-Q311))</f>
        <v>0</v>
      </c>
      <c r="AB311" s="15" t="n">
        <f aca="false">F311*(1+Parametri_v3!$C$26)</f>
        <v>9545.37037037037</v>
      </c>
      <c r="AC311" s="15" t="n">
        <f aca="false">(IF(7-(INT((Motore_Operativo!L311)/30))&lt;1,0,INDEX(Motore_Startup!$AB$305:$AB$364,MAX(1,7-(INT((Motore_Operativo!L311)/30)))))*(1-(MOD((Motore_Operativo!L311),30)/30))+IF(7-(INT((Motore_Operativo!L311)/30))-1&lt;1,0,INDEX(Motore_Startup!$AB$305:$AB$364,MAX(1,7-(INT((Motore_Operativo!L311)/30))-1)))*(MOD((Motore_Operativo!L311),30)/30))</f>
        <v>9206.48148148148</v>
      </c>
      <c r="AD311" s="15" t="n">
        <f aca="false">(AD310)+AB311-AC311</f>
        <v>28297.2222222222</v>
      </c>
      <c r="AE311" s="15" t="n">
        <f aca="false">Motore_Operativo!BH311*(1+Parametri_v3!$C$26)</f>
        <v>1977.68421052632</v>
      </c>
      <c r="AF311" s="15" t="n">
        <f aca="false">(IF(7-(INT((Parametri_v3!$C$29)/30))&lt;1,0,INDEX(Motore_Operativo!$BH$305:$BH$364,MAX(1,7-(INT((Parametri_v3!$C$29)/30)))))*(1-(MOD((Parametri_v3!$C$29),30)/30))+IF(7-(INT((Parametri_v3!$C$29)/30))-1&lt;1,0,INDEX(Motore_Operativo!$BH$305:$BH$364,MAX(1,7-(INT((Parametri_v3!$C$29)/30))-1)))*(MOD((Parametri_v3!$C$29),30)/30))*(1+Parametri_v3!$C$26)</f>
        <v>1977.68421052632</v>
      </c>
      <c r="AG311" s="15" t="n">
        <f aca="false">(AG310)+AE311-AF311</f>
        <v>1977.68421052632</v>
      </c>
      <c r="AH311" s="15" t="n">
        <f aca="false">(Motore_Operativo!CJ311)*(1+Parametri_v3!$C$27*Parametri_v3!$C$26)</f>
        <v>11712.0323971735</v>
      </c>
      <c r="AI311" s="15" t="n">
        <f aca="false">(IF(7-(INT((Ipotesi!$C$91)/30))&lt;1,0,INDEX(Motore_Startup!$AH$305:$AH$364,MAX(1,7-(INT((Ipotesi!$C$91)/30)))))*(1-(MOD((Ipotesi!$C$91),30)/30))+IF(7-(INT((Ipotesi!$C$91)/30))-1&lt;1,0,INDEX(Motore_Startup!$AH$305:$AH$364,MAX(1,7-(INT((Ipotesi!$C$91)/30))-1)))*(MOD((Ipotesi!$C$91),30)/30))</f>
        <v>11681.2583230994</v>
      </c>
      <c r="AJ311" s="15" t="n">
        <f aca="false">(AJ310)+AH311-AI311</f>
        <v>23408.6777573099</v>
      </c>
      <c r="AK311" s="15" t="n">
        <f aca="false">(F311+ Motore_Operativo!BH311-(Motore_Operativo!CJ311)*Parametri_v3!$C$27-Motore_Operativo!CE311)*Parametri_v3!$C$26</f>
        <v>-133.852572612085</v>
      </c>
      <c r="AL311" s="15" t="n">
        <f aca="false">MAX(0,(AM310))</f>
        <v>0</v>
      </c>
      <c r="AM311" s="15" t="n">
        <f aca="false">(AM310)+AK311-AL311</f>
        <v>-1233.08189717349</v>
      </c>
      <c r="AN311" s="15" t="n">
        <f aca="false">0</f>
        <v>0</v>
      </c>
      <c r="AO311" s="15" t="n">
        <f aca="false">0</f>
        <v>0</v>
      </c>
      <c r="AP311" s="15" t="n">
        <f aca="false">MAX(0,AN311)*IF(7=Parametri_v3!$C$43,Parametri_v3!$C$45,IF(7=Parametri_v3!$C$44,1-Parametri_v3!$C$45,0))</f>
        <v>0</v>
      </c>
      <c r="AQ311" s="15" t="n">
        <f aca="false">MAX(0,AP311+IF(7=Parametri_v3!$C$43,MAX(0,AN311-AO311),0)-MAX(0,-(AR310)))</f>
        <v>0</v>
      </c>
      <c r="AR311" s="15" t="n">
        <f aca="false">(AR310)+X311-AQ311</f>
        <v>0</v>
      </c>
      <c r="AS311" s="15" t="n">
        <f aca="false">Motore_Operativo!AB311-AT311+AU311</f>
        <v>17020.8333333333</v>
      </c>
      <c r="AT311" s="15" t="n">
        <f aca="false">Motore_Operativo!CH311</f>
        <v>895.833333333334</v>
      </c>
      <c r="AU311" s="15" t="n">
        <f aca="false">MIN(MAX(0,(AV310)+AT311),Parametri_v3!$C$60/12)</f>
        <v>0</v>
      </c>
      <c r="AV311" s="15" t="n">
        <f aca="false">(AV310)+AT311-AU311</f>
        <v>6270.83333333334</v>
      </c>
      <c r="AW311" s="15" t="n">
        <f aca="false">IF(AND(Motore_Operativo!C311=Finanziamenti!$D$6,Finanziamenti!$F$6=1),Finanziamenti!$C$6,0)</f>
        <v>0</v>
      </c>
      <c r="AX311" s="15" t="n">
        <f aca="false">IF(AND(6&lt;&gt;7,6&lt;&gt;9,Finanziamenti!$F$8=1,OR(Parametri_v3!$C$6=0,Finanziamenti!$E$8=1),Motore_Operativo!C311=EDATE(Finanziamenti!$D$8,Ipotesi!H15*12)),Finanziamenti!$C$8*1,0)+IF(AND(6&lt;&gt;7,6&lt;&gt;9,Finanziamenti!$F$9=1,OR(Parametri_v3!$C$6=0,Finanziamenti!$E$9=1),Motore_Operativo!C311=EDATE(Finanziamenti!$D$9,Ipotesi!H15*12)),Finanziamenti!$C$9*Ipotesi!H16,0)</f>
        <v>0</v>
      </c>
      <c r="AY311" s="15" t="n">
        <f aca="false">0</f>
        <v>0</v>
      </c>
      <c r="AZ311" s="15" t="n">
        <f aca="false">Motore_Advisory!AY311*(1-Ipotesi!$C$95)*Ipotesi!$C$96</f>
        <v>0</v>
      </c>
      <c r="BA311" s="15" t="n">
        <f aca="false">MAX(0,MIN(CG311*MIN(1,IF(Motore_Operativo!C311&gt;=EDATE(Finanziamenti!$D$15,Ipotesi!H14*12),Finanziamenti!$C$15,0)+IF(Motore_Operativo!C311&gt;=EDATE(Finanziamenti!$D$16,Ipotesi!H14*12),Finanziamenti!$C$16,0)+IF(Motore_Operativo!C311&gt;=EDATE(Finanziamenti!$D$17,Ipotesi!H14*12),Finanziamenti!$C$17,0)),CA311*Ipotesi!$C$102)-(CC310))</f>
        <v>0</v>
      </c>
      <c r="BB311" s="15" t="n">
        <f aca="false">IF(AND(CF311&gt;0,Motore_Operativo!C311&gt;=IF(CF311=0,0,EDATE(CF311,Parametri_v3!$C$37)),MOD(((D311-YEAR(IF(CF311=0,0,EDATE(CF311,Parametri_v3!$C$37))))*12+E311-MONTH(IF(CF311=0,0,EDATE(CF311,Parametri_v3!$C$37)))),Parametri_v3!$C$38)=0),MIN(MAX(0,(BC310)+BA311-N311),(CC311-CD311)/(Ipotesi!$C$108*12/Parametri_v3!$C$38)),0)</f>
        <v>0</v>
      </c>
      <c r="BC311" s="15" t="n">
        <f aca="false">(BC310)+BA311-N311-BB311</f>
        <v>0</v>
      </c>
      <c r="BD311" s="15" t="n">
        <f aca="false">(BH310)+AC311+AF311-AI311-AS311-K311*(1+Parametri_v3!$C$26)-AL311-AQ311-O311+AW311+AX311+AZ311+BA311-BB311</f>
        <v>5355.6057845614</v>
      </c>
      <c r="BE311" s="15" t="n">
        <f aca="false">MAX(0,MIN(MAX(0,CH311-(BG310)),Parametri_v3!$C$30-BD311))</f>
        <v>19644.3942154386</v>
      </c>
      <c r="BF311" s="15" t="n">
        <f aca="false">IF(Motore_Operativo!C311&gt;=Parametri_v3!$C$63,(BG310),MIN((BG310),MAX(0,BD311-Parametri_v3!$C$30)))</f>
        <v>0</v>
      </c>
      <c r="BG311" s="15" t="n">
        <f aca="false">(BG310)+BE311-BF311</f>
        <v>38271.377751501</v>
      </c>
      <c r="BH311" s="15" t="n">
        <f aca="false">BD311+BE311-BF311-AY311</f>
        <v>25000</v>
      </c>
      <c r="BI311" s="15" t="n">
        <f aca="false">MAX(0,Parametri_v3!$C$30-BH311)</f>
        <v>0</v>
      </c>
      <c r="BJ311" s="15" t="n">
        <f aca="false">(BJ310)+K311</f>
        <v>11666.6666666667</v>
      </c>
      <c r="BK311" s="15" t="n">
        <f aca="false">(BK310)+L311</f>
        <v>1296.2962962963</v>
      </c>
      <c r="BL311" s="15" t="n">
        <f aca="false">BJ311-BK311</f>
        <v>10370.3703703704</v>
      </c>
      <c r="BM311" s="15" t="n">
        <f aca="false">(BM310)+Y311</f>
        <v>-131072.530141852</v>
      </c>
      <c r="BN311" s="15" t="n">
        <f aca="false">(BN310)+AW311+AX311+AZ311</f>
        <v>130000</v>
      </c>
      <c r="BO311" s="15" t="n">
        <f aca="false">(BO310)+AY311</f>
        <v>0</v>
      </c>
      <c r="BP311" s="15" t="n">
        <f aca="false">0</f>
        <v>0</v>
      </c>
      <c r="BQ311" s="15" t="n">
        <f aca="false">BN311+BM311-BO311</f>
        <v>-1072.53014185184</v>
      </c>
      <c r="BR311" s="15" t="n">
        <f aca="false">BH311+AD311+BL311+MAX(0,-AM311)+MAX(0,-AR311)+AG311</f>
        <v>66878.3587002924</v>
      </c>
      <c r="BS311" s="15" t="n">
        <f aca="false">AJ311+AV311+MAX(0,AM311)+MAX(0,AR311)+BC311+BG311+BQ311</f>
        <v>66878.3587002924</v>
      </c>
      <c r="BT311" s="15" t="n">
        <f aca="false">BR311-BS311</f>
        <v>0</v>
      </c>
      <c r="BU311" s="15" t="n">
        <f aca="false">BH311-(BD311+BE311-BF311-AY311)</f>
        <v>0</v>
      </c>
      <c r="BV311" s="15" t="n">
        <f aca="false">MIN(Piano_SS!$C$6,(BV310)+IF(AND(Motore_Operativo!C311&gt;=EDATE(Parametri_v3!$C$24,Ipotesi!H14*12),Motore_Operativo!C311&lt;EDATE(Parametri_v3!$C$24,Parametri_v3!$C$25+Ipotesi!H14*12)),MAX(0,(Motore_Operativo!Y311+Motore_Operativo!X311*Parametri_v3!$C$14)*(1-Parametri_v3!$C$32))*Piano_SS!$D$6,0))</f>
        <v>4750</v>
      </c>
      <c r="BW311" s="15" t="n">
        <f aca="false">MIN(Piano_SS!$C$7,(BW310)+IF(AND(Motore_Operativo!C311&gt;=EDATE(Parametri_v3!$C$24,Ipotesi!H14*12),Motore_Operativo!C311&lt;EDATE(Parametri_v3!$C$24,Parametri_v3!$C$25+Ipotesi!H14*12)),MAX(0,(IF(7-(INT((Ipotesi!$C$91)/30))&lt;1,0,INDEX(Motore_Operativo!$BN$305:$BN$364,MAX(1,7-(INT((Ipotesi!$C$91)/30)))))*(1-(MOD((Ipotesi!$C$91),30)/30))+IF(7-(INT((Ipotesi!$C$91)/30))-1&lt;1,0,INDEX(Motore_Operativo!$BN$305:$BN$364,MAX(1,7-(INT((Ipotesi!$C$91)/30))-1)))*(MOD((Ipotesi!$C$91),30)/30)))*Piano_SS!$D$7,0))</f>
        <v>1261.11111111111</v>
      </c>
      <c r="BX311" s="15" t="n">
        <f aca="false">MIN(Piano_SS!$C$8,(BX310)+IF(AND(Motore_Operativo!C311&gt;=EDATE(Parametri_v3!$C$24,Ipotesi!H14*12),Motore_Operativo!C311&lt;EDATE(Parametri_v3!$C$24,Parametri_v3!$C$25+Ipotesi!H14*12)),MAX(0,Motore_Operativo!CE311)*Piano_SS!$D$8,0))</f>
        <v>1666.66666666667</v>
      </c>
      <c r="BY311" s="15" t="n">
        <f aca="false">MIN(Piano_SS!$C$9,(BY310)+IF(AND(Motore_Operativo!C311&gt;=EDATE(Parametri_v3!$C$24,Ipotesi!H14*12),Motore_Operativo!C311&lt;EDATE(Parametri_v3!$C$24,Parametri_v3!$C$25+Ipotesi!H14*12)),MAX(0,((IF(7-(INT((Ipotesi!$C$91)/30))&lt;1,0,INDEX(Motore_Operativo!$BQ$305:$BQ$364,MAX(1,7-(INT((Ipotesi!$C$91)/30)))))*(1-(MOD((Ipotesi!$C$91),30)/30))+IF(7-(INT((Ipotesi!$C$91)/30))-1&lt;1,0,INDEX(Motore_Operativo!$BQ$305:$BQ$364,MAX(1,7-(INT((Ipotesi!$C$91)/30))-1)))*(MOD((Ipotesi!$C$91),30)/30))+(IF(7-(INT((Ipotesi!$C$91)/30))&lt;1,0,INDEX(Motore_Operativo!$BR$305:$BR$364,MAX(1,7-(INT((Ipotesi!$C$91)/30)))))*(1-(MOD((Ipotesi!$C$91),30)/30))+IF(7-(INT((Ipotesi!$C$91)/30))-1&lt;1,0,INDEX(Motore_Operativo!$BR$305:$BR$364,MAX(1,7-(INT((Ipotesi!$C$91)/30))-1)))*(MOD((Ipotesi!$C$91),30)/30))))*Piano_SS!$D$9,0))</f>
        <v>2250</v>
      </c>
      <c r="BZ311" s="15" t="n">
        <f aca="false">MIN(Piano_SS!$C$10,(BZ310)+IF(AND(Motore_Operativo!C311&gt;=EDATE(Parametri_v3!$C$24,Ipotesi!H14*12),Motore_Operativo!C311&lt;EDATE(Parametri_v3!$C$24,Parametri_v3!$C$25+Ipotesi!H14*12)),MAX(0,(IF(7-(INT((Ipotesi!$C$91)/30))&lt;1,0,INDEX(Motore_Operativo!$BO$305:$BO$364,MAX(1,7-(INT((Ipotesi!$C$91)/30)))))*(1-(MOD((Ipotesi!$C$91),30)/30))+IF(7-(INT((Ipotesi!$C$91)/30))-1&lt;1,0,INDEX(Motore_Operativo!$BO$305:$BO$364,MAX(1,7-(INT((Ipotesi!$C$91)/30))-1)))*(MOD((Ipotesi!$C$91),30)/30)))*Piano_SS!$D$10,0))</f>
        <v>1000</v>
      </c>
      <c r="CA311" s="15" t="n">
        <f aca="false">SUM(BV311:BZ311)</f>
        <v>10927.7777777778</v>
      </c>
      <c r="CB311" s="15" t="n">
        <f aca="false">BV311*(1-Piano_SS!$E$6)+BW311*(1-Piano_SS!$E$7)+BX311*(1-Piano_SS!$E$8)+BY311*(1-Piano_SS!$E$9)+BZ311*(1-Piano_SS!$E$10)</f>
        <v>9927.77777777778</v>
      </c>
      <c r="CC311" s="15" t="n">
        <f aca="false">(CC310)+BA311</f>
        <v>0</v>
      </c>
      <c r="CD311" s="15" t="n">
        <f aca="false">IF(CA311=0,0,CC311*CB311/CA311*Ipotesi!$C$103*Parametri_v3!$C$64)</f>
        <v>0</v>
      </c>
      <c r="CE311" s="18" t="n">
        <f aca="false">IF(BA311&gt;0,Motore_Operativo!C311,(CE310))</f>
        <v>0</v>
      </c>
      <c r="CF311" s="18" t="n">
        <f aca="false">IF(AND(CC311&gt;0,OR(CC311&gt;=CG311-0.01,Motore_Operativo!C311&gt;=EDATE(MAX(Finanziamenti!$D$15:$D$17),Ipotesi!H14*12))),CE311,0)</f>
        <v>0</v>
      </c>
      <c r="CG311" s="15" t="n">
        <f aca="false">IF(AND(6&lt;&gt;6,6&lt;&gt;9,Finanziamenti!$F$11=1,OR(Parametri_v3!$C$6=0,Finanziamenti!$E$11=1)),MIN(Finanziamenti!$C$11,Piano_SS!$C$12*Ipotesi!$C$102),0)</f>
        <v>0</v>
      </c>
      <c r="CH311" s="15" t="n">
        <f aca="false">IF(AND(AND(6&lt;&gt;8,6&lt;&gt;9,Finanziamenti!$F$10=1,OR(Parametri_v3!$C$6=0,Finanziamenti!$E$10=1)),Motore_Operativo!C311&gt;=Finanziamenti!$D$10,Motore_Operativo!C311&lt;Parametri_v3!$C$63),Finanziamenti!$C$10,0)</f>
        <v>150000</v>
      </c>
    </row>
    <row r="312" customFormat="false" ht="18" hidden="false" customHeight="true" outlineLevel="0" collapsed="false">
      <c r="A312" s="68" t="n">
        <f aca="false">6</f>
        <v>6</v>
      </c>
      <c r="B312" s="68" t="n">
        <f aca="false">8</f>
        <v>8</v>
      </c>
      <c r="C312" s="18" t="n">
        <f aca="false">Motore_Operativo!C312</f>
        <v>46600</v>
      </c>
      <c r="D312" s="68" t="n">
        <f aca="false">Motore_Operativo!D312</f>
        <v>2027</v>
      </c>
      <c r="E312" s="68" t="n">
        <f aca="false">Motore_Operativo!E312</f>
        <v>8</v>
      </c>
      <c r="F312" s="15" t="n">
        <f aca="false">Motore_Operativo!AQ312+Motore_Operativo!BF312</f>
        <v>7916.66666666667</v>
      </c>
      <c r="G312" s="15" t="n">
        <f aca="false">Motore_Operativo!BH312</f>
        <v>1621.05263157895</v>
      </c>
      <c r="H312" s="15" t="n">
        <f aca="false">Motore_Operativo!BI312</f>
        <v>9537.71929824561</v>
      </c>
      <c r="I312" s="15" t="n">
        <f aca="false">Motore_Operativo!CA312</f>
        <v>27796.548245614</v>
      </c>
      <c r="J312" s="15" t="n">
        <f aca="false">Motore_Operativo!CC312</f>
        <v>-18258.8289473684</v>
      </c>
      <c r="K312" s="15" t="n">
        <f aca="false">Motore_Operativo!CE312</f>
        <v>1666.66666666667</v>
      </c>
      <c r="L312" s="15" t="n">
        <f aca="false">SUM(INDEX($K$305:$K$364,MAX(1,8-Parametri_v3!$C$59+1)):K312)/Parametri_v3!$C$59</f>
        <v>370.37037037037</v>
      </c>
      <c r="M312" s="15" t="n">
        <f aca="false">J312-L312</f>
        <v>-18629.1993177388</v>
      </c>
      <c r="N312" s="15" t="n">
        <f aca="false">CD312-(CD311)</f>
        <v>0</v>
      </c>
      <c r="O312" s="15" t="n">
        <f aca="false">(BG311)*Ipotesi!$C$110/12+CH312*Parametri_v3!$C$39/12</f>
        <v>191.356888757505</v>
      </c>
      <c r="P312" s="15" t="n">
        <f aca="false">M312+N312-O312</f>
        <v>-18820.5562064963</v>
      </c>
      <c r="Q312" s="15" t="n">
        <f aca="false">SUM(P305:P312)+Parametri_v3!$C$54*8/12</f>
        <v>-149893.086348348</v>
      </c>
      <c r="R312" s="15" t="n">
        <f aca="false">0</f>
        <v>0</v>
      </c>
      <c r="S312" s="15" t="n">
        <f aca="false">0</f>
        <v>0</v>
      </c>
      <c r="T312" s="15" t="n">
        <f aca="false">MIN(R312,MAX(0,Q312))</f>
        <v>0</v>
      </c>
      <c r="U312" s="15" t="n">
        <f aca="false">MIN(S312,MAX(0,Q312-T312)*Parametri_v3!$C$42)</f>
        <v>0</v>
      </c>
      <c r="V312" s="15" t="n">
        <f aca="false">MAX(0,Q312-T312-U312)*Ipotesi!$C$92</f>
        <v>0</v>
      </c>
      <c r="W312" s="15" t="n">
        <f aca="false">MAX(0,SUM(M305:M312)+Parametri_v3!$C$55*8/12)*Ipotesi!$C$93</f>
        <v>0</v>
      </c>
      <c r="X312" s="15" t="n">
        <f aca="false">V312+W312-(V311+W311)</f>
        <v>0</v>
      </c>
      <c r="Y312" s="15" t="n">
        <f aca="false">P312-X312</f>
        <v>-18820.5562064963</v>
      </c>
      <c r="Z312" s="15" t="n">
        <f aca="false">R312-T312+IF(AND(Parametri_v3!$C$40=1,D312-YEAR(Parametri_v3!$C$50)&lt;Parametri_v3!$C$41),MAX(0,-Q312),0)</f>
        <v>149893.086348348</v>
      </c>
      <c r="AA312" s="15" t="n">
        <f aca="false">S312-U312+IF(AND(Parametri_v3!$C$40=1,D312-YEAR(Parametri_v3!$C$50)&lt;Parametri_v3!$C$41),0,MAX(0,-Q312))</f>
        <v>0</v>
      </c>
      <c r="AB312" s="15" t="n">
        <f aca="false">F312*(1+Parametri_v3!$C$26)</f>
        <v>9658.33333333333</v>
      </c>
      <c r="AC312" s="15" t="n">
        <f aca="false">(IF(8-(INT((Motore_Operativo!L312)/30))&lt;1,0,INDEX(Motore_Startup!$AB$305:$AB$364,MAX(1,8-(INT((Motore_Operativo!L312)/30)))))*(1-(MOD((Motore_Operativo!L312),30)/30))+IF(8-(INT((Motore_Operativo!L312)/30))-1&lt;1,0,INDEX(Motore_Startup!$AB$305:$AB$364,MAX(1,8-(INT((Motore_Operativo!L312)/30))-1)))*(MOD((Motore_Operativo!L312),30)/30))</f>
        <v>9319.44444444445</v>
      </c>
      <c r="AD312" s="15" t="n">
        <f aca="false">(AD311)+AB312-AC312</f>
        <v>28636.1111111111</v>
      </c>
      <c r="AE312" s="15" t="n">
        <f aca="false">Motore_Operativo!BH312*(1+Parametri_v3!$C$26)</f>
        <v>1977.68421052632</v>
      </c>
      <c r="AF312" s="15" t="n">
        <f aca="false">(IF(8-(INT((Parametri_v3!$C$29)/30))&lt;1,0,INDEX(Motore_Operativo!$BH$305:$BH$364,MAX(1,8-(INT((Parametri_v3!$C$29)/30)))))*(1-(MOD((Parametri_v3!$C$29),30)/30))+IF(8-(INT((Parametri_v3!$C$29)/30))-1&lt;1,0,INDEX(Motore_Operativo!$BH$305:$BH$364,MAX(1,8-(INT((Parametri_v3!$C$29)/30))-1)))*(MOD((Parametri_v3!$C$29),30)/30))*(1+Parametri_v3!$C$26)</f>
        <v>1977.68421052632</v>
      </c>
      <c r="AG312" s="15" t="n">
        <f aca="false">(AG311)+AE312-AF312</f>
        <v>1977.68421052632</v>
      </c>
      <c r="AH312" s="15" t="n">
        <f aca="false">(Motore_Operativo!CJ312)*(1+Parametri_v3!$C$27*Parametri_v3!$C$26)</f>
        <v>11727.4194342105</v>
      </c>
      <c r="AI312" s="15" t="n">
        <f aca="false">(IF(8-(INT((Ipotesi!$C$91)/30))&lt;1,0,INDEX(Motore_Startup!$AH$305:$AH$364,MAX(1,8-(INT((Ipotesi!$C$91)/30)))))*(1-(MOD((Ipotesi!$C$91),30)/30))+IF(8-(INT((Ipotesi!$C$91)/30))-1&lt;1,0,INDEX(Motore_Startup!$AH$305:$AH$364,MAX(1,8-(INT((Ipotesi!$C$91)/30))-1)))*(MOD((Ipotesi!$C$91),30)/30))</f>
        <v>11696.6453601365</v>
      </c>
      <c r="AJ312" s="15" t="n">
        <f aca="false">(AJ311)+AH312-AI312</f>
        <v>23439.451831384</v>
      </c>
      <c r="AK312" s="15" t="n">
        <f aca="false">(F312+ Motore_Operativo!BH312-(Motore_Operativo!CJ312)*Parametri_v3!$C$27-Motore_Operativo!CE312)*Parametri_v3!$C$26</f>
        <v>-115.906276315789</v>
      </c>
      <c r="AL312" s="15" t="n">
        <f aca="false">MAX(0,(AM311))</f>
        <v>0</v>
      </c>
      <c r="AM312" s="15" t="n">
        <f aca="false">(AM311)+AK312-AL312</f>
        <v>-1348.98817348927</v>
      </c>
      <c r="AN312" s="15" t="n">
        <f aca="false">0</f>
        <v>0</v>
      </c>
      <c r="AO312" s="15" t="n">
        <f aca="false">0</f>
        <v>0</v>
      </c>
      <c r="AP312" s="15" t="n">
        <f aca="false">MAX(0,AN312)*IF(8=Parametri_v3!$C$43,Parametri_v3!$C$45,IF(8=Parametri_v3!$C$44,1-Parametri_v3!$C$45,0))</f>
        <v>0</v>
      </c>
      <c r="AQ312" s="15" t="n">
        <f aca="false">MAX(0,AP312+IF(8=Parametri_v3!$C$43,MAX(0,AN312-AO312),0)-MAX(0,-(AR311)))</f>
        <v>0</v>
      </c>
      <c r="AR312" s="15" t="n">
        <f aca="false">(AR311)+X312-AQ312</f>
        <v>0</v>
      </c>
      <c r="AS312" s="15" t="n">
        <f aca="false">Motore_Operativo!AB312-AT312+AU312</f>
        <v>17020.8333333333</v>
      </c>
      <c r="AT312" s="15" t="n">
        <f aca="false">Motore_Operativo!CH312</f>
        <v>895.833333333334</v>
      </c>
      <c r="AU312" s="15" t="n">
        <f aca="false">MIN(MAX(0,(AV311)+AT312),Parametri_v3!$C$60/12)</f>
        <v>0</v>
      </c>
      <c r="AV312" s="15" t="n">
        <f aca="false">(AV311)+AT312-AU312</f>
        <v>7166.66666666667</v>
      </c>
      <c r="AW312" s="15" t="n">
        <f aca="false">IF(AND(Motore_Operativo!C312=Finanziamenti!$D$6,Finanziamenti!$F$6=1),Finanziamenti!$C$6,0)</f>
        <v>0</v>
      </c>
      <c r="AX312" s="15" t="n">
        <f aca="false">IF(AND(6&lt;&gt;7,6&lt;&gt;9,Finanziamenti!$F$8=1,OR(Parametri_v3!$C$6=0,Finanziamenti!$E$8=1),Motore_Operativo!C312=EDATE(Finanziamenti!$D$8,Ipotesi!H15*12)),Finanziamenti!$C$8*1,0)+IF(AND(6&lt;&gt;7,6&lt;&gt;9,Finanziamenti!$F$9=1,OR(Parametri_v3!$C$6=0,Finanziamenti!$E$9=1),Motore_Operativo!C312=EDATE(Finanziamenti!$D$9,Ipotesi!H15*12)),Finanziamenti!$C$9*Ipotesi!H16,0)</f>
        <v>0</v>
      </c>
      <c r="AY312" s="15" t="n">
        <f aca="false">0</f>
        <v>0</v>
      </c>
      <c r="AZ312" s="15" t="n">
        <f aca="false">Motore_Advisory!AY312*(1-Ipotesi!$C$95)*Ipotesi!$C$96</f>
        <v>0</v>
      </c>
      <c r="BA312" s="15" t="n">
        <f aca="false">MAX(0,MIN(CG312*MIN(1,IF(Motore_Operativo!C312&gt;=EDATE(Finanziamenti!$D$15,Ipotesi!H14*12),Finanziamenti!$C$15,0)+IF(Motore_Operativo!C312&gt;=EDATE(Finanziamenti!$D$16,Ipotesi!H14*12),Finanziamenti!$C$16,0)+IF(Motore_Operativo!C312&gt;=EDATE(Finanziamenti!$D$17,Ipotesi!H14*12),Finanziamenti!$C$17,0)),CA312*Ipotesi!$C$102)-(CC311))</f>
        <v>0</v>
      </c>
      <c r="BB312" s="15" t="n">
        <f aca="false">IF(AND(CF312&gt;0,Motore_Operativo!C312&gt;=IF(CF312=0,0,EDATE(CF312,Parametri_v3!$C$37)),MOD(((D312-YEAR(IF(CF312=0,0,EDATE(CF312,Parametri_v3!$C$37))))*12+E312-MONTH(IF(CF312=0,0,EDATE(CF312,Parametri_v3!$C$37)))),Parametri_v3!$C$38)=0),MIN(MAX(0,(BC311)+BA312-N312),(CC312-CD312)/(Ipotesi!$C$108*12/Parametri_v3!$C$38)),0)</f>
        <v>0</v>
      </c>
      <c r="BC312" s="15" t="n">
        <f aca="false">(BC311)+BA312-N312-BB312</f>
        <v>0</v>
      </c>
      <c r="BD312" s="15" t="n">
        <f aca="false">(BH311)+AC312+AF312-AI312-AS312-K312*(1+Parametri_v3!$C$26)-AL312-AQ312-O312+AW312+AX312+AZ312+BA312-BB312</f>
        <v>5354.95973941014</v>
      </c>
      <c r="BE312" s="15" t="n">
        <f aca="false">MAX(0,MIN(MAX(0,CH312-(BG311)),Parametri_v3!$C$30-BD312))</f>
        <v>19645.0402605899</v>
      </c>
      <c r="BF312" s="15" t="n">
        <f aca="false">IF(Motore_Operativo!C312&gt;=Parametri_v3!$C$63,(BG311),MIN((BG311),MAX(0,BD312-Parametri_v3!$C$30)))</f>
        <v>0</v>
      </c>
      <c r="BG312" s="15" t="n">
        <f aca="false">(BG311)+BE312-BF312</f>
        <v>57916.4180120908</v>
      </c>
      <c r="BH312" s="15" t="n">
        <f aca="false">BD312+BE312-BF312-AY312</f>
        <v>25000</v>
      </c>
      <c r="BI312" s="15" t="n">
        <f aca="false">MAX(0,Parametri_v3!$C$30-BH312)</f>
        <v>0</v>
      </c>
      <c r="BJ312" s="15" t="n">
        <f aca="false">(BJ311)+K312</f>
        <v>13333.3333333333</v>
      </c>
      <c r="BK312" s="15" t="n">
        <f aca="false">(BK311)+L312</f>
        <v>1666.66666666667</v>
      </c>
      <c r="BL312" s="15" t="n">
        <f aca="false">BJ312-BK312</f>
        <v>11666.6666666667</v>
      </c>
      <c r="BM312" s="15" t="n">
        <f aca="false">(BM311)+Y312</f>
        <v>-149893.086348348</v>
      </c>
      <c r="BN312" s="15" t="n">
        <f aca="false">(BN311)+AW312+AX312+AZ312</f>
        <v>130000</v>
      </c>
      <c r="BO312" s="15" t="n">
        <f aca="false">(BO311)+AY312</f>
        <v>0</v>
      </c>
      <c r="BP312" s="15" t="n">
        <f aca="false">0</f>
        <v>0</v>
      </c>
      <c r="BQ312" s="15" t="n">
        <f aca="false">BN312+BM312-BO312</f>
        <v>-19893.0863483481</v>
      </c>
      <c r="BR312" s="15" t="n">
        <f aca="false">BH312+AD312+BL312+MAX(0,-AM312)+MAX(0,-AR312)+AG312</f>
        <v>68629.4501617934</v>
      </c>
      <c r="BS312" s="15" t="n">
        <f aca="false">AJ312+AV312+MAX(0,AM312)+MAX(0,AR312)+BC312+BG312+BQ312</f>
        <v>68629.4501617934</v>
      </c>
      <c r="BT312" s="15" t="n">
        <f aca="false">BR312-BS312</f>
        <v>0</v>
      </c>
      <c r="BU312" s="15" t="n">
        <f aca="false">BH312-(BD312+BE312-BF312-AY312)</f>
        <v>0</v>
      </c>
      <c r="BV312" s="15" t="n">
        <f aca="false">MIN(Piano_SS!$C$6,(BV311)+IF(AND(Motore_Operativo!C312&gt;=EDATE(Parametri_v3!$C$24,Ipotesi!H14*12),Motore_Operativo!C312&lt;EDATE(Parametri_v3!$C$24,Parametri_v3!$C$25+Ipotesi!H14*12)),MAX(0,(Motore_Operativo!Y312+Motore_Operativo!X312*Parametri_v3!$C$14)*(1-Parametri_v3!$C$32))*Piano_SS!$D$6,0))</f>
        <v>9500</v>
      </c>
      <c r="BW312" s="15" t="n">
        <f aca="false">MIN(Piano_SS!$C$7,(BW311)+IF(AND(Motore_Operativo!C312&gt;=EDATE(Parametri_v3!$C$24,Ipotesi!H14*12),Motore_Operativo!C312&lt;EDATE(Parametri_v3!$C$24,Parametri_v3!$C$25+Ipotesi!H14*12)),MAX(0,(IF(8-(INT((Ipotesi!$C$91)/30))&lt;1,0,INDEX(Motore_Operativo!$BN$305:$BN$364,MAX(1,8-(INT((Ipotesi!$C$91)/30)))))*(1-(MOD((Ipotesi!$C$91),30)/30))+IF(8-(INT((Ipotesi!$C$91)/30))-1&lt;1,0,INDEX(Motore_Operativo!$BN$305:$BN$364,MAX(1,8-(INT((Ipotesi!$C$91)/30))-1)))*(MOD((Ipotesi!$C$91),30)/30)))*Piano_SS!$D$7,0))</f>
        <v>2529.62962962963</v>
      </c>
      <c r="BX312" s="15" t="n">
        <f aca="false">MIN(Piano_SS!$C$8,(BX311)+IF(AND(Motore_Operativo!C312&gt;=EDATE(Parametri_v3!$C$24,Ipotesi!H14*12),Motore_Operativo!C312&lt;EDATE(Parametri_v3!$C$24,Parametri_v3!$C$25+Ipotesi!H14*12)),MAX(0,Motore_Operativo!CE312)*Piano_SS!$D$8,0))</f>
        <v>3333.33333333333</v>
      </c>
      <c r="BY312" s="15" t="n">
        <f aca="false">MIN(Piano_SS!$C$9,(BY311)+IF(AND(Motore_Operativo!C312&gt;=EDATE(Parametri_v3!$C$24,Ipotesi!H14*12),Motore_Operativo!C312&lt;EDATE(Parametri_v3!$C$24,Parametri_v3!$C$25+Ipotesi!H14*12)),MAX(0,((IF(8-(INT((Ipotesi!$C$91)/30))&lt;1,0,INDEX(Motore_Operativo!$BQ$305:$BQ$364,MAX(1,8-(INT((Ipotesi!$C$91)/30)))))*(1-(MOD((Ipotesi!$C$91),30)/30))+IF(8-(INT((Ipotesi!$C$91)/30))-1&lt;1,0,INDEX(Motore_Operativo!$BQ$305:$BQ$364,MAX(1,8-(INT((Ipotesi!$C$91)/30))-1)))*(MOD((Ipotesi!$C$91),30)/30))+(IF(8-(INT((Ipotesi!$C$91)/30))&lt;1,0,INDEX(Motore_Operativo!$BR$305:$BR$364,MAX(1,8-(INT((Ipotesi!$C$91)/30)))))*(1-(MOD((Ipotesi!$C$91),30)/30))+IF(8-(INT((Ipotesi!$C$91)/30))-1&lt;1,0,INDEX(Motore_Operativo!$BR$305:$BR$364,MAX(1,8-(INT((Ipotesi!$C$91)/30))-1)))*(MOD((Ipotesi!$C$91),30)/30))))*Piano_SS!$D$9,0))</f>
        <v>4500</v>
      </c>
      <c r="BZ312" s="15" t="n">
        <f aca="false">MIN(Piano_SS!$C$10,(BZ311)+IF(AND(Motore_Operativo!C312&gt;=EDATE(Parametri_v3!$C$24,Ipotesi!H14*12),Motore_Operativo!C312&lt;EDATE(Parametri_v3!$C$24,Parametri_v3!$C$25+Ipotesi!H14*12)),MAX(0,(IF(8-(INT((Ipotesi!$C$91)/30))&lt;1,0,INDEX(Motore_Operativo!$BO$305:$BO$364,MAX(1,8-(INT((Ipotesi!$C$91)/30)))))*(1-(MOD((Ipotesi!$C$91),30)/30))+IF(8-(INT((Ipotesi!$C$91)/30))-1&lt;1,0,INDEX(Motore_Operativo!$BO$305:$BO$364,MAX(1,8-(INT((Ipotesi!$C$91)/30))-1)))*(MOD((Ipotesi!$C$91),30)/30)))*Piano_SS!$D$10,0))</f>
        <v>2000</v>
      </c>
      <c r="CA312" s="15" t="n">
        <f aca="false">SUM(BV312:BZ312)</f>
        <v>21862.962962963</v>
      </c>
      <c r="CB312" s="15" t="n">
        <f aca="false">BV312*(1-Piano_SS!$E$6)+BW312*(1-Piano_SS!$E$7)+BX312*(1-Piano_SS!$E$8)+BY312*(1-Piano_SS!$E$9)+BZ312*(1-Piano_SS!$E$10)</f>
        <v>19862.962962963</v>
      </c>
      <c r="CC312" s="15" t="n">
        <f aca="false">(CC311)+BA312</f>
        <v>0</v>
      </c>
      <c r="CD312" s="15" t="n">
        <f aca="false">IF(CA312=0,0,CC312*CB312/CA312*Ipotesi!$C$103*Parametri_v3!$C$64)</f>
        <v>0</v>
      </c>
      <c r="CE312" s="18" t="n">
        <f aca="false">IF(BA312&gt;0,Motore_Operativo!C312,(CE311))</f>
        <v>0</v>
      </c>
      <c r="CF312" s="18" t="n">
        <f aca="false">IF(AND(CC312&gt;0,OR(CC312&gt;=CG312-0.01,Motore_Operativo!C312&gt;=EDATE(MAX(Finanziamenti!$D$15:$D$17),Ipotesi!H14*12))),CE312,0)</f>
        <v>0</v>
      </c>
      <c r="CG312" s="15" t="n">
        <f aca="false">IF(AND(6&lt;&gt;6,6&lt;&gt;9,Finanziamenti!$F$11=1,OR(Parametri_v3!$C$6=0,Finanziamenti!$E$11=1)),MIN(Finanziamenti!$C$11,Piano_SS!$C$12*Ipotesi!$C$102),0)</f>
        <v>0</v>
      </c>
      <c r="CH312" s="15" t="n">
        <f aca="false">IF(AND(AND(6&lt;&gt;8,6&lt;&gt;9,Finanziamenti!$F$10=1,OR(Parametri_v3!$C$6=0,Finanziamenti!$E$10=1)),Motore_Operativo!C312&gt;=Finanziamenti!$D$10,Motore_Operativo!C312&lt;Parametri_v3!$C$63),Finanziamenti!$C$10,0)</f>
        <v>150000</v>
      </c>
    </row>
    <row r="313" customFormat="false" ht="18" hidden="false" customHeight="true" outlineLevel="0" collapsed="false">
      <c r="A313" s="68" t="n">
        <f aca="false">6</f>
        <v>6</v>
      </c>
      <c r="B313" s="68" t="n">
        <f aca="false">9</f>
        <v>9</v>
      </c>
      <c r="C313" s="18" t="n">
        <f aca="false">Motore_Operativo!C313</f>
        <v>46631</v>
      </c>
      <c r="D313" s="68" t="n">
        <f aca="false">Motore_Operativo!D313</f>
        <v>2027</v>
      </c>
      <c r="E313" s="68" t="n">
        <f aca="false">Motore_Operativo!E313</f>
        <v>9</v>
      </c>
      <c r="F313" s="15" t="n">
        <f aca="false">Motore_Operativo!AQ313+Motore_Operativo!BF313</f>
        <v>8009.25925925926</v>
      </c>
      <c r="G313" s="15" t="n">
        <f aca="false">Motore_Operativo!BH313</f>
        <v>1621.05263157895</v>
      </c>
      <c r="H313" s="15" t="n">
        <f aca="false">Motore_Operativo!BI313</f>
        <v>9630.31189083821</v>
      </c>
      <c r="I313" s="15" t="n">
        <f aca="false">Motore_Operativo!CA313</f>
        <v>27809.511208577</v>
      </c>
      <c r="J313" s="15" t="n">
        <f aca="false">Motore_Operativo!CC313</f>
        <v>-18179.1993177388</v>
      </c>
      <c r="K313" s="15" t="n">
        <f aca="false">Motore_Operativo!CE313</f>
        <v>1666.66666666667</v>
      </c>
      <c r="L313" s="15" t="n">
        <f aca="false">SUM(INDEX($K$305:$K$364,MAX(1,9-Parametri_v3!$C$59+1)):K313)/Parametri_v3!$C$59</f>
        <v>416.666666666667</v>
      </c>
      <c r="M313" s="15" t="n">
        <f aca="false">J313-L313</f>
        <v>-18595.8659844055</v>
      </c>
      <c r="N313" s="15" t="n">
        <f aca="false">CD313-(CD312)</f>
        <v>0</v>
      </c>
      <c r="O313" s="15" t="n">
        <f aca="false">(BG312)*Ipotesi!$C$110/12+CH313*Parametri_v3!$C$39/12</f>
        <v>289.582090060454</v>
      </c>
      <c r="P313" s="15" t="n">
        <f aca="false">M313+N313-O313</f>
        <v>-18885.4480744659</v>
      </c>
      <c r="Q313" s="15" t="n">
        <f aca="false">SUM(P305:P313)+Parametri_v3!$C$54*9/12</f>
        <v>-168778.534422814</v>
      </c>
      <c r="R313" s="15" t="n">
        <f aca="false">0</f>
        <v>0</v>
      </c>
      <c r="S313" s="15" t="n">
        <f aca="false">0</f>
        <v>0</v>
      </c>
      <c r="T313" s="15" t="n">
        <f aca="false">MIN(R313,MAX(0,Q313))</f>
        <v>0</v>
      </c>
      <c r="U313" s="15" t="n">
        <f aca="false">MIN(S313,MAX(0,Q313-T313)*Parametri_v3!$C$42)</f>
        <v>0</v>
      </c>
      <c r="V313" s="15" t="n">
        <f aca="false">MAX(0,Q313-T313-U313)*Ipotesi!$C$92</f>
        <v>0</v>
      </c>
      <c r="W313" s="15" t="n">
        <f aca="false">MAX(0,SUM(M305:M313)+Parametri_v3!$C$55*9/12)*Ipotesi!$C$93</f>
        <v>0</v>
      </c>
      <c r="X313" s="15" t="n">
        <f aca="false">V313+W313-(V312+W312)</f>
        <v>0</v>
      </c>
      <c r="Y313" s="15" t="n">
        <f aca="false">P313-X313</f>
        <v>-18885.4480744659</v>
      </c>
      <c r="Z313" s="15" t="n">
        <f aca="false">R313-T313+IF(AND(Parametri_v3!$C$40=1,D313-YEAR(Parametri_v3!$C$50)&lt;Parametri_v3!$C$41),MAX(0,-Q313),0)</f>
        <v>168778.534422814</v>
      </c>
      <c r="AA313" s="15" t="n">
        <f aca="false">S313-U313+IF(AND(Parametri_v3!$C$40=1,D313-YEAR(Parametri_v3!$C$50)&lt;Parametri_v3!$C$41),0,MAX(0,-Q313))</f>
        <v>0</v>
      </c>
      <c r="AB313" s="15" t="n">
        <f aca="false">F313*(1+Parametri_v3!$C$26)</f>
        <v>9771.2962962963</v>
      </c>
      <c r="AC313" s="15" t="n">
        <f aca="false">(IF(9-(INT((Motore_Operativo!L313)/30))&lt;1,0,INDEX(Motore_Startup!$AB$305:$AB$364,MAX(1,9-(INT((Motore_Operativo!L313)/30)))))*(1-(MOD((Motore_Operativo!L313),30)/30))+IF(9-(INT((Motore_Operativo!L313)/30))-1&lt;1,0,INDEX(Motore_Startup!$AB$305:$AB$364,MAX(1,9-(INT((Motore_Operativo!L313)/30))-1)))*(MOD((Motore_Operativo!L313),30)/30))</f>
        <v>9432.40740740741</v>
      </c>
      <c r="AD313" s="15" t="n">
        <f aca="false">(AD312)+AB313-AC313</f>
        <v>28975</v>
      </c>
      <c r="AE313" s="15" t="n">
        <f aca="false">Motore_Operativo!BH313*(1+Parametri_v3!$C$26)</f>
        <v>1977.68421052632</v>
      </c>
      <c r="AF313" s="15" t="n">
        <f aca="false">(IF(9-(INT((Parametri_v3!$C$29)/30))&lt;1,0,INDEX(Motore_Operativo!$BH$305:$BH$364,MAX(1,9-(INT((Parametri_v3!$C$29)/30)))))*(1-(MOD((Parametri_v3!$C$29),30)/30))+IF(9-(INT((Parametri_v3!$C$29)/30))-1&lt;1,0,INDEX(Motore_Operativo!$BH$305:$BH$364,MAX(1,9-(INT((Parametri_v3!$C$29)/30))-1)))*(MOD((Parametri_v3!$C$29),30)/30))*(1+Parametri_v3!$C$26)</f>
        <v>1977.68421052632</v>
      </c>
      <c r="AG313" s="15" t="n">
        <f aca="false">(AG312)+AE313-AF313</f>
        <v>1977.68421052632</v>
      </c>
      <c r="AH313" s="15" t="n">
        <f aca="false">(Motore_Operativo!CJ313)*(1+Parametri_v3!$C$27*Parametri_v3!$C$26)</f>
        <v>11742.8064712476</v>
      </c>
      <c r="AI313" s="15" t="n">
        <f aca="false">(IF(9-(INT((Ipotesi!$C$91)/30))&lt;1,0,INDEX(Motore_Startup!$AH$305:$AH$364,MAX(1,9-(INT((Ipotesi!$C$91)/30)))))*(1-(MOD((Ipotesi!$C$91),30)/30))+IF(9-(INT((Ipotesi!$C$91)/30))-1&lt;1,0,INDEX(Motore_Startup!$AH$305:$AH$364,MAX(1,9-(INT((Ipotesi!$C$91)/30))-1)))*(MOD((Ipotesi!$C$91),30)/30))</f>
        <v>11712.0323971735</v>
      </c>
      <c r="AJ313" s="15" t="n">
        <f aca="false">(AJ312)+AH313-AI313</f>
        <v>23470.2259054581</v>
      </c>
      <c r="AK313" s="15" t="n">
        <f aca="false">(F313+ Motore_Operativo!BH313-(Motore_Operativo!CJ313)*Parametri_v3!$C$27-Motore_Operativo!CE313)*Parametri_v3!$C$26</f>
        <v>-97.9599800194927</v>
      </c>
      <c r="AL313" s="15" t="n">
        <f aca="false">MAX(0,(AM312))</f>
        <v>0</v>
      </c>
      <c r="AM313" s="15" t="n">
        <f aca="false">(AM312)+AK313-AL313</f>
        <v>-1446.94815350877</v>
      </c>
      <c r="AN313" s="15" t="n">
        <f aca="false">0</f>
        <v>0</v>
      </c>
      <c r="AO313" s="15" t="n">
        <f aca="false">0</f>
        <v>0</v>
      </c>
      <c r="AP313" s="15" t="n">
        <f aca="false">MAX(0,AN313)*IF(9=Parametri_v3!$C$43,Parametri_v3!$C$45,IF(9=Parametri_v3!$C$44,1-Parametri_v3!$C$45,0))</f>
        <v>0</v>
      </c>
      <c r="AQ313" s="15" t="n">
        <f aca="false">MAX(0,AP313+IF(9=Parametri_v3!$C$43,MAX(0,AN313-AO313),0)-MAX(0,-(AR312)))</f>
        <v>0</v>
      </c>
      <c r="AR313" s="15" t="n">
        <f aca="false">(AR312)+X313-AQ313</f>
        <v>0</v>
      </c>
      <c r="AS313" s="15" t="n">
        <f aca="false">Motore_Operativo!AB313-AT313+AU313</f>
        <v>17020.8333333333</v>
      </c>
      <c r="AT313" s="15" t="n">
        <f aca="false">Motore_Operativo!CH313</f>
        <v>895.833333333334</v>
      </c>
      <c r="AU313" s="15" t="n">
        <f aca="false">MIN(MAX(0,(AV312)+AT313),Parametri_v3!$C$60/12)</f>
        <v>0</v>
      </c>
      <c r="AV313" s="15" t="n">
        <f aca="false">(AV312)+AT313-AU313</f>
        <v>8062.5</v>
      </c>
      <c r="AW313" s="15" t="n">
        <f aca="false">IF(AND(Motore_Operativo!C313=Finanziamenti!$D$6,Finanziamenti!$F$6=1),Finanziamenti!$C$6,0)</f>
        <v>0</v>
      </c>
      <c r="AX313" s="15" t="n">
        <f aca="false">IF(AND(6&lt;&gt;7,6&lt;&gt;9,Finanziamenti!$F$8=1,OR(Parametri_v3!$C$6=0,Finanziamenti!$E$8=1),Motore_Operativo!C313=EDATE(Finanziamenti!$D$8,Ipotesi!H15*12)),Finanziamenti!$C$8*1,0)+IF(AND(6&lt;&gt;7,6&lt;&gt;9,Finanziamenti!$F$9=1,OR(Parametri_v3!$C$6=0,Finanziamenti!$E$9=1),Motore_Operativo!C313=EDATE(Finanziamenti!$D$9,Ipotesi!H15*12)),Finanziamenti!$C$9*Ipotesi!H16,0)</f>
        <v>0</v>
      </c>
      <c r="AY313" s="15" t="n">
        <f aca="false">0</f>
        <v>0</v>
      </c>
      <c r="AZ313" s="15" t="n">
        <f aca="false">Motore_Advisory!AY313*(1-Ipotesi!$C$95)*Ipotesi!$C$96</f>
        <v>0</v>
      </c>
      <c r="BA313" s="15" t="n">
        <f aca="false">MAX(0,MIN(CG313*MIN(1,IF(Motore_Operativo!C313&gt;=EDATE(Finanziamenti!$D$15,Ipotesi!H14*12),Finanziamenti!$C$15,0)+IF(Motore_Operativo!C313&gt;=EDATE(Finanziamenti!$D$16,Ipotesi!H14*12),Finanziamenti!$C$16,0)+IF(Motore_Operativo!C313&gt;=EDATE(Finanziamenti!$D$17,Ipotesi!H14*12),Finanziamenti!$C$17,0)),CA313*Ipotesi!$C$102)-(CC312))</f>
        <v>0</v>
      </c>
      <c r="BB313" s="15" t="n">
        <f aca="false">IF(AND(CF313&gt;0,Motore_Operativo!C313&gt;=IF(CF313=0,0,EDATE(CF313,Parametri_v3!$C$37)),MOD(((D313-YEAR(IF(CF313=0,0,EDATE(CF313,Parametri_v3!$C$37))))*12+E313-MONTH(IF(CF313=0,0,EDATE(CF313,Parametri_v3!$C$37)))),Parametri_v3!$C$38)=0),MIN(MAX(0,(BC312)+BA313-N313),(CC313-CD313)/(Ipotesi!$C$108*12/Parametri_v3!$C$38)),0)</f>
        <v>0</v>
      </c>
      <c r="BC313" s="15" t="n">
        <f aca="false">(BC312)+BA313-N313-BB313</f>
        <v>0</v>
      </c>
      <c r="BD313" s="15" t="n">
        <f aca="false">(BH312)+AC313+AF313-AI313-AS313-K313*(1+Parametri_v3!$C$26)-AL313-AQ313-O313+AW313+AX313+AZ313+BA313-BB313</f>
        <v>5354.31046403311</v>
      </c>
      <c r="BE313" s="15" t="n">
        <f aca="false">MAX(0,MIN(MAX(0,CH313-(BG312)),Parametri_v3!$C$30-BD313))</f>
        <v>19645.6895359669</v>
      </c>
      <c r="BF313" s="15" t="n">
        <f aca="false">IF(Motore_Operativo!C313&gt;=Parametri_v3!$C$63,(BG312),MIN((BG312),MAX(0,BD313-Parametri_v3!$C$30)))</f>
        <v>0</v>
      </c>
      <c r="BG313" s="15" t="n">
        <f aca="false">(BG312)+BE313-BF313</f>
        <v>77562.1075480577</v>
      </c>
      <c r="BH313" s="15" t="n">
        <f aca="false">BD313+BE313-BF313-AY313</f>
        <v>25000</v>
      </c>
      <c r="BI313" s="15" t="n">
        <f aca="false">MAX(0,Parametri_v3!$C$30-BH313)</f>
        <v>0</v>
      </c>
      <c r="BJ313" s="15" t="n">
        <f aca="false">(BJ312)+K313</f>
        <v>15000</v>
      </c>
      <c r="BK313" s="15" t="n">
        <f aca="false">(BK312)+L313</f>
        <v>2083.33333333333</v>
      </c>
      <c r="BL313" s="15" t="n">
        <f aca="false">BJ313-BK313</f>
        <v>12916.6666666667</v>
      </c>
      <c r="BM313" s="15" t="n">
        <f aca="false">(BM312)+Y313</f>
        <v>-168778.534422814</v>
      </c>
      <c r="BN313" s="15" t="n">
        <f aca="false">(BN312)+AW313+AX313+AZ313</f>
        <v>130000</v>
      </c>
      <c r="BO313" s="15" t="n">
        <f aca="false">(BO312)+AY313</f>
        <v>0</v>
      </c>
      <c r="BP313" s="15" t="n">
        <f aca="false">0</f>
        <v>0</v>
      </c>
      <c r="BQ313" s="15" t="n">
        <f aca="false">BN313+BM313-BO313</f>
        <v>-38778.534422814</v>
      </c>
      <c r="BR313" s="15" t="n">
        <f aca="false">BH313+AD313+BL313+MAX(0,-AM313)+MAX(0,-AR313)+AG313</f>
        <v>70316.2990307018</v>
      </c>
      <c r="BS313" s="15" t="n">
        <f aca="false">AJ313+AV313+MAX(0,AM313)+MAX(0,AR313)+BC313+BG313+BQ313</f>
        <v>70316.2990307018</v>
      </c>
      <c r="BT313" s="15" t="n">
        <f aca="false">BR313-BS313</f>
        <v>0</v>
      </c>
      <c r="BU313" s="15" t="n">
        <f aca="false">BH313-(BD313+BE313-BF313-AY313)</f>
        <v>0</v>
      </c>
      <c r="BV313" s="15" t="n">
        <f aca="false">MIN(Piano_SS!$C$6,(BV312)+IF(AND(Motore_Operativo!C313&gt;=EDATE(Parametri_v3!$C$24,Ipotesi!H14*12),Motore_Operativo!C313&lt;EDATE(Parametri_v3!$C$24,Parametri_v3!$C$25+Ipotesi!H14*12)),MAX(0,(Motore_Operativo!Y313+Motore_Operativo!X313*Parametri_v3!$C$14)*(1-Parametri_v3!$C$32))*Piano_SS!$D$6,0))</f>
        <v>14250</v>
      </c>
      <c r="BW313" s="15" t="n">
        <f aca="false">MIN(Piano_SS!$C$7,(BW312)+IF(AND(Motore_Operativo!C313&gt;=EDATE(Parametri_v3!$C$24,Ipotesi!H14*12),Motore_Operativo!C313&lt;EDATE(Parametri_v3!$C$24,Parametri_v3!$C$25+Ipotesi!H14*12)),MAX(0,(IF(9-(INT((Ipotesi!$C$91)/30))&lt;1,0,INDEX(Motore_Operativo!$BN$305:$BN$364,MAX(1,9-(INT((Ipotesi!$C$91)/30)))))*(1-(MOD((Ipotesi!$C$91),30)/30))+IF(9-(INT((Ipotesi!$C$91)/30))-1&lt;1,0,INDEX(Motore_Operativo!$BN$305:$BN$364,MAX(1,9-(INT((Ipotesi!$C$91)/30))-1)))*(MOD((Ipotesi!$C$91),30)/30)))*Piano_SS!$D$7,0))</f>
        <v>3805.55555555556</v>
      </c>
      <c r="BX313" s="15" t="n">
        <f aca="false">MIN(Piano_SS!$C$8,(BX312)+IF(AND(Motore_Operativo!C313&gt;=EDATE(Parametri_v3!$C$24,Ipotesi!H14*12),Motore_Operativo!C313&lt;EDATE(Parametri_v3!$C$24,Parametri_v3!$C$25+Ipotesi!H14*12)),MAX(0,Motore_Operativo!CE313)*Piano_SS!$D$8,0))</f>
        <v>5000</v>
      </c>
      <c r="BY313" s="15" t="n">
        <f aca="false">MIN(Piano_SS!$C$9,(BY312)+IF(AND(Motore_Operativo!C313&gt;=EDATE(Parametri_v3!$C$24,Ipotesi!H14*12),Motore_Operativo!C313&lt;EDATE(Parametri_v3!$C$24,Parametri_v3!$C$25+Ipotesi!H14*12)),MAX(0,((IF(9-(INT((Ipotesi!$C$91)/30))&lt;1,0,INDEX(Motore_Operativo!$BQ$305:$BQ$364,MAX(1,9-(INT((Ipotesi!$C$91)/30)))))*(1-(MOD((Ipotesi!$C$91),30)/30))+IF(9-(INT((Ipotesi!$C$91)/30))-1&lt;1,0,INDEX(Motore_Operativo!$BQ$305:$BQ$364,MAX(1,9-(INT((Ipotesi!$C$91)/30))-1)))*(MOD((Ipotesi!$C$91),30)/30))+(IF(9-(INT((Ipotesi!$C$91)/30))&lt;1,0,INDEX(Motore_Operativo!$BR$305:$BR$364,MAX(1,9-(INT((Ipotesi!$C$91)/30)))))*(1-(MOD((Ipotesi!$C$91),30)/30))+IF(9-(INT((Ipotesi!$C$91)/30))-1&lt;1,0,INDEX(Motore_Operativo!$BR$305:$BR$364,MAX(1,9-(INT((Ipotesi!$C$91)/30))-1)))*(MOD((Ipotesi!$C$91),30)/30))))*Piano_SS!$D$9,0))</f>
        <v>6750</v>
      </c>
      <c r="BZ313" s="15" t="n">
        <f aca="false">MIN(Piano_SS!$C$10,(BZ312)+IF(AND(Motore_Operativo!C313&gt;=EDATE(Parametri_v3!$C$24,Ipotesi!H14*12),Motore_Operativo!C313&lt;EDATE(Parametri_v3!$C$24,Parametri_v3!$C$25+Ipotesi!H14*12)),MAX(0,(IF(9-(INT((Ipotesi!$C$91)/30))&lt;1,0,INDEX(Motore_Operativo!$BO$305:$BO$364,MAX(1,9-(INT((Ipotesi!$C$91)/30)))))*(1-(MOD((Ipotesi!$C$91),30)/30))+IF(9-(INT((Ipotesi!$C$91)/30))-1&lt;1,0,INDEX(Motore_Operativo!$BO$305:$BO$364,MAX(1,9-(INT((Ipotesi!$C$91)/30))-1)))*(MOD((Ipotesi!$C$91),30)/30)))*Piano_SS!$D$10,0))</f>
        <v>3000</v>
      </c>
      <c r="CA313" s="15" t="n">
        <f aca="false">SUM(BV313:BZ313)</f>
        <v>32805.5555555556</v>
      </c>
      <c r="CB313" s="15" t="n">
        <f aca="false">BV313*(1-Piano_SS!$E$6)+BW313*(1-Piano_SS!$E$7)+BX313*(1-Piano_SS!$E$8)+BY313*(1-Piano_SS!$E$9)+BZ313*(1-Piano_SS!$E$10)</f>
        <v>29805.5555555556</v>
      </c>
      <c r="CC313" s="15" t="n">
        <f aca="false">(CC312)+BA313</f>
        <v>0</v>
      </c>
      <c r="CD313" s="15" t="n">
        <f aca="false">IF(CA313=0,0,CC313*CB313/CA313*Ipotesi!$C$103*Parametri_v3!$C$64)</f>
        <v>0</v>
      </c>
      <c r="CE313" s="18" t="n">
        <f aca="false">IF(BA313&gt;0,Motore_Operativo!C313,(CE312))</f>
        <v>0</v>
      </c>
      <c r="CF313" s="18" t="n">
        <f aca="false">IF(AND(CC313&gt;0,OR(CC313&gt;=CG313-0.01,Motore_Operativo!C313&gt;=EDATE(MAX(Finanziamenti!$D$15:$D$17),Ipotesi!H14*12))),CE313,0)</f>
        <v>0</v>
      </c>
      <c r="CG313" s="15" t="n">
        <f aca="false">IF(AND(6&lt;&gt;6,6&lt;&gt;9,Finanziamenti!$F$11=1,OR(Parametri_v3!$C$6=0,Finanziamenti!$E$11=1)),MIN(Finanziamenti!$C$11,Piano_SS!$C$12*Ipotesi!$C$102),0)</f>
        <v>0</v>
      </c>
      <c r="CH313" s="15" t="n">
        <f aca="false">IF(AND(AND(6&lt;&gt;8,6&lt;&gt;9,Finanziamenti!$F$10=1,OR(Parametri_v3!$C$6=0,Finanziamenti!$E$10=1)),Motore_Operativo!C313&gt;=Finanziamenti!$D$10,Motore_Operativo!C313&lt;Parametri_v3!$C$63),Finanziamenti!$C$10,0)</f>
        <v>150000</v>
      </c>
    </row>
    <row r="314" customFormat="false" ht="18" hidden="false" customHeight="true" outlineLevel="0" collapsed="false">
      <c r="A314" s="68" t="n">
        <f aca="false">6</f>
        <v>6</v>
      </c>
      <c r="B314" s="68" t="n">
        <f aca="false">10</f>
        <v>10</v>
      </c>
      <c r="C314" s="18" t="n">
        <f aca="false">Motore_Operativo!C314</f>
        <v>46661</v>
      </c>
      <c r="D314" s="68" t="n">
        <f aca="false">Motore_Operativo!D314</f>
        <v>2027</v>
      </c>
      <c r="E314" s="68" t="n">
        <f aca="false">Motore_Operativo!E314</f>
        <v>10</v>
      </c>
      <c r="F314" s="15" t="n">
        <f aca="false">Motore_Operativo!AQ314+Motore_Operativo!BF314</f>
        <v>8101.85185185185</v>
      </c>
      <c r="G314" s="15" t="n">
        <f aca="false">Motore_Operativo!BH314</f>
        <v>1621.05263157895</v>
      </c>
      <c r="H314" s="15" t="n">
        <f aca="false">Motore_Operativo!BI314</f>
        <v>9722.9044834308</v>
      </c>
      <c r="I314" s="15" t="n">
        <f aca="false">Motore_Operativo!CA314</f>
        <v>27822.47417154</v>
      </c>
      <c r="J314" s="15" t="n">
        <f aca="false">Motore_Operativo!CC314</f>
        <v>-18099.5696881092</v>
      </c>
      <c r="K314" s="15" t="n">
        <f aca="false">Motore_Operativo!CE314</f>
        <v>1666.66666666667</v>
      </c>
      <c r="L314" s="15" t="n">
        <f aca="false">SUM(INDEX($K$305:$K$364,MAX(1,10-Parametri_v3!$C$59+1)):K314)/Parametri_v3!$C$59</f>
        <v>462.962962962963</v>
      </c>
      <c r="M314" s="15" t="n">
        <f aca="false">J314-L314</f>
        <v>-18562.5326510721</v>
      </c>
      <c r="N314" s="15" t="n">
        <f aca="false">CD314-(CD313)</f>
        <v>0</v>
      </c>
      <c r="O314" s="15" t="n">
        <f aca="false">(BG313)*Ipotesi!$C$110/12+CH314*Parametri_v3!$C$39/12</f>
        <v>387.810537740289</v>
      </c>
      <c r="P314" s="15" t="n">
        <f aca="false">M314+N314-O314</f>
        <v>-18950.3431888124</v>
      </c>
      <c r="Q314" s="15" t="n">
        <f aca="false">SUM(P305:P314)+Parametri_v3!$C$54*10/12</f>
        <v>-187728.877611626</v>
      </c>
      <c r="R314" s="15" t="n">
        <f aca="false">0</f>
        <v>0</v>
      </c>
      <c r="S314" s="15" t="n">
        <f aca="false">0</f>
        <v>0</v>
      </c>
      <c r="T314" s="15" t="n">
        <f aca="false">MIN(R314,MAX(0,Q314))</f>
        <v>0</v>
      </c>
      <c r="U314" s="15" t="n">
        <f aca="false">MIN(S314,MAX(0,Q314-T314)*Parametri_v3!$C$42)</f>
        <v>0</v>
      </c>
      <c r="V314" s="15" t="n">
        <f aca="false">MAX(0,Q314-T314-U314)*Ipotesi!$C$92</f>
        <v>0</v>
      </c>
      <c r="W314" s="15" t="n">
        <f aca="false">MAX(0,SUM(M305:M314)+Parametri_v3!$C$55*10/12)*Ipotesi!$C$93</f>
        <v>0</v>
      </c>
      <c r="X314" s="15" t="n">
        <f aca="false">V314+W314-(V313+W313)</f>
        <v>0</v>
      </c>
      <c r="Y314" s="15" t="n">
        <f aca="false">P314-X314</f>
        <v>-18950.3431888124</v>
      </c>
      <c r="Z314" s="15" t="n">
        <f aca="false">R314-T314+IF(AND(Parametri_v3!$C$40=1,D314-YEAR(Parametri_v3!$C$50)&lt;Parametri_v3!$C$41),MAX(0,-Q314),0)</f>
        <v>187728.877611626</v>
      </c>
      <c r="AA314" s="15" t="n">
        <f aca="false">S314-U314+IF(AND(Parametri_v3!$C$40=1,D314-YEAR(Parametri_v3!$C$50)&lt;Parametri_v3!$C$41),0,MAX(0,-Q314))</f>
        <v>0</v>
      </c>
      <c r="AB314" s="15" t="n">
        <f aca="false">F314*(1+Parametri_v3!$C$26)</f>
        <v>9884.25925925926</v>
      </c>
      <c r="AC314" s="15" t="n">
        <f aca="false">(IF(10-(INT((Motore_Operativo!L314)/30))&lt;1,0,INDEX(Motore_Startup!$AB$305:$AB$364,MAX(1,10-(INT((Motore_Operativo!L314)/30)))))*(1-(MOD((Motore_Operativo!L314),30)/30))+IF(10-(INT((Motore_Operativo!L314)/30))-1&lt;1,0,INDEX(Motore_Startup!$AB$305:$AB$364,MAX(1,10-(INT((Motore_Operativo!L314)/30))-1)))*(MOD((Motore_Operativo!L314),30)/30))</f>
        <v>9545.37037037037</v>
      </c>
      <c r="AD314" s="15" t="n">
        <f aca="false">(AD313)+AB314-AC314</f>
        <v>29313.8888888889</v>
      </c>
      <c r="AE314" s="15" t="n">
        <f aca="false">Motore_Operativo!BH314*(1+Parametri_v3!$C$26)</f>
        <v>1977.68421052632</v>
      </c>
      <c r="AF314" s="15" t="n">
        <f aca="false">(IF(10-(INT((Parametri_v3!$C$29)/30))&lt;1,0,INDEX(Motore_Operativo!$BH$305:$BH$364,MAX(1,10-(INT((Parametri_v3!$C$29)/30)))))*(1-(MOD((Parametri_v3!$C$29),30)/30))+IF(10-(INT((Parametri_v3!$C$29)/30))-1&lt;1,0,INDEX(Motore_Operativo!$BH$305:$BH$364,MAX(1,10-(INT((Parametri_v3!$C$29)/30))-1)))*(MOD((Parametri_v3!$C$29),30)/30))*(1+Parametri_v3!$C$26)</f>
        <v>1977.68421052632</v>
      </c>
      <c r="AG314" s="15" t="n">
        <f aca="false">(AG313)+AE314-AF314</f>
        <v>1977.68421052632</v>
      </c>
      <c r="AH314" s="15" t="n">
        <f aca="false">(Motore_Operativo!CJ314)*(1+Parametri_v3!$C$27*Parametri_v3!$C$26)</f>
        <v>11758.1935082846</v>
      </c>
      <c r="AI314" s="15" t="n">
        <f aca="false">(IF(10-(INT((Ipotesi!$C$91)/30))&lt;1,0,INDEX(Motore_Startup!$AH$305:$AH$364,MAX(1,10-(INT((Ipotesi!$C$91)/30)))))*(1-(MOD((Ipotesi!$C$91),30)/30))+IF(10-(INT((Ipotesi!$C$91)/30))-1&lt;1,0,INDEX(Motore_Startup!$AH$305:$AH$364,MAX(1,10-(INT((Ipotesi!$C$91)/30))-1)))*(MOD((Ipotesi!$C$91),30)/30))</f>
        <v>11727.4194342105</v>
      </c>
      <c r="AJ314" s="15" t="n">
        <f aca="false">(AJ313)+AH314-AI314</f>
        <v>23500.9999795322</v>
      </c>
      <c r="AK314" s="15" t="n">
        <f aca="false">(F314+ Motore_Operativo!BH314-(Motore_Operativo!CJ314)*Parametri_v3!$C$27-Motore_Operativo!CE314)*Parametri_v3!$C$26</f>
        <v>-80.0136837231962</v>
      </c>
      <c r="AL314" s="15" t="n">
        <f aca="false">MAX(0,(AM313))</f>
        <v>0</v>
      </c>
      <c r="AM314" s="15" t="n">
        <f aca="false">(AM313)+AK314-AL314</f>
        <v>-1526.96183723196</v>
      </c>
      <c r="AN314" s="15" t="n">
        <f aca="false">0</f>
        <v>0</v>
      </c>
      <c r="AO314" s="15" t="n">
        <f aca="false">0</f>
        <v>0</v>
      </c>
      <c r="AP314" s="15" t="n">
        <f aca="false">MAX(0,AN314)*IF(10=Parametri_v3!$C$43,Parametri_v3!$C$45,IF(10=Parametri_v3!$C$44,1-Parametri_v3!$C$45,0))</f>
        <v>0</v>
      </c>
      <c r="AQ314" s="15" t="n">
        <f aca="false">MAX(0,AP314+IF(10=Parametri_v3!$C$43,MAX(0,AN314-AO314),0)-MAX(0,-(AR313)))</f>
        <v>0</v>
      </c>
      <c r="AR314" s="15" t="n">
        <f aca="false">(AR313)+X314-AQ314</f>
        <v>0</v>
      </c>
      <c r="AS314" s="15" t="n">
        <f aca="false">Motore_Operativo!AB314-AT314+AU314</f>
        <v>17020.8333333333</v>
      </c>
      <c r="AT314" s="15" t="n">
        <f aca="false">Motore_Operativo!CH314</f>
        <v>895.833333333334</v>
      </c>
      <c r="AU314" s="15" t="n">
        <f aca="false">MIN(MAX(0,(AV313)+AT314),Parametri_v3!$C$60/12)</f>
        <v>0</v>
      </c>
      <c r="AV314" s="15" t="n">
        <f aca="false">(AV313)+AT314-AU314</f>
        <v>8958.33333333334</v>
      </c>
      <c r="AW314" s="15" t="n">
        <f aca="false">IF(AND(Motore_Operativo!C314=Finanziamenti!$D$6,Finanziamenti!$F$6=1),Finanziamenti!$C$6,0)</f>
        <v>0</v>
      </c>
      <c r="AX314" s="15" t="n">
        <f aca="false">IF(AND(6&lt;&gt;7,6&lt;&gt;9,Finanziamenti!$F$8=1,OR(Parametri_v3!$C$6=0,Finanziamenti!$E$8=1),Motore_Operativo!C314=EDATE(Finanziamenti!$D$8,Ipotesi!H15*12)),Finanziamenti!$C$8*1,0)+IF(AND(6&lt;&gt;7,6&lt;&gt;9,Finanziamenti!$F$9=1,OR(Parametri_v3!$C$6=0,Finanziamenti!$E$9=1),Motore_Operativo!C314=EDATE(Finanziamenti!$D$9,Ipotesi!H15*12)),Finanziamenti!$C$9*Ipotesi!H16,0)</f>
        <v>0</v>
      </c>
      <c r="AY314" s="15" t="n">
        <f aca="false">0</f>
        <v>0</v>
      </c>
      <c r="AZ314" s="15" t="n">
        <f aca="false">Motore_Advisory!AY314*(1-Ipotesi!$C$95)*Ipotesi!$C$96</f>
        <v>0</v>
      </c>
      <c r="BA314" s="15" t="n">
        <f aca="false">MAX(0,MIN(CG314*MIN(1,IF(Motore_Operativo!C314&gt;=EDATE(Finanziamenti!$D$15,Ipotesi!H14*12),Finanziamenti!$C$15,0)+IF(Motore_Operativo!C314&gt;=EDATE(Finanziamenti!$D$16,Ipotesi!H14*12),Finanziamenti!$C$16,0)+IF(Motore_Operativo!C314&gt;=EDATE(Finanziamenti!$D$17,Ipotesi!H14*12),Finanziamenti!$C$17,0)),CA314*Ipotesi!$C$102)-(CC313))</f>
        <v>0</v>
      </c>
      <c r="BB314" s="15" t="n">
        <f aca="false">IF(AND(CF314&gt;0,Motore_Operativo!C314&gt;=IF(CF314=0,0,EDATE(CF314,Parametri_v3!$C$37)),MOD(((D314-YEAR(IF(CF314=0,0,EDATE(CF314,Parametri_v3!$C$37))))*12+E314-MONTH(IF(CF314=0,0,EDATE(CF314,Parametri_v3!$C$37)))),Parametri_v3!$C$38)=0),MIN(MAX(0,(BC313)+BA314-N314),(CC314-CD314)/(Ipotesi!$C$108*12/Parametri_v3!$C$38)),0)</f>
        <v>0</v>
      </c>
      <c r="BC314" s="15" t="n">
        <f aca="false">(BC313)+BA314-N314-BB314</f>
        <v>0</v>
      </c>
      <c r="BD314" s="15" t="n">
        <f aca="false">(BH313)+AC314+AF314-AI314-AS314-K314*(1+Parametri_v3!$C$26)-AL314-AQ314-O314+AW314+AX314+AZ314+BA314-BB314</f>
        <v>5353.6579422792</v>
      </c>
      <c r="BE314" s="15" t="n">
        <f aca="false">MAX(0,MIN(MAX(0,CH314-(BG313)),Parametri_v3!$C$30-BD314))</f>
        <v>19646.3420577208</v>
      </c>
      <c r="BF314" s="15" t="n">
        <f aca="false">IF(Motore_Operativo!C314&gt;=Parametri_v3!$C$63,(BG313),MIN((BG313),MAX(0,BD314-Parametri_v3!$C$30)))</f>
        <v>0</v>
      </c>
      <c r="BG314" s="15" t="n">
        <f aca="false">(BG313)+BE314-BF314</f>
        <v>97208.4496057785</v>
      </c>
      <c r="BH314" s="15" t="n">
        <f aca="false">BD314+BE314-BF314-AY314</f>
        <v>25000</v>
      </c>
      <c r="BI314" s="15" t="n">
        <f aca="false">MAX(0,Parametri_v3!$C$30-BH314)</f>
        <v>0</v>
      </c>
      <c r="BJ314" s="15" t="n">
        <f aca="false">(BJ313)+K314</f>
        <v>16666.6666666667</v>
      </c>
      <c r="BK314" s="15" t="n">
        <f aca="false">(BK313)+L314</f>
        <v>2546.2962962963</v>
      </c>
      <c r="BL314" s="15" t="n">
        <f aca="false">BJ314-BK314</f>
        <v>14120.3703703704</v>
      </c>
      <c r="BM314" s="15" t="n">
        <f aca="false">(BM313)+Y314</f>
        <v>-187728.877611626</v>
      </c>
      <c r="BN314" s="15" t="n">
        <f aca="false">(BN313)+AW314+AX314+AZ314</f>
        <v>130000</v>
      </c>
      <c r="BO314" s="15" t="n">
        <f aca="false">(BO313)+AY314</f>
        <v>0</v>
      </c>
      <c r="BP314" s="15" t="n">
        <f aca="false">0</f>
        <v>0</v>
      </c>
      <c r="BQ314" s="15" t="n">
        <f aca="false">BN314+BM314-BO314</f>
        <v>-57728.8776116264</v>
      </c>
      <c r="BR314" s="15" t="n">
        <f aca="false">BH314+AD314+BL314+MAX(0,-AM314)+MAX(0,-AR314)+AG314</f>
        <v>71938.9053070176</v>
      </c>
      <c r="BS314" s="15" t="n">
        <f aca="false">AJ314+AV314+MAX(0,AM314)+MAX(0,AR314)+BC314+BG314+BQ314</f>
        <v>71938.9053070176</v>
      </c>
      <c r="BT314" s="15" t="n">
        <f aca="false">BR314-BS314</f>
        <v>0</v>
      </c>
      <c r="BU314" s="15" t="n">
        <f aca="false">BH314-(BD314+BE314-BF314-AY314)</f>
        <v>0</v>
      </c>
      <c r="BV314" s="15" t="n">
        <f aca="false">MIN(Piano_SS!$C$6,(BV313)+IF(AND(Motore_Operativo!C314&gt;=EDATE(Parametri_v3!$C$24,Ipotesi!H14*12),Motore_Operativo!C314&lt;EDATE(Parametri_v3!$C$24,Parametri_v3!$C$25+Ipotesi!H14*12)),MAX(0,(Motore_Operativo!Y314+Motore_Operativo!X314*Parametri_v3!$C$14)*(1-Parametri_v3!$C$32))*Piano_SS!$D$6,0))</f>
        <v>19000</v>
      </c>
      <c r="BW314" s="15" t="n">
        <f aca="false">MIN(Piano_SS!$C$7,(BW313)+IF(AND(Motore_Operativo!C314&gt;=EDATE(Parametri_v3!$C$24,Ipotesi!H14*12),Motore_Operativo!C314&lt;EDATE(Parametri_v3!$C$24,Parametri_v3!$C$25+Ipotesi!H14*12)),MAX(0,(IF(10-(INT((Ipotesi!$C$91)/30))&lt;1,0,INDEX(Motore_Operativo!$BN$305:$BN$364,MAX(1,10-(INT((Ipotesi!$C$91)/30)))))*(1-(MOD((Ipotesi!$C$91),30)/30))+IF(10-(INT((Ipotesi!$C$91)/30))-1&lt;1,0,INDEX(Motore_Operativo!$BN$305:$BN$364,MAX(1,10-(INT((Ipotesi!$C$91)/30))-1)))*(MOD((Ipotesi!$C$91),30)/30)))*Piano_SS!$D$7,0))</f>
        <v>5088.88888888889</v>
      </c>
      <c r="BX314" s="15" t="n">
        <f aca="false">MIN(Piano_SS!$C$8,(BX313)+IF(AND(Motore_Operativo!C314&gt;=EDATE(Parametri_v3!$C$24,Ipotesi!H14*12),Motore_Operativo!C314&lt;EDATE(Parametri_v3!$C$24,Parametri_v3!$C$25+Ipotesi!H14*12)),MAX(0,Motore_Operativo!CE314)*Piano_SS!$D$8,0))</f>
        <v>6666.66666666667</v>
      </c>
      <c r="BY314" s="15" t="n">
        <f aca="false">MIN(Piano_SS!$C$9,(BY313)+IF(AND(Motore_Operativo!C314&gt;=EDATE(Parametri_v3!$C$24,Ipotesi!H14*12),Motore_Operativo!C314&lt;EDATE(Parametri_v3!$C$24,Parametri_v3!$C$25+Ipotesi!H14*12)),MAX(0,((IF(10-(INT((Ipotesi!$C$91)/30))&lt;1,0,INDEX(Motore_Operativo!$BQ$305:$BQ$364,MAX(1,10-(INT((Ipotesi!$C$91)/30)))))*(1-(MOD((Ipotesi!$C$91),30)/30))+IF(10-(INT((Ipotesi!$C$91)/30))-1&lt;1,0,INDEX(Motore_Operativo!$BQ$305:$BQ$364,MAX(1,10-(INT((Ipotesi!$C$91)/30))-1)))*(MOD((Ipotesi!$C$91),30)/30))+(IF(10-(INT((Ipotesi!$C$91)/30))&lt;1,0,INDEX(Motore_Operativo!$BR$305:$BR$364,MAX(1,10-(INT((Ipotesi!$C$91)/30)))))*(1-(MOD((Ipotesi!$C$91),30)/30))+IF(10-(INT((Ipotesi!$C$91)/30))-1&lt;1,0,INDEX(Motore_Operativo!$BR$305:$BR$364,MAX(1,10-(INT((Ipotesi!$C$91)/30))-1)))*(MOD((Ipotesi!$C$91),30)/30))))*Piano_SS!$D$9,0))</f>
        <v>9000</v>
      </c>
      <c r="BZ314" s="15" t="n">
        <f aca="false">MIN(Piano_SS!$C$10,(BZ313)+IF(AND(Motore_Operativo!C314&gt;=EDATE(Parametri_v3!$C$24,Ipotesi!H14*12),Motore_Operativo!C314&lt;EDATE(Parametri_v3!$C$24,Parametri_v3!$C$25+Ipotesi!H14*12)),MAX(0,(IF(10-(INT((Ipotesi!$C$91)/30))&lt;1,0,INDEX(Motore_Operativo!$BO$305:$BO$364,MAX(1,10-(INT((Ipotesi!$C$91)/30)))))*(1-(MOD((Ipotesi!$C$91),30)/30))+IF(10-(INT((Ipotesi!$C$91)/30))-1&lt;1,0,INDEX(Motore_Operativo!$BO$305:$BO$364,MAX(1,10-(INT((Ipotesi!$C$91)/30))-1)))*(MOD((Ipotesi!$C$91),30)/30)))*Piano_SS!$D$10,0))</f>
        <v>4000</v>
      </c>
      <c r="CA314" s="15" t="n">
        <f aca="false">SUM(BV314:BZ314)</f>
        <v>43755.5555555556</v>
      </c>
      <c r="CB314" s="15" t="n">
        <f aca="false">BV314*(1-Piano_SS!$E$6)+BW314*(1-Piano_SS!$E$7)+BX314*(1-Piano_SS!$E$8)+BY314*(1-Piano_SS!$E$9)+BZ314*(1-Piano_SS!$E$10)</f>
        <v>39755.5555555556</v>
      </c>
      <c r="CC314" s="15" t="n">
        <f aca="false">(CC313)+BA314</f>
        <v>0</v>
      </c>
      <c r="CD314" s="15" t="n">
        <f aca="false">IF(CA314=0,0,CC314*CB314/CA314*Ipotesi!$C$103*Parametri_v3!$C$64)</f>
        <v>0</v>
      </c>
      <c r="CE314" s="18" t="n">
        <f aca="false">IF(BA314&gt;0,Motore_Operativo!C314,(CE313))</f>
        <v>0</v>
      </c>
      <c r="CF314" s="18" t="n">
        <f aca="false">IF(AND(CC314&gt;0,OR(CC314&gt;=CG314-0.01,Motore_Operativo!C314&gt;=EDATE(MAX(Finanziamenti!$D$15:$D$17),Ipotesi!H14*12))),CE314,0)</f>
        <v>0</v>
      </c>
      <c r="CG314" s="15" t="n">
        <f aca="false">IF(AND(6&lt;&gt;6,6&lt;&gt;9,Finanziamenti!$F$11=1,OR(Parametri_v3!$C$6=0,Finanziamenti!$E$11=1)),MIN(Finanziamenti!$C$11,Piano_SS!$C$12*Ipotesi!$C$102),0)</f>
        <v>0</v>
      </c>
      <c r="CH314" s="15" t="n">
        <f aca="false">IF(AND(AND(6&lt;&gt;8,6&lt;&gt;9,Finanziamenti!$F$10=1,OR(Parametri_v3!$C$6=0,Finanziamenti!$E$10=1)),Motore_Operativo!C314&gt;=Finanziamenti!$D$10,Motore_Operativo!C314&lt;Parametri_v3!$C$63),Finanziamenti!$C$10,0)</f>
        <v>150000</v>
      </c>
    </row>
    <row r="315" customFormat="false" ht="18" hidden="false" customHeight="true" outlineLevel="0" collapsed="false">
      <c r="A315" s="68" t="n">
        <f aca="false">6</f>
        <v>6</v>
      </c>
      <c r="B315" s="68" t="n">
        <f aca="false">11</f>
        <v>11</v>
      </c>
      <c r="C315" s="18" t="n">
        <f aca="false">Motore_Operativo!C315</f>
        <v>46692</v>
      </c>
      <c r="D315" s="68" t="n">
        <f aca="false">Motore_Operativo!D315</f>
        <v>2027</v>
      </c>
      <c r="E315" s="68" t="n">
        <f aca="false">Motore_Operativo!E315</f>
        <v>11</v>
      </c>
      <c r="F315" s="15" t="n">
        <f aca="false">Motore_Operativo!AQ315+Motore_Operativo!BF315</f>
        <v>8194.44444444445</v>
      </c>
      <c r="G315" s="15" t="n">
        <f aca="false">Motore_Operativo!BH315</f>
        <v>1621.05263157895</v>
      </c>
      <c r="H315" s="15" t="n">
        <f aca="false">Motore_Operativo!BI315</f>
        <v>9815.49707602339</v>
      </c>
      <c r="I315" s="15" t="n">
        <f aca="false">Motore_Operativo!CA315</f>
        <v>27835.4371345029</v>
      </c>
      <c r="J315" s="15" t="n">
        <f aca="false">Motore_Operativo!CC315</f>
        <v>-18019.9400584795</v>
      </c>
      <c r="K315" s="15" t="n">
        <f aca="false">Motore_Operativo!CE315</f>
        <v>1666.66666666667</v>
      </c>
      <c r="L315" s="15" t="n">
        <f aca="false">SUM(INDEX($K$305:$K$364,MAX(1,11-Parametri_v3!$C$59+1)):K315)/Parametri_v3!$C$59</f>
        <v>509.259259259259</v>
      </c>
      <c r="M315" s="15" t="n">
        <f aca="false">J315-L315</f>
        <v>-18529.1993177388</v>
      </c>
      <c r="N315" s="15" t="n">
        <f aca="false">CD315-(CD314)</f>
        <v>0</v>
      </c>
      <c r="O315" s="15" t="n">
        <f aca="false">(BG314)*Ipotesi!$C$110/12+CH315*Parametri_v3!$C$39/12</f>
        <v>486.042248028893</v>
      </c>
      <c r="P315" s="15" t="n">
        <f aca="false">M315+N315-O315</f>
        <v>-19015.2415657677</v>
      </c>
      <c r="Q315" s="15" t="n">
        <f aca="false">SUM(P305:P315)+Parametri_v3!$C$54*11/12</f>
        <v>-206744.119177394</v>
      </c>
      <c r="R315" s="15" t="n">
        <f aca="false">0</f>
        <v>0</v>
      </c>
      <c r="S315" s="15" t="n">
        <f aca="false">0</f>
        <v>0</v>
      </c>
      <c r="T315" s="15" t="n">
        <f aca="false">MIN(R315,MAX(0,Q315))</f>
        <v>0</v>
      </c>
      <c r="U315" s="15" t="n">
        <f aca="false">MIN(S315,MAX(0,Q315-T315)*Parametri_v3!$C$42)</f>
        <v>0</v>
      </c>
      <c r="V315" s="15" t="n">
        <f aca="false">MAX(0,Q315-T315-U315)*Ipotesi!$C$92</f>
        <v>0</v>
      </c>
      <c r="W315" s="15" t="n">
        <f aca="false">MAX(0,SUM(M305:M315)+Parametri_v3!$C$55*11/12)*Ipotesi!$C$93</f>
        <v>0</v>
      </c>
      <c r="X315" s="15" t="n">
        <f aca="false">V315+W315-(V314+W314)</f>
        <v>0</v>
      </c>
      <c r="Y315" s="15" t="n">
        <f aca="false">P315-X315</f>
        <v>-19015.2415657677</v>
      </c>
      <c r="Z315" s="15" t="n">
        <f aca="false">R315-T315+IF(AND(Parametri_v3!$C$40=1,D315-YEAR(Parametri_v3!$C$50)&lt;Parametri_v3!$C$41),MAX(0,-Q315),0)</f>
        <v>206744.119177394</v>
      </c>
      <c r="AA315" s="15" t="n">
        <f aca="false">S315-U315+IF(AND(Parametri_v3!$C$40=1,D315-YEAR(Parametri_v3!$C$50)&lt;Parametri_v3!$C$41),0,MAX(0,-Q315))</f>
        <v>0</v>
      </c>
      <c r="AB315" s="15" t="n">
        <f aca="false">F315*(1+Parametri_v3!$C$26)</f>
        <v>9997.22222222222</v>
      </c>
      <c r="AC315" s="15" t="n">
        <f aca="false">(IF(11-(INT((Motore_Operativo!L315)/30))&lt;1,0,INDEX(Motore_Startup!$AB$305:$AB$364,MAX(1,11-(INT((Motore_Operativo!L315)/30)))))*(1-(MOD((Motore_Operativo!L315),30)/30))+IF(11-(INT((Motore_Operativo!L315)/30))-1&lt;1,0,INDEX(Motore_Startup!$AB$305:$AB$364,MAX(1,11-(INT((Motore_Operativo!L315)/30))-1)))*(MOD((Motore_Operativo!L315),30)/30))</f>
        <v>9658.33333333333</v>
      </c>
      <c r="AD315" s="15" t="n">
        <f aca="false">(AD314)+AB315-AC315</f>
        <v>29652.7777777778</v>
      </c>
      <c r="AE315" s="15" t="n">
        <f aca="false">Motore_Operativo!BH315*(1+Parametri_v3!$C$26)</f>
        <v>1977.68421052632</v>
      </c>
      <c r="AF315" s="15" t="n">
        <f aca="false">(IF(11-(INT((Parametri_v3!$C$29)/30))&lt;1,0,INDEX(Motore_Operativo!$BH$305:$BH$364,MAX(1,11-(INT((Parametri_v3!$C$29)/30)))))*(1-(MOD((Parametri_v3!$C$29),30)/30))+IF(11-(INT((Parametri_v3!$C$29)/30))-1&lt;1,0,INDEX(Motore_Operativo!$BH$305:$BH$364,MAX(1,11-(INT((Parametri_v3!$C$29)/30))-1)))*(MOD((Parametri_v3!$C$29),30)/30))*(1+Parametri_v3!$C$26)</f>
        <v>1977.68421052632</v>
      </c>
      <c r="AG315" s="15" t="n">
        <f aca="false">(AG314)+AE315-AF315</f>
        <v>1977.68421052632</v>
      </c>
      <c r="AH315" s="15" t="n">
        <f aca="false">(Motore_Operativo!CJ315)*(1+Parametri_v3!$C$27*Parametri_v3!$C$26)</f>
        <v>11773.5805453216</v>
      </c>
      <c r="AI315" s="15" t="n">
        <f aca="false">(IF(11-(INT((Ipotesi!$C$91)/30))&lt;1,0,INDEX(Motore_Startup!$AH$305:$AH$364,MAX(1,11-(INT((Ipotesi!$C$91)/30)))))*(1-(MOD((Ipotesi!$C$91),30)/30))+IF(11-(INT((Ipotesi!$C$91)/30))-1&lt;1,0,INDEX(Motore_Startup!$AH$305:$AH$364,MAX(1,11-(INT((Ipotesi!$C$91)/30))-1)))*(MOD((Ipotesi!$C$91),30)/30))</f>
        <v>11742.8064712476</v>
      </c>
      <c r="AJ315" s="15" t="n">
        <f aca="false">(AJ314)+AH315-AI315</f>
        <v>23531.7740536062</v>
      </c>
      <c r="AK315" s="15" t="n">
        <f aca="false">(F315+ Motore_Operativo!BH315-(Motore_Operativo!CJ315)*Parametri_v3!$C$27-Motore_Operativo!CE315)*Parametri_v3!$C$26</f>
        <v>-62.0673874268997</v>
      </c>
      <c r="AL315" s="15" t="n">
        <f aca="false">MAX(0,(AM314))</f>
        <v>0</v>
      </c>
      <c r="AM315" s="15" t="n">
        <f aca="false">(AM314)+AK315-AL315</f>
        <v>-1589.02922465886</v>
      </c>
      <c r="AN315" s="15" t="n">
        <f aca="false">0</f>
        <v>0</v>
      </c>
      <c r="AO315" s="15" t="n">
        <f aca="false">0</f>
        <v>0</v>
      </c>
      <c r="AP315" s="15" t="n">
        <f aca="false">MAX(0,AN315)*IF(11=Parametri_v3!$C$43,Parametri_v3!$C$45,IF(11=Parametri_v3!$C$44,1-Parametri_v3!$C$45,0))</f>
        <v>0</v>
      </c>
      <c r="AQ315" s="15" t="n">
        <f aca="false">MAX(0,AP315+IF(11=Parametri_v3!$C$43,MAX(0,AN315-AO315),0)-MAX(0,-(AR314)))</f>
        <v>0</v>
      </c>
      <c r="AR315" s="15" t="n">
        <f aca="false">(AR314)+X315-AQ315</f>
        <v>0</v>
      </c>
      <c r="AS315" s="15" t="n">
        <f aca="false">Motore_Operativo!AB315-AT315+AU315</f>
        <v>17020.8333333333</v>
      </c>
      <c r="AT315" s="15" t="n">
        <f aca="false">Motore_Operativo!CH315</f>
        <v>895.833333333334</v>
      </c>
      <c r="AU315" s="15" t="n">
        <f aca="false">MIN(MAX(0,(AV314)+AT315),Parametri_v3!$C$60/12)</f>
        <v>0</v>
      </c>
      <c r="AV315" s="15" t="n">
        <f aca="false">(AV314)+AT315-AU315</f>
        <v>9854.16666666667</v>
      </c>
      <c r="AW315" s="15" t="n">
        <f aca="false">IF(AND(Motore_Operativo!C315=Finanziamenti!$D$6,Finanziamenti!$F$6=1),Finanziamenti!$C$6,0)</f>
        <v>0</v>
      </c>
      <c r="AX315" s="15" t="n">
        <f aca="false">IF(AND(6&lt;&gt;7,6&lt;&gt;9,Finanziamenti!$F$8=1,OR(Parametri_v3!$C$6=0,Finanziamenti!$E$8=1),Motore_Operativo!C315=EDATE(Finanziamenti!$D$8,Ipotesi!H15*12)),Finanziamenti!$C$8*1,0)+IF(AND(6&lt;&gt;7,6&lt;&gt;9,Finanziamenti!$F$9=1,OR(Parametri_v3!$C$6=0,Finanziamenti!$E$9=1),Motore_Operativo!C315=EDATE(Finanziamenti!$D$9,Ipotesi!H15*12)),Finanziamenti!$C$9*Ipotesi!H16,0)</f>
        <v>0</v>
      </c>
      <c r="AY315" s="15" t="n">
        <f aca="false">0</f>
        <v>0</v>
      </c>
      <c r="AZ315" s="15" t="n">
        <f aca="false">Motore_Advisory!AY315*(1-Ipotesi!$C$95)*Ipotesi!$C$96</f>
        <v>0</v>
      </c>
      <c r="BA315" s="15" t="n">
        <f aca="false">MAX(0,MIN(CG315*MIN(1,IF(Motore_Operativo!C315&gt;=EDATE(Finanziamenti!$D$15,Ipotesi!H14*12),Finanziamenti!$C$15,0)+IF(Motore_Operativo!C315&gt;=EDATE(Finanziamenti!$D$16,Ipotesi!H14*12),Finanziamenti!$C$16,0)+IF(Motore_Operativo!C315&gt;=EDATE(Finanziamenti!$D$17,Ipotesi!H14*12),Finanziamenti!$C$17,0)),CA315*Ipotesi!$C$102)-(CC314))</f>
        <v>0</v>
      </c>
      <c r="BB315" s="15" t="n">
        <f aca="false">IF(AND(CF315&gt;0,Motore_Operativo!C315&gt;=IF(CF315=0,0,EDATE(CF315,Parametri_v3!$C$37)),MOD(((D315-YEAR(IF(CF315=0,0,EDATE(CF315,Parametri_v3!$C$37))))*12+E315-MONTH(IF(CF315=0,0,EDATE(CF315,Parametri_v3!$C$37)))),Parametri_v3!$C$38)=0),MIN(MAX(0,(BC314)+BA315-N315),(CC315-CD315)/(Ipotesi!$C$108*12/Parametri_v3!$C$38)),0)</f>
        <v>0</v>
      </c>
      <c r="BC315" s="15" t="n">
        <f aca="false">(BC314)+BA315-N315-BB315</f>
        <v>0</v>
      </c>
      <c r="BD315" s="15" t="n">
        <f aca="false">(BH314)+AC315+AF315-AI315-AS315-K315*(1+Parametri_v3!$C$26)-AL315-AQ315-O315+AW315+AX315+AZ315+BA315-BB315</f>
        <v>5353.00215791653</v>
      </c>
      <c r="BE315" s="15" t="n">
        <f aca="false">MAX(0,MIN(MAX(0,CH315-(BG314)),Parametri_v3!$C$30-BD315))</f>
        <v>19646.9978420835</v>
      </c>
      <c r="BF315" s="15" t="n">
        <f aca="false">IF(Motore_Operativo!C315&gt;=Parametri_v3!$C$63,(BG314),MIN((BG314),MAX(0,BD315-Parametri_v3!$C$30)))</f>
        <v>0</v>
      </c>
      <c r="BG315" s="15" t="n">
        <f aca="false">(BG314)+BE315-BF315</f>
        <v>116855.447447862</v>
      </c>
      <c r="BH315" s="15" t="n">
        <f aca="false">BD315+BE315-BF315-AY315</f>
        <v>25000</v>
      </c>
      <c r="BI315" s="15" t="n">
        <f aca="false">MAX(0,Parametri_v3!$C$30-BH315)</f>
        <v>0</v>
      </c>
      <c r="BJ315" s="15" t="n">
        <f aca="false">(BJ314)+K315</f>
        <v>18333.3333333333</v>
      </c>
      <c r="BK315" s="15" t="n">
        <f aca="false">(BK314)+L315</f>
        <v>3055.55555555556</v>
      </c>
      <c r="BL315" s="15" t="n">
        <f aca="false">BJ315-BK315</f>
        <v>15277.7777777778</v>
      </c>
      <c r="BM315" s="15" t="n">
        <f aca="false">(BM314)+Y315</f>
        <v>-206744.119177394</v>
      </c>
      <c r="BN315" s="15" t="n">
        <f aca="false">(BN314)+AW315+AX315+AZ315</f>
        <v>130000</v>
      </c>
      <c r="BO315" s="15" t="n">
        <f aca="false">(BO314)+AY315</f>
        <v>0</v>
      </c>
      <c r="BP315" s="15" t="n">
        <f aca="false">0</f>
        <v>0</v>
      </c>
      <c r="BQ315" s="15" t="n">
        <f aca="false">BN315+BM315-BO315</f>
        <v>-76744.1191773941</v>
      </c>
      <c r="BR315" s="15" t="n">
        <f aca="false">BH315+AD315+BL315+MAX(0,-AM315)+MAX(0,-AR315)+AG315</f>
        <v>73497.2689907408</v>
      </c>
      <c r="BS315" s="15" t="n">
        <f aca="false">AJ315+AV315+MAX(0,AM315)+MAX(0,AR315)+BC315+BG315+BQ315</f>
        <v>73497.2689907408</v>
      </c>
      <c r="BT315" s="15" t="n">
        <f aca="false">BR315-BS315</f>
        <v>0</v>
      </c>
      <c r="BU315" s="15" t="n">
        <f aca="false">BH315-(BD315+BE315-BF315-AY315)</f>
        <v>0</v>
      </c>
      <c r="BV315" s="15" t="n">
        <f aca="false">MIN(Piano_SS!$C$6,(BV314)+IF(AND(Motore_Operativo!C315&gt;=EDATE(Parametri_v3!$C$24,Ipotesi!H14*12),Motore_Operativo!C315&lt;EDATE(Parametri_v3!$C$24,Parametri_v3!$C$25+Ipotesi!H14*12)),MAX(0,(Motore_Operativo!Y315+Motore_Operativo!X315*Parametri_v3!$C$14)*(1-Parametri_v3!$C$32))*Piano_SS!$D$6,0))</f>
        <v>23750</v>
      </c>
      <c r="BW315" s="15" t="n">
        <f aca="false">MIN(Piano_SS!$C$7,(BW314)+IF(AND(Motore_Operativo!C315&gt;=EDATE(Parametri_v3!$C$24,Ipotesi!H14*12),Motore_Operativo!C315&lt;EDATE(Parametri_v3!$C$24,Parametri_v3!$C$25+Ipotesi!H14*12)),MAX(0,(IF(11-(INT((Ipotesi!$C$91)/30))&lt;1,0,INDEX(Motore_Operativo!$BN$305:$BN$364,MAX(1,11-(INT((Ipotesi!$C$91)/30)))))*(1-(MOD((Ipotesi!$C$91),30)/30))+IF(11-(INT((Ipotesi!$C$91)/30))-1&lt;1,0,INDEX(Motore_Operativo!$BN$305:$BN$364,MAX(1,11-(INT((Ipotesi!$C$91)/30))-1)))*(MOD((Ipotesi!$C$91),30)/30)))*Piano_SS!$D$7,0))</f>
        <v>6379.62962962963</v>
      </c>
      <c r="BX315" s="15" t="n">
        <f aca="false">MIN(Piano_SS!$C$8,(BX314)+IF(AND(Motore_Operativo!C315&gt;=EDATE(Parametri_v3!$C$24,Ipotesi!H14*12),Motore_Operativo!C315&lt;EDATE(Parametri_v3!$C$24,Parametri_v3!$C$25+Ipotesi!H14*12)),MAX(0,Motore_Operativo!CE315)*Piano_SS!$D$8,0))</f>
        <v>8333.33333333333</v>
      </c>
      <c r="BY315" s="15" t="n">
        <f aca="false">MIN(Piano_SS!$C$9,(BY314)+IF(AND(Motore_Operativo!C315&gt;=EDATE(Parametri_v3!$C$24,Ipotesi!H14*12),Motore_Operativo!C315&lt;EDATE(Parametri_v3!$C$24,Parametri_v3!$C$25+Ipotesi!H14*12)),MAX(0,((IF(11-(INT((Ipotesi!$C$91)/30))&lt;1,0,INDEX(Motore_Operativo!$BQ$305:$BQ$364,MAX(1,11-(INT((Ipotesi!$C$91)/30)))))*(1-(MOD((Ipotesi!$C$91),30)/30))+IF(11-(INT((Ipotesi!$C$91)/30))-1&lt;1,0,INDEX(Motore_Operativo!$BQ$305:$BQ$364,MAX(1,11-(INT((Ipotesi!$C$91)/30))-1)))*(MOD((Ipotesi!$C$91),30)/30))+(IF(11-(INT((Ipotesi!$C$91)/30))&lt;1,0,INDEX(Motore_Operativo!$BR$305:$BR$364,MAX(1,11-(INT((Ipotesi!$C$91)/30)))))*(1-(MOD((Ipotesi!$C$91),30)/30))+IF(11-(INT((Ipotesi!$C$91)/30))-1&lt;1,0,INDEX(Motore_Operativo!$BR$305:$BR$364,MAX(1,11-(INT((Ipotesi!$C$91)/30))-1)))*(MOD((Ipotesi!$C$91),30)/30))))*Piano_SS!$D$9,0))</f>
        <v>11250</v>
      </c>
      <c r="BZ315" s="15" t="n">
        <f aca="false">MIN(Piano_SS!$C$10,(BZ314)+IF(AND(Motore_Operativo!C315&gt;=EDATE(Parametri_v3!$C$24,Ipotesi!H14*12),Motore_Operativo!C315&lt;EDATE(Parametri_v3!$C$24,Parametri_v3!$C$25+Ipotesi!H14*12)),MAX(0,(IF(11-(INT((Ipotesi!$C$91)/30))&lt;1,0,INDEX(Motore_Operativo!$BO$305:$BO$364,MAX(1,11-(INT((Ipotesi!$C$91)/30)))))*(1-(MOD((Ipotesi!$C$91),30)/30))+IF(11-(INT((Ipotesi!$C$91)/30))-1&lt;1,0,INDEX(Motore_Operativo!$BO$305:$BO$364,MAX(1,11-(INT((Ipotesi!$C$91)/30))-1)))*(MOD((Ipotesi!$C$91),30)/30)))*Piano_SS!$D$10,0))</f>
        <v>5000</v>
      </c>
      <c r="CA315" s="15" t="n">
        <f aca="false">SUM(BV315:BZ315)</f>
        <v>54712.962962963</v>
      </c>
      <c r="CB315" s="15" t="n">
        <f aca="false">BV315*(1-Piano_SS!$E$6)+BW315*(1-Piano_SS!$E$7)+BX315*(1-Piano_SS!$E$8)+BY315*(1-Piano_SS!$E$9)+BZ315*(1-Piano_SS!$E$10)</f>
        <v>49712.962962963</v>
      </c>
      <c r="CC315" s="15" t="n">
        <f aca="false">(CC314)+BA315</f>
        <v>0</v>
      </c>
      <c r="CD315" s="15" t="n">
        <f aca="false">IF(CA315=0,0,CC315*CB315/CA315*Ipotesi!$C$103*Parametri_v3!$C$64)</f>
        <v>0</v>
      </c>
      <c r="CE315" s="18" t="n">
        <f aca="false">IF(BA315&gt;0,Motore_Operativo!C315,(CE314))</f>
        <v>0</v>
      </c>
      <c r="CF315" s="18" t="n">
        <f aca="false">IF(AND(CC315&gt;0,OR(CC315&gt;=CG315-0.01,Motore_Operativo!C315&gt;=EDATE(MAX(Finanziamenti!$D$15:$D$17),Ipotesi!H14*12))),CE315,0)</f>
        <v>0</v>
      </c>
      <c r="CG315" s="15" t="n">
        <f aca="false">IF(AND(6&lt;&gt;6,6&lt;&gt;9,Finanziamenti!$F$11=1,OR(Parametri_v3!$C$6=0,Finanziamenti!$E$11=1)),MIN(Finanziamenti!$C$11,Piano_SS!$C$12*Ipotesi!$C$102),0)</f>
        <v>0</v>
      </c>
      <c r="CH315" s="15" t="n">
        <f aca="false">IF(AND(AND(6&lt;&gt;8,6&lt;&gt;9,Finanziamenti!$F$10=1,OR(Parametri_v3!$C$6=0,Finanziamenti!$E$10=1)),Motore_Operativo!C315&gt;=Finanziamenti!$D$10,Motore_Operativo!C315&lt;Parametri_v3!$C$63),Finanziamenti!$C$10,0)</f>
        <v>150000</v>
      </c>
    </row>
    <row r="316" customFormat="false" ht="18" hidden="false" customHeight="true" outlineLevel="0" collapsed="false">
      <c r="A316" s="68" t="n">
        <f aca="false">6</f>
        <v>6</v>
      </c>
      <c r="B316" s="68" t="n">
        <f aca="false">12</f>
        <v>12</v>
      </c>
      <c r="C316" s="18" t="n">
        <f aca="false">Motore_Operativo!C316</f>
        <v>46722</v>
      </c>
      <c r="D316" s="68" t="n">
        <f aca="false">Motore_Operativo!D316</f>
        <v>2027</v>
      </c>
      <c r="E316" s="68" t="n">
        <f aca="false">Motore_Operativo!E316</f>
        <v>12</v>
      </c>
      <c r="F316" s="15" t="n">
        <f aca="false">Motore_Operativo!AQ316+Motore_Operativo!BF316</f>
        <v>8287.03703703704</v>
      </c>
      <c r="G316" s="15" t="n">
        <f aca="false">Motore_Operativo!BH316</f>
        <v>1621.05263157895</v>
      </c>
      <c r="H316" s="15" t="n">
        <f aca="false">Motore_Operativo!BI316</f>
        <v>9908.08966861599</v>
      </c>
      <c r="I316" s="15" t="n">
        <f aca="false">Motore_Operativo!CA316</f>
        <v>27848.4000974659</v>
      </c>
      <c r="J316" s="15" t="n">
        <f aca="false">Motore_Operativo!CC316</f>
        <v>-17940.3104288499</v>
      </c>
      <c r="K316" s="15" t="n">
        <f aca="false">Motore_Operativo!CE316</f>
        <v>1666.66666666667</v>
      </c>
      <c r="L316" s="15" t="n">
        <f aca="false">SUM(INDEX($K$305:$K$364,MAX(1,12-Parametri_v3!$C$59+1)):K316)/Parametri_v3!$C$59</f>
        <v>555.555555555556</v>
      </c>
      <c r="M316" s="15" t="n">
        <f aca="false">J316-L316</f>
        <v>-18495.8659844055</v>
      </c>
      <c r="N316" s="15" t="n">
        <f aca="false">CD316-(CD315)</f>
        <v>0</v>
      </c>
      <c r="O316" s="15" t="n">
        <f aca="false">(BG315)*Ipotesi!$C$110/12+CH316*Parametri_v3!$C$39/12</f>
        <v>584.27723723931</v>
      </c>
      <c r="P316" s="15" t="n">
        <f aca="false">M316+N316-O316</f>
        <v>-19080.1432216448</v>
      </c>
      <c r="Q316" s="15" t="n">
        <f aca="false">SUM(P305:P316)+Parametri_v3!$C$54*12/12</f>
        <v>-225824.262399039</v>
      </c>
      <c r="R316" s="15" t="n">
        <f aca="false">0</f>
        <v>0</v>
      </c>
      <c r="S316" s="15" t="n">
        <f aca="false">0</f>
        <v>0</v>
      </c>
      <c r="T316" s="15" t="n">
        <f aca="false">MIN(R316,MAX(0,Q316))</f>
        <v>0</v>
      </c>
      <c r="U316" s="15" t="n">
        <f aca="false">MIN(S316,MAX(0,Q316-T316)*Parametri_v3!$C$42)</f>
        <v>0</v>
      </c>
      <c r="V316" s="15" t="n">
        <f aca="false">MAX(0,Q316-T316-U316)*Ipotesi!$C$92</f>
        <v>0</v>
      </c>
      <c r="W316" s="15" t="n">
        <f aca="false">MAX(0,SUM(M305:M316)+Parametri_v3!$C$55*12/12)*Ipotesi!$C$93</f>
        <v>0</v>
      </c>
      <c r="X316" s="15" t="n">
        <f aca="false">V316+W316-(V315+W315)</f>
        <v>0</v>
      </c>
      <c r="Y316" s="15" t="n">
        <f aca="false">P316-X316</f>
        <v>-19080.1432216448</v>
      </c>
      <c r="Z316" s="15" t="n">
        <f aca="false">R316-T316+IF(AND(Parametri_v3!$C$40=1,D316-YEAR(Parametri_v3!$C$50)&lt;Parametri_v3!$C$41),MAX(0,-Q316),0)</f>
        <v>225824.262399039</v>
      </c>
      <c r="AA316" s="15" t="n">
        <f aca="false">S316-U316+IF(AND(Parametri_v3!$C$40=1,D316-YEAR(Parametri_v3!$C$50)&lt;Parametri_v3!$C$41),0,MAX(0,-Q316))</f>
        <v>0</v>
      </c>
      <c r="AB316" s="15" t="n">
        <f aca="false">F316*(1+Parametri_v3!$C$26)</f>
        <v>10110.1851851852</v>
      </c>
      <c r="AC316" s="15" t="n">
        <f aca="false">(IF(12-(INT((Motore_Operativo!L316)/30))&lt;1,0,INDEX(Motore_Startup!$AB$305:$AB$364,MAX(1,12-(INT((Motore_Operativo!L316)/30)))))*(1-(MOD((Motore_Operativo!L316),30)/30))+IF(12-(INT((Motore_Operativo!L316)/30))-1&lt;1,0,INDEX(Motore_Startup!$AB$305:$AB$364,MAX(1,12-(INT((Motore_Operativo!L316)/30))-1)))*(MOD((Motore_Operativo!L316),30)/30))</f>
        <v>9771.2962962963</v>
      </c>
      <c r="AD316" s="15" t="n">
        <f aca="false">(AD315)+AB316-AC316</f>
        <v>29991.6666666667</v>
      </c>
      <c r="AE316" s="15" t="n">
        <f aca="false">Motore_Operativo!BH316*(1+Parametri_v3!$C$26)</f>
        <v>1977.68421052632</v>
      </c>
      <c r="AF316" s="15" t="n">
        <f aca="false">(IF(12-(INT((Parametri_v3!$C$29)/30))&lt;1,0,INDEX(Motore_Operativo!$BH$305:$BH$364,MAX(1,12-(INT((Parametri_v3!$C$29)/30)))))*(1-(MOD((Parametri_v3!$C$29),30)/30))+IF(12-(INT((Parametri_v3!$C$29)/30))-1&lt;1,0,INDEX(Motore_Operativo!$BH$305:$BH$364,MAX(1,12-(INT((Parametri_v3!$C$29)/30))-1)))*(MOD((Parametri_v3!$C$29),30)/30))*(1+Parametri_v3!$C$26)</f>
        <v>1977.68421052632</v>
      </c>
      <c r="AG316" s="15" t="n">
        <f aca="false">(AG315)+AE316-AF316</f>
        <v>1977.68421052632</v>
      </c>
      <c r="AH316" s="15" t="n">
        <f aca="false">(Motore_Operativo!CJ316)*(1+Parametri_v3!$C$27*Parametri_v3!$C$26)</f>
        <v>11788.9675823587</v>
      </c>
      <c r="AI316" s="15" t="n">
        <f aca="false">(IF(12-(INT((Ipotesi!$C$91)/30))&lt;1,0,INDEX(Motore_Startup!$AH$305:$AH$364,MAX(1,12-(INT((Ipotesi!$C$91)/30)))))*(1-(MOD((Ipotesi!$C$91),30)/30))+IF(12-(INT((Ipotesi!$C$91)/30))-1&lt;1,0,INDEX(Motore_Startup!$AH$305:$AH$364,MAX(1,12-(INT((Ipotesi!$C$91)/30))-1)))*(MOD((Ipotesi!$C$91),30)/30))</f>
        <v>11758.1935082846</v>
      </c>
      <c r="AJ316" s="15" t="n">
        <f aca="false">(AJ315)+AH316-AI316</f>
        <v>23562.5481276803</v>
      </c>
      <c r="AK316" s="15" t="n">
        <f aca="false">(F316+ Motore_Operativo!BH316-(Motore_Operativo!CJ316)*Parametri_v3!$C$27-Motore_Operativo!CE316)*Parametri_v3!$C$26</f>
        <v>-44.1210911306033</v>
      </c>
      <c r="AL316" s="15" t="n">
        <f aca="false">MAX(0,(AM315))</f>
        <v>0</v>
      </c>
      <c r="AM316" s="15" t="n">
        <f aca="false">(AM315)+AK316-AL316</f>
        <v>-1633.15031578947</v>
      </c>
      <c r="AN316" s="15" t="n">
        <f aca="false">0</f>
        <v>0</v>
      </c>
      <c r="AO316" s="15" t="n">
        <f aca="false">0</f>
        <v>0</v>
      </c>
      <c r="AP316" s="15" t="n">
        <f aca="false">MAX(0,AN316)*IF(12=Parametri_v3!$C$43,Parametri_v3!$C$45,IF(12=Parametri_v3!$C$44,1-Parametri_v3!$C$45,0))</f>
        <v>0</v>
      </c>
      <c r="AQ316" s="15" t="n">
        <f aca="false">MAX(0,AP316+IF(12=Parametri_v3!$C$43,MAX(0,AN316-AO316),0)-MAX(0,-(AR315)))</f>
        <v>0</v>
      </c>
      <c r="AR316" s="15" t="n">
        <f aca="false">(AR315)+X316-AQ316</f>
        <v>0</v>
      </c>
      <c r="AS316" s="15" t="n">
        <f aca="false">Motore_Operativo!AB316-AT316+AU316</f>
        <v>17020.8333333333</v>
      </c>
      <c r="AT316" s="15" t="n">
        <f aca="false">Motore_Operativo!CH316</f>
        <v>895.833333333334</v>
      </c>
      <c r="AU316" s="15" t="n">
        <f aca="false">MIN(MAX(0,(AV315)+AT316),Parametri_v3!$C$60/12)</f>
        <v>0</v>
      </c>
      <c r="AV316" s="15" t="n">
        <f aca="false">(AV315)+AT316-AU316</f>
        <v>10750</v>
      </c>
      <c r="AW316" s="15" t="n">
        <f aca="false">IF(AND(Motore_Operativo!C316=Finanziamenti!$D$6,Finanziamenti!$F$6=1),Finanziamenti!$C$6,0)</f>
        <v>0</v>
      </c>
      <c r="AX316" s="15" t="n">
        <f aca="false">IF(AND(6&lt;&gt;7,6&lt;&gt;9,Finanziamenti!$F$8=1,OR(Parametri_v3!$C$6=0,Finanziamenti!$E$8=1),Motore_Operativo!C316=EDATE(Finanziamenti!$D$8,Ipotesi!H15*12)),Finanziamenti!$C$8*1,0)+IF(AND(6&lt;&gt;7,6&lt;&gt;9,Finanziamenti!$F$9=1,OR(Parametri_v3!$C$6=0,Finanziamenti!$E$9=1),Motore_Operativo!C316=EDATE(Finanziamenti!$D$9,Ipotesi!H15*12)),Finanziamenti!$C$9*Ipotesi!H16,0)</f>
        <v>0</v>
      </c>
      <c r="AY316" s="15" t="n">
        <f aca="false">0</f>
        <v>0</v>
      </c>
      <c r="AZ316" s="15" t="n">
        <f aca="false">Motore_Advisory!AY316*(1-Ipotesi!$C$95)*Ipotesi!$C$96</f>
        <v>0</v>
      </c>
      <c r="BA316" s="15" t="n">
        <f aca="false">MAX(0,MIN(CG316*MIN(1,IF(Motore_Operativo!C316&gt;=EDATE(Finanziamenti!$D$15,Ipotesi!H14*12),Finanziamenti!$C$15,0)+IF(Motore_Operativo!C316&gt;=EDATE(Finanziamenti!$D$16,Ipotesi!H14*12),Finanziamenti!$C$16,0)+IF(Motore_Operativo!C316&gt;=EDATE(Finanziamenti!$D$17,Ipotesi!H14*12),Finanziamenti!$C$17,0)),CA316*Ipotesi!$C$102)-(CC315))</f>
        <v>0</v>
      </c>
      <c r="BB316" s="15" t="n">
        <f aca="false">IF(AND(CF316&gt;0,Motore_Operativo!C316&gt;=IF(CF316=0,0,EDATE(CF316,Parametri_v3!$C$37)),MOD(((D316-YEAR(IF(CF316=0,0,EDATE(CF316,Parametri_v3!$C$37))))*12+E316-MONTH(IF(CF316=0,0,EDATE(CF316,Parametri_v3!$C$37)))),Parametri_v3!$C$38)=0),MIN(MAX(0,(BC315)+BA316-N316),(CC316-CD316)/(Ipotesi!$C$108*12/Parametri_v3!$C$38)),0)</f>
        <v>0</v>
      </c>
      <c r="BC316" s="15" t="n">
        <f aca="false">(BC315)+BA316-N316-BB316</f>
        <v>0</v>
      </c>
      <c r="BD316" s="15" t="n">
        <f aca="false">(BH315)+AC316+AF316-AI316-AS316-K316*(1+Parametri_v3!$C$26)-AL316-AQ316-O316+AW316+AX316+AZ316+BA316-BB316</f>
        <v>5352.34309463203</v>
      </c>
      <c r="BE316" s="15" t="n">
        <f aca="false">MAX(0,MIN(MAX(0,CH316-(BG315)),Parametri_v3!$C$30-BD316))</f>
        <v>19647.656905368</v>
      </c>
      <c r="BF316" s="15" t="n">
        <f aca="false">IF(Motore_Operativo!C316&gt;=Parametri_v3!$C$63,(BG315),MIN((BG315),MAX(0,BD316-Parametri_v3!$C$30)))</f>
        <v>0</v>
      </c>
      <c r="BG316" s="15" t="n">
        <f aca="false">(BG315)+BE316-BF316</f>
        <v>136503.10435323</v>
      </c>
      <c r="BH316" s="15" t="n">
        <f aca="false">BD316+BE316-BF316-AY316</f>
        <v>25000</v>
      </c>
      <c r="BI316" s="15" t="n">
        <f aca="false">MAX(0,Parametri_v3!$C$30-BH316)</f>
        <v>0</v>
      </c>
      <c r="BJ316" s="15" t="n">
        <f aca="false">(BJ315)+K316</f>
        <v>20000</v>
      </c>
      <c r="BK316" s="15" t="n">
        <f aca="false">(BK315)+L316</f>
        <v>3611.11111111111</v>
      </c>
      <c r="BL316" s="15" t="n">
        <f aca="false">BJ316-BK316</f>
        <v>16388.8888888889</v>
      </c>
      <c r="BM316" s="15" t="n">
        <f aca="false">(BM315)+Y316</f>
        <v>-225824.262399039</v>
      </c>
      <c r="BN316" s="15" t="n">
        <f aca="false">(BN315)+AW316+AX316+AZ316</f>
        <v>130000</v>
      </c>
      <c r="BO316" s="15" t="n">
        <f aca="false">(BO315)+AY316</f>
        <v>0</v>
      </c>
      <c r="BP316" s="15" t="n">
        <f aca="false">0</f>
        <v>0</v>
      </c>
      <c r="BQ316" s="15" t="n">
        <f aca="false">BN316+BM316-BO316</f>
        <v>-95824.2623990389</v>
      </c>
      <c r="BR316" s="15" t="n">
        <f aca="false">BH316+AD316+BL316+MAX(0,-AM316)+MAX(0,-AR316)+AG316</f>
        <v>74991.3900818713</v>
      </c>
      <c r="BS316" s="15" t="n">
        <f aca="false">AJ316+AV316+MAX(0,AM316)+MAX(0,AR316)+BC316+BG316+BQ316</f>
        <v>74991.3900818714</v>
      </c>
      <c r="BT316" s="15" t="n">
        <f aca="false">BR316-BS316</f>
        <v>0</v>
      </c>
      <c r="BU316" s="15" t="n">
        <f aca="false">BH316-(BD316+BE316-BF316-AY316)</f>
        <v>0</v>
      </c>
      <c r="BV316" s="15" t="n">
        <f aca="false">MIN(Piano_SS!$C$6,(BV315)+IF(AND(Motore_Operativo!C316&gt;=EDATE(Parametri_v3!$C$24,Ipotesi!H14*12),Motore_Operativo!C316&lt;EDATE(Parametri_v3!$C$24,Parametri_v3!$C$25+Ipotesi!H14*12)),MAX(0,(Motore_Operativo!Y316+Motore_Operativo!X316*Parametri_v3!$C$14)*(1-Parametri_v3!$C$32))*Piano_SS!$D$6,0))</f>
        <v>28500</v>
      </c>
      <c r="BW316" s="15" t="n">
        <f aca="false">MIN(Piano_SS!$C$7,(BW315)+IF(AND(Motore_Operativo!C316&gt;=EDATE(Parametri_v3!$C$24,Ipotesi!H14*12),Motore_Operativo!C316&lt;EDATE(Parametri_v3!$C$24,Parametri_v3!$C$25+Ipotesi!H14*12)),MAX(0,(IF(12-(INT((Ipotesi!$C$91)/30))&lt;1,0,INDEX(Motore_Operativo!$BN$305:$BN$364,MAX(1,12-(INT((Ipotesi!$C$91)/30)))))*(1-(MOD((Ipotesi!$C$91),30)/30))+IF(12-(INT((Ipotesi!$C$91)/30))-1&lt;1,0,INDEX(Motore_Operativo!$BN$305:$BN$364,MAX(1,12-(INT((Ipotesi!$C$91)/30))-1)))*(MOD((Ipotesi!$C$91),30)/30)))*Piano_SS!$D$7,0))</f>
        <v>7677.77777777778</v>
      </c>
      <c r="BX316" s="15" t="n">
        <f aca="false">MIN(Piano_SS!$C$8,(BX315)+IF(AND(Motore_Operativo!C316&gt;=EDATE(Parametri_v3!$C$24,Ipotesi!H14*12),Motore_Operativo!C316&lt;EDATE(Parametri_v3!$C$24,Parametri_v3!$C$25+Ipotesi!H14*12)),MAX(0,Motore_Operativo!CE316)*Piano_SS!$D$8,0))</f>
        <v>10000</v>
      </c>
      <c r="BY316" s="15" t="n">
        <f aca="false">MIN(Piano_SS!$C$9,(BY315)+IF(AND(Motore_Operativo!C316&gt;=EDATE(Parametri_v3!$C$24,Ipotesi!H14*12),Motore_Operativo!C316&lt;EDATE(Parametri_v3!$C$24,Parametri_v3!$C$25+Ipotesi!H14*12)),MAX(0,((IF(12-(INT((Ipotesi!$C$91)/30))&lt;1,0,INDEX(Motore_Operativo!$BQ$305:$BQ$364,MAX(1,12-(INT((Ipotesi!$C$91)/30)))))*(1-(MOD((Ipotesi!$C$91),30)/30))+IF(12-(INT((Ipotesi!$C$91)/30))-1&lt;1,0,INDEX(Motore_Operativo!$BQ$305:$BQ$364,MAX(1,12-(INT((Ipotesi!$C$91)/30))-1)))*(MOD((Ipotesi!$C$91),30)/30))+(IF(12-(INT((Ipotesi!$C$91)/30))&lt;1,0,INDEX(Motore_Operativo!$BR$305:$BR$364,MAX(1,12-(INT((Ipotesi!$C$91)/30)))))*(1-(MOD((Ipotesi!$C$91),30)/30))+IF(12-(INT((Ipotesi!$C$91)/30))-1&lt;1,0,INDEX(Motore_Operativo!$BR$305:$BR$364,MAX(1,12-(INT((Ipotesi!$C$91)/30))-1)))*(MOD((Ipotesi!$C$91),30)/30))))*Piano_SS!$D$9,0))</f>
        <v>13500</v>
      </c>
      <c r="BZ316" s="15" t="n">
        <f aca="false">MIN(Piano_SS!$C$10,(BZ315)+IF(AND(Motore_Operativo!C316&gt;=EDATE(Parametri_v3!$C$24,Ipotesi!H14*12),Motore_Operativo!C316&lt;EDATE(Parametri_v3!$C$24,Parametri_v3!$C$25+Ipotesi!H14*12)),MAX(0,(IF(12-(INT((Ipotesi!$C$91)/30))&lt;1,0,INDEX(Motore_Operativo!$BO$305:$BO$364,MAX(1,12-(INT((Ipotesi!$C$91)/30)))))*(1-(MOD((Ipotesi!$C$91),30)/30))+IF(12-(INT((Ipotesi!$C$91)/30))-1&lt;1,0,INDEX(Motore_Operativo!$BO$305:$BO$364,MAX(1,12-(INT((Ipotesi!$C$91)/30))-1)))*(MOD((Ipotesi!$C$91),30)/30)))*Piano_SS!$D$10,0))</f>
        <v>6000</v>
      </c>
      <c r="CA316" s="15" t="n">
        <f aca="false">SUM(BV316:BZ316)</f>
        <v>65677.7777777778</v>
      </c>
      <c r="CB316" s="15" t="n">
        <f aca="false">BV316*(1-Piano_SS!$E$6)+BW316*(1-Piano_SS!$E$7)+BX316*(1-Piano_SS!$E$8)+BY316*(1-Piano_SS!$E$9)+BZ316*(1-Piano_SS!$E$10)</f>
        <v>59677.7777777778</v>
      </c>
      <c r="CC316" s="15" t="n">
        <f aca="false">(CC315)+BA316</f>
        <v>0</v>
      </c>
      <c r="CD316" s="15" t="n">
        <f aca="false">IF(CA316=0,0,CC316*CB316/CA316*Ipotesi!$C$103*Parametri_v3!$C$64)</f>
        <v>0</v>
      </c>
      <c r="CE316" s="18" t="n">
        <f aca="false">IF(BA316&gt;0,Motore_Operativo!C316,(CE315))</f>
        <v>0</v>
      </c>
      <c r="CF316" s="18" t="n">
        <f aca="false">IF(AND(CC316&gt;0,OR(CC316&gt;=CG316-0.01,Motore_Operativo!C316&gt;=EDATE(MAX(Finanziamenti!$D$15:$D$17),Ipotesi!H14*12))),CE316,0)</f>
        <v>0</v>
      </c>
      <c r="CG316" s="15" t="n">
        <f aca="false">IF(AND(6&lt;&gt;6,6&lt;&gt;9,Finanziamenti!$F$11=1,OR(Parametri_v3!$C$6=0,Finanziamenti!$E$11=1)),MIN(Finanziamenti!$C$11,Piano_SS!$C$12*Ipotesi!$C$102),0)</f>
        <v>0</v>
      </c>
      <c r="CH316" s="15" t="n">
        <f aca="false">IF(AND(AND(6&lt;&gt;8,6&lt;&gt;9,Finanziamenti!$F$10=1,OR(Parametri_v3!$C$6=0,Finanziamenti!$E$10=1)),Motore_Operativo!C316&gt;=Finanziamenti!$D$10,Motore_Operativo!C316&lt;Parametri_v3!$C$63),Finanziamenti!$C$10,0)</f>
        <v>150000</v>
      </c>
    </row>
    <row r="317" customFormat="false" ht="18" hidden="false" customHeight="true" outlineLevel="0" collapsed="false">
      <c r="A317" s="68" t="n">
        <f aca="false">6</f>
        <v>6</v>
      </c>
      <c r="B317" s="68" t="n">
        <f aca="false">13</f>
        <v>13</v>
      </c>
      <c r="C317" s="18" t="n">
        <f aca="false">Motore_Operativo!C317</f>
        <v>46753</v>
      </c>
      <c r="D317" s="68" t="n">
        <f aca="false">Motore_Operativo!D317</f>
        <v>2028</v>
      </c>
      <c r="E317" s="68" t="n">
        <f aca="false">Motore_Operativo!E317</f>
        <v>1</v>
      </c>
      <c r="F317" s="15" t="n">
        <f aca="false">Motore_Operativo!AQ317+Motore_Operativo!BF317</f>
        <v>23223.0393982785</v>
      </c>
      <c r="G317" s="15" t="n">
        <f aca="false">Motore_Operativo!BH317</f>
        <v>3398.1220657277</v>
      </c>
      <c r="H317" s="15" t="n">
        <f aca="false">Motore_Operativo!BI317</f>
        <v>26621.1614640062</v>
      </c>
      <c r="I317" s="15" t="n">
        <f aca="false">Motore_Operativo!CA317</f>
        <v>56964.0025110642</v>
      </c>
      <c r="J317" s="15" t="n">
        <f aca="false">Motore_Operativo!CC317</f>
        <v>-30342.841047058</v>
      </c>
      <c r="K317" s="15" t="n">
        <f aca="false">Motore_Operativo!CE317</f>
        <v>2083.33333333333</v>
      </c>
      <c r="L317" s="15" t="n">
        <f aca="false">SUM(INDEX($K$305:$K$364,MAX(1,13-Parametri_v3!$C$59+1)):K317)/Parametri_v3!$C$59</f>
        <v>613.425925925926</v>
      </c>
      <c r="M317" s="15" t="n">
        <f aca="false">J317-L317</f>
        <v>-30956.2669729839</v>
      </c>
      <c r="N317" s="15" t="n">
        <f aca="false">CD317-(CD316)</f>
        <v>0</v>
      </c>
      <c r="O317" s="15" t="n">
        <f aca="false">(BG316)*Ipotesi!$C$110/12+CH317*Parametri_v3!$C$39/12</f>
        <v>682.51552176615</v>
      </c>
      <c r="P317" s="15" t="n">
        <f aca="false">M317+N317-O317</f>
        <v>-31638.78249475</v>
      </c>
      <c r="Q317" s="15" t="n">
        <f aca="false">SUM(P317)+Parametri_v3!$C$54*1/12</f>
        <v>-31638.78249475</v>
      </c>
      <c r="R317" s="15" t="n">
        <f aca="false">Z316</f>
        <v>225824.262399039</v>
      </c>
      <c r="S317" s="15" t="n">
        <f aca="false">AA316</f>
        <v>0</v>
      </c>
      <c r="T317" s="15" t="n">
        <f aca="false">MIN(R317,MAX(0,Q317))</f>
        <v>0</v>
      </c>
      <c r="U317" s="15" t="n">
        <f aca="false">MIN(S317,MAX(0,Q317-T317)*Parametri_v3!$C$42)</f>
        <v>0</v>
      </c>
      <c r="V317" s="15" t="n">
        <f aca="false">MAX(0,Q317-T317-U317)*Ipotesi!$C$92</f>
        <v>0</v>
      </c>
      <c r="W317" s="15" t="n">
        <f aca="false">MAX(0,SUM(M317)+Parametri_v3!$C$55*1/12)*Ipotesi!$C$93</f>
        <v>0</v>
      </c>
      <c r="X317" s="15" t="n">
        <f aca="false">V317+W317-(0)</f>
        <v>0</v>
      </c>
      <c r="Y317" s="15" t="n">
        <f aca="false">P317-X317</f>
        <v>-31638.78249475</v>
      </c>
      <c r="Z317" s="15" t="n">
        <f aca="false">R317-T317+IF(AND(Parametri_v3!$C$40=1,D317-YEAR(Parametri_v3!$C$50)&lt;Parametri_v3!$C$41),MAX(0,-Q317),0)</f>
        <v>257463.044893789</v>
      </c>
      <c r="AA317" s="15" t="n">
        <f aca="false">S317-U317+IF(AND(Parametri_v3!$C$40=1,D317-YEAR(Parametri_v3!$C$50)&lt;Parametri_v3!$C$41),0,MAX(0,-Q317))</f>
        <v>0</v>
      </c>
      <c r="AB317" s="15" t="n">
        <f aca="false">F317*(1+Parametri_v3!$C$26)</f>
        <v>28332.1080658998</v>
      </c>
      <c r="AC317" s="15" t="n">
        <f aca="false">(IF(13-(INT((Motore_Operativo!L317)/30))&lt;1,0,INDEX(Motore_Startup!$AB$305:$AB$364,MAX(1,13-(INT((Motore_Operativo!L317)/30)))))*(1-(MOD((Motore_Operativo!L317),30)/30))+IF(13-(INT((Motore_Operativo!L317)/30))-1&lt;1,0,INDEX(Motore_Startup!$AB$305:$AB$364,MAX(1,13-(INT((Motore_Operativo!L317)/30))-1)))*(MOD((Motore_Operativo!L317),30)/30))</f>
        <v>9884.25925925926</v>
      </c>
      <c r="AD317" s="15" t="n">
        <f aca="false">(AD316)+AB317-AC317</f>
        <v>48439.5154733072</v>
      </c>
      <c r="AE317" s="15" t="n">
        <f aca="false">Motore_Operativo!BH317*(1+Parametri_v3!$C$26)</f>
        <v>4145.70892018779</v>
      </c>
      <c r="AF317" s="15" t="n">
        <f aca="false">(IF(13-(INT((Parametri_v3!$C$29)/30))&lt;1,0,INDEX(Motore_Operativo!$BH$305:$BH$364,MAX(1,13-(INT((Parametri_v3!$C$29)/30)))))*(1-(MOD((Parametri_v3!$C$29),30)/30))+IF(13-(INT((Parametri_v3!$C$29)/30))-1&lt;1,0,INDEX(Motore_Operativo!$BH$305:$BH$364,MAX(1,13-(INT((Parametri_v3!$C$29)/30))-1)))*(MOD((Parametri_v3!$C$29),30)/30))*(1+Parametri_v3!$C$26)</f>
        <v>1977.68421052632</v>
      </c>
      <c r="AG317" s="15" t="n">
        <f aca="false">(AG316)+AE317-AF317</f>
        <v>4145.70892018779</v>
      </c>
      <c r="AH317" s="15" t="n">
        <f aca="false">(Motore_Operativo!CJ317)*(1+Parametri_v3!$C$27*Parametri_v3!$C$26)</f>
        <v>20418.1834806332</v>
      </c>
      <c r="AI317" s="15" t="n">
        <f aca="false">(IF(13-(INT((Ipotesi!$C$91)/30))&lt;1,0,INDEX(Motore_Startup!$AH$305:$AH$364,MAX(1,13-(INT((Ipotesi!$C$91)/30)))))*(1-(MOD((Ipotesi!$C$91),30)/30))+IF(13-(INT((Ipotesi!$C$91)/30))-1&lt;1,0,INDEX(Motore_Startup!$AH$305:$AH$364,MAX(1,13-(INT((Ipotesi!$C$91)/30))-1)))*(MOD((Ipotesi!$C$91),30)/30))</f>
        <v>11773.5805453216</v>
      </c>
      <c r="AJ317" s="15" t="n">
        <f aca="false">(AJ316)+AH317-AI317</f>
        <v>32207.1510629918</v>
      </c>
      <c r="AK317" s="15" t="n">
        <f aca="false">(F317+ Motore_Operativo!BH317-(Motore_Operativo!CJ317)*Parametri_v3!$C$27-Motore_Operativo!CE317)*Parametri_v3!$C$26</f>
        <v>2181.64121917903</v>
      </c>
      <c r="AL317" s="15" t="n">
        <f aca="false">MAX(0,(AM316))</f>
        <v>0</v>
      </c>
      <c r="AM317" s="15" t="n">
        <f aca="false">(AM316)+AK317-AL317</f>
        <v>548.490903389566</v>
      </c>
      <c r="AN317" s="15" t="n">
        <f aca="false">SUM(X305:X316)</f>
        <v>0</v>
      </c>
      <c r="AO317" s="15" t="n">
        <f aca="false">SUM(AP305:AP316)</f>
        <v>0</v>
      </c>
      <c r="AP317" s="15" t="n">
        <f aca="false">MAX(0,AN317)*IF(1=Parametri_v3!$C$43,Parametri_v3!$C$45,IF(1=Parametri_v3!$C$44,1-Parametri_v3!$C$45,0))</f>
        <v>0</v>
      </c>
      <c r="AQ317" s="15" t="n">
        <f aca="false">MAX(0,AP317+IF(1=Parametri_v3!$C$43,MAX(0,AN317-AO317),0)-MAX(0,-(AR316)))</f>
        <v>0</v>
      </c>
      <c r="AR317" s="15" t="n">
        <f aca="false">(AR316)+X317-AQ317</f>
        <v>0</v>
      </c>
      <c r="AS317" s="15" t="n">
        <f aca="false">Motore_Operativo!AB317-AT317+AU317</f>
        <v>37774.375</v>
      </c>
      <c r="AT317" s="15" t="n">
        <f aca="false">Motore_Operativo!CH317</f>
        <v>1988.125</v>
      </c>
      <c r="AU317" s="15" t="n">
        <f aca="false">MIN(MAX(0,(AV316)+AT317),Parametri_v3!$C$60/12)</f>
        <v>0</v>
      </c>
      <c r="AV317" s="15" t="n">
        <f aca="false">(AV316)+AT317-AU317</f>
        <v>12738.125</v>
      </c>
      <c r="AW317" s="15" t="n">
        <f aca="false">IF(AND(Motore_Operativo!C317=Finanziamenti!$D$6,Finanziamenti!$F$6=1),Finanziamenti!$C$6,0)</f>
        <v>0</v>
      </c>
      <c r="AX317" s="15" t="n">
        <f aca="false">IF(AND(6&lt;&gt;7,6&lt;&gt;9,Finanziamenti!$F$8=1,OR(Parametri_v3!$C$6=0,Finanziamenti!$E$8=1),Motore_Operativo!C317=EDATE(Finanziamenti!$D$8,Ipotesi!H15*12)),Finanziamenti!$C$8*1,0)+IF(AND(6&lt;&gt;7,6&lt;&gt;9,Finanziamenti!$F$9=1,OR(Parametri_v3!$C$6=0,Finanziamenti!$E$9=1),Motore_Operativo!C317=EDATE(Finanziamenti!$D$9,Ipotesi!H15*12)),Finanziamenti!$C$9*Ipotesi!H16,0)</f>
        <v>0</v>
      </c>
      <c r="AY317" s="15" t="n">
        <f aca="false">0</f>
        <v>0</v>
      </c>
      <c r="AZ317" s="15" t="n">
        <f aca="false">Motore_Advisory!AY317*(1-Ipotesi!$C$95)*Ipotesi!$C$96</f>
        <v>0</v>
      </c>
      <c r="BA317" s="15" t="n">
        <f aca="false">MAX(0,MIN(CG317*MIN(1,IF(Motore_Operativo!C317&gt;=EDATE(Finanziamenti!$D$15,Ipotesi!H14*12),Finanziamenti!$C$15,0)+IF(Motore_Operativo!C317&gt;=EDATE(Finanziamenti!$D$16,Ipotesi!H14*12),Finanziamenti!$C$16,0)+IF(Motore_Operativo!C317&gt;=EDATE(Finanziamenti!$D$17,Ipotesi!H14*12),Finanziamenti!$C$17,0)),CA317*Ipotesi!$C$102)-(CC316))</f>
        <v>0</v>
      </c>
      <c r="BB317" s="15" t="n">
        <f aca="false">IF(AND(CF317&gt;0,Motore_Operativo!C317&gt;=IF(CF317=0,0,EDATE(CF317,Parametri_v3!$C$37)),MOD(((D317-YEAR(IF(CF317=0,0,EDATE(CF317,Parametri_v3!$C$37))))*12+E317-MONTH(IF(CF317=0,0,EDATE(CF317,Parametri_v3!$C$37)))),Parametri_v3!$C$38)=0),MIN(MAX(0,(BC316)+BA317-N317),(CC317-CD317)/(Ipotesi!$C$108*12/Parametri_v3!$C$38)),0)</f>
        <v>0</v>
      </c>
      <c r="BC317" s="15" t="n">
        <f aca="false">(BC316)+BA317-N317-BB317</f>
        <v>0</v>
      </c>
      <c r="BD317" s="15" t="n">
        <f aca="false">(BH316)+AC317+AF317-AI317-AS317-K317*(1+Parametri_v3!$C$26)-AL317-AQ317-O317+AW317+AX317+AZ317+BA317-BB317</f>
        <v>-15910.1942639689</v>
      </c>
      <c r="BE317" s="15" t="n">
        <f aca="false">MAX(0,MIN(MAX(0,CH317-(BG316)),Parametri_v3!$C$30-BD317))</f>
        <v>13496.89564677</v>
      </c>
      <c r="BF317" s="15" t="n">
        <f aca="false">IF(Motore_Operativo!C317&gt;=Parametri_v3!$C$63,(BG316),MIN((BG316),MAX(0,BD317-Parametri_v3!$C$30)))</f>
        <v>0</v>
      </c>
      <c r="BG317" s="15" t="n">
        <f aca="false">(BG316)+BE317-BF317</f>
        <v>150000</v>
      </c>
      <c r="BH317" s="15" t="n">
        <f aca="false">BD317+BE317-BF317-AY317</f>
        <v>-2413.29861719885</v>
      </c>
      <c r="BI317" s="15" t="n">
        <f aca="false">MAX(0,Parametri_v3!$C$30-BH317)</f>
        <v>27413.2986171989</v>
      </c>
      <c r="BJ317" s="15" t="n">
        <f aca="false">(BJ316)+K317</f>
        <v>22083.3333333333</v>
      </c>
      <c r="BK317" s="15" t="n">
        <f aca="false">(BK316)+L317</f>
        <v>4224.53703703704</v>
      </c>
      <c r="BL317" s="15" t="n">
        <f aca="false">BJ317-BK317</f>
        <v>17858.7962962963</v>
      </c>
      <c r="BM317" s="15" t="n">
        <f aca="false">(BM316)+Y317</f>
        <v>-257463.044893789</v>
      </c>
      <c r="BN317" s="15" t="n">
        <f aca="false">(BN316)+AW317+AX317+AZ317</f>
        <v>130000</v>
      </c>
      <c r="BO317" s="15" t="n">
        <f aca="false">(BO316)+AY317</f>
        <v>0</v>
      </c>
      <c r="BP317" s="15" t="n">
        <f aca="false">0</f>
        <v>0</v>
      </c>
      <c r="BQ317" s="15" t="n">
        <f aca="false">BN317+BM317-BO317</f>
        <v>-127463.044893789</v>
      </c>
      <c r="BR317" s="15" t="n">
        <f aca="false">BH317+AD317+BL317+MAX(0,-AM317)+MAX(0,-AR317)+AG317</f>
        <v>68030.7220725924</v>
      </c>
      <c r="BS317" s="15" t="n">
        <f aca="false">AJ317+AV317+MAX(0,AM317)+MAX(0,AR317)+BC317+BG317+BQ317</f>
        <v>68030.7220725925</v>
      </c>
      <c r="BT317" s="15" t="n">
        <f aca="false">BR317-BS317</f>
        <v>0</v>
      </c>
      <c r="BU317" s="15" t="n">
        <f aca="false">BH317-(BD317+BE317-BF317-AY317)</f>
        <v>0</v>
      </c>
      <c r="BV317" s="15" t="n">
        <f aca="false">MIN(Piano_SS!$C$6,(BV316)+IF(AND(Motore_Operativo!C317&gt;=EDATE(Parametri_v3!$C$24,Ipotesi!H14*12),Motore_Operativo!C317&lt;EDATE(Parametri_v3!$C$24,Parametri_v3!$C$25+Ipotesi!H14*12)),MAX(0,(Motore_Operativo!Y317+Motore_Operativo!X317*Parametri_v3!$C$14)*(1-Parametri_v3!$C$32))*Piano_SS!$D$6,0))</f>
        <v>40731.25</v>
      </c>
      <c r="BW317" s="15" t="n">
        <f aca="false">MIN(Piano_SS!$C$7,(BW316)+IF(AND(Motore_Operativo!C317&gt;=EDATE(Parametri_v3!$C$24,Ipotesi!H14*12),Motore_Operativo!C317&lt;EDATE(Parametri_v3!$C$24,Parametri_v3!$C$25+Ipotesi!H14*12)),MAX(0,(IF(13-(INT((Ipotesi!$C$91)/30))&lt;1,0,INDEX(Motore_Operativo!$BN$305:$BN$364,MAX(1,13-(INT((Ipotesi!$C$91)/30)))))*(1-(MOD((Ipotesi!$C$91),30)/30))+IF(13-(INT((Ipotesi!$C$91)/30))-1&lt;1,0,INDEX(Motore_Operativo!$BN$305:$BN$364,MAX(1,13-(INT((Ipotesi!$C$91)/30))-1)))*(MOD((Ipotesi!$C$91),30)/30)))*Piano_SS!$D$7,0))</f>
        <v>8983.33333333333</v>
      </c>
      <c r="BX317" s="15" t="n">
        <f aca="false">MIN(Piano_SS!$C$8,(BX316)+IF(AND(Motore_Operativo!C317&gt;=EDATE(Parametri_v3!$C$24,Ipotesi!H14*12),Motore_Operativo!C317&lt;EDATE(Parametri_v3!$C$24,Parametri_v3!$C$25+Ipotesi!H14*12)),MAX(0,Motore_Operativo!CE317)*Piano_SS!$D$8,0))</f>
        <v>12083.3333333333</v>
      </c>
      <c r="BY317" s="15" t="n">
        <f aca="false">MIN(Piano_SS!$C$9,(BY316)+IF(AND(Motore_Operativo!C317&gt;=EDATE(Parametri_v3!$C$24,Ipotesi!H14*12),Motore_Operativo!C317&lt;EDATE(Parametri_v3!$C$24,Parametri_v3!$C$25+Ipotesi!H14*12)),MAX(0,((IF(13-(INT((Ipotesi!$C$91)/30))&lt;1,0,INDEX(Motore_Operativo!$BQ$305:$BQ$364,MAX(1,13-(INT((Ipotesi!$C$91)/30)))))*(1-(MOD((Ipotesi!$C$91),30)/30))+IF(13-(INT((Ipotesi!$C$91)/30))-1&lt;1,0,INDEX(Motore_Operativo!$BQ$305:$BQ$364,MAX(1,13-(INT((Ipotesi!$C$91)/30))-1)))*(MOD((Ipotesi!$C$91),30)/30))+(IF(13-(INT((Ipotesi!$C$91)/30))&lt;1,0,INDEX(Motore_Operativo!$BR$305:$BR$364,MAX(1,13-(INT((Ipotesi!$C$91)/30)))))*(1-(MOD((Ipotesi!$C$91),30)/30))+IF(13-(INT((Ipotesi!$C$91)/30))-1&lt;1,0,INDEX(Motore_Operativo!$BR$305:$BR$364,MAX(1,13-(INT((Ipotesi!$C$91)/30))-1)))*(MOD((Ipotesi!$C$91),30)/30))))*Piano_SS!$D$9,0))</f>
        <v>15750</v>
      </c>
      <c r="BZ317" s="15" t="n">
        <f aca="false">MIN(Piano_SS!$C$10,(BZ316)+IF(AND(Motore_Operativo!C317&gt;=EDATE(Parametri_v3!$C$24,Ipotesi!H14*12),Motore_Operativo!C317&lt;EDATE(Parametri_v3!$C$24,Parametri_v3!$C$25+Ipotesi!H14*12)),MAX(0,(IF(13-(INT((Ipotesi!$C$91)/30))&lt;1,0,INDEX(Motore_Operativo!$BO$305:$BO$364,MAX(1,13-(INT((Ipotesi!$C$91)/30)))))*(1-(MOD((Ipotesi!$C$91),30)/30))+IF(13-(INT((Ipotesi!$C$91)/30))-1&lt;1,0,INDEX(Motore_Operativo!$BO$305:$BO$364,MAX(1,13-(INT((Ipotesi!$C$91)/30))-1)))*(MOD((Ipotesi!$C$91),30)/30)))*Piano_SS!$D$10,0))</f>
        <v>7000</v>
      </c>
      <c r="CA317" s="15" t="n">
        <f aca="false">SUM(BV317:BZ317)</f>
        <v>84547.9166666667</v>
      </c>
      <c r="CB317" s="15" t="n">
        <f aca="false">BV317*(1-Piano_SS!$E$6)+BW317*(1-Piano_SS!$E$7)+BX317*(1-Piano_SS!$E$8)+BY317*(1-Piano_SS!$E$9)+BZ317*(1-Piano_SS!$E$10)</f>
        <v>77547.9166666667</v>
      </c>
      <c r="CC317" s="15" t="n">
        <f aca="false">(CC316)+BA317</f>
        <v>0</v>
      </c>
      <c r="CD317" s="15" t="n">
        <f aca="false">IF(CA317=0,0,CC317*CB317/CA317*Ipotesi!$C$103*Parametri_v3!$C$64)</f>
        <v>0</v>
      </c>
      <c r="CE317" s="18" t="n">
        <f aca="false">IF(BA317&gt;0,Motore_Operativo!C317,(CE316))</f>
        <v>0</v>
      </c>
      <c r="CF317" s="18" t="n">
        <f aca="false">IF(AND(CC317&gt;0,OR(CC317&gt;=CG317-0.01,Motore_Operativo!C317&gt;=EDATE(MAX(Finanziamenti!$D$15:$D$17),Ipotesi!H14*12))),CE317,0)</f>
        <v>0</v>
      </c>
      <c r="CG317" s="15" t="n">
        <f aca="false">IF(AND(6&lt;&gt;6,6&lt;&gt;9,Finanziamenti!$F$11=1,OR(Parametri_v3!$C$6=0,Finanziamenti!$E$11=1)),MIN(Finanziamenti!$C$11,Piano_SS!$C$12*Ipotesi!$C$102),0)</f>
        <v>0</v>
      </c>
      <c r="CH317" s="15" t="n">
        <f aca="false">IF(AND(AND(6&lt;&gt;8,6&lt;&gt;9,Finanziamenti!$F$10=1,OR(Parametri_v3!$C$6=0,Finanziamenti!$E$10=1)),Motore_Operativo!C317&gt;=Finanziamenti!$D$10,Motore_Operativo!C317&lt;Parametri_v3!$C$63),Finanziamenti!$C$10,0)</f>
        <v>150000</v>
      </c>
    </row>
    <row r="318" customFormat="false" ht="18" hidden="false" customHeight="true" outlineLevel="0" collapsed="false">
      <c r="A318" s="68" t="n">
        <f aca="false">6</f>
        <v>6</v>
      </c>
      <c r="B318" s="68" t="n">
        <f aca="false">14</f>
        <v>14</v>
      </c>
      <c r="C318" s="18" t="n">
        <f aca="false">Motore_Operativo!C318</f>
        <v>46784</v>
      </c>
      <c r="D318" s="68" t="n">
        <f aca="false">Motore_Operativo!D318</f>
        <v>2028</v>
      </c>
      <c r="E318" s="68" t="n">
        <f aca="false">Motore_Operativo!E318</f>
        <v>2</v>
      </c>
      <c r="F318" s="15" t="n">
        <f aca="false">Motore_Operativo!AQ318+Motore_Operativo!BF318</f>
        <v>23584.1993716446</v>
      </c>
      <c r="G318" s="15" t="n">
        <f aca="false">Motore_Operativo!BH318</f>
        <v>3398.1220657277</v>
      </c>
      <c r="H318" s="15" t="n">
        <f aca="false">Motore_Operativo!BI318</f>
        <v>26982.3214373723</v>
      </c>
      <c r="I318" s="15" t="n">
        <f aca="false">Motore_Operativo!CA318</f>
        <v>57014.5649073354</v>
      </c>
      <c r="J318" s="15" t="n">
        <f aca="false">Motore_Operativo!CC318</f>
        <v>-30032.2434699631</v>
      </c>
      <c r="K318" s="15" t="n">
        <f aca="false">Motore_Operativo!CE318</f>
        <v>2083.33333333333</v>
      </c>
      <c r="L318" s="15" t="n">
        <f aca="false">SUM(INDEX($K$305:$K$364,MAX(1,14-Parametri_v3!$C$59+1)):K318)/Parametri_v3!$C$59</f>
        <v>671.296296296296</v>
      </c>
      <c r="M318" s="15" t="n">
        <f aca="false">J318-L318</f>
        <v>-30703.5397662594</v>
      </c>
      <c r="N318" s="15" t="n">
        <f aca="false">CD318-(CD317)</f>
        <v>0</v>
      </c>
      <c r="O318" s="15" t="n">
        <f aca="false">(BG317)*Ipotesi!$C$110/12+CH318*Parametri_v3!$C$39/12</f>
        <v>750</v>
      </c>
      <c r="P318" s="15" t="n">
        <f aca="false">M318+N318-O318</f>
        <v>-31453.5397662594</v>
      </c>
      <c r="Q318" s="15" t="n">
        <f aca="false">SUM(P317:P318)+Parametri_v3!$C$54*2/12</f>
        <v>-63092.3222610094</v>
      </c>
      <c r="R318" s="15" t="n">
        <f aca="false">Z316</f>
        <v>225824.262399039</v>
      </c>
      <c r="S318" s="15" t="n">
        <f aca="false">AA316</f>
        <v>0</v>
      </c>
      <c r="T318" s="15" t="n">
        <f aca="false">MIN(R318,MAX(0,Q318))</f>
        <v>0</v>
      </c>
      <c r="U318" s="15" t="n">
        <f aca="false">MIN(S318,MAX(0,Q318-T318)*Parametri_v3!$C$42)</f>
        <v>0</v>
      </c>
      <c r="V318" s="15" t="n">
        <f aca="false">MAX(0,Q318-T318-U318)*Ipotesi!$C$92</f>
        <v>0</v>
      </c>
      <c r="W318" s="15" t="n">
        <f aca="false">MAX(0,SUM(M317:M318)+Parametri_v3!$C$55*2/12)*Ipotesi!$C$93</f>
        <v>0</v>
      </c>
      <c r="X318" s="15" t="n">
        <f aca="false">V318+W318-(V317+W317)</f>
        <v>0</v>
      </c>
      <c r="Y318" s="15" t="n">
        <f aca="false">P318-X318</f>
        <v>-31453.5397662594</v>
      </c>
      <c r="Z318" s="15" t="n">
        <f aca="false">R318-T318+IF(AND(Parametri_v3!$C$40=1,D318-YEAR(Parametri_v3!$C$50)&lt;Parametri_v3!$C$41),MAX(0,-Q318),0)</f>
        <v>288916.584660048</v>
      </c>
      <c r="AA318" s="15" t="n">
        <f aca="false">S318-U318+IF(AND(Parametri_v3!$C$40=1,D318-YEAR(Parametri_v3!$C$50)&lt;Parametri_v3!$C$41),0,MAX(0,-Q318))</f>
        <v>0</v>
      </c>
      <c r="AB318" s="15" t="n">
        <f aca="false">F318*(1+Parametri_v3!$C$26)</f>
        <v>28772.7232334064</v>
      </c>
      <c r="AC318" s="15" t="n">
        <f aca="false">(IF(14-(INT((Motore_Operativo!L318)/30))&lt;1,0,INDEX(Motore_Startup!$AB$305:$AB$364,MAX(1,14-(INT((Motore_Operativo!L318)/30)))))*(1-(MOD((Motore_Operativo!L318),30)/30))+IF(14-(INT((Motore_Operativo!L318)/30))-1&lt;1,0,INDEX(Motore_Startup!$AB$305:$AB$364,MAX(1,14-(INT((Motore_Operativo!L318)/30))-1)))*(MOD((Motore_Operativo!L318),30)/30))</f>
        <v>9997.22222222222</v>
      </c>
      <c r="AD318" s="15" t="n">
        <f aca="false">(AD317)+AB318-AC318</f>
        <v>67215.0164844914</v>
      </c>
      <c r="AE318" s="15" t="n">
        <f aca="false">Motore_Operativo!BH318*(1+Parametri_v3!$C$26)</f>
        <v>4145.70892018779</v>
      </c>
      <c r="AF318" s="15" t="n">
        <f aca="false">(IF(14-(INT((Parametri_v3!$C$29)/30))&lt;1,0,INDEX(Motore_Operativo!$BH$305:$BH$364,MAX(1,14-(INT((Parametri_v3!$C$29)/30)))))*(1-(MOD((Parametri_v3!$C$29),30)/30))+IF(14-(INT((Parametri_v3!$C$29)/30))-1&lt;1,0,INDEX(Motore_Operativo!$BH$305:$BH$364,MAX(1,14-(INT((Parametri_v3!$C$29)/30))-1)))*(MOD((Parametri_v3!$C$29),30)/30))*(1+Parametri_v3!$C$26)</f>
        <v>4145.70892018779</v>
      </c>
      <c r="AG318" s="15" t="n">
        <f aca="false">(AG317)+AE318-AF318</f>
        <v>4145.70892018779</v>
      </c>
      <c r="AH318" s="15" t="n">
        <f aca="false">(Motore_Operativo!CJ318)*(1+Parametri_v3!$C$27*Parametri_v3!$C$26)</f>
        <v>20478.2010450071</v>
      </c>
      <c r="AI318" s="15" t="n">
        <f aca="false">(IF(14-(INT((Ipotesi!$C$91)/30))&lt;1,0,INDEX(Motore_Startup!$AH$305:$AH$364,MAX(1,14-(INT((Ipotesi!$C$91)/30)))))*(1-(MOD((Ipotesi!$C$91),30)/30))+IF(14-(INT((Ipotesi!$C$91)/30))-1&lt;1,0,INDEX(Motore_Startup!$AH$305:$AH$364,MAX(1,14-(INT((Ipotesi!$C$91)/30))-1)))*(MOD((Ipotesi!$C$91),30)/30))</f>
        <v>11788.9675823587</v>
      </c>
      <c r="AJ318" s="15" t="n">
        <f aca="false">(AJ317)+AH318-AI318</f>
        <v>40896.3845256403</v>
      </c>
      <c r="AK318" s="15" t="n">
        <f aca="false">(F318+ Motore_Operativo!BH318-(Motore_Operativo!CJ318)*Parametri_v3!$C$27-Motore_Operativo!CE318)*Parametri_v3!$C$26</f>
        <v>2251.64124521685</v>
      </c>
      <c r="AL318" s="15" t="n">
        <f aca="false">MAX(0,(AM317))</f>
        <v>548.490903389566</v>
      </c>
      <c r="AM318" s="15" t="n">
        <f aca="false">(AM317)+AK318-AL318</f>
        <v>2251.64124521685</v>
      </c>
      <c r="AN318" s="15" t="n">
        <f aca="false">SUM(X305:X316)</f>
        <v>0</v>
      </c>
      <c r="AO318" s="15" t="n">
        <f aca="false">SUM(AP305:AP316)</f>
        <v>0</v>
      </c>
      <c r="AP318" s="15" t="n">
        <f aca="false">MAX(0,AN318)*IF(2=Parametri_v3!$C$43,Parametri_v3!$C$45,IF(2=Parametri_v3!$C$44,1-Parametri_v3!$C$45,0))</f>
        <v>0</v>
      </c>
      <c r="AQ318" s="15" t="n">
        <f aca="false">MAX(0,AP318+IF(2=Parametri_v3!$C$43,MAX(0,AN318-AO318),0)-MAX(0,-(AR317)))</f>
        <v>0</v>
      </c>
      <c r="AR318" s="15" t="n">
        <f aca="false">(AR317)+X318-AQ318</f>
        <v>0</v>
      </c>
      <c r="AS318" s="15" t="n">
        <f aca="false">Motore_Operativo!AB318-AT318+AU318</f>
        <v>37774.375</v>
      </c>
      <c r="AT318" s="15" t="n">
        <f aca="false">Motore_Operativo!CH318</f>
        <v>1988.125</v>
      </c>
      <c r="AU318" s="15" t="n">
        <f aca="false">MIN(MAX(0,(AV317)+AT318),Parametri_v3!$C$60/12)</f>
        <v>0</v>
      </c>
      <c r="AV318" s="15" t="n">
        <f aca="false">(AV317)+AT318-AU318</f>
        <v>14726.25</v>
      </c>
      <c r="AW318" s="15" t="n">
        <f aca="false">IF(AND(Motore_Operativo!C318=Finanziamenti!$D$6,Finanziamenti!$F$6=1),Finanziamenti!$C$6,0)</f>
        <v>0</v>
      </c>
      <c r="AX318" s="15" t="n">
        <f aca="false">IF(AND(6&lt;&gt;7,6&lt;&gt;9,Finanziamenti!$F$8=1,OR(Parametri_v3!$C$6=0,Finanziamenti!$E$8=1),Motore_Operativo!C318=EDATE(Finanziamenti!$D$8,Ipotesi!H15*12)),Finanziamenti!$C$8*1,0)+IF(AND(6&lt;&gt;7,6&lt;&gt;9,Finanziamenti!$F$9=1,OR(Parametri_v3!$C$6=0,Finanziamenti!$E$9=1),Motore_Operativo!C318=EDATE(Finanziamenti!$D$9,Ipotesi!H15*12)),Finanziamenti!$C$9*Ipotesi!H16,0)</f>
        <v>0</v>
      </c>
      <c r="AY318" s="15" t="n">
        <f aca="false">0</f>
        <v>0</v>
      </c>
      <c r="AZ318" s="15" t="n">
        <f aca="false">Motore_Advisory!AY318*(1-Ipotesi!$C$95)*Ipotesi!$C$96</f>
        <v>0</v>
      </c>
      <c r="BA318" s="15" t="n">
        <f aca="false">MAX(0,MIN(CG318*MIN(1,IF(Motore_Operativo!C318&gt;=EDATE(Finanziamenti!$D$15,Ipotesi!H14*12),Finanziamenti!$C$15,0)+IF(Motore_Operativo!C318&gt;=EDATE(Finanziamenti!$D$16,Ipotesi!H14*12),Finanziamenti!$C$16,0)+IF(Motore_Operativo!C318&gt;=EDATE(Finanziamenti!$D$17,Ipotesi!H14*12),Finanziamenti!$C$17,0)),CA318*Ipotesi!$C$102)-(CC317))</f>
        <v>0</v>
      </c>
      <c r="BB318" s="15" t="n">
        <f aca="false">IF(AND(CF318&gt;0,Motore_Operativo!C318&gt;=IF(CF318=0,0,EDATE(CF318,Parametri_v3!$C$37)),MOD(((D318-YEAR(IF(CF318=0,0,EDATE(CF318,Parametri_v3!$C$37))))*12+E318-MONTH(IF(CF318=0,0,EDATE(CF318,Parametri_v3!$C$37)))),Parametri_v3!$C$38)=0),MIN(MAX(0,(BC317)+BA318-N318),(CC318-CD318)/(Ipotesi!$C$108*12/Parametri_v3!$C$38)),0)</f>
        <v>0</v>
      </c>
      <c r="BC318" s="15" t="n">
        <f aca="false">(BC317)+BA318-N318-BB318</f>
        <v>0</v>
      </c>
      <c r="BD318" s="15" t="n">
        <f aca="false">(BH317)+AC318+AF318-AI318-AS318-K318*(1+Parametri_v3!$C$26)-AL318-AQ318-O318+AW318+AX318+AZ318+BA318-BB318</f>
        <v>-41673.8676272037</v>
      </c>
      <c r="BE318" s="15" t="n">
        <f aca="false">MAX(0,MIN(MAX(0,CH318-(BG317)),Parametri_v3!$C$30-BD318))</f>
        <v>0</v>
      </c>
      <c r="BF318" s="15" t="n">
        <f aca="false">IF(Motore_Operativo!C318&gt;=Parametri_v3!$C$63,(BG317),MIN((BG317),MAX(0,BD318-Parametri_v3!$C$30)))</f>
        <v>0</v>
      </c>
      <c r="BG318" s="15" t="n">
        <f aca="false">(BG317)+BE318-BF318</f>
        <v>150000</v>
      </c>
      <c r="BH318" s="15" t="n">
        <f aca="false">BD318+BE318-BF318-AY318</f>
        <v>-41673.8676272037</v>
      </c>
      <c r="BI318" s="15" t="n">
        <f aca="false">MAX(0,Parametri_v3!$C$30-BH318)</f>
        <v>66673.8676272037</v>
      </c>
      <c r="BJ318" s="15" t="n">
        <f aca="false">(BJ317)+K318</f>
        <v>24166.6666666667</v>
      </c>
      <c r="BK318" s="15" t="n">
        <f aca="false">(BK317)+L318</f>
        <v>4895.83333333333</v>
      </c>
      <c r="BL318" s="15" t="n">
        <f aca="false">BJ318-BK318</f>
        <v>19270.8333333333</v>
      </c>
      <c r="BM318" s="15" t="n">
        <f aca="false">(BM317)+Y318</f>
        <v>-288916.584660048</v>
      </c>
      <c r="BN318" s="15" t="n">
        <f aca="false">(BN317)+AW318+AX318+AZ318</f>
        <v>130000</v>
      </c>
      <c r="BO318" s="15" t="n">
        <f aca="false">(BO317)+AY318</f>
        <v>0</v>
      </c>
      <c r="BP318" s="15" t="n">
        <f aca="false">0</f>
        <v>0</v>
      </c>
      <c r="BQ318" s="15" t="n">
        <f aca="false">BN318+BM318-BO318</f>
        <v>-158916.584660048</v>
      </c>
      <c r="BR318" s="15" t="n">
        <f aca="false">BH318+AD318+BL318+MAX(0,-AM318)+MAX(0,-AR318)+AG318</f>
        <v>48957.6911108088</v>
      </c>
      <c r="BS318" s="15" t="n">
        <f aca="false">AJ318+AV318+MAX(0,AM318)+MAX(0,AR318)+BC318+BG318+BQ318</f>
        <v>48957.6911108088</v>
      </c>
      <c r="BT318" s="15" t="n">
        <f aca="false">BR318-BS318</f>
        <v>0</v>
      </c>
      <c r="BU318" s="15" t="n">
        <f aca="false">BH318-(BD318+BE318-BF318-AY318)</f>
        <v>0</v>
      </c>
      <c r="BV318" s="15" t="n">
        <f aca="false">MIN(Piano_SS!$C$6,(BV317)+IF(AND(Motore_Operativo!C318&gt;=EDATE(Parametri_v3!$C$24,Ipotesi!H14*12),Motore_Operativo!C318&lt;EDATE(Parametri_v3!$C$24,Parametri_v3!$C$25+Ipotesi!H14*12)),MAX(0,(Motore_Operativo!Y318+Motore_Operativo!X318*Parametri_v3!$C$14)*(1-Parametri_v3!$C$32))*Piano_SS!$D$6,0))</f>
        <v>52962.5</v>
      </c>
      <c r="BW318" s="15" t="n">
        <f aca="false">MIN(Piano_SS!$C$7,(BW317)+IF(AND(Motore_Operativo!C318&gt;=EDATE(Parametri_v3!$C$24,Ipotesi!H14*12),Motore_Operativo!C318&lt;EDATE(Parametri_v3!$C$24,Parametri_v3!$C$25+Ipotesi!H14*12)),MAX(0,(IF(14-(INT((Ipotesi!$C$91)/30))&lt;1,0,INDEX(Motore_Operativo!$BN$305:$BN$364,MAX(1,14-(INT((Ipotesi!$C$91)/30)))))*(1-(MOD((Ipotesi!$C$91),30)/30))+IF(14-(INT((Ipotesi!$C$91)/30))-1&lt;1,0,INDEX(Motore_Operativo!$BN$305:$BN$364,MAX(1,14-(INT((Ipotesi!$C$91)/30))-1)))*(MOD((Ipotesi!$C$91),30)/30)))*Piano_SS!$D$7,0))</f>
        <v>10296.2962962963</v>
      </c>
      <c r="BX318" s="15" t="n">
        <f aca="false">MIN(Piano_SS!$C$8,(BX317)+IF(AND(Motore_Operativo!C318&gt;=EDATE(Parametri_v3!$C$24,Ipotesi!H14*12),Motore_Operativo!C318&lt;EDATE(Parametri_v3!$C$24,Parametri_v3!$C$25+Ipotesi!H14*12)),MAX(0,Motore_Operativo!CE318)*Piano_SS!$D$8,0))</f>
        <v>14166.6666666667</v>
      </c>
      <c r="BY318" s="15" t="n">
        <f aca="false">MIN(Piano_SS!$C$9,(BY317)+IF(AND(Motore_Operativo!C318&gt;=EDATE(Parametri_v3!$C$24,Ipotesi!H14*12),Motore_Operativo!C318&lt;EDATE(Parametri_v3!$C$24,Parametri_v3!$C$25+Ipotesi!H14*12)),MAX(0,((IF(14-(INT((Ipotesi!$C$91)/30))&lt;1,0,INDEX(Motore_Operativo!$BQ$305:$BQ$364,MAX(1,14-(INT((Ipotesi!$C$91)/30)))))*(1-(MOD((Ipotesi!$C$91),30)/30))+IF(14-(INT((Ipotesi!$C$91)/30))-1&lt;1,0,INDEX(Motore_Operativo!$BQ$305:$BQ$364,MAX(1,14-(INT((Ipotesi!$C$91)/30))-1)))*(MOD((Ipotesi!$C$91),30)/30))+(IF(14-(INT((Ipotesi!$C$91)/30))&lt;1,0,INDEX(Motore_Operativo!$BR$305:$BR$364,MAX(1,14-(INT((Ipotesi!$C$91)/30)))))*(1-(MOD((Ipotesi!$C$91),30)/30))+IF(14-(INT((Ipotesi!$C$91)/30))-1&lt;1,0,INDEX(Motore_Operativo!$BR$305:$BR$364,MAX(1,14-(INT((Ipotesi!$C$91)/30))-1)))*(MOD((Ipotesi!$C$91),30)/30))))*Piano_SS!$D$9,0))</f>
        <v>18000</v>
      </c>
      <c r="BZ318" s="15" t="n">
        <f aca="false">MIN(Piano_SS!$C$10,(BZ317)+IF(AND(Motore_Operativo!C318&gt;=EDATE(Parametri_v3!$C$24,Ipotesi!H14*12),Motore_Operativo!C318&lt;EDATE(Parametri_v3!$C$24,Parametri_v3!$C$25+Ipotesi!H14*12)),MAX(0,(IF(14-(INT((Ipotesi!$C$91)/30))&lt;1,0,INDEX(Motore_Operativo!$BO$305:$BO$364,MAX(1,14-(INT((Ipotesi!$C$91)/30)))))*(1-(MOD((Ipotesi!$C$91),30)/30))+IF(14-(INT((Ipotesi!$C$91)/30))-1&lt;1,0,INDEX(Motore_Operativo!$BO$305:$BO$364,MAX(1,14-(INT((Ipotesi!$C$91)/30))-1)))*(MOD((Ipotesi!$C$91),30)/30)))*Piano_SS!$D$10,0))</f>
        <v>8000</v>
      </c>
      <c r="CA318" s="15" t="n">
        <f aca="false">SUM(BV318:BZ318)</f>
        <v>103425.462962963</v>
      </c>
      <c r="CB318" s="15" t="n">
        <f aca="false">BV318*(1-Piano_SS!$E$6)+BW318*(1-Piano_SS!$E$7)+BX318*(1-Piano_SS!$E$8)+BY318*(1-Piano_SS!$E$9)+BZ318*(1-Piano_SS!$E$10)</f>
        <v>95425.462962963</v>
      </c>
      <c r="CC318" s="15" t="n">
        <f aca="false">(CC317)+BA318</f>
        <v>0</v>
      </c>
      <c r="CD318" s="15" t="n">
        <f aca="false">IF(CA318=0,0,CC318*CB318/CA318*Ipotesi!$C$103*Parametri_v3!$C$64)</f>
        <v>0</v>
      </c>
      <c r="CE318" s="18" t="n">
        <f aca="false">IF(BA318&gt;0,Motore_Operativo!C318,(CE317))</f>
        <v>0</v>
      </c>
      <c r="CF318" s="18" t="n">
        <f aca="false">IF(AND(CC318&gt;0,OR(CC318&gt;=CG318-0.01,Motore_Operativo!C318&gt;=EDATE(MAX(Finanziamenti!$D$15:$D$17),Ipotesi!H14*12))),CE318,0)</f>
        <v>0</v>
      </c>
      <c r="CG318" s="15" t="n">
        <f aca="false">IF(AND(6&lt;&gt;6,6&lt;&gt;9,Finanziamenti!$F$11=1,OR(Parametri_v3!$C$6=0,Finanziamenti!$E$11=1)),MIN(Finanziamenti!$C$11,Piano_SS!$C$12*Ipotesi!$C$102),0)</f>
        <v>0</v>
      </c>
      <c r="CH318" s="15" t="n">
        <f aca="false">IF(AND(AND(6&lt;&gt;8,6&lt;&gt;9,Finanziamenti!$F$10=1,OR(Parametri_v3!$C$6=0,Finanziamenti!$E$10=1)),Motore_Operativo!C318&gt;=Finanziamenti!$D$10,Motore_Operativo!C318&lt;Parametri_v3!$C$63),Finanziamenti!$C$10,0)</f>
        <v>150000</v>
      </c>
    </row>
    <row r="319" customFormat="false" ht="18" hidden="false" customHeight="true" outlineLevel="0" collapsed="false">
      <c r="A319" s="68" t="n">
        <f aca="false">6</f>
        <v>6</v>
      </c>
      <c r="B319" s="68" t="n">
        <f aca="false">15</f>
        <v>15</v>
      </c>
      <c r="C319" s="18" t="n">
        <f aca="false">Motore_Operativo!C319</f>
        <v>46813</v>
      </c>
      <c r="D319" s="68" t="n">
        <f aca="false">Motore_Operativo!D319</f>
        <v>2028</v>
      </c>
      <c r="E319" s="68" t="n">
        <f aca="false">Motore_Operativo!E319</f>
        <v>3</v>
      </c>
      <c r="F319" s="15" t="n">
        <f aca="false">Motore_Operativo!AQ319+Motore_Operativo!BF319</f>
        <v>23942.2022250311</v>
      </c>
      <c r="G319" s="15" t="n">
        <f aca="false">Motore_Operativo!BH319</f>
        <v>3398.1220657277</v>
      </c>
      <c r="H319" s="15" t="n">
        <f aca="false">Motore_Operativo!BI319</f>
        <v>27340.3242907588</v>
      </c>
      <c r="I319" s="15" t="n">
        <f aca="false">Motore_Operativo!CA319</f>
        <v>57064.6853068095</v>
      </c>
      <c r="J319" s="15" t="n">
        <f aca="false">Motore_Operativo!CC319</f>
        <v>-29724.3610160507</v>
      </c>
      <c r="K319" s="15" t="n">
        <f aca="false">Motore_Operativo!CE319</f>
        <v>2083.33333333333</v>
      </c>
      <c r="L319" s="15" t="n">
        <f aca="false">SUM(INDEX($K$305:$K$364,MAX(1,15-Parametri_v3!$C$59+1)):K319)/Parametri_v3!$C$59</f>
        <v>729.166666666667</v>
      </c>
      <c r="M319" s="15" t="n">
        <f aca="false">J319-L319</f>
        <v>-30453.5276827174</v>
      </c>
      <c r="N319" s="15" t="n">
        <f aca="false">CD319-(CD318)</f>
        <v>0</v>
      </c>
      <c r="O319" s="15" t="n">
        <f aca="false">(BG318)*Ipotesi!$C$110/12+CH319*Parametri_v3!$C$39/12</f>
        <v>750</v>
      </c>
      <c r="P319" s="15" t="n">
        <f aca="false">M319+N319-O319</f>
        <v>-31203.5276827174</v>
      </c>
      <c r="Q319" s="15" t="n">
        <f aca="false">SUM(P317:P319)+Parametri_v3!$C$54*3/12</f>
        <v>-94295.8499437268</v>
      </c>
      <c r="R319" s="15" t="n">
        <f aca="false">Z316</f>
        <v>225824.262399039</v>
      </c>
      <c r="S319" s="15" t="n">
        <f aca="false">AA316</f>
        <v>0</v>
      </c>
      <c r="T319" s="15" t="n">
        <f aca="false">MIN(R319,MAX(0,Q319))</f>
        <v>0</v>
      </c>
      <c r="U319" s="15" t="n">
        <f aca="false">MIN(S319,MAX(0,Q319-T319)*Parametri_v3!$C$42)</f>
        <v>0</v>
      </c>
      <c r="V319" s="15" t="n">
        <f aca="false">MAX(0,Q319-T319-U319)*Ipotesi!$C$92</f>
        <v>0</v>
      </c>
      <c r="W319" s="15" t="n">
        <f aca="false">MAX(0,SUM(M317:M319)+Parametri_v3!$C$55*3/12)*Ipotesi!$C$93</f>
        <v>0</v>
      </c>
      <c r="X319" s="15" t="n">
        <f aca="false">V319+W319-(V318+W318)</f>
        <v>0</v>
      </c>
      <c r="Y319" s="15" t="n">
        <f aca="false">P319-X319</f>
        <v>-31203.5276827174</v>
      </c>
      <c r="Z319" s="15" t="n">
        <f aca="false">R319-T319+IF(AND(Parametri_v3!$C$40=1,D319-YEAR(Parametri_v3!$C$50)&lt;Parametri_v3!$C$41),MAX(0,-Q319),0)</f>
        <v>320120.112342766</v>
      </c>
      <c r="AA319" s="15" t="n">
        <f aca="false">S319-U319+IF(AND(Parametri_v3!$C$40=1,D319-YEAR(Parametri_v3!$C$50)&lt;Parametri_v3!$C$41),0,MAX(0,-Q319))</f>
        <v>0</v>
      </c>
      <c r="AB319" s="15" t="n">
        <f aca="false">F319*(1+Parametri_v3!$C$26)</f>
        <v>29209.486714538</v>
      </c>
      <c r="AC319" s="15" t="n">
        <f aca="false">(IF(15-(INT((Motore_Operativo!L319)/30))&lt;1,0,INDEX(Motore_Startup!$AB$305:$AB$364,MAX(1,15-(INT((Motore_Operativo!L319)/30)))))*(1-(MOD((Motore_Operativo!L319),30)/30))+IF(15-(INT((Motore_Operativo!L319)/30))-1&lt;1,0,INDEX(Motore_Startup!$AB$305:$AB$364,MAX(1,15-(INT((Motore_Operativo!L319)/30))-1)))*(MOD((Motore_Operativo!L319),30)/30))</f>
        <v>10110.1851851852</v>
      </c>
      <c r="AD319" s="15" t="n">
        <f aca="false">(AD318)+AB319-AC319</f>
        <v>86314.3180138442</v>
      </c>
      <c r="AE319" s="15" t="n">
        <f aca="false">Motore_Operativo!BH319*(1+Parametri_v3!$C$26)</f>
        <v>4145.70892018779</v>
      </c>
      <c r="AF319" s="15" t="n">
        <f aca="false">(IF(15-(INT((Parametri_v3!$C$29)/30))&lt;1,0,INDEX(Motore_Operativo!$BH$305:$BH$364,MAX(1,15-(INT((Parametri_v3!$C$29)/30)))))*(1-(MOD((Parametri_v3!$C$29),30)/30))+IF(15-(INT((Parametri_v3!$C$29)/30))-1&lt;1,0,INDEX(Motore_Operativo!$BH$305:$BH$364,MAX(1,15-(INT((Parametri_v3!$C$29)/30))-1)))*(MOD((Parametri_v3!$C$29),30)/30))*(1+Parametri_v3!$C$26)</f>
        <v>4145.70892018779</v>
      </c>
      <c r="AG319" s="15" t="n">
        <f aca="false">(AG318)+AE319-AF319</f>
        <v>4145.70892018779</v>
      </c>
      <c r="AH319" s="15" t="n">
        <f aca="false">(Motore_Operativo!CJ319)*(1+Parametri_v3!$C$27*Parametri_v3!$C$26)</f>
        <v>20537.6939591829</v>
      </c>
      <c r="AI319" s="15" t="n">
        <f aca="false">(IF(15-(INT((Ipotesi!$C$91)/30))&lt;1,0,INDEX(Motore_Startup!$AH$305:$AH$364,MAX(1,15-(INT((Ipotesi!$C$91)/30)))))*(1-(MOD((Ipotesi!$C$91),30)/30))+IF(15-(INT((Ipotesi!$C$91)/30))-1&lt;1,0,INDEX(Motore_Startup!$AH$305:$AH$364,MAX(1,15-(INT((Ipotesi!$C$91)/30))-1)))*(MOD((Ipotesi!$C$91),30)/30))</f>
        <v>20418.1834806332</v>
      </c>
      <c r="AJ319" s="15" t="n">
        <f aca="false">(AJ318)+AH319-AI319</f>
        <v>41015.8950041901</v>
      </c>
      <c r="AK319" s="15" t="n">
        <f aca="false">(F319+ Motore_Operativo!BH319-(Motore_Operativo!CJ319)*Parametri_v3!$C$27-Motore_Operativo!CE319)*Parametri_v3!$C$26</f>
        <v>2321.02935826023</v>
      </c>
      <c r="AL319" s="15" t="n">
        <f aca="false">MAX(0,(AM318))</f>
        <v>2251.64124521685</v>
      </c>
      <c r="AM319" s="15" t="n">
        <f aca="false">(AM318)+AK319-AL319</f>
        <v>2321.02935826023</v>
      </c>
      <c r="AN319" s="15" t="n">
        <f aca="false">SUM(X305:X316)</f>
        <v>0</v>
      </c>
      <c r="AO319" s="15" t="n">
        <f aca="false">SUM(AP305:AP316)</f>
        <v>0</v>
      </c>
      <c r="AP319" s="15" t="n">
        <f aca="false">MAX(0,AN319)*IF(3=Parametri_v3!$C$43,Parametri_v3!$C$45,IF(3=Parametri_v3!$C$44,1-Parametri_v3!$C$45,0))</f>
        <v>0</v>
      </c>
      <c r="AQ319" s="15" t="n">
        <f aca="false">MAX(0,AP319+IF(3=Parametri_v3!$C$43,MAX(0,AN319-AO319),0)-MAX(0,-(AR318)))</f>
        <v>0</v>
      </c>
      <c r="AR319" s="15" t="n">
        <f aca="false">(AR318)+X319-AQ319</f>
        <v>0</v>
      </c>
      <c r="AS319" s="15" t="n">
        <f aca="false">Motore_Operativo!AB319-AT319+AU319</f>
        <v>37774.375</v>
      </c>
      <c r="AT319" s="15" t="n">
        <f aca="false">Motore_Operativo!CH319</f>
        <v>1988.125</v>
      </c>
      <c r="AU319" s="15" t="n">
        <f aca="false">MIN(MAX(0,(AV318)+AT319),Parametri_v3!$C$60/12)</f>
        <v>0</v>
      </c>
      <c r="AV319" s="15" t="n">
        <f aca="false">(AV318)+AT319-AU319</f>
        <v>16714.375</v>
      </c>
      <c r="AW319" s="15" t="n">
        <f aca="false">IF(AND(Motore_Operativo!C319=Finanziamenti!$D$6,Finanziamenti!$F$6=1),Finanziamenti!$C$6,0)</f>
        <v>0</v>
      </c>
      <c r="AX319" s="15" t="n">
        <f aca="false">IF(AND(6&lt;&gt;7,6&lt;&gt;9,Finanziamenti!$F$8=1,OR(Parametri_v3!$C$6=0,Finanziamenti!$E$8=1),Motore_Operativo!C319=EDATE(Finanziamenti!$D$8,Ipotesi!H15*12)),Finanziamenti!$C$8*1,0)+IF(AND(6&lt;&gt;7,6&lt;&gt;9,Finanziamenti!$F$9=1,OR(Parametri_v3!$C$6=0,Finanziamenti!$E$9=1),Motore_Operativo!C319=EDATE(Finanziamenti!$D$9,Ipotesi!H15*12)),Finanziamenti!$C$9*Ipotesi!H16,0)</f>
        <v>0</v>
      </c>
      <c r="AY319" s="15" t="n">
        <f aca="false">0</f>
        <v>0</v>
      </c>
      <c r="AZ319" s="15" t="n">
        <f aca="false">Motore_Advisory!AY319*(1-Ipotesi!$C$95)*Ipotesi!$C$96</f>
        <v>0</v>
      </c>
      <c r="BA319" s="15" t="n">
        <f aca="false">MAX(0,MIN(CG319*MIN(1,IF(Motore_Operativo!C319&gt;=EDATE(Finanziamenti!$D$15,Ipotesi!H14*12),Finanziamenti!$C$15,0)+IF(Motore_Operativo!C319&gt;=EDATE(Finanziamenti!$D$16,Ipotesi!H14*12),Finanziamenti!$C$16,0)+IF(Motore_Operativo!C319&gt;=EDATE(Finanziamenti!$D$17,Ipotesi!H14*12),Finanziamenti!$C$17,0)),CA319*Ipotesi!$C$102)-(CC318))</f>
        <v>0</v>
      </c>
      <c r="BB319" s="15" t="n">
        <f aca="false">IF(AND(CF319&gt;0,Motore_Operativo!C319&gt;=IF(CF319=0,0,EDATE(CF319,Parametri_v3!$C$37)),MOD(((D319-YEAR(IF(CF319=0,0,EDATE(CF319,Parametri_v3!$C$37))))*12+E319-MONTH(IF(CF319=0,0,EDATE(CF319,Parametri_v3!$C$37)))),Parametri_v3!$C$38)=0),MIN(MAX(0,(BC318)+BA319-N319),(CC319-CD319)/(Ipotesi!$C$108*12/Parametri_v3!$C$38)),0)</f>
        <v>0</v>
      </c>
      <c r="BC319" s="15" t="n">
        <f aca="false">(BC318)+BA319-N319-BB319</f>
        <v>0</v>
      </c>
      <c r="BD319" s="15" t="n">
        <f aca="false">(BH318)+AC319+AF319-AI319-AS319-K319*(1+Parametri_v3!$C$26)-AL319-AQ319-O319+AW319+AX319+AZ319+BA319-BB319</f>
        <v>-91153.8399143474</v>
      </c>
      <c r="BE319" s="15" t="n">
        <f aca="false">MAX(0,MIN(MAX(0,CH319-(BG318)),Parametri_v3!$C$30-BD319))</f>
        <v>0</v>
      </c>
      <c r="BF319" s="15" t="n">
        <f aca="false">IF(Motore_Operativo!C319&gt;=Parametri_v3!$C$63,(BG318),MIN((BG318),MAX(0,BD319-Parametri_v3!$C$30)))</f>
        <v>0</v>
      </c>
      <c r="BG319" s="15" t="n">
        <f aca="false">(BG318)+BE319-BF319</f>
        <v>150000</v>
      </c>
      <c r="BH319" s="15" t="n">
        <f aca="false">BD319+BE319-BF319-AY319</f>
        <v>-91153.8399143474</v>
      </c>
      <c r="BI319" s="15" t="n">
        <f aca="false">MAX(0,Parametri_v3!$C$30-BH319)</f>
        <v>116153.839914347</v>
      </c>
      <c r="BJ319" s="15" t="n">
        <f aca="false">(BJ318)+K319</f>
        <v>26250</v>
      </c>
      <c r="BK319" s="15" t="n">
        <f aca="false">(BK318)+L319</f>
        <v>5625</v>
      </c>
      <c r="BL319" s="15" t="n">
        <f aca="false">BJ319-BK319</f>
        <v>20625</v>
      </c>
      <c r="BM319" s="15" t="n">
        <f aca="false">(BM318)+Y319</f>
        <v>-320120.112342766</v>
      </c>
      <c r="BN319" s="15" t="n">
        <f aca="false">(BN318)+AW319+AX319+AZ319</f>
        <v>130000</v>
      </c>
      <c r="BO319" s="15" t="n">
        <f aca="false">(BO318)+AY319</f>
        <v>0</v>
      </c>
      <c r="BP319" s="15" t="n">
        <f aca="false">0</f>
        <v>0</v>
      </c>
      <c r="BQ319" s="15" t="n">
        <f aca="false">BN319+BM319-BO319</f>
        <v>-190120.112342766</v>
      </c>
      <c r="BR319" s="15" t="n">
        <f aca="false">BH319+AD319+BL319+MAX(0,-AM319)+MAX(0,-AR319)+AG319</f>
        <v>19931.1870196846</v>
      </c>
      <c r="BS319" s="15" t="n">
        <f aca="false">AJ319+AV319+MAX(0,AM319)+MAX(0,AR319)+BC319+BG319+BQ319</f>
        <v>19931.1870196846</v>
      </c>
      <c r="BT319" s="15" t="n">
        <f aca="false">BR319-BS319</f>
        <v>0</v>
      </c>
      <c r="BU319" s="15" t="n">
        <f aca="false">BH319-(BD319+BE319-BF319-AY319)</f>
        <v>0</v>
      </c>
      <c r="BV319" s="15" t="n">
        <f aca="false">MIN(Piano_SS!$C$6,(BV318)+IF(AND(Motore_Operativo!C319&gt;=EDATE(Parametri_v3!$C$24,Ipotesi!H14*12),Motore_Operativo!C319&lt;EDATE(Parametri_v3!$C$24,Parametri_v3!$C$25+Ipotesi!H14*12)),MAX(0,(Motore_Operativo!Y319+Motore_Operativo!X319*Parametri_v3!$C$14)*(1-Parametri_v3!$C$32))*Piano_SS!$D$6,0))</f>
        <v>65193.75</v>
      </c>
      <c r="BW319" s="15" t="n">
        <f aca="false">MIN(Piano_SS!$C$7,(BW318)+IF(AND(Motore_Operativo!C319&gt;=EDATE(Parametri_v3!$C$24,Ipotesi!H14*12),Motore_Operativo!C319&lt;EDATE(Parametri_v3!$C$24,Parametri_v3!$C$25+Ipotesi!H14*12)),MAX(0,(IF(15-(INT((Ipotesi!$C$91)/30))&lt;1,0,INDEX(Motore_Operativo!$BN$305:$BN$364,MAX(1,15-(INT((Ipotesi!$C$91)/30)))))*(1-(MOD((Ipotesi!$C$91),30)/30))+IF(15-(INT((Ipotesi!$C$91)/30))-1&lt;1,0,INDEX(Motore_Operativo!$BN$305:$BN$364,MAX(1,15-(INT((Ipotesi!$C$91)/30))-1)))*(MOD((Ipotesi!$C$91),30)/30)))*Piano_SS!$D$7,0))</f>
        <v>11694.1394481586</v>
      </c>
      <c r="BX319" s="15" t="n">
        <f aca="false">MIN(Piano_SS!$C$8,(BX318)+IF(AND(Motore_Operativo!C319&gt;=EDATE(Parametri_v3!$C$24,Ipotesi!H14*12),Motore_Operativo!C319&lt;EDATE(Parametri_v3!$C$24,Parametri_v3!$C$25+Ipotesi!H14*12)),MAX(0,Motore_Operativo!CE319)*Piano_SS!$D$8,0))</f>
        <v>16250</v>
      </c>
      <c r="BY319" s="15" t="n">
        <f aca="false">MIN(Piano_SS!$C$9,(BY318)+IF(AND(Motore_Operativo!C319&gt;=EDATE(Parametri_v3!$C$24,Ipotesi!H14*12),Motore_Operativo!C319&lt;EDATE(Parametri_v3!$C$24,Parametri_v3!$C$25+Ipotesi!H14*12)),MAX(0,((IF(15-(INT((Ipotesi!$C$91)/30))&lt;1,0,INDEX(Motore_Operativo!$BQ$305:$BQ$364,MAX(1,15-(INT((Ipotesi!$C$91)/30)))))*(1-(MOD((Ipotesi!$C$91),30)/30))+IF(15-(INT((Ipotesi!$C$91)/30))-1&lt;1,0,INDEX(Motore_Operativo!$BQ$305:$BQ$364,MAX(1,15-(INT((Ipotesi!$C$91)/30))-1)))*(MOD((Ipotesi!$C$91),30)/30))+(IF(15-(INT((Ipotesi!$C$91)/30))&lt;1,0,INDEX(Motore_Operativo!$BR$305:$BR$364,MAX(1,15-(INT((Ipotesi!$C$91)/30)))))*(1-(MOD((Ipotesi!$C$91),30)/30))+IF(15-(INT((Ipotesi!$C$91)/30))-1&lt;1,0,INDEX(Motore_Operativo!$BR$305:$BR$364,MAX(1,15-(INT((Ipotesi!$C$91)/30))-1)))*(MOD((Ipotesi!$C$91),30)/30))))*Piano_SS!$D$9,0))</f>
        <v>20916.6666666667</v>
      </c>
      <c r="BZ319" s="15" t="n">
        <f aca="false">MIN(Piano_SS!$C$10,(BZ318)+IF(AND(Motore_Operativo!C319&gt;=EDATE(Parametri_v3!$C$24,Ipotesi!H14*12),Motore_Operativo!C319&lt;EDATE(Parametri_v3!$C$24,Parametri_v3!$C$25+Ipotesi!H14*12)),MAX(0,(IF(15-(INT((Ipotesi!$C$91)/30))&lt;1,0,INDEX(Motore_Operativo!$BO$305:$BO$364,MAX(1,15-(INT((Ipotesi!$C$91)/30)))))*(1-(MOD((Ipotesi!$C$91),30)/30))+IF(15-(INT((Ipotesi!$C$91)/30))-1&lt;1,0,INDEX(Motore_Operativo!$BO$305:$BO$364,MAX(1,15-(INT((Ipotesi!$C$91)/30))-1)))*(MOD((Ipotesi!$C$91),30)/30)))*Piano_SS!$D$10,0))</f>
        <v>9833.33333333333</v>
      </c>
      <c r="CA319" s="15" t="n">
        <f aca="false">SUM(BV319:BZ319)</f>
        <v>123887.889448159</v>
      </c>
      <c r="CB319" s="15" t="n">
        <f aca="false">BV319*(1-Piano_SS!$E$6)+BW319*(1-Piano_SS!$E$7)+BX319*(1-Piano_SS!$E$8)+BY319*(1-Piano_SS!$E$9)+BZ319*(1-Piano_SS!$E$10)</f>
        <v>114054.556114825</v>
      </c>
      <c r="CC319" s="15" t="n">
        <f aca="false">(CC318)+BA319</f>
        <v>0</v>
      </c>
      <c r="CD319" s="15" t="n">
        <f aca="false">IF(CA319=0,0,CC319*CB319/CA319*Ipotesi!$C$103*Parametri_v3!$C$64)</f>
        <v>0</v>
      </c>
      <c r="CE319" s="18" t="n">
        <f aca="false">IF(BA319&gt;0,Motore_Operativo!C319,(CE318))</f>
        <v>0</v>
      </c>
      <c r="CF319" s="18" t="n">
        <f aca="false">IF(AND(CC319&gt;0,OR(CC319&gt;=CG319-0.01,Motore_Operativo!C319&gt;=EDATE(MAX(Finanziamenti!$D$15:$D$17),Ipotesi!H14*12))),CE319,0)</f>
        <v>0</v>
      </c>
      <c r="CG319" s="15" t="n">
        <f aca="false">IF(AND(6&lt;&gt;6,6&lt;&gt;9,Finanziamenti!$F$11=1,OR(Parametri_v3!$C$6=0,Finanziamenti!$E$11=1)),MIN(Finanziamenti!$C$11,Piano_SS!$C$12*Ipotesi!$C$102),0)</f>
        <v>0</v>
      </c>
      <c r="CH319" s="15" t="n">
        <f aca="false">IF(AND(AND(6&lt;&gt;8,6&lt;&gt;9,Finanziamenti!$F$10=1,OR(Parametri_v3!$C$6=0,Finanziamenti!$E$10=1)),Motore_Operativo!C319&gt;=Finanziamenti!$D$10,Motore_Operativo!C319&lt;Parametri_v3!$C$63),Finanziamenti!$C$10,0)</f>
        <v>150000</v>
      </c>
    </row>
    <row r="320" customFormat="false" ht="18" hidden="false" customHeight="true" outlineLevel="0" collapsed="false">
      <c r="A320" s="68" t="n">
        <f aca="false">6</f>
        <v>6</v>
      </c>
      <c r="B320" s="68" t="n">
        <f aca="false">16</f>
        <v>16</v>
      </c>
      <c r="C320" s="18" t="n">
        <f aca="false">Motore_Operativo!C320</f>
        <v>46844</v>
      </c>
      <c r="D320" s="68" t="n">
        <f aca="false">Motore_Operativo!D320</f>
        <v>2028</v>
      </c>
      <c r="E320" s="68" t="n">
        <f aca="false">Motore_Operativo!E320</f>
        <v>4</v>
      </c>
      <c r="F320" s="15" t="n">
        <f aca="false">Motore_Operativo!AQ320+Motore_Operativo!BF320</f>
        <v>24588.3602789749</v>
      </c>
      <c r="G320" s="15" t="n">
        <f aca="false">Motore_Operativo!BH320</f>
        <v>3398.1220657277</v>
      </c>
      <c r="H320" s="15" t="n">
        <f aca="false">Motore_Operativo!BI320</f>
        <v>27986.4823447026</v>
      </c>
      <c r="I320" s="15" t="n">
        <f aca="false">Motore_Operativo!CA320</f>
        <v>57155.1474343617</v>
      </c>
      <c r="J320" s="15" t="n">
        <f aca="false">Motore_Operativo!CC320</f>
        <v>-29168.665089659</v>
      </c>
      <c r="K320" s="15" t="n">
        <f aca="false">Motore_Operativo!CE320</f>
        <v>2083.33333333333</v>
      </c>
      <c r="L320" s="15" t="n">
        <f aca="false">SUM(INDEX($K$305:$K$364,MAX(1,16-Parametri_v3!$C$59+1)):K320)/Parametri_v3!$C$59</f>
        <v>787.037037037037</v>
      </c>
      <c r="M320" s="15" t="n">
        <f aca="false">J320-L320</f>
        <v>-29955.7021266961</v>
      </c>
      <c r="N320" s="15" t="n">
        <f aca="false">CD320-(CD319)</f>
        <v>0</v>
      </c>
      <c r="O320" s="15" t="n">
        <f aca="false">(BG319)*Ipotesi!$C$110/12+CH320*Parametri_v3!$C$39/12</f>
        <v>750</v>
      </c>
      <c r="P320" s="15" t="n">
        <f aca="false">M320+N320-O320</f>
        <v>-30705.7021266961</v>
      </c>
      <c r="Q320" s="15" t="n">
        <f aca="false">SUM(P317:P320)+Parametri_v3!$C$54*4/12</f>
        <v>-125001.552070423</v>
      </c>
      <c r="R320" s="15" t="n">
        <f aca="false">Z316</f>
        <v>225824.262399039</v>
      </c>
      <c r="S320" s="15" t="n">
        <f aca="false">AA316</f>
        <v>0</v>
      </c>
      <c r="T320" s="15" t="n">
        <f aca="false">MIN(R320,MAX(0,Q320))</f>
        <v>0</v>
      </c>
      <c r="U320" s="15" t="n">
        <f aca="false">MIN(S320,MAX(0,Q320-T320)*Parametri_v3!$C$42)</f>
        <v>0</v>
      </c>
      <c r="V320" s="15" t="n">
        <f aca="false">MAX(0,Q320-T320-U320)*Ipotesi!$C$92</f>
        <v>0</v>
      </c>
      <c r="W320" s="15" t="n">
        <f aca="false">MAX(0,SUM(M317:M320)+Parametri_v3!$C$55*4/12)*Ipotesi!$C$93</f>
        <v>0</v>
      </c>
      <c r="X320" s="15" t="n">
        <f aca="false">V320+W320-(V319+W319)</f>
        <v>0</v>
      </c>
      <c r="Y320" s="15" t="n">
        <f aca="false">P320-X320</f>
        <v>-30705.7021266961</v>
      </c>
      <c r="Z320" s="15" t="n">
        <f aca="false">R320-T320+IF(AND(Parametri_v3!$C$40=1,D320-YEAR(Parametri_v3!$C$50)&lt;Parametri_v3!$C$41),MAX(0,-Q320),0)</f>
        <v>350825.814469462</v>
      </c>
      <c r="AA320" s="15" t="n">
        <f aca="false">S320-U320+IF(AND(Parametri_v3!$C$40=1,D320-YEAR(Parametri_v3!$C$50)&lt;Parametri_v3!$C$41),0,MAX(0,-Q320))</f>
        <v>0</v>
      </c>
      <c r="AB320" s="15" t="n">
        <f aca="false">F320*(1+Parametri_v3!$C$26)</f>
        <v>29997.7995403494</v>
      </c>
      <c r="AC320" s="15" t="n">
        <f aca="false">(IF(16-(INT((Motore_Operativo!L320)/30))&lt;1,0,INDEX(Motore_Startup!$AB$305:$AB$364,MAX(1,16-(INT((Motore_Operativo!L320)/30)))))*(1-(MOD((Motore_Operativo!L320),30)/30))+IF(16-(INT((Motore_Operativo!L320)/30))-1&lt;1,0,INDEX(Motore_Startup!$AB$305:$AB$364,MAX(1,16-(INT((Motore_Operativo!L320)/30))-1)))*(MOD((Motore_Operativo!L320),30)/30))</f>
        <v>28332.1080658998</v>
      </c>
      <c r="AD320" s="15" t="n">
        <f aca="false">(AD319)+AB320-AC320</f>
        <v>87980.0094882938</v>
      </c>
      <c r="AE320" s="15" t="n">
        <f aca="false">Motore_Operativo!BH320*(1+Parametri_v3!$C$26)</f>
        <v>4145.70892018779</v>
      </c>
      <c r="AF320" s="15" t="n">
        <f aca="false">(IF(16-(INT((Parametri_v3!$C$29)/30))&lt;1,0,INDEX(Motore_Operativo!$BH$305:$BH$364,MAX(1,16-(INT((Parametri_v3!$C$29)/30)))))*(1-(MOD((Parametri_v3!$C$29),30)/30))+IF(16-(INT((Parametri_v3!$C$29)/30))-1&lt;1,0,INDEX(Motore_Operativo!$BH$305:$BH$364,MAX(1,16-(INT((Parametri_v3!$C$29)/30))-1)))*(MOD((Parametri_v3!$C$29),30)/30))*(1+Parametri_v3!$C$26)</f>
        <v>4145.70892018779</v>
      </c>
      <c r="AG320" s="15" t="n">
        <f aca="false">(AG319)+AE320-AF320</f>
        <v>4145.70892018779</v>
      </c>
      <c r="AH320" s="15" t="n">
        <f aca="false">(Motore_Operativo!CJ320)*(1+Parametri_v3!$C$27*Parametri_v3!$C$26)</f>
        <v>20645.0725045873</v>
      </c>
      <c r="AI320" s="15" t="n">
        <f aca="false">(IF(16-(INT((Ipotesi!$C$91)/30))&lt;1,0,INDEX(Motore_Startup!$AH$305:$AH$364,MAX(1,16-(INT((Ipotesi!$C$91)/30)))))*(1-(MOD((Ipotesi!$C$91),30)/30))+IF(16-(INT((Ipotesi!$C$91)/30))-1&lt;1,0,INDEX(Motore_Startup!$AH$305:$AH$364,MAX(1,16-(INT((Ipotesi!$C$91)/30))-1)))*(MOD((Ipotesi!$C$91),30)/30))</f>
        <v>20478.2010450071</v>
      </c>
      <c r="AJ320" s="15" t="n">
        <f aca="false">(AJ319)+AH320-AI320</f>
        <v>41182.7664637702</v>
      </c>
      <c r="AK320" s="15" t="n">
        <f aca="false">(F320+ Motore_Operativo!BH320-(Motore_Operativo!CJ320)*Parametri_v3!$C$27-Motore_Operativo!CE320)*Parametri_v3!$C$26</f>
        <v>2446.26771227562</v>
      </c>
      <c r="AL320" s="15" t="n">
        <f aca="false">MAX(0,(AM319))</f>
        <v>2321.02935826023</v>
      </c>
      <c r="AM320" s="15" t="n">
        <f aca="false">(AM319)+AK320-AL320</f>
        <v>2446.26771227562</v>
      </c>
      <c r="AN320" s="15" t="n">
        <f aca="false">SUM(X305:X316)</f>
        <v>0</v>
      </c>
      <c r="AO320" s="15" t="n">
        <f aca="false">SUM(AP305:AP316)</f>
        <v>0</v>
      </c>
      <c r="AP320" s="15" t="n">
        <f aca="false">MAX(0,AN320)*IF(4=Parametri_v3!$C$43,Parametri_v3!$C$45,IF(4=Parametri_v3!$C$44,1-Parametri_v3!$C$45,0))</f>
        <v>0</v>
      </c>
      <c r="AQ320" s="15" t="n">
        <f aca="false">MAX(0,AP320+IF(4=Parametri_v3!$C$43,MAX(0,AN320-AO320),0)-MAX(0,-(AR319)))</f>
        <v>0</v>
      </c>
      <c r="AR320" s="15" t="n">
        <f aca="false">(AR319)+X320-AQ320</f>
        <v>0</v>
      </c>
      <c r="AS320" s="15" t="n">
        <f aca="false">Motore_Operativo!AB320-AT320+AU320</f>
        <v>37774.375</v>
      </c>
      <c r="AT320" s="15" t="n">
        <f aca="false">Motore_Operativo!CH320</f>
        <v>1988.125</v>
      </c>
      <c r="AU320" s="15" t="n">
        <f aca="false">MIN(MAX(0,(AV319)+AT320),Parametri_v3!$C$60/12)</f>
        <v>0</v>
      </c>
      <c r="AV320" s="15" t="n">
        <f aca="false">(AV319)+AT320-AU320</f>
        <v>18702.5</v>
      </c>
      <c r="AW320" s="15" t="n">
        <f aca="false">IF(AND(Motore_Operativo!C320=Finanziamenti!$D$6,Finanziamenti!$F$6=1),Finanziamenti!$C$6,0)</f>
        <v>0</v>
      </c>
      <c r="AX320" s="15" t="n">
        <f aca="false">IF(AND(6&lt;&gt;7,6&lt;&gt;9,Finanziamenti!$F$8=1,OR(Parametri_v3!$C$6=0,Finanziamenti!$E$8=1),Motore_Operativo!C320=EDATE(Finanziamenti!$D$8,Ipotesi!H15*12)),Finanziamenti!$C$8*1,0)+IF(AND(6&lt;&gt;7,6&lt;&gt;9,Finanziamenti!$F$9=1,OR(Parametri_v3!$C$6=0,Finanziamenti!$E$9=1),Motore_Operativo!C320=EDATE(Finanziamenti!$D$9,Ipotesi!H15*12)),Finanziamenti!$C$9*Ipotesi!H16,0)</f>
        <v>0</v>
      </c>
      <c r="AY320" s="15" t="n">
        <f aca="false">0</f>
        <v>0</v>
      </c>
      <c r="AZ320" s="15" t="n">
        <f aca="false">Motore_Advisory!AY320*(1-Ipotesi!$C$95)*Ipotesi!$C$96</f>
        <v>0</v>
      </c>
      <c r="BA320" s="15" t="n">
        <f aca="false">MAX(0,MIN(CG320*MIN(1,IF(Motore_Operativo!C320&gt;=EDATE(Finanziamenti!$D$15,Ipotesi!H14*12),Finanziamenti!$C$15,0)+IF(Motore_Operativo!C320&gt;=EDATE(Finanziamenti!$D$16,Ipotesi!H14*12),Finanziamenti!$C$16,0)+IF(Motore_Operativo!C320&gt;=EDATE(Finanziamenti!$D$17,Ipotesi!H14*12),Finanziamenti!$C$17,0)),CA320*Ipotesi!$C$102)-(CC319))</f>
        <v>0</v>
      </c>
      <c r="BB320" s="15" t="n">
        <f aca="false">IF(AND(CF320&gt;0,Motore_Operativo!C320&gt;=IF(CF320=0,0,EDATE(CF320,Parametri_v3!$C$37)),MOD(((D320-YEAR(IF(CF320=0,0,EDATE(CF320,Parametri_v3!$C$37))))*12+E320-MONTH(IF(CF320=0,0,EDATE(CF320,Parametri_v3!$C$37)))),Parametri_v3!$C$38)=0),MIN(MAX(0,(BC319)+BA320-N320),(CC320-CD320)/(Ipotesi!$C$108*12/Parametri_v3!$C$38)),0)</f>
        <v>0</v>
      </c>
      <c r="BC320" s="15" t="n">
        <f aca="false">(BC319)+BA320-N320-BB320</f>
        <v>0</v>
      </c>
      <c r="BD320" s="15" t="n">
        <f aca="false">(BH319)+AC320+AF320-AI320-AS320-K320*(1+Parametri_v3!$C$26)-AL320-AQ320-O320+AW320+AX320+AZ320+BA320-BB320</f>
        <v>-122541.294998194</v>
      </c>
      <c r="BE320" s="15" t="n">
        <f aca="false">MAX(0,MIN(MAX(0,CH320-(BG319)),Parametri_v3!$C$30-BD320))</f>
        <v>0</v>
      </c>
      <c r="BF320" s="15" t="n">
        <f aca="false">IF(Motore_Operativo!C320&gt;=Parametri_v3!$C$63,(BG319),MIN((BG319),MAX(0,BD320-Parametri_v3!$C$30)))</f>
        <v>0</v>
      </c>
      <c r="BG320" s="15" t="n">
        <f aca="false">(BG319)+BE320-BF320</f>
        <v>150000</v>
      </c>
      <c r="BH320" s="15" t="n">
        <f aca="false">BD320+BE320-BF320-AY320</f>
        <v>-122541.294998194</v>
      </c>
      <c r="BI320" s="15" t="n">
        <f aca="false">MAX(0,Parametri_v3!$C$30-BH320)</f>
        <v>147541.294998194</v>
      </c>
      <c r="BJ320" s="15" t="n">
        <f aca="false">(BJ319)+K320</f>
        <v>28333.3333333333</v>
      </c>
      <c r="BK320" s="15" t="n">
        <f aca="false">(BK319)+L320</f>
        <v>6412.03703703704</v>
      </c>
      <c r="BL320" s="15" t="n">
        <f aca="false">BJ320-BK320</f>
        <v>21921.2962962963</v>
      </c>
      <c r="BM320" s="15" t="n">
        <f aca="false">(BM319)+Y320</f>
        <v>-350825.814469462</v>
      </c>
      <c r="BN320" s="15" t="n">
        <f aca="false">(BN319)+AW320+AX320+AZ320</f>
        <v>130000</v>
      </c>
      <c r="BO320" s="15" t="n">
        <f aca="false">(BO319)+AY320</f>
        <v>0</v>
      </c>
      <c r="BP320" s="15" t="n">
        <f aca="false">0</f>
        <v>0</v>
      </c>
      <c r="BQ320" s="15" t="n">
        <f aca="false">BN320+BM320-BO320</f>
        <v>-220825.814469462</v>
      </c>
      <c r="BR320" s="15" t="n">
        <f aca="false">BH320+AD320+BL320+MAX(0,-AM320)+MAX(0,-AR320)+AG320</f>
        <v>-8494.28029341599</v>
      </c>
      <c r="BS320" s="15" t="n">
        <f aca="false">AJ320+AV320+MAX(0,AM320)+MAX(0,AR320)+BC320+BG320+BQ320</f>
        <v>-8494.28029341594</v>
      </c>
      <c r="BT320" s="15" t="n">
        <f aca="false">BR320-BS320</f>
        <v>-4.72937244921923E-011</v>
      </c>
      <c r="BU320" s="15" t="n">
        <f aca="false">BH320-(BD320+BE320-BF320-AY320)</f>
        <v>0</v>
      </c>
      <c r="BV320" s="15" t="n">
        <f aca="false">MIN(Piano_SS!$C$6,(BV319)+IF(AND(Motore_Operativo!C320&gt;=EDATE(Parametri_v3!$C$24,Ipotesi!H14*12),Motore_Operativo!C320&lt;EDATE(Parametri_v3!$C$24,Parametri_v3!$C$25+Ipotesi!H14*12)),MAX(0,(Motore_Operativo!Y320+Motore_Operativo!X320*Parametri_v3!$C$14)*(1-Parametri_v3!$C$32))*Piano_SS!$D$6,0))</f>
        <v>77425</v>
      </c>
      <c r="BW320" s="15" t="n">
        <f aca="false">MIN(Piano_SS!$C$7,(BW319)+IF(AND(Motore_Operativo!C320&gt;=EDATE(Parametri_v3!$C$24,Ipotesi!H14*12),Motore_Operativo!C320&lt;EDATE(Parametri_v3!$C$24,Parametri_v3!$C$25+Ipotesi!H14*12)),MAX(0,(IF(16-(INT((Ipotesi!$C$91)/30))&lt;1,0,INDEX(Motore_Operativo!$BN$305:$BN$364,MAX(1,16-(INT((Ipotesi!$C$91)/30)))))*(1-(MOD((Ipotesi!$C$91),30)/30))+IF(16-(INT((Ipotesi!$C$91)/30))-1&lt;1,0,INDEX(Motore_Operativo!$BN$305:$BN$364,MAX(1,16-(INT((Ipotesi!$C$91)/30))-1)))*(MOD((Ipotesi!$C$91),30)/30)))*Piano_SS!$D$7,0))</f>
        <v>13120.8753978901</v>
      </c>
      <c r="BX320" s="15" t="n">
        <f aca="false">MIN(Piano_SS!$C$8,(BX319)+IF(AND(Motore_Operativo!C320&gt;=EDATE(Parametri_v3!$C$24,Ipotesi!H14*12),Motore_Operativo!C320&lt;EDATE(Parametri_v3!$C$24,Parametri_v3!$C$25+Ipotesi!H14*12)),MAX(0,Motore_Operativo!CE320)*Piano_SS!$D$8,0))</f>
        <v>18333.3333333333</v>
      </c>
      <c r="BY320" s="15" t="n">
        <f aca="false">MIN(Piano_SS!$C$9,(BY319)+IF(AND(Motore_Operativo!C320&gt;=EDATE(Parametri_v3!$C$24,Ipotesi!H14*12),Motore_Operativo!C320&lt;EDATE(Parametri_v3!$C$24,Parametri_v3!$C$25+Ipotesi!H14*12)),MAX(0,((IF(16-(INT((Ipotesi!$C$91)/30))&lt;1,0,INDEX(Motore_Operativo!$BQ$305:$BQ$364,MAX(1,16-(INT((Ipotesi!$C$91)/30)))))*(1-(MOD((Ipotesi!$C$91),30)/30))+IF(16-(INT((Ipotesi!$C$91)/30))-1&lt;1,0,INDEX(Motore_Operativo!$BQ$305:$BQ$364,MAX(1,16-(INT((Ipotesi!$C$91)/30))-1)))*(MOD((Ipotesi!$C$91),30)/30))+(IF(16-(INT((Ipotesi!$C$91)/30))&lt;1,0,INDEX(Motore_Operativo!$BR$305:$BR$364,MAX(1,16-(INT((Ipotesi!$C$91)/30)))))*(1-(MOD((Ipotesi!$C$91),30)/30))+IF(16-(INT((Ipotesi!$C$91)/30))-1&lt;1,0,INDEX(Motore_Operativo!$BR$305:$BR$364,MAX(1,16-(INT((Ipotesi!$C$91)/30))-1)))*(MOD((Ipotesi!$C$91),30)/30))))*Piano_SS!$D$9,0))</f>
        <v>23833.3333333333</v>
      </c>
      <c r="BZ320" s="15" t="n">
        <f aca="false">MIN(Piano_SS!$C$10,(BZ319)+IF(AND(Motore_Operativo!C320&gt;=EDATE(Parametri_v3!$C$24,Ipotesi!H14*12),Motore_Operativo!C320&lt;EDATE(Parametri_v3!$C$24,Parametri_v3!$C$25+Ipotesi!H14*12)),MAX(0,(IF(16-(INT((Ipotesi!$C$91)/30))&lt;1,0,INDEX(Motore_Operativo!$BO$305:$BO$364,MAX(1,16-(INT((Ipotesi!$C$91)/30)))))*(1-(MOD((Ipotesi!$C$91),30)/30))+IF(16-(INT((Ipotesi!$C$91)/30))-1&lt;1,0,INDEX(Motore_Operativo!$BO$305:$BO$364,MAX(1,16-(INT((Ipotesi!$C$91)/30))-1)))*(MOD((Ipotesi!$C$91),30)/30)))*Piano_SS!$D$10,0))</f>
        <v>11666.6666666667</v>
      </c>
      <c r="CA320" s="15" t="n">
        <f aca="false">SUM(BV320:BZ320)</f>
        <v>144379.208731223</v>
      </c>
      <c r="CB320" s="15" t="n">
        <f aca="false">BV320*(1-Piano_SS!$E$6)+BW320*(1-Piano_SS!$E$7)+BX320*(1-Piano_SS!$E$8)+BY320*(1-Piano_SS!$E$9)+BZ320*(1-Piano_SS!$E$10)</f>
        <v>132712.542064557</v>
      </c>
      <c r="CC320" s="15" t="n">
        <f aca="false">(CC319)+BA320</f>
        <v>0</v>
      </c>
      <c r="CD320" s="15" t="n">
        <f aca="false">IF(CA320=0,0,CC320*CB320/CA320*Ipotesi!$C$103*Parametri_v3!$C$64)</f>
        <v>0</v>
      </c>
      <c r="CE320" s="18" t="n">
        <f aca="false">IF(BA320&gt;0,Motore_Operativo!C320,(CE319))</f>
        <v>0</v>
      </c>
      <c r="CF320" s="18" t="n">
        <f aca="false">IF(AND(CC320&gt;0,OR(CC320&gt;=CG320-0.01,Motore_Operativo!C320&gt;=EDATE(MAX(Finanziamenti!$D$15:$D$17),Ipotesi!H14*12))),CE320,0)</f>
        <v>0</v>
      </c>
      <c r="CG320" s="15" t="n">
        <f aca="false">IF(AND(6&lt;&gt;6,6&lt;&gt;9,Finanziamenti!$F$11=1,OR(Parametri_v3!$C$6=0,Finanziamenti!$E$11=1)),MIN(Finanziamenti!$C$11,Piano_SS!$C$12*Ipotesi!$C$102),0)</f>
        <v>0</v>
      </c>
      <c r="CH320" s="15" t="n">
        <f aca="false">IF(AND(AND(6&lt;&gt;8,6&lt;&gt;9,Finanziamenti!$F$10=1,OR(Parametri_v3!$C$6=0,Finanziamenti!$E$10=1)),Motore_Operativo!C320&gt;=Finanziamenti!$D$10,Motore_Operativo!C320&lt;Parametri_v3!$C$63),Finanziamenti!$C$10,0)</f>
        <v>150000</v>
      </c>
    </row>
    <row r="321" customFormat="false" ht="18" hidden="false" customHeight="true" outlineLevel="0" collapsed="false">
      <c r="A321" s="68" t="n">
        <f aca="false">6</f>
        <v>6</v>
      </c>
      <c r="B321" s="68" t="n">
        <f aca="false">17</f>
        <v>17</v>
      </c>
      <c r="C321" s="18" t="n">
        <f aca="false">Motore_Operativo!C321</f>
        <v>46874</v>
      </c>
      <c r="D321" s="68" t="n">
        <f aca="false">Motore_Operativo!D321</f>
        <v>2028</v>
      </c>
      <c r="E321" s="68" t="n">
        <f aca="false">Motore_Operativo!E321</f>
        <v>5</v>
      </c>
      <c r="F321" s="15" t="n">
        <f aca="false">Motore_Operativo!AQ321+Motore_Operativo!BF321</f>
        <v>25520.1545928181</v>
      </c>
      <c r="G321" s="15" t="n">
        <f aca="false">Motore_Operativo!BH321</f>
        <v>3398.1220657277</v>
      </c>
      <c r="H321" s="15" t="n">
        <f aca="false">Motore_Operativo!BI321</f>
        <v>28918.2766585458</v>
      </c>
      <c r="I321" s="15" t="n">
        <f aca="false">Motore_Operativo!CA321</f>
        <v>57285.5986382997</v>
      </c>
      <c r="J321" s="15" t="n">
        <f aca="false">Motore_Operativo!CC321</f>
        <v>-28367.3219797539</v>
      </c>
      <c r="K321" s="15" t="n">
        <f aca="false">Motore_Operativo!CE321</f>
        <v>2083.33333333333</v>
      </c>
      <c r="L321" s="15" t="n">
        <f aca="false">SUM(INDEX($K$305:$K$364,MAX(1,17-Parametri_v3!$C$59+1)):K321)/Parametri_v3!$C$59</f>
        <v>844.907407407407</v>
      </c>
      <c r="M321" s="15" t="n">
        <f aca="false">J321-L321</f>
        <v>-29212.2293871613</v>
      </c>
      <c r="N321" s="15" t="n">
        <f aca="false">CD321-(CD320)</f>
        <v>0</v>
      </c>
      <c r="O321" s="15" t="n">
        <f aca="false">(BG320)*Ipotesi!$C$110/12+CH321*Parametri_v3!$C$39/12</f>
        <v>750</v>
      </c>
      <c r="P321" s="15" t="n">
        <f aca="false">M321+N321-O321</f>
        <v>-29962.2293871613</v>
      </c>
      <c r="Q321" s="15" t="n">
        <f aca="false">SUM(P317:P321)+Parametri_v3!$C$54*5/12</f>
        <v>-154963.781457584</v>
      </c>
      <c r="R321" s="15" t="n">
        <f aca="false">Z316</f>
        <v>225824.262399039</v>
      </c>
      <c r="S321" s="15" t="n">
        <f aca="false">AA316</f>
        <v>0</v>
      </c>
      <c r="T321" s="15" t="n">
        <f aca="false">MIN(R321,MAX(0,Q321))</f>
        <v>0</v>
      </c>
      <c r="U321" s="15" t="n">
        <f aca="false">MIN(S321,MAX(0,Q321-T321)*Parametri_v3!$C$42)</f>
        <v>0</v>
      </c>
      <c r="V321" s="15" t="n">
        <f aca="false">MAX(0,Q321-T321-U321)*Ipotesi!$C$92</f>
        <v>0</v>
      </c>
      <c r="W321" s="15" t="n">
        <f aca="false">MAX(0,SUM(M317:M321)+Parametri_v3!$C$55*5/12)*Ipotesi!$C$93</f>
        <v>0</v>
      </c>
      <c r="X321" s="15" t="n">
        <f aca="false">V321+W321-(V320+W320)</f>
        <v>0</v>
      </c>
      <c r="Y321" s="15" t="n">
        <f aca="false">P321-X321</f>
        <v>-29962.2293871613</v>
      </c>
      <c r="Z321" s="15" t="n">
        <f aca="false">R321-T321+IF(AND(Parametri_v3!$C$40=1,D321-YEAR(Parametri_v3!$C$50)&lt;Parametri_v3!$C$41),MAX(0,-Q321),0)</f>
        <v>380788.043856623</v>
      </c>
      <c r="AA321" s="15" t="n">
        <f aca="false">S321-U321+IF(AND(Parametri_v3!$C$40=1,D321-YEAR(Parametri_v3!$C$50)&lt;Parametri_v3!$C$41),0,MAX(0,-Q321))</f>
        <v>0</v>
      </c>
      <c r="AB321" s="15" t="n">
        <f aca="false">F321*(1+Parametri_v3!$C$26)</f>
        <v>31134.5886032381</v>
      </c>
      <c r="AC321" s="15" t="n">
        <f aca="false">(IF(17-(INT((Motore_Operativo!L321)/30))&lt;1,0,INDEX(Motore_Startup!$AB$305:$AB$364,MAX(1,17-(INT((Motore_Operativo!L321)/30)))))*(1-(MOD((Motore_Operativo!L321),30)/30))+IF(17-(INT((Motore_Operativo!L321)/30))-1&lt;1,0,INDEX(Motore_Startup!$AB$305:$AB$364,MAX(1,17-(INT((Motore_Operativo!L321)/30))-1)))*(MOD((Motore_Operativo!L321),30)/30))</f>
        <v>28772.7232334064</v>
      </c>
      <c r="AD321" s="15" t="n">
        <f aca="false">(AD320)+AB321-AC321</f>
        <v>90341.8748581255</v>
      </c>
      <c r="AE321" s="15" t="n">
        <f aca="false">Motore_Operativo!BH321*(1+Parametri_v3!$C$26)</f>
        <v>4145.70892018779</v>
      </c>
      <c r="AF321" s="15" t="n">
        <f aca="false">(IF(17-(INT((Parametri_v3!$C$29)/30))&lt;1,0,INDEX(Motore_Operativo!$BH$305:$BH$364,MAX(1,17-(INT((Parametri_v3!$C$29)/30)))))*(1-(MOD((Parametri_v3!$C$29),30)/30))+IF(17-(INT((Parametri_v3!$C$29)/30))-1&lt;1,0,INDEX(Motore_Operativo!$BH$305:$BH$364,MAX(1,17-(INT((Parametri_v3!$C$29)/30))-1)))*(MOD((Parametri_v3!$C$29),30)/30))*(1+Parametri_v3!$C$26)</f>
        <v>4145.70892018779</v>
      </c>
      <c r="AG321" s="15" t="n">
        <f aca="false">(AG320)+AE321-AF321</f>
        <v>4145.70892018779</v>
      </c>
      <c r="AH321" s="15" t="n">
        <f aca="false">(Motore_Operativo!CJ321)*(1+Parametri_v3!$C$27*Parametri_v3!$C$26)</f>
        <v>20799.9180836617</v>
      </c>
      <c r="AI321" s="15" t="n">
        <f aca="false">(IF(17-(INT((Ipotesi!$C$91)/30))&lt;1,0,INDEX(Motore_Startup!$AH$305:$AH$364,MAX(1,17-(INT((Ipotesi!$C$91)/30)))))*(1-(MOD((Ipotesi!$C$91),30)/30))+IF(17-(INT((Ipotesi!$C$91)/30))-1&lt;1,0,INDEX(Motore_Startup!$AH$305:$AH$364,MAX(1,17-(INT((Ipotesi!$C$91)/30))-1)))*(MOD((Ipotesi!$C$91),30)/30))</f>
        <v>20537.6939591829</v>
      </c>
      <c r="AJ321" s="15" t="n">
        <f aca="false">(AJ320)+AH321-AI321</f>
        <v>41444.9905882491</v>
      </c>
      <c r="AK321" s="15" t="n">
        <f aca="false">(F321+ Motore_Operativo!BH321-(Motore_Operativo!CJ321)*Parametri_v3!$C$27-Motore_Operativo!CE321)*Parametri_v3!$C$26</f>
        <v>2626.8680861847</v>
      </c>
      <c r="AL321" s="15" t="n">
        <f aca="false">MAX(0,(AM320))</f>
        <v>2446.26771227562</v>
      </c>
      <c r="AM321" s="15" t="n">
        <f aca="false">(AM320)+AK321-AL321</f>
        <v>2626.8680861847</v>
      </c>
      <c r="AN321" s="15" t="n">
        <f aca="false">SUM(X305:X316)</f>
        <v>0</v>
      </c>
      <c r="AO321" s="15" t="n">
        <f aca="false">SUM(AP305:AP316)</f>
        <v>0</v>
      </c>
      <c r="AP321" s="15" t="n">
        <f aca="false">MAX(0,AN321)*IF(5=Parametri_v3!$C$43,Parametri_v3!$C$45,IF(5=Parametri_v3!$C$44,1-Parametri_v3!$C$45,0))</f>
        <v>0</v>
      </c>
      <c r="AQ321" s="15" t="n">
        <f aca="false">MAX(0,AP321+IF(5=Parametri_v3!$C$43,MAX(0,AN321-AO321),0)-MAX(0,-(AR320)))</f>
        <v>0</v>
      </c>
      <c r="AR321" s="15" t="n">
        <f aca="false">(AR320)+X321-AQ321</f>
        <v>0</v>
      </c>
      <c r="AS321" s="15" t="n">
        <f aca="false">Motore_Operativo!AB321-AT321+AU321</f>
        <v>37774.375</v>
      </c>
      <c r="AT321" s="15" t="n">
        <f aca="false">Motore_Operativo!CH321</f>
        <v>1988.125</v>
      </c>
      <c r="AU321" s="15" t="n">
        <f aca="false">MIN(MAX(0,(AV320)+AT321),Parametri_v3!$C$60/12)</f>
        <v>0</v>
      </c>
      <c r="AV321" s="15" t="n">
        <f aca="false">(AV320)+AT321-AU321</f>
        <v>20690.625</v>
      </c>
      <c r="AW321" s="15" t="n">
        <f aca="false">IF(AND(Motore_Operativo!C321=Finanziamenti!$D$6,Finanziamenti!$F$6=1),Finanziamenti!$C$6,0)</f>
        <v>0</v>
      </c>
      <c r="AX321" s="15" t="n">
        <f aca="false">IF(AND(6&lt;&gt;7,6&lt;&gt;9,Finanziamenti!$F$8=1,OR(Parametri_v3!$C$6=0,Finanziamenti!$E$8=1),Motore_Operativo!C321=EDATE(Finanziamenti!$D$8,Ipotesi!H15*12)),Finanziamenti!$C$8*1,0)+IF(AND(6&lt;&gt;7,6&lt;&gt;9,Finanziamenti!$F$9=1,OR(Parametri_v3!$C$6=0,Finanziamenti!$E$9=1),Motore_Operativo!C321=EDATE(Finanziamenti!$D$9,Ipotesi!H15*12)),Finanziamenti!$C$9*Ipotesi!H16,0)</f>
        <v>0</v>
      </c>
      <c r="AY321" s="15" t="n">
        <f aca="false">0</f>
        <v>0</v>
      </c>
      <c r="AZ321" s="15" t="n">
        <f aca="false">Motore_Advisory!AY321*(1-Ipotesi!$C$95)*Ipotesi!$C$96</f>
        <v>0</v>
      </c>
      <c r="BA321" s="15" t="n">
        <f aca="false">MAX(0,MIN(CG321*MIN(1,IF(Motore_Operativo!C321&gt;=EDATE(Finanziamenti!$D$15,Ipotesi!H14*12),Finanziamenti!$C$15,0)+IF(Motore_Operativo!C321&gt;=EDATE(Finanziamenti!$D$16,Ipotesi!H14*12),Finanziamenti!$C$16,0)+IF(Motore_Operativo!C321&gt;=EDATE(Finanziamenti!$D$17,Ipotesi!H14*12),Finanziamenti!$C$17,0)),CA321*Ipotesi!$C$102)-(CC320))</f>
        <v>0</v>
      </c>
      <c r="BB321" s="15" t="n">
        <f aca="false">IF(AND(CF321&gt;0,Motore_Operativo!C321&gt;=IF(CF321=0,0,EDATE(CF321,Parametri_v3!$C$37)),MOD(((D321-YEAR(IF(CF321=0,0,EDATE(CF321,Parametri_v3!$C$37))))*12+E321-MONTH(IF(CF321=0,0,EDATE(CF321,Parametri_v3!$C$37)))),Parametri_v3!$C$38)=0),MIN(MAX(0,(BC320)+BA321-N321),(CC321-CD321)/(Ipotesi!$C$108*12/Parametri_v3!$C$38)),0)</f>
        <v>0</v>
      </c>
      <c r="BC321" s="15" t="n">
        <f aca="false">(BC320)+BA321-N321-BB321</f>
        <v>0</v>
      </c>
      <c r="BD321" s="15" t="n">
        <f aca="false">(BH320)+AC321+AF321-AI321-AS321-K321*(1+Parametri_v3!$C$26)-AL321-AQ321-O321+AW321+AX321+AZ321+BA321-BB321</f>
        <v>-153672.866182725</v>
      </c>
      <c r="BE321" s="15" t="n">
        <f aca="false">MAX(0,MIN(MAX(0,CH321-(BG320)),Parametri_v3!$C$30-BD321))</f>
        <v>0</v>
      </c>
      <c r="BF321" s="15" t="n">
        <f aca="false">IF(Motore_Operativo!C321&gt;=Parametri_v3!$C$63,(BG320),MIN((BG320),MAX(0,BD321-Parametri_v3!$C$30)))</f>
        <v>0</v>
      </c>
      <c r="BG321" s="15" t="n">
        <f aca="false">(BG320)+BE321-BF321</f>
        <v>150000</v>
      </c>
      <c r="BH321" s="15" t="n">
        <f aca="false">BD321+BE321-BF321-AY321</f>
        <v>-153672.866182725</v>
      </c>
      <c r="BI321" s="15" t="n">
        <f aca="false">MAX(0,Parametri_v3!$C$30-BH321)</f>
        <v>178672.866182725</v>
      </c>
      <c r="BJ321" s="15" t="n">
        <f aca="false">(BJ320)+K321</f>
        <v>30416.6666666667</v>
      </c>
      <c r="BK321" s="15" t="n">
        <f aca="false">(BK320)+L321</f>
        <v>7256.94444444445</v>
      </c>
      <c r="BL321" s="15" t="n">
        <f aca="false">BJ321-BK321</f>
        <v>23159.7222222222</v>
      </c>
      <c r="BM321" s="15" t="n">
        <f aca="false">(BM320)+Y321</f>
        <v>-380788.043856623</v>
      </c>
      <c r="BN321" s="15" t="n">
        <f aca="false">(BN320)+AW321+AX321+AZ321</f>
        <v>130000</v>
      </c>
      <c r="BO321" s="15" t="n">
        <f aca="false">(BO320)+AY321</f>
        <v>0</v>
      </c>
      <c r="BP321" s="15" t="n">
        <f aca="false">0</f>
        <v>0</v>
      </c>
      <c r="BQ321" s="15" t="n">
        <f aca="false">BN321+BM321-BO321</f>
        <v>-250788.043856623</v>
      </c>
      <c r="BR321" s="15" t="n">
        <f aca="false">BH321+AD321+BL321+MAX(0,-AM321)+MAX(0,-AR321)+AG321</f>
        <v>-36025.5601821894</v>
      </c>
      <c r="BS321" s="15" t="n">
        <f aca="false">AJ321+AV321+MAX(0,AM321)+MAX(0,AR321)+BC321+BG321+BQ321</f>
        <v>-36025.5601821894</v>
      </c>
      <c r="BT321" s="15" t="n">
        <f aca="false">BR321-BS321</f>
        <v>0</v>
      </c>
      <c r="BU321" s="15" t="n">
        <f aca="false">BH321-(BD321+BE321-BF321-AY321)</f>
        <v>0</v>
      </c>
      <c r="BV321" s="15" t="n">
        <f aca="false">MIN(Piano_SS!$C$6,(BV320)+IF(AND(Motore_Operativo!C321&gt;=EDATE(Parametri_v3!$C$24,Ipotesi!H14*12),Motore_Operativo!C321&lt;EDATE(Parametri_v3!$C$24,Parametri_v3!$C$25+Ipotesi!H14*12)),MAX(0,(Motore_Operativo!Y321+Motore_Operativo!X321*Parametri_v3!$C$14)*(1-Parametri_v3!$C$32))*Piano_SS!$D$6,0))</f>
        <v>89656.25</v>
      </c>
      <c r="BW321" s="15" t="n">
        <f aca="false">MIN(Piano_SS!$C$7,(BW320)+IF(AND(Motore_Operativo!C321&gt;=EDATE(Parametri_v3!$C$24,Ipotesi!H14*12),Motore_Operativo!C321&lt;EDATE(Parametri_v3!$C$24,Parametri_v3!$C$25+Ipotesi!H14*12)),MAX(0,(IF(17-(INT((Ipotesi!$C$91)/30))&lt;1,0,INDEX(Motore_Operativo!$BN$305:$BN$364,MAX(1,17-(INT((Ipotesi!$C$91)/30)))))*(1-(MOD((Ipotesi!$C$91),30)/30))+IF(17-(INT((Ipotesi!$C$91)/30))-1&lt;1,0,INDEX(Motore_Operativo!$BN$305:$BN$364,MAX(1,17-(INT((Ipotesi!$C$91)/30))-1)))*(MOD((Ipotesi!$C$91),30)/30)))*Piano_SS!$D$7,0))</f>
        <v>14576.2515758926</v>
      </c>
      <c r="BX321" s="15" t="n">
        <f aca="false">MIN(Piano_SS!$C$8,(BX320)+IF(AND(Motore_Operativo!C321&gt;=EDATE(Parametri_v3!$C$24,Ipotesi!H14*12),Motore_Operativo!C321&lt;EDATE(Parametri_v3!$C$24,Parametri_v3!$C$25+Ipotesi!H14*12)),MAX(0,Motore_Operativo!CE321)*Piano_SS!$D$8,0))</f>
        <v>20416.6666666667</v>
      </c>
      <c r="BY321" s="15" t="n">
        <f aca="false">MIN(Piano_SS!$C$9,(BY320)+IF(AND(Motore_Operativo!C321&gt;=EDATE(Parametri_v3!$C$24,Ipotesi!H14*12),Motore_Operativo!C321&lt;EDATE(Parametri_v3!$C$24,Parametri_v3!$C$25+Ipotesi!H14*12)),MAX(0,((IF(17-(INT((Ipotesi!$C$91)/30))&lt;1,0,INDEX(Motore_Operativo!$BQ$305:$BQ$364,MAX(1,17-(INT((Ipotesi!$C$91)/30)))))*(1-(MOD((Ipotesi!$C$91),30)/30))+IF(17-(INT((Ipotesi!$C$91)/30))-1&lt;1,0,INDEX(Motore_Operativo!$BQ$305:$BQ$364,MAX(1,17-(INT((Ipotesi!$C$91)/30))-1)))*(MOD((Ipotesi!$C$91),30)/30))+(IF(17-(INT((Ipotesi!$C$91)/30))&lt;1,0,INDEX(Motore_Operativo!$BR$305:$BR$364,MAX(1,17-(INT((Ipotesi!$C$91)/30)))))*(1-(MOD((Ipotesi!$C$91),30)/30))+IF(17-(INT((Ipotesi!$C$91)/30))-1&lt;1,0,INDEX(Motore_Operativo!$BR$305:$BR$364,MAX(1,17-(INT((Ipotesi!$C$91)/30))-1)))*(MOD((Ipotesi!$C$91),30)/30))))*Piano_SS!$D$9,0))</f>
        <v>26750</v>
      </c>
      <c r="BZ321" s="15" t="n">
        <f aca="false">MIN(Piano_SS!$C$10,(BZ320)+IF(AND(Motore_Operativo!C321&gt;=EDATE(Parametri_v3!$C$24,Ipotesi!H14*12),Motore_Operativo!C321&lt;EDATE(Parametri_v3!$C$24,Parametri_v3!$C$25+Ipotesi!H14*12)),MAX(0,(IF(17-(INT((Ipotesi!$C$91)/30))&lt;1,0,INDEX(Motore_Operativo!$BO$305:$BO$364,MAX(1,17-(INT((Ipotesi!$C$91)/30)))))*(1-(MOD((Ipotesi!$C$91),30)/30))+IF(17-(INT((Ipotesi!$C$91)/30))-1&lt;1,0,INDEX(Motore_Operativo!$BO$305:$BO$364,MAX(1,17-(INT((Ipotesi!$C$91)/30))-1)))*(MOD((Ipotesi!$C$91),30)/30)))*Piano_SS!$D$10,0))</f>
        <v>13500</v>
      </c>
      <c r="CA321" s="15" t="n">
        <f aca="false">SUM(BV321:BZ321)</f>
        <v>164899.168242559</v>
      </c>
      <c r="CB321" s="15" t="n">
        <f aca="false">BV321*(1-Piano_SS!$E$6)+BW321*(1-Piano_SS!$E$7)+BX321*(1-Piano_SS!$E$8)+BY321*(1-Piano_SS!$E$9)+BZ321*(1-Piano_SS!$E$10)</f>
        <v>151399.168242559</v>
      </c>
      <c r="CC321" s="15" t="n">
        <f aca="false">(CC320)+BA321</f>
        <v>0</v>
      </c>
      <c r="CD321" s="15" t="n">
        <f aca="false">IF(CA321=0,0,CC321*CB321/CA321*Ipotesi!$C$103*Parametri_v3!$C$64)</f>
        <v>0</v>
      </c>
      <c r="CE321" s="18" t="n">
        <f aca="false">IF(BA321&gt;0,Motore_Operativo!C321,(CE320))</f>
        <v>0</v>
      </c>
      <c r="CF321" s="18" t="n">
        <f aca="false">IF(AND(CC321&gt;0,OR(CC321&gt;=CG321-0.01,Motore_Operativo!C321&gt;=EDATE(MAX(Finanziamenti!$D$15:$D$17),Ipotesi!H14*12))),CE321,0)</f>
        <v>0</v>
      </c>
      <c r="CG321" s="15" t="n">
        <f aca="false">IF(AND(6&lt;&gt;6,6&lt;&gt;9,Finanziamenti!$F$11=1,OR(Parametri_v3!$C$6=0,Finanziamenti!$E$11=1)),MIN(Finanziamenti!$C$11,Piano_SS!$C$12*Ipotesi!$C$102),0)</f>
        <v>0</v>
      </c>
      <c r="CH321" s="15" t="n">
        <f aca="false">IF(AND(AND(6&lt;&gt;8,6&lt;&gt;9,Finanziamenti!$F$10=1,OR(Parametri_v3!$C$6=0,Finanziamenti!$E$10=1)),Motore_Operativo!C321&gt;=Finanziamenti!$D$10,Motore_Operativo!C321&lt;Parametri_v3!$C$63),Finanziamenti!$C$10,0)</f>
        <v>150000</v>
      </c>
    </row>
    <row r="322" customFormat="false" ht="18" hidden="false" customHeight="true" outlineLevel="0" collapsed="false">
      <c r="A322" s="68" t="n">
        <f aca="false">6</f>
        <v>6</v>
      </c>
      <c r="B322" s="68" t="n">
        <f aca="false">18</f>
        <v>18</v>
      </c>
      <c r="C322" s="18" t="n">
        <f aca="false">Motore_Operativo!C322</f>
        <v>46905</v>
      </c>
      <c r="D322" s="68" t="n">
        <f aca="false">Motore_Operativo!D322</f>
        <v>2028</v>
      </c>
      <c r="E322" s="68" t="n">
        <f aca="false">Motore_Operativo!E322</f>
        <v>6</v>
      </c>
      <c r="F322" s="15" t="n">
        <f aca="false">Motore_Operativo!AQ322+Motore_Operativo!BF322</f>
        <v>26443.8035232799</v>
      </c>
      <c r="G322" s="15" t="n">
        <f aca="false">Motore_Operativo!BH322</f>
        <v>3398.1220657277</v>
      </c>
      <c r="H322" s="15" t="n">
        <f aca="false">Motore_Operativo!BI322</f>
        <v>29841.9255890076</v>
      </c>
      <c r="I322" s="15" t="n">
        <f aca="false">Motore_Operativo!CA322</f>
        <v>57414.9094885644</v>
      </c>
      <c r="J322" s="15" t="n">
        <f aca="false">Motore_Operativo!CC322</f>
        <v>-27572.9838995568</v>
      </c>
      <c r="K322" s="15" t="n">
        <f aca="false">Motore_Operativo!CE322</f>
        <v>2083.33333333333</v>
      </c>
      <c r="L322" s="15" t="n">
        <f aca="false">SUM(INDEX($K$305:$K$364,MAX(1,18-Parametri_v3!$C$59+1)):K322)/Parametri_v3!$C$59</f>
        <v>902.777777777778</v>
      </c>
      <c r="M322" s="15" t="n">
        <f aca="false">J322-L322</f>
        <v>-28475.7616773345</v>
      </c>
      <c r="N322" s="15" t="n">
        <f aca="false">CD322-(CD321)</f>
        <v>0</v>
      </c>
      <c r="O322" s="15" t="n">
        <f aca="false">(BG321)*Ipotesi!$C$110/12+CH322*Parametri_v3!$C$39/12</f>
        <v>750</v>
      </c>
      <c r="P322" s="15" t="n">
        <f aca="false">M322+N322-O322</f>
        <v>-29225.7616773345</v>
      </c>
      <c r="Q322" s="15" t="n">
        <f aca="false">SUM(P317:P322)+Parametri_v3!$C$54*6/12</f>
        <v>-184189.543134919</v>
      </c>
      <c r="R322" s="15" t="n">
        <f aca="false">Z316</f>
        <v>225824.262399039</v>
      </c>
      <c r="S322" s="15" t="n">
        <f aca="false">AA316</f>
        <v>0</v>
      </c>
      <c r="T322" s="15" t="n">
        <f aca="false">MIN(R322,MAX(0,Q322))</f>
        <v>0</v>
      </c>
      <c r="U322" s="15" t="n">
        <f aca="false">MIN(S322,MAX(0,Q322-T322)*Parametri_v3!$C$42)</f>
        <v>0</v>
      </c>
      <c r="V322" s="15" t="n">
        <f aca="false">MAX(0,Q322-T322-U322)*Ipotesi!$C$92</f>
        <v>0</v>
      </c>
      <c r="W322" s="15" t="n">
        <f aca="false">MAX(0,SUM(M317:M322)+Parametri_v3!$C$55*6/12)*Ipotesi!$C$93</f>
        <v>0</v>
      </c>
      <c r="X322" s="15" t="n">
        <f aca="false">V322+W322-(V321+W321)</f>
        <v>0</v>
      </c>
      <c r="Y322" s="15" t="n">
        <f aca="false">P322-X322</f>
        <v>-29225.7616773345</v>
      </c>
      <c r="Z322" s="15" t="n">
        <f aca="false">R322-T322+IF(AND(Parametri_v3!$C$40=1,D322-YEAR(Parametri_v3!$C$50)&lt;Parametri_v3!$C$41),MAX(0,-Q322),0)</f>
        <v>410013.805533958</v>
      </c>
      <c r="AA322" s="15" t="n">
        <f aca="false">S322-U322+IF(AND(Parametri_v3!$C$40=1,D322-YEAR(Parametri_v3!$C$50)&lt;Parametri_v3!$C$41),0,MAX(0,-Q322))</f>
        <v>0</v>
      </c>
      <c r="AB322" s="15" t="n">
        <f aca="false">F322*(1+Parametri_v3!$C$26)</f>
        <v>32261.4402984015</v>
      </c>
      <c r="AC322" s="15" t="n">
        <f aca="false">(IF(18-(INT((Motore_Operativo!L322)/30))&lt;1,0,INDEX(Motore_Startup!$AB$305:$AB$364,MAX(1,18-(INT((Motore_Operativo!L322)/30)))))*(1-(MOD((Motore_Operativo!L322),30)/30))+IF(18-(INT((Motore_Operativo!L322)/30))-1&lt;1,0,INDEX(Motore_Startup!$AB$305:$AB$364,MAX(1,18-(INT((Motore_Operativo!L322)/30))-1)))*(MOD((Motore_Operativo!L322),30)/30))</f>
        <v>29209.486714538</v>
      </c>
      <c r="AD322" s="15" t="n">
        <f aca="false">(AD321)+AB322-AC322</f>
        <v>93393.828441989</v>
      </c>
      <c r="AE322" s="15" t="n">
        <f aca="false">Motore_Operativo!BH322*(1+Parametri_v3!$C$26)</f>
        <v>4145.70892018779</v>
      </c>
      <c r="AF322" s="15" t="n">
        <f aca="false">(IF(18-(INT((Parametri_v3!$C$29)/30))&lt;1,0,INDEX(Motore_Operativo!$BH$305:$BH$364,MAX(1,18-(INT((Parametri_v3!$C$29)/30)))))*(1-(MOD((Parametri_v3!$C$29),30)/30))+IF(18-(INT((Parametri_v3!$C$29)/30))-1&lt;1,0,INDEX(Motore_Operativo!$BH$305:$BH$364,MAX(1,18-(INT((Parametri_v3!$C$29)/30))-1)))*(MOD((Parametri_v3!$C$29),30)/30))*(1+Parametri_v3!$C$26)</f>
        <v>4145.70892018779</v>
      </c>
      <c r="AG322" s="15" t="n">
        <f aca="false">(AG321)+AE322-AF322</f>
        <v>4145.70892018779</v>
      </c>
      <c r="AH322" s="15" t="n">
        <f aca="false">(Motore_Operativo!CJ322)*(1+Parametri_v3!$C$27*Parametri_v3!$C$26)</f>
        <v>20953.4100629259</v>
      </c>
      <c r="AI322" s="15" t="n">
        <f aca="false">(IF(18-(INT((Ipotesi!$C$91)/30))&lt;1,0,INDEX(Motore_Startup!$AH$305:$AH$364,MAX(1,18-(INT((Ipotesi!$C$91)/30)))))*(1-(MOD((Ipotesi!$C$91),30)/30))+IF(18-(INT((Ipotesi!$C$91)/30))-1&lt;1,0,INDEX(Motore_Startup!$AH$305:$AH$364,MAX(1,18-(INT((Ipotesi!$C$91)/30))-1)))*(MOD((Ipotesi!$C$91),30)/30))</f>
        <v>20645.0725045873</v>
      </c>
      <c r="AJ322" s="15" t="n">
        <f aca="false">(AJ321)+AH322-AI322</f>
        <v>41753.3281465876</v>
      </c>
      <c r="AK322" s="15" t="n">
        <f aca="false">(F322+ Motore_Operativo!BH322-(Motore_Operativo!CJ322)*Parametri_v3!$C$27-Motore_Operativo!CE322)*Parametri_v3!$C$26</f>
        <v>2805.8897218868</v>
      </c>
      <c r="AL322" s="15" t="n">
        <f aca="false">MAX(0,(AM321))</f>
        <v>2626.8680861847</v>
      </c>
      <c r="AM322" s="15" t="n">
        <f aca="false">(AM321)+AK322-AL322</f>
        <v>2805.8897218868</v>
      </c>
      <c r="AN322" s="15" t="n">
        <f aca="false">SUM(X305:X316)</f>
        <v>0</v>
      </c>
      <c r="AO322" s="15" t="n">
        <f aca="false">SUM(AP305:AP316)</f>
        <v>0</v>
      </c>
      <c r="AP322" s="15" t="n">
        <f aca="false">MAX(0,AN322)*IF(6=Parametri_v3!$C$43,Parametri_v3!$C$45,IF(6=Parametri_v3!$C$44,1-Parametri_v3!$C$45,0))</f>
        <v>0</v>
      </c>
      <c r="AQ322" s="15" t="n">
        <f aca="false">MAX(0,AP322+IF(6=Parametri_v3!$C$43,MAX(0,AN322-AO322),0)-MAX(0,-(AR321)))</f>
        <v>0</v>
      </c>
      <c r="AR322" s="15" t="n">
        <f aca="false">(AR321)+X322-AQ322</f>
        <v>0</v>
      </c>
      <c r="AS322" s="15" t="n">
        <f aca="false">Motore_Operativo!AB322-AT322+AU322</f>
        <v>37774.375</v>
      </c>
      <c r="AT322" s="15" t="n">
        <f aca="false">Motore_Operativo!CH322</f>
        <v>1988.125</v>
      </c>
      <c r="AU322" s="15" t="n">
        <f aca="false">MIN(MAX(0,(AV321)+AT322),Parametri_v3!$C$60/12)</f>
        <v>0</v>
      </c>
      <c r="AV322" s="15" t="n">
        <f aca="false">(AV321)+AT322-AU322</f>
        <v>22678.75</v>
      </c>
      <c r="AW322" s="15" t="n">
        <f aca="false">IF(AND(Motore_Operativo!C322=Finanziamenti!$D$6,Finanziamenti!$F$6=1),Finanziamenti!$C$6,0)</f>
        <v>0</v>
      </c>
      <c r="AX322" s="15" t="n">
        <f aca="false">IF(AND(6&lt;&gt;7,6&lt;&gt;9,Finanziamenti!$F$8=1,OR(Parametri_v3!$C$6=0,Finanziamenti!$E$8=1),Motore_Operativo!C322=EDATE(Finanziamenti!$D$8,Ipotesi!H15*12)),Finanziamenti!$C$8*1,0)+IF(AND(6&lt;&gt;7,6&lt;&gt;9,Finanziamenti!$F$9=1,OR(Parametri_v3!$C$6=0,Finanziamenti!$E$9=1),Motore_Operativo!C322=EDATE(Finanziamenti!$D$9,Ipotesi!H15*12)),Finanziamenti!$C$9*Ipotesi!H16,0)</f>
        <v>300000</v>
      </c>
      <c r="AY322" s="15" t="n">
        <f aca="false">0</f>
        <v>0</v>
      </c>
      <c r="AZ322" s="15" t="n">
        <f aca="false">Motore_Advisory!AY322*(1-Ipotesi!$C$95)*Ipotesi!$C$96</f>
        <v>0</v>
      </c>
      <c r="BA322" s="15" t="n">
        <f aca="false">MAX(0,MIN(CG322*MIN(1,IF(Motore_Operativo!C322&gt;=EDATE(Finanziamenti!$D$15,Ipotesi!H14*12),Finanziamenti!$C$15,0)+IF(Motore_Operativo!C322&gt;=EDATE(Finanziamenti!$D$16,Ipotesi!H14*12),Finanziamenti!$C$16,0)+IF(Motore_Operativo!C322&gt;=EDATE(Finanziamenti!$D$17,Ipotesi!H14*12),Finanziamenti!$C$17,0)),CA322*Ipotesi!$C$102)-(CC321))</f>
        <v>0</v>
      </c>
      <c r="BB322" s="15" t="n">
        <f aca="false">IF(AND(CF322&gt;0,Motore_Operativo!C322&gt;=IF(CF322=0,0,EDATE(CF322,Parametri_v3!$C$37)),MOD(((D322-YEAR(IF(CF322=0,0,EDATE(CF322,Parametri_v3!$C$37))))*12+E322-MONTH(IF(CF322=0,0,EDATE(CF322,Parametri_v3!$C$37)))),Parametri_v3!$C$38)=0),MIN(MAX(0,(BC321)+BA322-N322),(CC322-CD322)/(Ipotesi!$C$108*12/Parametri_v3!$C$38)),0)</f>
        <v>0</v>
      </c>
      <c r="BC322" s="15" t="n">
        <f aca="false">(BC321)+BA322-N322-BB322</f>
        <v>0</v>
      </c>
      <c r="BD322" s="15" t="n">
        <f aca="false">(BH321)+AC322+AF322-AI322-AS322-K322*(1+Parametri_v3!$C$26)-AL322-AQ322-O322+AW322+AX322+AZ322+BA322-BB322</f>
        <v>115344.347194562</v>
      </c>
      <c r="BE322" s="15" t="n">
        <f aca="false">MAX(0,MIN(MAX(0,CH322-(BG321)),Parametri_v3!$C$30-BD322))</f>
        <v>0</v>
      </c>
      <c r="BF322" s="15" t="n">
        <f aca="false">IF(Motore_Operativo!C322&gt;=Parametri_v3!$C$63,(BG321),MIN((BG321),MAX(0,BD322-Parametri_v3!$C$30)))</f>
        <v>90344.3471945623</v>
      </c>
      <c r="BG322" s="15" t="n">
        <f aca="false">(BG321)+BE322-BF322</f>
        <v>59655.6528054377</v>
      </c>
      <c r="BH322" s="15" t="n">
        <f aca="false">BD322+BE322-BF322-AY322</f>
        <v>25000</v>
      </c>
      <c r="BI322" s="15" t="n">
        <f aca="false">MAX(0,Parametri_v3!$C$30-BH322)</f>
        <v>0</v>
      </c>
      <c r="BJ322" s="15" t="n">
        <f aca="false">(BJ321)+K322</f>
        <v>32500</v>
      </c>
      <c r="BK322" s="15" t="n">
        <f aca="false">(BK321)+L322</f>
        <v>8159.72222222222</v>
      </c>
      <c r="BL322" s="15" t="n">
        <f aca="false">BJ322-BK322</f>
        <v>24340.2777777778</v>
      </c>
      <c r="BM322" s="15" t="n">
        <f aca="false">(BM321)+Y322</f>
        <v>-410013.805533958</v>
      </c>
      <c r="BN322" s="15" t="n">
        <f aca="false">(BN321)+AW322+AX322+AZ322</f>
        <v>430000</v>
      </c>
      <c r="BO322" s="15" t="n">
        <f aca="false">(BO321)+AY322</f>
        <v>0</v>
      </c>
      <c r="BP322" s="15" t="n">
        <f aca="false">0</f>
        <v>0</v>
      </c>
      <c r="BQ322" s="15" t="n">
        <f aca="false">BN322+BM322-BO322</f>
        <v>19986.1944660423</v>
      </c>
      <c r="BR322" s="15" t="n">
        <f aca="false">BH322+AD322+BL322+MAX(0,-AM322)+MAX(0,-AR322)+AG322</f>
        <v>146879.815139955</v>
      </c>
      <c r="BS322" s="15" t="n">
        <f aca="false">AJ322+AV322+MAX(0,AM322)+MAX(0,AR322)+BC322+BG322+BQ322</f>
        <v>146879.815139955</v>
      </c>
      <c r="BT322" s="15" t="n">
        <f aca="false">BR322-BS322</f>
        <v>0</v>
      </c>
      <c r="BU322" s="15" t="n">
        <f aca="false">BH322-(BD322+BE322-BF322-AY322)</f>
        <v>0</v>
      </c>
      <c r="BV322" s="15" t="n">
        <f aca="false">MIN(Piano_SS!$C$6,(BV321)+IF(AND(Motore_Operativo!C322&gt;=EDATE(Parametri_v3!$C$24,Ipotesi!H14*12),Motore_Operativo!C322&lt;EDATE(Parametri_v3!$C$24,Parametri_v3!$C$25+Ipotesi!H14*12)),MAX(0,(Motore_Operativo!Y322+Motore_Operativo!X322*Parametri_v3!$C$14)*(1-Parametri_v3!$C$32))*Piano_SS!$D$6,0))</f>
        <v>101887.5</v>
      </c>
      <c r="BW322" s="15" t="n">
        <f aca="false">MIN(Piano_SS!$C$7,(BW321)+IF(AND(Motore_Operativo!C322&gt;=EDATE(Parametri_v3!$C$24,Ipotesi!H14*12),Motore_Operativo!C322&lt;EDATE(Parametri_v3!$C$24,Parametri_v3!$C$25+Ipotesi!H14*12)),MAX(0,(IF(18-(INT((Ipotesi!$C$91)/30))&lt;1,0,INDEX(Motore_Operativo!$BN$305:$BN$364,MAX(1,18-(INT((Ipotesi!$C$91)/30)))))*(1-(MOD((Ipotesi!$C$91),30)/30))+IF(18-(INT((Ipotesi!$C$91)/30))-1&lt;1,0,INDEX(Motore_Operativo!$BN$305:$BN$364,MAX(1,18-(INT((Ipotesi!$C$91)/30))-1)))*(MOD((Ipotesi!$C$91),30)/30)))*Piano_SS!$D$7,0))</f>
        <v>16083.3203982106</v>
      </c>
      <c r="BX322" s="15" t="n">
        <f aca="false">MIN(Piano_SS!$C$8,(BX321)+IF(AND(Motore_Operativo!C322&gt;=EDATE(Parametri_v3!$C$24,Ipotesi!H14*12),Motore_Operativo!C322&lt;EDATE(Parametri_v3!$C$24,Parametri_v3!$C$25+Ipotesi!H14*12)),MAX(0,Motore_Operativo!CE322)*Piano_SS!$D$8,0))</f>
        <v>22500</v>
      </c>
      <c r="BY322" s="15" t="n">
        <f aca="false">MIN(Piano_SS!$C$9,(BY321)+IF(AND(Motore_Operativo!C322&gt;=EDATE(Parametri_v3!$C$24,Ipotesi!H14*12),Motore_Operativo!C322&lt;EDATE(Parametri_v3!$C$24,Parametri_v3!$C$25+Ipotesi!H14*12)),MAX(0,((IF(18-(INT((Ipotesi!$C$91)/30))&lt;1,0,INDEX(Motore_Operativo!$BQ$305:$BQ$364,MAX(1,18-(INT((Ipotesi!$C$91)/30)))))*(1-(MOD((Ipotesi!$C$91),30)/30))+IF(18-(INT((Ipotesi!$C$91)/30))-1&lt;1,0,INDEX(Motore_Operativo!$BQ$305:$BQ$364,MAX(1,18-(INT((Ipotesi!$C$91)/30))-1)))*(MOD((Ipotesi!$C$91),30)/30))+(IF(18-(INT((Ipotesi!$C$91)/30))&lt;1,0,INDEX(Motore_Operativo!$BR$305:$BR$364,MAX(1,18-(INT((Ipotesi!$C$91)/30)))))*(1-(MOD((Ipotesi!$C$91),30)/30))+IF(18-(INT((Ipotesi!$C$91)/30))-1&lt;1,0,INDEX(Motore_Operativo!$BR$305:$BR$364,MAX(1,18-(INT((Ipotesi!$C$91)/30))-1)))*(MOD((Ipotesi!$C$91),30)/30))))*Piano_SS!$D$9,0))</f>
        <v>29666.6666666667</v>
      </c>
      <c r="BZ322" s="15" t="n">
        <f aca="false">MIN(Piano_SS!$C$10,(BZ321)+IF(AND(Motore_Operativo!C322&gt;=EDATE(Parametri_v3!$C$24,Ipotesi!H14*12),Motore_Operativo!C322&lt;EDATE(Parametri_v3!$C$24,Parametri_v3!$C$25+Ipotesi!H14*12)),MAX(0,(IF(18-(INT((Ipotesi!$C$91)/30))&lt;1,0,INDEX(Motore_Operativo!$BO$305:$BO$364,MAX(1,18-(INT((Ipotesi!$C$91)/30)))))*(1-(MOD((Ipotesi!$C$91),30)/30))+IF(18-(INT((Ipotesi!$C$91)/30))-1&lt;1,0,INDEX(Motore_Operativo!$BO$305:$BO$364,MAX(1,18-(INT((Ipotesi!$C$91)/30))-1)))*(MOD((Ipotesi!$C$91),30)/30)))*Piano_SS!$D$10,0))</f>
        <v>15333.3333333333</v>
      </c>
      <c r="CA322" s="15" t="n">
        <f aca="false">SUM(BV322:BZ322)</f>
        <v>185470.820398211</v>
      </c>
      <c r="CB322" s="15" t="n">
        <f aca="false">BV322*(1-Piano_SS!$E$6)+BW322*(1-Piano_SS!$E$7)+BX322*(1-Piano_SS!$E$8)+BY322*(1-Piano_SS!$E$9)+BZ322*(1-Piano_SS!$E$10)</f>
        <v>170137.487064877</v>
      </c>
      <c r="CC322" s="15" t="n">
        <f aca="false">(CC321)+BA322</f>
        <v>0</v>
      </c>
      <c r="CD322" s="15" t="n">
        <f aca="false">IF(CA322=0,0,CC322*CB322/CA322*Ipotesi!$C$103*Parametri_v3!$C$64)</f>
        <v>0</v>
      </c>
      <c r="CE322" s="18" t="n">
        <f aca="false">IF(BA322&gt;0,Motore_Operativo!C322,(CE321))</f>
        <v>0</v>
      </c>
      <c r="CF322" s="18" t="n">
        <f aca="false">IF(AND(CC322&gt;0,OR(CC322&gt;=CG322-0.01,Motore_Operativo!C322&gt;=EDATE(MAX(Finanziamenti!$D$15:$D$17),Ipotesi!H14*12))),CE322,0)</f>
        <v>0</v>
      </c>
      <c r="CG322" s="15" t="n">
        <f aca="false">IF(AND(6&lt;&gt;6,6&lt;&gt;9,Finanziamenti!$F$11=1,OR(Parametri_v3!$C$6=0,Finanziamenti!$E$11=1)),MIN(Finanziamenti!$C$11,Piano_SS!$C$12*Ipotesi!$C$102),0)</f>
        <v>0</v>
      </c>
      <c r="CH322" s="15" t="n">
        <f aca="false">IF(AND(AND(6&lt;&gt;8,6&lt;&gt;9,Finanziamenti!$F$10=1,OR(Parametri_v3!$C$6=0,Finanziamenti!$E$10=1)),Motore_Operativo!C322&gt;=Finanziamenti!$D$10,Motore_Operativo!C322&lt;Parametri_v3!$C$63),Finanziamenti!$C$10,0)</f>
        <v>150000</v>
      </c>
    </row>
    <row r="323" customFormat="false" ht="18" hidden="false" customHeight="true" outlineLevel="0" collapsed="false">
      <c r="A323" s="68" t="n">
        <f aca="false">6</f>
        <v>6</v>
      </c>
      <c r="B323" s="68" t="n">
        <f aca="false">19</f>
        <v>19</v>
      </c>
      <c r="C323" s="18" t="n">
        <f aca="false">Motore_Operativo!C323</f>
        <v>46935</v>
      </c>
      <c r="D323" s="68" t="n">
        <f aca="false">Motore_Operativo!D323</f>
        <v>2028</v>
      </c>
      <c r="E323" s="68" t="n">
        <f aca="false">Motore_Operativo!E323</f>
        <v>7</v>
      </c>
      <c r="F323" s="15" t="n">
        <f aca="false">Motore_Operativo!AQ323+Motore_Operativo!BF323</f>
        <v>27359.3782741328</v>
      </c>
      <c r="G323" s="15" t="n">
        <f aca="false">Motore_Operativo!BH323</f>
        <v>3398.1220657277</v>
      </c>
      <c r="H323" s="15" t="n">
        <f aca="false">Motore_Operativo!BI323</f>
        <v>30757.5003398605</v>
      </c>
      <c r="I323" s="15" t="n">
        <f aca="false">Motore_Operativo!CA323</f>
        <v>57543.0899536838</v>
      </c>
      <c r="J323" s="15" t="n">
        <f aca="false">Motore_Operativo!CC323</f>
        <v>-26785.5896138232</v>
      </c>
      <c r="K323" s="15" t="n">
        <f aca="false">Motore_Operativo!CE323</f>
        <v>2083.33333333333</v>
      </c>
      <c r="L323" s="15" t="n">
        <f aca="false">SUM(INDEX($K$305:$K$364,MAX(1,19-Parametri_v3!$C$59+1)):K323)/Parametri_v3!$C$59</f>
        <v>960.648148148148</v>
      </c>
      <c r="M323" s="15" t="n">
        <f aca="false">J323-L323</f>
        <v>-27746.2377619714</v>
      </c>
      <c r="N323" s="15" t="n">
        <f aca="false">CD323-(CD322)</f>
        <v>0</v>
      </c>
      <c r="O323" s="15" t="n">
        <f aca="false">(BG322)*Ipotesi!$C$110/12+CH323*Parametri_v3!$C$39/12</f>
        <v>298.278264027189</v>
      </c>
      <c r="P323" s="15" t="n">
        <f aca="false">M323+N323-O323</f>
        <v>-28044.5160259986</v>
      </c>
      <c r="Q323" s="15" t="n">
        <f aca="false">SUM(P317:P323)+Parametri_v3!$C$54*7/12</f>
        <v>-212234.059160917</v>
      </c>
      <c r="R323" s="15" t="n">
        <f aca="false">Z316</f>
        <v>225824.262399039</v>
      </c>
      <c r="S323" s="15" t="n">
        <f aca="false">AA316</f>
        <v>0</v>
      </c>
      <c r="T323" s="15" t="n">
        <f aca="false">MIN(R323,MAX(0,Q323))</f>
        <v>0</v>
      </c>
      <c r="U323" s="15" t="n">
        <f aca="false">MIN(S323,MAX(0,Q323-T323)*Parametri_v3!$C$42)</f>
        <v>0</v>
      </c>
      <c r="V323" s="15" t="n">
        <f aca="false">MAX(0,Q323-T323-U323)*Ipotesi!$C$92</f>
        <v>0</v>
      </c>
      <c r="W323" s="15" t="n">
        <f aca="false">MAX(0,SUM(M317:M323)+Parametri_v3!$C$55*7/12)*Ipotesi!$C$93</f>
        <v>0</v>
      </c>
      <c r="X323" s="15" t="n">
        <f aca="false">V323+W323-(V322+W322)</f>
        <v>0</v>
      </c>
      <c r="Y323" s="15" t="n">
        <f aca="false">P323-X323</f>
        <v>-28044.5160259986</v>
      </c>
      <c r="Z323" s="15" t="n">
        <f aca="false">R323-T323+IF(AND(Parametri_v3!$C$40=1,D323-YEAR(Parametri_v3!$C$50)&lt;Parametri_v3!$C$41),MAX(0,-Q323),0)</f>
        <v>438058.321559956</v>
      </c>
      <c r="AA323" s="15" t="n">
        <f aca="false">S323-U323+IF(AND(Parametri_v3!$C$40=1,D323-YEAR(Parametri_v3!$C$50)&lt;Parametri_v3!$C$41),0,MAX(0,-Q323))</f>
        <v>0</v>
      </c>
      <c r="AB323" s="15" t="n">
        <f aca="false">F323*(1+Parametri_v3!$C$26)</f>
        <v>33378.4414944421</v>
      </c>
      <c r="AC323" s="15" t="n">
        <f aca="false">(IF(19-(INT((Motore_Operativo!L323)/30))&lt;1,0,INDEX(Motore_Startup!$AB$305:$AB$364,MAX(1,19-(INT((Motore_Operativo!L323)/30)))))*(1-(MOD((Motore_Operativo!L323),30)/30))+IF(19-(INT((Motore_Operativo!L323)/30))-1&lt;1,0,INDEX(Motore_Startup!$AB$305:$AB$364,MAX(1,19-(INT((Motore_Operativo!L323)/30))-1)))*(MOD((Motore_Operativo!L323),30)/30))</f>
        <v>29997.7995403494</v>
      </c>
      <c r="AD323" s="15" t="n">
        <f aca="false">(AD322)+AB323-AC323</f>
        <v>96774.4703960816</v>
      </c>
      <c r="AE323" s="15" t="n">
        <f aca="false">Motore_Operativo!BH323*(1+Parametri_v3!$C$26)</f>
        <v>4145.70892018779</v>
      </c>
      <c r="AF323" s="15" t="n">
        <f aca="false">(IF(19-(INT((Parametri_v3!$C$29)/30))&lt;1,0,INDEX(Motore_Operativo!$BH$305:$BH$364,MAX(1,19-(INT((Parametri_v3!$C$29)/30)))))*(1-(MOD((Parametri_v3!$C$29),30)/30))+IF(19-(INT((Parametri_v3!$C$29)/30))-1&lt;1,0,INDEX(Motore_Operativo!$BH$305:$BH$364,MAX(1,19-(INT((Parametri_v3!$C$29)/30))-1)))*(MOD((Parametri_v3!$C$29),30)/30))*(1+Parametri_v3!$C$26)</f>
        <v>4145.70892018779</v>
      </c>
      <c r="AG323" s="15" t="n">
        <f aca="false">(AG322)+AE323-AF323</f>
        <v>4145.70892018779</v>
      </c>
      <c r="AH323" s="15" t="n">
        <f aca="false">(Motore_Operativo!CJ323)*(1+Parametri_v3!$C$27*Parametri_v3!$C$26)</f>
        <v>21105.5602750226</v>
      </c>
      <c r="AI323" s="15" t="n">
        <f aca="false">(IF(19-(INT((Ipotesi!$C$91)/30))&lt;1,0,INDEX(Motore_Startup!$AH$305:$AH$364,MAX(1,19-(INT((Ipotesi!$C$91)/30)))))*(1-(MOD((Ipotesi!$C$91),30)/30))+IF(19-(INT((Ipotesi!$C$91)/30))-1&lt;1,0,INDEX(Motore_Startup!$AH$305:$AH$364,MAX(1,19-(INT((Ipotesi!$C$91)/30))-1)))*(MOD((Ipotesi!$C$91),30)/30))</f>
        <v>20799.9180836617</v>
      </c>
      <c r="AJ323" s="15" t="n">
        <f aca="false">(AJ322)+AH323-AI323</f>
        <v>42058.9703379485</v>
      </c>
      <c r="AK323" s="15" t="n">
        <f aca="false">(F323+ Motore_Operativo!BH323-(Motore_Operativo!CJ323)*Parametri_v3!$C$27-Motore_Operativo!CE323)*Parametri_v3!$C$26</f>
        <v>2983.34642009712</v>
      </c>
      <c r="AL323" s="15" t="n">
        <f aca="false">MAX(0,(AM322))</f>
        <v>2805.8897218868</v>
      </c>
      <c r="AM323" s="15" t="n">
        <f aca="false">(AM322)+AK323-AL323</f>
        <v>2983.34642009712</v>
      </c>
      <c r="AN323" s="15" t="n">
        <f aca="false">SUM(X305:X316)</f>
        <v>0</v>
      </c>
      <c r="AO323" s="15" t="n">
        <f aca="false">SUM(AP305:AP316)</f>
        <v>0</v>
      </c>
      <c r="AP323" s="15" t="n">
        <f aca="false">MAX(0,AN323)*IF(7=Parametri_v3!$C$43,Parametri_v3!$C$45,IF(7=Parametri_v3!$C$44,1-Parametri_v3!$C$45,0))</f>
        <v>0</v>
      </c>
      <c r="AQ323" s="15" t="n">
        <f aca="false">MAX(0,AP323+IF(7=Parametri_v3!$C$43,MAX(0,AN323-AO323),0)-MAX(0,-(AR322)))</f>
        <v>0</v>
      </c>
      <c r="AR323" s="15" t="n">
        <f aca="false">(AR322)+X323-AQ323</f>
        <v>0</v>
      </c>
      <c r="AS323" s="15" t="n">
        <f aca="false">Motore_Operativo!AB323-AT323+AU323</f>
        <v>37774.375</v>
      </c>
      <c r="AT323" s="15" t="n">
        <f aca="false">Motore_Operativo!CH323</f>
        <v>1988.125</v>
      </c>
      <c r="AU323" s="15" t="n">
        <f aca="false">MIN(MAX(0,(AV322)+AT323),Parametri_v3!$C$60/12)</f>
        <v>0</v>
      </c>
      <c r="AV323" s="15" t="n">
        <f aca="false">(AV322)+AT323-AU323</f>
        <v>24666.875</v>
      </c>
      <c r="AW323" s="15" t="n">
        <f aca="false">IF(AND(Motore_Operativo!C323=Finanziamenti!$D$6,Finanziamenti!$F$6=1),Finanziamenti!$C$6,0)</f>
        <v>0</v>
      </c>
      <c r="AX323" s="15" t="n">
        <f aca="false">IF(AND(6&lt;&gt;7,6&lt;&gt;9,Finanziamenti!$F$8=1,OR(Parametri_v3!$C$6=0,Finanziamenti!$E$8=1),Motore_Operativo!C323=EDATE(Finanziamenti!$D$8,Ipotesi!H15*12)),Finanziamenti!$C$8*1,0)+IF(AND(6&lt;&gt;7,6&lt;&gt;9,Finanziamenti!$F$9=1,OR(Parametri_v3!$C$6=0,Finanziamenti!$E$9=1),Motore_Operativo!C323=EDATE(Finanziamenti!$D$9,Ipotesi!H15*12)),Finanziamenti!$C$9*Ipotesi!H16,0)</f>
        <v>0</v>
      </c>
      <c r="AY323" s="15" t="n">
        <f aca="false">0</f>
        <v>0</v>
      </c>
      <c r="AZ323" s="15" t="n">
        <f aca="false">Motore_Advisory!AY323*(1-Ipotesi!$C$95)*Ipotesi!$C$96</f>
        <v>0</v>
      </c>
      <c r="BA323" s="15" t="n">
        <f aca="false">MAX(0,MIN(CG323*MIN(1,IF(Motore_Operativo!C323&gt;=EDATE(Finanziamenti!$D$15,Ipotesi!H14*12),Finanziamenti!$C$15,0)+IF(Motore_Operativo!C323&gt;=EDATE(Finanziamenti!$D$16,Ipotesi!H14*12),Finanziamenti!$C$16,0)+IF(Motore_Operativo!C323&gt;=EDATE(Finanziamenti!$D$17,Ipotesi!H14*12),Finanziamenti!$C$17,0)),CA323*Ipotesi!$C$102)-(CC322))</f>
        <v>0</v>
      </c>
      <c r="BB323" s="15" t="n">
        <f aca="false">IF(AND(CF323&gt;0,Motore_Operativo!C323&gt;=IF(CF323=0,0,EDATE(CF323,Parametri_v3!$C$37)),MOD(((D323-YEAR(IF(CF323=0,0,EDATE(CF323,Parametri_v3!$C$37))))*12+E323-MONTH(IF(CF323=0,0,EDATE(CF323,Parametri_v3!$C$37)))),Parametri_v3!$C$38)=0),MIN(MAX(0,(BC322)+BA323-N323),(CC323-CD323)/(Ipotesi!$C$108*12/Parametri_v3!$C$38)),0)</f>
        <v>0</v>
      </c>
      <c r="BC323" s="15" t="n">
        <f aca="false">(BC322)+BA323-N323-BB323</f>
        <v>0</v>
      </c>
      <c r="BD323" s="15" t="n">
        <f aca="false">(BH322)+AC323+AF323-AI323-AS323-K323*(1+Parametri_v3!$C$26)-AL323-AQ323-O323+AW323+AX323+AZ323+BA323-BB323</f>
        <v>-5076.6192757052</v>
      </c>
      <c r="BE323" s="15" t="n">
        <f aca="false">MAX(0,MIN(MAX(0,CH323-(BG322)),Parametri_v3!$C$30-BD323))</f>
        <v>30076.6192757052</v>
      </c>
      <c r="BF323" s="15" t="n">
        <f aca="false">IF(Motore_Operativo!C323&gt;=Parametri_v3!$C$63,(BG322),MIN((BG322),MAX(0,BD323-Parametri_v3!$C$30)))</f>
        <v>0</v>
      </c>
      <c r="BG323" s="15" t="n">
        <f aca="false">(BG322)+BE323-BF323</f>
        <v>89732.2720811429</v>
      </c>
      <c r="BH323" s="15" t="n">
        <f aca="false">BD323+BE323-BF323-AY323</f>
        <v>25000</v>
      </c>
      <c r="BI323" s="15" t="n">
        <f aca="false">MAX(0,Parametri_v3!$C$30-BH323)</f>
        <v>0</v>
      </c>
      <c r="BJ323" s="15" t="n">
        <f aca="false">(BJ322)+K323</f>
        <v>34583.3333333333</v>
      </c>
      <c r="BK323" s="15" t="n">
        <f aca="false">(BK322)+L323</f>
        <v>9120.37037037037</v>
      </c>
      <c r="BL323" s="15" t="n">
        <f aca="false">BJ323-BK323</f>
        <v>25462.962962963</v>
      </c>
      <c r="BM323" s="15" t="n">
        <f aca="false">(BM322)+Y323</f>
        <v>-438058.321559956</v>
      </c>
      <c r="BN323" s="15" t="n">
        <f aca="false">(BN322)+AW323+AX323+AZ323</f>
        <v>430000</v>
      </c>
      <c r="BO323" s="15" t="n">
        <f aca="false">(BO322)+AY323</f>
        <v>0</v>
      </c>
      <c r="BP323" s="15" t="n">
        <f aca="false">0</f>
        <v>0</v>
      </c>
      <c r="BQ323" s="15" t="n">
        <f aca="false">BN323+BM323-BO323</f>
        <v>-8058.32155995624</v>
      </c>
      <c r="BR323" s="15" t="n">
        <f aca="false">BH323+AD323+BL323+MAX(0,-AM323)+MAX(0,-AR323)+AG323</f>
        <v>151383.142279232</v>
      </c>
      <c r="BS323" s="15" t="n">
        <f aca="false">AJ323+AV323+MAX(0,AM323)+MAX(0,AR323)+BC323+BG323+BQ323</f>
        <v>151383.142279232</v>
      </c>
      <c r="BT323" s="15" t="n">
        <f aca="false">BR323-BS323</f>
        <v>0</v>
      </c>
      <c r="BU323" s="15" t="n">
        <f aca="false">BH323-(BD323+BE323-BF323-AY323)</f>
        <v>0</v>
      </c>
      <c r="BV323" s="15" t="n">
        <f aca="false">MIN(Piano_SS!$C$6,(BV322)+IF(AND(Motore_Operativo!C323&gt;=EDATE(Parametri_v3!$C$24,Ipotesi!H14*12),Motore_Operativo!C323&lt;EDATE(Parametri_v3!$C$24,Parametri_v3!$C$25+Ipotesi!H14*12)),MAX(0,(Motore_Operativo!Y323+Motore_Operativo!X323*Parametri_v3!$C$14)*(1-Parametri_v3!$C$32))*Piano_SS!$D$6,0))</f>
        <v>114118.75</v>
      </c>
      <c r="BW323" s="15" t="n">
        <f aca="false">MIN(Piano_SS!$C$7,(BW322)+IF(AND(Motore_Operativo!C323&gt;=EDATE(Parametri_v3!$C$24,Ipotesi!H14*12),Motore_Operativo!C323&lt;EDATE(Parametri_v3!$C$24,Parametri_v3!$C$25+Ipotesi!H14*12)),MAX(0,(IF(19-(INT((Ipotesi!$C$91)/30))&lt;1,0,INDEX(Motore_Operativo!$BN$305:$BN$364,MAX(1,19-(INT((Ipotesi!$C$91)/30)))))*(1-(MOD((Ipotesi!$C$91),30)/30))+IF(19-(INT((Ipotesi!$C$91)/30))-1&lt;1,0,INDEX(Motore_Operativo!$BN$305:$BN$364,MAX(1,19-(INT((Ipotesi!$C$91)/30))-1)))*(MOD((Ipotesi!$C$91),30)/30)))*Piano_SS!$D$7,0))</f>
        <v>17664.9327656361</v>
      </c>
      <c r="BX323" s="15" t="n">
        <f aca="false">MIN(Piano_SS!$C$8,(BX322)+IF(AND(Motore_Operativo!C323&gt;=EDATE(Parametri_v3!$C$24,Ipotesi!H14*12),Motore_Operativo!C323&lt;EDATE(Parametri_v3!$C$24,Parametri_v3!$C$25+Ipotesi!H14*12)),MAX(0,Motore_Operativo!CE323)*Piano_SS!$D$8,0))</f>
        <v>24583.3333333333</v>
      </c>
      <c r="BY323" s="15" t="n">
        <f aca="false">MIN(Piano_SS!$C$9,(BY322)+IF(AND(Motore_Operativo!C323&gt;=EDATE(Parametri_v3!$C$24,Ipotesi!H14*12),Motore_Operativo!C323&lt;EDATE(Parametri_v3!$C$24,Parametri_v3!$C$25+Ipotesi!H14*12)),MAX(0,((IF(19-(INT((Ipotesi!$C$91)/30))&lt;1,0,INDEX(Motore_Operativo!$BQ$305:$BQ$364,MAX(1,19-(INT((Ipotesi!$C$91)/30)))))*(1-(MOD((Ipotesi!$C$91),30)/30))+IF(19-(INT((Ipotesi!$C$91)/30))-1&lt;1,0,INDEX(Motore_Operativo!$BQ$305:$BQ$364,MAX(1,19-(INT((Ipotesi!$C$91)/30))-1)))*(MOD((Ipotesi!$C$91),30)/30))+(IF(19-(INT((Ipotesi!$C$91)/30))&lt;1,0,INDEX(Motore_Operativo!$BR$305:$BR$364,MAX(1,19-(INT((Ipotesi!$C$91)/30)))))*(1-(MOD((Ipotesi!$C$91),30)/30))+IF(19-(INT((Ipotesi!$C$91)/30))-1&lt;1,0,INDEX(Motore_Operativo!$BR$305:$BR$364,MAX(1,19-(INT((Ipotesi!$C$91)/30))-1)))*(MOD((Ipotesi!$C$91),30)/30))))*Piano_SS!$D$9,0))</f>
        <v>32583.3333333333</v>
      </c>
      <c r="BZ323" s="15" t="n">
        <f aca="false">MIN(Piano_SS!$C$10,(BZ322)+IF(AND(Motore_Operativo!C323&gt;=EDATE(Parametri_v3!$C$24,Ipotesi!H14*12),Motore_Operativo!C323&lt;EDATE(Parametri_v3!$C$24,Parametri_v3!$C$25+Ipotesi!H14*12)),MAX(0,(IF(19-(INT((Ipotesi!$C$91)/30))&lt;1,0,INDEX(Motore_Operativo!$BO$305:$BO$364,MAX(1,19-(INT((Ipotesi!$C$91)/30)))))*(1-(MOD((Ipotesi!$C$91),30)/30))+IF(19-(INT((Ipotesi!$C$91)/30))-1&lt;1,0,INDEX(Motore_Operativo!$BO$305:$BO$364,MAX(1,19-(INT((Ipotesi!$C$91)/30))-1)))*(MOD((Ipotesi!$C$91),30)/30)))*Piano_SS!$D$10,0))</f>
        <v>17166.6666666667</v>
      </c>
      <c r="CA323" s="15" t="n">
        <f aca="false">SUM(BV323:BZ323)</f>
        <v>206117.016098969</v>
      </c>
      <c r="CB323" s="15" t="n">
        <f aca="false">BV323*(1-Piano_SS!$E$6)+BW323*(1-Piano_SS!$E$7)+BX323*(1-Piano_SS!$E$8)+BY323*(1-Piano_SS!$E$9)+BZ323*(1-Piano_SS!$E$10)</f>
        <v>188950.349432303</v>
      </c>
      <c r="CC323" s="15" t="n">
        <f aca="false">(CC322)+BA323</f>
        <v>0</v>
      </c>
      <c r="CD323" s="15" t="n">
        <f aca="false">IF(CA323=0,0,CC323*CB323/CA323*Ipotesi!$C$103*Parametri_v3!$C$64)</f>
        <v>0</v>
      </c>
      <c r="CE323" s="18" t="n">
        <f aca="false">IF(BA323&gt;0,Motore_Operativo!C323,(CE322))</f>
        <v>0</v>
      </c>
      <c r="CF323" s="18" t="n">
        <f aca="false">IF(AND(CC323&gt;0,OR(CC323&gt;=CG323-0.01,Motore_Operativo!C323&gt;=EDATE(MAX(Finanziamenti!$D$15:$D$17),Ipotesi!H14*12))),CE323,0)</f>
        <v>0</v>
      </c>
      <c r="CG323" s="15" t="n">
        <f aca="false">IF(AND(6&lt;&gt;6,6&lt;&gt;9,Finanziamenti!$F$11=1,OR(Parametri_v3!$C$6=0,Finanziamenti!$E$11=1)),MIN(Finanziamenti!$C$11,Piano_SS!$C$12*Ipotesi!$C$102),0)</f>
        <v>0</v>
      </c>
      <c r="CH323" s="15" t="n">
        <f aca="false">IF(AND(AND(6&lt;&gt;8,6&lt;&gt;9,Finanziamenti!$F$10=1,OR(Parametri_v3!$C$6=0,Finanziamenti!$E$10=1)),Motore_Operativo!C323&gt;=Finanziamenti!$D$10,Motore_Operativo!C323&lt;Parametri_v3!$C$63),Finanziamenti!$C$10,0)</f>
        <v>150000</v>
      </c>
    </row>
    <row r="324" customFormat="false" ht="18" hidden="false" customHeight="true" outlineLevel="0" collapsed="false">
      <c r="A324" s="68" t="n">
        <f aca="false">6</f>
        <v>6</v>
      </c>
      <c r="B324" s="68" t="n">
        <f aca="false">20</f>
        <v>20</v>
      </c>
      <c r="C324" s="18" t="n">
        <f aca="false">Motore_Operativo!C324</f>
        <v>46966</v>
      </c>
      <c r="D324" s="68" t="n">
        <f aca="false">Motore_Operativo!D324</f>
        <v>2028</v>
      </c>
      <c r="E324" s="68" t="n">
        <f aca="false">Motore_Operativo!E324</f>
        <v>8</v>
      </c>
      <c r="F324" s="15" t="n">
        <f aca="false">Motore_Operativo!AQ324+Motore_Operativo!BF324</f>
        <v>28266.9494267139</v>
      </c>
      <c r="G324" s="15" t="n">
        <f aca="false">Motore_Operativo!BH324</f>
        <v>3398.1220657277</v>
      </c>
      <c r="H324" s="15" t="n">
        <f aca="false">Motore_Operativo!BI324</f>
        <v>31665.0714924416</v>
      </c>
      <c r="I324" s="15" t="n">
        <f aca="false">Motore_Operativo!CA324</f>
        <v>57670.1499150451</v>
      </c>
      <c r="J324" s="15" t="n">
        <f aca="false">Motore_Operativo!CC324</f>
        <v>-26005.0784226035</v>
      </c>
      <c r="K324" s="15" t="n">
        <f aca="false">Motore_Operativo!CE324</f>
        <v>2083.33333333333</v>
      </c>
      <c r="L324" s="15" t="n">
        <f aca="false">SUM(INDEX($K$305:$K$364,MAX(1,20-Parametri_v3!$C$59+1)):K324)/Parametri_v3!$C$59</f>
        <v>1018.51851851852</v>
      </c>
      <c r="M324" s="15" t="n">
        <f aca="false">J324-L324</f>
        <v>-27023.5969411221</v>
      </c>
      <c r="N324" s="15" t="n">
        <f aca="false">CD324-(CD323)</f>
        <v>0</v>
      </c>
      <c r="O324" s="15" t="n">
        <f aca="false">(BG323)*Ipotesi!$C$110/12+CH324*Parametri_v3!$C$39/12</f>
        <v>448.661360405715</v>
      </c>
      <c r="P324" s="15" t="n">
        <f aca="false">M324+N324-O324</f>
        <v>-27472.2583015278</v>
      </c>
      <c r="Q324" s="15" t="n">
        <f aca="false">SUM(P317:P324)+Parametri_v3!$C$54*8/12</f>
        <v>-239706.317462445</v>
      </c>
      <c r="R324" s="15" t="n">
        <f aca="false">Z316</f>
        <v>225824.262399039</v>
      </c>
      <c r="S324" s="15" t="n">
        <f aca="false">AA316</f>
        <v>0</v>
      </c>
      <c r="T324" s="15" t="n">
        <f aca="false">MIN(R324,MAX(0,Q324))</f>
        <v>0</v>
      </c>
      <c r="U324" s="15" t="n">
        <f aca="false">MIN(S324,MAX(0,Q324-T324)*Parametri_v3!$C$42)</f>
        <v>0</v>
      </c>
      <c r="V324" s="15" t="n">
        <f aca="false">MAX(0,Q324-T324-U324)*Ipotesi!$C$92</f>
        <v>0</v>
      </c>
      <c r="W324" s="15" t="n">
        <f aca="false">MAX(0,SUM(M317:M324)+Parametri_v3!$C$55*8/12)*Ipotesi!$C$93</f>
        <v>0</v>
      </c>
      <c r="X324" s="15" t="n">
        <f aca="false">V324+W324-(V323+W323)</f>
        <v>0</v>
      </c>
      <c r="Y324" s="15" t="n">
        <f aca="false">P324-X324</f>
        <v>-27472.2583015278</v>
      </c>
      <c r="Z324" s="15" t="n">
        <f aca="false">R324-T324+IF(AND(Parametri_v3!$C$40=1,D324-YEAR(Parametri_v3!$C$50)&lt;Parametri_v3!$C$41),MAX(0,-Q324),0)</f>
        <v>465530.579861484</v>
      </c>
      <c r="AA324" s="15" t="n">
        <f aca="false">S324-U324+IF(AND(Parametri_v3!$C$40=1,D324-YEAR(Parametri_v3!$C$50)&lt;Parametri_v3!$C$41),0,MAX(0,-Q324))</f>
        <v>0</v>
      </c>
      <c r="AB324" s="15" t="n">
        <f aca="false">F324*(1+Parametri_v3!$C$26)</f>
        <v>34485.6783005909</v>
      </c>
      <c r="AC324" s="15" t="n">
        <f aca="false">(IF(20-(INT((Motore_Operativo!L324)/30))&lt;1,0,INDEX(Motore_Startup!$AB$305:$AB$364,MAX(1,20-(INT((Motore_Operativo!L324)/30)))))*(1-(MOD((Motore_Operativo!L324),30)/30))+IF(20-(INT((Motore_Operativo!L324)/30))-1&lt;1,0,INDEX(Motore_Startup!$AB$305:$AB$364,MAX(1,20-(INT((Motore_Operativo!L324)/30))-1)))*(MOD((Motore_Operativo!L324),30)/30))</f>
        <v>31134.5886032381</v>
      </c>
      <c r="AD324" s="15" t="n">
        <f aca="false">(AD323)+AB324-AC324</f>
        <v>100125.560093434</v>
      </c>
      <c r="AE324" s="15" t="n">
        <f aca="false">Motore_Operativo!BH324*(1+Parametri_v3!$C$26)</f>
        <v>4145.70892018779</v>
      </c>
      <c r="AF324" s="15" t="n">
        <f aca="false">(IF(20-(INT((Parametri_v3!$C$29)/30))&lt;1,0,INDEX(Motore_Operativo!$BH$305:$BH$364,MAX(1,20-(INT((Parametri_v3!$C$29)/30)))))*(1-(MOD((Parametri_v3!$C$29),30)/30))+IF(20-(INT((Parametri_v3!$C$29)/30))-1&lt;1,0,INDEX(Motore_Operativo!$BH$305:$BH$364,MAX(1,20-(INT((Parametri_v3!$C$29)/30))-1)))*(MOD((Parametri_v3!$C$29),30)/30))*(1+Parametri_v3!$C$26)</f>
        <v>4145.70892018779</v>
      </c>
      <c r="AG324" s="15" t="n">
        <f aca="false">(AG323)+AE324-AF324</f>
        <v>4145.70892018779</v>
      </c>
      <c r="AH324" s="15" t="n">
        <f aca="false">(Motore_Operativo!CJ324)*(1+Parametri_v3!$C$27*Parametri_v3!$C$26)</f>
        <v>21256.3804491586</v>
      </c>
      <c r="AI324" s="15" t="n">
        <f aca="false">(IF(20-(INT((Ipotesi!$C$91)/30))&lt;1,0,INDEX(Motore_Startup!$AH$305:$AH$364,MAX(1,20-(INT((Ipotesi!$C$91)/30)))))*(1-(MOD((Ipotesi!$C$91),30)/30))+IF(20-(INT((Ipotesi!$C$91)/30))-1&lt;1,0,INDEX(Motore_Startup!$AH$305:$AH$364,MAX(1,20-(INT((Ipotesi!$C$91)/30))-1)))*(MOD((Ipotesi!$C$91),30)/30))</f>
        <v>20953.4100629259</v>
      </c>
      <c r="AJ324" s="15" t="n">
        <f aca="false">(AJ323)+AH324-AI324</f>
        <v>42361.9407241812</v>
      </c>
      <c r="AK324" s="15" t="n">
        <f aca="false">(F324+ Motore_Operativo!BH324-(Motore_Operativo!CJ324)*Parametri_v3!$C$27-Motore_Operativo!CE324)*Parametri_v3!$C$26</f>
        <v>3159.25186089038</v>
      </c>
      <c r="AL324" s="15" t="n">
        <f aca="false">MAX(0,(AM323))</f>
        <v>2983.34642009712</v>
      </c>
      <c r="AM324" s="15" t="n">
        <f aca="false">(AM323)+AK324-AL324</f>
        <v>3159.25186089038</v>
      </c>
      <c r="AN324" s="15" t="n">
        <f aca="false">SUM(X305:X316)</f>
        <v>0</v>
      </c>
      <c r="AO324" s="15" t="n">
        <f aca="false">SUM(AP305:AP316)</f>
        <v>0</v>
      </c>
      <c r="AP324" s="15" t="n">
        <f aca="false">MAX(0,AN324)*IF(8=Parametri_v3!$C$43,Parametri_v3!$C$45,IF(8=Parametri_v3!$C$44,1-Parametri_v3!$C$45,0))</f>
        <v>0</v>
      </c>
      <c r="AQ324" s="15" t="n">
        <f aca="false">MAX(0,AP324+IF(8=Parametri_v3!$C$43,MAX(0,AN324-AO324),0)-MAX(0,-(AR323)))</f>
        <v>0</v>
      </c>
      <c r="AR324" s="15" t="n">
        <f aca="false">(AR323)+X324-AQ324</f>
        <v>0</v>
      </c>
      <c r="AS324" s="15" t="n">
        <f aca="false">Motore_Operativo!AB324-AT324+AU324</f>
        <v>37774.375</v>
      </c>
      <c r="AT324" s="15" t="n">
        <f aca="false">Motore_Operativo!CH324</f>
        <v>1988.125</v>
      </c>
      <c r="AU324" s="15" t="n">
        <f aca="false">MIN(MAX(0,(AV323)+AT324),Parametri_v3!$C$60/12)</f>
        <v>0</v>
      </c>
      <c r="AV324" s="15" t="n">
        <f aca="false">(AV323)+AT324-AU324</f>
        <v>26655</v>
      </c>
      <c r="AW324" s="15" t="n">
        <f aca="false">IF(AND(Motore_Operativo!C324=Finanziamenti!$D$6,Finanziamenti!$F$6=1),Finanziamenti!$C$6,0)</f>
        <v>0</v>
      </c>
      <c r="AX324" s="15" t="n">
        <f aca="false">IF(AND(6&lt;&gt;7,6&lt;&gt;9,Finanziamenti!$F$8=1,OR(Parametri_v3!$C$6=0,Finanziamenti!$E$8=1),Motore_Operativo!C324=EDATE(Finanziamenti!$D$8,Ipotesi!H15*12)),Finanziamenti!$C$8*1,0)+IF(AND(6&lt;&gt;7,6&lt;&gt;9,Finanziamenti!$F$9=1,OR(Parametri_v3!$C$6=0,Finanziamenti!$E$9=1),Motore_Operativo!C324=EDATE(Finanziamenti!$D$9,Ipotesi!H15*12)),Finanziamenti!$C$9*Ipotesi!H16,0)</f>
        <v>0</v>
      </c>
      <c r="AY324" s="15" t="n">
        <f aca="false">0</f>
        <v>0</v>
      </c>
      <c r="AZ324" s="15" t="n">
        <f aca="false">Motore_Advisory!AY324*(1-Ipotesi!$C$95)*Ipotesi!$C$96</f>
        <v>0</v>
      </c>
      <c r="BA324" s="15" t="n">
        <f aca="false">MAX(0,MIN(CG324*MIN(1,IF(Motore_Operativo!C324&gt;=EDATE(Finanziamenti!$D$15,Ipotesi!H14*12),Finanziamenti!$C$15,0)+IF(Motore_Operativo!C324&gt;=EDATE(Finanziamenti!$D$16,Ipotesi!H14*12),Finanziamenti!$C$16,0)+IF(Motore_Operativo!C324&gt;=EDATE(Finanziamenti!$D$17,Ipotesi!H14*12),Finanziamenti!$C$17,0)),CA324*Ipotesi!$C$102)-(CC323))</f>
        <v>0</v>
      </c>
      <c r="BB324" s="15" t="n">
        <f aca="false">IF(AND(CF324&gt;0,Motore_Operativo!C324&gt;=IF(CF324=0,0,EDATE(CF324,Parametri_v3!$C$37)),MOD(((D324-YEAR(IF(CF324=0,0,EDATE(CF324,Parametri_v3!$C$37))))*12+E324-MONTH(IF(CF324=0,0,EDATE(CF324,Parametri_v3!$C$37)))),Parametri_v3!$C$38)=0),MIN(MAX(0,(BC323)+BA324-N324),(CC324-CD324)/(Ipotesi!$C$108*12/Parametri_v3!$C$38)),0)</f>
        <v>0</v>
      </c>
      <c r="BC324" s="15" t="n">
        <f aca="false">(BC323)+BA324-N324-BB324</f>
        <v>0</v>
      </c>
      <c r="BD324" s="15" t="n">
        <f aca="false">(BH323)+AC324+AF324-AI324-AS324-K324*(1+Parametri_v3!$C$26)-AL324-AQ324-O324+AW324+AX324+AZ324+BA324-BB324</f>
        <v>-4421.1619866695</v>
      </c>
      <c r="BE324" s="15" t="n">
        <f aca="false">MAX(0,MIN(MAX(0,CH324-(BG323)),Parametri_v3!$C$30-BD324))</f>
        <v>29421.1619866695</v>
      </c>
      <c r="BF324" s="15" t="n">
        <f aca="false">IF(Motore_Operativo!C324&gt;=Parametri_v3!$C$63,(BG323),MIN((BG323),MAX(0,BD324-Parametri_v3!$C$30)))</f>
        <v>0</v>
      </c>
      <c r="BG324" s="15" t="n">
        <f aca="false">(BG323)+BE324-BF324</f>
        <v>119153.434067812</v>
      </c>
      <c r="BH324" s="15" t="n">
        <f aca="false">BD324+BE324-BF324-AY324</f>
        <v>25000</v>
      </c>
      <c r="BI324" s="15" t="n">
        <f aca="false">MAX(0,Parametri_v3!$C$30-BH324)</f>
        <v>0</v>
      </c>
      <c r="BJ324" s="15" t="n">
        <f aca="false">(BJ323)+K324</f>
        <v>36666.6666666667</v>
      </c>
      <c r="BK324" s="15" t="n">
        <f aca="false">(BK323)+L324</f>
        <v>10138.8888888889</v>
      </c>
      <c r="BL324" s="15" t="n">
        <f aca="false">BJ324-BK324</f>
        <v>26527.7777777778</v>
      </c>
      <c r="BM324" s="15" t="n">
        <f aca="false">(BM323)+Y324</f>
        <v>-465530.579861484</v>
      </c>
      <c r="BN324" s="15" t="n">
        <f aca="false">(BN323)+AW324+AX324+AZ324</f>
        <v>430000</v>
      </c>
      <c r="BO324" s="15" t="n">
        <f aca="false">(BO323)+AY324</f>
        <v>0</v>
      </c>
      <c r="BP324" s="15" t="n">
        <f aca="false">0</f>
        <v>0</v>
      </c>
      <c r="BQ324" s="15" t="n">
        <f aca="false">BN324+BM324-BO324</f>
        <v>-35530.579861484</v>
      </c>
      <c r="BR324" s="15" t="n">
        <f aca="false">BH324+AD324+BL324+MAX(0,-AM324)+MAX(0,-AR324)+AG324</f>
        <v>155799.0467914</v>
      </c>
      <c r="BS324" s="15" t="n">
        <f aca="false">AJ324+AV324+MAX(0,AM324)+MAX(0,AR324)+BC324+BG324+BQ324</f>
        <v>155799.0467914</v>
      </c>
      <c r="BT324" s="15" t="n">
        <f aca="false">BR324-BS324</f>
        <v>0</v>
      </c>
      <c r="BU324" s="15" t="n">
        <f aca="false">BH324-(BD324+BE324-BF324-AY324)</f>
        <v>0</v>
      </c>
      <c r="BV324" s="15" t="n">
        <f aca="false">MIN(Piano_SS!$C$6,(BV323)+IF(AND(Motore_Operativo!C324&gt;=EDATE(Parametri_v3!$C$24,Ipotesi!H14*12),Motore_Operativo!C324&lt;EDATE(Parametri_v3!$C$24,Parametri_v3!$C$25+Ipotesi!H14*12)),MAX(0,(Motore_Operativo!Y324+Motore_Operativo!X324*Parametri_v3!$C$14)*(1-Parametri_v3!$C$32))*Piano_SS!$D$6,0))</f>
        <v>126350</v>
      </c>
      <c r="BW324" s="15" t="n">
        <f aca="false">MIN(Piano_SS!$C$7,(BW323)+IF(AND(Motore_Operativo!C324&gt;=EDATE(Parametri_v3!$C$24,Ipotesi!H14*12),Motore_Operativo!C324&lt;EDATE(Parametri_v3!$C$24,Parametri_v3!$C$25+Ipotesi!H14*12)),MAX(0,(IF(20-(INT((Ipotesi!$C$91)/30))&lt;1,0,INDEX(Motore_Operativo!$BN$305:$BN$364,MAX(1,20-(INT((Ipotesi!$C$91)/30)))))*(1-(MOD((Ipotesi!$C$91),30)/30))+IF(20-(INT((Ipotesi!$C$91)/30))-1&lt;1,0,INDEX(Motore_Operativo!$BN$305:$BN$364,MAX(1,20-(INT((Ipotesi!$C$91)/30))-1)))*(MOD((Ipotesi!$C$91),30)/30)))*Piano_SS!$D$7,0))</f>
        <v>19320.4370474985</v>
      </c>
      <c r="BX324" s="15" t="n">
        <f aca="false">MIN(Piano_SS!$C$8,(BX323)+IF(AND(Motore_Operativo!C324&gt;=EDATE(Parametri_v3!$C$24,Ipotesi!H14*12),Motore_Operativo!C324&lt;EDATE(Parametri_v3!$C$24,Parametri_v3!$C$25+Ipotesi!H14*12)),MAX(0,Motore_Operativo!CE324)*Piano_SS!$D$8,0))</f>
        <v>26666.6666666667</v>
      </c>
      <c r="BY324" s="15" t="n">
        <f aca="false">MIN(Piano_SS!$C$9,(BY323)+IF(AND(Motore_Operativo!C324&gt;=EDATE(Parametri_v3!$C$24,Ipotesi!H14*12),Motore_Operativo!C324&lt;EDATE(Parametri_v3!$C$24,Parametri_v3!$C$25+Ipotesi!H14*12)),MAX(0,((IF(20-(INT((Ipotesi!$C$91)/30))&lt;1,0,INDEX(Motore_Operativo!$BQ$305:$BQ$364,MAX(1,20-(INT((Ipotesi!$C$91)/30)))))*(1-(MOD((Ipotesi!$C$91),30)/30))+IF(20-(INT((Ipotesi!$C$91)/30))-1&lt;1,0,INDEX(Motore_Operativo!$BQ$305:$BQ$364,MAX(1,20-(INT((Ipotesi!$C$91)/30))-1)))*(MOD((Ipotesi!$C$91),30)/30))+(IF(20-(INT((Ipotesi!$C$91)/30))&lt;1,0,INDEX(Motore_Operativo!$BR$305:$BR$364,MAX(1,20-(INT((Ipotesi!$C$91)/30)))))*(1-(MOD((Ipotesi!$C$91),30)/30))+IF(20-(INT((Ipotesi!$C$91)/30))-1&lt;1,0,INDEX(Motore_Operativo!$BR$305:$BR$364,MAX(1,20-(INT((Ipotesi!$C$91)/30))-1)))*(MOD((Ipotesi!$C$91),30)/30))))*Piano_SS!$D$9,0))</f>
        <v>35500</v>
      </c>
      <c r="BZ324" s="15" t="n">
        <f aca="false">MIN(Piano_SS!$C$10,(BZ323)+IF(AND(Motore_Operativo!C324&gt;=EDATE(Parametri_v3!$C$24,Ipotesi!H14*12),Motore_Operativo!C324&lt;EDATE(Parametri_v3!$C$24,Parametri_v3!$C$25+Ipotesi!H14*12)),MAX(0,(IF(20-(INT((Ipotesi!$C$91)/30))&lt;1,0,INDEX(Motore_Operativo!$BO$305:$BO$364,MAX(1,20-(INT((Ipotesi!$C$91)/30)))))*(1-(MOD((Ipotesi!$C$91),30)/30))+IF(20-(INT((Ipotesi!$C$91)/30))-1&lt;1,0,INDEX(Motore_Operativo!$BO$305:$BO$364,MAX(1,20-(INT((Ipotesi!$C$91)/30))-1)))*(MOD((Ipotesi!$C$91),30)/30)))*Piano_SS!$D$10,0))</f>
        <v>19000</v>
      </c>
      <c r="CA324" s="15" t="n">
        <f aca="false">SUM(BV324:BZ324)</f>
        <v>226837.103714165</v>
      </c>
      <c r="CB324" s="15" t="n">
        <f aca="false">BV324*(1-Piano_SS!$E$6)+BW324*(1-Piano_SS!$E$7)+BX324*(1-Piano_SS!$E$8)+BY324*(1-Piano_SS!$E$9)+BZ324*(1-Piano_SS!$E$10)</f>
        <v>207837.103714165</v>
      </c>
      <c r="CC324" s="15" t="n">
        <f aca="false">(CC323)+BA324</f>
        <v>0</v>
      </c>
      <c r="CD324" s="15" t="n">
        <f aca="false">IF(CA324=0,0,CC324*CB324/CA324*Ipotesi!$C$103*Parametri_v3!$C$64)</f>
        <v>0</v>
      </c>
      <c r="CE324" s="18" t="n">
        <f aca="false">IF(BA324&gt;0,Motore_Operativo!C324,(CE323))</f>
        <v>0</v>
      </c>
      <c r="CF324" s="18" t="n">
        <f aca="false">IF(AND(CC324&gt;0,OR(CC324&gt;=CG324-0.01,Motore_Operativo!C324&gt;=EDATE(MAX(Finanziamenti!$D$15:$D$17),Ipotesi!H14*12))),CE324,0)</f>
        <v>0</v>
      </c>
      <c r="CG324" s="15" t="n">
        <f aca="false">IF(AND(6&lt;&gt;6,6&lt;&gt;9,Finanziamenti!$F$11=1,OR(Parametri_v3!$C$6=0,Finanziamenti!$E$11=1)),MIN(Finanziamenti!$C$11,Piano_SS!$C$12*Ipotesi!$C$102),0)</f>
        <v>0</v>
      </c>
      <c r="CH324" s="15" t="n">
        <f aca="false">IF(AND(AND(6&lt;&gt;8,6&lt;&gt;9,Finanziamenti!$F$10=1,OR(Parametri_v3!$C$6=0,Finanziamenti!$E$10=1)),Motore_Operativo!C324&gt;=Finanziamenti!$D$10,Motore_Operativo!C324&lt;Parametri_v3!$C$63),Finanziamenti!$C$10,0)</f>
        <v>150000</v>
      </c>
    </row>
    <row r="325" customFormat="false" ht="18" hidden="false" customHeight="true" outlineLevel="0" collapsed="false">
      <c r="A325" s="68" t="n">
        <f aca="false">6</f>
        <v>6</v>
      </c>
      <c r="B325" s="68" t="n">
        <f aca="false">21</f>
        <v>21</v>
      </c>
      <c r="C325" s="18" t="n">
        <f aca="false">Motore_Operativo!C325</f>
        <v>46997</v>
      </c>
      <c r="D325" s="68" t="n">
        <f aca="false">Motore_Operativo!D325</f>
        <v>2028</v>
      </c>
      <c r="E325" s="68" t="n">
        <f aca="false">Motore_Operativo!E325</f>
        <v>9</v>
      </c>
      <c r="F325" s="15" t="n">
        <f aca="false">Motore_Operativo!AQ325+Motore_Operativo!BF325</f>
        <v>29166.5869453654</v>
      </c>
      <c r="G325" s="15" t="n">
        <f aca="false">Motore_Operativo!BH325</f>
        <v>3398.1220657277</v>
      </c>
      <c r="H325" s="15" t="n">
        <f aca="false">Motore_Operativo!BI325</f>
        <v>32564.7090110931</v>
      </c>
      <c r="I325" s="15" t="n">
        <f aca="false">Motore_Operativo!CA325</f>
        <v>57796.0991676563</v>
      </c>
      <c r="J325" s="15" t="n">
        <f aca="false">Motore_Operativo!CC325</f>
        <v>-25231.3901565633</v>
      </c>
      <c r="K325" s="15" t="n">
        <f aca="false">Motore_Operativo!CE325</f>
        <v>2083.33333333333</v>
      </c>
      <c r="L325" s="15" t="n">
        <f aca="false">SUM(INDEX($K$305:$K$364,MAX(1,21-Parametri_v3!$C$59+1)):K325)/Parametri_v3!$C$59</f>
        <v>1076.38888888889</v>
      </c>
      <c r="M325" s="15" t="n">
        <f aca="false">J325-L325</f>
        <v>-26307.7790454521</v>
      </c>
      <c r="N325" s="15" t="n">
        <f aca="false">CD325-(CD324)</f>
        <v>0</v>
      </c>
      <c r="O325" s="15" t="n">
        <f aca="false">(BG324)*Ipotesi!$C$110/12+CH325*Parametri_v3!$C$39/12</f>
        <v>595.767170339062</v>
      </c>
      <c r="P325" s="15" t="n">
        <f aca="false">M325+N325-O325</f>
        <v>-26903.5462157912</v>
      </c>
      <c r="Q325" s="15" t="n">
        <f aca="false">SUM(P317:P325)+Parametri_v3!$C$54*9/12</f>
        <v>-266609.863678236</v>
      </c>
      <c r="R325" s="15" t="n">
        <f aca="false">Z316</f>
        <v>225824.262399039</v>
      </c>
      <c r="S325" s="15" t="n">
        <f aca="false">AA316</f>
        <v>0</v>
      </c>
      <c r="T325" s="15" t="n">
        <f aca="false">MIN(R325,MAX(0,Q325))</f>
        <v>0</v>
      </c>
      <c r="U325" s="15" t="n">
        <f aca="false">MIN(S325,MAX(0,Q325-T325)*Parametri_v3!$C$42)</f>
        <v>0</v>
      </c>
      <c r="V325" s="15" t="n">
        <f aca="false">MAX(0,Q325-T325-U325)*Ipotesi!$C$92</f>
        <v>0</v>
      </c>
      <c r="W325" s="15" t="n">
        <f aca="false">MAX(0,SUM(M317:M325)+Parametri_v3!$C$55*9/12)*Ipotesi!$C$93</f>
        <v>0</v>
      </c>
      <c r="X325" s="15" t="n">
        <f aca="false">V325+W325-(V324+W324)</f>
        <v>0</v>
      </c>
      <c r="Y325" s="15" t="n">
        <f aca="false">P325-X325</f>
        <v>-26903.5462157912</v>
      </c>
      <c r="Z325" s="15" t="n">
        <f aca="false">R325-T325+IF(AND(Parametri_v3!$C$40=1,D325-YEAR(Parametri_v3!$C$50)&lt;Parametri_v3!$C$41),MAX(0,-Q325),0)</f>
        <v>492434.126077275</v>
      </c>
      <c r="AA325" s="15" t="n">
        <f aca="false">S325-U325+IF(AND(Parametri_v3!$C$40=1,D325-YEAR(Parametri_v3!$C$50)&lt;Parametri_v3!$C$41),0,MAX(0,-Q325))</f>
        <v>0</v>
      </c>
      <c r="AB325" s="15" t="n">
        <f aca="false">F325*(1+Parametri_v3!$C$26)</f>
        <v>35583.2360733457</v>
      </c>
      <c r="AC325" s="15" t="n">
        <f aca="false">(IF(21-(INT((Motore_Operativo!L325)/30))&lt;1,0,INDEX(Motore_Startup!$AB$305:$AB$364,MAX(1,21-(INT((Motore_Operativo!L325)/30)))))*(1-(MOD((Motore_Operativo!L325),30)/30))+IF(21-(INT((Motore_Operativo!L325)/30))-1&lt;1,0,INDEX(Motore_Startup!$AB$305:$AB$364,MAX(1,21-(INT((Motore_Operativo!L325)/30))-1)))*(MOD((Motore_Operativo!L325),30)/30))</f>
        <v>32261.4402984015</v>
      </c>
      <c r="AD325" s="15" t="n">
        <f aca="false">(AD324)+AB325-AC325</f>
        <v>103447.355868379</v>
      </c>
      <c r="AE325" s="15" t="n">
        <f aca="false">Motore_Operativo!BH325*(1+Parametri_v3!$C$26)</f>
        <v>4145.70892018779</v>
      </c>
      <c r="AF325" s="15" t="n">
        <f aca="false">(IF(21-(INT((Parametri_v3!$C$29)/30))&lt;1,0,INDEX(Motore_Operativo!$BH$305:$BH$364,MAX(1,21-(INT((Parametri_v3!$C$29)/30)))))*(1-(MOD((Parametri_v3!$C$29),30)/30))+IF(21-(INT((Parametri_v3!$C$29)/30))-1&lt;1,0,INDEX(Motore_Operativo!$BH$305:$BH$364,MAX(1,21-(INT((Parametri_v3!$C$29)/30))-1)))*(MOD((Parametri_v3!$C$29),30)/30))*(1+Parametri_v3!$C$26)</f>
        <v>4145.70892018779</v>
      </c>
      <c r="AG325" s="15" t="n">
        <f aca="false">(AG324)+AE325-AF325</f>
        <v>4145.70892018779</v>
      </c>
      <c r="AH325" s="15" t="n">
        <f aca="false">(Motore_Operativo!CJ325)*(1+Parametri_v3!$C$27*Parametri_v3!$C$26)</f>
        <v>21405.882212008</v>
      </c>
      <c r="AI325" s="15" t="n">
        <f aca="false">(IF(21-(INT((Ipotesi!$C$91)/30))&lt;1,0,INDEX(Motore_Startup!$AH$305:$AH$364,MAX(1,21-(INT((Ipotesi!$C$91)/30)))))*(1-(MOD((Ipotesi!$C$91),30)/30))+IF(21-(INT((Ipotesi!$C$91)/30))-1&lt;1,0,INDEX(Motore_Startup!$AH$305:$AH$364,MAX(1,21-(INT((Ipotesi!$C$91)/30))-1)))*(MOD((Ipotesi!$C$91),30)/30))</f>
        <v>21105.5602750226</v>
      </c>
      <c r="AJ325" s="15" t="n">
        <f aca="false">(AJ324)+AH325-AI325</f>
        <v>42662.2626611666</v>
      </c>
      <c r="AK325" s="15" t="n">
        <f aca="false">(F325+ Motore_Operativo!BH325-(Motore_Operativo!CJ325)*Parametri_v3!$C$27-Motore_Operativo!CE325)*Parametri_v3!$C$26</f>
        <v>3333.61960475541</v>
      </c>
      <c r="AL325" s="15" t="n">
        <f aca="false">MAX(0,(AM324))</f>
        <v>3159.25186089038</v>
      </c>
      <c r="AM325" s="15" t="n">
        <f aca="false">(AM324)+AK325-AL325</f>
        <v>3333.61960475541</v>
      </c>
      <c r="AN325" s="15" t="n">
        <f aca="false">SUM(X305:X316)</f>
        <v>0</v>
      </c>
      <c r="AO325" s="15" t="n">
        <f aca="false">SUM(AP305:AP316)</f>
        <v>0</v>
      </c>
      <c r="AP325" s="15" t="n">
        <f aca="false">MAX(0,AN325)*IF(9=Parametri_v3!$C$43,Parametri_v3!$C$45,IF(9=Parametri_v3!$C$44,1-Parametri_v3!$C$45,0))</f>
        <v>0</v>
      </c>
      <c r="AQ325" s="15" t="n">
        <f aca="false">MAX(0,AP325+IF(9=Parametri_v3!$C$43,MAX(0,AN325-AO325),0)-MAX(0,-(AR324)))</f>
        <v>0</v>
      </c>
      <c r="AR325" s="15" t="n">
        <f aca="false">(AR324)+X325-AQ325</f>
        <v>0</v>
      </c>
      <c r="AS325" s="15" t="n">
        <f aca="false">Motore_Operativo!AB325-AT325+AU325</f>
        <v>37774.375</v>
      </c>
      <c r="AT325" s="15" t="n">
        <f aca="false">Motore_Operativo!CH325</f>
        <v>1988.125</v>
      </c>
      <c r="AU325" s="15" t="n">
        <f aca="false">MIN(MAX(0,(AV324)+AT325),Parametri_v3!$C$60/12)</f>
        <v>0</v>
      </c>
      <c r="AV325" s="15" t="n">
        <f aca="false">(AV324)+AT325-AU325</f>
        <v>28643.125</v>
      </c>
      <c r="AW325" s="15" t="n">
        <f aca="false">IF(AND(Motore_Operativo!C325=Finanziamenti!$D$6,Finanziamenti!$F$6=1),Finanziamenti!$C$6,0)</f>
        <v>0</v>
      </c>
      <c r="AX325" s="15" t="n">
        <f aca="false">IF(AND(6&lt;&gt;7,6&lt;&gt;9,Finanziamenti!$F$8=1,OR(Parametri_v3!$C$6=0,Finanziamenti!$E$8=1),Motore_Operativo!C325=EDATE(Finanziamenti!$D$8,Ipotesi!H15*12)),Finanziamenti!$C$8*1,0)+IF(AND(6&lt;&gt;7,6&lt;&gt;9,Finanziamenti!$F$9=1,OR(Parametri_v3!$C$6=0,Finanziamenti!$E$9=1),Motore_Operativo!C325=EDATE(Finanziamenti!$D$9,Ipotesi!H15*12)),Finanziamenti!$C$9*Ipotesi!H16,0)</f>
        <v>0</v>
      </c>
      <c r="AY325" s="15" t="n">
        <f aca="false">0</f>
        <v>0</v>
      </c>
      <c r="AZ325" s="15" t="n">
        <f aca="false">Motore_Advisory!AY325*(1-Ipotesi!$C$95)*Ipotesi!$C$96</f>
        <v>0</v>
      </c>
      <c r="BA325" s="15" t="n">
        <f aca="false">MAX(0,MIN(CG325*MIN(1,IF(Motore_Operativo!C325&gt;=EDATE(Finanziamenti!$D$15,Ipotesi!H14*12),Finanziamenti!$C$15,0)+IF(Motore_Operativo!C325&gt;=EDATE(Finanziamenti!$D$16,Ipotesi!H14*12),Finanziamenti!$C$16,0)+IF(Motore_Operativo!C325&gt;=EDATE(Finanziamenti!$D$17,Ipotesi!H14*12),Finanziamenti!$C$17,0)),CA325*Ipotesi!$C$102)-(CC324))</f>
        <v>0</v>
      </c>
      <c r="BB325" s="15" t="n">
        <f aca="false">IF(AND(CF325&gt;0,Motore_Operativo!C325&gt;=IF(CF325=0,0,EDATE(CF325,Parametri_v3!$C$37)),MOD(((D325-YEAR(IF(CF325=0,0,EDATE(CF325,Parametri_v3!$C$37))))*12+E325-MONTH(IF(CF325=0,0,EDATE(CF325,Parametri_v3!$C$37)))),Parametri_v3!$C$38)=0),MIN(MAX(0,(BC324)+BA325-N325),(CC325-CD325)/(Ipotesi!$C$108*12/Parametri_v3!$C$38)),0)</f>
        <v>0</v>
      </c>
      <c r="BC325" s="15" t="n">
        <f aca="false">(BC324)+BA325-N325-BB325</f>
        <v>0</v>
      </c>
      <c r="BD325" s="15" t="n">
        <f aca="false">(BH324)+AC325+AF325-AI325-AS325-K325*(1+Parametri_v3!$C$26)-AL325-AQ325-O325+AW325+AX325+AZ325+BA325-BB325</f>
        <v>-3769.47175432949</v>
      </c>
      <c r="BE325" s="15" t="n">
        <f aca="false">MAX(0,MIN(MAX(0,CH325-(BG324)),Parametri_v3!$C$30-BD325))</f>
        <v>28769.4717543295</v>
      </c>
      <c r="BF325" s="15" t="n">
        <f aca="false">IF(Motore_Operativo!C325&gt;=Parametri_v3!$C$63,(BG324),MIN((BG324),MAX(0,BD325-Parametri_v3!$C$30)))</f>
        <v>0</v>
      </c>
      <c r="BG325" s="15" t="n">
        <f aca="false">(BG324)+BE325-BF325</f>
        <v>147922.905822142</v>
      </c>
      <c r="BH325" s="15" t="n">
        <f aca="false">BD325+BE325-BF325-AY325</f>
        <v>25000</v>
      </c>
      <c r="BI325" s="15" t="n">
        <f aca="false">MAX(0,Parametri_v3!$C$30-BH325)</f>
        <v>0</v>
      </c>
      <c r="BJ325" s="15" t="n">
        <f aca="false">(BJ324)+K325</f>
        <v>38750</v>
      </c>
      <c r="BK325" s="15" t="n">
        <f aca="false">(BK324)+L325</f>
        <v>11215.2777777778</v>
      </c>
      <c r="BL325" s="15" t="n">
        <f aca="false">BJ325-BK325</f>
        <v>27534.7222222222</v>
      </c>
      <c r="BM325" s="15" t="n">
        <f aca="false">(BM324)+Y325</f>
        <v>-492434.126077275</v>
      </c>
      <c r="BN325" s="15" t="n">
        <f aca="false">(BN324)+AW325+AX325+AZ325</f>
        <v>430000</v>
      </c>
      <c r="BO325" s="15" t="n">
        <f aca="false">(BO324)+AY325</f>
        <v>0</v>
      </c>
      <c r="BP325" s="15" t="n">
        <f aca="false">0</f>
        <v>0</v>
      </c>
      <c r="BQ325" s="15" t="n">
        <f aca="false">BN325+BM325-BO325</f>
        <v>-62434.1260772752</v>
      </c>
      <c r="BR325" s="15" t="n">
        <f aca="false">BH325+AD325+BL325+MAX(0,-AM325)+MAX(0,-AR325)+AG325</f>
        <v>160127.787010789</v>
      </c>
      <c r="BS325" s="15" t="n">
        <f aca="false">AJ325+AV325+MAX(0,AM325)+MAX(0,AR325)+BC325+BG325+BQ325</f>
        <v>160127.787010789</v>
      </c>
      <c r="BT325" s="15" t="n">
        <f aca="false">BR325-BS325</f>
        <v>0</v>
      </c>
      <c r="BU325" s="15" t="n">
        <f aca="false">BH325-(BD325+BE325-BF325-AY325)</f>
        <v>0</v>
      </c>
      <c r="BV325" s="15" t="n">
        <f aca="false">MIN(Piano_SS!$C$6,(BV324)+IF(AND(Motore_Operativo!C325&gt;=EDATE(Parametri_v3!$C$24,Ipotesi!H14*12),Motore_Operativo!C325&lt;EDATE(Parametri_v3!$C$24,Parametri_v3!$C$25+Ipotesi!H14*12)),MAX(0,(Motore_Operativo!Y325+Motore_Operativo!X325*Parametri_v3!$C$14)*(1-Parametri_v3!$C$32))*Piano_SS!$D$6,0))</f>
        <v>138581.25</v>
      </c>
      <c r="BW325" s="15" t="n">
        <f aca="false">MIN(Piano_SS!$C$7,(BW324)+IF(AND(Motore_Operativo!C325&gt;=EDATE(Parametri_v3!$C$24,Ipotesi!H14*12),Motore_Operativo!C325&lt;EDATE(Parametri_v3!$C$24,Parametri_v3!$C$25+Ipotesi!H14*12)),MAX(0,(IF(21-(INT((Ipotesi!$C$91)/30))&lt;1,0,INDEX(Motore_Operativo!$BN$305:$BN$364,MAX(1,21-(INT((Ipotesi!$C$91)/30)))))*(1-(MOD((Ipotesi!$C$91),30)/30))+IF(21-(INT((Ipotesi!$C$91)/30))-1&lt;1,0,INDEX(Motore_Operativo!$BN$305:$BN$364,MAX(1,21-(INT((Ipotesi!$C$91)/30))-1)))*(MOD((Ipotesi!$C$91),30)/30)))*Piano_SS!$D$7,0))</f>
        <v>21049.1873094291</v>
      </c>
      <c r="BX325" s="15" t="n">
        <f aca="false">MIN(Piano_SS!$C$8,(BX324)+IF(AND(Motore_Operativo!C325&gt;=EDATE(Parametri_v3!$C$24,Ipotesi!H14*12),Motore_Operativo!C325&lt;EDATE(Parametri_v3!$C$24,Parametri_v3!$C$25+Ipotesi!H14*12)),MAX(0,Motore_Operativo!CE325)*Piano_SS!$D$8,0))</f>
        <v>28750</v>
      </c>
      <c r="BY325" s="15" t="n">
        <f aca="false">MIN(Piano_SS!$C$9,(BY324)+IF(AND(Motore_Operativo!C325&gt;=EDATE(Parametri_v3!$C$24,Ipotesi!H14*12),Motore_Operativo!C325&lt;EDATE(Parametri_v3!$C$24,Parametri_v3!$C$25+Ipotesi!H14*12)),MAX(0,((IF(21-(INT((Ipotesi!$C$91)/30))&lt;1,0,INDEX(Motore_Operativo!$BQ$305:$BQ$364,MAX(1,21-(INT((Ipotesi!$C$91)/30)))))*(1-(MOD((Ipotesi!$C$91),30)/30))+IF(21-(INT((Ipotesi!$C$91)/30))-1&lt;1,0,INDEX(Motore_Operativo!$BQ$305:$BQ$364,MAX(1,21-(INT((Ipotesi!$C$91)/30))-1)))*(MOD((Ipotesi!$C$91),30)/30))+(IF(21-(INT((Ipotesi!$C$91)/30))&lt;1,0,INDEX(Motore_Operativo!$BR$305:$BR$364,MAX(1,21-(INT((Ipotesi!$C$91)/30)))))*(1-(MOD((Ipotesi!$C$91),30)/30))+IF(21-(INT((Ipotesi!$C$91)/30))-1&lt;1,0,INDEX(Motore_Operativo!$BR$305:$BR$364,MAX(1,21-(INT((Ipotesi!$C$91)/30))-1)))*(MOD((Ipotesi!$C$91),30)/30))))*Piano_SS!$D$9,0))</f>
        <v>38416.6666666667</v>
      </c>
      <c r="BZ325" s="15" t="n">
        <f aca="false">MIN(Piano_SS!$C$10,(BZ324)+IF(AND(Motore_Operativo!C325&gt;=EDATE(Parametri_v3!$C$24,Ipotesi!H14*12),Motore_Operativo!C325&lt;EDATE(Parametri_v3!$C$24,Parametri_v3!$C$25+Ipotesi!H14*12)),MAX(0,(IF(21-(INT((Ipotesi!$C$91)/30))&lt;1,0,INDEX(Motore_Operativo!$BO$305:$BO$364,MAX(1,21-(INT((Ipotesi!$C$91)/30)))))*(1-(MOD((Ipotesi!$C$91),30)/30))+IF(21-(INT((Ipotesi!$C$91)/30))-1&lt;1,0,INDEX(Motore_Operativo!$BO$305:$BO$364,MAX(1,21-(INT((Ipotesi!$C$91)/30))-1)))*(MOD((Ipotesi!$C$91),30)/30)))*Piano_SS!$D$10,0))</f>
        <v>20833.3333333333</v>
      </c>
      <c r="CA325" s="15" t="n">
        <f aca="false">SUM(BV325:BZ325)</f>
        <v>247630.437309429</v>
      </c>
      <c r="CB325" s="15" t="n">
        <f aca="false">BV325*(1-Piano_SS!$E$6)+BW325*(1-Piano_SS!$E$7)+BX325*(1-Piano_SS!$E$8)+BY325*(1-Piano_SS!$E$9)+BZ325*(1-Piano_SS!$E$10)</f>
        <v>226797.103976096</v>
      </c>
      <c r="CC325" s="15" t="n">
        <f aca="false">(CC324)+BA325</f>
        <v>0</v>
      </c>
      <c r="CD325" s="15" t="n">
        <f aca="false">IF(CA325=0,0,CC325*CB325/CA325*Ipotesi!$C$103*Parametri_v3!$C$64)</f>
        <v>0</v>
      </c>
      <c r="CE325" s="18" t="n">
        <f aca="false">IF(BA325&gt;0,Motore_Operativo!C325,(CE324))</f>
        <v>0</v>
      </c>
      <c r="CF325" s="18" t="n">
        <f aca="false">IF(AND(CC325&gt;0,OR(CC325&gt;=CG325-0.01,Motore_Operativo!C325&gt;=EDATE(MAX(Finanziamenti!$D$15:$D$17),Ipotesi!H14*12))),CE325,0)</f>
        <v>0</v>
      </c>
      <c r="CG325" s="15" t="n">
        <f aca="false">IF(AND(6&lt;&gt;6,6&lt;&gt;9,Finanziamenti!$F$11=1,OR(Parametri_v3!$C$6=0,Finanziamenti!$E$11=1)),MIN(Finanziamenti!$C$11,Piano_SS!$C$12*Ipotesi!$C$102),0)</f>
        <v>0</v>
      </c>
      <c r="CH325" s="15" t="n">
        <f aca="false">IF(AND(AND(6&lt;&gt;8,6&lt;&gt;9,Finanziamenti!$F$10=1,OR(Parametri_v3!$C$6=0,Finanziamenti!$E$10=1)),Motore_Operativo!C325&gt;=Finanziamenti!$D$10,Motore_Operativo!C325&lt;Parametri_v3!$C$63),Finanziamenti!$C$10,0)</f>
        <v>150000</v>
      </c>
    </row>
    <row r="326" customFormat="false" ht="18" hidden="false" customHeight="true" outlineLevel="0" collapsed="false">
      <c r="A326" s="68" t="n">
        <f aca="false">6</f>
        <v>6</v>
      </c>
      <c r="B326" s="68" t="n">
        <f aca="false">22</f>
        <v>22</v>
      </c>
      <c r="C326" s="18" t="n">
        <f aca="false">Motore_Operativo!C326</f>
        <v>47027</v>
      </c>
      <c r="D326" s="68" t="n">
        <f aca="false">Motore_Operativo!D326</f>
        <v>2028</v>
      </c>
      <c r="E326" s="68" t="n">
        <f aca="false">Motore_Operativo!E326</f>
        <v>10</v>
      </c>
      <c r="F326" s="15" t="n">
        <f aca="false">Motore_Operativo!AQ326+Motore_Operativo!BF326</f>
        <v>30058.3601828285</v>
      </c>
      <c r="G326" s="15" t="n">
        <f aca="false">Motore_Operativo!BH326</f>
        <v>3398.1220657277</v>
      </c>
      <c r="H326" s="15" t="n">
        <f aca="false">Motore_Operativo!BI326</f>
        <v>33456.4822485563</v>
      </c>
      <c r="I326" s="15" t="n">
        <f aca="false">Motore_Operativo!CA326</f>
        <v>57920.9474209012</v>
      </c>
      <c r="J326" s="15" t="n">
        <f aca="false">Motore_Operativo!CC326</f>
        <v>-24464.4651723449</v>
      </c>
      <c r="K326" s="15" t="n">
        <f aca="false">Motore_Operativo!CE326</f>
        <v>2083.33333333333</v>
      </c>
      <c r="L326" s="15" t="n">
        <f aca="false">SUM(INDEX($K$305:$K$364,MAX(1,22-Parametri_v3!$C$59+1)):K326)/Parametri_v3!$C$59</f>
        <v>1134.25925925926</v>
      </c>
      <c r="M326" s="15" t="n">
        <f aca="false">J326-L326</f>
        <v>-25598.7244316042</v>
      </c>
      <c r="N326" s="15" t="n">
        <f aca="false">CD326-(CD325)</f>
        <v>0</v>
      </c>
      <c r="O326" s="15" t="n">
        <f aca="false">(BG325)*Ipotesi!$C$110/12+CH326*Parametri_v3!$C$39/12</f>
        <v>739.61452911071</v>
      </c>
      <c r="P326" s="15" t="n">
        <f aca="false">M326+N326-O326</f>
        <v>-26338.3389607149</v>
      </c>
      <c r="Q326" s="15" t="n">
        <f aca="false">SUM(P317:P326)+Parametri_v3!$C$54*10/12</f>
        <v>-292948.202638951</v>
      </c>
      <c r="R326" s="15" t="n">
        <f aca="false">Z316</f>
        <v>225824.262399039</v>
      </c>
      <c r="S326" s="15" t="n">
        <f aca="false">AA316</f>
        <v>0</v>
      </c>
      <c r="T326" s="15" t="n">
        <f aca="false">MIN(R326,MAX(0,Q326))</f>
        <v>0</v>
      </c>
      <c r="U326" s="15" t="n">
        <f aca="false">MIN(S326,MAX(0,Q326-T326)*Parametri_v3!$C$42)</f>
        <v>0</v>
      </c>
      <c r="V326" s="15" t="n">
        <f aca="false">MAX(0,Q326-T326-U326)*Ipotesi!$C$92</f>
        <v>0</v>
      </c>
      <c r="W326" s="15" t="n">
        <f aca="false">MAX(0,SUM(M317:M326)+Parametri_v3!$C$55*10/12)*Ipotesi!$C$93</f>
        <v>0</v>
      </c>
      <c r="X326" s="15" t="n">
        <f aca="false">V326+W326-(V325+W325)</f>
        <v>0</v>
      </c>
      <c r="Y326" s="15" t="n">
        <f aca="false">P326-X326</f>
        <v>-26338.3389607149</v>
      </c>
      <c r="Z326" s="15" t="n">
        <f aca="false">R326-T326+IF(AND(Parametri_v3!$C$40=1,D326-YEAR(Parametri_v3!$C$50)&lt;Parametri_v3!$C$41),MAX(0,-Q326),0)</f>
        <v>518772.46503799</v>
      </c>
      <c r="AA326" s="15" t="n">
        <f aca="false">S326-U326+IF(AND(Parametri_v3!$C$40=1,D326-YEAR(Parametri_v3!$C$50)&lt;Parametri_v3!$C$41),0,MAX(0,-Q326))</f>
        <v>0</v>
      </c>
      <c r="AB326" s="15" t="n">
        <f aca="false">F326*(1+Parametri_v3!$C$26)</f>
        <v>36671.1994230508</v>
      </c>
      <c r="AC326" s="15" t="n">
        <f aca="false">(IF(22-(INT((Motore_Operativo!L326)/30))&lt;1,0,INDEX(Motore_Startup!$AB$305:$AB$364,MAX(1,22-(INT((Motore_Operativo!L326)/30)))))*(1-(MOD((Motore_Operativo!L326),30)/30))+IF(22-(INT((Motore_Operativo!L326)/30))-1&lt;1,0,INDEX(Motore_Startup!$AB$305:$AB$364,MAX(1,22-(INT((Motore_Operativo!L326)/30))-1)))*(MOD((Motore_Operativo!L326),30)/30))</f>
        <v>33378.4414944421</v>
      </c>
      <c r="AD326" s="15" t="n">
        <f aca="false">(AD325)+AB326-AC326</f>
        <v>106740.113796988</v>
      </c>
      <c r="AE326" s="15" t="n">
        <f aca="false">Motore_Operativo!BH326*(1+Parametri_v3!$C$26)</f>
        <v>4145.70892018779</v>
      </c>
      <c r="AF326" s="15" t="n">
        <f aca="false">(IF(22-(INT((Parametri_v3!$C$29)/30))&lt;1,0,INDEX(Motore_Operativo!$BH$305:$BH$364,MAX(1,22-(INT((Parametri_v3!$C$29)/30)))))*(1-(MOD((Parametri_v3!$C$29),30)/30))+IF(22-(INT((Parametri_v3!$C$29)/30))-1&lt;1,0,INDEX(Motore_Operativo!$BH$305:$BH$364,MAX(1,22-(INT((Parametri_v3!$C$29)/30))-1)))*(MOD((Parametri_v3!$C$29),30)/30))*(1+Parametri_v3!$C$26)</f>
        <v>4145.70892018779</v>
      </c>
      <c r="AG326" s="15" t="n">
        <f aca="false">(AG325)+AE326-AF326</f>
        <v>4145.70892018779</v>
      </c>
      <c r="AH326" s="15" t="n">
        <f aca="false">(Motore_Operativo!CJ326)*(1+Parametri_v3!$C$27*Parametri_v3!$C$26)</f>
        <v>21554.0770886097</v>
      </c>
      <c r="AI326" s="15" t="n">
        <f aca="false">(IF(22-(INT((Ipotesi!$C$91)/30))&lt;1,0,INDEX(Motore_Startup!$AH$305:$AH$364,MAX(1,22-(INT((Ipotesi!$C$91)/30)))))*(1-(MOD((Ipotesi!$C$91),30)/30))+IF(22-(INT((Ipotesi!$C$91)/30))-1&lt;1,0,INDEX(Motore_Startup!$AH$305:$AH$364,MAX(1,22-(INT((Ipotesi!$C$91)/30))-1)))*(MOD((Ipotesi!$C$91),30)/30))</f>
        <v>21256.3804491586</v>
      </c>
      <c r="AJ326" s="15" t="n">
        <f aca="false">(AJ325)+AH326-AI326</f>
        <v>42959.9593006177</v>
      </c>
      <c r="AK326" s="15" t="n">
        <f aca="false">(F326+ Motore_Operativo!BH326-(Motore_Operativo!CJ326)*Parametri_v3!$C$27-Motore_Operativo!CE326)*Parametri_v3!$C$26</f>
        <v>3506.46309364052</v>
      </c>
      <c r="AL326" s="15" t="n">
        <f aca="false">MAX(0,(AM325))</f>
        <v>3333.61960475541</v>
      </c>
      <c r="AM326" s="15" t="n">
        <f aca="false">(AM325)+AK326-AL326</f>
        <v>3506.46309364052</v>
      </c>
      <c r="AN326" s="15" t="n">
        <f aca="false">SUM(X305:X316)</f>
        <v>0</v>
      </c>
      <c r="AO326" s="15" t="n">
        <f aca="false">SUM(AP305:AP316)</f>
        <v>0</v>
      </c>
      <c r="AP326" s="15" t="n">
        <f aca="false">MAX(0,AN326)*IF(10=Parametri_v3!$C$43,Parametri_v3!$C$45,IF(10=Parametri_v3!$C$44,1-Parametri_v3!$C$45,0))</f>
        <v>0</v>
      </c>
      <c r="AQ326" s="15" t="n">
        <f aca="false">MAX(0,AP326+IF(10=Parametri_v3!$C$43,MAX(0,AN326-AO326),0)-MAX(0,-(AR325)))</f>
        <v>0</v>
      </c>
      <c r="AR326" s="15" t="n">
        <f aca="false">(AR325)+X326-AQ326</f>
        <v>0</v>
      </c>
      <c r="AS326" s="15" t="n">
        <f aca="false">Motore_Operativo!AB326-AT326+AU326</f>
        <v>37774.375</v>
      </c>
      <c r="AT326" s="15" t="n">
        <f aca="false">Motore_Operativo!CH326</f>
        <v>1988.125</v>
      </c>
      <c r="AU326" s="15" t="n">
        <f aca="false">MIN(MAX(0,(AV325)+AT326),Parametri_v3!$C$60/12)</f>
        <v>0</v>
      </c>
      <c r="AV326" s="15" t="n">
        <f aca="false">(AV325)+AT326-AU326</f>
        <v>30631.25</v>
      </c>
      <c r="AW326" s="15" t="n">
        <f aca="false">IF(AND(Motore_Operativo!C326=Finanziamenti!$D$6,Finanziamenti!$F$6=1),Finanziamenti!$C$6,0)</f>
        <v>0</v>
      </c>
      <c r="AX326" s="15" t="n">
        <f aca="false">IF(AND(6&lt;&gt;7,6&lt;&gt;9,Finanziamenti!$F$8=1,OR(Parametri_v3!$C$6=0,Finanziamenti!$E$8=1),Motore_Operativo!C326=EDATE(Finanziamenti!$D$8,Ipotesi!H15*12)),Finanziamenti!$C$8*1,0)+IF(AND(6&lt;&gt;7,6&lt;&gt;9,Finanziamenti!$F$9=1,OR(Parametri_v3!$C$6=0,Finanziamenti!$E$9=1),Motore_Operativo!C326=EDATE(Finanziamenti!$D$9,Ipotesi!H15*12)),Finanziamenti!$C$9*Ipotesi!H16,0)</f>
        <v>0</v>
      </c>
      <c r="AY326" s="15" t="n">
        <f aca="false">0</f>
        <v>0</v>
      </c>
      <c r="AZ326" s="15" t="n">
        <f aca="false">Motore_Advisory!AY326*(1-Ipotesi!$C$95)*Ipotesi!$C$96</f>
        <v>0</v>
      </c>
      <c r="BA326" s="15" t="n">
        <f aca="false">MAX(0,MIN(CG326*MIN(1,IF(Motore_Operativo!C326&gt;=EDATE(Finanziamenti!$D$15,Ipotesi!H14*12),Finanziamenti!$C$15,0)+IF(Motore_Operativo!C326&gt;=EDATE(Finanziamenti!$D$16,Ipotesi!H14*12),Finanziamenti!$C$16,0)+IF(Motore_Operativo!C326&gt;=EDATE(Finanziamenti!$D$17,Ipotesi!H14*12),Finanziamenti!$C$17,0)),CA326*Ipotesi!$C$102)-(CC325))</f>
        <v>0</v>
      </c>
      <c r="BB326" s="15" t="n">
        <f aca="false">IF(AND(CF326&gt;0,Motore_Operativo!C326&gt;=IF(CF326=0,0,EDATE(CF326,Parametri_v3!$C$37)),MOD(((D326-YEAR(IF(CF326=0,0,EDATE(CF326,Parametri_v3!$C$37))))*12+E326-MONTH(IF(CF326=0,0,EDATE(CF326,Parametri_v3!$C$37)))),Parametri_v3!$C$38)=0),MIN(MAX(0,(BC325)+BA326-N326),(CC326-CD326)/(Ipotesi!$C$108*12/Parametri_v3!$C$38)),0)</f>
        <v>0</v>
      </c>
      <c r="BC326" s="15" t="n">
        <f aca="false">(BC325)+BA326-N326-BB326</f>
        <v>0</v>
      </c>
      <c r="BD326" s="15" t="n">
        <f aca="false">(BH325)+AC326+AF326-AI326-AS326-K326*(1+Parametri_v3!$C$26)-AL326-AQ326-O326+AW326+AX326+AZ326+BA326-BB326</f>
        <v>-3121.50583506149</v>
      </c>
      <c r="BE326" s="15" t="n">
        <f aca="false">MAX(0,MIN(MAX(0,CH326-(BG325)),Parametri_v3!$C$30-BD326))</f>
        <v>2077.09417785809</v>
      </c>
      <c r="BF326" s="15" t="n">
        <f aca="false">IF(Motore_Operativo!C326&gt;=Parametri_v3!$C$63,(BG325),MIN((BG325),MAX(0,BD326-Parametri_v3!$C$30)))</f>
        <v>0</v>
      </c>
      <c r="BG326" s="15" t="n">
        <f aca="false">(BG325)+BE326-BF326</f>
        <v>150000</v>
      </c>
      <c r="BH326" s="15" t="n">
        <f aca="false">BD326+BE326-BF326-AY326</f>
        <v>-1044.4116572034</v>
      </c>
      <c r="BI326" s="15" t="n">
        <f aca="false">MAX(0,Parametri_v3!$C$30-BH326)</f>
        <v>26044.4116572034</v>
      </c>
      <c r="BJ326" s="15" t="n">
        <f aca="false">(BJ325)+K326</f>
        <v>40833.3333333333</v>
      </c>
      <c r="BK326" s="15" t="n">
        <f aca="false">(BK325)+L326</f>
        <v>12349.537037037</v>
      </c>
      <c r="BL326" s="15" t="n">
        <f aca="false">BJ326-BK326</f>
        <v>28483.7962962963</v>
      </c>
      <c r="BM326" s="15" t="n">
        <f aca="false">(BM325)+Y326</f>
        <v>-518772.46503799</v>
      </c>
      <c r="BN326" s="15" t="n">
        <f aca="false">(BN325)+AW326+AX326+AZ326</f>
        <v>430000</v>
      </c>
      <c r="BO326" s="15" t="n">
        <f aca="false">(BO325)+AY326</f>
        <v>0</v>
      </c>
      <c r="BP326" s="15" t="n">
        <f aca="false">0</f>
        <v>0</v>
      </c>
      <c r="BQ326" s="15" t="n">
        <f aca="false">BN326+BM326-BO326</f>
        <v>-88772.4650379901</v>
      </c>
      <c r="BR326" s="15" t="n">
        <f aca="false">BH326+AD326+BL326+MAX(0,-AM326)+MAX(0,-AR326)+AG326</f>
        <v>138325.207356268</v>
      </c>
      <c r="BS326" s="15" t="n">
        <f aca="false">AJ326+AV326+MAX(0,AM326)+MAX(0,AR326)+BC326+BG326+BQ326</f>
        <v>138325.207356268</v>
      </c>
      <c r="BT326" s="15" t="n">
        <f aca="false">BR326-BS326</f>
        <v>0</v>
      </c>
      <c r="BU326" s="15" t="n">
        <f aca="false">BH326-(BD326+BE326-BF326-AY326)</f>
        <v>0</v>
      </c>
      <c r="BV326" s="15" t="n">
        <f aca="false">MIN(Piano_SS!$C$6,(BV325)+IF(AND(Motore_Operativo!C326&gt;=EDATE(Parametri_v3!$C$24,Ipotesi!H14*12),Motore_Operativo!C326&lt;EDATE(Parametri_v3!$C$24,Parametri_v3!$C$25+Ipotesi!H14*12)),MAX(0,(Motore_Operativo!Y326+Motore_Operativo!X326*Parametri_v3!$C$14)*(1-Parametri_v3!$C$32))*Piano_SS!$D$6,0))</f>
        <v>150812.5</v>
      </c>
      <c r="BW326" s="15" t="n">
        <f aca="false">MIN(Piano_SS!$C$7,(BW325)+IF(AND(Motore_Operativo!C326&gt;=EDATE(Parametri_v3!$C$24,Ipotesi!H14*12),Motore_Operativo!C326&lt;EDATE(Parametri_v3!$C$24,Parametri_v3!$C$25+Ipotesi!H14*12)),MAX(0,(IF(22-(INT((Ipotesi!$C$91)/30))&lt;1,0,INDEX(Motore_Operativo!$BN$305:$BN$364,MAX(1,22-(INT((Ipotesi!$C$91)/30)))))*(1-(MOD((Ipotesi!$C$91),30)/30))+IF(22-(INT((Ipotesi!$C$91)/30))-1&lt;1,0,INDEX(Motore_Operativo!$BN$305:$BN$364,MAX(1,22-(INT((Ipotesi!$C$91)/30))-1)))*(MOD((Ipotesi!$C$91),30)/30)))*Piano_SS!$D$7,0))</f>
        <v>22850.5432635662</v>
      </c>
      <c r="BX326" s="15" t="n">
        <f aca="false">MIN(Piano_SS!$C$8,(BX325)+IF(AND(Motore_Operativo!C326&gt;=EDATE(Parametri_v3!$C$24,Ipotesi!H14*12),Motore_Operativo!C326&lt;EDATE(Parametri_v3!$C$24,Parametri_v3!$C$25+Ipotesi!H14*12)),MAX(0,Motore_Operativo!CE326)*Piano_SS!$D$8,0))</f>
        <v>30833.3333333333</v>
      </c>
      <c r="BY326" s="15" t="n">
        <f aca="false">MIN(Piano_SS!$C$9,(BY325)+IF(AND(Motore_Operativo!C326&gt;=EDATE(Parametri_v3!$C$24,Ipotesi!H14*12),Motore_Operativo!C326&lt;EDATE(Parametri_v3!$C$24,Parametri_v3!$C$25+Ipotesi!H14*12)),MAX(0,((IF(22-(INT((Ipotesi!$C$91)/30))&lt;1,0,INDEX(Motore_Operativo!$BQ$305:$BQ$364,MAX(1,22-(INT((Ipotesi!$C$91)/30)))))*(1-(MOD((Ipotesi!$C$91),30)/30))+IF(22-(INT((Ipotesi!$C$91)/30))-1&lt;1,0,INDEX(Motore_Operativo!$BQ$305:$BQ$364,MAX(1,22-(INT((Ipotesi!$C$91)/30))-1)))*(MOD((Ipotesi!$C$91),30)/30))+(IF(22-(INT((Ipotesi!$C$91)/30))&lt;1,0,INDEX(Motore_Operativo!$BR$305:$BR$364,MAX(1,22-(INT((Ipotesi!$C$91)/30)))))*(1-(MOD((Ipotesi!$C$91),30)/30))+IF(22-(INT((Ipotesi!$C$91)/30))-1&lt;1,0,INDEX(Motore_Operativo!$BR$305:$BR$364,MAX(1,22-(INT((Ipotesi!$C$91)/30))-1)))*(MOD((Ipotesi!$C$91),30)/30))))*Piano_SS!$D$9,0))</f>
        <v>40000</v>
      </c>
      <c r="BZ326" s="15" t="n">
        <f aca="false">MIN(Piano_SS!$C$10,(BZ325)+IF(AND(Motore_Operativo!C326&gt;=EDATE(Parametri_v3!$C$24,Ipotesi!H14*12),Motore_Operativo!C326&lt;EDATE(Parametri_v3!$C$24,Parametri_v3!$C$25+Ipotesi!H14*12)),MAX(0,(IF(22-(INT((Ipotesi!$C$91)/30))&lt;1,0,INDEX(Motore_Operativo!$BO$305:$BO$364,MAX(1,22-(INT((Ipotesi!$C$91)/30)))))*(1-(MOD((Ipotesi!$C$91),30)/30))+IF(22-(INT((Ipotesi!$C$91)/30))-1&lt;1,0,INDEX(Motore_Operativo!$BO$305:$BO$364,MAX(1,22-(INT((Ipotesi!$C$91)/30))-1)))*(MOD((Ipotesi!$C$91),30)/30)))*Piano_SS!$D$10,0))</f>
        <v>22666.6666666667</v>
      </c>
      <c r="CA326" s="15" t="n">
        <f aca="false">SUM(BV326:BZ326)</f>
        <v>267163.043263566</v>
      </c>
      <c r="CB326" s="15" t="n">
        <f aca="false">BV326*(1-Piano_SS!$E$6)+BW326*(1-Piano_SS!$E$7)+BX326*(1-Piano_SS!$E$8)+BY326*(1-Piano_SS!$E$9)+BZ326*(1-Piano_SS!$E$10)</f>
        <v>244496.3765969</v>
      </c>
      <c r="CC326" s="15" t="n">
        <f aca="false">(CC325)+BA326</f>
        <v>0</v>
      </c>
      <c r="CD326" s="15" t="n">
        <f aca="false">IF(CA326=0,0,CC326*CB326/CA326*Ipotesi!$C$103*Parametri_v3!$C$64)</f>
        <v>0</v>
      </c>
      <c r="CE326" s="18" t="n">
        <f aca="false">IF(BA326&gt;0,Motore_Operativo!C326,(CE325))</f>
        <v>0</v>
      </c>
      <c r="CF326" s="18" t="n">
        <f aca="false">IF(AND(CC326&gt;0,OR(CC326&gt;=CG326-0.01,Motore_Operativo!C326&gt;=EDATE(MAX(Finanziamenti!$D$15:$D$17),Ipotesi!H14*12))),CE326,0)</f>
        <v>0</v>
      </c>
      <c r="CG326" s="15" t="n">
        <f aca="false">IF(AND(6&lt;&gt;6,6&lt;&gt;9,Finanziamenti!$F$11=1,OR(Parametri_v3!$C$6=0,Finanziamenti!$E$11=1)),MIN(Finanziamenti!$C$11,Piano_SS!$C$12*Ipotesi!$C$102),0)</f>
        <v>0</v>
      </c>
      <c r="CH326" s="15" t="n">
        <f aca="false">IF(AND(AND(6&lt;&gt;8,6&lt;&gt;9,Finanziamenti!$F$10=1,OR(Parametri_v3!$C$6=0,Finanziamenti!$E$10=1)),Motore_Operativo!C326&gt;=Finanziamenti!$D$10,Motore_Operativo!C326&lt;Parametri_v3!$C$63),Finanziamenti!$C$10,0)</f>
        <v>150000</v>
      </c>
    </row>
    <row r="327" customFormat="false" ht="18" hidden="false" customHeight="true" outlineLevel="0" collapsed="false">
      <c r="A327" s="68" t="n">
        <f aca="false">6</f>
        <v>6</v>
      </c>
      <c r="B327" s="68" t="n">
        <f aca="false">23</f>
        <v>23</v>
      </c>
      <c r="C327" s="18" t="n">
        <f aca="false">Motore_Operativo!C327</f>
        <v>47058</v>
      </c>
      <c r="D327" s="68" t="n">
        <f aca="false">Motore_Operativo!D327</f>
        <v>2028</v>
      </c>
      <c r="E327" s="68" t="n">
        <f aca="false">Motore_Operativo!E327</f>
        <v>11</v>
      </c>
      <c r="F327" s="15" t="n">
        <f aca="false">Motore_Operativo!AQ327+Motore_Operativo!BF327</f>
        <v>30942.33788559</v>
      </c>
      <c r="G327" s="15" t="n">
        <f aca="false">Motore_Operativo!BH327</f>
        <v>3398.1220657277</v>
      </c>
      <c r="H327" s="15" t="n">
        <f aca="false">Motore_Operativo!BI327</f>
        <v>34340.4599513177</v>
      </c>
      <c r="I327" s="15" t="n">
        <f aca="false">Motore_Operativo!CA327</f>
        <v>58044.7042992878</v>
      </c>
      <c r="J327" s="15" t="n">
        <f aca="false">Motore_Operativo!CC327</f>
        <v>-23704.2443479701</v>
      </c>
      <c r="K327" s="15" t="n">
        <f aca="false">Motore_Operativo!CE327</f>
        <v>2083.33333333333</v>
      </c>
      <c r="L327" s="15" t="n">
        <f aca="false">SUM(INDEX($K$305:$K$364,MAX(1,23-Parametri_v3!$C$59+1)):K327)/Parametri_v3!$C$59</f>
        <v>1192.12962962963</v>
      </c>
      <c r="M327" s="15" t="n">
        <f aca="false">J327-L327</f>
        <v>-24896.3739775997</v>
      </c>
      <c r="N327" s="15" t="n">
        <f aca="false">CD327-(CD326)</f>
        <v>0</v>
      </c>
      <c r="O327" s="15" t="n">
        <f aca="false">(BG326)*Ipotesi!$C$110/12+CH327*Parametri_v3!$C$39/12</f>
        <v>750</v>
      </c>
      <c r="P327" s="15" t="n">
        <f aca="false">M327+N327-O327</f>
        <v>-25646.3739775997</v>
      </c>
      <c r="Q327" s="15" t="n">
        <f aca="false">SUM(P317:P327)+Parametri_v3!$C$54*11/12</f>
        <v>-318594.576616551</v>
      </c>
      <c r="R327" s="15" t="n">
        <f aca="false">Z316</f>
        <v>225824.262399039</v>
      </c>
      <c r="S327" s="15" t="n">
        <f aca="false">AA316</f>
        <v>0</v>
      </c>
      <c r="T327" s="15" t="n">
        <f aca="false">MIN(R327,MAX(0,Q327))</f>
        <v>0</v>
      </c>
      <c r="U327" s="15" t="n">
        <f aca="false">MIN(S327,MAX(0,Q327-T327)*Parametri_v3!$C$42)</f>
        <v>0</v>
      </c>
      <c r="V327" s="15" t="n">
        <f aca="false">MAX(0,Q327-T327-U327)*Ipotesi!$C$92</f>
        <v>0</v>
      </c>
      <c r="W327" s="15" t="n">
        <f aca="false">MAX(0,SUM(M317:M327)+Parametri_v3!$C$55*11/12)*Ipotesi!$C$93</f>
        <v>0</v>
      </c>
      <c r="X327" s="15" t="n">
        <f aca="false">V327+W327-(V326+W326)</f>
        <v>0</v>
      </c>
      <c r="Y327" s="15" t="n">
        <f aca="false">P327-X327</f>
        <v>-25646.3739775997</v>
      </c>
      <c r="Z327" s="15" t="n">
        <f aca="false">R327-T327+IF(AND(Parametri_v3!$C$40=1,D327-YEAR(Parametri_v3!$C$50)&lt;Parametri_v3!$C$41),MAX(0,-Q327),0)</f>
        <v>544418.83901559</v>
      </c>
      <c r="AA327" s="15" t="n">
        <f aca="false">S327-U327+IF(AND(Parametri_v3!$C$40=1,D327-YEAR(Parametri_v3!$C$50)&lt;Parametri_v3!$C$41),0,MAX(0,-Q327))</f>
        <v>0</v>
      </c>
      <c r="AB327" s="15" t="n">
        <f aca="false">F327*(1+Parametri_v3!$C$26)</f>
        <v>37749.6522204198</v>
      </c>
      <c r="AC327" s="15" t="n">
        <f aca="false">(IF(23-(INT((Motore_Operativo!L327)/30))&lt;1,0,INDEX(Motore_Startup!$AB$305:$AB$364,MAX(1,23-(INT((Motore_Operativo!L327)/30)))))*(1-(MOD((Motore_Operativo!L327),30)/30))+IF(23-(INT((Motore_Operativo!L327)/30))-1&lt;1,0,INDEX(Motore_Startup!$AB$305:$AB$364,MAX(1,23-(INT((Motore_Operativo!L327)/30))-1)))*(MOD((Motore_Operativo!L327),30)/30))</f>
        <v>34485.6783005909</v>
      </c>
      <c r="AD327" s="15" t="n">
        <f aca="false">(AD326)+AB327-AC327</f>
        <v>110004.087716816</v>
      </c>
      <c r="AE327" s="15" t="n">
        <f aca="false">Motore_Operativo!BH327*(1+Parametri_v3!$C$26)</f>
        <v>4145.70892018779</v>
      </c>
      <c r="AF327" s="15" t="n">
        <f aca="false">(IF(23-(INT((Parametri_v3!$C$29)/30))&lt;1,0,INDEX(Motore_Operativo!$BH$305:$BH$364,MAX(1,23-(INT((Parametri_v3!$C$29)/30)))))*(1-(MOD((Parametri_v3!$C$29),30)/30))+IF(23-(INT((Parametri_v3!$C$29)/30))-1&lt;1,0,INDEX(Motore_Operativo!$BH$305:$BH$364,MAX(1,23-(INT((Parametri_v3!$C$29)/30))-1)))*(MOD((Parametri_v3!$C$29),30)/30))*(1+Parametri_v3!$C$26)</f>
        <v>4145.70892018779</v>
      </c>
      <c r="AG327" s="15" t="n">
        <f aca="false">(AG326)+AE327-AF327</f>
        <v>4145.70892018779</v>
      </c>
      <c r="AH327" s="15" t="n">
        <f aca="false">(Motore_Operativo!CJ327)*(1+Parametri_v3!$C$27*Parametri_v3!$C$26)</f>
        <v>21700.9765032546</v>
      </c>
      <c r="AI327" s="15" t="n">
        <f aca="false">(IF(23-(INT((Ipotesi!$C$91)/30))&lt;1,0,INDEX(Motore_Startup!$AH$305:$AH$364,MAX(1,23-(INT((Ipotesi!$C$91)/30)))))*(1-(MOD((Ipotesi!$C$91),30)/30))+IF(23-(INT((Ipotesi!$C$91)/30))-1&lt;1,0,INDEX(Motore_Startup!$AH$305:$AH$364,MAX(1,23-(INT((Ipotesi!$C$91)/30))-1)))*(MOD((Ipotesi!$C$91),30)/30))</f>
        <v>21405.882212008</v>
      </c>
      <c r="AJ327" s="15" t="n">
        <f aca="false">(AJ326)+AH327-AI327</f>
        <v>43255.0535918643</v>
      </c>
      <c r="AK327" s="15" t="n">
        <f aca="false">(F327+ Motore_Operativo!BH327-(Motore_Operativo!CJ327)*Parametri_v3!$C$27-Motore_Operativo!CE327)*Parametri_v3!$C$26</f>
        <v>3677.79565198975</v>
      </c>
      <c r="AL327" s="15" t="n">
        <f aca="false">MAX(0,(AM326))</f>
        <v>3506.46309364052</v>
      </c>
      <c r="AM327" s="15" t="n">
        <f aca="false">(AM326)+AK327-AL327</f>
        <v>3677.79565198975</v>
      </c>
      <c r="AN327" s="15" t="n">
        <f aca="false">SUM(X305:X316)</f>
        <v>0</v>
      </c>
      <c r="AO327" s="15" t="n">
        <f aca="false">SUM(AP305:AP316)</f>
        <v>0</v>
      </c>
      <c r="AP327" s="15" t="n">
        <f aca="false">MAX(0,AN327)*IF(11=Parametri_v3!$C$43,Parametri_v3!$C$45,IF(11=Parametri_v3!$C$44,1-Parametri_v3!$C$45,0))</f>
        <v>0</v>
      </c>
      <c r="AQ327" s="15" t="n">
        <f aca="false">MAX(0,AP327+IF(11=Parametri_v3!$C$43,MAX(0,AN327-AO327),0)-MAX(0,-(AR326)))</f>
        <v>0</v>
      </c>
      <c r="AR327" s="15" t="n">
        <f aca="false">(AR326)+X327-AQ327</f>
        <v>0</v>
      </c>
      <c r="AS327" s="15" t="n">
        <f aca="false">Motore_Operativo!AB327-AT327+AU327</f>
        <v>37774.375</v>
      </c>
      <c r="AT327" s="15" t="n">
        <f aca="false">Motore_Operativo!CH327</f>
        <v>1988.125</v>
      </c>
      <c r="AU327" s="15" t="n">
        <f aca="false">MIN(MAX(0,(AV326)+AT327),Parametri_v3!$C$60/12)</f>
        <v>0</v>
      </c>
      <c r="AV327" s="15" t="n">
        <f aca="false">(AV326)+AT327-AU327</f>
        <v>32619.375</v>
      </c>
      <c r="AW327" s="15" t="n">
        <f aca="false">IF(AND(Motore_Operativo!C327=Finanziamenti!$D$6,Finanziamenti!$F$6=1),Finanziamenti!$C$6,0)</f>
        <v>0</v>
      </c>
      <c r="AX327" s="15" t="n">
        <f aca="false">IF(AND(6&lt;&gt;7,6&lt;&gt;9,Finanziamenti!$F$8=1,OR(Parametri_v3!$C$6=0,Finanziamenti!$E$8=1),Motore_Operativo!C327=EDATE(Finanziamenti!$D$8,Ipotesi!H15*12)),Finanziamenti!$C$8*1,0)+IF(AND(6&lt;&gt;7,6&lt;&gt;9,Finanziamenti!$F$9=1,OR(Parametri_v3!$C$6=0,Finanziamenti!$E$9=1),Motore_Operativo!C327=EDATE(Finanziamenti!$D$9,Ipotesi!H15*12)),Finanziamenti!$C$9*Ipotesi!H16,0)</f>
        <v>0</v>
      </c>
      <c r="AY327" s="15" t="n">
        <f aca="false">0</f>
        <v>0</v>
      </c>
      <c r="AZ327" s="15" t="n">
        <f aca="false">Motore_Advisory!AY327*(1-Ipotesi!$C$95)*Ipotesi!$C$96</f>
        <v>0</v>
      </c>
      <c r="BA327" s="15" t="n">
        <f aca="false">MAX(0,MIN(CG327*MIN(1,IF(Motore_Operativo!C327&gt;=EDATE(Finanziamenti!$D$15,Ipotesi!H14*12),Finanziamenti!$C$15,0)+IF(Motore_Operativo!C327&gt;=EDATE(Finanziamenti!$D$16,Ipotesi!H14*12),Finanziamenti!$C$16,0)+IF(Motore_Operativo!C327&gt;=EDATE(Finanziamenti!$D$17,Ipotesi!H14*12),Finanziamenti!$C$17,0)),CA327*Ipotesi!$C$102)-(CC326))</f>
        <v>0</v>
      </c>
      <c r="BB327" s="15" t="n">
        <f aca="false">IF(AND(CF327&gt;0,Motore_Operativo!C327&gt;=IF(CF327=0,0,EDATE(CF327,Parametri_v3!$C$37)),MOD(((D327-YEAR(IF(CF327=0,0,EDATE(CF327,Parametri_v3!$C$37))))*12+E327-MONTH(IF(CF327=0,0,EDATE(CF327,Parametri_v3!$C$37)))),Parametri_v3!$C$38)=0),MIN(MAX(0,(BC326)+BA327-N327),(CC327-CD327)/(Ipotesi!$C$108*12/Parametri_v3!$C$38)),0)</f>
        <v>0</v>
      </c>
      <c r="BC327" s="15" t="n">
        <f aca="false">(BC326)+BA327-N327-BB327</f>
        <v>0</v>
      </c>
      <c r="BD327" s="15" t="n">
        <f aca="false">(BH326)+AC327+AF327-AI327-AS327-K327*(1+Parametri_v3!$C$26)-AL327-AQ327-O327+AW327+AX327+AZ327+BA327-BB327</f>
        <v>-28391.4114087399</v>
      </c>
      <c r="BE327" s="15" t="n">
        <f aca="false">MAX(0,MIN(MAX(0,CH327-(BG326)),Parametri_v3!$C$30-BD327))</f>
        <v>0</v>
      </c>
      <c r="BF327" s="15" t="n">
        <f aca="false">IF(Motore_Operativo!C327&gt;=Parametri_v3!$C$63,(BG326),MIN((BG326),MAX(0,BD327-Parametri_v3!$C$30)))</f>
        <v>0</v>
      </c>
      <c r="BG327" s="15" t="n">
        <f aca="false">(BG326)+BE327-BF327</f>
        <v>150000</v>
      </c>
      <c r="BH327" s="15" t="n">
        <f aca="false">BD327+BE327-BF327-AY327</f>
        <v>-28391.4114087399</v>
      </c>
      <c r="BI327" s="15" t="n">
        <f aca="false">MAX(0,Parametri_v3!$C$30-BH327)</f>
        <v>53391.4114087399</v>
      </c>
      <c r="BJ327" s="15" t="n">
        <f aca="false">(BJ326)+K327</f>
        <v>42916.6666666667</v>
      </c>
      <c r="BK327" s="15" t="n">
        <f aca="false">(BK326)+L327</f>
        <v>13541.6666666667</v>
      </c>
      <c r="BL327" s="15" t="n">
        <f aca="false">BJ327-BK327</f>
        <v>29375</v>
      </c>
      <c r="BM327" s="15" t="n">
        <f aca="false">(BM326)+Y327</f>
        <v>-544418.83901559</v>
      </c>
      <c r="BN327" s="15" t="n">
        <f aca="false">(BN326)+AW327+AX327+AZ327</f>
        <v>430000</v>
      </c>
      <c r="BO327" s="15" t="n">
        <f aca="false">(BO326)+AY327</f>
        <v>0</v>
      </c>
      <c r="BP327" s="15" t="n">
        <f aca="false">0</f>
        <v>0</v>
      </c>
      <c r="BQ327" s="15" t="n">
        <f aca="false">BN327+BM327-BO327</f>
        <v>-114418.83901559</v>
      </c>
      <c r="BR327" s="15" t="n">
        <f aca="false">BH327+AD327+BL327+MAX(0,-AM327)+MAX(0,-AR327)+AG327</f>
        <v>115133.385228264</v>
      </c>
      <c r="BS327" s="15" t="n">
        <f aca="false">AJ327+AV327+MAX(0,AM327)+MAX(0,AR327)+BC327+BG327+BQ327</f>
        <v>115133.385228264</v>
      </c>
      <c r="BT327" s="15" t="n">
        <f aca="false">BR327-BS327</f>
        <v>0</v>
      </c>
      <c r="BU327" s="15" t="n">
        <f aca="false">BH327-(BD327+BE327-BF327-AY327)</f>
        <v>0</v>
      </c>
      <c r="BV327" s="15" t="n">
        <f aca="false">MIN(Piano_SS!$C$6,(BV326)+IF(AND(Motore_Operativo!C327&gt;=EDATE(Parametri_v3!$C$24,Ipotesi!H14*12),Motore_Operativo!C327&lt;EDATE(Parametri_v3!$C$24,Parametri_v3!$C$25+Ipotesi!H14*12)),MAX(0,(Motore_Operativo!Y327+Motore_Operativo!X327*Parametri_v3!$C$14)*(1-Parametri_v3!$C$32))*Piano_SS!$D$6,0))</f>
        <v>163043.75</v>
      </c>
      <c r="BW327" s="15" t="n">
        <f aca="false">MIN(Piano_SS!$C$7,(BW326)+IF(AND(Motore_Operativo!C327&gt;=EDATE(Parametri_v3!$C$24,Ipotesi!H14*12),Motore_Operativo!C327&lt;EDATE(Parametri_v3!$C$24,Parametri_v3!$C$25+Ipotesi!H14*12)),MAX(0,(IF(23-(INT((Ipotesi!$C$91)/30))&lt;1,0,INDEX(Motore_Operativo!$BN$305:$BN$364,MAX(1,23-(INT((Ipotesi!$C$91)/30)))))*(1-(MOD((Ipotesi!$C$91),30)/30))+IF(23-(INT((Ipotesi!$C$91)/30))-1&lt;1,0,INDEX(Motore_Operativo!$BN$305:$BN$364,MAX(1,23-(INT((Ipotesi!$C$91)/30))-1)))*(MOD((Ipotesi!$C$91),30)/30)))*Piano_SS!$D$7,0))</f>
        <v>24723.8702191954</v>
      </c>
      <c r="BX327" s="15" t="n">
        <f aca="false">MIN(Piano_SS!$C$8,(BX326)+IF(AND(Motore_Operativo!C327&gt;=EDATE(Parametri_v3!$C$24,Ipotesi!H14*12),Motore_Operativo!C327&lt;EDATE(Parametri_v3!$C$24,Parametri_v3!$C$25+Ipotesi!H14*12)),MAX(0,Motore_Operativo!CE327)*Piano_SS!$D$8,0))</f>
        <v>32916.6666666667</v>
      </c>
      <c r="BY327" s="15" t="n">
        <f aca="false">MIN(Piano_SS!$C$9,(BY326)+IF(AND(Motore_Operativo!C327&gt;=EDATE(Parametri_v3!$C$24,Ipotesi!H14*12),Motore_Operativo!C327&lt;EDATE(Parametri_v3!$C$24,Parametri_v3!$C$25+Ipotesi!H14*12)),MAX(0,((IF(23-(INT((Ipotesi!$C$91)/30))&lt;1,0,INDEX(Motore_Operativo!$BQ$305:$BQ$364,MAX(1,23-(INT((Ipotesi!$C$91)/30)))))*(1-(MOD((Ipotesi!$C$91),30)/30))+IF(23-(INT((Ipotesi!$C$91)/30))-1&lt;1,0,INDEX(Motore_Operativo!$BQ$305:$BQ$364,MAX(1,23-(INT((Ipotesi!$C$91)/30))-1)))*(MOD((Ipotesi!$C$91),30)/30))+(IF(23-(INT((Ipotesi!$C$91)/30))&lt;1,0,INDEX(Motore_Operativo!$BR$305:$BR$364,MAX(1,23-(INT((Ipotesi!$C$91)/30)))))*(1-(MOD((Ipotesi!$C$91),30)/30))+IF(23-(INT((Ipotesi!$C$91)/30))-1&lt;1,0,INDEX(Motore_Operativo!$BR$305:$BR$364,MAX(1,23-(INT((Ipotesi!$C$91)/30))-1)))*(MOD((Ipotesi!$C$91),30)/30))))*Piano_SS!$D$9,0))</f>
        <v>40000</v>
      </c>
      <c r="BZ327" s="15" t="n">
        <f aca="false">MIN(Piano_SS!$C$10,(BZ326)+IF(AND(Motore_Operativo!C327&gt;=EDATE(Parametri_v3!$C$24,Ipotesi!H14*12),Motore_Operativo!C327&lt;EDATE(Parametri_v3!$C$24,Parametri_v3!$C$25+Ipotesi!H14*12)),MAX(0,(IF(23-(INT((Ipotesi!$C$91)/30))&lt;1,0,INDEX(Motore_Operativo!$BO$305:$BO$364,MAX(1,23-(INT((Ipotesi!$C$91)/30)))))*(1-(MOD((Ipotesi!$C$91),30)/30))+IF(23-(INT((Ipotesi!$C$91)/30))-1&lt;1,0,INDEX(Motore_Operativo!$BO$305:$BO$364,MAX(1,23-(INT((Ipotesi!$C$91)/30))-1)))*(MOD((Ipotesi!$C$91),30)/30)))*Piano_SS!$D$10,0))</f>
        <v>24500</v>
      </c>
      <c r="CA327" s="15" t="n">
        <f aca="false">SUM(BV327:BZ327)</f>
        <v>285184.286885862</v>
      </c>
      <c r="CB327" s="15" t="n">
        <f aca="false">BV327*(1-Piano_SS!$E$6)+BW327*(1-Piano_SS!$E$7)+BX327*(1-Piano_SS!$E$8)+BY327*(1-Piano_SS!$E$9)+BZ327*(1-Piano_SS!$E$10)</f>
        <v>260684.286885862</v>
      </c>
      <c r="CC327" s="15" t="n">
        <f aca="false">(CC326)+BA327</f>
        <v>0</v>
      </c>
      <c r="CD327" s="15" t="n">
        <f aca="false">IF(CA327=0,0,CC327*CB327/CA327*Ipotesi!$C$103*Parametri_v3!$C$64)</f>
        <v>0</v>
      </c>
      <c r="CE327" s="18" t="n">
        <f aca="false">IF(BA327&gt;0,Motore_Operativo!C327,(CE326))</f>
        <v>0</v>
      </c>
      <c r="CF327" s="18" t="n">
        <f aca="false">IF(AND(CC327&gt;0,OR(CC327&gt;=CG327-0.01,Motore_Operativo!C327&gt;=EDATE(MAX(Finanziamenti!$D$15:$D$17),Ipotesi!H14*12))),CE327,0)</f>
        <v>0</v>
      </c>
      <c r="CG327" s="15" t="n">
        <f aca="false">IF(AND(6&lt;&gt;6,6&lt;&gt;9,Finanziamenti!$F$11=1,OR(Parametri_v3!$C$6=0,Finanziamenti!$E$11=1)),MIN(Finanziamenti!$C$11,Piano_SS!$C$12*Ipotesi!$C$102),0)</f>
        <v>0</v>
      </c>
      <c r="CH327" s="15" t="n">
        <f aca="false">IF(AND(AND(6&lt;&gt;8,6&lt;&gt;9,Finanziamenti!$F$10=1,OR(Parametri_v3!$C$6=0,Finanziamenti!$E$10=1)),Motore_Operativo!C327&gt;=Finanziamenti!$D$10,Motore_Operativo!C327&lt;Parametri_v3!$C$63),Finanziamenti!$C$10,0)</f>
        <v>150000</v>
      </c>
    </row>
    <row r="328" customFormat="false" ht="18" hidden="false" customHeight="true" outlineLevel="0" collapsed="false">
      <c r="A328" s="68" t="n">
        <f aca="false">6</f>
        <v>6</v>
      </c>
      <c r="B328" s="68" t="n">
        <f aca="false">24</f>
        <v>24</v>
      </c>
      <c r="C328" s="18" t="n">
        <f aca="false">Motore_Operativo!C328</f>
        <v>47088</v>
      </c>
      <c r="D328" s="68" t="n">
        <f aca="false">Motore_Operativo!D328</f>
        <v>2028</v>
      </c>
      <c r="E328" s="68" t="n">
        <f aca="false">Motore_Operativo!E328</f>
        <v>12</v>
      </c>
      <c r="F328" s="15" t="n">
        <f aca="false">Motore_Operativo!AQ328+Motore_Operativo!BF328</f>
        <v>31818.5881991813</v>
      </c>
      <c r="G328" s="15" t="n">
        <f aca="false">Motore_Operativo!BH328</f>
        <v>3398.1220657277</v>
      </c>
      <c r="H328" s="15" t="n">
        <f aca="false">Motore_Operativo!BI328</f>
        <v>35216.710264909</v>
      </c>
      <c r="I328" s="15" t="n">
        <f aca="false">Motore_Operativo!CA328</f>
        <v>58167.3793431906</v>
      </c>
      <c r="J328" s="15" t="n">
        <f aca="false">Motore_Operativo!CC328</f>
        <v>-22950.6690782815</v>
      </c>
      <c r="K328" s="15" t="n">
        <f aca="false">Motore_Operativo!CE328</f>
        <v>2083.33333333333</v>
      </c>
      <c r="L328" s="15" t="n">
        <f aca="false">SUM(INDEX($K$305:$K$364,MAX(1,24-Parametri_v3!$C$59+1)):K328)/Parametri_v3!$C$59</f>
        <v>1250</v>
      </c>
      <c r="M328" s="15" t="n">
        <f aca="false">J328-L328</f>
        <v>-24200.6690782815</v>
      </c>
      <c r="N328" s="15" t="n">
        <f aca="false">CD328-(CD327)</f>
        <v>0</v>
      </c>
      <c r="O328" s="15" t="n">
        <f aca="false">(BG327)*Ipotesi!$C$110/12+CH328*Parametri_v3!$C$39/12</f>
        <v>750</v>
      </c>
      <c r="P328" s="15" t="n">
        <f aca="false">M328+N328-O328</f>
        <v>-24950.6690782815</v>
      </c>
      <c r="Q328" s="15" t="n">
        <f aca="false">SUM(P317:P328)+Parametri_v3!$C$54*12/12</f>
        <v>-343545.245694832</v>
      </c>
      <c r="R328" s="15" t="n">
        <f aca="false">Z316</f>
        <v>225824.262399039</v>
      </c>
      <c r="S328" s="15" t="n">
        <f aca="false">AA316</f>
        <v>0</v>
      </c>
      <c r="T328" s="15" t="n">
        <f aca="false">MIN(R328,MAX(0,Q328))</f>
        <v>0</v>
      </c>
      <c r="U328" s="15" t="n">
        <f aca="false">MIN(S328,MAX(0,Q328-T328)*Parametri_v3!$C$42)</f>
        <v>0</v>
      </c>
      <c r="V328" s="15" t="n">
        <f aca="false">MAX(0,Q328-T328-U328)*Ipotesi!$C$92</f>
        <v>0</v>
      </c>
      <c r="W328" s="15" t="n">
        <f aca="false">MAX(0,SUM(M317:M328)+Parametri_v3!$C$55*12/12)*Ipotesi!$C$93</f>
        <v>0</v>
      </c>
      <c r="X328" s="15" t="n">
        <f aca="false">V328+W328-(V327+W327)</f>
        <v>0</v>
      </c>
      <c r="Y328" s="15" t="n">
        <f aca="false">P328-X328</f>
        <v>-24950.6690782815</v>
      </c>
      <c r="Z328" s="15" t="n">
        <f aca="false">R328-T328+IF(AND(Parametri_v3!$C$40=1,D328-YEAR(Parametri_v3!$C$50)&lt;Parametri_v3!$C$41),MAX(0,-Q328),0)</f>
        <v>569369.508093871</v>
      </c>
      <c r="AA328" s="15" t="n">
        <f aca="false">S328-U328+IF(AND(Parametri_v3!$C$40=1,D328-YEAR(Parametri_v3!$C$50)&lt;Parametri_v3!$C$41),0,MAX(0,-Q328))</f>
        <v>0</v>
      </c>
      <c r="AB328" s="15" t="n">
        <f aca="false">F328*(1+Parametri_v3!$C$26)</f>
        <v>38818.6776030012</v>
      </c>
      <c r="AC328" s="15" t="n">
        <f aca="false">(IF(24-(INT((Motore_Operativo!L328)/30))&lt;1,0,INDEX(Motore_Startup!$AB$305:$AB$364,MAX(1,24-(INT((Motore_Operativo!L328)/30)))))*(1-(MOD((Motore_Operativo!L328),30)/30))+IF(24-(INT((Motore_Operativo!L328)/30))-1&lt;1,0,INDEX(Motore_Startup!$AB$305:$AB$364,MAX(1,24-(INT((Motore_Operativo!L328)/30))-1)))*(MOD((Motore_Operativo!L328),30)/30))</f>
        <v>35583.2360733457</v>
      </c>
      <c r="AD328" s="15" t="n">
        <f aca="false">(AD327)+AB328-AC328</f>
        <v>113239.529246472</v>
      </c>
      <c r="AE328" s="15" t="n">
        <f aca="false">Motore_Operativo!BH328*(1+Parametri_v3!$C$26)</f>
        <v>4145.70892018779</v>
      </c>
      <c r="AF328" s="15" t="n">
        <f aca="false">(IF(24-(INT((Parametri_v3!$C$29)/30))&lt;1,0,INDEX(Motore_Operativo!$BH$305:$BH$364,MAX(1,24-(INT((Parametri_v3!$C$29)/30)))))*(1-(MOD((Parametri_v3!$C$29),30)/30))+IF(24-(INT((Parametri_v3!$C$29)/30))-1&lt;1,0,INDEX(Motore_Operativo!$BH$305:$BH$364,MAX(1,24-(INT((Parametri_v3!$C$29)/30))-1)))*(MOD((Parametri_v3!$C$29),30)/30))*(1+Parametri_v3!$C$26)</f>
        <v>4145.70892018779</v>
      </c>
      <c r="AG328" s="15" t="n">
        <f aca="false">(AG327)+AE328-AF328</f>
        <v>4145.70892018779</v>
      </c>
      <c r="AH328" s="15" t="n">
        <f aca="false">(Motore_Operativo!CJ328)*(1+Parametri_v3!$C$27*Parametri_v3!$C$26)</f>
        <v>21846.5917803672</v>
      </c>
      <c r="AI328" s="15" t="n">
        <f aca="false">(IF(24-(INT((Ipotesi!$C$91)/30))&lt;1,0,INDEX(Motore_Startup!$AH$305:$AH$364,MAX(1,24-(INT((Ipotesi!$C$91)/30)))))*(1-(MOD((Ipotesi!$C$91),30)/30))+IF(24-(INT((Ipotesi!$C$91)/30))-1&lt;1,0,INDEX(Motore_Startup!$AH$305:$AH$364,MAX(1,24-(INT((Ipotesi!$C$91)/30))-1)))*(MOD((Ipotesi!$C$91),30)/30))</f>
        <v>21554.0770886097</v>
      </c>
      <c r="AJ328" s="15" t="n">
        <f aca="false">(AJ327)+AH328-AI328</f>
        <v>43547.5682836218</v>
      </c>
      <c r="AK328" s="15" t="n">
        <f aca="false">(F328+ Motore_Operativo!BH328-(Motore_Operativo!CJ328)*Parametri_v3!$C$27-Motore_Operativo!CE328)*Parametri_v3!$C$26</f>
        <v>3847.63048777002</v>
      </c>
      <c r="AL328" s="15" t="n">
        <f aca="false">MAX(0,(AM327))</f>
        <v>3677.79565198975</v>
      </c>
      <c r="AM328" s="15" t="n">
        <f aca="false">(AM327)+AK328-AL328</f>
        <v>3847.63048777002</v>
      </c>
      <c r="AN328" s="15" t="n">
        <f aca="false">SUM(X305:X316)</f>
        <v>0</v>
      </c>
      <c r="AO328" s="15" t="n">
        <f aca="false">SUM(AP305:AP316)</f>
        <v>0</v>
      </c>
      <c r="AP328" s="15" t="n">
        <f aca="false">MAX(0,AN328)*IF(12=Parametri_v3!$C$43,Parametri_v3!$C$45,IF(12=Parametri_v3!$C$44,1-Parametri_v3!$C$45,0))</f>
        <v>0</v>
      </c>
      <c r="AQ328" s="15" t="n">
        <f aca="false">MAX(0,AP328+IF(12=Parametri_v3!$C$43,MAX(0,AN328-AO328),0)-MAX(0,-(AR327)))</f>
        <v>0</v>
      </c>
      <c r="AR328" s="15" t="n">
        <f aca="false">(AR327)+X328-AQ328</f>
        <v>0</v>
      </c>
      <c r="AS328" s="15" t="n">
        <f aca="false">Motore_Operativo!AB328-AT328+AU328</f>
        <v>37774.375</v>
      </c>
      <c r="AT328" s="15" t="n">
        <f aca="false">Motore_Operativo!CH328</f>
        <v>1988.125</v>
      </c>
      <c r="AU328" s="15" t="n">
        <f aca="false">MIN(MAX(0,(AV327)+AT328),Parametri_v3!$C$60/12)</f>
        <v>0</v>
      </c>
      <c r="AV328" s="15" t="n">
        <f aca="false">(AV327)+AT328-AU328</f>
        <v>34607.5</v>
      </c>
      <c r="AW328" s="15" t="n">
        <f aca="false">IF(AND(Motore_Operativo!C328=Finanziamenti!$D$6,Finanziamenti!$F$6=1),Finanziamenti!$C$6,0)</f>
        <v>0</v>
      </c>
      <c r="AX328" s="15" t="n">
        <f aca="false">IF(AND(6&lt;&gt;7,6&lt;&gt;9,Finanziamenti!$F$8=1,OR(Parametri_v3!$C$6=0,Finanziamenti!$E$8=1),Motore_Operativo!C328=EDATE(Finanziamenti!$D$8,Ipotesi!H15*12)),Finanziamenti!$C$8*1,0)+IF(AND(6&lt;&gt;7,6&lt;&gt;9,Finanziamenti!$F$9=1,OR(Parametri_v3!$C$6=0,Finanziamenti!$E$9=1),Motore_Operativo!C328=EDATE(Finanziamenti!$D$9,Ipotesi!H15*12)),Finanziamenti!$C$9*Ipotesi!H16,0)</f>
        <v>0</v>
      </c>
      <c r="AY328" s="15" t="n">
        <f aca="false">0</f>
        <v>0</v>
      </c>
      <c r="AZ328" s="15" t="n">
        <f aca="false">Motore_Advisory!AY328*(1-Ipotesi!$C$95)*Ipotesi!$C$96</f>
        <v>0</v>
      </c>
      <c r="BA328" s="15" t="n">
        <f aca="false">MAX(0,MIN(CG328*MIN(1,IF(Motore_Operativo!C328&gt;=EDATE(Finanziamenti!$D$15,Ipotesi!H14*12),Finanziamenti!$C$15,0)+IF(Motore_Operativo!C328&gt;=EDATE(Finanziamenti!$D$16,Ipotesi!H14*12),Finanziamenti!$C$16,0)+IF(Motore_Operativo!C328&gt;=EDATE(Finanziamenti!$D$17,Ipotesi!H14*12),Finanziamenti!$C$17,0)),CA328*Ipotesi!$C$102)-(CC327))</f>
        <v>0</v>
      </c>
      <c r="BB328" s="15" t="n">
        <f aca="false">IF(AND(CF328&gt;0,Motore_Operativo!C328&gt;=IF(CF328=0,0,EDATE(CF328,Parametri_v3!$C$37)),MOD(((D328-YEAR(IF(CF328=0,0,EDATE(CF328,Parametri_v3!$C$37))))*12+E328-MONTH(IF(CF328=0,0,EDATE(CF328,Parametri_v3!$C$37)))),Parametri_v3!$C$38)=0),MIN(MAX(0,(BC327)+BA328-N328),(CC328-CD328)/(Ipotesi!$C$108*12/Parametri_v3!$C$38)),0)</f>
        <v>0</v>
      </c>
      <c r="BC328" s="15" t="n">
        <f aca="false">(BC327)+BA328-N328-BB328</f>
        <v>0</v>
      </c>
      <c r="BD328" s="15" t="n">
        <f aca="false">(BH327)+AC328+AF328-AI328-AS328-K328*(1+Parametri_v3!$C$26)-AL328-AQ328-O328+AW328+AX328+AZ328+BA328-BB328</f>
        <v>-54960.3808224725</v>
      </c>
      <c r="BE328" s="15" t="n">
        <f aca="false">MAX(0,MIN(MAX(0,CH328-(BG327)),Parametri_v3!$C$30-BD328))</f>
        <v>0</v>
      </c>
      <c r="BF328" s="15" t="n">
        <f aca="false">IF(Motore_Operativo!C328&gt;=Parametri_v3!$C$63,(BG327),MIN((BG327),MAX(0,BD328-Parametri_v3!$C$30)))</f>
        <v>0</v>
      </c>
      <c r="BG328" s="15" t="n">
        <f aca="false">(BG327)+BE328-BF328</f>
        <v>150000</v>
      </c>
      <c r="BH328" s="15" t="n">
        <f aca="false">BD328+BE328-BF328-AY328</f>
        <v>-54960.3808224725</v>
      </c>
      <c r="BI328" s="15" t="n">
        <f aca="false">MAX(0,Parametri_v3!$C$30-BH328)</f>
        <v>79960.3808224725</v>
      </c>
      <c r="BJ328" s="15" t="n">
        <f aca="false">(BJ327)+K328</f>
        <v>45000</v>
      </c>
      <c r="BK328" s="15" t="n">
        <f aca="false">(BK327)+L328</f>
        <v>14791.6666666667</v>
      </c>
      <c r="BL328" s="15" t="n">
        <f aca="false">BJ328-BK328</f>
        <v>30208.3333333333</v>
      </c>
      <c r="BM328" s="15" t="n">
        <f aca="false">(BM327)+Y328</f>
        <v>-569369.508093871</v>
      </c>
      <c r="BN328" s="15" t="n">
        <f aca="false">(BN327)+AW328+AX328+AZ328</f>
        <v>430000</v>
      </c>
      <c r="BO328" s="15" t="n">
        <f aca="false">(BO327)+AY328</f>
        <v>0</v>
      </c>
      <c r="BP328" s="15" t="n">
        <f aca="false">0</f>
        <v>0</v>
      </c>
      <c r="BQ328" s="15" t="n">
        <f aca="false">BN328+BM328-BO328</f>
        <v>-139369.508093871</v>
      </c>
      <c r="BR328" s="15" t="n">
        <f aca="false">BH328+AD328+BL328+MAX(0,-AM328)+MAX(0,-AR328)+AG328</f>
        <v>92633.1906775205</v>
      </c>
      <c r="BS328" s="15" t="n">
        <f aca="false">AJ328+AV328+MAX(0,AM328)+MAX(0,AR328)+BC328+BG328+BQ328</f>
        <v>92633.1906775205</v>
      </c>
      <c r="BT328" s="15" t="n">
        <f aca="false">BR328-BS328</f>
        <v>0</v>
      </c>
      <c r="BU328" s="15" t="n">
        <f aca="false">BH328-(BD328+BE328-BF328-AY328)</f>
        <v>0</v>
      </c>
      <c r="BV328" s="15" t="n">
        <f aca="false">MIN(Piano_SS!$C$6,(BV327)+IF(AND(Motore_Operativo!C328&gt;=EDATE(Parametri_v3!$C$24,Ipotesi!H14*12),Motore_Operativo!C328&lt;EDATE(Parametri_v3!$C$24,Parametri_v3!$C$25+Ipotesi!H14*12)),MAX(0,(Motore_Operativo!Y328+Motore_Operativo!X328*Parametri_v3!$C$14)*(1-Parametri_v3!$C$32))*Piano_SS!$D$6,0))</f>
        <v>175275</v>
      </c>
      <c r="BW328" s="15" t="n">
        <f aca="false">MIN(Piano_SS!$C$7,(BW327)+IF(AND(Motore_Operativo!C328&gt;=EDATE(Parametri_v3!$C$24,Ipotesi!H14*12),Motore_Operativo!C328&lt;EDATE(Parametri_v3!$C$24,Parametri_v3!$C$25+Ipotesi!H14*12)),MAX(0,(IF(24-(INT((Ipotesi!$C$91)/30))&lt;1,0,INDEX(Motore_Operativo!$BN$305:$BN$364,MAX(1,24-(INT((Ipotesi!$C$91)/30)))))*(1-(MOD((Ipotesi!$C$91),30)/30))+IF(24-(INT((Ipotesi!$C$91)/30))-1&lt;1,0,INDEX(Motore_Operativo!$BN$305:$BN$364,MAX(1,24-(INT((Ipotesi!$C$91)/30))-1)))*(MOD((Ipotesi!$C$91),30)/30)))*Piano_SS!$D$7,0))</f>
        <v>26668.5390338217</v>
      </c>
      <c r="BX328" s="15" t="n">
        <f aca="false">MIN(Piano_SS!$C$8,(BX327)+IF(AND(Motore_Operativo!C328&gt;=EDATE(Parametri_v3!$C$24,Ipotesi!H14*12),Motore_Operativo!C328&lt;EDATE(Parametri_v3!$C$24,Parametri_v3!$C$25+Ipotesi!H14*12)),MAX(0,Motore_Operativo!CE328)*Piano_SS!$D$8,0))</f>
        <v>35000</v>
      </c>
      <c r="BY328" s="15" t="n">
        <f aca="false">MIN(Piano_SS!$C$9,(BY327)+IF(AND(Motore_Operativo!C328&gt;=EDATE(Parametri_v3!$C$24,Ipotesi!H14*12),Motore_Operativo!C328&lt;EDATE(Parametri_v3!$C$24,Parametri_v3!$C$25+Ipotesi!H14*12)),MAX(0,((IF(24-(INT((Ipotesi!$C$91)/30))&lt;1,0,INDEX(Motore_Operativo!$BQ$305:$BQ$364,MAX(1,24-(INT((Ipotesi!$C$91)/30)))))*(1-(MOD((Ipotesi!$C$91),30)/30))+IF(24-(INT((Ipotesi!$C$91)/30))-1&lt;1,0,INDEX(Motore_Operativo!$BQ$305:$BQ$364,MAX(1,24-(INT((Ipotesi!$C$91)/30))-1)))*(MOD((Ipotesi!$C$91),30)/30))+(IF(24-(INT((Ipotesi!$C$91)/30))&lt;1,0,INDEX(Motore_Operativo!$BR$305:$BR$364,MAX(1,24-(INT((Ipotesi!$C$91)/30)))))*(1-(MOD((Ipotesi!$C$91),30)/30))+IF(24-(INT((Ipotesi!$C$91)/30))-1&lt;1,0,INDEX(Motore_Operativo!$BR$305:$BR$364,MAX(1,24-(INT((Ipotesi!$C$91)/30))-1)))*(MOD((Ipotesi!$C$91),30)/30))))*Piano_SS!$D$9,0))</f>
        <v>40000</v>
      </c>
      <c r="BZ328" s="15" t="n">
        <f aca="false">MIN(Piano_SS!$C$10,(BZ327)+IF(AND(Motore_Operativo!C328&gt;=EDATE(Parametri_v3!$C$24,Ipotesi!H14*12),Motore_Operativo!C328&lt;EDATE(Parametri_v3!$C$24,Parametri_v3!$C$25+Ipotesi!H14*12)),MAX(0,(IF(24-(INT((Ipotesi!$C$91)/30))&lt;1,0,INDEX(Motore_Operativo!$BO$305:$BO$364,MAX(1,24-(INT((Ipotesi!$C$91)/30)))))*(1-(MOD((Ipotesi!$C$91),30)/30))+IF(24-(INT((Ipotesi!$C$91)/30))-1&lt;1,0,INDEX(Motore_Operativo!$BO$305:$BO$364,MAX(1,24-(INT((Ipotesi!$C$91)/30))-1)))*(MOD((Ipotesi!$C$91),30)/30)))*Piano_SS!$D$10,0))</f>
        <v>26333.3333333333</v>
      </c>
      <c r="CA328" s="15" t="n">
        <f aca="false">SUM(BV328:BZ328)</f>
        <v>303276.872367155</v>
      </c>
      <c r="CB328" s="15" t="n">
        <f aca="false">BV328*(1-Piano_SS!$E$6)+BW328*(1-Piano_SS!$E$7)+BX328*(1-Piano_SS!$E$8)+BY328*(1-Piano_SS!$E$9)+BZ328*(1-Piano_SS!$E$10)</f>
        <v>276943.539033822</v>
      </c>
      <c r="CC328" s="15" t="n">
        <f aca="false">(CC327)+BA328</f>
        <v>0</v>
      </c>
      <c r="CD328" s="15" t="n">
        <f aca="false">IF(CA328=0,0,CC328*CB328/CA328*Ipotesi!$C$103*Parametri_v3!$C$64)</f>
        <v>0</v>
      </c>
      <c r="CE328" s="18" t="n">
        <f aca="false">IF(BA328&gt;0,Motore_Operativo!C328,(CE327))</f>
        <v>0</v>
      </c>
      <c r="CF328" s="18" t="n">
        <f aca="false">IF(AND(CC328&gt;0,OR(CC328&gt;=CG328-0.01,Motore_Operativo!C328&gt;=EDATE(MAX(Finanziamenti!$D$15:$D$17),Ipotesi!H14*12))),CE328,0)</f>
        <v>0</v>
      </c>
      <c r="CG328" s="15" t="n">
        <f aca="false">IF(AND(6&lt;&gt;6,6&lt;&gt;9,Finanziamenti!$F$11=1,OR(Parametri_v3!$C$6=0,Finanziamenti!$E$11=1)),MIN(Finanziamenti!$C$11,Piano_SS!$C$12*Ipotesi!$C$102),0)</f>
        <v>0</v>
      </c>
      <c r="CH328" s="15" t="n">
        <f aca="false">IF(AND(AND(6&lt;&gt;8,6&lt;&gt;9,Finanziamenti!$F$10=1,OR(Parametri_v3!$C$6=0,Finanziamenti!$E$10=1)),Motore_Operativo!C328&gt;=Finanziamenti!$D$10,Motore_Operativo!C328&lt;Parametri_v3!$C$63),Finanziamenti!$C$10,0)</f>
        <v>150000</v>
      </c>
    </row>
    <row r="329" customFormat="false" ht="18" hidden="false" customHeight="true" outlineLevel="0" collapsed="false">
      <c r="A329" s="68" t="n">
        <f aca="false">6</f>
        <v>6</v>
      </c>
      <c r="B329" s="68" t="n">
        <f aca="false">25</f>
        <v>25</v>
      </c>
      <c r="C329" s="18" t="n">
        <f aca="false">Motore_Operativo!C329</f>
        <v>47119</v>
      </c>
      <c r="D329" s="68" t="n">
        <f aca="false">Motore_Operativo!D329</f>
        <v>2029</v>
      </c>
      <c r="E329" s="68" t="n">
        <f aca="false">Motore_Operativo!E329</f>
        <v>1</v>
      </c>
      <c r="F329" s="15" t="n">
        <f aca="false">Motore_Operativo!AQ329+Motore_Operativo!BF329</f>
        <v>56956.9441713397</v>
      </c>
      <c r="G329" s="15" t="n">
        <f aca="false">Motore_Operativo!BH329</f>
        <v>6050</v>
      </c>
      <c r="H329" s="15" t="n">
        <f aca="false">Motore_Operativo!BI329</f>
        <v>63006.9441713397</v>
      </c>
      <c r="I329" s="15" t="n">
        <f aca="false">Motore_Operativo!CA329</f>
        <v>115308.305517321</v>
      </c>
      <c r="J329" s="15" t="n">
        <f aca="false">Motore_Operativo!CC329</f>
        <v>-52301.3613459812</v>
      </c>
      <c r="K329" s="15" t="n">
        <f aca="false">Motore_Operativo!CE329</f>
        <v>2500</v>
      </c>
      <c r="L329" s="15" t="n">
        <f aca="false">SUM(INDEX($K$305:$K$364,MAX(1,25-Parametri_v3!$C$59+1)):K329)/Parametri_v3!$C$59</f>
        <v>1319.44444444444</v>
      </c>
      <c r="M329" s="15" t="n">
        <f aca="false">J329-L329</f>
        <v>-53620.8057904256</v>
      </c>
      <c r="N329" s="15" t="n">
        <f aca="false">CD329-(CD328)</f>
        <v>0</v>
      </c>
      <c r="O329" s="15" t="n">
        <f aca="false">(BG328)*Ipotesi!$C$110/12+CH329*Parametri_v3!$C$39/12</f>
        <v>750</v>
      </c>
      <c r="P329" s="15" t="n">
        <f aca="false">M329+N329-O329</f>
        <v>-54370.8057904256</v>
      </c>
      <c r="Q329" s="15" t="n">
        <f aca="false">SUM(P329)+Parametri_v3!$C$54*1/12</f>
        <v>-54370.8057904256</v>
      </c>
      <c r="R329" s="15" t="n">
        <f aca="false">Z328</f>
        <v>569369.508093871</v>
      </c>
      <c r="S329" s="15" t="n">
        <f aca="false">AA328</f>
        <v>0</v>
      </c>
      <c r="T329" s="15" t="n">
        <f aca="false">MIN(R329,MAX(0,Q329))</f>
        <v>0</v>
      </c>
      <c r="U329" s="15" t="n">
        <f aca="false">MIN(S329,MAX(0,Q329-T329)*Parametri_v3!$C$42)</f>
        <v>0</v>
      </c>
      <c r="V329" s="15" t="n">
        <f aca="false">MAX(0,Q329-T329-U329)*Ipotesi!$C$92</f>
        <v>0</v>
      </c>
      <c r="W329" s="15" t="n">
        <f aca="false">MAX(0,SUM(M329)+Parametri_v3!$C$55*1/12)*Ipotesi!$C$93</f>
        <v>0</v>
      </c>
      <c r="X329" s="15" t="n">
        <f aca="false">V329+W329-(0)</f>
        <v>0</v>
      </c>
      <c r="Y329" s="15" t="n">
        <f aca="false">P329-X329</f>
        <v>-54370.8057904256</v>
      </c>
      <c r="Z329" s="15" t="n">
        <f aca="false">R329-T329+IF(AND(Parametri_v3!$C$40=1,D329-YEAR(Parametri_v3!$C$50)&lt;Parametri_v3!$C$41),MAX(0,-Q329),0)</f>
        <v>623740.313884297</v>
      </c>
      <c r="AA329" s="15" t="n">
        <f aca="false">S329-U329+IF(AND(Parametri_v3!$C$40=1,D329-YEAR(Parametri_v3!$C$50)&lt;Parametri_v3!$C$41),0,MAX(0,-Q329))</f>
        <v>0</v>
      </c>
      <c r="AB329" s="15" t="n">
        <f aca="false">F329*(1+Parametri_v3!$C$26)</f>
        <v>69487.4718890345</v>
      </c>
      <c r="AC329" s="15" t="n">
        <f aca="false">(IF(25-(INT((Motore_Operativo!L329)/30))&lt;1,0,INDEX(Motore_Startup!$AB$305:$AB$364,MAX(1,25-(INT((Motore_Operativo!L329)/30)))))*(1-(MOD((Motore_Operativo!L329),30)/30))+IF(25-(INT((Motore_Operativo!L329)/30))-1&lt;1,0,INDEX(Motore_Startup!$AB$305:$AB$364,MAX(1,25-(INT((Motore_Operativo!L329)/30))-1)))*(MOD((Motore_Operativo!L329),30)/30))</f>
        <v>36671.1994230508</v>
      </c>
      <c r="AD329" s="15" t="n">
        <f aca="false">(AD328)+AB329-AC329</f>
        <v>146055.801712456</v>
      </c>
      <c r="AE329" s="15" t="n">
        <f aca="false">Motore_Operativo!BH329*(1+Parametri_v3!$C$26)</f>
        <v>7381</v>
      </c>
      <c r="AF329" s="15" t="n">
        <f aca="false">(IF(25-(INT((Parametri_v3!$C$29)/30))&lt;1,0,INDEX(Motore_Operativo!$BH$305:$BH$364,MAX(1,25-(INT((Parametri_v3!$C$29)/30)))))*(1-(MOD((Parametri_v3!$C$29),30)/30))+IF(25-(INT((Parametri_v3!$C$29)/30))-1&lt;1,0,INDEX(Motore_Operativo!$BH$305:$BH$364,MAX(1,25-(INT((Parametri_v3!$C$29)/30))-1)))*(MOD((Parametri_v3!$C$29),30)/30))*(1+Parametri_v3!$C$26)</f>
        <v>4145.70892018779</v>
      </c>
      <c r="AG329" s="15" t="n">
        <f aca="false">(AG328)+AE329-AF329</f>
        <v>7381</v>
      </c>
      <c r="AH329" s="15" t="n">
        <f aca="false">(Motore_Operativo!CJ329)*(1+Parametri_v3!$C$27*Parametri_v3!$C$26)</f>
        <v>48708.1163157266</v>
      </c>
      <c r="AI329" s="15" t="n">
        <f aca="false">(IF(25-(INT((Ipotesi!$C$91)/30))&lt;1,0,INDEX(Motore_Startup!$AH$305:$AH$364,MAX(1,25-(INT((Ipotesi!$C$91)/30)))))*(1-(MOD((Ipotesi!$C$91),30)/30))+IF(25-(INT((Ipotesi!$C$91)/30))-1&lt;1,0,INDEX(Motore_Startup!$AH$305:$AH$364,MAX(1,25-(INT((Ipotesi!$C$91)/30))-1)))*(MOD((Ipotesi!$C$91),30)/30))</f>
        <v>21700.9765032546</v>
      </c>
      <c r="AJ329" s="15" t="n">
        <f aca="false">(AJ328)+AH329-AI329</f>
        <v>70554.7080960938</v>
      </c>
      <c r="AK329" s="15" t="n">
        <f aca="false">(F329+ Motore_Operativo!BH329-(Motore_Operativo!CJ329)*Parametri_v3!$C$27-Motore_Operativo!CE329)*Parametri_v3!$C$26</f>
        <v>5638.0502526224</v>
      </c>
      <c r="AL329" s="15" t="n">
        <f aca="false">MAX(0,(AM328))</f>
        <v>3847.63048777002</v>
      </c>
      <c r="AM329" s="15" t="n">
        <f aca="false">(AM328)+AK329-AL329</f>
        <v>5638.0502526224</v>
      </c>
      <c r="AN329" s="15" t="n">
        <f aca="false">SUM(X317:X328)</f>
        <v>0</v>
      </c>
      <c r="AO329" s="15" t="n">
        <f aca="false">SUM(AP317:AP328)</f>
        <v>0</v>
      </c>
      <c r="AP329" s="15" t="n">
        <f aca="false">MAX(0,AN329)*IF(1=Parametri_v3!$C$43,Parametri_v3!$C$45,IF(1=Parametri_v3!$C$44,1-Parametri_v3!$C$45,0))</f>
        <v>0</v>
      </c>
      <c r="AQ329" s="15" t="n">
        <f aca="false">MAX(0,AP329+IF(1=Parametri_v3!$C$43,MAX(0,AN329-AO329),0)-MAX(0,-(AR328)))</f>
        <v>0</v>
      </c>
      <c r="AR329" s="15" t="n">
        <f aca="false">(AR328)+X329-AQ329</f>
        <v>0</v>
      </c>
      <c r="AS329" s="15" t="n">
        <f aca="false">Motore_Operativo!AB329-AT329+AU329</f>
        <v>70559.9833333333</v>
      </c>
      <c r="AT329" s="15" t="n">
        <f aca="false">Motore_Operativo!CH329</f>
        <v>3713.68333333333</v>
      </c>
      <c r="AU329" s="15" t="n">
        <f aca="false">MIN(MAX(0,(AV328)+AT329),Parametri_v3!$C$60/12)</f>
        <v>0</v>
      </c>
      <c r="AV329" s="15" t="n">
        <f aca="false">(AV328)+AT329-AU329</f>
        <v>38321.1833333333</v>
      </c>
      <c r="AW329" s="15" t="n">
        <f aca="false">IF(AND(Motore_Operativo!C329=Finanziamenti!$D$6,Finanziamenti!$F$6=1),Finanziamenti!$C$6,0)</f>
        <v>0</v>
      </c>
      <c r="AX329" s="15" t="n">
        <f aca="false">IF(AND(6&lt;&gt;7,6&lt;&gt;9,Finanziamenti!$F$8=1,OR(Parametri_v3!$C$6=0,Finanziamenti!$E$8=1),Motore_Operativo!C329=EDATE(Finanziamenti!$D$8,Ipotesi!H15*12)),Finanziamenti!$C$8*1,0)+IF(AND(6&lt;&gt;7,6&lt;&gt;9,Finanziamenti!$F$9=1,OR(Parametri_v3!$C$6=0,Finanziamenti!$E$9=1),Motore_Operativo!C329=EDATE(Finanziamenti!$D$9,Ipotesi!H15*12)),Finanziamenti!$C$9*Ipotesi!H16,0)</f>
        <v>0</v>
      </c>
      <c r="AY329" s="15" t="n">
        <f aca="false">0</f>
        <v>0</v>
      </c>
      <c r="AZ329" s="15" t="n">
        <f aca="false">Motore_Advisory!AY329*(1-Ipotesi!$C$95)*Ipotesi!$C$96</f>
        <v>0</v>
      </c>
      <c r="BA329" s="15" t="n">
        <f aca="false">MAX(0,MIN(CG329*MIN(1,IF(Motore_Operativo!C329&gt;=EDATE(Finanziamenti!$D$15,Ipotesi!H14*12),Finanziamenti!$C$15,0)+IF(Motore_Operativo!C329&gt;=EDATE(Finanziamenti!$D$16,Ipotesi!H14*12),Finanziamenti!$C$16,0)+IF(Motore_Operativo!C329&gt;=EDATE(Finanziamenti!$D$17,Ipotesi!H14*12),Finanziamenti!$C$17,0)),CA329*Ipotesi!$C$102)-(CC328))</f>
        <v>0</v>
      </c>
      <c r="BB329" s="15" t="n">
        <f aca="false">IF(AND(CF329&gt;0,Motore_Operativo!C329&gt;=IF(CF329=0,0,EDATE(CF329,Parametri_v3!$C$37)),MOD(((D329-YEAR(IF(CF329=0,0,EDATE(CF329,Parametri_v3!$C$37))))*12+E329-MONTH(IF(CF329=0,0,EDATE(CF329,Parametri_v3!$C$37)))),Parametri_v3!$C$38)=0),MIN(MAX(0,(BC328)+BA329-N329),(CC329-CD329)/(Ipotesi!$C$108*12/Parametri_v3!$C$38)),0)</f>
        <v>0</v>
      </c>
      <c r="BC329" s="15" t="n">
        <f aca="false">(BC328)+BA329-N329-BB329</f>
        <v>0</v>
      </c>
      <c r="BD329" s="15" t="n">
        <f aca="false">(BH328)+AC329+AF329-AI329-AS329-K329*(1+Parametri_v3!$C$26)-AL329-AQ329-O329+AW329+AX329+AZ329+BA329-BB329</f>
        <v>-114052.062803592</v>
      </c>
      <c r="BE329" s="15" t="n">
        <f aca="false">MAX(0,MIN(MAX(0,CH329-(BG328)),Parametri_v3!$C$30-BD329))</f>
        <v>0</v>
      </c>
      <c r="BF329" s="15" t="n">
        <f aca="false">IF(Motore_Operativo!C329&gt;=Parametri_v3!$C$63,(BG328),MIN((BG328),MAX(0,BD329-Parametri_v3!$C$30)))</f>
        <v>0</v>
      </c>
      <c r="BG329" s="15" t="n">
        <f aca="false">(BG328)+BE329-BF329</f>
        <v>150000</v>
      </c>
      <c r="BH329" s="15" t="n">
        <f aca="false">BD329+BE329-BF329-AY329</f>
        <v>-114052.062803592</v>
      </c>
      <c r="BI329" s="15" t="n">
        <f aca="false">MAX(0,Parametri_v3!$C$30-BH329)</f>
        <v>139052.062803592</v>
      </c>
      <c r="BJ329" s="15" t="n">
        <f aca="false">(BJ328)+K329</f>
        <v>47500</v>
      </c>
      <c r="BK329" s="15" t="n">
        <f aca="false">(BK328)+L329</f>
        <v>16111.1111111111</v>
      </c>
      <c r="BL329" s="15" t="n">
        <f aca="false">BJ329-BK329</f>
        <v>31388.8888888889</v>
      </c>
      <c r="BM329" s="15" t="n">
        <f aca="false">(BM328)+Y329</f>
        <v>-623740.313884297</v>
      </c>
      <c r="BN329" s="15" t="n">
        <f aca="false">(BN328)+AW329+AX329+AZ329</f>
        <v>430000</v>
      </c>
      <c r="BO329" s="15" t="n">
        <f aca="false">(BO328)+AY329</f>
        <v>0</v>
      </c>
      <c r="BP329" s="15" t="n">
        <f aca="false">0</f>
        <v>0</v>
      </c>
      <c r="BQ329" s="15" t="n">
        <f aca="false">BN329+BM329-BO329</f>
        <v>-193740.313884297</v>
      </c>
      <c r="BR329" s="15" t="n">
        <f aca="false">BH329+AD329+BL329+MAX(0,-AM329)+MAX(0,-AR329)+AG329</f>
        <v>70773.6277977527</v>
      </c>
      <c r="BS329" s="15" t="n">
        <f aca="false">AJ329+AV329+MAX(0,AM329)+MAX(0,AR329)+BC329+BG329+BQ329</f>
        <v>70773.6277977526</v>
      </c>
      <c r="BT329" s="15" t="n">
        <f aca="false">BR329-BS329</f>
        <v>0</v>
      </c>
      <c r="BU329" s="15" t="n">
        <f aca="false">BH329-(BD329+BE329-BF329-AY329)</f>
        <v>0</v>
      </c>
      <c r="BV329" s="15" t="n">
        <f aca="false">MIN(Piano_SS!$C$6,(BV328)+IF(AND(Motore_Operativo!C329&gt;=EDATE(Parametri_v3!$C$24,Ipotesi!H14*12),Motore_Operativo!C329&lt;EDATE(Parametri_v3!$C$24,Parametri_v3!$C$25+Ipotesi!H14*12)),MAX(0,(Motore_Operativo!Y329+Motore_Operativo!X329*Parametri_v3!$C$14)*(1-Parametri_v3!$C$32))*Piano_SS!$D$6,0))</f>
        <v>200051.435416667</v>
      </c>
      <c r="BW329" s="15" t="n">
        <f aca="false">MIN(Piano_SS!$C$7,(BW328)+IF(AND(Motore_Operativo!C329&gt;=EDATE(Parametri_v3!$C$24,Ipotesi!H14*12),Motore_Operativo!C329&lt;EDATE(Parametri_v3!$C$24,Parametri_v3!$C$25+Ipotesi!H14*12)),MAX(0,(IF(25-(INT((Ipotesi!$C$91)/30))&lt;1,0,INDEX(Motore_Operativo!$BN$305:$BN$364,MAX(1,25-(INT((Ipotesi!$C$91)/30)))))*(1-(MOD((Ipotesi!$C$91),30)/30))+IF(25-(INT((Ipotesi!$C$91)/30))-1&lt;1,0,INDEX(Motore_Operativo!$BN$305:$BN$364,MAX(1,25-(INT((Ipotesi!$C$91)/30))-1)))*(MOD((Ipotesi!$C$91),30)/30)))*Piano_SS!$D$7,0))</f>
        <v>28683.9260646689</v>
      </c>
      <c r="BX329" s="15" t="n">
        <f aca="false">MIN(Piano_SS!$C$8,(BX328)+IF(AND(Motore_Operativo!C329&gt;=EDATE(Parametri_v3!$C$24,Ipotesi!H14*12),Motore_Operativo!C329&lt;EDATE(Parametri_v3!$C$24,Parametri_v3!$C$25+Ipotesi!H14*12)),MAX(0,Motore_Operativo!CE329)*Piano_SS!$D$8,0))</f>
        <v>37500</v>
      </c>
      <c r="BY329" s="15" t="n">
        <f aca="false">MIN(Piano_SS!$C$9,(BY328)+IF(AND(Motore_Operativo!C329&gt;=EDATE(Parametri_v3!$C$24,Ipotesi!H14*12),Motore_Operativo!C329&lt;EDATE(Parametri_v3!$C$24,Parametri_v3!$C$25+Ipotesi!H14*12)),MAX(0,((IF(25-(INT((Ipotesi!$C$91)/30))&lt;1,0,INDEX(Motore_Operativo!$BQ$305:$BQ$364,MAX(1,25-(INT((Ipotesi!$C$91)/30)))))*(1-(MOD((Ipotesi!$C$91),30)/30))+IF(25-(INT((Ipotesi!$C$91)/30))-1&lt;1,0,INDEX(Motore_Operativo!$BQ$305:$BQ$364,MAX(1,25-(INT((Ipotesi!$C$91)/30))-1)))*(MOD((Ipotesi!$C$91),30)/30))+(IF(25-(INT((Ipotesi!$C$91)/30))&lt;1,0,INDEX(Motore_Operativo!$BR$305:$BR$364,MAX(1,25-(INT((Ipotesi!$C$91)/30)))))*(1-(MOD((Ipotesi!$C$91),30)/30))+IF(25-(INT((Ipotesi!$C$91)/30))-1&lt;1,0,INDEX(Motore_Operativo!$BR$305:$BR$364,MAX(1,25-(INT((Ipotesi!$C$91)/30))-1)))*(MOD((Ipotesi!$C$91),30)/30))))*Piano_SS!$D$9,0))</f>
        <v>40000</v>
      </c>
      <c r="BZ329" s="15" t="n">
        <f aca="false">MIN(Piano_SS!$C$10,(BZ328)+IF(AND(Motore_Operativo!C329&gt;=EDATE(Parametri_v3!$C$24,Ipotesi!H14*12),Motore_Operativo!C329&lt;EDATE(Parametri_v3!$C$24,Parametri_v3!$C$25+Ipotesi!H14*12)),MAX(0,(IF(25-(INT((Ipotesi!$C$91)/30))&lt;1,0,INDEX(Motore_Operativo!$BO$305:$BO$364,MAX(1,25-(INT((Ipotesi!$C$91)/30)))))*(1-(MOD((Ipotesi!$C$91),30)/30))+IF(25-(INT((Ipotesi!$C$91)/30))-1&lt;1,0,INDEX(Motore_Operativo!$BO$305:$BO$364,MAX(1,25-(INT((Ipotesi!$C$91)/30))-1)))*(MOD((Ipotesi!$C$91),30)/30)))*Piano_SS!$D$10,0))</f>
        <v>28166.6666666667</v>
      </c>
      <c r="CA329" s="15" t="n">
        <f aca="false">SUM(BV329:BZ329)</f>
        <v>334402.028148002</v>
      </c>
      <c r="CB329" s="15" t="n">
        <f aca="false">BV329*(1-Piano_SS!$E$6)+BW329*(1-Piano_SS!$E$7)+BX329*(1-Piano_SS!$E$8)+BY329*(1-Piano_SS!$E$9)+BZ329*(1-Piano_SS!$E$10)</f>
        <v>306235.361481336</v>
      </c>
      <c r="CC329" s="15" t="n">
        <f aca="false">(CC328)+BA329</f>
        <v>0</v>
      </c>
      <c r="CD329" s="15" t="n">
        <f aca="false">IF(CA329=0,0,CC329*CB329/CA329*Ipotesi!$C$103*Parametri_v3!$C$64)</f>
        <v>0</v>
      </c>
      <c r="CE329" s="18" t="n">
        <f aca="false">IF(BA329&gt;0,Motore_Operativo!C329,(CE328))</f>
        <v>0</v>
      </c>
      <c r="CF329" s="18" t="n">
        <f aca="false">IF(AND(CC329&gt;0,OR(CC329&gt;=CG329-0.01,Motore_Operativo!C329&gt;=EDATE(MAX(Finanziamenti!$D$15:$D$17),Ipotesi!H14*12))),CE329,0)</f>
        <v>0</v>
      </c>
      <c r="CG329" s="15" t="n">
        <f aca="false">IF(AND(6&lt;&gt;6,6&lt;&gt;9,Finanziamenti!$F$11=1,OR(Parametri_v3!$C$6=0,Finanziamenti!$E$11=1)),MIN(Finanziamenti!$C$11,Piano_SS!$C$12*Ipotesi!$C$102),0)</f>
        <v>0</v>
      </c>
      <c r="CH329" s="15" t="n">
        <f aca="false">IF(AND(AND(6&lt;&gt;8,6&lt;&gt;9,Finanziamenti!$F$10=1,OR(Parametri_v3!$C$6=0,Finanziamenti!$E$10=1)),Motore_Operativo!C329&gt;=Finanziamenti!$D$10,Motore_Operativo!C329&lt;Parametri_v3!$C$63),Finanziamenti!$C$10,0)</f>
        <v>150000</v>
      </c>
    </row>
    <row r="330" customFormat="false" ht="18" hidden="false" customHeight="true" outlineLevel="0" collapsed="false">
      <c r="A330" s="68" t="n">
        <f aca="false">6</f>
        <v>6</v>
      </c>
      <c r="B330" s="68" t="n">
        <f aca="false">26</f>
        <v>26</v>
      </c>
      <c r="C330" s="18" t="n">
        <f aca="false">Motore_Operativo!C330</f>
        <v>47150</v>
      </c>
      <c r="D330" s="68" t="n">
        <f aca="false">Motore_Operativo!D330</f>
        <v>2029</v>
      </c>
      <c r="E330" s="68" t="n">
        <f aca="false">Motore_Operativo!E330</f>
        <v>2</v>
      </c>
      <c r="F330" s="15" t="n">
        <f aca="false">Motore_Operativo!AQ330+Motore_Operativo!BF330</f>
        <v>57615.1870278934</v>
      </c>
      <c r="G330" s="15" t="n">
        <f aca="false">Motore_Operativo!BH330</f>
        <v>6050</v>
      </c>
      <c r="H330" s="15" t="n">
        <f aca="false">Motore_Operativo!BI330</f>
        <v>63665.1870278934</v>
      </c>
      <c r="I330" s="15" t="n">
        <f aca="false">Motore_Operativo!CA330</f>
        <v>115400.459517238</v>
      </c>
      <c r="J330" s="15" t="n">
        <f aca="false">Motore_Operativo!CC330</f>
        <v>-51735.272489345</v>
      </c>
      <c r="K330" s="15" t="n">
        <f aca="false">Motore_Operativo!CE330</f>
        <v>2500</v>
      </c>
      <c r="L330" s="15" t="n">
        <f aca="false">SUM(INDEX($K$305:$K$364,MAX(1,26-Parametri_v3!$C$59+1)):K330)/Parametri_v3!$C$59</f>
        <v>1388.88888888889</v>
      </c>
      <c r="M330" s="15" t="n">
        <f aca="false">J330-L330</f>
        <v>-53124.1613782339</v>
      </c>
      <c r="N330" s="15" t="n">
        <f aca="false">CD330-(CD329)</f>
        <v>0</v>
      </c>
      <c r="O330" s="15" t="n">
        <f aca="false">(BG329)*Ipotesi!$C$110/12+CH330*Parametri_v3!$C$39/12</f>
        <v>750</v>
      </c>
      <c r="P330" s="15" t="n">
        <f aca="false">M330+N330-O330</f>
        <v>-53874.1613782339</v>
      </c>
      <c r="Q330" s="15" t="n">
        <f aca="false">SUM(P329:P330)+Parametri_v3!$C$54*2/12</f>
        <v>-108244.96716866</v>
      </c>
      <c r="R330" s="15" t="n">
        <f aca="false">Z328</f>
        <v>569369.508093871</v>
      </c>
      <c r="S330" s="15" t="n">
        <f aca="false">AA328</f>
        <v>0</v>
      </c>
      <c r="T330" s="15" t="n">
        <f aca="false">MIN(R330,MAX(0,Q330))</f>
        <v>0</v>
      </c>
      <c r="U330" s="15" t="n">
        <f aca="false">MIN(S330,MAX(0,Q330-T330)*Parametri_v3!$C$42)</f>
        <v>0</v>
      </c>
      <c r="V330" s="15" t="n">
        <f aca="false">MAX(0,Q330-T330-U330)*Ipotesi!$C$92</f>
        <v>0</v>
      </c>
      <c r="W330" s="15" t="n">
        <f aca="false">MAX(0,SUM(M329:M330)+Parametri_v3!$C$55*2/12)*Ipotesi!$C$93</f>
        <v>0</v>
      </c>
      <c r="X330" s="15" t="n">
        <f aca="false">V330+W330-(V329+W329)</f>
        <v>0</v>
      </c>
      <c r="Y330" s="15" t="n">
        <f aca="false">P330-X330</f>
        <v>-53874.1613782339</v>
      </c>
      <c r="Z330" s="15" t="n">
        <f aca="false">R330-T330+IF(AND(Parametri_v3!$C$40=1,D330-YEAR(Parametri_v3!$C$50)&lt;Parametri_v3!$C$41),MAX(0,-Q330),0)</f>
        <v>677614.475262531</v>
      </c>
      <c r="AA330" s="15" t="n">
        <f aca="false">S330-U330+IF(AND(Parametri_v3!$C$40=1,D330-YEAR(Parametri_v3!$C$50)&lt;Parametri_v3!$C$41),0,MAX(0,-Q330))</f>
        <v>0</v>
      </c>
      <c r="AB330" s="15" t="n">
        <f aca="false">F330*(1+Parametri_v3!$C$26)</f>
        <v>70290.52817403</v>
      </c>
      <c r="AC330" s="15" t="n">
        <f aca="false">(IF(26-(INT((Motore_Operativo!L330)/30))&lt;1,0,INDEX(Motore_Startup!$AB$305:$AB$364,MAX(1,26-(INT((Motore_Operativo!L330)/30)))))*(1-(MOD((Motore_Operativo!L330),30)/30))+IF(26-(INT((Motore_Operativo!L330)/30))-1&lt;1,0,INDEX(Motore_Startup!$AB$305:$AB$364,MAX(1,26-(INT((Motore_Operativo!L330)/30))-1)))*(MOD((Motore_Operativo!L330),30)/30))</f>
        <v>37749.6522204198</v>
      </c>
      <c r="AD330" s="15" t="n">
        <f aca="false">(AD329)+AB330-AC330</f>
        <v>178596.677666066</v>
      </c>
      <c r="AE330" s="15" t="n">
        <f aca="false">Motore_Operativo!BH330*(1+Parametri_v3!$C$26)</f>
        <v>7381</v>
      </c>
      <c r="AF330" s="15" t="n">
        <f aca="false">(IF(26-(INT((Parametri_v3!$C$29)/30))&lt;1,0,INDEX(Motore_Operativo!$BH$305:$BH$364,MAX(1,26-(INT((Parametri_v3!$C$29)/30)))))*(1-(MOD((Parametri_v3!$C$29),30)/30))+IF(26-(INT((Parametri_v3!$C$29)/30))-1&lt;1,0,INDEX(Motore_Operativo!$BH$305:$BH$364,MAX(1,26-(INT((Parametri_v3!$C$29)/30))-1)))*(MOD((Parametri_v3!$C$29),30)/30))*(1+Parametri_v3!$C$26)</f>
        <v>7381</v>
      </c>
      <c r="AG330" s="15" t="n">
        <f aca="false">(AG329)+AE330-AF330</f>
        <v>7381</v>
      </c>
      <c r="AH330" s="15" t="n">
        <f aca="false">(Motore_Operativo!CJ330)*(1+Parametri_v3!$C$27*Parametri_v3!$C$26)</f>
        <v>48817.5031136287</v>
      </c>
      <c r="AI330" s="15" t="n">
        <f aca="false">(IF(26-(INT((Ipotesi!$C$91)/30))&lt;1,0,INDEX(Motore_Startup!$AH$305:$AH$364,MAX(1,26-(INT((Ipotesi!$C$91)/30)))))*(1-(MOD((Ipotesi!$C$91),30)/30))+IF(26-(INT((Ipotesi!$C$91)/30))-1&lt;1,0,INDEX(Motore_Startup!$AH$305:$AH$364,MAX(1,26-(INT((Ipotesi!$C$91)/30))-1)))*(MOD((Ipotesi!$C$91),30)/30))</f>
        <v>21846.5917803672</v>
      </c>
      <c r="AJ330" s="15" t="n">
        <f aca="false">(AJ329)+AH330-AI330</f>
        <v>97525.6194293553</v>
      </c>
      <c r="AK330" s="15" t="n">
        <f aca="false">(F330+ Motore_Operativo!BH330-(Motore_Operativo!CJ330)*Parametri_v3!$C$27-Motore_Operativo!CE330)*Parametri_v3!$C$26</f>
        <v>5765.63088307964</v>
      </c>
      <c r="AL330" s="15" t="n">
        <f aca="false">MAX(0,(AM329))</f>
        <v>5638.0502526224</v>
      </c>
      <c r="AM330" s="15" t="n">
        <f aca="false">(AM329)+AK330-AL330</f>
        <v>5765.63088307964</v>
      </c>
      <c r="AN330" s="15" t="n">
        <f aca="false">SUM(X317:X328)</f>
        <v>0</v>
      </c>
      <c r="AO330" s="15" t="n">
        <f aca="false">SUM(AP317:AP328)</f>
        <v>0</v>
      </c>
      <c r="AP330" s="15" t="n">
        <f aca="false">MAX(0,AN330)*IF(2=Parametri_v3!$C$43,Parametri_v3!$C$45,IF(2=Parametri_v3!$C$44,1-Parametri_v3!$C$45,0))</f>
        <v>0</v>
      </c>
      <c r="AQ330" s="15" t="n">
        <f aca="false">MAX(0,AP330+IF(2=Parametri_v3!$C$43,MAX(0,AN330-AO330),0)-MAX(0,-(AR329)))</f>
        <v>0</v>
      </c>
      <c r="AR330" s="15" t="n">
        <f aca="false">(AR329)+X330-AQ330</f>
        <v>0</v>
      </c>
      <c r="AS330" s="15" t="n">
        <f aca="false">Motore_Operativo!AB330-AT330+AU330</f>
        <v>70559.9833333333</v>
      </c>
      <c r="AT330" s="15" t="n">
        <f aca="false">Motore_Operativo!CH330</f>
        <v>3713.68333333333</v>
      </c>
      <c r="AU330" s="15" t="n">
        <f aca="false">MIN(MAX(0,(AV329)+AT330),Parametri_v3!$C$60/12)</f>
        <v>0</v>
      </c>
      <c r="AV330" s="15" t="n">
        <f aca="false">(AV329)+AT330-AU330</f>
        <v>42034.8666666667</v>
      </c>
      <c r="AW330" s="15" t="n">
        <f aca="false">IF(AND(Motore_Operativo!C330=Finanziamenti!$D$6,Finanziamenti!$F$6=1),Finanziamenti!$C$6,0)</f>
        <v>0</v>
      </c>
      <c r="AX330" s="15" t="n">
        <f aca="false">IF(AND(6&lt;&gt;7,6&lt;&gt;9,Finanziamenti!$F$8=1,OR(Parametri_v3!$C$6=0,Finanziamenti!$E$8=1),Motore_Operativo!C330=EDATE(Finanziamenti!$D$8,Ipotesi!H15*12)),Finanziamenti!$C$8*1,0)+IF(AND(6&lt;&gt;7,6&lt;&gt;9,Finanziamenti!$F$9=1,OR(Parametri_v3!$C$6=0,Finanziamenti!$E$9=1),Motore_Operativo!C330=EDATE(Finanziamenti!$D$9,Ipotesi!H15*12)),Finanziamenti!$C$9*Ipotesi!H16,0)</f>
        <v>0</v>
      </c>
      <c r="AY330" s="15" t="n">
        <f aca="false">0</f>
        <v>0</v>
      </c>
      <c r="AZ330" s="15" t="n">
        <f aca="false">Motore_Advisory!AY330*(1-Ipotesi!$C$95)*Ipotesi!$C$96</f>
        <v>0</v>
      </c>
      <c r="BA330" s="15" t="n">
        <f aca="false">MAX(0,MIN(CG330*MIN(1,IF(Motore_Operativo!C330&gt;=EDATE(Finanziamenti!$D$15,Ipotesi!H14*12),Finanziamenti!$C$15,0)+IF(Motore_Operativo!C330&gt;=EDATE(Finanziamenti!$D$16,Ipotesi!H14*12),Finanziamenti!$C$16,0)+IF(Motore_Operativo!C330&gt;=EDATE(Finanziamenti!$D$17,Ipotesi!H14*12),Finanziamenti!$C$17,0)),CA330*Ipotesi!$C$102)-(CC329))</f>
        <v>0</v>
      </c>
      <c r="BB330" s="15" t="n">
        <f aca="false">IF(AND(CF330&gt;0,Motore_Operativo!C330&gt;=IF(CF330=0,0,EDATE(CF330,Parametri_v3!$C$37)),MOD(((D330-YEAR(IF(CF330=0,0,EDATE(CF330,Parametri_v3!$C$37))))*12+E330-MONTH(IF(CF330=0,0,EDATE(CF330,Parametri_v3!$C$37)))),Parametri_v3!$C$38)=0),MIN(MAX(0,(BC329)+BA330-N330),(CC330-CD330)/(Ipotesi!$C$108*12/Parametri_v3!$C$38)),0)</f>
        <v>0</v>
      </c>
      <c r="BC330" s="15" t="n">
        <f aca="false">(BC329)+BA330-N330-BB330</f>
        <v>0</v>
      </c>
      <c r="BD330" s="15" t="n">
        <f aca="false">(BH329)+AC330+AF330-AI330-AS330-K330*(1+Parametri_v3!$C$26)-AL330-AQ330-O330+AW330+AX330+AZ330+BA330-BB330</f>
        <v>-170766.035949495</v>
      </c>
      <c r="BE330" s="15" t="n">
        <f aca="false">MAX(0,MIN(MAX(0,CH330-(BG329)),Parametri_v3!$C$30-BD330))</f>
        <v>0</v>
      </c>
      <c r="BF330" s="15" t="n">
        <f aca="false">IF(Motore_Operativo!C330&gt;=Parametri_v3!$C$63,(BG329),MIN((BG329),MAX(0,BD330-Parametri_v3!$C$30)))</f>
        <v>0</v>
      </c>
      <c r="BG330" s="15" t="n">
        <f aca="false">(BG329)+BE330-BF330</f>
        <v>150000</v>
      </c>
      <c r="BH330" s="15" t="n">
        <f aca="false">BD330+BE330-BF330-AY330</f>
        <v>-170766.035949495</v>
      </c>
      <c r="BI330" s="15" t="n">
        <f aca="false">MAX(0,Parametri_v3!$C$30-BH330)</f>
        <v>195766.035949495</v>
      </c>
      <c r="BJ330" s="15" t="n">
        <f aca="false">(BJ329)+K330</f>
        <v>50000</v>
      </c>
      <c r="BK330" s="15" t="n">
        <f aca="false">(BK329)+L330</f>
        <v>17500</v>
      </c>
      <c r="BL330" s="15" t="n">
        <f aca="false">BJ330-BK330</f>
        <v>32500</v>
      </c>
      <c r="BM330" s="15" t="n">
        <f aca="false">(BM329)+Y330</f>
        <v>-677614.475262531</v>
      </c>
      <c r="BN330" s="15" t="n">
        <f aca="false">(BN329)+AW330+AX330+AZ330</f>
        <v>430000</v>
      </c>
      <c r="BO330" s="15" t="n">
        <f aca="false">(BO329)+AY330</f>
        <v>0</v>
      </c>
      <c r="BP330" s="15" t="n">
        <f aca="false">0</f>
        <v>0</v>
      </c>
      <c r="BQ330" s="15" t="n">
        <f aca="false">BN330+BM330-BO330</f>
        <v>-247614.475262531</v>
      </c>
      <c r="BR330" s="15" t="n">
        <f aca="false">BH330+AD330+BL330+MAX(0,-AM330)+MAX(0,-AR330)+AG330</f>
        <v>47711.6417165708</v>
      </c>
      <c r="BS330" s="15" t="n">
        <f aca="false">AJ330+AV330+MAX(0,AM330)+MAX(0,AR330)+BC330+BG330+BQ330</f>
        <v>47711.6417165707</v>
      </c>
      <c r="BT330" s="15" t="n">
        <f aca="false">BR330-BS330</f>
        <v>0</v>
      </c>
      <c r="BU330" s="15" t="n">
        <f aca="false">BH330-(BD330+BE330-BF330-AY330)</f>
        <v>0</v>
      </c>
      <c r="BV330" s="15" t="n">
        <f aca="false">MIN(Piano_SS!$C$6,(BV329)+IF(AND(Motore_Operativo!C330&gt;=EDATE(Parametri_v3!$C$24,Ipotesi!H14*12),Motore_Operativo!C330&lt;EDATE(Parametri_v3!$C$24,Parametri_v3!$C$25+Ipotesi!H14*12)),MAX(0,(Motore_Operativo!Y330+Motore_Operativo!X330*Parametri_v3!$C$14)*(1-Parametri_v3!$C$32))*Piano_SS!$D$6,0))</f>
        <v>224827.870833333</v>
      </c>
      <c r="BW330" s="15" t="n">
        <f aca="false">MIN(Piano_SS!$C$7,(BW329)+IF(AND(Motore_Operativo!C330&gt;=EDATE(Parametri_v3!$C$24,Ipotesi!H14*12),Motore_Operativo!C330&lt;EDATE(Parametri_v3!$C$24,Parametri_v3!$C$25+Ipotesi!H14*12)),MAX(0,(IF(26-(INT((Ipotesi!$C$91)/30))&lt;1,0,INDEX(Motore_Operativo!$BN$305:$BN$364,MAX(1,26-(INT((Ipotesi!$C$91)/30)))))*(1-(MOD((Ipotesi!$C$91),30)/30))+IF(26-(INT((Ipotesi!$C$91)/30))-1&lt;1,0,INDEX(Motore_Operativo!$BN$305:$BN$364,MAX(1,26-(INT((Ipotesi!$C$91)/30))-1)))*(MOD((Ipotesi!$C$91),30)/30)))*Piano_SS!$D$7,0))</f>
        <v>30769.4131206034</v>
      </c>
      <c r="BX330" s="15" t="n">
        <f aca="false">MIN(Piano_SS!$C$8,(BX329)+IF(AND(Motore_Operativo!C330&gt;=EDATE(Parametri_v3!$C$24,Ipotesi!H14*12),Motore_Operativo!C330&lt;EDATE(Parametri_v3!$C$24,Parametri_v3!$C$25+Ipotesi!H14*12)),MAX(0,Motore_Operativo!CE330)*Piano_SS!$D$8,0))</f>
        <v>40000</v>
      </c>
      <c r="BY330" s="15" t="n">
        <f aca="false">MIN(Piano_SS!$C$9,(BY329)+IF(AND(Motore_Operativo!C330&gt;=EDATE(Parametri_v3!$C$24,Ipotesi!H14*12),Motore_Operativo!C330&lt;EDATE(Parametri_v3!$C$24,Parametri_v3!$C$25+Ipotesi!H14*12)),MAX(0,((IF(26-(INT((Ipotesi!$C$91)/30))&lt;1,0,INDEX(Motore_Operativo!$BQ$305:$BQ$364,MAX(1,26-(INT((Ipotesi!$C$91)/30)))))*(1-(MOD((Ipotesi!$C$91),30)/30))+IF(26-(INT((Ipotesi!$C$91)/30))-1&lt;1,0,INDEX(Motore_Operativo!$BQ$305:$BQ$364,MAX(1,26-(INT((Ipotesi!$C$91)/30))-1)))*(MOD((Ipotesi!$C$91),30)/30))+(IF(26-(INT((Ipotesi!$C$91)/30))&lt;1,0,INDEX(Motore_Operativo!$BR$305:$BR$364,MAX(1,26-(INT((Ipotesi!$C$91)/30)))))*(1-(MOD((Ipotesi!$C$91),30)/30))+IF(26-(INT((Ipotesi!$C$91)/30))-1&lt;1,0,INDEX(Motore_Operativo!$BR$305:$BR$364,MAX(1,26-(INT((Ipotesi!$C$91)/30))-1)))*(MOD((Ipotesi!$C$91),30)/30))))*Piano_SS!$D$9,0))</f>
        <v>40000</v>
      </c>
      <c r="BZ330" s="15" t="n">
        <f aca="false">MIN(Piano_SS!$C$10,(BZ329)+IF(AND(Motore_Operativo!C330&gt;=EDATE(Parametri_v3!$C$24,Ipotesi!H14*12),Motore_Operativo!C330&lt;EDATE(Parametri_v3!$C$24,Parametri_v3!$C$25+Ipotesi!H14*12)),MAX(0,(IF(26-(INT((Ipotesi!$C$91)/30))&lt;1,0,INDEX(Motore_Operativo!$BO$305:$BO$364,MAX(1,26-(INT((Ipotesi!$C$91)/30)))))*(1-(MOD((Ipotesi!$C$91),30)/30))+IF(26-(INT((Ipotesi!$C$91)/30))-1&lt;1,0,INDEX(Motore_Operativo!$BO$305:$BO$364,MAX(1,26-(INT((Ipotesi!$C$91)/30))-1)))*(MOD((Ipotesi!$C$91),30)/30)))*Piano_SS!$D$10,0))</f>
        <v>30000</v>
      </c>
      <c r="CA330" s="15" t="n">
        <f aca="false">SUM(BV330:BZ330)</f>
        <v>365597.283953937</v>
      </c>
      <c r="CB330" s="15" t="n">
        <f aca="false">BV330*(1-Piano_SS!$E$6)+BW330*(1-Piano_SS!$E$7)+BX330*(1-Piano_SS!$E$8)+BY330*(1-Piano_SS!$E$9)+BZ330*(1-Piano_SS!$E$10)</f>
        <v>335597.283953937</v>
      </c>
      <c r="CC330" s="15" t="n">
        <f aca="false">(CC329)+BA330</f>
        <v>0</v>
      </c>
      <c r="CD330" s="15" t="n">
        <f aca="false">IF(CA330=0,0,CC330*CB330/CA330*Ipotesi!$C$103*Parametri_v3!$C$64)</f>
        <v>0</v>
      </c>
      <c r="CE330" s="18" t="n">
        <f aca="false">IF(BA330&gt;0,Motore_Operativo!C330,(CE329))</f>
        <v>0</v>
      </c>
      <c r="CF330" s="18" t="n">
        <f aca="false">IF(AND(CC330&gt;0,OR(CC330&gt;=CG330-0.01,Motore_Operativo!C330&gt;=EDATE(MAX(Finanziamenti!$D$15:$D$17),Ipotesi!H14*12))),CE330,0)</f>
        <v>0</v>
      </c>
      <c r="CG330" s="15" t="n">
        <f aca="false">IF(AND(6&lt;&gt;6,6&lt;&gt;9,Finanziamenti!$F$11=1,OR(Parametri_v3!$C$6=0,Finanziamenti!$E$11=1)),MIN(Finanziamenti!$C$11,Piano_SS!$C$12*Ipotesi!$C$102),0)</f>
        <v>0</v>
      </c>
      <c r="CH330" s="15" t="n">
        <f aca="false">IF(AND(AND(6&lt;&gt;8,6&lt;&gt;9,Finanziamenti!$F$10=1,OR(Parametri_v3!$C$6=0,Finanziamenti!$E$10=1)),Motore_Operativo!C330&gt;=Finanziamenti!$D$10,Motore_Operativo!C330&lt;Parametri_v3!$C$63),Finanziamenti!$C$10,0)</f>
        <v>150000</v>
      </c>
    </row>
    <row r="331" customFormat="false" ht="18" hidden="false" customHeight="true" outlineLevel="0" collapsed="false">
      <c r="A331" s="68" t="n">
        <f aca="false">6</f>
        <v>6</v>
      </c>
      <c r="B331" s="68" t="n">
        <f aca="false">27</f>
        <v>27</v>
      </c>
      <c r="C331" s="18" t="n">
        <f aca="false">Motore_Operativo!C331</f>
        <v>47178</v>
      </c>
      <c r="D331" s="68" t="n">
        <f aca="false">Motore_Operativo!D331</f>
        <v>2029</v>
      </c>
      <c r="E331" s="68" t="n">
        <f aca="false">Motore_Operativo!E331</f>
        <v>3</v>
      </c>
      <c r="F331" s="15" t="n">
        <f aca="false">Motore_Operativo!AQ331+Motore_Operativo!BF331</f>
        <v>58267.6757814814</v>
      </c>
      <c r="G331" s="15" t="n">
        <f aca="false">Motore_Operativo!BH331</f>
        <v>6050</v>
      </c>
      <c r="H331" s="15" t="n">
        <f aca="false">Motore_Operativo!BI331</f>
        <v>64317.6757814814</v>
      </c>
      <c r="I331" s="15" t="n">
        <f aca="false">Motore_Operativo!CA331</f>
        <v>115491.807942741</v>
      </c>
      <c r="J331" s="15" t="n">
        <f aca="false">Motore_Operativo!CC331</f>
        <v>-51174.1321612593</v>
      </c>
      <c r="K331" s="15" t="n">
        <f aca="false">Motore_Operativo!CE331</f>
        <v>2500</v>
      </c>
      <c r="L331" s="15" t="n">
        <f aca="false">SUM(INDEX($K$305:$K$364,MAX(1,27-Parametri_v3!$C$59+1)):K331)/Parametri_v3!$C$59</f>
        <v>1458.33333333333</v>
      </c>
      <c r="M331" s="15" t="n">
        <f aca="false">J331-L331</f>
        <v>-52632.4654945927</v>
      </c>
      <c r="N331" s="15" t="n">
        <f aca="false">CD331-(CD330)</f>
        <v>0</v>
      </c>
      <c r="O331" s="15" t="n">
        <f aca="false">(BG330)*Ipotesi!$C$110/12+CH331*Parametri_v3!$C$39/12</f>
        <v>750</v>
      </c>
      <c r="P331" s="15" t="n">
        <f aca="false">M331+N331-O331</f>
        <v>-53382.4654945927</v>
      </c>
      <c r="Q331" s="15" t="n">
        <f aca="false">SUM(P329:P331)+Parametri_v3!$C$54*3/12</f>
        <v>-161627.432663252</v>
      </c>
      <c r="R331" s="15" t="n">
        <f aca="false">Z328</f>
        <v>569369.508093871</v>
      </c>
      <c r="S331" s="15" t="n">
        <f aca="false">AA328</f>
        <v>0</v>
      </c>
      <c r="T331" s="15" t="n">
        <f aca="false">MIN(R331,MAX(0,Q331))</f>
        <v>0</v>
      </c>
      <c r="U331" s="15" t="n">
        <f aca="false">MIN(S331,MAX(0,Q331-T331)*Parametri_v3!$C$42)</f>
        <v>0</v>
      </c>
      <c r="V331" s="15" t="n">
        <f aca="false">MAX(0,Q331-T331-U331)*Ipotesi!$C$92</f>
        <v>0</v>
      </c>
      <c r="W331" s="15" t="n">
        <f aca="false">MAX(0,SUM(M329:M331)+Parametri_v3!$C$55*3/12)*Ipotesi!$C$93</f>
        <v>0</v>
      </c>
      <c r="X331" s="15" t="n">
        <f aca="false">V331+W331-(V330+W330)</f>
        <v>0</v>
      </c>
      <c r="Y331" s="15" t="n">
        <f aca="false">P331-X331</f>
        <v>-53382.4654945927</v>
      </c>
      <c r="Z331" s="15" t="n">
        <f aca="false">R331-T331+IF(AND(Parametri_v3!$C$40=1,D331-YEAR(Parametri_v3!$C$50)&lt;Parametri_v3!$C$41),MAX(0,-Q331),0)</f>
        <v>730996.940757124</v>
      </c>
      <c r="AA331" s="15" t="n">
        <f aca="false">S331-U331+IF(AND(Parametri_v3!$C$40=1,D331-YEAR(Parametri_v3!$C$50)&lt;Parametri_v3!$C$41),0,MAX(0,-Q331))</f>
        <v>0</v>
      </c>
      <c r="AB331" s="15" t="n">
        <f aca="false">F331*(1+Parametri_v3!$C$26)</f>
        <v>71086.5644534073</v>
      </c>
      <c r="AC331" s="15" t="n">
        <f aca="false">(IF(27-(INT((Motore_Operativo!L331)/30))&lt;1,0,INDEX(Motore_Startup!$AB$305:$AB$364,MAX(1,27-(INT((Motore_Operativo!L331)/30)))))*(1-(MOD((Motore_Operativo!L331),30)/30))+IF(27-(INT((Motore_Operativo!L331)/30))-1&lt;1,0,INDEX(Motore_Startup!$AB$305:$AB$364,MAX(1,27-(INT((Motore_Operativo!L331)/30))-1)))*(MOD((Motore_Operativo!L331),30)/30))</f>
        <v>38818.6776030012</v>
      </c>
      <c r="AD331" s="15" t="n">
        <f aca="false">(AD330)+AB331-AC331</f>
        <v>210864.564516472</v>
      </c>
      <c r="AE331" s="15" t="n">
        <f aca="false">Motore_Operativo!BH331*(1+Parametri_v3!$C$26)</f>
        <v>7381</v>
      </c>
      <c r="AF331" s="15" t="n">
        <f aca="false">(IF(27-(INT((Parametri_v3!$C$29)/30))&lt;1,0,INDEX(Motore_Operativo!$BH$305:$BH$364,MAX(1,27-(INT((Parametri_v3!$C$29)/30)))))*(1-(MOD((Parametri_v3!$C$29),30)/30))+IF(27-(INT((Parametri_v3!$C$29)/30))-1&lt;1,0,INDEX(Motore_Operativo!$BH$305:$BH$364,MAX(1,27-(INT((Parametri_v3!$C$29)/30))-1)))*(MOD((Parametri_v3!$C$29),30)/30))*(1+Parametri_v3!$C$26)</f>
        <v>7381</v>
      </c>
      <c r="AG331" s="15" t="n">
        <f aca="false">(AG330)+AE331-AF331</f>
        <v>7381</v>
      </c>
      <c r="AH331" s="15" t="n">
        <f aca="false">(Motore_Operativo!CJ331)*(1+Parametri_v3!$C$27*Parametri_v3!$C$26)</f>
        <v>48925.9336946999</v>
      </c>
      <c r="AI331" s="15" t="n">
        <f aca="false">(IF(27-(INT((Ipotesi!$C$91)/30))&lt;1,0,INDEX(Motore_Startup!$AH$305:$AH$364,MAX(1,27-(INT((Ipotesi!$C$91)/30)))))*(1-(MOD((Ipotesi!$C$91),30)/30))+IF(27-(INT((Ipotesi!$C$91)/30))-1&lt;1,0,INDEX(Motore_Startup!$AH$305:$AH$364,MAX(1,27-(INT((Ipotesi!$C$91)/30))-1)))*(MOD((Ipotesi!$C$91),30)/30))</f>
        <v>48708.1163157266</v>
      </c>
      <c r="AJ331" s="15" t="n">
        <f aca="false">(AJ330)+AH331-AI331</f>
        <v>97743.4368083286</v>
      </c>
      <c r="AK331" s="15" t="n">
        <f aca="false">(F331+ Motore_Operativo!BH331-(Motore_Operativo!CJ331)*Parametri_v3!$C$27-Motore_Operativo!CE331)*Parametri_v3!$C$26</f>
        <v>5892.09625330006</v>
      </c>
      <c r="AL331" s="15" t="n">
        <f aca="false">MAX(0,(AM330))</f>
        <v>5765.63088307964</v>
      </c>
      <c r="AM331" s="15" t="n">
        <f aca="false">(AM330)+AK331-AL331</f>
        <v>5892.09625330006</v>
      </c>
      <c r="AN331" s="15" t="n">
        <f aca="false">SUM(X317:X328)</f>
        <v>0</v>
      </c>
      <c r="AO331" s="15" t="n">
        <f aca="false">SUM(AP317:AP328)</f>
        <v>0</v>
      </c>
      <c r="AP331" s="15" t="n">
        <f aca="false">MAX(0,AN331)*IF(3=Parametri_v3!$C$43,Parametri_v3!$C$45,IF(3=Parametri_v3!$C$44,1-Parametri_v3!$C$45,0))</f>
        <v>0</v>
      </c>
      <c r="AQ331" s="15" t="n">
        <f aca="false">MAX(0,AP331+IF(3=Parametri_v3!$C$43,MAX(0,AN331-AO331),0)-MAX(0,-(AR330)))</f>
        <v>0</v>
      </c>
      <c r="AR331" s="15" t="n">
        <f aca="false">(AR330)+X331-AQ331</f>
        <v>0</v>
      </c>
      <c r="AS331" s="15" t="n">
        <f aca="false">Motore_Operativo!AB331-AT331+AU331</f>
        <v>70559.9833333333</v>
      </c>
      <c r="AT331" s="15" t="n">
        <f aca="false">Motore_Operativo!CH331</f>
        <v>3713.68333333333</v>
      </c>
      <c r="AU331" s="15" t="n">
        <f aca="false">MIN(MAX(0,(AV330)+AT331),Parametri_v3!$C$60/12)</f>
        <v>0</v>
      </c>
      <c r="AV331" s="15" t="n">
        <f aca="false">(AV330)+AT331-AU331</f>
        <v>45748.55</v>
      </c>
      <c r="AW331" s="15" t="n">
        <f aca="false">IF(AND(Motore_Operativo!C331=Finanziamenti!$D$6,Finanziamenti!$F$6=1),Finanziamenti!$C$6,0)</f>
        <v>0</v>
      </c>
      <c r="AX331" s="15" t="n">
        <f aca="false">IF(AND(6&lt;&gt;7,6&lt;&gt;9,Finanziamenti!$F$8=1,OR(Parametri_v3!$C$6=0,Finanziamenti!$E$8=1),Motore_Operativo!C331=EDATE(Finanziamenti!$D$8,Ipotesi!H15*12)),Finanziamenti!$C$8*1,0)+IF(AND(6&lt;&gt;7,6&lt;&gt;9,Finanziamenti!$F$9=1,OR(Parametri_v3!$C$6=0,Finanziamenti!$E$9=1),Motore_Operativo!C331=EDATE(Finanziamenti!$D$9,Ipotesi!H15*12)),Finanziamenti!$C$9*Ipotesi!H16,0)</f>
        <v>0</v>
      </c>
      <c r="AY331" s="15" t="n">
        <f aca="false">0</f>
        <v>0</v>
      </c>
      <c r="AZ331" s="15" t="n">
        <f aca="false">Motore_Advisory!AY331*(1-Ipotesi!$C$95)*Ipotesi!$C$96</f>
        <v>0</v>
      </c>
      <c r="BA331" s="15" t="n">
        <f aca="false">MAX(0,MIN(CG331*MIN(1,IF(Motore_Operativo!C331&gt;=EDATE(Finanziamenti!$D$15,Ipotesi!H14*12),Finanziamenti!$C$15,0)+IF(Motore_Operativo!C331&gt;=EDATE(Finanziamenti!$D$16,Ipotesi!H14*12),Finanziamenti!$C$16,0)+IF(Motore_Operativo!C331&gt;=EDATE(Finanziamenti!$D$17,Ipotesi!H14*12),Finanziamenti!$C$17,0)),CA331*Ipotesi!$C$102)-(CC330))</f>
        <v>0</v>
      </c>
      <c r="BB331" s="15" t="n">
        <f aca="false">IF(AND(CF331&gt;0,Motore_Operativo!C331&gt;=IF(CF331=0,0,EDATE(CF331,Parametri_v3!$C$37)),MOD(((D331-YEAR(IF(CF331=0,0,EDATE(CF331,Parametri_v3!$C$37))))*12+E331-MONTH(IF(CF331=0,0,EDATE(CF331,Parametri_v3!$C$37)))),Parametri_v3!$C$38)=0),MIN(MAX(0,(BC330)+BA331-N331),(CC331-CD331)/(Ipotesi!$C$108*12/Parametri_v3!$C$38)),0)</f>
        <v>0</v>
      </c>
      <c r="BC331" s="15" t="n">
        <f aca="false">(BC330)+BA331-N331-BB331</f>
        <v>0</v>
      </c>
      <c r="BD331" s="15" t="n">
        <f aca="false">(BH330)+AC331+AF331-AI331-AS331-K331*(1+Parametri_v3!$C$26)-AL331-AQ331-O331+AW331+AX331+AZ331+BA331-BB331</f>
        <v>-253400.088878633</v>
      </c>
      <c r="BE331" s="15" t="n">
        <f aca="false">MAX(0,MIN(MAX(0,CH331-(BG330)),Parametri_v3!$C$30-BD331))</f>
        <v>0</v>
      </c>
      <c r="BF331" s="15" t="n">
        <f aca="false">IF(Motore_Operativo!C331&gt;=Parametri_v3!$C$63,(BG330),MIN((BG330),MAX(0,BD331-Parametri_v3!$C$30)))</f>
        <v>0</v>
      </c>
      <c r="BG331" s="15" t="n">
        <f aca="false">(BG330)+BE331-BF331</f>
        <v>150000</v>
      </c>
      <c r="BH331" s="15" t="n">
        <f aca="false">BD331+BE331-BF331-AY331</f>
        <v>-253400.088878633</v>
      </c>
      <c r="BI331" s="15" t="n">
        <f aca="false">MAX(0,Parametri_v3!$C$30-BH331)</f>
        <v>278400.088878633</v>
      </c>
      <c r="BJ331" s="15" t="n">
        <f aca="false">(BJ330)+K331</f>
        <v>52500</v>
      </c>
      <c r="BK331" s="15" t="n">
        <f aca="false">(BK330)+L331</f>
        <v>18958.3333333333</v>
      </c>
      <c r="BL331" s="15" t="n">
        <f aca="false">BJ331-BK331</f>
        <v>33541.6666666667</v>
      </c>
      <c r="BM331" s="15" t="n">
        <f aca="false">(BM330)+Y331</f>
        <v>-730996.940757124</v>
      </c>
      <c r="BN331" s="15" t="n">
        <f aca="false">(BN330)+AW331+AX331+AZ331</f>
        <v>430000</v>
      </c>
      <c r="BO331" s="15" t="n">
        <f aca="false">(BO330)+AY331</f>
        <v>0</v>
      </c>
      <c r="BP331" s="15" t="n">
        <f aca="false">0</f>
        <v>0</v>
      </c>
      <c r="BQ331" s="15" t="n">
        <f aca="false">BN331+BM331-BO331</f>
        <v>-300996.940757124</v>
      </c>
      <c r="BR331" s="15" t="n">
        <f aca="false">BH331+AD331+BL331+MAX(0,-AM331)+MAX(0,-AR331)+AG331</f>
        <v>-1612.85769549473</v>
      </c>
      <c r="BS331" s="15" t="n">
        <f aca="false">AJ331+AV331+MAX(0,AM331)+MAX(0,AR331)+BC331+BG331+BQ331</f>
        <v>-1612.85769549484</v>
      </c>
      <c r="BT331" s="15" t="n">
        <f aca="false">BR331-BS331</f>
        <v>1.02772901300341E-010</v>
      </c>
      <c r="BU331" s="15" t="n">
        <f aca="false">BH331-(BD331+BE331-BF331-AY331)</f>
        <v>0</v>
      </c>
      <c r="BV331" s="15" t="n">
        <f aca="false">MIN(Piano_SS!$C$6,(BV330)+IF(AND(Motore_Operativo!C331&gt;=EDATE(Parametri_v3!$C$24,Ipotesi!H14*12),Motore_Operativo!C331&lt;EDATE(Parametri_v3!$C$24,Parametri_v3!$C$25+Ipotesi!H14*12)),MAX(0,(Motore_Operativo!Y331+Motore_Operativo!X331*Parametri_v3!$C$14)*(1-Parametri_v3!$C$32))*Piano_SS!$D$6,0))</f>
        <v>249604.30625</v>
      </c>
      <c r="BW331" s="15" t="n">
        <f aca="false">MIN(Piano_SS!$C$7,(BW330)+IF(AND(Motore_Operativo!C331&gt;=EDATE(Parametri_v3!$C$24,Ipotesi!H14*12),Motore_Operativo!C331&lt;EDATE(Parametri_v3!$C$24,Parametri_v3!$C$25+Ipotesi!H14*12)),MAX(0,(IF(27-(INT((Ipotesi!$C$91)/30))&lt;1,0,INDEX(Motore_Operativo!$BN$305:$BN$364,MAX(1,27-(INT((Ipotesi!$C$91)/30)))))*(1-(MOD((Ipotesi!$C$91),30)/30))+IF(27-(INT((Ipotesi!$C$91)/30))-1&lt;1,0,INDEX(Motore_Operativo!$BN$305:$BN$364,MAX(1,27-(INT((Ipotesi!$C$91)/30))-1)))*(MOD((Ipotesi!$C$91),30)/30)))*Piano_SS!$D$7,0))</f>
        <v>33242.6353209773</v>
      </c>
      <c r="BX331" s="15" t="n">
        <f aca="false">MIN(Piano_SS!$C$8,(BX330)+IF(AND(Motore_Operativo!C331&gt;=EDATE(Parametri_v3!$C$24,Ipotesi!H14*12),Motore_Operativo!C331&lt;EDATE(Parametri_v3!$C$24,Parametri_v3!$C$25+Ipotesi!H14*12)),MAX(0,Motore_Operativo!CE331)*Piano_SS!$D$8,0))</f>
        <v>42500</v>
      </c>
      <c r="BY331" s="15" t="n">
        <f aca="false">MIN(Piano_SS!$C$9,(BY330)+IF(AND(Motore_Operativo!C331&gt;=EDATE(Parametri_v3!$C$24,Ipotesi!H14*12),Motore_Operativo!C331&lt;EDATE(Parametri_v3!$C$24,Parametri_v3!$C$25+Ipotesi!H14*12)),MAX(0,((IF(27-(INT((Ipotesi!$C$91)/30))&lt;1,0,INDEX(Motore_Operativo!$BQ$305:$BQ$364,MAX(1,27-(INT((Ipotesi!$C$91)/30)))))*(1-(MOD((Ipotesi!$C$91),30)/30))+IF(27-(INT((Ipotesi!$C$91)/30))-1&lt;1,0,INDEX(Motore_Operativo!$BQ$305:$BQ$364,MAX(1,27-(INT((Ipotesi!$C$91)/30))-1)))*(MOD((Ipotesi!$C$91),30)/30))+(IF(27-(INT((Ipotesi!$C$91)/30))&lt;1,0,INDEX(Motore_Operativo!$BR$305:$BR$364,MAX(1,27-(INT((Ipotesi!$C$91)/30)))))*(1-(MOD((Ipotesi!$C$91),30)/30))+IF(27-(INT((Ipotesi!$C$91)/30))-1&lt;1,0,INDEX(Motore_Operativo!$BR$305:$BR$364,MAX(1,27-(INT((Ipotesi!$C$91)/30))-1)))*(MOD((Ipotesi!$C$91),30)/30))))*Piano_SS!$D$9,0))</f>
        <v>40000</v>
      </c>
      <c r="BZ331" s="15" t="n">
        <f aca="false">MIN(Piano_SS!$C$10,(BZ330)+IF(AND(Motore_Operativo!C331&gt;=EDATE(Parametri_v3!$C$24,Ipotesi!H14*12),Motore_Operativo!C331&lt;EDATE(Parametri_v3!$C$24,Parametri_v3!$C$25+Ipotesi!H14*12)),MAX(0,(IF(27-(INT((Ipotesi!$C$91)/30))&lt;1,0,INDEX(Motore_Operativo!$BO$305:$BO$364,MAX(1,27-(INT((Ipotesi!$C$91)/30)))))*(1-(MOD((Ipotesi!$C$91),30)/30))+IF(27-(INT((Ipotesi!$C$91)/30))-1&lt;1,0,INDEX(Motore_Operativo!$BO$305:$BO$364,MAX(1,27-(INT((Ipotesi!$C$91)/30))-1)))*(MOD((Ipotesi!$C$91),30)/30)))*Piano_SS!$D$10,0))</f>
        <v>30000</v>
      </c>
      <c r="CA331" s="15" t="n">
        <f aca="false">SUM(BV331:BZ331)</f>
        <v>395346.941570977</v>
      </c>
      <c r="CB331" s="15" t="n">
        <f aca="false">BV331*(1-Piano_SS!$E$6)+BW331*(1-Piano_SS!$E$7)+BX331*(1-Piano_SS!$E$8)+BY331*(1-Piano_SS!$E$9)+BZ331*(1-Piano_SS!$E$10)</f>
        <v>365346.941570977</v>
      </c>
      <c r="CC331" s="15" t="n">
        <f aca="false">(CC330)+BA331</f>
        <v>0</v>
      </c>
      <c r="CD331" s="15" t="n">
        <f aca="false">IF(CA331=0,0,CC331*CB331/CA331*Ipotesi!$C$103*Parametri_v3!$C$64)</f>
        <v>0</v>
      </c>
      <c r="CE331" s="18" t="n">
        <f aca="false">IF(BA331&gt;0,Motore_Operativo!C331,(CE330))</f>
        <v>0</v>
      </c>
      <c r="CF331" s="18" t="n">
        <f aca="false">IF(AND(CC331&gt;0,OR(CC331&gt;=CG331-0.01,Motore_Operativo!C331&gt;=EDATE(MAX(Finanziamenti!$D$15:$D$17),Ipotesi!H14*12))),CE331,0)</f>
        <v>0</v>
      </c>
      <c r="CG331" s="15" t="n">
        <f aca="false">IF(AND(6&lt;&gt;6,6&lt;&gt;9,Finanziamenti!$F$11=1,OR(Parametri_v3!$C$6=0,Finanziamenti!$E$11=1)),MIN(Finanziamenti!$C$11,Piano_SS!$C$12*Ipotesi!$C$102),0)</f>
        <v>0</v>
      </c>
      <c r="CH331" s="15" t="n">
        <f aca="false">IF(AND(AND(6&lt;&gt;8,6&lt;&gt;9,Finanziamenti!$F$10=1,OR(Parametri_v3!$C$6=0,Finanziamenti!$E$10=1)),Motore_Operativo!C331&gt;=Finanziamenti!$D$10,Motore_Operativo!C331&lt;Parametri_v3!$C$63),Finanziamenti!$C$10,0)</f>
        <v>150000</v>
      </c>
    </row>
    <row r="332" customFormat="false" ht="18" hidden="false" customHeight="true" outlineLevel="0" collapsed="false">
      <c r="A332" s="68" t="n">
        <f aca="false">6</f>
        <v>6</v>
      </c>
      <c r="B332" s="68" t="n">
        <f aca="false">28</f>
        <v>28</v>
      </c>
      <c r="C332" s="18" t="n">
        <f aca="false">Motore_Operativo!C332</f>
        <v>47209</v>
      </c>
      <c r="D332" s="68" t="n">
        <f aca="false">Motore_Operativo!D332</f>
        <v>2029</v>
      </c>
      <c r="E332" s="68" t="n">
        <f aca="false">Motore_Operativo!E332</f>
        <v>4</v>
      </c>
      <c r="F332" s="15" t="n">
        <f aca="false">Motore_Operativo!AQ332+Motore_Operativo!BF332</f>
        <v>59945.7332669554</v>
      </c>
      <c r="G332" s="15" t="n">
        <f aca="false">Motore_Operativo!BH332</f>
        <v>6050</v>
      </c>
      <c r="H332" s="15" t="n">
        <f aca="false">Motore_Operativo!BI332</f>
        <v>65995.7332669555</v>
      </c>
      <c r="I332" s="15" t="n">
        <f aca="false">Motore_Operativo!CA332</f>
        <v>115726.735990707</v>
      </c>
      <c r="J332" s="15" t="n">
        <f aca="false">Motore_Operativo!CC332</f>
        <v>-49731.0027237517</v>
      </c>
      <c r="K332" s="15" t="n">
        <f aca="false">Motore_Operativo!CE332</f>
        <v>2500</v>
      </c>
      <c r="L332" s="15" t="n">
        <f aca="false">SUM(INDEX($K$305:$K$364,MAX(1,28-Parametri_v3!$C$59+1)):K332)/Parametri_v3!$C$59</f>
        <v>1527.77777777778</v>
      </c>
      <c r="M332" s="15" t="n">
        <f aca="false">J332-L332</f>
        <v>-51258.7805015294</v>
      </c>
      <c r="N332" s="15" t="n">
        <f aca="false">CD332-(CD331)</f>
        <v>0</v>
      </c>
      <c r="O332" s="15" t="n">
        <f aca="false">(BG331)*Ipotesi!$C$110/12+CH332*Parametri_v3!$C$39/12</f>
        <v>750</v>
      </c>
      <c r="P332" s="15" t="n">
        <f aca="false">M332+N332-O332</f>
        <v>-52008.7805015294</v>
      </c>
      <c r="Q332" s="15" t="n">
        <f aca="false">SUM(P329:P332)+Parametri_v3!$C$54*4/12</f>
        <v>-213636.213164782</v>
      </c>
      <c r="R332" s="15" t="n">
        <f aca="false">Z328</f>
        <v>569369.508093871</v>
      </c>
      <c r="S332" s="15" t="n">
        <f aca="false">AA328</f>
        <v>0</v>
      </c>
      <c r="T332" s="15" t="n">
        <f aca="false">MIN(R332,MAX(0,Q332))</f>
        <v>0</v>
      </c>
      <c r="U332" s="15" t="n">
        <f aca="false">MIN(S332,MAX(0,Q332-T332)*Parametri_v3!$C$42)</f>
        <v>0</v>
      </c>
      <c r="V332" s="15" t="n">
        <f aca="false">MAX(0,Q332-T332-U332)*Ipotesi!$C$92</f>
        <v>0</v>
      </c>
      <c r="W332" s="15" t="n">
        <f aca="false">MAX(0,SUM(M329:M332)+Parametri_v3!$C$55*4/12)*Ipotesi!$C$93</f>
        <v>0</v>
      </c>
      <c r="X332" s="15" t="n">
        <f aca="false">V332+W332-(V331+W331)</f>
        <v>0</v>
      </c>
      <c r="Y332" s="15" t="n">
        <f aca="false">P332-X332</f>
        <v>-52008.7805015294</v>
      </c>
      <c r="Z332" s="15" t="n">
        <f aca="false">R332-T332+IF(AND(Parametri_v3!$C$40=1,D332-YEAR(Parametri_v3!$C$50)&lt;Parametri_v3!$C$41),MAX(0,-Q332),0)</f>
        <v>783005.721258653</v>
      </c>
      <c r="AA332" s="15" t="n">
        <f aca="false">S332-U332+IF(AND(Parametri_v3!$C$40=1,D332-YEAR(Parametri_v3!$C$50)&lt;Parametri_v3!$C$41),0,MAX(0,-Q332))</f>
        <v>0</v>
      </c>
      <c r="AB332" s="15" t="n">
        <f aca="false">F332*(1+Parametri_v3!$C$26)</f>
        <v>73133.7945856856</v>
      </c>
      <c r="AC332" s="15" t="n">
        <f aca="false">(IF(28-(INT((Motore_Operativo!L332)/30))&lt;1,0,INDEX(Motore_Startup!$AB$305:$AB$364,MAX(1,28-(INT((Motore_Operativo!L332)/30)))))*(1-(MOD((Motore_Operativo!L332),30)/30))+IF(28-(INT((Motore_Operativo!L332)/30))-1&lt;1,0,INDEX(Motore_Startup!$AB$305:$AB$364,MAX(1,28-(INT((Motore_Operativo!L332)/30))-1)))*(MOD((Motore_Operativo!L332),30)/30))</f>
        <v>69487.4718890345</v>
      </c>
      <c r="AD332" s="15" t="n">
        <f aca="false">(AD331)+AB332-AC332</f>
        <v>214510.887213123</v>
      </c>
      <c r="AE332" s="15" t="n">
        <f aca="false">Motore_Operativo!BH332*(1+Parametri_v3!$C$26)</f>
        <v>7381</v>
      </c>
      <c r="AF332" s="15" t="n">
        <f aca="false">(IF(28-(INT((Parametri_v3!$C$29)/30))&lt;1,0,INDEX(Motore_Operativo!$BH$305:$BH$364,MAX(1,28-(INT((Parametri_v3!$C$29)/30)))))*(1-(MOD((Parametri_v3!$C$29),30)/30))+IF(28-(INT((Parametri_v3!$C$29)/30))-1&lt;1,0,INDEX(Motore_Operativo!$BH$305:$BH$364,MAX(1,28-(INT((Parametri_v3!$C$29)/30))-1)))*(MOD((Parametri_v3!$C$29),30)/30))*(1+Parametri_v3!$C$26)</f>
        <v>7381</v>
      </c>
      <c r="AG332" s="15" t="n">
        <f aca="false">(AG331)+AE332-AF332</f>
        <v>7381</v>
      </c>
      <c r="AH332" s="15" t="n">
        <f aca="false">(Motore_Operativo!CJ332)*(1+Parametri_v3!$C$27*Parametri_v3!$C$26)</f>
        <v>49204.793287636</v>
      </c>
      <c r="AI332" s="15" t="n">
        <f aca="false">(IF(28-(INT((Ipotesi!$C$91)/30))&lt;1,0,INDEX(Motore_Startup!$AH$305:$AH$364,MAX(1,28-(INT((Ipotesi!$C$91)/30)))))*(1-(MOD((Ipotesi!$C$91),30)/30))+IF(28-(INT((Ipotesi!$C$91)/30))-1&lt;1,0,INDEX(Motore_Startup!$AH$305:$AH$364,MAX(1,28-(INT((Ipotesi!$C$91)/30))-1)))*(MOD((Ipotesi!$C$91),30)/30))</f>
        <v>48817.5031136287</v>
      </c>
      <c r="AJ332" s="15" t="n">
        <f aca="false">(AJ331)+AH332-AI332</f>
        <v>98130.7269823359</v>
      </c>
      <c r="AK332" s="15" t="n">
        <f aca="false">(F332+ Motore_Operativo!BH332-(Motore_Operativo!CJ332)*Parametri_v3!$C$27-Motore_Operativo!CE332)*Parametri_v3!$C$26</f>
        <v>6217.33735513464</v>
      </c>
      <c r="AL332" s="15" t="n">
        <f aca="false">MAX(0,(AM331))</f>
        <v>5892.09625330006</v>
      </c>
      <c r="AM332" s="15" t="n">
        <f aca="false">(AM331)+AK332-AL332</f>
        <v>6217.33735513464</v>
      </c>
      <c r="AN332" s="15" t="n">
        <f aca="false">SUM(X317:X328)</f>
        <v>0</v>
      </c>
      <c r="AO332" s="15" t="n">
        <f aca="false">SUM(AP317:AP328)</f>
        <v>0</v>
      </c>
      <c r="AP332" s="15" t="n">
        <f aca="false">MAX(0,AN332)*IF(4=Parametri_v3!$C$43,Parametri_v3!$C$45,IF(4=Parametri_v3!$C$44,1-Parametri_v3!$C$45,0))</f>
        <v>0</v>
      </c>
      <c r="AQ332" s="15" t="n">
        <f aca="false">MAX(0,AP332+IF(4=Parametri_v3!$C$43,MAX(0,AN332-AO332),0)-MAX(0,-(AR331)))</f>
        <v>0</v>
      </c>
      <c r="AR332" s="15" t="n">
        <f aca="false">(AR331)+X332-AQ332</f>
        <v>0</v>
      </c>
      <c r="AS332" s="15" t="n">
        <f aca="false">Motore_Operativo!AB332-AT332+AU332</f>
        <v>70559.9833333333</v>
      </c>
      <c r="AT332" s="15" t="n">
        <f aca="false">Motore_Operativo!CH332</f>
        <v>3713.68333333333</v>
      </c>
      <c r="AU332" s="15" t="n">
        <f aca="false">MIN(MAX(0,(AV331)+AT332),Parametri_v3!$C$60/12)</f>
        <v>0</v>
      </c>
      <c r="AV332" s="15" t="n">
        <f aca="false">(AV331)+AT332-AU332</f>
        <v>49462.2333333333</v>
      </c>
      <c r="AW332" s="15" t="n">
        <f aca="false">IF(AND(Motore_Operativo!C332=Finanziamenti!$D$6,Finanziamenti!$F$6=1),Finanziamenti!$C$6,0)</f>
        <v>0</v>
      </c>
      <c r="AX332" s="15" t="n">
        <f aca="false">IF(AND(6&lt;&gt;7,6&lt;&gt;9,Finanziamenti!$F$8=1,OR(Parametri_v3!$C$6=0,Finanziamenti!$E$8=1),Motore_Operativo!C332=EDATE(Finanziamenti!$D$8,Ipotesi!H15*12)),Finanziamenti!$C$8*1,0)+IF(AND(6&lt;&gt;7,6&lt;&gt;9,Finanziamenti!$F$9=1,OR(Parametri_v3!$C$6=0,Finanziamenti!$E$9=1),Motore_Operativo!C332=EDATE(Finanziamenti!$D$9,Ipotesi!H15*12)),Finanziamenti!$C$9*Ipotesi!H16,0)</f>
        <v>0</v>
      </c>
      <c r="AY332" s="15" t="n">
        <f aca="false">0</f>
        <v>0</v>
      </c>
      <c r="AZ332" s="15" t="n">
        <f aca="false">Motore_Advisory!AY332*(1-Ipotesi!$C$95)*Ipotesi!$C$96</f>
        <v>0</v>
      </c>
      <c r="BA332" s="15" t="n">
        <f aca="false">MAX(0,MIN(CG332*MIN(1,IF(Motore_Operativo!C332&gt;=EDATE(Finanziamenti!$D$15,Ipotesi!H14*12),Finanziamenti!$C$15,0)+IF(Motore_Operativo!C332&gt;=EDATE(Finanziamenti!$D$16,Ipotesi!H14*12),Finanziamenti!$C$16,0)+IF(Motore_Operativo!C332&gt;=EDATE(Finanziamenti!$D$17,Ipotesi!H14*12),Finanziamenti!$C$17,0)),CA332*Ipotesi!$C$102)-(CC331))</f>
        <v>0</v>
      </c>
      <c r="BB332" s="15" t="n">
        <f aca="false">IF(AND(CF332&gt;0,Motore_Operativo!C332&gt;=IF(CF332=0,0,EDATE(CF332,Parametri_v3!$C$37)),MOD(((D332-YEAR(IF(CF332=0,0,EDATE(CF332,Parametri_v3!$C$37))))*12+E332-MONTH(IF(CF332=0,0,EDATE(CF332,Parametri_v3!$C$37)))),Parametri_v3!$C$38)=0),MIN(MAX(0,(BC331)+BA332-N332),(CC332-CD332)/(Ipotesi!$C$108*12/Parametri_v3!$C$38)),0)</f>
        <v>0</v>
      </c>
      <c r="BC332" s="15" t="n">
        <f aca="false">(BC331)+BA332-N332-BB332</f>
        <v>0</v>
      </c>
      <c r="BD332" s="15" t="n">
        <f aca="false">(BH331)+AC332+AF332-AI332-AS332-K332*(1+Parametri_v3!$C$26)-AL332-AQ332-O332+AW332+AX332+AZ332+BA332-BB332</f>
        <v>-305601.199689861</v>
      </c>
      <c r="BE332" s="15" t="n">
        <f aca="false">MAX(0,MIN(MAX(0,CH332-(BG331)),Parametri_v3!$C$30-BD332))</f>
        <v>0</v>
      </c>
      <c r="BF332" s="15" t="n">
        <f aca="false">IF(Motore_Operativo!C332&gt;=Parametri_v3!$C$63,(BG331),MIN((BG331),MAX(0,BD332-Parametri_v3!$C$30)))</f>
        <v>0</v>
      </c>
      <c r="BG332" s="15" t="n">
        <f aca="false">(BG331)+BE332-BF332</f>
        <v>150000</v>
      </c>
      <c r="BH332" s="15" t="n">
        <f aca="false">BD332+BE332-BF332-AY332</f>
        <v>-305601.199689861</v>
      </c>
      <c r="BI332" s="15" t="n">
        <f aca="false">MAX(0,Parametri_v3!$C$30-BH332)</f>
        <v>330601.199689861</v>
      </c>
      <c r="BJ332" s="15" t="n">
        <f aca="false">(BJ331)+K332</f>
        <v>55000</v>
      </c>
      <c r="BK332" s="15" t="n">
        <f aca="false">(BK331)+L332</f>
        <v>20486.1111111111</v>
      </c>
      <c r="BL332" s="15" t="n">
        <f aca="false">BJ332-BK332</f>
        <v>34513.8888888889</v>
      </c>
      <c r="BM332" s="15" t="n">
        <f aca="false">(BM331)+Y332</f>
        <v>-783005.721258653</v>
      </c>
      <c r="BN332" s="15" t="n">
        <f aca="false">(BN331)+AW332+AX332+AZ332</f>
        <v>430000</v>
      </c>
      <c r="BO332" s="15" t="n">
        <f aca="false">(BO331)+AY332</f>
        <v>0</v>
      </c>
      <c r="BP332" s="15" t="n">
        <f aca="false">0</f>
        <v>0</v>
      </c>
      <c r="BQ332" s="15" t="n">
        <f aca="false">BN332+BM332-BO332</f>
        <v>-353005.721258653</v>
      </c>
      <c r="BR332" s="15" t="n">
        <f aca="false">BH332+AD332+BL332+MAX(0,-AM332)+MAX(0,-AR332)+AG332</f>
        <v>-49195.4235878489</v>
      </c>
      <c r="BS332" s="15" t="n">
        <f aca="false">AJ332+AV332+MAX(0,AM332)+MAX(0,AR332)+BC332+BG332+BQ332</f>
        <v>-49195.4235878491</v>
      </c>
      <c r="BT332" s="15" t="n">
        <f aca="false">BR332-BS332</f>
        <v>0</v>
      </c>
      <c r="BU332" s="15" t="n">
        <f aca="false">BH332-(BD332+BE332-BF332-AY332)</f>
        <v>0</v>
      </c>
      <c r="BV332" s="15" t="n">
        <f aca="false">MIN(Piano_SS!$C$6,(BV331)+IF(AND(Motore_Operativo!C332&gt;=EDATE(Parametri_v3!$C$24,Ipotesi!H14*12),Motore_Operativo!C332&lt;EDATE(Parametri_v3!$C$24,Parametri_v3!$C$25+Ipotesi!H14*12)),MAX(0,(Motore_Operativo!Y332+Motore_Operativo!X332*Parametri_v3!$C$14)*(1-Parametri_v3!$C$32))*Piano_SS!$D$6,0))</f>
        <v>274380.741666667</v>
      </c>
      <c r="BW332" s="15" t="n">
        <f aca="false">MIN(Piano_SS!$C$7,(BW331)+IF(AND(Motore_Operativo!C332&gt;=EDATE(Parametri_v3!$C$24,Ipotesi!H14*12),Motore_Operativo!C332&lt;EDATE(Parametri_v3!$C$24,Parametri_v3!$C$25+Ipotesi!H14*12)),MAX(0,(IF(28-(INT((Ipotesi!$C$91)/30))&lt;1,0,INDEX(Motore_Operativo!$BN$305:$BN$364,MAX(1,28-(INT((Ipotesi!$C$91)/30)))))*(1-(MOD((Ipotesi!$C$91),30)/30))+IF(28-(INT((Ipotesi!$C$91)/30))-1&lt;1,0,INDEX(Motore_Operativo!$BN$305:$BN$364,MAX(1,28-(INT((Ipotesi!$C$91)/30))-1)))*(MOD((Ipotesi!$C$91),30)/30)))*Piano_SS!$D$7,0))</f>
        <v>35768.5169498754</v>
      </c>
      <c r="BX332" s="15" t="n">
        <f aca="false">MIN(Piano_SS!$C$8,(BX331)+IF(AND(Motore_Operativo!C332&gt;=EDATE(Parametri_v3!$C$24,Ipotesi!H14*12),Motore_Operativo!C332&lt;EDATE(Parametri_v3!$C$24,Parametri_v3!$C$25+Ipotesi!H14*12)),MAX(0,Motore_Operativo!CE332)*Piano_SS!$D$8,0))</f>
        <v>45000</v>
      </c>
      <c r="BY332" s="15" t="n">
        <f aca="false">MIN(Piano_SS!$C$9,(BY331)+IF(AND(Motore_Operativo!C332&gt;=EDATE(Parametri_v3!$C$24,Ipotesi!H14*12),Motore_Operativo!C332&lt;EDATE(Parametri_v3!$C$24,Parametri_v3!$C$25+Ipotesi!H14*12)),MAX(0,((IF(28-(INT((Ipotesi!$C$91)/30))&lt;1,0,INDEX(Motore_Operativo!$BQ$305:$BQ$364,MAX(1,28-(INT((Ipotesi!$C$91)/30)))))*(1-(MOD((Ipotesi!$C$91),30)/30))+IF(28-(INT((Ipotesi!$C$91)/30))-1&lt;1,0,INDEX(Motore_Operativo!$BQ$305:$BQ$364,MAX(1,28-(INT((Ipotesi!$C$91)/30))-1)))*(MOD((Ipotesi!$C$91),30)/30))+(IF(28-(INT((Ipotesi!$C$91)/30))&lt;1,0,INDEX(Motore_Operativo!$BR$305:$BR$364,MAX(1,28-(INT((Ipotesi!$C$91)/30)))))*(1-(MOD((Ipotesi!$C$91),30)/30))+IF(28-(INT((Ipotesi!$C$91)/30))-1&lt;1,0,INDEX(Motore_Operativo!$BR$305:$BR$364,MAX(1,28-(INT((Ipotesi!$C$91)/30))-1)))*(MOD((Ipotesi!$C$91),30)/30))))*Piano_SS!$D$9,0))</f>
        <v>40000</v>
      </c>
      <c r="BZ332" s="15" t="n">
        <f aca="false">MIN(Piano_SS!$C$10,(BZ331)+IF(AND(Motore_Operativo!C332&gt;=EDATE(Parametri_v3!$C$24,Ipotesi!H14*12),Motore_Operativo!C332&lt;EDATE(Parametri_v3!$C$24,Parametri_v3!$C$25+Ipotesi!H14*12)),MAX(0,(IF(28-(INT((Ipotesi!$C$91)/30))&lt;1,0,INDEX(Motore_Operativo!$BO$305:$BO$364,MAX(1,28-(INT((Ipotesi!$C$91)/30)))))*(1-(MOD((Ipotesi!$C$91),30)/30))+IF(28-(INT((Ipotesi!$C$91)/30))-1&lt;1,0,INDEX(Motore_Operativo!$BO$305:$BO$364,MAX(1,28-(INT((Ipotesi!$C$91)/30))-1)))*(MOD((Ipotesi!$C$91),30)/30)))*Piano_SS!$D$10,0))</f>
        <v>30000</v>
      </c>
      <c r="CA332" s="15" t="n">
        <f aca="false">SUM(BV332:BZ332)</f>
        <v>425149.258616542</v>
      </c>
      <c r="CB332" s="15" t="n">
        <f aca="false">BV332*(1-Piano_SS!$E$6)+BW332*(1-Piano_SS!$E$7)+BX332*(1-Piano_SS!$E$8)+BY332*(1-Piano_SS!$E$9)+BZ332*(1-Piano_SS!$E$10)</f>
        <v>395149.258616542</v>
      </c>
      <c r="CC332" s="15" t="n">
        <f aca="false">(CC331)+BA332</f>
        <v>0</v>
      </c>
      <c r="CD332" s="15" t="n">
        <f aca="false">IF(CA332=0,0,CC332*CB332/CA332*Ipotesi!$C$103*Parametri_v3!$C$64)</f>
        <v>0</v>
      </c>
      <c r="CE332" s="18" t="n">
        <f aca="false">IF(BA332&gt;0,Motore_Operativo!C332,(CE331))</f>
        <v>0</v>
      </c>
      <c r="CF332" s="18" t="n">
        <f aca="false">IF(AND(CC332&gt;0,OR(CC332&gt;=CG332-0.01,Motore_Operativo!C332&gt;=EDATE(MAX(Finanziamenti!$D$15:$D$17),Ipotesi!H14*12))),CE332,0)</f>
        <v>0</v>
      </c>
      <c r="CG332" s="15" t="n">
        <f aca="false">IF(AND(6&lt;&gt;6,6&lt;&gt;9,Finanziamenti!$F$11=1,OR(Parametri_v3!$C$6=0,Finanziamenti!$E$11=1)),MIN(Finanziamenti!$C$11,Piano_SS!$C$12*Ipotesi!$C$102),0)</f>
        <v>0</v>
      </c>
      <c r="CH332" s="15" t="n">
        <f aca="false">IF(AND(AND(6&lt;&gt;8,6&lt;&gt;9,Finanziamenti!$F$10=1,OR(Parametri_v3!$C$6=0,Finanziamenti!$E$10=1)),Motore_Operativo!C332&gt;=Finanziamenti!$D$10,Motore_Operativo!C332&lt;Parametri_v3!$C$63),Finanziamenti!$C$10,0)</f>
        <v>150000</v>
      </c>
    </row>
    <row r="333" customFormat="false" ht="18" hidden="false" customHeight="true" outlineLevel="0" collapsed="false">
      <c r="A333" s="68" t="n">
        <f aca="false">6</f>
        <v>6</v>
      </c>
      <c r="B333" s="68" t="n">
        <f aca="false">29</f>
        <v>29</v>
      </c>
      <c r="C333" s="18" t="n">
        <f aca="false">Motore_Operativo!C333</f>
        <v>47239</v>
      </c>
      <c r="D333" s="68" t="n">
        <f aca="false">Motore_Operativo!D333</f>
        <v>2029</v>
      </c>
      <c r="E333" s="68" t="n">
        <f aca="false">Motore_Operativo!E333</f>
        <v>5</v>
      </c>
      <c r="F333" s="15" t="n">
        <f aca="false">Motore_Operativo!AQ333+Motore_Operativo!BF333</f>
        <v>62640.3943614541</v>
      </c>
      <c r="G333" s="15" t="n">
        <f aca="false">Motore_Operativo!BH333</f>
        <v>6050</v>
      </c>
      <c r="H333" s="15" t="n">
        <f aca="false">Motore_Operativo!BI333</f>
        <v>68690.3943614541</v>
      </c>
      <c r="I333" s="15" t="n">
        <f aca="false">Motore_Operativo!CA333</f>
        <v>116103.988543937</v>
      </c>
      <c r="J333" s="15" t="n">
        <f aca="false">Motore_Operativo!CC333</f>
        <v>-47413.5941824828</v>
      </c>
      <c r="K333" s="15" t="n">
        <f aca="false">Motore_Operativo!CE333</f>
        <v>2500</v>
      </c>
      <c r="L333" s="15" t="n">
        <f aca="false">SUM(INDEX($K$305:$K$364,MAX(1,29-Parametri_v3!$C$59+1)):K333)/Parametri_v3!$C$59</f>
        <v>1597.22222222222</v>
      </c>
      <c r="M333" s="15" t="n">
        <f aca="false">J333-L333</f>
        <v>-49010.8164047051</v>
      </c>
      <c r="N333" s="15" t="n">
        <f aca="false">CD333-(CD332)</f>
        <v>0</v>
      </c>
      <c r="O333" s="15" t="n">
        <f aca="false">(BG332)*Ipotesi!$C$110/12+CH333*Parametri_v3!$C$39/12</f>
        <v>750</v>
      </c>
      <c r="P333" s="15" t="n">
        <f aca="false">M333+N333-O333</f>
        <v>-49760.8164047051</v>
      </c>
      <c r="Q333" s="15" t="n">
        <f aca="false">SUM(P329:P333)+Parametri_v3!$C$54*5/12</f>
        <v>-263397.029569487</v>
      </c>
      <c r="R333" s="15" t="n">
        <f aca="false">Z328</f>
        <v>569369.508093871</v>
      </c>
      <c r="S333" s="15" t="n">
        <f aca="false">AA328</f>
        <v>0</v>
      </c>
      <c r="T333" s="15" t="n">
        <f aca="false">MIN(R333,MAX(0,Q333))</f>
        <v>0</v>
      </c>
      <c r="U333" s="15" t="n">
        <f aca="false">MIN(S333,MAX(0,Q333-T333)*Parametri_v3!$C$42)</f>
        <v>0</v>
      </c>
      <c r="V333" s="15" t="n">
        <f aca="false">MAX(0,Q333-T333-U333)*Ipotesi!$C$92</f>
        <v>0</v>
      </c>
      <c r="W333" s="15" t="n">
        <f aca="false">MAX(0,SUM(M329:M333)+Parametri_v3!$C$55*5/12)*Ipotesi!$C$93</f>
        <v>0</v>
      </c>
      <c r="X333" s="15" t="n">
        <f aca="false">V333+W333-(V332+W332)</f>
        <v>0</v>
      </c>
      <c r="Y333" s="15" t="n">
        <f aca="false">P333-X333</f>
        <v>-49760.8164047051</v>
      </c>
      <c r="Z333" s="15" t="n">
        <f aca="false">R333-T333+IF(AND(Parametri_v3!$C$40=1,D333-YEAR(Parametri_v3!$C$50)&lt;Parametri_v3!$C$41),MAX(0,-Q333),0)</f>
        <v>832766.537663358</v>
      </c>
      <c r="AA333" s="15" t="n">
        <f aca="false">S333-U333+IF(AND(Parametri_v3!$C$40=1,D333-YEAR(Parametri_v3!$C$50)&lt;Parametri_v3!$C$41),0,MAX(0,-Q333))</f>
        <v>0</v>
      </c>
      <c r="AB333" s="15" t="n">
        <f aca="false">F333*(1+Parametri_v3!$C$26)</f>
        <v>76421.281120974</v>
      </c>
      <c r="AC333" s="15" t="n">
        <f aca="false">(IF(29-(INT((Motore_Operativo!L333)/30))&lt;1,0,INDEX(Motore_Startup!$AB$305:$AB$364,MAX(1,29-(INT((Motore_Operativo!L333)/30)))))*(1-(MOD((Motore_Operativo!L333),30)/30))+IF(29-(INT((Motore_Operativo!L333)/30))-1&lt;1,0,INDEX(Motore_Startup!$AB$305:$AB$364,MAX(1,29-(INT((Motore_Operativo!L333)/30))-1)))*(MOD((Motore_Operativo!L333),30)/30))</f>
        <v>70290.52817403</v>
      </c>
      <c r="AD333" s="15" t="n">
        <f aca="false">(AD332)+AB333-AC333</f>
        <v>220641.640160067</v>
      </c>
      <c r="AE333" s="15" t="n">
        <f aca="false">Motore_Operativo!BH333*(1+Parametri_v3!$C$26)</f>
        <v>7381</v>
      </c>
      <c r="AF333" s="15" t="n">
        <f aca="false">(IF(29-(INT((Parametri_v3!$C$29)/30))&lt;1,0,INDEX(Motore_Operativo!$BH$305:$BH$364,MAX(1,29-(INT((Parametri_v3!$C$29)/30)))))*(1-(MOD((Parametri_v3!$C$29),30)/30))+IF(29-(INT((Parametri_v3!$C$29)/30))-1&lt;1,0,INDEX(Motore_Operativo!$BH$305:$BH$364,MAX(1,29-(INT((Parametri_v3!$C$29)/30))-1)))*(MOD((Parametri_v3!$C$29),30)/30))*(1+Parametri_v3!$C$26)</f>
        <v>7381</v>
      </c>
      <c r="AG333" s="15" t="n">
        <f aca="false">(AG332)+AE333-AF333</f>
        <v>7381</v>
      </c>
      <c r="AH333" s="15" t="n">
        <f aca="false">(Motore_Operativo!CJ333)*(1+Parametri_v3!$C$27*Parametri_v3!$C$26)</f>
        <v>49652.5920683198</v>
      </c>
      <c r="AI333" s="15" t="n">
        <f aca="false">(IF(29-(INT((Ipotesi!$C$91)/30))&lt;1,0,INDEX(Motore_Startup!$AH$305:$AH$364,MAX(1,29-(INT((Ipotesi!$C$91)/30)))))*(1-(MOD((Ipotesi!$C$91),30)/30))+IF(29-(INT((Ipotesi!$C$91)/30))-1&lt;1,0,INDEX(Motore_Startup!$AH$305:$AH$364,MAX(1,29-(INT((Ipotesi!$C$91)/30))-1)))*(MOD((Ipotesi!$C$91),30)/30))</f>
        <v>48925.9336946999</v>
      </c>
      <c r="AJ333" s="15" t="n">
        <f aca="false">(AJ332)+AH333-AI333</f>
        <v>98857.3853559558</v>
      </c>
      <c r="AK333" s="15" t="n">
        <f aca="false">(F333+ Motore_Operativo!BH333-(Motore_Operativo!CJ333)*Parametri_v3!$C$27-Motore_Operativo!CE333)*Parametri_v3!$C$26</f>
        <v>6739.61656847036</v>
      </c>
      <c r="AL333" s="15" t="n">
        <f aca="false">MAX(0,(AM332))</f>
        <v>6217.33735513464</v>
      </c>
      <c r="AM333" s="15" t="n">
        <f aca="false">(AM332)+AK333-AL333</f>
        <v>6739.61656847036</v>
      </c>
      <c r="AN333" s="15" t="n">
        <f aca="false">SUM(X317:X328)</f>
        <v>0</v>
      </c>
      <c r="AO333" s="15" t="n">
        <f aca="false">SUM(AP317:AP328)</f>
        <v>0</v>
      </c>
      <c r="AP333" s="15" t="n">
        <f aca="false">MAX(0,AN333)*IF(5=Parametri_v3!$C$43,Parametri_v3!$C$45,IF(5=Parametri_v3!$C$44,1-Parametri_v3!$C$45,0))</f>
        <v>0</v>
      </c>
      <c r="AQ333" s="15" t="n">
        <f aca="false">MAX(0,AP333+IF(5=Parametri_v3!$C$43,MAX(0,AN333-AO333),0)-MAX(0,-(AR332)))</f>
        <v>0</v>
      </c>
      <c r="AR333" s="15" t="n">
        <f aca="false">(AR332)+X333-AQ333</f>
        <v>0</v>
      </c>
      <c r="AS333" s="15" t="n">
        <f aca="false">Motore_Operativo!AB333-AT333+AU333</f>
        <v>70559.9833333333</v>
      </c>
      <c r="AT333" s="15" t="n">
        <f aca="false">Motore_Operativo!CH333</f>
        <v>3713.68333333333</v>
      </c>
      <c r="AU333" s="15" t="n">
        <f aca="false">MIN(MAX(0,(AV332)+AT333),Parametri_v3!$C$60/12)</f>
        <v>0</v>
      </c>
      <c r="AV333" s="15" t="n">
        <f aca="false">(AV332)+AT333-AU333</f>
        <v>53175.9166666667</v>
      </c>
      <c r="AW333" s="15" t="n">
        <f aca="false">IF(AND(Motore_Operativo!C333=Finanziamenti!$D$6,Finanziamenti!$F$6=1),Finanziamenti!$C$6,0)</f>
        <v>0</v>
      </c>
      <c r="AX333" s="15" t="n">
        <f aca="false">IF(AND(6&lt;&gt;7,6&lt;&gt;9,Finanziamenti!$F$8=1,OR(Parametri_v3!$C$6=0,Finanziamenti!$E$8=1),Motore_Operativo!C333=EDATE(Finanziamenti!$D$8,Ipotesi!H15*12)),Finanziamenti!$C$8*1,0)+IF(AND(6&lt;&gt;7,6&lt;&gt;9,Finanziamenti!$F$9=1,OR(Parametri_v3!$C$6=0,Finanziamenti!$E$9=1),Motore_Operativo!C333=EDATE(Finanziamenti!$D$9,Ipotesi!H15*12)),Finanziamenti!$C$9*Ipotesi!H16,0)</f>
        <v>0</v>
      </c>
      <c r="AY333" s="15" t="n">
        <f aca="false">0</f>
        <v>0</v>
      </c>
      <c r="AZ333" s="15" t="n">
        <f aca="false">Motore_Advisory!AY333*(1-Ipotesi!$C$95)*Ipotesi!$C$96</f>
        <v>0</v>
      </c>
      <c r="BA333" s="15" t="n">
        <f aca="false">MAX(0,MIN(CG333*MIN(1,IF(Motore_Operativo!C333&gt;=EDATE(Finanziamenti!$D$15,Ipotesi!H14*12),Finanziamenti!$C$15,0)+IF(Motore_Operativo!C333&gt;=EDATE(Finanziamenti!$D$16,Ipotesi!H14*12),Finanziamenti!$C$16,0)+IF(Motore_Operativo!C333&gt;=EDATE(Finanziamenti!$D$17,Ipotesi!H14*12),Finanziamenti!$C$17,0)),CA333*Ipotesi!$C$102)-(CC332))</f>
        <v>0</v>
      </c>
      <c r="BB333" s="15" t="n">
        <f aca="false">IF(AND(CF333&gt;0,Motore_Operativo!C333&gt;=IF(CF333=0,0,EDATE(CF333,Parametri_v3!$C$37)),MOD(((D333-YEAR(IF(CF333=0,0,EDATE(CF333,Parametri_v3!$C$37))))*12+E333-MONTH(IF(CF333=0,0,EDATE(CF333,Parametri_v3!$C$37)))),Parametri_v3!$C$38)=0),MIN(MAX(0,(BC332)+BA333-N333),(CC333-CD333)/(Ipotesi!$C$108*12/Parametri_v3!$C$38)),0)</f>
        <v>0</v>
      </c>
      <c r="BC333" s="15" t="n">
        <f aca="false">(BC332)+BA333-N333-BB333</f>
        <v>0</v>
      </c>
      <c r="BD333" s="15" t="n">
        <f aca="false">(BH332)+AC333+AF333-AI333-AS333-K333*(1+Parametri_v3!$C$26)-AL333-AQ333-O333+AW333+AX333+AZ333+BA333-BB333</f>
        <v>-357432.925898999</v>
      </c>
      <c r="BE333" s="15" t="n">
        <f aca="false">MAX(0,MIN(MAX(0,CH333-(BG332)),Parametri_v3!$C$30-BD333))</f>
        <v>0</v>
      </c>
      <c r="BF333" s="15" t="n">
        <f aca="false">IF(Motore_Operativo!C333&gt;=Parametri_v3!$C$63,(BG332),MIN((BG332),MAX(0,BD333-Parametri_v3!$C$30)))</f>
        <v>0</v>
      </c>
      <c r="BG333" s="15" t="n">
        <f aca="false">(BG332)+BE333-BF333</f>
        <v>150000</v>
      </c>
      <c r="BH333" s="15" t="n">
        <f aca="false">BD333+BE333-BF333-AY333</f>
        <v>-357432.925898999</v>
      </c>
      <c r="BI333" s="15" t="n">
        <f aca="false">MAX(0,Parametri_v3!$C$30-BH333)</f>
        <v>382432.925898999</v>
      </c>
      <c r="BJ333" s="15" t="n">
        <f aca="false">(BJ332)+K333</f>
        <v>57500</v>
      </c>
      <c r="BK333" s="15" t="n">
        <f aca="false">(BK332)+L333</f>
        <v>22083.3333333333</v>
      </c>
      <c r="BL333" s="15" t="n">
        <f aca="false">BJ333-BK333</f>
        <v>35416.6666666667</v>
      </c>
      <c r="BM333" s="15" t="n">
        <f aca="false">(BM332)+Y333</f>
        <v>-832766.537663358</v>
      </c>
      <c r="BN333" s="15" t="n">
        <f aca="false">(BN332)+AW333+AX333+AZ333</f>
        <v>430000</v>
      </c>
      <c r="BO333" s="15" t="n">
        <f aca="false">(BO332)+AY333</f>
        <v>0</v>
      </c>
      <c r="BP333" s="15" t="n">
        <f aca="false">0</f>
        <v>0</v>
      </c>
      <c r="BQ333" s="15" t="n">
        <f aca="false">BN333+BM333-BO333</f>
        <v>-402766.537663358</v>
      </c>
      <c r="BR333" s="15" t="n">
        <f aca="false">BH333+AD333+BL333+MAX(0,-AM333)+MAX(0,-AR333)+AG333</f>
        <v>-93993.6190722651</v>
      </c>
      <c r="BS333" s="15" t="n">
        <f aca="false">AJ333+AV333+MAX(0,AM333)+MAX(0,AR333)+BC333+BG333+BQ333</f>
        <v>-93993.6190722652</v>
      </c>
      <c r="BT333" s="15" t="n">
        <f aca="false">BR333-BS333</f>
        <v>0</v>
      </c>
      <c r="BU333" s="15" t="n">
        <f aca="false">BH333-(BD333+BE333-BF333-AY333)</f>
        <v>0</v>
      </c>
      <c r="BV333" s="15" t="n">
        <f aca="false">MIN(Piano_SS!$C$6,(BV332)+IF(AND(Motore_Operativo!C333&gt;=EDATE(Parametri_v3!$C$24,Ipotesi!H14*12),Motore_Operativo!C333&lt;EDATE(Parametri_v3!$C$24,Parametri_v3!$C$25+Ipotesi!H14*12)),MAX(0,(Motore_Operativo!Y333+Motore_Operativo!X333*Parametri_v3!$C$14)*(1-Parametri_v3!$C$32))*Piano_SS!$D$6,0))</f>
        <v>299157.177083333</v>
      </c>
      <c r="BW333" s="15" t="n">
        <f aca="false">MIN(Piano_SS!$C$7,(BW332)+IF(AND(Motore_Operativo!C333&gt;=EDATE(Parametri_v3!$C$24,Ipotesi!H14*12),Motore_Operativo!C333&lt;EDATE(Parametri_v3!$C$24,Parametri_v3!$C$25+Ipotesi!H14*12)),MAX(0,(IF(29-(INT((Ipotesi!$C$91)/30))&lt;1,0,INDEX(Motore_Operativo!$BN$305:$BN$364,MAX(1,29-(INT((Ipotesi!$C$91)/30)))))*(1-(MOD((Ipotesi!$C$91),30)/30))+IF(29-(INT((Ipotesi!$C$91)/30))-1&lt;1,0,INDEX(Motore_Operativo!$BN$305:$BN$364,MAX(1,29-(INT((Ipotesi!$C$91)/30))-1)))*(MOD((Ipotesi!$C$91),30)/30)))*Piano_SS!$D$7,0))</f>
        <v>38346.5976790606</v>
      </c>
      <c r="BX333" s="15" t="n">
        <f aca="false">MIN(Piano_SS!$C$8,(BX332)+IF(AND(Motore_Operativo!C333&gt;=EDATE(Parametri_v3!$C$24,Ipotesi!H14*12),Motore_Operativo!C333&lt;EDATE(Parametri_v3!$C$24,Parametri_v3!$C$25+Ipotesi!H14*12)),MAX(0,Motore_Operativo!CE333)*Piano_SS!$D$8,0))</f>
        <v>47500</v>
      </c>
      <c r="BY333" s="15" t="n">
        <f aca="false">MIN(Piano_SS!$C$9,(BY332)+IF(AND(Motore_Operativo!C333&gt;=EDATE(Parametri_v3!$C$24,Ipotesi!H14*12),Motore_Operativo!C333&lt;EDATE(Parametri_v3!$C$24,Parametri_v3!$C$25+Ipotesi!H14*12)),MAX(0,((IF(29-(INT((Ipotesi!$C$91)/30))&lt;1,0,INDEX(Motore_Operativo!$BQ$305:$BQ$364,MAX(1,29-(INT((Ipotesi!$C$91)/30)))))*(1-(MOD((Ipotesi!$C$91),30)/30))+IF(29-(INT((Ipotesi!$C$91)/30))-1&lt;1,0,INDEX(Motore_Operativo!$BQ$305:$BQ$364,MAX(1,29-(INT((Ipotesi!$C$91)/30))-1)))*(MOD((Ipotesi!$C$91),30)/30))+(IF(29-(INT((Ipotesi!$C$91)/30))&lt;1,0,INDEX(Motore_Operativo!$BR$305:$BR$364,MAX(1,29-(INT((Ipotesi!$C$91)/30)))))*(1-(MOD((Ipotesi!$C$91),30)/30))+IF(29-(INT((Ipotesi!$C$91)/30))-1&lt;1,0,INDEX(Motore_Operativo!$BR$305:$BR$364,MAX(1,29-(INT((Ipotesi!$C$91)/30))-1)))*(MOD((Ipotesi!$C$91),30)/30))))*Piano_SS!$D$9,0))</f>
        <v>40000</v>
      </c>
      <c r="BZ333" s="15" t="n">
        <f aca="false">MIN(Piano_SS!$C$10,(BZ332)+IF(AND(Motore_Operativo!C333&gt;=EDATE(Parametri_v3!$C$24,Ipotesi!H14*12),Motore_Operativo!C333&lt;EDATE(Parametri_v3!$C$24,Parametri_v3!$C$25+Ipotesi!H14*12)),MAX(0,(IF(29-(INT((Ipotesi!$C$91)/30))&lt;1,0,INDEX(Motore_Operativo!$BO$305:$BO$364,MAX(1,29-(INT((Ipotesi!$C$91)/30)))))*(1-(MOD((Ipotesi!$C$91),30)/30))+IF(29-(INT((Ipotesi!$C$91)/30))-1&lt;1,0,INDEX(Motore_Operativo!$BO$305:$BO$364,MAX(1,29-(INT((Ipotesi!$C$91)/30))-1)))*(MOD((Ipotesi!$C$91),30)/30)))*Piano_SS!$D$10,0))</f>
        <v>30000</v>
      </c>
      <c r="CA333" s="15" t="n">
        <f aca="false">SUM(BV333:BZ333)</f>
        <v>455003.774762394</v>
      </c>
      <c r="CB333" s="15" t="n">
        <f aca="false">BV333*(1-Piano_SS!$E$6)+BW333*(1-Piano_SS!$E$7)+BX333*(1-Piano_SS!$E$8)+BY333*(1-Piano_SS!$E$9)+BZ333*(1-Piano_SS!$E$10)</f>
        <v>425003.774762394</v>
      </c>
      <c r="CC333" s="15" t="n">
        <f aca="false">(CC332)+BA333</f>
        <v>0</v>
      </c>
      <c r="CD333" s="15" t="n">
        <f aca="false">IF(CA333=0,0,CC333*CB333/CA333*Ipotesi!$C$103*Parametri_v3!$C$64)</f>
        <v>0</v>
      </c>
      <c r="CE333" s="18" t="n">
        <f aca="false">IF(BA333&gt;0,Motore_Operativo!C333,(CE332))</f>
        <v>0</v>
      </c>
      <c r="CF333" s="18" t="n">
        <f aca="false">IF(AND(CC333&gt;0,OR(CC333&gt;=CG333-0.01,Motore_Operativo!C333&gt;=EDATE(MAX(Finanziamenti!$D$15:$D$17),Ipotesi!H14*12))),CE333,0)</f>
        <v>0</v>
      </c>
      <c r="CG333" s="15" t="n">
        <f aca="false">IF(AND(6&lt;&gt;6,6&lt;&gt;9,Finanziamenti!$F$11=1,OR(Parametri_v3!$C$6=0,Finanziamenti!$E$11=1)),MIN(Finanziamenti!$C$11,Piano_SS!$C$12*Ipotesi!$C$102),0)</f>
        <v>0</v>
      </c>
      <c r="CH333" s="15" t="n">
        <f aca="false">IF(AND(AND(6&lt;&gt;8,6&lt;&gt;9,Finanziamenti!$F$10=1,OR(Parametri_v3!$C$6=0,Finanziamenti!$E$10=1)),Motore_Operativo!C333&gt;=Finanziamenti!$D$10,Motore_Operativo!C333&lt;Parametri_v3!$C$63),Finanziamenti!$C$10,0)</f>
        <v>150000</v>
      </c>
    </row>
    <row r="334" customFormat="false" ht="18" hidden="false" customHeight="true" outlineLevel="0" collapsed="false">
      <c r="A334" s="68" t="n">
        <f aca="false">6</f>
        <v>6</v>
      </c>
      <c r="B334" s="68" t="n">
        <f aca="false">30</f>
        <v>30</v>
      </c>
      <c r="C334" s="18" t="n">
        <f aca="false">Motore_Operativo!C334</f>
        <v>47270</v>
      </c>
      <c r="D334" s="68" t="n">
        <f aca="false">Motore_Operativo!D334</f>
        <v>2029</v>
      </c>
      <c r="E334" s="68" t="n">
        <f aca="false">Motore_Operativo!E334</f>
        <v>6</v>
      </c>
      <c r="F334" s="15" t="n">
        <f aca="false">Motore_Operativo!AQ334+Motore_Operativo!BF334</f>
        <v>65311.4997770098</v>
      </c>
      <c r="G334" s="15" t="n">
        <f aca="false">Motore_Operativo!BH334</f>
        <v>6050</v>
      </c>
      <c r="H334" s="15" t="n">
        <f aca="false">Motore_Operativo!BI334</f>
        <v>71361.4997770098</v>
      </c>
      <c r="I334" s="15" t="n">
        <f aca="false">Motore_Operativo!CA334</f>
        <v>116477.943302115</v>
      </c>
      <c r="J334" s="15" t="n">
        <f aca="false">Motore_Operativo!CC334</f>
        <v>-45116.4435251049</v>
      </c>
      <c r="K334" s="15" t="n">
        <f aca="false">Motore_Operativo!CE334</f>
        <v>2500</v>
      </c>
      <c r="L334" s="15" t="n">
        <f aca="false">SUM(INDEX($K$305:$K$364,MAX(1,30-Parametri_v3!$C$59+1)):K334)/Parametri_v3!$C$59</f>
        <v>1666.66666666667</v>
      </c>
      <c r="M334" s="15" t="n">
        <f aca="false">J334-L334</f>
        <v>-46783.1101917716</v>
      </c>
      <c r="N334" s="15" t="n">
        <f aca="false">CD334-(CD333)</f>
        <v>0</v>
      </c>
      <c r="O334" s="15" t="n">
        <f aca="false">(BG333)*Ipotesi!$C$110/12+CH334*Parametri_v3!$C$39/12</f>
        <v>750</v>
      </c>
      <c r="P334" s="15" t="n">
        <f aca="false">M334+N334-O334</f>
        <v>-47533.1101917716</v>
      </c>
      <c r="Q334" s="15" t="n">
        <f aca="false">SUM(P329:P334)+Parametri_v3!$C$54*6/12</f>
        <v>-310930.139761258</v>
      </c>
      <c r="R334" s="15" t="n">
        <f aca="false">Z328</f>
        <v>569369.508093871</v>
      </c>
      <c r="S334" s="15" t="n">
        <f aca="false">AA328</f>
        <v>0</v>
      </c>
      <c r="T334" s="15" t="n">
        <f aca="false">MIN(R334,MAX(0,Q334))</f>
        <v>0</v>
      </c>
      <c r="U334" s="15" t="n">
        <f aca="false">MIN(S334,MAX(0,Q334-T334)*Parametri_v3!$C$42)</f>
        <v>0</v>
      </c>
      <c r="V334" s="15" t="n">
        <f aca="false">MAX(0,Q334-T334-U334)*Ipotesi!$C$92</f>
        <v>0</v>
      </c>
      <c r="W334" s="15" t="n">
        <f aca="false">MAX(0,SUM(M329:M334)+Parametri_v3!$C$55*6/12)*Ipotesi!$C$93</f>
        <v>0</v>
      </c>
      <c r="X334" s="15" t="n">
        <f aca="false">V334+W334-(V333+W333)</f>
        <v>0</v>
      </c>
      <c r="Y334" s="15" t="n">
        <f aca="false">P334-X334</f>
        <v>-47533.1101917716</v>
      </c>
      <c r="Z334" s="15" t="n">
        <f aca="false">R334-T334+IF(AND(Parametri_v3!$C$40=1,D334-YEAR(Parametri_v3!$C$50)&lt;Parametri_v3!$C$41),MAX(0,-Q334),0)</f>
        <v>880299.64785513</v>
      </c>
      <c r="AA334" s="15" t="n">
        <f aca="false">S334-U334+IF(AND(Parametri_v3!$C$40=1,D334-YEAR(Parametri_v3!$C$50)&lt;Parametri_v3!$C$41),0,MAX(0,-Q334))</f>
        <v>0</v>
      </c>
      <c r="AB334" s="15" t="n">
        <f aca="false">F334*(1+Parametri_v3!$C$26)</f>
        <v>79680.029727952</v>
      </c>
      <c r="AC334" s="15" t="n">
        <f aca="false">(IF(30-(INT((Motore_Operativo!L334)/30))&lt;1,0,INDEX(Motore_Startup!$AB$305:$AB$364,MAX(1,30-(INT((Motore_Operativo!L334)/30)))))*(1-(MOD((Motore_Operativo!L334),30)/30))+IF(30-(INT((Motore_Operativo!L334)/30))-1&lt;1,0,INDEX(Motore_Startup!$AB$305:$AB$364,MAX(1,30-(INT((Motore_Operativo!L334)/30))-1)))*(MOD((Motore_Operativo!L334),30)/30))</f>
        <v>71086.5644534073</v>
      </c>
      <c r="AD334" s="15" t="n">
        <f aca="false">(AD333)+AB334-AC334</f>
        <v>229235.105434612</v>
      </c>
      <c r="AE334" s="15" t="n">
        <f aca="false">Motore_Operativo!BH334*(1+Parametri_v3!$C$26)</f>
        <v>7381</v>
      </c>
      <c r="AF334" s="15" t="n">
        <f aca="false">(IF(30-(INT((Parametri_v3!$C$29)/30))&lt;1,0,INDEX(Motore_Operativo!$BH$305:$BH$364,MAX(1,30-(INT((Parametri_v3!$C$29)/30)))))*(1-(MOD((Parametri_v3!$C$29),30)/30))+IF(30-(INT((Parametri_v3!$C$29)/30))-1&lt;1,0,INDEX(Motore_Operativo!$BH$305:$BH$364,MAX(1,30-(INT((Parametri_v3!$C$29)/30))-1)))*(MOD((Parametri_v3!$C$29),30)/30))*(1+Parametri_v3!$C$26)</f>
        <v>7381</v>
      </c>
      <c r="AG334" s="15" t="n">
        <f aca="false">(AG333)+AE334-AF334</f>
        <v>7381</v>
      </c>
      <c r="AH334" s="15" t="n">
        <f aca="false">(Motore_Operativo!CJ334)*(1+Parametri_v3!$C$27*Parametri_v3!$C$26)</f>
        <v>50096.4763662768</v>
      </c>
      <c r="AI334" s="15" t="n">
        <f aca="false">(IF(30-(INT((Ipotesi!$C$91)/30))&lt;1,0,INDEX(Motore_Startup!$AH$305:$AH$364,MAX(1,30-(INT((Ipotesi!$C$91)/30)))))*(1-(MOD((Ipotesi!$C$91),30)/30))+IF(30-(INT((Ipotesi!$C$91)/30))-1&lt;1,0,INDEX(Motore_Startup!$AH$305:$AH$364,MAX(1,30-(INT((Ipotesi!$C$91)/30))-1)))*(MOD((Ipotesi!$C$91),30)/30))</f>
        <v>49204.793287636</v>
      </c>
      <c r="AJ334" s="15" t="n">
        <f aca="false">(AJ333)+AH334-AI334</f>
        <v>99749.0684345966</v>
      </c>
      <c r="AK334" s="15" t="n">
        <f aca="false">(F334+ Motore_Operativo!BH334-(Motore_Operativo!CJ334)*Parametri_v3!$C$27-Motore_Operativo!CE334)*Parametri_v3!$C$26</f>
        <v>7257.33022011338</v>
      </c>
      <c r="AL334" s="15" t="n">
        <f aca="false">MAX(0,(AM333))</f>
        <v>6739.61656847036</v>
      </c>
      <c r="AM334" s="15" t="n">
        <f aca="false">(AM333)+AK334-AL334</f>
        <v>7257.33022011338</v>
      </c>
      <c r="AN334" s="15" t="n">
        <f aca="false">SUM(X317:X328)</f>
        <v>0</v>
      </c>
      <c r="AO334" s="15" t="n">
        <f aca="false">SUM(AP317:AP328)</f>
        <v>0</v>
      </c>
      <c r="AP334" s="15" t="n">
        <f aca="false">MAX(0,AN334)*IF(6=Parametri_v3!$C$43,Parametri_v3!$C$45,IF(6=Parametri_v3!$C$44,1-Parametri_v3!$C$45,0))</f>
        <v>0</v>
      </c>
      <c r="AQ334" s="15" t="n">
        <f aca="false">MAX(0,AP334+IF(6=Parametri_v3!$C$43,MAX(0,AN334-AO334),0)-MAX(0,-(AR333)))</f>
        <v>0</v>
      </c>
      <c r="AR334" s="15" t="n">
        <f aca="false">(AR333)+X334-AQ334</f>
        <v>0</v>
      </c>
      <c r="AS334" s="15" t="n">
        <f aca="false">Motore_Operativo!AB334-AT334+AU334</f>
        <v>70559.9833333333</v>
      </c>
      <c r="AT334" s="15" t="n">
        <f aca="false">Motore_Operativo!CH334</f>
        <v>3713.68333333333</v>
      </c>
      <c r="AU334" s="15" t="n">
        <f aca="false">MIN(MAX(0,(AV333)+AT334),Parametri_v3!$C$60/12)</f>
        <v>0</v>
      </c>
      <c r="AV334" s="15" t="n">
        <f aca="false">(AV333)+AT334-AU334</f>
        <v>56889.6</v>
      </c>
      <c r="AW334" s="15" t="n">
        <f aca="false">IF(AND(Motore_Operativo!C334=Finanziamenti!$D$6,Finanziamenti!$F$6=1),Finanziamenti!$C$6,0)</f>
        <v>0</v>
      </c>
      <c r="AX334" s="15" t="n">
        <f aca="false">IF(AND(6&lt;&gt;7,6&lt;&gt;9,Finanziamenti!$F$8=1,OR(Parametri_v3!$C$6=0,Finanziamenti!$E$8=1),Motore_Operativo!C334=EDATE(Finanziamenti!$D$8,Ipotesi!H15*12)),Finanziamenti!$C$8*1,0)+IF(AND(6&lt;&gt;7,6&lt;&gt;9,Finanziamenti!$F$9=1,OR(Parametri_v3!$C$6=0,Finanziamenti!$E$9=1),Motore_Operativo!C334=EDATE(Finanziamenti!$D$9,Ipotesi!H15*12)),Finanziamenti!$C$9*Ipotesi!H16,0)</f>
        <v>900000</v>
      </c>
      <c r="AY334" s="15" t="n">
        <f aca="false">0</f>
        <v>0</v>
      </c>
      <c r="AZ334" s="15" t="n">
        <f aca="false">Motore_Advisory!AY334*(1-Ipotesi!$C$95)*Ipotesi!$C$96</f>
        <v>0</v>
      </c>
      <c r="BA334" s="15" t="n">
        <f aca="false">MAX(0,MIN(CG334*MIN(1,IF(Motore_Operativo!C334&gt;=EDATE(Finanziamenti!$D$15,Ipotesi!H14*12),Finanziamenti!$C$15,0)+IF(Motore_Operativo!C334&gt;=EDATE(Finanziamenti!$D$16,Ipotesi!H14*12),Finanziamenti!$C$16,0)+IF(Motore_Operativo!C334&gt;=EDATE(Finanziamenti!$D$17,Ipotesi!H14*12),Finanziamenti!$C$17,0)),CA334*Ipotesi!$C$102)-(CC333))</f>
        <v>0</v>
      </c>
      <c r="BB334" s="15" t="n">
        <f aca="false">IF(AND(CF334&gt;0,Motore_Operativo!C334&gt;=IF(CF334=0,0,EDATE(CF334,Parametri_v3!$C$37)),MOD(((D334-YEAR(IF(CF334=0,0,EDATE(CF334,Parametri_v3!$C$37))))*12+E334-MONTH(IF(CF334=0,0,EDATE(CF334,Parametri_v3!$C$37)))),Parametri_v3!$C$38)=0),MIN(MAX(0,(BC333)+BA334-N334),(CC334-CD334)/(Ipotesi!$C$108*12/Parametri_v3!$C$38)),0)</f>
        <v>0</v>
      </c>
      <c r="BC334" s="15" t="n">
        <f aca="false">(BC333)+BA334-N334-BB334</f>
        <v>0</v>
      </c>
      <c r="BD334" s="15" t="n">
        <f aca="false">(BH333)+AC334+AF334-AI334-AS334-K334*(1+Parametri_v3!$C$26)-AL334-AQ334-O334+AW334+AX334+AZ334+BA334-BB334</f>
        <v>490730.245364969</v>
      </c>
      <c r="BE334" s="15" t="n">
        <f aca="false">MAX(0,MIN(MAX(0,CH334-(BG333)),Parametri_v3!$C$30-BD334))</f>
        <v>0</v>
      </c>
      <c r="BF334" s="15" t="n">
        <f aca="false">IF(Motore_Operativo!C334&gt;=Parametri_v3!$C$63,(BG333),MIN((BG333),MAX(0,BD334-Parametri_v3!$C$30)))</f>
        <v>150000</v>
      </c>
      <c r="BG334" s="15" t="n">
        <f aca="false">(BG333)+BE334-BF334</f>
        <v>0</v>
      </c>
      <c r="BH334" s="15" t="n">
        <f aca="false">BD334+BE334-BF334-AY334</f>
        <v>340730.245364969</v>
      </c>
      <c r="BI334" s="15" t="n">
        <f aca="false">MAX(0,Parametri_v3!$C$30-BH334)</f>
        <v>0</v>
      </c>
      <c r="BJ334" s="15" t="n">
        <f aca="false">(BJ333)+K334</f>
        <v>60000</v>
      </c>
      <c r="BK334" s="15" t="n">
        <f aca="false">(BK333)+L334</f>
        <v>23750</v>
      </c>
      <c r="BL334" s="15" t="n">
        <f aca="false">BJ334-BK334</f>
        <v>36250</v>
      </c>
      <c r="BM334" s="15" t="n">
        <f aca="false">(BM333)+Y334</f>
        <v>-880299.64785513</v>
      </c>
      <c r="BN334" s="15" t="n">
        <f aca="false">(BN333)+AW334+AX334+AZ334</f>
        <v>1330000</v>
      </c>
      <c r="BO334" s="15" t="n">
        <f aca="false">(BO333)+AY334</f>
        <v>0</v>
      </c>
      <c r="BP334" s="15" t="n">
        <f aca="false">0</f>
        <v>0</v>
      </c>
      <c r="BQ334" s="15" t="n">
        <f aca="false">BN334+BM334-BO334</f>
        <v>449700.35214487</v>
      </c>
      <c r="BR334" s="15" t="n">
        <f aca="false">BH334+AD334+BL334+MAX(0,-AM334)+MAX(0,-AR334)+AG334</f>
        <v>613596.350799581</v>
      </c>
      <c r="BS334" s="15" t="n">
        <f aca="false">AJ334+AV334+MAX(0,AM334)+MAX(0,AR334)+BC334+BG334+BQ334</f>
        <v>613596.350799581</v>
      </c>
      <c r="BT334" s="15" t="n">
        <f aca="false">BR334-BS334</f>
        <v>0</v>
      </c>
      <c r="BU334" s="15" t="n">
        <f aca="false">BH334-(BD334+BE334-BF334-AY334)</f>
        <v>0</v>
      </c>
      <c r="BV334" s="15" t="n">
        <f aca="false">MIN(Piano_SS!$C$6,(BV333)+IF(AND(Motore_Operativo!C334&gt;=EDATE(Parametri_v3!$C$24,Ipotesi!H14*12),Motore_Operativo!C334&lt;EDATE(Parametri_v3!$C$24,Parametri_v3!$C$25+Ipotesi!H14*12)),MAX(0,(Motore_Operativo!Y334+Motore_Operativo!X334*Parametri_v3!$C$14)*(1-Parametri_v3!$C$32))*Piano_SS!$D$6,0))</f>
        <v>300000</v>
      </c>
      <c r="BW334" s="15" t="n">
        <f aca="false">MIN(Piano_SS!$C$7,(BW333)+IF(AND(Motore_Operativo!C334&gt;=EDATE(Parametri_v3!$C$24,Ipotesi!H14*12),Motore_Operativo!C334&lt;EDATE(Parametri_v3!$C$24,Parametri_v3!$C$25+Ipotesi!H14*12)),MAX(0,(IF(30-(INT((Ipotesi!$C$91)/30))&lt;1,0,INDEX(Motore_Operativo!$BN$305:$BN$364,MAX(1,30-(INT((Ipotesi!$C$91)/30)))))*(1-(MOD((Ipotesi!$C$91),30)/30))+IF(30-(INT((Ipotesi!$C$91)/30))-1&lt;1,0,INDEX(Motore_Operativo!$BN$305:$BN$364,MAX(1,30-(INT((Ipotesi!$C$91)/30))-1)))*(MOD((Ipotesi!$C$91),30)/30)))*Piano_SS!$D$7,0))</f>
        <v>41058.9230070837</v>
      </c>
      <c r="BX334" s="15" t="n">
        <f aca="false">MIN(Piano_SS!$C$8,(BX333)+IF(AND(Motore_Operativo!C334&gt;=EDATE(Parametri_v3!$C$24,Ipotesi!H14*12),Motore_Operativo!C334&lt;EDATE(Parametri_v3!$C$24,Parametri_v3!$C$25+Ipotesi!H14*12)),MAX(0,Motore_Operativo!CE334)*Piano_SS!$D$8,0))</f>
        <v>50000</v>
      </c>
      <c r="BY334" s="15" t="n">
        <f aca="false">MIN(Piano_SS!$C$9,(BY333)+IF(AND(Motore_Operativo!C334&gt;=EDATE(Parametri_v3!$C$24,Ipotesi!H14*12),Motore_Operativo!C334&lt;EDATE(Parametri_v3!$C$24,Parametri_v3!$C$25+Ipotesi!H14*12)),MAX(0,((IF(30-(INT((Ipotesi!$C$91)/30))&lt;1,0,INDEX(Motore_Operativo!$BQ$305:$BQ$364,MAX(1,30-(INT((Ipotesi!$C$91)/30)))))*(1-(MOD((Ipotesi!$C$91),30)/30))+IF(30-(INT((Ipotesi!$C$91)/30))-1&lt;1,0,INDEX(Motore_Operativo!$BQ$305:$BQ$364,MAX(1,30-(INT((Ipotesi!$C$91)/30))-1)))*(MOD((Ipotesi!$C$91),30)/30))+(IF(30-(INT((Ipotesi!$C$91)/30))&lt;1,0,INDEX(Motore_Operativo!$BR$305:$BR$364,MAX(1,30-(INT((Ipotesi!$C$91)/30)))))*(1-(MOD((Ipotesi!$C$91),30)/30))+IF(30-(INT((Ipotesi!$C$91)/30))-1&lt;1,0,INDEX(Motore_Operativo!$BR$305:$BR$364,MAX(1,30-(INT((Ipotesi!$C$91)/30))-1)))*(MOD((Ipotesi!$C$91),30)/30))))*Piano_SS!$D$9,0))</f>
        <v>40000</v>
      </c>
      <c r="BZ334" s="15" t="n">
        <f aca="false">MIN(Piano_SS!$C$10,(BZ333)+IF(AND(Motore_Operativo!C334&gt;=EDATE(Parametri_v3!$C$24,Ipotesi!H14*12),Motore_Operativo!C334&lt;EDATE(Parametri_v3!$C$24,Parametri_v3!$C$25+Ipotesi!H14*12)),MAX(0,(IF(30-(INT((Ipotesi!$C$91)/30))&lt;1,0,INDEX(Motore_Operativo!$BO$305:$BO$364,MAX(1,30-(INT((Ipotesi!$C$91)/30)))))*(1-(MOD((Ipotesi!$C$91),30)/30))+IF(30-(INT((Ipotesi!$C$91)/30))-1&lt;1,0,INDEX(Motore_Operativo!$BO$305:$BO$364,MAX(1,30-(INT((Ipotesi!$C$91)/30))-1)))*(MOD((Ipotesi!$C$91),30)/30)))*Piano_SS!$D$10,0))</f>
        <v>30000</v>
      </c>
      <c r="CA334" s="15" t="n">
        <f aca="false">SUM(BV334:BZ334)</f>
        <v>461058.923007084</v>
      </c>
      <c r="CB334" s="15" t="n">
        <f aca="false">BV334*(1-Piano_SS!$E$6)+BW334*(1-Piano_SS!$E$7)+BX334*(1-Piano_SS!$E$8)+BY334*(1-Piano_SS!$E$9)+BZ334*(1-Piano_SS!$E$10)</f>
        <v>431058.923007084</v>
      </c>
      <c r="CC334" s="15" t="n">
        <f aca="false">(CC333)+BA334</f>
        <v>0</v>
      </c>
      <c r="CD334" s="15" t="n">
        <f aca="false">IF(CA334=0,0,CC334*CB334/CA334*Ipotesi!$C$103*Parametri_v3!$C$64)</f>
        <v>0</v>
      </c>
      <c r="CE334" s="18" t="n">
        <f aca="false">IF(BA334&gt;0,Motore_Operativo!C334,(CE333))</f>
        <v>0</v>
      </c>
      <c r="CF334" s="18" t="n">
        <f aca="false">IF(AND(CC334&gt;0,OR(CC334&gt;=CG334-0.01,Motore_Operativo!C334&gt;=EDATE(MAX(Finanziamenti!$D$15:$D$17),Ipotesi!H14*12))),CE334,0)</f>
        <v>0</v>
      </c>
      <c r="CG334" s="15" t="n">
        <f aca="false">IF(AND(6&lt;&gt;6,6&lt;&gt;9,Finanziamenti!$F$11=1,OR(Parametri_v3!$C$6=0,Finanziamenti!$E$11=1)),MIN(Finanziamenti!$C$11,Piano_SS!$C$12*Ipotesi!$C$102),0)</f>
        <v>0</v>
      </c>
      <c r="CH334" s="15" t="n">
        <f aca="false">IF(AND(AND(6&lt;&gt;8,6&lt;&gt;9,Finanziamenti!$F$10=1,OR(Parametri_v3!$C$6=0,Finanziamenti!$E$10=1)),Motore_Operativo!C334&gt;=Finanziamenti!$D$10,Motore_Operativo!C334&lt;Parametri_v3!$C$63),Finanziamenti!$C$10,0)</f>
        <v>150000</v>
      </c>
    </row>
    <row r="335" customFormat="false" ht="18" hidden="false" customHeight="true" outlineLevel="0" collapsed="false">
      <c r="A335" s="68" t="n">
        <f aca="false">6</f>
        <v>6</v>
      </c>
      <c r="B335" s="68" t="n">
        <f aca="false">31</f>
        <v>31</v>
      </c>
      <c r="C335" s="18" t="n">
        <f aca="false">Motore_Operativo!C335</f>
        <v>47300</v>
      </c>
      <c r="D335" s="68" t="n">
        <f aca="false">Motore_Operativo!D335</f>
        <v>2029</v>
      </c>
      <c r="E335" s="68" t="n">
        <f aca="false">Motore_Operativo!E335</f>
        <v>7</v>
      </c>
      <c r="F335" s="15" t="n">
        <f aca="false">Motore_Operativo!AQ335+Motore_Operativo!BF335</f>
        <v>67959.2554282038</v>
      </c>
      <c r="G335" s="15" t="n">
        <f aca="false">Motore_Operativo!BH335</f>
        <v>6050</v>
      </c>
      <c r="H335" s="15" t="n">
        <f aca="false">Motore_Operativo!BI335</f>
        <v>74009.2554282038</v>
      </c>
      <c r="I335" s="15" t="n">
        <f aca="false">Motore_Operativo!CA335</f>
        <v>116848.629093282</v>
      </c>
      <c r="J335" s="15" t="n">
        <f aca="false">Motore_Operativo!CC335</f>
        <v>-42839.3736650781</v>
      </c>
      <c r="K335" s="15" t="n">
        <f aca="false">Motore_Operativo!CE335</f>
        <v>2500</v>
      </c>
      <c r="L335" s="15" t="n">
        <f aca="false">SUM(INDEX($K$305:$K$364,MAX(1,31-Parametri_v3!$C$59+1)):K335)/Parametri_v3!$C$59</f>
        <v>1736.11111111111</v>
      </c>
      <c r="M335" s="15" t="n">
        <f aca="false">J335-L335</f>
        <v>-44575.4847761892</v>
      </c>
      <c r="N335" s="15" t="n">
        <f aca="false">CD335-(CD334)</f>
        <v>0</v>
      </c>
      <c r="O335" s="15" t="n">
        <f aca="false">(BG334)*Ipotesi!$C$110/12+CH335*Parametri_v3!$C$39/12</f>
        <v>0</v>
      </c>
      <c r="P335" s="15" t="n">
        <f aca="false">M335+N335-O335</f>
        <v>-44575.4847761892</v>
      </c>
      <c r="Q335" s="15" t="n">
        <f aca="false">SUM(P329:P335)+Parametri_v3!$C$54*7/12</f>
        <v>-355505.624537447</v>
      </c>
      <c r="R335" s="15" t="n">
        <f aca="false">Z328</f>
        <v>569369.508093871</v>
      </c>
      <c r="S335" s="15" t="n">
        <f aca="false">AA328</f>
        <v>0</v>
      </c>
      <c r="T335" s="15" t="n">
        <f aca="false">MIN(R335,MAX(0,Q335))</f>
        <v>0</v>
      </c>
      <c r="U335" s="15" t="n">
        <f aca="false">MIN(S335,MAX(0,Q335-T335)*Parametri_v3!$C$42)</f>
        <v>0</v>
      </c>
      <c r="V335" s="15" t="n">
        <f aca="false">MAX(0,Q335-T335-U335)*Ipotesi!$C$92</f>
        <v>0</v>
      </c>
      <c r="W335" s="15" t="n">
        <f aca="false">MAX(0,SUM(M329:M335)+Parametri_v3!$C$55*7/12)*Ipotesi!$C$93</f>
        <v>0</v>
      </c>
      <c r="X335" s="15" t="n">
        <f aca="false">V335+W335-(V334+W334)</f>
        <v>0</v>
      </c>
      <c r="Y335" s="15" t="n">
        <f aca="false">P335-X335</f>
        <v>-44575.4847761892</v>
      </c>
      <c r="Z335" s="15" t="n">
        <f aca="false">R335-T335+IF(AND(Parametri_v3!$C$40=1,D335-YEAR(Parametri_v3!$C$50)&lt;Parametri_v3!$C$41),MAX(0,-Q335),0)</f>
        <v>924875.132631319</v>
      </c>
      <c r="AA335" s="15" t="n">
        <f aca="false">S335-U335+IF(AND(Parametri_v3!$C$40=1,D335-YEAR(Parametri_v3!$C$50)&lt;Parametri_v3!$C$41),0,MAX(0,-Q335))</f>
        <v>0</v>
      </c>
      <c r="AB335" s="15" t="n">
        <f aca="false">F335*(1+Parametri_v3!$C$26)</f>
        <v>82910.2916224086</v>
      </c>
      <c r="AC335" s="15" t="n">
        <f aca="false">(IF(31-(INT((Motore_Operativo!L335)/30))&lt;1,0,INDEX(Motore_Startup!$AB$305:$AB$364,MAX(1,31-(INT((Motore_Operativo!L335)/30)))))*(1-(MOD((Motore_Operativo!L335),30)/30))+IF(31-(INT((Motore_Operativo!L335)/30))-1&lt;1,0,INDEX(Motore_Startup!$AB$305:$AB$364,MAX(1,31-(INT((Motore_Operativo!L335)/30))-1)))*(MOD((Motore_Operativo!L335),30)/30))</f>
        <v>73133.7945856856</v>
      </c>
      <c r="AD335" s="15" t="n">
        <f aca="false">(AD334)+AB335-AC335</f>
        <v>239011.602471335</v>
      </c>
      <c r="AE335" s="15" t="n">
        <f aca="false">Motore_Operativo!BH335*(1+Parametri_v3!$C$26)</f>
        <v>7381</v>
      </c>
      <c r="AF335" s="15" t="n">
        <f aca="false">(IF(31-(INT((Parametri_v3!$C$29)/30))&lt;1,0,INDEX(Motore_Operativo!$BH$305:$BH$364,MAX(1,31-(INT((Parametri_v3!$C$29)/30)))))*(1-(MOD((Parametri_v3!$C$29),30)/30))+IF(31-(INT((Parametri_v3!$C$29)/30))-1&lt;1,0,INDEX(Motore_Operativo!$BH$305:$BH$364,MAX(1,31-(INT((Parametri_v3!$C$29)/30))-1)))*(MOD((Parametri_v3!$C$29),30)/30))*(1+Parametri_v3!$C$26)</f>
        <v>7381</v>
      </c>
      <c r="AG335" s="15" t="n">
        <f aca="false">(AG334)+AE335-AF335</f>
        <v>7381</v>
      </c>
      <c r="AH335" s="15" t="n">
        <f aca="false">(Motore_Operativo!CJ335)*(1+Parametri_v3!$C$27*Parametri_v3!$C$26)</f>
        <v>50536.4804003922</v>
      </c>
      <c r="AI335" s="15" t="n">
        <f aca="false">(IF(31-(INT((Ipotesi!$C$91)/30))&lt;1,0,INDEX(Motore_Startup!$AH$305:$AH$364,MAX(1,31-(INT((Ipotesi!$C$91)/30)))))*(1-(MOD((Ipotesi!$C$91),30)/30))+IF(31-(INT((Ipotesi!$C$91)/30))-1&lt;1,0,INDEX(Motore_Startup!$AH$305:$AH$364,MAX(1,31-(INT((Ipotesi!$C$91)/30))-1)))*(MOD((Ipotesi!$C$91),30)/30))</f>
        <v>49652.5920683198</v>
      </c>
      <c r="AJ335" s="15" t="n">
        <f aca="false">(AJ334)+AH335-AI335</f>
        <v>100632.956766669</v>
      </c>
      <c r="AK335" s="15" t="n">
        <f aca="false">(F335+ Motore_Operativo!BH335-(Motore_Operativo!CJ335)*Parametri_v3!$C$27-Motore_Operativo!CE335)*Parametri_v3!$C$26</f>
        <v>7770.51822042779</v>
      </c>
      <c r="AL335" s="15" t="n">
        <f aca="false">MAX(0,(AM334))</f>
        <v>7257.33022011338</v>
      </c>
      <c r="AM335" s="15" t="n">
        <f aca="false">(AM334)+AK335-AL335</f>
        <v>7770.51822042779</v>
      </c>
      <c r="AN335" s="15" t="n">
        <f aca="false">SUM(X317:X328)</f>
        <v>0</v>
      </c>
      <c r="AO335" s="15" t="n">
        <f aca="false">SUM(AP317:AP328)</f>
        <v>0</v>
      </c>
      <c r="AP335" s="15" t="n">
        <f aca="false">MAX(0,AN335)*IF(7=Parametri_v3!$C$43,Parametri_v3!$C$45,IF(7=Parametri_v3!$C$44,1-Parametri_v3!$C$45,0))</f>
        <v>0</v>
      </c>
      <c r="AQ335" s="15" t="n">
        <f aca="false">MAX(0,AP335+IF(7=Parametri_v3!$C$43,MAX(0,AN335-AO335),0)-MAX(0,-(AR334)))</f>
        <v>0</v>
      </c>
      <c r="AR335" s="15" t="n">
        <f aca="false">(AR334)+X335-AQ335</f>
        <v>0</v>
      </c>
      <c r="AS335" s="15" t="n">
        <f aca="false">Motore_Operativo!AB335-AT335+AU335</f>
        <v>70559.9833333333</v>
      </c>
      <c r="AT335" s="15" t="n">
        <f aca="false">Motore_Operativo!CH335</f>
        <v>3713.68333333333</v>
      </c>
      <c r="AU335" s="15" t="n">
        <f aca="false">MIN(MAX(0,(AV334)+AT335),Parametri_v3!$C$60/12)</f>
        <v>0</v>
      </c>
      <c r="AV335" s="15" t="n">
        <f aca="false">(AV334)+AT335-AU335</f>
        <v>60603.2833333334</v>
      </c>
      <c r="AW335" s="15" t="n">
        <f aca="false">IF(AND(Motore_Operativo!C335=Finanziamenti!$D$6,Finanziamenti!$F$6=1),Finanziamenti!$C$6,0)</f>
        <v>0</v>
      </c>
      <c r="AX335" s="15" t="n">
        <f aca="false">IF(AND(6&lt;&gt;7,6&lt;&gt;9,Finanziamenti!$F$8=1,OR(Parametri_v3!$C$6=0,Finanziamenti!$E$8=1),Motore_Operativo!C335=EDATE(Finanziamenti!$D$8,Ipotesi!H15*12)),Finanziamenti!$C$8*1,0)+IF(AND(6&lt;&gt;7,6&lt;&gt;9,Finanziamenti!$F$9=1,OR(Parametri_v3!$C$6=0,Finanziamenti!$E$9=1),Motore_Operativo!C335=EDATE(Finanziamenti!$D$9,Ipotesi!H15*12)),Finanziamenti!$C$9*Ipotesi!H16,0)</f>
        <v>0</v>
      </c>
      <c r="AY335" s="15" t="n">
        <f aca="false">0</f>
        <v>0</v>
      </c>
      <c r="AZ335" s="15" t="n">
        <f aca="false">Motore_Advisory!AY335*(1-Ipotesi!$C$95)*Ipotesi!$C$96</f>
        <v>0</v>
      </c>
      <c r="BA335" s="15" t="n">
        <f aca="false">MAX(0,MIN(CG335*MIN(1,IF(Motore_Operativo!C335&gt;=EDATE(Finanziamenti!$D$15,Ipotesi!H14*12),Finanziamenti!$C$15,0)+IF(Motore_Operativo!C335&gt;=EDATE(Finanziamenti!$D$16,Ipotesi!H14*12),Finanziamenti!$C$16,0)+IF(Motore_Operativo!C335&gt;=EDATE(Finanziamenti!$D$17,Ipotesi!H14*12),Finanziamenti!$C$17,0)),CA335*Ipotesi!$C$102)-(CC334))</f>
        <v>0</v>
      </c>
      <c r="BB335" s="15" t="n">
        <f aca="false">IF(AND(CF335&gt;0,Motore_Operativo!C335&gt;=IF(CF335=0,0,EDATE(CF335,Parametri_v3!$C$37)),MOD(((D335-YEAR(IF(CF335=0,0,EDATE(CF335,Parametri_v3!$C$37))))*12+E335-MONTH(IF(CF335=0,0,EDATE(CF335,Parametri_v3!$C$37)))),Parametri_v3!$C$38)=0),MIN(MAX(0,(BC334)+BA335-N335),(CC335-CD335)/(Ipotesi!$C$108*12/Parametri_v3!$C$38)),0)</f>
        <v>0</v>
      </c>
      <c r="BC335" s="15" t="n">
        <f aca="false">(BC334)+BA335-N335-BB335</f>
        <v>0</v>
      </c>
      <c r="BD335" s="15" t="n">
        <f aca="false">(BH334)+AC335+AF335-AI335-AS335-K335*(1+Parametri_v3!$C$26)-AL335-AQ335-O335+AW335+AX335+AZ335+BA335-BB335</f>
        <v>290725.134328888</v>
      </c>
      <c r="BE335" s="15" t="n">
        <f aca="false">MAX(0,MIN(MAX(0,CH335-(BG334)),Parametri_v3!$C$30-BD335))</f>
        <v>0</v>
      </c>
      <c r="BF335" s="15" t="n">
        <f aca="false">IF(Motore_Operativo!C335&gt;=Parametri_v3!$C$63,(BG334),MIN((BG334),MAX(0,BD335-Parametri_v3!$C$30)))</f>
        <v>0</v>
      </c>
      <c r="BG335" s="15" t="n">
        <f aca="false">(BG334)+BE335-BF335</f>
        <v>0</v>
      </c>
      <c r="BH335" s="15" t="n">
        <f aca="false">BD335+BE335-BF335-AY335</f>
        <v>290725.134328888</v>
      </c>
      <c r="BI335" s="15" t="n">
        <f aca="false">MAX(0,Parametri_v3!$C$30-BH335)</f>
        <v>0</v>
      </c>
      <c r="BJ335" s="15" t="n">
        <f aca="false">(BJ334)+K335</f>
        <v>62500</v>
      </c>
      <c r="BK335" s="15" t="n">
        <f aca="false">(BK334)+L335</f>
        <v>25486.1111111111</v>
      </c>
      <c r="BL335" s="15" t="n">
        <f aca="false">BJ335-BK335</f>
        <v>37013.8888888889</v>
      </c>
      <c r="BM335" s="15" t="n">
        <f aca="false">(BM334)+Y335</f>
        <v>-924875.132631319</v>
      </c>
      <c r="BN335" s="15" t="n">
        <f aca="false">(BN334)+AW335+AX335+AZ335</f>
        <v>1330000</v>
      </c>
      <c r="BO335" s="15" t="n">
        <f aca="false">(BO334)+AY335</f>
        <v>0</v>
      </c>
      <c r="BP335" s="15" t="n">
        <f aca="false">0</f>
        <v>0</v>
      </c>
      <c r="BQ335" s="15" t="n">
        <f aca="false">BN335+BM335-BO335</f>
        <v>405124.867368681</v>
      </c>
      <c r="BR335" s="15" t="n">
        <f aca="false">BH335+AD335+BL335+MAX(0,-AM335)+MAX(0,-AR335)+AG335</f>
        <v>574131.625689112</v>
      </c>
      <c r="BS335" s="15" t="n">
        <f aca="false">AJ335+AV335+MAX(0,AM335)+MAX(0,AR335)+BC335+BG335+BQ335</f>
        <v>574131.625689111</v>
      </c>
      <c r="BT335" s="15" t="n">
        <f aca="false">BR335-BS335</f>
        <v>0</v>
      </c>
      <c r="BU335" s="15" t="n">
        <f aca="false">BH335-(BD335+BE335-BF335-AY335)</f>
        <v>0</v>
      </c>
      <c r="BV335" s="15" t="n">
        <f aca="false">MIN(Piano_SS!$C$6,(BV334)+IF(AND(Motore_Operativo!C335&gt;=EDATE(Parametri_v3!$C$24,Ipotesi!H14*12),Motore_Operativo!C335&lt;EDATE(Parametri_v3!$C$24,Parametri_v3!$C$25+Ipotesi!H14*12)),MAX(0,(Motore_Operativo!Y335+Motore_Operativo!X335*Parametri_v3!$C$14)*(1-Parametri_v3!$C$32))*Piano_SS!$D$6,0))</f>
        <v>300000</v>
      </c>
      <c r="BW335" s="15" t="n">
        <f aca="false">MIN(Piano_SS!$C$7,(BW334)+IF(AND(Motore_Operativo!C335&gt;=EDATE(Parametri_v3!$C$24,Ipotesi!H14*12),Motore_Operativo!C335&lt;EDATE(Parametri_v3!$C$24,Parametri_v3!$C$25+Ipotesi!H14*12)),MAX(0,(IF(31-(INT((Ipotesi!$C$91)/30))&lt;1,0,INDEX(Motore_Operativo!$BN$305:$BN$364,MAX(1,31-(INT((Ipotesi!$C$91)/30)))))*(1-(MOD((Ipotesi!$C$91),30)/30))+IF(31-(INT((Ipotesi!$C$91)/30))-1&lt;1,0,INDEX(Motore_Operativo!$BN$305:$BN$364,MAX(1,31-(INT((Ipotesi!$C$91)/30))-1)))*(MOD((Ipotesi!$C$91),30)/30)))*Piano_SS!$D$7,0))</f>
        <v>41058.9230070837</v>
      </c>
      <c r="BX335" s="15" t="n">
        <f aca="false">MIN(Piano_SS!$C$8,(BX334)+IF(AND(Motore_Operativo!C335&gt;=EDATE(Parametri_v3!$C$24,Ipotesi!H14*12),Motore_Operativo!C335&lt;EDATE(Parametri_v3!$C$24,Parametri_v3!$C$25+Ipotesi!H14*12)),MAX(0,Motore_Operativo!CE335)*Piano_SS!$D$8,0))</f>
        <v>50000</v>
      </c>
      <c r="BY335" s="15" t="n">
        <f aca="false">MIN(Piano_SS!$C$9,(BY334)+IF(AND(Motore_Operativo!C335&gt;=EDATE(Parametri_v3!$C$24,Ipotesi!H14*12),Motore_Operativo!C335&lt;EDATE(Parametri_v3!$C$24,Parametri_v3!$C$25+Ipotesi!H14*12)),MAX(0,((IF(31-(INT((Ipotesi!$C$91)/30))&lt;1,0,INDEX(Motore_Operativo!$BQ$305:$BQ$364,MAX(1,31-(INT((Ipotesi!$C$91)/30)))))*(1-(MOD((Ipotesi!$C$91),30)/30))+IF(31-(INT((Ipotesi!$C$91)/30))-1&lt;1,0,INDEX(Motore_Operativo!$BQ$305:$BQ$364,MAX(1,31-(INT((Ipotesi!$C$91)/30))-1)))*(MOD((Ipotesi!$C$91),30)/30))+(IF(31-(INT((Ipotesi!$C$91)/30))&lt;1,0,INDEX(Motore_Operativo!$BR$305:$BR$364,MAX(1,31-(INT((Ipotesi!$C$91)/30)))))*(1-(MOD((Ipotesi!$C$91),30)/30))+IF(31-(INT((Ipotesi!$C$91)/30))-1&lt;1,0,INDEX(Motore_Operativo!$BR$305:$BR$364,MAX(1,31-(INT((Ipotesi!$C$91)/30))-1)))*(MOD((Ipotesi!$C$91),30)/30))))*Piano_SS!$D$9,0))</f>
        <v>40000</v>
      </c>
      <c r="BZ335" s="15" t="n">
        <f aca="false">MIN(Piano_SS!$C$10,(BZ334)+IF(AND(Motore_Operativo!C335&gt;=EDATE(Parametri_v3!$C$24,Ipotesi!H14*12),Motore_Operativo!C335&lt;EDATE(Parametri_v3!$C$24,Parametri_v3!$C$25+Ipotesi!H14*12)),MAX(0,(IF(31-(INT((Ipotesi!$C$91)/30))&lt;1,0,INDEX(Motore_Operativo!$BO$305:$BO$364,MAX(1,31-(INT((Ipotesi!$C$91)/30)))))*(1-(MOD((Ipotesi!$C$91),30)/30))+IF(31-(INT((Ipotesi!$C$91)/30))-1&lt;1,0,INDEX(Motore_Operativo!$BO$305:$BO$364,MAX(1,31-(INT((Ipotesi!$C$91)/30))-1)))*(MOD((Ipotesi!$C$91),30)/30)))*Piano_SS!$D$10,0))</f>
        <v>30000</v>
      </c>
      <c r="CA335" s="15" t="n">
        <f aca="false">SUM(BV335:BZ335)</f>
        <v>461058.923007084</v>
      </c>
      <c r="CB335" s="15" t="n">
        <f aca="false">BV335*(1-Piano_SS!$E$6)+BW335*(1-Piano_SS!$E$7)+BX335*(1-Piano_SS!$E$8)+BY335*(1-Piano_SS!$E$9)+BZ335*(1-Piano_SS!$E$10)</f>
        <v>431058.923007084</v>
      </c>
      <c r="CC335" s="15" t="n">
        <f aca="false">(CC334)+BA335</f>
        <v>0</v>
      </c>
      <c r="CD335" s="15" t="n">
        <f aca="false">IF(CA335=0,0,CC335*CB335/CA335*Ipotesi!$C$103*Parametri_v3!$C$64)</f>
        <v>0</v>
      </c>
      <c r="CE335" s="18" t="n">
        <f aca="false">IF(BA335&gt;0,Motore_Operativo!C335,(CE334))</f>
        <v>0</v>
      </c>
      <c r="CF335" s="18" t="n">
        <f aca="false">IF(AND(CC335&gt;0,OR(CC335&gt;=CG335-0.01,Motore_Operativo!C335&gt;=EDATE(MAX(Finanziamenti!$D$15:$D$17),Ipotesi!H14*12))),CE335,0)</f>
        <v>0</v>
      </c>
      <c r="CG335" s="15" t="n">
        <f aca="false">IF(AND(6&lt;&gt;6,6&lt;&gt;9,Finanziamenti!$F$11=1,OR(Parametri_v3!$C$6=0,Finanziamenti!$E$11=1)),MIN(Finanziamenti!$C$11,Piano_SS!$C$12*Ipotesi!$C$102),0)</f>
        <v>0</v>
      </c>
      <c r="CH335" s="15" t="n">
        <f aca="false">IF(AND(AND(6&lt;&gt;8,6&lt;&gt;9,Finanziamenti!$F$10=1,OR(Parametri_v3!$C$6=0,Finanziamenti!$E$10=1)),Motore_Operativo!C335&gt;=Finanziamenti!$D$10,Motore_Operativo!C335&lt;Parametri_v3!$C$63),Finanziamenti!$C$10,0)</f>
        <v>150000</v>
      </c>
    </row>
    <row r="336" customFormat="false" ht="18" hidden="false" customHeight="true" outlineLevel="0" collapsed="false">
      <c r="A336" s="68" t="n">
        <f aca="false">6</f>
        <v>6</v>
      </c>
      <c r="B336" s="68" t="n">
        <f aca="false">32</f>
        <v>32</v>
      </c>
      <c r="C336" s="18" t="n">
        <f aca="false">Motore_Operativo!C336</f>
        <v>47331</v>
      </c>
      <c r="D336" s="68" t="n">
        <f aca="false">Motore_Operativo!D336</f>
        <v>2029</v>
      </c>
      <c r="E336" s="68" t="n">
        <f aca="false">Motore_Operativo!E336</f>
        <v>8</v>
      </c>
      <c r="F336" s="15" t="n">
        <f aca="false">Motore_Operativo!AQ336+Motore_Operativo!BF336</f>
        <v>70583.8654295919</v>
      </c>
      <c r="G336" s="15" t="n">
        <f aca="false">Motore_Operativo!BH336</f>
        <v>6050</v>
      </c>
      <c r="H336" s="15" t="n">
        <f aca="false">Motore_Operativo!BI336</f>
        <v>76633.8654295919</v>
      </c>
      <c r="I336" s="15" t="n">
        <f aca="false">Motore_Operativo!CA336</f>
        <v>117216.074493476</v>
      </c>
      <c r="J336" s="15" t="n">
        <f aca="false">Motore_Operativo!CC336</f>
        <v>-40582.2090638843</v>
      </c>
      <c r="K336" s="15" t="n">
        <f aca="false">Motore_Operativo!CE336</f>
        <v>2500</v>
      </c>
      <c r="L336" s="15" t="n">
        <f aca="false">SUM(INDEX($K$305:$K$364,MAX(1,32-Parametri_v3!$C$59+1)):K336)/Parametri_v3!$C$59</f>
        <v>1805.55555555556</v>
      </c>
      <c r="M336" s="15" t="n">
        <f aca="false">J336-L336</f>
        <v>-42387.7646194398</v>
      </c>
      <c r="N336" s="15" t="n">
        <f aca="false">CD336-(CD335)</f>
        <v>0</v>
      </c>
      <c r="O336" s="15" t="n">
        <f aca="false">(BG335)*Ipotesi!$C$110/12+CH336*Parametri_v3!$C$39/12</f>
        <v>0</v>
      </c>
      <c r="P336" s="15" t="n">
        <f aca="false">M336+N336-O336</f>
        <v>-42387.7646194398</v>
      </c>
      <c r="Q336" s="15" t="n">
        <f aca="false">SUM(P329:P336)+Parametri_v3!$C$54*8/12</f>
        <v>-397893.389156887</v>
      </c>
      <c r="R336" s="15" t="n">
        <f aca="false">Z328</f>
        <v>569369.508093871</v>
      </c>
      <c r="S336" s="15" t="n">
        <f aca="false">AA328</f>
        <v>0</v>
      </c>
      <c r="T336" s="15" t="n">
        <f aca="false">MIN(R336,MAX(0,Q336))</f>
        <v>0</v>
      </c>
      <c r="U336" s="15" t="n">
        <f aca="false">MIN(S336,MAX(0,Q336-T336)*Parametri_v3!$C$42)</f>
        <v>0</v>
      </c>
      <c r="V336" s="15" t="n">
        <f aca="false">MAX(0,Q336-T336-U336)*Ipotesi!$C$92</f>
        <v>0</v>
      </c>
      <c r="W336" s="15" t="n">
        <f aca="false">MAX(0,SUM(M329:M336)+Parametri_v3!$C$55*8/12)*Ipotesi!$C$93</f>
        <v>0</v>
      </c>
      <c r="X336" s="15" t="n">
        <f aca="false">V336+W336-(V335+W335)</f>
        <v>0</v>
      </c>
      <c r="Y336" s="15" t="n">
        <f aca="false">P336-X336</f>
        <v>-42387.7646194398</v>
      </c>
      <c r="Z336" s="15" t="n">
        <f aca="false">R336-T336+IF(AND(Parametri_v3!$C$40=1,D336-YEAR(Parametri_v3!$C$50)&lt;Parametri_v3!$C$41),MAX(0,-Q336),0)</f>
        <v>967262.897250759</v>
      </c>
      <c r="AA336" s="15" t="n">
        <f aca="false">S336-U336+IF(AND(Parametri_v3!$C$40=1,D336-YEAR(Parametri_v3!$C$50)&lt;Parametri_v3!$C$41),0,MAX(0,-Q336))</f>
        <v>0</v>
      </c>
      <c r="AB336" s="15" t="n">
        <f aca="false">F336*(1+Parametri_v3!$C$26)</f>
        <v>86112.3158241022</v>
      </c>
      <c r="AC336" s="15" t="n">
        <f aca="false">(IF(32-(INT((Motore_Operativo!L336)/30))&lt;1,0,INDEX(Motore_Startup!$AB$305:$AB$364,MAX(1,32-(INT((Motore_Operativo!L336)/30)))))*(1-(MOD((Motore_Operativo!L336),30)/30))+IF(32-(INT((Motore_Operativo!L336)/30))-1&lt;1,0,INDEX(Motore_Startup!$AB$305:$AB$364,MAX(1,32-(INT((Motore_Operativo!L336)/30))-1)))*(MOD((Motore_Operativo!L336),30)/30))</f>
        <v>76421.281120974</v>
      </c>
      <c r="AD336" s="15" t="n">
        <f aca="false">(AD335)+AB336-AC336</f>
        <v>248702.637174463</v>
      </c>
      <c r="AE336" s="15" t="n">
        <f aca="false">Motore_Operativo!BH336*(1+Parametri_v3!$C$26)</f>
        <v>7381</v>
      </c>
      <c r="AF336" s="15" t="n">
        <f aca="false">(IF(32-(INT((Parametri_v3!$C$29)/30))&lt;1,0,INDEX(Motore_Operativo!$BH$305:$BH$364,MAX(1,32-(INT((Parametri_v3!$C$29)/30)))))*(1-(MOD((Parametri_v3!$C$29),30)/30))+IF(32-(INT((Parametri_v3!$C$29)/30))-1&lt;1,0,INDEX(Motore_Operativo!$BH$305:$BH$364,MAX(1,32-(INT((Parametri_v3!$C$29)/30))-1)))*(MOD((Parametri_v3!$C$29),30)/30))*(1+Parametri_v3!$C$26)</f>
        <v>7381</v>
      </c>
      <c r="AG336" s="15" t="n">
        <f aca="false">(AG335)+AE336-AF336</f>
        <v>7381</v>
      </c>
      <c r="AH336" s="15" t="n">
        <f aca="false">(Motore_Operativo!CJ336)*(1+Parametri_v3!$C$27*Parametri_v3!$C$26)</f>
        <v>50972.6380904229</v>
      </c>
      <c r="AI336" s="15" t="n">
        <f aca="false">(IF(32-(INT((Ipotesi!$C$91)/30))&lt;1,0,INDEX(Motore_Startup!$AH$305:$AH$364,MAX(1,32-(INT((Ipotesi!$C$91)/30)))))*(1-(MOD((Ipotesi!$C$91),30)/30))+IF(32-(INT((Ipotesi!$C$91)/30))-1&lt;1,0,INDEX(Motore_Startup!$AH$305:$AH$364,MAX(1,32-(INT((Ipotesi!$C$91)/30))-1)))*(MOD((Ipotesi!$C$91),30)/30))</f>
        <v>50096.4763662768</v>
      </c>
      <c r="AJ336" s="15" t="n">
        <f aca="false">(AJ335)+AH336-AI336</f>
        <v>101509.118490815</v>
      </c>
      <c r="AK336" s="15" t="n">
        <f aca="false">(F336+ Motore_Operativo!BH336-(Motore_Operativo!CJ336)*Parametri_v3!$C$27-Motore_Operativo!CE336)*Parametri_v3!$C$26</f>
        <v>8279.22013089684</v>
      </c>
      <c r="AL336" s="15" t="n">
        <f aca="false">MAX(0,(AM335))</f>
        <v>7770.51822042779</v>
      </c>
      <c r="AM336" s="15" t="n">
        <f aca="false">(AM335)+AK336-AL336</f>
        <v>8279.22013089684</v>
      </c>
      <c r="AN336" s="15" t="n">
        <f aca="false">SUM(X317:X328)</f>
        <v>0</v>
      </c>
      <c r="AO336" s="15" t="n">
        <f aca="false">SUM(AP317:AP328)</f>
        <v>0</v>
      </c>
      <c r="AP336" s="15" t="n">
        <f aca="false">MAX(0,AN336)*IF(8=Parametri_v3!$C$43,Parametri_v3!$C$45,IF(8=Parametri_v3!$C$44,1-Parametri_v3!$C$45,0))</f>
        <v>0</v>
      </c>
      <c r="AQ336" s="15" t="n">
        <f aca="false">MAX(0,AP336+IF(8=Parametri_v3!$C$43,MAX(0,AN336-AO336),0)-MAX(0,-(AR335)))</f>
        <v>0</v>
      </c>
      <c r="AR336" s="15" t="n">
        <f aca="false">(AR335)+X336-AQ336</f>
        <v>0</v>
      </c>
      <c r="AS336" s="15" t="n">
        <f aca="false">Motore_Operativo!AB336-AT336+AU336</f>
        <v>70559.9833333333</v>
      </c>
      <c r="AT336" s="15" t="n">
        <f aca="false">Motore_Operativo!CH336</f>
        <v>3713.68333333333</v>
      </c>
      <c r="AU336" s="15" t="n">
        <f aca="false">MIN(MAX(0,(AV335)+AT336),Parametri_v3!$C$60/12)</f>
        <v>0</v>
      </c>
      <c r="AV336" s="15" t="n">
        <f aca="false">(AV335)+AT336-AU336</f>
        <v>64316.9666666667</v>
      </c>
      <c r="AW336" s="15" t="n">
        <f aca="false">IF(AND(Motore_Operativo!C336=Finanziamenti!$D$6,Finanziamenti!$F$6=1),Finanziamenti!$C$6,0)</f>
        <v>0</v>
      </c>
      <c r="AX336" s="15" t="n">
        <f aca="false">IF(AND(6&lt;&gt;7,6&lt;&gt;9,Finanziamenti!$F$8=1,OR(Parametri_v3!$C$6=0,Finanziamenti!$E$8=1),Motore_Operativo!C336=EDATE(Finanziamenti!$D$8,Ipotesi!H15*12)),Finanziamenti!$C$8*1,0)+IF(AND(6&lt;&gt;7,6&lt;&gt;9,Finanziamenti!$F$9=1,OR(Parametri_v3!$C$6=0,Finanziamenti!$E$9=1),Motore_Operativo!C336=EDATE(Finanziamenti!$D$9,Ipotesi!H15*12)),Finanziamenti!$C$9*Ipotesi!H16,0)</f>
        <v>0</v>
      </c>
      <c r="AY336" s="15" t="n">
        <f aca="false">0</f>
        <v>0</v>
      </c>
      <c r="AZ336" s="15" t="n">
        <f aca="false">Motore_Advisory!AY336*(1-Ipotesi!$C$95)*Ipotesi!$C$96</f>
        <v>0</v>
      </c>
      <c r="BA336" s="15" t="n">
        <f aca="false">MAX(0,MIN(CG336*MIN(1,IF(Motore_Operativo!C336&gt;=EDATE(Finanziamenti!$D$15,Ipotesi!H14*12),Finanziamenti!$C$15,0)+IF(Motore_Operativo!C336&gt;=EDATE(Finanziamenti!$D$16,Ipotesi!H14*12),Finanziamenti!$C$16,0)+IF(Motore_Operativo!C336&gt;=EDATE(Finanziamenti!$D$17,Ipotesi!H14*12),Finanziamenti!$C$17,0)),CA336*Ipotesi!$C$102)-(CC335))</f>
        <v>0</v>
      </c>
      <c r="BB336" s="15" t="n">
        <f aca="false">IF(AND(CF336&gt;0,Motore_Operativo!C336&gt;=IF(CF336=0,0,EDATE(CF336,Parametri_v3!$C$37)),MOD(((D336-YEAR(IF(CF336=0,0,EDATE(CF336,Parametri_v3!$C$37))))*12+E336-MONTH(IF(CF336=0,0,EDATE(CF336,Parametri_v3!$C$37)))),Parametri_v3!$C$38)=0),MIN(MAX(0,(BC335)+BA336-N336),(CC336-CD336)/(Ipotesi!$C$108*12/Parametri_v3!$C$38)),0)</f>
        <v>0</v>
      </c>
      <c r="BC336" s="15" t="n">
        <f aca="false">(BC335)+BA336-N336-BB336</f>
        <v>0</v>
      </c>
      <c r="BD336" s="15" t="n">
        <f aca="false">(BH335)+AC336+AF336-AI336-AS336-K336*(1+Parametri_v3!$C$26)-AL336-AQ336-O336+AW336+AX336+AZ336+BA336-BB336</f>
        <v>243050.437529824</v>
      </c>
      <c r="BE336" s="15" t="n">
        <f aca="false">MAX(0,MIN(MAX(0,CH336-(BG335)),Parametri_v3!$C$30-BD336))</f>
        <v>0</v>
      </c>
      <c r="BF336" s="15" t="n">
        <f aca="false">IF(Motore_Operativo!C336&gt;=Parametri_v3!$C$63,(BG335),MIN((BG335),MAX(0,BD336-Parametri_v3!$C$30)))</f>
        <v>0</v>
      </c>
      <c r="BG336" s="15" t="n">
        <f aca="false">(BG335)+BE336-BF336</f>
        <v>0</v>
      </c>
      <c r="BH336" s="15" t="n">
        <f aca="false">BD336+BE336-BF336-AY336</f>
        <v>243050.437529824</v>
      </c>
      <c r="BI336" s="15" t="n">
        <f aca="false">MAX(0,Parametri_v3!$C$30-BH336)</f>
        <v>0</v>
      </c>
      <c r="BJ336" s="15" t="n">
        <f aca="false">(BJ335)+K336</f>
        <v>65000</v>
      </c>
      <c r="BK336" s="15" t="n">
        <f aca="false">(BK335)+L336</f>
        <v>27291.6666666667</v>
      </c>
      <c r="BL336" s="15" t="n">
        <f aca="false">BJ336-BK336</f>
        <v>37708.3333333333</v>
      </c>
      <c r="BM336" s="15" t="n">
        <f aca="false">(BM335)+Y336</f>
        <v>-967262.897250759</v>
      </c>
      <c r="BN336" s="15" t="n">
        <f aca="false">(BN335)+AW336+AX336+AZ336</f>
        <v>1330000</v>
      </c>
      <c r="BO336" s="15" t="n">
        <f aca="false">(BO335)+AY336</f>
        <v>0</v>
      </c>
      <c r="BP336" s="15" t="n">
        <f aca="false">0</f>
        <v>0</v>
      </c>
      <c r="BQ336" s="15" t="n">
        <f aca="false">BN336+BM336-BO336</f>
        <v>362737.102749241</v>
      </c>
      <c r="BR336" s="15" t="n">
        <f aca="false">BH336+AD336+BL336+MAX(0,-AM336)+MAX(0,-AR336)+AG336</f>
        <v>536842.40803762</v>
      </c>
      <c r="BS336" s="15" t="n">
        <f aca="false">AJ336+AV336+MAX(0,AM336)+MAX(0,AR336)+BC336+BG336+BQ336</f>
        <v>536842.40803762</v>
      </c>
      <c r="BT336" s="15" t="n">
        <f aca="false">BR336-BS336</f>
        <v>0</v>
      </c>
      <c r="BU336" s="15" t="n">
        <f aca="false">BH336-(BD336+BE336-BF336-AY336)</f>
        <v>0</v>
      </c>
      <c r="BV336" s="15" t="n">
        <f aca="false">MIN(Piano_SS!$C$6,(BV335)+IF(AND(Motore_Operativo!C336&gt;=EDATE(Parametri_v3!$C$24,Ipotesi!H14*12),Motore_Operativo!C336&lt;EDATE(Parametri_v3!$C$24,Parametri_v3!$C$25+Ipotesi!H14*12)),MAX(0,(Motore_Operativo!Y336+Motore_Operativo!X336*Parametri_v3!$C$14)*(1-Parametri_v3!$C$32))*Piano_SS!$D$6,0))</f>
        <v>300000</v>
      </c>
      <c r="BW336" s="15" t="n">
        <f aca="false">MIN(Piano_SS!$C$7,(BW335)+IF(AND(Motore_Operativo!C336&gt;=EDATE(Parametri_v3!$C$24,Ipotesi!H14*12),Motore_Operativo!C336&lt;EDATE(Parametri_v3!$C$24,Parametri_v3!$C$25+Ipotesi!H14*12)),MAX(0,(IF(32-(INT((Ipotesi!$C$91)/30))&lt;1,0,INDEX(Motore_Operativo!$BN$305:$BN$364,MAX(1,32-(INT((Ipotesi!$C$91)/30)))))*(1-(MOD((Ipotesi!$C$91),30)/30))+IF(32-(INT((Ipotesi!$C$91)/30))-1&lt;1,0,INDEX(Motore_Operativo!$BN$305:$BN$364,MAX(1,32-(INT((Ipotesi!$C$91)/30))-1)))*(MOD((Ipotesi!$C$91),30)/30)))*Piano_SS!$D$7,0))</f>
        <v>41058.9230070837</v>
      </c>
      <c r="BX336" s="15" t="n">
        <f aca="false">MIN(Piano_SS!$C$8,(BX335)+IF(AND(Motore_Operativo!C336&gt;=EDATE(Parametri_v3!$C$24,Ipotesi!H14*12),Motore_Operativo!C336&lt;EDATE(Parametri_v3!$C$24,Parametri_v3!$C$25+Ipotesi!H14*12)),MAX(0,Motore_Operativo!CE336)*Piano_SS!$D$8,0))</f>
        <v>50000</v>
      </c>
      <c r="BY336" s="15" t="n">
        <f aca="false">MIN(Piano_SS!$C$9,(BY335)+IF(AND(Motore_Operativo!C336&gt;=EDATE(Parametri_v3!$C$24,Ipotesi!H14*12),Motore_Operativo!C336&lt;EDATE(Parametri_v3!$C$24,Parametri_v3!$C$25+Ipotesi!H14*12)),MAX(0,((IF(32-(INT((Ipotesi!$C$91)/30))&lt;1,0,INDEX(Motore_Operativo!$BQ$305:$BQ$364,MAX(1,32-(INT((Ipotesi!$C$91)/30)))))*(1-(MOD((Ipotesi!$C$91),30)/30))+IF(32-(INT((Ipotesi!$C$91)/30))-1&lt;1,0,INDEX(Motore_Operativo!$BQ$305:$BQ$364,MAX(1,32-(INT((Ipotesi!$C$91)/30))-1)))*(MOD((Ipotesi!$C$91),30)/30))+(IF(32-(INT((Ipotesi!$C$91)/30))&lt;1,0,INDEX(Motore_Operativo!$BR$305:$BR$364,MAX(1,32-(INT((Ipotesi!$C$91)/30)))))*(1-(MOD((Ipotesi!$C$91),30)/30))+IF(32-(INT((Ipotesi!$C$91)/30))-1&lt;1,0,INDEX(Motore_Operativo!$BR$305:$BR$364,MAX(1,32-(INT((Ipotesi!$C$91)/30))-1)))*(MOD((Ipotesi!$C$91),30)/30))))*Piano_SS!$D$9,0))</f>
        <v>40000</v>
      </c>
      <c r="BZ336" s="15" t="n">
        <f aca="false">MIN(Piano_SS!$C$10,(BZ335)+IF(AND(Motore_Operativo!C336&gt;=EDATE(Parametri_v3!$C$24,Ipotesi!H14*12),Motore_Operativo!C336&lt;EDATE(Parametri_v3!$C$24,Parametri_v3!$C$25+Ipotesi!H14*12)),MAX(0,(IF(32-(INT((Ipotesi!$C$91)/30))&lt;1,0,INDEX(Motore_Operativo!$BO$305:$BO$364,MAX(1,32-(INT((Ipotesi!$C$91)/30)))))*(1-(MOD((Ipotesi!$C$91),30)/30))+IF(32-(INT((Ipotesi!$C$91)/30))-1&lt;1,0,INDEX(Motore_Operativo!$BO$305:$BO$364,MAX(1,32-(INT((Ipotesi!$C$91)/30))-1)))*(MOD((Ipotesi!$C$91),30)/30)))*Piano_SS!$D$10,0))</f>
        <v>30000</v>
      </c>
      <c r="CA336" s="15" t="n">
        <f aca="false">SUM(BV336:BZ336)</f>
        <v>461058.923007084</v>
      </c>
      <c r="CB336" s="15" t="n">
        <f aca="false">BV336*(1-Piano_SS!$E$6)+BW336*(1-Piano_SS!$E$7)+BX336*(1-Piano_SS!$E$8)+BY336*(1-Piano_SS!$E$9)+BZ336*(1-Piano_SS!$E$10)</f>
        <v>431058.923007084</v>
      </c>
      <c r="CC336" s="15" t="n">
        <f aca="false">(CC335)+BA336</f>
        <v>0</v>
      </c>
      <c r="CD336" s="15" t="n">
        <f aca="false">IF(CA336=0,0,CC336*CB336/CA336*Ipotesi!$C$103*Parametri_v3!$C$64)</f>
        <v>0</v>
      </c>
      <c r="CE336" s="18" t="n">
        <f aca="false">IF(BA336&gt;0,Motore_Operativo!C336,(CE335))</f>
        <v>0</v>
      </c>
      <c r="CF336" s="18" t="n">
        <f aca="false">IF(AND(CC336&gt;0,OR(CC336&gt;=CG336-0.01,Motore_Operativo!C336&gt;=EDATE(MAX(Finanziamenti!$D$15:$D$17),Ipotesi!H14*12))),CE336,0)</f>
        <v>0</v>
      </c>
      <c r="CG336" s="15" t="n">
        <f aca="false">IF(AND(6&lt;&gt;6,6&lt;&gt;9,Finanziamenti!$F$11=1,OR(Parametri_v3!$C$6=0,Finanziamenti!$E$11=1)),MIN(Finanziamenti!$C$11,Piano_SS!$C$12*Ipotesi!$C$102),0)</f>
        <v>0</v>
      </c>
      <c r="CH336" s="15" t="n">
        <f aca="false">IF(AND(AND(6&lt;&gt;8,6&lt;&gt;9,Finanziamenti!$F$10=1,OR(Parametri_v3!$C$6=0,Finanziamenti!$E$10=1)),Motore_Operativo!C336&gt;=Finanziamenti!$D$10,Motore_Operativo!C336&lt;Parametri_v3!$C$63),Finanziamenti!$C$10,0)</f>
        <v>150000</v>
      </c>
    </row>
    <row r="337" customFormat="false" ht="18" hidden="false" customHeight="true" outlineLevel="0" collapsed="false">
      <c r="A337" s="68" t="n">
        <f aca="false">6</f>
        <v>6</v>
      </c>
      <c r="B337" s="68" t="n">
        <f aca="false">33</f>
        <v>33</v>
      </c>
      <c r="C337" s="18" t="n">
        <f aca="false">Motore_Operativo!C337</f>
        <v>47362</v>
      </c>
      <c r="D337" s="68" t="n">
        <f aca="false">Motore_Operativo!D337</f>
        <v>2029</v>
      </c>
      <c r="E337" s="68" t="n">
        <f aca="false">Motore_Operativo!E337</f>
        <v>9</v>
      </c>
      <c r="F337" s="15" t="n">
        <f aca="false">Motore_Operativo!AQ337+Motore_Operativo!BF337</f>
        <v>73185.5321114401</v>
      </c>
      <c r="G337" s="15" t="n">
        <f aca="false">Motore_Operativo!BH337</f>
        <v>6050</v>
      </c>
      <c r="H337" s="15" t="n">
        <f aca="false">Motore_Operativo!BI337</f>
        <v>79235.5321114401</v>
      </c>
      <c r="I337" s="15" t="n">
        <f aca="false">Motore_Operativo!CA337</f>
        <v>117580.307828935</v>
      </c>
      <c r="J337" s="15" t="n">
        <f aca="false">Motore_Operativo!CC337</f>
        <v>-38344.7757174948</v>
      </c>
      <c r="K337" s="15" t="n">
        <f aca="false">Motore_Operativo!CE337</f>
        <v>2500</v>
      </c>
      <c r="L337" s="15" t="n">
        <f aca="false">SUM(INDEX($K$305:$K$364,MAX(1,33-Parametri_v3!$C$59+1)):K337)/Parametri_v3!$C$59</f>
        <v>1875</v>
      </c>
      <c r="M337" s="15" t="n">
        <f aca="false">J337-L337</f>
        <v>-40219.7757174948</v>
      </c>
      <c r="N337" s="15" t="n">
        <f aca="false">CD337-(CD336)</f>
        <v>0</v>
      </c>
      <c r="O337" s="15" t="n">
        <f aca="false">(BG336)*Ipotesi!$C$110/12+CH337*Parametri_v3!$C$39/12</f>
        <v>0</v>
      </c>
      <c r="P337" s="15" t="n">
        <f aca="false">M337+N337-O337</f>
        <v>-40219.7757174948</v>
      </c>
      <c r="Q337" s="15" t="n">
        <f aca="false">SUM(P329:P337)+Parametri_v3!$C$54*9/12</f>
        <v>-438113.164874382</v>
      </c>
      <c r="R337" s="15" t="n">
        <f aca="false">Z328</f>
        <v>569369.508093871</v>
      </c>
      <c r="S337" s="15" t="n">
        <f aca="false">AA328</f>
        <v>0</v>
      </c>
      <c r="T337" s="15" t="n">
        <f aca="false">MIN(R337,MAX(0,Q337))</f>
        <v>0</v>
      </c>
      <c r="U337" s="15" t="n">
        <f aca="false">MIN(S337,MAX(0,Q337-T337)*Parametri_v3!$C$42)</f>
        <v>0</v>
      </c>
      <c r="V337" s="15" t="n">
        <f aca="false">MAX(0,Q337-T337-U337)*Ipotesi!$C$92</f>
        <v>0</v>
      </c>
      <c r="W337" s="15" t="n">
        <f aca="false">MAX(0,SUM(M329:M337)+Parametri_v3!$C$55*9/12)*Ipotesi!$C$93</f>
        <v>0</v>
      </c>
      <c r="X337" s="15" t="n">
        <f aca="false">V337+W337-(V336+W336)</f>
        <v>0</v>
      </c>
      <c r="Y337" s="15" t="n">
        <f aca="false">P337-X337</f>
        <v>-40219.7757174948</v>
      </c>
      <c r="Z337" s="15" t="n">
        <f aca="false">R337-T337+IF(AND(Parametri_v3!$C$40=1,D337-YEAR(Parametri_v3!$C$50)&lt;Parametri_v3!$C$41),MAX(0,-Q337),0)</f>
        <v>1007482.67296825</v>
      </c>
      <c r="AA337" s="15" t="n">
        <f aca="false">S337-U337+IF(AND(Parametri_v3!$C$40=1,D337-YEAR(Parametri_v3!$C$50)&lt;Parametri_v3!$C$41),0,MAX(0,-Q337))</f>
        <v>0</v>
      </c>
      <c r="AB337" s="15" t="n">
        <f aca="false">F337*(1+Parametri_v3!$C$26)</f>
        <v>89286.349175957</v>
      </c>
      <c r="AC337" s="15" t="n">
        <f aca="false">(IF(33-(INT((Motore_Operativo!L337)/30))&lt;1,0,INDEX(Motore_Startup!$AB$305:$AB$364,MAX(1,33-(INT((Motore_Operativo!L337)/30)))))*(1-(MOD((Motore_Operativo!L337),30)/30))+IF(33-(INT((Motore_Operativo!L337)/30))-1&lt;1,0,INDEX(Motore_Startup!$AB$305:$AB$364,MAX(1,33-(INT((Motore_Operativo!L337)/30))-1)))*(MOD((Motore_Operativo!L337),30)/30))</f>
        <v>79680.029727952</v>
      </c>
      <c r="AD337" s="15" t="n">
        <f aca="false">(AD336)+AB337-AC337</f>
        <v>258308.956622468</v>
      </c>
      <c r="AE337" s="15" t="n">
        <f aca="false">Motore_Operativo!BH337*(1+Parametri_v3!$C$26)</f>
        <v>7381</v>
      </c>
      <c r="AF337" s="15" t="n">
        <f aca="false">(IF(33-(INT((Parametri_v3!$C$29)/30))&lt;1,0,INDEX(Motore_Operativo!$BH$305:$BH$364,MAX(1,33-(INT((Parametri_v3!$C$29)/30)))))*(1-(MOD((Parametri_v3!$C$29),30)/30))+IF(33-(INT((Parametri_v3!$C$29)/30))-1&lt;1,0,INDEX(Motore_Operativo!$BH$305:$BH$364,MAX(1,33-(INT((Parametri_v3!$C$29)/30))-1)))*(MOD((Parametri_v3!$C$29),30)/30))*(1+Parametri_v3!$C$26)</f>
        <v>7381</v>
      </c>
      <c r="AG337" s="15" t="n">
        <f aca="false">(AG336)+AE337-AF337</f>
        <v>7381</v>
      </c>
      <c r="AH337" s="15" t="n">
        <f aca="false">(Motore_Operativo!CJ337)*(1+Parametri_v3!$C$27*Parametri_v3!$C$26)</f>
        <v>51404.9830596125</v>
      </c>
      <c r="AI337" s="15" t="n">
        <f aca="false">(IF(33-(INT((Ipotesi!$C$91)/30))&lt;1,0,INDEX(Motore_Startup!$AH$305:$AH$364,MAX(1,33-(INT((Ipotesi!$C$91)/30)))))*(1-(MOD((Ipotesi!$C$91),30)/30))+IF(33-(INT((Ipotesi!$C$91)/30))-1&lt;1,0,INDEX(Motore_Startup!$AH$305:$AH$364,MAX(1,33-(INT((Ipotesi!$C$91)/30))-1)))*(MOD((Ipotesi!$C$91),30)/30))</f>
        <v>50536.4804003922</v>
      </c>
      <c r="AJ337" s="15" t="n">
        <f aca="false">(AJ336)+AH337-AI337</f>
        <v>102377.621150035</v>
      </c>
      <c r="AK337" s="15" t="n">
        <f aca="false">(F337+ Motore_Operativo!BH337-(Motore_Operativo!CJ337)*Parametri_v3!$C$27-Motore_Operativo!CE337)*Parametri_v3!$C$26</f>
        <v>8783.47516717266</v>
      </c>
      <c r="AL337" s="15" t="n">
        <f aca="false">MAX(0,(AM336))</f>
        <v>8279.22013089684</v>
      </c>
      <c r="AM337" s="15" t="n">
        <f aca="false">(AM336)+AK337-AL337</f>
        <v>8783.47516717266</v>
      </c>
      <c r="AN337" s="15" t="n">
        <f aca="false">SUM(X317:X328)</f>
        <v>0</v>
      </c>
      <c r="AO337" s="15" t="n">
        <f aca="false">SUM(AP317:AP328)</f>
        <v>0</v>
      </c>
      <c r="AP337" s="15" t="n">
        <f aca="false">MAX(0,AN337)*IF(9=Parametri_v3!$C$43,Parametri_v3!$C$45,IF(9=Parametri_v3!$C$44,1-Parametri_v3!$C$45,0))</f>
        <v>0</v>
      </c>
      <c r="AQ337" s="15" t="n">
        <f aca="false">MAX(0,AP337+IF(9=Parametri_v3!$C$43,MAX(0,AN337-AO337),0)-MAX(0,-(AR336)))</f>
        <v>0</v>
      </c>
      <c r="AR337" s="15" t="n">
        <f aca="false">(AR336)+X337-AQ337</f>
        <v>0</v>
      </c>
      <c r="AS337" s="15" t="n">
        <f aca="false">Motore_Operativo!AB337-AT337+AU337</f>
        <v>70559.9833333333</v>
      </c>
      <c r="AT337" s="15" t="n">
        <f aca="false">Motore_Operativo!CH337</f>
        <v>3713.68333333333</v>
      </c>
      <c r="AU337" s="15" t="n">
        <f aca="false">MIN(MAX(0,(AV336)+AT337),Parametri_v3!$C$60/12)</f>
        <v>0</v>
      </c>
      <c r="AV337" s="15" t="n">
        <f aca="false">(AV336)+AT337-AU337</f>
        <v>68030.65</v>
      </c>
      <c r="AW337" s="15" t="n">
        <f aca="false">IF(AND(Motore_Operativo!C337=Finanziamenti!$D$6,Finanziamenti!$F$6=1),Finanziamenti!$C$6,0)</f>
        <v>0</v>
      </c>
      <c r="AX337" s="15" t="n">
        <f aca="false">IF(AND(6&lt;&gt;7,6&lt;&gt;9,Finanziamenti!$F$8=1,OR(Parametri_v3!$C$6=0,Finanziamenti!$E$8=1),Motore_Operativo!C337=EDATE(Finanziamenti!$D$8,Ipotesi!H15*12)),Finanziamenti!$C$8*1,0)+IF(AND(6&lt;&gt;7,6&lt;&gt;9,Finanziamenti!$F$9=1,OR(Parametri_v3!$C$6=0,Finanziamenti!$E$9=1),Motore_Operativo!C337=EDATE(Finanziamenti!$D$9,Ipotesi!H15*12)),Finanziamenti!$C$9*Ipotesi!H16,0)</f>
        <v>0</v>
      </c>
      <c r="AY337" s="15" t="n">
        <f aca="false">0</f>
        <v>0</v>
      </c>
      <c r="AZ337" s="15" t="n">
        <f aca="false">Motore_Advisory!AY337*(1-Ipotesi!$C$95)*Ipotesi!$C$96</f>
        <v>0</v>
      </c>
      <c r="BA337" s="15" t="n">
        <f aca="false">MAX(0,MIN(CG337*MIN(1,IF(Motore_Operativo!C337&gt;=EDATE(Finanziamenti!$D$15,Ipotesi!H14*12),Finanziamenti!$C$15,0)+IF(Motore_Operativo!C337&gt;=EDATE(Finanziamenti!$D$16,Ipotesi!H14*12),Finanziamenti!$C$16,0)+IF(Motore_Operativo!C337&gt;=EDATE(Finanziamenti!$D$17,Ipotesi!H14*12),Finanziamenti!$C$17,0)),CA337*Ipotesi!$C$102)-(CC336))</f>
        <v>0</v>
      </c>
      <c r="BB337" s="15" t="n">
        <f aca="false">IF(AND(CF337&gt;0,Motore_Operativo!C337&gt;=IF(CF337=0,0,EDATE(CF337,Parametri_v3!$C$37)),MOD(((D337-YEAR(IF(CF337=0,0,EDATE(CF337,Parametri_v3!$C$37))))*12+E337-MONTH(IF(CF337=0,0,EDATE(CF337,Parametri_v3!$C$37)))),Parametri_v3!$C$38)=0),MIN(MAX(0,(BC336)+BA337-N337),(CC337-CD337)/(Ipotesi!$C$108*12/Parametri_v3!$C$38)),0)</f>
        <v>0</v>
      </c>
      <c r="BC337" s="15" t="n">
        <f aca="false">(BC336)+BA337-N337-BB337</f>
        <v>0</v>
      </c>
      <c r="BD337" s="15" t="n">
        <f aca="false">(BH336)+AC337+AF337-AI337-AS337-K337*(1+Parametri_v3!$C$26)-AL337-AQ337-O337+AW337+AX337+AZ337+BA337-BB337</f>
        <v>197685.783393154</v>
      </c>
      <c r="BE337" s="15" t="n">
        <f aca="false">MAX(0,MIN(MAX(0,CH337-(BG336)),Parametri_v3!$C$30-BD337))</f>
        <v>0</v>
      </c>
      <c r="BF337" s="15" t="n">
        <f aca="false">IF(Motore_Operativo!C337&gt;=Parametri_v3!$C$63,(BG336),MIN((BG336),MAX(0,BD337-Parametri_v3!$C$30)))</f>
        <v>0</v>
      </c>
      <c r="BG337" s="15" t="n">
        <f aca="false">(BG336)+BE337-BF337</f>
        <v>0</v>
      </c>
      <c r="BH337" s="15" t="n">
        <f aca="false">BD337+BE337-BF337-AY337</f>
        <v>197685.783393154</v>
      </c>
      <c r="BI337" s="15" t="n">
        <f aca="false">MAX(0,Parametri_v3!$C$30-BH337)</f>
        <v>0</v>
      </c>
      <c r="BJ337" s="15" t="n">
        <f aca="false">(BJ336)+K337</f>
        <v>67500</v>
      </c>
      <c r="BK337" s="15" t="n">
        <f aca="false">(BK336)+L337</f>
        <v>29166.6666666667</v>
      </c>
      <c r="BL337" s="15" t="n">
        <f aca="false">BJ337-BK337</f>
        <v>38333.3333333333</v>
      </c>
      <c r="BM337" s="15" t="n">
        <f aca="false">(BM336)+Y337</f>
        <v>-1007482.67296825</v>
      </c>
      <c r="BN337" s="15" t="n">
        <f aca="false">(BN336)+AW337+AX337+AZ337</f>
        <v>1330000</v>
      </c>
      <c r="BO337" s="15" t="n">
        <f aca="false">(BO336)+AY337</f>
        <v>0</v>
      </c>
      <c r="BP337" s="15" t="n">
        <f aca="false">0</f>
        <v>0</v>
      </c>
      <c r="BQ337" s="15" t="n">
        <f aca="false">BN337+BM337-BO337</f>
        <v>322517.327031747</v>
      </c>
      <c r="BR337" s="15" t="n">
        <f aca="false">BH337+AD337+BL337+MAX(0,-AM337)+MAX(0,-AR337)+AG337</f>
        <v>501709.073348955</v>
      </c>
      <c r="BS337" s="15" t="n">
        <f aca="false">AJ337+AV337+MAX(0,AM337)+MAX(0,AR337)+BC337+BG337+BQ337</f>
        <v>501709.073348955</v>
      </c>
      <c r="BT337" s="15" t="n">
        <f aca="false">BR337-BS337</f>
        <v>0</v>
      </c>
      <c r="BU337" s="15" t="n">
        <f aca="false">BH337-(BD337+BE337-BF337-AY337)</f>
        <v>0</v>
      </c>
      <c r="BV337" s="15" t="n">
        <f aca="false">MIN(Piano_SS!$C$6,(BV336)+IF(AND(Motore_Operativo!C337&gt;=EDATE(Parametri_v3!$C$24,Ipotesi!H14*12),Motore_Operativo!C337&lt;EDATE(Parametri_v3!$C$24,Parametri_v3!$C$25+Ipotesi!H14*12)),MAX(0,(Motore_Operativo!Y337+Motore_Operativo!X337*Parametri_v3!$C$14)*(1-Parametri_v3!$C$32))*Piano_SS!$D$6,0))</f>
        <v>300000</v>
      </c>
      <c r="BW337" s="15" t="n">
        <f aca="false">MIN(Piano_SS!$C$7,(BW336)+IF(AND(Motore_Operativo!C337&gt;=EDATE(Parametri_v3!$C$24,Ipotesi!H14*12),Motore_Operativo!C337&lt;EDATE(Parametri_v3!$C$24,Parametri_v3!$C$25+Ipotesi!H14*12)),MAX(0,(IF(33-(INT((Ipotesi!$C$91)/30))&lt;1,0,INDEX(Motore_Operativo!$BN$305:$BN$364,MAX(1,33-(INT((Ipotesi!$C$91)/30)))))*(1-(MOD((Ipotesi!$C$91),30)/30))+IF(33-(INT((Ipotesi!$C$91)/30))-1&lt;1,0,INDEX(Motore_Operativo!$BN$305:$BN$364,MAX(1,33-(INT((Ipotesi!$C$91)/30))-1)))*(MOD((Ipotesi!$C$91),30)/30)))*Piano_SS!$D$7,0))</f>
        <v>41058.9230070837</v>
      </c>
      <c r="BX337" s="15" t="n">
        <f aca="false">MIN(Piano_SS!$C$8,(BX336)+IF(AND(Motore_Operativo!C337&gt;=EDATE(Parametri_v3!$C$24,Ipotesi!H14*12),Motore_Operativo!C337&lt;EDATE(Parametri_v3!$C$24,Parametri_v3!$C$25+Ipotesi!H14*12)),MAX(0,Motore_Operativo!CE337)*Piano_SS!$D$8,0))</f>
        <v>50000</v>
      </c>
      <c r="BY337" s="15" t="n">
        <f aca="false">MIN(Piano_SS!$C$9,(BY336)+IF(AND(Motore_Operativo!C337&gt;=EDATE(Parametri_v3!$C$24,Ipotesi!H14*12),Motore_Operativo!C337&lt;EDATE(Parametri_v3!$C$24,Parametri_v3!$C$25+Ipotesi!H14*12)),MAX(0,((IF(33-(INT((Ipotesi!$C$91)/30))&lt;1,0,INDEX(Motore_Operativo!$BQ$305:$BQ$364,MAX(1,33-(INT((Ipotesi!$C$91)/30)))))*(1-(MOD((Ipotesi!$C$91),30)/30))+IF(33-(INT((Ipotesi!$C$91)/30))-1&lt;1,0,INDEX(Motore_Operativo!$BQ$305:$BQ$364,MAX(1,33-(INT((Ipotesi!$C$91)/30))-1)))*(MOD((Ipotesi!$C$91),30)/30))+(IF(33-(INT((Ipotesi!$C$91)/30))&lt;1,0,INDEX(Motore_Operativo!$BR$305:$BR$364,MAX(1,33-(INT((Ipotesi!$C$91)/30)))))*(1-(MOD((Ipotesi!$C$91),30)/30))+IF(33-(INT((Ipotesi!$C$91)/30))-1&lt;1,0,INDEX(Motore_Operativo!$BR$305:$BR$364,MAX(1,33-(INT((Ipotesi!$C$91)/30))-1)))*(MOD((Ipotesi!$C$91),30)/30))))*Piano_SS!$D$9,0))</f>
        <v>40000</v>
      </c>
      <c r="BZ337" s="15" t="n">
        <f aca="false">MIN(Piano_SS!$C$10,(BZ336)+IF(AND(Motore_Operativo!C337&gt;=EDATE(Parametri_v3!$C$24,Ipotesi!H14*12),Motore_Operativo!C337&lt;EDATE(Parametri_v3!$C$24,Parametri_v3!$C$25+Ipotesi!H14*12)),MAX(0,(IF(33-(INT((Ipotesi!$C$91)/30))&lt;1,0,INDEX(Motore_Operativo!$BO$305:$BO$364,MAX(1,33-(INT((Ipotesi!$C$91)/30)))))*(1-(MOD((Ipotesi!$C$91),30)/30))+IF(33-(INT((Ipotesi!$C$91)/30))-1&lt;1,0,INDEX(Motore_Operativo!$BO$305:$BO$364,MAX(1,33-(INT((Ipotesi!$C$91)/30))-1)))*(MOD((Ipotesi!$C$91),30)/30)))*Piano_SS!$D$10,0))</f>
        <v>30000</v>
      </c>
      <c r="CA337" s="15" t="n">
        <f aca="false">SUM(BV337:BZ337)</f>
        <v>461058.923007084</v>
      </c>
      <c r="CB337" s="15" t="n">
        <f aca="false">BV337*(1-Piano_SS!$E$6)+BW337*(1-Piano_SS!$E$7)+BX337*(1-Piano_SS!$E$8)+BY337*(1-Piano_SS!$E$9)+BZ337*(1-Piano_SS!$E$10)</f>
        <v>431058.923007084</v>
      </c>
      <c r="CC337" s="15" t="n">
        <f aca="false">(CC336)+BA337</f>
        <v>0</v>
      </c>
      <c r="CD337" s="15" t="n">
        <f aca="false">IF(CA337=0,0,CC337*CB337/CA337*Ipotesi!$C$103*Parametri_v3!$C$64)</f>
        <v>0</v>
      </c>
      <c r="CE337" s="18" t="n">
        <f aca="false">IF(BA337&gt;0,Motore_Operativo!C337,(CE336))</f>
        <v>0</v>
      </c>
      <c r="CF337" s="18" t="n">
        <f aca="false">IF(AND(CC337&gt;0,OR(CC337&gt;=CG337-0.01,Motore_Operativo!C337&gt;=EDATE(MAX(Finanziamenti!$D$15:$D$17),Ipotesi!H14*12))),CE337,0)</f>
        <v>0</v>
      </c>
      <c r="CG337" s="15" t="n">
        <f aca="false">IF(AND(6&lt;&gt;6,6&lt;&gt;9,Finanziamenti!$F$11=1,OR(Parametri_v3!$C$6=0,Finanziamenti!$E$11=1)),MIN(Finanziamenti!$C$11,Piano_SS!$C$12*Ipotesi!$C$102),0)</f>
        <v>0</v>
      </c>
      <c r="CH337" s="15" t="n">
        <f aca="false">IF(AND(AND(6&lt;&gt;8,6&lt;&gt;9,Finanziamenti!$F$10=1,OR(Parametri_v3!$C$6=0,Finanziamenti!$E$10=1)),Motore_Operativo!C337&gt;=Finanziamenti!$D$10,Motore_Operativo!C337&lt;Parametri_v3!$C$63),Finanziamenti!$C$10,0)</f>
        <v>150000</v>
      </c>
    </row>
    <row r="338" customFormat="false" ht="18" hidden="false" customHeight="true" outlineLevel="0" collapsed="false">
      <c r="A338" s="68" t="n">
        <f aca="false">6</f>
        <v>6</v>
      </c>
      <c r="B338" s="68" t="n">
        <f aca="false">34</f>
        <v>34</v>
      </c>
      <c r="C338" s="18" t="n">
        <f aca="false">Motore_Operativo!C338</f>
        <v>47392</v>
      </c>
      <c r="D338" s="68" t="n">
        <f aca="false">Motore_Operativo!D338</f>
        <v>2029</v>
      </c>
      <c r="E338" s="68" t="n">
        <f aca="false">Motore_Operativo!E338</f>
        <v>10</v>
      </c>
      <c r="F338" s="15" t="n">
        <f aca="false">Motore_Operativo!AQ338+Motore_Operativo!BF338</f>
        <v>75764.4560353218</v>
      </c>
      <c r="G338" s="15" t="n">
        <f aca="false">Motore_Operativo!BH338</f>
        <v>6050</v>
      </c>
      <c r="H338" s="15" t="n">
        <f aca="false">Motore_Operativo!BI338</f>
        <v>81814.4560353218</v>
      </c>
      <c r="I338" s="15" t="n">
        <f aca="false">Motore_Operativo!CA338</f>
        <v>117941.357178278</v>
      </c>
      <c r="J338" s="15" t="n">
        <f aca="false">Motore_Operativo!CC338</f>
        <v>-36126.9011429566</v>
      </c>
      <c r="K338" s="15" t="n">
        <f aca="false">Motore_Operativo!CE338</f>
        <v>2500</v>
      </c>
      <c r="L338" s="15" t="n">
        <f aca="false">SUM(INDEX($K$305:$K$364,MAX(1,34-Parametri_v3!$C$59+1)):K338)/Parametri_v3!$C$59</f>
        <v>1944.44444444444</v>
      </c>
      <c r="M338" s="15" t="n">
        <f aca="false">J338-L338</f>
        <v>-38071.345587401</v>
      </c>
      <c r="N338" s="15" t="n">
        <f aca="false">CD338-(CD337)</f>
        <v>0</v>
      </c>
      <c r="O338" s="15" t="n">
        <f aca="false">(BG337)*Ipotesi!$C$110/12+CH338*Parametri_v3!$C$39/12</f>
        <v>0</v>
      </c>
      <c r="P338" s="15" t="n">
        <f aca="false">M338+N338-O338</f>
        <v>-38071.345587401</v>
      </c>
      <c r="Q338" s="15" t="n">
        <f aca="false">SUM(P329:P338)+Parametri_v3!$C$54*10/12</f>
        <v>-476184.510461783</v>
      </c>
      <c r="R338" s="15" t="n">
        <f aca="false">Z328</f>
        <v>569369.508093871</v>
      </c>
      <c r="S338" s="15" t="n">
        <f aca="false">AA328</f>
        <v>0</v>
      </c>
      <c r="T338" s="15" t="n">
        <f aca="false">MIN(R338,MAX(0,Q338))</f>
        <v>0</v>
      </c>
      <c r="U338" s="15" t="n">
        <f aca="false">MIN(S338,MAX(0,Q338-T338)*Parametri_v3!$C$42)</f>
        <v>0</v>
      </c>
      <c r="V338" s="15" t="n">
        <f aca="false">MAX(0,Q338-T338-U338)*Ipotesi!$C$92</f>
        <v>0</v>
      </c>
      <c r="W338" s="15" t="n">
        <f aca="false">MAX(0,SUM(M329:M338)+Parametri_v3!$C$55*10/12)*Ipotesi!$C$93</f>
        <v>0</v>
      </c>
      <c r="X338" s="15" t="n">
        <f aca="false">V338+W338-(V337+W337)</f>
        <v>0</v>
      </c>
      <c r="Y338" s="15" t="n">
        <f aca="false">P338-X338</f>
        <v>-38071.345587401</v>
      </c>
      <c r="Z338" s="15" t="n">
        <f aca="false">R338-T338+IF(AND(Parametri_v3!$C$40=1,D338-YEAR(Parametri_v3!$C$50)&lt;Parametri_v3!$C$41),MAX(0,-Q338),0)</f>
        <v>1045554.01855565</v>
      </c>
      <c r="AA338" s="15" t="n">
        <f aca="false">S338-U338+IF(AND(Parametri_v3!$C$40=1,D338-YEAR(Parametri_v3!$C$50)&lt;Parametri_v3!$C$41),0,MAX(0,-Q338))</f>
        <v>0</v>
      </c>
      <c r="AB338" s="15" t="n">
        <f aca="false">F338*(1+Parametri_v3!$C$26)</f>
        <v>92432.6363630927</v>
      </c>
      <c r="AC338" s="15" t="n">
        <f aca="false">(IF(34-(INT((Motore_Operativo!L338)/30))&lt;1,0,INDEX(Motore_Startup!$AB$305:$AB$364,MAX(1,34-(INT((Motore_Operativo!L338)/30)))))*(1-(MOD((Motore_Operativo!L338),30)/30))+IF(34-(INT((Motore_Operativo!L338)/30))-1&lt;1,0,INDEX(Motore_Startup!$AB$305:$AB$364,MAX(1,34-(INT((Motore_Operativo!L338)/30))-1)))*(MOD((Motore_Operativo!L338),30)/30))</f>
        <v>82910.2916224086</v>
      </c>
      <c r="AD338" s="15" t="n">
        <f aca="false">(AD337)+AB338-AC338</f>
        <v>267831.301363152</v>
      </c>
      <c r="AE338" s="15" t="n">
        <f aca="false">Motore_Operativo!BH338*(1+Parametri_v3!$C$26)</f>
        <v>7381</v>
      </c>
      <c r="AF338" s="15" t="n">
        <f aca="false">(IF(34-(INT((Parametri_v3!$C$29)/30))&lt;1,0,INDEX(Motore_Operativo!$BH$305:$BH$364,MAX(1,34-(INT((Parametri_v3!$C$29)/30)))))*(1-(MOD((Parametri_v3!$C$29),30)/30))+IF(34-(INT((Parametri_v3!$C$29)/30))-1&lt;1,0,INDEX(Motore_Operativo!$BH$305:$BH$364,MAX(1,34-(INT((Parametri_v3!$C$29)/30))-1)))*(MOD((Parametri_v3!$C$29),30)/30))*(1+Parametri_v3!$C$26)</f>
        <v>7381</v>
      </c>
      <c r="AG338" s="15" t="n">
        <f aca="false">(AG337)+AE338-AF338</f>
        <v>7381</v>
      </c>
      <c r="AH338" s="15" t="n">
        <f aca="false">(Motore_Operativo!CJ338)*(1+Parametri_v3!$C$27*Parametri_v3!$C$26)</f>
        <v>51833.5486372831</v>
      </c>
      <c r="AI338" s="15" t="n">
        <f aca="false">(IF(34-(INT((Ipotesi!$C$91)/30))&lt;1,0,INDEX(Motore_Startup!$AH$305:$AH$364,MAX(1,34-(INT((Ipotesi!$C$91)/30)))))*(1-(MOD((Ipotesi!$C$91),30)/30))+IF(34-(INT((Ipotesi!$C$91)/30))-1&lt;1,0,INDEX(Motore_Startup!$AH$305:$AH$364,MAX(1,34-(INT((Ipotesi!$C$91)/30))-1)))*(MOD((Ipotesi!$C$91),30)/30))</f>
        <v>50972.6380904229</v>
      </c>
      <c r="AJ338" s="15" t="n">
        <f aca="false">(AJ337)+AH338-AI338</f>
        <v>103238.531696896</v>
      </c>
      <c r="AK338" s="15" t="n">
        <f aca="false">(F338+ Motore_Operativo!BH338-(Motore_Operativo!CJ338)*Parametri_v3!$C$27-Motore_Operativo!CE338)*Parametri_v3!$C$26</f>
        <v>9283.32220209941</v>
      </c>
      <c r="AL338" s="15" t="n">
        <f aca="false">MAX(0,(AM337))</f>
        <v>8783.47516717266</v>
      </c>
      <c r="AM338" s="15" t="n">
        <f aca="false">(AM337)+AK338-AL338</f>
        <v>9283.32220209941</v>
      </c>
      <c r="AN338" s="15" t="n">
        <f aca="false">SUM(X317:X328)</f>
        <v>0</v>
      </c>
      <c r="AO338" s="15" t="n">
        <f aca="false">SUM(AP317:AP328)</f>
        <v>0</v>
      </c>
      <c r="AP338" s="15" t="n">
        <f aca="false">MAX(0,AN338)*IF(10=Parametri_v3!$C$43,Parametri_v3!$C$45,IF(10=Parametri_v3!$C$44,1-Parametri_v3!$C$45,0))</f>
        <v>0</v>
      </c>
      <c r="AQ338" s="15" t="n">
        <f aca="false">MAX(0,AP338+IF(10=Parametri_v3!$C$43,MAX(0,AN338-AO338),0)-MAX(0,-(AR337)))</f>
        <v>0</v>
      </c>
      <c r="AR338" s="15" t="n">
        <f aca="false">(AR337)+X338-AQ338</f>
        <v>0</v>
      </c>
      <c r="AS338" s="15" t="n">
        <f aca="false">Motore_Operativo!AB338-AT338+AU338</f>
        <v>70559.9833333333</v>
      </c>
      <c r="AT338" s="15" t="n">
        <f aca="false">Motore_Operativo!CH338</f>
        <v>3713.68333333333</v>
      </c>
      <c r="AU338" s="15" t="n">
        <f aca="false">MIN(MAX(0,(AV337)+AT338),Parametri_v3!$C$60/12)</f>
        <v>0</v>
      </c>
      <c r="AV338" s="15" t="n">
        <f aca="false">(AV337)+AT338-AU338</f>
        <v>71744.3333333333</v>
      </c>
      <c r="AW338" s="15" t="n">
        <f aca="false">IF(AND(Motore_Operativo!C338=Finanziamenti!$D$6,Finanziamenti!$F$6=1),Finanziamenti!$C$6,0)</f>
        <v>0</v>
      </c>
      <c r="AX338" s="15" t="n">
        <f aca="false">IF(AND(6&lt;&gt;7,6&lt;&gt;9,Finanziamenti!$F$8=1,OR(Parametri_v3!$C$6=0,Finanziamenti!$E$8=1),Motore_Operativo!C338=EDATE(Finanziamenti!$D$8,Ipotesi!H15*12)),Finanziamenti!$C$8*1,0)+IF(AND(6&lt;&gt;7,6&lt;&gt;9,Finanziamenti!$F$9=1,OR(Parametri_v3!$C$6=0,Finanziamenti!$E$9=1),Motore_Operativo!C338=EDATE(Finanziamenti!$D$9,Ipotesi!H15*12)),Finanziamenti!$C$9*Ipotesi!H16,0)</f>
        <v>0</v>
      </c>
      <c r="AY338" s="15" t="n">
        <f aca="false">0</f>
        <v>0</v>
      </c>
      <c r="AZ338" s="15" t="n">
        <f aca="false">Motore_Advisory!AY338*(1-Ipotesi!$C$95)*Ipotesi!$C$96</f>
        <v>0</v>
      </c>
      <c r="BA338" s="15" t="n">
        <f aca="false">MAX(0,MIN(CG338*MIN(1,IF(Motore_Operativo!C338&gt;=EDATE(Finanziamenti!$D$15,Ipotesi!H14*12),Finanziamenti!$C$15,0)+IF(Motore_Operativo!C338&gt;=EDATE(Finanziamenti!$D$16,Ipotesi!H14*12),Finanziamenti!$C$16,0)+IF(Motore_Operativo!C338&gt;=EDATE(Finanziamenti!$D$17,Ipotesi!H14*12),Finanziamenti!$C$17,0)),CA338*Ipotesi!$C$102)-(CC337))</f>
        <v>0</v>
      </c>
      <c r="BB338" s="15" t="n">
        <f aca="false">IF(AND(CF338&gt;0,Motore_Operativo!C338&gt;=IF(CF338=0,0,EDATE(CF338,Parametri_v3!$C$37)),MOD(((D338-YEAR(IF(CF338=0,0,EDATE(CF338,Parametri_v3!$C$37))))*12+E338-MONTH(IF(CF338=0,0,EDATE(CF338,Parametri_v3!$C$37)))),Parametri_v3!$C$38)=0),MIN(MAX(0,(BC337)+BA338-N338),(CC338-CD338)/(Ipotesi!$C$108*12/Parametri_v3!$C$38)),0)</f>
        <v>0</v>
      </c>
      <c r="BC338" s="15" t="n">
        <f aca="false">(BC337)+BA338-N338-BB338</f>
        <v>0</v>
      </c>
      <c r="BD338" s="15" t="n">
        <f aca="false">(BH337)+AC338+AF338-AI338-AS338-K338*(1+Parametri_v3!$C$26)-AL338-AQ338-O338+AW338+AX338+AZ338+BA338-BB338</f>
        <v>154610.978424633</v>
      </c>
      <c r="BE338" s="15" t="n">
        <f aca="false">MAX(0,MIN(MAX(0,CH338-(BG337)),Parametri_v3!$C$30-BD338))</f>
        <v>0</v>
      </c>
      <c r="BF338" s="15" t="n">
        <f aca="false">IF(Motore_Operativo!C338&gt;=Parametri_v3!$C$63,(BG337),MIN((BG337),MAX(0,BD338-Parametri_v3!$C$30)))</f>
        <v>0</v>
      </c>
      <c r="BG338" s="15" t="n">
        <f aca="false">(BG337)+BE338-BF338</f>
        <v>0</v>
      </c>
      <c r="BH338" s="15" t="n">
        <f aca="false">BD338+BE338-BF338-AY338</f>
        <v>154610.978424633</v>
      </c>
      <c r="BI338" s="15" t="n">
        <f aca="false">MAX(0,Parametri_v3!$C$30-BH338)</f>
        <v>0</v>
      </c>
      <c r="BJ338" s="15" t="n">
        <f aca="false">(BJ337)+K338</f>
        <v>70000</v>
      </c>
      <c r="BK338" s="15" t="n">
        <f aca="false">(BK337)+L338</f>
        <v>31111.1111111111</v>
      </c>
      <c r="BL338" s="15" t="n">
        <f aca="false">BJ338-BK338</f>
        <v>38888.8888888889</v>
      </c>
      <c r="BM338" s="15" t="n">
        <f aca="false">(BM337)+Y338</f>
        <v>-1045554.01855565</v>
      </c>
      <c r="BN338" s="15" t="n">
        <f aca="false">(BN337)+AW338+AX338+AZ338</f>
        <v>1330000</v>
      </c>
      <c r="BO338" s="15" t="n">
        <f aca="false">(BO337)+AY338</f>
        <v>0</v>
      </c>
      <c r="BP338" s="15" t="n">
        <f aca="false">0</f>
        <v>0</v>
      </c>
      <c r="BQ338" s="15" t="n">
        <f aca="false">BN338+BM338-BO338</f>
        <v>284445.981444346</v>
      </c>
      <c r="BR338" s="15" t="n">
        <f aca="false">BH338+AD338+BL338+MAX(0,-AM338)+MAX(0,-AR338)+AG338</f>
        <v>468712.168676674</v>
      </c>
      <c r="BS338" s="15" t="n">
        <f aca="false">AJ338+AV338+MAX(0,AM338)+MAX(0,AR338)+BC338+BG338+BQ338</f>
        <v>468712.168676674</v>
      </c>
      <c r="BT338" s="15" t="n">
        <f aca="false">BR338-BS338</f>
        <v>0</v>
      </c>
      <c r="BU338" s="15" t="n">
        <f aca="false">BH338-(BD338+BE338-BF338-AY338)</f>
        <v>0</v>
      </c>
      <c r="BV338" s="15" t="n">
        <f aca="false">MIN(Piano_SS!$C$6,(BV337)+IF(AND(Motore_Operativo!C338&gt;=EDATE(Parametri_v3!$C$24,Ipotesi!H14*12),Motore_Operativo!C338&lt;EDATE(Parametri_v3!$C$24,Parametri_v3!$C$25+Ipotesi!H14*12)),MAX(0,(Motore_Operativo!Y338+Motore_Operativo!X338*Parametri_v3!$C$14)*(1-Parametri_v3!$C$32))*Piano_SS!$D$6,0))</f>
        <v>300000</v>
      </c>
      <c r="BW338" s="15" t="n">
        <f aca="false">MIN(Piano_SS!$C$7,(BW337)+IF(AND(Motore_Operativo!C338&gt;=EDATE(Parametri_v3!$C$24,Ipotesi!H14*12),Motore_Operativo!C338&lt;EDATE(Parametri_v3!$C$24,Parametri_v3!$C$25+Ipotesi!H14*12)),MAX(0,(IF(34-(INT((Ipotesi!$C$91)/30))&lt;1,0,INDEX(Motore_Operativo!$BN$305:$BN$364,MAX(1,34-(INT((Ipotesi!$C$91)/30)))))*(1-(MOD((Ipotesi!$C$91),30)/30))+IF(34-(INT((Ipotesi!$C$91)/30))-1&lt;1,0,INDEX(Motore_Operativo!$BN$305:$BN$364,MAX(1,34-(INT((Ipotesi!$C$91)/30))-1)))*(MOD((Ipotesi!$C$91),30)/30)))*Piano_SS!$D$7,0))</f>
        <v>41058.9230070837</v>
      </c>
      <c r="BX338" s="15" t="n">
        <f aca="false">MIN(Piano_SS!$C$8,(BX337)+IF(AND(Motore_Operativo!C338&gt;=EDATE(Parametri_v3!$C$24,Ipotesi!H14*12),Motore_Operativo!C338&lt;EDATE(Parametri_v3!$C$24,Parametri_v3!$C$25+Ipotesi!H14*12)),MAX(0,Motore_Operativo!CE338)*Piano_SS!$D$8,0))</f>
        <v>50000</v>
      </c>
      <c r="BY338" s="15" t="n">
        <f aca="false">MIN(Piano_SS!$C$9,(BY337)+IF(AND(Motore_Operativo!C338&gt;=EDATE(Parametri_v3!$C$24,Ipotesi!H14*12),Motore_Operativo!C338&lt;EDATE(Parametri_v3!$C$24,Parametri_v3!$C$25+Ipotesi!H14*12)),MAX(0,((IF(34-(INT((Ipotesi!$C$91)/30))&lt;1,0,INDEX(Motore_Operativo!$BQ$305:$BQ$364,MAX(1,34-(INT((Ipotesi!$C$91)/30)))))*(1-(MOD((Ipotesi!$C$91),30)/30))+IF(34-(INT((Ipotesi!$C$91)/30))-1&lt;1,0,INDEX(Motore_Operativo!$BQ$305:$BQ$364,MAX(1,34-(INT((Ipotesi!$C$91)/30))-1)))*(MOD((Ipotesi!$C$91),30)/30))+(IF(34-(INT((Ipotesi!$C$91)/30))&lt;1,0,INDEX(Motore_Operativo!$BR$305:$BR$364,MAX(1,34-(INT((Ipotesi!$C$91)/30)))))*(1-(MOD((Ipotesi!$C$91),30)/30))+IF(34-(INT((Ipotesi!$C$91)/30))-1&lt;1,0,INDEX(Motore_Operativo!$BR$305:$BR$364,MAX(1,34-(INT((Ipotesi!$C$91)/30))-1)))*(MOD((Ipotesi!$C$91),30)/30))))*Piano_SS!$D$9,0))</f>
        <v>40000</v>
      </c>
      <c r="BZ338" s="15" t="n">
        <f aca="false">MIN(Piano_SS!$C$10,(BZ337)+IF(AND(Motore_Operativo!C338&gt;=EDATE(Parametri_v3!$C$24,Ipotesi!H14*12),Motore_Operativo!C338&lt;EDATE(Parametri_v3!$C$24,Parametri_v3!$C$25+Ipotesi!H14*12)),MAX(0,(IF(34-(INT((Ipotesi!$C$91)/30))&lt;1,0,INDEX(Motore_Operativo!$BO$305:$BO$364,MAX(1,34-(INT((Ipotesi!$C$91)/30)))))*(1-(MOD((Ipotesi!$C$91),30)/30))+IF(34-(INT((Ipotesi!$C$91)/30))-1&lt;1,0,INDEX(Motore_Operativo!$BO$305:$BO$364,MAX(1,34-(INT((Ipotesi!$C$91)/30))-1)))*(MOD((Ipotesi!$C$91),30)/30)))*Piano_SS!$D$10,0))</f>
        <v>30000</v>
      </c>
      <c r="CA338" s="15" t="n">
        <f aca="false">SUM(BV338:BZ338)</f>
        <v>461058.923007084</v>
      </c>
      <c r="CB338" s="15" t="n">
        <f aca="false">BV338*(1-Piano_SS!$E$6)+BW338*(1-Piano_SS!$E$7)+BX338*(1-Piano_SS!$E$8)+BY338*(1-Piano_SS!$E$9)+BZ338*(1-Piano_SS!$E$10)</f>
        <v>431058.923007084</v>
      </c>
      <c r="CC338" s="15" t="n">
        <f aca="false">(CC337)+BA338</f>
        <v>0</v>
      </c>
      <c r="CD338" s="15" t="n">
        <f aca="false">IF(CA338=0,0,CC338*CB338/CA338*Ipotesi!$C$103*Parametri_v3!$C$64)</f>
        <v>0</v>
      </c>
      <c r="CE338" s="18" t="n">
        <f aca="false">IF(BA338&gt;0,Motore_Operativo!C338,(CE337))</f>
        <v>0</v>
      </c>
      <c r="CF338" s="18" t="n">
        <f aca="false">IF(AND(CC338&gt;0,OR(CC338&gt;=CG338-0.01,Motore_Operativo!C338&gt;=EDATE(MAX(Finanziamenti!$D$15:$D$17),Ipotesi!H14*12))),CE338,0)</f>
        <v>0</v>
      </c>
      <c r="CG338" s="15" t="n">
        <f aca="false">IF(AND(6&lt;&gt;6,6&lt;&gt;9,Finanziamenti!$F$11=1,OR(Parametri_v3!$C$6=0,Finanziamenti!$E$11=1)),MIN(Finanziamenti!$C$11,Piano_SS!$C$12*Ipotesi!$C$102),0)</f>
        <v>0</v>
      </c>
      <c r="CH338" s="15" t="n">
        <f aca="false">IF(AND(AND(6&lt;&gt;8,6&lt;&gt;9,Finanziamenti!$F$10=1,OR(Parametri_v3!$C$6=0,Finanziamenti!$E$10=1)),Motore_Operativo!C338&gt;=Finanziamenti!$D$10,Motore_Operativo!C338&lt;Parametri_v3!$C$63),Finanziamenti!$C$10,0)</f>
        <v>150000</v>
      </c>
    </row>
    <row r="339" customFormat="false" ht="18" hidden="false" customHeight="true" outlineLevel="0" collapsed="false">
      <c r="A339" s="68" t="n">
        <f aca="false">6</f>
        <v>6</v>
      </c>
      <c r="B339" s="68" t="n">
        <f aca="false">35</f>
        <v>35</v>
      </c>
      <c r="C339" s="18" t="n">
        <f aca="false">Motore_Operativo!C339</f>
        <v>47423</v>
      </c>
      <c r="D339" s="68" t="n">
        <f aca="false">Motore_Operativo!D339</f>
        <v>2029</v>
      </c>
      <c r="E339" s="68" t="n">
        <f aca="false">Motore_Operativo!E339</f>
        <v>11</v>
      </c>
      <c r="F339" s="15" t="n">
        <f aca="false">Motore_Operativo!AQ339+Motore_Operativo!BF339</f>
        <v>78320.8360095792</v>
      </c>
      <c r="G339" s="15" t="n">
        <f aca="false">Motore_Operativo!BH339</f>
        <v>6050</v>
      </c>
      <c r="H339" s="15" t="n">
        <f aca="false">Motore_Operativo!BI339</f>
        <v>84370.8360095792</v>
      </c>
      <c r="I339" s="15" t="n">
        <f aca="false">Motore_Operativo!CA339</f>
        <v>118299.250374674</v>
      </c>
      <c r="J339" s="15" t="n">
        <f aca="false">Motore_Operativo!CC339</f>
        <v>-33928.4143650952</v>
      </c>
      <c r="K339" s="15" t="n">
        <f aca="false">Motore_Operativo!CE339</f>
        <v>2500</v>
      </c>
      <c r="L339" s="15" t="n">
        <f aca="false">SUM(INDEX($K$305:$K$364,MAX(1,35-Parametri_v3!$C$59+1)):K339)/Parametri_v3!$C$59</f>
        <v>2013.88888888889</v>
      </c>
      <c r="M339" s="15" t="n">
        <f aca="false">J339-L339</f>
        <v>-35942.3032539841</v>
      </c>
      <c r="N339" s="15" t="n">
        <f aca="false">CD339-(CD338)</f>
        <v>0</v>
      </c>
      <c r="O339" s="15" t="n">
        <f aca="false">(BG338)*Ipotesi!$C$110/12+CH339*Parametri_v3!$C$39/12</f>
        <v>0</v>
      </c>
      <c r="P339" s="15" t="n">
        <f aca="false">M339+N339-O339</f>
        <v>-35942.3032539841</v>
      </c>
      <c r="Q339" s="15" t="n">
        <f aca="false">SUM(P329:P339)+Parametri_v3!$C$54*11/12</f>
        <v>-512126.813715767</v>
      </c>
      <c r="R339" s="15" t="n">
        <f aca="false">Z328</f>
        <v>569369.508093871</v>
      </c>
      <c r="S339" s="15" t="n">
        <f aca="false">AA328</f>
        <v>0</v>
      </c>
      <c r="T339" s="15" t="n">
        <f aca="false">MIN(R339,MAX(0,Q339))</f>
        <v>0</v>
      </c>
      <c r="U339" s="15" t="n">
        <f aca="false">MIN(S339,MAX(0,Q339-T339)*Parametri_v3!$C$42)</f>
        <v>0</v>
      </c>
      <c r="V339" s="15" t="n">
        <f aca="false">MAX(0,Q339-T339-U339)*Ipotesi!$C$92</f>
        <v>0</v>
      </c>
      <c r="W339" s="15" t="n">
        <f aca="false">MAX(0,SUM(M329:M339)+Parametri_v3!$C$55*11/12)*Ipotesi!$C$93</f>
        <v>0</v>
      </c>
      <c r="X339" s="15" t="n">
        <f aca="false">V339+W339-(V338+W338)</f>
        <v>0</v>
      </c>
      <c r="Y339" s="15" t="n">
        <f aca="false">P339-X339</f>
        <v>-35942.3032539841</v>
      </c>
      <c r="Z339" s="15" t="n">
        <f aca="false">R339-T339+IF(AND(Parametri_v3!$C$40=1,D339-YEAR(Parametri_v3!$C$50)&lt;Parametri_v3!$C$41),MAX(0,-Q339),0)</f>
        <v>1081496.32180964</v>
      </c>
      <c r="AA339" s="15" t="n">
        <f aca="false">S339-U339+IF(AND(Parametri_v3!$C$40=1,D339-YEAR(Parametri_v3!$C$50)&lt;Parametri_v3!$C$41),0,MAX(0,-Q339))</f>
        <v>0</v>
      </c>
      <c r="AB339" s="15" t="n">
        <f aca="false">F339*(1+Parametri_v3!$C$26)</f>
        <v>95551.4199316866</v>
      </c>
      <c r="AC339" s="15" t="n">
        <f aca="false">(IF(35-(INT((Motore_Operativo!L339)/30))&lt;1,0,INDEX(Motore_Startup!$AB$305:$AB$364,MAX(1,35-(INT((Motore_Operativo!L339)/30)))))*(1-(MOD((Motore_Operativo!L339),30)/30))+IF(35-(INT((Motore_Operativo!L339)/30))-1&lt;1,0,INDEX(Motore_Startup!$AB$305:$AB$364,MAX(1,35-(INT((Motore_Operativo!L339)/30))-1)))*(MOD((Motore_Operativo!L339),30)/30))</f>
        <v>86112.3158241022</v>
      </c>
      <c r="AD339" s="15" t="n">
        <f aca="false">(AD338)+AB339-AC339</f>
        <v>277270.405470736</v>
      </c>
      <c r="AE339" s="15" t="n">
        <f aca="false">Motore_Operativo!BH339*(1+Parametri_v3!$C$26)</f>
        <v>7381</v>
      </c>
      <c r="AF339" s="15" t="n">
        <f aca="false">(IF(35-(INT((Parametri_v3!$C$29)/30))&lt;1,0,INDEX(Motore_Operativo!$BH$305:$BH$364,MAX(1,35-(INT((Parametri_v3!$C$29)/30)))))*(1-(MOD((Parametri_v3!$C$29),30)/30))+IF(35-(INT((Parametri_v3!$C$29)/30))-1&lt;1,0,INDEX(Motore_Operativo!$BH$305:$BH$364,MAX(1,35-(INT((Parametri_v3!$C$29)/30))-1)))*(MOD((Parametri_v3!$C$29),30)/30))*(1+Parametri_v3!$C$26)</f>
        <v>7381</v>
      </c>
      <c r="AG339" s="15" t="n">
        <f aca="false">(AG338)+AE339-AF339</f>
        <v>7381</v>
      </c>
      <c r="AH339" s="15" t="n">
        <f aca="false">(Motore_Operativo!CJ339)*(1+Parametri_v3!$C$27*Parametri_v3!$C$26)</f>
        <v>52258.3678614052</v>
      </c>
      <c r="AI339" s="15" t="n">
        <f aca="false">(IF(35-(INT((Ipotesi!$C$91)/30))&lt;1,0,INDEX(Motore_Startup!$AH$305:$AH$364,MAX(1,35-(INT((Ipotesi!$C$91)/30)))))*(1-(MOD((Ipotesi!$C$91),30)/30))+IF(35-(INT((Ipotesi!$C$91)/30))-1&lt;1,0,INDEX(Motore_Startup!$AH$305:$AH$364,MAX(1,35-(INT((Ipotesi!$C$91)/30))-1)))*(MOD((Ipotesi!$C$91),30)/30))</f>
        <v>51404.9830596125</v>
      </c>
      <c r="AJ339" s="15" t="n">
        <f aca="false">(AJ338)+AH339-AI339</f>
        <v>104091.916498688</v>
      </c>
      <c r="AK339" s="15" t="n">
        <f aca="false">(F339+ Motore_Operativo!BH339-(Motore_Operativo!CJ339)*Parametri_v3!$C$27-Motore_Operativo!CE339)*Parametri_v3!$C$26</f>
        <v>9778.79976870998</v>
      </c>
      <c r="AL339" s="15" t="n">
        <f aca="false">MAX(0,(AM338))</f>
        <v>9283.32220209941</v>
      </c>
      <c r="AM339" s="15" t="n">
        <f aca="false">(AM338)+AK339-AL339</f>
        <v>9778.79976870997</v>
      </c>
      <c r="AN339" s="15" t="n">
        <f aca="false">SUM(X317:X328)</f>
        <v>0</v>
      </c>
      <c r="AO339" s="15" t="n">
        <f aca="false">SUM(AP317:AP328)</f>
        <v>0</v>
      </c>
      <c r="AP339" s="15" t="n">
        <f aca="false">MAX(0,AN339)*IF(11=Parametri_v3!$C$43,Parametri_v3!$C$45,IF(11=Parametri_v3!$C$44,1-Parametri_v3!$C$45,0))</f>
        <v>0</v>
      </c>
      <c r="AQ339" s="15" t="n">
        <f aca="false">MAX(0,AP339+IF(11=Parametri_v3!$C$43,MAX(0,AN339-AO339),0)-MAX(0,-(AR338)))</f>
        <v>0</v>
      </c>
      <c r="AR339" s="15" t="n">
        <f aca="false">(AR338)+X339-AQ339</f>
        <v>0</v>
      </c>
      <c r="AS339" s="15" t="n">
        <f aca="false">Motore_Operativo!AB339-AT339+AU339</f>
        <v>70559.9833333333</v>
      </c>
      <c r="AT339" s="15" t="n">
        <f aca="false">Motore_Operativo!CH339</f>
        <v>3713.68333333333</v>
      </c>
      <c r="AU339" s="15" t="n">
        <f aca="false">MIN(MAX(0,(AV338)+AT339),Parametri_v3!$C$60/12)</f>
        <v>0</v>
      </c>
      <c r="AV339" s="15" t="n">
        <f aca="false">(AV338)+AT339-AU339</f>
        <v>75458.0166666667</v>
      </c>
      <c r="AW339" s="15" t="n">
        <f aca="false">IF(AND(Motore_Operativo!C339=Finanziamenti!$D$6,Finanziamenti!$F$6=1),Finanziamenti!$C$6,0)</f>
        <v>0</v>
      </c>
      <c r="AX339" s="15" t="n">
        <f aca="false">IF(AND(6&lt;&gt;7,6&lt;&gt;9,Finanziamenti!$F$8=1,OR(Parametri_v3!$C$6=0,Finanziamenti!$E$8=1),Motore_Operativo!C339=EDATE(Finanziamenti!$D$8,Ipotesi!H15*12)),Finanziamenti!$C$8*1,0)+IF(AND(6&lt;&gt;7,6&lt;&gt;9,Finanziamenti!$F$9=1,OR(Parametri_v3!$C$6=0,Finanziamenti!$E$9=1),Motore_Operativo!C339=EDATE(Finanziamenti!$D$9,Ipotesi!H15*12)),Finanziamenti!$C$9*Ipotesi!H16,0)</f>
        <v>0</v>
      </c>
      <c r="AY339" s="15" t="n">
        <f aca="false">0</f>
        <v>0</v>
      </c>
      <c r="AZ339" s="15" t="n">
        <f aca="false">Motore_Advisory!AY339*(1-Ipotesi!$C$95)*Ipotesi!$C$96</f>
        <v>0</v>
      </c>
      <c r="BA339" s="15" t="n">
        <f aca="false">MAX(0,MIN(CG339*MIN(1,IF(Motore_Operativo!C339&gt;=EDATE(Finanziamenti!$D$15,Ipotesi!H14*12),Finanziamenti!$C$15,0)+IF(Motore_Operativo!C339&gt;=EDATE(Finanziamenti!$D$16,Ipotesi!H14*12),Finanziamenti!$C$16,0)+IF(Motore_Operativo!C339&gt;=EDATE(Finanziamenti!$D$17,Ipotesi!H14*12),Finanziamenti!$C$17,0)),CA339*Ipotesi!$C$102)-(CC338))</f>
        <v>0</v>
      </c>
      <c r="BB339" s="15" t="n">
        <f aca="false">IF(AND(CF339&gt;0,Motore_Operativo!C339&gt;=IF(CF339=0,0,EDATE(CF339,Parametri_v3!$C$37)),MOD(((D339-YEAR(IF(CF339=0,0,EDATE(CF339,Parametri_v3!$C$37))))*12+E339-MONTH(IF(CF339=0,0,EDATE(CF339,Parametri_v3!$C$37)))),Parametri_v3!$C$38)=0),MIN(MAX(0,(BC338)+BA339-N339),(CC339-CD339)/(Ipotesi!$C$108*12/Parametri_v3!$C$38)),0)</f>
        <v>0</v>
      </c>
      <c r="BC339" s="15" t="n">
        <f aca="false">(BC338)+BA339-N339-BB339</f>
        <v>0</v>
      </c>
      <c r="BD339" s="15" t="n">
        <f aca="false">(BH338)+AC339+AF339-AI339-AS339-K339*(1+Parametri_v3!$C$26)-AL339-AQ339-O339+AW339+AX339+AZ339+BA339-BB339</f>
        <v>113806.00565369</v>
      </c>
      <c r="BE339" s="15" t="n">
        <f aca="false">MAX(0,MIN(MAX(0,CH339-(BG338)),Parametri_v3!$C$30-BD339))</f>
        <v>0</v>
      </c>
      <c r="BF339" s="15" t="n">
        <f aca="false">IF(Motore_Operativo!C339&gt;=Parametri_v3!$C$63,(BG338),MIN((BG338),MAX(0,BD339-Parametri_v3!$C$30)))</f>
        <v>0</v>
      </c>
      <c r="BG339" s="15" t="n">
        <f aca="false">(BG338)+BE339-BF339</f>
        <v>0</v>
      </c>
      <c r="BH339" s="15" t="n">
        <f aca="false">BD339+BE339-BF339-AY339</f>
        <v>113806.00565369</v>
      </c>
      <c r="BI339" s="15" t="n">
        <f aca="false">MAX(0,Parametri_v3!$C$30-BH339)</f>
        <v>0</v>
      </c>
      <c r="BJ339" s="15" t="n">
        <f aca="false">(BJ338)+K339</f>
        <v>72500</v>
      </c>
      <c r="BK339" s="15" t="n">
        <f aca="false">(BK338)+L339</f>
        <v>33125</v>
      </c>
      <c r="BL339" s="15" t="n">
        <f aca="false">BJ339-BK339</f>
        <v>39375</v>
      </c>
      <c r="BM339" s="15" t="n">
        <f aca="false">(BM338)+Y339</f>
        <v>-1081496.32180964</v>
      </c>
      <c r="BN339" s="15" t="n">
        <f aca="false">(BN338)+AW339+AX339+AZ339</f>
        <v>1330000</v>
      </c>
      <c r="BO339" s="15" t="n">
        <f aca="false">(BO338)+AY339</f>
        <v>0</v>
      </c>
      <c r="BP339" s="15" t="n">
        <f aca="false">0</f>
        <v>0</v>
      </c>
      <c r="BQ339" s="15" t="n">
        <f aca="false">BN339+BM339-BO339</f>
        <v>248503.678190361</v>
      </c>
      <c r="BR339" s="15" t="n">
        <f aca="false">BH339+AD339+BL339+MAX(0,-AM339)+MAX(0,-AR339)+AG339</f>
        <v>437832.411124426</v>
      </c>
      <c r="BS339" s="15" t="n">
        <f aca="false">AJ339+AV339+MAX(0,AM339)+MAX(0,AR339)+BC339+BG339+BQ339</f>
        <v>437832.411124427</v>
      </c>
      <c r="BT339" s="15" t="n">
        <f aca="false">BR339-BS339</f>
        <v>0</v>
      </c>
      <c r="BU339" s="15" t="n">
        <f aca="false">BH339-(BD339+BE339-BF339-AY339)</f>
        <v>0</v>
      </c>
      <c r="BV339" s="15" t="n">
        <f aca="false">MIN(Piano_SS!$C$6,(BV338)+IF(AND(Motore_Operativo!C339&gt;=EDATE(Parametri_v3!$C$24,Ipotesi!H14*12),Motore_Operativo!C339&lt;EDATE(Parametri_v3!$C$24,Parametri_v3!$C$25+Ipotesi!H14*12)),MAX(0,(Motore_Operativo!Y339+Motore_Operativo!X339*Parametri_v3!$C$14)*(1-Parametri_v3!$C$32))*Piano_SS!$D$6,0))</f>
        <v>300000</v>
      </c>
      <c r="BW339" s="15" t="n">
        <f aca="false">MIN(Piano_SS!$C$7,(BW338)+IF(AND(Motore_Operativo!C339&gt;=EDATE(Parametri_v3!$C$24,Ipotesi!H14*12),Motore_Operativo!C339&lt;EDATE(Parametri_v3!$C$24,Parametri_v3!$C$25+Ipotesi!H14*12)),MAX(0,(IF(35-(INT((Ipotesi!$C$91)/30))&lt;1,0,INDEX(Motore_Operativo!$BN$305:$BN$364,MAX(1,35-(INT((Ipotesi!$C$91)/30)))))*(1-(MOD((Ipotesi!$C$91),30)/30))+IF(35-(INT((Ipotesi!$C$91)/30))-1&lt;1,0,INDEX(Motore_Operativo!$BN$305:$BN$364,MAX(1,35-(INT((Ipotesi!$C$91)/30))-1)))*(MOD((Ipotesi!$C$91),30)/30)))*Piano_SS!$D$7,0))</f>
        <v>41058.9230070837</v>
      </c>
      <c r="BX339" s="15" t="n">
        <f aca="false">MIN(Piano_SS!$C$8,(BX338)+IF(AND(Motore_Operativo!C339&gt;=EDATE(Parametri_v3!$C$24,Ipotesi!H14*12),Motore_Operativo!C339&lt;EDATE(Parametri_v3!$C$24,Parametri_v3!$C$25+Ipotesi!H14*12)),MAX(0,Motore_Operativo!CE339)*Piano_SS!$D$8,0))</f>
        <v>50000</v>
      </c>
      <c r="BY339" s="15" t="n">
        <f aca="false">MIN(Piano_SS!$C$9,(BY338)+IF(AND(Motore_Operativo!C339&gt;=EDATE(Parametri_v3!$C$24,Ipotesi!H14*12),Motore_Operativo!C339&lt;EDATE(Parametri_v3!$C$24,Parametri_v3!$C$25+Ipotesi!H14*12)),MAX(0,((IF(35-(INT((Ipotesi!$C$91)/30))&lt;1,0,INDEX(Motore_Operativo!$BQ$305:$BQ$364,MAX(1,35-(INT((Ipotesi!$C$91)/30)))))*(1-(MOD((Ipotesi!$C$91),30)/30))+IF(35-(INT((Ipotesi!$C$91)/30))-1&lt;1,0,INDEX(Motore_Operativo!$BQ$305:$BQ$364,MAX(1,35-(INT((Ipotesi!$C$91)/30))-1)))*(MOD((Ipotesi!$C$91),30)/30))+(IF(35-(INT((Ipotesi!$C$91)/30))&lt;1,0,INDEX(Motore_Operativo!$BR$305:$BR$364,MAX(1,35-(INT((Ipotesi!$C$91)/30)))))*(1-(MOD((Ipotesi!$C$91),30)/30))+IF(35-(INT((Ipotesi!$C$91)/30))-1&lt;1,0,INDEX(Motore_Operativo!$BR$305:$BR$364,MAX(1,35-(INT((Ipotesi!$C$91)/30))-1)))*(MOD((Ipotesi!$C$91),30)/30))))*Piano_SS!$D$9,0))</f>
        <v>40000</v>
      </c>
      <c r="BZ339" s="15" t="n">
        <f aca="false">MIN(Piano_SS!$C$10,(BZ338)+IF(AND(Motore_Operativo!C339&gt;=EDATE(Parametri_v3!$C$24,Ipotesi!H14*12),Motore_Operativo!C339&lt;EDATE(Parametri_v3!$C$24,Parametri_v3!$C$25+Ipotesi!H14*12)),MAX(0,(IF(35-(INT((Ipotesi!$C$91)/30))&lt;1,0,INDEX(Motore_Operativo!$BO$305:$BO$364,MAX(1,35-(INT((Ipotesi!$C$91)/30)))))*(1-(MOD((Ipotesi!$C$91),30)/30))+IF(35-(INT((Ipotesi!$C$91)/30))-1&lt;1,0,INDEX(Motore_Operativo!$BO$305:$BO$364,MAX(1,35-(INT((Ipotesi!$C$91)/30))-1)))*(MOD((Ipotesi!$C$91),30)/30)))*Piano_SS!$D$10,0))</f>
        <v>30000</v>
      </c>
      <c r="CA339" s="15" t="n">
        <f aca="false">SUM(BV339:BZ339)</f>
        <v>461058.923007084</v>
      </c>
      <c r="CB339" s="15" t="n">
        <f aca="false">BV339*(1-Piano_SS!$E$6)+BW339*(1-Piano_SS!$E$7)+BX339*(1-Piano_SS!$E$8)+BY339*(1-Piano_SS!$E$9)+BZ339*(1-Piano_SS!$E$10)</f>
        <v>431058.923007084</v>
      </c>
      <c r="CC339" s="15" t="n">
        <f aca="false">(CC338)+BA339</f>
        <v>0</v>
      </c>
      <c r="CD339" s="15" t="n">
        <f aca="false">IF(CA339=0,0,CC339*CB339/CA339*Ipotesi!$C$103*Parametri_v3!$C$64)</f>
        <v>0</v>
      </c>
      <c r="CE339" s="18" t="n">
        <f aca="false">IF(BA339&gt;0,Motore_Operativo!C339,(CE338))</f>
        <v>0</v>
      </c>
      <c r="CF339" s="18" t="n">
        <f aca="false">IF(AND(CC339&gt;0,OR(CC339&gt;=CG339-0.01,Motore_Operativo!C339&gt;=EDATE(MAX(Finanziamenti!$D$15:$D$17),Ipotesi!H14*12))),CE339,0)</f>
        <v>0</v>
      </c>
      <c r="CG339" s="15" t="n">
        <f aca="false">IF(AND(6&lt;&gt;6,6&lt;&gt;9,Finanziamenti!$F$11=1,OR(Parametri_v3!$C$6=0,Finanziamenti!$E$11=1)),MIN(Finanziamenti!$C$11,Piano_SS!$C$12*Ipotesi!$C$102),0)</f>
        <v>0</v>
      </c>
      <c r="CH339" s="15" t="n">
        <f aca="false">IF(AND(AND(6&lt;&gt;8,6&lt;&gt;9,Finanziamenti!$F$10=1,OR(Parametri_v3!$C$6=0,Finanziamenti!$E$10=1)),Motore_Operativo!C339&gt;=Finanziamenti!$D$10,Motore_Operativo!C339&lt;Parametri_v3!$C$63),Finanziamenti!$C$10,0)</f>
        <v>150000</v>
      </c>
    </row>
    <row r="340" customFormat="false" ht="18" hidden="false" customHeight="true" outlineLevel="0" collapsed="false">
      <c r="A340" s="68" t="n">
        <f aca="false">6</f>
        <v>6</v>
      </c>
      <c r="B340" s="68" t="n">
        <f aca="false">36</f>
        <v>36</v>
      </c>
      <c r="C340" s="18" t="n">
        <f aca="false">Motore_Operativo!C340</f>
        <v>47453</v>
      </c>
      <c r="D340" s="68" t="n">
        <f aca="false">Motore_Operativo!D340</f>
        <v>2029</v>
      </c>
      <c r="E340" s="68" t="n">
        <f aca="false">Motore_Operativo!E340</f>
        <v>12</v>
      </c>
      <c r="F340" s="15" t="n">
        <f aca="false">Motore_Operativo!AQ340+Motore_Operativo!BF340</f>
        <v>80854.8691046492</v>
      </c>
      <c r="G340" s="15" t="n">
        <f aca="false">Motore_Operativo!BH340</f>
        <v>6050</v>
      </c>
      <c r="H340" s="15" t="n">
        <f aca="false">Motore_Operativo!BI340</f>
        <v>86904.8691046492</v>
      </c>
      <c r="I340" s="15" t="n">
        <f aca="false">Motore_Operativo!CA340</f>
        <v>118654.015007984</v>
      </c>
      <c r="J340" s="15" t="n">
        <f aca="false">Motore_Operativo!CC340</f>
        <v>-31749.145903335</v>
      </c>
      <c r="K340" s="15" t="n">
        <f aca="false">Motore_Operativo!CE340</f>
        <v>2500</v>
      </c>
      <c r="L340" s="15" t="n">
        <f aca="false">SUM(INDEX($K$305:$K$364,MAX(1,36-Parametri_v3!$C$59+1)):K340)/Parametri_v3!$C$59</f>
        <v>2083.33333333333</v>
      </c>
      <c r="M340" s="15" t="n">
        <f aca="false">J340-L340</f>
        <v>-33832.4792366684</v>
      </c>
      <c r="N340" s="15" t="n">
        <f aca="false">CD340-(CD339)</f>
        <v>0</v>
      </c>
      <c r="O340" s="15" t="n">
        <f aca="false">(BG339)*Ipotesi!$C$110/12+CH340*Parametri_v3!$C$39/12</f>
        <v>0</v>
      </c>
      <c r="P340" s="15" t="n">
        <f aca="false">M340+N340-O340</f>
        <v>-33832.4792366684</v>
      </c>
      <c r="Q340" s="15" t="n">
        <f aca="false">SUM(P329:P340)+Parametri_v3!$C$54*12/12</f>
        <v>-545959.292952436</v>
      </c>
      <c r="R340" s="15" t="n">
        <f aca="false">Z328</f>
        <v>569369.508093871</v>
      </c>
      <c r="S340" s="15" t="n">
        <f aca="false">AA328</f>
        <v>0</v>
      </c>
      <c r="T340" s="15" t="n">
        <f aca="false">MIN(R340,MAX(0,Q340))</f>
        <v>0</v>
      </c>
      <c r="U340" s="15" t="n">
        <f aca="false">MIN(S340,MAX(0,Q340-T340)*Parametri_v3!$C$42)</f>
        <v>0</v>
      </c>
      <c r="V340" s="15" t="n">
        <f aca="false">MAX(0,Q340-T340-U340)*Ipotesi!$C$92</f>
        <v>0</v>
      </c>
      <c r="W340" s="15" t="n">
        <f aca="false">MAX(0,SUM(M329:M340)+Parametri_v3!$C$55*12/12)*Ipotesi!$C$93</f>
        <v>0</v>
      </c>
      <c r="X340" s="15" t="n">
        <f aca="false">V340+W340-(V339+W339)</f>
        <v>0</v>
      </c>
      <c r="Y340" s="15" t="n">
        <f aca="false">P340-X340</f>
        <v>-33832.4792366684</v>
      </c>
      <c r="Z340" s="15" t="n">
        <f aca="false">R340-T340+IF(AND(Parametri_v3!$C$40=1,D340-YEAR(Parametri_v3!$C$50)&lt;Parametri_v3!$C$41),MAX(0,-Q340),0)</f>
        <v>1115328.80104631</v>
      </c>
      <c r="AA340" s="15" t="n">
        <f aca="false">S340-U340+IF(AND(Parametri_v3!$C$40=1,D340-YEAR(Parametri_v3!$C$50)&lt;Parametri_v3!$C$41),0,MAX(0,-Q340))</f>
        <v>0</v>
      </c>
      <c r="AB340" s="15" t="n">
        <f aca="false">F340*(1+Parametri_v3!$C$26)</f>
        <v>98642.9403076721</v>
      </c>
      <c r="AC340" s="15" t="n">
        <f aca="false">(IF(36-(INT((Motore_Operativo!L340)/30))&lt;1,0,INDEX(Motore_Startup!$AB$305:$AB$364,MAX(1,36-(INT((Motore_Operativo!L340)/30)))))*(1-(MOD((Motore_Operativo!L340),30)/30))+IF(36-(INT((Motore_Operativo!L340)/30))-1&lt;1,0,INDEX(Motore_Startup!$AB$305:$AB$364,MAX(1,36-(INT((Motore_Operativo!L340)/30))-1)))*(MOD((Motore_Operativo!L340),30)/30))</f>
        <v>89286.349175957</v>
      </c>
      <c r="AD340" s="15" t="n">
        <f aca="false">(AD339)+AB340-AC340</f>
        <v>286626.996602451</v>
      </c>
      <c r="AE340" s="15" t="n">
        <f aca="false">Motore_Operativo!BH340*(1+Parametri_v3!$C$26)</f>
        <v>7381</v>
      </c>
      <c r="AF340" s="15" t="n">
        <f aca="false">(IF(36-(INT((Parametri_v3!$C$29)/30))&lt;1,0,INDEX(Motore_Operativo!$BH$305:$BH$364,MAX(1,36-(INT((Parametri_v3!$C$29)/30)))))*(1-(MOD((Parametri_v3!$C$29),30)/30))+IF(36-(INT((Parametri_v3!$C$29)/30))-1&lt;1,0,INDEX(Motore_Operativo!$BH$305:$BH$364,MAX(1,36-(INT((Parametri_v3!$C$29)/30))-1)))*(MOD((Parametri_v3!$C$29),30)/30))*(1+Parametri_v3!$C$26)</f>
        <v>7381</v>
      </c>
      <c r="AG340" s="15" t="n">
        <f aca="false">(AG339)+AE340-AF340</f>
        <v>7381</v>
      </c>
      <c r="AH340" s="15" t="n">
        <f aca="false">(Motore_Operativo!CJ340)*(1+Parametri_v3!$C$27*Parametri_v3!$C$26)</f>
        <v>52679.4734811439</v>
      </c>
      <c r="AI340" s="15" t="n">
        <f aca="false">(IF(36-(INT((Ipotesi!$C$91)/30))&lt;1,0,INDEX(Motore_Startup!$AH$305:$AH$364,MAX(1,36-(INT((Ipotesi!$C$91)/30)))))*(1-(MOD((Ipotesi!$C$91),30)/30))+IF(36-(INT((Ipotesi!$C$91)/30))-1&lt;1,0,INDEX(Motore_Startup!$AH$305:$AH$364,MAX(1,36-(INT((Ipotesi!$C$91)/30))-1)))*(MOD((Ipotesi!$C$91),30)/30))</f>
        <v>51833.5486372831</v>
      </c>
      <c r="AJ340" s="15" t="n">
        <f aca="false">(AJ339)+AH340-AI340</f>
        <v>104937.841342549</v>
      </c>
      <c r="AK340" s="15" t="n">
        <f aca="false">(F340+ Motore_Operativo!BH340-(Motore_Operativo!CJ340)*Parametri_v3!$C$27-Motore_Operativo!CE340)*Parametri_v3!$C$26</f>
        <v>10269.9460631964</v>
      </c>
      <c r="AL340" s="15" t="n">
        <f aca="false">MAX(0,(AM339))</f>
        <v>9778.79976870997</v>
      </c>
      <c r="AM340" s="15" t="n">
        <f aca="false">(AM339)+AK340-AL340</f>
        <v>10269.9460631964</v>
      </c>
      <c r="AN340" s="15" t="n">
        <f aca="false">SUM(X317:X328)</f>
        <v>0</v>
      </c>
      <c r="AO340" s="15" t="n">
        <f aca="false">SUM(AP317:AP328)</f>
        <v>0</v>
      </c>
      <c r="AP340" s="15" t="n">
        <f aca="false">MAX(0,AN340)*IF(12=Parametri_v3!$C$43,Parametri_v3!$C$45,IF(12=Parametri_v3!$C$44,1-Parametri_v3!$C$45,0))</f>
        <v>0</v>
      </c>
      <c r="AQ340" s="15" t="n">
        <f aca="false">MAX(0,AP340+IF(12=Parametri_v3!$C$43,MAX(0,AN340-AO340),0)-MAX(0,-(AR339)))</f>
        <v>0</v>
      </c>
      <c r="AR340" s="15" t="n">
        <f aca="false">(AR339)+X340-AQ340</f>
        <v>0</v>
      </c>
      <c r="AS340" s="15" t="n">
        <f aca="false">Motore_Operativo!AB340-AT340+AU340</f>
        <v>70559.9833333333</v>
      </c>
      <c r="AT340" s="15" t="n">
        <f aca="false">Motore_Operativo!CH340</f>
        <v>3713.68333333333</v>
      </c>
      <c r="AU340" s="15" t="n">
        <f aca="false">MIN(MAX(0,(AV339)+AT340),Parametri_v3!$C$60/12)</f>
        <v>0</v>
      </c>
      <c r="AV340" s="15" t="n">
        <f aca="false">(AV339)+AT340-AU340</f>
        <v>79171.7</v>
      </c>
      <c r="AW340" s="15" t="n">
        <f aca="false">IF(AND(Motore_Operativo!C340=Finanziamenti!$D$6,Finanziamenti!$F$6=1),Finanziamenti!$C$6,0)</f>
        <v>0</v>
      </c>
      <c r="AX340" s="15" t="n">
        <f aca="false">IF(AND(6&lt;&gt;7,6&lt;&gt;9,Finanziamenti!$F$8=1,OR(Parametri_v3!$C$6=0,Finanziamenti!$E$8=1),Motore_Operativo!C340=EDATE(Finanziamenti!$D$8,Ipotesi!H15*12)),Finanziamenti!$C$8*1,0)+IF(AND(6&lt;&gt;7,6&lt;&gt;9,Finanziamenti!$F$9=1,OR(Parametri_v3!$C$6=0,Finanziamenti!$E$9=1),Motore_Operativo!C340=EDATE(Finanziamenti!$D$9,Ipotesi!H15*12)),Finanziamenti!$C$9*Ipotesi!H16,0)</f>
        <v>0</v>
      </c>
      <c r="AY340" s="15" t="n">
        <f aca="false">0</f>
        <v>0</v>
      </c>
      <c r="AZ340" s="15" t="n">
        <f aca="false">Motore_Advisory!AY340*(1-Ipotesi!$C$95)*Ipotesi!$C$96</f>
        <v>0</v>
      </c>
      <c r="BA340" s="15" t="n">
        <f aca="false">MAX(0,MIN(CG340*MIN(1,IF(Motore_Operativo!C340&gt;=EDATE(Finanziamenti!$D$15,Ipotesi!H14*12),Finanziamenti!$C$15,0)+IF(Motore_Operativo!C340&gt;=EDATE(Finanziamenti!$D$16,Ipotesi!H14*12),Finanziamenti!$C$16,0)+IF(Motore_Operativo!C340&gt;=EDATE(Finanziamenti!$D$17,Ipotesi!H14*12),Finanziamenti!$C$17,0)),CA340*Ipotesi!$C$102)-(CC339))</f>
        <v>0</v>
      </c>
      <c r="BB340" s="15" t="n">
        <f aca="false">IF(AND(CF340&gt;0,Motore_Operativo!C340&gt;=IF(CF340=0,0,EDATE(CF340,Parametri_v3!$C$37)),MOD(((D340-YEAR(IF(CF340=0,0,EDATE(CF340,Parametri_v3!$C$37))))*12+E340-MONTH(IF(CF340=0,0,EDATE(CF340,Parametri_v3!$C$37)))),Parametri_v3!$C$38)=0),MIN(MAX(0,(BC339)+BA340-N340),(CC340-CD340)/(Ipotesi!$C$108*12/Parametri_v3!$C$38)),0)</f>
        <v>0</v>
      </c>
      <c r="BC340" s="15" t="n">
        <f aca="false">(BC339)+BA340-N340-BB340</f>
        <v>0</v>
      </c>
      <c r="BD340" s="15" t="n">
        <f aca="false">(BH339)+AC340+AF340-AI340-AS340-K340*(1+Parametri_v3!$C$26)-AL340-AQ340-O340+AW340+AX340+AZ340+BA340-BB340</f>
        <v>75251.0230903207</v>
      </c>
      <c r="BE340" s="15" t="n">
        <f aca="false">MAX(0,MIN(MAX(0,CH340-(BG339)),Parametri_v3!$C$30-BD340))</f>
        <v>0</v>
      </c>
      <c r="BF340" s="15" t="n">
        <f aca="false">IF(Motore_Operativo!C340&gt;=Parametri_v3!$C$63,(BG339),MIN((BG339),MAX(0,BD340-Parametri_v3!$C$30)))</f>
        <v>0</v>
      </c>
      <c r="BG340" s="15" t="n">
        <f aca="false">(BG339)+BE340-BF340</f>
        <v>0</v>
      </c>
      <c r="BH340" s="15" t="n">
        <f aca="false">BD340+BE340-BF340-AY340</f>
        <v>75251.0230903207</v>
      </c>
      <c r="BI340" s="15" t="n">
        <f aca="false">MAX(0,Parametri_v3!$C$30-BH340)</f>
        <v>0</v>
      </c>
      <c r="BJ340" s="15" t="n">
        <f aca="false">(BJ339)+K340</f>
        <v>75000</v>
      </c>
      <c r="BK340" s="15" t="n">
        <f aca="false">(BK339)+L340</f>
        <v>35208.3333333333</v>
      </c>
      <c r="BL340" s="15" t="n">
        <f aca="false">BJ340-BK340</f>
        <v>39791.6666666667</v>
      </c>
      <c r="BM340" s="15" t="n">
        <f aca="false">(BM339)+Y340</f>
        <v>-1115328.80104631</v>
      </c>
      <c r="BN340" s="15" t="n">
        <f aca="false">(BN339)+AW340+AX340+AZ340</f>
        <v>1330000</v>
      </c>
      <c r="BO340" s="15" t="n">
        <f aca="false">(BO339)+AY340</f>
        <v>0</v>
      </c>
      <c r="BP340" s="15" t="n">
        <f aca="false">0</f>
        <v>0</v>
      </c>
      <c r="BQ340" s="15" t="n">
        <f aca="false">BN340+BM340-BO340</f>
        <v>214671.198953693</v>
      </c>
      <c r="BR340" s="15" t="n">
        <f aca="false">BH340+AD340+BL340+MAX(0,-AM340)+MAX(0,-AR340)+AG340</f>
        <v>409050.686359439</v>
      </c>
      <c r="BS340" s="15" t="n">
        <f aca="false">AJ340+AV340+MAX(0,AM340)+MAX(0,AR340)+BC340+BG340+BQ340</f>
        <v>409050.686359439</v>
      </c>
      <c r="BT340" s="15" t="n">
        <f aca="false">BR340-BS340</f>
        <v>0</v>
      </c>
      <c r="BU340" s="15" t="n">
        <f aca="false">BH340-(BD340+BE340-BF340-AY340)</f>
        <v>0</v>
      </c>
      <c r="BV340" s="15" t="n">
        <f aca="false">MIN(Piano_SS!$C$6,(BV339)+IF(AND(Motore_Operativo!C340&gt;=EDATE(Parametri_v3!$C$24,Ipotesi!H14*12),Motore_Operativo!C340&lt;EDATE(Parametri_v3!$C$24,Parametri_v3!$C$25+Ipotesi!H14*12)),MAX(0,(Motore_Operativo!Y340+Motore_Operativo!X340*Parametri_v3!$C$14)*(1-Parametri_v3!$C$32))*Piano_SS!$D$6,0))</f>
        <v>300000</v>
      </c>
      <c r="BW340" s="15" t="n">
        <f aca="false">MIN(Piano_SS!$C$7,(BW339)+IF(AND(Motore_Operativo!C340&gt;=EDATE(Parametri_v3!$C$24,Ipotesi!H14*12),Motore_Operativo!C340&lt;EDATE(Parametri_v3!$C$24,Parametri_v3!$C$25+Ipotesi!H14*12)),MAX(0,(IF(36-(INT((Ipotesi!$C$91)/30))&lt;1,0,INDEX(Motore_Operativo!$BN$305:$BN$364,MAX(1,36-(INT((Ipotesi!$C$91)/30)))))*(1-(MOD((Ipotesi!$C$91),30)/30))+IF(36-(INT((Ipotesi!$C$91)/30))-1&lt;1,0,INDEX(Motore_Operativo!$BN$305:$BN$364,MAX(1,36-(INT((Ipotesi!$C$91)/30))-1)))*(MOD((Ipotesi!$C$91),30)/30)))*Piano_SS!$D$7,0))</f>
        <v>41058.9230070837</v>
      </c>
      <c r="BX340" s="15" t="n">
        <f aca="false">MIN(Piano_SS!$C$8,(BX339)+IF(AND(Motore_Operativo!C340&gt;=EDATE(Parametri_v3!$C$24,Ipotesi!H14*12),Motore_Operativo!C340&lt;EDATE(Parametri_v3!$C$24,Parametri_v3!$C$25+Ipotesi!H14*12)),MAX(0,Motore_Operativo!CE340)*Piano_SS!$D$8,0))</f>
        <v>50000</v>
      </c>
      <c r="BY340" s="15" t="n">
        <f aca="false">MIN(Piano_SS!$C$9,(BY339)+IF(AND(Motore_Operativo!C340&gt;=EDATE(Parametri_v3!$C$24,Ipotesi!H14*12),Motore_Operativo!C340&lt;EDATE(Parametri_v3!$C$24,Parametri_v3!$C$25+Ipotesi!H14*12)),MAX(0,((IF(36-(INT((Ipotesi!$C$91)/30))&lt;1,0,INDEX(Motore_Operativo!$BQ$305:$BQ$364,MAX(1,36-(INT((Ipotesi!$C$91)/30)))))*(1-(MOD((Ipotesi!$C$91),30)/30))+IF(36-(INT((Ipotesi!$C$91)/30))-1&lt;1,0,INDEX(Motore_Operativo!$BQ$305:$BQ$364,MAX(1,36-(INT((Ipotesi!$C$91)/30))-1)))*(MOD((Ipotesi!$C$91),30)/30))+(IF(36-(INT((Ipotesi!$C$91)/30))&lt;1,0,INDEX(Motore_Operativo!$BR$305:$BR$364,MAX(1,36-(INT((Ipotesi!$C$91)/30)))))*(1-(MOD((Ipotesi!$C$91),30)/30))+IF(36-(INT((Ipotesi!$C$91)/30))-1&lt;1,0,INDEX(Motore_Operativo!$BR$305:$BR$364,MAX(1,36-(INT((Ipotesi!$C$91)/30))-1)))*(MOD((Ipotesi!$C$91),30)/30))))*Piano_SS!$D$9,0))</f>
        <v>40000</v>
      </c>
      <c r="BZ340" s="15" t="n">
        <f aca="false">MIN(Piano_SS!$C$10,(BZ339)+IF(AND(Motore_Operativo!C340&gt;=EDATE(Parametri_v3!$C$24,Ipotesi!H14*12),Motore_Operativo!C340&lt;EDATE(Parametri_v3!$C$24,Parametri_v3!$C$25+Ipotesi!H14*12)),MAX(0,(IF(36-(INT((Ipotesi!$C$91)/30))&lt;1,0,INDEX(Motore_Operativo!$BO$305:$BO$364,MAX(1,36-(INT((Ipotesi!$C$91)/30)))))*(1-(MOD((Ipotesi!$C$91),30)/30))+IF(36-(INT((Ipotesi!$C$91)/30))-1&lt;1,0,INDEX(Motore_Operativo!$BO$305:$BO$364,MAX(1,36-(INT((Ipotesi!$C$91)/30))-1)))*(MOD((Ipotesi!$C$91),30)/30)))*Piano_SS!$D$10,0))</f>
        <v>30000</v>
      </c>
      <c r="CA340" s="15" t="n">
        <f aca="false">SUM(BV340:BZ340)</f>
        <v>461058.923007084</v>
      </c>
      <c r="CB340" s="15" t="n">
        <f aca="false">BV340*(1-Piano_SS!$E$6)+BW340*(1-Piano_SS!$E$7)+BX340*(1-Piano_SS!$E$8)+BY340*(1-Piano_SS!$E$9)+BZ340*(1-Piano_SS!$E$10)</f>
        <v>431058.923007084</v>
      </c>
      <c r="CC340" s="15" t="n">
        <f aca="false">(CC339)+BA340</f>
        <v>0</v>
      </c>
      <c r="CD340" s="15" t="n">
        <f aca="false">IF(CA340=0,0,CC340*CB340/CA340*Ipotesi!$C$103*Parametri_v3!$C$64)</f>
        <v>0</v>
      </c>
      <c r="CE340" s="18" t="n">
        <f aca="false">IF(BA340&gt;0,Motore_Operativo!C340,(CE339))</f>
        <v>0</v>
      </c>
      <c r="CF340" s="18" t="n">
        <f aca="false">IF(AND(CC340&gt;0,OR(CC340&gt;=CG340-0.01,Motore_Operativo!C340&gt;=EDATE(MAX(Finanziamenti!$D$15:$D$17),Ipotesi!H14*12))),CE340,0)</f>
        <v>0</v>
      </c>
      <c r="CG340" s="15" t="n">
        <f aca="false">IF(AND(6&lt;&gt;6,6&lt;&gt;9,Finanziamenti!$F$11=1,OR(Parametri_v3!$C$6=0,Finanziamenti!$E$11=1)),MIN(Finanziamenti!$C$11,Piano_SS!$C$12*Ipotesi!$C$102),0)</f>
        <v>0</v>
      </c>
      <c r="CH340" s="15" t="n">
        <f aca="false">IF(AND(AND(6&lt;&gt;8,6&lt;&gt;9,Finanziamenti!$F$10=1,OR(Parametri_v3!$C$6=0,Finanziamenti!$E$10=1)),Motore_Operativo!C340&gt;=Finanziamenti!$D$10,Motore_Operativo!C340&lt;Parametri_v3!$C$63),Finanziamenti!$C$10,0)</f>
        <v>150000</v>
      </c>
    </row>
    <row r="341" customFormat="false" ht="18" hidden="false" customHeight="true" outlineLevel="0" collapsed="false">
      <c r="A341" s="68" t="n">
        <f aca="false">6</f>
        <v>6</v>
      </c>
      <c r="B341" s="68" t="n">
        <f aca="false">37</f>
        <v>37</v>
      </c>
      <c r="C341" s="18" t="n">
        <f aca="false">Motore_Operativo!C341</f>
        <v>47484</v>
      </c>
      <c r="D341" s="68" t="n">
        <f aca="false">Motore_Operativo!D341</f>
        <v>2030</v>
      </c>
      <c r="E341" s="68" t="n">
        <f aca="false">Motore_Operativo!E341</f>
        <v>1</v>
      </c>
      <c r="F341" s="15" t="n">
        <f aca="false">Motore_Operativo!AQ341+Motore_Operativo!BF341</f>
        <v>109981.50531234</v>
      </c>
      <c r="G341" s="15" t="n">
        <f aca="false">Motore_Operativo!BH341</f>
        <v>9024.16666666667</v>
      </c>
      <c r="H341" s="15" t="n">
        <f aca="false">Motore_Operativo!BI341</f>
        <v>119005.671979006</v>
      </c>
      <c r="I341" s="15" t="n">
        <f aca="false">Motore_Operativo!CA341</f>
        <v>155002.886368728</v>
      </c>
      <c r="J341" s="15" t="n">
        <f aca="false">Motore_Operativo!CC341</f>
        <v>-35997.2143897212</v>
      </c>
      <c r="K341" s="15" t="n">
        <f aca="false">Motore_Operativo!CE341</f>
        <v>3333.33333333333</v>
      </c>
      <c r="L341" s="15" t="n">
        <f aca="false">SUM(INDEX($K$305:$K$364,MAX(1,37-Parametri_v3!$C$59+1)):K341)/Parametri_v3!$C$59</f>
        <v>2129.62962962963</v>
      </c>
      <c r="M341" s="15" t="n">
        <f aca="false">J341-L341</f>
        <v>-38126.8440193509</v>
      </c>
      <c r="N341" s="15" t="n">
        <f aca="false">CD341-(CD340)</f>
        <v>0</v>
      </c>
      <c r="O341" s="15" t="n">
        <f aca="false">(BG340)*Ipotesi!$C$110/12+CH341*Parametri_v3!$C$39/12</f>
        <v>0</v>
      </c>
      <c r="P341" s="15" t="n">
        <f aca="false">M341+N341-O341</f>
        <v>-38126.8440193509</v>
      </c>
      <c r="Q341" s="15" t="n">
        <f aca="false">SUM(P341)+Parametri_v3!$C$54*1/12</f>
        <v>-38126.8440193509</v>
      </c>
      <c r="R341" s="15" t="n">
        <f aca="false">Z340</f>
        <v>1115328.80104631</v>
      </c>
      <c r="S341" s="15" t="n">
        <f aca="false">AA340</f>
        <v>0</v>
      </c>
      <c r="T341" s="15" t="n">
        <f aca="false">MIN(R341,MAX(0,Q341))</f>
        <v>0</v>
      </c>
      <c r="U341" s="15" t="n">
        <f aca="false">MIN(S341,MAX(0,Q341-T341)*Parametri_v3!$C$42)</f>
        <v>0</v>
      </c>
      <c r="V341" s="15" t="n">
        <f aca="false">MAX(0,Q341-T341-U341)*Ipotesi!$C$92</f>
        <v>0</v>
      </c>
      <c r="W341" s="15" t="n">
        <f aca="false">MAX(0,SUM(M341)+Parametri_v3!$C$55*1/12)*Ipotesi!$C$93</f>
        <v>0</v>
      </c>
      <c r="X341" s="15" t="n">
        <f aca="false">V341+W341-(0)</f>
        <v>0</v>
      </c>
      <c r="Y341" s="15" t="n">
        <f aca="false">P341-X341</f>
        <v>-38126.8440193509</v>
      </c>
      <c r="Z341" s="15" t="n">
        <f aca="false">R341-T341+IF(AND(Parametri_v3!$C$40=1,D341-YEAR(Parametri_v3!$C$50)&lt;Parametri_v3!$C$41),MAX(0,-Q341),0)</f>
        <v>1115328.80104631</v>
      </c>
      <c r="AA341" s="15" t="n">
        <f aca="false">S341-U341+IF(AND(Parametri_v3!$C$40=1,D341-YEAR(Parametri_v3!$C$50)&lt;Parametri_v3!$C$41),0,MAX(0,-Q341))</f>
        <v>38126.8440193509</v>
      </c>
      <c r="AB341" s="15" t="n">
        <f aca="false">F341*(1+Parametri_v3!$C$26)</f>
        <v>134177.436481054</v>
      </c>
      <c r="AC341" s="15" t="n">
        <f aca="false">(IF(37-(INT((Motore_Operativo!L341)/30))&lt;1,0,INDEX(Motore_Startup!$AB$305:$AB$364,MAX(1,37-(INT((Motore_Operativo!L341)/30)))))*(1-(MOD((Motore_Operativo!L341),30)/30))+IF(37-(INT((Motore_Operativo!L341)/30))-1&lt;1,0,INDEX(Motore_Startup!$AB$305:$AB$364,MAX(1,37-(INT((Motore_Operativo!L341)/30))-1)))*(MOD((Motore_Operativo!L341),30)/30))</f>
        <v>92432.6363630927</v>
      </c>
      <c r="AD341" s="15" t="n">
        <f aca="false">(AD340)+AB341-AC341</f>
        <v>328371.796720413</v>
      </c>
      <c r="AE341" s="15" t="n">
        <f aca="false">Motore_Operativo!BH341*(1+Parametri_v3!$C$26)</f>
        <v>11009.4833333333</v>
      </c>
      <c r="AF341" s="15" t="n">
        <f aca="false">(IF(37-(INT((Parametri_v3!$C$29)/30))&lt;1,0,INDEX(Motore_Operativo!$BH$305:$BH$364,MAX(1,37-(INT((Parametri_v3!$C$29)/30)))))*(1-(MOD((Parametri_v3!$C$29),30)/30))+IF(37-(INT((Parametri_v3!$C$29)/30))-1&lt;1,0,INDEX(Motore_Operativo!$BH$305:$BH$364,MAX(1,37-(INT((Parametri_v3!$C$29)/30))-1)))*(MOD((Parametri_v3!$C$29),30)/30))*(1+Parametri_v3!$C$26)</f>
        <v>7381</v>
      </c>
      <c r="AG341" s="15" t="n">
        <f aca="false">(AG340)+AE341-AF341</f>
        <v>11009.4833333333</v>
      </c>
      <c r="AH341" s="15" t="n">
        <f aca="false">(Motore_Operativo!CJ341)*(1+Parametri_v3!$C$27*Parametri_v3!$C$26)</f>
        <v>69474.875461138</v>
      </c>
      <c r="AI341" s="15" t="n">
        <f aca="false">(IF(37-(INT((Ipotesi!$C$91)/30))&lt;1,0,INDEX(Motore_Startup!$AH$305:$AH$364,MAX(1,37-(INT((Ipotesi!$C$91)/30)))))*(1-(MOD((Ipotesi!$C$91),30)/30))+IF(37-(INT((Ipotesi!$C$91)/30))-1&lt;1,0,INDEX(Motore_Startup!$AH$305:$AH$364,MAX(1,37-(INT((Ipotesi!$C$91)/30))-1)))*(MOD((Ipotesi!$C$91),30)/30))</f>
        <v>52258.3678614052</v>
      </c>
      <c r="AJ341" s="15" t="n">
        <f aca="false">(AJ340)+AH341-AI341</f>
        <v>122154.348942282</v>
      </c>
      <c r="AK341" s="15" t="n">
        <f aca="false">(F341+ Motore_Operativo!BH341-(Motore_Operativo!CJ341)*Parametri_v3!$C$27-Motore_Operativo!CE341)*Parametri_v3!$C$26</f>
        <v>14502.8414513043</v>
      </c>
      <c r="AL341" s="15" t="n">
        <f aca="false">MAX(0,(AM340))</f>
        <v>10269.9460631964</v>
      </c>
      <c r="AM341" s="15" t="n">
        <f aca="false">(AM340)+AK341-AL341</f>
        <v>14502.8414513043</v>
      </c>
      <c r="AN341" s="15" t="n">
        <f aca="false">SUM(X329:X340)</f>
        <v>0</v>
      </c>
      <c r="AO341" s="15" t="n">
        <f aca="false">SUM(AP329:AP340)</f>
        <v>0</v>
      </c>
      <c r="AP341" s="15" t="n">
        <f aca="false">MAX(0,AN341)*IF(1=Parametri_v3!$C$43,Parametri_v3!$C$45,IF(1=Parametri_v3!$C$44,1-Parametri_v3!$C$45,0))</f>
        <v>0</v>
      </c>
      <c r="AQ341" s="15" t="n">
        <f aca="false">MAX(0,AP341+IF(1=Parametri_v3!$C$43,MAX(0,AN341-AO341),0)-MAX(0,-(AR340)))</f>
        <v>0</v>
      </c>
      <c r="AR341" s="15" t="n">
        <f aca="false">(AR340)+X341-AQ341</f>
        <v>0</v>
      </c>
      <c r="AS341" s="15" t="n">
        <f aca="false">Motore_Operativo!AB341-AT341+AU341</f>
        <v>91649.4297604167</v>
      </c>
      <c r="AT341" s="15" t="n">
        <f aca="false">Motore_Operativo!CH341</f>
        <v>4823.65419791667</v>
      </c>
      <c r="AU341" s="15" t="n">
        <f aca="false">MIN(MAX(0,(AV340)+AT341),Parametri_v3!$C$60/12)</f>
        <v>0</v>
      </c>
      <c r="AV341" s="15" t="n">
        <f aca="false">(AV340)+AT341-AU341</f>
        <v>83995.3541979167</v>
      </c>
      <c r="AW341" s="15" t="n">
        <f aca="false">IF(AND(Motore_Operativo!C341=Finanziamenti!$D$6,Finanziamenti!$F$6=1),Finanziamenti!$C$6,0)</f>
        <v>0</v>
      </c>
      <c r="AX341" s="15" t="n">
        <f aca="false">IF(AND(6&lt;&gt;7,6&lt;&gt;9,Finanziamenti!$F$8=1,OR(Parametri_v3!$C$6=0,Finanziamenti!$E$8=1),Motore_Operativo!C341=EDATE(Finanziamenti!$D$8,Ipotesi!H15*12)),Finanziamenti!$C$8*1,0)+IF(AND(6&lt;&gt;7,6&lt;&gt;9,Finanziamenti!$F$9=1,OR(Parametri_v3!$C$6=0,Finanziamenti!$E$9=1),Motore_Operativo!C341=EDATE(Finanziamenti!$D$9,Ipotesi!H15*12)),Finanziamenti!$C$9*Ipotesi!H16,0)</f>
        <v>0</v>
      </c>
      <c r="AY341" s="15" t="n">
        <f aca="false">0</f>
        <v>0</v>
      </c>
      <c r="AZ341" s="15" t="n">
        <f aca="false">Motore_Advisory!AY341*(1-Ipotesi!$C$95)*Ipotesi!$C$96</f>
        <v>0</v>
      </c>
      <c r="BA341" s="15" t="n">
        <f aca="false">MAX(0,MIN(CG341*MIN(1,IF(Motore_Operativo!C341&gt;=EDATE(Finanziamenti!$D$15,Ipotesi!H14*12),Finanziamenti!$C$15,0)+IF(Motore_Operativo!C341&gt;=EDATE(Finanziamenti!$D$16,Ipotesi!H14*12),Finanziamenti!$C$16,0)+IF(Motore_Operativo!C341&gt;=EDATE(Finanziamenti!$D$17,Ipotesi!H14*12),Finanziamenti!$C$17,0)),CA341*Ipotesi!$C$102)-(CC340))</f>
        <v>0</v>
      </c>
      <c r="BB341" s="15" t="n">
        <f aca="false">IF(AND(CF341&gt;0,Motore_Operativo!C341&gt;=IF(CF341=0,0,EDATE(CF341,Parametri_v3!$C$37)),MOD(((D341-YEAR(IF(CF341=0,0,EDATE(CF341,Parametri_v3!$C$37))))*12+E341-MONTH(IF(CF341=0,0,EDATE(CF341,Parametri_v3!$C$37)))),Parametri_v3!$C$38)=0),MIN(MAX(0,(BC340)+BA341-N341),(CC341-CD341)/(Ipotesi!$C$108*12/Parametri_v3!$C$38)),0)</f>
        <v>0</v>
      </c>
      <c r="BC341" s="15" t="n">
        <f aca="false">(BC340)+BA341-N341-BB341</f>
        <v>0</v>
      </c>
      <c r="BD341" s="15" t="n">
        <f aca="false">(BH340)+AC341+AF341-AI341-AS341-K341*(1+Parametri_v3!$C$26)-AL341-AQ341-O341+AW341+AX341+AZ341+BA341-BB341</f>
        <v>16820.2491017284</v>
      </c>
      <c r="BE341" s="15" t="n">
        <f aca="false">MAX(0,MIN(MAX(0,CH341-(BG340)),Parametri_v3!$C$30-BD341))</f>
        <v>8179.75089827157</v>
      </c>
      <c r="BF341" s="15" t="n">
        <f aca="false">IF(Motore_Operativo!C341&gt;=Parametri_v3!$C$63,(BG340),MIN((BG340),MAX(0,BD341-Parametri_v3!$C$30)))</f>
        <v>0</v>
      </c>
      <c r="BG341" s="15" t="n">
        <f aca="false">(BG340)+BE341-BF341</f>
        <v>8179.75089827157</v>
      </c>
      <c r="BH341" s="15" t="n">
        <f aca="false">BD341+BE341-BF341-AY341</f>
        <v>25000</v>
      </c>
      <c r="BI341" s="15" t="n">
        <f aca="false">MAX(0,Parametri_v3!$C$30-BH341)</f>
        <v>0</v>
      </c>
      <c r="BJ341" s="15" t="n">
        <f aca="false">(BJ340)+K341</f>
        <v>78333.3333333333</v>
      </c>
      <c r="BK341" s="15" t="n">
        <f aca="false">(BK340)+L341</f>
        <v>37337.962962963</v>
      </c>
      <c r="BL341" s="15" t="n">
        <f aca="false">BJ341-BK341</f>
        <v>40995.3703703704</v>
      </c>
      <c r="BM341" s="15" t="n">
        <f aca="false">(BM340)+Y341</f>
        <v>-1153455.64506566</v>
      </c>
      <c r="BN341" s="15" t="n">
        <f aca="false">(BN340)+AW341+AX341+AZ341</f>
        <v>1330000</v>
      </c>
      <c r="BO341" s="15" t="n">
        <f aca="false">(BO340)+AY341</f>
        <v>0</v>
      </c>
      <c r="BP341" s="15" t="n">
        <f aca="false">0</f>
        <v>0</v>
      </c>
      <c r="BQ341" s="15" t="n">
        <f aca="false">BN341+BM341-BO341</f>
        <v>176544.354934342</v>
      </c>
      <c r="BR341" s="15" t="n">
        <f aca="false">BH341+AD341+BL341+MAX(0,-AM341)+MAX(0,-AR341)+AG341</f>
        <v>405376.650424117</v>
      </c>
      <c r="BS341" s="15" t="n">
        <f aca="false">AJ341+AV341+MAX(0,AM341)+MAX(0,AR341)+BC341+BG341+BQ341</f>
        <v>405376.650424117</v>
      </c>
      <c r="BT341" s="15" t="n">
        <f aca="false">BR341-BS341</f>
        <v>0</v>
      </c>
      <c r="BU341" s="15" t="n">
        <f aca="false">BH341-(BD341+BE341-BF341-AY341)</f>
        <v>0</v>
      </c>
      <c r="BV341" s="15" t="n">
        <f aca="false">MIN(Piano_SS!$C$6,(BV340)+IF(AND(Motore_Operativo!C341&gt;=EDATE(Parametri_v3!$C$24,Ipotesi!H14*12),Motore_Operativo!C341&lt;EDATE(Parametri_v3!$C$24,Parametri_v3!$C$25+Ipotesi!H14*12)),MAX(0,(Motore_Operativo!Y341+Motore_Operativo!X341*Parametri_v3!$C$14)*(1-Parametri_v3!$C$32))*Piano_SS!$D$6,0))</f>
        <v>300000</v>
      </c>
      <c r="BW341" s="15" t="n">
        <f aca="false">MIN(Piano_SS!$C$7,(BW340)+IF(AND(Motore_Operativo!C341&gt;=EDATE(Parametri_v3!$C$24,Ipotesi!H14*12),Motore_Operativo!C341&lt;EDATE(Parametri_v3!$C$24,Parametri_v3!$C$25+Ipotesi!H14*12)),MAX(0,(IF(37-(INT((Ipotesi!$C$91)/30))&lt;1,0,INDEX(Motore_Operativo!$BN$305:$BN$364,MAX(1,37-(INT((Ipotesi!$C$91)/30)))))*(1-(MOD((Ipotesi!$C$91),30)/30))+IF(37-(INT((Ipotesi!$C$91)/30))-1&lt;1,0,INDEX(Motore_Operativo!$BN$305:$BN$364,MAX(1,37-(INT((Ipotesi!$C$91)/30))-1)))*(MOD((Ipotesi!$C$91),30)/30)))*Piano_SS!$D$7,0))</f>
        <v>41058.9230070837</v>
      </c>
      <c r="BX341" s="15" t="n">
        <f aca="false">MIN(Piano_SS!$C$8,(BX340)+IF(AND(Motore_Operativo!C341&gt;=EDATE(Parametri_v3!$C$24,Ipotesi!H14*12),Motore_Operativo!C341&lt;EDATE(Parametri_v3!$C$24,Parametri_v3!$C$25+Ipotesi!H14*12)),MAX(0,Motore_Operativo!CE341)*Piano_SS!$D$8,0))</f>
        <v>50000</v>
      </c>
      <c r="BY341" s="15" t="n">
        <f aca="false">MIN(Piano_SS!$C$9,(BY340)+IF(AND(Motore_Operativo!C341&gt;=EDATE(Parametri_v3!$C$24,Ipotesi!H14*12),Motore_Operativo!C341&lt;EDATE(Parametri_v3!$C$24,Parametri_v3!$C$25+Ipotesi!H14*12)),MAX(0,((IF(37-(INT((Ipotesi!$C$91)/30))&lt;1,0,INDEX(Motore_Operativo!$BQ$305:$BQ$364,MAX(1,37-(INT((Ipotesi!$C$91)/30)))))*(1-(MOD((Ipotesi!$C$91),30)/30))+IF(37-(INT((Ipotesi!$C$91)/30))-1&lt;1,0,INDEX(Motore_Operativo!$BQ$305:$BQ$364,MAX(1,37-(INT((Ipotesi!$C$91)/30))-1)))*(MOD((Ipotesi!$C$91),30)/30))+(IF(37-(INT((Ipotesi!$C$91)/30))&lt;1,0,INDEX(Motore_Operativo!$BR$305:$BR$364,MAX(1,37-(INT((Ipotesi!$C$91)/30)))))*(1-(MOD((Ipotesi!$C$91),30)/30))+IF(37-(INT((Ipotesi!$C$91)/30))-1&lt;1,0,INDEX(Motore_Operativo!$BR$305:$BR$364,MAX(1,37-(INT((Ipotesi!$C$91)/30))-1)))*(MOD((Ipotesi!$C$91),30)/30))))*Piano_SS!$D$9,0))</f>
        <v>40000</v>
      </c>
      <c r="BZ341" s="15" t="n">
        <f aca="false">MIN(Piano_SS!$C$10,(BZ340)+IF(AND(Motore_Operativo!C341&gt;=EDATE(Parametri_v3!$C$24,Ipotesi!H14*12),Motore_Operativo!C341&lt;EDATE(Parametri_v3!$C$24,Parametri_v3!$C$25+Ipotesi!H14*12)),MAX(0,(IF(37-(INT((Ipotesi!$C$91)/30))&lt;1,0,INDEX(Motore_Operativo!$BO$305:$BO$364,MAX(1,37-(INT((Ipotesi!$C$91)/30)))))*(1-(MOD((Ipotesi!$C$91),30)/30))+IF(37-(INT((Ipotesi!$C$91)/30))-1&lt;1,0,INDEX(Motore_Operativo!$BO$305:$BO$364,MAX(1,37-(INT((Ipotesi!$C$91)/30))-1)))*(MOD((Ipotesi!$C$91),30)/30)))*Piano_SS!$D$10,0))</f>
        <v>30000</v>
      </c>
      <c r="CA341" s="15" t="n">
        <f aca="false">SUM(BV341:BZ341)</f>
        <v>461058.923007084</v>
      </c>
      <c r="CB341" s="15" t="n">
        <f aca="false">BV341*(1-Piano_SS!$E$6)+BW341*(1-Piano_SS!$E$7)+BX341*(1-Piano_SS!$E$8)+BY341*(1-Piano_SS!$E$9)+BZ341*(1-Piano_SS!$E$10)</f>
        <v>431058.923007084</v>
      </c>
      <c r="CC341" s="15" t="n">
        <f aca="false">(CC340)+BA341</f>
        <v>0</v>
      </c>
      <c r="CD341" s="15" t="n">
        <f aca="false">IF(CA341=0,0,CC341*CB341/CA341*Ipotesi!$C$103*Parametri_v3!$C$64)</f>
        <v>0</v>
      </c>
      <c r="CE341" s="18" t="n">
        <f aca="false">IF(BA341&gt;0,Motore_Operativo!C341,(CE340))</f>
        <v>0</v>
      </c>
      <c r="CF341" s="18" t="n">
        <f aca="false">IF(AND(CC341&gt;0,OR(CC341&gt;=CG341-0.01,Motore_Operativo!C341&gt;=EDATE(MAX(Finanziamenti!$D$15:$D$17),Ipotesi!H14*12))),CE341,0)</f>
        <v>0</v>
      </c>
      <c r="CG341" s="15" t="n">
        <f aca="false">IF(AND(6&lt;&gt;6,6&lt;&gt;9,Finanziamenti!$F$11=1,OR(Parametri_v3!$C$6=0,Finanziamenti!$E$11=1)),MIN(Finanziamenti!$C$11,Piano_SS!$C$12*Ipotesi!$C$102),0)</f>
        <v>0</v>
      </c>
      <c r="CH341" s="15" t="n">
        <f aca="false">IF(AND(AND(6&lt;&gt;8,6&lt;&gt;9,Finanziamenti!$F$10=1,OR(Parametri_v3!$C$6=0,Finanziamenti!$E$10=1)),Motore_Operativo!C341&gt;=Finanziamenti!$D$10,Motore_Operativo!C341&lt;Parametri_v3!$C$63),Finanziamenti!$C$10,0)</f>
        <v>150000</v>
      </c>
    </row>
    <row r="342" customFormat="false" ht="18" hidden="false" customHeight="true" outlineLevel="0" collapsed="false">
      <c r="A342" s="68" t="n">
        <f aca="false">6</f>
        <v>6</v>
      </c>
      <c r="B342" s="68" t="n">
        <f aca="false">38</f>
        <v>38</v>
      </c>
      <c r="C342" s="18" t="n">
        <f aca="false">Motore_Operativo!C342</f>
        <v>47515</v>
      </c>
      <c r="D342" s="68" t="n">
        <f aca="false">Motore_Operativo!D342</f>
        <v>2030</v>
      </c>
      <c r="E342" s="68" t="n">
        <f aca="false">Motore_Operativo!E342</f>
        <v>2</v>
      </c>
      <c r="F342" s="15" t="n">
        <f aca="false">Motore_Operativo!AQ342+Motore_Operativo!BF342</f>
        <v>112181.063256671</v>
      </c>
      <c r="G342" s="15" t="n">
        <f aca="false">Motore_Operativo!BH342</f>
        <v>9024.16666666667</v>
      </c>
      <c r="H342" s="15" t="n">
        <f aca="false">Motore_Operativo!BI342</f>
        <v>121205.229923337</v>
      </c>
      <c r="I342" s="15" t="n">
        <f aca="false">Motore_Operativo!CA342</f>
        <v>155310.824480934</v>
      </c>
      <c r="J342" s="15" t="n">
        <f aca="false">Motore_Operativo!CC342</f>
        <v>-34105.5945575967</v>
      </c>
      <c r="K342" s="15" t="n">
        <f aca="false">Motore_Operativo!CE342</f>
        <v>3333.33333333333</v>
      </c>
      <c r="L342" s="15" t="n">
        <f aca="false">SUM(INDEX($K$305:$K$364,MAX(1,38-Parametri_v3!$C$59+1)):K342)/Parametri_v3!$C$59</f>
        <v>2175.92592592593</v>
      </c>
      <c r="M342" s="15" t="n">
        <f aca="false">J342-L342</f>
        <v>-36281.5204835226</v>
      </c>
      <c r="N342" s="15" t="n">
        <f aca="false">CD342-(CD341)</f>
        <v>0</v>
      </c>
      <c r="O342" s="15" t="n">
        <f aca="false">(BG341)*Ipotesi!$C$110/12+CH342*Parametri_v3!$C$39/12</f>
        <v>40.8987544913579</v>
      </c>
      <c r="P342" s="15" t="n">
        <f aca="false">M342+N342-O342</f>
        <v>-36322.4192380139</v>
      </c>
      <c r="Q342" s="15" t="n">
        <f aca="false">SUM(P341:P342)+Parametri_v3!$C$54*2/12</f>
        <v>-74449.2632573648</v>
      </c>
      <c r="R342" s="15" t="n">
        <f aca="false">Z340</f>
        <v>1115328.80104631</v>
      </c>
      <c r="S342" s="15" t="n">
        <f aca="false">AA340</f>
        <v>0</v>
      </c>
      <c r="T342" s="15" t="n">
        <f aca="false">MIN(R342,MAX(0,Q342))</f>
        <v>0</v>
      </c>
      <c r="U342" s="15" t="n">
        <f aca="false">MIN(S342,MAX(0,Q342-T342)*Parametri_v3!$C$42)</f>
        <v>0</v>
      </c>
      <c r="V342" s="15" t="n">
        <f aca="false">MAX(0,Q342-T342-U342)*Ipotesi!$C$92</f>
        <v>0</v>
      </c>
      <c r="W342" s="15" t="n">
        <f aca="false">MAX(0,SUM(M341:M342)+Parametri_v3!$C$55*2/12)*Ipotesi!$C$93</f>
        <v>0</v>
      </c>
      <c r="X342" s="15" t="n">
        <f aca="false">V342+W342-(V341+W341)</f>
        <v>0</v>
      </c>
      <c r="Y342" s="15" t="n">
        <f aca="false">P342-X342</f>
        <v>-36322.4192380139</v>
      </c>
      <c r="Z342" s="15" t="n">
        <f aca="false">R342-T342+IF(AND(Parametri_v3!$C$40=1,D342-YEAR(Parametri_v3!$C$50)&lt;Parametri_v3!$C$41),MAX(0,-Q342),0)</f>
        <v>1115328.80104631</v>
      </c>
      <c r="AA342" s="15" t="n">
        <f aca="false">S342-U342+IF(AND(Parametri_v3!$C$40=1,D342-YEAR(Parametri_v3!$C$50)&lt;Parametri_v3!$C$41),0,MAX(0,-Q342))</f>
        <v>74449.2632573648</v>
      </c>
      <c r="AB342" s="15" t="n">
        <f aca="false">F342*(1+Parametri_v3!$C$26)</f>
        <v>136860.897173138</v>
      </c>
      <c r="AC342" s="15" t="n">
        <f aca="false">(IF(38-(INT((Motore_Operativo!L342)/30))&lt;1,0,INDEX(Motore_Startup!$AB$305:$AB$364,MAX(1,38-(INT((Motore_Operativo!L342)/30)))))*(1-(MOD((Motore_Operativo!L342),30)/30))+IF(38-(INT((Motore_Operativo!L342)/30))-1&lt;1,0,INDEX(Motore_Startup!$AB$305:$AB$364,MAX(1,38-(INT((Motore_Operativo!L342)/30))-1)))*(MOD((Motore_Operativo!L342),30)/30))</f>
        <v>95551.4199316866</v>
      </c>
      <c r="AD342" s="15" t="n">
        <f aca="false">(AD341)+AB342-AC342</f>
        <v>369681.273961864</v>
      </c>
      <c r="AE342" s="15" t="n">
        <f aca="false">Motore_Operativo!BH342*(1+Parametri_v3!$C$26)</f>
        <v>11009.4833333333</v>
      </c>
      <c r="AF342" s="15" t="n">
        <f aca="false">(IF(38-(INT((Parametri_v3!$C$29)/30))&lt;1,0,INDEX(Motore_Operativo!$BH$305:$BH$364,MAX(1,38-(INT((Parametri_v3!$C$29)/30)))))*(1-(MOD((Parametri_v3!$C$29),30)/30))+IF(38-(INT((Parametri_v3!$C$29)/30))-1&lt;1,0,INDEX(Motore_Operativo!$BH$305:$BH$364,MAX(1,38-(INT((Parametri_v3!$C$29)/30))-1)))*(MOD((Parametri_v3!$C$29),30)/30))*(1+Parametri_v3!$C$26)</f>
        <v>11009.4833333333</v>
      </c>
      <c r="AG342" s="15" t="n">
        <f aca="false">(AG341)+AE342-AF342</f>
        <v>11009.4833333333</v>
      </c>
      <c r="AH342" s="15" t="n">
        <f aca="false">(Motore_Operativo!CJ342)*(1+Parametri_v3!$C$27*Parametri_v3!$C$26)</f>
        <v>69840.3980003269</v>
      </c>
      <c r="AI342" s="15" t="n">
        <f aca="false">(IF(38-(INT((Ipotesi!$C$91)/30))&lt;1,0,INDEX(Motore_Startup!$AH$305:$AH$364,MAX(1,38-(INT((Ipotesi!$C$91)/30)))))*(1-(MOD((Ipotesi!$C$91),30)/30))+IF(38-(INT((Ipotesi!$C$91)/30))-1&lt;1,0,INDEX(Motore_Startup!$AH$305:$AH$364,MAX(1,38-(INT((Ipotesi!$C$91)/30))-1)))*(MOD((Ipotesi!$C$91),30)/30))</f>
        <v>52679.4734811439</v>
      </c>
      <c r="AJ342" s="15" t="n">
        <f aca="false">(AJ341)+AH342-AI342</f>
        <v>139315.273461465</v>
      </c>
      <c r="AK342" s="15" t="n">
        <f aca="false">(F342+ Motore_Operativo!BH342-(Motore_Operativo!CJ342)*Parametri_v3!$C$27-Motore_Operativo!CE342)*Parametri_v3!$C$26</f>
        <v>14929.1597720746</v>
      </c>
      <c r="AL342" s="15" t="n">
        <f aca="false">MAX(0,(AM341))</f>
        <v>14502.8414513043</v>
      </c>
      <c r="AM342" s="15" t="n">
        <f aca="false">(AM341)+AK342-AL342</f>
        <v>14929.1597720746</v>
      </c>
      <c r="AN342" s="15" t="n">
        <f aca="false">SUM(X329:X340)</f>
        <v>0</v>
      </c>
      <c r="AO342" s="15" t="n">
        <f aca="false">SUM(AP329:AP340)</f>
        <v>0</v>
      </c>
      <c r="AP342" s="15" t="n">
        <f aca="false">MAX(0,AN342)*IF(2=Parametri_v3!$C$43,Parametri_v3!$C$45,IF(2=Parametri_v3!$C$44,1-Parametri_v3!$C$45,0))</f>
        <v>0</v>
      </c>
      <c r="AQ342" s="15" t="n">
        <f aca="false">MAX(0,AP342+IF(2=Parametri_v3!$C$43,MAX(0,AN342-AO342),0)-MAX(0,-(AR341)))</f>
        <v>0</v>
      </c>
      <c r="AR342" s="15" t="n">
        <f aca="false">(AR341)+X342-AQ342</f>
        <v>0</v>
      </c>
      <c r="AS342" s="15" t="n">
        <f aca="false">Motore_Operativo!AB342-AT342+AU342</f>
        <v>91649.4297604167</v>
      </c>
      <c r="AT342" s="15" t="n">
        <f aca="false">Motore_Operativo!CH342</f>
        <v>4823.65419791667</v>
      </c>
      <c r="AU342" s="15" t="n">
        <f aca="false">MIN(MAX(0,(AV341)+AT342),Parametri_v3!$C$60/12)</f>
        <v>0</v>
      </c>
      <c r="AV342" s="15" t="n">
        <f aca="false">(AV341)+AT342-AU342</f>
        <v>88819.0083958333</v>
      </c>
      <c r="AW342" s="15" t="n">
        <f aca="false">IF(AND(Motore_Operativo!C342=Finanziamenti!$D$6,Finanziamenti!$F$6=1),Finanziamenti!$C$6,0)</f>
        <v>0</v>
      </c>
      <c r="AX342" s="15" t="n">
        <f aca="false">IF(AND(6&lt;&gt;7,6&lt;&gt;9,Finanziamenti!$F$8=1,OR(Parametri_v3!$C$6=0,Finanziamenti!$E$8=1),Motore_Operativo!C342=EDATE(Finanziamenti!$D$8,Ipotesi!H15*12)),Finanziamenti!$C$8*1,0)+IF(AND(6&lt;&gt;7,6&lt;&gt;9,Finanziamenti!$F$9=1,OR(Parametri_v3!$C$6=0,Finanziamenti!$E$9=1),Motore_Operativo!C342=EDATE(Finanziamenti!$D$9,Ipotesi!H15*12)),Finanziamenti!$C$9*Ipotesi!H16,0)</f>
        <v>0</v>
      </c>
      <c r="AY342" s="15" t="n">
        <f aca="false">0</f>
        <v>0</v>
      </c>
      <c r="AZ342" s="15" t="n">
        <f aca="false">Motore_Advisory!AY342*(1-Ipotesi!$C$95)*Ipotesi!$C$96</f>
        <v>0</v>
      </c>
      <c r="BA342" s="15" t="n">
        <f aca="false">MAX(0,MIN(CG342*MIN(1,IF(Motore_Operativo!C342&gt;=EDATE(Finanziamenti!$D$15,Ipotesi!H14*12),Finanziamenti!$C$15,0)+IF(Motore_Operativo!C342&gt;=EDATE(Finanziamenti!$D$16,Ipotesi!H14*12),Finanziamenti!$C$16,0)+IF(Motore_Operativo!C342&gt;=EDATE(Finanziamenti!$D$17,Ipotesi!H14*12),Finanziamenti!$C$17,0)),CA342*Ipotesi!$C$102)-(CC341))</f>
        <v>0</v>
      </c>
      <c r="BB342" s="15" t="n">
        <f aca="false">IF(AND(CF342&gt;0,Motore_Operativo!C342&gt;=IF(CF342=0,0,EDATE(CF342,Parametri_v3!$C$37)),MOD(((D342-YEAR(IF(CF342=0,0,EDATE(CF342,Parametri_v3!$C$37))))*12+E342-MONTH(IF(CF342=0,0,EDATE(CF342,Parametri_v3!$C$37)))),Parametri_v3!$C$38)=0),MIN(MAX(0,(BC341)+BA342-N342),(CC342-CD342)/(Ipotesi!$C$108*12/Parametri_v3!$C$38)),0)</f>
        <v>0</v>
      </c>
      <c r="BC342" s="15" t="n">
        <f aca="false">(BC341)+BA342-N342-BB342</f>
        <v>0</v>
      </c>
      <c r="BD342" s="15" t="n">
        <f aca="false">(BH341)+AC342+AF342-AI342-AS342-K342*(1+Parametri_v3!$C$26)-AL342-AQ342-O342+AW342+AX342+AZ342+BA342-BB342</f>
        <v>-31378.406849003</v>
      </c>
      <c r="BE342" s="15" t="n">
        <f aca="false">MAX(0,MIN(MAX(0,CH342-(BG341)),Parametri_v3!$C$30-BD342))</f>
        <v>56378.406849003</v>
      </c>
      <c r="BF342" s="15" t="n">
        <f aca="false">IF(Motore_Operativo!C342&gt;=Parametri_v3!$C$63,(BG341),MIN((BG341),MAX(0,BD342-Parametri_v3!$C$30)))</f>
        <v>0</v>
      </c>
      <c r="BG342" s="15" t="n">
        <f aca="false">(BG341)+BE342-BF342</f>
        <v>64558.1577472746</v>
      </c>
      <c r="BH342" s="15" t="n">
        <f aca="false">BD342+BE342-BF342-AY342</f>
        <v>25000</v>
      </c>
      <c r="BI342" s="15" t="n">
        <f aca="false">MAX(0,Parametri_v3!$C$30-BH342)</f>
        <v>0</v>
      </c>
      <c r="BJ342" s="15" t="n">
        <f aca="false">(BJ341)+K342</f>
        <v>81666.6666666667</v>
      </c>
      <c r="BK342" s="15" t="n">
        <f aca="false">(BK341)+L342</f>
        <v>39513.8888888889</v>
      </c>
      <c r="BL342" s="15" t="n">
        <f aca="false">BJ342-BK342</f>
        <v>42152.7777777778</v>
      </c>
      <c r="BM342" s="15" t="n">
        <f aca="false">(BM341)+Y342</f>
        <v>-1189778.06430367</v>
      </c>
      <c r="BN342" s="15" t="n">
        <f aca="false">(BN341)+AW342+AX342+AZ342</f>
        <v>1330000</v>
      </c>
      <c r="BO342" s="15" t="n">
        <f aca="false">(BO341)+AY342</f>
        <v>0</v>
      </c>
      <c r="BP342" s="15" t="n">
        <f aca="false">0</f>
        <v>0</v>
      </c>
      <c r="BQ342" s="15" t="n">
        <f aca="false">BN342+BM342-BO342</f>
        <v>140221.935696328</v>
      </c>
      <c r="BR342" s="15" t="n">
        <f aca="false">BH342+AD342+BL342+MAX(0,-AM342)+MAX(0,-AR342)+AG342</f>
        <v>447843.535072976</v>
      </c>
      <c r="BS342" s="15" t="n">
        <f aca="false">AJ342+AV342+MAX(0,AM342)+MAX(0,AR342)+BC342+BG342+BQ342</f>
        <v>447843.535072976</v>
      </c>
      <c r="BT342" s="15" t="n">
        <f aca="false">BR342-BS342</f>
        <v>0</v>
      </c>
      <c r="BU342" s="15" t="n">
        <f aca="false">BH342-(BD342+BE342-BF342-AY342)</f>
        <v>0</v>
      </c>
      <c r="BV342" s="15" t="n">
        <f aca="false">MIN(Piano_SS!$C$6,(BV341)+IF(AND(Motore_Operativo!C342&gt;=EDATE(Parametri_v3!$C$24,Ipotesi!H14*12),Motore_Operativo!C342&lt;EDATE(Parametri_v3!$C$24,Parametri_v3!$C$25+Ipotesi!H14*12)),MAX(0,(Motore_Operativo!Y342+Motore_Operativo!X342*Parametri_v3!$C$14)*(1-Parametri_v3!$C$32))*Piano_SS!$D$6,0))</f>
        <v>300000</v>
      </c>
      <c r="BW342" s="15" t="n">
        <f aca="false">MIN(Piano_SS!$C$7,(BW341)+IF(AND(Motore_Operativo!C342&gt;=EDATE(Parametri_v3!$C$24,Ipotesi!H14*12),Motore_Operativo!C342&lt;EDATE(Parametri_v3!$C$24,Parametri_v3!$C$25+Ipotesi!H14*12)),MAX(0,(IF(38-(INT((Ipotesi!$C$91)/30))&lt;1,0,INDEX(Motore_Operativo!$BN$305:$BN$364,MAX(1,38-(INT((Ipotesi!$C$91)/30)))))*(1-(MOD((Ipotesi!$C$91),30)/30))+IF(38-(INT((Ipotesi!$C$91)/30))-1&lt;1,0,INDEX(Motore_Operativo!$BN$305:$BN$364,MAX(1,38-(INT((Ipotesi!$C$91)/30))-1)))*(MOD((Ipotesi!$C$91),30)/30)))*Piano_SS!$D$7,0))</f>
        <v>41058.9230070837</v>
      </c>
      <c r="BX342" s="15" t="n">
        <f aca="false">MIN(Piano_SS!$C$8,(BX341)+IF(AND(Motore_Operativo!C342&gt;=EDATE(Parametri_v3!$C$24,Ipotesi!H14*12),Motore_Operativo!C342&lt;EDATE(Parametri_v3!$C$24,Parametri_v3!$C$25+Ipotesi!H14*12)),MAX(0,Motore_Operativo!CE342)*Piano_SS!$D$8,0))</f>
        <v>50000</v>
      </c>
      <c r="BY342" s="15" t="n">
        <f aca="false">MIN(Piano_SS!$C$9,(BY341)+IF(AND(Motore_Operativo!C342&gt;=EDATE(Parametri_v3!$C$24,Ipotesi!H14*12),Motore_Operativo!C342&lt;EDATE(Parametri_v3!$C$24,Parametri_v3!$C$25+Ipotesi!H14*12)),MAX(0,((IF(38-(INT((Ipotesi!$C$91)/30))&lt;1,0,INDEX(Motore_Operativo!$BQ$305:$BQ$364,MAX(1,38-(INT((Ipotesi!$C$91)/30)))))*(1-(MOD((Ipotesi!$C$91),30)/30))+IF(38-(INT((Ipotesi!$C$91)/30))-1&lt;1,0,INDEX(Motore_Operativo!$BQ$305:$BQ$364,MAX(1,38-(INT((Ipotesi!$C$91)/30))-1)))*(MOD((Ipotesi!$C$91),30)/30))+(IF(38-(INT((Ipotesi!$C$91)/30))&lt;1,0,INDEX(Motore_Operativo!$BR$305:$BR$364,MAX(1,38-(INT((Ipotesi!$C$91)/30)))))*(1-(MOD((Ipotesi!$C$91),30)/30))+IF(38-(INT((Ipotesi!$C$91)/30))-1&lt;1,0,INDEX(Motore_Operativo!$BR$305:$BR$364,MAX(1,38-(INT((Ipotesi!$C$91)/30))-1)))*(MOD((Ipotesi!$C$91),30)/30))))*Piano_SS!$D$9,0))</f>
        <v>40000</v>
      </c>
      <c r="BZ342" s="15" t="n">
        <f aca="false">MIN(Piano_SS!$C$10,(BZ341)+IF(AND(Motore_Operativo!C342&gt;=EDATE(Parametri_v3!$C$24,Ipotesi!H14*12),Motore_Operativo!C342&lt;EDATE(Parametri_v3!$C$24,Parametri_v3!$C$25+Ipotesi!H14*12)),MAX(0,(IF(38-(INT((Ipotesi!$C$91)/30))&lt;1,0,INDEX(Motore_Operativo!$BO$305:$BO$364,MAX(1,38-(INT((Ipotesi!$C$91)/30)))))*(1-(MOD((Ipotesi!$C$91),30)/30))+IF(38-(INT((Ipotesi!$C$91)/30))-1&lt;1,0,INDEX(Motore_Operativo!$BO$305:$BO$364,MAX(1,38-(INT((Ipotesi!$C$91)/30))-1)))*(MOD((Ipotesi!$C$91),30)/30)))*Piano_SS!$D$10,0))</f>
        <v>30000</v>
      </c>
      <c r="CA342" s="15" t="n">
        <f aca="false">SUM(BV342:BZ342)</f>
        <v>461058.923007084</v>
      </c>
      <c r="CB342" s="15" t="n">
        <f aca="false">BV342*(1-Piano_SS!$E$6)+BW342*(1-Piano_SS!$E$7)+BX342*(1-Piano_SS!$E$8)+BY342*(1-Piano_SS!$E$9)+BZ342*(1-Piano_SS!$E$10)</f>
        <v>431058.923007084</v>
      </c>
      <c r="CC342" s="15" t="n">
        <f aca="false">(CC341)+BA342</f>
        <v>0</v>
      </c>
      <c r="CD342" s="15" t="n">
        <f aca="false">IF(CA342=0,0,CC342*CB342/CA342*Ipotesi!$C$103*Parametri_v3!$C$64)</f>
        <v>0</v>
      </c>
      <c r="CE342" s="18" t="n">
        <f aca="false">IF(BA342&gt;0,Motore_Operativo!C342,(CE341))</f>
        <v>0</v>
      </c>
      <c r="CF342" s="18" t="n">
        <f aca="false">IF(AND(CC342&gt;0,OR(CC342&gt;=CG342-0.01,Motore_Operativo!C342&gt;=EDATE(MAX(Finanziamenti!$D$15:$D$17),Ipotesi!H14*12))),CE342,0)</f>
        <v>0</v>
      </c>
      <c r="CG342" s="15" t="n">
        <f aca="false">IF(AND(6&lt;&gt;6,6&lt;&gt;9,Finanziamenti!$F$11=1,OR(Parametri_v3!$C$6=0,Finanziamenti!$E$11=1)),MIN(Finanziamenti!$C$11,Piano_SS!$C$12*Ipotesi!$C$102),0)</f>
        <v>0</v>
      </c>
      <c r="CH342" s="15" t="n">
        <f aca="false">IF(AND(AND(6&lt;&gt;8,6&lt;&gt;9,Finanziamenti!$F$10=1,OR(Parametri_v3!$C$6=0,Finanziamenti!$E$10=1)),Motore_Operativo!C342&gt;=Finanziamenti!$D$10,Motore_Operativo!C342&lt;Parametri_v3!$C$63),Finanziamenti!$C$10,0)</f>
        <v>150000</v>
      </c>
    </row>
    <row r="343" customFormat="false" ht="18" hidden="false" customHeight="true" outlineLevel="0" collapsed="false">
      <c r="A343" s="68" t="n">
        <f aca="false">6</f>
        <v>6</v>
      </c>
      <c r="B343" s="68" t="n">
        <f aca="false">39</f>
        <v>39</v>
      </c>
      <c r="C343" s="18" t="n">
        <f aca="false">Motore_Operativo!C343</f>
        <v>47543</v>
      </c>
      <c r="D343" s="68" t="n">
        <f aca="false">Motore_Operativo!D343</f>
        <v>2030</v>
      </c>
      <c r="E343" s="68" t="n">
        <f aca="false">Motore_Operativo!E343</f>
        <v>3</v>
      </c>
      <c r="F343" s="15" t="n">
        <f aca="false">Motore_Operativo!AQ343+Motore_Operativo!BF343</f>
        <v>114361.39352118</v>
      </c>
      <c r="G343" s="15" t="n">
        <f aca="false">Motore_Operativo!BH343</f>
        <v>9024.16666666667</v>
      </c>
      <c r="H343" s="15" t="n">
        <f aca="false">Motore_Operativo!BI343</f>
        <v>123385.560187847</v>
      </c>
      <c r="I343" s="15" t="n">
        <f aca="false">Motore_Operativo!CA343</f>
        <v>155616.070717965</v>
      </c>
      <c r="J343" s="15" t="n">
        <f aca="false">Motore_Operativo!CC343</f>
        <v>-32230.5105301187</v>
      </c>
      <c r="K343" s="15" t="n">
        <f aca="false">Motore_Operativo!CE343</f>
        <v>3333.33333333333</v>
      </c>
      <c r="L343" s="15" t="n">
        <f aca="false">SUM(INDEX($K$305:$K$364,MAX(1,39-Parametri_v3!$C$59+1)):K343)/Parametri_v3!$C$59</f>
        <v>2222.22222222222</v>
      </c>
      <c r="M343" s="15" t="n">
        <f aca="false">J343-L343</f>
        <v>-34452.7327523409</v>
      </c>
      <c r="N343" s="15" t="n">
        <f aca="false">CD343-(CD342)</f>
        <v>0</v>
      </c>
      <c r="O343" s="15" t="n">
        <f aca="false">(BG342)*Ipotesi!$C$110/12+CH343*Parametri_v3!$C$39/12</f>
        <v>322.790788736373</v>
      </c>
      <c r="P343" s="15" t="n">
        <f aca="false">M343+N343-O343</f>
        <v>-34775.5235410773</v>
      </c>
      <c r="Q343" s="15" t="n">
        <f aca="false">SUM(P341:P343)+Parametri_v3!$C$54*3/12</f>
        <v>-109224.786798442</v>
      </c>
      <c r="R343" s="15" t="n">
        <f aca="false">Z340</f>
        <v>1115328.80104631</v>
      </c>
      <c r="S343" s="15" t="n">
        <f aca="false">AA340</f>
        <v>0</v>
      </c>
      <c r="T343" s="15" t="n">
        <f aca="false">MIN(R343,MAX(0,Q343))</f>
        <v>0</v>
      </c>
      <c r="U343" s="15" t="n">
        <f aca="false">MIN(S343,MAX(0,Q343-T343)*Parametri_v3!$C$42)</f>
        <v>0</v>
      </c>
      <c r="V343" s="15" t="n">
        <f aca="false">MAX(0,Q343-T343-U343)*Ipotesi!$C$92</f>
        <v>0</v>
      </c>
      <c r="W343" s="15" t="n">
        <f aca="false">MAX(0,SUM(M341:M343)+Parametri_v3!$C$55*3/12)*Ipotesi!$C$93</f>
        <v>0</v>
      </c>
      <c r="X343" s="15" t="n">
        <f aca="false">V343+W343-(V342+W342)</f>
        <v>0</v>
      </c>
      <c r="Y343" s="15" t="n">
        <f aca="false">P343-X343</f>
        <v>-34775.5235410773</v>
      </c>
      <c r="Z343" s="15" t="n">
        <f aca="false">R343-T343+IF(AND(Parametri_v3!$C$40=1,D343-YEAR(Parametri_v3!$C$50)&lt;Parametri_v3!$C$41),MAX(0,-Q343),0)</f>
        <v>1115328.80104631</v>
      </c>
      <c r="AA343" s="15" t="n">
        <f aca="false">S343-U343+IF(AND(Parametri_v3!$C$40=1,D343-YEAR(Parametri_v3!$C$50)&lt;Parametri_v3!$C$41),0,MAX(0,-Q343))</f>
        <v>109224.786798442</v>
      </c>
      <c r="AB343" s="15" t="n">
        <f aca="false">F343*(1+Parametri_v3!$C$26)</f>
        <v>139520.900095839</v>
      </c>
      <c r="AC343" s="15" t="n">
        <f aca="false">(IF(39-(INT((Motore_Operativo!L343)/30))&lt;1,0,INDEX(Motore_Startup!$AB$305:$AB$364,MAX(1,39-(INT((Motore_Operativo!L343)/30)))))*(1-(MOD((Motore_Operativo!L343),30)/30))+IF(39-(INT((Motore_Operativo!L343)/30))-1&lt;1,0,INDEX(Motore_Startup!$AB$305:$AB$364,MAX(1,39-(INT((Motore_Operativo!L343)/30))-1)))*(MOD((Motore_Operativo!L343),30)/30))</f>
        <v>98642.9403076721</v>
      </c>
      <c r="AD343" s="15" t="n">
        <f aca="false">(AD342)+AB343-AC343</f>
        <v>410559.233750032</v>
      </c>
      <c r="AE343" s="15" t="n">
        <f aca="false">Motore_Operativo!BH343*(1+Parametri_v3!$C$26)</f>
        <v>11009.4833333333</v>
      </c>
      <c r="AF343" s="15" t="n">
        <f aca="false">(IF(39-(INT((Parametri_v3!$C$29)/30))&lt;1,0,INDEX(Motore_Operativo!$BH$305:$BH$364,MAX(1,39-(INT((Parametri_v3!$C$29)/30)))))*(1-(MOD((Parametri_v3!$C$29),30)/30))+IF(39-(INT((Parametri_v3!$C$29)/30))-1&lt;1,0,INDEX(Motore_Operativo!$BH$305:$BH$364,MAX(1,39-(INT((Parametri_v3!$C$29)/30))-1)))*(MOD((Parametri_v3!$C$29),30)/30))*(1+Parametri_v3!$C$26)</f>
        <v>11009.4833333333</v>
      </c>
      <c r="AG343" s="15" t="n">
        <f aca="false">(AG342)+AE343-AF343</f>
        <v>11009.4833333333</v>
      </c>
      <c r="AH343" s="15" t="n">
        <f aca="false">(Motore_Operativo!CJ343)*(1+Parametri_v3!$C$27*Parametri_v3!$C$26)</f>
        <v>70202.725283683</v>
      </c>
      <c r="AI343" s="15" t="n">
        <f aca="false">(IF(39-(INT((Ipotesi!$C$91)/30))&lt;1,0,INDEX(Motore_Startup!$AH$305:$AH$364,MAX(1,39-(INT((Ipotesi!$C$91)/30)))))*(1-(MOD((Ipotesi!$C$91),30)/30))+IF(39-(INT((Ipotesi!$C$91)/30))-1&lt;1,0,INDEX(Motore_Startup!$AH$305:$AH$364,MAX(1,39-(INT((Ipotesi!$C$91)/30))-1)))*(MOD((Ipotesi!$C$91),30)/30))</f>
        <v>69474.875461138</v>
      </c>
      <c r="AJ343" s="15" t="n">
        <f aca="false">(AJ342)+AH343-AI343</f>
        <v>140043.12328401</v>
      </c>
      <c r="AK343" s="15" t="n">
        <f aca="false">(F343+ Motore_Operativo!BH343-(Motore_Operativo!CJ343)*Parametri_v3!$C$27-Motore_Operativo!CE343)*Parametri_v3!$C$26</f>
        <v>15351.7513839417</v>
      </c>
      <c r="AL343" s="15" t="n">
        <f aca="false">MAX(0,(AM342))</f>
        <v>14929.1597720746</v>
      </c>
      <c r="AM343" s="15" t="n">
        <f aca="false">(AM342)+AK343-AL343</f>
        <v>15351.7513839417</v>
      </c>
      <c r="AN343" s="15" t="n">
        <f aca="false">SUM(X329:X340)</f>
        <v>0</v>
      </c>
      <c r="AO343" s="15" t="n">
        <f aca="false">SUM(AP329:AP340)</f>
        <v>0</v>
      </c>
      <c r="AP343" s="15" t="n">
        <f aca="false">MAX(0,AN343)*IF(3=Parametri_v3!$C$43,Parametri_v3!$C$45,IF(3=Parametri_v3!$C$44,1-Parametri_v3!$C$45,0))</f>
        <v>0</v>
      </c>
      <c r="AQ343" s="15" t="n">
        <f aca="false">MAX(0,AP343+IF(3=Parametri_v3!$C$43,MAX(0,AN343-AO343),0)-MAX(0,-(AR342)))</f>
        <v>0</v>
      </c>
      <c r="AR343" s="15" t="n">
        <f aca="false">(AR342)+X343-AQ343</f>
        <v>0</v>
      </c>
      <c r="AS343" s="15" t="n">
        <f aca="false">Motore_Operativo!AB343-AT343+AU343</f>
        <v>91649.4297604167</v>
      </c>
      <c r="AT343" s="15" t="n">
        <f aca="false">Motore_Operativo!CH343</f>
        <v>4823.65419791667</v>
      </c>
      <c r="AU343" s="15" t="n">
        <f aca="false">MIN(MAX(0,(AV342)+AT343),Parametri_v3!$C$60/12)</f>
        <v>0</v>
      </c>
      <c r="AV343" s="15" t="n">
        <f aca="false">(AV342)+AT343-AU343</f>
        <v>93642.66259375</v>
      </c>
      <c r="AW343" s="15" t="n">
        <f aca="false">IF(AND(Motore_Operativo!C343=Finanziamenti!$D$6,Finanziamenti!$F$6=1),Finanziamenti!$C$6,0)</f>
        <v>0</v>
      </c>
      <c r="AX343" s="15" t="n">
        <f aca="false">IF(AND(6&lt;&gt;7,6&lt;&gt;9,Finanziamenti!$F$8=1,OR(Parametri_v3!$C$6=0,Finanziamenti!$E$8=1),Motore_Operativo!C343=EDATE(Finanziamenti!$D$8,Ipotesi!H15*12)),Finanziamenti!$C$8*1,0)+IF(AND(6&lt;&gt;7,6&lt;&gt;9,Finanziamenti!$F$9=1,OR(Parametri_v3!$C$6=0,Finanziamenti!$E$9=1),Motore_Operativo!C343=EDATE(Finanziamenti!$D$9,Ipotesi!H15*12)),Finanziamenti!$C$9*Ipotesi!H16,0)</f>
        <v>0</v>
      </c>
      <c r="AY343" s="15" t="n">
        <f aca="false">0</f>
        <v>0</v>
      </c>
      <c r="AZ343" s="15" t="n">
        <f aca="false">Motore_Advisory!AY343*(1-Ipotesi!$C$95)*Ipotesi!$C$96</f>
        <v>0</v>
      </c>
      <c r="BA343" s="15" t="n">
        <f aca="false">MAX(0,MIN(CG343*MIN(1,IF(Motore_Operativo!C343&gt;=EDATE(Finanziamenti!$D$15,Ipotesi!H14*12),Finanziamenti!$C$15,0)+IF(Motore_Operativo!C343&gt;=EDATE(Finanziamenti!$D$16,Ipotesi!H14*12),Finanziamenti!$C$16,0)+IF(Motore_Operativo!C343&gt;=EDATE(Finanziamenti!$D$17,Ipotesi!H14*12),Finanziamenti!$C$17,0)),CA343*Ipotesi!$C$102)-(CC342))</f>
        <v>0</v>
      </c>
      <c r="BB343" s="15" t="n">
        <f aca="false">IF(AND(CF343&gt;0,Motore_Operativo!C343&gt;=IF(CF343=0,0,EDATE(CF343,Parametri_v3!$C$37)),MOD(((D343-YEAR(IF(CF343=0,0,EDATE(CF343,Parametri_v3!$C$37))))*12+E343-MONTH(IF(CF343=0,0,EDATE(CF343,Parametri_v3!$C$37)))),Parametri_v3!$C$38)=0),MIN(MAX(0,(BC342)+BA343-N343),(CC343-CD343)/(Ipotesi!$C$108*12/Parametri_v3!$C$38)),0)</f>
        <v>0</v>
      </c>
      <c r="BC343" s="15" t="n">
        <f aca="false">(BC342)+BA343-N343-BB343</f>
        <v>0</v>
      </c>
      <c r="BD343" s="15" t="n">
        <f aca="false">(BH342)+AC343+AF343-AI343-AS343-K343*(1+Parametri_v3!$C$26)-AL343-AQ343-O343+AW343+AX343+AZ343+BA343-BB343</f>
        <v>-45790.4988080268</v>
      </c>
      <c r="BE343" s="15" t="n">
        <f aca="false">MAX(0,MIN(MAX(0,CH343-(BG342)),Parametri_v3!$C$30-BD343))</f>
        <v>70790.4988080268</v>
      </c>
      <c r="BF343" s="15" t="n">
        <f aca="false">IF(Motore_Operativo!C343&gt;=Parametri_v3!$C$63,(BG342),MIN((BG342),MAX(0,BD343-Parametri_v3!$C$30)))</f>
        <v>0</v>
      </c>
      <c r="BG343" s="15" t="n">
        <f aca="false">(BG342)+BE343-BF343</f>
        <v>135348.656555301</v>
      </c>
      <c r="BH343" s="15" t="n">
        <f aca="false">BD343+BE343-BF343-AY343</f>
        <v>25000</v>
      </c>
      <c r="BI343" s="15" t="n">
        <f aca="false">MAX(0,Parametri_v3!$C$30-BH343)</f>
        <v>0</v>
      </c>
      <c r="BJ343" s="15" t="n">
        <f aca="false">(BJ342)+K343</f>
        <v>85000</v>
      </c>
      <c r="BK343" s="15" t="n">
        <f aca="false">(BK342)+L343</f>
        <v>41736.1111111111</v>
      </c>
      <c r="BL343" s="15" t="n">
        <f aca="false">BJ343-BK343</f>
        <v>43263.8888888889</v>
      </c>
      <c r="BM343" s="15" t="n">
        <f aca="false">(BM342)+Y343</f>
        <v>-1224553.58784475</v>
      </c>
      <c r="BN343" s="15" t="n">
        <f aca="false">(BN342)+AW343+AX343+AZ343</f>
        <v>1330000</v>
      </c>
      <c r="BO343" s="15" t="n">
        <f aca="false">(BO342)+AY343</f>
        <v>0</v>
      </c>
      <c r="BP343" s="15" t="n">
        <f aca="false">0</f>
        <v>0</v>
      </c>
      <c r="BQ343" s="15" t="n">
        <f aca="false">BN343+BM343-BO343</f>
        <v>105446.412155251</v>
      </c>
      <c r="BR343" s="15" t="n">
        <f aca="false">BH343+AD343+BL343+MAX(0,-AM343)+MAX(0,-AR343)+AG343</f>
        <v>489832.605972254</v>
      </c>
      <c r="BS343" s="15" t="n">
        <f aca="false">AJ343+AV343+MAX(0,AM343)+MAX(0,AR343)+BC343+BG343+BQ343</f>
        <v>489832.605972254</v>
      </c>
      <c r="BT343" s="15" t="n">
        <f aca="false">BR343-BS343</f>
        <v>0</v>
      </c>
      <c r="BU343" s="15" t="n">
        <f aca="false">BH343-(BD343+BE343-BF343-AY343)</f>
        <v>0</v>
      </c>
      <c r="BV343" s="15" t="n">
        <f aca="false">MIN(Piano_SS!$C$6,(BV342)+IF(AND(Motore_Operativo!C343&gt;=EDATE(Parametri_v3!$C$24,Ipotesi!H14*12),Motore_Operativo!C343&lt;EDATE(Parametri_v3!$C$24,Parametri_v3!$C$25+Ipotesi!H14*12)),MAX(0,(Motore_Operativo!Y343+Motore_Operativo!X343*Parametri_v3!$C$14)*(1-Parametri_v3!$C$32))*Piano_SS!$D$6,0))</f>
        <v>300000</v>
      </c>
      <c r="BW343" s="15" t="n">
        <f aca="false">MIN(Piano_SS!$C$7,(BW342)+IF(AND(Motore_Operativo!C343&gt;=EDATE(Parametri_v3!$C$24,Ipotesi!H14*12),Motore_Operativo!C343&lt;EDATE(Parametri_v3!$C$24,Parametri_v3!$C$25+Ipotesi!H14*12)),MAX(0,(IF(39-(INT((Ipotesi!$C$91)/30))&lt;1,0,INDEX(Motore_Operativo!$BN$305:$BN$364,MAX(1,39-(INT((Ipotesi!$C$91)/30)))))*(1-(MOD((Ipotesi!$C$91),30)/30))+IF(39-(INT((Ipotesi!$C$91)/30))-1&lt;1,0,INDEX(Motore_Operativo!$BN$305:$BN$364,MAX(1,39-(INT((Ipotesi!$C$91)/30))-1)))*(MOD((Ipotesi!$C$91),30)/30)))*Piano_SS!$D$7,0))</f>
        <v>41058.9230070837</v>
      </c>
      <c r="BX343" s="15" t="n">
        <f aca="false">MIN(Piano_SS!$C$8,(BX342)+IF(AND(Motore_Operativo!C343&gt;=EDATE(Parametri_v3!$C$24,Ipotesi!H14*12),Motore_Operativo!C343&lt;EDATE(Parametri_v3!$C$24,Parametri_v3!$C$25+Ipotesi!H14*12)),MAX(0,Motore_Operativo!CE343)*Piano_SS!$D$8,0))</f>
        <v>50000</v>
      </c>
      <c r="BY343" s="15" t="n">
        <f aca="false">MIN(Piano_SS!$C$9,(BY342)+IF(AND(Motore_Operativo!C343&gt;=EDATE(Parametri_v3!$C$24,Ipotesi!H14*12),Motore_Operativo!C343&lt;EDATE(Parametri_v3!$C$24,Parametri_v3!$C$25+Ipotesi!H14*12)),MAX(0,((IF(39-(INT((Ipotesi!$C$91)/30))&lt;1,0,INDEX(Motore_Operativo!$BQ$305:$BQ$364,MAX(1,39-(INT((Ipotesi!$C$91)/30)))))*(1-(MOD((Ipotesi!$C$91),30)/30))+IF(39-(INT((Ipotesi!$C$91)/30))-1&lt;1,0,INDEX(Motore_Operativo!$BQ$305:$BQ$364,MAX(1,39-(INT((Ipotesi!$C$91)/30))-1)))*(MOD((Ipotesi!$C$91),30)/30))+(IF(39-(INT((Ipotesi!$C$91)/30))&lt;1,0,INDEX(Motore_Operativo!$BR$305:$BR$364,MAX(1,39-(INT((Ipotesi!$C$91)/30)))))*(1-(MOD((Ipotesi!$C$91),30)/30))+IF(39-(INT((Ipotesi!$C$91)/30))-1&lt;1,0,INDEX(Motore_Operativo!$BR$305:$BR$364,MAX(1,39-(INT((Ipotesi!$C$91)/30))-1)))*(MOD((Ipotesi!$C$91),30)/30))))*Piano_SS!$D$9,0))</f>
        <v>40000</v>
      </c>
      <c r="BZ343" s="15" t="n">
        <f aca="false">MIN(Piano_SS!$C$10,(BZ342)+IF(AND(Motore_Operativo!C343&gt;=EDATE(Parametri_v3!$C$24,Ipotesi!H14*12),Motore_Operativo!C343&lt;EDATE(Parametri_v3!$C$24,Parametri_v3!$C$25+Ipotesi!H14*12)),MAX(0,(IF(39-(INT((Ipotesi!$C$91)/30))&lt;1,0,INDEX(Motore_Operativo!$BO$305:$BO$364,MAX(1,39-(INT((Ipotesi!$C$91)/30)))))*(1-(MOD((Ipotesi!$C$91),30)/30))+IF(39-(INT((Ipotesi!$C$91)/30))-1&lt;1,0,INDEX(Motore_Operativo!$BO$305:$BO$364,MAX(1,39-(INT((Ipotesi!$C$91)/30))-1)))*(MOD((Ipotesi!$C$91),30)/30)))*Piano_SS!$D$10,0))</f>
        <v>30000</v>
      </c>
      <c r="CA343" s="15" t="n">
        <f aca="false">SUM(BV343:BZ343)</f>
        <v>461058.923007084</v>
      </c>
      <c r="CB343" s="15" t="n">
        <f aca="false">BV343*(1-Piano_SS!$E$6)+BW343*(1-Piano_SS!$E$7)+BX343*(1-Piano_SS!$E$8)+BY343*(1-Piano_SS!$E$9)+BZ343*(1-Piano_SS!$E$10)</f>
        <v>431058.923007084</v>
      </c>
      <c r="CC343" s="15" t="n">
        <f aca="false">(CC342)+BA343</f>
        <v>0</v>
      </c>
      <c r="CD343" s="15" t="n">
        <f aca="false">IF(CA343=0,0,CC343*CB343/CA343*Ipotesi!$C$103*Parametri_v3!$C$64)</f>
        <v>0</v>
      </c>
      <c r="CE343" s="18" t="n">
        <f aca="false">IF(BA343&gt;0,Motore_Operativo!C343,(CE342))</f>
        <v>0</v>
      </c>
      <c r="CF343" s="18" t="n">
        <f aca="false">IF(AND(CC343&gt;0,OR(CC343&gt;=CG343-0.01,Motore_Operativo!C343&gt;=EDATE(MAX(Finanziamenti!$D$15:$D$17),Ipotesi!H14*12))),CE343,0)</f>
        <v>0</v>
      </c>
      <c r="CG343" s="15" t="n">
        <f aca="false">IF(AND(6&lt;&gt;6,6&lt;&gt;9,Finanziamenti!$F$11=1,OR(Parametri_v3!$C$6=0,Finanziamenti!$E$11=1)),MIN(Finanziamenti!$C$11,Piano_SS!$C$12*Ipotesi!$C$102),0)</f>
        <v>0</v>
      </c>
      <c r="CH343" s="15" t="n">
        <f aca="false">IF(AND(AND(6&lt;&gt;8,6&lt;&gt;9,Finanziamenti!$F$10=1,OR(Parametri_v3!$C$6=0,Finanziamenti!$E$10=1)),Motore_Operativo!C343&gt;=Finanziamenti!$D$10,Motore_Operativo!C343&lt;Parametri_v3!$C$63),Finanziamenti!$C$10,0)</f>
        <v>150000</v>
      </c>
    </row>
    <row r="344" customFormat="false" ht="18" hidden="false" customHeight="true" outlineLevel="0" collapsed="false">
      <c r="A344" s="68" t="n">
        <f aca="false">6</f>
        <v>6</v>
      </c>
      <c r="B344" s="68" t="n">
        <f aca="false">40</f>
        <v>40</v>
      </c>
      <c r="C344" s="18" t="n">
        <f aca="false">Motore_Operativo!C344</f>
        <v>47574</v>
      </c>
      <c r="D344" s="68" t="n">
        <f aca="false">Motore_Operativo!D344</f>
        <v>2030</v>
      </c>
      <c r="E344" s="68" t="n">
        <f aca="false">Motore_Operativo!E344</f>
        <v>4</v>
      </c>
      <c r="F344" s="15" t="n">
        <f aca="false">Motore_Operativo!AQ344+Motore_Operativo!BF344</f>
        <v>116985.966626</v>
      </c>
      <c r="G344" s="15" t="n">
        <f aca="false">Motore_Operativo!BH344</f>
        <v>9024.16666666667</v>
      </c>
      <c r="H344" s="15" t="n">
        <f aca="false">Motore_Operativo!BI344</f>
        <v>126010.133292667</v>
      </c>
      <c r="I344" s="15" t="n">
        <f aca="false">Motore_Operativo!CA344</f>
        <v>155983.51095264</v>
      </c>
      <c r="J344" s="15" t="n">
        <f aca="false">Motore_Operativo!CC344</f>
        <v>-29973.3776599733</v>
      </c>
      <c r="K344" s="15" t="n">
        <f aca="false">Motore_Operativo!CE344</f>
        <v>3333.33333333333</v>
      </c>
      <c r="L344" s="15" t="n">
        <f aca="false">SUM(INDEX($K$305:$K$364,MAX(1,40-Parametri_v3!$C$59+1)):K344)/Parametri_v3!$C$59</f>
        <v>2268.51851851852</v>
      </c>
      <c r="M344" s="15" t="n">
        <f aca="false">J344-L344</f>
        <v>-32241.8961784918</v>
      </c>
      <c r="N344" s="15" t="n">
        <f aca="false">CD344-(CD343)</f>
        <v>0</v>
      </c>
      <c r="O344" s="15" t="n">
        <f aca="false">(BG343)*Ipotesi!$C$110/12+CH344*Parametri_v3!$C$39/12</f>
        <v>676.743282776507</v>
      </c>
      <c r="P344" s="15" t="n">
        <f aca="false">M344+N344-O344</f>
        <v>-32918.6394612683</v>
      </c>
      <c r="Q344" s="15" t="n">
        <f aca="false">SUM(P341:P344)+Parametri_v3!$C$54*4/12</f>
        <v>-142143.42625971</v>
      </c>
      <c r="R344" s="15" t="n">
        <f aca="false">Z340</f>
        <v>1115328.80104631</v>
      </c>
      <c r="S344" s="15" t="n">
        <f aca="false">AA340</f>
        <v>0</v>
      </c>
      <c r="T344" s="15" t="n">
        <f aca="false">MIN(R344,MAX(0,Q344))</f>
        <v>0</v>
      </c>
      <c r="U344" s="15" t="n">
        <f aca="false">MIN(S344,MAX(0,Q344-T344)*Parametri_v3!$C$42)</f>
        <v>0</v>
      </c>
      <c r="V344" s="15" t="n">
        <f aca="false">MAX(0,Q344-T344-U344)*Ipotesi!$C$92</f>
        <v>0</v>
      </c>
      <c r="W344" s="15" t="n">
        <f aca="false">MAX(0,SUM(M341:M344)+Parametri_v3!$C$55*4/12)*Ipotesi!$C$93</f>
        <v>0</v>
      </c>
      <c r="X344" s="15" t="n">
        <f aca="false">V344+W344-(V343+W343)</f>
        <v>0</v>
      </c>
      <c r="Y344" s="15" t="n">
        <f aca="false">P344-X344</f>
        <v>-32918.6394612683</v>
      </c>
      <c r="Z344" s="15" t="n">
        <f aca="false">R344-T344+IF(AND(Parametri_v3!$C$40=1,D344-YEAR(Parametri_v3!$C$50)&lt;Parametri_v3!$C$41),MAX(0,-Q344),0)</f>
        <v>1115328.80104631</v>
      </c>
      <c r="AA344" s="15" t="n">
        <f aca="false">S344-U344+IF(AND(Parametri_v3!$C$40=1,D344-YEAR(Parametri_v3!$C$50)&lt;Parametri_v3!$C$41),0,MAX(0,-Q344))</f>
        <v>142143.42625971</v>
      </c>
      <c r="AB344" s="15" t="n">
        <f aca="false">F344*(1+Parametri_v3!$C$26)</f>
        <v>142722.87928372</v>
      </c>
      <c r="AC344" s="15" t="n">
        <f aca="false">(IF(40-(INT((Motore_Operativo!L344)/30))&lt;1,0,INDEX(Motore_Startup!$AB$305:$AB$364,MAX(1,40-(INT((Motore_Operativo!L344)/30)))))*(1-(MOD((Motore_Operativo!L344),30)/30))+IF(40-(INT((Motore_Operativo!L344)/30))-1&lt;1,0,INDEX(Motore_Startup!$AB$305:$AB$364,MAX(1,40-(INT((Motore_Operativo!L344)/30))-1)))*(MOD((Motore_Operativo!L344),30)/30))</f>
        <v>134177.436481054</v>
      </c>
      <c r="AD344" s="15" t="n">
        <f aca="false">(AD343)+AB344-AC344</f>
        <v>419104.676552697</v>
      </c>
      <c r="AE344" s="15" t="n">
        <f aca="false">Motore_Operativo!BH344*(1+Parametri_v3!$C$26)</f>
        <v>11009.4833333333</v>
      </c>
      <c r="AF344" s="15" t="n">
        <f aca="false">(IF(40-(INT((Parametri_v3!$C$29)/30))&lt;1,0,INDEX(Motore_Operativo!$BH$305:$BH$364,MAX(1,40-(INT((Parametri_v3!$C$29)/30)))))*(1-(MOD((Parametri_v3!$C$29),30)/30))+IF(40-(INT((Parametri_v3!$C$29)/30))-1&lt;1,0,INDEX(Motore_Operativo!$BH$305:$BH$364,MAX(1,40-(INT((Parametri_v3!$C$29)/30))-1)))*(MOD((Parametri_v3!$C$29),30)/30))*(1+Parametri_v3!$C$26)</f>
        <v>11009.4833333333</v>
      </c>
      <c r="AG344" s="15" t="n">
        <f aca="false">(AG343)+AE344-AF344</f>
        <v>11009.4833333333</v>
      </c>
      <c r="AH344" s="15" t="n">
        <f aca="false">(Motore_Operativo!CJ344)*(1+Parametri_v3!$C$27*Parametri_v3!$C$26)</f>
        <v>70638.876842242</v>
      </c>
      <c r="AI344" s="15" t="n">
        <f aca="false">(IF(40-(INT((Ipotesi!$C$91)/30))&lt;1,0,INDEX(Motore_Startup!$AH$305:$AH$364,MAX(1,40-(INT((Ipotesi!$C$91)/30)))))*(1-(MOD((Ipotesi!$C$91),30)/30))+IF(40-(INT((Ipotesi!$C$91)/30))-1&lt;1,0,INDEX(Motore_Startup!$AH$305:$AH$364,MAX(1,40-(INT((Ipotesi!$C$91)/30))-1)))*(MOD((Ipotesi!$C$91),30)/30))</f>
        <v>69840.3980003269</v>
      </c>
      <c r="AJ344" s="15" t="n">
        <f aca="false">(AJ343)+AH344-AI344</f>
        <v>140841.602125925</v>
      </c>
      <c r="AK344" s="15" t="n">
        <f aca="false">(F344+ Motore_Operativo!BH344-(Motore_Operativo!CJ344)*Parametri_v3!$C$27-Motore_Operativo!CE344)*Parametri_v3!$C$26</f>
        <v>15860.446143118</v>
      </c>
      <c r="AL344" s="15" t="n">
        <f aca="false">MAX(0,(AM343))</f>
        <v>15351.7513839417</v>
      </c>
      <c r="AM344" s="15" t="n">
        <f aca="false">(AM343)+AK344-AL344</f>
        <v>15860.446143118</v>
      </c>
      <c r="AN344" s="15" t="n">
        <f aca="false">SUM(X329:X340)</f>
        <v>0</v>
      </c>
      <c r="AO344" s="15" t="n">
        <f aca="false">SUM(AP329:AP340)</f>
        <v>0</v>
      </c>
      <c r="AP344" s="15" t="n">
        <f aca="false">MAX(0,AN344)*IF(4=Parametri_v3!$C$43,Parametri_v3!$C$45,IF(4=Parametri_v3!$C$44,1-Parametri_v3!$C$45,0))</f>
        <v>0</v>
      </c>
      <c r="AQ344" s="15" t="n">
        <f aca="false">MAX(0,AP344+IF(4=Parametri_v3!$C$43,MAX(0,AN344-AO344),0)-MAX(0,-(AR343)))</f>
        <v>0</v>
      </c>
      <c r="AR344" s="15" t="n">
        <f aca="false">(AR343)+X344-AQ344</f>
        <v>0</v>
      </c>
      <c r="AS344" s="15" t="n">
        <f aca="false">Motore_Operativo!AB344-AT344+AU344</f>
        <v>91649.4297604167</v>
      </c>
      <c r="AT344" s="15" t="n">
        <f aca="false">Motore_Operativo!CH344</f>
        <v>4823.65419791667</v>
      </c>
      <c r="AU344" s="15" t="n">
        <f aca="false">MIN(MAX(0,(AV343)+AT344),Parametri_v3!$C$60/12)</f>
        <v>0</v>
      </c>
      <c r="AV344" s="15" t="n">
        <f aca="false">(AV343)+AT344-AU344</f>
        <v>98466.3167916667</v>
      </c>
      <c r="AW344" s="15" t="n">
        <f aca="false">IF(AND(Motore_Operativo!C344=Finanziamenti!$D$6,Finanziamenti!$F$6=1),Finanziamenti!$C$6,0)</f>
        <v>0</v>
      </c>
      <c r="AX344" s="15" t="n">
        <f aca="false">IF(AND(6&lt;&gt;7,6&lt;&gt;9,Finanziamenti!$F$8=1,OR(Parametri_v3!$C$6=0,Finanziamenti!$E$8=1),Motore_Operativo!C344=EDATE(Finanziamenti!$D$8,Ipotesi!H15*12)),Finanziamenti!$C$8*1,0)+IF(AND(6&lt;&gt;7,6&lt;&gt;9,Finanziamenti!$F$9=1,OR(Parametri_v3!$C$6=0,Finanziamenti!$E$9=1),Motore_Operativo!C344=EDATE(Finanziamenti!$D$9,Ipotesi!H15*12)),Finanziamenti!$C$9*Ipotesi!H16,0)</f>
        <v>0</v>
      </c>
      <c r="AY344" s="15" t="n">
        <f aca="false">0</f>
        <v>0</v>
      </c>
      <c r="AZ344" s="15" t="n">
        <f aca="false">Motore_Advisory!AY344*(1-Ipotesi!$C$95)*Ipotesi!$C$96</f>
        <v>0</v>
      </c>
      <c r="BA344" s="15" t="n">
        <f aca="false">MAX(0,MIN(CG344*MIN(1,IF(Motore_Operativo!C344&gt;=EDATE(Finanziamenti!$D$15,Ipotesi!H14*12),Finanziamenti!$C$15,0)+IF(Motore_Operativo!C344&gt;=EDATE(Finanziamenti!$D$16,Ipotesi!H14*12),Finanziamenti!$C$16,0)+IF(Motore_Operativo!C344&gt;=EDATE(Finanziamenti!$D$17,Ipotesi!H14*12),Finanziamenti!$C$17,0)),CA344*Ipotesi!$C$102)-(CC343))</f>
        <v>0</v>
      </c>
      <c r="BB344" s="15" t="n">
        <f aca="false">IF(AND(CF344&gt;0,Motore_Operativo!C344&gt;=IF(CF344=0,0,EDATE(CF344,Parametri_v3!$C$37)),MOD(((D344-YEAR(IF(CF344=0,0,EDATE(CF344,Parametri_v3!$C$37))))*12+E344-MONTH(IF(CF344=0,0,EDATE(CF344,Parametri_v3!$C$37)))),Parametri_v3!$C$38)=0),MIN(MAX(0,(BC343)+BA344-N344),(CC344-CD344)/(Ipotesi!$C$108*12/Parametri_v3!$C$38)),0)</f>
        <v>0</v>
      </c>
      <c r="BC344" s="15" t="n">
        <f aca="false">(BC343)+BA344-N344-BB344</f>
        <v>0</v>
      </c>
      <c r="BD344" s="15" t="n">
        <f aca="false">(BH343)+AC344+AF344-AI344-AS344-K344*(1+Parametri_v3!$C$26)-AL344-AQ344-O344+AW344+AX344+AZ344+BA344-BB344</f>
        <v>-11398.0692797407</v>
      </c>
      <c r="BE344" s="15" t="n">
        <f aca="false">MAX(0,MIN(MAX(0,CH344-(BG343)),Parametri_v3!$C$30-BD344))</f>
        <v>14651.3434446986</v>
      </c>
      <c r="BF344" s="15" t="n">
        <f aca="false">IF(Motore_Operativo!C344&gt;=Parametri_v3!$C$63,(BG343),MIN((BG343),MAX(0,BD344-Parametri_v3!$C$30)))</f>
        <v>0</v>
      </c>
      <c r="BG344" s="15" t="n">
        <f aca="false">(BG343)+BE344-BF344</f>
        <v>150000</v>
      </c>
      <c r="BH344" s="15" t="n">
        <f aca="false">BD344+BE344-BF344-AY344</f>
        <v>3253.27416495783</v>
      </c>
      <c r="BI344" s="15" t="n">
        <f aca="false">MAX(0,Parametri_v3!$C$30-BH344)</f>
        <v>21746.7258350422</v>
      </c>
      <c r="BJ344" s="15" t="n">
        <f aca="false">(BJ343)+K344</f>
        <v>88333.3333333333</v>
      </c>
      <c r="BK344" s="15" t="n">
        <f aca="false">(BK343)+L344</f>
        <v>44004.6296296296</v>
      </c>
      <c r="BL344" s="15" t="n">
        <f aca="false">BJ344-BK344</f>
        <v>44328.7037037037</v>
      </c>
      <c r="BM344" s="15" t="n">
        <f aca="false">(BM343)+Y344</f>
        <v>-1257472.22730602</v>
      </c>
      <c r="BN344" s="15" t="n">
        <f aca="false">(BN343)+AW344+AX344+AZ344</f>
        <v>1330000</v>
      </c>
      <c r="BO344" s="15" t="n">
        <f aca="false">(BO343)+AY344</f>
        <v>0</v>
      </c>
      <c r="BP344" s="15" t="n">
        <f aca="false">0</f>
        <v>0</v>
      </c>
      <c r="BQ344" s="15" t="n">
        <f aca="false">BN344+BM344-BO344</f>
        <v>72527.7726939828</v>
      </c>
      <c r="BR344" s="15" t="n">
        <f aca="false">BH344+AD344+BL344+MAX(0,-AM344)+MAX(0,-AR344)+AG344</f>
        <v>477696.137754692</v>
      </c>
      <c r="BS344" s="15" t="n">
        <f aca="false">AJ344+AV344+MAX(0,AM344)+MAX(0,AR344)+BC344+BG344+BQ344</f>
        <v>477696.137754693</v>
      </c>
      <c r="BT344" s="15" t="n">
        <f aca="false">BR344-BS344</f>
        <v>0</v>
      </c>
      <c r="BU344" s="15" t="n">
        <f aca="false">BH344-(BD344+BE344-BF344-AY344)</f>
        <v>0</v>
      </c>
      <c r="BV344" s="15" t="n">
        <f aca="false">MIN(Piano_SS!$C$6,(BV343)+IF(AND(Motore_Operativo!C344&gt;=EDATE(Parametri_v3!$C$24,Ipotesi!H14*12),Motore_Operativo!C344&lt;EDATE(Parametri_v3!$C$24,Parametri_v3!$C$25+Ipotesi!H14*12)),MAX(0,(Motore_Operativo!Y344+Motore_Operativo!X344*Parametri_v3!$C$14)*(1-Parametri_v3!$C$32))*Piano_SS!$D$6,0))</f>
        <v>300000</v>
      </c>
      <c r="BW344" s="15" t="n">
        <f aca="false">MIN(Piano_SS!$C$7,(BW343)+IF(AND(Motore_Operativo!C344&gt;=EDATE(Parametri_v3!$C$24,Ipotesi!H14*12),Motore_Operativo!C344&lt;EDATE(Parametri_v3!$C$24,Parametri_v3!$C$25+Ipotesi!H14*12)),MAX(0,(IF(40-(INT((Ipotesi!$C$91)/30))&lt;1,0,INDEX(Motore_Operativo!$BN$305:$BN$364,MAX(1,40-(INT((Ipotesi!$C$91)/30)))))*(1-(MOD((Ipotesi!$C$91),30)/30))+IF(40-(INT((Ipotesi!$C$91)/30))-1&lt;1,0,INDEX(Motore_Operativo!$BN$305:$BN$364,MAX(1,40-(INT((Ipotesi!$C$91)/30))-1)))*(MOD((Ipotesi!$C$91),30)/30)))*Piano_SS!$D$7,0))</f>
        <v>41058.9230070837</v>
      </c>
      <c r="BX344" s="15" t="n">
        <f aca="false">MIN(Piano_SS!$C$8,(BX343)+IF(AND(Motore_Operativo!C344&gt;=EDATE(Parametri_v3!$C$24,Ipotesi!H14*12),Motore_Operativo!C344&lt;EDATE(Parametri_v3!$C$24,Parametri_v3!$C$25+Ipotesi!H14*12)),MAX(0,Motore_Operativo!CE344)*Piano_SS!$D$8,0))</f>
        <v>50000</v>
      </c>
      <c r="BY344" s="15" t="n">
        <f aca="false">MIN(Piano_SS!$C$9,(BY343)+IF(AND(Motore_Operativo!C344&gt;=EDATE(Parametri_v3!$C$24,Ipotesi!H14*12),Motore_Operativo!C344&lt;EDATE(Parametri_v3!$C$24,Parametri_v3!$C$25+Ipotesi!H14*12)),MAX(0,((IF(40-(INT((Ipotesi!$C$91)/30))&lt;1,0,INDEX(Motore_Operativo!$BQ$305:$BQ$364,MAX(1,40-(INT((Ipotesi!$C$91)/30)))))*(1-(MOD((Ipotesi!$C$91),30)/30))+IF(40-(INT((Ipotesi!$C$91)/30))-1&lt;1,0,INDEX(Motore_Operativo!$BQ$305:$BQ$364,MAX(1,40-(INT((Ipotesi!$C$91)/30))-1)))*(MOD((Ipotesi!$C$91),30)/30))+(IF(40-(INT((Ipotesi!$C$91)/30))&lt;1,0,INDEX(Motore_Operativo!$BR$305:$BR$364,MAX(1,40-(INT((Ipotesi!$C$91)/30)))))*(1-(MOD((Ipotesi!$C$91),30)/30))+IF(40-(INT((Ipotesi!$C$91)/30))-1&lt;1,0,INDEX(Motore_Operativo!$BR$305:$BR$364,MAX(1,40-(INT((Ipotesi!$C$91)/30))-1)))*(MOD((Ipotesi!$C$91),30)/30))))*Piano_SS!$D$9,0))</f>
        <v>40000</v>
      </c>
      <c r="BZ344" s="15" t="n">
        <f aca="false">MIN(Piano_SS!$C$10,(BZ343)+IF(AND(Motore_Operativo!C344&gt;=EDATE(Parametri_v3!$C$24,Ipotesi!H14*12),Motore_Operativo!C344&lt;EDATE(Parametri_v3!$C$24,Parametri_v3!$C$25+Ipotesi!H14*12)),MAX(0,(IF(40-(INT((Ipotesi!$C$91)/30))&lt;1,0,INDEX(Motore_Operativo!$BO$305:$BO$364,MAX(1,40-(INT((Ipotesi!$C$91)/30)))))*(1-(MOD((Ipotesi!$C$91),30)/30))+IF(40-(INT((Ipotesi!$C$91)/30))-1&lt;1,0,INDEX(Motore_Operativo!$BO$305:$BO$364,MAX(1,40-(INT((Ipotesi!$C$91)/30))-1)))*(MOD((Ipotesi!$C$91),30)/30)))*Piano_SS!$D$10,0))</f>
        <v>30000</v>
      </c>
      <c r="CA344" s="15" t="n">
        <f aca="false">SUM(BV344:BZ344)</f>
        <v>461058.923007084</v>
      </c>
      <c r="CB344" s="15" t="n">
        <f aca="false">BV344*(1-Piano_SS!$E$6)+BW344*(1-Piano_SS!$E$7)+BX344*(1-Piano_SS!$E$8)+BY344*(1-Piano_SS!$E$9)+BZ344*(1-Piano_SS!$E$10)</f>
        <v>431058.923007084</v>
      </c>
      <c r="CC344" s="15" t="n">
        <f aca="false">(CC343)+BA344</f>
        <v>0</v>
      </c>
      <c r="CD344" s="15" t="n">
        <f aca="false">IF(CA344=0,0,CC344*CB344/CA344*Ipotesi!$C$103*Parametri_v3!$C$64)</f>
        <v>0</v>
      </c>
      <c r="CE344" s="18" t="n">
        <f aca="false">IF(BA344&gt;0,Motore_Operativo!C344,(CE343))</f>
        <v>0</v>
      </c>
      <c r="CF344" s="18" t="n">
        <f aca="false">IF(AND(CC344&gt;0,OR(CC344&gt;=CG344-0.01,Motore_Operativo!C344&gt;=EDATE(MAX(Finanziamenti!$D$15:$D$17),Ipotesi!H14*12))),CE344,0)</f>
        <v>0</v>
      </c>
      <c r="CG344" s="15" t="n">
        <f aca="false">IF(AND(6&lt;&gt;6,6&lt;&gt;9,Finanziamenti!$F$11=1,OR(Parametri_v3!$C$6=0,Finanziamenti!$E$11=1)),MIN(Finanziamenti!$C$11,Piano_SS!$C$12*Ipotesi!$C$102),0)</f>
        <v>0</v>
      </c>
      <c r="CH344" s="15" t="n">
        <f aca="false">IF(AND(AND(6&lt;&gt;8,6&lt;&gt;9,Finanziamenti!$F$10=1,OR(Parametri_v3!$C$6=0,Finanziamenti!$E$10=1)),Motore_Operativo!C344&gt;=Finanziamenti!$D$10,Motore_Operativo!C344&lt;Parametri_v3!$C$63),Finanziamenti!$C$10,0)</f>
        <v>150000</v>
      </c>
    </row>
    <row r="345" customFormat="false" ht="18" hidden="false" customHeight="true" outlineLevel="0" collapsed="false">
      <c r="A345" s="68" t="n">
        <f aca="false">6</f>
        <v>6</v>
      </c>
      <c r="B345" s="68" t="n">
        <f aca="false">41</f>
        <v>41</v>
      </c>
      <c r="C345" s="18" t="n">
        <f aca="false">Motore_Operativo!C345</f>
        <v>47604</v>
      </c>
      <c r="D345" s="68" t="n">
        <f aca="false">Motore_Operativo!D345</f>
        <v>2030</v>
      </c>
      <c r="E345" s="68" t="n">
        <f aca="false">Motore_Operativo!E345</f>
        <v>5</v>
      </c>
      <c r="F345" s="15" t="n">
        <f aca="false">Motore_Operativo!AQ345+Motore_Operativo!BF345</f>
        <v>120050.899173052</v>
      </c>
      <c r="G345" s="15" t="n">
        <f aca="false">Motore_Operativo!BH345</f>
        <v>9024.16666666667</v>
      </c>
      <c r="H345" s="15" t="n">
        <f aca="false">Motore_Operativo!BI345</f>
        <v>129075.065839719</v>
      </c>
      <c r="I345" s="15" t="n">
        <f aca="false">Motore_Operativo!CA345</f>
        <v>156412.601509227</v>
      </c>
      <c r="J345" s="15" t="n">
        <f aca="false">Motore_Operativo!CC345</f>
        <v>-27337.5356695087</v>
      </c>
      <c r="K345" s="15" t="n">
        <f aca="false">Motore_Operativo!CE345</f>
        <v>3333.33333333333</v>
      </c>
      <c r="L345" s="15" t="n">
        <f aca="false">SUM(INDEX($K$305:$K$364,MAX(1,41-Parametri_v3!$C$59+1)):K345)/Parametri_v3!$C$59</f>
        <v>2314.81481481482</v>
      </c>
      <c r="M345" s="15" t="n">
        <f aca="false">J345-L345</f>
        <v>-29652.3504843235</v>
      </c>
      <c r="N345" s="15" t="n">
        <f aca="false">CD345-(CD344)</f>
        <v>0</v>
      </c>
      <c r="O345" s="15" t="n">
        <f aca="false">(BG344)*Ipotesi!$C$110/12+CH345*Parametri_v3!$C$39/12</f>
        <v>750</v>
      </c>
      <c r="P345" s="15" t="n">
        <f aca="false">M345+N345-O345</f>
        <v>-30402.3504843235</v>
      </c>
      <c r="Q345" s="15" t="n">
        <f aca="false">SUM(P341:P345)+Parametri_v3!$C$54*5/12</f>
        <v>-172545.776744034</v>
      </c>
      <c r="R345" s="15" t="n">
        <f aca="false">Z340</f>
        <v>1115328.80104631</v>
      </c>
      <c r="S345" s="15" t="n">
        <f aca="false">AA340</f>
        <v>0</v>
      </c>
      <c r="T345" s="15" t="n">
        <f aca="false">MIN(R345,MAX(0,Q345))</f>
        <v>0</v>
      </c>
      <c r="U345" s="15" t="n">
        <f aca="false">MIN(S345,MAX(0,Q345-T345)*Parametri_v3!$C$42)</f>
        <v>0</v>
      </c>
      <c r="V345" s="15" t="n">
        <f aca="false">MAX(0,Q345-T345-U345)*Ipotesi!$C$92</f>
        <v>0</v>
      </c>
      <c r="W345" s="15" t="n">
        <f aca="false">MAX(0,SUM(M341:M345)+Parametri_v3!$C$55*5/12)*Ipotesi!$C$93</f>
        <v>0</v>
      </c>
      <c r="X345" s="15" t="n">
        <f aca="false">V345+W345-(V344+W344)</f>
        <v>0</v>
      </c>
      <c r="Y345" s="15" t="n">
        <f aca="false">P345-X345</f>
        <v>-30402.3504843235</v>
      </c>
      <c r="Z345" s="15" t="n">
        <f aca="false">R345-T345+IF(AND(Parametri_v3!$C$40=1,D345-YEAR(Parametri_v3!$C$50)&lt;Parametri_v3!$C$41),MAX(0,-Q345),0)</f>
        <v>1115328.80104631</v>
      </c>
      <c r="AA345" s="15" t="n">
        <f aca="false">S345-U345+IF(AND(Parametri_v3!$C$40=1,D345-YEAR(Parametri_v3!$C$50)&lt;Parametri_v3!$C$41),0,MAX(0,-Q345))</f>
        <v>172545.776744034</v>
      </c>
      <c r="AB345" s="15" t="n">
        <f aca="false">F345*(1+Parametri_v3!$C$26)</f>
        <v>146462.096991123</v>
      </c>
      <c r="AC345" s="15" t="n">
        <f aca="false">(IF(41-(INT((Motore_Operativo!L345)/30))&lt;1,0,INDEX(Motore_Startup!$AB$305:$AB$364,MAX(1,41-(INT((Motore_Operativo!L345)/30)))))*(1-(MOD((Motore_Operativo!L345),30)/30))+IF(41-(INT((Motore_Operativo!L345)/30))-1&lt;1,0,INDEX(Motore_Startup!$AB$305:$AB$364,MAX(1,41-(INT((Motore_Operativo!L345)/30))-1)))*(MOD((Motore_Operativo!L345),30)/30))</f>
        <v>136860.897173138</v>
      </c>
      <c r="AD345" s="15" t="n">
        <f aca="false">(AD344)+AB345-AC345</f>
        <v>428705.876370683</v>
      </c>
      <c r="AE345" s="15" t="n">
        <f aca="false">Motore_Operativo!BH345*(1+Parametri_v3!$C$26)</f>
        <v>11009.4833333333</v>
      </c>
      <c r="AF345" s="15" t="n">
        <f aca="false">(IF(41-(INT((Parametri_v3!$C$29)/30))&lt;1,0,INDEX(Motore_Operativo!$BH$305:$BH$364,MAX(1,41-(INT((Parametri_v3!$C$29)/30)))))*(1-(MOD((Parametri_v3!$C$29),30)/30))+IF(41-(INT((Parametri_v3!$C$29)/30))-1&lt;1,0,INDEX(Motore_Operativo!$BH$305:$BH$364,MAX(1,41-(INT((Parametri_v3!$C$29)/30))-1)))*(MOD((Parametri_v3!$C$29),30)/30))*(1+Parametri_v3!$C$26)</f>
        <v>11009.4833333333</v>
      </c>
      <c r="AG345" s="15" t="n">
        <f aca="false">(AG344)+AE345-AF345</f>
        <v>11009.4833333333</v>
      </c>
      <c r="AH345" s="15" t="n">
        <f aca="false">(Motore_Operativo!CJ345)*(1+Parametri_v3!$C$27*Parametri_v3!$C$26)</f>
        <v>71148.2073329111</v>
      </c>
      <c r="AI345" s="15" t="n">
        <f aca="false">(IF(41-(INT((Ipotesi!$C$91)/30))&lt;1,0,INDEX(Motore_Startup!$AH$305:$AH$364,MAX(1,41-(INT((Ipotesi!$C$91)/30)))))*(1-(MOD((Ipotesi!$C$91),30)/30))+IF(41-(INT((Ipotesi!$C$91)/30))-1&lt;1,0,INDEX(Motore_Startup!$AH$305:$AH$364,MAX(1,41-(INT((Ipotesi!$C$91)/30))-1)))*(MOD((Ipotesi!$C$91),30)/30))</f>
        <v>70202.725283683</v>
      </c>
      <c r="AJ345" s="15" t="n">
        <f aca="false">(AJ344)+AH345-AI345</f>
        <v>141787.084175153</v>
      </c>
      <c r="AK345" s="15" t="n">
        <f aca="false">(F345+ Motore_Operativo!BH345-(Motore_Operativo!CJ345)*Parametri_v3!$C$27-Motore_Operativo!CE345)*Parametri_v3!$C$26</f>
        <v>16454.4913693876</v>
      </c>
      <c r="AL345" s="15" t="n">
        <f aca="false">MAX(0,(AM344))</f>
        <v>15860.446143118</v>
      </c>
      <c r="AM345" s="15" t="n">
        <f aca="false">(AM344)+AK345-AL345</f>
        <v>16454.4913693876</v>
      </c>
      <c r="AN345" s="15" t="n">
        <f aca="false">SUM(X329:X340)</f>
        <v>0</v>
      </c>
      <c r="AO345" s="15" t="n">
        <f aca="false">SUM(AP329:AP340)</f>
        <v>0</v>
      </c>
      <c r="AP345" s="15" t="n">
        <f aca="false">MAX(0,AN345)*IF(5=Parametri_v3!$C$43,Parametri_v3!$C$45,IF(5=Parametri_v3!$C$44,1-Parametri_v3!$C$45,0))</f>
        <v>0</v>
      </c>
      <c r="AQ345" s="15" t="n">
        <f aca="false">MAX(0,AP345+IF(5=Parametri_v3!$C$43,MAX(0,AN345-AO345),0)-MAX(0,-(AR344)))</f>
        <v>0</v>
      </c>
      <c r="AR345" s="15" t="n">
        <f aca="false">(AR344)+X345-AQ345</f>
        <v>0</v>
      </c>
      <c r="AS345" s="15" t="n">
        <f aca="false">Motore_Operativo!AB345-AT345+AU345</f>
        <v>91649.4297604167</v>
      </c>
      <c r="AT345" s="15" t="n">
        <f aca="false">Motore_Operativo!CH345</f>
        <v>4823.65419791667</v>
      </c>
      <c r="AU345" s="15" t="n">
        <f aca="false">MIN(MAX(0,(AV344)+AT345),Parametri_v3!$C$60/12)</f>
        <v>0</v>
      </c>
      <c r="AV345" s="15" t="n">
        <f aca="false">(AV344)+AT345-AU345</f>
        <v>103289.970989583</v>
      </c>
      <c r="AW345" s="15" t="n">
        <f aca="false">IF(AND(Motore_Operativo!C345=Finanziamenti!$D$6,Finanziamenti!$F$6=1),Finanziamenti!$C$6,0)</f>
        <v>0</v>
      </c>
      <c r="AX345" s="15" t="n">
        <f aca="false">IF(AND(6&lt;&gt;7,6&lt;&gt;9,Finanziamenti!$F$8=1,OR(Parametri_v3!$C$6=0,Finanziamenti!$E$8=1),Motore_Operativo!C345=EDATE(Finanziamenti!$D$8,Ipotesi!H15*12)),Finanziamenti!$C$8*1,0)+IF(AND(6&lt;&gt;7,6&lt;&gt;9,Finanziamenti!$F$9=1,OR(Parametri_v3!$C$6=0,Finanziamenti!$E$9=1),Motore_Operativo!C345=EDATE(Finanziamenti!$D$9,Ipotesi!H15*12)),Finanziamenti!$C$9*Ipotesi!H16,0)</f>
        <v>0</v>
      </c>
      <c r="AY345" s="15" t="n">
        <f aca="false">0</f>
        <v>0</v>
      </c>
      <c r="AZ345" s="15" t="n">
        <f aca="false">Motore_Advisory!AY345*(1-Ipotesi!$C$95)*Ipotesi!$C$96</f>
        <v>0</v>
      </c>
      <c r="BA345" s="15" t="n">
        <f aca="false">MAX(0,MIN(CG345*MIN(1,IF(Motore_Operativo!C345&gt;=EDATE(Finanziamenti!$D$15,Ipotesi!H14*12),Finanziamenti!$C$15,0)+IF(Motore_Operativo!C345&gt;=EDATE(Finanziamenti!$D$16,Ipotesi!H14*12),Finanziamenti!$C$16,0)+IF(Motore_Operativo!C345&gt;=EDATE(Finanziamenti!$D$17,Ipotesi!H14*12),Finanziamenti!$C$17,0)),CA345*Ipotesi!$C$102)-(CC344))</f>
        <v>0</v>
      </c>
      <c r="BB345" s="15" t="n">
        <f aca="false">IF(AND(CF345&gt;0,Motore_Operativo!C345&gt;=IF(CF345=0,0,EDATE(CF345,Parametri_v3!$C$37)),MOD(((D345-YEAR(IF(CF345=0,0,EDATE(CF345,Parametri_v3!$C$37))))*12+E345-MONTH(IF(CF345=0,0,EDATE(CF345,Parametri_v3!$C$37)))),Parametri_v3!$C$38)=0),MIN(MAX(0,(BC344)+BA345-N345),(CC345-CD345)/(Ipotesi!$C$108*12/Parametri_v3!$C$38)),0)</f>
        <v>0</v>
      </c>
      <c r="BC345" s="15" t="n">
        <f aca="false">(BC344)+BA345-N345-BB345</f>
        <v>0</v>
      </c>
      <c r="BD345" s="15" t="n">
        <f aca="false">(BH344)+AC345+AF345-AI345-AS345-K345*(1+Parametri_v3!$C$26)-AL345-AQ345-O345+AW345+AX345+AZ345+BA345-BB345</f>
        <v>-31405.6131824551</v>
      </c>
      <c r="BE345" s="15" t="n">
        <f aca="false">MAX(0,MIN(MAX(0,CH345-(BG344)),Parametri_v3!$C$30-BD345))</f>
        <v>0</v>
      </c>
      <c r="BF345" s="15" t="n">
        <f aca="false">IF(Motore_Operativo!C345&gt;=Parametri_v3!$C$63,(BG344),MIN((BG344),MAX(0,BD345-Parametri_v3!$C$30)))</f>
        <v>0</v>
      </c>
      <c r="BG345" s="15" t="n">
        <f aca="false">(BG344)+BE345-BF345</f>
        <v>150000</v>
      </c>
      <c r="BH345" s="15" t="n">
        <f aca="false">BD345+BE345-BF345-AY345</f>
        <v>-31405.6131824551</v>
      </c>
      <c r="BI345" s="15" t="n">
        <f aca="false">MAX(0,Parametri_v3!$C$30-BH345)</f>
        <v>56405.6131824551</v>
      </c>
      <c r="BJ345" s="15" t="n">
        <f aca="false">(BJ344)+K345</f>
        <v>91666.6666666666</v>
      </c>
      <c r="BK345" s="15" t="n">
        <f aca="false">(BK344)+L345</f>
        <v>46319.4444444444</v>
      </c>
      <c r="BL345" s="15" t="n">
        <f aca="false">BJ345-BK345</f>
        <v>45347.2222222222</v>
      </c>
      <c r="BM345" s="15" t="n">
        <f aca="false">(BM344)+Y345</f>
        <v>-1287874.57779034</v>
      </c>
      <c r="BN345" s="15" t="n">
        <f aca="false">(BN344)+AW345+AX345+AZ345</f>
        <v>1330000</v>
      </c>
      <c r="BO345" s="15" t="n">
        <f aca="false">(BO344)+AY345</f>
        <v>0</v>
      </c>
      <c r="BP345" s="15" t="n">
        <f aca="false">0</f>
        <v>0</v>
      </c>
      <c r="BQ345" s="15" t="n">
        <f aca="false">BN345+BM345-BO345</f>
        <v>42125.4222096594</v>
      </c>
      <c r="BR345" s="15" t="n">
        <f aca="false">BH345+AD345+BL345+MAX(0,-AM345)+MAX(0,-AR345)+AG345</f>
        <v>453656.968743783</v>
      </c>
      <c r="BS345" s="15" t="n">
        <f aca="false">AJ345+AV345+MAX(0,AM345)+MAX(0,AR345)+BC345+BG345+BQ345</f>
        <v>453656.968743784</v>
      </c>
      <c r="BT345" s="15" t="n">
        <f aca="false">BR345-BS345</f>
        <v>0</v>
      </c>
      <c r="BU345" s="15" t="n">
        <f aca="false">BH345-(BD345+BE345-BF345-AY345)</f>
        <v>0</v>
      </c>
      <c r="BV345" s="15" t="n">
        <f aca="false">MIN(Piano_SS!$C$6,(BV344)+IF(AND(Motore_Operativo!C345&gt;=EDATE(Parametri_v3!$C$24,Ipotesi!H14*12),Motore_Operativo!C345&lt;EDATE(Parametri_v3!$C$24,Parametri_v3!$C$25+Ipotesi!H14*12)),MAX(0,(Motore_Operativo!Y345+Motore_Operativo!X345*Parametri_v3!$C$14)*(1-Parametri_v3!$C$32))*Piano_SS!$D$6,0))</f>
        <v>300000</v>
      </c>
      <c r="BW345" s="15" t="n">
        <f aca="false">MIN(Piano_SS!$C$7,(BW344)+IF(AND(Motore_Operativo!C345&gt;=EDATE(Parametri_v3!$C$24,Ipotesi!H14*12),Motore_Operativo!C345&lt;EDATE(Parametri_v3!$C$24,Parametri_v3!$C$25+Ipotesi!H14*12)),MAX(0,(IF(41-(INT((Ipotesi!$C$91)/30))&lt;1,0,INDEX(Motore_Operativo!$BN$305:$BN$364,MAX(1,41-(INT((Ipotesi!$C$91)/30)))))*(1-(MOD((Ipotesi!$C$91),30)/30))+IF(41-(INT((Ipotesi!$C$91)/30))-1&lt;1,0,INDEX(Motore_Operativo!$BN$305:$BN$364,MAX(1,41-(INT((Ipotesi!$C$91)/30))-1)))*(MOD((Ipotesi!$C$91),30)/30)))*Piano_SS!$D$7,0))</f>
        <v>41058.9230070837</v>
      </c>
      <c r="BX345" s="15" t="n">
        <f aca="false">MIN(Piano_SS!$C$8,(BX344)+IF(AND(Motore_Operativo!C345&gt;=EDATE(Parametri_v3!$C$24,Ipotesi!H14*12),Motore_Operativo!C345&lt;EDATE(Parametri_v3!$C$24,Parametri_v3!$C$25+Ipotesi!H14*12)),MAX(0,Motore_Operativo!CE345)*Piano_SS!$D$8,0))</f>
        <v>50000</v>
      </c>
      <c r="BY345" s="15" t="n">
        <f aca="false">MIN(Piano_SS!$C$9,(BY344)+IF(AND(Motore_Operativo!C345&gt;=EDATE(Parametri_v3!$C$24,Ipotesi!H14*12),Motore_Operativo!C345&lt;EDATE(Parametri_v3!$C$24,Parametri_v3!$C$25+Ipotesi!H14*12)),MAX(0,((IF(41-(INT((Ipotesi!$C$91)/30))&lt;1,0,INDEX(Motore_Operativo!$BQ$305:$BQ$364,MAX(1,41-(INT((Ipotesi!$C$91)/30)))))*(1-(MOD((Ipotesi!$C$91),30)/30))+IF(41-(INT((Ipotesi!$C$91)/30))-1&lt;1,0,INDEX(Motore_Operativo!$BQ$305:$BQ$364,MAX(1,41-(INT((Ipotesi!$C$91)/30))-1)))*(MOD((Ipotesi!$C$91),30)/30))+(IF(41-(INT((Ipotesi!$C$91)/30))&lt;1,0,INDEX(Motore_Operativo!$BR$305:$BR$364,MAX(1,41-(INT((Ipotesi!$C$91)/30)))))*(1-(MOD((Ipotesi!$C$91),30)/30))+IF(41-(INT((Ipotesi!$C$91)/30))-1&lt;1,0,INDEX(Motore_Operativo!$BR$305:$BR$364,MAX(1,41-(INT((Ipotesi!$C$91)/30))-1)))*(MOD((Ipotesi!$C$91),30)/30))))*Piano_SS!$D$9,0))</f>
        <v>40000</v>
      </c>
      <c r="BZ345" s="15" t="n">
        <f aca="false">MIN(Piano_SS!$C$10,(BZ344)+IF(AND(Motore_Operativo!C345&gt;=EDATE(Parametri_v3!$C$24,Ipotesi!H14*12),Motore_Operativo!C345&lt;EDATE(Parametri_v3!$C$24,Parametri_v3!$C$25+Ipotesi!H14*12)),MAX(0,(IF(41-(INT((Ipotesi!$C$91)/30))&lt;1,0,INDEX(Motore_Operativo!$BO$305:$BO$364,MAX(1,41-(INT((Ipotesi!$C$91)/30)))))*(1-(MOD((Ipotesi!$C$91),30)/30))+IF(41-(INT((Ipotesi!$C$91)/30))-1&lt;1,0,INDEX(Motore_Operativo!$BO$305:$BO$364,MAX(1,41-(INT((Ipotesi!$C$91)/30))-1)))*(MOD((Ipotesi!$C$91),30)/30)))*Piano_SS!$D$10,0))</f>
        <v>30000</v>
      </c>
      <c r="CA345" s="15" t="n">
        <f aca="false">SUM(BV345:BZ345)</f>
        <v>461058.923007084</v>
      </c>
      <c r="CB345" s="15" t="n">
        <f aca="false">BV345*(1-Piano_SS!$E$6)+BW345*(1-Piano_SS!$E$7)+BX345*(1-Piano_SS!$E$8)+BY345*(1-Piano_SS!$E$9)+BZ345*(1-Piano_SS!$E$10)</f>
        <v>431058.923007084</v>
      </c>
      <c r="CC345" s="15" t="n">
        <f aca="false">(CC344)+BA345</f>
        <v>0</v>
      </c>
      <c r="CD345" s="15" t="n">
        <f aca="false">IF(CA345=0,0,CC345*CB345/CA345*Ipotesi!$C$103*Parametri_v3!$C$64)</f>
        <v>0</v>
      </c>
      <c r="CE345" s="18" t="n">
        <f aca="false">IF(BA345&gt;0,Motore_Operativo!C345,(CE344))</f>
        <v>0</v>
      </c>
      <c r="CF345" s="18" t="n">
        <f aca="false">IF(AND(CC345&gt;0,OR(CC345&gt;=CG345-0.01,Motore_Operativo!C345&gt;=EDATE(MAX(Finanziamenti!$D$15:$D$17),Ipotesi!H14*12))),CE345,0)</f>
        <v>0</v>
      </c>
      <c r="CG345" s="15" t="n">
        <f aca="false">IF(AND(6&lt;&gt;6,6&lt;&gt;9,Finanziamenti!$F$11=1,OR(Parametri_v3!$C$6=0,Finanziamenti!$E$11=1)),MIN(Finanziamenti!$C$11,Piano_SS!$C$12*Ipotesi!$C$102),0)</f>
        <v>0</v>
      </c>
      <c r="CH345" s="15" t="n">
        <f aca="false">IF(AND(AND(6&lt;&gt;8,6&lt;&gt;9,Finanziamenti!$F$10=1,OR(Parametri_v3!$C$6=0,Finanziamenti!$E$10=1)),Motore_Operativo!C345&gt;=Finanziamenti!$D$10,Motore_Operativo!C345&lt;Parametri_v3!$C$63),Finanziamenti!$C$10,0)</f>
        <v>150000</v>
      </c>
    </row>
    <row r="346" customFormat="false" ht="18" hidden="false" customHeight="true" outlineLevel="0" collapsed="false">
      <c r="A346" s="68" t="n">
        <f aca="false">6</f>
        <v>6</v>
      </c>
      <c r="B346" s="68" t="n">
        <f aca="false">42</f>
        <v>42</v>
      </c>
      <c r="C346" s="18" t="n">
        <f aca="false">Motore_Operativo!C346</f>
        <v>47635</v>
      </c>
      <c r="D346" s="68" t="n">
        <f aca="false">Motore_Operativo!D346</f>
        <v>2030</v>
      </c>
      <c r="E346" s="68" t="n">
        <f aca="false">Motore_Operativo!E346</f>
        <v>6</v>
      </c>
      <c r="F346" s="15" t="n">
        <f aca="false">Motore_Operativo!AQ346+Motore_Operativo!BF346</f>
        <v>123089.039272175</v>
      </c>
      <c r="G346" s="15" t="n">
        <f aca="false">Motore_Operativo!BH346</f>
        <v>9024.16666666667</v>
      </c>
      <c r="H346" s="15" t="n">
        <f aca="false">Motore_Operativo!BI346</f>
        <v>132113.205938842</v>
      </c>
      <c r="I346" s="15" t="n">
        <f aca="false">Motore_Operativo!CA346</f>
        <v>156837.941123105</v>
      </c>
      <c r="J346" s="15" t="n">
        <f aca="false">Motore_Operativo!CC346</f>
        <v>-24724.7351842627</v>
      </c>
      <c r="K346" s="15" t="n">
        <f aca="false">Motore_Operativo!CE346</f>
        <v>3333.33333333333</v>
      </c>
      <c r="L346" s="15" t="n">
        <f aca="false">SUM(INDEX($K$305:$K$364,MAX(1,42-Parametri_v3!$C$59+1)):K346)/Parametri_v3!$C$59</f>
        <v>2361.11111111111</v>
      </c>
      <c r="M346" s="15" t="n">
        <f aca="false">J346-L346</f>
        <v>-27085.8462953739</v>
      </c>
      <c r="N346" s="15" t="n">
        <f aca="false">CD346-(CD345)</f>
        <v>0</v>
      </c>
      <c r="O346" s="15" t="n">
        <f aca="false">(BG345)*Ipotesi!$C$110/12+CH346*Parametri_v3!$C$39/12</f>
        <v>750</v>
      </c>
      <c r="P346" s="15" t="n">
        <f aca="false">M346+N346-O346</f>
        <v>-27835.8462953739</v>
      </c>
      <c r="Q346" s="15" t="n">
        <f aca="false">SUM(P341:P346)+Parametri_v3!$C$54*6/12</f>
        <v>-200381.623039408</v>
      </c>
      <c r="R346" s="15" t="n">
        <f aca="false">Z340</f>
        <v>1115328.80104631</v>
      </c>
      <c r="S346" s="15" t="n">
        <f aca="false">AA340</f>
        <v>0</v>
      </c>
      <c r="T346" s="15" t="n">
        <f aca="false">MIN(R346,MAX(0,Q346))</f>
        <v>0</v>
      </c>
      <c r="U346" s="15" t="n">
        <f aca="false">MIN(S346,MAX(0,Q346-T346)*Parametri_v3!$C$42)</f>
        <v>0</v>
      </c>
      <c r="V346" s="15" t="n">
        <f aca="false">MAX(0,Q346-T346-U346)*Ipotesi!$C$92</f>
        <v>0</v>
      </c>
      <c r="W346" s="15" t="n">
        <f aca="false">MAX(0,SUM(M341:M346)+Parametri_v3!$C$55*6/12)*Ipotesi!$C$93</f>
        <v>0</v>
      </c>
      <c r="X346" s="15" t="n">
        <f aca="false">V346+W346-(V345+W345)</f>
        <v>0</v>
      </c>
      <c r="Y346" s="15" t="n">
        <f aca="false">P346-X346</f>
        <v>-27835.8462953739</v>
      </c>
      <c r="Z346" s="15" t="n">
        <f aca="false">R346-T346+IF(AND(Parametri_v3!$C$40=1,D346-YEAR(Parametri_v3!$C$50)&lt;Parametri_v3!$C$41),MAX(0,-Q346),0)</f>
        <v>1115328.80104631</v>
      </c>
      <c r="AA346" s="15" t="n">
        <f aca="false">S346-U346+IF(AND(Parametri_v3!$C$40=1,D346-YEAR(Parametri_v3!$C$50)&lt;Parametri_v3!$C$41),0,MAX(0,-Q346))</f>
        <v>200381.623039408</v>
      </c>
      <c r="AB346" s="15" t="n">
        <f aca="false">F346*(1+Parametri_v3!$C$26)</f>
        <v>150168.627912054</v>
      </c>
      <c r="AC346" s="15" t="n">
        <f aca="false">(IF(42-(INT((Motore_Operativo!L346)/30))&lt;1,0,INDEX(Motore_Startup!$AB$305:$AB$364,MAX(1,42-(INT((Motore_Operativo!L346)/30)))))*(1-(MOD((Motore_Operativo!L346),30)/30))+IF(42-(INT((Motore_Operativo!L346)/30))-1&lt;1,0,INDEX(Motore_Startup!$AB$305:$AB$364,MAX(1,42-(INT((Motore_Operativo!L346)/30))-1)))*(MOD((Motore_Operativo!L346),30)/30))</f>
        <v>139520.900095839</v>
      </c>
      <c r="AD346" s="15" t="n">
        <f aca="false">(AD345)+AB346-AC346</f>
        <v>439353.604186897</v>
      </c>
      <c r="AE346" s="15" t="n">
        <f aca="false">Motore_Operativo!BH346*(1+Parametri_v3!$C$26)</f>
        <v>11009.4833333333</v>
      </c>
      <c r="AF346" s="15" t="n">
        <f aca="false">(IF(42-(INT((Parametri_v3!$C$29)/30))&lt;1,0,INDEX(Motore_Operativo!$BH$305:$BH$364,MAX(1,42-(INT((Parametri_v3!$C$29)/30)))))*(1-(MOD((Parametri_v3!$C$29),30)/30))+IF(42-(INT((Parametri_v3!$C$29)/30))-1&lt;1,0,INDEX(Motore_Operativo!$BH$305:$BH$364,MAX(1,42-(INT((Parametri_v3!$C$29)/30))-1)))*(MOD((Parametri_v3!$C$29),30)/30))*(1+Parametri_v3!$C$26)</f>
        <v>11009.4833333333</v>
      </c>
      <c r="AG346" s="15" t="n">
        <f aca="false">(AG345)+AE346-AF346</f>
        <v>11009.4833333333</v>
      </c>
      <c r="AH346" s="15" t="n">
        <f aca="false">(Motore_Operativo!CJ346)*(1+Parametri_v3!$C$27*Parametri_v3!$C$26)</f>
        <v>71653.0854545834</v>
      </c>
      <c r="AI346" s="15" t="n">
        <f aca="false">(IF(42-(INT((Ipotesi!$C$91)/30))&lt;1,0,INDEX(Motore_Startup!$AH$305:$AH$364,MAX(1,42-(INT((Ipotesi!$C$91)/30)))))*(1-(MOD((Ipotesi!$C$91),30)/30))+IF(42-(INT((Ipotesi!$C$91)/30))-1&lt;1,0,INDEX(Motore_Startup!$AH$305:$AH$364,MAX(1,42-(INT((Ipotesi!$C$91)/30))-1)))*(MOD((Ipotesi!$C$91),30)/30))</f>
        <v>70638.876842242</v>
      </c>
      <c r="AJ346" s="15" t="n">
        <f aca="false">(AJ345)+AH346-AI346</f>
        <v>142801.292787495</v>
      </c>
      <c r="AK346" s="15" t="n">
        <f aca="false">(F346+ Motore_Operativo!BH346-(Motore_Operativo!CJ346)*Parametri_v3!$C$27-Motore_Operativo!CE346)*Parametri_v3!$C$26</f>
        <v>17043.3436833996</v>
      </c>
      <c r="AL346" s="15" t="n">
        <f aca="false">MAX(0,(AM345))</f>
        <v>16454.4913693876</v>
      </c>
      <c r="AM346" s="15" t="n">
        <f aca="false">(AM345)+AK346-AL346</f>
        <v>17043.3436833996</v>
      </c>
      <c r="AN346" s="15" t="n">
        <f aca="false">SUM(X329:X340)</f>
        <v>0</v>
      </c>
      <c r="AO346" s="15" t="n">
        <f aca="false">SUM(AP329:AP340)</f>
        <v>0</v>
      </c>
      <c r="AP346" s="15" t="n">
        <f aca="false">MAX(0,AN346)*IF(6=Parametri_v3!$C$43,Parametri_v3!$C$45,IF(6=Parametri_v3!$C$44,1-Parametri_v3!$C$45,0))</f>
        <v>0</v>
      </c>
      <c r="AQ346" s="15" t="n">
        <f aca="false">MAX(0,AP346+IF(6=Parametri_v3!$C$43,MAX(0,AN346-AO346),0)-MAX(0,-(AR345)))</f>
        <v>0</v>
      </c>
      <c r="AR346" s="15" t="n">
        <f aca="false">(AR345)+X346-AQ346</f>
        <v>0</v>
      </c>
      <c r="AS346" s="15" t="n">
        <f aca="false">Motore_Operativo!AB346-AT346+AU346</f>
        <v>91649.4297604167</v>
      </c>
      <c r="AT346" s="15" t="n">
        <f aca="false">Motore_Operativo!CH346</f>
        <v>4823.65419791667</v>
      </c>
      <c r="AU346" s="15" t="n">
        <f aca="false">MIN(MAX(0,(AV345)+AT346),Parametri_v3!$C$60/12)</f>
        <v>0</v>
      </c>
      <c r="AV346" s="15" t="n">
        <f aca="false">(AV345)+AT346-AU346</f>
        <v>108113.6251875</v>
      </c>
      <c r="AW346" s="15" t="n">
        <f aca="false">IF(AND(Motore_Operativo!C346=Finanziamenti!$D$6,Finanziamenti!$F$6=1),Finanziamenti!$C$6,0)</f>
        <v>0</v>
      </c>
      <c r="AX346" s="15" t="n">
        <f aca="false">IF(AND(6&lt;&gt;7,6&lt;&gt;9,Finanziamenti!$F$8=1,OR(Parametri_v3!$C$6=0,Finanziamenti!$E$8=1),Motore_Operativo!C346=EDATE(Finanziamenti!$D$8,Ipotesi!H15*12)),Finanziamenti!$C$8*1,0)+IF(AND(6&lt;&gt;7,6&lt;&gt;9,Finanziamenti!$F$9=1,OR(Parametri_v3!$C$6=0,Finanziamenti!$E$9=1),Motore_Operativo!C346=EDATE(Finanziamenti!$D$9,Ipotesi!H15*12)),Finanziamenti!$C$9*Ipotesi!H16,0)</f>
        <v>0</v>
      </c>
      <c r="AY346" s="15" t="n">
        <f aca="false">0</f>
        <v>0</v>
      </c>
      <c r="AZ346" s="15" t="n">
        <f aca="false">Motore_Advisory!AY346*(1-Ipotesi!$C$95)*Ipotesi!$C$96</f>
        <v>35707.0162944445</v>
      </c>
      <c r="BA346" s="15" t="n">
        <f aca="false">MAX(0,MIN(CG346*MIN(1,IF(Motore_Operativo!C346&gt;=EDATE(Finanziamenti!$D$15,Ipotesi!H14*12),Finanziamenti!$C$15,0)+IF(Motore_Operativo!C346&gt;=EDATE(Finanziamenti!$D$16,Ipotesi!H14*12),Finanziamenti!$C$16,0)+IF(Motore_Operativo!C346&gt;=EDATE(Finanziamenti!$D$17,Ipotesi!H14*12),Finanziamenti!$C$17,0)),CA346*Ipotesi!$C$102)-(CC345))</f>
        <v>0</v>
      </c>
      <c r="BB346" s="15" t="n">
        <f aca="false">IF(AND(CF346&gt;0,Motore_Operativo!C346&gt;=IF(CF346=0,0,EDATE(CF346,Parametri_v3!$C$37)),MOD(((D346-YEAR(IF(CF346=0,0,EDATE(CF346,Parametri_v3!$C$37))))*12+E346-MONTH(IF(CF346=0,0,EDATE(CF346,Parametri_v3!$C$37)))),Parametri_v3!$C$38)=0),MIN(MAX(0,(BC345)+BA346-N346),(CC346-CD346)/(Ipotesi!$C$108*12/Parametri_v3!$C$38)),0)</f>
        <v>0</v>
      </c>
      <c r="BC346" s="15" t="n">
        <f aca="false">(BC345)+BA346-N346-BB346</f>
        <v>0</v>
      </c>
      <c r="BD346" s="15" t="n">
        <f aca="false">(BH345)+AC346+AF346-AI346-AS346-K346*(1+Parametri_v3!$C$26)-AL346-AQ346-O346+AW346+AX346+AZ346+BA346-BB346</f>
        <v>-28727.6780975509</v>
      </c>
      <c r="BE346" s="15" t="n">
        <f aca="false">MAX(0,MIN(MAX(0,CH346-(BG345)),Parametri_v3!$C$30-BD346))</f>
        <v>0</v>
      </c>
      <c r="BF346" s="15" t="n">
        <f aca="false">IF(Motore_Operativo!C346&gt;=Parametri_v3!$C$63,(BG345),MIN((BG345),MAX(0,BD346-Parametri_v3!$C$30)))</f>
        <v>0</v>
      </c>
      <c r="BG346" s="15" t="n">
        <f aca="false">(BG345)+BE346-BF346</f>
        <v>150000</v>
      </c>
      <c r="BH346" s="15" t="n">
        <f aca="false">BD346+BE346-BF346-AY346</f>
        <v>-28727.6780975509</v>
      </c>
      <c r="BI346" s="15" t="n">
        <f aca="false">MAX(0,Parametri_v3!$C$30-BH346)</f>
        <v>53727.6780975509</v>
      </c>
      <c r="BJ346" s="15" t="n">
        <f aca="false">(BJ345)+K346</f>
        <v>95000</v>
      </c>
      <c r="BK346" s="15" t="n">
        <f aca="false">(BK345)+L346</f>
        <v>48680.5555555556</v>
      </c>
      <c r="BL346" s="15" t="n">
        <f aca="false">BJ346-BK346</f>
        <v>46319.4444444444</v>
      </c>
      <c r="BM346" s="15" t="n">
        <f aca="false">(BM345)+Y346</f>
        <v>-1315710.42408571</v>
      </c>
      <c r="BN346" s="15" t="n">
        <f aca="false">(BN345)+AW346+AX346+AZ346</f>
        <v>1365707.01629444</v>
      </c>
      <c r="BO346" s="15" t="n">
        <f aca="false">(BO345)+AY346</f>
        <v>0</v>
      </c>
      <c r="BP346" s="15" t="n">
        <f aca="false">0</f>
        <v>0</v>
      </c>
      <c r="BQ346" s="15" t="n">
        <f aca="false">BN346+BM346-BO346</f>
        <v>49996.5922087301</v>
      </c>
      <c r="BR346" s="15" t="n">
        <f aca="false">BH346+AD346+BL346+MAX(0,-AM346)+MAX(0,-AR346)+AG346</f>
        <v>467954.853867124</v>
      </c>
      <c r="BS346" s="15" t="n">
        <f aca="false">AJ346+AV346+MAX(0,AM346)+MAX(0,AR346)+BC346+BG346+BQ346</f>
        <v>467954.853867124</v>
      </c>
      <c r="BT346" s="15" t="n">
        <f aca="false">BR346-BS346</f>
        <v>0</v>
      </c>
      <c r="BU346" s="15" t="n">
        <f aca="false">BH346-(BD346+BE346-BF346-AY346)</f>
        <v>0</v>
      </c>
      <c r="BV346" s="15" t="n">
        <f aca="false">MIN(Piano_SS!$C$6,(BV345)+IF(AND(Motore_Operativo!C346&gt;=EDATE(Parametri_v3!$C$24,Ipotesi!H14*12),Motore_Operativo!C346&lt;EDATE(Parametri_v3!$C$24,Parametri_v3!$C$25+Ipotesi!H14*12)),MAX(0,(Motore_Operativo!Y346+Motore_Operativo!X346*Parametri_v3!$C$14)*(1-Parametri_v3!$C$32))*Piano_SS!$D$6,0))</f>
        <v>300000</v>
      </c>
      <c r="BW346" s="15" t="n">
        <f aca="false">MIN(Piano_SS!$C$7,(BW345)+IF(AND(Motore_Operativo!C346&gt;=EDATE(Parametri_v3!$C$24,Ipotesi!H14*12),Motore_Operativo!C346&lt;EDATE(Parametri_v3!$C$24,Parametri_v3!$C$25+Ipotesi!H14*12)),MAX(0,(IF(42-(INT((Ipotesi!$C$91)/30))&lt;1,0,INDEX(Motore_Operativo!$BN$305:$BN$364,MAX(1,42-(INT((Ipotesi!$C$91)/30)))))*(1-(MOD((Ipotesi!$C$91),30)/30))+IF(42-(INT((Ipotesi!$C$91)/30))-1&lt;1,0,INDEX(Motore_Operativo!$BN$305:$BN$364,MAX(1,42-(INT((Ipotesi!$C$91)/30))-1)))*(MOD((Ipotesi!$C$91),30)/30)))*Piano_SS!$D$7,0))</f>
        <v>41058.9230070837</v>
      </c>
      <c r="BX346" s="15" t="n">
        <f aca="false">MIN(Piano_SS!$C$8,(BX345)+IF(AND(Motore_Operativo!C346&gt;=EDATE(Parametri_v3!$C$24,Ipotesi!H14*12),Motore_Operativo!C346&lt;EDATE(Parametri_v3!$C$24,Parametri_v3!$C$25+Ipotesi!H14*12)),MAX(0,Motore_Operativo!CE346)*Piano_SS!$D$8,0))</f>
        <v>50000</v>
      </c>
      <c r="BY346" s="15" t="n">
        <f aca="false">MIN(Piano_SS!$C$9,(BY345)+IF(AND(Motore_Operativo!C346&gt;=EDATE(Parametri_v3!$C$24,Ipotesi!H14*12),Motore_Operativo!C346&lt;EDATE(Parametri_v3!$C$24,Parametri_v3!$C$25+Ipotesi!H14*12)),MAX(0,((IF(42-(INT((Ipotesi!$C$91)/30))&lt;1,0,INDEX(Motore_Operativo!$BQ$305:$BQ$364,MAX(1,42-(INT((Ipotesi!$C$91)/30)))))*(1-(MOD((Ipotesi!$C$91),30)/30))+IF(42-(INT((Ipotesi!$C$91)/30))-1&lt;1,0,INDEX(Motore_Operativo!$BQ$305:$BQ$364,MAX(1,42-(INT((Ipotesi!$C$91)/30))-1)))*(MOD((Ipotesi!$C$91),30)/30))+(IF(42-(INT((Ipotesi!$C$91)/30))&lt;1,0,INDEX(Motore_Operativo!$BR$305:$BR$364,MAX(1,42-(INT((Ipotesi!$C$91)/30)))))*(1-(MOD((Ipotesi!$C$91),30)/30))+IF(42-(INT((Ipotesi!$C$91)/30))-1&lt;1,0,INDEX(Motore_Operativo!$BR$305:$BR$364,MAX(1,42-(INT((Ipotesi!$C$91)/30))-1)))*(MOD((Ipotesi!$C$91),30)/30))))*Piano_SS!$D$9,0))</f>
        <v>40000</v>
      </c>
      <c r="BZ346" s="15" t="n">
        <f aca="false">MIN(Piano_SS!$C$10,(BZ345)+IF(AND(Motore_Operativo!C346&gt;=EDATE(Parametri_v3!$C$24,Ipotesi!H14*12),Motore_Operativo!C346&lt;EDATE(Parametri_v3!$C$24,Parametri_v3!$C$25+Ipotesi!H14*12)),MAX(0,(IF(42-(INT((Ipotesi!$C$91)/30))&lt;1,0,INDEX(Motore_Operativo!$BO$305:$BO$364,MAX(1,42-(INT((Ipotesi!$C$91)/30)))))*(1-(MOD((Ipotesi!$C$91),30)/30))+IF(42-(INT((Ipotesi!$C$91)/30))-1&lt;1,0,INDEX(Motore_Operativo!$BO$305:$BO$364,MAX(1,42-(INT((Ipotesi!$C$91)/30))-1)))*(MOD((Ipotesi!$C$91),30)/30)))*Piano_SS!$D$10,0))</f>
        <v>30000</v>
      </c>
      <c r="CA346" s="15" t="n">
        <f aca="false">SUM(BV346:BZ346)</f>
        <v>461058.923007084</v>
      </c>
      <c r="CB346" s="15" t="n">
        <f aca="false">BV346*(1-Piano_SS!$E$6)+BW346*(1-Piano_SS!$E$7)+BX346*(1-Piano_SS!$E$8)+BY346*(1-Piano_SS!$E$9)+BZ346*(1-Piano_SS!$E$10)</f>
        <v>431058.923007084</v>
      </c>
      <c r="CC346" s="15" t="n">
        <f aca="false">(CC345)+BA346</f>
        <v>0</v>
      </c>
      <c r="CD346" s="15" t="n">
        <f aca="false">IF(CA346=0,0,CC346*CB346/CA346*Ipotesi!$C$103*Parametri_v3!$C$64)</f>
        <v>0</v>
      </c>
      <c r="CE346" s="18" t="n">
        <f aca="false">IF(BA346&gt;0,Motore_Operativo!C346,(CE345))</f>
        <v>0</v>
      </c>
      <c r="CF346" s="18" t="n">
        <f aca="false">IF(AND(CC346&gt;0,OR(CC346&gt;=CG346-0.01,Motore_Operativo!C346&gt;=EDATE(MAX(Finanziamenti!$D$15:$D$17),Ipotesi!H14*12))),CE346,0)</f>
        <v>0</v>
      </c>
      <c r="CG346" s="15" t="n">
        <f aca="false">IF(AND(6&lt;&gt;6,6&lt;&gt;9,Finanziamenti!$F$11=1,OR(Parametri_v3!$C$6=0,Finanziamenti!$E$11=1)),MIN(Finanziamenti!$C$11,Piano_SS!$C$12*Ipotesi!$C$102),0)</f>
        <v>0</v>
      </c>
      <c r="CH346" s="15" t="n">
        <f aca="false">IF(AND(AND(6&lt;&gt;8,6&lt;&gt;9,Finanziamenti!$F$10=1,OR(Parametri_v3!$C$6=0,Finanziamenti!$E$10=1)),Motore_Operativo!C346&gt;=Finanziamenti!$D$10,Motore_Operativo!C346&lt;Parametri_v3!$C$63),Finanziamenti!$C$10,0)</f>
        <v>150000</v>
      </c>
    </row>
    <row r="347" customFormat="false" ht="18" hidden="false" customHeight="true" outlineLevel="0" collapsed="false">
      <c r="A347" s="68" t="n">
        <f aca="false">6</f>
        <v>6</v>
      </c>
      <c r="B347" s="68" t="n">
        <f aca="false">43</f>
        <v>43</v>
      </c>
      <c r="C347" s="18" t="n">
        <f aca="false">Motore_Operativo!C347</f>
        <v>47665</v>
      </c>
      <c r="D347" s="68" t="n">
        <f aca="false">Motore_Operativo!D347</f>
        <v>2030</v>
      </c>
      <c r="E347" s="68" t="n">
        <f aca="false">Motore_Operativo!E347</f>
        <v>7</v>
      </c>
      <c r="F347" s="15" t="n">
        <f aca="false">Motore_Operativo!AQ347+Motore_Operativo!BF347</f>
        <v>126100.621132526</v>
      </c>
      <c r="G347" s="15" t="n">
        <f aca="false">Motore_Operativo!BH347</f>
        <v>9024.16666666667</v>
      </c>
      <c r="H347" s="15" t="n">
        <f aca="false">Motore_Operativo!BI347</f>
        <v>135124.787799193</v>
      </c>
      <c r="I347" s="15" t="n">
        <f aca="false">Motore_Operativo!CA347</f>
        <v>157259.562583554</v>
      </c>
      <c r="J347" s="15" t="n">
        <f aca="false">Motore_Operativo!CC347</f>
        <v>-22134.7747843611</v>
      </c>
      <c r="K347" s="15" t="n">
        <f aca="false">Motore_Operativo!CE347</f>
        <v>3333.33333333333</v>
      </c>
      <c r="L347" s="15" t="n">
        <f aca="false">SUM(INDEX($K$305:$K$364,MAX(1,43-Parametri_v3!$C$59+1)):K347)/Parametri_v3!$C$59</f>
        <v>2407.40740740741</v>
      </c>
      <c r="M347" s="15" t="n">
        <f aca="false">J347-L347</f>
        <v>-24542.1821917685</v>
      </c>
      <c r="N347" s="15" t="n">
        <f aca="false">CD347-(CD346)</f>
        <v>0</v>
      </c>
      <c r="O347" s="15" t="n">
        <f aca="false">(BG346)*Ipotesi!$C$110/12+CH347*Parametri_v3!$C$39/12</f>
        <v>750</v>
      </c>
      <c r="P347" s="15" t="n">
        <f aca="false">M347+N347-O347</f>
        <v>-25292.1821917685</v>
      </c>
      <c r="Q347" s="15" t="n">
        <f aca="false">SUM(P341:P347)+Parametri_v3!$C$54*7/12</f>
        <v>-225673.805231176</v>
      </c>
      <c r="R347" s="15" t="n">
        <f aca="false">Z340</f>
        <v>1115328.80104631</v>
      </c>
      <c r="S347" s="15" t="n">
        <f aca="false">AA340</f>
        <v>0</v>
      </c>
      <c r="T347" s="15" t="n">
        <f aca="false">MIN(R347,MAX(0,Q347))</f>
        <v>0</v>
      </c>
      <c r="U347" s="15" t="n">
        <f aca="false">MIN(S347,MAX(0,Q347-T347)*Parametri_v3!$C$42)</f>
        <v>0</v>
      </c>
      <c r="V347" s="15" t="n">
        <f aca="false">MAX(0,Q347-T347-U347)*Ipotesi!$C$92</f>
        <v>0</v>
      </c>
      <c r="W347" s="15" t="n">
        <f aca="false">MAX(0,SUM(M341:M347)+Parametri_v3!$C$55*7/12)*Ipotesi!$C$93</f>
        <v>0</v>
      </c>
      <c r="X347" s="15" t="n">
        <f aca="false">V347+W347-(V346+W346)</f>
        <v>0</v>
      </c>
      <c r="Y347" s="15" t="n">
        <f aca="false">P347-X347</f>
        <v>-25292.1821917685</v>
      </c>
      <c r="Z347" s="15" t="n">
        <f aca="false">R347-T347+IF(AND(Parametri_v3!$C$40=1,D347-YEAR(Parametri_v3!$C$50)&lt;Parametri_v3!$C$41),MAX(0,-Q347),0)</f>
        <v>1115328.80104631</v>
      </c>
      <c r="AA347" s="15" t="n">
        <f aca="false">S347-U347+IF(AND(Parametri_v3!$C$40=1,D347-YEAR(Parametri_v3!$C$50)&lt;Parametri_v3!$C$41),0,MAX(0,-Q347))</f>
        <v>225673.805231176</v>
      </c>
      <c r="AB347" s="15" t="n">
        <f aca="false">F347*(1+Parametri_v3!$C$26)</f>
        <v>153842.757781682</v>
      </c>
      <c r="AC347" s="15" t="n">
        <f aca="false">(IF(43-(INT((Motore_Operativo!L347)/30))&lt;1,0,INDEX(Motore_Startup!$AB$305:$AB$364,MAX(1,43-(INT((Motore_Operativo!L347)/30)))))*(1-(MOD((Motore_Operativo!L347),30)/30))+IF(43-(INT((Motore_Operativo!L347)/30))-1&lt;1,0,INDEX(Motore_Startup!$AB$305:$AB$364,MAX(1,43-(INT((Motore_Operativo!L347)/30))-1)))*(MOD((Motore_Operativo!L347),30)/30))</f>
        <v>142722.87928372</v>
      </c>
      <c r="AD347" s="15" t="n">
        <f aca="false">(AD346)+AB347-AC347</f>
        <v>450473.482684858</v>
      </c>
      <c r="AE347" s="15" t="n">
        <f aca="false">Motore_Operativo!BH347*(1+Parametri_v3!$C$26)</f>
        <v>11009.4833333333</v>
      </c>
      <c r="AF347" s="15" t="n">
        <f aca="false">(IF(43-(INT((Parametri_v3!$C$29)/30))&lt;1,0,INDEX(Motore_Operativo!$BH$305:$BH$364,MAX(1,43-(INT((Parametri_v3!$C$29)/30)))))*(1-(MOD((Parametri_v3!$C$29),30)/30))+IF(43-(INT((Parametri_v3!$C$29)/30))-1&lt;1,0,INDEX(Motore_Operativo!$BH$305:$BH$364,MAX(1,43-(INT((Parametri_v3!$C$29)/30))-1)))*(MOD((Parametri_v3!$C$29),30)/30))*(1+Parametri_v3!$C$26)</f>
        <v>11009.4833333333</v>
      </c>
      <c r="AG347" s="15" t="n">
        <f aca="false">(AG346)+AE347-AF347</f>
        <v>11009.4833333333</v>
      </c>
      <c r="AH347" s="15" t="n">
        <f aca="false">(Motore_Operativo!CJ347)*(1+Parametri_v3!$C$27*Parametri_v3!$C$26)</f>
        <v>72153.5501281365</v>
      </c>
      <c r="AI347" s="15" t="n">
        <f aca="false">(IF(43-(INT((Ipotesi!$C$91)/30))&lt;1,0,INDEX(Motore_Startup!$AH$305:$AH$364,MAX(1,43-(INT((Ipotesi!$C$91)/30)))))*(1-(MOD((Ipotesi!$C$91),30)/30))+IF(43-(INT((Ipotesi!$C$91)/30))-1&lt;1,0,INDEX(Motore_Startup!$AH$305:$AH$364,MAX(1,43-(INT((Ipotesi!$C$91)/30))-1)))*(MOD((Ipotesi!$C$91),30)/30))</f>
        <v>71148.2073329111</v>
      </c>
      <c r="AJ347" s="15" t="n">
        <f aca="false">(AJ346)+AH347-AI347</f>
        <v>143806.63558272</v>
      </c>
      <c r="AK347" s="15" t="n">
        <f aca="false">(F347+ Motore_Operativo!BH347-(Motore_Operativo!CJ347)*Parametri_v3!$C$27-Motore_Operativo!CE347)*Parametri_v3!$C$26</f>
        <v>17627.0484795728</v>
      </c>
      <c r="AL347" s="15" t="n">
        <f aca="false">MAX(0,(AM346))</f>
        <v>17043.3436833996</v>
      </c>
      <c r="AM347" s="15" t="n">
        <f aca="false">(AM346)+AK347-AL347</f>
        <v>17627.0484795728</v>
      </c>
      <c r="AN347" s="15" t="n">
        <f aca="false">SUM(X329:X340)</f>
        <v>0</v>
      </c>
      <c r="AO347" s="15" t="n">
        <f aca="false">SUM(AP329:AP340)</f>
        <v>0</v>
      </c>
      <c r="AP347" s="15" t="n">
        <f aca="false">MAX(0,AN347)*IF(7=Parametri_v3!$C$43,Parametri_v3!$C$45,IF(7=Parametri_v3!$C$44,1-Parametri_v3!$C$45,0))</f>
        <v>0</v>
      </c>
      <c r="AQ347" s="15" t="n">
        <f aca="false">MAX(0,AP347+IF(7=Parametri_v3!$C$43,MAX(0,AN347-AO347),0)-MAX(0,-(AR346)))</f>
        <v>0</v>
      </c>
      <c r="AR347" s="15" t="n">
        <f aca="false">(AR346)+X347-AQ347</f>
        <v>0</v>
      </c>
      <c r="AS347" s="15" t="n">
        <f aca="false">Motore_Operativo!AB347-AT347+AU347</f>
        <v>91649.4297604167</v>
      </c>
      <c r="AT347" s="15" t="n">
        <f aca="false">Motore_Operativo!CH347</f>
        <v>4823.65419791667</v>
      </c>
      <c r="AU347" s="15" t="n">
        <f aca="false">MIN(MAX(0,(AV346)+AT347),Parametri_v3!$C$60/12)</f>
        <v>0</v>
      </c>
      <c r="AV347" s="15" t="n">
        <f aca="false">(AV346)+AT347-AU347</f>
        <v>112937.279385417</v>
      </c>
      <c r="AW347" s="15" t="n">
        <f aca="false">IF(AND(Motore_Operativo!C347=Finanziamenti!$D$6,Finanziamenti!$F$6=1),Finanziamenti!$C$6,0)</f>
        <v>0</v>
      </c>
      <c r="AX347" s="15" t="n">
        <f aca="false">IF(AND(6&lt;&gt;7,6&lt;&gt;9,Finanziamenti!$F$8=1,OR(Parametri_v3!$C$6=0,Finanziamenti!$E$8=1),Motore_Operativo!C347=EDATE(Finanziamenti!$D$8,Ipotesi!H15*12)),Finanziamenti!$C$8*1,0)+IF(AND(6&lt;&gt;7,6&lt;&gt;9,Finanziamenti!$F$9=1,OR(Parametri_v3!$C$6=0,Finanziamenti!$E$9=1),Motore_Operativo!C347=EDATE(Finanziamenti!$D$9,Ipotesi!H15*12)),Finanziamenti!$C$9*Ipotesi!H16,0)</f>
        <v>0</v>
      </c>
      <c r="AY347" s="15" t="n">
        <f aca="false">0</f>
        <v>0</v>
      </c>
      <c r="AZ347" s="15" t="n">
        <f aca="false">Motore_Advisory!AY347*(1-Ipotesi!$C$95)*Ipotesi!$C$96</f>
        <v>0</v>
      </c>
      <c r="BA347" s="15" t="n">
        <f aca="false">MAX(0,MIN(CG347*MIN(1,IF(Motore_Operativo!C347&gt;=EDATE(Finanziamenti!$D$15,Ipotesi!H14*12),Finanziamenti!$C$15,0)+IF(Motore_Operativo!C347&gt;=EDATE(Finanziamenti!$D$16,Ipotesi!H14*12),Finanziamenti!$C$16,0)+IF(Motore_Operativo!C347&gt;=EDATE(Finanziamenti!$D$17,Ipotesi!H14*12),Finanziamenti!$C$17,0)),CA347*Ipotesi!$C$102)-(CC346))</f>
        <v>0</v>
      </c>
      <c r="BB347" s="15" t="n">
        <f aca="false">IF(AND(CF347&gt;0,Motore_Operativo!C347&gt;=IF(CF347=0,0,EDATE(CF347,Parametri_v3!$C$37)),MOD(((D347-YEAR(IF(CF347=0,0,EDATE(CF347,Parametri_v3!$C$37))))*12+E347-MONTH(IF(CF347=0,0,EDATE(CF347,Parametri_v3!$C$37)))),Parametri_v3!$C$38)=0),MIN(MAX(0,(BC346)+BA347-N347),(CC347-CD347)/(Ipotesi!$C$108*12/Parametri_v3!$C$38)),0)</f>
        <v>0</v>
      </c>
      <c r="BC347" s="15" t="n">
        <f aca="false">(BC346)+BA347-N347-BB347</f>
        <v>0</v>
      </c>
      <c r="BD347" s="15" t="n">
        <f aca="false">(BH346)+AC347+AF347-AI347-AS347-K347*(1+Parametri_v3!$C$26)-AL347-AQ347-O347+AW347+AX347+AZ347+BA347-BB347</f>
        <v>-59652.9629238916</v>
      </c>
      <c r="BE347" s="15" t="n">
        <f aca="false">MAX(0,MIN(MAX(0,CH347-(BG346)),Parametri_v3!$C$30-BD347))</f>
        <v>0</v>
      </c>
      <c r="BF347" s="15" t="n">
        <f aca="false">IF(Motore_Operativo!C347&gt;=Parametri_v3!$C$63,(BG346),MIN((BG346),MAX(0,BD347-Parametri_v3!$C$30)))</f>
        <v>0</v>
      </c>
      <c r="BG347" s="15" t="n">
        <f aca="false">(BG346)+BE347-BF347</f>
        <v>150000</v>
      </c>
      <c r="BH347" s="15" t="n">
        <f aca="false">BD347+BE347-BF347-AY347</f>
        <v>-59652.9629238916</v>
      </c>
      <c r="BI347" s="15" t="n">
        <f aca="false">MAX(0,Parametri_v3!$C$30-BH347)</f>
        <v>84652.9629238916</v>
      </c>
      <c r="BJ347" s="15" t="n">
        <f aca="false">(BJ346)+K347</f>
        <v>98333.3333333333</v>
      </c>
      <c r="BK347" s="15" t="n">
        <f aca="false">(BK346)+L347</f>
        <v>51087.962962963</v>
      </c>
      <c r="BL347" s="15" t="n">
        <f aca="false">BJ347-BK347</f>
        <v>47245.3703703703</v>
      </c>
      <c r="BM347" s="15" t="n">
        <f aca="false">(BM346)+Y347</f>
        <v>-1341002.60627748</v>
      </c>
      <c r="BN347" s="15" t="n">
        <f aca="false">(BN346)+AW347+AX347+AZ347</f>
        <v>1365707.01629444</v>
      </c>
      <c r="BO347" s="15" t="n">
        <f aca="false">(BO346)+AY347</f>
        <v>0</v>
      </c>
      <c r="BP347" s="15" t="n">
        <f aca="false">0</f>
        <v>0</v>
      </c>
      <c r="BQ347" s="15" t="n">
        <f aca="false">BN347+BM347-BO347</f>
        <v>24704.4100169616</v>
      </c>
      <c r="BR347" s="15" t="n">
        <f aca="false">BH347+AD347+BL347+MAX(0,-AM347)+MAX(0,-AR347)+AG347</f>
        <v>449075.373464671</v>
      </c>
      <c r="BS347" s="15" t="n">
        <f aca="false">AJ347+AV347+MAX(0,AM347)+MAX(0,AR347)+BC347+BG347+BQ347</f>
        <v>449075.373464671</v>
      </c>
      <c r="BT347" s="15" t="n">
        <f aca="false">BR347-BS347</f>
        <v>0</v>
      </c>
      <c r="BU347" s="15" t="n">
        <f aca="false">BH347-(BD347+BE347-BF347-AY347)</f>
        <v>0</v>
      </c>
      <c r="BV347" s="15" t="n">
        <f aca="false">MIN(Piano_SS!$C$6,(BV346)+IF(AND(Motore_Operativo!C347&gt;=EDATE(Parametri_v3!$C$24,Ipotesi!H14*12),Motore_Operativo!C347&lt;EDATE(Parametri_v3!$C$24,Parametri_v3!$C$25+Ipotesi!H14*12)),MAX(0,(Motore_Operativo!Y347+Motore_Operativo!X347*Parametri_v3!$C$14)*(1-Parametri_v3!$C$32))*Piano_SS!$D$6,0))</f>
        <v>300000</v>
      </c>
      <c r="BW347" s="15" t="n">
        <f aca="false">MIN(Piano_SS!$C$7,(BW346)+IF(AND(Motore_Operativo!C347&gt;=EDATE(Parametri_v3!$C$24,Ipotesi!H14*12),Motore_Operativo!C347&lt;EDATE(Parametri_v3!$C$24,Parametri_v3!$C$25+Ipotesi!H14*12)),MAX(0,(IF(43-(INT((Ipotesi!$C$91)/30))&lt;1,0,INDEX(Motore_Operativo!$BN$305:$BN$364,MAX(1,43-(INT((Ipotesi!$C$91)/30)))))*(1-(MOD((Ipotesi!$C$91),30)/30))+IF(43-(INT((Ipotesi!$C$91)/30))-1&lt;1,0,INDEX(Motore_Operativo!$BN$305:$BN$364,MAX(1,43-(INT((Ipotesi!$C$91)/30))-1)))*(MOD((Ipotesi!$C$91),30)/30)))*Piano_SS!$D$7,0))</f>
        <v>41058.9230070837</v>
      </c>
      <c r="BX347" s="15" t="n">
        <f aca="false">MIN(Piano_SS!$C$8,(BX346)+IF(AND(Motore_Operativo!C347&gt;=EDATE(Parametri_v3!$C$24,Ipotesi!H14*12),Motore_Operativo!C347&lt;EDATE(Parametri_v3!$C$24,Parametri_v3!$C$25+Ipotesi!H14*12)),MAX(0,Motore_Operativo!CE347)*Piano_SS!$D$8,0))</f>
        <v>50000</v>
      </c>
      <c r="BY347" s="15" t="n">
        <f aca="false">MIN(Piano_SS!$C$9,(BY346)+IF(AND(Motore_Operativo!C347&gt;=EDATE(Parametri_v3!$C$24,Ipotesi!H14*12),Motore_Operativo!C347&lt;EDATE(Parametri_v3!$C$24,Parametri_v3!$C$25+Ipotesi!H14*12)),MAX(0,((IF(43-(INT((Ipotesi!$C$91)/30))&lt;1,0,INDEX(Motore_Operativo!$BQ$305:$BQ$364,MAX(1,43-(INT((Ipotesi!$C$91)/30)))))*(1-(MOD((Ipotesi!$C$91),30)/30))+IF(43-(INT((Ipotesi!$C$91)/30))-1&lt;1,0,INDEX(Motore_Operativo!$BQ$305:$BQ$364,MAX(1,43-(INT((Ipotesi!$C$91)/30))-1)))*(MOD((Ipotesi!$C$91),30)/30))+(IF(43-(INT((Ipotesi!$C$91)/30))&lt;1,0,INDEX(Motore_Operativo!$BR$305:$BR$364,MAX(1,43-(INT((Ipotesi!$C$91)/30)))))*(1-(MOD((Ipotesi!$C$91),30)/30))+IF(43-(INT((Ipotesi!$C$91)/30))-1&lt;1,0,INDEX(Motore_Operativo!$BR$305:$BR$364,MAX(1,43-(INT((Ipotesi!$C$91)/30))-1)))*(MOD((Ipotesi!$C$91),30)/30))))*Piano_SS!$D$9,0))</f>
        <v>40000</v>
      </c>
      <c r="BZ347" s="15" t="n">
        <f aca="false">MIN(Piano_SS!$C$10,(BZ346)+IF(AND(Motore_Operativo!C347&gt;=EDATE(Parametri_v3!$C$24,Ipotesi!H14*12),Motore_Operativo!C347&lt;EDATE(Parametri_v3!$C$24,Parametri_v3!$C$25+Ipotesi!H14*12)),MAX(0,(IF(43-(INT((Ipotesi!$C$91)/30))&lt;1,0,INDEX(Motore_Operativo!$BO$305:$BO$364,MAX(1,43-(INT((Ipotesi!$C$91)/30)))))*(1-(MOD((Ipotesi!$C$91),30)/30))+IF(43-(INT((Ipotesi!$C$91)/30))-1&lt;1,0,INDEX(Motore_Operativo!$BO$305:$BO$364,MAX(1,43-(INT((Ipotesi!$C$91)/30))-1)))*(MOD((Ipotesi!$C$91),30)/30)))*Piano_SS!$D$10,0))</f>
        <v>30000</v>
      </c>
      <c r="CA347" s="15" t="n">
        <f aca="false">SUM(BV347:BZ347)</f>
        <v>461058.923007084</v>
      </c>
      <c r="CB347" s="15" t="n">
        <f aca="false">BV347*(1-Piano_SS!$E$6)+BW347*(1-Piano_SS!$E$7)+BX347*(1-Piano_SS!$E$8)+BY347*(1-Piano_SS!$E$9)+BZ347*(1-Piano_SS!$E$10)</f>
        <v>431058.923007084</v>
      </c>
      <c r="CC347" s="15" t="n">
        <f aca="false">(CC346)+BA347</f>
        <v>0</v>
      </c>
      <c r="CD347" s="15" t="n">
        <f aca="false">IF(CA347=0,0,CC347*CB347/CA347*Ipotesi!$C$103*Parametri_v3!$C$64)</f>
        <v>0</v>
      </c>
      <c r="CE347" s="18" t="n">
        <f aca="false">IF(BA347&gt;0,Motore_Operativo!C347,(CE346))</f>
        <v>0</v>
      </c>
      <c r="CF347" s="18" t="n">
        <f aca="false">IF(AND(CC347&gt;0,OR(CC347&gt;=CG347-0.01,Motore_Operativo!C347&gt;=EDATE(MAX(Finanziamenti!$D$15:$D$17),Ipotesi!H14*12))),CE347,0)</f>
        <v>0</v>
      </c>
      <c r="CG347" s="15" t="n">
        <f aca="false">IF(AND(6&lt;&gt;6,6&lt;&gt;9,Finanziamenti!$F$11=1,OR(Parametri_v3!$C$6=0,Finanziamenti!$E$11=1)),MIN(Finanziamenti!$C$11,Piano_SS!$C$12*Ipotesi!$C$102),0)</f>
        <v>0</v>
      </c>
      <c r="CH347" s="15" t="n">
        <f aca="false">IF(AND(AND(6&lt;&gt;8,6&lt;&gt;9,Finanziamenti!$F$10=1,OR(Parametri_v3!$C$6=0,Finanziamenti!$E$10=1)),Motore_Operativo!C347&gt;=Finanziamenti!$D$10,Motore_Operativo!C347&lt;Parametri_v3!$C$63),Finanziamenti!$C$10,0)</f>
        <v>150000</v>
      </c>
    </row>
    <row r="348" customFormat="false" ht="18" hidden="false" customHeight="true" outlineLevel="0" collapsed="false">
      <c r="A348" s="68" t="n">
        <f aca="false">6</f>
        <v>6</v>
      </c>
      <c r="B348" s="68" t="n">
        <f aca="false">44</f>
        <v>44</v>
      </c>
      <c r="C348" s="18" t="n">
        <f aca="false">Motore_Operativo!C348</f>
        <v>47696</v>
      </c>
      <c r="D348" s="68" t="n">
        <f aca="false">Motore_Operativo!D348</f>
        <v>2030</v>
      </c>
      <c r="E348" s="68" t="n">
        <f aca="false">Motore_Operativo!E348</f>
        <v>8</v>
      </c>
      <c r="F348" s="15" t="n">
        <f aca="false">Motore_Operativo!AQ348+Motore_Operativo!BF348</f>
        <v>129085.876915895</v>
      </c>
      <c r="G348" s="15" t="n">
        <f aca="false">Motore_Operativo!BH348</f>
        <v>9024.16666666667</v>
      </c>
      <c r="H348" s="15" t="n">
        <f aca="false">Motore_Operativo!BI348</f>
        <v>138110.043582562</v>
      </c>
      <c r="I348" s="15" t="n">
        <f aca="false">Motore_Operativo!CA348</f>
        <v>157677.498393225</v>
      </c>
      <c r="J348" s="15" t="n">
        <f aca="false">Motore_Operativo!CC348</f>
        <v>-19567.4548106635</v>
      </c>
      <c r="K348" s="15" t="n">
        <f aca="false">Motore_Operativo!CE348</f>
        <v>3333.33333333333</v>
      </c>
      <c r="L348" s="15" t="n">
        <f aca="false">SUM(INDEX($K$305:$K$364,MAX(1,44-Parametri_v3!$C$59+1)):K348)/Parametri_v3!$C$59</f>
        <v>2453.7037037037</v>
      </c>
      <c r="M348" s="15" t="n">
        <f aca="false">J348-L348</f>
        <v>-22021.1585143672</v>
      </c>
      <c r="N348" s="15" t="n">
        <f aca="false">CD348-(CD347)</f>
        <v>0</v>
      </c>
      <c r="O348" s="15" t="n">
        <f aca="false">(BG347)*Ipotesi!$C$110/12+CH348*Parametri_v3!$C$39/12</f>
        <v>750</v>
      </c>
      <c r="P348" s="15" t="n">
        <f aca="false">M348+N348-O348</f>
        <v>-22771.1585143672</v>
      </c>
      <c r="Q348" s="15" t="n">
        <f aca="false">SUM(P341:P348)+Parametri_v3!$C$54*8/12</f>
        <v>-248444.963745543</v>
      </c>
      <c r="R348" s="15" t="n">
        <f aca="false">Z340</f>
        <v>1115328.80104631</v>
      </c>
      <c r="S348" s="15" t="n">
        <f aca="false">AA340</f>
        <v>0</v>
      </c>
      <c r="T348" s="15" t="n">
        <f aca="false">MIN(R348,MAX(0,Q348))</f>
        <v>0</v>
      </c>
      <c r="U348" s="15" t="n">
        <f aca="false">MIN(S348,MAX(0,Q348-T348)*Parametri_v3!$C$42)</f>
        <v>0</v>
      </c>
      <c r="V348" s="15" t="n">
        <f aca="false">MAX(0,Q348-T348-U348)*Ipotesi!$C$92</f>
        <v>0</v>
      </c>
      <c r="W348" s="15" t="n">
        <f aca="false">MAX(0,SUM(M341:M348)+Parametri_v3!$C$55*8/12)*Ipotesi!$C$93</f>
        <v>0</v>
      </c>
      <c r="X348" s="15" t="n">
        <f aca="false">V348+W348-(V347+W347)</f>
        <v>0</v>
      </c>
      <c r="Y348" s="15" t="n">
        <f aca="false">P348-X348</f>
        <v>-22771.1585143672</v>
      </c>
      <c r="Z348" s="15" t="n">
        <f aca="false">R348-T348+IF(AND(Parametri_v3!$C$40=1,D348-YEAR(Parametri_v3!$C$50)&lt;Parametri_v3!$C$41),MAX(0,-Q348),0)</f>
        <v>1115328.80104631</v>
      </c>
      <c r="AA348" s="15" t="n">
        <f aca="false">S348-U348+IF(AND(Parametri_v3!$C$40=1,D348-YEAR(Parametri_v3!$C$50)&lt;Parametri_v3!$C$41),0,MAX(0,-Q348))</f>
        <v>248444.963745543</v>
      </c>
      <c r="AB348" s="15" t="n">
        <f aca="false">F348*(1+Parametri_v3!$C$26)</f>
        <v>157484.769837392</v>
      </c>
      <c r="AC348" s="15" t="n">
        <f aca="false">(IF(44-(INT((Motore_Operativo!L348)/30))&lt;1,0,INDEX(Motore_Startup!$AB$305:$AB$364,MAX(1,44-(INT((Motore_Operativo!L348)/30)))))*(1-(MOD((Motore_Operativo!L348),30)/30))+IF(44-(INT((Motore_Operativo!L348)/30))-1&lt;1,0,INDEX(Motore_Startup!$AB$305:$AB$364,MAX(1,44-(INT((Motore_Operativo!L348)/30))-1)))*(MOD((Motore_Operativo!L348),30)/30))</f>
        <v>146462.096991123</v>
      </c>
      <c r="AD348" s="15" t="n">
        <f aca="false">(AD347)+AB348-AC348</f>
        <v>461496.155531127</v>
      </c>
      <c r="AE348" s="15" t="n">
        <f aca="false">Motore_Operativo!BH348*(1+Parametri_v3!$C$26)</f>
        <v>11009.4833333333</v>
      </c>
      <c r="AF348" s="15" t="n">
        <f aca="false">(IF(44-(INT((Parametri_v3!$C$29)/30))&lt;1,0,INDEX(Motore_Operativo!$BH$305:$BH$364,MAX(1,44-(INT((Parametri_v3!$C$29)/30)))))*(1-(MOD((Parametri_v3!$C$29),30)/30))+IF(44-(INT((Parametri_v3!$C$29)/30))-1&lt;1,0,INDEX(Motore_Operativo!$BH$305:$BH$364,MAX(1,44-(INT((Parametri_v3!$C$29)/30))-1)))*(MOD((Parametri_v3!$C$29),30)/30))*(1+Parametri_v3!$C$26)</f>
        <v>11009.4833333333</v>
      </c>
      <c r="AG348" s="15" t="n">
        <f aca="false">(AG347)+AE348-AF348</f>
        <v>11009.4833333333</v>
      </c>
      <c r="AH348" s="15" t="n">
        <f aca="false">(Motore_Operativo!CJ348)*(1+Parametri_v3!$C$27*Parametri_v3!$C$26)</f>
        <v>72649.6399342168</v>
      </c>
      <c r="AI348" s="15" t="n">
        <f aca="false">(IF(44-(INT((Ipotesi!$C$91)/30))&lt;1,0,INDEX(Motore_Startup!$AH$305:$AH$364,MAX(1,44-(INT((Ipotesi!$C$91)/30)))))*(1-(MOD((Ipotesi!$C$91),30)/30))+IF(44-(INT((Ipotesi!$C$91)/30))-1&lt;1,0,INDEX(Motore_Startup!$AH$305:$AH$364,MAX(1,44-(INT((Ipotesi!$C$91)/30))-1)))*(MOD((Ipotesi!$C$91),30)/30))</f>
        <v>71653.0854545834</v>
      </c>
      <c r="AJ348" s="15" t="n">
        <f aca="false">(AJ347)+AH348-AI348</f>
        <v>144803.190062353</v>
      </c>
      <c r="AK348" s="15" t="n">
        <f aca="false">(F348+ Motore_Operativo!BH348-(Motore_Operativo!CJ348)*Parametri_v3!$C$27-Motore_Operativo!CE348)*Parametri_v3!$C$26</f>
        <v>18205.6507555055</v>
      </c>
      <c r="AL348" s="15" t="n">
        <f aca="false">MAX(0,(AM347))</f>
        <v>17627.0484795728</v>
      </c>
      <c r="AM348" s="15" t="n">
        <f aca="false">(AM347)+AK348-AL348</f>
        <v>18205.6507555055</v>
      </c>
      <c r="AN348" s="15" t="n">
        <f aca="false">SUM(X329:X340)</f>
        <v>0</v>
      </c>
      <c r="AO348" s="15" t="n">
        <f aca="false">SUM(AP329:AP340)</f>
        <v>0</v>
      </c>
      <c r="AP348" s="15" t="n">
        <f aca="false">MAX(0,AN348)*IF(8=Parametri_v3!$C$43,Parametri_v3!$C$45,IF(8=Parametri_v3!$C$44,1-Parametri_v3!$C$45,0))</f>
        <v>0</v>
      </c>
      <c r="AQ348" s="15" t="n">
        <f aca="false">MAX(0,AP348+IF(8=Parametri_v3!$C$43,MAX(0,AN348-AO348),0)-MAX(0,-(AR347)))</f>
        <v>0</v>
      </c>
      <c r="AR348" s="15" t="n">
        <f aca="false">(AR347)+X348-AQ348</f>
        <v>0</v>
      </c>
      <c r="AS348" s="15" t="n">
        <f aca="false">Motore_Operativo!AB348-AT348+AU348</f>
        <v>91649.4297604167</v>
      </c>
      <c r="AT348" s="15" t="n">
        <f aca="false">Motore_Operativo!CH348</f>
        <v>4823.65419791667</v>
      </c>
      <c r="AU348" s="15" t="n">
        <f aca="false">MIN(MAX(0,(AV347)+AT348),Parametri_v3!$C$60/12)</f>
        <v>0</v>
      </c>
      <c r="AV348" s="15" t="n">
        <f aca="false">(AV347)+AT348-AU348</f>
        <v>117760.933583333</v>
      </c>
      <c r="AW348" s="15" t="n">
        <f aca="false">IF(AND(Motore_Operativo!C348=Finanziamenti!$D$6,Finanziamenti!$F$6=1),Finanziamenti!$C$6,0)</f>
        <v>0</v>
      </c>
      <c r="AX348" s="15" t="n">
        <f aca="false">IF(AND(6&lt;&gt;7,6&lt;&gt;9,Finanziamenti!$F$8=1,OR(Parametri_v3!$C$6=0,Finanziamenti!$E$8=1),Motore_Operativo!C348=EDATE(Finanziamenti!$D$8,Ipotesi!H15*12)),Finanziamenti!$C$8*1,0)+IF(AND(6&lt;&gt;7,6&lt;&gt;9,Finanziamenti!$F$9=1,OR(Parametri_v3!$C$6=0,Finanziamenti!$E$9=1),Motore_Operativo!C348=EDATE(Finanziamenti!$D$9,Ipotesi!H15*12)),Finanziamenti!$C$9*Ipotesi!H16,0)</f>
        <v>0</v>
      </c>
      <c r="AY348" s="15" t="n">
        <f aca="false">0</f>
        <v>0</v>
      </c>
      <c r="AZ348" s="15" t="n">
        <f aca="false">Motore_Advisory!AY348*(1-Ipotesi!$C$95)*Ipotesi!$C$96</f>
        <v>0</v>
      </c>
      <c r="BA348" s="15" t="n">
        <f aca="false">MAX(0,MIN(CG348*MIN(1,IF(Motore_Operativo!C348&gt;=EDATE(Finanziamenti!$D$15,Ipotesi!H14*12),Finanziamenti!$C$15,0)+IF(Motore_Operativo!C348&gt;=EDATE(Finanziamenti!$D$16,Ipotesi!H14*12),Finanziamenti!$C$16,0)+IF(Motore_Operativo!C348&gt;=EDATE(Finanziamenti!$D$17,Ipotesi!H14*12),Finanziamenti!$C$17,0)),CA348*Ipotesi!$C$102)-(CC347))</f>
        <v>0</v>
      </c>
      <c r="BB348" s="15" t="n">
        <f aca="false">IF(AND(CF348&gt;0,Motore_Operativo!C348&gt;=IF(CF348=0,0,EDATE(CF348,Parametri_v3!$C$37)),MOD(((D348-YEAR(IF(CF348=0,0,EDATE(CF348,Parametri_v3!$C$37))))*12+E348-MONTH(IF(CF348=0,0,EDATE(CF348,Parametri_v3!$C$37)))),Parametri_v3!$C$38)=0),MIN(MAX(0,(BC347)+BA348-N348),(CC348-CD348)/(Ipotesi!$C$108*12/Parametri_v3!$C$38)),0)</f>
        <v>0</v>
      </c>
      <c r="BC348" s="15" t="n">
        <f aca="false">(BC347)+BA348-N348-BB348</f>
        <v>0</v>
      </c>
      <c r="BD348" s="15" t="n">
        <f aca="false">(BH347)+AC348+AF348-AI348-AS348-K348*(1+Parametri_v3!$C$26)-AL348-AQ348-O348+AW348+AX348+AZ348+BA348-BB348</f>
        <v>-87927.6129606744</v>
      </c>
      <c r="BE348" s="15" t="n">
        <f aca="false">MAX(0,MIN(MAX(0,CH348-(BG347)),Parametri_v3!$C$30-BD348))</f>
        <v>0</v>
      </c>
      <c r="BF348" s="15" t="n">
        <f aca="false">IF(Motore_Operativo!C348&gt;=Parametri_v3!$C$63,(BG347),MIN((BG347),MAX(0,BD348-Parametri_v3!$C$30)))</f>
        <v>0</v>
      </c>
      <c r="BG348" s="15" t="n">
        <f aca="false">(BG347)+BE348-BF348</f>
        <v>150000</v>
      </c>
      <c r="BH348" s="15" t="n">
        <f aca="false">BD348+BE348-BF348-AY348</f>
        <v>-87927.6129606744</v>
      </c>
      <c r="BI348" s="15" t="n">
        <f aca="false">MAX(0,Parametri_v3!$C$30-BH348)</f>
        <v>112927.612960674</v>
      </c>
      <c r="BJ348" s="15" t="n">
        <f aca="false">(BJ347)+K348</f>
        <v>101666.666666667</v>
      </c>
      <c r="BK348" s="15" t="n">
        <f aca="false">(BK347)+L348</f>
        <v>53541.6666666667</v>
      </c>
      <c r="BL348" s="15" t="n">
        <f aca="false">BJ348-BK348</f>
        <v>48125</v>
      </c>
      <c r="BM348" s="15" t="n">
        <f aca="false">(BM347)+Y348</f>
        <v>-1363773.76479185</v>
      </c>
      <c r="BN348" s="15" t="n">
        <f aca="false">(BN347)+AW348+AX348+AZ348</f>
        <v>1365707.01629444</v>
      </c>
      <c r="BO348" s="15" t="n">
        <f aca="false">(BO347)+AY348</f>
        <v>0</v>
      </c>
      <c r="BP348" s="15" t="n">
        <f aca="false">0</f>
        <v>0</v>
      </c>
      <c r="BQ348" s="15" t="n">
        <f aca="false">BN348+BM348-BO348</f>
        <v>1933.25150259445</v>
      </c>
      <c r="BR348" s="15" t="n">
        <f aca="false">BH348+AD348+BL348+MAX(0,-AM348)+MAX(0,-AR348)+AG348</f>
        <v>432703.025903786</v>
      </c>
      <c r="BS348" s="15" t="n">
        <f aca="false">AJ348+AV348+MAX(0,AM348)+MAX(0,AR348)+BC348+BG348+BQ348</f>
        <v>432703.025903787</v>
      </c>
      <c r="BT348" s="15" t="n">
        <f aca="false">BR348-BS348</f>
        <v>0</v>
      </c>
      <c r="BU348" s="15" t="n">
        <f aca="false">BH348-(BD348+BE348-BF348-AY348)</f>
        <v>0</v>
      </c>
      <c r="BV348" s="15" t="n">
        <f aca="false">MIN(Piano_SS!$C$6,(BV347)+IF(AND(Motore_Operativo!C348&gt;=EDATE(Parametri_v3!$C$24,Ipotesi!H14*12),Motore_Operativo!C348&lt;EDATE(Parametri_v3!$C$24,Parametri_v3!$C$25+Ipotesi!H14*12)),MAX(0,(Motore_Operativo!Y348+Motore_Operativo!X348*Parametri_v3!$C$14)*(1-Parametri_v3!$C$32))*Piano_SS!$D$6,0))</f>
        <v>300000</v>
      </c>
      <c r="BW348" s="15" t="n">
        <f aca="false">MIN(Piano_SS!$C$7,(BW347)+IF(AND(Motore_Operativo!C348&gt;=EDATE(Parametri_v3!$C$24,Ipotesi!H14*12),Motore_Operativo!C348&lt;EDATE(Parametri_v3!$C$24,Parametri_v3!$C$25+Ipotesi!H14*12)),MAX(0,(IF(44-(INT((Ipotesi!$C$91)/30))&lt;1,0,INDEX(Motore_Operativo!$BN$305:$BN$364,MAX(1,44-(INT((Ipotesi!$C$91)/30)))))*(1-(MOD((Ipotesi!$C$91),30)/30))+IF(44-(INT((Ipotesi!$C$91)/30))-1&lt;1,0,INDEX(Motore_Operativo!$BN$305:$BN$364,MAX(1,44-(INT((Ipotesi!$C$91)/30))-1)))*(MOD((Ipotesi!$C$91),30)/30)))*Piano_SS!$D$7,0))</f>
        <v>41058.9230070837</v>
      </c>
      <c r="BX348" s="15" t="n">
        <f aca="false">MIN(Piano_SS!$C$8,(BX347)+IF(AND(Motore_Operativo!C348&gt;=EDATE(Parametri_v3!$C$24,Ipotesi!H14*12),Motore_Operativo!C348&lt;EDATE(Parametri_v3!$C$24,Parametri_v3!$C$25+Ipotesi!H14*12)),MAX(0,Motore_Operativo!CE348)*Piano_SS!$D$8,0))</f>
        <v>50000</v>
      </c>
      <c r="BY348" s="15" t="n">
        <f aca="false">MIN(Piano_SS!$C$9,(BY347)+IF(AND(Motore_Operativo!C348&gt;=EDATE(Parametri_v3!$C$24,Ipotesi!H14*12),Motore_Operativo!C348&lt;EDATE(Parametri_v3!$C$24,Parametri_v3!$C$25+Ipotesi!H14*12)),MAX(0,((IF(44-(INT((Ipotesi!$C$91)/30))&lt;1,0,INDEX(Motore_Operativo!$BQ$305:$BQ$364,MAX(1,44-(INT((Ipotesi!$C$91)/30)))))*(1-(MOD((Ipotesi!$C$91),30)/30))+IF(44-(INT((Ipotesi!$C$91)/30))-1&lt;1,0,INDEX(Motore_Operativo!$BQ$305:$BQ$364,MAX(1,44-(INT((Ipotesi!$C$91)/30))-1)))*(MOD((Ipotesi!$C$91),30)/30))+(IF(44-(INT((Ipotesi!$C$91)/30))&lt;1,0,INDEX(Motore_Operativo!$BR$305:$BR$364,MAX(1,44-(INT((Ipotesi!$C$91)/30)))))*(1-(MOD((Ipotesi!$C$91),30)/30))+IF(44-(INT((Ipotesi!$C$91)/30))-1&lt;1,0,INDEX(Motore_Operativo!$BR$305:$BR$364,MAX(1,44-(INT((Ipotesi!$C$91)/30))-1)))*(MOD((Ipotesi!$C$91),30)/30))))*Piano_SS!$D$9,0))</f>
        <v>40000</v>
      </c>
      <c r="BZ348" s="15" t="n">
        <f aca="false">MIN(Piano_SS!$C$10,(BZ347)+IF(AND(Motore_Operativo!C348&gt;=EDATE(Parametri_v3!$C$24,Ipotesi!H14*12),Motore_Operativo!C348&lt;EDATE(Parametri_v3!$C$24,Parametri_v3!$C$25+Ipotesi!H14*12)),MAX(0,(IF(44-(INT((Ipotesi!$C$91)/30))&lt;1,0,INDEX(Motore_Operativo!$BO$305:$BO$364,MAX(1,44-(INT((Ipotesi!$C$91)/30)))))*(1-(MOD((Ipotesi!$C$91),30)/30))+IF(44-(INT((Ipotesi!$C$91)/30))-1&lt;1,0,INDEX(Motore_Operativo!$BO$305:$BO$364,MAX(1,44-(INT((Ipotesi!$C$91)/30))-1)))*(MOD((Ipotesi!$C$91),30)/30)))*Piano_SS!$D$10,0))</f>
        <v>30000</v>
      </c>
      <c r="CA348" s="15" t="n">
        <f aca="false">SUM(BV348:BZ348)</f>
        <v>461058.923007084</v>
      </c>
      <c r="CB348" s="15" t="n">
        <f aca="false">BV348*(1-Piano_SS!$E$6)+BW348*(1-Piano_SS!$E$7)+BX348*(1-Piano_SS!$E$8)+BY348*(1-Piano_SS!$E$9)+BZ348*(1-Piano_SS!$E$10)</f>
        <v>431058.923007084</v>
      </c>
      <c r="CC348" s="15" t="n">
        <f aca="false">(CC347)+BA348</f>
        <v>0</v>
      </c>
      <c r="CD348" s="15" t="n">
        <f aca="false">IF(CA348=0,0,CC348*CB348/CA348*Ipotesi!$C$103*Parametri_v3!$C$64)</f>
        <v>0</v>
      </c>
      <c r="CE348" s="18" t="n">
        <f aca="false">IF(BA348&gt;0,Motore_Operativo!C348,(CE347))</f>
        <v>0</v>
      </c>
      <c r="CF348" s="18" t="n">
        <f aca="false">IF(AND(CC348&gt;0,OR(CC348&gt;=CG348-0.01,Motore_Operativo!C348&gt;=EDATE(MAX(Finanziamenti!$D$15:$D$17),Ipotesi!H14*12))),CE348,0)</f>
        <v>0</v>
      </c>
      <c r="CG348" s="15" t="n">
        <f aca="false">IF(AND(6&lt;&gt;6,6&lt;&gt;9,Finanziamenti!$F$11=1,OR(Parametri_v3!$C$6=0,Finanziamenti!$E$11=1)),MIN(Finanziamenti!$C$11,Piano_SS!$C$12*Ipotesi!$C$102),0)</f>
        <v>0</v>
      </c>
      <c r="CH348" s="15" t="n">
        <f aca="false">IF(AND(AND(6&lt;&gt;8,6&lt;&gt;9,Finanziamenti!$F$10=1,OR(Parametri_v3!$C$6=0,Finanziamenti!$E$10=1)),Motore_Operativo!C348&gt;=Finanziamenti!$D$10,Motore_Operativo!C348&lt;Parametri_v3!$C$63),Finanziamenti!$C$10,0)</f>
        <v>150000</v>
      </c>
    </row>
    <row r="349" customFormat="false" ht="18" hidden="false" customHeight="true" outlineLevel="0" collapsed="false">
      <c r="A349" s="68" t="n">
        <f aca="false">6</f>
        <v>6</v>
      </c>
      <c r="B349" s="68" t="n">
        <f aca="false">45</f>
        <v>45</v>
      </c>
      <c r="C349" s="18" t="n">
        <f aca="false">Motore_Operativo!C349</f>
        <v>47727</v>
      </c>
      <c r="D349" s="68" t="n">
        <f aca="false">Motore_Operativo!D349</f>
        <v>2030</v>
      </c>
      <c r="E349" s="68" t="n">
        <f aca="false">Motore_Operativo!E349</f>
        <v>9</v>
      </c>
      <c r="F349" s="15" t="n">
        <f aca="false">Motore_Operativo!AQ349+Motore_Operativo!BF349</f>
        <v>132045.036754606</v>
      </c>
      <c r="G349" s="15" t="n">
        <f aca="false">Motore_Operativo!BH349</f>
        <v>9024.16666666667</v>
      </c>
      <c r="H349" s="15" t="n">
        <f aca="false">Motore_Operativo!BI349</f>
        <v>141069.203421273</v>
      </c>
      <c r="I349" s="15" t="n">
        <f aca="false">Motore_Operativo!CA349</f>
        <v>158091.780770645</v>
      </c>
      <c r="J349" s="15" t="n">
        <f aca="false">Motore_Operativo!CC349</f>
        <v>-17022.5773493721</v>
      </c>
      <c r="K349" s="15" t="n">
        <f aca="false">Motore_Operativo!CE349</f>
        <v>3333.33333333333</v>
      </c>
      <c r="L349" s="15" t="n">
        <f aca="false">SUM(INDEX($K$305:$K$364,MAX(1,45-Parametri_v3!$C$59+1)):K349)/Parametri_v3!$C$59</f>
        <v>2500</v>
      </c>
      <c r="M349" s="15" t="n">
        <f aca="false">J349-L349</f>
        <v>-19522.5773493721</v>
      </c>
      <c r="N349" s="15" t="n">
        <f aca="false">CD349-(CD348)</f>
        <v>0</v>
      </c>
      <c r="O349" s="15" t="n">
        <f aca="false">(BG348)*Ipotesi!$C$110/12+CH349*Parametri_v3!$C$39/12</f>
        <v>750</v>
      </c>
      <c r="P349" s="15" t="n">
        <f aca="false">M349+N349-O349</f>
        <v>-20272.5773493721</v>
      </c>
      <c r="Q349" s="15" t="n">
        <f aca="false">SUM(P341:P349)+Parametri_v3!$C$54*9/12</f>
        <v>-268717.541094916</v>
      </c>
      <c r="R349" s="15" t="n">
        <f aca="false">Z340</f>
        <v>1115328.80104631</v>
      </c>
      <c r="S349" s="15" t="n">
        <f aca="false">AA340</f>
        <v>0</v>
      </c>
      <c r="T349" s="15" t="n">
        <f aca="false">MIN(R349,MAX(0,Q349))</f>
        <v>0</v>
      </c>
      <c r="U349" s="15" t="n">
        <f aca="false">MIN(S349,MAX(0,Q349-T349)*Parametri_v3!$C$42)</f>
        <v>0</v>
      </c>
      <c r="V349" s="15" t="n">
        <f aca="false">MAX(0,Q349-T349-U349)*Ipotesi!$C$92</f>
        <v>0</v>
      </c>
      <c r="W349" s="15" t="n">
        <f aca="false">MAX(0,SUM(M341:M349)+Parametri_v3!$C$55*9/12)*Ipotesi!$C$93</f>
        <v>0</v>
      </c>
      <c r="X349" s="15" t="n">
        <f aca="false">V349+W349-(V348+W348)</f>
        <v>0</v>
      </c>
      <c r="Y349" s="15" t="n">
        <f aca="false">P349-X349</f>
        <v>-20272.5773493721</v>
      </c>
      <c r="Z349" s="15" t="n">
        <f aca="false">R349-T349+IF(AND(Parametri_v3!$C$40=1,D349-YEAR(Parametri_v3!$C$50)&lt;Parametri_v3!$C$41),MAX(0,-Q349),0)</f>
        <v>1115328.80104631</v>
      </c>
      <c r="AA349" s="15" t="n">
        <f aca="false">S349-U349+IF(AND(Parametri_v3!$C$40=1,D349-YEAR(Parametri_v3!$C$50)&lt;Parametri_v3!$C$41),0,MAX(0,-Q349))</f>
        <v>268717.541094916</v>
      </c>
      <c r="AB349" s="15" t="n">
        <f aca="false">F349*(1+Parametri_v3!$C$26)</f>
        <v>161094.944840619</v>
      </c>
      <c r="AC349" s="15" t="n">
        <f aca="false">(IF(45-(INT((Motore_Operativo!L349)/30))&lt;1,0,INDEX(Motore_Startup!$AB$305:$AB$364,MAX(1,45-(INT((Motore_Operativo!L349)/30)))))*(1-(MOD((Motore_Operativo!L349),30)/30))+IF(45-(INT((Motore_Operativo!L349)/30))-1&lt;1,0,INDEX(Motore_Startup!$AB$305:$AB$364,MAX(1,45-(INT((Motore_Operativo!L349)/30))-1)))*(MOD((Motore_Operativo!L349),30)/30))</f>
        <v>150168.627912054</v>
      </c>
      <c r="AD349" s="15" t="n">
        <f aca="false">(AD348)+AB349-AC349</f>
        <v>472422.472459693</v>
      </c>
      <c r="AE349" s="15" t="n">
        <f aca="false">Motore_Operativo!BH349*(1+Parametri_v3!$C$26)</f>
        <v>11009.4833333333</v>
      </c>
      <c r="AF349" s="15" t="n">
        <f aca="false">(IF(45-(INT((Parametri_v3!$C$29)/30))&lt;1,0,INDEX(Motore_Operativo!$BH$305:$BH$364,MAX(1,45-(INT((Parametri_v3!$C$29)/30)))))*(1-(MOD((Parametri_v3!$C$29),30)/30))+IF(45-(INT((Parametri_v3!$C$29)/30))-1&lt;1,0,INDEX(Motore_Operativo!$BH$305:$BH$364,MAX(1,45-(INT((Parametri_v3!$C$29)/30))-1)))*(MOD((Parametri_v3!$C$29),30)/30))*(1+Parametri_v3!$C$26)</f>
        <v>11009.4833333333</v>
      </c>
      <c r="AG349" s="15" t="n">
        <f aca="false">(AG348)+AE349-AF349</f>
        <v>11009.4833333333</v>
      </c>
      <c r="AH349" s="15" t="n">
        <f aca="false">(Motore_Operativo!CJ349)*(1+Parametri_v3!$C$27*Parametri_v3!$C$26)</f>
        <v>73141.3931162138</v>
      </c>
      <c r="AI349" s="15" t="n">
        <f aca="false">(IF(45-(INT((Ipotesi!$C$91)/30))&lt;1,0,INDEX(Motore_Startup!$AH$305:$AH$364,MAX(1,45-(INT((Ipotesi!$C$91)/30)))))*(1-(MOD((Ipotesi!$C$91),30)/30))+IF(45-(INT((Ipotesi!$C$91)/30))-1&lt;1,0,INDEX(Motore_Startup!$AH$305:$AH$364,MAX(1,45-(INT((Ipotesi!$C$91)/30))-1)))*(MOD((Ipotesi!$C$91),30)/30))</f>
        <v>72153.5501281365</v>
      </c>
      <c r="AJ349" s="15" t="n">
        <f aca="false">(AJ348)+AH349-AI349</f>
        <v>145791.033050431</v>
      </c>
      <c r="AK349" s="15" t="n">
        <f aca="false">(F349+ Motore_Operativo!BH349-(Motore_Operativo!CJ349)*Parametri_v3!$C$27-Motore_Operativo!CE349)*Parametri_v3!$C$26</f>
        <v>18779.1951154444</v>
      </c>
      <c r="AL349" s="15" t="n">
        <f aca="false">MAX(0,(AM348))</f>
        <v>18205.6507555055</v>
      </c>
      <c r="AM349" s="15" t="n">
        <f aca="false">(AM348)+AK349-AL349</f>
        <v>18779.1951154444</v>
      </c>
      <c r="AN349" s="15" t="n">
        <f aca="false">SUM(X329:X340)</f>
        <v>0</v>
      </c>
      <c r="AO349" s="15" t="n">
        <f aca="false">SUM(AP329:AP340)</f>
        <v>0</v>
      </c>
      <c r="AP349" s="15" t="n">
        <f aca="false">MAX(0,AN349)*IF(9=Parametri_v3!$C$43,Parametri_v3!$C$45,IF(9=Parametri_v3!$C$44,1-Parametri_v3!$C$45,0))</f>
        <v>0</v>
      </c>
      <c r="AQ349" s="15" t="n">
        <f aca="false">MAX(0,AP349+IF(9=Parametri_v3!$C$43,MAX(0,AN349-AO349),0)-MAX(0,-(AR348)))</f>
        <v>0</v>
      </c>
      <c r="AR349" s="15" t="n">
        <f aca="false">(AR348)+X349-AQ349</f>
        <v>0</v>
      </c>
      <c r="AS349" s="15" t="n">
        <f aca="false">Motore_Operativo!AB349-AT349+AU349</f>
        <v>91649.4297604167</v>
      </c>
      <c r="AT349" s="15" t="n">
        <f aca="false">Motore_Operativo!CH349</f>
        <v>4823.65419791667</v>
      </c>
      <c r="AU349" s="15" t="n">
        <f aca="false">MIN(MAX(0,(AV348)+AT349),Parametri_v3!$C$60/12)</f>
        <v>0</v>
      </c>
      <c r="AV349" s="15" t="n">
        <f aca="false">(AV348)+AT349-AU349</f>
        <v>122584.58778125</v>
      </c>
      <c r="AW349" s="15" t="n">
        <f aca="false">IF(AND(Motore_Operativo!C349=Finanziamenti!$D$6,Finanziamenti!$F$6=1),Finanziamenti!$C$6,0)</f>
        <v>0</v>
      </c>
      <c r="AX349" s="15" t="n">
        <f aca="false">IF(AND(6&lt;&gt;7,6&lt;&gt;9,Finanziamenti!$F$8=1,OR(Parametri_v3!$C$6=0,Finanziamenti!$E$8=1),Motore_Operativo!C349=EDATE(Finanziamenti!$D$8,Ipotesi!H15*12)),Finanziamenti!$C$8*1,0)+IF(AND(6&lt;&gt;7,6&lt;&gt;9,Finanziamenti!$F$9=1,OR(Parametri_v3!$C$6=0,Finanziamenti!$E$9=1),Motore_Operativo!C349=EDATE(Finanziamenti!$D$9,Ipotesi!H15*12)),Finanziamenti!$C$9*Ipotesi!H16,0)</f>
        <v>0</v>
      </c>
      <c r="AY349" s="15" t="n">
        <f aca="false">0</f>
        <v>0</v>
      </c>
      <c r="AZ349" s="15" t="n">
        <f aca="false">Motore_Advisory!AY349*(1-Ipotesi!$C$95)*Ipotesi!$C$96</f>
        <v>0</v>
      </c>
      <c r="BA349" s="15" t="n">
        <f aca="false">MAX(0,MIN(CG349*MIN(1,IF(Motore_Operativo!C349&gt;=EDATE(Finanziamenti!$D$15,Ipotesi!H14*12),Finanziamenti!$C$15,0)+IF(Motore_Operativo!C349&gt;=EDATE(Finanziamenti!$D$16,Ipotesi!H14*12),Finanziamenti!$C$16,0)+IF(Motore_Operativo!C349&gt;=EDATE(Finanziamenti!$D$17,Ipotesi!H14*12),Finanziamenti!$C$17,0)),CA349*Ipotesi!$C$102)-(CC348))</f>
        <v>0</v>
      </c>
      <c r="BB349" s="15" t="n">
        <f aca="false">IF(AND(CF349&gt;0,Motore_Operativo!C349&gt;=IF(CF349=0,0,EDATE(CF349,Parametri_v3!$C$37)),MOD(((D349-YEAR(IF(CF349=0,0,EDATE(CF349,Parametri_v3!$C$37))))*12+E349-MONTH(IF(CF349=0,0,EDATE(CF349,Parametri_v3!$C$37)))),Parametri_v3!$C$38)=0),MIN(MAX(0,(BC348)+BA349-N349),(CC349-CD349)/(Ipotesi!$C$108*12/Parametri_v3!$C$38)),0)</f>
        <v>0</v>
      </c>
      <c r="BC349" s="15" t="n">
        <f aca="false">(BC348)+BA349-N349-BB349</f>
        <v>0</v>
      </c>
      <c r="BD349" s="15" t="n">
        <f aca="false">(BH348)+AC349+AF349-AI349-AS349-K349*(1+Parametri_v3!$C$26)-AL349-AQ349-O349+AW349+AX349+AZ349+BA349-BB349</f>
        <v>-113574.799026013</v>
      </c>
      <c r="BE349" s="15" t="n">
        <f aca="false">MAX(0,MIN(MAX(0,CH349-(BG348)),Parametri_v3!$C$30-BD349))</f>
        <v>0</v>
      </c>
      <c r="BF349" s="15" t="n">
        <f aca="false">IF(Motore_Operativo!C349&gt;=Parametri_v3!$C$63,(BG348),MIN((BG348),MAX(0,BD349-Parametri_v3!$C$30)))</f>
        <v>0</v>
      </c>
      <c r="BG349" s="15" t="n">
        <f aca="false">(BG348)+BE349-BF349</f>
        <v>150000</v>
      </c>
      <c r="BH349" s="15" t="n">
        <f aca="false">BD349+BE349-BF349-AY349</f>
        <v>-113574.799026013</v>
      </c>
      <c r="BI349" s="15" t="n">
        <f aca="false">MAX(0,Parametri_v3!$C$30-BH349)</f>
        <v>138574.799026013</v>
      </c>
      <c r="BJ349" s="15" t="n">
        <f aca="false">(BJ348)+K349</f>
        <v>105000</v>
      </c>
      <c r="BK349" s="15" t="n">
        <f aca="false">(BK348)+L349</f>
        <v>56041.6666666667</v>
      </c>
      <c r="BL349" s="15" t="n">
        <f aca="false">BJ349-BK349</f>
        <v>48958.3333333333</v>
      </c>
      <c r="BM349" s="15" t="n">
        <f aca="false">(BM348)+Y349</f>
        <v>-1384046.34214122</v>
      </c>
      <c r="BN349" s="15" t="n">
        <f aca="false">(BN348)+AW349+AX349+AZ349</f>
        <v>1365707.01629444</v>
      </c>
      <c r="BO349" s="15" t="n">
        <f aca="false">(BO348)+AY349</f>
        <v>0</v>
      </c>
      <c r="BP349" s="15" t="n">
        <f aca="false">0</f>
        <v>0</v>
      </c>
      <c r="BQ349" s="15" t="n">
        <f aca="false">BN349+BM349-BO349</f>
        <v>-18339.3258467778</v>
      </c>
      <c r="BR349" s="15" t="n">
        <f aca="false">BH349+AD349+BL349+MAX(0,-AM349)+MAX(0,-AR349)+AG349</f>
        <v>418815.490100347</v>
      </c>
      <c r="BS349" s="15" t="n">
        <f aca="false">AJ349+AV349+MAX(0,AM349)+MAX(0,AR349)+BC349+BG349+BQ349</f>
        <v>418815.490100347</v>
      </c>
      <c r="BT349" s="15" t="n">
        <f aca="false">BR349-BS349</f>
        <v>0</v>
      </c>
      <c r="BU349" s="15" t="n">
        <f aca="false">BH349-(BD349+BE349-BF349-AY349)</f>
        <v>0</v>
      </c>
      <c r="BV349" s="15" t="n">
        <f aca="false">MIN(Piano_SS!$C$6,(BV348)+IF(AND(Motore_Operativo!C349&gt;=EDATE(Parametri_v3!$C$24,Ipotesi!H14*12),Motore_Operativo!C349&lt;EDATE(Parametri_v3!$C$24,Parametri_v3!$C$25+Ipotesi!H14*12)),MAX(0,(Motore_Operativo!Y349+Motore_Operativo!X349*Parametri_v3!$C$14)*(1-Parametri_v3!$C$32))*Piano_SS!$D$6,0))</f>
        <v>300000</v>
      </c>
      <c r="BW349" s="15" t="n">
        <f aca="false">MIN(Piano_SS!$C$7,(BW348)+IF(AND(Motore_Operativo!C349&gt;=EDATE(Parametri_v3!$C$24,Ipotesi!H14*12),Motore_Operativo!C349&lt;EDATE(Parametri_v3!$C$24,Parametri_v3!$C$25+Ipotesi!H14*12)),MAX(0,(IF(45-(INT((Ipotesi!$C$91)/30))&lt;1,0,INDEX(Motore_Operativo!$BN$305:$BN$364,MAX(1,45-(INT((Ipotesi!$C$91)/30)))))*(1-(MOD((Ipotesi!$C$91),30)/30))+IF(45-(INT((Ipotesi!$C$91)/30))-1&lt;1,0,INDEX(Motore_Operativo!$BN$305:$BN$364,MAX(1,45-(INT((Ipotesi!$C$91)/30))-1)))*(MOD((Ipotesi!$C$91),30)/30)))*Piano_SS!$D$7,0))</f>
        <v>41058.9230070837</v>
      </c>
      <c r="BX349" s="15" t="n">
        <f aca="false">MIN(Piano_SS!$C$8,(BX348)+IF(AND(Motore_Operativo!C349&gt;=EDATE(Parametri_v3!$C$24,Ipotesi!H14*12),Motore_Operativo!C349&lt;EDATE(Parametri_v3!$C$24,Parametri_v3!$C$25+Ipotesi!H14*12)),MAX(0,Motore_Operativo!CE349)*Piano_SS!$D$8,0))</f>
        <v>50000</v>
      </c>
      <c r="BY349" s="15" t="n">
        <f aca="false">MIN(Piano_SS!$C$9,(BY348)+IF(AND(Motore_Operativo!C349&gt;=EDATE(Parametri_v3!$C$24,Ipotesi!H14*12),Motore_Operativo!C349&lt;EDATE(Parametri_v3!$C$24,Parametri_v3!$C$25+Ipotesi!H14*12)),MAX(0,((IF(45-(INT((Ipotesi!$C$91)/30))&lt;1,0,INDEX(Motore_Operativo!$BQ$305:$BQ$364,MAX(1,45-(INT((Ipotesi!$C$91)/30)))))*(1-(MOD((Ipotesi!$C$91),30)/30))+IF(45-(INT((Ipotesi!$C$91)/30))-1&lt;1,0,INDEX(Motore_Operativo!$BQ$305:$BQ$364,MAX(1,45-(INT((Ipotesi!$C$91)/30))-1)))*(MOD((Ipotesi!$C$91),30)/30))+(IF(45-(INT((Ipotesi!$C$91)/30))&lt;1,0,INDEX(Motore_Operativo!$BR$305:$BR$364,MAX(1,45-(INT((Ipotesi!$C$91)/30)))))*(1-(MOD((Ipotesi!$C$91),30)/30))+IF(45-(INT((Ipotesi!$C$91)/30))-1&lt;1,0,INDEX(Motore_Operativo!$BR$305:$BR$364,MAX(1,45-(INT((Ipotesi!$C$91)/30))-1)))*(MOD((Ipotesi!$C$91),30)/30))))*Piano_SS!$D$9,0))</f>
        <v>40000</v>
      </c>
      <c r="BZ349" s="15" t="n">
        <f aca="false">MIN(Piano_SS!$C$10,(BZ348)+IF(AND(Motore_Operativo!C349&gt;=EDATE(Parametri_v3!$C$24,Ipotesi!H14*12),Motore_Operativo!C349&lt;EDATE(Parametri_v3!$C$24,Parametri_v3!$C$25+Ipotesi!H14*12)),MAX(0,(IF(45-(INT((Ipotesi!$C$91)/30))&lt;1,0,INDEX(Motore_Operativo!$BO$305:$BO$364,MAX(1,45-(INT((Ipotesi!$C$91)/30)))))*(1-(MOD((Ipotesi!$C$91),30)/30))+IF(45-(INT((Ipotesi!$C$91)/30))-1&lt;1,0,INDEX(Motore_Operativo!$BO$305:$BO$364,MAX(1,45-(INT((Ipotesi!$C$91)/30))-1)))*(MOD((Ipotesi!$C$91),30)/30)))*Piano_SS!$D$10,0))</f>
        <v>30000</v>
      </c>
      <c r="CA349" s="15" t="n">
        <f aca="false">SUM(BV349:BZ349)</f>
        <v>461058.923007084</v>
      </c>
      <c r="CB349" s="15" t="n">
        <f aca="false">BV349*(1-Piano_SS!$E$6)+BW349*(1-Piano_SS!$E$7)+BX349*(1-Piano_SS!$E$8)+BY349*(1-Piano_SS!$E$9)+BZ349*(1-Piano_SS!$E$10)</f>
        <v>431058.923007084</v>
      </c>
      <c r="CC349" s="15" t="n">
        <f aca="false">(CC348)+BA349</f>
        <v>0</v>
      </c>
      <c r="CD349" s="15" t="n">
        <f aca="false">IF(CA349=0,0,CC349*CB349/CA349*Ipotesi!$C$103*Parametri_v3!$C$64)</f>
        <v>0</v>
      </c>
      <c r="CE349" s="18" t="n">
        <f aca="false">IF(BA349&gt;0,Motore_Operativo!C349,(CE348))</f>
        <v>0</v>
      </c>
      <c r="CF349" s="18" t="n">
        <f aca="false">IF(AND(CC349&gt;0,OR(CC349&gt;=CG349-0.01,Motore_Operativo!C349&gt;=EDATE(MAX(Finanziamenti!$D$15:$D$17),Ipotesi!H14*12))),CE349,0)</f>
        <v>0</v>
      </c>
      <c r="CG349" s="15" t="n">
        <f aca="false">IF(AND(6&lt;&gt;6,6&lt;&gt;9,Finanziamenti!$F$11=1,OR(Parametri_v3!$C$6=0,Finanziamenti!$E$11=1)),MIN(Finanziamenti!$C$11,Piano_SS!$C$12*Ipotesi!$C$102),0)</f>
        <v>0</v>
      </c>
      <c r="CH349" s="15" t="n">
        <f aca="false">IF(AND(AND(6&lt;&gt;8,6&lt;&gt;9,Finanziamenti!$F$10=1,OR(Parametri_v3!$C$6=0,Finanziamenti!$E$10=1)),Motore_Operativo!C349&gt;=Finanziamenti!$D$10,Motore_Operativo!C349&lt;Parametri_v3!$C$63),Finanziamenti!$C$10,0)</f>
        <v>150000</v>
      </c>
    </row>
    <row r="350" customFormat="false" ht="18" hidden="false" customHeight="true" outlineLevel="0" collapsed="false">
      <c r="A350" s="68" t="n">
        <f aca="false">6</f>
        <v>6</v>
      </c>
      <c r="B350" s="68" t="n">
        <f aca="false">46</f>
        <v>46</v>
      </c>
      <c r="C350" s="18" t="n">
        <f aca="false">Motore_Operativo!C350</f>
        <v>47757</v>
      </c>
      <c r="D350" s="68" t="n">
        <f aca="false">Motore_Operativo!D350</f>
        <v>2030</v>
      </c>
      <c r="E350" s="68" t="n">
        <f aca="false">Motore_Operativo!E350</f>
        <v>10</v>
      </c>
      <c r="F350" s="15" t="n">
        <f aca="false">Motore_Operativo!AQ350+Motore_Operativo!BF350</f>
        <v>134978.328769254</v>
      </c>
      <c r="G350" s="15" t="n">
        <f aca="false">Motore_Operativo!BH350</f>
        <v>9024.16666666667</v>
      </c>
      <c r="H350" s="15" t="n">
        <f aca="false">Motore_Operativo!BI350</f>
        <v>144002.495435921</v>
      </c>
      <c r="I350" s="15" t="n">
        <f aca="false">Motore_Operativo!CA350</f>
        <v>158502.441652696</v>
      </c>
      <c r="J350" s="15" t="n">
        <f aca="false">Motore_Operativo!CC350</f>
        <v>-14499.9462167748</v>
      </c>
      <c r="K350" s="15" t="n">
        <f aca="false">Motore_Operativo!CE350</f>
        <v>3333.33333333333</v>
      </c>
      <c r="L350" s="15" t="n">
        <f aca="false">SUM(INDEX($K$305:$K$364,MAX(1,46-Parametri_v3!$C$59+1)):K350)/Parametri_v3!$C$59</f>
        <v>2546.2962962963</v>
      </c>
      <c r="M350" s="15" t="n">
        <f aca="false">J350-L350</f>
        <v>-17046.2425130711</v>
      </c>
      <c r="N350" s="15" t="n">
        <f aca="false">CD350-(CD349)</f>
        <v>0</v>
      </c>
      <c r="O350" s="15" t="n">
        <f aca="false">(BG349)*Ipotesi!$C$110/12+CH350*Parametri_v3!$C$39/12</f>
        <v>750</v>
      </c>
      <c r="P350" s="15" t="n">
        <f aca="false">M350+N350-O350</f>
        <v>-17796.2425130711</v>
      </c>
      <c r="Q350" s="15" t="n">
        <f aca="false">SUM(P341:P350)+Parametri_v3!$C$54*10/12</f>
        <v>-286513.783607987</v>
      </c>
      <c r="R350" s="15" t="n">
        <f aca="false">Z340</f>
        <v>1115328.80104631</v>
      </c>
      <c r="S350" s="15" t="n">
        <f aca="false">AA340</f>
        <v>0</v>
      </c>
      <c r="T350" s="15" t="n">
        <f aca="false">MIN(R350,MAX(0,Q350))</f>
        <v>0</v>
      </c>
      <c r="U350" s="15" t="n">
        <f aca="false">MIN(S350,MAX(0,Q350-T350)*Parametri_v3!$C$42)</f>
        <v>0</v>
      </c>
      <c r="V350" s="15" t="n">
        <f aca="false">MAX(0,Q350-T350-U350)*Ipotesi!$C$92</f>
        <v>0</v>
      </c>
      <c r="W350" s="15" t="n">
        <f aca="false">MAX(0,SUM(M341:M350)+Parametri_v3!$C$55*10/12)*Ipotesi!$C$93</f>
        <v>0</v>
      </c>
      <c r="X350" s="15" t="n">
        <f aca="false">V350+W350-(V349+W349)</f>
        <v>0</v>
      </c>
      <c r="Y350" s="15" t="n">
        <f aca="false">P350-X350</f>
        <v>-17796.2425130711</v>
      </c>
      <c r="Z350" s="15" t="n">
        <f aca="false">R350-T350+IF(AND(Parametri_v3!$C$40=1,D350-YEAR(Parametri_v3!$C$50)&lt;Parametri_v3!$C$41),MAX(0,-Q350),0)</f>
        <v>1115328.80104631</v>
      </c>
      <c r="AA350" s="15" t="n">
        <f aca="false">S350-U350+IF(AND(Parametri_v3!$C$40=1,D350-YEAR(Parametri_v3!$C$50)&lt;Parametri_v3!$C$41),0,MAX(0,-Q350))</f>
        <v>286513.783607987</v>
      </c>
      <c r="AB350" s="15" t="n">
        <f aca="false">F350*(1+Parametri_v3!$C$26)</f>
        <v>164673.56109849</v>
      </c>
      <c r="AC350" s="15" t="n">
        <f aca="false">(IF(46-(INT((Motore_Operativo!L350)/30))&lt;1,0,INDEX(Motore_Startup!$AB$305:$AB$364,MAX(1,46-(INT((Motore_Operativo!L350)/30)))))*(1-(MOD((Motore_Operativo!L350),30)/30))+IF(46-(INT((Motore_Operativo!L350)/30))-1&lt;1,0,INDEX(Motore_Startup!$AB$305:$AB$364,MAX(1,46-(INT((Motore_Operativo!L350)/30))-1)))*(MOD((Motore_Operativo!L350),30)/30))</f>
        <v>153842.757781682</v>
      </c>
      <c r="AD350" s="15" t="n">
        <f aca="false">(AD349)+AB350-AC350</f>
        <v>483253.275776502</v>
      </c>
      <c r="AE350" s="15" t="n">
        <f aca="false">Motore_Operativo!BH350*(1+Parametri_v3!$C$26)</f>
        <v>11009.4833333333</v>
      </c>
      <c r="AF350" s="15" t="n">
        <f aca="false">(IF(46-(INT((Parametri_v3!$C$29)/30))&lt;1,0,INDEX(Motore_Operativo!$BH$305:$BH$364,MAX(1,46-(INT((Parametri_v3!$C$29)/30)))))*(1-(MOD((Parametri_v3!$C$29),30)/30))+IF(46-(INT((Parametri_v3!$C$29)/30))-1&lt;1,0,INDEX(Motore_Operativo!$BH$305:$BH$364,MAX(1,46-(INT((Parametri_v3!$C$29)/30))-1)))*(MOD((Parametri_v3!$C$29),30)/30))*(1+Parametri_v3!$C$26)</f>
        <v>11009.4833333333</v>
      </c>
      <c r="AG350" s="15" t="n">
        <f aca="false">(AG349)+AE350-AF350</f>
        <v>11009.4833333333</v>
      </c>
      <c r="AH350" s="15" t="n">
        <f aca="false">(Motore_Operativo!CJ350)*(1+Parametri_v3!$C$27*Parametri_v3!$C$26)</f>
        <v>73628.847583208</v>
      </c>
      <c r="AI350" s="15" t="n">
        <f aca="false">(IF(46-(INT((Ipotesi!$C$91)/30))&lt;1,0,INDEX(Motore_Startup!$AH$305:$AH$364,MAX(1,46-(INT((Ipotesi!$C$91)/30)))))*(1-(MOD((Ipotesi!$C$91),30)/30))+IF(46-(INT((Ipotesi!$C$91)/30))-1&lt;1,0,INDEX(Motore_Startup!$AH$305:$AH$364,MAX(1,46-(INT((Ipotesi!$C$91)/30))-1)))*(MOD((Ipotesi!$C$91),30)/30))</f>
        <v>72649.6399342168</v>
      </c>
      <c r="AJ350" s="15" t="n">
        <f aca="false">(AJ349)+AH350-AI350</f>
        <v>146770.240699422</v>
      </c>
      <c r="AK350" s="15" t="n">
        <f aca="false">(F350+ Motore_Operativo!BH350-(Motore_Operativo!CJ350)*Parametri_v3!$C$27-Motore_Operativo!CE350)*Parametri_v3!$C$26</f>
        <v>19347.7257737235</v>
      </c>
      <c r="AL350" s="15" t="n">
        <f aca="false">MAX(0,(AM349))</f>
        <v>18779.1951154444</v>
      </c>
      <c r="AM350" s="15" t="n">
        <f aca="false">(AM349)+AK350-AL350</f>
        <v>19347.7257737235</v>
      </c>
      <c r="AN350" s="15" t="n">
        <f aca="false">SUM(X329:X340)</f>
        <v>0</v>
      </c>
      <c r="AO350" s="15" t="n">
        <f aca="false">SUM(AP329:AP340)</f>
        <v>0</v>
      </c>
      <c r="AP350" s="15" t="n">
        <f aca="false">MAX(0,AN350)*IF(10=Parametri_v3!$C$43,Parametri_v3!$C$45,IF(10=Parametri_v3!$C$44,1-Parametri_v3!$C$45,0))</f>
        <v>0</v>
      </c>
      <c r="AQ350" s="15" t="n">
        <f aca="false">MAX(0,AP350+IF(10=Parametri_v3!$C$43,MAX(0,AN350-AO350),0)-MAX(0,-(AR349)))</f>
        <v>0</v>
      </c>
      <c r="AR350" s="15" t="n">
        <f aca="false">(AR349)+X350-AQ350</f>
        <v>0</v>
      </c>
      <c r="AS350" s="15" t="n">
        <f aca="false">Motore_Operativo!AB350-AT350+AU350</f>
        <v>91649.4297604167</v>
      </c>
      <c r="AT350" s="15" t="n">
        <f aca="false">Motore_Operativo!CH350</f>
        <v>4823.65419791667</v>
      </c>
      <c r="AU350" s="15" t="n">
        <f aca="false">MIN(MAX(0,(AV349)+AT350),Parametri_v3!$C$60/12)</f>
        <v>0</v>
      </c>
      <c r="AV350" s="15" t="n">
        <f aca="false">(AV349)+AT350-AU350</f>
        <v>127408.241979167</v>
      </c>
      <c r="AW350" s="15" t="n">
        <f aca="false">IF(AND(Motore_Operativo!C350=Finanziamenti!$D$6,Finanziamenti!$F$6=1),Finanziamenti!$C$6,0)</f>
        <v>0</v>
      </c>
      <c r="AX350" s="15" t="n">
        <f aca="false">IF(AND(6&lt;&gt;7,6&lt;&gt;9,Finanziamenti!$F$8=1,OR(Parametri_v3!$C$6=0,Finanziamenti!$E$8=1),Motore_Operativo!C350=EDATE(Finanziamenti!$D$8,Ipotesi!H15*12)),Finanziamenti!$C$8*1,0)+IF(AND(6&lt;&gt;7,6&lt;&gt;9,Finanziamenti!$F$9=1,OR(Parametri_v3!$C$6=0,Finanziamenti!$E$9=1),Motore_Operativo!C350=EDATE(Finanziamenti!$D$9,Ipotesi!H15*12)),Finanziamenti!$C$9*Ipotesi!H16,0)</f>
        <v>0</v>
      </c>
      <c r="AY350" s="15" t="n">
        <f aca="false">0</f>
        <v>0</v>
      </c>
      <c r="AZ350" s="15" t="n">
        <f aca="false">Motore_Advisory!AY350*(1-Ipotesi!$C$95)*Ipotesi!$C$96</f>
        <v>0</v>
      </c>
      <c r="BA350" s="15" t="n">
        <f aca="false">MAX(0,MIN(CG350*MIN(1,IF(Motore_Operativo!C350&gt;=EDATE(Finanziamenti!$D$15,Ipotesi!H14*12),Finanziamenti!$C$15,0)+IF(Motore_Operativo!C350&gt;=EDATE(Finanziamenti!$D$16,Ipotesi!H14*12),Finanziamenti!$C$16,0)+IF(Motore_Operativo!C350&gt;=EDATE(Finanziamenti!$D$17,Ipotesi!H14*12),Finanziamenti!$C$17,0)),CA350*Ipotesi!$C$102)-(CC349))</f>
        <v>0</v>
      </c>
      <c r="BB350" s="15" t="n">
        <f aca="false">IF(AND(CF350&gt;0,Motore_Operativo!C350&gt;=IF(CF350=0,0,EDATE(CF350,Parametri_v3!$C$37)),MOD(((D350-YEAR(IF(CF350=0,0,EDATE(CF350,Parametri_v3!$C$37))))*12+E350-MONTH(IF(CF350=0,0,EDATE(CF350,Parametri_v3!$C$37)))),Parametri_v3!$C$38)=0),MIN(MAX(0,(BC349)+BA350-N350),(CC350-CD350)/(Ipotesi!$C$108*12/Parametri_v3!$C$38)),0)</f>
        <v>0</v>
      </c>
      <c r="BC350" s="15" t="n">
        <f aca="false">(BC349)+BA350-N350-BB350</f>
        <v>0</v>
      </c>
      <c r="BD350" s="15" t="n">
        <f aca="false">(BH349)+AC350+AF350-AI350-AS350-K350*(1+Parametri_v3!$C$26)-AL350-AQ350-O350+AW350+AX350+AZ350+BA350-BB350</f>
        <v>-136617.489387742</v>
      </c>
      <c r="BE350" s="15" t="n">
        <f aca="false">MAX(0,MIN(MAX(0,CH350-(BG349)),Parametri_v3!$C$30-BD350))</f>
        <v>0</v>
      </c>
      <c r="BF350" s="15" t="n">
        <f aca="false">IF(Motore_Operativo!C350&gt;=Parametri_v3!$C$63,(BG349),MIN((BG349),MAX(0,BD350-Parametri_v3!$C$30)))</f>
        <v>0</v>
      </c>
      <c r="BG350" s="15" t="n">
        <f aca="false">(BG349)+BE350-BF350</f>
        <v>150000</v>
      </c>
      <c r="BH350" s="15" t="n">
        <f aca="false">BD350+BE350-BF350-AY350</f>
        <v>-136617.489387742</v>
      </c>
      <c r="BI350" s="15" t="n">
        <f aca="false">MAX(0,Parametri_v3!$C$30-BH350)</f>
        <v>161617.489387742</v>
      </c>
      <c r="BJ350" s="15" t="n">
        <f aca="false">(BJ349)+K350</f>
        <v>108333.333333333</v>
      </c>
      <c r="BK350" s="15" t="n">
        <f aca="false">(BK349)+L350</f>
        <v>58587.962962963</v>
      </c>
      <c r="BL350" s="15" t="n">
        <f aca="false">BJ350-BK350</f>
        <v>49745.3703703703</v>
      </c>
      <c r="BM350" s="15" t="n">
        <f aca="false">(BM349)+Y350</f>
        <v>-1401842.58465429</v>
      </c>
      <c r="BN350" s="15" t="n">
        <f aca="false">(BN349)+AW350+AX350+AZ350</f>
        <v>1365707.01629444</v>
      </c>
      <c r="BO350" s="15" t="n">
        <f aca="false">(BO349)+AY350</f>
        <v>0</v>
      </c>
      <c r="BP350" s="15" t="n">
        <f aca="false">0</f>
        <v>0</v>
      </c>
      <c r="BQ350" s="15" t="n">
        <f aca="false">BN350+BM350-BO350</f>
        <v>-36135.5683598488</v>
      </c>
      <c r="BR350" s="15" t="n">
        <f aca="false">BH350+AD350+BL350+MAX(0,-AM350)+MAX(0,-AR350)+AG350</f>
        <v>407390.640092463</v>
      </c>
      <c r="BS350" s="15" t="n">
        <f aca="false">AJ350+AV350+MAX(0,AM350)+MAX(0,AR350)+BC350+BG350+BQ350</f>
        <v>407390.640092463</v>
      </c>
      <c r="BT350" s="15" t="n">
        <f aca="false">BR350-BS350</f>
        <v>0</v>
      </c>
      <c r="BU350" s="15" t="n">
        <f aca="false">BH350-(BD350+BE350-BF350-AY350)</f>
        <v>0</v>
      </c>
      <c r="BV350" s="15" t="n">
        <f aca="false">MIN(Piano_SS!$C$6,(BV349)+IF(AND(Motore_Operativo!C350&gt;=EDATE(Parametri_v3!$C$24,Ipotesi!H14*12),Motore_Operativo!C350&lt;EDATE(Parametri_v3!$C$24,Parametri_v3!$C$25+Ipotesi!H14*12)),MAX(0,(Motore_Operativo!Y350+Motore_Operativo!X350*Parametri_v3!$C$14)*(1-Parametri_v3!$C$32))*Piano_SS!$D$6,0))</f>
        <v>300000</v>
      </c>
      <c r="BW350" s="15" t="n">
        <f aca="false">MIN(Piano_SS!$C$7,(BW349)+IF(AND(Motore_Operativo!C350&gt;=EDATE(Parametri_v3!$C$24,Ipotesi!H14*12),Motore_Operativo!C350&lt;EDATE(Parametri_v3!$C$24,Parametri_v3!$C$25+Ipotesi!H14*12)),MAX(0,(IF(46-(INT((Ipotesi!$C$91)/30))&lt;1,0,INDEX(Motore_Operativo!$BN$305:$BN$364,MAX(1,46-(INT((Ipotesi!$C$91)/30)))))*(1-(MOD((Ipotesi!$C$91),30)/30))+IF(46-(INT((Ipotesi!$C$91)/30))-1&lt;1,0,INDEX(Motore_Operativo!$BN$305:$BN$364,MAX(1,46-(INT((Ipotesi!$C$91)/30))-1)))*(MOD((Ipotesi!$C$91),30)/30)))*Piano_SS!$D$7,0))</f>
        <v>41058.9230070837</v>
      </c>
      <c r="BX350" s="15" t="n">
        <f aca="false">MIN(Piano_SS!$C$8,(BX349)+IF(AND(Motore_Operativo!C350&gt;=EDATE(Parametri_v3!$C$24,Ipotesi!H14*12),Motore_Operativo!C350&lt;EDATE(Parametri_v3!$C$24,Parametri_v3!$C$25+Ipotesi!H14*12)),MAX(0,Motore_Operativo!CE350)*Piano_SS!$D$8,0))</f>
        <v>50000</v>
      </c>
      <c r="BY350" s="15" t="n">
        <f aca="false">MIN(Piano_SS!$C$9,(BY349)+IF(AND(Motore_Operativo!C350&gt;=EDATE(Parametri_v3!$C$24,Ipotesi!H14*12),Motore_Operativo!C350&lt;EDATE(Parametri_v3!$C$24,Parametri_v3!$C$25+Ipotesi!H14*12)),MAX(0,((IF(46-(INT((Ipotesi!$C$91)/30))&lt;1,0,INDEX(Motore_Operativo!$BQ$305:$BQ$364,MAX(1,46-(INT((Ipotesi!$C$91)/30)))))*(1-(MOD((Ipotesi!$C$91),30)/30))+IF(46-(INT((Ipotesi!$C$91)/30))-1&lt;1,0,INDEX(Motore_Operativo!$BQ$305:$BQ$364,MAX(1,46-(INT((Ipotesi!$C$91)/30))-1)))*(MOD((Ipotesi!$C$91),30)/30))+(IF(46-(INT((Ipotesi!$C$91)/30))&lt;1,0,INDEX(Motore_Operativo!$BR$305:$BR$364,MAX(1,46-(INT((Ipotesi!$C$91)/30)))))*(1-(MOD((Ipotesi!$C$91),30)/30))+IF(46-(INT((Ipotesi!$C$91)/30))-1&lt;1,0,INDEX(Motore_Operativo!$BR$305:$BR$364,MAX(1,46-(INT((Ipotesi!$C$91)/30))-1)))*(MOD((Ipotesi!$C$91),30)/30))))*Piano_SS!$D$9,0))</f>
        <v>40000</v>
      </c>
      <c r="BZ350" s="15" t="n">
        <f aca="false">MIN(Piano_SS!$C$10,(BZ349)+IF(AND(Motore_Operativo!C350&gt;=EDATE(Parametri_v3!$C$24,Ipotesi!H14*12),Motore_Operativo!C350&lt;EDATE(Parametri_v3!$C$24,Parametri_v3!$C$25+Ipotesi!H14*12)),MAX(0,(IF(46-(INT((Ipotesi!$C$91)/30))&lt;1,0,INDEX(Motore_Operativo!$BO$305:$BO$364,MAX(1,46-(INT((Ipotesi!$C$91)/30)))))*(1-(MOD((Ipotesi!$C$91),30)/30))+IF(46-(INT((Ipotesi!$C$91)/30))-1&lt;1,0,INDEX(Motore_Operativo!$BO$305:$BO$364,MAX(1,46-(INT((Ipotesi!$C$91)/30))-1)))*(MOD((Ipotesi!$C$91),30)/30)))*Piano_SS!$D$10,0))</f>
        <v>30000</v>
      </c>
      <c r="CA350" s="15" t="n">
        <f aca="false">SUM(BV350:BZ350)</f>
        <v>461058.923007084</v>
      </c>
      <c r="CB350" s="15" t="n">
        <f aca="false">BV350*(1-Piano_SS!$E$6)+BW350*(1-Piano_SS!$E$7)+BX350*(1-Piano_SS!$E$8)+BY350*(1-Piano_SS!$E$9)+BZ350*(1-Piano_SS!$E$10)</f>
        <v>431058.923007084</v>
      </c>
      <c r="CC350" s="15" t="n">
        <f aca="false">(CC349)+BA350</f>
        <v>0</v>
      </c>
      <c r="CD350" s="15" t="n">
        <f aca="false">IF(CA350=0,0,CC350*CB350/CA350*Ipotesi!$C$103*Parametri_v3!$C$64)</f>
        <v>0</v>
      </c>
      <c r="CE350" s="18" t="n">
        <f aca="false">IF(BA350&gt;0,Motore_Operativo!C350,(CE349))</f>
        <v>0</v>
      </c>
      <c r="CF350" s="18" t="n">
        <f aca="false">IF(AND(CC350&gt;0,OR(CC350&gt;=CG350-0.01,Motore_Operativo!C350&gt;=EDATE(MAX(Finanziamenti!$D$15:$D$17),Ipotesi!H14*12))),CE350,0)</f>
        <v>0</v>
      </c>
      <c r="CG350" s="15" t="n">
        <f aca="false">IF(AND(6&lt;&gt;6,6&lt;&gt;9,Finanziamenti!$F$11=1,OR(Parametri_v3!$C$6=0,Finanziamenti!$E$11=1)),MIN(Finanziamenti!$C$11,Piano_SS!$C$12*Ipotesi!$C$102),0)</f>
        <v>0</v>
      </c>
      <c r="CH350" s="15" t="n">
        <f aca="false">IF(AND(AND(6&lt;&gt;8,6&lt;&gt;9,Finanziamenti!$F$10=1,OR(Parametri_v3!$C$6=0,Finanziamenti!$E$10=1)),Motore_Operativo!C350&gt;=Finanziamenti!$D$10,Motore_Operativo!C350&lt;Parametri_v3!$C$63),Finanziamenti!$C$10,0)</f>
        <v>150000</v>
      </c>
    </row>
    <row r="351" customFormat="false" ht="18" hidden="false" customHeight="true" outlineLevel="0" collapsed="false">
      <c r="A351" s="68" t="n">
        <f aca="false">6</f>
        <v>6</v>
      </c>
      <c r="B351" s="68" t="n">
        <f aca="false">47</f>
        <v>47</v>
      </c>
      <c r="C351" s="18" t="n">
        <f aca="false">Motore_Operativo!C351</f>
        <v>47788</v>
      </c>
      <c r="D351" s="68" t="n">
        <f aca="false">Motore_Operativo!D351</f>
        <v>2030</v>
      </c>
      <c r="E351" s="68" t="n">
        <f aca="false">Motore_Operativo!E351</f>
        <v>11</v>
      </c>
      <c r="F351" s="15" t="n">
        <f aca="false">Motore_Operativo!AQ351+Motore_Operativo!BF351</f>
        <v>137885.979086294</v>
      </c>
      <c r="G351" s="15" t="n">
        <f aca="false">Motore_Operativo!BH351</f>
        <v>9024.16666666667</v>
      </c>
      <c r="H351" s="15" t="n">
        <f aca="false">Motore_Operativo!BI351</f>
        <v>146910.14575296</v>
      </c>
      <c r="I351" s="15" t="n">
        <f aca="false">Motore_Operativo!CA351</f>
        <v>158909.512697081</v>
      </c>
      <c r="J351" s="15" t="n">
        <f aca="false">Motore_Operativo!CC351</f>
        <v>-11999.3669441208</v>
      </c>
      <c r="K351" s="15" t="n">
        <f aca="false">Motore_Operativo!CE351</f>
        <v>3333.33333333333</v>
      </c>
      <c r="L351" s="15" t="n">
        <f aca="false">SUM(INDEX($K$305:$K$364,MAX(1,47-Parametri_v3!$C$59+1)):K351)/Parametri_v3!$C$59</f>
        <v>2592.59259259259</v>
      </c>
      <c r="M351" s="15" t="n">
        <f aca="false">J351-L351</f>
        <v>-14591.9595367134</v>
      </c>
      <c r="N351" s="15" t="n">
        <f aca="false">CD351-(CD350)</f>
        <v>0</v>
      </c>
      <c r="O351" s="15" t="n">
        <f aca="false">(BG350)*Ipotesi!$C$110/12+CH351*Parametri_v3!$C$39/12</f>
        <v>750</v>
      </c>
      <c r="P351" s="15" t="n">
        <f aca="false">M351+N351-O351</f>
        <v>-15341.9595367134</v>
      </c>
      <c r="Q351" s="15" t="n">
        <f aca="false">SUM(P341:P351)+Parametri_v3!$C$54*11/12</f>
        <v>-301855.7431447</v>
      </c>
      <c r="R351" s="15" t="n">
        <f aca="false">Z340</f>
        <v>1115328.80104631</v>
      </c>
      <c r="S351" s="15" t="n">
        <f aca="false">AA340</f>
        <v>0</v>
      </c>
      <c r="T351" s="15" t="n">
        <f aca="false">MIN(R351,MAX(0,Q351))</f>
        <v>0</v>
      </c>
      <c r="U351" s="15" t="n">
        <f aca="false">MIN(S351,MAX(0,Q351-T351)*Parametri_v3!$C$42)</f>
        <v>0</v>
      </c>
      <c r="V351" s="15" t="n">
        <f aca="false">MAX(0,Q351-T351-U351)*Ipotesi!$C$92</f>
        <v>0</v>
      </c>
      <c r="W351" s="15" t="n">
        <f aca="false">MAX(0,SUM(M341:M351)+Parametri_v3!$C$55*11/12)*Ipotesi!$C$93</f>
        <v>0</v>
      </c>
      <c r="X351" s="15" t="n">
        <f aca="false">V351+W351-(V350+W350)</f>
        <v>0</v>
      </c>
      <c r="Y351" s="15" t="n">
        <f aca="false">P351-X351</f>
        <v>-15341.9595367134</v>
      </c>
      <c r="Z351" s="15" t="n">
        <f aca="false">R351-T351+IF(AND(Parametri_v3!$C$40=1,D351-YEAR(Parametri_v3!$C$50)&lt;Parametri_v3!$C$41),MAX(0,-Q351),0)</f>
        <v>1115328.80104631</v>
      </c>
      <c r="AA351" s="15" t="n">
        <f aca="false">S351-U351+IF(AND(Parametri_v3!$C$40=1,D351-YEAR(Parametri_v3!$C$50)&lt;Parametri_v3!$C$41),0,MAX(0,-Q351))</f>
        <v>301855.7431447</v>
      </c>
      <c r="AB351" s="15" t="n">
        <f aca="false">F351*(1+Parametri_v3!$C$26)</f>
        <v>168220.894485278</v>
      </c>
      <c r="AC351" s="15" t="n">
        <f aca="false">(IF(47-(INT((Motore_Operativo!L351)/30))&lt;1,0,INDEX(Motore_Startup!$AB$305:$AB$364,MAX(1,47-(INT((Motore_Operativo!L351)/30)))))*(1-(MOD((Motore_Operativo!L351),30)/30))+IF(47-(INT((Motore_Operativo!L351)/30))-1&lt;1,0,INDEX(Motore_Startup!$AB$305:$AB$364,MAX(1,47-(INT((Motore_Operativo!L351)/30))-1)))*(MOD((Motore_Operativo!L351),30)/30))</f>
        <v>157484.769837392</v>
      </c>
      <c r="AD351" s="15" t="n">
        <f aca="false">(AD350)+AB351-AC351</f>
        <v>493989.400424388</v>
      </c>
      <c r="AE351" s="15" t="n">
        <f aca="false">Motore_Operativo!BH351*(1+Parametri_v3!$C$26)</f>
        <v>11009.4833333333</v>
      </c>
      <c r="AF351" s="15" t="n">
        <f aca="false">(IF(47-(INT((Parametri_v3!$C$29)/30))&lt;1,0,INDEX(Motore_Operativo!$BH$305:$BH$364,MAX(1,47-(INT((Parametri_v3!$C$29)/30)))))*(1-(MOD((Parametri_v3!$C$29),30)/30))+IF(47-(INT((Parametri_v3!$C$29)/30))-1&lt;1,0,INDEX(Motore_Operativo!$BH$305:$BH$364,MAX(1,47-(INT((Parametri_v3!$C$29)/30))-1)))*(MOD((Parametri_v3!$C$29),30)/30))*(1+Parametri_v3!$C$26)</f>
        <v>11009.4833333333</v>
      </c>
      <c r="AG351" s="15" t="n">
        <f aca="false">(AG350)+AE351-AF351</f>
        <v>11009.4833333333</v>
      </c>
      <c r="AH351" s="15" t="n">
        <f aca="false">(Motore_Operativo!CJ351)*(1+Parametri_v3!$C$27*Parametri_v3!$C$26)</f>
        <v>74112.0409128937</v>
      </c>
      <c r="AI351" s="15" t="n">
        <f aca="false">(IF(47-(INT((Ipotesi!$C$91)/30))&lt;1,0,INDEX(Motore_Startup!$AH$305:$AH$364,MAX(1,47-(INT((Ipotesi!$C$91)/30)))))*(1-(MOD((Ipotesi!$C$91),30)/30))+IF(47-(INT((Ipotesi!$C$91)/30))-1&lt;1,0,INDEX(Motore_Startup!$AH$305:$AH$364,MAX(1,47-(INT((Ipotesi!$C$91)/30))-1)))*(MOD((Ipotesi!$C$91),30)/30))</f>
        <v>73141.3931162138</v>
      </c>
      <c r="AJ351" s="15" t="n">
        <f aca="false">(AJ350)+AH351-AI351</f>
        <v>147740.888496102</v>
      </c>
      <c r="AK351" s="15" t="n">
        <f aca="false">(F351+ Motore_Operativo!BH351-(Motore_Operativo!CJ351)*Parametri_v3!$C$27-Motore_Operativo!CE351)*Parametri_v3!$C$26</f>
        <v>19911.2865581721</v>
      </c>
      <c r="AL351" s="15" t="n">
        <f aca="false">MAX(0,(AM350))</f>
        <v>19347.7257737235</v>
      </c>
      <c r="AM351" s="15" t="n">
        <f aca="false">(AM350)+AK351-AL351</f>
        <v>19911.2865581721</v>
      </c>
      <c r="AN351" s="15" t="n">
        <f aca="false">SUM(X329:X340)</f>
        <v>0</v>
      </c>
      <c r="AO351" s="15" t="n">
        <f aca="false">SUM(AP329:AP340)</f>
        <v>0</v>
      </c>
      <c r="AP351" s="15" t="n">
        <f aca="false">MAX(0,AN351)*IF(11=Parametri_v3!$C$43,Parametri_v3!$C$45,IF(11=Parametri_v3!$C$44,1-Parametri_v3!$C$45,0))</f>
        <v>0</v>
      </c>
      <c r="AQ351" s="15" t="n">
        <f aca="false">MAX(0,AP351+IF(11=Parametri_v3!$C$43,MAX(0,AN351-AO351),0)-MAX(0,-(AR350)))</f>
        <v>0</v>
      </c>
      <c r="AR351" s="15" t="n">
        <f aca="false">(AR350)+X351-AQ351</f>
        <v>0</v>
      </c>
      <c r="AS351" s="15" t="n">
        <f aca="false">Motore_Operativo!AB351-AT351+AU351</f>
        <v>91649.4297604167</v>
      </c>
      <c r="AT351" s="15" t="n">
        <f aca="false">Motore_Operativo!CH351</f>
        <v>4823.65419791667</v>
      </c>
      <c r="AU351" s="15" t="n">
        <f aca="false">MIN(MAX(0,(AV350)+AT351),Parametri_v3!$C$60/12)</f>
        <v>0</v>
      </c>
      <c r="AV351" s="15" t="n">
        <f aca="false">(AV350)+AT351-AU351</f>
        <v>132231.896177083</v>
      </c>
      <c r="AW351" s="15" t="n">
        <f aca="false">IF(AND(Motore_Operativo!C351=Finanziamenti!$D$6,Finanziamenti!$F$6=1),Finanziamenti!$C$6,0)</f>
        <v>0</v>
      </c>
      <c r="AX351" s="15" t="n">
        <f aca="false">IF(AND(6&lt;&gt;7,6&lt;&gt;9,Finanziamenti!$F$8=1,OR(Parametri_v3!$C$6=0,Finanziamenti!$E$8=1),Motore_Operativo!C351=EDATE(Finanziamenti!$D$8,Ipotesi!H15*12)),Finanziamenti!$C$8*1,0)+IF(AND(6&lt;&gt;7,6&lt;&gt;9,Finanziamenti!$F$9=1,OR(Parametri_v3!$C$6=0,Finanziamenti!$E$9=1),Motore_Operativo!C351=EDATE(Finanziamenti!$D$9,Ipotesi!H15*12)),Finanziamenti!$C$9*Ipotesi!H16,0)</f>
        <v>0</v>
      </c>
      <c r="AY351" s="15" t="n">
        <f aca="false">0</f>
        <v>0</v>
      </c>
      <c r="AZ351" s="15" t="n">
        <f aca="false">Motore_Advisory!AY351*(1-Ipotesi!$C$95)*Ipotesi!$C$96</f>
        <v>0</v>
      </c>
      <c r="BA351" s="15" t="n">
        <f aca="false">MAX(0,MIN(CG351*MIN(1,IF(Motore_Operativo!C351&gt;=EDATE(Finanziamenti!$D$15,Ipotesi!H14*12),Finanziamenti!$C$15,0)+IF(Motore_Operativo!C351&gt;=EDATE(Finanziamenti!$D$16,Ipotesi!H14*12),Finanziamenti!$C$16,0)+IF(Motore_Operativo!C351&gt;=EDATE(Finanziamenti!$D$17,Ipotesi!H14*12),Finanziamenti!$C$17,0)),CA351*Ipotesi!$C$102)-(CC350))</f>
        <v>0</v>
      </c>
      <c r="BB351" s="15" t="n">
        <f aca="false">IF(AND(CF351&gt;0,Motore_Operativo!C351&gt;=IF(CF351=0,0,EDATE(CF351,Parametri_v3!$C$37)),MOD(((D351-YEAR(IF(CF351=0,0,EDATE(CF351,Parametri_v3!$C$37))))*12+E351-MONTH(IF(CF351=0,0,EDATE(CF351,Parametri_v3!$C$37)))),Parametri_v3!$C$38)=0),MIN(MAX(0,(BC350)+BA351-N351),(CC351-CD351)/(Ipotesi!$C$108*12/Parametri_v3!$C$38)),0)</f>
        <v>0</v>
      </c>
      <c r="BC351" s="15" t="n">
        <f aca="false">(BC350)+BA351-N351-BB351</f>
        <v>0</v>
      </c>
      <c r="BD351" s="15" t="n">
        <f aca="false">(BH350)+AC351+AF351-AI351-AS351-K351*(1+Parametri_v3!$C$26)-AL351-AQ351-O351+AW351+AX351+AZ351+BA351-BB351</f>
        <v>-157078.451534038</v>
      </c>
      <c r="BE351" s="15" t="n">
        <f aca="false">MAX(0,MIN(MAX(0,CH351-(BG350)),Parametri_v3!$C$30-BD351))</f>
        <v>0</v>
      </c>
      <c r="BF351" s="15" t="n">
        <f aca="false">IF(Motore_Operativo!C351&gt;=Parametri_v3!$C$63,(BG350),MIN((BG350),MAX(0,BD351-Parametri_v3!$C$30)))</f>
        <v>0</v>
      </c>
      <c r="BG351" s="15" t="n">
        <f aca="false">(BG350)+BE351-BF351</f>
        <v>150000</v>
      </c>
      <c r="BH351" s="15" t="n">
        <f aca="false">BD351+BE351-BF351-AY351</f>
        <v>-157078.451534038</v>
      </c>
      <c r="BI351" s="15" t="n">
        <f aca="false">MAX(0,Parametri_v3!$C$30-BH351)</f>
        <v>182078.451534038</v>
      </c>
      <c r="BJ351" s="15" t="n">
        <f aca="false">(BJ350)+K351</f>
        <v>111666.666666667</v>
      </c>
      <c r="BK351" s="15" t="n">
        <f aca="false">(BK350)+L351</f>
        <v>61180.5555555556</v>
      </c>
      <c r="BL351" s="15" t="n">
        <f aca="false">BJ351-BK351</f>
        <v>50486.1111111111</v>
      </c>
      <c r="BM351" s="15" t="n">
        <f aca="false">(BM350)+Y351</f>
        <v>-1417184.54419101</v>
      </c>
      <c r="BN351" s="15" t="n">
        <f aca="false">(BN350)+AW351+AX351+AZ351</f>
        <v>1365707.01629444</v>
      </c>
      <c r="BO351" s="15" t="n">
        <f aca="false">(BO350)+AY351</f>
        <v>0</v>
      </c>
      <c r="BP351" s="15" t="n">
        <f aca="false">0</f>
        <v>0</v>
      </c>
      <c r="BQ351" s="15" t="n">
        <f aca="false">BN351+BM351-BO351</f>
        <v>-51477.5278965621</v>
      </c>
      <c r="BR351" s="15" t="n">
        <f aca="false">BH351+AD351+BL351+MAX(0,-AM351)+MAX(0,-AR351)+AG351</f>
        <v>398406.543334795</v>
      </c>
      <c r="BS351" s="15" t="n">
        <f aca="false">AJ351+AV351+MAX(0,AM351)+MAX(0,AR351)+BC351+BG351+BQ351</f>
        <v>398406.543334795</v>
      </c>
      <c r="BT351" s="15" t="n">
        <f aca="false">BR351-BS351</f>
        <v>0</v>
      </c>
      <c r="BU351" s="15" t="n">
        <f aca="false">BH351-(BD351+BE351-BF351-AY351)</f>
        <v>0</v>
      </c>
      <c r="BV351" s="15" t="n">
        <f aca="false">MIN(Piano_SS!$C$6,(BV350)+IF(AND(Motore_Operativo!C351&gt;=EDATE(Parametri_v3!$C$24,Ipotesi!H14*12),Motore_Operativo!C351&lt;EDATE(Parametri_v3!$C$24,Parametri_v3!$C$25+Ipotesi!H14*12)),MAX(0,(Motore_Operativo!Y351+Motore_Operativo!X351*Parametri_v3!$C$14)*(1-Parametri_v3!$C$32))*Piano_SS!$D$6,0))</f>
        <v>300000</v>
      </c>
      <c r="BW351" s="15" t="n">
        <f aca="false">MIN(Piano_SS!$C$7,(BW350)+IF(AND(Motore_Operativo!C351&gt;=EDATE(Parametri_v3!$C$24,Ipotesi!H14*12),Motore_Operativo!C351&lt;EDATE(Parametri_v3!$C$24,Parametri_v3!$C$25+Ipotesi!H14*12)),MAX(0,(IF(47-(INT((Ipotesi!$C$91)/30))&lt;1,0,INDEX(Motore_Operativo!$BN$305:$BN$364,MAX(1,47-(INT((Ipotesi!$C$91)/30)))))*(1-(MOD((Ipotesi!$C$91),30)/30))+IF(47-(INT((Ipotesi!$C$91)/30))-1&lt;1,0,INDEX(Motore_Operativo!$BN$305:$BN$364,MAX(1,47-(INT((Ipotesi!$C$91)/30))-1)))*(MOD((Ipotesi!$C$91),30)/30)))*Piano_SS!$D$7,0))</f>
        <v>41058.9230070837</v>
      </c>
      <c r="BX351" s="15" t="n">
        <f aca="false">MIN(Piano_SS!$C$8,(BX350)+IF(AND(Motore_Operativo!C351&gt;=EDATE(Parametri_v3!$C$24,Ipotesi!H14*12),Motore_Operativo!C351&lt;EDATE(Parametri_v3!$C$24,Parametri_v3!$C$25+Ipotesi!H14*12)),MAX(0,Motore_Operativo!CE351)*Piano_SS!$D$8,0))</f>
        <v>50000</v>
      </c>
      <c r="BY351" s="15" t="n">
        <f aca="false">MIN(Piano_SS!$C$9,(BY350)+IF(AND(Motore_Operativo!C351&gt;=EDATE(Parametri_v3!$C$24,Ipotesi!H14*12),Motore_Operativo!C351&lt;EDATE(Parametri_v3!$C$24,Parametri_v3!$C$25+Ipotesi!H14*12)),MAX(0,((IF(47-(INT((Ipotesi!$C$91)/30))&lt;1,0,INDEX(Motore_Operativo!$BQ$305:$BQ$364,MAX(1,47-(INT((Ipotesi!$C$91)/30)))))*(1-(MOD((Ipotesi!$C$91),30)/30))+IF(47-(INT((Ipotesi!$C$91)/30))-1&lt;1,0,INDEX(Motore_Operativo!$BQ$305:$BQ$364,MAX(1,47-(INT((Ipotesi!$C$91)/30))-1)))*(MOD((Ipotesi!$C$91),30)/30))+(IF(47-(INT((Ipotesi!$C$91)/30))&lt;1,0,INDEX(Motore_Operativo!$BR$305:$BR$364,MAX(1,47-(INT((Ipotesi!$C$91)/30)))))*(1-(MOD((Ipotesi!$C$91),30)/30))+IF(47-(INT((Ipotesi!$C$91)/30))-1&lt;1,0,INDEX(Motore_Operativo!$BR$305:$BR$364,MAX(1,47-(INT((Ipotesi!$C$91)/30))-1)))*(MOD((Ipotesi!$C$91),30)/30))))*Piano_SS!$D$9,0))</f>
        <v>40000</v>
      </c>
      <c r="BZ351" s="15" t="n">
        <f aca="false">MIN(Piano_SS!$C$10,(BZ350)+IF(AND(Motore_Operativo!C351&gt;=EDATE(Parametri_v3!$C$24,Ipotesi!H14*12),Motore_Operativo!C351&lt;EDATE(Parametri_v3!$C$24,Parametri_v3!$C$25+Ipotesi!H14*12)),MAX(0,(IF(47-(INT((Ipotesi!$C$91)/30))&lt;1,0,INDEX(Motore_Operativo!$BO$305:$BO$364,MAX(1,47-(INT((Ipotesi!$C$91)/30)))))*(1-(MOD((Ipotesi!$C$91),30)/30))+IF(47-(INT((Ipotesi!$C$91)/30))-1&lt;1,0,INDEX(Motore_Operativo!$BO$305:$BO$364,MAX(1,47-(INT((Ipotesi!$C$91)/30))-1)))*(MOD((Ipotesi!$C$91),30)/30)))*Piano_SS!$D$10,0))</f>
        <v>30000</v>
      </c>
      <c r="CA351" s="15" t="n">
        <f aca="false">SUM(BV351:BZ351)</f>
        <v>461058.923007084</v>
      </c>
      <c r="CB351" s="15" t="n">
        <f aca="false">BV351*(1-Piano_SS!$E$6)+BW351*(1-Piano_SS!$E$7)+BX351*(1-Piano_SS!$E$8)+BY351*(1-Piano_SS!$E$9)+BZ351*(1-Piano_SS!$E$10)</f>
        <v>431058.923007084</v>
      </c>
      <c r="CC351" s="15" t="n">
        <f aca="false">(CC350)+BA351</f>
        <v>0</v>
      </c>
      <c r="CD351" s="15" t="n">
        <f aca="false">IF(CA351=0,0,CC351*CB351/CA351*Ipotesi!$C$103*Parametri_v3!$C$64)</f>
        <v>0</v>
      </c>
      <c r="CE351" s="18" t="n">
        <f aca="false">IF(BA351&gt;0,Motore_Operativo!C351,(CE350))</f>
        <v>0</v>
      </c>
      <c r="CF351" s="18" t="n">
        <f aca="false">IF(AND(CC351&gt;0,OR(CC351&gt;=CG351-0.01,Motore_Operativo!C351&gt;=EDATE(MAX(Finanziamenti!$D$15:$D$17),Ipotesi!H14*12))),CE351,0)</f>
        <v>0</v>
      </c>
      <c r="CG351" s="15" t="n">
        <f aca="false">IF(AND(6&lt;&gt;6,6&lt;&gt;9,Finanziamenti!$F$11=1,OR(Parametri_v3!$C$6=0,Finanziamenti!$E$11=1)),MIN(Finanziamenti!$C$11,Piano_SS!$C$12*Ipotesi!$C$102),0)</f>
        <v>0</v>
      </c>
      <c r="CH351" s="15" t="n">
        <f aca="false">IF(AND(AND(6&lt;&gt;8,6&lt;&gt;9,Finanziamenti!$F$10=1,OR(Parametri_v3!$C$6=0,Finanziamenti!$E$10=1)),Motore_Operativo!C351&gt;=Finanziamenti!$D$10,Motore_Operativo!C351&lt;Parametri_v3!$C$63),Finanziamenti!$C$10,0)</f>
        <v>150000</v>
      </c>
    </row>
    <row r="352" customFormat="false" ht="18" hidden="false" customHeight="true" outlineLevel="0" collapsed="false">
      <c r="A352" s="68" t="n">
        <f aca="false">6</f>
        <v>6</v>
      </c>
      <c r="B352" s="68" t="n">
        <f aca="false">48</f>
        <v>48</v>
      </c>
      <c r="C352" s="18" t="n">
        <f aca="false">Motore_Operativo!C352</f>
        <v>47818</v>
      </c>
      <c r="D352" s="68" t="n">
        <f aca="false">Motore_Operativo!D352</f>
        <v>2030</v>
      </c>
      <c r="E352" s="68" t="n">
        <f aca="false">Motore_Operativo!E352</f>
        <v>12</v>
      </c>
      <c r="F352" s="15" t="n">
        <f aca="false">Motore_Operativo!AQ352+Motore_Operativo!BF352</f>
        <v>140768.211855469</v>
      </c>
      <c r="G352" s="15" t="n">
        <f aca="false">Motore_Operativo!BH352</f>
        <v>9024.16666666667</v>
      </c>
      <c r="H352" s="15" t="n">
        <f aca="false">Motore_Operativo!BI352</f>
        <v>149792.378522136</v>
      </c>
      <c r="I352" s="15" t="n">
        <f aca="false">Motore_Operativo!CA352</f>
        <v>159313.025284766</v>
      </c>
      <c r="J352" s="15" t="n">
        <f aca="false">Motore_Operativo!CC352</f>
        <v>-9520.64676262965</v>
      </c>
      <c r="K352" s="15" t="n">
        <f aca="false">Motore_Operativo!CE352</f>
        <v>3333.33333333333</v>
      </c>
      <c r="L352" s="15" t="n">
        <f aca="false">SUM(INDEX($K$305:$K$364,MAX(1,48-Parametri_v3!$C$59+1)):K352)/Parametri_v3!$C$59</f>
        <v>2638.88888888889</v>
      </c>
      <c r="M352" s="15" t="n">
        <f aca="false">J352-L352</f>
        <v>-12159.5356515185</v>
      </c>
      <c r="N352" s="15" t="n">
        <f aca="false">CD352-(CD351)</f>
        <v>0</v>
      </c>
      <c r="O352" s="15" t="n">
        <f aca="false">(BG351)*Ipotesi!$C$110/12+CH352*Parametri_v3!$C$39/12</f>
        <v>750</v>
      </c>
      <c r="P352" s="15" t="n">
        <f aca="false">M352+N352-O352</f>
        <v>-12909.5356515185</v>
      </c>
      <c r="Q352" s="15" t="n">
        <f aca="false">SUM(P341:P352)+Parametri_v3!$C$54*12/12</f>
        <v>-314765.278796219</v>
      </c>
      <c r="R352" s="15" t="n">
        <f aca="false">Z340</f>
        <v>1115328.80104631</v>
      </c>
      <c r="S352" s="15" t="n">
        <f aca="false">AA340</f>
        <v>0</v>
      </c>
      <c r="T352" s="15" t="n">
        <f aca="false">MIN(R352,MAX(0,Q352))</f>
        <v>0</v>
      </c>
      <c r="U352" s="15" t="n">
        <f aca="false">MIN(S352,MAX(0,Q352-T352)*Parametri_v3!$C$42)</f>
        <v>0</v>
      </c>
      <c r="V352" s="15" t="n">
        <f aca="false">MAX(0,Q352-T352-U352)*Ipotesi!$C$92</f>
        <v>0</v>
      </c>
      <c r="W352" s="15" t="n">
        <f aca="false">MAX(0,SUM(M341:M352)+Parametri_v3!$C$55*12/12)*Ipotesi!$C$93</f>
        <v>0</v>
      </c>
      <c r="X352" s="15" t="n">
        <f aca="false">V352+W352-(V351+W351)</f>
        <v>0</v>
      </c>
      <c r="Y352" s="15" t="n">
        <f aca="false">P352-X352</f>
        <v>-12909.5356515185</v>
      </c>
      <c r="Z352" s="15" t="n">
        <f aca="false">R352-T352+IF(AND(Parametri_v3!$C$40=1,D352-YEAR(Parametri_v3!$C$50)&lt;Parametri_v3!$C$41),MAX(0,-Q352),0)</f>
        <v>1115328.80104631</v>
      </c>
      <c r="AA352" s="15" t="n">
        <f aca="false">S352-U352+IF(AND(Parametri_v3!$C$40=1,D352-YEAR(Parametri_v3!$C$50)&lt;Parametri_v3!$C$41),0,MAX(0,-Q352))</f>
        <v>314765.278796219</v>
      </c>
      <c r="AB352" s="15" t="n">
        <f aca="false">F352*(1+Parametri_v3!$C$26)</f>
        <v>171737.218463673</v>
      </c>
      <c r="AC352" s="15" t="n">
        <f aca="false">(IF(48-(INT((Motore_Operativo!L352)/30))&lt;1,0,INDEX(Motore_Startup!$AB$305:$AB$364,MAX(1,48-(INT((Motore_Operativo!L352)/30)))))*(1-(MOD((Motore_Operativo!L352),30)/30))+IF(48-(INT((Motore_Operativo!L352)/30))-1&lt;1,0,INDEX(Motore_Startup!$AB$305:$AB$364,MAX(1,48-(INT((Motore_Operativo!L352)/30))-1)))*(MOD((Motore_Operativo!L352),30)/30))</f>
        <v>161094.944840619</v>
      </c>
      <c r="AD352" s="15" t="n">
        <f aca="false">(AD351)+AB352-AC352</f>
        <v>504631.674047441</v>
      </c>
      <c r="AE352" s="15" t="n">
        <f aca="false">Motore_Operativo!BH352*(1+Parametri_v3!$C$26)</f>
        <v>11009.4833333333</v>
      </c>
      <c r="AF352" s="15" t="n">
        <f aca="false">(IF(48-(INT((Parametri_v3!$C$29)/30))&lt;1,0,INDEX(Motore_Operativo!$BH$305:$BH$364,MAX(1,48-(INT((Parametri_v3!$C$29)/30)))))*(1-(MOD((Parametri_v3!$C$29),30)/30))+IF(48-(INT((Parametri_v3!$C$29)/30))-1&lt;1,0,INDEX(Motore_Operativo!$BH$305:$BH$364,MAX(1,48-(INT((Parametri_v3!$C$29)/30))-1)))*(MOD((Parametri_v3!$C$29),30)/30))*(1+Parametri_v3!$C$26)</f>
        <v>11009.4833333333</v>
      </c>
      <c r="AG352" s="15" t="n">
        <f aca="false">(AG351)+AE352-AF352</f>
        <v>11009.4833333333</v>
      </c>
      <c r="AH352" s="15" t="n">
        <f aca="false">(Motore_Operativo!CJ352)*(1+Parametri_v3!$C$27*Parametri_v3!$C$26)</f>
        <v>74591.0103544752</v>
      </c>
      <c r="AI352" s="15" t="n">
        <f aca="false">(IF(48-(INT((Ipotesi!$C$91)/30))&lt;1,0,INDEX(Motore_Startup!$AH$305:$AH$364,MAX(1,48-(INT((Ipotesi!$C$91)/30)))))*(1-(MOD((Ipotesi!$C$91),30)/30))+IF(48-(INT((Ipotesi!$C$91)/30))-1&lt;1,0,INDEX(Motore_Startup!$AH$305:$AH$364,MAX(1,48-(INT((Ipotesi!$C$91)/30))-1)))*(MOD((Ipotesi!$C$91),30)/30))</f>
        <v>73628.847583208</v>
      </c>
      <c r="AJ352" s="15" t="n">
        <f aca="false">(AJ351)+AH352-AI352</f>
        <v>148703.051267369</v>
      </c>
      <c r="AK352" s="15" t="n">
        <f aca="false">(F352+ Motore_Operativo!BH352-(Motore_Operativo!CJ352)*Parametri_v3!$C$27-Motore_Operativo!CE352)*Parametri_v3!$C$26</f>
        <v>20469.9209134937</v>
      </c>
      <c r="AL352" s="15" t="n">
        <f aca="false">MAX(0,(AM351))</f>
        <v>19911.2865581721</v>
      </c>
      <c r="AM352" s="15" t="n">
        <f aca="false">(AM351)+AK352-AL352</f>
        <v>20469.9209134937</v>
      </c>
      <c r="AN352" s="15" t="n">
        <f aca="false">SUM(X329:X340)</f>
        <v>0</v>
      </c>
      <c r="AO352" s="15" t="n">
        <f aca="false">SUM(AP329:AP340)</f>
        <v>0</v>
      </c>
      <c r="AP352" s="15" t="n">
        <f aca="false">MAX(0,AN352)*IF(12=Parametri_v3!$C$43,Parametri_v3!$C$45,IF(12=Parametri_v3!$C$44,1-Parametri_v3!$C$45,0))</f>
        <v>0</v>
      </c>
      <c r="AQ352" s="15" t="n">
        <f aca="false">MAX(0,AP352+IF(12=Parametri_v3!$C$43,MAX(0,AN352-AO352),0)-MAX(0,-(AR351)))</f>
        <v>0</v>
      </c>
      <c r="AR352" s="15" t="n">
        <f aca="false">(AR351)+X352-AQ352</f>
        <v>0</v>
      </c>
      <c r="AS352" s="15" t="n">
        <f aca="false">Motore_Operativo!AB352-AT352+AU352</f>
        <v>91649.4297604167</v>
      </c>
      <c r="AT352" s="15" t="n">
        <f aca="false">Motore_Operativo!CH352</f>
        <v>4823.65419791667</v>
      </c>
      <c r="AU352" s="15" t="n">
        <f aca="false">MIN(MAX(0,(AV351)+AT352),Parametri_v3!$C$60/12)</f>
        <v>0</v>
      </c>
      <c r="AV352" s="15" t="n">
        <f aca="false">(AV351)+AT352-AU352</f>
        <v>137055.550375</v>
      </c>
      <c r="AW352" s="15" t="n">
        <f aca="false">IF(AND(Motore_Operativo!C352=Finanziamenti!$D$6,Finanziamenti!$F$6=1),Finanziamenti!$C$6,0)</f>
        <v>0</v>
      </c>
      <c r="AX352" s="15" t="n">
        <f aca="false">IF(AND(6&lt;&gt;7,6&lt;&gt;9,Finanziamenti!$F$8=1,OR(Parametri_v3!$C$6=0,Finanziamenti!$E$8=1),Motore_Operativo!C352=EDATE(Finanziamenti!$D$8,Ipotesi!H15*12)),Finanziamenti!$C$8*1,0)+IF(AND(6&lt;&gt;7,6&lt;&gt;9,Finanziamenti!$F$9=1,OR(Parametri_v3!$C$6=0,Finanziamenti!$E$9=1),Motore_Operativo!C352=EDATE(Finanziamenti!$D$9,Ipotesi!H15*12)),Finanziamenti!$C$9*Ipotesi!H16,0)</f>
        <v>0</v>
      </c>
      <c r="AY352" s="15" t="n">
        <f aca="false">0</f>
        <v>0</v>
      </c>
      <c r="AZ352" s="15" t="n">
        <f aca="false">Motore_Advisory!AY352*(1-Ipotesi!$C$95)*Ipotesi!$C$96</f>
        <v>0</v>
      </c>
      <c r="BA352" s="15" t="n">
        <f aca="false">MAX(0,MIN(CG352*MIN(1,IF(Motore_Operativo!C352&gt;=EDATE(Finanziamenti!$D$15,Ipotesi!H14*12),Finanziamenti!$C$15,0)+IF(Motore_Operativo!C352&gt;=EDATE(Finanziamenti!$D$16,Ipotesi!H14*12),Finanziamenti!$C$16,0)+IF(Motore_Operativo!C352&gt;=EDATE(Finanziamenti!$D$17,Ipotesi!H14*12),Finanziamenti!$C$17,0)),CA352*Ipotesi!$C$102)-(CC351))</f>
        <v>0</v>
      </c>
      <c r="BB352" s="15" t="n">
        <f aca="false">IF(AND(CF352&gt;0,Motore_Operativo!C352&gt;=IF(CF352=0,0,EDATE(CF352,Parametri_v3!$C$37)),MOD(((D352-YEAR(IF(CF352=0,0,EDATE(CF352,Parametri_v3!$C$37))))*12+E352-MONTH(IF(CF352=0,0,EDATE(CF352,Parametri_v3!$C$37)))),Parametri_v3!$C$38)=0),MIN(MAX(0,(BC351)+BA352-N352),(CC352-CD352)/(Ipotesi!$C$108*12/Parametri_v3!$C$38)),0)</f>
        <v>0</v>
      </c>
      <c r="BC352" s="15" t="n">
        <f aca="false">(BC351)+BA352-N352-BB352</f>
        <v>0</v>
      </c>
      <c r="BD352" s="15" t="n">
        <f aca="false">(BH351)+AC352+AF352-AI352-AS352-K352*(1+Parametri_v3!$C$26)-AL352-AQ352-O352+AW352+AX352+AZ352+BA352-BB352</f>
        <v>-174980.253928548</v>
      </c>
      <c r="BE352" s="15" t="n">
        <f aca="false">MAX(0,MIN(MAX(0,CH352-(BG351)),Parametri_v3!$C$30-BD352))</f>
        <v>0</v>
      </c>
      <c r="BF352" s="15" t="n">
        <f aca="false">IF(Motore_Operativo!C352&gt;=Parametri_v3!$C$63,(BG351),MIN((BG351),MAX(0,BD352-Parametri_v3!$C$30)))</f>
        <v>0</v>
      </c>
      <c r="BG352" s="15" t="n">
        <f aca="false">(BG351)+BE352-BF352</f>
        <v>150000</v>
      </c>
      <c r="BH352" s="15" t="n">
        <f aca="false">BD352+BE352-BF352-AY352</f>
        <v>-174980.253928548</v>
      </c>
      <c r="BI352" s="15" t="n">
        <f aca="false">MAX(0,Parametri_v3!$C$30-BH352)</f>
        <v>199980.253928548</v>
      </c>
      <c r="BJ352" s="15" t="n">
        <f aca="false">(BJ351)+K352</f>
        <v>115000</v>
      </c>
      <c r="BK352" s="15" t="n">
        <f aca="false">(BK351)+L352</f>
        <v>63819.4444444444</v>
      </c>
      <c r="BL352" s="15" t="n">
        <f aca="false">BJ352-BK352</f>
        <v>51180.5555555555</v>
      </c>
      <c r="BM352" s="15" t="n">
        <f aca="false">(BM351)+Y352</f>
        <v>-1430094.07984253</v>
      </c>
      <c r="BN352" s="15" t="n">
        <f aca="false">(BN351)+AW352+AX352+AZ352</f>
        <v>1365707.01629444</v>
      </c>
      <c r="BO352" s="15" t="n">
        <f aca="false">(BO351)+AY352</f>
        <v>0</v>
      </c>
      <c r="BP352" s="15" t="n">
        <f aca="false">0</f>
        <v>0</v>
      </c>
      <c r="BQ352" s="15" t="n">
        <f aca="false">BN352+BM352-BO352</f>
        <v>-64387.0635480806</v>
      </c>
      <c r="BR352" s="15" t="n">
        <f aca="false">BH352+AD352+BL352+MAX(0,-AM352)+MAX(0,-AR352)+AG352</f>
        <v>391841.459007782</v>
      </c>
      <c r="BS352" s="15" t="n">
        <f aca="false">AJ352+AV352+MAX(0,AM352)+MAX(0,AR352)+BC352+BG352+BQ352</f>
        <v>391841.459007782</v>
      </c>
      <c r="BT352" s="15" t="n">
        <f aca="false">BR352-BS352</f>
        <v>0</v>
      </c>
      <c r="BU352" s="15" t="n">
        <f aca="false">BH352-(BD352+BE352-BF352-AY352)</f>
        <v>0</v>
      </c>
      <c r="BV352" s="15" t="n">
        <f aca="false">MIN(Piano_SS!$C$6,(BV351)+IF(AND(Motore_Operativo!C352&gt;=EDATE(Parametri_v3!$C$24,Ipotesi!H14*12),Motore_Operativo!C352&lt;EDATE(Parametri_v3!$C$24,Parametri_v3!$C$25+Ipotesi!H14*12)),MAX(0,(Motore_Operativo!Y352+Motore_Operativo!X352*Parametri_v3!$C$14)*(1-Parametri_v3!$C$32))*Piano_SS!$D$6,0))</f>
        <v>300000</v>
      </c>
      <c r="BW352" s="15" t="n">
        <f aca="false">MIN(Piano_SS!$C$7,(BW351)+IF(AND(Motore_Operativo!C352&gt;=EDATE(Parametri_v3!$C$24,Ipotesi!H14*12),Motore_Operativo!C352&lt;EDATE(Parametri_v3!$C$24,Parametri_v3!$C$25+Ipotesi!H14*12)),MAX(0,(IF(48-(INT((Ipotesi!$C$91)/30))&lt;1,0,INDEX(Motore_Operativo!$BN$305:$BN$364,MAX(1,48-(INT((Ipotesi!$C$91)/30)))))*(1-(MOD((Ipotesi!$C$91),30)/30))+IF(48-(INT((Ipotesi!$C$91)/30))-1&lt;1,0,INDEX(Motore_Operativo!$BN$305:$BN$364,MAX(1,48-(INT((Ipotesi!$C$91)/30))-1)))*(MOD((Ipotesi!$C$91),30)/30)))*Piano_SS!$D$7,0))</f>
        <v>41058.9230070837</v>
      </c>
      <c r="BX352" s="15" t="n">
        <f aca="false">MIN(Piano_SS!$C$8,(BX351)+IF(AND(Motore_Operativo!C352&gt;=EDATE(Parametri_v3!$C$24,Ipotesi!H14*12),Motore_Operativo!C352&lt;EDATE(Parametri_v3!$C$24,Parametri_v3!$C$25+Ipotesi!H14*12)),MAX(0,Motore_Operativo!CE352)*Piano_SS!$D$8,0))</f>
        <v>50000</v>
      </c>
      <c r="BY352" s="15" t="n">
        <f aca="false">MIN(Piano_SS!$C$9,(BY351)+IF(AND(Motore_Operativo!C352&gt;=EDATE(Parametri_v3!$C$24,Ipotesi!H14*12),Motore_Operativo!C352&lt;EDATE(Parametri_v3!$C$24,Parametri_v3!$C$25+Ipotesi!H14*12)),MAX(0,((IF(48-(INT((Ipotesi!$C$91)/30))&lt;1,0,INDEX(Motore_Operativo!$BQ$305:$BQ$364,MAX(1,48-(INT((Ipotesi!$C$91)/30)))))*(1-(MOD((Ipotesi!$C$91),30)/30))+IF(48-(INT((Ipotesi!$C$91)/30))-1&lt;1,0,INDEX(Motore_Operativo!$BQ$305:$BQ$364,MAX(1,48-(INT((Ipotesi!$C$91)/30))-1)))*(MOD((Ipotesi!$C$91),30)/30))+(IF(48-(INT((Ipotesi!$C$91)/30))&lt;1,0,INDEX(Motore_Operativo!$BR$305:$BR$364,MAX(1,48-(INT((Ipotesi!$C$91)/30)))))*(1-(MOD((Ipotesi!$C$91),30)/30))+IF(48-(INT((Ipotesi!$C$91)/30))-1&lt;1,0,INDEX(Motore_Operativo!$BR$305:$BR$364,MAX(1,48-(INT((Ipotesi!$C$91)/30))-1)))*(MOD((Ipotesi!$C$91),30)/30))))*Piano_SS!$D$9,0))</f>
        <v>40000</v>
      </c>
      <c r="BZ352" s="15" t="n">
        <f aca="false">MIN(Piano_SS!$C$10,(BZ351)+IF(AND(Motore_Operativo!C352&gt;=EDATE(Parametri_v3!$C$24,Ipotesi!H14*12),Motore_Operativo!C352&lt;EDATE(Parametri_v3!$C$24,Parametri_v3!$C$25+Ipotesi!H14*12)),MAX(0,(IF(48-(INT((Ipotesi!$C$91)/30))&lt;1,0,INDEX(Motore_Operativo!$BO$305:$BO$364,MAX(1,48-(INT((Ipotesi!$C$91)/30)))))*(1-(MOD((Ipotesi!$C$91),30)/30))+IF(48-(INT((Ipotesi!$C$91)/30))-1&lt;1,0,INDEX(Motore_Operativo!$BO$305:$BO$364,MAX(1,48-(INT((Ipotesi!$C$91)/30))-1)))*(MOD((Ipotesi!$C$91),30)/30)))*Piano_SS!$D$10,0))</f>
        <v>30000</v>
      </c>
      <c r="CA352" s="15" t="n">
        <f aca="false">SUM(BV352:BZ352)</f>
        <v>461058.923007084</v>
      </c>
      <c r="CB352" s="15" t="n">
        <f aca="false">BV352*(1-Piano_SS!$E$6)+BW352*(1-Piano_SS!$E$7)+BX352*(1-Piano_SS!$E$8)+BY352*(1-Piano_SS!$E$9)+BZ352*(1-Piano_SS!$E$10)</f>
        <v>431058.923007084</v>
      </c>
      <c r="CC352" s="15" t="n">
        <f aca="false">(CC351)+BA352</f>
        <v>0</v>
      </c>
      <c r="CD352" s="15" t="n">
        <f aca="false">IF(CA352=0,0,CC352*CB352/CA352*Ipotesi!$C$103*Parametri_v3!$C$64)</f>
        <v>0</v>
      </c>
      <c r="CE352" s="18" t="n">
        <f aca="false">IF(BA352&gt;0,Motore_Operativo!C352,(CE351))</f>
        <v>0</v>
      </c>
      <c r="CF352" s="18" t="n">
        <f aca="false">IF(AND(CC352&gt;0,OR(CC352&gt;=CG352-0.01,Motore_Operativo!C352&gt;=EDATE(MAX(Finanziamenti!$D$15:$D$17),Ipotesi!H14*12))),CE352,0)</f>
        <v>0</v>
      </c>
      <c r="CG352" s="15" t="n">
        <f aca="false">IF(AND(6&lt;&gt;6,6&lt;&gt;9,Finanziamenti!$F$11=1,OR(Parametri_v3!$C$6=0,Finanziamenti!$E$11=1)),MIN(Finanziamenti!$C$11,Piano_SS!$C$12*Ipotesi!$C$102),0)</f>
        <v>0</v>
      </c>
      <c r="CH352" s="15" t="n">
        <f aca="false">IF(AND(AND(6&lt;&gt;8,6&lt;&gt;9,Finanziamenti!$F$10=1,OR(Parametri_v3!$C$6=0,Finanziamenti!$E$10=1)),Motore_Operativo!C352&gt;=Finanziamenti!$D$10,Motore_Operativo!C352&lt;Parametri_v3!$C$63),Finanziamenti!$C$10,0)</f>
        <v>150000</v>
      </c>
    </row>
    <row r="353" customFormat="false" ht="18" hidden="false" customHeight="true" outlineLevel="0" collapsed="false">
      <c r="A353" s="68" t="n">
        <f aca="false">6</f>
        <v>6</v>
      </c>
      <c r="B353" s="68" t="n">
        <f aca="false">49</f>
        <v>49</v>
      </c>
      <c r="C353" s="18" t="n">
        <f aca="false">Motore_Operativo!C353</f>
        <v>47849</v>
      </c>
      <c r="D353" s="68" t="n">
        <f aca="false">Motore_Operativo!D353</f>
        <v>2031</v>
      </c>
      <c r="E353" s="68" t="n">
        <f aca="false">Motore_Operativo!E353</f>
        <v>1</v>
      </c>
      <c r="F353" s="15" t="n">
        <f aca="false">Motore_Operativo!AQ353+Motore_Operativo!BF353</f>
        <v>171197.798178051</v>
      </c>
      <c r="G353" s="15" t="n">
        <f aca="false">Motore_Operativo!BH353</f>
        <v>11595.8333333333</v>
      </c>
      <c r="H353" s="15" t="n">
        <f aca="false">Motore_Operativo!BI353</f>
        <v>182793.631511385</v>
      </c>
      <c r="I353" s="15" t="n">
        <f aca="false">Motore_Operativo!CA353</f>
        <v>196627.061732427</v>
      </c>
      <c r="J353" s="15" t="n">
        <f aca="false">Motore_Operativo!CC353</f>
        <v>-13833.4302210424</v>
      </c>
      <c r="K353" s="15" t="n">
        <f aca="false">Motore_Operativo!CE353</f>
        <v>4166.66666666667</v>
      </c>
      <c r="L353" s="15" t="n">
        <f aca="false">SUM(INDEX($K$305:$K$364,MAX(1,49-Parametri_v3!$C$59+1)):K353)/Parametri_v3!$C$59</f>
        <v>2696.75925925926</v>
      </c>
      <c r="M353" s="15" t="n">
        <f aca="false">J353-L353</f>
        <v>-16530.1894803017</v>
      </c>
      <c r="N353" s="15" t="n">
        <f aca="false">CD353-(CD352)</f>
        <v>0</v>
      </c>
      <c r="O353" s="15" t="n">
        <f aca="false">(BG352)*Ipotesi!$C$110/12+CH353*Parametri_v3!$C$39/12</f>
        <v>750</v>
      </c>
      <c r="P353" s="15" t="n">
        <f aca="false">M353+N353-O353</f>
        <v>-17280.1894803017</v>
      </c>
      <c r="Q353" s="15" t="n">
        <f aca="false">SUM(P353)+Parametri_v3!$C$54*1/12</f>
        <v>-17280.1894803017</v>
      </c>
      <c r="R353" s="15" t="n">
        <f aca="false">Z352</f>
        <v>1115328.80104631</v>
      </c>
      <c r="S353" s="15" t="n">
        <f aca="false">AA352</f>
        <v>314765.278796219</v>
      </c>
      <c r="T353" s="15" t="n">
        <f aca="false">MIN(R353,MAX(0,Q353))</f>
        <v>0</v>
      </c>
      <c r="U353" s="15" t="n">
        <f aca="false">MIN(S353,MAX(0,Q353-T353)*Parametri_v3!$C$42)</f>
        <v>0</v>
      </c>
      <c r="V353" s="15" t="n">
        <f aca="false">MAX(0,Q353-T353-U353)*Ipotesi!$C$92</f>
        <v>0</v>
      </c>
      <c r="W353" s="15" t="n">
        <f aca="false">MAX(0,SUM(M353)+Parametri_v3!$C$55*1/12)*Ipotesi!$C$93</f>
        <v>0</v>
      </c>
      <c r="X353" s="15" t="n">
        <f aca="false">V353+W353-(0)</f>
        <v>0</v>
      </c>
      <c r="Y353" s="15" t="n">
        <f aca="false">P353-X353</f>
        <v>-17280.1894803017</v>
      </c>
      <c r="Z353" s="15" t="n">
        <f aca="false">R353-T353+IF(AND(Parametri_v3!$C$40=1,D353-YEAR(Parametri_v3!$C$50)&lt;Parametri_v3!$C$41),MAX(0,-Q353),0)</f>
        <v>1115328.80104631</v>
      </c>
      <c r="AA353" s="15" t="n">
        <f aca="false">S353-U353+IF(AND(Parametri_v3!$C$40=1,D353-YEAR(Parametri_v3!$C$50)&lt;Parametri_v3!$C$41),0,MAX(0,-Q353))</f>
        <v>332045.46827652</v>
      </c>
      <c r="AB353" s="15" t="n">
        <f aca="false">F353*(1+Parametri_v3!$C$26)</f>
        <v>208861.313777223</v>
      </c>
      <c r="AC353" s="15" t="n">
        <f aca="false">(IF(49-(INT((Motore_Operativo!L353)/30))&lt;1,0,INDEX(Motore_Startup!$AB$305:$AB$364,MAX(1,49-(INT((Motore_Operativo!L353)/30)))))*(1-(MOD((Motore_Operativo!L353),30)/30))+IF(49-(INT((Motore_Operativo!L353)/30))-1&lt;1,0,INDEX(Motore_Startup!$AB$305:$AB$364,MAX(1,49-(INT((Motore_Operativo!L353)/30))-1)))*(MOD((Motore_Operativo!L353),30)/30))</f>
        <v>164673.56109849</v>
      </c>
      <c r="AD353" s="15" t="n">
        <f aca="false">(AD352)+AB353-AC353</f>
        <v>548819.426726174</v>
      </c>
      <c r="AE353" s="15" t="n">
        <f aca="false">Motore_Operativo!BH353*(1+Parametri_v3!$C$26)</f>
        <v>14146.9166666667</v>
      </c>
      <c r="AF353" s="15" t="n">
        <f aca="false">(IF(49-(INT((Parametri_v3!$C$29)/30))&lt;1,0,INDEX(Motore_Operativo!$BH$305:$BH$364,MAX(1,49-(INT((Parametri_v3!$C$29)/30)))))*(1-(MOD((Parametri_v3!$C$29),30)/30))+IF(49-(INT((Parametri_v3!$C$29)/30))-1&lt;1,0,INDEX(Motore_Operativo!$BH$305:$BH$364,MAX(1,49-(INT((Parametri_v3!$C$29)/30))-1)))*(MOD((Parametri_v3!$C$29),30)/30))*(1+Parametri_v3!$C$26)</f>
        <v>11009.4833333333</v>
      </c>
      <c r="AG353" s="15" t="n">
        <f aca="false">(AG352)+AE353-AF353</f>
        <v>14146.9166666667</v>
      </c>
      <c r="AH353" s="15" t="n">
        <f aca="false">(Motore_Operativo!CJ353)*(1+Parametri_v3!$C$27*Parametri_v3!$C$26)</f>
        <v>91576.7335595619</v>
      </c>
      <c r="AI353" s="15" t="n">
        <f aca="false">(IF(49-(INT((Ipotesi!$C$91)/30))&lt;1,0,INDEX(Motore_Startup!$AH$305:$AH$364,MAX(1,49-(INT((Ipotesi!$C$91)/30)))))*(1-(MOD((Ipotesi!$C$91),30)/30))+IF(49-(INT((Ipotesi!$C$91)/30))-1&lt;1,0,INDEX(Motore_Startup!$AH$305:$AH$364,MAX(1,49-(INT((Ipotesi!$C$91)/30))-1)))*(MOD((Ipotesi!$C$91),30)/30))</f>
        <v>74112.0409128937</v>
      </c>
      <c r="AJ353" s="15" t="n">
        <f aca="false">(AJ352)+AH353-AI353</f>
        <v>166167.743914037</v>
      </c>
      <c r="AK353" s="15" t="n">
        <f aca="false">(F353+ Motore_Operativo!BH353-(Motore_Operativo!CJ353)*Parametri_v3!$C$27-Motore_Operativo!CE353)*Parametri_v3!$C$26</f>
        <v>24870.9321178699</v>
      </c>
      <c r="AL353" s="15" t="n">
        <f aca="false">MAX(0,(AM352))</f>
        <v>20469.9209134937</v>
      </c>
      <c r="AM353" s="15" t="n">
        <f aca="false">(AM352)+AK353-AL353</f>
        <v>24870.9321178699</v>
      </c>
      <c r="AN353" s="15" t="n">
        <f aca="false">SUM(X341:X352)</f>
        <v>0</v>
      </c>
      <c r="AO353" s="15" t="n">
        <f aca="false">SUM(AP341:AP352)</f>
        <v>0</v>
      </c>
      <c r="AP353" s="15" t="n">
        <f aca="false">MAX(0,AN353)*IF(1=Parametri_v3!$C$43,Parametri_v3!$C$45,IF(1=Parametri_v3!$C$44,1-Parametri_v3!$C$45,0))</f>
        <v>0</v>
      </c>
      <c r="AQ353" s="15" t="n">
        <f aca="false">MAX(0,AP353+IF(1=Parametri_v3!$C$43,MAX(0,AN353-AO353),0)-MAX(0,-(AR352)))</f>
        <v>0</v>
      </c>
      <c r="AR353" s="15" t="n">
        <f aca="false">(AR352)+X353-AQ353</f>
        <v>0</v>
      </c>
      <c r="AS353" s="15" t="n">
        <f aca="false">Motore_Operativo!AB353-AT353+AU353</f>
        <v>113503.461904792</v>
      </c>
      <c r="AT353" s="15" t="n">
        <f aca="false">Motore_Operativo!CH353</f>
        <v>5973.86641604167</v>
      </c>
      <c r="AU353" s="15" t="n">
        <f aca="false">MIN(MAX(0,(AV352)+AT353),Parametri_v3!$C$60/12)</f>
        <v>0</v>
      </c>
      <c r="AV353" s="15" t="n">
        <f aca="false">(AV352)+AT353-AU353</f>
        <v>143029.416791042</v>
      </c>
      <c r="AW353" s="15" t="n">
        <f aca="false">IF(AND(Motore_Operativo!C353=Finanziamenti!$D$6,Finanziamenti!$F$6=1),Finanziamenti!$C$6,0)</f>
        <v>0</v>
      </c>
      <c r="AX353" s="15" t="n">
        <f aca="false">IF(AND(6&lt;&gt;7,6&lt;&gt;9,Finanziamenti!$F$8=1,OR(Parametri_v3!$C$6=0,Finanziamenti!$E$8=1),Motore_Operativo!C353=EDATE(Finanziamenti!$D$8,Ipotesi!H15*12)),Finanziamenti!$C$8*1,0)+IF(AND(6&lt;&gt;7,6&lt;&gt;9,Finanziamenti!$F$9=1,OR(Parametri_v3!$C$6=0,Finanziamenti!$E$9=1),Motore_Operativo!C353=EDATE(Finanziamenti!$D$9,Ipotesi!H15*12)),Finanziamenti!$C$9*Ipotesi!H16,0)</f>
        <v>0</v>
      </c>
      <c r="AY353" s="15" t="n">
        <f aca="false">0</f>
        <v>0</v>
      </c>
      <c r="AZ353" s="15" t="n">
        <f aca="false">Motore_Advisory!AY353*(1-Ipotesi!$C$95)*Ipotesi!$C$96</f>
        <v>0</v>
      </c>
      <c r="BA353" s="15" t="n">
        <f aca="false">MAX(0,MIN(CG353*MIN(1,IF(Motore_Operativo!C353&gt;=EDATE(Finanziamenti!$D$15,Ipotesi!H14*12),Finanziamenti!$C$15,0)+IF(Motore_Operativo!C353&gt;=EDATE(Finanziamenti!$D$16,Ipotesi!H14*12),Finanziamenti!$C$16,0)+IF(Motore_Operativo!C353&gt;=EDATE(Finanziamenti!$D$17,Ipotesi!H14*12),Finanziamenti!$C$17,0)),CA353*Ipotesi!$C$102)-(CC352))</f>
        <v>0</v>
      </c>
      <c r="BB353" s="15" t="n">
        <f aca="false">IF(AND(CF353&gt;0,Motore_Operativo!C353&gt;=IF(CF353=0,0,EDATE(CF353,Parametri_v3!$C$37)),MOD(((D353-YEAR(IF(CF353=0,0,EDATE(CF353,Parametri_v3!$C$37))))*12+E353-MONTH(IF(CF353=0,0,EDATE(CF353,Parametri_v3!$C$37)))),Parametri_v3!$C$38)=0),MIN(MAX(0,(BC352)+BA353-N353),(CC353-CD353)/(Ipotesi!$C$108*12/Parametri_v3!$C$38)),0)</f>
        <v>0</v>
      </c>
      <c r="BC353" s="15" t="n">
        <f aca="false">(BC352)+BA353-N353-BB353</f>
        <v>0</v>
      </c>
      <c r="BD353" s="15" t="n">
        <f aca="false">(BH352)+AC353+AF353-AI353-AS353-K353*(1+Parametri_v3!$C$26)-AL353-AQ353-O353+AW353+AX353+AZ353+BA353-BB353</f>
        <v>-213215.966561237</v>
      </c>
      <c r="BE353" s="15" t="n">
        <f aca="false">MAX(0,MIN(MAX(0,CH353-(BG352)),Parametri_v3!$C$30-BD353))</f>
        <v>0</v>
      </c>
      <c r="BF353" s="15" t="n">
        <f aca="false">IF(Motore_Operativo!C353&gt;=Parametri_v3!$C$63,(BG352),MIN((BG352),MAX(0,BD353-Parametri_v3!$C$30)))</f>
        <v>0</v>
      </c>
      <c r="BG353" s="15" t="n">
        <f aca="false">(BG352)+BE353-BF353</f>
        <v>150000</v>
      </c>
      <c r="BH353" s="15" t="n">
        <f aca="false">BD353+BE353-BF353-AY353</f>
        <v>-213215.966561237</v>
      </c>
      <c r="BI353" s="15" t="n">
        <f aca="false">MAX(0,Parametri_v3!$C$30-BH353)</f>
        <v>238215.966561237</v>
      </c>
      <c r="BJ353" s="15" t="n">
        <f aca="false">(BJ352)+K353</f>
        <v>119166.666666667</v>
      </c>
      <c r="BK353" s="15" t="n">
        <f aca="false">(BK352)+L353</f>
        <v>66516.2037037037</v>
      </c>
      <c r="BL353" s="15" t="n">
        <f aca="false">BJ353-BK353</f>
        <v>52650.4629629629</v>
      </c>
      <c r="BM353" s="15" t="n">
        <f aca="false">(BM352)+Y353</f>
        <v>-1447374.26932283</v>
      </c>
      <c r="BN353" s="15" t="n">
        <f aca="false">(BN352)+AW353+AX353+AZ353</f>
        <v>1365707.01629444</v>
      </c>
      <c r="BO353" s="15" t="n">
        <f aca="false">(BO352)+AY353</f>
        <v>0</v>
      </c>
      <c r="BP353" s="15" t="n">
        <f aca="false">0</f>
        <v>0</v>
      </c>
      <c r="BQ353" s="15" t="n">
        <f aca="false">BN353+BM353-BO353</f>
        <v>-81667.2530283823</v>
      </c>
      <c r="BR353" s="15" t="n">
        <f aca="false">BH353+AD353+BL353+MAX(0,-AM353)+MAX(0,-AR353)+AG353</f>
        <v>402400.839794566</v>
      </c>
      <c r="BS353" s="15" t="n">
        <f aca="false">AJ353+AV353+MAX(0,AM353)+MAX(0,AR353)+BC353+BG353+BQ353</f>
        <v>402400.839794567</v>
      </c>
      <c r="BT353" s="15" t="n">
        <f aca="false">BR353-BS353</f>
        <v>0</v>
      </c>
      <c r="BU353" s="15" t="n">
        <f aca="false">BH353-(BD353+BE353-BF353-AY353)</f>
        <v>0</v>
      </c>
      <c r="BV353" s="15" t="n">
        <f aca="false">MIN(Piano_SS!$C$6,(BV352)+IF(AND(Motore_Operativo!C353&gt;=EDATE(Parametri_v3!$C$24,Ipotesi!H14*12),Motore_Operativo!C353&lt;EDATE(Parametri_v3!$C$24,Parametri_v3!$C$25+Ipotesi!H14*12)),MAX(0,(Motore_Operativo!Y353+Motore_Operativo!X353*Parametri_v3!$C$14)*(1-Parametri_v3!$C$32))*Piano_SS!$D$6,0))</f>
        <v>300000</v>
      </c>
      <c r="BW353" s="15" t="n">
        <f aca="false">MIN(Piano_SS!$C$7,(BW352)+IF(AND(Motore_Operativo!C353&gt;=EDATE(Parametri_v3!$C$24,Ipotesi!H14*12),Motore_Operativo!C353&lt;EDATE(Parametri_v3!$C$24,Parametri_v3!$C$25+Ipotesi!H14*12)),MAX(0,(IF(49-(INT((Ipotesi!$C$91)/30))&lt;1,0,INDEX(Motore_Operativo!$BN$305:$BN$364,MAX(1,49-(INT((Ipotesi!$C$91)/30)))))*(1-(MOD((Ipotesi!$C$91),30)/30))+IF(49-(INT((Ipotesi!$C$91)/30))-1&lt;1,0,INDEX(Motore_Operativo!$BN$305:$BN$364,MAX(1,49-(INT((Ipotesi!$C$91)/30))-1)))*(MOD((Ipotesi!$C$91),30)/30)))*Piano_SS!$D$7,0))</f>
        <v>41058.9230070837</v>
      </c>
      <c r="BX353" s="15" t="n">
        <f aca="false">MIN(Piano_SS!$C$8,(BX352)+IF(AND(Motore_Operativo!C353&gt;=EDATE(Parametri_v3!$C$24,Ipotesi!H14*12),Motore_Operativo!C353&lt;EDATE(Parametri_v3!$C$24,Parametri_v3!$C$25+Ipotesi!H14*12)),MAX(0,Motore_Operativo!CE353)*Piano_SS!$D$8,0))</f>
        <v>50000</v>
      </c>
      <c r="BY353" s="15" t="n">
        <f aca="false">MIN(Piano_SS!$C$9,(BY352)+IF(AND(Motore_Operativo!C353&gt;=EDATE(Parametri_v3!$C$24,Ipotesi!H14*12),Motore_Operativo!C353&lt;EDATE(Parametri_v3!$C$24,Parametri_v3!$C$25+Ipotesi!H14*12)),MAX(0,((IF(49-(INT((Ipotesi!$C$91)/30))&lt;1,0,INDEX(Motore_Operativo!$BQ$305:$BQ$364,MAX(1,49-(INT((Ipotesi!$C$91)/30)))))*(1-(MOD((Ipotesi!$C$91),30)/30))+IF(49-(INT((Ipotesi!$C$91)/30))-1&lt;1,0,INDEX(Motore_Operativo!$BQ$305:$BQ$364,MAX(1,49-(INT((Ipotesi!$C$91)/30))-1)))*(MOD((Ipotesi!$C$91),30)/30))+(IF(49-(INT((Ipotesi!$C$91)/30))&lt;1,0,INDEX(Motore_Operativo!$BR$305:$BR$364,MAX(1,49-(INT((Ipotesi!$C$91)/30)))))*(1-(MOD((Ipotesi!$C$91),30)/30))+IF(49-(INT((Ipotesi!$C$91)/30))-1&lt;1,0,INDEX(Motore_Operativo!$BR$305:$BR$364,MAX(1,49-(INT((Ipotesi!$C$91)/30))-1)))*(MOD((Ipotesi!$C$91),30)/30))))*Piano_SS!$D$9,0))</f>
        <v>40000</v>
      </c>
      <c r="BZ353" s="15" t="n">
        <f aca="false">MIN(Piano_SS!$C$10,(BZ352)+IF(AND(Motore_Operativo!C353&gt;=EDATE(Parametri_v3!$C$24,Ipotesi!H14*12),Motore_Operativo!C353&lt;EDATE(Parametri_v3!$C$24,Parametri_v3!$C$25+Ipotesi!H14*12)),MAX(0,(IF(49-(INT((Ipotesi!$C$91)/30))&lt;1,0,INDEX(Motore_Operativo!$BO$305:$BO$364,MAX(1,49-(INT((Ipotesi!$C$91)/30)))))*(1-(MOD((Ipotesi!$C$91),30)/30))+IF(49-(INT((Ipotesi!$C$91)/30))-1&lt;1,0,INDEX(Motore_Operativo!$BO$305:$BO$364,MAX(1,49-(INT((Ipotesi!$C$91)/30))-1)))*(MOD((Ipotesi!$C$91),30)/30)))*Piano_SS!$D$10,0))</f>
        <v>30000</v>
      </c>
      <c r="CA353" s="15" t="n">
        <f aca="false">SUM(BV353:BZ353)</f>
        <v>461058.923007084</v>
      </c>
      <c r="CB353" s="15" t="n">
        <f aca="false">BV353*(1-Piano_SS!$E$6)+BW353*(1-Piano_SS!$E$7)+BX353*(1-Piano_SS!$E$8)+BY353*(1-Piano_SS!$E$9)+BZ353*(1-Piano_SS!$E$10)</f>
        <v>431058.923007084</v>
      </c>
      <c r="CC353" s="15" t="n">
        <f aca="false">(CC352)+BA353</f>
        <v>0</v>
      </c>
      <c r="CD353" s="15" t="n">
        <f aca="false">IF(CA353=0,0,CC353*CB353/CA353*Ipotesi!$C$103*Parametri_v3!$C$64)</f>
        <v>0</v>
      </c>
      <c r="CE353" s="18" t="n">
        <f aca="false">IF(BA353&gt;0,Motore_Operativo!C353,(CE352))</f>
        <v>0</v>
      </c>
      <c r="CF353" s="18" t="n">
        <f aca="false">IF(AND(CC353&gt;0,OR(CC353&gt;=CG353-0.01,Motore_Operativo!C353&gt;=EDATE(MAX(Finanziamenti!$D$15:$D$17),Ipotesi!H14*12))),CE353,0)</f>
        <v>0</v>
      </c>
      <c r="CG353" s="15" t="n">
        <f aca="false">IF(AND(6&lt;&gt;6,6&lt;&gt;9,Finanziamenti!$F$11=1,OR(Parametri_v3!$C$6=0,Finanziamenti!$E$11=1)),MIN(Finanziamenti!$C$11,Piano_SS!$C$12*Ipotesi!$C$102),0)</f>
        <v>0</v>
      </c>
      <c r="CH353" s="15" t="n">
        <f aca="false">IF(AND(AND(6&lt;&gt;8,6&lt;&gt;9,Finanziamenti!$F$10=1,OR(Parametri_v3!$C$6=0,Finanziamenti!$E$10=1)),Motore_Operativo!C353&gt;=Finanziamenti!$D$10,Motore_Operativo!C353&lt;Parametri_v3!$C$63),Finanziamenti!$C$10,0)</f>
        <v>150000</v>
      </c>
    </row>
    <row r="354" customFormat="false" ht="18" hidden="false" customHeight="true" outlineLevel="0" collapsed="false">
      <c r="A354" s="68" t="n">
        <f aca="false">6</f>
        <v>6</v>
      </c>
      <c r="B354" s="68" t="n">
        <f aca="false">50</f>
        <v>50</v>
      </c>
      <c r="C354" s="18" t="n">
        <f aca="false">Motore_Operativo!C354</f>
        <v>47880</v>
      </c>
      <c r="D354" s="68" t="n">
        <f aca="false">Motore_Operativo!D354</f>
        <v>2031</v>
      </c>
      <c r="E354" s="68" t="n">
        <f aca="false">Motore_Operativo!E354</f>
        <v>2</v>
      </c>
      <c r="F354" s="15" t="n">
        <f aca="false">Motore_Operativo!AQ354+Motore_Operativo!BF354</f>
        <v>173845.56723159</v>
      </c>
      <c r="G354" s="15" t="n">
        <f aca="false">Motore_Operativo!BH354</f>
        <v>11595.8333333333</v>
      </c>
      <c r="H354" s="15" t="n">
        <f aca="false">Motore_Operativo!BI354</f>
        <v>185441.400564923</v>
      </c>
      <c r="I354" s="15" t="n">
        <f aca="false">Motore_Operativo!CA354</f>
        <v>196997.749399923</v>
      </c>
      <c r="J354" s="15" t="n">
        <f aca="false">Motore_Operativo!CC354</f>
        <v>-11556.3488349995</v>
      </c>
      <c r="K354" s="15" t="n">
        <f aca="false">Motore_Operativo!CE354</f>
        <v>4166.66666666667</v>
      </c>
      <c r="L354" s="15" t="n">
        <f aca="false">SUM(INDEX($K$305:$K$364,MAX(1,50-Parametri_v3!$C$59+1)):K354)/Parametri_v3!$C$59</f>
        <v>2754.62962962963</v>
      </c>
      <c r="M354" s="15" t="n">
        <f aca="false">J354-L354</f>
        <v>-14310.9784646292</v>
      </c>
      <c r="N354" s="15" t="n">
        <f aca="false">CD354-(CD353)</f>
        <v>0</v>
      </c>
      <c r="O354" s="15" t="n">
        <f aca="false">(BG353)*Ipotesi!$C$110/12+CH354*Parametri_v3!$C$39/12</f>
        <v>750</v>
      </c>
      <c r="P354" s="15" t="n">
        <f aca="false">M354+N354-O354</f>
        <v>-15060.9784646292</v>
      </c>
      <c r="Q354" s="15" t="n">
        <f aca="false">SUM(P353:P354)+Parametri_v3!$C$54*2/12</f>
        <v>-32341.1679449309</v>
      </c>
      <c r="R354" s="15" t="n">
        <f aca="false">Z352</f>
        <v>1115328.80104631</v>
      </c>
      <c r="S354" s="15" t="n">
        <f aca="false">AA352</f>
        <v>314765.278796219</v>
      </c>
      <c r="T354" s="15" t="n">
        <f aca="false">MIN(R354,MAX(0,Q354))</f>
        <v>0</v>
      </c>
      <c r="U354" s="15" t="n">
        <f aca="false">MIN(S354,MAX(0,Q354-T354)*Parametri_v3!$C$42)</f>
        <v>0</v>
      </c>
      <c r="V354" s="15" t="n">
        <f aca="false">MAX(0,Q354-T354-U354)*Ipotesi!$C$92</f>
        <v>0</v>
      </c>
      <c r="W354" s="15" t="n">
        <f aca="false">MAX(0,SUM(M353:M354)+Parametri_v3!$C$55*2/12)*Ipotesi!$C$93</f>
        <v>0</v>
      </c>
      <c r="X354" s="15" t="n">
        <f aca="false">V354+W354-(V353+W353)</f>
        <v>0</v>
      </c>
      <c r="Y354" s="15" t="n">
        <f aca="false">P354-X354</f>
        <v>-15060.9784646292</v>
      </c>
      <c r="Z354" s="15" t="n">
        <f aca="false">R354-T354+IF(AND(Parametri_v3!$C$40=1,D354-YEAR(Parametri_v3!$C$50)&lt;Parametri_v3!$C$41),MAX(0,-Q354),0)</f>
        <v>1115328.80104631</v>
      </c>
      <c r="AA354" s="15" t="n">
        <f aca="false">S354-U354+IF(AND(Parametri_v3!$C$40=1,D354-YEAR(Parametri_v3!$C$50)&lt;Parametri_v3!$C$41),0,MAX(0,-Q354))</f>
        <v>347106.446741149</v>
      </c>
      <c r="AB354" s="15" t="n">
        <f aca="false">F354*(1+Parametri_v3!$C$26)</f>
        <v>212091.592022539</v>
      </c>
      <c r="AC354" s="15" t="n">
        <f aca="false">(IF(50-(INT((Motore_Operativo!L354)/30))&lt;1,0,INDEX(Motore_Startup!$AB$305:$AB$364,MAX(1,50-(INT((Motore_Operativo!L354)/30)))))*(1-(MOD((Motore_Operativo!L354),30)/30))+IF(50-(INT((Motore_Operativo!L354)/30))-1&lt;1,0,INDEX(Motore_Startup!$AB$305:$AB$364,MAX(1,50-(INT((Motore_Operativo!L354)/30))-1)))*(MOD((Motore_Operativo!L354),30)/30))</f>
        <v>168220.894485278</v>
      </c>
      <c r="AD354" s="15" t="n">
        <f aca="false">(AD353)+AB354-AC354</f>
        <v>592690.124263435</v>
      </c>
      <c r="AE354" s="15" t="n">
        <f aca="false">Motore_Operativo!BH354*(1+Parametri_v3!$C$26)</f>
        <v>14146.9166666667</v>
      </c>
      <c r="AF354" s="15" t="n">
        <f aca="false">(IF(50-(INT((Parametri_v3!$C$29)/30))&lt;1,0,INDEX(Motore_Operativo!$BH$305:$BH$364,MAX(1,50-(INT((Parametri_v3!$C$29)/30)))))*(1-(MOD((Parametri_v3!$C$29),30)/30))+IF(50-(INT((Parametri_v3!$C$29)/30))-1&lt;1,0,INDEX(Motore_Operativo!$BH$305:$BH$364,MAX(1,50-(INT((Parametri_v3!$C$29)/30))-1)))*(MOD((Parametri_v3!$C$29),30)/30))*(1+Parametri_v3!$C$26)</f>
        <v>14146.9166666667</v>
      </c>
      <c r="AG354" s="15" t="n">
        <f aca="false">(AG353)+AE354-AF354</f>
        <v>14146.9166666667</v>
      </c>
      <c r="AH354" s="15" t="n">
        <f aca="false">(Motore_Operativo!CJ354)*(1+Parametri_v3!$C$27*Parametri_v3!$C$26)</f>
        <v>92016.7398208789</v>
      </c>
      <c r="AI354" s="15" t="n">
        <f aca="false">(IF(50-(INT((Ipotesi!$C$91)/30))&lt;1,0,INDEX(Motore_Startup!$AH$305:$AH$364,MAX(1,50-(INT((Ipotesi!$C$91)/30)))))*(1-(MOD((Ipotesi!$C$91),30)/30))+IF(50-(INT((Ipotesi!$C$91)/30))-1&lt;1,0,INDEX(Motore_Startup!$AH$305:$AH$364,MAX(1,50-(INT((Ipotesi!$C$91)/30))-1)))*(MOD((Ipotesi!$C$91),30)/30))</f>
        <v>74591.0103544752</v>
      </c>
      <c r="AJ354" s="15" t="n">
        <f aca="false">(AJ353)+AH354-AI354</f>
        <v>183593.473380441</v>
      </c>
      <c r="AK354" s="15" t="n">
        <f aca="false">(F354+ Motore_Operativo!BH354-(Motore_Operativo!CJ354)*Parametri_v3!$C$27-Motore_Operativo!CE354)*Parametri_v3!$C$26</f>
        <v>25384.1227158267</v>
      </c>
      <c r="AL354" s="15" t="n">
        <f aca="false">MAX(0,(AM353))</f>
        <v>24870.9321178699</v>
      </c>
      <c r="AM354" s="15" t="n">
        <f aca="false">(AM353)+AK354-AL354</f>
        <v>25384.1227158267</v>
      </c>
      <c r="AN354" s="15" t="n">
        <f aca="false">SUM(X341:X352)</f>
        <v>0</v>
      </c>
      <c r="AO354" s="15" t="n">
        <f aca="false">SUM(AP341:AP352)</f>
        <v>0</v>
      </c>
      <c r="AP354" s="15" t="n">
        <f aca="false">MAX(0,AN354)*IF(2=Parametri_v3!$C$43,Parametri_v3!$C$45,IF(2=Parametri_v3!$C$44,1-Parametri_v3!$C$45,0))</f>
        <v>0</v>
      </c>
      <c r="AQ354" s="15" t="n">
        <f aca="false">MAX(0,AP354+IF(2=Parametri_v3!$C$43,MAX(0,AN354-AO354),0)-MAX(0,-(AR353)))</f>
        <v>0</v>
      </c>
      <c r="AR354" s="15" t="n">
        <f aca="false">(AR353)+X354-AQ354</f>
        <v>0</v>
      </c>
      <c r="AS354" s="15" t="n">
        <f aca="false">Motore_Operativo!AB354-AT354+AU354</f>
        <v>113503.461904792</v>
      </c>
      <c r="AT354" s="15" t="n">
        <f aca="false">Motore_Operativo!CH354</f>
        <v>5973.86641604167</v>
      </c>
      <c r="AU354" s="15" t="n">
        <f aca="false">MIN(MAX(0,(AV353)+AT354),Parametri_v3!$C$60/12)</f>
        <v>0</v>
      </c>
      <c r="AV354" s="15" t="n">
        <f aca="false">(AV353)+AT354-AU354</f>
        <v>149003.283207083</v>
      </c>
      <c r="AW354" s="15" t="n">
        <f aca="false">IF(AND(Motore_Operativo!C354=Finanziamenti!$D$6,Finanziamenti!$F$6=1),Finanziamenti!$C$6,0)</f>
        <v>0</v>
      </c>
      <c r="AX354" s="15" t="n">
        <f aca="false">IF(AND(6&lt;&gt;7,6&lt;&gt;9,Finanziamenti!$F$8=1,OR(Parametri_v3!$C$6=0,Finanziamenti!$E$8=1),Motore_Operativo!C354=EDATE(Finanziamenti!$D$8,Ipotesi!H15*12)),Finanziamenti!$C$8*1,0)+IF(AND(6&lt;&gt;7,6&lt;&gt;9,Finanziamenti!$F$9=1,OR(Parametri_v3!$C$6=0,Finanziamenti!$E$9=1),Motore_Operativo!C354=EDATE(Finanziamenti!$D$9,Ipotesi!H15*12)),Finanziamenti!$C$9*Ipotesi!H16,0)</f>
        <v>0</v>
      </c>
      <c r="AY354" s="15" t="n">
        <f aca="false">0</f>
        <v>0</v>
      </c>
      <c r="AZ354" s="15" t="n">
        <f aca="false">Motore_Advisory!AY354*(1-Ipotesi!$C$95)*Ipotesi!$C$96</f>
        <v>0</v>
      </c>
      <c r="BA354" s="15" t="n">
        <f aca="false">MAX(0,MIN(CG354*MIN(1,IF(Motore_Operativo!C354&gt;=EDATE(Finanziamenti!$D$15,Ipotesi!H14*12),Finanziamenti!$C$15,0)+IF(Motore_Operativo!C354&gt;=EDATE(Finanziamenti!$D$16,Ipotesi!H14*12),Finanziamenti!$C$16,0)+IF(Motore_Operativo!C354&gt;=EDATE(Finanziamenti!$D$17,Ipotesi!H14*12),Finanziamenti!$C$17,0)),CA354*Ipotesi!$C$102)-(CC353))</f>
        <v>0</v>
      </c>
      <c r="BB354" s="15" t="n">
        <f aca="false">IF(AND(CF354&gt;0,Motore_Operativo!C354&gt;=IF(CF354=0,0,EDATE(CF354,Parametri_v3!$C$37)),MOD(((D354-YEAR(IF(CF354=0,0,EDATE(CF354,Parametri_v3!$C$37))))*12+E354-MONTH(IF(CF354=0,0,EDATE(CF354,Parametri_v3!$C$37)))),Parametri_v3!$C$38)=0),MIN(MAX(0,(BC353)+BA354-N354),(CC354-CD354)/(Ipotesi!$C$108*12/Parametri_v3!$C$38)),0)</f>
        <v>0</v>
      </c>
      <c r="BC354" s="15" t="n">
        <f aca="false">(BC353)+BA354-N354-BB354</f>
        <v>0</v>
      </c>
      <c r="BD354" s="15" t="n">
        <f aca="false">(BH353)+AC354+AF354-AI354-AS354-K354*(1+Parametri_v3!$C$26)-AL354-AQ354-O354+AW354+AX354+AZ354+BA354-BB354</f>
        <v>-249646.893119762</v>
      </c>
      <c r="BE354" s="15" t="n">
        <f aca="false">MAX(0,MIN(MAX(0,CH354-(BG353)),Parametri_v3!$C$30-BD354))</f>
        <v>0</v>
      </c>
      <c r="BF354" s="15" t="n">
        <f aca="false">IF(Motore_Operativo!C354&gt;=Parametri_v3!$C$63,(BG353),MIN((BG353),MAX(0,BD354-Parametri_v3!$C$30)))</f>
        <v>0</v>
      </c>
      <c r="BG354" s="15" t="n">
        <f aca="false">(BG353)+BE354-BF354</f>
        <v>150000</v>
      </c>
      <c r="BH354" s="15" t="n">
        <f aca="false">BD354+BE354-BF354-AY354</f>
        <v>-249646.893119762</v>
      </c>
      <c r="BI354" s="15" t="n">
        <f aca="false">MAX(0,Parametri_v3!$C$30-BH354)</f>
        <v>274646.893119763</v>
      </c>
      <c r="BJ354" s="15" t="n">
        <f aca="false">(BJ353)+K354</f>
        <v>123333.333333333</v>
      </c>
      <c r="BK354" s="15" t="n">
        <f aca="false">(BK353)+L354</f>
        <v>69270.8333333333</v>
      </c>
      <c r="BL354" s="15" t="n">
        <f aca="false">BJ354-BK354</f>
        <v>54062.4999999999</v>
      </c>
      <c r="BM354" s="15" t="n">
        <f aca="false">(BM353)+Y354</f>
        <v>-1462435.24778746</v>
      </c>
      <c r="BN354" s="15" t="n">
        <f aca="false">(BN353)+AW354+AX354+AZ354</f>
        <v>1365707.01629444</v>
      </c>
      <c r="BO354" s="15" t="n">
        <f aca="false">(BO353)+AY354</f>
        <v>0</v>
      </c>
      <c r="BP354" s="15" t="n">
        <f aca="false">0</f>
        <v>0</v>
      </c>
      <c r="BQ354" s="15" t="n">
        <f aca="false">BN354+BM354-BO354</f>
        <v>-96728.2314930116</v>
      </c>
      <c r="BR354" s="15" t="n">
        <f aca="false">BH354+AD354+BL354+MAX(0,-AM354)+MAX(0,-AR354)+AG354</f>
        <v>411252.647810339</v>
      </c>
      <c r="BS354" s="15" t="n">
        <f aca="false">AJ354+AV354+MAX(0,AM354)+MAX(0,AR354)+BC354+BG354+BQ354</f>
        <v>411252.647810339</v>
      </c>
      <c r="BT354" s="15" t="n">
        <f aca="false">BR354-BS354</f>
        <v>0</v>
      </c>
      <c r="BU354" s="15" t="n">
        <f aca="false">BH354-(BD354+BE354-BF354-AY354)</f>
        <v>0</v>
      </c>
      <c r="BV354" s="15" t="n">
        <f aca="false">MIN(Piano_SS!$C$6,(BV353)+IF(AND(Motore_Operativo!C354&gt;=EDATE(Parametri_v3!$C$24,Ipotesi!H14*12),Motore_Operativo!C354&lt;EDATE(Parametri_v3!$C$24,Parametri_v3!$C$25+Ipotesi!H14*12)),MAX(0,(Motore_Operativo!Y354+Motore_Operativo!X354*Parametri_v3!$C$14)*(1-Parametri_v3!$C$32))*Piano_SS!$D$6,0))</f>
        <v>300000</v>
      </c>
      <c r="BW354" s="15" t="n">
        <f aca="false">MIN(Piano_SS!$C$7,(BW353)+IF(AND(Motore_Operativo!C354&gt;=EDATE(Parametri_v3!$C$24,Ipotesi!H14*12),Motore_Operativo!C354&lt;EDATE(Parametri_v3!$C$24,Parametri_v3!$C$25+Ipotesi!H14*12)),MAX(0,(IF(50-(INT((Ipotesi!$C$91)/30))&lt;1,0,INDEX(Motore_Operativo!$BN$305:$BN$364,MAX(1,50-(INT((Ipotesi!$C$91)/30)))))*(1-(MOD((Ipotesi!$C$91),30)/30))+IF(50-(INT((Ipotesi!$C$91)/30))-1&lt;1,0,INDEX(Motore_Operativo!$BN$305:$BN$364,MAX(1,50-(INT((Ipotesi!$C$91)/30))-1)))*(MOD((Ipotesi!$C$91),30)/30)))*Piano_SS!$D$7,0))</f>
        <v>41058.9230070837</v>
      </c>
      <c r="BX354" s="15" t="n">
        <f aca="false">MIN(Piano_SS!$C$8,(BX353)+IF(AND(Motore_Operativo!C354&gt;=EDATE(Parametri_v3!$C$24,Ipotesi!H14*12),Motore_Operativo!C354&lt;EDATE(Parametri_v3!$C$24,Parametri_v3!$C$25+Ipotesi!H14*12)),MAX(0,Motore_Operativo!CE354)*Piano_SS!$D$8,0))</f>
        <v>50000</v>
      </c>
      <c r="BY354" s="15" t="n">
        <f aca="false">MIN(Piano_SS!$C$9,(BY353)+IF(AND(Motore_Operativo!C354&gt;=EDATE(Parametri_v3!$C$24,Ipotesi!H14*12),Motore_Operativo!C354&lt;EDATE(Parametri_v3!$C$24,Parametri_v3!$C$25+Ipotesi!H14*12)),MAX(0,((IF(50-(INT((Ipotesi!$C$91)/30))&lt;1,0,INDEX(Motore_Operativo!$BQ$305:$BQ$364,MAX(1,50-(INT((Ipotesi!$C$91)/30)))))*(1-(MOD((Ipotesi!$C$91),30)/30))+IF(50-(INT((Ipotesi!$C$91)/30))-1&lt;1,0,INDEX(Motore_Operativo!$BQ$305:$BQ$364,MAX(1,50-(INT((Ipotesi!$C$91)/30))-1)))*(MOD((Ipotesi!$C$91),30)/30))+(IF(50-(INT((Ipotesi!$C$91)/30))&lt;1,0,INDEX(Motore_Operativo!$BR$305:$BR$364,MAX(1,50-(INT((Ipotesi!$C$91)/30)))))*(1-(MOD((Ipotesi!$C$91),30)/30))+IF(50-(INT((Ipotesi!$C$91)/30))-1&lt;1,0,INDEX(Motore_Operativo!$BR$305:$BR$364,MAX(1,50-(INT((Ipotesi!$C$91)/30))-1)))*(MOD((Ipotesi!$C$91),30)/30))))*Piano_SS!$D$9,0))</f>
        <v>40000</v>
      </c>
      <c r="BZ354" s="15" t="n">
        <f aca="false">MIN(Piano_SS!$C$10,(BZ353)+IF(AND(Motore_Operativo!C354&gt;=EDATE(Parametri_v3!$C$24,Ipotesi!H14*12),Motore_Operativo!C354&lt;EDATE(Parametri_v3!$C$24,Parametri_v3!$C$25+Ipotesi!H14*12)),MAX(0,(IF(50-(INT((Ipotesi!$C$91)/30))&lt;1,0,INDEX(Motore_Operativo!$BO$305:$BO$364,MAX(1,50-(INT((Ipotesi!$C$91)/30)))))*(1-(MOD((Ipotesi!$C$91),30)/30))+IF(50-(INT((Ipotesi!$C$91)/30))-1&lt;1,0,INDEX(Motore_Operativo!$BO$305:$BO$364,MAX(1,50-(INT((Ipotesi!$C$91)/30))-1)))*(MOD((Ipotesi!$C$91),30)/30)))*Piano_SS!$D$10,0))</f>
        <v>30000</v>
      </c>
      <c r="CA354" s="15" t="n">
        <f aca="false">SUM(BV354:BZ354)</f>
        <v>461058.923007084</v>
      </c>
      <c r="CB354" s="15" t="n">
        <f aca="false">BV354*(1-Piano_SS!$E$6)+BW354*(1-Piano_SS!$E$7)+BX354*(1-Piano_SS!$E$8)+BY354*(1-Piano_SS!$E$9)+BZ354*(1-Piano_SS!$E$10)</f>
        <v>431058.923007084</v>
      </c>
      <c r="CC354" s="15" t="n">
        <f aca="false">(CC353)+BA354</f>
        <v>0</v>
      </c>
      <c r="CD354" s="15" t="n">
        <f aca="false">IF(CA354=0,0,CC354*CB354/CA354*Ipotesi!$C$103*Parametri_v3!$C$64)</f>
        <v>0</v>
      </c>
      <c r="CE354" s="18" t="n">
        <f aca="false">IF(BA354&gt;0,Motore_Operativo!C354,(CE353))</f>
        <v>0</v>
      </c>
      <c r="CF354" s="18" t="n">
        <f aca="false">IF(AND(CC354&gt;0,OR(CC354&gt;=CG354-0.01,Motore_Operativo!C354&gt;=EDATE(MAX(Finanziamenti!$D$15:$D$17),Ipotesi!H14*12))),CE354,0)</f>
        <v>0</v>
      </c>
      <c r="CG354" s="15" t="n">
        <f aca="false">IF(AND(6&lt;&gt;6,6&lt;&gt;9,Finanziamenti!$F$11=1,OR(Parametri_v3!$C$6=0,Finanziamenti!$E$11=1)),MIN(Finanziamenti!$C$11,Piano_SS!$C$12*Ipotesi!$C$102),0)</f>
        <v>0</v>
      </c>
      <c r="CH354" s="15" t="n">
        <f aca="false">IF(AND(AND(6&lt;&gt;8,6&lt;&gt;9,Finanziamenti!$F$10=1,OR(Parametri_v3!$C$6=0,Finanziamenti!$E$10=1)),Motore_Operativo!C354&gt;=Finanziamenti!$D$10,Motore_Operativo!C354&lt;Parametri_v3!$C$63),Finanziamenti!$C$10,0)</f>
        <v>150000</v>
      </c>
    </row>
    <row r="355" customFormat="false" ht="18" hidden="false" customHeight="true" outlineLevel="0" collapsed="false">
      <c r="A355" s="68" t="n">
        <f aca="false">6</f>
        <v>6</v>
      </c>
      <c r="B355" s="68" t="n">
        <f aca="false">51</f>
        <v>51</v>
      </c>
      <c r="C355" s="18" t="n">
        <f aca="false">Motore_Operativo!C355</f>
        <v>47908</v>
      </c>
      <c r="D355" s="68" t="n">
        <f aca="false">Motore_Operativo!D355</f>
        <v>2031</v>
      </c>
      <c r="E355" s="68" t="n">
        <f aca="false">Motore_Operativo!E355</f>
        <v>3</v>
      </c>
      <c r="F355" s="15" t="n">
        <f aca="false">Motore_Operativo!AQ355+Motore_Operativo!BF355</f>
        <v>176470.190518164</v>
      </c>
      <c r="G355" s="15" t="n">
        <f aca="false">Motore_Operativo!BH355</f>
        <v>11595.8333333333</v>
      </c>
      <c r="H355" s="15" t="n">
        <f aca="false">Motore_Operativo!BI355</f>
        <v>188066.023851497</v>
      </c>
      <c r="I355" s="15" t="n">
        <f aca="false">Motore_Operativo!CA355</f>
        <v>197365.196660043</v>
      </c>
      <c r="J355" s="15" t="n">
        <f aca="false">Motore_Operativo!CC355</f>
        <v>-9299.17280854564</v>
      </c>
      <c r="K355" s="15" t="n">
        <f aca="false">Motore_Operativo!CE355</f>
        <v>4166.66666666667</v>
      </c>
      <c r="L355" s="15" t="n">
        <f aca="false">SUM(INDEX($K$305:$K$364,MAX(1,51-Parametri_v3!$C$59+1)):K355)/Parametri_v3!$C$59</f>
        <v>2812.5</v>
      </c>
      <c r="M355" s="15" t="n">
        <f aca="false">J355-L355</f>
        <v>-12111.6728085456</v>
      </c>
      <c r="N355" s="15" t="n">
        <f aca="false">CD355-(CD354)</f>
        <v>0</v>
      </c>
      <c r="O355" s="15" t="n">
        <f aca="false">(BG354)*Ipotesi!$C$110/12+CH355*Parametri_v3!$C$39/12</f>
        <v>750</v>
      </c>
      <c r="P355" s="15" t="n">
        <f aca="false">M355+N355-O355</f>
        <v>-12861.6728085456</v>
      </c>
      <c r="Q355" s="15" t="n">
        <f aca="false">SUM(P353:P355)+Parametri_v3!$C$54*3/12</f>
        <v>-45202.8407534765</v>
      </c>
      <c r="R355" s="15" t="n">
        <f aca="false">Z352</f>
        <v>1115328.80104631</v>
      </c>
      <c r="S355" s="15" t="n">
        <f aca="false">AA352</f>
        <v>314765.278796219</v>
      </c>
      <c r="T355" s="15" t="n">
        <f aca="false">MIN(R355,MAX(0,Q355))</f>
        <v>0</v>
      </c>
      <c r="U355" s="15" t="n">
        <f aca="false">MIN(S355,MAX(0,Q355-T355)*Parametri_v3!$C$42)</f>
        <v>0</v>
      </c>
      <c r="V355" s="15" t="n">
        <f aca="false">MAX(0,Q355-T355-U355)*Ipotesi!$C$92</f>
        <v>0</v>
      </c>
      <c r="W355" s="15" t="n">
        <f aca="false">MAX(0,SUM(M353:M355)+Parametri_v3!$C$55*3/12)*Ipotesi!$C$93</f>
        <v>0</v>
      </c>
      <c r="X355" s="15" t="n">
        <f aca="false">V355+W355-(V354+W354)</f>
        <v>0</v>
      </c>
      <c r="Y355" s="15" t="n">
        <f aca="false">P355-X355</f>
        <v>-12861.6728085456</v>
      </c>
      <c r="Z355" s="15" t="n">
        <f aca="false">R355-T355+IF(AND(Parametri_v3!$C$40=1,D355-YEAR(Parametri_v3!$C$50)&lt;Parametri_v3!$C$41),MAX(0,-Q355),0)</f>
        <v>1115328.80104631</v>
      </c>
      <c r="AA355" s="15" t="n">
        <f aca="false">S355-U355+IF(AND(Parametri_v3!$C$40=1,D355-YEAR(Parametri_v3!$C$50)&lt;Parametri_v3!$C$41),0,MAX(0,-Q355))</f>
        <v>359968.119549695</v>
      </c>
      <c r="AB355" s="15" t="n">
        <f aca="false">F355*(1+Parametri_v3!$C$26)</f>
        <v>215293.63243216</v>
      </c>
      <c r="AC355" s="15" t="n">
        <f aca="false">(IF(51-(INT((Motore_Operativo!L355)/30))&lt;1,0,INDEX(Motore_Startup!$AB$305:$AB$364,MAX(1,51-(INT((Motore_Operativo!L355)/30)))))*(1-(MOD((Motore_Operativo!L355),30)/30))+IF(51-(INT((Motore_Operativo!L355)/30))-1&lt;1,0,INDEX(Motore_Startup!$AB$305:$AB$364,MAX(1,51-(INT((Motore_Operativo!L355)/30))-1)))*(MOD((Motore_Operativo!L355),30)/30))</f>
        <v>171737.218463673</v>
      </c>
      <c r="AD355" s="15" t="n">
        <f aca="false">(AD354)+AB355-AC355</f>
        <v>636246.538231922</v>
      </c>
      <c r="AE355" s="15" t="n">
        <f aca="false">Motore_Operativo!BH355*(1+Parametri_v3!$C$26)</f>
        <v>14146.9166666667</v>
      </c>
      <c r="AF355" s="15" t="n">
        <f aca="false">(IF(51-(INT((Parametri_v3!$C$29)/30))&lt;1,0,INDEX(Motore_Operativo!$BH$305:$BH$364,MAX(1,51-(INT((Parametri_v3!$C$29)/30)))))*(1-(MOD((Parametri_v3!$C$29),30)/30))+IF(51-(INT((Parametri_v3!$C$29)/30))-1&lt;1,0,INDEX(Motore_Operativo!$BH$305:$BH$364,MAX(1,51-(INT((Parametri_v3!$C$29)/30))-1)))*(MOD((Parametri_v3!$C$29),30)/30))*(1+Parametri_v3!$C$26)</f>
        <v>14146.9166666667</v>
      </c>
      <c r="AG355" s="15" t="n">
        <f aca="false">(AG354)+AE355-AF355</f>
        <v>14146.9166666667</v>
      </c>
      <c r="AH355" s="15" t="n">
        <f aca="false">(Motore_Operativo!CJ355)*(1+Parametri_v3!$C$27*Parametri_v3!$C$26)</f>
        <v>92452.8997186419</v>
      </c>
      <c r="AI355" s="15" t="n">
        <f aca="false">(IF(51-(INT((Ipotesi!$C$91)/30))&lt;1,0,INDEX(Motore_Startup!$AH$305:$AH$364,MAX(1,51-(INT((Ipotesi!$C$91)/30)))))*(1-(MOD((Ipotesi!$C$91),30)/30))+IF(51-(INT((Ipotesi!$C$91)/30))-1&lt;1,0,INDEX(Motore_Startup!$AH$305:$AH$364,MAX(1,51-(INT((Ipotesi!$C$91)/30))-1)))*(MOD((Ipotesi!$C$91),30)/30))</f>
        <v>91576.7335595619</v>
      </c>
      <c r="AJ355" s="15" t="n">
        <f aca="false">(AJ354)+AH355-AI355</f>
        <v>184469.639539521</v>
      </c>
      <c r="AK355" s="15" t="n">
        <f aca="false">(F355+ Motore_Operativo!BH355-(Motore_Operativo!CJ355)*Parametri_v3!$C$27-Motore_Operativo!CE355)*Parametri_v3!$C$26</f>
        <v>25892.8272012306</v>
      </c>
      <c r="AL355" s="15" t="n">
        <f aca="false">MAX(0,(AM354))</f>
        <v>25384.1227158267</v>
      </c>
      <c r="AM355" s="15" t="n">
        <f aca="false">(AM354)+AK355-AL355</f>
        <v>25892.8272012306</v>
      </c>
      <c r="AN355" s="15" t="n">
        <f aca="false">SUM(X341:X352)</f>
        <v>0</v>
      </c>
      <c r="AO355" s="15" t="n">
        <f aca="false">SUM(AP341:AP352)</f>
        <v>0</v>
      </c>
      <c r="AP355" s="15" t="n">
        <f aca="false">MAX(0,AN355)*IF(3=Parametri_v3!$C$43,Parametri_v3!$C$45,IF(3=Parametri_v3!$C$44,1-Parametri_v3!$C$45,0))</f>
        <v>0</v>
      </c>
      <c r="AQ355" s="15" t="n">
        <f aca="false">MAX(0,AP355+IF(3=Parametri_v3!$C$43,MAX(0,AN355-AO355),0)-MAX(0,-(AR354)))</f>
        <v>0</v>
      </c>
      <c r="AR355" s="15" t="n">
        <f aca="false">(AR354)+X355-AQ355</f>
        <v>0</v>
      </c>
      <c r="AS355" s="15" t="n">
        <f aca="false">Motore_Operativo!AB355-AT355+AU355</f>
        <v>113503.461904792</v>
      </c>
      <c r="AT355" s="15" t="n">
        <f aca="false">Motore_Operativo!CH355</f>
        <v>5973.86641604167</v>
      </c>
      <c r="AU355" s="15" t="n">
        <f aca="false">MIN(MAX(0,(AV354)+AT355),Parametri_v3!$C$60/12)</f>
        <v>0</v>
      </c>
      <c r="AV355" s="15" t="n">
        <f aca="false">(AV354)+AT355-AU355</f>
        <v>154977.149623125</v>
      </c>
      <c r="AW355" s="15" t="n">
        <f aca="false">IF(AND(Motore_Operativo!C355=Finanziamenti!$D$6,Finanziamenti!$F$6=1),Finanziamenti!$C$6,0)</f>
        <v>0</v>
      </c>
      <c r="AX355" s="15" t="n">
        <f aca="false">IF(AND(6&lt;&gt;7,6&lt;&gt;9,Finanziamenti!$F$8=1,OR(Parametri_v3!$C$6=0,Finanziamenti!$E$8=1),Motore_Operativo!C355=EDATE(Finanziamenti!$D$8,Ipotesi!H15*12)),Finanziamenti!$C$8*1,0)+IF(AND(6&lt;&gt;7,6&lt;&gt;9,Finanziamenti!$F$9=1,OR(Parametri_v3!$C$6=0,Finanziamenti!$E$9=1),Motore_Operativo!C355=EDATE(Finanziamenti!$D$9,Ipotesi!H15*12)),Finanziamenti!$C$9*Ipotesi!H16,0)</f>
        <v>0</v>
      </c>
      <c r="AY355" s="15" t="n">
        <f aca="false">0</f>
        <v>0</v>
      </c>
      <c r="AZ355" s="15" t="n">
        <f aca="false">Motore_Advisory!AY355*(1-Ipotesi!$C$95)*Ipotesi!$C$96</f>
        <v>0</v>
      </c>
      <c r="BA355" s="15" t="n">
        <f aca="false">MAX(0,MIN(CG355*MIN(1,IF(Motore_Operativo!C355&gt;=EDATE(Finanziamenti!$D$15,Ipotesi!H14*12),Finanziamenti!$C$15,0)+IF(Motore_Operativo!C355&gt;=EDATE(Finanziamenti!$D$16,Ipotesi!H14*12),Finanziamenti!$C$16,0)+IF(Motore_Operativo!C355&gt;=EDATE(Finanziamenti!$D$17,Ipotesi!H14*12),Finanziamenti!$C$17,0)),CA355*Ipotesi!$C$102)-(CC354))</f>
        <v>0</v>
      </c>
      <c r="BB355" s="15" t="n">
        <f aca="false">IF(AND(CF355&gt;0,Motore_Operativo!C355&gt;=IF(CF355=0,0,EDATE(CF355,Parametri_v3!$C$37)),MOD(((D355-YEAR(IF(CF355=0,0,EDATE(CF355,Parametri_v3!$C$37))))*12+E355-MONTH(IF(CF355=0,0,EDATE(CF355,Parametri_v3!$C$37)))),Parametri_v3!$C$38)=0),MIN(MAX(0,(BC354)+BA355-N355),(CC355-CD355)/(Ipotesi!$C$108*12/Parametri_v3!$C$38)),0)</f>
        <v>0</v>
      </c>
      <c r="BC355" s="15" t="n">
        <f aca="false">(BC354)+BA355-N355-BB355</f>
        <v>0</v>
      </c>
      <c r="BD355" s="15" t="n">
        <f aca="false">(BH354)+AC355+AF355-AI355-AS355-K355*(1+Parametri_v3!$C$26)-AL355-AQ355-O355+AW355+AX355+AZ355+BA355-BB355</f>
        <v>-300060.409502937</v>
      </c>
      <c r="BE355" s="15" t="n">
        <f aca="false">MAX(0,MIN(MAX(0,CH355-(BG354)),Parametri_v3!$C$30-BD355))</f>
        <v>0</v>
      </c>
      <c r="BF355" s="15" t="n">
        <f aca="false">IF(Motore_Operativo!C355&gt;=Parametri_v3!$C$63,(BG354),MIN((BG354),MAX(0,BD355-Parametri_v3!$C$30)))</f>
        <v>0</v>
      </c>
      <c r="BG355" s="15" t="n">
        <f aca="false">(BG354)+BE355-BF355</f>
        <v>150000</v>
      </c>
      <c r="BH355" s="15" t="n">
        <f aca="false">BD355+BE355-BF355-AY355</f>
        <v>-300060.409502937</v>
      </c>
      <c r="BI355" s="15" t="n">
        <f aca="false">MAX(0,Parametri_v3!$C$30-BH355)</f>
        <v>325060.409502937</v>
      </c>
      <c r="BJ355" s="15" t="n">
        <f aca="false">(BJ354)+K355</f>
        <v>127500</v>
      </c>
      <c r="BK355" s="15" t="n">
        <f aca="false">(BK354)+L355</f>
        <v>72083.3333333333</v>
      </c>
      <c r="BL355" s="15" t="n">
        <f aca="false">BJ355-BK355</f>
        <v>55416.6666666666</v>
      </c>
      <c r="BM355" s="15" t="n">
        <f aca="false">(BM354)+Y355</f>
        <v>-1475296.920596</v>
      </c>
      <c r="BN355" s="15" t="n">
        <f aca="false">(BN354)+AW355+AX355+AZ355</f>
        <v>1365707.01629444</v>
      </c>
      <c r="BO355" s="15" t="n">
        <f aca="false">(BO354)+AY355</f>
        <v>0</v>
      </c>
      <c r="BP355" s="15" t="n">
        <f aca="false">0</f>
        <v>0</v>
      </c>
      <c r="BQ355" s="15" t="n">
        <f aca="false">BN355+BM355-BO355</f>
        <v>-109589.904301557</v>
      </c>
      <c r="BR355" s="15" t="n">
        <f aca="false">BH355+AD355+BL355+MAX(0,-AM355)+MAX(0,-AR355)+AG355</f>
        <v>405749.712062319</v>
      </c>
      <c r="BS355" s="15" t="n">
        <f aca="false">AJ355+AV355+MAX(0,AM355)+MAX(0,AR355)+BC355+BG355+BQ355</f>
        <v>405749.712062319</v>
      </c>
      <c r="BT355" s="15" t="n">
        <f aca="false">BR355-BS355</f>
        <v>0</v>
      </c>
      <c r="BU355" s="15" t="n">
        <f aca="false">BH355-(BD355+BE355-BF355-AY355)</f>
        <v>0</v>
      </c>
      <c r="BV355" s="15" t="n">
        <f aca="false">MIN(Piano_SS!$C$6,(BV354)+IF(AND(Motore_Operativo!C355&gt;=EDATE(Parametri_v3!$C$24,Ipotesi!H14*12),Motore_Operativo!C355&lt;EDATE(Parametri_v3!$C$24,Parametri_v3!$C$25+Ipotesi!H14*12)),MAX(0,(Motore_Operativo!Y355+Motore_Operativo!X355*Parametri_v3!$C$14)*(1-Parametri_v3!$C$32))*Piano_SS!$D$6,0))</f>
        <v>300000</v>
      </c>
      <c r="BW355" s="15" t="n">
        <f aca="false">MIN(Piano_SS!$C$7,(BW354)+IF(AND(Motore_Operativo!C355&gt;=EDATE(Parametri_v3!$C$24,Ipotesi!H14*12),Motore_Operativo!C355&lt;EDATE(Parametri_v3!$C$24,Parametri_v3!$C$25+Ipotesi!H14*12)),MAX(0,(IF(51-(INT((Ipotesi!$C$91)/30))&lt;1,0,INDEX(Motore_Operativo!$BN$305:$BN$364,MAX(1,51-(INT((Ipotesi!$C$91)/30)))))*(1-(MOD((Ipotesi!$C$91),30)/30))+IF(51-(INT((Ipotesi!$C$91)/30))-1&lt;1,0,INDEX(Motore_Operativo!$BN$305:$BN$364,MAX(1,51-(INT((Ipotesi!$C$91)/30))-1)))*(MOD((Ipotesi!$C$91),30)/30)))*Piano_SS!$D$7,0))</f>
        <v>41058.9230070837</v>
      </c>
      <c r="BX355" s="15" t="n">
        <f aca="false">MIN(Piano_SS!$C$8,(BX354)+IF(AND(Motore_Operativo!C355&gt;=EDATE(Parametri_v3!$C$24,Ipotesi!H14*12),Motore_Operativo!C355&lt;EDATE(Parametri_v3!$C$24,Parametri_v3!$C$25+Ipotesi!H14*12)),MAX(0,Motore_Operativo!CE355)*Piano_SS!$D$8,0))</f>
        <v>50000</v>
      </c>
      <c r="BY355" s="15" t="n">
        <f aca="false">MIN(Piano_SS!$C$9,(BY354)+IF(AND(Motore_Operativo!C355&gt;=EDATE(Parametri_v3!$C$24,Ipotesi!H14*12),Motore_Operativo!C355&lt;EDATE(Parametri_v3!$C$24,Parametri_v3!$C$25+Ipotesi!H14*12)),MAX(0,((IF(51-(INT((Ipotesi!$C$91)/30))&lt;1,0,INDEX(Motore_Operativo!$BQ$305:$BQ$364,MAX(1,51-(INT((Ipotesi!$C$91)/30)))))*(1-(MOD((Ipotesi!$C$91),30)/30))+IF(51-(INT((Ipotesi!$C$91)/30))-1&lt;1,0,INDEX(Motore_Operativo!$BQ$305:$BQ$364,MAX(1,51-(INT((Ipotesi!$C$91)/30))-1)))*(MOD((Ipotesi!$C$91),30)/30))+(IF(51-(INT((Ipotesi!$C$91)/30))&lt;1,0,INDEX(Motore_Operativo!$BR$305:$BR$364,MAX(1,51-(INT((Ipotesi!$C$91)/30)))))*(1-(MOD((Ipotesi!$C$91),30)/30))+IF(51-(INT((Ipotesi!$C$91)/30))-1&lt;1,0,INDEX(Motore_Operativo!$BR$305:$BR$364,MAX(1,51-(INT((Ipotesi!$C$91)/30))-1)))*(MOD((Ipotesi!$C$91),30)/30))))*Piano_SS!$D$9,0))</f>
        <v>40000</v>
      </c>
      <c r="BZ355" s="15" t="n">
        <f aca="false">MIN(Piano_SS!$C$10,(BZ354)+IF(AND(Motore_Operativo!C355&gt;=EDATE(Parametri_v3!$C$24,Ipotesi!H14*12),Motore_Operativo!C355&lt;EDATE(Parametri_v3!$C$24,Parametri_v3!$C$25+Ipotesi!H14*12)),MAX(0,(IF(51-(INT((Ipotesi!$C$91)/30))&lt;1,0,INDEX(Motore_Operativo!$BO$305:$BO$364,MAX(1,51-(INT((Ipotesi!$C$91)/30)))))*(1-(MOD((Ipotesi!$C$91),30)/30))+IF(51-(INT((Ipotesi!$C$91)/30))-1&lt;1,0,INDEX(Motore_Operativo!$BO$305:$BO$364,MAX(1,51-(INT((Ipotesi!$C$91)/30))-1)))*(MOD((Ipotesi!$C$91),30)/30)))*Piano_SS!$D$10,0))</f>
        <v>30000</v>
      </c>
      <c r="CA355" s="15" t="n">
        <f aca="false">SUM(BV355:BZ355)</f>
        <v>461058.923007084</v>
      </c>
      <c r="CB355" s="15" t="n">
        <f aca="false">BV355*(1-Piano_SS!$E$6)+BW355*(1-Piano_SS!$E$7)+BX355*(1-Piano_SS!$E$8)+BY355*(1-Piano_SS!$E$9)+BZ355*(1-Piano_SS!$E$10)</f>
        <v>431058.923007084</v>
      </c>
      <c r="CC355" s="15" t="n">
        <f aca="false">(CC354)+BA355</f>
        <v>0</v>
      </c>
      <c r="CD355" s="15" t="n">
        <f aca="false">IF(CA355=0,0,CC355*CB355/CA355*Ipotesi!$C$103*Parametri_v3!$C$64)</f>
        <v>0</v>
      </c>
      <c r="CE355" s="18" t="n">
        <f aca="false">IF(BA355&gt;0,Motore_Operativo!C355,(CE354))</f>
        <v>0</v>
      </c>
      <c r="CF355" s="18" t="n">
        <f aca="false">IF(AND(CC355&gt;0,OR(CC355&gt;=CG355-0.01,Motore_Operativo!C355&gt;=EDATE(MAX(Finanziamenti!$D$15:$D$17),Ipotesi!H14*12))),CE355,0)</f>
        <v>0</v>
      </c>
      <c r="CG355" s="15" t="n">
        <f aca="false">IF(AND(6&lt;&gt;6,6&lt;&gt;9,Finanziamenti!$F$11=1,OR(Parametri_v3!$C$6=0,Finanziamenti!$E$11=1)),MIN(Finanziamenti!$C$11,Piano_SS!$C$12*Ipotesi!$C$102),0)</f>
        <v>0</v>
      </c>
      <c r="CH355" s="15" t="n">
        <f aca="false">IF(AND(AND(6&lt;&gt;8,6&lt;&gt;9,Finanziamenti!$F$10=1,OR(Parametri_v3!$C$6=0,Finanziamenti!$E$10=1)),Motore_Operativo!C355&gt;=Finanziamenti!$D$10,Motore_Operativo!C355&lt;Parametri_v3!$C$63),Finanziamenti!$C$10,0)</f>
        <v>150000</v>
      </c>
    </row>
    <row r="356" customFormat="false" ht="18" hidden="false" customHeight="true" outlineLevel="0" collapsed="false">
      <c r="A356" s="68" t="n">
        <f aca="false">6</f>
        <v>6</v>
      </c>
      <c r="B356" s="68" t="n">
        <f aca="false">52</f>
        <v>52</v>
      </c>
      <c r="C356" s="18" t="n">
        <f aca="false">Motore_Operativo!C356</f>
        <v>47939</v>
      </c>
      <c r="D356" s="68" t="n">
        <f aca="false">Motore_Operativo!D356</f>
        <v>2031</v>
      </c>
      <c r="E356" s="68" t="n">
        <f aca="false">Motore_Operativo!E356</f>
        <v>4</v>
      </c>
      <c r="F356" s="15" t="n">
        <f aca="false">Motore_Operativo!AQ356+Motore_Operativo!BF356</f>
        <v>179521.028119095</v>
      </c>
      <c r="G356" s="15" t="n">
        <f aca="false">Motore_Operativo!BH356</f>
        <v>11595.8333333333</v>
      </c>
      <c r="H356" s="15" t="n">
        <f aca="false">Motore_Operativo!BI356</f>
        <v>191116.861452429</v>
      </c>
      <c r="I356" s="15" t="n">
        <f aca="false">Motore_Operativo!CA356</f>
        <v>197792.313924173</v>
      </c>
      <c r="J356" s="15" t="n">
        <f aca="false">Motore_Operativo!CC356</f>
        <v>-6675.45247174462</v>
      </c>
      <c r="K356" s="15" t="n">
        <f aca="false">Motore_Operativo!CE356</f>
        <v>4166.66666666667</v>
      </c>
      <c r="L356" s="15" t="n">
        <f aca="false">SUM(INDEX($K$305:$K$364,MAX(1,52-Parametri_v3!$C$59+1)):K356)/Parametri_v3!$C$59</f>
        <v>2870.37037037037</v>
      </c>
      <c r="M356" s="15" t="n">
        <f aca="false">J356-L356</f>
        <v>-9545.82284211499</v>
      </c>
      <c r="N356" s="15" t="n">
        <f aca="false">CD356-(CD355)</f>
        <v>0</v>
      </c>
      <c r="O356" s="15" t="n">
        <f aca="false">(BG355)*Ipotesi!$C$110/12+CH356*Parametri_v3!$C$39/12</f>
        <v>750</v>
      </c>
      <c r="P356" s="15" t="n">
        <f aca="false">M356+N356-O356</f>
        <v>-10295.822842115</v>
      </c>
      <c r="Q356" s="15" t="n">
        <f aca="false">SUM(P353:P356)+Parametri_v3!$C$54*4/12</f>
        <v>-55498.6635955915</v>
      </c>
      <c r="R356" s="15" t="n">
        <f aca="false">Z352</f>
        <v>1115328.80104631</v>
      </c>
      <c r="S356" s="15" t="n">
        <f aca="false">AA352</f>
        <v>314765.278796219</v>
      </c>
      <c r="T356" s="15" t="n">
        <f aca="false">MIN(R356,MAX(0,Q356))</f>
        <v>0</v>
      </c>
      <c r="U356" s="15" t="n">
        <f aca="false">MIN(S356,MAX(0,Q356-T356)*Parametri_v3!$C$42)</f>
        <v>0</v>
      </c>
      <c r="V356" s="15" t="n">
        <f aca="false">MAX(0,Q356-T356-U356)*Ipotesi!$C$92</f>
        <v>0</v>
      </c>
      <c r="W356" s="15" t="n">
        <f aca="false">MAX(0,SUM(M353:M356)+Parametri_v3!$C$55*4/12)*Ipotesi!$C$93</f>
        <v>0</v>
      </c>
      <c r="X356" s="15" t="n">
        <f aca="false">V356+W356-(V355+W355)</f>
        <v>0</v>
      </c>
      <c r="Y356" s="15" t="n">
        <f aca="false">P356-X356</f>
        <v>-10295.822842115</v>
      </c>
      <c r="Z356" s="15" t="n">
        <f aca="false">R356-T356+IF(AND(Parametri_v3!$C$40=1,D356-YEAR(Parametri_v3!$C$50)&lt;Parametri_v3!$C$41),MAX(0,-Q356),0)</f>
        <v>1115328.80104631</v>
      </c>
      <c r="AA356" s="15" t="n">
        <f aca="false">S356-U356+IF(AND(Parametri_v3!$C$40=1,D356-YEAR(Parametri_v3!$C$50)&lt;Parametri_v3!$C$41),0,MAX(0,-Q356))</f>
        <v>370263.94239181</v>
      </c>
      <c r="AB356" s="15" t="n">
        <f aca="false">F356*(1+Parametri_v3!$C$26)</f>
        <v>219015.654305296</v>
      </c>
      <c r="AC356" s="15" t="n">
        <f aca="false">(IF(52-(INT((Motore_Operativo!L356)/30))&lt;1,0,INDEX(Motore_Startup!$AB$305:$AB$364,MAX(1,52-(INT((Motore_Operativo!L356)/30)))))*(1-(MOD((Motore_Operativo!L356),30)/30))+IF(52-(INT((Motore_Operativo!L356)/30))-1&lt;1,0,INDEX(Motore_Startup!$AB$305:$AB$364,MAX(1,52-(INT((Motore_Operativo!L356)/30))-1)))*(MOD((Motore_Operativo!L356),30)/30))</f>
        <v>208861.313777223</v>
      </c>
      <c r="AD356" s="15" t="n">
        <f aca="false">(AD355)+AB356-AC356</f>
        <v>646400.878759996</v>
      </c>
      <c r="AE356" s="15" t="n">
        <f aca="false">Motore_Operativo!BH356*(1+Parametri_v3!$C$26)</f>
        <v>14146.9166666667</v>
      </c>
      <c r="AF356" s="15" t="n">
        <f aca="false">(IF(52-(INT((Parametri_v3!$C$29)/30))&lt;1,0,INDEX(Motore_Operativo!$BH$305:$BH$364,MAX(1,52-(INT((Parametri_v3!$C$29)/30)))))*(1-(MOD((Parametri_v3!$C$29),30)/30))+IF(52-(INT((Parametri_v3!$C$29)/30))-1&lt;1,0,INDEX(Motore_Operativo!$BH$305:$BH$364,MAX(1,52-(INT((Parametri_v3!$C$29)/30))-1)))*(MOD((Parametri_v3!$C$29),30)/30))*(1+Parametri_v3!$C$26)</f>
        <v>14146.9166666667</v>
      </c>
      <c r="AG356" s="15" t="n">
        <f aca="false">(AG355)+AE356-AF356</f>
        <v>14146.9166666667</v>
      </c>
      <c r="AH356" s="15" t="n">
        <f aca="false">(Motore_Operativo!CJ356)*(1+Parametri_v3!$C$27*Parametri_v3!$C$26)</f>
        <v>92959.8879111646</v>
      </c>
      <c r="AI356" s="15" t="n">
        <f aca="false">(IF(52-(INT((Ipotesi!$C$91)/30))&lt;1,0,INDEX(Motore_Startup!$AH$305:$AH$364,MAX(1,52-(INT((Ipotesi!$C$91)/30)))))*(1-(MOD((Ipotesi!$C$91),30)/30))+IF(52-(INT((Ipotesi!$C$91)/30))-1&lt;1,0,INDEX(Motore_Startup!$AH$305:$AH$364,MAX(1,52-(INT((Ipotesi!$C$91)/30))-1)))*(MOD((Ipotesi!$C$91),30)/30))</f>
        <v>92016.7398208789</v>
      </c>
      <c r="AJ356" s="15" t="n">
        <f aca="false">(AJ355)+AH356-AI356</f>
        <v>185412.787629806</v>
      </c>
      <c r="AK356" s="15" t="n">
        <f aca="false">(F356+ Motore_Operativo!BH356-(Motore_Operativo!CJ356)*Parametri_v3!$C$27-Motore_Operativo!CE356)*Parametri_v3!$C$26</f>
        <v>26484.1405450431</v>
      </c>
      <c r="AL356" s="15" t="n">
        <f aca="false">MAX(0,(AM355))</f>
        <v>25892.8272012306</v>
      </c>
      <c r="AM356" s="15" t="n">
        <f aca="false">(AM355)+AK356-AL356</f>
        <v>26484.1405450431</v>
      </c>
      <c r="AN356" s="15" t="n">
        <f aca="false">SUM(X341:X352)</f>
        <v>0</v>
      </c>
      <c r="AO356" s="15" t="n">
        <f aca="false">SUM(AP341:AP352)</f>
        <v>0</v>
      </c>
      <c r="AP356" s="15" t="n">
        <f aca="false">MAX(0,AN356)*IF(4=Parametri_v3!$C$43,Parametri_v3!$C$45,IF(4=Parametri_v3!$C$44,1-Parametri_v3!$C$45,0))</f>
        <v>0</v>
      </c>
      <c r="AQ356" s="15" t="n">
        <f aca="false">MAX(0,AP356+IF(4=Parametri_v3!$C$43,MAX(0,AN356-AO356),0)-MAX(0,-(AR355)))</f>
        <v>0</v>
      </c>
      <c r="AR356" s="15" t="n">
        <f aca="false">(AR355)+X356-AQ356</f>
        <v>0</v>
      </c>
      <c r="AS356" s="15" t="n">
        <f aca="false">Motore_Operativo!AB356-AT356+AU356</f>
        <v>113503.461904792</v>
      </c>
      <c r="AT356" s="15" t="n">
        <f aca="false">Motore_Operativo!CH356</f>
        <v>5973.86641604167</v>
      </c>
      <c r="AU356" s="15" t="n">
        <f aca="false">MIN(MAX(0,(AV355)+AT356),Parametri_v3!$C$60/12)</f>
        <v>0</v>
      </c>
      <c r="AV356" s="15" t="n">
        <f aca="false">(AV355)+AT356-AU356</f>
        <v>160951.016039167</v>
      </c>
      <c r="AW356" s="15" t="n">
        <f aca="false">IF(AND(Motore_Operativo!C356=Finanziamenti!$D$6,Finanziamenti!$F$6=1),Finanziamenti!$C$6,0)</f>
        <v>0</v>
      </c>
      <c r="AX356" s="15" t="n">
        <f aca="false">IF(AND(6&lt;&gt;7,6&lt;&gt;9,Finanziamenti!$F$8=1,OR(Parametri_v3!$C$6=0,Finanziamenti!$E$8=1),Motore_Operativo!C356=EDATE(Finanziamenti!$D$8,Ipotesi!H15*12)),Finanziamenti!$C$8*1,0)+IF(AND(6&lt;&gt;7,6&lt;&gt;9,Finanziamenti!$F$9=1,OR(Parametri_v3!$C$6=0,Finanziamenti!$E$9=1),Motore_Operativo!C356=EDATE(Finanziamenti!$D$9,Ipotesi!H15*12)),Finanziamenti!$C$9*Ipotesi!H16,0)</f>
        <v>0</v>
      </c>
      <c r="AY356" s="15" t="n">
        <f aca="false">0</f>
        <v>0</v>
      </c>
      <c r="AZ356" s="15" t="n">
        <f aca="false">Motore_Advisory!AY356*(1-Ipotesi!$C$95)*Ipotesi!$C$96</f>
        <v>0</v>
      </c>
      <c r="BA356" s="15" t="n">
        <f aca="false">MAX(0,MIN(CG356*MIN(1,IF(Motore_Operativo!C356&gt;=EDATE(Finanziamenti!$D$15,Ipotesi!H14*12),Finanziamenti!$C$15,0)+IF(Motore_Operativo!C356&gt;=EDATE(Finanziamenti!$D$16,Ipotesi!H14*12),Finanziamenti!$C$16,0)+IF(Motore_Operativo!C356&gt;=EDATE(Finanziamenti!$D$17,Ipotesi!H14*12),Finanziamenti!$C$17,0)),CA356*Ipotesi!$C$102)-(CC355))</f>
        <v>0</v>
      </c>
      <c r="BB356" s="15" t="n">
        <f aca="false">IF(AND(CF356&gt;0,Motore_Operativo!C356&gt;=IF(CF356=0,0,EDATE(CF356,Parametri_v3!$C$37)),MOD(((D356-YEAR(IF(CF356=0,0,EDATE(CF356,Parametri_v3!$C$37))))*12+E356-MONTH(IF(CF356=0,0,EDATE(CF356,Parametri_v3!$C$37)))),Parametri_v3!$C$38)=0),MIN(MAX(0,(BC355)+BA356-N356),(CC356-CD356)/(Ipotesi!$C$108*12/Parametri_v3!$C$38)),0)</f>
        <v>0</v>
      </c>
      <c r="BC356" s="15" t="n">
        <f aca="false">(BC355)+BA356-N356-BB356</f>
        <v>0</v>
      </c>
      <c r="BD356" s="15" t="n">
        <f aca="false">(BH355)+AC356+AF356-AI356-AS356-K356*(1+Parametri_v3!$C$26)-AL356-AQ356-O356+AW356+AX356+AZ356+BA356-BB356</f>
        <v>-314298.541319282</v>
      </c>
      <c r="BE356" s="15" t="n">
        <f aca="false">MAX(0,MIN(MAX(0,CH356-(BG355)),Parametri_v3!$C$30-BD356))</f>
        <v>0</v>
      </c>
      <c r="BF356" s="15" t="n">
        <f aca="false">IF(Motore_Operativo!C356&gt;=Parametri_v3!$C$63,(BG355),MIN((BG355),MAX(0,BD356-Parametri_v3!$C$30)))</f>
        <v>0</v>
      </c>
      <c r="BG356" s="15" t="n">
        <f aca="false">(BG355)+BE356-BF356</f>
        <v>150000</v>
      </c>
      <c r="BH356" s="15" t="n">
        <f aca="false">BD356+BE356-BF356-AY356</f>
        <v>-314298.541319282</v>
      </c>
      <c r="BI356" s="15" t="n">
        <f aca="false">MAX(0,Parametri_v3!$C$30-BH356)</f>
        <v>339298.541319282</v>
      </c>
      <c r="BJ356" s="15" t="n">
        <f aca="false">(BJ355)+K356</f>
        <v>131666.666666667</v>
      </c>
      <c r="BK356" s="15" t="n">
        <f aca="false">(BK355)+L356</f>
        <v>74953.7037037037</v>
      </c>
      <c r="BL356" s="15" t="n">
        <f aca="false">BJ356-BK356</f>
        <v>56712.9629629629</v>
      </c>
      <c r="BM356" s="15" t="n">
        <f aca="false">(BM355)+Y356</f>
        <v>-1485592.74343812</v>
      </c>
      <c r="BN356" s="15" t="n">
        <f aca="false">(BN355)+AW356+AX356+AZ356</f>
        <v>1365707.01629444</v>
      </c>
      <c r="BO356" s="15" t="n">
        <f aca="false">(BO355)+AY356</f>
        <v>0</v>
      </c>
      <c r="BP356" s="15" t="n">
        <f aca="false">0</f>
        <v>0</v>
      </c>
      <c r="BQ356" s="15" t="n">
        <f aca="false">BN356+BM356-BO356</f>
        <v>-119885.727143672</v>
      </c>
      <c r="BR356" s="15" t="n">
        <f aca="false">BH356+AD356+BL356+MAX(0,-AM356)+MAX(0,-AR356)+AG356</f>
        <v>402962.217070344</v>
      </c>
      <c r="BS356" s="15" t="n">
        <f aca="false">AJ356+AV356+MAX(0,AM356)+MAX(0,AR356)+BC356+BG356+BQ356</f>
        <v>402962.217070344</v>
      </c>
      <c r="BT356" s="15" t="n">
        <f aca="false">BR356-BS356</f>
        <v>0</v>
      </c>
      <c r="BU356" s="15" t="n">
        <f aca="false">BH356-(BD356+BE356-BF356-AY356)</f>
        <v>0</v>
      </c>
      <c r="BV356" s="15" t="n">
        <f aca="false">MIN(Piano_SS!$C$6,(BV355)+IF(AND(Motore_Operativo!C356&gt;=EDATE(Parametri_v3!$C$24,Ipotesi!H14*12),Motore_Operativo!C356&lt;EDATE(Parametri_v3!$C$24,Parametri_v3!$C$25+Ipotesi!H14*12)),MAX(0,(Motore_Operativo!Y356+Motore_Operativo!X356*Parametri_v3!$C$14)*(1-Parametri_v3!$C$32))*Piano_SS!$D$6,0))</f>
        <v>300000</v>
      </c>
      <c r="BW356" s="15" t="n">
        <f aca="false">MIN(Piano_SS!$C$7,(BW355)+IF(AND(Motore_Operativo!C356&gt;=EDATE(Parametri_v3!$C$24,Ipotesi!H14*12),Motore_Operativo!C356&lt;EDATE(Parametri_v3!$C$24,Parametri_v3!$C$25+Ipotesi!H14*12)),MAX(0,(IF(52-(INT((Ipotesi!$C$91)/30))&lt;1,0,INDEX(Motore_Operativo!$BN$305:$BN$364,MAX(1,52-(INT((Ipotesi!$C$91)/30)))))*(1-(MOD((Ipotesi!$C$91),30)/30))+IF(52-(INT((Ipotesi!$C$91)/30))-1&lt;1,0,INDEX(Motore_Operativo!$BN$305:$BN$364,MAX(1,52-(INT((Ipotesi!$C$91)/30))-1)))*(MOD((Ipotesi!$C$91),30)/30)))*Piano_SS!$D$7,0))</f>
        <v>41058.9230070837</v>
      </c>
      <c r="BX356" s="15" t="n">
        <f aca="false">MIN(Piano_SS!$C$8,(BX355)+IF(AND(Motore_Operativo!C356&gt;=EDATE(Parametri_v3!$C$24,Ipotesi!H14*12),Motore_Operativo!C356&lt;EDATE(Parametri_v3!$C$24,Parametri_v3!$C$25+Ipotesi!H14*12)),MAX(0,Motore_Operativo!CE356)*Piano_SS!$D$8,0))</f>
        <v>50000</v>
      </c>
      <c r="BY356" s="15" t="n">
        <f aca="false">MIN(Piano_SS!$C$9,(BY355)+IF(AND(Motore_Operativo!C356&gt;=EDATE(Parametri_v3!$C$24,Ipotesi!H14*12),Motore_Operativo!C356&lt;EDATE(Parametri_v3!$C$24,Parametri_v3!$C$25+Ipotesi!H14*12)),MAX(0,((IF(52-(INT((Ipotesi!$C$91)/30))&lt;1,0,INDEX(Motore_Operativo!$BQ$305:$BQ$364,MAX(1,52-(INT((Ipotesi!$C$91)/30)))))*(1-(MOD((Ipotesi!$C$91),30)/30))+IF(52-(INT((Ipotesi!$C$91)/30))-1&lt;1,0,INDEX(Motore_Operativo!$BQ$305:$BQ$364,MAX(1,52-(INT((Ipotesi!$C$91)/30))-1)))*(MOD((Ipotesi!$C$91),30)/30))+(IF(52-(INT((Ipotesi!$C$91)/30))&lt;1,0,INDEX(Motore_Operativo!$BR$305:$BR$364,MAX(1,52-(INT((Ipotesi!$C$91)/30)))))*(1-(MOD((Ipotesi!$C$91),30)/30))+IF(52-(INT((Ipotesi!$C$91)/30))-1&lt;1,0,INDEX(Motore_Operativo!$BR$305:$BR$364,MAX(1,52-(INT((Ipotesi!$C$91)/30))-1)))*(MOD((Ipotesi!$C$91),30)/30))))*Piano_SS!$D$9,0))</f>
        <v>40000</v>
      </c>
      <c r="BZ356" s="15" t="n">
        <f aca="false">MIN(Piano_SS!$C$10,(BZ355)+IF(AND(Motore_Operativo!C356&gt;=EDATE(Parametri_v3!$C$24,Ipotesi!H14*12),Motore_Operativo!C356&lt;EDATE(Parametri_v3!$C$24,Parametri_v3!$C$25+Ipotesi!H14*12)),MAX(0,(IF(52-(INT((Ipotesi!$C$91)/30))&lt;1,0,INDEX(Motore_Operativo!$BO$305:$BO$364,MAX(1,52-(INT((Ipotesi!$C$91)/30)))))*(1-(MOD((Ipotesi!$C$91),30)/30))+IF(52-(INT((Ipotesi!$C$91)/30))-1&lt;1,0,INDEX(Motore_Operativo!$BO$305:$BO$364,MAX(1,52-(INT((Ipotesi!$C$91)/30))-1)))*(MOD((Ipotesi!$C$91),30)/30)))*Piano_SS!$D$10,0))</f>
        <v>30000</v>
      </c>
      <c r="CA356" s="15" t="n">
        <f aca="false">SUM(BV356:BZ356)</f>
        <v>461058.923007084</v>
      </c>
      <c r="CB356" s="15" t="n">
        <f aca="false">BV356*(1-Piano_SS!$E$6)+BW356*(1-Piano_SS!$E$7)+BX356*(1-Piano_SS!$E$8)+BY356*(1-Piano_SS!$E$9)+BZ356*(1-Piano_SS!$E$10)</f>
        <v>431058.923007084</v>
      </c>
      <c r="CC356" s="15" t="n">
        <f aca="false">(CC355)+BA356</f>
        <v>0</v>
      </c>
      <c r="CD356" s="15" t="n">
        <f aca="false">IF(CA356=0,0,CC356*CB356/CA356*Ipotesi!$C$103*Parametri_v3!$C$64)</f>
        <v>0</v>
      </c>
      <c r="CE356" s="18" t="n">
        <f aca="false">IF(BA356&gt;0,Motore_Operativo!C356,(CE355))</f>
        <v>0</v>
      </c>
      <c r="CF356" s="18" t="n">
        <f aca="false">IF(AND(CC356&gt;0,OR(CC356&gt;=CG356-0.01,Motore_Operativo!C356&gt;=EDATE(MAX(Finanziamenti!$D$15:$D$17),Ipotesi!H14*12))),CE356,0)</f>
        <v>0</v>
      </c>
      <c r="CG356" s="15" t="n">
        <f aca="false">IF(AND(6&lt;&gt;6,6&lt;&gt;9,Finanziamenti!$F$11=1,OR(Parametri_v3!$C$6=0,Finanziamenti!$E$11=1)),MIN(Finanziamenti!$C$11,Piano_SS!$C$12*Ipotesi!$C$102),0)</f>
        <v>0</v>
      </c>
      <c r="CH356" s="15" t="n">
        <f aca="false">IF(AND(AND(6&lt;&gt;8,6&lt;&gt;9,Finanziamenti!$F$10=1,OR(Parametri_v3!$C$6=0,Finanziamenti!$E$10=1)),Motore_Operativo!C356&gt;=Finanziamenti!$D$10,Motore_Operativo!C356&lt;Parametri_v3!$C$63),Finanziamenti!$C$10,0)</f>
        <v>150000</v>
      </c>
    </row>
    <row r="357" customFormat="false" ht="18" hidden="false" customHeight="true" outlineLevel="0" collapsed="false">
      <c r="A357" s="68" t="n">
        <f aca="false">6</f>
        <v>6</v>
      </c>
      <c r="B357" s="68" t="n">
        <f aca="false">53</f>
        <v>53</v>
      </c>
      <c r="C357" s="18" t="n">
        <f aca="false">Motore_Operativo!C357</f>
        <v>47969</v>
      </c>
      <c r="D357" s="68" t="n">
        <f aca="false">Motore_Operativo!D357</f>
        <v>2031</v>
      </c>
      <c r="E357" s="68" t="n">
        <f aca="false">Motore_Operativo!E357</f>
        <v>5</v>
      </c>
      <c r="F357" s="15" t="n">
        <f aca="false">Motore_Operativo!AQ357+Motore_Operativo!BF357</f>
        <v>182994.354234665</v>
      </c>
      <c r="G357" s="15" t="n">
        <f aca="false">Motore_Operativo!BH357</f>
        <v>11595.8333333333</v>
      </c>
      <c r="H357" s="15" t="n">
        <f aca="false">Motore_Operativo!BI357</f>
        <v>194590.187567998</v>
      </c>
      <c r="I357" s="15" t="n">
        <f aca="false">Motore_Operativo!CA357</f>
        <v>198278.579580353</v>
      </c>
      <c r="J357" s="15" t="n">
        <f aca="false">Motore_Operativo!CC357</f>
        <v>-3688.39201235518</v>
      </c>
      <c r="K357" s="15" t="n">
        <f aca="false">Motore_Operativo!CE357</f>
        <v>4166.66666666667</v>
      </c>
      <c r="L357" s="15" t="n">
        <f aca="false">SUM(INDEX($K$305:$K$364,MAX(1,53-Parametri_v3!$C$59+1)):K357)/Parametri_v3!$C$59</f>
        <v>2928.24074074074</v>
      </c>
      <c r="M357" s="15" t="n">
        <f aca="false">J357-L357</f>
        <v>-6616.63275309592</v>
      </c>
      <c r="N357" s="15" t="n">
        <f aca="false">CD357-(CD356)</f>
        <v>0</v>
      </c>
      <c r="O357" s="15" t="n">
        <f aca="false">(BG356)*Ipotesi!$C$110/12+CH357*Parametri_v3!$C$39/12</f>
        <v>750</v>
      </c>
      <c r="P357" s="15" t="n">
        <f aca="false">M357+N357-O357</f>
        <v>-7366.63275309592</v>
      </c>
      <c r="Q357" s="15" t="n">
        <f aca="false">SUM(P353:P357)+Parametri_v3!$C$54*5/12</f>
        <v>-62865.2963486874</v>
      </c>
      <c r="R357" s="15" t="n">
        <f aca="false">Z352</f>
        <v>1115328.80104631</v>
      </c>
      <c r="S357" s="15" t="n">
        <f aca="false">AA352</f>
        <v>314765.278796219</v>
      </c>
      <c r="T357" s="15" t="n">
        <f aca="false">MIN(R357,MAX(0,Q357))</f>
        <v>0</v>
      </c>
      <c r="U357" s="15" t="n">
        <f aca="false">MIN(S357,MAX(0,Q357-T357)*Parametri_v3!$C$42)</f>
        <v>0</v>
      </c>
      <c r="V357" s="15" t="n">
        <f aca="false">MAX(0,Q357-T357-U357)*Ipotesi!$C$92</f>
        <v>0</v>
      </c>
      <c r="W357" s="15" t="n">
        <f aca="false">MAX(0,SUM(M353:M357)+Parametri_v3!$C$55*5/12)*Ipotesi!$C$93</f>
        <v>0</v>
      </c>
      <c r="X357" s="15" t="n">
        <f aca="false">V357+W357-(V356+W356)</f>
        <v>0</v>
      </c>
      <c r="Y357" s="15" t="n">
        <f aca="false">P357-X357</f>
        <v>-7366.63275309592</v>
      </c>
      <c r="Z357" s="15" t="n">
        <f aca="false">R357-T357+IF(AND(Parametri_v3!$C$40=1,D357-YEAR(Parametri_v3!$C$50)&lt;Parametri_v3!$C$41),MAX(0,-Q357),0)</f>
        <v>1115328.80104631</v>
      </c>
      <c r="AA357" s="15" t="n">
        <f aca="false">S357-U357+IF(AND(Parametri_v3!$C$40=1,D357-YEAR(Parametri_v3!$C$50)&lt;Parametri_v3!$C$41),0,MAX(0,-Q357))</f>
        <v>377630.575144906</v>
      </c>
      <c r="AB357" s="15" t="n">
        <f aca="false">F357*(1+Parametri_v3!$C$26)</f>
        <v>223253.112166291</v>
      </c>
      <c r="AC357" s="15" t="n">
        <f aca="false">(IF(53-(INT((Motore_Operativo!L357)/30))&lt;1,0,INDEX(Motore_Startup!$AB$305:$AB$364,MAX(1,53-(INT((Motore_Operativo!L357)/30)))))*(1-(MOD((Motore_Operativo!L357),30)/30))+IF(53-(INT((Motore_Operativo!L357)/30))-1&lt;1,0,INDEX(Motore_Startup!$AB$305:$AB$364,MAX(1,53-(INT((Motore_Operativo!L357)/30))-1)))*(MOD((Motore_Operativo!L357),30)/30))</f>
        <v>212091.592022539</v>
      </c>
      <c r="AD357" s="15" t="n">
        <f aca="false">(AD356)+AB357-AC357</f>
        <v>657562.398903747</v>
      </c>
      <c r="AE357" s="15" t="n">
        <f aca="false">Motore_Operativo!BH357*(1+Parametri_v3!$C$26)</f>
        <v>14146.9166666667</v>
      </c>
      <c r="AF357" s="15" t="n">
        <f aca="false">(IF(53-(INT((Parametri_v3!$C$29)/30))&lt;1,0,INDEX(Motore_Operativo!$BH$305:$BH$364,MAX(1,53-(INT((Parametri_v3!$C$29)/30)))))*(1-(MOD((Parametri_v3!$C$29),30)/30))+IF(53-(INT((Parametri_v3!$C$29)/30))-1&lt;1,0,INDEX(Motore_Operativo!$BH$305:$BH$364,MAX(1,53-(INT((Parametri_v3!$C$29)/30))-1)))*(MOD((Parametri_v3!$C$29),30)/30))*(1+Parametri_v3!$C$26)</f>
        <v>14146.9166666667</v>
      </c>
      <c r="AG357" s="15" t="n">
        <f aca="false">(AG356)+AE357-AF357</f>
        <v>14146.9166666667</v>
      </c>
      <c r="AH357" s="15" t="n">
        <f aca="false">(Motore_Operativo!CJ357)*(1+Parametri_v3!$C$27*Parametri_v3!$C$26)</f>
        <v>93537.0852450499</v>
      </c>
      <c r="AI357" s="15" t="n">
        <f aca="false">(IF(53-(INT((Ipotesi!$C$91)/30))&lt;1,0,INDEX(Motore_Startup!$AH$305:$AH$364,MAX(1,53-(INT((Ipotesi!$C$91)/30)))))*(1-(MOD((Ipotesi!$C$91),30)/30))+IF(53-(INT((Ipotesi!$C$91)/30))-1&lt;1,0,INDEX(Motore_Startup!$AH$305:$AH$364,MAX(1,53-(INT((Ipotesi!$C$91)/30))-1)))*(MOD((Ipotesi!$C$91),30)/30))</f>
        <v>92452.8997186419</v>
      </c>
      <c r="AJ357" s="15" t="n">
        <f aca="false">(AJ356)+AH357-AI357</f>
        <v>186496.973156215</v>
      </c>
      <c r="AK357" s="15" t="n">
        <f aca="false">(F357+ Motore_Operativo!BH357-(Motore_Operativo!CJ357)*Parametri_v3!$C$27-Motore_Operativo!CE357)*Parametri_v3!$C$26</f>
        <v>27157.3406127627</v>
      </c>
      <c r="AL357" s="15" t="n">
        <f aca="false">MAX(0,(AM356))</f>
        <v>26484.1405450431</v>
      </c>
      <c r="AM357" s="15" t="n">
        <f aca="false">(AM356)+AK357-AL357</f>
        <v>27157.3406127627</v>
      </c>
      <c r="AN357" s="15" t="n">
        <f aca="false">SUM(X341:X352)</f>
        <v>0</v>
      </c>
      <c r="AO357" s="15" t="n">
        <f aca="false">SUM(AP341:AP352)</f>
        <v>0</v>
      </c>
      <c r="AP357" s="15" t="n">
        <f aca="false">MAX(0,AN357)*IF(5=Parametri_v3!$C$43,Parametri_v3!$C$45,IF(5=Parametri_v3!$C$44,1-Parametri_v3!$C$45,0))</f>
        <v>0</v>
      </c>
      <c r="AQ357" s="15" t="n">
        <f aca="false">MAX(0,AP357+IF(5=Parametri_v3!$C$43,MAX(0,AN357-AO357),0)-MAX(0,-(AR356)))</f>
        <v>0</v>
      </c>
      <c r="AR357" s="15" t="n">
        <f aca="false">(AR356)+X357-AQ357</f>
        <v>0</v>
      </c>
      <c r="AS357" s="15" t="n">
        <f aca="false">Motore_Operativo!AB357-AT357+AU357</f>
        <v>113503.461904792</v>
      </c>
      <c r="AT357" s="15" t="n">
        <f aca="false">Motore_Operativo!CH357</f>
        <v>5973.86641604167</v>
      </c>
      <c r="AU357" s="15" t="n">
        <f aca="false">MIN(MAX(0,(AV356)+AT357),Parametri_v3!$C$60/12)</f>
        <v>0</v>
      </c>
      <c r="AV357" s="15" t="n">
        <f aca="false">(AV356)+AT357-AU357</f>
        <v>166924.882455208</v>
      </c>
      <c r="AW357" s="15" t="n">
        <f aca="false">IF(AND(Motore_Operativo!C357=Finanziamenti!$D$6,Finanziamenti!$F$6=1),Finanziamenti!$C$6,0)</f>
        <v>0</v>
      </c>
      <c r="AX357" s="15" t="n">
        <f aca="false">IF(AND(6&lt;&gt;7,6&lt;&gt;9,Finanziamenti!$F$8=1,OR(Parametri_v3!$C$6=0,Finanziamenti!$E$8=1),Motore_Operativo!C357=EDATE(Finanziamenti!$D$8,Ipotesi!H15*12)),Finanziamenti!$C$8*1,0)+IF(AND(6&lt;&gt;7,6&lt;&gt;9,Finanziamenti!$F$9=1,OR(Parametri_v3!$C$6=0,Finanziamenti!$E$9=1),Motore_Operativo!C357=EDATE(Finanziamenti!$D$9,Ipotesi!H15*12)),Finanziamenti!$C$9*Ipotesi!H16,0)</f>
        <v>0</v>
      </c>
      <c r="AY357" s="15" t="n">
        <f aca="false">0</f>
        <v>0</v>
      </c>
      <c r="AZ357" s="15" t="n">
        <f aca="false">Motore_Advisory!AY357*(1-Ipotesi!$C$95)*Ipotesi!$C$96</f>
        <v>0</v>
      </c>
      <c r="BA357" s="15" t="n">
        <f aca="false">MAX(0,MIN(CG357*MIN(1,IF(Motore_Operativo!C357&gt;=EDATE(Finanziamenti!$D$15,Ipotesi!H14*12),Finanziamenti!$C$15,0)+IF(Motore_Operativo!C357&gt;=EDATE(Finanziamenti!$D$16,Ipotesi!H14*12),Finanziamenti!$C$16,0)+IF(Motore_Operativo!C357&gt;=EDATE(Finanziamenti!$D$17,Ipotesi!H14*12),Finanziamenti!$C$17,0)),CA357*Ipotesi!$C$102)-(CC356))</f>
        <v>0</v>
      </c>
      <c r="BB357" s="15" t="n">
        <f aca="false">IF(AND(CF357&gt;0,Motore_Operativo!C357&gt;=IF(CF357=0,0,EDATE(CF357,Parametri_v3!$C$37)),MOD(((D357-YEAR(IF(CF357=0,0,EDATE(CF357,Parametri_v3!$C$37))))*12+E357-MONTH(IF(CF357=0,0,EDATE(CF357,Parametri_v3!$C$37)))),Parametri_v3!$C$38)=0),MIN(MAX(0,(BC356)+BA357-N357),(CC357-CD357)/(Ipotesi!$C$108*12/Parametri_v3!$C$38)),0)</f>
        <v>0</v>
      </c>
      <c r="BC357" s="15" t="n">
        <f aca="false">(BC356)+BA357-N357-BB357</f>
        <v>0</v>
      </c>
      <c r="BD357" s="15" t="n">
        <f aca="false">(BH356)+AC357+AF357-AI357-AS357-K357*(1+Parametri_v3!$C$26)-AL357-AQ357-O357+AW357+AX357+AZ357+BA357-BB357</f>
        <v>-326333.868131886</v>
      </c>
      <c r="BE357" s="15" t="n">
        <f aca="false">MAX(0,MIN(MAX(0,CH357-(BG356)),Parametri_v3!$C$30-BD357))</f>
        <v>0</v>
      </c>
      <c r="BF357" s="15" t="n">
        <f aca="false">IF(Motore_Operativo!C357&gt;=Parametri_v3!$C$63,(BG356),MIN((BG356),MAX(0,BD357-Parametri_v3!$C$30)))</f>
        <v>0</v>
      </c>
      <c r="BG357" s="15" t="n">
        <f aca="false">(BG356)+BE357-BF357</f>
        <v>150000</v>
      </c>
      <c r="BH357" s="15" t="n">
        <f aca="false">BD357+BE357-BF357-AY357</f>
        <v>-326333.868131886</v>
      </c>
      <c r="BI357" s="15" t="n">
        <f aca="false">MAX(0,Parametri_v3!$C$30-BH357)</f>
        <v>351333.868131886</v>
      </c>
      <c r="BJ357" s="15" t="n">
        <f aca="false">(BJ356)+K357</f>
        <v>135833.333333333</v>
      </c>
      <c r="BK357" s="15" t="n">
        <f aca="false">(BK356)+L357</f>
        <v>77881.9444444445</v>
      </c>
      <c r="BL357" s="15" t="n">
        <f aca="false">BJ357-BK357</f>
        <v>57951.3888888888</v>
      </c>
      <c r="BM357" s="15" t="n">
        <f aca="false">(BM356)+Y357</f>
        <v>-1492959.37619121</v>
      </c>
      <c r="BN357" s="15" t="n">
        <f aca="false">(BN356)+AW357+AX357+AZ357</f>
        <v>1365707.01629444</v>
      </c>
      <c r="BO357" s="15" t="n">
        <f aca="false">(BO356)+AY357</f>
        <v>0</v>
      </c>
      <c r="BP357" s="15" t="n">
        <f aca="false">0</f>
        <v>0</v>
      </c>
      <c r="BQ357" s="15" t="n">
        <f aca="false">BN357+BM357-BO357</f>
        <v>-127252.359896768</v>
      </c>
      <c r="BR357" s="15" t="n">
        <f aca="false">BH357+AD357+BL357+MAX(0,-AM357)+MAX(0,-AR357)+AG357</f>
        <v>403326.836327417</v>
      </c>
      <c r="BS357" s="15" t="n">
        <f aca="false">AJ357+AV357+MAX(0,AM357)+MAX(0,AR357)+BC357+BG357+BQ357</f>
        <v>403326.836327418</v>
      </c>
      <c r="BT357" s="15" t="n">
        <f aca="false">BR357-BS357</f>
        <v>0</v>
      </c>
      <c r="BU357" s="15" t="n">
        <f aca="false">BH357-(BD357+BE357-BF357-AY357)</f>
        <v>0</v>
      </c>
      <c r="BV357" s="15" t="n">
        <f aca="false">MIN(Piano_SS!$C$6,(BV356)+IF(AND(Motore_Operativo!C357&gt;=EDATE(Parametri_v3!$C$24,Ipotesi!H14*12),Motore_Operativo!C357&lt;EDATE(Parametri_v3!$C$24,Parametri_v3!$C$25+Ipotesi!H14*12)),MAX(0,(Motore_Operativo!Y357+Motore_Operativo!X357*Parametri_v3!$C$14)*(1-Parametri_v3!$C$32))*Piano_SS!$D$6,0))</f>
        <v>300000</v>
      </c>
      <c r="BW357" s="15" t="n">
        <f aca="false">MIN(Piano_SS!$C$7,(BW356)+IF(AND(Motore_Operativo!C357&gt;=EDATE(Parametri_v3!$C$24,Ipotesi!H14*12),Motore_Operativo!C357&lt;EDATE(Parametri_v3!$C$24,Parametri_v3!$C$25+Ipotesi!H14*12)),MAX(0,(IF(53-(INT((Ipotesi!$C$91)/30))&lt;1,0,INDEX(Motore_Operativo!$BN$305:$BN$364,MAX(1,53-(INT((Ipotesi!$C$91)/30)))))*(1-(MOD((Ipotesi!$C$91),30)/30))+IF(53-(INT((Ipotesi!$C$91)/30))-1&lt;1,0,INDEX(Motore_Operativo!$BN$305:$BN$364,MAX(1,53-(INT((Ipotesi!$C$91)/30))-1)))*(MOD((Ipotesi!$C$91),30)/30)))*Piano_SS!$D$7,0))</f>
        <v>41058.9230070837</v>
      </c>
      <c r="BX357" s="15" t="n">
        <f aca="false">MIN(Piano_SS!$C$8,(BX356)+IF(AND(Motore_Operativo!C357&gt;=EDATE(Parametri_v3!$C$24,Ipotesi!H14*12),Motore_Operativo!C357&lt;EDATE(Parametri_v3!$C$24,Parametri_v3!$C$25+Ipotesi!H14*12)),MAX(0,Motore_Operativo!CE357)*Piano_SS!$D$8,0))</f>
        <v>50000</v>
      </c>
      <c r="BY357" s="15" t="n">
        <f aca="false">MIN(Piano_SS!$C$9,(BY356)+IF(AND(Motore_Operativo!C357&gt;=EDATE(Parametri_v3!$C$24,Ipotesi!H14*12),Motore_Operativo!C357&lt;EDATE(Parametri_v3!$C$24,Parametri_v3!$C$25+Ipotesi!H14*12)),MAX(0,((IF(53-(INT((Ipotesi!$C$91)/30))&lt;1,0,INDEX(Motore_Operativo!$BQ$305:$BQ$364,MAX(1,53-(INT((Ipotesi!$C$91)/30)))))*(1-(MOD((Ipotesi!$C$91),30)/30))+IF(53-(INT((Ipotesi!$C$91)/30))-1&lt;1,0,INDEX(Motore_Operativo!$BQ$305:$BQ$364,MAX(1,53-(INT((Ipotesi!$C$91)/30))-1)))*(MOD((Ipotesi!$C$91),30)/30))+(IF(53-(INT((Ipotesi!$C$91)/30))&lt;1,0,INDEX(Motore_Operativo!$BR$305:$BR$364,MAX(1,53-(INT((Ipotesi!$C$91)/30)))))*(1-(MOD((Ipotesi!$C$91),30)/30))+IF(53-(INT((Ipotesi!$C$91)/30))-1&lt;1,0,INDEX(Motore_Operativo!$BR$305:$BR$364,MAX(1,53-(INT((Ipotesi!$C$91)/30))-1)))*(MOD((Ipotesi!$C$91),30)/30))))*Piano_SS!$D$9,0))</f>
        <v>40000</v>
      </c>
      <c r="BZ357" s="15" t="n">
        <f aca="false">MIN(Piano_SS!$C$10,(BZ356)+IF(AND(Motore_Operativo!C357&gt;=EDATE(Parametri_v3!$C$24,Ipotesi!H14*12),Motore_Operativo!C357&lt;EDATE(Parametri_v3!$C$24,Parametri_v3!$C$25+Ipotesi!H14*12)),MAX(0,(IF(53-(INT((Ipotesi!$C$91)/30))&lt;1,0,INDEX(Motore_Operativo!$BO$305:$BO$364,MAX(1,53-(INT((Ipotesi!$C$91)/30)))))*(1-(MOD((Ipotesi!$C$91),30)/30))+IF(53-(INT((Ipotesi!$C$91)/30))-1&lt;1,0,INDEX(Motore_Operativo!$BO$305:$BO$364,MAX(1,53-(INT((Ipotesi!$C$91)/30))-1)))*(MOD((Ipotesi!$C$91),30)/30)))*Piano_SS!$D$10,0))</f>
        <v>30000</v>
      </c>
      <c r="CA357" s="15" t="n">
        <f aca="false">SUM(BV357:BZ357)</f>
        <v>461058.923007084</v>
      </c>
      <c r="CB357" s="15" t="n">
        <f aca="false">BV357*(1-Piano_SS!$E$6)+BW357*(1-Piano_SS!$E$7)+BX357*(1-Piano_SS!$E$8)+BY357*(1-Piano_SS!$E$9)+BZ357*(1-Piano_SS!$E$10)</f>
        <v>431058.923007084</v>
      </c>
      <c r="CC357" s="15" t="n">
        <f aca="false">(CC356)+BA357</f>
        <v>0</v>
      </c>
      <c r="CD357" s="15" t="n">
        <f aca="false">IF(CA357=0,0,CC357*CB357/CA357*Ipotesi!$C$103*Parametri_v3!$C$64)</f>
        <v>0</v>
      </c>
      <c r="CE357" s="18" t="n">
        <f aca="false">IF(BA357&gt;0,Motore_Operativo!C357,(CE356))</f>
        <v>0</v>
      </c>
      <c r="CF357" s="18" t="n">
        <f aca="false">IF(AND(CC357&gt;0,OR(CC357&gt;=CG357-0.01,Motore_Operativo!C357&gt;=EDATE(MAX(Finanziamenti!$D$15:$D$17),Ipotesi!H14*12))),CE357,0)</f>
        <v>0</v>
      </c>
      <c r="CG357" s="15" t="n">
        <f aca="false">IF(AND(6&lt;&gt;6,6&lt;&gt;9,Finanziamenti!$F$11=1,OR(Parametri_v3!$C$6=0,Finanziamenti!$E$11=1)),MIN(Finanziamenti!$C$11,Piano_SS!$C$12*Ipotesi!$C$102),0)</f>
        <v>0</v>
      </c>
      <c r="CH357" s="15" t="n">
        <f aca="false">IF(AND(AND(6&lt;&gt;8,6&lt;&gt;9,Finanziamenti!$F$10=1,OR(Parametri_v3!$C$6=0,Finanziamenti!$E$10=1)),Motore_Operativo!C357&gt;=Finanziamenti!$D$10,Motore_Operativo!C357&lt;Parametri_v3!$C$63),Finanziamenti!$C$10,0)</f>
        <v>150000</v>
      </c>
    </row>
    <row r="358" customFormat="false" ht="18" hidden="false" customHeight="true" outlineLevel="0" collapsed="false">
      <c r="A358" s="68" t="n">
        <f aca="false">6</f>
        <v>6</v>
      </c>
      <c r="B358" s="68" t="n">
        <f aca="false">54</f>
        <v>54</v>
      </c>
      <c r="C358" s="18" t="n">
        <f aca="false">Motore_Operativo!C358</f>
        <v>48000</v>
      </c>
      <c r="D358" s="68" t="n">
        <f aca="false">Motore_Operativo!D358</f>
        <v>2031</v>
      </c>
      <c r="E358" s="68" t="n">
        <f aca="false">Motore_Operativo!E358</f>
        <v>6</v>
      </c>
      <c r="F358" s="15" t="n">
        <f aca="false">Motore_Operativo!AQ358+Motore_Operativo!BF358</f>
        <v>186437.317884613</v>
      </c>
      <c r="G358" s="15" t="n">
        <f aca="false">Motore_Operativo!BH358</f>
        <v>11595.8333333333</v>
      </c>
      <c r="H358" s="15" t="n">
        <f aca="false">Motore_Operativo!BI358</f>
        <v>198033.151217946</v>
      </c>
      <c r="I358" s="15" t="n">
        <f aca="false">Motore_Operativo!CA358</f>
        <v>198760.594491346</v>
      </c>
      <c r="J358" s="15" t="n">
        <f aca="false">Motore_Operativo!CC358</f>
        <v>-727.443273399869</v>
      </c>
      <c r="K358" s="15" t="n">
        <f aca="false">Motore_Operativo!CE358</f>
        <v>4166.66666666667</v>
      </c>
      <c r="L358" s="15" t="n">
        <f aca="false">SUM(INDEX($K$305:$K$364,MAX(1,54-Parametri_v3!$C$59+1)):K358)/Parametri_v3!$C$59</f>
        <v>2986.11111111111</v>
      </c>
      <c r="M358" s="15" t="n">
        <f aca="false">J358-L358</f>
        <v>-3713.55438451098</v>
      </c>
      <c r="N358" s="15" t="n">
        <f aca="false">CD358-(CD357)</f>
        <v>0</v>
      </c>
      <c r="O358" s="15" t="n">
        <f aca="false">(BG357)*Ipotesi!$C$110/12+CH358*Parametri_v3!$C$39/12</f>
        <v>750</v>
      </c>
      <c r="P358" s="15" t="n">
        <f aca="false">M358+N358-O358</f>
        <v>-4463.55438451098</v>
      </c>
      <c r="Q358" s="15" t="n">
        <f aca="false">SUM(P353:P358)+Parametri_v3!$C$54*6/12</f>
        <v>-67328.8507331984</v>
      </c>
      <c r="R358" s="15" t="n">
        <f aca="false">Z352</f>
        <v>1115328.80104631</v>
      </c>
      <c r="S358" s="15" t="n">
        <f aca="false">AA352</f>
        <v>314765.278796219</v>
      </c>
      <c r="T358" s="15" t="n">
        <f aca="false">MIN(R358,MAX(0,Q358))</f>
        <v>0</v>
      </c>
      <c r="U358" s="15" t="n">
        <f aca="false">MIN(S358,MAX(0,Q358-T358)*Parametri_v3!$C$42)</f>
        <v>0</v>
      </c>
      <c r="V358" s="15" t="n">
        <f aca="false">MAX(0,Q358-T358-U358)*Ipotesi!$C$92</f>
        <v>0</v>
      </c>
      <c r="W358" s="15" t="n">
        <f aca="false">MAX(0,SUM(M353:M358)+Parametri_v3!$C$55*6/12)*Ipotesi!$C$93</f>
        <v>0</v>
      </c>
      <c r="X358" s="15" t="n">
        <f aca="false">V358+W358-(V357+W357)</f>
        <v>0</v>
      </c>
      <c r="Y358" s="15" t="n">
        <f aca="false">P358-X358</f>
        <v>-4463.55438451098</v>
      </c>
      <c r="Z358" s="15" t="n">
        <f aca="false">R358-T358+IF(AND(Parametri_v3!$C$40=1,D358-YEAR(Parametri_v3!$C$50)&lt;Parametri_v3!$C$41),MAX(0,-Q358),0)</f>
        <v>1115328.80104631</v>
      </c>
      <c r="AA358" s="15" t="n">
        <f aca="false">S358-U358+IF(AND(Parametri_v3!$C$40=1,D358-YEAR(Parametri_v3!$C$50)&lt;Parametri_v3!$C$41),0,MAX(0,-Q358))</f>
        <v>382094.129529417</v>
      </c>
      <c r="AB358" s="15" t="n">
        <f aca="false">F358*(1+Parametri_v3!$C$26)</f>
        <v>227453.527819227</v>
      </c>
      <c r="AC358" s="15" t="n">
        <f aca="false">(IF(54-(INT((Motore_Operativo!L358)/30))&lt;1,0,INDEX(Motore_Startup!$AB$305:$AB$364,MAX(1,54-(INT((Motore_Operativo!L358)/30)))))*(1-(MOD((Motore_Operativo!L358),30)/30))+IF(54-(INT((Motore_Operativo!L358)/30))-1&lt;1,0,INDEX(Motore_Startup!$AB$305:$AB$364,MAX(1,54-(INT((Motore_Operativo!L358)/30))-1)))*(MOD((Motore_Operativo!L358),30)/30))</f>
        <v>215293.63243216</v>
      </c>
      <c r="AD358" s="15" t="n">
        <f aca="false">(AD357)+AB358-AC358</f>
        <v>669722.294290815</v>
      </c>
      <c r="AE358" s="15" t="n">
        <f aca="false">Motore_Operativo!BH358*(1+Parametri_v3!$C$26)</f>
        <v>14146.9166666667</v>
      </c>
      <c r="AF358" s="15" t="n">
        <f aca="false">(IF(54-(INT((Parametri_v3!$C$29)/30))&lt;1,0,INDEX(Motore_Operativo!$BH$305:$BH$364,MAX(1,54-(INT((Parametri_v3!$C$29)/30)))))*(1-(MOD((Parametri_v3!$C$29),30)/30))+IF(54-(INT((Parametri_v3!$C$29)/30))-1&lt;1,0,INDEX(Motore_Operativo!$BH$305:$BH$364,MAX(1,54-(INT((Parametri_v3!$C$29)/30))-1)))*(MOD((Parametri_v3!$C$29),30)/30))*(1+Parametri_v3!$C$26)</f>
        <v>14146.9166666667</v>
      </c>
      <c r="AG358" s="15" t="n">
        <f aca="false">(AG357)+AE358-AF358</f>
        <v>14146.9166666667</v>
      </c>
      <c r="AH358" s="15" t="n">
        <f aca="false">(Motore_Operativo!CJ358)*(1+Parametri_v3!$C$27*Parametri_v3!$C$26)</f>
        <v>94109.2369443983</v>
      </c>
      <c r="AI358" s="15" t="n">
        <f aca="false">(IF(54-(INT((Ipotesi!$C$91)/30))&lt;1,0,INDEX(Motore_Startup!$AH$305:$AH$364,MAX(1,54-(INT((Ipotesi!$C$91)/30)))))*(1-(MOD((Ipotesi!$C$91),30)/30))+IF(54-(INT((Ipotesi!$C$91)/30))-1&lt;1,0,INDEX(Motore_Startup!$AH$305:$AH$364,MAX(1,54-(INT((Ipotesi!$C$91)/30))-1)))*(MOD((Ipotesi!$C$91),30)/30))</f>
        <v>92959.8879111646</v>
      </c>
      <c r="AJ358" s="15" t="n">
        <f aca="false">(AJ357)+AH358-AI358</f>
        <v>187646.322189448</v>
      </c>
      <c r="AK358" s="15" t="n">
        <f aca="false">(F358+ Motore_Operativo!BH358-(Motore_Operativo!CJ358)*Parametri_v3!$C$27-Motore_Operativo!CE358)*Parametri_v3!$C$26</f>
        <v>27824.6558273956</v>
      </c>
      <c r="AL358" s="15" t="n">
        <f aca="false">MAX(0,(AM357))</f>
        <v>27157.3406127627</v>
      </c>
      <c r="AM358" s="15" t="n">
        <f aca="false">(AM357)+AK358-AL358</f>
        <v>27824.6558273956</v>
      </c>
      <c r="AN358" s="15" t="n">
        <f aca="false">SUM(X341:X352)</f>
        <v>0</v>
      </c>
      <c r="AO358" s="15" t="n">
        <f aca="false">SUM(AP341:AP352)</f>
        <v>0</v>
      </c>
      <c r="AP358" s="15" t="n">
        <f aca="false">MAX(0,AN358)*IF(6=Parametri_v3!$C$43,Parametri_v3!$C$45,IF(6=Parametri_v3!$C$44,1-Parametri_v3!$C$45,0))</f>
        <v>0</v>
      </c>
      <c r="AQ358" s="15" t="n">
        <f aca="false">MAX(0,AP358+IF(6=Parametri_v3!$C$43,MAX(0,AN358-AO358),0)-MAX(0,-(AR357)))</f>
        <v>0</v>
      </c>
      <c r="AR358" s="15" t="n">
        <f aca="false">(AR357)+X358-AQ358</f>
        <v>0</v>
      </c>
      <c r="AS358" s="15" t="n">
        <f aca="false">Motore_Operativo!AB358-AT358+AU358</f>
        <v>113503.461904792</v>
      </c>
      <c r="AT358" s="15" t="n">
        <f aca="false">Motore_Operativo!CH358</f>
        <v>5973.86641604167</v>
      </c>
      <c r="AU358" s="15" t="n">
        <f aca="false">MIN(MAX(0,(AV357)+AT358),Parametri_v3!$C$60/12)</f>
        <v>0</v>
      </c>
      <c r="AV358" s="15" t="n">
        <f aca="false">(AV357)+AT358-AU358</f>
        <v>172898.74887125</v>
      </c>
      <c r="AW358" s="15" t="n">
        <f aca="false">IF(AND(Motore_Operativo!C358=Finanziamenti!$D$6,Finanziamenti!$F$6=1),Finanziamenti!$C$6,0)</f>
        <v>0</v>
      </c>
      <c r="AX358" s="15" t="n">
        <f aca="false">IF(AND(6&lt;&gt;7,6&lt;&gt;9,Finanziamenti!$F$8=1,OR(Parametri_v3!$C$6=0,Finanziamenti!$E$8=1),Motore_Operativo!C358=EDATE(Finanziamenti!$D$8,Ipotesi!H15*12)),Finanziamenti!$C$8*1,0)+IF(AND(6&lt;&gt;7,6&lt;&gt;9,Finanziamenti!$F$9=1,OR(Parametri_v3!$C$6=0,Finanziamenti!$E$9=1),Motore_Operativo!C358=EDATE(Finanziamenti!$D$9,Ipotesi!H15*12)),Finanziamenti!$C$9*Ipotesi!H16,0)</f>
        <v>0</v>
      </c>
      <c r="AY358" s="15" t="n">
        <f aca="false">0</f>
        <v>0</v>
      </c>
      <c r="AZ358" s="15" t="n">
        <f aca="false">Motore_Advisory!AY358*(1-Ipotesi!$C$95)*Ipotesi!$C$96</f>
        <v>69723.3931391231</v>
      </c>
      <c r="BA358" s="15" t="n">
        <f aca="false">MAX(0,MIN(CG358*MIN(1,IF(Motore_Operativo!C358&gt;=EDATE(Finanziamenti!$D$15,Ipotesi!H14*12),Finanziamenti!$C$15,0)+IF(Motore_Operativo!C358&gt;=EDATE(Finanziamenti!$D$16,Ipotesi!H14*12),Finanziamenti!$C$16,0)+IF(Motore_Operativo!C358&gt;=EDATE(Finanziamenti!$D$17,Ipotesi!H14*12),Finanziamenti!$C$17,0)),CA358*Ipotesi!$C$102)-(CC357))</f>
        <v>0</v>
      </c>
      <c r="BB358" s="15" t="n">
        <f aca="false">IF(AND(CF358&gt;0,Motore_Operativo!C358&gt;=IF(CF358=0,0,EDATE(CF358,Parametri_v3!$C$37)),MOD(((D358-YEAR(IF(CF358=0,0,EDATE(CF358,Parametri_v3!$C$37))))*12+E358-MONTH(IF(CF358=0,0,EDATE(CF358,Parametri_v3!$C$37)))),Parametri_v3!$C$38)=0),MIN(MAX(0,(BC357)+BA358-N358),(CC358-CD358)/(Ipotesi!$C$108*12/Parametri_v3!$C$38)),0)</f>
        <v>0</v>
      </c>
      <c r="BC358" s="15" t="n">
        <f aca="false">(BC357)+BA358-N358-BB358</f>
        <v>0</v>
      </c>
      <c r="BD358" s="15" t="n">
        <f aca="false">(BH357)+AC358+AF358-AI358-AS358-K358*(1+Parametri_v3!$C$26)-AL358-AQ358-O358+AW358+AX358+AZ358+BA358-BB358</f>
        <v>-266623.949655988</v>
      </c>
      <c r="BE358" s="15" t="n">
        <f aca="false">MAX(0,MIN(MAX(0,CH358-(BG357)),Parametri_v3!$C$30-BD358))</f>
        <v>0</v>
      </c>
      <c r="BF358" s="15" t="n">
        <f aca="false">IF(Motore_Operativo!C358&gt;=Parametri_v3!$C$63,(BG357),MIN((BG357),MAX(0,BD358-Parametri_v3!$C$30)))</f>
        <v>0</v>
      </c>
      <c r="BG358" s="15" t="n">
        <f aca="false">(BG357)+BE358-BF358</f>
        <v>150000</v>
      </c>
      <c r="BH358" s="15" t="n">
        <f aca="false">BD358+BE358-BF358-AY358</f>
        <v>-266623.949655988</v>
      </c>
      <c r="BI358" s="15" t="n">
        <f aca="false">MAX(0,Parametri_v3!$C$30-BH358)</f>
        <v>291623.949655988</v>
      </c>
      <c r="BJ358" s="15" t="n">
        <f aca="false">(BJ357)+K358</f>
        <v>140000</v>
      </c>
      <c r="BK358" s="15" t="n">
        <f aca="false">(BK357)+L358</f>
        <v>80868.0555555556</v>
      </c>
      <c r="BL358" s="15" t="n">
        <f aca="false">BJ358-BK358</f>
        <v>59131.9444444444</v>
      </c>
      <c r="BM358" s="15" t="n">
        <f aca="false">(BM357)+Y358</f>
        <v>-1497422.93057572</v>
      </c>
      <c r="BN358" s="15" t="n">
        <f aca="false">(BN357)+AW358+AX358+AZ358</f>
        <v>1435430.40943357</v>
      </c>
      <c r="BO358" s="15" t="n">
        <f aca="false">(BO357)+AY358</f>
        <v>0</v>
      </c>
      <c r="BP358" s="15" t="n">
        <f aca="false">0</f>
        <v>0</v>
      </c>
      <c r="BQ358" s="15" t="n">
        <f aca="false">BN358+BM358-BO358</f>
        <v>-61992.5211421561</v>
      </c>
      <c r="BR358" s="15" t="n">
        <f aca="false">BH358+AD358+BL358+MAX(0,-AM358)+MAX(0,-AR358)+AG358</f>
        <v>476377.205745938</v>
      </c>
      <c r="BS358" s="15" t="n">
        <f aca="false">AJ358+AV358+MAX(0,AM358)+MAX(0,AR358)+BC358+BG358+BQ358</f>
        <v>476377.205745938</v>
      </c>
      <c r="BT358" s="15" t="n">
        <f aca="false">BR358-BS358</f>
        <v>0</v>
      </c>
      <c r="BU358" s="15" t="n">
        <f aca="false">BH358-(BD358+BE358-BF358-AY358)</f>
        <v>0</v>
      </c>
      <c r="BV358" s="15" t="n">
        <f aca="false">MIN(Piano_SS!$C$6,(BV357)+IF(AND(Motore_Operativo!C358&gt;=EDATE(Parametri_v3!$C$24,Ipotesi!H14*12),Motore_Operativo!C358&lt;EDATE(Parametri_v3!$C$24,Parametri_v3!$C$25+Ipotesi!H14*12)),MAX(0,(Motore_Operativo!Y358+Motore_Operativo!X358*Parametri_v3!$C$14)*(1-Parametri_v3!$C$32))*Piano_SS!$D$6,0))</f>
        <v>300000</v>
      </c>
      <c r="BW358" s="15" t="n">
        <f aca="false">MIN(Piano_SS!$C$7,(BW357)+IF(AND(Motore_Operativo!C358&gt;=EDATE(Parametri_v3!$C$24,Ipotesi!H14*12),Motore_Operativo!C358&lt;EDATE(Parametri_v3!$C$24,Parametri_v3!$C$25+Ipotesi!H14*12)),MAX(0,(IF(54-(INT((Ipotesi!$C$91)/30))&lt;1,0,INDEX(Motore_Operativo!$BN$305:$BN$364,MAX(1,54-(INT((Ipotesi!$C$91)/30)))))*(1-(MOD((Ipotesi!$C$91),30)/30))+IF(54-(INT((Ipotesi!$C$91)/30))-1&lt;1,0,INDEX(Motore_Operativo!$BN$305:$BN$364,MAX(1,54-(INT((Ipotesi!$C$91)/30))-1)))*(MOD((Ipotesi!$C$91),30)/30)))*Piano_SS!$D$7,0))</f>
        <v>41058.9230070837</v>
      </c>
      <c r="BX358" s="15" t="n">
        <f aca="false">MIN(Piano_SS!$C$8,(BX357)+IF(AND(Motore_Operativo!C358&gt;=EDATE(Parametri_v3!$C$24,Ipotesi!H14*12),Motore_Operativo!C358&lt;EDATE(Parametri_v3!$C$24,Parametri_v3!$C$25+Ipotesi!H14*12)),MAX(0,Motore_Operativo!CE358)*Piano_SS!$D$8,0))</f>
        <v>50000</v>
      </c>
      <c r="BY358" s="15" t="n">
        <f aca="false">MIN(Piano_SS!$C$9,(BY357)+IF(AND(Motore_Operativo!C358&gt;=EDATE(Parametri_v3!$C$24,Ipotesi!H14*12),Motore_Operativo!C358&lt;EDATE(Parametri_v3!$C$24,Parametri_v3!$C$25+Ipotesi!H14*12)),MAX(0,((IF(54-(INT((Ipotesi!$C$91)/30))&lt;1,0,INDEX(Motore_Operativo!$BQ$305:$BQ$364,MAX(1,54-(INT((Ipotesi!$C$91)/30)))))*(1-(MOD((Ipotesi!$C$91),30)/30))+IF(54-(INT((Ipotesi!$C$91)/30))-1&lt;1,0,INDEX(Motore_Operativo!$BQ$305:$BQ$364,MAX(1,54-(INT((Ipotesi!$C$91)/30))-1)))*(MOD((Ipotesi!$C$91),30)/30))+(IF(54-(INT((Ipotesi!$C$91)/30))&lt;1,0,INDEX(Motore_Operativo!$BR$305:$BR$364,MAX(1,54-(INT((Ipotesi!$C$91)/30)))))*(1-(MOD((Ipotesi!$C$91),30)/30))+IF(54-(INT((Ipotesi!$C$91)/30))-1&lt;1,0,INDEX(Motore_Operativo!$BR$305:$BR$364,MAX(1,54-(INT((Ipotesi!$C$91)/30))-1)))*(MOD((Ipotesi!$C$91),30)/30))))*Piano_SS!$D$9,0))</f>
        <v>40000</v>
      </c>
      <c r="BZ358" s="15" t="n">
        <f aca="false">MIN(Piano_SS!$C$10,(BZ357)+IF(AND(Motore_Operativo!C358&gt;=EDATE(Parametri_v3!$C$24,Ipotesi!H14*12),Motore_Operativo!C358&lt;EDATE(Parametri_v3!$C$24,Parametri_v3!$C$25+Ipotesi!H14*12)),MAX(0,(IF(54-(INT((Ipotesi!$C$91)/30))&lt;1,0,INDEX(Motore_Operativo!$BO$305:$BO$364,MAX(1,54-(INT((Ipotesi!$C$91)/30)))))*(1-(MOD((Ipotesi!$C$91),30)/30))+IF(54-(INT((Ipotesi!$C$91)/30))-1&lt;1,0,INDEX(Motore_Operativo!$BO$305:$BO$364,MAX(1,54-(INT((Ipotesi!$C$91)/30))-1)))*(MOD((Ipotesi!$C$91),30)/30)))*Piano_SS!$D$10,0))</f>
        <v>30000</v>
      </c>
      <c r="CA358" s="15" t="n">
        <f aca="false">SUM(BV358:BZ358)</f>
        <v>461058.923007084</v>
      </c>
      <c r="CB358" s="15" t="n">
        <f aca="false">BV358*(1-Piano_SS!$E$6)+BW358*(1-Piano_SS!$E$7)+BX358*(1-Piano_SS!$E$8)+BY358*(1-Piano_SS!$E$9)+BZ358*(1-Piano_SS!$E$10)</f>
        <v>431058.923007084</v>
      </c>
      <c r="CC358" s="15" t="n">
        <f aca="false">(CC357)+BA358</f>
        <v>0</v>
      </c>
      <c r="CD358" s="15" t="n">
        <f aca="false">IF(CA358=0,0,CC358*CB358/CA358*Ipotesi!$C$103*Parametri_v3!$C$64)</f>
        <v>0</v>
      </c>
      <c r="CE358" s="18" t="n">
        <f aca="false">IF(BA358&gt;0,Motore_Operativo!C358,(CE357))</f>
        <v>0</v>
      </c>
      <c r="CF358" s="18" t="n">
        <f aca="false">IF(AND(CC358&gt;0,OR(CC358&gt;=CG358-0.01,Motore_Operativo!C358&gt;=EDATE(MAX(Finanziamenti!$D$15:$D$17),Ipotesi!H14*12))),CE358,0)</f>
        <v>0</v>
      </c>
      <c r="CG358" s="15" t="n">
        <f aca="false">IF(AND(6&lt;&gt;6,6&lt;&gt;9,Finanziamenti!$F$11=1,OR(Parametri_v3!$C$6=0,Finanziamenti!$E$11=1)),MIN(Finanziamenti!$C$11,Piano_SS!$C$12*Ipotesi!$C$102),0)</f>
        <v>0</v>
      </c>
      <c r="CH358" s="15" t="n">
        <f aca="false">IF(AND(AND(6&lt;&gt;8,6&lt;&gt;9,Finanziamenti!$F$10=1,OR(Parametri_v3!$C$6=0,Finanziamenti!$E$10=1)),Motore_Operativo!C358&gt;=Finanziamenti!$D$10,Motore_Operativo!C358&lt;Parametri_v3!$C$63),Finanziamenti!$C$10,0)</f>
        <v>150000</v>
      </c>
    </row>
    <row r="359" customFormat="false" ht="18" hidden="false" customHeight="true" outlineLevel="0" collapsed="false">
      <c r="A359" s="68" t="n">
        <f aca="false">6</f>
        <v>6</v>
      </c>
      <c r="B359" s="68" t="n">
        <f aca="false">55</f>
        <v>55</v>
      </c>
      <c r="C359" s="18" t="n">
        <f aca="false">Motore_Operativo!C359</f>
        <v>48030</v>
      </c>
      <c r="D359" s="68" t="n">
        <f aca="false">Motore_Operativo!D359</f>
        <v>2031</v>
      </c>
      <c r="E359" s="68" t="n">
        <f aca="false">Motore_Operativo!E359</f>
        <v>7</v>
      </c>
      <c r="F359" s="15" t="n">
        <f aca="false">Motore_Operativo!AQ359+Motore_Operativo!BF359</f>
        <v>189850.184485802</v>
      </c>
      <c r="G359" s="15" t="n">
        <f aca="false">Motore_Operativo!BH359</f>
        <v>11595.8333333333</v>
      </c>
      <c r="H359" s="15" t="n">
        <f aca="false">Motore_Operativo!BI359</f>
        <v>201446.017819135</v>
      </c>
      <c r="I359" s="15" t="n">
        <f aca="false">Motore_Operativo!CA359</f>
        <v>199238.395815512</v>
      </c>
      <c r="J359" s="15" t="n">
        <f aca="false">Motore_Operativo!CC359</f>
        <v>2207.6220036227</v>
      </c>
      <c r="K359" s="15" t="n">
        <f aca="false">Motore_Operativo!CE359</f>
        <v>4166.66666666667</v>
      </c>
      <c r="L359" s="15" t="n">
        <f aca="false">SUM(INDEX($K$305:$K$364,MAX(1,55-Parametri_v3!$C$59+1)):K359)/Parametri_v3!$C$59</f>
        <v>3043.98148148148</v>
      </c>
      <c r="M359" s="15" t="n">
        <f aca="false">J359-L359</f>
        <v>-836.359477858779</v>
      </c>
      <c r="N359" s="15" t="n">
        <f aca="false">CD359-(CD358)</f>
        <v>0</v>
      </c>
      <c r="O359" s="15" t="n">
        <f aca="false">(BG358)*Ipotesi!$C$110/12+CH359*Parametri_v3!$C$39/12</f>
        <v>750</v>
      </c>
      <c r="P359" s="15" t="n">
        <f aca="false">M359+N359-O359</f>
        <v>-1586.35947785878</v>
      </c>
      <c r="Q359" s="15" t="n">
        <f aca="false">SUM(P353:P359)+Parametri_v3!$C$54*7/12</f>
        <v>-68915.2102110572</v>
      </c>
      <c r="R359" s="15" t="n">
        <f aca="false">Z352</f>
        <v>1115328.80104631</v>
      </c>
      <c r="S359" s="15" t="n">
        <f aca="false">AA352</f>
        <v>314765.278796219</v>
      </c>
      <c r="T359" s="15" t="n">
        <f aca="false">MIN(R359,MAX(0,Q359))</f>
        <v>0</v>
      </c>
      <c r="U359" s="15" t="n">
        <f aca="false">MIN(S359,MAX(0,Q359-T359)*Parametri_v3!$C$42)</f>
        <v>0</v>
      </c>
      <c r="V359" s="15" t="n">
        <f aca="false">MAX(0,Q359-T359-U359)*Ipotesi!$C$92</f>
        <v>0</v>
      </c>
      <c r="W359" s="15" t="n">
        <f aca="false">MAX(0,SUM(M353:M359)+Parametri_v3!$C$55*7/12)*Ipotesi!$C$93</f>
        <v>0</v>
      </c>
      <c r="X359" s="15" t="n">
        <f aca="false">V359+W359-(V358+W358)</f>
        <v>0</v>
      </c>
      <c r="Y359" s="15" t="n">
        <f aca="false">P359-X359</f>
        <v>-1586.35947785878</v>
      </c>
      <c r="Z359" s="15" t="n">
        <f aca="false">R359-T359+IF(AND(Parametri_v3!$C$40=1,D359-YEAR(Parametri_v3!$C$50)&lt;Parametri_v3!$C$41),MAX(0,-Q359),0)</f>
        <v>1115328.80104631</v>
      </c>
      <c r="AA359" s="15" t="n">
        <f aca="false">S359-U359+IF(AND(Parametri_v3!$C$40=1,D359-YEAR(Parametri_v3!$C$50)&lt;Parametri_v3!$C$41),0,MAX(0,-Q359))</f>
        <v>383680.489007276</v>
      </c>
      <c r="AB359" s="15" t="n">
        <f aca="false">F359*(1+Parametri_v3!$C$26)</f>
        <v>231617.225072678</v>
      </c>
      <c r="AC359" s="15" t="n">
        <f aca="false">(IF(55-(INT((Motore_Operativo!L359)/30))&lt;1,0,INDEX(Motore_Startup!$AB$305:$AB$364,MAX(1,55-(INT((Motore_Operativo!L359)/30)))))*(1-(MOD((Motore_Operativo!L359),30)/30))+IF(55-(INT((Motore_Operativo!L359)/30))-1&lt;1,0,INDEX(Motore_Startup!$AB$305:$AB$364,MAX(1,55-(INT((Motore_Operativo!L359)/30))-1)))*(MOD((Motore_Operativo!L359),30)/30))</f>
        <v>219015.654305296</v>
      </c>
      <c r="AD359" s="15" t="n">
        <f aca="false">(AD358)+AB359-AC359</f>
        <v>682323.865058196</v>
      </c>
      <c r="AE359" s="15" t="n">
        <f aca="false">Motore_Operativo!BH359*(1+Parametri_v3!$C$26)</f>
        <v>14146.9166666667</v>
      </c>
      <c r="AF359" s="15" t="n">
        <f aca="false">(IF(55-(INT((Parametri_v3!$C$29)/30))&lt;1,0,INDEX(Motore_Operativo!$BH$305:$BH$364,MAX(1,55-(INT((Parametri_v3!$C$29)/30)))))*(1-(MOD((Parametri_v3!$C$29),30)/30))+IF(55-(INT((Parametri_v3!$C$29)/30))-1&lt;1,0,INDEX(Motore_Operativo!$BH$305:$BH$364,MAX(1,55-(INT((Parametri_v3!$C$29)/30))-1)))*(MOD((Parametri_v3!$C$29),30)/30))*(1+Parametri_v3!$C$26)</f>
        <v>14146.9166666667</v>
      </c>
      <c r="AG359" s="15" t="n">
        <f aca="false">(AG358)+AE359-AF359</f>
        <v>14146.9166666667</v>
      </c>
      <c r="AH359" s="15" t="n">
        <f aca="false">(Motore_Operativo!CJ359)*(1+Parametri_v3!$C$27*Parametri_v3!$C$26)</f>
        <v>94676.3871161839</v>
      </c>
      <c r="AI359" s="15" t="n">
        <f aca="false">(IF(55-(INT((Ipotesi!$C$91)/30))&lt;1,0,INDEX(Motore_Startup!$AH$305:$AH$364,MAX(1,55-(INT((Ipotesi!$C$91)/30)))))*(1-(MOD((Ipotesi!$C$91),30)/30))+IF(55-(INT((Ipotesi!$C$91)/30))-1&lt;1,0,INDEX(Motore_Startup!$AH$305:$AH$364,MAX(1,55-(INT((Ipotesi!$C$91)/30))-1)))*(MOD((Ipotesi!$C$91),30)/30))</f>
        <v>93537.0852450499</v>
      </c>
      <c r="AJ359" s="15" t="n">
        <f aca="false">(AJ358)+AH359-AI359</f>
        <v>188785.624060582</v>
      </c>
      <c r="AK359" s="15" t="n">
        <f aca="false">(F359+ Motore_Operativo!BH359-(Motore_Operativo!CJ359)*Parametri_v3!$C$27-Motore_Operativo!CE359)*Parametri_v3!$C$26</f>
        <v>28486.1376320381</v>
      </c>
      <c r="AL359" s="15" t="n">
        <f aca="false">MAX(0,(AM358))</f>
        <v>27824.6558273956</v>
      </c>
      <c r="AM359" s="15" t="n">
        <f aca="false">(AM358)+AK359-AL359</f>
        <v>28486.1376320381</v>
      </c>
      <c r="AN359" s="15" t="n">
        <f aca="false">SUM(X341:X352)</f>
        <v>0</v>
      </c>
      <c r="AO359" s="15" t="n">
        <f aca="false">SUM(AP341:AP352)</f>
        <v>0</v>
      </c>
      <c r="AP359" s="15" t="n">
        <f aca="false">MAX(0,AN359)*IF(7=Parametri_v3!$C$43,Parametri_v3!$C$45,IF(7=Parametri_v3!$C$44,1-Parametri_v3!$C$45,0))</f>
        <v>0</v>
      </c>
      <c r="AQ359" s="15" t="n">
        <f aca="false">MAX(0,AP359+IF(7=Parametri_v3!$C$43,MAX(0,AN359-AO359),0)-MAX(0,-(AR358)))</f>
        <v>0</v>
      </c>
      <c r="AR359" s="15" t="n">
        <f aca="false">(AR358)+X359-AQ359</f>
        <v>0</v>
      </c>
      <c r="AS359" s="15" t="n">
        <f aca="false">Motore_Operativo!AB359-AT359+AU359</f>
        <v>113503.461904792</v>
      </c>
      <c r="AT359" s="15" t="n">
        <f aca="false">Motore_Operativo!CH359</f>
        <v>5973.86641604167</v>
      </c>
      <c r="AU359" s="15" t="n">
        <f aca="false">MIN(MAX(0,(AV358)+AT359),Parametri_v3!$C$60/12)</f>
        <v>0</v>
      </c>
      <c r="AV359" s="15" t="n">
        <f aca="false">(AV358)+AT359-AU359</f>
        <v>178872.615287292</v>
      </c>
      <c r="AW359" s="15" t="n">
        <f aca="false">IF(AND(Motore_Operativo!C359=Finanziamenti!$D$6,Finanziamenti!$F$6=1),Finanziamenti!$C$6,0)</f>
        <v>0</v>
      </c>
      <c r="AX359" s="15" t="n">
        <f aca="false">IF(AND(6&lt;&gt;7,6&lt;&gt;9,Finanziamenti!$F$8=1,OR(Parametri_v3!$C$6=0,Finanziamenti!$E$8=1),Motore_Operativo!C359=EDATE(Finanziamenti!$D$8,Ipotesi!H15*12)),Finanziamenti!$C$8*1,0)+IF(AND(6&lt;&gt;7,6&lt;&gt;9,Finanziamenti!$F$9=1,OR(Parametri_v3!$C$6=0,Finanziamenti!$E$9=1),Motore_Operativo!C359=EDATE(Finanziamenti!$D$9,Ipotesi!H15*12)),Finanziamenti!$C$9*Ipotesi!H16,0)</f>
        <v>0</v>
      </c>
      <c r="AY359" s="15" t="n">
        <f aca="false">0</f>
        <v>0</v>
      </c>
      <c r="AZ359" s="15" t="n">
        <f aca="false">Motore_Advisory!AY359*(1-Ipotesi!$C$95)*Ipotesi!$C$96</f>
        <v>0</v>
      </c>
      <c r="BA359" s="15" t="n">
        <f aca="false">MAX(0,MIN(CG359*MIN(1,IF(Motore_Operativo!C359&gt;=EDATE(Finanziamenti!$D$15,Ipotesi!H14*12),Finanziamenti!$C$15,0)+IF(Motore_Operativo!C359&gt;=EDATE(Finanziamenti!$D$16,Ipotesi!H14*12),Finanziamenti!$C$16,0)+IF(Motore_Operativo!C359&gt;=EDATE(Finanziamenti!$D$17,Ipotesi!H14*12),Finanziamenti!$C$17,0)),CA359*Ipotesi!$C$102)-(CC358))</f>
        <v>0</v>
      </c>
      <c r="BB359" s="15" t="n">
        <f aca="false">IF(AND(CF359&gt;0,Motore_Operativo!C359&gt;=IF(CF359=0,0,EDATE(CF359,Parametri_v3!$C$37)),MOD(((D359-YEAR(IF(CF359=0,0,EDATE(CF359,Parametri_v3!$C$37))))*12+E359-MONTH(IF(CF359=0,0,EDATE(CF359,Parametri_v3!$C$37)))),Parametri_v3!$C$38)=0),MIN(MAX(0,(BC358)+BA359-N359),(CC359-CD359)/(Ipotesi!$C$108*12/Parametri_v3!$C$38)),0)</f>
        <v>0</v>
      </c>
      <c r="BC359" s="15" t="n">
        <f aca="false">(BC358)+BA359-N359-BB359</f>
        <v>0</v>
      </c>
      <c r="BD359" s="15" t="n">
        <f aca="false">(BH358)+AC359+AF359-AI359-AS359-K359*(1+Parametri_v3!$C$26)-AL359-AQ359-O359+AW359+AX359+AZ359+BA359-BB359</f>
        <v>-274159.914994596</v>
      </c>
      <c r="BE359" s="15" t="n">
        <f aca="false">MAX(0,MIN(MAX(0,CH359-(BG358)),Parametri_v3!$C$30-BD359))</f>
        <v>0</v>
      </c>
      <c r="BF359" s="15" t="n">
        <f aca="false">IF(Motore_Operativo!C359&gt;=Parametri_v3!$C$63,(BG358),MIN((BG358),MAX(0,BD359-Parametri_v3!$C$30)))</f>
        <v>0</v>
      </c>
      <c r="BG359" s="15" t="n">
        <f aca="false">(BG358)+BE359-BF359</f>
        <v>150000</v>
      </c>
      <c r="BH359" s="15" t="n">
        <f aca="false">BD359+BE359-BF359-AY359</f>
        <v>-274159.914994596</v>
      </c>
      <c r="BI359" s="15" t="n">
        <f aca="false">MAX(0,Parametri_v3!$C$30-BH359)</f>
        <v>299159.914994596</v>
      </c>
      <c r="BJ359" s="15" t="n">
        <f aca="false">(BJ358)+K359</f>
        <v>144166.666666667</v>
      </c>
      <c r="BK359" s="15" t="n">
        <f aca="false">(BK358)+L359</f>
        <v>83912.0370370371</v>
      </c>
      <c r="BL359" s="15" t="n">
        <f aca="false">BJ359-BK359</f>
        <v>60254.6296296296</v>
      </c>
      <c r="BM359" s="15" t="n">
        <f aca="false">(BM358)+Y359</f>
        <v>-1499009.29005358</v>
      </c>
      <c r="BN359" s="15" t="n">
        <f aca="false">(BN358)+AW359+AX359+AZ359</f>
        <v>1435430.40943357</v>
      </c>
      <c r="BO359" s="15" t="n">
        <f aca="false">(BO358)+AY359</f>
        <v>0</v>
      </c>
      <c r="BP359" s="15" t="n">
        <f aca="false">0</f>
        <v>0</v>
      </c>
      <c r="BQ359" s="15" t="n">
        <f aca="false">BN359+BM359-BO359</f>
        <v>-63578.8806200149</v>
      </c>
      <c r="BR359" s="15" t="n">
        <f aca="false">BH359+AD359+BL359+MAX(0,-AM359)+MAX(0,-AR359)+AG359</f>
        <v>482565.496359897</v>
      </c>
      <c r="BS359" s="15" t="n">
        <f aca="false">AJ359+AV359+MAX(0,AM359)+MAX(0,AR359)+BC359+BG359+BQ359</f>
        <v>482565.496359897</v>
      </c>
      <c r="BT359" s="15" t="n">
        <f aca="false">BR359-BS359</f>
        <v>0</v>
      </c>
      <c r="BU359" s="15" t="n">
        <f aca="false">BH359-(BD359+BE359-BF359-AY359)</f>
        <v>0</v>
      </c>
      <c r="BV359" s="15" t="n">
        <f aca="false">MIN(Piano_SS!$C$6,(BV358)+IF(AND(Motore_Operativo!C359&gt;=EDATE(Parametri_v3!$C$24,Ipotesi!H14*12),Motore_Operativo!C359&lt;EDATE(Parametri_v3!$C$24,Parametri_v3!$C$25+Ipotesi!H14*12)),MAX(0,(Motore_Operativo!Y359+Motore_Operativo!X359*Parametri_v3!$C$14)*(1-Parametri_v3!$C$32))*Piano_SS!$D$6,0))</f>
        <v>300000</v>
      </c>
      <c r="BW359" s="15" t="n">
        <f aca="false">MIN(Piano_SS!$C$7,(BW358)+IF(AND(Motore_Operativo!C359&gt;=EDATE(Parametri_v3!$C$24,Ipotesi!H14*12),Motore_Operativo!C359&lt;EDATE(Parametri_v3!$C$24,Parametri_v3!$C$25+Ipotesi!H14*12)),MAX(0,(IF(55-(INT((Ipotesi!$C$91)/30))&lt;1,0,INDEX(Motore_Operativo!$BN$305:$BN$364,MAX(1,55-(INT((Ipotesi!$C$91)/30)))))*(1-(MOD((Ipotesi!$C$91),30)/30))+IF(55-(INT((Ipotesi!$C$91)/30))-1&lt;1,0,INDEX(Motore_Operativo!$BN$305:$BN$364,MAX(1,55-(INT((Ipotesi!$C$91)/30))-1)))*(MOD((Ipotesi!$C$91),30)/30)))*Piano_SS!$D$7,0))</f>
        <v>41058.9230070837</v>
      </c>
      <c r="BX359" s="15" t="n">
        <f aca="false">MIN(Piano_SS!$C$8,(BX358)+IF(AND(Motore_Operativo!C359&gt;=EDATE(Parametri_v3!$C$24,Ipotesi!H14*12),Motore_Operativo!C359&lt;EDATE(Parametri_v3!$C$24,Parametri_v3!$C$25+Ipotesi!H14*12)),MAX(0,Motore_Operativo!CE359)*Piano_SS!$D$8,0))</f>
        <v>50000</v>
      </c>
      <c r="BY359" s="15" t="n">
        <f aca="false">MIN(Piano_SS!$C$9,(BY358)+IF(AND(Motore_Operativo!C359&gt;=EDATE(Parametri_v3!$C$24,Ipotesi!H14*12),Motore_Operativo!C359&lt;EDATE(Parametri_v3!$C$24,Parametri_v3!$C$25+Ipotesi!H14*12)),MAX(0,((IF(55-(INT((Ipotesi!$C$91)/30))&lt;1,0,INDEX(Motore_Operativo!$BQ$305:$BQ$364,MAX(1,55-(INT((Ipotesi!$C$91)/30)))))*(1-(MOD((Ipotesi!$C$91),30)/30))+IF(55-(INT((Ipotesi!$C$91)/30))-1&lt;1,0,INDEX(Motore_Operativo!$BQ$305:$BQ$364,MAX(1,55-(INT((Ipotesi!$C$91)/30))-1)))*(MOD((Ipotesi!$C$91),30)/30))+(IF(55-(INT((Ipotesi!$C$91)/30))&lt;1,0,INDEX(Motore_Operativo!$BR$305:$BR$364,MAX(1,55-(INT((Ipotesi!$C$91)/30)))))*(1-(MOD((Ipotesi!$C$91),30)/30))+IF(55-(INT((Ipotesi!$C$91)/30))-1&lt;1,0,INDEX(Motore_Operativo!$BR$305:$BR$364,MAX(1,55-(INT((Ipotesi!$C$91)/30))-1)))*(MOD((Ipotesi!$C$91),30)/30))))*Piano_SS!$D$9,0))</f>
        <v>40000</v>
      </c>
      <c r="BZ359" s="15" t="n">
        <f aca="false">MIN(Piano_SS!$C$10,(BZ358)+IF(AND(Motore_Operativo!C359&gt;=EDATE(Parametri_v3!$C$24,Ipotesi!H14*12),Motore_Operativo!C359&lt;EDATE(Parametri_v3!$C$24,Parametri_v3!$C$25+Ipotesi!H14*12)),MAX(0,(IF(55-(INT((Ipotesi!$C$91)/30))&lt;1,0,INDEX(Motore_Operativo!$BO$305:$BO$364,MAX(1,55-(INT((Ipotesi!$C$91)/30)))))*(1-(MOD((Ipotesi!$C$91),30)/30))+IF(55-(INT((Ipotesi!$C$91)/30))-1&lt;1,0,INDEX(Motore_Operativo!$BO$305:$BO$364,MAX(1,55-(INT((Ipotesi!$C$91)/30))-1)))*(MOD((Ipotesi!$C$91),30)/30)))*Piano_SS!$D$10,0))</f>
        <v>30000</v>
      </c>
      <c r="CA359" s="15" t="n">
        <f aca="false">SUM(BV359:BZ359)</f>
        <v>461058.923007084</v>
      </c>
      <c r="CB359" s="15" t="n">
        <f aca="false">BV359*(1-Piano_SS!$E$6)+BW359*(1-Piano_SS!$E$7)+BX359*(1-Piano_SS!$E$8)+BY359*(1-Piano_SS!$E$9)+BZ359*(1-Piano_SS!$E$10)</f>
        <v>431058.923007084</v>
      </c>
      <c r="CC359" s="15" t="n">
        <f aca="false">(CC358)+BA359</f>
        <v>0</v>
      </c>
      <c r="CD359" s="15" t="n">
        <f aca="false">IF(CA359=0,0,CC359*CB359/CA359*Ipotesi!$C$103*Parametri_v3!$C$64)</f>
        <v>0</v>
      </c>
      <c r="CE359" s="18" t="n">
        <f aca="false">IF(BA359&gt;0,Motore_Operativo!C359,(CE358))</f>
        <v>0</v>
      </c>
      <c r="CF359" s="18" t="n">
        <f aca="false">IF(AND(CC359&gt;0,OR(CC359&gt;=CG359-0.01,Motore_Operativo!C359&gt;=EDATE(MAX(Finanziamenti!$D$15:$D$17),Ipotesi!H14*12))),CE359,0)</f>
        <v>0</v>
      </c>
      <c r="CG359" s="15" t="n">
        <f aca="false">IF(AND(6&lt;&gt;6,6&lt;&gt;9,Finanziamenti!$F$11=1,OR(Parametri_v3!$C$6=0,Finanziamenti!$E$11=1)),MIN(Finanziamenti!$C$11,Piano_SS!$C$12*Ipotesi!$C$102),0)</f>
        <v>0</v>
      </c>
      <c r="CH359" s="15" t="n">
        <f aca="false">IF(AND(AND(6&lt;&gt;8,6&lt;&gt;9,Finanziamenti!$F$10=1,OR(Parametri_v3!$C$6=0,Finanziamenti!$E$10=1)),Motore_Operativo!C359&gt;=Finanziamenti!$D$10,Motore_Operativo!C359&lt;Parametri_v3!$C$63),Finanziamenti!$C$10,0)</f>
        <v>150000</v>
      </c>
    </row>
    <row r="360" customFormat="false" ht="18" hidden="false" customHeight="true" outlineLevel="0" collapsed="false">
      <c r="A360" s="68" t="n">
        <f aca="false">6</f>
        <v>6</v>
      </c>
      <c r="B360" s="68" t="n">
        <f aca="false">56</f>
        <v>56</v>
      </c>
      <c r="C360" s="18" t="n">
        <f aca="false">Motore_Operativo!C360</f>
        <v>48061</v>
      </c>
      <c r="D360" s="68" t="n">
        <f aca="false">Motore_Operativo!D360</f>
        <v>2031</v>
      </c>
      <c r="E360" s="68" t="n">
        <f aca="false">Motore_Operativo!E360</f>
        <v>8</v>
      </c>
      <c r="F360" s="15" t="n">
        <f aca="false">Motore_Operativo!AQ360+Motore_Operativo!BF360</f>
        <v>193233.217134923</v>
      </c>
      <c r="G360" s="15" t="n">
        <f aca="false">Motore_Operativo!BH360</f>
        <v>11595.8333333333</v>
      </c>
      <c r="H360" s="15" t="n">
        <f aca="false">Motore_Operativo!BI360</f>
        <v>204829.050468256</v>
      </c>
      <c r="I360" s="15" t="n">
        <f aca="false">Motore_Operativo!CA360</f>
        <v>199712.020386389</v>
      </c>
      <c r="J360" s="15" t="n">
        <f aca="false">Motore_Operativo!CC360</f>
        <v>5117.03008186689</v>
      </c>
      <c r="K360" s="15" t="n">
        <f aca="false">Motore_Operativo!CE360</f>
        <v>4166.66666666667</v>
      </c>
      <c r="L360" s="15" t="n">
        <f aca="false">SUM(INDEX($K$305:$K$364,MAX(1,56-Parametri_v3!$C$59+1)):K360)/Parametri_v3!$C$59</f>
        <v>3101.85185185185</v>
      </c>
      <c r="M360" s="15" t="n">
        <f aca="false">J360-L360</f>
        <v>2015.17823001504</v>
      </c>
      <c r="N360" s="15" t="n">
        <f aca="false">CD360-(CD359)</f>
        <v>0</v>
      </c>
      <c r="O360" s="15" t="n">
        <f aca="false">(BG359)*Ipotesi!$C$110/12+CH360*Parametri_v3!$C$39/12</f>
        <v>750</v>
      </c>
      <c r="P360" s="15" t="n">
        <f aca="false">M360+N360-O360</f>
        <v>1265.17823001504</v>
      </c>
      <c r="Q360" s="15" t="n">
        <f aca="false">SUM(P353:P360)+Parametri_v3!$C$54*8/12</f>
        <v>-67650.0319810421</v>
      </c>
      <c r="R360" s="15" t="n">
        <f aca="false">Z352</f>
        <v>1115328.80104631</v>
      </c>
      <c r="S360" s="15" t="n">
        <f aca="false">AA352</f>
        <v>314765.278796219</v>
      </c>
      <c r="T360" s="15" t="n">
        <f aca="false">MIN(R360,MAX(0,Q360))</f>
        <v>0</v>
      </c>
      <c r="U360" s="15" t="n">
        <f aca="false">MIN(S360,MAX(0,Q360-T360)*Parametri_v3!$C$42)</f>
        <v>0</v>
      </c>
      <c r="V360" s="15" t="n">
        <f aca="false">MAX(0,Q360-T360-U360)*Ipotesi!$C$92</f>
        <v>0</v>
      </c>
      <c r="W360" s="15" t="n">
        <f aca="false">MAX(0,SUM(M353:M360)+Parametri_v3!$C$55*8/12)*Ipotesi!$C$93</f>
        <v>0</v>
      </c>
      <c r="X360" s="15" t="n">
        <f aca="false">V360+W360-(V359+W359)</f>
        <v>0</v>
      </c>
      <c r="Y360" s="15" t="n">
        <f aca="false">P360-X360</f>
        <v>1265.17823001504</v>
      </c>
      <c r="Z360" s="15" t="n">
        <f aca="false">R360-T360+IF(AND(Parametri_v3!$C$40=1,D360-YEAR(Parametri_v3!$C$50)&lt;Parametri_v3!$C$41),MAX(0,-Q360),0)</f>
        <v>1115328.80104631</v>
      </c>
      <c r="AA360" s="15" t="n">
        <f aca="false">S360-U360+IF(AND(Parametri_v3!$C$40=1,D360-YEAR(Parametri_v3!$C$50)&lt;Parametri_v3!$C$41),0,MAX(0,-Q360))</f>
        <v>382415.310777261</v>
      </c>
      <c r="AB360" s="15" t="n">
        <f aca="false">F360*(1+Parametri_v3!$C$26)</f>
        <v>235744.524904606</v>
      </c>
      <c r="AC360" s="15" t="n">
        <f aca="false">(IF(56-(INT((Motore_Operativo!L360)/30))&lt;1,0,INDEX(Motore_Startup!$AB$305:$AB$364,MAX(1,56-(INT((Motore_Operativo!L360)/30)))))*(1-(MOD((Motore_Operativo!L360),30)/30))+IF(56-(INT((Motore_Operativo!L360)/30))-1&lt;1,0,INDEX(Motore_Startup!$AB$305:$AB$364,MAX(1,56-(INT((Motore_Operativo!L360)/30))-1)))*(MOD((Motore_Operativo!L360),30)/30))</f>
        <v>223253.112166291</v>
      </c>
      <c r="AD360" s="15" t="n">
        <f aca="false">(AD359)+AB360-AC360</f>
        <v>694815.277796511</v>
      </c>
      <c r="AE360" s="15" t="n">
        <f aca="false">Motore_Operativo!BH360*(1+Parametri_v3!$C$26)</f>
        <v>14146.9166666667</v>
      </c>
      <c r="AF360" s="15" t="n">
        <f aca="false">(IF(56-(INT((Parametri_v3!$C$29)/30))&lt;1,0,INDEX(Motore_Operativo!$BH$305:$BH$364,MAX(1,56-(INT((Parametri_v3!$C$29)/30)))))*(1-(MOD((Parametri_v3!$C$29),30)/30))+IF(56-(INT((Parametri_v3!$C$29)/30))-1&lt;1,0,INDEX(Motore_Operativo!$BH$305:$BH$364,MAX(1,56-(INT((Parametri_v3!$C$29)/30))-1)))*(MOD((Parametri_v3!$C$29),30)/30))*(1+Parametri_v3!$C$26)</f>
        <v>14146.9166666667</v>
      </c>
      <c r="AG360" s="15" t="n">
        <f aca="false">(AG359)+AE360-AF360</f>
        <v>14146.9166666667</v>
      </c>
      <c r="AH360" s="15" t="n">
        <f aca="false">(Motore_Operativo!CJ360)*(1+Parametri_v3!$C$27*Parametri_v3!$C$26)</f>
        <v>95238.5794818148</v>
      </c>
      <c r="AI360" s="15" t="n">
        <f aca="false">(IF(56-(INT((Ipotesi!$C$91)/30))&lt;1,0,INDEX(Motore_Startup!$AH$305:$AH$364,MAX(1,56-(INT((Ipotesi!$C$91)/30)))))*(1-(MOD((Ipotesi!$C$91),30)/30))+IF(56-(INT((Ipotesi!$C$91)/30))-1&lt;1,0,INDEX(Motore_Startup!$AH$305:$AH$364,MAX(1,56-(INT((Ipotesi!$C$91)/30))-1)))*(MOD((Ipotesi!$C$91),30)/30))</f>
        <v>94109.2369443983</v>
      </c>
      <c r="AJ360" s="15" t="n">
        <f aca="false">(AJ359)+AH360-AI360</f>
        <v>189914.966597999</v>
      </c>
      <c r="AK360" s="15" t="n">
        <f aca="false">(F360+ Motore_Operativo!BH360-(Motore_Operativo!CJ360)*Parametri_v3!$C$27-Motore_Operativo!CE360)*Parametri_v3!$C$26</f>
        <v>29141.8370200907</v>
      </c>
      <c r="AL360" s="15" t="n">
        <f aca="false">MAX(0,(AM359))</f>
        <v>28486.1376320381</v>
      </c>
      <c r="AM360" s="15" t="n">
        <f aca="false">(AM359)+AK360-AL360</f>
        <v>29141.8370200907</v>
      </c>
      <c r="AN360" s="15" t="n">
        <f aca="false">SUM(X341:X352)</f>
        <v>0</v>
      </c>
      <c r="AO360" s="15" t="n">
        <f aca="false">SUM(AP341:AP352)</f>
        <v>0</v>
      </c>
      <c r="AP360" s="15" t="n">
        <f aca="false">MAX(0,AN360)*IF(8=Parametri_v3!$C$43,Parametri_v3!$C$45,IF(8=Parametri_v3!$C$44,1-Parametri_v3!$C$45,0))</f>
        <v>0</v>
      </c>
      <c r="AQ360" s="15" t="n">
        <f aca="false">MAX(0,AP360+IF(8=Parametri_v3!$C$43,MAX(0,AN360-AO360),0)-MAX(0,-(AR359)))</f>
        <v>0</v>
      </c>
      <c r="AR360" s="15" t="n">
        <f aca="false">(AR359)+X360-AQ360</f>
        <v>0</v>
      </c>
      <c r="AS360" s="15" t="n">
        <f aca="false">Motore_Operativo!AB360-AT360+AU360</f>
        <v>113503.461904792</v>
      </c>
      <c r="AT360" s="15" t="n">
        <f aca="false">Motore_Operativo!CH360</f>
        <v>5973.86641604167</v>
      </c>
      <c r="AU360" s="15" t="n">
        <f aca="false">MIN(MAX(0,(AV359)+AT360),Parametri_v3!$C$60/12)</f>
        <v>0</v>
      </c>
      <c r="AV360" s="15" t="n">
        <f aca="false">(AV359)+AT360-AU360</f>
        <v>184846.481703333</v>
      </c>
      <c r="AW360" s="15" t="n">
        <f aca="false">IF(AND(Motore_Operativo!C360=Finanziamenti!$D$6,Finanziamenti!$F$6=1),Finanziamenti!$C$6,0)</f>
        <v>0</v>
      </c>
      <c r="AX360" s="15" t="n">
        <f aca="false">IF(AND(6&lt;&gt;7,6&lt;&gt;9,Finanziamenti!$F$8=1,OR(Parametri_v3!$C$6=0,Finanziamenti!$E$8=1),Motore_Operativo!C360=EDATE(Finanziamenti!$D$8,Ipotesi!H15*12)),Finanziamenti!$C$8*1,0)+IF(AND(6&lt;&gt;7,6&lt;&gt;9,Finanziamenti!$F$9=1,OR(Parametri_v3!$C$6=0,Finanziamenti!$E$9=1),Motore_Operativo!C360=EDATE(Finanziamenti!$D$9,Ipotesi!H15*12)),Finanziamenti!$C$9*Ipotesi!H16,0)</f>
        <v>0</v>
      </c>
      <c r="AY360" s="15" t="n">
        <f aca="false">0</f>
        <v>0</v>
      </c>
      <c r="AZ360" s="15" t="n">
        <f aca="false">Motore_Advisory!AY360*(1-Ipotesi!$C$95)*Ipotesi!$C$96</f>
        <v>0</v>
      </c>
      <c r="BA360" s="15" t="n">
        <f aca="false">MAX(0,MIN(CG360*MIN(1,IF(Motore_Operativo!C360&gt;=EDATE(Finanziamenti!$D$15,Ipotesi!H14*12),Finanziamenti!$C$15,0)+IF(Motore_Operativo!C360&gt;=EDATE(Finanziamenti!$D$16,Ipotesi!H14*12),Finanziamenti!$C$16,0)+IF(Motore_Operativo!C360&gt;=EDATE(Finanziamenti!$D$17,Ipotesi!H14*12),Finanziamenti!$C$17,0)),CA360*Ipotesi!$C$102)-(CC359))</f>
        <v>0</v>
      </c>
      <c r="BB360" s="15" t="n">
        <f aca="false">IF(AND(CF360&gt;0,Motore_Operativo!C360&gt;=IF(CF360=0,0,EDATE(CF360,Parametri_v3!$C$37)),MOD(((D360-YEAR(IF(CF360=0,0,EDATE(CF360,Parametri_v3!$C$37))))*12+E360-MONTH(IF(CF360=0,0,EDATE(CF360,Parametri_v3!$C$37)))),Parametri_v3!$C$38)=0),MIN(MAX(0,(BC359)+BA360-N360),(CC360-CD360)/(Ipotesi!$C$108*12/Parametri_v3!$C$38)),0)</f>
        <v>0</v>
      </c>
      <c r="BC360" s="15" t="n">
        <f aca="false">(BC359)+BA360-N360-BB360</f>
        <v>0</v>
      </c>
      <c r="BD360" s="15" t="n">
        <f aca="false">(BH359)+AC360+AF360-AI360-AS360-K360*(1+Parametri_v3!$C$26)-AL360-AQ360-O360+AW360+AX360+AZ360+BA360-BB360</f>
        <v>-278692.055976199</v>
      </c>
      <c r="BE360" s="15" t="n">
        <f aca="false">MAX(0,MIN(MAX(0,CH360-(BG359)),Parametri_v3!$C$30-BD360))</f>
        <v>0</v>
      </c>
      <c r="BF360" s="15" t="n">
        <f aca="false">IF(Motore_Operativo!C360&gt;=Parametri_v3!$C$63,(BG359),MIN((BG359),MAX(0,BD360-Parametri_v3!$C$30)))</f>
        <v>0</v>
      </c>
      <c r="BG360" s="15" t="n">
        <f aca="false">(BG359)+BE360-BF360</f>
        <v>150000</v>
      </c>
      <c r="BH360" s="15" t="n">
        <f aca="false">BD360+BE360-BF360-AY360</f>
        <v>-278692.055976199</v>
      </c>
      <c r="BI360" s="15" t="n">
        <f aca="false">MAX(0,Parametri_v3!$C$30-BH360)</f>
        <v>303692.055976199</v>
      </c>
      <c r="BJ360" s="15" t="n">
        <f aca="false">(BJ359)+K360</f>
        <v>148333.333333333</v>
      </c>
      <c r="BK360" s="15" t="n">
        <f aca="false">(BK359)+L360</f>
        <v>87013.8888888889</v>
      </c>
      <c r="BL360" s="15" t="n">
        <f aca="false">BJ360-BK360</f>
        <v>61319.4444444444</v>
      </c>
      <c r="BM360" s="15" t="n">
        <f aca="false">(BM359)+Y360</f>
        <v>-1497744.11182357</v>
      </c>
      <c r="BN360" s="15" t="n">
        <f aca="false">(BN359)+AW360+AX360+AZ360</f>
        <v>1435430.40943357</v>
      </c>
      <c r="BO360" s="15" t="n">
        <f aca="false">(BO359)+AY360</f>
        <v>0</v>
      </c>
      <c r="BP360" s="15" t="n">
        <f aca="false">0</f>
        <v>0</v>
      </c>
      <c r="BQ360" s="15" t="n">
        <f aca="false">BN360+BM360-BO360</f>
        <v>-62313.7023899998</v>
      </c>
      <c r="BR360" s="15" t="n">
        <f aca="false">BH360+AD360+BL360+MAX(0,-AM360)+MAX(0,-AR360)+AG360</f>
        <v>491589.582931423</v>
      </c>
      <c r="BS360" s="15" t="n">
        <f aca="false">AJ360+AV360+MAX(0,AM360)+MAX(0,AR360)+BC360+BG360+BQ360</f>
        <v>491589.582931423</v>
      </c>
      <c r="BT360" s="15" t="n">
        <f aca="false">BR360-BS360</f>
        <v>0</v>
      </c>
      <c r="BU360" s="15" t="n">
        <f aca="false">BH360-(BD360+BE360-BF360-AY360)</f>
        <v>0</v>
      </c>
      <c r="BV360" s="15" t="n">
        <f aca="false">MIN(Piano_SS!$C$6,(BV359)+IF(AND(Motore_Operativo!C360&gt;=EDATE(Parametri_v3!$C$24,Ipotesi!H14*12),Motore_Operativo!C360&lt;EDATE(Parametri_v3!$C$24,Parametri_v3!$C$25+Ipotesi!H14*12)),MAX(0,(Motore_Operativo!Y360+Motore_Operativo!X360*Parametri_v3!$C$14)*(1-Parametri_v3!$C$32))*Piano_SS!$D$6,0))</f>
        <v>300000</v>
      </c>
      <c r="BW360" s="15" t="n">
        <f aca="false">MIN(Piano_SS!$C$7,(BW359)+IF(AND(Motore_Operativo!C360&gt;=EDATE(Parametri_v3!$C$24,Ipotesi!H14*12),Motore_Operativo!C360&lt;EDATE(Parametri_v3!$C$24,Parametri_v3!$C$25+Ipotesi!H14*12)),MAX(0,(IF(56-(INT((Ipotesi!$C$91)/30))&lt;1,0,INDEX(Motore_Operativo!$BN$305:$BN$364,MAX(1,56-(INT((Ipotesi!$C$91)/30)))))*(1-(MOD((Ipotesi!$C$91),30)/30))+IF(56-(INT((Ipotesi!$C$91)/30))-1&lt;1,0,INDEX(Motore_Operativo!$BN$305:$BN$364,MAX(1,56-(INT((Ipotesi!$C$91)/30))-1)))*(MOD((Ipotesi!$C$91),30)/30)))*Piano_SS!$D$7,0))</f>
        <v>41058.9230070837</v>
      </c>
      <c r="BX360" s="15" t="n">
        <f aca="false">MIN(Piano_SS!$C$8,(BX359)+IF(AND(Motore_Operativo!C360&gt;=EDATE(Parametri_v3!$C$24,Ipotesi!H14*12),Motore_Operativo!C360&lt;EDATE(Parametri_v3!$C$24,Parametri_v3!$C$25+Ipotesi!H14*12)),MAX(0,Motore_Operativo!CE360)*Piano_SS!$D$8,0))</f>
        <v>50000</v>
      </c>
      <c r="BY360" s="15" t="n">
        <f aca="false">MIN(Piano_SS!$C$9,(BY359)+IF(AND(Motore_Operativo!C360&gt;=EDATE(Parametri_v3!$C$24,Ipotesi!H14*12),Motore_Operativo!C360&lt;EDATE(Parametri_v3!$C$24,Parametri_v3!$C$25+Ipotesi!H14*12)),MAX(0,((IF(56-(INT((Ipotesi!$C$91)/30))&lt;1,0,INDEX(Motore_Operativo!$BQ$305:$BQ$364,MAX(1,56-(INT((Ipotesi!$C$91)/30)))))*(1-(MOD((Ipotesi!$C$91),30)/30))+IF(56-(INT((Ipotesi!$C$91)/30))-1&lt;1,0,INDEX(Motore_Operativo!$BQ$305:$BQ$364,MAX(1,56-(INT((Ipotesi!$C$91)/30))-1)))*(MOD((Ipotesi!$C$91),30)/30))+(IF(56-(INT((Ipotesi!$C$91)/30))&lt;1,0,INDEX(Motore_Operativo!$BR$305:$BR$364,MAX(1,56-(INT((Ipotesi!$C$91)/30)))))*(1-(MOD((Ipotesi!$C$91),30)/30))+IF(56-(INT((Ipotesi!$C$91)/30))-1&lt;1,0,INDEX(Motore_Operativo!$BR$305:$BR$364,MAX(1,56-(INT((Ipotesi!$C$91)/30))-1)))*(MOD((Ipotesi!$C$91),30)/30))))*Piano_SS!$D$9,0))</f>
        <v>40000</v>
      </c>
      <c r="BZ360" s="15" t="n">
        <f aca="false">MIN(Piano_SS!$C$10,(BZ359)+IF(AND(Motore_Operativo!C360&gt;=EDATE(Parametri_v3!$C$24,Ipotesi!H14*12),Motore_Operativo!C360&lt;EDATE(Parametri_v3!$C$24,Parametri_v3!$C$25+Ipotesi!H14*12)),MAX(0,(IF(56-(INT((Ipotesi!$C$91)/30))&lt;1,0,INDEX(Motore_Operativo!$BO$305:$BO$364,MAX(1,56-(INT((Ipotesi!$C$91)/30)))))*(1-(MOD((Ipotesi!$C$91),30)/30))+IF(56-(INT((Ipotesi!$C$91)/30))-1&lt;1,0,INDEX(Motore_Operativo!$BO$305:$BO$364,MAX(1,56-(INT((Ipotesi!$C$91)/30))-1)))*(MOD((Ipotesi!$C$91),30)/30)))*Piano_SS!$D$10,0))</f>
        <v>30000</v>
      </c>
      <c r="CA360" s="15" t="n">
        <f aca="false">SUM(BV360:BZ360)</f>
        <v>461058.923007084</v>
      </c>
      <c r="CB360" s="15" t="n">
        <f aca="false">BV360*(1-Piano_SS!$E$6)+BW360*(1-Piano_SS!$E$7)+BX360*(1-Piano_SS!$E$8)+BY360*(1-Piano_SS!$E$9)+BZ360*(1-Piano_SS!$E$10)</f>
        <v>431058.923007084</v>
      </c>
      <c r="CC360" s="15" t="n">
        <f aca="false">(CC359)+BA360</f>
        <v>0</v>
      </c>
      <c r="CD360" s="15" t="n">
        <f aca="false">IF(CA360=0,0,CC360*CB360/CA360*Ipotesi!$C$103*Parametri_v3!$C$64)</f>
        <v>0</v>
      </c>
      <c r="CE360" s="18" t="n">
        <f aca="false">IF(BA360&gt;0,Motore_Operativo!C360,(CE359))</f>
        <v>0</v>
      </c>
      <c r="CF360" s="18" t="n">
        <f aca="false">IF(AND(CC360&gt;0,OR(CC360&gt;=CG360-0.01,Motore_Operativo!C360&gt;=EDATE(MAX(Finanziamenti!$D$15:$D$17),Ipotesi!H14*12))),CE360,0)</f>
        <v>0</v>
      </c>
      <c r="CG360" s="15" t="n">
        <f aca="false">IF(AND(6&lt;&gt;6,6&lt;&gt;9,Finanziamenti!$F$11=1,OR(Parametri_v3!$C$6=0,Finanziamenti!$E$11=1)),MIN(Finanziamenti!$C$11,Piano_SS!$C$12*Ipotesi!$C$102),0)</f>
        <v>0</v>
      </c>
      <c r="CH360" s="15" t="n">
        <f aca="false">IF(AND(AND(6&lt;&gt;8,6&lt;&gt;9,Finanziamenti!$F$10=1,OR(Parametri_v3!$C$6=0,Finanziamenti!$E$10=1)),Motore_Operativo!C360&gt;=Finanziamenti!$D$10,Motore_Operativo!C360&lt;Parametri_v3!$C$63),Finanziamenti!$C$10,0)</f>
        <v>150000</v>
      </c>
    </row>
    <row r="361" customFormat="false" ht="18" hidden="false" customHeight="true" outlineLevel="0" collapsed="false">
      <c r="A361" s="68" t="n">
        <f aca="false">6</f>
        <v>6</v>
      </c>
      <c r="B361" s="68" t="n">
        <f aca="false">57</f>
        <v>57</v>
      </c>
      <c r="C361" s="18" t="n">
        <f aca="false">Motore_Operativo!C361</f>
        <v>48092</v>
      </c>
      <c r="D361" s="68" t="n">
        <f aca="false">Motore_Operativo!D361</f>
        <v>2031</v>
      </c>
      <c r="E361" s="68" t="n">
        <f aca="false">Motore_Operativo!E361</f>
        <v>9</v>
      </c>
      <c r="F361" s="15" t="n">
        <f aca="false">Motore_Operativo!AQ361+Motore_Operativo!BF361</f>
        <v>196586.676628778</v>
      </c>
      <c r="G361" s="15" t="n">
        <f aca="false">Motore_Operativo!BH361</f>
        <v>11595.8333333333</v>
      </c>
      <c r="H361" s="15" t="n">
        <f aca="false">Motore_Operativo!BI361</f>
        <v>208182.509962112</v>
      </c>
      <c r="I361" s="15" t="n">
        <f aca="false">Motore_Operativo!CA361</f>
        <v>200181.504715529</v>
      </c>
      <c r="J361" s="15" t="n">
        <f aca="false">Motore_Operativo!CC361</f>
        <v>8001.00524658262</v>
      </c>
      <c r="K361" s="15" t="n">
        <f aca="false">Motore_Operativo!CE361</f>
        <v>4166.66666666667</v>
      </c>
      <c r="L361" s="15" t="n">
        <f aca="false">SUM(INDEX($K$305:$K$364,MAX(1,57-Parametri_v3!$C$59+1)):K361)/Parametri_v3!$C$59</f>
        <v>3159.72222222222</v>
      </c>
      <c r="M361" s="15" t="n">
        <f aca="false">J361-L361</f>
        <v>4841.28302436039</v>
      </c>
      <c r="N361" s="15" t="n">
        <f aca="false">CD361-(CD360)</f>
        <v>0</v>
      </c>
      <c r="O361" s="15" t="n">
        <f aca="false">(BG360)*Ipotesi!$C$110/12+CH361*Parametri_v3!$C$39/12</f>
        <v>750</v>
      </c>
      <c r="P361" s="15" t="n">
        <f aca="false">M361+N361-O361</f>
        <v>4091.28302436039</v>
      </c>
      <c r="Q361" s="15" t="n">
        <f aca="false">SUM(P353:P361)+Parametri_v3!$C$54*9/12</f>
        <v>-63558.7489566817</v>
      </c>
      <c r="R361" s="15" t="n">
        <f aca="false">Z352</f>
        <v>1115328.80104631</v>
      </c>
      <c r="S361" s="15" t="n">
        <f aca="false">AA352</f>
        <v>314765.278796219</v>
      </c>
      <c r="T361" s="15" t="n">
        <f aca="false">MIN(R361,MAX(0,Q361))</f>
        <v>0</v>
      </c>
      <c r="U361" s="15" t="n">
        <f aca="false">MIN(S361,MAX(0,Q361-T361)*Parametri_v3!$C$42)</f>
        <v>0</v>
      </c>
      <c r="V361" s="15" t="n">
        <f aca="false">MAX(0,Q361-T361-U361)*Ipotesi!$C$92</f>
        <v>0</v>
      </c>
      <c r="W361" s="15" t="n">
        <f aca="false">MAX(0,SUM(M353:M361)+Parametri_v3!$C$55*9/12)*Ipotesi!$C$93</f>
        <v>0</v>
      </c>
      <c r="X361" s="15" t="n">
        <f aca="false">V361+W361-(V360+W360)</f>
        <v>0</v>
      </c>
      <c r="Y361" s="15" t="n">
        <f aca="false">P361-X361</f>
        <v>4091.28302436039</v>
      </c>
      <c r="Z361" s="15" t="n">
        <f aca="false">R361-T361+IF(AND(Parametri_v3!$C$40=1,D361-YEAR(Parametri_v3!$C$50)&lt;Parametri_v3!$C$41),MAX(0,-Q361),0)</f>
        <v>1115328.80104631</v>
      </c>
      <c r="AA361" s="15" t="n">
        <f aca="false">S361-U361+IF(AND(Parametri_v3!$C$40=1,D361-YEAR(Parametri_v3!$C$50)&lt;Parametri_v3!$C$41),0,MAX(0,-Q361))</f>
        <v>378324.0277529</v>
      </c>
      <c r="AB361" s="15" t="n">
        <f aca="false">F361*(1+Parametri_v3!$C$26)</f>
        <v>239835.745487109</v>
      </c>
      <c r="AC361" s="15" t="n">
        <f aca="false">(IF(57-(INT((Motore_Operativo!L361)/30))&lt;1,0,INDEX(Motore_Startup!$AB$305:$AB$364,MAX(1,57-(INT((Motore_Operativo!L361)/30)))))*(1-(MOD((Motore_Operativo!L361),30)/30))+IF(57-(INT((Motore_Operativo!L361)/30))-1&lt;1,0,INDEX(Motore_Startup!$AB$305:$AB$364,MAX(1,57-(INT((Motore_Operativo!L361)/30))-1)))*(MOD((Motore_Operativo!L361),30)/30))</f>
        <v>227453.527819227</v>
      </c>
      <c r="AD361" s="15" t="n">
        <f aca="false">(AD360)+AB361-AC361</f>
        <v>707197.495464393</v>
      </c>
      <c r="AE361" s="15" t="n">
        <f aca="false">Motore_Operativo!BH361*(1+Parametri_v3!$C$26)</f>
        <v>14146.9166666667</v>
      </c>
      <c r="AF361" s="15" t="n">
        <f aca="false">(IF(57-(INT((Parametri_v3!$C$29)/30))&lt;1,0,INDEX(Motore_Operativo!$BH$305:$BH$364,MAX(1,57-(INT((Parametri_v3!$C$29)/30)))))*(1-(MOD((Parametri_v3!$C$29),30)/30))+IF(57-(INT((Parametri_v3!$C$29)/30))-1&lt;1,0,INDEX(Motore_Operativo!$BH$305:$BH$364,MAX(1,57-(INT((Parametri_v3!$C$29)/30))-1)))*(MOD((Parametri_v3!$C$29),30)/30))*(1+Parametri_v3!$C$26)</f>
        <v>14146.9166666667</v>
      </c>
      <c r="AG361" s="15" t="n">
        <f aca="false">(AG360)+AE361-AF361</f>
        <v>14146.9166666667</v>
      </c>
      <c r="AH361" s="15" t="n">
        <f aca="false">(Motore_Operativo!CJ361)*(1+Parametri_v3!$C$27*Parametri_v3!$C$26)</f>
        <v>95795.8573805037</v>
      </c>
      <c r="AI361" s="15" t="n">
        <f aca="false">(IF(57-(INT((Ipotesi!$C$91)/30))&lt;1,0,INDEX(Motore_Startup!$AH$305:$AH$364,MAX(1,57-(INT((Ipotesi!$C$91)/30)))))*(1-(MOD((Ipotesi!$C$91),30)/30))+IF(57-(INT((Ipotesi!$C$91)/30))-1&lt;1,0,INDEX(Motore_Startup!$AH$305:$AH$364,MAX(1,57-(INT((Ipotesi!$C$91)/30))-1)))*(MOD((Ipotesi!$C$91),30)/30))</f>
        <v>94676.3871161839</v>
      </c>
      <c r="AJ361" s="15" t="n">
        <f aca="false">(AJ360)+AH361-AI361</f>
        <v>191034.436862318</v>
      </c>
      <c r="AK361" s="15" t="n">
        <f aca="false">(F361+ Motore_Operativo!BH361-(Motore_Operativo!CJ361)*Parametri_v3!$C$27-Motore_Operativo!CE361)*Parametri_v3!$C$26</f>
        <v>29791.8045391898</v>
      </c>
      <c r="AL361" s="15" t="n">
        <f aca="false">MAX(0,(AM360))</f>
        <v>29141.8370200907</v>
      </c>
      <c r="AM361" s="15" t="n">
        <f aca="false">(AM360)+AK361-AL361</f>
        <v>29791.8045391898</v>
      </c>
      <c r="AN361" s="15" t="n">
        <f aca="false">SUM(X341:X352)</f>
        <v>0</v>
      </c>
      <c r="AO361" s="15" t="n">
        <f aca="false">SUM(AP341:AP352)</f>
        <v>0</v>
      </c>
      <c r="AP361" s="15" t="n">
        <f aca="false">MAX(0,AN361)*IF(9=Parametri_v3!$C$43,Parametri_v3!$C$45,IF(9=Parametri_v3!$C$44,1-Parametri_v3!$C$45,0))</f>
        <v>0</v>
      </c>
      <c r="AQ361" s="15" t="n">
        <f aca="false">MAX(0,AP361+IF(9=Parametri_v3!$C$43,MAX(0,AN361-AO361),0)-MAX(0,-(AR360)))</f>
        <v>0</v>
      </c>
      <c r="AR361" s="15" t="n">
        <f aca="false">(AR360)+X361-AQ361</f>
        <v>0</v>
      </c>
      <c r="AS361" s="15" t="n">
        <f aca="false">Motore_Operativo!AB361-AT361+AU361</f>
        <v>113503.461904792</v>
      </c>
      <c r="AT361" s="15" t="n">
        <f aca="false">Motore_Operativo!CH361</f>
        <v>5973.86641604167</v>
      </c>
      <c r="AU361" s="15" t="n">
        <f aca="false">MIN(MAX(0,(AV360)+AT361),Parametri_v3!$C$60/12)</f>
        <v>0</v>
      </c>
      <c r="AV361" s="15" t="n">
        <f aca="false">(AV360)+AT361-AU361</f>
        <v>190820.348119375</v>
      </c>
      <c r="AW361" s="15" t="n">
        <f aca="false">IF(AND(Motore_Operativo!C361=Finanziamenti!$D$6,Finanziamenti!$F$6=1),Finanziamenti!$C$6,0)</f>
        <v>0</v>
      </c>
      <c r="AX361" s="15" t="n">
        <f aca="false">IF(AND(6&lt;&gt;7,6&lt;&gt;9,Finanziamenti!$F$8=1,OR(Parametri_v3!$C$6=0,Finanziamenti!$E$8=1),Motore_Operativo!C361=EDATE(Finanziamenti!$D$8,Ipotesi!H15*12)),Finanziamenti!$C$8*1,0)+IF(AND(6&lt;&gt;7,6&lt;&gt;9,Finanziamenti!$F$9=1,OR(Parametri_v3!$C$6=0,Finanziamenti!$E$9=1),Motore_Operativo!C361=EDATE(Finanziamenti!$D$9,Ipotesi!H15*12)),Finanziamenti!$C$9*Ipotesi!H16,0)</f>
        <v>0</v>
      </c>
      <c r="AY361" s="15" t="n">
        <f aca="false">0</f>
        <v>0</v>
      </c>
      <c r="AZ361" s="15" t="n">
        <f aca="false">Motore_Advisory!AY361*(1-Ipotesi!$C$95)*Ipotesi!$C$96</f>
        <v>0</v>
      </c>
      <c r="BA361" s="15" t="n">
        <f aca="false">MAX(0,MIN(CG361*MIN(1,IF(Motore_Operativo!C361&gt;=EDATE(Finanziamenti!$D$15,Ipotesi!H14*12),Finanziamenti!$C$15,0)+IF(Motore_Operativo!C361&gt;=EDATE(Finanziamenti!$D$16,Ipotesi!H14*12),Finanziamenti!$C$16,0)+IF(Motore_Operativo!C361&gt;=EDATE(Finanziamenti!$D$17,Ipotesi!H14*12),Finanziamenti!$C$17,0)),CA361*Ipotesi!$C$102)-(CC360))</f>
        <v>0</v>
      </c>
      <c r="BB361" s="15" t="n">
        <f aca="false">IF(AND(CF361&gt;0,Motore_Operativo!C361&gt;=IF(CF361=0,0,EDATE(CF361,Parametri_v3!$C$37)),MOD(((D361-YEAR(IF(CF361=0,0,EDATE(CF361,Parametri_v3!$C$37))))*12+E361-MONTH(IF(CF361=0,0,EDATE(CF361,Parametri_v3!$C$37)))),Parametri_v3!$C$38)=0),MIN(MAX(0,(BC360)+BA361-N361),(CC361-CD361)/(Ipotesi!$C$108*12/Parametri_v3!$C$38)),0)</f>
        <v>0</v>
      </c>
      <c r="BC361" s="15" t="n">
        <f aca="false">(BC360)+BA361-N361-BB361</f>
        <v>0</v>
      </c>
      <c r="BD361" s="15" t="n">
        <f aca="false">(BH360)+AC361+AF361-AI361-AS361-K361*(1+Parametri_v3!$C$26)-AL361-AQ361-O361+AW361+AX361+AZ361+BA361-BB361</f>
        <v>-280246.630864705</v>
      </c>
      <c r="BE361" s="15" t="n">
        <f aca="false">MAX(0,MIN(MAX(0,CH361-(BG360)),Parametri_v3!$C$30-BD361))</f>
        <v>0</v>
      </c>
      <c r="BF361" s="15" t="n">
        <f aca="false">IF(Motore_Operativo!C361&gt;=Parametri_v3!$C$63,(BG360),MIN((BG360),MAX(0,BD361-Parametri_v3!$C$30)))</f>
        <v>0</v>
      </c>
      <c r="BG361" s="15" t="n">
        <f aca="false">(BG360)+BE361-BF361</f>
        <v>150000</v>
      </c>
      <c r="BH361" s="15" t="n">
        <f aca="false">BD361+BE361-BF361-AY361</f>
        <v>-280246.630864705</v>
      </c>
      <c r="BI361" s="15" t="n">
        <f aca="false">MAX(0,Parametri_v3!$C$30-BH361)</f>
        <v>305246.630864705</v>
      </c>
      <c r="BJ361" s="15" t="n">
        <f aca="false">(BJ360)+K361</f>
        <v>152500</v>
      </c>
      <c r="BK361" s="15" t="n">
        <f aca="false">(BK360)+L361</f>
        <v>90173.6111111111</v>
      </c>
      <c r="BL361" s="15" t="n">
        <f aca="false">BJ361-BK361</f>
        <v>62326.3888888888</v>
      </c>
      <c r="BM361" s="15" t="n">
        <f aca="false">(BM360)+Y361</f>
        <v>-1493652.82879921</v>
      </c>
      <c r="BN361" s="15" t="n">
        <f aca="false">(BN360)+AW361+AX361+AZ361</f>
        <v>1435430.40943357</v>
      </c>
      <c r="BO361" s="15" t="n">
        <f aca="false">(BO360)+AY361</f>
        <v>0</v>
      </c>
      <c r="BP361" s="15" t="n">
        <f aca="false">0</f>
        <v>0</v>
      </c>
      <c r="BQ361" s="15" t="n">
        <f aca="false">BN361+BM361-BO361</f>
        <v>-58222.4193656393</v>
      </c>
      <c r="BR361" s="15" t="n">
        <f aca="false">BH361+AD361+BL361+MAX(0,-AM361)+MAX(0,-AR361)+AG361</f>
        <v>503424.170155243</v>
      </c>
      <c r="BS361" s="15" t="n">
        <f aca="false">AJ361+AV361+MAX(0,AM361)+MAX(0,AR361)+BC361+BG361+BQ361</f>
        <v>503424.170155244</v>
      </c>
      <c r="BT361" s="15" t="n">
        <f aca="false">BR361-BS361</f>
        <v>0</v>
      </c>
      <c r="BU361" s="15" t="n">
        <f aca="false">BH361-(BD361+BE361-BF361-AY361)</f>
        <v>0</v>
      </c>
      <c r="BV361" s="15" t="n">
        <f aca="false">MIN(Piano_SS!$C$6,(BV360)+IF(AND(Motore_Operativo!C361&gt;=EDATE(Parametri_v3!$C$24,Ipotesi!H14*12),Motore_Operativo!C361&lt;EDATE(Parametri_v3!$C$24,Parametri_v3!$C$25+Ipotesi!H14*12)),MAX(0,(Motore_Operativo!Y361+Motore_Operativo!X361*Parametri_v3!$C$14)*(1-Parametri_v3!$C$32))*Piano_SS!$D$6,0))</f>
        <v>300000</v>
      </c>
      <c r="BW361" s="15" t="n">
        <f aca="false">MIN(Piano_SS!$C$7,(BW360)+IF(AND(Motore_Operativo!C361&gt;=EDATE(Parametri_v3!$C$24,Ipotesi!H14*12),Motore_Operativo!C361&lt;EDATE(Parametri_v3!$C$24,Parametri_v3!$C$25+Ipotesi!H14*12)),MAX(0,(IF(57-(INT((Ipotesi!$C$91)/30))&lt;1,0,INDEX(Motore_Operativo!$BN$305:$BN$364,MAX(1,57-(INT((Ipotesi!$C$91)/30)))))*(1-(MOD((Ipotesi!$C$91),30)/30))+IF(57-(INT((Ipotesi!$C$91)/30))-1&lt;1,0,INDEX(Motore_Operativo!$BN$305:$BN$364,MAX(1,57-(INT((Ipotesi!$C$91)/30))-1)))*(MOD((Ipotesi!$C$91),30)/30)))*Piano_SS!$D$7,0))</f>
        <v>41058.9230070837</v>
      </c>
      <c r="BX361" s="15" t="n">
        <f aca="false">MIN(Piano_SS!$C$8,(BX360)+IF(AND(Motore_Operativo!C361&gt;=EDATE(Parametri_v3!$C$24,Ipotesi!H14*12),Motore_Operativo!C361&lt;EDATE(Parametri_v3!$C$24,Parametri_v3!$C$25+Ipotesi!H14*12)),MAX(0,Motore_Operativo!CE361)*Piano_SS!$D$8,0))</f>
        <v>50000</v>
      </c>
      <c r="BY361" s="15" t="n">
        <f aca="false">MIN(Piano_SS!$C$9,(BY360)+IF(AND(Motore_Operativo!C361&gt;=EDATE(Parametri_v3!$C$24,Ipotesi!H14*12),Motore_Operativo!C361&lt;EDATE(Parametri_v3!$C$24,Parametri_v3!$C$25+Ipotesi!H14*12)),MAX(0,((IF(57-(INT((Ipotesi!$C$91)/30))&lt;1,0,INDEX(Motore_Operativo!$BQ$305:$BQ$364,MAX(1,57-(INT((Ipotesi!$C$91)/30)))))*(1-(MOD((Ipotesi!$C$91),30)/30))+IF(57-(INT((Ipotesi!$C$91)/30))-1&lt;1,0,INDEX(Motore_Operativo!$BQ$305:$BQ$364,MAX(1,57-(INT((Ipotesi!$C$91)/30))-1)))*(MOD((Ipotesi!$C$91),30)/30))+(IF(57-(INT((Ipotesi!$C$91)/30))&lt;1,0,INDEX(Motore_Operativo!$BR$305:$BR$364,MAX(1,57-(INT((Ipotesi!$C$91)/30)))))*(1-(MOD((Ipotesi!$C$91),30)/30))+IF(57-(INT((Ipotesi!$C$91)/30))-1&lt;1,0,INDEX(Motore_Operativo!$BR$305:$BR$364,MAX(1,57-(INT((Ipotesi!$C$91)/30))-1)))*(MOD((Ipotesi!$C$91),30)/30))))*Piano_SS!$D$9,0))</f>
        <v>40000</v>
      </c>
      <c r="BZ361" s="15" t="n">
        <f aca="false">MIN(Piano_SS!$C$10,(BZ360)+IF(AND(Motore_Operativo!C361&gt;=EDATE(Parametri_v3!$C$24,Ipotesi!H14*12),Motore_Operativo!C361&lt;EDATE(Parametri_v3!$C$24,Parametri_v3!$C$25+Ipotesi!H14*12)),MAX(0,(IF(57-(INT((Ipotesi!$C$91)/30))&lt;1,0,INDEX(Motore_Operativo!$BO$305:$BO$364,MAX(1,57-(INT((Ipotesi!$C$91)/30)))))*(1-(MOD((Ipotesi!$C$91),30)/30))+IF(57-(INT((Ipotesi!$C$91)/30))-1&lt;1,0,INDEX(Motore_Operativo!$BO$305:$BO$364,MAX(1,57-(INT((Ipotesi!$C$91)/30))-1)))*(MOD((Ipotesi!$C$91),30)/30)))*Piano_SS!$D$10,0))</f>
        <v>30000</v>
      </c>
      <c r="CA361" s="15" t="n">
        <f aca="false">SUM(BV361:BZ361)</f>
        <v>461058.923007084</v>
      </c>
      <c r="CB361" s="15" t="n">
        <f aca="false">BV361*(1-Piano_SS!$E$6)+BW361*(1-Piano_SS!$E$7)+BX361*(1-Piano_SS!$E$8)+BY361*(1-Piano_SS!$E$9)+BZ361*(1-Piano_SS!$E$10)</f>
        <v>431058.923007084</v>
      </c>
      <c r="CC361" s="15" t="n">
        <f aca="false">(CC360)+BA361</f>
        <v>0</v>
      </c>
      <c r="CD361" s="15" t="n">
        <f aca="false">IF(CA361=0,0,CC361*CB361/CA361*Ipotesi!$C$103*Parametri_v3!$C$64)</f>
        <v>0</v>
      </c>
      <c r="CE361" s="18" t="n">
        <f aca="false">IF(BA361&gt;0,Motore_Operativo!C361,(CE360))</f>
        <v>0</v>
      </c>
      <c r="CF361" s="18" t="n">
        <f aca="false">IF(AND(CC361&gt;0,OR(CC361&gt;=CG361-0.01,Motore_Operativo!C361&gt;=EDATE(MAX(Finanziamenti!$D$15:$D$17),Ipotesi!H14*12))),CE361,0)</f>
        <v>0</v>
      </c>
      <c r="CG361" s="15" t="n">
        <f aca="false">IF(AND(6&lt;&gt;6,6&lt;&gt;9,Finanziamenti!$F$11=1,OR(Parametri_v3!$C$6=0,Finanziamenti!$E$11=1)),MIN(Finanziamenti!$C$11,Piano_SS!$C$12*Ipotesi!$C$102),0)</f>
        <v>0</v>
      </c>
      <c r="CH361" s="15" t="n">
        <f aca="false">IF(AND(AND(6&lt;&gt;8,6&lt;&gt;9,Finanziamenti!$F$10=1,OR(Parametri_v3!$C$6=0,Finanziamenti!$E$10=1)),Motore_Operativo!C361&gt;=Finanziamenti!$D$10,Motore_Operativo!C361&lt;Parametri_v3!$C$63),Finanziamenti!$C$10,0)</f>
        <v>150000</v>
      </c>
    </row>
    <row r="362" customFormat="false" ht="18" hidden="false" customHeight="true" outlineLevel="0" collapsed="false">
      <c r="A362" s="68" t="n">
        <f aca="false">6</f>
        <v>6</v>
      </c>
      <c r="B362" s="68" t="n">
        <f aca="false">58</f>
        <v>58</v>
      </c>
      <c r="C362" s="18" t="n">
        <f aca="false">Motore_Operativo!C362</f>
        <v>48122</v>
      </c>
      <c r="D362" s="68" t="n">
        <f aca="false">Motore_Operativo!D362</f>
        <v>2031</v>
      </c>
      <c r="E362" s="68" t="n">
        <f aca="false">Motore_Operativo!E362</f>
        <v>10</v>
      </c>
      <c r="F362" s="15" t="n">
        <f aca="false">Motore_Operativo!AQ362+Motore_Operativo!BF362</f>
        <v>199910.821484386</v>
      </c>
      <c r="G362" s="15" t="n">
        <f aca="false">Motore_Operativo!BH362</f>
        <v>11595.8333333333</v>
      </c>
      <c r="H362" s="15" t="n">
        <f aca="false">Motore_Operativo!BI362</f>
        <v>211506.654817719</v>
      </c>
      <c r="I362" s="15" t="n">
        <f aca="false">Motore_Operativo!CA362</f>
        <v>200646.884995314</v>
      </c>
      <c r="J362" s="15" t="n">
        <f aca="false">Motore_Operativo!CC362</f>
        <v>10859.7698224054</v>
      </c>
      <c r="K362" s="15" t="n">
        <f aca="false">Motore_Operativo!CE362</f>
        <v>4166.66666666667</v>
      </c>
      <c r="L362" s="15" t="n">
        <f aca="false">SUM(INDEX($K$305:$K$364,MAX(1,58-Parametri_v3!$C$59+1)):K362)/Parametri_v3!$C$59</f>
        <v>3217.59259259259</v>
      </c>
      <c r="M362" s="15" t="n">
        <f aca="false">J362-L362</f>
        <v>7642.17722981277</v>
      </c>
      <c r="N362" s="15" t="n">
        <f aca="false">CD362-(CD361)</f>
        <v>0</v>
      </c>
      <c r="O362" s="15" t="n">
        <f aca="false">(BG361)*Ipotesi!$C$110/12+CH362*Parametri_v3!$C$39/12</f>
        <v>750</v>
      </c>
      <c r="P362" s="15" t="n">
        <f aca="false">M362+N362-O362</f>
        <v>6892.17722981277</v>
      </c>
      <c r="Q362" s="15" t="n">
        <f aca="false">SUM(P353:P362)+Parametri_v3!$C$54*10/12</f>
        <v>-56666.571726869</v>
      </c>
      <c r="R362" s="15" t="n">
        <f aca="false">Z352</f>
        <v>1115328.80104631</v>
      </c>
      <c r="S362" s="15" t="n">
        <f aca="false">AA352</f>
        <v>314765.278796219</v>
      </c>
      <c r="T362" s="15" t="n">
        <f aca="false">MIN(R362,MAX(0,Q362))</f>
        <v>0</v>
      </c>
      <c r="U362" s="15" t="n">
        <f aca="false">MIN(S362,MAX(0,Q362-T362)*Parametri_v3!$C$42)</f>
        <v>0</v>
      </c>
      <c r="V362" s="15" t="n">
        <f aca="false">MAX(0,Q362-T362-U362)*Ipotesi!$C$92</f>
        <v>0</v>
      </c>
      <c r="W362" s="15" t="n">
        <f aca="false">MAX(0,SUM(M353:M362)+Parametri_v3!$C$55*10/12)*Ipotesi!$C$93</f>
        <v>0</v>
      </c>
      <c r="X362" s="15" t="n">
        <f aca="false">V362+W362-(V361+W361)</f>
        <v>0</v>
      </c>
      <c r="Y362" s="15" t="n">
        <f aca="false">P362-X362</f>
        <v>6892.17722981277</v>
      </c>
      <c r="Z362" s="15" t="n">
        <f aca="false">R362-T362+IF(AND(Parametri_v3!$C$40=1,D362-YEAR(Parametri_v3!$C$50)&lt;Parametri_v3!$C$41),MAX(0,-Q362),0)</f>
        <v>1115328.80104631</v>
      </c>
      <c r="AA362" s="15" t="n">
        <f aca="false">S362-U362+IF(AND(Parametri_v3!$C$40=1,D362-YEAR(Parametri_v3!$C$50)&lt;Parametri_v3!$C$41),0,MAX(0,-Q362))</f>
        <v>371431.850523088</v>
      </c>
      <c r="AB362" s="15" t="n">
        <f aca="false">F362*(1+Parametri_v3!$C$26)</f>
        <v>243891.202210951</v>
      </c>
      <c r="AC362" s="15" t="n">
        <f aca="false">(IF(58-(INT((Motore_Operativo!L362)/30))&lt;1,0,INDEX(Motore_Startup!$AB$305:$AB$364,MAX(1,58-(INT((Motore_Operativo!L362)/30)))))*(1-(MOD((Motore_Operativo!L362),30)/30))+IF(58-(INT((Motore_Operativo!L362)/30))-1&lt;1,0,INDEX(Motore_Startup!$AB$305:$AB$364,MAX(1,58-(INT((Motore_Operativo!L362)/30))-1)))*(MOD((Motore_Operativo!L362),30)/30))</f>
        <v>231617.225072678</v>
      </c>
      <c r="AD362" s="15" t="n">
        <f aca="false">(AD361)+AB362-AC362</f>
        <v>719471.472602666</v>
      </c>
      <c r="AE362" s="15" t="n">
        <f aca="false">Motore_Operativo!BH362*(1+Parametri_v3!$C$26)</f>
        <v>14146.9166666667</v>
      </c>
      <c r="AF362" s="15" t="n">
        <f aca="false">(IF(58-(INT((Parametri_v3!$C$29)/30))&lt;1,0,INDEX(Motore_Operativo!$BH$305:$BH$364,MAX(1,58-(INT((Parametri_v3!$C$29)/30)))))*(1-(MOD((Parametri_v3!$C$29),30)/30))+IF(58-(INT((Parametri_v3!$C$29)/30))-1&lt;1,0,INDEX(Motore_Operativo!$BH$305:$BH$364,MAX(1,58-(INT((Parametri_v3!$C$29)/30))-1)))*(MOD((Parametri_v3!$C$29),30)/30))*(1+Parametri_v3!$C$26)</f>
        <v>14146.9166666667</v>
      </c>
      <c r="AG362" s="15" t="n">
        <f aca="false">(AG361)+AE362-AF362</f>
        <v>14146.9166666667</v>
      </c>
      <c r="AH362" s="15" t="n">
        <f aca="false">(Motore_Operativo!CJ362)*(1+Parametri_v3!$C$27*Parametri_v3!$C$26)</f>
        <v>96348.2637726086</v>
      </c>
      <c r="AI362" s="15" t="n">
        <f aca="false">(IF(58-(INT((Ipotesi!$C$91)/30))&lt;1,0,INDEX(Motore_Startup!$AH$305:$AH$364,MAX(1,58-(INT((Ipotesi!$C$91)/30)))))*(1-(MOD((Ipotesi!$C$91),30)/30))+IF(58-(INT((Ipotesi!$C$91)/30))-1&lt;1,0,INDEX(Motore_Startup!$AH$305:$AH$364,MAX(1,58-(INT((Ipotesi!$C$91)/30))-1)))*(MOD((Ipotesi!$C$91),30)/30))</f>
        <v>95238.5794818148</v>
      </c>
      <c r="AJ362" s="15" t="n">
        <f aca="false">(AJ361)+AH362-AI362</f>
        <v>192144.121153112</v>
      </c>
      <c r="AK362" s="15" t="n">
        <f aca="false">(F362+ Motore_Operativo!BH362-(Motore_Operativo!CJ362)*Parametri_v3!$C$27-Motore_Operativo!CE362)*Parametri_v3!$C$26</f>
        <v>30436.0902951037</v>
      </c>
      <c r="AL362" s="15" t="n">
        <f aca="false">MAX(0,(AM361))</f>
        <v>29791.8045391898</v>
      </c>
      <c r="AM362" s="15" t="n">
        <f aca="false">(AM361)+AK362-AL362</f>
        <v>30436.0902951037</v>
      </c>
      <c r="AN362" s="15" t="n">
        <f aca="false">SUM(X341:X352)</f>
        <v>0</v>
      </c>
      <c r="AO362" s="15" t="n">
        <f aca="false">SUM(AP341:AP352)</f>
        <v>0</v>
      </c>
      <c r="AP362" s="15" t="n">
        <f aca="false">MAX(0,AN362)*IF(10=Parametri_v3!$C$43,Parametri_v3!$C$45,IF(10=Parametri_v3!$C$44,1-Parametri_v3!$C$45,0))</f>
        <v>0</v>
      </c>
      <c r="AQ362" s="15" t="n">
        <f aca="false">MAX(0,AP362+IF(10=Parametri_v3!$C$43,MAX(0,AN362-AO362),0)-MAX(0,-(AR361)))</f>
        <v>0</v>
      </c>
      <c r="AR362" s="15" t="n">
        <f aca="false">(AR361)+X362-AQ362</f>
        <v>0</v>
      </c>
      <c r="AS362" s="15" t="n">
        <f aca="false">Motore_Operativo!AB362-AT362+AU362</f>
        <v>113503.461904792</v>
      </c>
      <c r="AT362" s="15" t="n">
        <f aca="false">Motore_Operativo!CH362</f>
        <v>5973.86641604167</v>
      </c>
      <c r="AU362" s="15" t="n">
        <f aca="false">MIN(MAX(0,(AV361)+AT362),Parametri_v3!$C$60/12)</f>
        <v>0</v>
      </c>
      <c r="AV362" s="15" t="n">
        <f aca="false">(AV361)+AT362-AU362</f>
        <v>196794.214535417</v>
      </c>
      <c r="AW362" s="15" t="n">
        <f aca="false">IF(AND(Motore_Operativo!C362=Finanziamenti!$D$6,Finanziamenti!$F$6=1),Finanziamenti!$C$6,0)</f>
        <v>0</v>
      </c>
      <c r="AX362" s="15" t="n">
        <f aca="false">IF(AND(6&lt;&gt;7,6&lt;&gt;9,Finanziamenti!$F$8=1,OR(Parametri_v3!$C$6=0,Finanziamenti!$E$8=1),Motore_Operativo!C362=EDATE(Finanziamenti!$D$8,Ipotesi!H15*12)),Finanziamenti!$C$8*1,0)+IF(AND(6&lt;&gt;7,6&lt;&gt;9,Finanziamenti!$F$9=1,OR(Parametri_v3!$C$6=0,Finanziamenti!$E$9=1),Motore_Operativo!C362=EDATE(Finanziamenti!$D$9,Ipotesi!H15*12)),Finanziamenti!$C$9*Ipotesi!H16,0)</f>
        <v>0</v>
      </c>
      <c r="AY362" s="15" t="n">
        <f aca="false">0</f>
        <v>0</v>
      </c>
      <c r="AZ362" s="15" t="n">
        <f aca="false">Motore_Advisory!AY362*(1-Ipotesi!$C$95)*Ipotesi!$C$96</f>
        <v>0</v>
      </c>
      <c r="BA362" s="15" t="n">
        <f aca="false">MAX(0,MIN(CG362*MIN(1,IF(Motore_Operativo!C362&gt;=EDATE(Finanziamenti!$D$15,Ipotesi!H14*12),Finanziamenti!$C$15,0)+IF(Motore_Operativo!C362&gt;=EDATE(Finanziamenti!$D$16,Ipotesi!H14*12),Finanziamenti!$C$16,0)+IF(Motore_Operativo!C362&gt;=EDATE(Finanziamenti!$D$17,Ipotesi!H14*12),Finanziamenti!$C$17,0)),CA362*Ipotesi!$C$102)-(CC361))</f>
        <v>0</v>
      </c>
      <c r="BB362" s="15" t="n">
        <f aca="false">IF(AND(CF362&gt;0,Motore_Operativo!C362&gt;=IF(CF362=0,0,EDATE(CF362,Parametri_v3!$C$37)),MOD(((D362-YEAR(IF(CF362=0,0,EDATE(CF362,Parametri_v3!$C$37))))*12+E362-MONTH(IF(CF362=0,0,EDATE(CF362,Parametri_v3!$C$37)))),Parametri_v3!$C$38)=0),MIN(MAX(0,(BC361)+BA362-N362),(CC362-CD362)/(Ipotesi!$C$108*12/Parametri_v3!$C$38)),0)</f>
        <v>0</v>
      </c>
      <c r="BC362" s="15" t="n">
        <f aca="false">(BC361)+BA362-N362-BB362</f>
        <v>0</v>
      </c>
      <c r="BD362" s="15" t="n">
        <f aca="false">(BH361)+AC362+AF362-AI362-AS362-K362*(1+Parametri_v3!$C$26)-AL362-AQ362-O362+AW362+AX362+AZ362+BA362-BB362</f>
        <v>-278849.66838449</v>
      </c>
      <c r="BE362" s="15" t="n">
        <f aca="false">MAX(0,MIN(MAX(0,CH362-(BG361)),Parametri_v3!$C$30-BD362))</f>
        <v>0</v>
      </c>
      <c r="BF362" s="15" t="n">
        <f aca="false">IF(Motore_Operativo!C362&gt;=Parametri_v3!$C$63,(BG361),MIN((BG361),MAX(0,BD362-Parametri_v3!$C$30)))</f>
        <v>0</v>
      </c>
      <c r="BG362" s="15" t="n">
        <f aca="false">(BG361)+BE362-BF362</f>
        <v>150000</v>
      </c>
      <c r="BH362" s="15" t="n">
        <f aca="false">BD362+BE362-BF362-AY362</f>
        <v>-278849.66838449</v>
      </c>
      <c r="BI362" s="15" t="n">
        <f aca="false">MAX(0,Parametri_v3!$C$30-BH362)</f>
        <v>303849.66838449</v>
      </c>
      <c r="BJ362" s="15" t="n">
        <f aca="false">(BJ361)+K362</f>
        <v>156666.666666667</v>
      </c>
      <c r="BK362" s="15" t="n">
        <f aca="false">(BK361)+L362</f>
        <v>93391.2037037037</v>
      </c>
      <c r="BL362" s="15" t="n">
        <f aca="false">BJ362-BK362</f>
        <v>63275.4629629629</v>
      </c>
      <c r="BM362" s="15" t="n">
        <f aca="false">(BM361)+Y362</f>
        <v>-1486760.65156939</v>
      </c>
      <c r="BN362" s="15" t="n">
        <f aca="false">(BN361)+AW362+AX362+AZ362</f>
        <v>1435430.40943357</v>
      </c>
      <c r="BO362" s="15" t="n">
        <f aca="false">(BO361)+AY362</f>
        <v>0</v>
      </c>
      <c r="BP362" s="15" t="n">
        <f aca="false">0</f>
        <v>0</v>
      </c>
      <c r="BQ362" s="15" t="n">
        <f aca="false">BN362+BM362-BO362</f>
        <v>-51330.2421358265</v>
      </c>
      <c r="BR362" s="15" t="n">
        <f aca="false">BH362+AD362+BL362+MAX(0,-AM362)+MAX(0,-AR362)+AG362</f>
        <v>518044.183847806</v>
      </c>
      <c r="BS362" s="15" t="n">
        <f aca="false">AJ362+AV362+MAX(0,AM362)+MAX(0,AR362)+BC362+BG362+BQ362</f>
        <v>518044.183847806</v>
      </c>
      <c r="BT362" s="15" t="n">
        <f aca="false">BR362-BS362</f>
        <v>0</v>
      </c>
      <c r="BU362" s="15" t="n">
        <f aca="false">BH362-(BD362+BE362-BF362-AY362)</f>
        <v>0</v>
      </c>
      <c r="BV362" s="15" t="n">
        <f aca="false">MIN(Piano_SS!$C$6,(BV361)+IF(AND(Motore_Operativo!C362&gt;=EDATE(Parametri_v3!$C$24,Ipotesi!H14*12),Motore_Operativo!C362&lt;EDATE(Parametri_v3!$C$24,Parametri_v3!$C$25+Ipotesi!H14*12)),MAX(0,(Motore_Operativo!Y362+Motore_Operativo!X362*Parametri_v3!$C$14)*(1-Parametri_v3!$C$32))*Piano_SS!$D$6,0))</f>
        <v>300000</v>
      </c>
      <c r="BW362" s="15" t="n">
        <f aca="false">MIN(Piano_SS!$C$7,(BW361)+IF(AND(Motore_Operativo!C362&gt;=EDATE(Parametri_v3!$C$24,Ipotesi!H14*12),Motore_Operativo!C362&lt;EDATE(Parametri_v3!$C$24,Parametri_v3!$C$25+Ipotesi!H14*12)),MAX(0,(IF(58-(INT((Ipotesi!$C$91)/30))&lt;1,0,INDEX(Motore_Operativo!$BN$305:$BN$364,MAX(1,58-(INT((Ipotesi!$C$91)/30)))))*(1-(MOD((Ipotesi!$C$91),30)/30))+IF(58-(INT((Ipotesi!$C$91)/30))-1&lt;1,0,INDEX(Motore_Operativo!$BN$305:$BN$364,MAX(1,58-(INT((Ipotesi!$C$91)/30))-1)))*(MOD((Ipotesi!$C$91),30)/30)))*Piano_SS!$D$7,0))</f>
        <v>41058.9230070837</v>
      </c>
      <c r="BX362" s="15" t="n">
        <f aca="false">MIN(Piano_SS!$C$8,(BX361)+IF(AND(Motore_Operativo!C362&gt;=EDATE(Parametri_v3!$C$24,Ipotesi!H14*12),Motore_Operativo!C362&lt;EDATE(Parametri_v3!$C$24,Parametri_v3!$C$25+Ipotesi!H14*12)),MAX(0,Motore_Operativo!CE362)*Piano_SS!$D$8,0))</f>
        <v>50000</v>
      </c>
      <c r="BY362" s="15" t="n">
        <f aca="false">MIN(Piano_SS!$C$9,(BY361)+IF(AND(Motore_Operativo!C362&gt;=EDATE(Parametri_v3!$C$24,Ipotesi!H14*12),Motore_Operativo!C362&lt;EDATE(Parametri_v3!$C$24,Parametri_v3!$C$25+Ipotesi!H14*12)),MAX(0,((IF(58-(INT((Ipotesi!$C$91)/30))&lt;1,0,INDEX(Motore_Operativo!$BQ$305:$BQ$364,MAX(1,58-(INT((Ipotesi!$C$91)/30)))))*(1-(MOD((Ipotesi!$C$91),30)/30))+IF(58-(INT((Ipotesi!$C$91)/30))-1&lt;1,0,INDEX(Motore_Operativo!$BQ$305:$BQ$364,MAX(1,58-(INT((Ipotesi!$C$91)/30))-1)))*(MOD((Ipotesi!$C$91),30)/30))+(IF(58-(INT((Ipotesi!$C$91)/30))&lt;1,0,INDEX(Motore_Operativo!$BR$305:$BR$364,MAX(1,58-(INT((Ipotesi!$C$91)/30)))))*(1-(MOD((Ipotesi!$C$91),30)/30))+IF(58-(INT((Ipotesi!$C$91)/30))-1&lt;1,0,INDEX(Motore_Operativo!$BR$305:$BR$364,MAX(1,58-(INT((Ipotesi!$C$91)/30))-1)))*(MOD((Ipotesi!$C$91),30)/30))))*Piano_SS!$D$9,0))</f>
        <v>40000</v>
      </c>
      <c r="BZ362" s="15" t="n">
        <f aca="false">MIN(Piano_SS!$C$10,(BZ361)+IF(AND(Motore_Operativo!C362&gt;=EDATE(Parametri_v3!$C$24,Ipotesi!H14*12),Motore_Operativo!C362&lt;EDATE(Parametri_v3!$C$24,Parametri_v3!$C$25+Ipotesi!H14*12)),MAX(0,(IF(58-(INT((Ipotesi!$C$91)/30))&lt;1,0,INDEX(Motore_Operativo!$BO$305:$BO$364,MAX(1,58-(INT((Ipotesi!$C$91)/30)))))*(1-(MOD((Ipotesi!$C$91),30)/30))+IF(58-(INT((Ipotesi!$C$91)/30))-1&lt;1,0,INDEX(Motore_Operativo!$BO$305:$BO$364,MAX(1,58-(INT((Ipotesi!$C$91)/30))-1)))*(MOD((Ipotesi!$C$91),30)/30)))*Piano_SS!$D$10,0))</f>
        <v>30000</v>
      </c>
      <c r="CA362" s="15" t="n">
        <f aca="false">SUM(BV362:BZ362)</f>
        <v>461058.923007084</v>
      </c>
      <c r="CB362" s="15" t="n">
        <f aca="false">BV362*(1-Piano_SS!$E$6)+BW362*(1-Piano_SS!$E$7)+BX362*(1-Piano_SS!$E$8)+BY362*(1-Piano_SS!$E$9)+BZ362*(1-Piano_SS!$E$10)</f>
        <v>431058.923007084</v>
      </c>
      <c r="CC362" s="15" t="n">
        <f aca="false">(CC361)+BA362</f>
        <v>0</v>
      </c>
      <c r="CD362" s="15" t="n">
        <f aca="false">IF(CA362=0,0,CC362*CB362/CA362*Ipotesi!$C$103*Parametri_v3!$C$64)</f>
        <v>0</v>
      </c>
      <c r="CE362" s="18" t="n">
        <f aca="false">IF(BA362&gt;0,Motore_Operativo!C362,(CE361))</f>
        <v>0</v>
      </c>
      <c r="CF362" s="18" t="n">
        <f aca="false">IF(AND(CC362&gt;0,OR(CC362&gt;=CG362-0.01,Motore_Operativo!C362&gt;=EDATE(MAX(Finanziamenti!$D$15:$D$17),Ipotesi!H14*12))),CE362,0)</f>
        <v>0</v>
      </c>
      <c r="CG362" s="15" t="n">
        <f aca="false">IF(AND(6&lt;&gt;6,6&lt;&gt;9,Finanziamenti!$F$11=1,OR(Parametri_v3!$C$6=0,Finanziamenti!$E$11=1)),MIN(Finanziamenti!$C$11,Piano_SS!$C$12*Ipotesi!$C$102),0)</f>
        <v>0</v>
      </c>
      <c r="CH362" s="15" t="n">
        <f aca="false">IF(AND(AND(6&lt;&gt;8,6&lt;&gt;9,Finanziamenti!$F$10=1,OR(Parametri_v3!$C$6=0,Finanziamenti!$E$10=1)),Motore_Operativo!C362&gt;=Finanziamenti!$D$10,Motore_Operativo!C362&lt;Parametri_v3!$C$63),Finanziamenti!$C$10,0)</f>
        <v>150000</v>
      </c>
    </row>
    <row r="363" customFormat="false" ht="18" hidden="false" customHeight="true" outlineLevel="0" collapsed="false">
      <c r="A363" s="68" t="n">
        <f aca="false">6</f>
        <v>6</v>
      </c>
      <c r="B363" s="68" t="n">
        <f aca="false">59</f>
        <v>59</v>
      </c>
      <c r="C363" s="18" t="n">
        <f aca="false">Motore_Operativo!C363</f>
        <v>48153</v>
      </c>
      <c r="D363" s="68" t="n">
        <f aca="false">Motore_Operativo!D363</f>
        <v>2031</v>
      </c>
      <c r="E363" s="68" t="n">
        <f aca="false">Motore_Operativo!E363</f>
        <v>11</v>
      </c>
      <c r="F363" s="15" t="n">
        <f aca="false">Motore_Operativo!AQ363+Motore_Operativo!BF363</f>
        <v>203205.907958909</v>
      </c>
      <c r="G363" s="15" t="n">
        <f aca="false">Motore_Operativo!BH363</f>
        <v>11595.8333333333</v>
      </c>
      <c r="H363" s="15" t="n">
        <f aca="false">Motore_Operativo!BI363</f>
        <v>214801.741292243</v>
      </c>
      <c r="I363" s="15" t="n">
        <f aca="false">Motore_Operativo!CA363</f>
        <v>201108.197101747</v>
      </c>
      <c r="J363" s="15" t="n">
        <f aca="false">Motore_Operativo!CC363</f>
        <v>13693.5441904952</v>
      </c>
      <c r="K363" s="15" t="n">
        <f aca="false">Motore_Operativo!CE363</f>
        <v>4166.66666666667</v>
      </c>
      <c r="L363" s="15" t="n">
        <f aca="false">SUM(INDEX($K$305:$K$364,MAX(1,59-Parametri_v3!$C$59+1)):K363)/Parametri_v3!$C$59</f>
        <v>3275.46296296296</v>
      </c>
      <c r="M363" s="15" t="n">
        <f aca="false">J363-L363</f>
        <v>10418.0812275323</v>
      </c>
      <c r="N363" s="15" t="n">
        <f aca="false">CD363-(CD362)</f>
        <v>0</v>
      </c>
      <c r="O363" s="15" t="n">
        <f aca="false">(BG362)*Ipotesi!$C$110/12+CH363*Parametri_v3!$C$39/12</f>
        <v>750</v>
      </c>
      <c r="P363" s="15" t="n">
        <f aca="false">M363+N363-O363</f>
        <v>9668.08122753228</v>
      </c>
      <c r="Q363" s="15" t="n">
        <f aca="false">SUM(P353:P363)+Parametri_v3!$C$54*11/12</f>
        <v>-46998.4904993367</v>
      </c>
      <c r="R363" s="15" t="n">
        <f aca="false">Z352</f>
        <v>1115328.80104631</v>
      </c>
      <c r="S363" s="15" t="n">
        <f aca="false">AA352</f>
        <v>314765.278796219</v>
      </c>
      <c r="T363" s="15" t="n">
        <f aca="false">MIN(R363,MAX(0,Q363))</f>
        <v>0</v>
      </c>
      <c r="U363" s="15" t="n">
        <f aca="false">MIN(S363,MAX(0,Q363-T363)*Parametri_v3!$C$42)</f>
        <v>0</v>
      </c>
      <c r="V363" s="15" t="n">
        <f aca="false">MAX(0,Q363-T363-U363)*Ipotesi!$C$92</f>
        <v>0</v>
      </c>
      <c r="W363" s="15" t="n">
        <f aca="false">MAX(0,SUM(M353:M363)+Parametri_v3!$C$55*11/12)*Ipotesi!$C$93</f>
        <v>0</v>
      </c>
      <c r="X363" s="15" t="n">
        <f aca="false">V363+W363-(V362+W362)</f>
        <v>0</v>
      </c>
      <c r="Y363" s="15" t="n">
        <f aca="false">P363-X363</f>
        <v>9668.08122753228</v>
      </c>
      <c r="Z363" s="15" t="n">
        <f aca="false">R363-T363+IF(AND(Parametri_v3!$C$40=1,D363-YEAR(Parametri_v3!$C$50)&lt;Parametri_v3!$C$41),MAX(0,-Q363),0)</f>
        <v>1115328.80104631</v>
      </c>
      <c r="AA363" s="15" t="n">
        <f aca="false">S363-U363+IF(AND(Parametri_v3!$C$40=1,D363-YEAR(Parametri_v3!$C$50)&lt;Parametri_v3!$C$41),0,MAX(0,-Q363))</f>
        <v>361763.769295555</v>
      </c>
      <c r="AB363" s="15" t="n">
        <f aca="false">F363*(1+Parametri_v3!$C$26)</f>
        <v>247911.207709869</v>
      </c>
      <c r="AC363" s="15" t="n">
        <f aca="false">(IF(59-(INT((Motore_Operativo!L363)/30))&lt;1,0,INDEX(Motore_Startup!$AB$305:$AB$364,MAX(1,59-(INT((Motore_Operativo!L363)/30)))))*(1-(MOD((Motore_Operativo!L363),30)/30))+IF(59-(INT((Motore_Operativo!L363)/30))-1&lt;1,0,INDEX(Motore_Startup!$AB$305:$AB$364,MAX(1,59-(INT((Motore_Operativo!L363)/30))-1)))*(MOD((Motore_Operativo!L363),30)/30))</f>
        <v>235744.524904606</v>
      </c>
      <c r="AD363" s="15" t="n">
        <f aca="false">(AD362)+AB363-AC363</f>
        <v>731638.15540793</v>
      </c>
      <c r="AE363" s="15" t="n">
        <f aca="false">Motore_Operativo!BH363*(1+Parametri_v3!$C$26)</f>
        <v>14146.9166666667</v>
      </c>
      <c r="AF363" s="15" t="n">
        <f aca="false">(IF(59-(INT((Parametri_v3!$C$29)/30))&lt;1,0,INDEX(Motore_Operativo!$BH$305:$BH$364,MAX(1,59-(INT((Parametri_v3!$C$29)/30)))))*(1-(MOD((Parametri_v3!$C$29),30)/30))+IF(59-(INT((Parametri_v3!$C$29)/30))-1&lt;1,0,INDEX(Motore_Operativo!$BH$305:$BH$364,MAX(1,59-(INT((Parametri_v3!$C$29)/30))-1)))*(MOD((Parametri_v3!$C$29),30)/30))*(1+Parametri_v3!$C$26)</f>
        <v>14146.9166666667</v>
      </c>
      <c r="AG363" s="15" t="n">
        <f aca="false">(AG362)+AE363-AF363</f>
        <v>14146.9166666667</v>
      </c>
      <c r="AH363" s="15" t="n">
        <f aca="false">(Motore_Operativo!CJ363)*(1+Parametri_v3!$C$27*Parametri_v3!$C$26)</f>
        <v>96895.8412429449</v>
      </c>
      <c r="AI363" s="15" t="n">
        <f aca="false">(IF(59-(INT((Ipotesi!$C$91)/30))&lt;1,0,INDEX(Motore_Startup!$AH$305:$AH$364,MAX(1,59-(INT((Ipotesi!$C$91)/30)))))*(1-(MOD((Ipotesi!$C$91),30)/30))+IF(59-(INT((Ipotesi!$C$91)/30))-1&lt;1,0,INDEX(Motore_Startup!$AH$305:$AH$364,MAX(1,59-(INT((Ipotesi!$C$91)/30))-1)))*(MOD((Ipotesi!$C$91),30)/30))</f>
        <v>95795.8573805037</v>
      </c>
      <c r="AJ363" s="15" t="n">
        <f aca="false">(AJ362)+AH363-AI363</f>
        <v>193244.105015553</v>
      </c>
      <c r="AK363" s="15" t="n">
        <f aca="false">(F363+ Motore_Operativo!BH363-(Motore_Operativo!CJ363)*Parametri_v3!$C$27-Motore_Operativo!CE363)*Parametri_v3!$C$26</f>
        <v>31074.7439555958</v>
      </c>
      <c r="AL363" s="15" t="n">
        <f aca="false">MAX(0,(AM362))</f>
        <v>30436.0902951037</v>
      </c>
      <c r="AM363" s="15" t="n">
        <f aca="false">(AM362)+AK363-AL363</f>
        <v>31074.7439555958</v>
      </c>
      <c r="AN363" s="15" t="n">
        <f aca="false">SUM(X341:X352)</f>
        <v>0</v>
      </c>
      <c r="AO363" s="15" t="n">
        <f aca="false">SUM(AP341:AP352)</f>
        <v>0</v>
      </c>
      <c r="AP363" s="15" t="n">
        <f aca="false">MAX(0,AN363)*IF(11=Parametri_v3!$C$43,Parametri_v3!$C$45,IF(11=Parametri_v3!$C$44,1-Parametri_v3!$C$45,0))</f>
        <v>0</v>
      </c>
      <c r="AQ363" s="15" t="n">
        <f aca="false">MAX(0,AP363+IF(11=Parametri_v3!$C$43,MAX(0,AN363-AO363),0)-MAX(0,-(AR362)))</f>
        <v>0</v>
      </c>
      <c r="AR363" s="15" t="n">
        <f aca="false">(AR362)+X363-AQ363</f>
        <v>0</v>
      </c>
      <c r="AS363" s="15" t="n">
        <f aca="false">Motore_Operativo!AB363-AT363+AU363</f>
        <v>113503.461904792</v>
      </c>
      <c r="AT363" s="15" t="n">
        <f aca="false">Motore_Operativo!CH363</f>
        <v>5973.86641604167</v>
      </c>
      <c r="AU363" s="15" t="n">
        <f aca="false">MIN(MAX(0,(AV362)+AT363),Parametri_v3!$C$60/12)</f>
        <v>0</v>
      </c>
      <c r="AV363" s="15" t="n">
        <f aca="false">(AV362)+AT363-AU363</f>
        <v>202768.080951459</v>
      </c>
      <c r="AW363" s="15" t="n">
        <f aca="false">IF(AND(Motore_Operativo!C363=Finanziamenti!$D$6,Finanziamenti!$F$6=1),Finanziamenti!$C$6,0)</f>
        <v>0</v>
      </c>
      <c r="AX363" s="15" t="n">
        <f aca="false">IF(AND(6&lt;&gt;7,6&lt;&gt;9,Finanziamenti!$F$8=1,OR(Parametri_v3!$C$6=0,Finanziamenti!$E$8=1),Motore_Operativo!C363=EDATE(Finanziamenti!$D$8,Ipotesi!H15*12)),Finanziamenti!$C$8*1,0)+IF(AND(6&lt;&gt;7,6&lt;&gt;9,Finanziamenti!$F$9=1,OR(Parametri_v3!$C$6=0,Finanziamenti!$E$9=1),Motore_Operativo!C363=EDATE(Finanziamenti!$D$9,Ipotesi!H15*12)),Finanziamenti!$C$9*Ipotesi!H16,0)</f>
        <v>0</v>
      </c>
      <c r="AY363" s="15" t="n">
        <f aca="false">0</f>
        <v>0</v>
      </c>
      <c r="AZ363" s="15" t="n">
        <f aca="false">Motore_Advisory!AY363*(1-Ipotesi!$C$95)*Ipotesi!$C$96</f>
        <v>0</v>
      </c>
      <c r="BA363" s="15" t="n">
        <f aca="false">MAX(0,MIN(CG363*MIN(1,IF(Motore_Operativo!C363&gt;=EDATE(Finanziamenti!$D$15,Ipotesi!H14*12),Finanziamenti!$C$15,0)+IF(Motore_Operativo!C363&gt;=EDATE(Finanziamenti!$D$16,Ipotesi!H14*12),Finanziamenti!$C$16,0)+IF(Motore_Operativo!C363&gt;=EDATE(Finanziamenti!$D$17,Ipotesi!H14*12),Finanziamenti!$C$17,0)),CA363*Ipotesi!$C$102)-(CC362))</f>
        <v>0</v>
      </c>
      <c r="BB363" s="15" t="n">
        <f aca="false">IF(AND(CF363&gt;0,Motore_Operativo!C363&gt;=IF(CF363=0,0,EDATE(CF363,Parametri_v3!$C$37)),MOD(((D363-YEAR(IF(CF363=0,0,EDATE(CF363,Parametri_v3!$C$37))))*12+E363-MONTH(IF(CF363=0,0,EDATE(CF363,Parametri_v3!$C$37)))),Parametri_v3!$C$38)=0),MIN(MAX(0,(BC362)+BA363-N363),(CC363-CD363)/(Ipotesi!$C$108*12/Parametri_v3!$C$38)),0)</f>
        <v>0</v>
      </c>
      <c r="BC363" s="15" t="n">
        <f aca="false">(BC362)+BA363-N363-BB363</f>
        <v>0</v>
      </c>
      <c r="BD363" s="15" t="n">
        <f aca="false">(BH362)+AC363+AF363-AI363-AS363-K363*(1+Parametri_v3!$C$26)-AL363-AQ363-O363+AW363+AX363+AZ363+BA363-BB363</f>
        <v>-274526.96972695</v>
      </c>
      <c r="BE363" s="15" t="n">
        <f aca="false">MAX(0,MIN(MAX(0,CH363-(BG362)),Parametri_v3!$C$30-BD363))</f>
        <v>0</v>
      </c>
      <c r="BF363" s="15" t="n">
        <f aca="false">IF(Motore_Operativo!C363&gt;=Parametri_v3!$C$63,(BG362),MIN((BG362),MAX(0,BD363-Parametri_v3!$C$30)))</f>
        <v>0</v>
      </c>
      <c r="BG363" s="15" t="n">
        <f aca="false">(BG362)+BE363-BF363</f>
        <v>150000</v>
      </c>
      <c r="BH363" s="15" t="n">
        <f aca="false">BD363+BE363-BF363-AY363</f>
        <v>-274526.96972695</v>
      </c>
      <c r="BI363" s="15" t="n">
        <f aca="false">MAX(0,Parametri_v3!$C$30-BH363)</f>
        <v>299526.96972695</v>
      </c>
      <c r="BJ363" s="15" t="n">
        <f aca="false">(BJ362)+K363</f>
        <v>160833.333333333</v>
      </c>
      <c r="BK363" s="15" t="n">
        <f aca="false">(BK362)+L363</f>
        <v>96666.6666666667</v>
      </c>
      <c r="BL363" s="15" t="n">
        <f aca="false">BJ363-BK363</f>
        <v>64166.6666666665</v>
      </c>
      <c r="BM363" s="15" t="n">
        <f aca="false">(BM362)+Y363</f>
        <v>-1477092.57034186</v>
      </c>
      <c r="BN363" s="15" t="n">
        <f aca="false">(BN362)+AW363+AX363+AZ363</f>
        <v>1435430.40943357</v>
      </c>
      <c r="BO363" s="15" t="n">
        <f aca="false">(BO362)+AY363</f>
        <v>0</v>
      </c>
      <c r="BP363" s="15" t="n">
        <f aca="false">0</f>
        <v>0</v>
      </c>
      <c r="BQ363" s="15" t="n">
        <f aca="false">BN363+BM363-BO363</f>
        <v>-41662.1609082941</v>
      </c>
      <c r="BR363" s="15" t="n">
        <f aca="false">BH363+AD363+BL363+MAX(0,-AM363)+MAX(0,-AR363)+AG363</f>
        <v>535424.769014313</v>
      </c>
      <c r="BS363" s="15" t="n">
        <f aca="false">AJ363+AV363+MAX(0,AM363)+MAX(0,AR363)+BC363+BG363+BQ363</f>
        <v>535424.769014314</v>
      </c>
      <c r="BT363" s="15" t="n">
        <f aca="false">BR363-BS363</f>
        <v>0</v>
      </c>
      <c r="BU363" s="15" t="n">
        <f aca="false">BH363-(BD363+BE363-BF363-AY363)</f>
        <v>0</v>
      </c>
      <c r="BV363" s="15" t="n">
        <f aca="false">MIN(Piano_SS!$C$6,(BV362)+IF(AND(Motore_Operativo!C363&gt;=EDATE(Parametri_v3!$C$24,Ipotesi!H14*12),Motore_Operativo!C363&lt;EDATE(Parametri_v3!$C$24,Parametri_v3!$C$25+Ipotesi!H14*12)),MAX(0,(Motore_Operativo!Y363+Motore_Operativo!X363*Parametri_v3!$C$14)*(1-Parametri_v3!$C$32))*Piano_SS!$D$6,0))</f>
        <v>300000</v>
      </c>
      <c r="BW363" s="15" t="n">
        <f aca="false">MIN(Piano_SS!$C$7,(BW362)+IF(AND(Motore_Operativo!C363&gt;=EDATE(Parametri_v3!$C$24,Ipotesi!H14*12),Motore_Operativo!C363&lt;EDATE(Parametri_v3!$C$24,Parametri_v3!$C$25+Ipotesi!H14*12)),MAX(0,(IF(59-(INT((Ipotesi!$C$91)/30))&lt;1,0,INDEX(Motore_Operativo!$BN$305:$BN$364,MAX(1,59-(INT((Ipotesi!$C$91)/30)))))*(1-(MOD((Ipotesi!$C$91),30)/30))+IF(59-(INT((Ipotesi!$C$91)/30))-1&lt;1,0,INDEX(Motore_Operativo!$BN$305:$BN$364,MAX(1,59-(INT((Ipotesi!$C$91)/30))-1)))*(MOD((Ipotesi!$C$91),30)/30)))*Piano_SS!$D$7,0))</f>
        <v>41058.9230070837</v>
      </c>
      <c r="BX363" s="15" t="n">
        <f aca="false">MIN(Piano_SS!$C$8,(BX362)+IF(AND(Motore_Operativo!C363&gt;=EDATE(Parametri_v3!$C$24,Ipotesi!H14*12),Motore_Operativo!C363&lt;EDATE(Parametri_v3!$C$24,Parametri_v3!$C$25+Ipotesi!H14*12)),MAX(0,Motore_Operativo!CE363)*Piano_SS!$D$8,0))</f>
        <v>50000</v>
      </c>
      <c r="BY363" s="15" t="n">
        <f aca="false">MIN(Piano_SS!$C$9,(BY362)+IF(AND(Motore_Operativo!C363&gt;=EDATE(Parametri_v3!$C$24,Ipotesi!H14*12),Motore_Operativo!C363&lt;EDATE(Parametri_v3!$C$24,Parametri_v3!$C$25+Ipotesi!H14*12)),MAX(0,((IF(59-(INT((Ipotesi!$C$91)/30))&lt;1,0,INDEX(Motore_Operativo!$BQ$305:$BQ$364,MAX(1,59-(INT((Ipotesi!$C$91)/30)))))*(1-(MOD((Ipotesi!$C$91),30)/30))+IF(59-(INT((Ipotesi!$C$91)/30))-1&lt;1,0,INDEX(Motore_Operativo!$BQ$305:$BQ$364,MAX(1,59-(INT((Ipotesi!$C$91)/30))-1)))*(MOD((Ipotesi!$C$91),30)/30))+(IF(59-(INT((Ipotesi!$C$91)/30))&lt;1,0,INDEX(Motore_Operativo!$BR$305:$BR$364,MAX(1,59-(INT((Ipotesi!$C$91)/30)))))*(1-(MOD((Ipotesi!$C$91),30)/30))+IF(59-(INT((Ipotesi!$C$91)/30))-1&lt;1,0,INDEX(Motore_Operativo!$BR$305:$BR$364,MAX(1,59-(INT((Ipotesi!$C$91)/30))-1)))*(MOD((Ipotesi!$C$91),30)/30))))*Piano_SS!$D$9,0))</f>
        <v>40000</v>
      </c>
      <c r="BZ363" s="15" t="n">
        <f aca="false">MIN(Piano_SS!$C$10,(BZ362)+IF(AND(Motore_Operativo!C363&gt;=EDATE(Parametri_v3!$C$24,Ipotesi!H14*12),Motore_Operativo!C363&lt;EDATE(Parametri_v3!$C$24,Parametri_v3!$C$25+Ipotesi!H14*12)),MAX(0,(IF(59-(INT((Ipotesi!$C$91)/30))&lt;1,0,INDEX(Motore_Operativo!$BO$305:$BO$364,MAX(1,59-(INT((Ipotesi!$C$91)/30)))))*(1-(MOD((Ipotesi!$C$91),30)/30))+IF(59-(INT((Ipotesi!$C$91)/30))-1&lt;1,0,INDEX(Motore_Operativo!$BO$305:$BO$364,MAX(1,59-(INT((Ipotesi!$C$91)/30))-1)))*(MOD((Ipotesi!$C$91),30)/30)))*Piano_SS!$D$10,0))</f>
        <v>30000</v>
      </c>
      <c r="CA363" s="15" t="n">
        <f aca="false">SUM(BV363:BZ363)</f>
        <v>461058.923007084</v>
      </c>
      <c r="CB363" s="15" t="n">
        <f aca="false">BV363*(1-Piano_SS!$E$6)+BW363*(1-Piano_SS!$E$7)+BX363*(1-Piano_SS!$E$8)+BY363*(1-Piano_SS!$E$9)+BZ363*(1-Piano_SS!$E$10)</f>
        <v>431058.923007084</v>
      </c>
      <c r="CC363" s="15" t="n">
        <f aca="false">(CC362)+BA363</f>
        <v>0</v>
      </c>
      <c r="CD363" s="15" t="n">
        <f aca="false">IF(CA363=0,0,CC363*CB363/CA363*Ipotesi!$C$103*Parametri_v3!$C$64)</f>
        <v>0</v>
      </c>
      <c r="CE363" s="18" t="n">
        <f aca="false">IF(BA363&gt;0,Motore_Operativo!C363,(CE362))</f>
        <v>0</v>
      </c>
      <c r="CF363" s="18" t="n">
        <f aca="false">IF(AND(CC363&gt;0,OR(CC363&gt;=CG363-0.01,Motore_Operativo!C363&gt;=EDATE(MAX(Finanziamenti!$D$15:$D$17),Ipotesi!H14*12))),CE363,0)</f>
        <v>0</v>
      </c>
      <c r="CG363" s="15" t="n">
        <f aca="false">IF(AND(6&lt;&gt;6,6&lt;&gt;9,Finanziamenti!$F$11=1,OR(Parametri_v3!$C$6=0,Finanziamenti!$E$11=1)),MIN(Finanziamenti!$C$11,Piano_SS!$C$12*Ipotesi!$C$102),0)</f>
        <v>0</v>
      </c>
      <c r="CH363" s="15" t="n">
        <f aca="false">IF(AND(AND(6&lt;&gt;8,6&lt;&gt;9,Finanziamenti!$F$10=1,OR(Parametri_v3!$C$6=0,Finanziamenti!$E$10=1)),Motore_Operativo!C363&gt;=Finanziamenti!$D$10,Motore_Operativo!C363&lt;Parametri_v3!$C$63),Finanziamenti!$C$10,0)</f>
        <v>150000</v>
      </c>
    </row>
    <row r="364" customFormat="false" ht="18" hidden="false" customHeight="true" outlineLevel="0" collapsed="false">
      <c r="A364" s="68" t="n">
        <f aca="false">6</f>
        <v>6</v>
      </c>
      <c r="B364" s="68" t="n">
        <f aca="false">60</f>
        <v>60</v>
      </c>
      <c r="C364" s="18" t="n">
        <f aca="false">Motore_Operativo!C364</f>
        <v>48183</v>
      </c>
      <c r="D364" s="68" t="n">
        <f aca="false">Motore_Operativo!D364</f>
        <v>2031</v>
      </c>
      <c r="E364" s="68" t="n">
        <f aca="false">Motore_Operativo!E364</f>
        <v>12</v>
      </c>
      <c r="F364" s="15" t="n">
        <f aca="false">Motore_Operativo!AQ364+Motore_Operativo!BF364</f>
        <v>206472.19006941</v>
      </c>
      <c r="G364" s="15" t="n">
        <f aca="false">Motore_Operativo!BH364</f>
        <v>11595.8333333333</v>
      </c>
      <c r="H364" s="15" t="n">
        <f aca="false">Motore_Operativo!BI364</f>
        <v>218068.023402743</v>
      </c>
      <c r="I364" s="15" t="n">
        <f aca="false">Motore_Operativo!CA364</f>
        <v>201565.476597217</v>
      </c>
      <c r="J364" s="15" t="n">
        <f aca="false">Motore_Operativo!CC364</f>
        <v>16502.5468055258</v>
      </c>
      <c r="K364" s="15" t="n">
        <f aca="false">Motore_Operativo!CE364</f>
        <v>4166.66666666667</v>
      </c>
      <c r="L364" s="15" t="n">
        <f aca="false">SUM(INDEX($K$305:$K$364,MAX(1,60-Parametri_v3!$C$59+1)):K364)/Parametri_v3!$C$59</f>
        <v>3333.33333333333</v>
      </c>
      <c r="M364" s="15" t="n">
        <f aca="false">J364-L364</f>
        <v>13169.2134721925</v>
      </c>
      <c r="N364" s="15" t="n">
        <f aca="false">CD364-(CD363)</f>
        <v>0</v>
      </c>
      <c r="O364" s="15" t="n">
        <f aca="false">(BG363)*Ipotesi!$C$110/12+CH364*Parametri_v3!$C$39/12</f>
        <v>750</v>
      </c>
      <c r="P364" s="15" t="n">
        <f aca="false">M364+N364-O364</f>
        <v>12419.2134721925</v>
      </c>
      <c r="Q364" s="15" t="n">
        <f aca="false">SUM(P353:P364)+Parametri_v3!$C$54*12/12</f>
        <v>-34579.2770271442</v>
      </c>
      <c r="R364" s="15" t="n">
        <f aca="false">Z352</f>
        <v>1115328.80104631</v>
      </c>
      <c r="S364" s="15" t="n">
        <f aca="false">AA352</f>
        <v>314765.278796219</v>
      </c>
      <c r="T364" s="15" t="n">
        <f aca="false">MIN(R364,MAX(0,Q364))</f>
        <v>0</v>
      </c>
      <c r="U364" s="15" t="n">
        <f aca="false">MIN(S364,MAX(0,Q364-T364)*Parametri_v3!$C$42)</f>
        <v>0</v>
      </c>
      <c r="V364" s="15" t="n">
        <f aca="false">MAX(0,Q364-T364-U364)*Ipotesi!$C$92</f>
        <v>0</v>
      </c>
      <c r="W364" s="15" t="n">
        <f aca="false">MAX(0,SUM(M353:M364)+Parametri_v3!$C$55*12/12)*Ipotesi!$C$93</f>
        <v>0</v>
      </c>
      <c r="X364" s="15" t="n">
        <f aca="false">V364+W364-(V363+W363)</f>
        <v>0</v>
      </c>
      <c r="Y364" s="15" t="n">
        <f aca="false">P364-X364</f>
        <v>12419.2134721925</v>
      </c>
      <c r="Z364" s="15" t="n">
        <f aca="false">R364-T364+IF(AND(Parametri_v3!$C$40=1,D364-YEAR(Parametri_v3!$C$50)&lt;Parametri_v3!$C$41),MAX(0,-Q364),0)</f>
        <v>1115328.80104631</v>
      </c>
      <c r="AA364" s="15" t="n">
        <f aca="false">S364-U364+IF(AND(Parametri_v3!$C$40=1,D364-YEAR(Parametri_v3!$C$50)&lt;Parametri_v3!$C$41),0,MAX(0,-Q364))</f>
        <v>349344.555823363</v>
      </c>
      <c r="AB364" s="15" t="n">
        <f aca="false">F364*(1+Parametri_v3!$C$26)</f>
        <v>251896.07188468</v>
      </c>
      <c r="AC364" s="15" t="n">
        <f aca="false">(IF(60-(INT((Motore_Operativo!L364)/30))&lt;1,0,INDEX(Motore_Startup!$AB$305:$AB$364,MAX(1,60-(INT((Motore_Operativo!L364)/30)))))*(1-(MOD((Motore_Operativo!L364),30)/30))+IF(60-(INT((Motore_Operativo!L364)/30))-1&lt;1,0,INDEX(Motore_Startup!$AB$305:$AB$364,MAX(1,60-(INT((Motore_Operativo!L364)/30))-1)))*(MOD((Motore_Operativo!L364),30)/30))</f>
        <v>239835.745487109</v>
      </c>
      <c r="AD364" s="15" t="n">
        <f aca="false">(AD363)+AB364-AC364</f>
        <v>743698.4818055</v>
      </c>
      <c r="AE364" s="15" t="n">
        <f aca="false">Motore_Operativo!BH364*(1+Parametri_v3!$C$26)</f>
        <v>14146.9166666667</v>
      </c>
      <c r="AF364" s="15" t="n">
        <f aca="false">(IF(60-(INT((Parametri_v3!$C$29)/30))&lt;1,0,INDEX(Motore_Operativo!$BH$305:$BH$364,MAX(1,60-(INT((Parametri_v3!$C$29)/30)))))*(1-(MOD((Parametri_v3!$C$29),30)/30))+IF(60-(INT((Parametri_v3!$C$29)/30))-1&lt;1,0,INDEX(Motore_Operativo!$BH$305:$BH$364,MAX(1,60-(INT((Parametri_v3!$C$29)/30))-1)))*(MOD((Parametri_v3!$C$29),30)/30))*(1+Parametri_v3!$C$26)</f>
        <v>14146.9166666667</v>
      </c>
      <c r="AG364" s="15" t="n">
        <f aca="false">(AG363)+AE364-AF364</f>
        <v>14146.9166666667</v>
      </c>
      <c r="AH364" s="15" t="n">
        <f aca="false">(Motore_Operativo!CJ364)*(1+Parametri_v3!$C$27*Parametri_v3!$C$26)</f>
        <v>97438.6320040679</v>
      </c>
      <c r="AI364" s="15" t="n">
        <f aca="false">(IF(60-(INT((Ipotesi!$C$91)/30))&lt;1,0,INDEX(Motore_Startup!$AH$305:$AH$364,MAX(1,60-(INT((Ipotesi!$C$91)/30)))))*(1-(MOD((Ipotesi!$C$91),30)/30))+IF(60-(INT((Ipotesi!$C$91)/30))-1&lt;1,0,INDEX(Motore_Startup!$AH$305:$AH$364,MAX(1,60-(INT((Ipotesi!$C$91)/30))-1)))*(MOD((Ipotesi!$C$91),30)/30))</f>
        <v>96348.2637726086</v>
      </c>
      <c r="AJ364" s="15" t="n">
        <f aca="false">(AJ363)+AH364-AI364</f>
        <v>194334.473247013</v>
      </c>
      <c r="AK364" s="15" t="n">
        <f aca="false">(F364+ Motore_Operativo!BH364-(Motore_Operativo!CJ364)*Parametri_v3!$C$27-Motore_Operativo!CE364)*Parametri_v3!$C$26</f>
        <v>31707.814754253</v>
      </c>
      <c r="AL364" s="15" t="n">
        <f aca="false">MAX(0,(AM363))</f>
        <v>31074.7439555958</v>
      </c>
      <c r="AM364" s="15" t="n">
        <f aca="false">(AM363)+AK364-AL364</f>
        <v>31707.814754253</v>
      </c>
      <c r="AN364" s="15" t="n">
        <f aca="false">SUM(X341:X352)</f>
        <v>0</v>
      </c>
      <c r="AO364" s="15" t="n">
        <f aca="false">SUM(AP341:AP352)</f>
        <v>0</v>
      </c>
      <c r="AP364" s="15" t="n">
        <f aca="false">MAX(0,AN364)*IF(12=Parametri_v3!$C$43,Parametri_v3!$C$45,IF(12=Parametri_v3!$C$44,1-Parametri_v3!$C$45,0))</f>
        <v>0</v>
      </c>
      <c r="AQ364" s="15" t="n">
        <f aca="false">MAX(0,AP364+IF(12=Parametri_v3!$C$43,MAX(0,AN364-AO364),0)-MAX(0,-(AR363)))</f>
        <v>0</v>
      </c>
      <c r="AR364" s="15" t="n">
        <f aca="false">(AR363)+X364-AQ364</f>
        <v>0</v>
      </c>
      <c r="AS364" s="15" t="n">
        <f aca="false">Motore_Operativo!AB364-AT364+AU364</f>
        <v>113503.461904792</v>
      </c>
      <c r="AT364" s="15" t="n">
        <f aca="false">Motore_Operativo!CH364</f>
        <v>5973.86641604167</v>
      </c>
      <c r="AU364" s="15" t="n">
        <f aca="false">MIN(MAX(0,(AV363)+AT364),Parametri_v3!$C$60/12)</f>
        <v>0</v>
      </c>
      <c r="AV364" s="15" t="n">
        <f aca="false">(AV363)+AT364-AU364</f>
        <v>208741.9473675</v>
      </c>
      <c r="AW364" s="15" t="n">
        <f aca="false">IF(AND(Motore_Operativo!C364=Finanziamenti!$D$6,Finanziamenti!$F$6=1),Finanziamenti!$C$6,0)</f>
        <v>0</v>
      </c>
      <c r="AX364" s="15" t="n">
        <f aca="false">IF(AND(6&lt;&gt;7,6&lt;&gt;9,Finanziamenti!$F$8=1,OR(Parametri_v3!$C$6=0,Finanziamenti!$E$8=1),Motore_Operativo!C364=EDATE(Finanziamenti!$D$8,Ipotesi!H15*12)),Finanziamenti!$C$8*1,0)+IF(AND(6&lt;&gt;7,6&lt;&gt;9,Finanziamenti!$F$9=1,OR(Parametri_v3!$C$6=0,Finanziamenti!$E$9=1),Motore_Operativo!C364=EDATE(Finanziamenti!$D$9,Ipotesi!H15*12)),Finanziamenti!$C$9*Ipotesi!H16,0)</f>
        <v>0</v>
      </c>
      <c r="AY364" s="15" t="n">
        <f aca="false">0</f>
        <v>0</v>
      </c>
      <c r="AZ364" s="15" t="n">
        <f aca="false">Motore_Advisory!AY364*(1-Ipotesi!$C$95)*Ipotesi!$C$96</f>
        <v>0</v>
      </c>
      <c r="BA364" s="15" t="n">
        <f aca="false">MAX(0,MIN(CG364*MIN(1,IF(Motore_Operativo!C364&gt;=EDATE(Finanziamenti!$D$15,Ipotesi!H14*12),Finanziamenti!$C$15,0)+IF(Motore_Operativo!C364&gt;=EDATE(Finanziamenti!$D$16,Ipotesi!H14*12),Finanziamenti!$C$16,0)+IF(Motore_Operativo!C364&gt;=EDATE(Finanziamenti!$D$17,Ipotesi!H14*12),Finanziamenti!$C$17,0)),CA364*Ipotesi!$C$102)-(CC363))</f>
        <v>0</v>
      </c>
      <c r="BB364" s="15" t="n">
        <f aca="false">IF(AND(CF364&gt;0,Motore_Operativo!C364&gt;=IF(CF364=0,0,EDATE(CF364,Parametri_v3!$C$37)),MOD(((D364-YEAR(IF(CF364=0,0,EDATE(CF364,Parametri_v3!$C$37))))*12+E364-MONTH(IF(CF364=0,0,EDATE(CF364,Parametri_v3!$C$37)))),Parametri_v3!$C$38)=0),MIN(MAX(0,(BC363)+BA364-N364),(CC364-CD364)/(Ipotesi!$C$108*12/Parametri_v3!$C$38)),0)</f>
        <v>0</v>
      </c>
      <c r="BC364" s="15" t="n">
        <f aca="false">(BC363)+BA364-N364-BB364</f>
        <v>0</v>
      </c>
      <c r="BD364" s="15" t="n">
        <f aca="false">(BH363)+AC364+AF364-AI364-AS364-K364*(1+Parametri_v3!$C$26)-AL364-AQ364-O364+AW364+AX364+AZ364+BA364-BB364</f>
        <v>-267304.110539503</v>
      </c>
      <c r="BE364" s="15" t="n">
        <f aca="false">MAX(0,MIN(MAX(0,CH364-(BG363)),Parametri_v3!$C$30-BD364))</f>
        <v>0</v>
      </c>
      <c r="BF364" s="15" t="n">
        <f aca="false">IF(Motore_Operativo!C364&gt;=Parametri_v3!$C$63,(BG363),MIN((BG363),MAX(0,BD364-Parametri_v3!$C$30)))</f>
        <v>0</v>
      </c>
      <c r="BG364" s="15" t="n">
        <f aca="false">(BG363)+BE364-BF364</f>
        <v>150000</v>
      </c>
      <c r="BH364" s="15" t="n">
        <f aca="false">BD364+BE364-BF364-AY364</f>
        <v>-267304.110539503</v>
      </c>
      <c r="BI364" s="15" t="n">
        <f aca="false">MAX(0,Parametri_v3!$C$30-BH364)</f>
        <v>292304.110539503</v>
      </c>
      <c r="BJ364" s="15" t="n">
        <f aca="false">(BJ363)+K364</f>
        <v>165000</v>
      </c>
      <c r="BK364" s="15" t="n">
        <f aca="false">(BK363)+L364</f>
        <v>100000</v>
      </c>
      <c r="BL364" s="15" t="n">
        <f aca="false">BJ364-BK364</f>
        <v>64999.9999999999</v>
      </c>
      <c r="BM364" s="15" t="n">
        <f aca="false">(BM363)+Y364</f>
        <v>-1464673.35686967</v>
      </c>
      <c r="BN364" s="15" t="n">
        <f aca="false">(BN363)+AW364+AX364+AZ364</f>
        <v>1435430.40943357</v>
      </c>
      <c r="BO364" s="15" t="n">
        <f aca="false">(BO363)+AY364</f>
        <v>0</v>
      </c>
      <c r="BP364" s="15" t="n">
        <f aca="false">0</f>
        <v>0</v>
      </c>
      <c r="BQ364" s="15" t="n">
        <f aca="false">BN364+BM364-BO364</f>
        <v>-29242.9474361017</v>
      </c>
      <c r="BR364" s="15" t="n">
        <f aca="false">BH364+AD364+BL364+MAX(0,-AM364)+MAX(0,-AR364)+AG364</f>
        <v>555541.287932663</v>
      </c>
      <c r="BS364" s="15" t="n">
        <f aca="false">AJ364+AV364+MAX(0,AM364)+MAX(0,AR364)+BC364+BG364+BQ364</f>
        <v>555541.287932664</v>
      </c>
      <c r="BT364" s="15" t="n">
        <f aca="false">BR364-BS364</f>
        <v>0</v>
      </c>
      <c r="BU364" s="15" t="n">
        <f aca="false">BH364-(BD364+BE364-BF364-AY364)</f>
        <v>0</v>
      </c>
      <c r="BV364" s="15" t="n">
        <f aca="false">MIN(Piano_SS!$C$6,(BV363)+IF(AND(Motore_Operativo!C364&gt;=EDATE(Parametri_v3!$C$24,Ipotesi!H14*12),Motore_Operativo!C364&lt;EDATE(Parametri_v3!$C$24,Parametri_v3!$C$25+Ipotesi!H14*12)),MAX(0,(Motore_Operativo!Y364+Motore_Operativo!X364*Parametri_v3!$C$14)*(1-Parametri_v3!$C$32))*Piano_SS!$D$6,0))</f>
        <v>300000</v>
      </c>
      <c r="BW364" s="15" t="n">
        <f aca="false">MIN(Piano_SS!$C$7,(BW363)+IF(AND(Motore_Operativo!C364&gt;=EDATE(Parametri_v3!$C$24,Ipotesi!H14*12),Motore_Operativo!C364&lt;EDATE(Parametri_v3!$C$24,Parametri_v3!$C$25+Ipotesi!H14*12)),MAX(0,(IF(60-(INT((Ipotesi!$C$91)/30))&lt;1,0,INDEX(Motore_Operativo!$BN$305:$BN$364,MAX(1,60-(INT((Ipotesi!$C$91)/30)))))*(1-(MOD((Ipotesi!$C$91),30)/30))+IF(60-(INT((Ipotesi!$C$91)/30))-1&lt;1,0,INDEX(Motore_Operativo!$BN$305:$BN$364,MAX(1,60-(INT((Ipotesi!$C$91)/30))-1)))*(MOD((Ipotesi!$C$91),30)/30)))*Piano_SS!$D$7,0))</f>
        <v>41058.9230070837</v>
      </c>
      <c r="BX364" s="15" t="n">
        <f aca="false">MIN(Piano_SS!$C$8,(BX363)+IF(AND(Motore_Operativo!C364&gt;=EDATE(Parametri_v3!$C$24,Ipotesi!H14*12),Motore_Operativo!C364&lt;EDATE(Parametri_v3!$C$24,Parametri_v3!$C$25+Ipotesi!H14*12)),MAX(0,Motore_Operativo!CE364)*Piano_SS!$D$8,0))</f>
        <v>50000</v>
      </c>
      <c r="BY364" s="15" t="n">
        <f aca="false">MIN(Piano_SS!$C$9,(BY363)+IF(AND(Motore_Operativo!C364&gt;=EDATE(Parametri_v3!$C$24,Ipotesi!H14*12),Motore_Operativo!C364&lt;EDATE(Parametri_v3!$C$24,Parametri_v3!$C$25+Ipotesi!H14*12)),MAX(0,((IF(60-(INT((Ipotesi!$C$91)/30))&lt;1,0,INDEX(Motore_Operativo!$BQ$305:$BQ$364,MAX(1,60-(INT((Ipotesi!$C$91)/30)))))*(1-(MOD((Ipotesi!$C$91),30)/30))+IF(60-(INT((Ipotesi!$C$91)/30))-1&lt;1,0,INDEX(Motore_Operativo!$BQ$305:$BQ$364,MAX(1,60-(INT((Ipotesi!$C$91)/30))-1)))*(MOD((Ipotesi!$C$91),30)/30))+(IF(60-(INT((Ipotesi!$C$91)/30))&lt;1,0,INDEX(Motore_Operativo!$BR$305:$BR$364,MAX(1,60-(INT((Ipotesi!$C$91)/30)))))*(1-(MOD((Ipotesi!$C$91),30)/30))+IF(60-(INT((Ipotesi!$C$91)/30))-1&lt;1,0,INDEX(Motore_Operativo!$BR$305:$BR$364,MAX(1,60-(INT((Ipotesi!$C$91)/30))-1)))*(MOD((Ipotesi!$C$91),30)/30))))*Piano_SS!$D$9,0))</f>
        <v>40000</v>
      </c>
      <c r="BZ364" s="15" t="n">
        <f aca="false">MIN(Piano_SS!$C$10,(BZ363)+IF(AND(Motore_Operativo!C364&gt;=EDATE(Parametri_v3!$C$24,Ipotesi!H14*12),Motore_Operativo!C364&lt;EDATE(Parametri_v3!$C$24,Parametri_v3!$C$25+Ipotesi!H14*12)),MAX(0,(IF(60-(INT((Ipotesi!$C$91)/30))&lt;1,0,INDEX(Motore_Operativo!$BO$305:$BO$364,MAX(1,60-(INT((Ipotesi!$C$91)/30)))))*(1-(MOD((Ipotesi!$C$91),30)/30))+IF(60-(INT((Ipotesi!$C$91)/30))-1&lt;1,0,INDEX(Motore_Operativo!$BO$305:$BO$364,MAX(1,60-(INT((Ipotesi!$C$91)/30))-1)))*(MOD((Ipotesi!$C$91),30)/30)))*Piano_SS!$D$10,0))</f>
        <v>30000</v>
      </c>
      <c r="CA364" s="15" t="n">
        <f aca="false">SUM(BV364:BZ364)</f>
        <v>461058.923007084</v>
      </c>
      <c r="CB364" s="15" t="n">
        <f aca="false">BV364*(1-Piano_SS!$E$6)+BW364*(1-Piano_SS!$E$7)+BX364*(1-Piano_SS!$E$8)+BY364*(1-Piano_SS!$E$9)+BZ364*(1-Piano_SS!$E$10)</f>
        <v>431058.923007084</v>
      </c>
      <c r="CC364" s="15" t="n">
        <f aca="false">(CC363)+BA364</f>
        <v>0</v>
      </c>
      <c r="CD364" s="15" t="n">
        <f aca="false">IF(CA364=0,0,CC364*CB364/CA364*Ipotesi!$C$103*Parametri_v3!$C$64)</f>
        <v>0</v>
      </c>
      <c r="CE364" s="18" t="n">
        <f aca="false">IF(BA364&gt;0,Motore_Operativo!C364,(CE363))</f>
        <v>0</v>
      </c>
      <c r="CF364" s="18" t="n">
        <f aca="false">IF(AND(CC364&gt;0,OR(CC364&gt;=CG364-0.01,Motore_Operativo!C364&gt;=EDATE(MAX(Finanziamenti!$D$15:$D$17),Ipotesi!H14*12))),CE364,0)</f>
        <v>0</v>
      </c>
      <c r="CG364" s="15" t="n">
        <f aca="false">IF(AND(6&lt;&gt;6,6&lt;&gt;9,Finanziamenti!$F$11=1,OR(Parametri_v3!$C$6=0,Finanziamenti!$E$11=1)),MIN(Finanziamenti!$C$11,Piano_SS!$C$12*Ipotesi!$C$102),0)</f>
        <v>0</v>
      </c>
      <c r="CH364" s="15" t="n">
        <f aca="false">IF(AND(AND(6&lt;&gt;8,6&lt;&gt;9,Finanziamenti!$F$10=1,OR(Parametri_v3!$C$6=0,Finanziamenti!$E$10=1)),Motore_Operativo!C364&gt;=Finanziamenti!$D$10,Motore_Operativo!C364&lt;Parametri_v3!$C$63),Finanziamenti!$C$10,0)</f>
        <v>150000</v>
      </c>
    </row>
    <row r="365" customFormat="false" ht="18" hidden="false" customHeight="true" outlineLevel="0" collapsed="false">
      <c r="A365" s="68" t="n">
        <f aca="false">7</f>
        <v>7</v>
      </c>
      <c r="B365" s="68" t="n">
        <f aca="false">1</f>
        <v>1</v>
      </c>
      <c r="C365" s="18" t="n">
        <f aca="false">Motore_Operativo!C365</f>
        <v>46388</v>
      </c>
      <c r="D365" s="68" t="n">
        <f aca="false">Motore_Operativo!D365</f>
        <v>2027</v>
      </c>
      <c r="E365" s="68" t="n">
        <f aca="false">Motore_Operativo!E365</f>
        <v>1</v>
      </c>
      <c r="F365" s="15" t="n">
        <f aca="false">Motore_Operativo!AQ365+Motore_Operativo!BF365</f>
        <v>7500</v>
      </c>
      <c r="G365" s="15" t="n">
        <f aca="false">Motore_Operativo!BH365</f>
        <v>1621.05263157895</v>
      </c>
      <c r="H365" s="15" t="n">
        <f aca="false">Motore_Operativo!BI365</f>
        <v>9121.05263157895</v>
      </c>
      <c r="I365" s="15" t="n">
        <f aca="false">Motore_Operativo!CA365</f>
        <v>27738.2149122807</v>
      </c>
      <c r="J365" s="15" t="n">
        <f aca="false">Motore_Operativo!CC365</f>
        <v>-18617.1622807018</v>
      </c>
      <c r="K365" s="15" t="n">
        <f aca="false">Motore_Operativo!CE365</f>
        <v>1666.66666666667</v>
      </c>
      <c r="L365" s="15" t="n">
        <f aca="false">SUM(INDEX($K$365:$K$424,MAX(1,1-Parametri_v3!$C$59+1)):K365)/Parametri_v3!$C$59</f>
        <v>46.2962962962963</v>
      </c>
      <c r="M365" s="15" t="n">
        <f aca="false">J365-L365</f>
        <v>-18663.4585769981</v>
      </c>
      <c r="N365" s="15" t="n">
        <f aca="false">CD365-(0)</f>
        <v>0</v>
      </c>
      <c r="O365" s="15" t="n">
        <f aca="false">(0)*Ipotesi!$C$110/12+CH365*Parametri_v3!$C$39/12</f>
        <v>0</v>
      </c>
      <c r="P365" s="15" t="n">
        <f aca="false">M365+N365-O365</f>
        <v>-18663.4585769981</v>
      </c>
      <c r="Q365" s="15" t="n">
        <f aca="false">SUM(P365)+Parametri_v3!$C$54*1/12</f>
        <v>-18663.4585769981</v>
      </c>
      <c r="R365" s="15" t="n">
        <f aca="false">0</f>
        <v>0</v>
      </c>
      <c r="S365" s="15" t="n">
        <f aca="false">0</f>
        <v>0</v>
      </c>
      <c r="T365" s="15" t="n">
        <f aca="false">MIN(R365,MAX(0,Q365))</f>
        <v>0</v>
      </c>
      <c r="U365" s="15" t="n">
        <f aca="false">MIN(S365,MAX(0,Q365-T365)*Parametri_v3!$C$42)</f>
        <v>0</v>
      </c>
      <c r="V365" s="15" t="n">
        <f aca="false">MAX(0,Q365-T365-U365)*Ipotesi!$C$92</f>
        <v>0</v>
      </c>
      <c r="W365" s="15" t="n">
        <f aca="false">MAX(0,SUM(M365)+Parametri_v3!$C$55*1/12)*Ipotesi!$C$93</f>
        <v>0</v>
      </c>
      <c r="X365" s="15" t="n">
        <f aca="false">V365+W365-(0)</f>
        <v>0</v>
      </c>
      <c r="Y365" s="15" t="n">
        <f aca="false">P365-X365</f>
        <v>-18663.4585769981</v>
      </c>
      <c r="Z365" s="15" t="n">
        <f aca="false">R365-T365+IF(AND(Parametri_v3!$C$40=1,D365-YEAR(Parametri_v3!$C$50)&lt;Parametri_v3!$C$41),MAX(0,-Q365),0)</f>
        <v>18663.4585769981</v>
      </c>
      <c r="AA365" s="15" t="n">
        <f aca="false">S365-U365+IF(AND(Parametri_v3!$C$40=1,D365-YEAR(Parametri_v3!$C$50)&lt;Parametri_v3!$C$41),0,MAX(0,-Q365))</f>
        <v>0</v>
      </c>
      <c r="AB365" s="15" t="n">
        <f aca="false">F365*(1+Parametri_v3!$C$26)</f>
        <v>9150</v>
      </c>
      <c r="AC365" s="15" t="n">
        <f aca="false">(IF(1-(INT((Motore_Operativo!L365)/30))&lt;1,0,INDEX(Motore_Startup!$AB$365:$AB$424,MAX(1,1-(INT((Motore_Operativo!L365)/30)))))*(1-(MOD((Motore_Operativo!L365),30)/30))+IF(1-(INT((Motore_Operativo!L365)/30))-1&lt;1,0,INDEX(Motore_Startup!$AB$365:$AB$424,MAX(1,1-(INT((Motore_Operativo!L365)/30))-1)))*(MOD((Motore_Operativo!L365),30)/30))</f>
        <v>0</v>
      </c>
      <c r="AD365" s="15" t="n">
        <f aca="false">(0)+AB365-AC365</f>
        <v>9150</v>
      </c>
      <c r="AE365" s="15" t="n">
        <f aca="false">Motore_Operativo!BH365*(1+Parametri_v3!$C$26)</f>
        <v>1977.68421052632</v>
      </c>
      <c r="AF365" s="15" t="n">
        <f aca="false">(IF(1-(INT((Parametri_v3!$C$29)/30))&lt;1,0,INDEX(Motore_Operativo!$BH$365:$BH$424,MAX(1,1-(INT((Parametri_v3!$C$29)/30)))))*(1-(MOD((Parametri_v3!$C$29),30)/30))+IF(1-(INT((Parametri_v3!$C$29)/30))-1&lt;1,0,INDEX(Motore_Operativo!$BH$365:$BH$424,MAX(1,1-(INT((Parametri_v3!$C$29)/30))-1)))*(MOD((Parametri_v3!$C$29),30)/30))*(1+Parametri_v3!$C$26)</f>
        <v>0</v>
      </c>
      <c r="AG365" s="15" t="n">
        <f aca="false">(0)+AE365-AF365</f>
        <v>1977.68421052632</v>
      </c>
      <c r="AH365" s="15" t="n">
        <f aca="false">(Motore_Operativo!CJ365)*(1+Parametri_v3!$C$27*Parametri_v3!$C$26)</f>
        <v>11658.1777675439</v>
      </c>
      <c r="AI365" s="15" t="n">
        <f aca="false">(IF(1-(INT((Ipotesi!$C$91)/30))&lt;1,0,INDEX(Motore_Startup!$AH$365:$AH$424,MAX(1,1-(INT((Ipotesi!$C$91)/30)))))*(1-(MOD((Ipotesi!$C$91),30)/30))+IF(1-(INT((Ipotesi!$C$91)/30))-1&lt;1,0,INDEX(Motore_Startup!$AH$365:$AH$424,MAX(1,1-(INT((Ipotesi!$C$91)/30))-1)))*(MOD((Ipotesi!$C$91),30)/30))</f>
        <v>0</v>
      </c>
      <c r="AJ365" s="15" t="n">
        <f aca="false">(0)+AH365-AI365</f>
        <v>11658.1777675439</v>
      </c>
      <c r="AK365" s="15" t="n">
        <f aca="false">(F365+ Motore_Operativo!BH365-(Motore_Operativo!CJ365)*Parametri_v3!$C$27-Motore_Operativo!CE365)*Parametri_v3!$C$26</f>
        <v>-196.664609649123</v>
      </c>
      <c r="AL365" s="15" t="n">
        <f aca="false">MAX(0,(0))</f>
        <v>0</v>
      </c>
      <c r="AM365" s="15" t="n">
        <f aca="false">(0)+AK365-AL365</f>
        <v>-196.664609649123</v>
      </c>
      <c r="AN365" s="15" t="n">
        <f aca="false">0</f>
        <v>0</v>
      </c>
      <c r="AO365" s="15" t="n">
        <f aca="false">0</f>
        <v>0</v>
      </c>
      <c r="AP365" s="15" t="n">
        <f aca="false">MAX(0,AN365)*IF(1=Parametri_v3!$C$43,Parametri_v3!$C$45,IF(1=Parametri_v3!$C$44,1-Parametri_v3!$C$45,0))</f>
        <v>0</v>
      </c>
      <c r="AQ365" s="15" t="n">
        <f aca="false">MAX(0,AP365+IF(1=Parametri_v3!$C$43,MAX(0,AN365-AO365),0)-MAX(0,-(0)))</f>
        <v>0</v>
      </c>
      <c r="AR365" s="15" t="n">
        <f aca="false">(0)+X365-AQ365</f>
        <v>0</v>
      </c>
      <c r="AS365" s="15" t="n">
        <f aca="false">Motore_Operativo!AB365-AT365+AU365</f>
        <v>17020.8333333333</v>
      </c>
      <c r="AT365" s="15" t="n">
        <f aca="false">Motore_Operativo!CH365</f>
        <v>895.833333333334</v>
      </c>
      <c r="AU365" s="15" t="n">
        <f aca="false">MIN(MAX(0,(0)+AT365),Parametri_v3!$C$60/12)</f>
        <v>0</v>
      </c>
      <c r="AV365" s="15" t="n">
        <f aca="false">(0)+AT365-AU365</f>
        <v>895.833333333334</v>
      </c>
      <c r="AW365" s="15" t="n">
        <f aca="false">IF(AND(Motore_Operativo!C365=Finanziamenti!$D$6,Finanziamenti!$F$6=1),Finanziamenti!$C$6,0)</f>
        <v>130000</v>
      </c>
      <c r="AX365" s="15" t="n">
        <f aca="false">IF(AND(7&lt;&gt;7,7&lt;&gt;9,Finanziamenti!$F$8=1,OR(Parametri_v3!$C$6=0,Finanziamenti!$E$8=1),Motore_Operativo!C365=EDATE(Finanziamenti!$D$8,Ipotesi!I15*12)),Finanziamenti!$C$8*1,0)+IF(AND(7&lt;&gt;7,7&lt;&gt;9,Finanziamenti!$F$9=1,OR(Parametri_v3!$C$6=0,Finanziamenti!$E$9=1),Motore_Operativo!C365=EDATE(Finanziamenti!$D$9,Ipotesi!I15*12)),Finanziamenti!$C$9*Ipotesi!I16,0)</f>
        <v>0</v>
      </c>
      <c r="AY365" s="15" t="n">
        <f aca="false">0</f>
        <v>0</v>
      </c>
      <c r="AZ365" s="15" t="n">
        <f aca="false">Motore_Advisory!AY365*(1-Ipotesi!$C$95)*Ipotesi!$C$96</f>
        <v>0</v>
      </c>
      <c r="BA365" s="15" t="n">
        <f aca="false">MAX(0,MIN(CG365*MIN(1,IF(Motore_Operativo!C365&gt;=EDATE(Finanziamenti!$D$15,Ipotesi!I14*12),Finanziamenti!$C$15,0)+IF(Motore_Operativo!C365&gt;=EDATE(Finanziamenti!$D$16,Ipotesi!I14*12),Finanziamenti!$C$16,0)+IF(Motore_Operativo!C365&gt;=EDATE(Finanziamenti!$D$17,Ipotesi!I14*12),Finanziamenti!$C$17,0)),CA365*Ipotesi!$C$102)-(0))</f>
        <v>0</v>
      </c>
      <c r="BB365" s="15" t="n">
        <f aca="false">IF(AND(CF365&gt;0,Motore_Operativo!C365&gt;=IF(CF365=0,0,EDATE(CF365,Parametri_v3!$C$37)),MOD(((D365-YEAR(IF(CF365=0,0,EDATE(CF365,Parametri_v3!$C$37))))*12+E365-MONTH(IF(CF365=0,0,EDATE(CF365,Parametri_v3!$C$37)))),Parametri_v3!$C$38)=0),MIN(MAX(0,(0)+BA365-N365),(CC365-CD365)/(Ipotesi!$C$108*12/Parametri_v3!$C$38)),0)</f>
        <v>0</v>
      </c>
      <c r="BC365" s="15" t="n">
        <f aca="false">(0)+BA365-N365-BB365</f>
        <v>0</v>
      </c>
      <c r="BD365" s="15" t="n">
        <f aca="false">(0)+AC365+AF365-AI365-AS365-K365*(1+Parametri_v3!$C$26)-AL365-AQ365-O365+AW365+AX365+AZ365+BA365-BB365</f>
        <v>110945.833333333</v>
      </c>
      <c r="BE365" s="15" t="n">
        <f aca="false">MAX(0,MIN(MAX(0,CH365-(0)),Parametri_v3!$C$30-BD365))</f>
        <v>0</v>
      </c>
      <c r="BF365" s="15" t="n">
        <f aca="false">IF(Motore_Operativo!C365&gt;=Parametri_v3!$C$63,(0),MIN((0),MAX(0,BD365-Parametri_v3!$C$30)))</f>
        <v>0</v>
      </c>
      <c r="BG365" s="15" t="n">
        <f aca="false">(0)+BE365-BF365</f>
        <v>0</v>
      </c>
      <c r="BH365" s="15" t="n">
        <f aca="false">BD365+BE365-BF365-AY365</f>
        <v>110945.833333333</v>
      </c>
      <c r="BI365" s="15" t="n">
        <f aca="false">MAX(0,Parametri_v3!$C$30-BH365)</f>
        <v>0</v>
      </c>
      <c r="BJ365" s="15" t="n">
        <f aca="false">(0)+K365</f>
        <v>1666.66666666667</v>
      </c>
      <c r="BK365" s="15" t="n">
        <f aca="false">(0)+L365</f>
        <v>46.2962962962963</v>
      </c>
      <c r="BL365" s="15" t="n">
        <f aca="false">BJ365-BK365</f>
        <v>1620.37037037037</v>
      </c>
      <c r="BM365" s="15" t="n">
        <f aca="false">(0)+Y365</f>
        <v>-18663.4585769981</v>
      </c>
      <c r="BN365" s="15" t="n">
        <f aca="false">(0)+AW365+AX365+AZ365</f>
        <v>130000</v>
      </c>
      <c r="BO365" s="15" t="n">
        <f aca="false">(0)+AY365</f>
        <v>0</v>
      </c>
      <c r="BP365" s="15" t="n">
        <f aca="false">0</f>
        <v>0</v>
      </c>
      <c r="BQ365" s="15" t="n">
        <f aca="false">BN365+BM365-BO365</f>
        <v>111336.541423002</v>
      </c>
      <c r="BR365" s="15" t="n">
        <f aca="false">BH365+AD365+BL365+MAX(0,-AM365)+MAX(0,-AR365)+AG365</f>
        <v>123890.552523879</v>
      </c>
      <c r="BS365" s="15" t="n">
        <f aca="false">AJ365+AV365+MAX(0,AM365)+MAX(0,AR365)+BC365+BG365+BQ365</f>
        <v>123890.552523879</v>
      </c>
      <c r="BT365" s="15" t="n">
        <f aca="false">BR365-BS365</f>
        <v>0</v>
      </c>
      <c r="BU365" s="15" t="n">
        <f aca="false">BH365-(BD365+BE365-BF365-AY365)</f>
        <v>0</v>
      </c>
      <c r="BV365" s="15" t="n">
        <f aca="false">MIN(Piano_SS!$C$6,(0)+IF(AND(Motore_Operativo!C365&gt;=EDATE(Parametri_v3!$C$24,Ipotesi!I14*12),Motore_Operativo!C365&lt;EDATE(Parametri_v3!$C$24,Parametri_v3!$C$25+Ipotesi!I14*12)),MAX(0,(Motore_Operativo!Y365+Motore_Operativo!X365*Parametri_v3!$C$14)*(1-Parametri_v3!$C$32))*Piano_SS!$D$6,0))</f>
        <v>0</v>
      </c>
      <c r="BW365" s="15" t="n">
        <f aca="false">MIN(Piano_SS!$C$7,(0)+IF(AND(Motore_Operativo!C365&gt;=EDATE(Parametri_v3!$C$24,Ipotesi!I14*12),Motore_Operativo!C365&lt;EDATE(Parametri_v3!$C$24,Parametri_v3!$C$25+Ipotesi!I14*12)),MAX(0,(IF(1-(INT((Ipotesi!$C$91)/30))&lt;1,0,INDEX(Motore_Operativo!$BN$365:$BN$424,MAX(1,1-(INT((Ipotesi!$C$91)/30)))))*(1-(MOD((Ipotesi!$C$91),30)/30))+IF(1-(INT((Ipotesi!$C$91)/30))-1&lt;1,0,INDEX(Motore_Operativo!$BN$365:$BN$424,MAX(1,1-(INT((Ipotesi!$C$91)/30))-1)))*(MOD((Ipotesi!$C$91),30)/30)))*Piano_SS!$D$7,0))</f>
        <v>0</v>
      </c>
      <c r="BX365" s="15" t="n">
        <f aca="false">MIN(Piano_SS!$C$8,(0)+IF(AND(Motore_Operativo!C365&gt;=EDATE(Parametri_v3!$C$24,Ipotesi!I14*12),Motore_Operativo!C365&lt;EDATE(Parametri_v3!$C$24,Parametri_v3!$C$25+Ipotesi!I14*12)),MAX(0,Motore_Operativo!CE365)*Piano_SS!$D$8,0))</f>
        <v>0</v>
      </c>
      <c r="BY365" s="15" t="n">
        <f aca="false">MIN(Piano_SS!$C$9,(0)+IF(AND(Motore_Operativo!C365&gt;=EDATE(Parametri_v3!$C$24,Ipotesi!I14*12),Motore_Operativo!C365&lt;EDATE(Parametri_v3!$C$24,Parametri_v3!$C$25+Ipotesi!I14*12)),MAX(0,((IF(1-(INT((Ipotesi!$C$91)/30))&lt;1,0,INDEX(Motore_Operativo!$BQ$365:$BQ$424,MAX(1,1-(INT((Ipotesi!$C$91)/30)))))*(1-(MOD((Ipotesi!$C$91),30)/30))+IF(1-(INT((Ipotesi!$C$91)/30))-1&lt;1,0,INDEX(Motore_Operativo!$BQ$365:$BQ$424,MAX(1,1-(INT((Ipotesi!$C$91)/30))-1)))*(MOD((Ipotesi!$C$91),30)/30))+(IF(1-(INT((Ipotesi!$C$91)/30))&lt;1,0,INDEX(Motore_Operativo!$BR$365:$BR$424,MAX(1,1-(INT((Ipotesi!$C$91)/30)))))*(1-(MOD((Ipotesi!$C$91),30)/30))+IF(1-(INT((Ipotesi!$C$91)/30))-1&lt;1,0,INDEX(Motore_Operativo!$BR$365:$BR$424,MAX(1,1-(INT((Ipotesi!$C$91)/30))-1)))*(MOD((Ipotesi!$C$91),30)/30))))*Piano_SS!$D$9,0))</f>
        <v>0</v>
      </c>
      <c r="BZ365" s="15" t="n">
        <f aca="false">MIN(Piano_SS!$C$10,(0)+IF(AND(Motore_Operativo!C365&gt;=EDATE(Parametri_v3!$C$24,Ipotesi!I14*12),Motore_Operativo!C365&lt;EDATE(Parametri_v3!$C$24,Parametri_v3!$C$25+Ipotesi!I14*12)),MAX(0,(IF(1-(INT((Ipotesi!$C$91)/30))&lt;1,0,INDEX(Motore_Operativo!$BO$365:$BO$424,MAX(1,1-(INT((Ipotesi!$C$91)/30)))))*(1-(MOD((Ipotesi!$C$91),30)/30))+IF(1-(INT((Ipotesi!$C$91)/30))-1&lt;1,0,INDEX(Motore_Operativo!$BO$365:$BO$424,MAX(1,1-(INT((Ipotesi!$C$91)/30))-1)))*(MOD((Ipotesi!$C$91),30)/30)))*Piano_SS!$D$10,0))</f>
        <v>0</v>
      </c>
      <c r="CA365" s="15" t="n">
        <f aca="false">SUM(BV365:BZ365)</f>
        <v>0</v>
      </c>
      <c r="CB365" s="15" t="n">
        <f aca="false">BV365*(1-Piano_SS!$E$6)+BW365*(1-Piano_SS!$E$7)+BX365*(1-Piano_SS!$E$8)+BY365*(1-Piano_SS!$E$9)+BZ365*(1-Piano_SS!$E$10)</f>
        <v>0</v>
      </c>
      <c r="CC365" s="15" t="n">
        <f aca="false">(0)+BA365</f>
        <v>0</v>
      </c>
      <c r="CD365" s="15" t="n">
        <f aca="false">IF(CA365=0,0,CC365*CB365/CA365*Ipotesi!$C$103*Parametri_v3!$C$64)</f>
        <v>0</v>
      </c>
      <c r="CE365" s="18" t="n">
        <f aca="false">IF(BA365&gt;0,Motore_Operativo!C365,(0))</f>
        <v>0</v>
      </c>
      <c r="CF365" s="18" t="n">
        <f aca="false">IF(AND(CC365&gt;0,OR(CC365&gt;=CG365-0.01,Motore_Operativo!C365&gt;=EDATE(MAX(Finanziamenti!$D$15:$D$17),Ipotesi!I14*12))),CE365,0)</f>
        <v>0</v>
      </c>
      <c r="CG365" s="15" t="n">
        <f aca="false">IF(AND(7&lt;&gt;6,7&lt;&gt;9,Finanziamenti!$F$11=1,OR(Parametri_v3!$C$6=0,Finanziamenti!$E$11=1)),MIN(Finanziamenti!$C$11,Piano_SS!$C$12*Ipotesi!$C$102),0)</f>
        <v>400000</v>
      </c>
      <c r="CH365" s="15" t="n">
        <f aca="false">IF(AND(AND(7&lt;&gt;8,7&lt;&gt;9,Finanziamenti!$F$10=1,OR(Parametri_v3!$C$6=0,Finanziamenti!$E$10=1)),Motore_Operativo!C365&gt;=Finanziamenti!$D$10,Motore_Operativo!C365&lt;Parametri_v3!$C$63),Finanziamenti!$C$10,0)</f>
        <v>150000</v>
      </c>
    </row>
    <row r="366" customFormat="false" ht="18" hidden="false" customHeight="true" outlineLevel="0" collapsed="false">
      <c r="A366" s="68" t="n">
        <f aca="false">7</f>
        <v>7</v>
      </c>
      <c r="B366" s="68" t="n">
        <f aca="false">2</f>
        <v>2</v>
      </c>
      <c r="C366" s="18" t="n">
        <f aca="false">Motore_Operativo!C366</f>
        <v>46419</v>
      </c>
      <c r="D366" s="68" t="n">
        <f aca="false">Motore_Operativo!D366</f>
        <v>2027</v>
      </c>
      <c r="E366" s="68" t="n">
        <f aca="false">Motore_Operativo!E366</f>
        <v>2</v>
      </c>
      <c r="F366" s="15" t="n">
        <f aca="false">Motore_Operativo!AQ366+Motore_Operativo!BF366</f>
        <v>7500</v>
      </c>
      <c r="G366" s="15" t="n">
        <f aca="false">Motore_Operativo!BH366</f>
        <v>1621.05263157895</v>
      </c>
      <c r="H366" s="15" t="n">
        <f aca="false">Motore_Operativo!BI366</f>
        <v>9121.05263157895</v>
      </c>
      <c r="I366" s="15" t="n">
        <f aca="false">Motore_Operativo!CA366</f>
        <v>27738.2149122807</v>
      </c>
      <c r="J366" s="15" t="n">
        <f aca="false">Motore_Operativo!CC366</f>
        <v>-18617.1622807018</v>
      </c>
      <c r="K366" s="15" t="n">
        <f aca="false">Motore_Operativo!CE366</f>
        <v>1666.66666666667</v>
      </c>
      <c r="L366" s="15" t="n">
        <f aca="false">SUM(INDEX($K$365:$K$424,MAX(1,2-Parametri_v3!$C$59+1)):K366)/Parametri_v3!$C$59</f>
        <v>92.5925925925926</v>
      </c>
      <c r="M366" s="15" t="n">
        <f aca="false">J366-L366</f>
        <v>-18709.7548732943</v>
      </c>
      <c r="N366" s="15" t="n">
        <f aca="false">CD366-(CD365)</f>
        <v>0</v>
      </c>
      <c r="O366" s="15" t="n">
        <f aca="false">(BG365)*Ipotesi!$C$110/12+CH366*Parametri_v3!$C$39/12</f>
        <v>0</v>
      </c>
      <c r="P366" s="15" t="n">
        <f aca="false">M366+N366-O366</f>
        <v>-18709.7548732943</v>
      </c>
      <c r="Q366" s="15" t="n">
        <f aca="false">SUM(P365:P366)+Parametri_v3!$C$54*2/12</f>
        <v>-37373.2134502924</v>
      </c>
      <c r="R366" s="15" t="n">
        <f aca="false">0</f>
        <v>0</v>
      </c>
      <c r="S366" s="15" t="n">
        <f aca="false">0</f>
        <v>0</v>
      </c>
      <c r="T366" s="15" t="n">
        <f aca="false">MIN(R366,MAX(0,Q366))</f>
        <v>0</v>
      </c>
      <c r="U366" s="15" t="n">
        <f aca="false">MIN(S366,MAX(0,Q366-T366)*Parametri_v3!$C$42)</f>
        <v>0</v>
      </c>
      <c r="V366" s="15" t="n">
        <f aca="false">MAX(0,Q366-T366-U366)*Ipotesi!$C$92</f>
        <v>0</v>
      </c>
      <c r="W366" s="15" t="n">
        <f aca="false">MAX(0,SUM(M365:M366)+Parametri_v3!$C$55*2/12)*Ipotesi!$C$93</f>
        <v>0</v>
      </c>
      <c r="X366" s="15" t="n">
        <f aca="false">V366+W366-(V365+W365)</f>
        <v>0</v>
      </c>
      <c r="Y366" s="15" t="n">
        <f aca="false">P366-X366</f>
        <v>-18709.7548732943</v>
      </c>
      <c r="Z366" s="15" t="n">
        <f aca="false">R366-T366+IF(AND(Parametri_v3!$C$40=1,D366-YEAR(Parametri_v3!$C$50)&lt;Parametri_v3!$C$41),MAX(0,-Q366),0)</f>
        <v>37373.2134502924</v>
      </c>
      <c r="AA366" s="15" t="n">
        <f aca="false">S366-U366+IF(AND(Parametri_v3!$C$40=1,D366-YEAR(Parametri_v3!$C$50)&lt;Parametri_v3!$C$41),0,MAX(0,-Q366))</f>
        <v>0</v>
      </c>
      <c r="AB366" s="15" t="n">
        <f aca="false">F366*(1+Parametri_v3!$C$26)</f>
        <v>9150</v>
      </c>
      <c r="AC366" s="15" t="n">
        <f aca="false">(IF(2-(INT((Motore_Operativo!L366)/30))&lt;1,0,INDEX(Motore_Startup!$AB$365:$AB$424,MAX(1,2-(INT((Motore_Operativo!L366)/30)))))*(1-(MOD((Motore_Operativo!L366),30)/30))+IF(2-(INT((Motore_Operativo!L366)/30))-1&lt;1,0,INDEX(Motore_Startup!$AB$365:$AB$424,MAX(1,2-(INT((Motore_Operativo!L366)/30))-1)))*(MOD((Motore_Operativo!L366),30)/30))</f>
        <v>0</v>
      </c>
      <c r="AD366" s="15" t="n">
        <f aca="false">(AD365)+AB366-AC366</f>
        <v>18300</v>
      </c>
      <c r="AE366" s="15" t="n">
        <f aca="false">Motore_Operativo!BH366*(1+Parametri_v3!$C$26)</f>
        <v>1977.68421052632</v>
      </c>
      <c r="AF366" s="15" t="n">
        <f aca="false">(IF(2-(INT((Parametri_v3!$C$29)/30))&lt;1,0,INDEX(Motore_Operativo!$BH$365:$BH$424,MAX(1,2-(INT((Parametri_v3!$C$29)/30)))))*(1-(MOD((Parametri_v3!$C$29),30)/30))+IF(2-(INT((Parametri_v3!$C$29)/30))-1&lt;1,0,INDEX(Motore_Operativo!$BH$365:$BH$424,MAX(1,2-(INT((Parametri_v3!$C$29)/30))-1)))*(MOD((Parametri_v3!$C$29),30)/30))*(1+Parametri_v3!$C$26)</f>
        <v>1977.68421052632</v>
      </c>
      <c r="AG366" s="15" t="n">
        <f aca="false">(AG365)+AE366-AF366</f>
        <v>1977.68421052632</v>
      </c>
      <c r="AH366" s="15" t="n">
        <f aca="false">(Motore_Operativo!CJ366)*(1+Parametri_v3!$C$27*Parametri_v3!$C$26)</f>
        <v>11658.1777675439</v>
      </c>
      <c r="AI366" s="15" t="n">
        <f aca="false">(IF(2-(INT((Ipotesi!$C$91)/30))&lt;1,0,INDEX(Motore_Startup!$AH$365:$AH$424,MAX(1,2-(INT((Ipotesi!$C$91)/30)))))*(1-(MOD((Ipotesi!$C$91),30)/30))+IF(2-(INT((Ipotesi!$C$91)/30))-1&lt;1,0,INDEX(Motore_Startup!$AH$365:$AH$424,MAX(1,2-(INT((Ipotesi!$C$91)/30))-1)))*(MOD((Ipotesi!$C$91),30)/30))</f>
        <v>0</v>
      </c>
      <c r="AJ366" s="15" t="n">
        <f aca="false">(AJ365)+AH366-AI366</f>
        <v>23316.3555350877</v>
      </c>
      <c r="AK366" s="15" t="n">
        <f aca="false">(F366+ Motore_Operativo!BH366-(Motore_Operativo!CJ366)*Parametri_v3!$C$27-Motore_Operativo!CE366)*Parametri_v3!$C$26</f>
        <v>-196.664609649123</v>
      </c>
      <c r="AL366" s="15" t="n">
        <f aca="false">MAX(0,(AM365))</f>
        <v>0</v>
      </c>
      <c r="AM366" s="15" t="n">
        <f aca="false">(AM365)+AK366-AL366</f>
        <v>-393.329219298245</v>
      </c>
      <c r="AN366" s="15" t="n">
        <f aca="false">0</f>
        <v>0</v>
      </c>
      <c r="AO366" s="15" t="n">
        <f aca="false">0</f>
        <v>0</v>
      </c>
      <c r="AP366" s="15" t="n">
        <f aca="false">MAX(0,AN366)*IF(2=Parametri_v3!$C$43,Parametri_v3!$C$45,IF(2=Parametri_v3!$C$44,1-Parametri_v3!$C$45,0))</f>
        <v>0</v>
      </c>
      <c r="AQ366" s="15" t="n">
        <f aca="false">MAX(0,AP366+IF(2=Parametri_v3!$C$43,MAX(0,AN366-AO366),0)-MAX(0,-(AR365)))</f>
        <v>0</v>
      </c>
      <c r="AR366" s="15" t="n">
        <f aca="false">(AR365)+X366-AQ366</f>
        <v>0</v>
      </c>
      <c r="AS366" s="15" t="n">
        <f aca="false">Motore_Operativo!AB366-AT366+AU366</f>
        <v>17020.8333333333</v>
      </c>
      <c r="AT366" s="15" t="n">
        <f aca="false">Motore_Operativo!CH366</f>
        <v>895.833333333334</v>
      </c>
      <c r="AU366" s="15" t="n">
        <f aca="false">MIN(MAX(0,(AV365)+AT366),Parametri_v3!$C$60/12)</f>
        <v>0</v>
      </c>
      <c r="AV366" s="15" t="n">
        <f aca="false">(AV365)+AT366-AU366</f>
        <v>1791.66666666667</v>
      </c>
      <c r="AW366" s="15" t="n">
        <f aca="false">IF(AND(Motore_Operativo!C366=Finanziamenti!$D$6,Finanziamenti!$F$6=1),Finanziamenti!$C$6,0)</f>
        <v>0</v>
      </c>
      <c r="AX366" s="15" t="n">
        <f aca="false">IF(AND(7&lt;&gt;7,7&lt;&gt;9,Finanziamenti!$F$8=1,OR(Parametri_v3!$C$6=0,Finanziamenti!$E$8=1),Motore_Operativo!C366=EDATE(Finanziamenti!$D$8,Ipotesi!I15*12)),Finanziamenti!$C$8*1,0)+IF(AND(7&lt;&gt;7,7&lt;&gt;9,Finanziamenti!$F$9=1,OR(Parametri_v3!$C$6=0,Finanziamenti!$E$9=1),Motore_Operativo!C366=EDATE(Finanziamenti!$D$9,Ipotesi!I15*12)),Finanziamenti!$C$9*Ipotesi!I16,0)</f>
        <v>0</v>
      </c>
      <c r="AY366" s="15" t="n">
        <f aca="false">0</f>
        <v>0</v>
      </c>
      <c r="AZ366" s="15" t="n">
        <f aca="false">Motore_Advisory!AY366*(1-Ipotesi!$C$95)*Ipotesi!$C$96</f>
        <v>0</v>
      </c>
      <c r="BA366" s="15" t="n">
        <f aca="false">MAX(0,MIN(CG366*MIN(1,IF(Motore_Operativo!C366&gt;=EDATE(Finanziamenti!$D$15,Ipotesi!I14*12),Finanziamenti!$C$15,0)+IF(Motore_Operativo!C366&gt;=EDATE(Finanziamenti!$D$16,Ipotesi!I14*12),Finanziamenti!$C$16,0)+IF(Motore_Operativo!C366&gt;=EDATE(Finanziamenti!$D$17,Ipotesi!I14*12),Finanziamenti!$C$17,0)),CA366*Ipotesi!$C$102)-(CC365))</f>
        <v>0</v>
      </c>
      <c r="BB366" s="15" t="n">
        <f aca="false">IF(AND(CF366&gt;0,Motore_Operativo!C366&gt;=IF(CF366=0,0,EDATE(CF366,Parametri_v3!$C$37)),MOD(((D366-YEAR(IF(CF366=0,0,EDATE(CF366,Parametri_v3!$C$37))))*12+E366-MONTH(IF(CF366=0,0,EDATE(CF366,Parametri_v3!$C$37)))),Parametri_v3!$C$38)=0),MIN(MAX(0,(BC365)+BA366-N366),(CC366-CD366)/(Ipotesi!$C$108*12/Parametri_v3!$C$38)),0)</f>
        <v>0</v>
      </c>
      <c r="BC366" s="15" t="n">
        <f aca="false">(BC365)+BA366-N366-BB366</f>
        <v>0</v>
      </c>
      <c r="BD366" s="15" t="n">
        <f aca="false">(BH365)+AC366+AF366-AI366-AS366-K366*(1+Parametri_v3!$C$26)-AL366-AQ366-O366+AW366+AX366+AZ366+BA366-BB366</f>
        <v>93869.350877193</v>
      </c>
      <c r="BE366" s="15" t="n">
        <f aca="false">MAX(0,MIN(MAX(0,CH366-(BG365)),Parametri_v3!$C$30-BD366))</f>
        <v>0</v>
      </c>
      <c r="BF366" s="15" t="n">
        <f aca="false">IF(Motore_Operativo!C366&gt;=Parametri_v3!$C$63,(BG365),MIN((BG365),MAX(0,BD366-Parametri_v3!$C$30)))</f>
        <v>0</v>
      </c>
      <c r="BG366" s="15" t="n">
        <f aca="false">(BG365)+BE366-BF366</f>
        <v>0</v>
      </c>
      <c r="BH366" s="15" t="n">
        <f aca="false">BD366+BE366-BF366-AY366</f>
        <v>93869.350877193</v>
      </c>
      <c r="BI366" s="15" t="n">
        <f aca="false">MAX(0,Parametri_v3!$C$30-BH366)</f>
        <v>0</v>
      </c>
      <c r="BJ366" s="15" t="n">
        <f aca="false">(BJ365)+K366</f>
        <v>3333.33333333333</v>
      </c>
      <c r="BK366" s="15" t="n">
        <f aca="false">(BK365)+L366</f>
        <v>138.888888888889</v>
      </c>
      <c r="BL366" s="15" t="n">
        <f aca="false">BJ366-BK366</f>
        <v>3194.44444444445</v>
      </c>
      <c r="BM366" s="15" t="n">
        <f aca="false">(BM365)+Y366</f>
        <v>-37373.2134502924</v>
      </c>
      <c r="BN366" s="15" t="n">
        <f aca="false">(BN365)+AW366+AX366+AZ366</f>
        <v>130000</v>
      </c>
      <c r="BO366" s="15" t="n">
        <f aca="false">(BO365)+AY366</f>
        <v>0</v>
      </c>
      <c r="BP366" s="15" t="n">
        <f aca="false">0</f>
        <v>0</v>
      </c>
      <c r="BQ366" s="15" t="n">
        <f aca="false">BN366+BM366-BO366</f>
        <v>92626.7865497076</v>
      </c>
      <c r="BR366" s="15" t="n">
        <f aca="false">BH366+AD366+BL366+MAX(0,-AM366)+MAX(0,-AR366)+AG366</f>
        <v>117734.808751462</v>
      </c>
      <c r="BS366" s="15" t="n">
        <f aca="false">AJ366+AV366+MAX(0,AM366)+MAX(0,AR366)+BC366+BG366+BQ366</f>
        <v>117734.808751462</v>
      </c>
      <c r="BT366" s="15" t="n">
        <f aca="false">BR366-BS366</f>
        <v>0</v>
      </c>
      <c r="BU366" s="15" t="n">
        <f aca="false">BH366-(BD366+BE366-BF366-AY366)</f>
        <v>0</v>
      </c>
      <c r="BV366" s="15" t="n">
        <f aca="false">MIN(Piano_SS!$C$6,(BV365)+IF(AND(Motore_Operativo!C366&gt;=EDATE(Parametri_v3!$C$24,Ipotesi!I14*12),Motore_Operativo!C366&lt;EDATE(Parametri_v3!$C$24,Parametri_v3!$C$25+Ipotesi!I14*12)),MAX(0,(Motore_Operativo!Y366+Motore_Operativo!X366*Parametri_v3!$C$14)*(1-Parametri_v3!$C$32))*Piano_SS!$D$6,0))</f>
        <v>0</v>
      </c>
      <c r="BW366" s="15" t="n">
        <f aca="false">MIN(Piano_SS!$C$7,(BW365)+IF(AND(Motore_Operativo!C366&gt;=EDATE(Parametri_v3!$C$24,Ipotesi!I14*12),Motore_Operativo!C366&lt;EDATE(Parametri_v3!$C$24,Parametri_v3!$C$25+Ipotesi!I14*12)),MAX(0,(IF(2-(INT((Ipotesi!$C$91)/30))&lt;1,0,INDEX(Motore_Operativo!$BN$365:$BN$424,MAX(1,2-(INT((Ipotesi!$C$91)/30)))))*(1-(MOD((Ipotesi!$C$91),30)/30))+IF(2-(INT((Ipotesi!$C$91)/30))-1&lt;1,0,INDEX(Motore_Operativo!$BN$365:$BN$424,MAX(1,2-(INT((Ipotesi!$C$91)/30))-1)))*(MOD((Ipotesi!$C$91),30)/30)))*Piano_SS!$D$7,0))</f>
        <v>0</v>
      </c>
      <c r="BX366" s="15" t="n">
        <f aca="false">MIN(Piano_SS!$C$8,(BX365)+IF(AND(Motore_Operativo!C366&gt;=EDATE(Parametri_v3!$C$24,Ipotesi!I14*12),Motore_Operativo!C366&lt;EDATE(Parametri_v3!$C$24,Parametri_v3!$C$25+Ipotesi!I14*12)),MAX(0,Motore_Operativo!CE366)*Piano_SS!$D$8,0))</f>
        <v>0</v>
      </c>
      <c r="BY366" s="15" t="n">
        <f aca="false">MIN(Piano_SS!$C$9,(BY365)+IF(AND(Motore_Operativo!C366&gt;=EDATE(Parametri_v3!$C$24,Ipotesi!I14*12),Motore_Operativo!C366&lt;EDATE(Parametri_v3!$C$24,Parametri_v3!$C$25+Ipotesi!I14*12)),MAX(0,((IF(2-(INT((Ipotesi!$C$91)/30))&lt;1,0,INDEX(Motore_Operativo!$BQ$365:$BQ$424,MAX(1,2-(INT((Ipotesi!$C$91)/30)))))*(1-(MOD((Ipotesi!$C$91),30)/30))+IF(2-(INT((Ipotesi!$C$91)/30))-1&lt;1,0,INDEX(Motore_Operativo!$BQ$365:$BQ$424,MAX(1,2-(INT((Ipotesi!$C$91)/30))-1)))*(MOD((Ipotesi!$C$91),30)/30))+(IF(2-(INT((Ipotesi!$C$91)/30))&lt;1,0,INDEX(Motore_Operativo!$BR$365:$BR$424,MAX(1,2-(INT((Ipotesi!$C$91)/30)))))*(1-(MOD((Ipotesi!$C$91),30)/30))+IF(2-(INT((Ipotesi!$C$91)/30))-1&lt;1,0,INDEX(Motore_Operativo!$BR$365:$BR$424,MAX(1,2-(INT((Ipotesi!$C$91)/30))-1)))*(MOD((Ipotesi!$C$91),30)/30))))*Piano_SS!$D$9,0))</f>
        <v>0</v>
      </c>
      <c r="BZ366" s="15" t="n">
        <f aca="false">MIN(Piano_SS!$C$10,(BZ365)+IF(AND(Motore_Operativo!C366&gt;=EDATE(Parametri_v3!$C$24,Ipotesi!I14*12),Motore_Operativo!C366&lt;EDATE(Parametri_v3!$C$24,Parametri_v3!$C$25+Ipotesi!I14*12)),MAX(0,(IF(2-(INT((Ipotesi!$C$91)/30))&lt;1,0,INDEX(Motore_Operativo!$BO$365:$BO$424,MAX(1,2-(INT((Ipotesi!$C$91)/30)))))*(1-(MOD((Ipotesi!$C$91),30)/30))+IF(2-(INT((Ipotesi!$C$91)/30))-1&lt;1,0,INDEX(Motore_Operativo!$BO$365:$BO$424,MAX(1,2-(INT((Ipotesi!$C$91)/30))-1)))*(MOD((Ipotesi!$C$91),30)/30)))*Piano_SS!$D$10,0))</f>
        <v>0</v>
      </c>
      <c r="CA366" s="15" t="n">
        <f aca="false">SUM(BV366:BZ366)</f>
        <v>0</v>
      </c>
      <c r="CB366" s="15" t="n">
        <f aca="false">BV366*(1-Piano_SS!$E$6)+BW366*(1-Piano_SS!$E$7)+BX366*(1-Piano_SS!$E$8)+BY366*(1-Piano_SS!$E$9)+BZ366*(1-Piano_SS!$E$10)</f>
        <v>0</v>
      </c>
      <c r="CC366" s="15" t="n">
        <f aca="false">(CC365)+BA366</f>
        <v>0</v>
      </c>
      <c r="CD366" s="15" t="n">
        <f aca="false">IF(CA366=0,0,CC366*CB366/CA366*Ipotesi!$C$103*Parametri_v3!$C$64)</f>
        <v>0</v>
      </c>
      <c r="CE366" s="18" t="n">
        <f aca="false">IF(BA366&gt;0,Motore_Operativo!C366,(CE365))</f>
        <v>0</v>
      </c>
      <c r="CF366" s="18" t="n">
        <f aca="false">IF(AND(CC366&gt;0,OR(CC366&gt;=CG366-0.01,Motore_Operativo!C366&gt;=EDATE(MAX(Finanziamenti!$D$15:$D$17),Ipotesi!I14*12))),CE366,0)</f>
        <v>0</v>
      </c>
      <c r="CG366" s="15" t="n">
        <f aca="false">IF(AND(7&lt;&gt;6,7&lt;&gt;9,Finanziamenti!$F$11=1,OR(Parametri_v3!$C$6=0,Finanziamenti!$E$11=1)),MIN(Finanziamenti!$C$11,Piano_SS!$C$12*Ipotesi!$C$102),0)</f>
        <v>400000</v>
      </c>
      <c r="CH366" s="15" t="n">
        <f aca="false">IF(AND(AND(7&lt;&gt;8,7&lt;&gt;9,Finanziamenti!$F$10=1,OR(Parametri_v3!$C$6=0,Finanziamenti!$E$10=1)),Motore_Operativo!C366&gt;=Finanziamenti!$D$10,Motore_Operativo!C366&lt;Parametri_v3!$C$63),Finanziamenti!$C$10,0)</f>
        <v>150000</v>
      </c>
    </row>
    <row r="367" customFormat="false" ht="18" hidden="false" customHeight="true" outlineLevel="0" collapsed="false">
      <c r="A367" s="68" t="n">
        <f aca="false">7</f>
        <v>7</v>
      </c>
      <c r="B367" s="68" t="n">
        <f aca="false">3</f>
        <v>3</v>
      </c>
      <c r="C367" s="18" t="n">
        <f aca="false">Motore_Operativo!C367</f>
        <v>46447</v>
      </c>
      <c r="D367" s="68" t="n">
        <f aca="false">Motore_Operativo!D367</f>
        <v>2027</v>
      </c>
      <c r="E367" s="68" t="n">
        <f aca="false">Motore_Operativo!E367</f>
        <v>3</v>
      </c>
      <c r="F367" s="15" t="n">
        <f aca="false">Motore_Operativo!AQ367+Motore_Operativo!BF367</f>
        <v>7500</v>
      </c>
      <c r="G367" s="15" t="n">
        <f aca="false">Motore_Operativo!BH367</f>
        <v>1621.05263157895</v>
      </c>
      <c r="H367" s="15" t="n">
        <f aca="false">Motore_Operativo!BI367</f>
        <v>9121.05263157895</v>
      </c>
      <c r="I367" s="15" t="n">
        <f aca="false">Motore_Operativo!CA367</f>
        <v>27738.2149122807</v>
      </c>
      <c r="J367" s="15" t="n">
        <f aca="false">Motore_Operativo!CC367</f>
        <v>-18617.1622807018</v>
      </c>
      <c r="K367" s="15" t="n">
        <f aca="false">Motore_Operativo!CE367</f>
        <v>1666.66666666667</v>
      </c>
      <c r="L367" s="15" t="n">
        <f aca="false">SUM(INDEX($K$365:$K$424,MAX(1,3-Parametri_v3!$C$59+1)):K367)/Parametri_v3!$C$59</f>
        <v>138.888888888889</v>
      </c>
      <c r="M367" s="15" t="n">
        <f aca="false">J367-L367</f>
        <v>-18756.0511695906</v>
      </c>
      <c r="N367" s="15" t="n">
        <f aca="false">CD367-(CD366)</f>
        <v>0</v>
      </c>
      <c r="O367" s="15" t="n">
        <f aca="false">(BG366)*Ipotesi!$C$110/12+CH367*Parametri_v3!$C$39/12</f>
        <v>0</v>
      </c>
      <c r="P367" s="15" t="n">
        <f aca="false">M367+N367-O367</f>
        <v>-18756.0511695906</v>
      </c>
      <c r="Q367" s="15" t="n">
        <f aca="false">SUM(P365:P367)+Parametri_v3!$C$54*3/12</f>
        <v>-56129.2646198831</v>
      </c>
      <c r="R367" s="15" t="n">
        <f aca="false">0</f>
        <v>0</v>
      </c>
      <c r="S367" s="15" t="n">
        <f aca="false">0</f>
        <v>0</v>
      </c>
      <c r="T367" s="15" t="n">
        <f aca="false">MIN(R367,MAX(0,Q367))</f>
        <v>0</v>
      </c>
      <c r="U367" s="15" t="n">
        <f aca="false">MIN(S367,MAX(0,Q367-T367)*Parametri_v3!$C$42)</f>
        <v>0</v>
      </c>
      <c r="V367" s="15" t="n">
        <f aca="false">MAX(0,Q367-T367-U367)*Ipotesi!$C$92</f>
        <v>0</v>
      </c>
      <c r="W367" s="15" t="n">
        <f aca="false">MAX(0,SUM(M365:M367)+Parametri_v3!$C$55*3/12)*Ipotesi!$C$93</f>
        <v>0</v>
      </c>
      <c r="X367" s="15" t="n">
        <f aca="false">V367+W367-(V366+W366)</f>
        <v>0</v>
      </c>
      <c r="Y367" s="15" t="n">
        <f aca="false">P367-X367</f>
        <v>-18756.0511695906</v>
      </c>
      <c r="Z367" s="15" t="n">
        <f aca="false">R367-T367+IF(AND(Parametri_v3!$C$40=1,D367-YEAR(Parametri_v3!$C$50)&lt;Parametri_v3!$C$41),MAX(0,-Q367),0)</f>
        <v>56129.2646198831</v>
      </c>
      <c r="AA367" s="15" t="n">
        <f aca="false">S367-U367+IF(AND(Parametri_v3!$C$40=1,D367-YEAR(Parametri_v3!$C$50)&lt;Parametri_v3!$C$41),0,MAX(0,-Q367))</f>
        <v>0</v>
      </c>
      <c r="AB367" s="15" t="n">
        <f aca="false">F367*(1+Parametri_v3!$C$26)</f>
        <v>9150</v>
      </c>
      <c r="AC367" s="15" t="n">
        <f aca="false">(IF(3-(INT((Motore_Operativo!L367)/30))&lt;1,0,INDEX(Motore_Startup!$AB$365:$AB$424,MAX(1,3-(INT((Motore_Operativo!L367)/30)))))*(1-(MOD((Motore_Operativo!L367),30)/30))+IF(3-(INT((Motore_Operativo!L367)/30))-1&lt;1,0,INDEX(Motore_Startup!$AB$365:$AB$424,MAX(1,3-(INT((Motore_Operativo!L367)/30))-1)))*(MOD((Motore_Operativo!L367),30)/30))</f>
        <v>0</v>
      </c>
      <c r="AD367" s="15" t="n">
        <f aca="false">(AD366)+AB367-AC367</f>
        <v>27450</v>
      </c>
      <c r="AE367" s="15" t="n">
        <f aca="false">Motore_Operativo!BH367*(1+Parametri_v3!$C$26)</f>
        <v>1977.68421052632</v>
      </c>
      <c r="AF367" s="15" t="n">
        <f aca="false">(IF(3-(INT((Parametri_v3!$C$29)/30))&lt;1,0,INDEX(Motore_Operativo!$BH$365:$BH$424,MAX(1,3-(INT((Parametri_v3!$C$29)/30)))))*(1-(MOD((Parametri_v3!$C$29),30)/30))+IF(3-(INT((Parametri_v3!$C$29)/30))-1&lt;1,0,INDEX(Motore_Operativo!$BH$365:$BH$424,MAX(1,3-(INT((Parametri_v3!$C$29)/30))-1)))*(MOD((Parametri_v3!$C$29),30)/30))*(1+Parametri_v3!$C$26)</f>
        <v>1977.68421052632</v>
      </c>
      <c r="AG367" s="15" t="n">
        <f aca="false">(AG366)+AE367-AF367</f>
        <v>1977.68421052632</v>
      </c>
      <c r="AH367" s="15" t="n">
        <f aca="false">(Motore_Operativo!CJ367)*(1+Parametri_v3!$C$27*Parametri_v3!$C$26)</f>
        <v>11658.1777675439</v>
      </c>
      <c r="AI367" s="15" t="n">
        <f aca="false">(IF(3-(INT((Ipotesi!$C$91)/30))&lt;1,0,INDEX(Motore_Startup!$AH$365:$AH$424,MAX(1,3-(INT((Ipotesi!$C$91)/30)))))*(1-(MOD((Ipotesi!$C$91),30)/30))+IF(3-(INT((Ipotesi!$C$91)/30))-1&lt;1,0,INDEX(Motore_Startup!$AH$365:$AH$424,MAX(1,3-(INT((Ipotesi!$C$91)/30))-1)))*(MOD((Ipotesi!$C$91),30)/30))</f>
        <v>11658.1777675439</v>
      </c>
      <c r="AJ367" s="15" t="n">
        <f aca="false">(AJ366)+AH367-AI367</f>
        <v>23316.3555350877</v>
      </c>
      <c r="AK367" s="15" t="n">
        <f aca="false">(F367+ Motore_Operativo!BH367-(Motore_Operativo!CJ367)*Parametri_v3!$C$27-Motore_Operativo!CE367)*Parametri_v3!$C$26</f>
        <v>-196.664609649123</v>
      </c>
      <c r="AL367" s="15" t="n">
        <f aca="false">MAX(0,(AM366))</f>
        <v>0</v>
      </c>
      <c r="AM367" s="15" t="n">
        <f aca="false">(AM366)+AK367-AL367</f>
        <v>-589.993828947368</v>
      </c>
      <c r="AN367" s="15" t="n">
        <f aca="false">0</f>
        <v>0</v>
      </c>
      <c r="AO367" s="15" t="n">
        <f aca="false">0</f>
        <v>0</v>
      </c>
      <c r="AP367" s="15" t="n">
        <f aca="false">MAX(0,AN367)*IF(3=Parametri_v3!$C$43,Parametri_v3!$C$45,IF(3=Parametri_v3!$C$44,1-Parametri_v3!$C$45,0))</f>
        <v>0</v>
      </c>
      <c r="AQ367" s="15" t="n">
        <f aca="false">MAX(0,AP367+IF(3=Parametri_v3!$C$43,MAX(0,AN367-AO367),0)-MAX(0,-(AR366)))</f>
        <v>0</v>
      </c>
      <c r="AR367" s="15" t="n">
        <f aca="false">(AR366)+X367-AQ367</f>
        <v>0</v>
      </c>
      <c r="AS367" s="15" t="n">
        <f aca="false">Motore_Operativo!AB367-AT367+AU367</f>
        <v>17020.8333333333</v>
      </c>
      <c r="AT367" s="15" t="n">
        <f aca="false">Motore_Operativo!CH367</f>
        <v>895.833333333334</v>
      </c>
      <c r="AU367" s="15" t="n">
        <f aca="false">MIN(MAX(0,(AV366)+AT367),Parametri_v3!$C$60/12)</f>
        <v>0</v>
      </c>
      <c r="AV367" s="15" t="n">
        <f aca="false">(AV366)+AT367-AU367</f>
        <v>2687.5</v>
      </c>
      <c r="AW367" s="15" t="n">
        <f aca="false">IF(AND(Motore_Operativo!C367=Finanziamenti!$D$6,Finanziamenti!$F$6=1),Finanziamenti!$C$6,0)</f>
        <v>0</v>
      </c>
      <c r="AX367" s="15" t="n">
        <f aca="false">IF(AND(7&lt;&gt;7,7&lt;&gt;9,Finanziamenti!$F$8=1,OR(Parametri_v3!$C$6=0,Finanziamenti!$E$8=1),Motore_Operativo!C367=EDATE(Finanziamenti!$D$8,Ipotesi!I15*12)),Finanziamenti!$C$8*1,0)+IF(AND(7&lt;&gt;7,7&lt;&gt;9,Finanziamenti!$F$9=1,OR(Parametri_v3!$C$6=0,Finanziamenti!$E$9=1),Motore_Operativo!C367=EDATE(Finanziamenti!$D$9,Ipotesi!I15*12)),Finanziamenti!$C$9*Ipotesi!I16,0)</f>
        <v>0</v>
      </c>
      <c r="AY367" s="15" t="n">
        <f aca="false">0</f>
        <v>0</v>
      </c>
      <c r="AZ367" s="15" t="n">
        <f aca="false">Motore_Advisory!AY367*(1-Ipotesi!$C$95)*Ipotesi!$C$96</f>
        <v>0</v>
      </c>
      <c r="BA367" s="15" t="n">
        <f aca="false">MAX(0,MIN(CG367*MIN(1,IF(Motore_Operativo!C367&gt;=EDATE(Finanziamenti!$D$15,Ipotesi!I14*12),Finanziamenti!$C$15,0)+IF(Motore_Operativo!C367&gt;=EDATE(Finanziamenti!$D$16,Ipotesi!I14*12),Finanziamenti!$C$16,0)+IF(Motore_Operativo!C367&gt;=EDATE(Finanziamenti!$D$17,Ipotesi!I14*12),Finanziamenti!$C$17,0)),CA367*Ipotesi!$C$102)-(CC366))</f>
        <v>0</v>
      </c>
      <c r="BB367" s="15" t="n">
        <f aca="false">IF(AND(CF367&gt;0,Motore_Operativo!C367&gt;=IF(CF367=0,0,EDATE(CF367,Parametri_v3!$C$37)),MOD(((D367-YEAR(IF(CF367=0,0,EDATE(CF367,Parametri_v3!$C$37))))*12+E367-MONTH(IF(CF367=0,0,EDATE(CF367,Parametri_v3!$C$37)))),Parametri_v3!$C$38)=0),MIN(MAX(0,(BC366)+BA367-N367),(CC367-CD367)/(Ipotesi!$C$108*12/Parametri_v3!$C$38)),0)</f>
        <v>0</v>
      </c>
      <c r="BC367" s="15" t="n">
        <f aca="false">(BC366)+BA367-N367-BB367</f>
        <v>0</v>
      </c>
      <c r="BD367" s="15" t="n">
        <f aca="false">(BH366)+AC367+AF367-AI367-AS367-K367*(1+Parametri_v3!$C$26)-AL367-AQ367-O367+AW367+AX367+AZ367+BA367-BB367</f>
        <v>65134.6906535088</v>
      </c>
      <c r="BE367" s="15" t="n">
        <f aca="false">MAX(0,MIN(MAX(0,CH367-(BG366)),Parametri_v3!$C$30-BD367))</f>
        <v>0</v>
      </c>
      <c r="BF367" s="15" t="n">
        <f aca="false">IF(Motore_Operativo!C367&gt;=Parametri_v3!$C$63,(BG366),MIN((BG366),MAX(0,BD367-Parametri_v3!$C$30)))</f>
        <v>0</v>
      </c>
      <c r="BG367" s="15" t="n">
        <f aca="false">(BG366)+BE367-BF367</f>
        <v>0</v>
      </c>
      <c r="BH367" s="15" t="n">
        <f aca="false">BD367+BE367-BF367-AY367</f>
        <v>65134.6906535088</v>
      </c>
      <c r="BI367" s="15" t="n">
        <f aca="false">MAX(0,Parametri_v3!$C$30-BH367)</f>
        <v>0</v>
      </c>
      <c r="BJ367" s="15" t="n">
        <f aca="false">(BJ366)+K367</f>
        <v>5000</v>
      </c>
      <c r="BK367" s="15" t="n">
        <f aca="false">(BK366)+L367</f>
        <v>277.777777777778</v>
      </c>
      <c r="BL367" s="15" t="n">
        <f aca="false">BJ367-BK367</f>
        <v>4722.22222222222</v>
      </c>
      <c r="BM367" s="15" t="n">
        <f aca="false">(BM366)+Y367</f>
        <v>-56129.2646198831</v>
      </c>
      <c r="BN367" s="15" t="n">
        <f aca="false">(BN366)+AW367+AX367+AZ367</f>
        <v>130000</v>
      </c>
      <c r="BO367" s="15" t="n">
        <f aca="false">(BO366)+AY367</f>
        <v>0</v>
      </c>
      <c r="BP367" s="15" t="n">
        <f aca="false">0</f>
        <v>0</v>
      </c>
      <c r="BQ367" s="15" t="n">
        <f aca="false">BN367+BM367-BO367</f>
        <v>73870.735380117</v>
      </c>
      <c r="BR367" s="15" t="n">
        <f aca="false">BH367+AD367+BL367+MAX(0,-AM367)+MAX(0,-AR367)+AG367</f>
        <v>99874.5909152047</v>
      </c>
      <c r="BS367" s="15" t="n">
        <f aca="false">AJ367+AV367+MAX(0,AM367)+MAX(0,AR367)+BC367+BG367+BQ367</f>
        <v>99874.5909152047</v>
      </c>
      <c r="BT367" s="15" t="n">
        <f aca="false">BR367-BS367</f>
        <v>0</v>
      </c>
      <c r="BU367" s="15" t="n">
        <f aca="false">BH367-(BD367+BE367-BF367-AY367)</f>
        <v>0</v>
      </c>
      <c r="BV367" s="15" t="n">
        <f aca="false">MIN(Piano_SS!$C$6,(BV366)+IF(AND(Motore_Operativo!C367&gt;=EDATE(Parametri_v3!$C$24,Ipotesi!I14*12),Motore_Operativo!C367&lt;EDATE(Parametri_v3!$C$24,Parametri_v3!$C$25+Ipotesi!I14*12)),MAX(0,(Motore_Operativo!Y367+Motore_Operativo!X367*Parametri_v3!$C$14)*(1-Parametri_v3!$C$32))*Piano_SS!$D$6,0))</f>
        <v>0</v>
      </c>
      <c r="BW367" s="15" t="n">
        <f aca="false">MIN(Piano_SS!$C$7,(BW366)+IF(AND(Motore_Operativo!C367&gt;=EDATE(Parametri_v3!$C$24,Ipotesi!I14*12),Motore_Operativo!C367&lt;EDATE(Parametri_v3!$C$24,Parametri_v3!$C$25+Ipotesi!I14*12)),MAX(0,(IF(3-(INT((Ipotesi!$C$91)/30))&lt;1,0,INDEX(Motore_Operativo!$BN$365:$BN$424,MAX(1,3-(INT((Ipotesi!$C$91)/30)))))*(1-(MOD((Ipotesi!$C$91),30)/30))+IF(3-(INT((Ipotesi!$C$91)/30))-1&lt;1,0,INDEX(Motore_Operativo!$BN$365:$BN$424,MAX(1,3-(INT((Ipotesi!$C$91)/30))-1)))*(MOD((Ipotesi!$C$91),30)/30)))*Piano_SS!$D$7,0))</f>
        <v>0</v>
      </c>
      <c r="BX367" s="15" t="n">
        <f aca="false">MIN(Piano_SS!$C$8,(BX366)+IF(AND(Motore_Operativo!C367&gt;=EDATE(Parametri_v3!$C$24,Ipotesi!I14*12),Motore_Operativo!C367&lt;EDATE(Parametri_v3!$C$24,Parametri_v3!$C$25+Ipotesi!I14*12)),MAX(0,Motore_Operativo!CE367)*Piano_SS!$D$8,0))</f>
        <v>0</v>
      </c>
      <c r="BY367" s="15" t="n">
        <f aca="false">MIN(Piano_SS!$C$9,(BY366)+IF(AND(Motore_Operativo!C367&gt;=EDATE(Parametri_v3!$C$24,Ipotesi!I14*12),Motore_Operativo!C367&lt;EDATE(Parametri_v3!$C$24,Parametri_v3!$C$25+Ipotesi!I14*12)),MAX(0,((IF(3-(INT((Ipotesi!$C$91)/30))&lt;1,0,INDEX(Motore_Operativo!$BQ$365:$BQ$424,MAX(1,3-(INT((Ipotesi!$C$91)/30)))))*(1-(MOD((Ipotesi!$C$91),30)/30))+IF(3-(INT((Ipotesi!$C$91)/30))-1&lt;1,0,INDEX(Motore_Operativo!$BQ$365:$BQ$424,MAX(1,3-(INT((Ipotesi!$C$91)/30))-1)))*(MOD((Ipotesi!$C$91),30)/30))+(IF(3-(INT((Ipotesi!$C$91)/30))&lt;1,0,INDEX(Motore_Operativo!$BR$365:$BR$424,MAX(1,3-(INT((Ipotesi!$C$91)/30)))))*(1-(MOD((Ipotesi!$C$91),30)/30))+IF(3-(INT((Ipotesi!$C$91)/30))-1&lt;1,0,INDEX(Motore_Operativo!$BR$365:$BR$424,MAX(1,3-(INT((Ipotesi!$C$91)/30))-1)))*(MOD((Ipotesi!$C$91),30)/30))))*Piano_SS!$D$9,0))</f>
        <v>0</v>
      </c>
      <c r="BZ367" s="15" t="n">
        <f aca="false">MIN(Piano_SS!$C$10,(BZ366)+IF(AND(Motore_Operativo!C367&gt;=EDATE(Parametri_v3!$C$24,Ipotesi!I14*12),Motore_Operativo!C367&lt;EDATE(Parametri_v3!$C$24,Parametri_v3!$C$25+Ipotesi!I14*12)),MAX(0,(IF(3-(INT((Ipotesi!$C$91)/30))&lt;1,0,INDEX(Motore_Operativo!$BO$365:$BO$424,MAX(1,3-(INT((Ipotesi!$C$91)/30)))))*(1-(MOD((Ipotesi!$C$91),30)/30))+IF(3-(INT((Ipotesi!$C$91)/30))-1&lt;1,0,INDEX(Motore_Operativo!$BO$365:$BO$424,MAX(1,3-(INT((Ipotesi!$C$91)/30))-1)))*(MOD((Ipotesi!$C$91),30)/30)))*Piano_SS!$D$10,0))</f>
        <v>0</v>
      </c>
      <c r="CA367" s="15" t="n">
        <f aca="false">SUM(BV367:BZ367)</f>
        <v>0</v>
      </c>
      <c r="CB367" s="15" t="n">
        <f aca="false">BV367*(1-Piano_SS!$E$6)+BW367*(1-Piano_SS!$E$7)+BX367*(1-Piano_SS!$E$8)+BY367*(1-Piano_SS!$E$9)+BZ367*(1-Piano_SS!$E$10)</f>
        <v>0</v>
      </c>
      <c r="CC367" s="15" t="n">
        <f aca="false">(CC366)+BA367</f>
        <v>0</v>
      </c>
      <c r="CD367" s="15" t="n">
        <f aca="false">IF(CA367=0,0,CC367*CB367/CA367*Ipotesi!$C$103*Parametri_v3!$C$64)</f>
        <v>0</v>
      </c>
      <c r="CE367" s="18" t="n">
        <f aca="false">IF(BA367&gt;0,Motore_Operativo!C367,(CE366))</f>
        <v>0</v>
      </c>
      <c r="CF367" s="18" t="n">
        <f aca="false">IF(AND(CC367&gt;0,OR(CC367&gt;=CG367-0.01,Motore_Operativo!C367&gt;=EDATE(MAX(Finanziamenti!$D$15:$D$17),Ipotesi!I14*12))),CE367,0)</f>
        <v>0</v>
      </c>
      <c r="CG367" s="15" t="n">
        <f aca="false">IF(AND(7&lt;&gt;6,7&lt;&gt;9,Finanziamenti!$F$11=1,OR(Parametri_v3!$C$6=0,Finanziamenti!$E$11=1)),MIN(Finanziamenti!$C$11,Piano_SS!$C$12*Ipotesi!$C$102),0)</f>
        <v>400000</v>
      </c>
      <c r="CH367" s="15" t="n">
        <f aca="false">IF(AND(AND(7&lt;&gt;8,7&lt;&gt;9,Finanziamenti!$F$10=1,OR(Parametri_v3!$C$6=0,Finanziamenti!$E$10=1)),Motore_Operativo!C367&gt;=Finanziamenti!$D$10,Motore_Operativo!C367&lt;Parametri_v3!$C$63),Finanziamenti!$C$10,0)</f>
        <v>150000</v>
      </c>
    </row>
    <row r="368" customFormat="false" ht="18" hidden="false" customHeight="true" outlineLevel="0" collapsed="false">
      <c r="A368" s="68" t="n">
        <f aca="false">7</f>
        <v>7</v>
      </c>
      <c r="B368" s="68" t="n">
        <f aca="false">4</f>
        <v>4</v>
      </c>
      <c r="C368" s="18" t="n">
        <f aca="false">Motore_Operativo!C368</f>
        <v>46478</v>
      </c>
      <c r="D368" s="68" t="n">
        <f aca="false">Motore_Operativo!D368</f>
        <v>2027</v>
      </c>
      <c r="E368" s="68" t="n">
        <f aca="false">Motore_Operativo!E368</f>
        <v>4</v>
      </c>
      <c r="F368" s="15" t="n">
        <f aca="false">Motore_Operativo!AQ368+Motore_Operativo!BF368</f>
        <v>7546.2962962963</v>
      </c>
      <c r="G368" s="15" t="n">
        <f aca="false">Motore_Operativo!BH368</f>
        <v>1621.05263157895</v>
      </c>
      <c r="H368" s="15" t="n">
        <f aca="false">Motore_Operativo!BI368</f>
        <v>9167.34892787525</v>
      </c>
      <c r="I368" s="15" t="n">
        <f aca="false">Motore_Operativo!CA368</f>
        <v>27744.6963937622</v>
      </c>
      <c r="J368" s="15" t="n">
        <f aca="false">Motore_Operativo!CC368</f>
        <v>-18577.3474658869</v>
      </c>
      <c r="K368" s="15" t="n">
        <f aca="false">Motore_Operativo!CE368</f>
        <v>1666.66666666667</v>
      </c>
      <c r="L368" s="15" t="n">
        <f aca="false">SUM(INDEX($K$365:$K$424,MAX(1,4-Parametri_v3!$C$59+1)):K368)/Parametri_v3!$C$59</f>
        <v>185.185185185185</v>
      </c>
      <c r="M368" s="15" t="n">
        <f aca="false">J368-L368</f>
        <v>-18762.5326510721</v>
      </c>
      <c r="N368" s="15" t="n">
        <f aca="false">CD368-(CD367)</f>
        <v>0</v>
      </c>
      <c r="O368" s="15" t="n">
        <f aca="false">(BG367)*Ipotesi!$C$110/12+CH368*Parametri_v3!$C$39/12</f>
        <v>0</v>
      </c>
      <c r="P368" s="15" t="n">
        <f aca="false">M368+N368-O368</f>
        <v>-18762.5326510721</v>
      </c>
      <c r="Q368" s="15" t="n">
        <f aca="false">SUM(P365:P368)+Parametri_v3!$C$54*4/12</f>
        <v>-74891.7972709552</v>
      </c>
      <c r="R368" s="15" t="n">
        <f aca="false">0</f>
        <v>0</v>
      </c>
      <c r="S368" s="15" t="n">
        <f aca="false">0</f>
        <v>0</v>
      </c>
      <c r="T368" s="15" t="n">
        <f aca="false">MIN(R368,MAX(0,Q368))</f>
        <v>0</v>
      </c>
      <c r="U368" s="15" t="n">
        <f aca="false">MIN(S368,MAX(0,Q368-T368)*Parametri_v3!$C$42)</f>
        <v>0</v>
      </c>
      <c r="V368" s="15" t="n">
        <f aca="false">MAX(0,Q368-T368-U368)*Ipotesi!$C$92</f>
        <v>0</v>
      </c>
      <c r="W368" s="15" t="n">
        <f aca="false">MAX(0,SUM(M365:M368)+Parametri_v3!$C$55*4/12)*Ipotesi!$C$93</f>
        <v>0</v>
      </c>
      <c r="X368" s="15" t="n">
        <f aca="false">V368+W368-(V367+W367)</f>
        <v>0</v>
      </c>
      <c r="Y368" s="15" t="n">
        <f aca="false">P368-X368</f>
        <v>-18762.5326510721</v>
      </c>
      <c r="Z368" s="15" t="n">
        <f aca="false">R368-T368+IF(AND(Parametri_v3!$C$40=1,D368-YEAR(Parametri_v3!$C$50)&lt;Parametri_v3!$C$41),MAX(0,-Q368),0)</f>
        <v>74891.7972709552</v>
      </c>
      <c r="AA368" s="15" t="n">
        <f aca="false">S368-U368+IF(AND(Parametri_v3!$C$40=1,D368-YEAR(Parametri_v3!$C$50)&lt;Parametri_v3!$C$41),0,MAX(0,-Q368))</f>
        <v>0</v>
      </c>
      <c r="AB368" s="15" t="n">
        <f aca="false">F368*(1+Parametri_v3!$C$26)</f>
        <v>9206.48148148148</v>
      </c>
      <c r="AC368" s="15" t="n">
        <f aca="false">(IF(4-(INT((Motore_Operativo!L368)/30))&lt;1,0,INDEX(Motore_Startup!$AB$365:$AB$424,MAX(1,4-(INT((Motore_Operativo!L368)/30)))))*(1-(MOD((Motore_Operativo!L368),30)/30))+IF(4-(INT((Motore_Operativo!L368)/30))-1&lt;1,0,INDEX(Motore_Startup!$AB$365:$AB$424,MAX(1,4-(INT((Motore_Operativo!L368)/30))-1)))*(MOD((Motore_Operativo!L368),30)/30))</f>
        <v>9150</v>
      </c>
      <c r="AD368" s="15" t="n">
        <f aca="false">(AD367)+AB368-AC368</f>
        <v>27506.4814814815</v>
      </c>
      <c r="AE368" s="15" t="n">
        <f aca="false">Motore_Operativo!BH368*(1+Parametri_v3!$C$26)</f>
        <v>1977.68421052632</v>
      </c>
      <c r="AF368" s="15" t="n">
        <f aca="false">(IF(4-(INT((Parametri_v3!$C$29)/30))&lt;1,0,INDEX(Motore_Operativo!$BH$365:$BH$424,MAX(1,4-(INT((Parametri_v3!$C$29)/30)))))*(1-(MOD((Parametri_v3!$C$29),30)/30))+IF(4-(INT((Parametri_v3!$C$29)/30))-1&lt;1,0,INDEX(Motore_Operativo!$BH$365:$BH$424,MAX(1,4-(INT((Parametri_v3!$C$29)/30))-1)))*(MOD((Parametri_v3!$C$29),30)/30))*(1+Parametri_v3!$C$26)</f>
        <v>1977.68421052632</v>
      </c>
      <c r="AG368" s="15" t="n">
        <f aca="false">(AG367)+AE368-AF368</f>
        <v>1977.68421052632</v>
      </c>
      <c r="AH368" s="15" t="n">
        <f aca="false">(Motore_Operativo!CJ368)*(1+Parametri_v3!$C$27*Parametri_v3!$C$26)</f>
        <v>11665.8712860624</v>
      </c>
      <c r="AI368" s="15" t="n">
        <f aca="false">(IF(4-(INT((Ipotesi!$C$91)/30))&lt;1,0,INDEX(Motore_Startup!$AH$365:$AH$424,MAX(1,4-(INT((Ipotesi!$C$91)/30)))))*(1-(MOD((Ipotesi!$C$91),30)/30))+IF(4-(INT((Ipotesi!$C$91)/30))-1&lt;1,0,INDEX(Motore_Startup!$AH$365:$AH$424,MAX(1,4-(INT((Ipotesi!$C$91)/30))-1)))*(MOD((Ipotesi!$C$91),30)/30))</f>
        <v>11658.1777675439</v>
      </c>
      <c r="AJ368" s="15" t="n">
        <f aca="false">(AJ367)+AH368-AI368</f>
        <v>23324.0490536062</v>
      </c>
      <c r="AK368" s="15" t="n">
        <f aca="false">(F368+ Motore_Operativo!BH368-(Motore_Operativo!CJ368)*Parametri_v3!$C$27-Motore_Operativo!CE368)*Parametri_v3!$C$26</f>
        <v>-187.691461500974</v>
      </c>
      <c r="AL368" s="15" t="n">
        <f aca="false">MAX(0,(AM367))</f>
        <v>0</v>
      </c>
      <c r="AM368" s="15" t="n">
        <f aca="false">(AM367)+AK368-AL368</f>
        <v>-777.685290448342</v>
      </c>
      <c r="AN368" s="15" t="n">
        <f aca="false">0</f>
        <v>0</v>
      </c>
      <c r="AO368" s="15" t="n">
        <f aca="false">0</f>
        <v>0</v>
      </c>
      <c r="AP368" s="15" t="n">
        <f aca="false">MAX(0,AN368)*IF(4=Parametri_v3!$C$43,Parametri_v3!$C$45,IF(4=Parametri_v3!$C$44,1-Parametri_v3!$C$45,0))</f>
        <v>0</v>
      </c>
      <c r="AQ368" s="15" t="n">
        <f aca="false">MAX(0,AP368+IF(4=Parametri_v3!$C$43,MAX(0,AN368-AO368),0)-MAX(0,-(AR367)))</f>
        <v>0</v>
      </c>
      <c r="AR368" s="15" t="n">
        <f aca="false">(AR367)+X368-AQ368</f>
        <v>0</v>
      </c>
      <c r="AS368" s="15" t="n">
        <f aca="false">Motore_Operativo!AB368-AT368+AU368</f>
        <v>17020.8333333333</v>
      </c>
      <c r="AT368" s="15" t="n">
        <f aca="false">Motore_Operativo!CH368</f>
        <v>895.833333333334</v>
      </c>
      <c r="AU368" s="15" t="n">
        <f aca="false">MIN(MAX(0,(AV367)+AT368),Parametri_v3!$C$60/12)</f>
        <v>0</v>
      </c>
      <c r="AV368" s="15" t="n">
        <f aca="false">(AV367)+AT368-AU368</f>
        <v>3583.33333333333</v>
      </c>
      <c r="AW368" s="15" t="n">
        <f aca="false">IF(AND(Motore_Operativo!C368=Finanziamenti!$D$6,Finanziamenti!$F$6=1),Finanziamenti!$C$6,0)</f>
        <v>0</v>
      </c>
      <c r="AX368" s="15" t="n">
        <f aca="false">IF(AND(7&lt;&gt;7,7&lt;&gt;9,Finanziamenti!$F$8=1,OR(Parametri_v3!$C$6=0,Finanziamenti!$E$8=1),Motore_Operativo!C368=EDATE(Finanziamenti!$D$8,Ipotesi!I15*12)),Finanziamenti!$C$8*1,0)+IF(AND(7&lt;&gt;7,7&lt;&gt;9,Finanziamenti!$F$9=1,OR(Parametri_v3!$C$6=0,Finanziamenti!$E$9=1),Motore_Operativo!C368=EDATE(Finanziamenti!$D$9,Ipotesi!I15*12)),Finanziamenti!$C$9*Ipotesi!I16,0)</f>
        <v>0</v>
      </c>
      <c r="AY368" s="15" t="n">
        <f aca="false">0</f>
        <v>0</v>
      </c>
      <c r="AZ368" s="15" t="n">
        <f aca="false">Motore_Advisory!AY368*(1-Ipotesi!$C$95)*Ipotesi!$C$96</f>
        <v>0</v>
      </c>
      <c r="BA368" s="15" t="n">
        <f aca="false">MAX(0,MIN(CG368*MIN(1,IF(Motore_Operativo!C368&gt;=EDATE(Finanziamenti!$D$15,Ipotesi!I14*12),Finanziamenti!$C$15,0)+IF(Motore_Operativo!C368&gt;=EDATE(Finanziamenti!$D$16,Ipotesi!I14*12),Finanziamenti!$C$16,0)+IF(Motore_Operativo!C368&gt;=EDATE(Finanziamenti!$D$17,Ipotesi!I14*12),Finanziamenti!$C$17,0)),CA368*Ipotesi!$C$102)-(CC367))</f>
        <v>0</v>
      </c>
      <c r="BB368" s="15" t="n">
        <f aca="false">IF(AND(CF368&gt;0,Motore_Operativo!C368&gt;=IF(CF368=0,0,EDATE(CF368,Parametri_v3!$C$37)),MOD(((D368-YEAR(IF(CF368=0,0,EDATE(CF368,Parametri_v3!$C$37))))*12+E368-MONTH(IF(CF368=0,0,EDATE(CF368,Parametri_v3!$C$37)))),Parametri_v3!$C$38)=0),MIN(MAX(0,(BC367)+BA368-N368),(CC368-CD368)/(Ipotesi!$C$108*12/Parametri_v3!$C$38)),0)</f>
        <v>0</v>
      </c>
      <c r="BC368" s="15" t="n">
        <f aca="false">(BC367)+BA368-N368-BB368</f>
        <v>0</v>
      </c>
      <c r="BD368" s="15" t="n">
        <f aca="false">(BH367)+AC368+AF368-AI368-AS368-K368*(1+Parametri_v3!$C$26)-AL368-AQ368-O368+AW368+AX368+AZ368+BA368-BB368</f>
        <v>45550.0304298246</v>
      </c>
      <c r="BE368" s="15" t="n">
        <f aca="false">MAX(0,MIN(MAX(0,CH368-(BG367)),Parametri_v3!$C$30-BD368))</f>
        <v>0</v>
      </c>
      <c r="BF368" s="15" t="n">
        <f aca="false">IF(Motore_Operativo!C368&gt;=Parametri_v3!$C$63,(BG367),MIN((BG367),MAX(0,BD368-Parametri_v3!$C$30)))</f>
        <v>0</v>
      </c>
      <c r="BG368" s="15" t="n">
        <f aca="false">(BG367)+BE368-BF368</f>
        <v>0</v>
      </c>
      <c r="BH368" s="15" t="n">
        <f aca="false">BD368+BE368-BF368-AY368</f>
        <v>45550.0304298246</v>
      </c>
      <c r="BI368" s="15" t="n">
        <f aca="false">MAX(0,Parametri_v3!$C$30-BH368)</f>
        <v>0</v>
      </c>
      <c r="BJ368" s="15" t="n">
        <f aca="false">(BJ367)+K368</f>
        <v>6666.66666666667</v>
      </c>
      <c r="BK368" s="15" t="n">
        <f aca="false">(BK367)+L368</f>
        <v>462.962962962963</v>
      </c>
      <c r="BL368" s="15" t="n">
        <f aca="false">BJ368-BK368</f>
        <v>6203.7037037037</v>
      </c>
      <c r="BM368" s="15" t="n">
        <f aca="false">(BM367)+Y368</f>
        <v>-74891.7972709552</v>
      </c>
      <c r="BN368" s="15" t="n">
        <f aca="false">(BN367)+AW368+AX368+AZ368</f>
        <v>130000</v>
      </c>
      <c r="BO368" s="15" t="n">
        <f aca="false">(BO367)+AY368</f>
        <v>0</v>
      </c>
      <c r="BP368" s="15" t="n">
        <f aca="false">0</f>
        <v>0</v>
      </c>
      <c r="BQ368" s="15" t="n">
        <f aca="false">BN368+BM368-BO368</f>
        <v>55108.2027290448</v>
      </c>
      <c r="BR368" s="15" t="n">
        <f aca="false">BH368+AD368+BL368+MAX(0,-AM368)+MAX(0,-AR368)+AG368</f>
        <v>82015.5851159844</v>
      </c>
      <c r="BS368" s="15" t="n">
        <f aca="false">AJ368+AV368+MAX(0,AM368)+MAX(0,AR368)+BC368+BG368+BQ368</f>
        <v>82015.5851159844</v>
      </c>
      <c r="BT368" s="15" t="n">
        <f aca="false">BR368-BS368</f>
        <v>0</v>
      </c>
      <c r="BU368" s="15" t="n">
        <f aca="false">BH368-(BD368+BE368-BF368-AY368)</f>
        <v>0</v>
      </c>
      <c r="BV368" s="15" t="n">
        <f aca="false">MIN(Piano_SS!$C$6,(BV367)+IF(AND(Motore_Operativo!C368&gt;=EDATE(Parametri_v3!$C$24,Ipotesi!I14*12),Motore_Operativo!C368&lt;EDATE(Parametri_v3!$C$24,Parametri_v3!$C$25+Ipotesi!I14*12)),MAX(0,(Motore_Operativo!Y368+Motore_Operativo!X368*Parametri_v3!$C$14)*(1-Parametri_v3!$C$32))*Piano_SS!$D$6,0))</f>
        <v>0</v>
      </c>
      <c r="BW368" s="15" t="n">
        <f aca="false">MIN(Piano_SS!$C$7,(BW367)+IF(AND(Motore_Operativo!C368&gt;=EDATE(Parametri_v3!$C$24,Ipotesi!I14*12),Motore_Operativo!C368&lt;EDATE(Parametri_v3!$C$24,Parametri_v3!$C$25+Ipotesi!I14*12)),MAX(0,(IF(4-(INT((Ipotesi!$C$91)/30))&lt;1,0,INDEX(Motore_Operativo!$BN$365:$BN$424,MAX(1,4-(INT((Ipotesi!$C$91)/30)))))*(1-(MOD((Ipotesi!$C$91),30)/30))+IF(4-(INT((Ipotesi!$C$91)/30))-1&lt;1,0,INDEX(Motore_Operativo!$BN$365:$BN$424,MAX(1,4-(INT((Ipotesi!$C$91)/30))-1)))*(MOD((Ipotesi!$C$91),30)/30)))*Piano_SS!$D$7,0))</f>
        <v>0</v>
      </c>
      <c r="BX368" s="15" t="n">
        <f aca="false">MIN(Piano_SS!$C$8,(BX367)+IF(AND(Motore_Operativo!C368&gt;=EDATE(Parametri_v3!$C$24,Ipotesi!I14*12),Motore_Operativo!C368&lt;EDATE(Parametri_v3!$C$24,Parametri_v3!$C$25+Ipotesi!I14*12)),MAX(0,Motore_Operativo!CE368)*Piano_SS!$D$8,0))</f>
        <v>0</v>
      </c>
      <c r="BY368" s="15" t="n">
        <f aca="false">MIN(Piano_SS!$C$9,(BY367)+IF(AND(Motore_Operativo!C368&gt;=EDATE(Parametri_v3!$C$24,Ipotesi!I14*12),Motore_Operativo!C368&lt;EDATE(Parametri_v3!$C$24,Parametri_v3!$C$25+Ipotesi!I14*12)),MAX(0,((IF(4-(INT((Ipotesi!$C$91)/30))&lt;1,0,INDEX(Motore_Operativo!$BQ$365:$BQ$424,MAX(1,4-(INT((Ipotesi!$C$91)/30)))))*(1-(MOD((Ipotesi!$C$91),30)/30))+IF(4-(INT((Ipotesi!$C$91)/30))-1&lt;1,0,INDEX(Motore_Operativo!$BQ$365:$BQ$424,MAX(1,4-(INT((Ipotesi!$C$91)/30))-1)))*(MOD((Ipotesi!$C$91),30)/30))+(IF(4-(INT((Ipotesi!$C$91)/30))&lt;1,0,INDEX(Motore_Operativo!$BR$365:$BR$424,MAX(1,4-(INT((Ipotesi!$C$91)/30)))))*(1-(MOD((Ipotesi!$C$91),30)/30))+IF(4-(INT((Ipotesi!$C$91)/30))-1&lt;1,0,INDEX(Motore_Operativo!$BR$365:$BR$424,MAX(1,4-(INT((Ipotesi!$C$91)/30))-1)))*(MOD((Ipotesi!$C$91),30)/30))))*Piano_SS!$D$9,0))</f>
        <v>0</v>
      </c>
      <c r="BZ368" s="15" t="n">
        <f aca="false">MIN(Piano_SS!$C$10,(BZ367)+IF(AND(Motore_Operativo!C368&gt;=EDATE(Parametri_v3!$C$24,Ipotesi!I14*12),Motore_Operativo!C368&lt;EDATE(Parametri_v3!$C$24,Parametri_v3!$C$25+Ipotesi!I14*12)),MAX(0,(IF(4-(INT((Ipotesi!$C$91)/30))&lt;1,0,INDEX(Motore_Operativo!$BO$365:$BO$424,MAX(1,4-(INT((Ipotesi!$C$91)/30)))))*(1-(MOD((Ipotesi!$C$91),30)/30))+IF(4-(INT((Ipotesi!$C$91)/30))-1&lt;1,0,INDEX(Motore_Operativo!$BO$365:$BO$424,MAX(1,4-(INT((Ipotesi!$C$91)/30))-1)))*(MOD((Ipotesi!$C$91),30)/30)))*Piano_SS!$D$10,0))</f>
        <v>0</v>
      </c>
      <c r="CA368" s="15" t="n">
        <f aca="false">SUM(BV368:BZ368)</f>
        <v>0</v>
      </c>
      <c r="CB368" s="15" t="n">
        <f aca="false">BV368*(1-Piano_SS!$E$6)+BW368*(1-Piano_SS!$E$7)+BX368*(1-Piano_SS!$E$8)+BY368*(1-Piano_SS!$E$9)+BZ368*(1-Piano_SS!$E$10)</f>
        <v>0</v>
      </c>
      <c r="CC368" s="15" t="n">
        <f aca="false">(CC367)+BA368</f>
        <v>0</v>
      </c>
      <c r="CD368" s="15" t="n">
        <f aca="false">IF(CA368=0,0,CC368*CB368/CA368*Ipotesi!$C$103*Parametri_v3!$C$64)</f>
        <v>0</v>
      </c>
      <c r="CE368" s="18" t="n">
        <f aca="false">IF(BA368&gt;0,Motore_Operativo!C368,(CE367))</f>
        <v>0</v>
      </c>
      <c r="CF368" s="18" t="n">
        <f aca="false">IF(AND(CC368&gt;0,OR(CC368&gt;=CG368-0.01,Motore_Operativo!C368&gt;=EDATE(MAX(Finanziamenti!$D$15:$D$17),Ipotesi!I14*12))),CE368,0)</f>
        <v>0</v>
      </c>
      <c r="CG368" s="15" t="n">
        <f aca="false">IF(AND(7&lt;&gt;6,7&lt;&gt;9,Finanziamenti!$F$11=1,OR(Parametri_v3!$C$6=0,Finanziamenti!$E$11=1)),MIN(Finanziamenti!$C$11,Piano_SS!$C$12*Ipotesi!$C$102),0)</f>
        <v>400000</v>
      </c>
      <c r="CH368" s="15" t="n">
        <f aca="false">IF(AND(AND(7&lt;&gt;8,7&lt;&gt;9,Finanziamenti!$F$10=1,OR(Parametri_v3!$C$6=0,Finanziamenti!$E$10=1)),Motore_Operativo!C368&gt;=Finanziamenti!$D$10,Motore_Operativo!C368&lt;Parametri_v3!$C$63),Finanziamenti!$C$10,0)</f>
        <v>150000</v>
      </c>
    </row>
    <row r="369" customFormat="false" ht="18" hidden="false" customHeight="true" outlineLevel="0" collapsed="false">
      <c r="A369" s="68" t="n">
        <f aca="false">7</f>
        <v>7</v>
      </c>
      <c r="B369" s="68" t="n">
        <f aca="false">5</f>
        <v>5</v>
      </c>
      <c r="C369" s="18" t="n">
        <f aca="false">Motore_Operativo!C369</f>
        <v>46508</v>
      </c>
      <c r="D369" s="68" t="n">
        <f aca="false">Motore_Operativo!D369</f>
        <v>2027</v>
      </c>
      <c r="E369" s="68" t="n">
        <f aca="false">Motore_Operativo!E369</f>
        <v>5</v>
      </c>
      <c r="F369" s="15" t="n">
        <f aca="false">Motore_Operativo!AQ369+Motore_Operativo!BF369</f>
        <v>7638.88888888889</v>
      </c>
      <c r="G369" s="15" t="n">
        <f aca="false">Motore_Operativo!BH369</f>
        <v>1621.05263157895</v>
      </c>
      <c r="H369" s="15" t="n">
        <f aca="false">Motore_Operativo!BI369</f>
        <v>9259.94152046784</v>
      </c>
      <c r="I369" s="15" t="n">
        <f aca="false">Motore_Operativo!CA369</f>
        <v>27757.6593567251</v>
      </c>
      <c r="J369" s="15" t="n">
        <f aca="false">Motore_Operativo!CC369</f>
        <v>-18497.7178362573</v>
      </c>
      <c r="K369" s="15" t="n">
        <f aca="false">Motore_Operativo!CE369</f>
        <v>1666.66666666667</v>
      </c>
      <c r="L369" s="15" t="n">
        <f aca="false">SUM(INDEX($K$365:$K$424,MAX(1,5-Parametri_v3!$C$59+1)):K369)/Parametri_v3!$C$59</f>
        <v>231.481481481482</v>
      </c>
      <c r="M369" s="15" t="n">
        <f aca="false">J369-L369</f>
        <v>-18729.1993177388</v>
      </c>
      <c r="N369" s="15" t="n">
        <f aca="false">CD369-(CD368)</f>
        <v>0</v>
      </c>
      <c r="O369" s="15" t="n">
        <f aca="false">(BG368)*Ipotesi!$C$110/12+CH369*Parametri_v3!$C$39/12</f>
        <v>0</v>
      </c>
      <c r="P369" s="15" t="n">
        <f aca="false">M369+N369-O369</f>
        <v>-18729.1993177388</v>
      </c>
      <c r="Q369" s="15" t="n">
        <f aca="false">SUM(P365:P369)+Parametri_v3!$C$54*5/12</f>
        <v>-93620.996588694</v>
      </c>
      <c r="R369" s="15" t="n">
        <f aca="false">0</f>
        <v>0</v>
      </c>
      <c r="S369" s="15" t="n">
        <f aca="false">0</f>
        <v>0</v>
      </c>
      <c r="T369" s="15" t="n">
        <f aca="false">MIN(R369,MAX(0,Q369))</f>
        <v>0</v>
      </c>
      <c r="U369" s="15" t="n">
        <f aca="false">MIN(S369,MAX(0,Q369-T369)*Parametri_v3!$C$42)</f>
        <v>0</v>
      </c>
      <c r="V369" s="15" t="n">
        <f aca="false">MAX(0,Q369-T369-U369)*Ipotesi!$C$92</f>
        <v>0</v>
      </c>
      <c r="W369" s="15" t="n">
        <f aca="false">MAX(0,SUM(M365:M369)+Parametri_v3!$C$55*5/12)*Ipotesi!$C$93</f>
        <v>0</v>
      </c>
      <c r="X369" s="15" t="n">
        <f aca="false">V369+W369-(V368+W368)</f>
        <v>0</v>
      </c>
      <c r="Y369" s="15" t="n">
        <f aca="false">P369-X369</f>
        <v>-18729.1993177388</v>
      </c>
      <c r="Z369" s="15" t="n">
        <f aca="false">R369-T369+IF(AND(Parametri_v3!$C$40=1,D369-YEAR(Parametri_v3!$C$50)&lt;Parametri_v3!$C$41),MAX(0,-Q369),0)</f>
        <v>93620.996588694</v>
      </c>
      <c r="AA369" s="15" t="n">
        <f aca="false">S369-U369+IF(AND(Parametri_v3!$C$40=1,D369-YEAR(Parametri_v3!$C$50)&lt;Parametri_v3!$C$41),0,MAX(0,-Q369))</f>
        <v>0</v>
      </c>
      <c r="AB369" s="15" t="n">
        <f aca="false">F369*(1+Parametri_v3!$C$26)</f>
        <v>9319.44444444445</v>
      </c>
      <c r="AC369" s="15" t="n">
        <f aca="false">(IF(5-(INT((Motore_Operativo!L369)/30))&lt;1,0,INDEX(Motore_Startup!$AB$365:$AB$424,MAX(1,5-(INT((Motore_Operativo!L369)/30)))))*(1-(MOD((Motore_Operativo!L369),30)/30))+IF(5-(INT((Motore_Operativo!L369)/30))-1&lt;1,0,INDEX(Motore_Startup!$AB$365:$AB$424,MAX(1,5-(INT((Motore_Operativo!L369)/30))-1)))*(MOD((Motore_Operativo!L369),30)/30))</f>
        <v>9150</v>
      </c>
      <c r="AD369" s="15" t="n">
        <f aca="false">(AD368)+AB369-AC369</f>
        <v>27675.9259259259</v>
      </c>
      <c r="AE369" s="15" t="n">
        <f aca="false">Motore_Operativo!BH369*(1+Parametri_v3!$C$26)</f>
        <v>1977.68421052632</v>
      </c>
      <c r="AF369" s="15" t="n">
        <f aca="false">(IF(5-(INT((Parametri_v3!$C$29)/30))&lt;1,0,INDEX(Motore_Operativo!$BH$365:$BH$424,MAX(1,5-(INT((Parametri_v3!$C$29)/30)))))*(1-(MOD((Parametri_v3!$C$29),30)/30))+IF(5-(INT((Parametri_v3!$C$29)/30))-1&lt;1,0,INDEX(Motore_Operativo!$BH$365:$BH$424,MAX(1,5-(INT((Parametri_v3!$C$29)/30))-1)))*(MOD((Parametri_v3!$C$29),30)/30))*(1+Parametri_v3!$C$26)</f>
        <v>1977.68421052632</v>
      </c>
      <c r="AG369" s="15" t="n">
        <f aca="false">(AG368)+AE369-AF369</f>
        <v>1977.68421052632</v>
      </c>
      <c r="AH369" s="15" t="n">
        <f aca="false">(Motore_Operativo!CJ369)*(1+Parametri_v3!$C$27*Parametri_v3!$C$26)</f>
        <v>11681.2583230994</v>
      </c>
      <c r="AI369" s="15" t="n">
        <f aca="false">(IF(5-(INT((Ipotesi!$C$91)/30))&lt;1,0,INDEX(Motore_Startup!$AH$365:$AH$424,MAX(1,5-(INT((Ipotesi!$C$91)/30)))))*(1-(MOD((Ipotesi!$C$91),30)/30))+IF(5-(INT((Ipotesi!$C$91)/30))-1&lt;1,0,INDEX(Motore_Startup!$AH$365:$AH$424,MAX(1,5-(INT((Ipotesi!$C$91)/30))-1)))*(MOD((Ipotesi!$C$91),30)/30))</f>
        <v>11658.1777675439</v>
      </c>
      <c r="AJ369" s="15" t="n">
        <f aca="false">(AJ368)+AH369-AI369</f>
        <v>23347.1296091618</v>
      </c>
      <c r="AK369" s="15" t="n">
        <f aca="false">(F369+ Motore_Operativo!BH369-(Motore_Operativo!CJ369)*Parametri_v3!$C$27-Motore_Operativo!CE369)*Parametri_v3!$C$26</f>
        <v>-169.745165204677</v>
      </c>
      <c r="AL369" s="15" t="n">
        <f aca="false">MAX(0,(AM368))</f>
        <v>0</v>
      </c>
      <c r="AM369" s="15" t="n">
        <f aca="false">(AM368)+AK369-AL369</f>
        <v>-947.430455653019</v>
      </c>
      <c r="AN369" s="15" t="n">
        <f aca="false">0</f>
        <v>0</v>
      </c>
      <c r="AO369" s="15" t="n">
        <f aca="false">0</f>
        <v>0</v>
      </c>
      <c r="AP369" s="15" t="n">
        <f aca="false">MAX(0,AN369)*IF(5=Parametri_v3!$C$43,Parametri_v3!$C$45,IF(5=Parametri_v3!$C$44,1-Parametri_v3!$C$45,0))</f>
        <v>0</v>
      </c>
      <c r="AQ369" s="15" t="n">
        <f aca="false">MAX(0,AP369+IF(5=Parametri_v3!$C$43,MAX(0,AN369-AO369),0)-MAX(0,-(AR368)))</f>
        <v>0</v>
      </c>
      <c r="AR369" s="15" t="n">
        <f aca="false">(AR368)+X369-AQ369</f>
        <v>0</v>
      </c>
      <c r="AS369" s="15" t="n">
        <f aca="false">Motore_Operativo!AB369-AT369+AU369</f>
        <v>17020.8333333333</v>
      </c>
      <c r="AT369" s="15" t="n">
        <f aca="false">Motore_Operativo!CH369</f>
        <v>895.833333333334</v>
      </c>
      <c r="AU369" s="15" t="n">
        <f aca="false">MIN(MAX(0,(AV368)+AT369),Parametri_v3!$C$60/12)</f>
        <v>0</v>
      </c>
      <c r="AV369" s="15" t="n">
        <f aca="false">(AV368)+AT369-AU369</f>
        <v>4479.16666666667</v>
      </c>
      <c r="AW369" s="15" t="n">
        <f aca="false">IF(AND(Motore_Operativo!C369=Finanziamenti!$D$6,Finanziamenti!$F$6=1),Finanziamenti!$C$6,0)</f>
        <v>0</v>
      </c>
      <c r="AX369" s="15" t="n">
        <f aca="false">IF(AND(7&lt;&gt;7,7&lt;&gt;9,Finanziamenti!$F$8=1,OR(Parametri_v3!$C$6=0,Finanziamenti!$E$8=1),Motore_Operativo!C369=EDATE(Finanziamenti!$D$8,Ipotesi!I15*12)),Finanziamenti!$C$8*1,0)+IF(AND(7&lt;&gt;7,7&lt;&gt;9,Finanziamenti!$F$9=1,OR(Parametri_v3!$C$6=0,Finanziamenti!$E$9=1),Motore_Operativo!C369=EDATE(Finanziamenti!$D$9,Ipotesi!I15*12)),Finanziamenti!$C$9*Ipotesi!I16,0)</f>
        <v>0</v>
      </c>
      <c r="AY369" s="15" t="n">
        <f aca="false">0</f>
        <v>0</v>
      </c>
      <c r="AZ369" s="15" t="n">
        <f aca="false">Motore_Advisory!AY369*(1-Ipotesi!$C$95)*Ipotesi!$C$96</f>
        <v>0</v>
      </c>
      <c r="BA369" s="15" t="n">
        <f aca="false">MAX(0,MIN(CG369*MIN(1,IF(Motore_Operativo!C369&gt;=EDATE(Finanziamenti!$D$15,Ipotesi!I14*12),Finanziamenti!$C$15,0)+IF(Motore_Operativo!C369&gt;=EDATE(Finanziamenti!$D$16,Ipotesi!I14*12),Finanziamenti!$C$16,0)+IF(Motore_Operativo!C369&gt;=EDATE(Finanziamenti!$D$17,Ipotesi!I14*12),Finanziamenti!$C$17,0)),CA369*Ipotesi!$C$102)-(CC368))</f>
        <v>0</v>
      </c>
      <c r="BB369" s="15" t="n">
        <f aca="false">IF(AND(CF369&gt;0,Motore_Operativo!C369&gt;=IF(CF369=0,0,EDATE(CF369,Parametri_v3!$C$37)),MOD(((D369-YEAR(IF(CF369=0,0,EDATE(CF369,Parametri_v3!$C$37))))*12+E369-MONTH(IF(CF369=0,0,EDATE(CF369,Parametri_v3!$C$37)))),Parametri_v3!$C$38)=0),MIN(MAX(0,(BC368)+BA369-N369),(CC369-CD369)/(Ipotesi!$C$108*12/Parametri_v3!$C$38)),0)</f>
        <v>0</v>
      </c>
      <c r="BC369" s="15" t="n">
        <f aca="false">(BC368)+BA369-N369-BB369</f>
        <v>0</v>
      </c>
      <c r="BD369" s="15" t="n">
        <f aca="false">(BH368)+AC369+AF369-AI369-AS369-K369*(1+Parametri_v3!$C$26)-AL369-AQ369-O369+AW369+AX369+AZ369+BA369-BB369</f>
        <v>25965.3702061404</v>
      </c>
      <c r="BE369" s="15" t="n">
        <f aca="false">MAX(0,MIN(MAX(0,CH369-(BG368)),Parametri_v3!$C$30-BD369))</f>
        <v>0</v>
      </c>
      <c r="BF369" s="15" t="n">
        <f aca="false">IF(Motore_Operativo!C369&gt;=Parametri_v3!$C$63,(BG368),MIN((BG368),MAX(0,BD369-Parametri_v3!$C$30)))</f>
        <v>0</v>
      </c>
      <c r="BG369" s="15" t="n">
        <f aca="false">(BG368)+BE369-BF369</f>
        <v>0</v>
      </c>
      <c r="BH369" s="15" t="n">
        <f aca="false">BD369+BE369-BF369-AY369</f>
        <v>25965.3702061404</v>
      </c>
      <c r="BI369" s="15" t="n">
        <f aca="false">MAX(0,Parametri_v3!$C$30-BH369)</f>
        <v>0</v>
      </c>
      <c r="BJ369" s="15" t="n">
        <f aca="false">(BJ368)+K369</f>
        <v>8333.33333333333</v>
      </c>
      <c r="BK369" s="15" t="n">
        <f aca="false">(BK368)+L369</f>
        <v>694.444444444445</v>
      </c>
      <c r="BL369" s="15" t="n">
        <f aca="false">BJ369-BK369</f>
        <v>7638.88888888889</v>
      </c>
      <c r="BM369" s="15" t="n">
        <f aca="false">(BM368)+Y369</f>
        <v>-93620.996588694</v>
      </c>
      <c r="BN369" s="15" t="n">
        <f aca="false">(BN368)+AW369+AX369+AZ369</f>
        <v>130000</v>
      </c>
      <c r="BO369" s="15" t="n">
        <f aca="false">(BO368)+AY369</f>
        <v>0</v>
      </c>
      <c r="BP369" s="15" t="n">
        <f aca="false">0</f>
        <v>0</v>
      </c>
      <c r="BQ369" s="15" t="n">
        <f aca="false">BN369+BM369-BO369</f>
        <v>36379.003411306</v>
      </c>
      <c r="BR369" s="15" t="n">
        <f aca="false">BH369+AD369+BL369+MAX(0,-AM369)+MAX(0,-AR369)+AG369</f>
        <v>64205.2996871345</v>
      </c>
      <c r="BS369" s="15" t="n">
        <f aca="false">AJ369+AV369+MAX(0,AM369)+MAX(0,AR369)+BC369+BG369+BQ369</f>
        <v>64205.2996871345</v>
      </c>
      <c r="BT369" s="15" t="n">
        <f aca="false">BR369-BS369</f>
        <v>0</v>
      </c>
      <c r="BU369" s="15" t="n">
        <f aca="false">BH369-(BD369+BE369-BF369-AY369)</f>
        <v>0</v>
      </c>
      <c r="BV369" s="15" t="n">
        <f aca="false">MIN(Piano_SS!$C$6,(BV368)+IF(AND(Motore_Operativo!C369&gt;=EDATE(Parametri_v3!$C$24,Ipotesi!I14*12),Motore_Operativo!C369&lt;EDATE(Parametri_v3!$C$24,Parametri_v3!$C$25+Ipotesi!I14*12)),MAX(0,(Motore_Operativo!Y369+Motore_Operativo!X369*Parametri_v3!$C$14)*(1-Parametri_v3!$C$32))*Piano_SS!$D$6,0))</f>
        <v>0</v>
      </c>
      <c r="BW369" s="15" t="n">
        <f aca="false">MIN(Piano_SS!$C$7,(BW368)+IF(AND(Motore_Operativo!C369&gt;=EDATE(Parametri_v3!$C$24,Ipotesi!I14*12),Motore_Operativo!C369&lt;EDATE(Parametri_v3!$C$24,Parametri_v3!$C$25+Ipotesi!I14*12)),MAX(0,(IF(5-(INT((Ipotesi!$C$91)/30))&lt;1,0,INDEX(Motore_Operativo!$BN$365:$BN$424,MAX(1,5-(INT((Ipotesi!$C$91)/30)))))*(1-(MOD((Ipotesi!$C$91),30)/30))+IF(5-(INT((Ipotesi!$C$91)/30))-1&lt;1,0,INDEX(Motore_Operativo!$BN$365:$BN$424,MAX(1,5-(INT((Ipotesi!$C$91)/30))-1)))*(MOD((Ipotesi!$C$91),30)/30)))*Piano_SS!$D$7,0))</f>
        <v>0</v>
      </c>
      <c r="BX369" s="15" t="n">
        <f aca="false">MIN(Piano_SS!$C$8,(BX368)+IF(AND(Motore_Operativo!C369&gt;=EDATE(Parametri_v3!$C$24,Ipotesi!I14*12),Motore_Operativo!C369&lt;EDATE(Parametri_v3!$C$24,Parametri_v3!$C$25+Ipotesi!I14*12)),MAX(0,Motore_Operativo!CE369)*Piano_SS!$D$8,0))</f>
        <v>0</v>
      </c>
      <c r="BY369" s="15" t="n">
        <f aca="false">MIN(Piano_SS!$C$9,(BY368)+IF(AND(Motore_Operativo!C369&gt;=EDATE(Parametri_v3!$C$24,Ipotesi!I14*12),Motore_Operativo!C369&lt;EDATE(Parametri_v3!$C$24,Parametri_v3!$C$25+Ipotesi!I14*12)),MAX(0,((IF(5-(INT((Ipotesi!$C$91)/30))&lt;1,0,INDEX(Motore_Operativo!$BQ$365:$BQ$424,MAX(1,5-(INT((Ipotesi!$C$91)/30)))))*(1-(MOD((Ipotesi!$C$91),30)/30))+IF(5-(INT((Ipotesi!$C$91)/30))-1&lt;1,0,INDEX(Motore_Operativo!$BQ$365:$BQ$424,MAX(1,5-(INT((Ipotesi!$C$91)/30))-1)))*(MOD((Ipotesi!$C$91),30)/30))+(IF(5-(INT((Ipotesi!$C$91)/30))&lt;1,0,INDEX(Motore_Operativo!$BR$365:$BR$424,MAX(1,5-(INT((Ipotesi!$C$91)/30)))))*(1-(MOD((Ipotesi!$C$91),30)/30))+IF(5-(INT((Ipotesi!$C$91)/30))-1&lt;1,0,INDEX(Motore_Operativo!$BR$365:$BR$424,MAX(1,5-(INT((Ipotesi!$C$91)/30))-1)))*(MOD((Ipotesi!$C$91),30)/30))))*Piano_SS!$D$9,0))</f>
        <v>0</v>
      </c>
      <c r="BZ369" s="15" t="n">
        <f aca="false">MIN(Piano_SS!$C$10,(BZ368)+IF(AND(Motore_Operativo!C369&gt;=EDATE(Parametri_v3!$C$24,Ipotesi!I14*12),Motore_Operativo!C369&lt;EDATE(Parametri_v3!$C$24,Parametri_v3!$C$25+Ipotesi!I14*12)),MAX(0,(IF(5-(INT((Ipotesi!$C$91)/30))&lt;1,0,INDEX(Motore_Operativo!$BO$365:$BO$424,MAX(1,5-(INT((Ipotesi!$C$91)/30)))))*(1-(MOD((Ipotesi!$C$91),30)/30))+IF(5-(INT((Ipotesi!$C$91)/30))-1&lt;1,0,INDEX(Motore_Operativo!$BO$365:$BO$424,MAX(1,5-(INT((Ipotesi!$C$91)/30))-1)))*(MOD((Ipotesi!$C$91),30)/30)))*Piano_SS!$D$10,0))</f>
        <v>0</v>
      </c>
      <c r="CA369" s="15" t="n">
        <f aca="false">SUM(BV369:BZ369)</f>
        <v>0</v>
      </c>
      <c r="CB369" s="15" t="n">
        <f aca="false">BV369*(1-Piano_SS!$E$6)+BW369*(1-Piano_SS!$E$7)+BX369*(1-Piano_SS!$E$8)+BY369*(1-Piano_SS!$E$9)+BZ369*(1-Piano_SS!$E$10)</f>
        <v>0</v>
      </c>
      <c r="CC369" s="15" t="n">
        <f aca="false">(CC368)+BA369</f>
        <v>0</v>
      </c>
      <c r="CD369" s="15" t="n">
        <f aca="false">IF(CA369=0,0,CC369*CB369/CA369*Ipotesi!$C$103*Parametri_v3!$C$64)</f>
        <v>0</v>
      </c>
      <c r="CE369" s="18" t="n">
        <f aca="false">IF(BA369&gt;0,Motore_Operativo!C369,(CE368))</f>
        <v>0</v>
      </c>
      <c r="CF369" s="18" t="n">
        <f aca="false">IF(AND(CC369&gt;0,OR(CC369&gt;=CG369-0.01,Motore_Operativo!C369&gt;=EDATE(MAX(Finanziamenti!$D$15:$D$17),Ipotesi!I14*12))),CE369,0)</f>
        <v>0</v>
      </c>
      <c r="CG369" s="15" t="n">
        <f aca="false">IF(AND(7&lt;&gt;6,7&lt;&gt;9,Finanziamenti!$F$11=1,OR(Parametri_v3!$C$6=0,Finanziamenti!$E$11=1)),MIN(Finanziamenti!$C$11,Piano_SS!$C$12*Ipotesi!$C$102),0)</f>
        <v>400000</v>
      </c>
      <c r="CH369" s="15" t="n">
        <f aca="false">IF(AND(AND(7&lt;&gt;8,7&lt;&gt;9,Finanziamenti!$F$10=1,OR(Parametri_v3!$C$6=0,Finanziamenti!$E$10=1)),Motore_Operativo!C369&gt;=Finanziamenti!$D$10,Motore_Operativo!C369&lt;Parametri_v3!$C$63),Finanziamenti!$C$10,0)</f>
        <v>150000</v>
      </c>
    </row>
    <row r="370" customFormat="false" ht="18" hidden="false" customHeight="true" outlineLevel="0" collapsed="false">
      <c r="A370" s="68" t="n">
        <f aca="false">7</f>
        <v>7</v>
      </c>
      <c r="B370" s="68" t="n">
        <f aca="false">6</f>
        <v>6</v>
      </c>
      <c r="C370" s="18" t="n">
        <f aca="false">Motore_Operativo!C370</f>
        <v>46539</v>
      </c>
      <c r="D370" s="68" t="n">
        <f aca="false">Motore_Operativo!D370</f>
        <v>2027</v>
      </c>
      <c r="E370" s="68" t="n">
        <f aca="false">Motore_Operativo!E370</f>
        <v>6</v>
      </c>
      <c r="F370" s="15" t="n">
        <f aca="false">Motore_Operativo!AQ370+Motore_Operativo!BF370</f>
        <v>7731.48148148148</v>
      </c>
      <c r="G370" s="15" t="n">
        <f aca="false">Motore_Operativo!BH370</f>
        <v>1621.05263157895</v>
      </c>
      <c r="H370" s="15" t="n">
        <f aca="false">Motore_Operativo!BI370</f>
        <v>9352.53411306043</v>
      </c>
      <c r="I370" s="15" t="n">
        <f aca="false">Motore_Operativo!CA370</f>
        <v>27770.6223196881</v>
      </c>
      <c r="J370" s="15" t="n">
        <f aca="false">Motore_Operativo!CC370</f>
        <v>-18418.0882066277</v>
      </c>
      <c r="K370" s="15" t="n">
        <f aca="false">Motore_Operativo!CE370</f>
        <v>1666.66666666667</v>
      </c>
      <c r="L370" s="15" t="n">
        <f aca="false">SUM(INDEX($K$365:$K$424,MAX(1,6-Parametri_v3!$C$59+1)):K370)/Parametri_v3!$C$59</f>
        <v>277.777777777778</v>
      </c>
      <c r="M370" s="15" t="n">
        <f aca="false">J370-L370</f>
        <v>-18695.8659844055</v>
      </c>
      <c r="N370" s="15" t="n">
        <f aca="false">CD370-(CD369)</f>
        <v>0</v>
      </c>
      <c r="O370" s="15" t="n">
        <f aca="false">(BG369)*Ipotesi!$C$110/12+CH370*Parametri_v3!$C$39/12</f>
        <v>0</v>
      </c>
      <c r="P370" s="15" t="n">
        <f aca="false">M370+N370-O370</f>
        <v>-18695.8659844055</v>
      </c>
      <c r="Q370" s="15" t="n">
        <f aca="false">SUM(P365:P370)+Parametri_v3!$C$54*6/12</f>
        <v>-112316.862573099</v>
      </c>
      <c r="R370" s="15" t="n">
        <f aca="false">0</f>
        <v>0</v>
      </c>
      <c r="S370" s="15" t="n">
        <f aca="false">0</f>
        <v>0</v>
      </c>
      <c r="T370" s="15" t="n">
        <f aca="false">MIN(R370,MAX(0,Q370))</f>
        <v>0</v>
      </c>
      <c r="U370" s="15" t="n">
        <f aca="false">MIN(S370,MAX(0,Q370-T370)*Parametri_v3!$C$42)</f>
        <v>0</v>
      </c>
      <c r="V370" s="15" t="n">
        <f aca="false">MAX(0,Q370-T370-U370)*Ipotesi!$C$92</f>
        <v>0</v>
      </c>
      <c r="W370" s="15" t="n">
        <f aca="false">MAX(0,SUM(M365:M370)+Parametri_v3!$C$55*6/12)*Ipotesi!$C$93</f>
        <v>0</v>
      </c>
      <c r="X370" s="15" t="n">
        <f aca="false">V370+W370-(V369+W369)</f>
        <v>0</v>
      </c>
      <c r="Y370" s="15" t="n">
        <f aca="false">P370-X370</f>
        <v>-18695.8659844055</v>
      </c>
      <c r="Z370" s="15" t="n">
        <f aca="false">R370-T370+IF(AND(Parametri_v3!$C$40=1,D370-YEAR(Parametri_v3!$C$50)&lt;Parametri_v3!$C$41),MAX(0,-Q370),0)</f>
        <v>112316.862573099</v>
      </c>
      <c r="AA370" s="15" t="n">
        <f aca="false">S370-U370+IF(AND(Parametri_v3!$C$40=1,D370-YEAR(Parametri_v3!$C$50)&lt;Parametri_v3!$C$41),0,MAX(0,-Q370))</f>
        <v>0</v>
      </c>
      <c r="AB370" s="15" t="n">
        <f aca="false">F370*(1+Parametri_v3!$C$26)</f>
        <v>9432.40740740741</v>
      </c>
      <c r="AC370" s="15" t="n">
        <f aca="false">(IF(6-(INT((Motore_Operativo!L370)/30))&lt;1,0,INDEX(Motore_Startup!$AB$365:$AB$424,MAX(1,6-(INT((Motore_Operativo!L370)/30)))))*(1-(MOD((Motore_Operativo!L370),30)/30))+IF(6-(INT((Motore_Operativo!L370)/30))-1&lt;1,0,INDEX(Motore_Startup!$AB$365:$AB$424,MAX(1,6-(INT((Motore_Operativo!L370)/30))-1)))*(MOD((Motore_Operativo!L370),30)/30))</f>
        <v>9150</v>
      </c>
      <c r="AD370" s="15" t="n">
        <f aca="false">(AD369)+AB370-AC370</f>
        <v>27958.3333333333</v>
      </c>
      <c r="AE370" s="15" t="n">
        <f aca="false">Motore_Operativo!BH370*(1+Parametri_v3!$C$26)</f>
        <v>1977.68421052632</v>
      </c>
      <c r="AF370" s="15" t="n">
        <f aca="false">(IF(6-(INT((Parametri_v3!$C$29)/30))&lt;1,0,INDEX(Motore_Operativo!$BH$365:$BH$424,MAX(1,6-(INT((Parametri_v3!$C$29)/30)))))*(1-(MOD((Parametri_v3!$C$29),30)/30))+IF(6-(INT((Parametri_v3!$C$29)/30))-1&lt;1,0,INDEX(Motore_Operativo!$BH$365:$BH$424,MAX(1,6-(INT((Parametri_v3!$C$29)/30))-1)))*(MOD((Parametri_v3!$C$29),30)/30))*(1+Parametri_v3!$C$26)</f>
        <v>1977.68421052632</v>
      </c>
      <c r="AG370" s="15" t="n">
        <f aca="false">(AG369)+AE370-AF370</f>
        <v>1977.68421052632</v>
      </c>
      <c r="AH370" s="15" t="n">
        <f aca="false">(Motore_Operativo!CJ370)*(1+Parametri_v3!$C$27*Parametri_v3!$C$26)</f>
        <v>11696.6453601365</v>
      </c>
      <c r="AI370" s="15" t="n">
        <f aca="false">(IF(6-(INT((Ipotesi!$C$91)/30))&lt;1,0,INDEX(Motore_Startup!$AH$365:$AH$424,MAX(1,6-(INT((Ipotesi!$C$91)/30)))))*(1-(MOD((Ipotesi!$C$91),30)/30))+IF(6-(INT((Ipotesi!$C$91)/30))-1&lt;1,0,INDEX(Motore_Startup!$AH$365:$AH$424,MAX(1,6-(INT((Ipotesi!$C$91)/30))-1)))*(MOD((Ipotesi!$C$91),30)/30))</f>
        <v>11665.8712860624</v>
      </c>
      <c r="AJ370" s="15" t="n">
        <f aca="false">(AJ369)+AH370-AI370</f>
        <v>23377.9036832359</v>
      </c>
      <c r="AK370" s="15" t="n">
        <f aca="false">(F370+ Motore_Operativo!BH370-(Motore_Operativo!CJ370)*Parametri_v3!$C$27-Motore_Operativo!CE370)*Parametri_v3!$C$26</f>
        <v>-151.798868908381</v>
      </c>
      <c r="AL370" s="15" t="n">
        <f aca="false">MAX(0,(AM369))</f>
        <v>0</v>
      </c>
      <c r="AM370" s="15" t="n">
        <f aca="false">(AM369)+AK370-AL370</f>
        <v>-1099.2293245614</v>
      </c>
      <c r="AN370" s="15" t="n">
        <f aca="false">0</f>
        <v>0</v>
      </c>
      <c r="AO370" s="15" t="n">
        <f aca="false">0</f>
        <v>0</v>
      </c>
      <c r="AP370" s="15" t="n">
        <f aca="false">MAX(0,AN370)*IF(6=Parametri_v3!$C$43,Parametri_v3!$C$45,IF(6=Parametri_v3!$C$44,1-Parametri_v3!$C$45,0))</f>
        <v>0</v>
      </c>
      <c r="AQ370" s="15" t="n">
        <f aca="false">MAX(0,AP370+IF(6=Parametri_v3!$C$43,MAX(0,AN370-AO370),0)-MAX(0,-(AR369)))</f>
        <v>0</v>
      </c>
      <c r="AR370" s="15" t="n">
        <f aca="false">(AR369)+X370-AQ370</f>
        <v>0</v>
      </c>
      <c r="AS370" s="15" t="n">
        <f aca="false">Motore_Operativo!AB370-AT370+AU370</f>
        <v>17020.8333333333</v>
      </c>
      <c r="AT370" s="15" t="n">
        <f aca="false">Motore_Operativo!CH370</f>
        <v>895.833333333334</v>
      </c>
      <c r="AU370" s="15" t="n">
        <f aca="false">MIN(MAX(0,(AV369)+AT370),Parametri_v3!$C$60/12)</f>
        <v>0</v>
      </c>
      <c r="AV370" s="15" t="n">
        <f aca="false">(AV369)+AT370-AU370</f>
        <v>5375</v>
      </c>
      <c r="AW370" s="15" t="n">
        <f aca="false">IF(AND(Motore_Operativo!C370=Finanziamenti!$D$6,Finanziamenti!$F$6=1),Finanziamenti!$C$6,0)</f>
        <v>0</v>
      </c>
      <c r="AX370" s="15" t="n">
        <f aca="false">IF(AND(7&lt;&gt;7,7&lt;&gt;9,Finanziamenti!$F$8=1,OR(Parametri_v3!$C$6=0,Finanziamenti!$E$8=1),Motore_Operativo!C370=EDATE(Finanziamenti!$D$8,Ipotesi!I15*12)),Finanziamenti!$C$8*1,0)+IF(AND(7&lt;&gt;7,7&lt;&gt;9,Finanziamenti!$F$9=1,OR(Parametri_v3!$C$6=0,Finanziamenti!$E$9=1),Motore_Operativo!C370=EDATE(Finanziamenti!$D$9,Ipotesi!I15*12)),Finanziamenti!$C$9*Ipotesi!I16,0)</f>
        <v>0</v>
      </c>
      <c r="AY370" s="15" t="n">
        <f aca="false">0</f>
        <v>0</v>
      </c>
      <c r="AZ370" s="15" t="n">
        <f aca="false">Motore_Advisory!AY370*(1-Ipotesi!$C$95)*Ipotesi!$C$96</f>
        <v>0</v>
      </c>
      <c r="BA370" s="15" t="n">
        <f aca="false">MAX(0,MIN(CG370*MIN(1,IF(Motore_Operativo!C370&gt;=EDATE(Finanziamenti!$D$15,Ipotesi!I14*12),Finanziamenti!$C$15,0)+IF(Motore_Operativo!C370&gt;=EDATE(Finanziamenti!$D$16,Ipotesi!I14*12),Finanziamenti!$C$16,0)+IF(Motore_Operativo!C370&gt;=EDATE(Finanziamenti!$D$17,Ipotesi!I14*12),Finanziamenti!$C$17,0)),CA370*Ipotesi!$C$102)-(CC369))</f>
        <v>0</v>
      </c>
      <c r="BB370" s="15" t="n">
        <f aca="false">IF(AND(CF370&gt;0,Motore_Operativo!C370&gt;=IF(CF370=0,0,EDATE(CF370,Parametri_v3!$C$37)),MOD(((D370-YEAR(IF(CF370=0,0,EDATE(CF370,Parametri_v3!$C$37))))*12+E370-MONTH(IF(CF370=0,0,EDATE(CF370,Parametri_v3!$C$37)))),Parametri_v3!$C$38)=0),MIN(MAX(0,(BC369)+BA370-N370),(CC370-CD370)/(Ipotesi!$C$108*12/Parametri_v3!$C$38)),0)</f>
        <v>0</v>
      </c>
      <c r="BC370" s="15" t="n">
        <f aca="false">(BC369)+BA370-N370-BB370</f>
        <v>0</v>
      </c>
      <c r="BD370" s="15" t="n">
        <f aca="false">(BH369)+AC370+AF370-AI370-AS370-K370*(1+Parametri_v3!$C$26)-AL370-AQ370-O370+AW370+AX370+AZ370+BA370-BB370</f>
        <v>6373.01646393763</v>
      </c>
      <c r="BE370" s="15" t="n">
        <f aca="false">MAX(0,MIN(MAX(0,CH370-(BG369)),Parametri_v3!$C$30-BD370))</f>
        <v>18626.9835360624</v>
      </c>
      <c r="BF370" s="15" t="n">
        <f aca="false">IF(Motore_Operativo!C370&gt;=Parametri_v3!$C$63,(BG369),MIN((BG369),MAX(0,BD370-Parametri_v3!$C$30)))</f>
        <v>0</v>
      </c>
      <c r="BG370" s="15" t="n">
        <f aca="false">(BG369)+BE370-BF370</f>
        <v>18626.9835360624</v>
      </c>
      <c r="BH370" s="15" t="n">
        <f aca="false">BD370+BE370-BF370-AY370</f>
        <v>25000</v>
      </c>
      <c r="BI370" s="15" t="n">
        <f aca="false">MAX(0,Parametri_v3!$C$30-BH370)</f>
        <v>0</v>
      </c>
      <c r="BJ370" s="15" t="n">
        <f aca="false">(BJ369)+K370</f>
        <v>10000</v>
      </c>
      <c r="BK370" s="15" t="n">
        <f aca="false">(BK369)+L370</f>
        <v>972.222222222222</v>
      </c>
      <c r="BL370" s="15" t="n">
        <f aca="false">BJ370-BK370</f>
        <v>9027.77777777778</v>
      </c>
      <c r="BM370" s="15" t="n">
        <f aca="false">(BM369)+Y370</f>
        <v>-112316.862573099</v>
      </c>
      <c r="BN370" s="15" t="n">
        <f aca="false">(BN369)+AW370+AX370+AZ370</f>
        <v>130000</v>
      </c>
      <c r="BO370" s="15" t="n">
        <f aca="false">(BO369)+AY370</f>
        <v>0</v>
      </c>
      <c r="BP370" s="15" t="n">
        <f aca="false">0</f>
        <v>0</v>
      </c>
      <c r="BQ370" s="15" t="n">
        <f aca="false">BN370+BM370-BO370</f>
        <v>17683.1374269006</v>
      </c>
      <c r="BR370" s="15" t="n">
        <f aca="false">BH370+AD370+BL370+MAX(0,-AM370)+MAX(0,-AR370)+AG370</f>
        <v>65063.0246461988</v>
      </c>
      <c r="BS370" s="15" t="n">
        <f aca="false">AJ370+AV370+MAX(0,AM370)+MAX(0,AR370)+BC370+BG370+BQ370</f>
        <v>65063.0246461988</v>
      </c>
      <c r="BT370" s="15" t="n">
        <f aca="false">BR370-BS370</f>
        <v>0</v>
      </c>
      <c r="BU370" s="15" t="n">
        <f aca="false">BH370-(BD370+BE370-BF370-AY370)</f>
        <v>0</v>
      </c>
      <c r="BV370" s="15" t="n">
        <f aca="false">MIN(Piano_SS!$C$6,(BV369)+IF(AND(Motore_Operativo!C370&gt;=EDATE(Parametri_v3!$C$24,Ipotesi!I14*12),Motore_Operativo!C370&lt;EDATE(Parametri_v3!$C$24,Parametri_v3!$C$25+Ipotesi!I14*12)),MAX(0,(Motore_Operativo!Y370+Motore_Operativo!X370*Parametri_v3!$C$14)*(1-Parametri_v3!$C$32))*Piano_SS!$D$6,0))</f>
        <v>0</v>
      </c>
      <c r="BW370" s="15" t="n">
        <f aca="false">MIN(Piano_SS!$C$7,(BW369)+IF(AND(Motore_Operativo!C370&gt;=EDATE(Parametri_v3!$C$24,Ipotesi!I14*12),Motore_Operativo!C370&lt;EDATE(Parametri_v3!$C$24,Parametri_v3!$C$25+Ipotesi!I14*12)),MAX(0,(IF(6-(INT((Ipotesi!$C$91)/30))&lt;1,0,INDEX(Motore_Operativo!$BN$365:$BN$424,MAX(1,6-(INT((Ipotesi!$C$91)/30)))))*(1-(MOD((Ipotesi!$C$91),30)/30))+IF(6-(INT((Ipotesi!$C$91)/30))-1&lt;1,0,INDEX(Motore_Operativo!$BN$365:$BN$424,MAX(1,6-(INT((Ipotesi!$C$91)/30))-1)))*(MOD((Ipotesi!$C$91),30)/30)))*Piano_SS!$D$7,0))</f>
        <v>0</v>
      </c>
      <c r="BX370" s="15" t="n">
        <f aca="false">MIN(Piano_SS!$C$8,(BX369)+IF(AND(Motore_Operativo!C370&gt;=EDATE(Parametri_v3!$C$24,Ipotesi!I14*12),Motore_Operativo!C370&lt;EDATE(Parametri_v3!$C$24,Parametri_v3!$C$25+Ipotesi!I14*12)),MAX(0,Motore_Operativo!CE370)*Piano_SS!$D$8,0))</f>
        <v>0</v>
      </c>
      <c r="BY370" s="15" t="n">
        <f aca="false">MIN(Piano_SS!$C$9,(BY369)+IF(AND(Motore_Operativo!C370&gt;=EDATE(Parametri_v3!$C$24,Ipotesi!I14*12),Motore_Operativo!C370&lt;EDATE(Parametri_v3!$C$24,Parametri_v3!$C$25+Ipotesi!I14*12)),MAX(0,((IF(6-(INT((Ipotesi!$C$91)/30))&lt;1,0,INDEX(Motore_Operativo!$BQ$365:$BQ$424,MAX(1,6-(INT((Ipotesi!$C$91)/30)))))*(1-(MOD((Ipotesi!$C$91),30)/30))+IF(6-(INT((Ipotesi!$C$91)/30))-1&lt;1,0,INDEX(Motore_Operativo!$BQ$365:$BQ$424,MAX(1,6-(INT((Ipotesi!$C$91)/30))-1)))*(MOD((Ipotesi!$C$91),30)/30))+(IF(6-(INT((Ipotesi!$C$91)/30))&lt;1,0,INDEX(Motore_Operativo!$BR$365:$BR$424,MAX(1,6-(INT((Ipotesi!$C$91)/30)))))*(1-(MOD((Ipotesi!$C$91),30)/30))+IF(6-(INT((Ipotesi!$C$91)/30))-1&lt;1,0,INDEX(Motore_Operativo!$BR$365:$BR$424,MAX(1,6-(INT((Ipotesi!$C$91)/30))-1)))*(MOD((Ipotesi!$C$91),30)/30))))*Piano_SS!$D$9,0))</f>
        <v>0</v>
      </c>
      <c r="BZ370" s="15" t="n">
        <f aca="false">MIN(Piano_SS!$C$10,(BZ369)+IF(AND(Motore_Operativo!C370&gt;=EDATE(Parametri_v3!$C$24,Ipotesi!I14*12),Motore_Operativo!C370&lt;EDATE(Parametri_v3!$C$24,Parametri_v3!$C$25+Ipotesi!I14*12)),MAX(0,(IF(6-(INT((Ipotesi!$C$91)/30))&lt;1,0,INDEX(Motore_Operativo!$BO$365:$BO$424,MAX(1,6-(INT((Ipotesi!$C$91)/30)))))*(1-(MOD((Ipotesi!$C$91),30)/30))+IF(6-(INT((Ipotesi!$C$91)/30))-1&lt;1,0,INDEX(Motore_Operativo!$BO$365:$BO$424,MAX(1,6-(INT((Ipotesi!$C$91)/30))-1)))*(MOD((Ipotesi!$C$91),30)/30)))*Piano_SS!$D$10,0))</f>
        <v>0</v>
      </c>
      <c r="CA370" s="15" t="n">
        <f aca="false">SUM(BV370:BZ370)</f>
        <v>0</v>
      </c>
      <c r="CB370" s="15" t="n">
        <f aca="false">BV370*(1-Piano_SS!$E$6)+BW370*(1-Piano_SS!$E$7)+BX370*(1-Piano_SS!$E$8)+BY370*(1-Piano_SS!$E$9)+BZ370*(1-Piano_SS!$E$10)</f>
        <v>0</v>
      </c>
      <c r="CC370" s="15" t="n">
        <f aca="false">(CC369)+BA370</f>
        <v>0</v>
      </c>
      <c r="CD370" s="15" t="n">
        <f aca="false">IF(CA370=0,0,CC370*CB370/CA370*Ipotesi!$C$103*Parametri_v3!$C$64)</f>
        <v>0</v>
      </c>
      <c r="CE370" s="18" t="n">
        <f aca="false">IF(BA370&gt;0,Motore_Operativo!C370,(CE369))</f>
        <v>0</v>
      </c>
      <c r="CF370" s="18" t="n">
        <f aca="false">IF(AND(CC370&gt;0,OR(CC370&gt;=CG370-0.01,Motore_Operativo!C370&gt;=EDATE(MAX(Finanziamenti!$D$15:$D$17),Ipotesi!I14*12))),CE370,0)</f>
        <v>0</v>
      </c>
      <c r="CG370" s="15" t="n">
        <f aca="false">IF(AND(7&lt;&gt;6,7&lt;&gt;9,Finanziamenti!$F$11=1,OR(Parametri_v3!$C$6=0,Finanziamenti!$E$11=1)),MIN(Finanziamenti!$C$11,Piano_SS!$C$12*Ipotesi!$C$102),0)</f>
        <v>400000</v>
      </c>
      <c r="CH370" s="15" t="n">
        <f aca="false">IF(AND(AND(7&lt;&gt;8,7&lt;&gt;9,Finanziamenti!$F$10=1,OR(Parametri_v3!$C$6=0,Finanziamenti!$E$10=1)),Motore_Operativo!C370&gt;=Finanziamenti!$D$10,Motore_Operativo!C370&lt;Parametri_v3!$C$63),Finanziamenti!$C$10,0)</f>
        <v>150000</v>
      </c>
    </row>
    <row r="371" customFormat="false" ht="18" hidden="false" customHeight="true" outlineLevel="0" collapsed="false">
      <c r="A371" s="68" t="n">
        <f aca="false">7</f>
        <v>7</v>
      </c>
      <c r="B371" s="68" t="n">
        <f aca="false">7</f>
        <v>7</v>
      </c>
      <c r="C371" s="18" t="n">
        <f aca="false">Motore_Operativo!C371</f>
        <v>46569</v>
      </c>
      <c r="D371" s="68" t="n">
        <f aca="false">Motore_Operativo!D371</f>
        <v>2027</v>
      </c>
      <c r="E371" s="68" t="n">
        <f aca="false">Motore_Operativo!E371</f>
        <v>7</v>
      </c>
      <c r="F371" s="15" t="n">
        <f aca="false">Motore_Operativo!AQ371+Motore_Operativo!BF371</f>
        <v>7824.07407407408</v>
      </c>
      <c r="G371" s="15" t="n">
        <f aca="false">Motore_Operativo!BH371</f>
        <v>1621.05263157895</v>
      </c>
      <c r="H371" s="15" t="n">
        <f aca="false">Motore_Operativo!BI371</f>
        <v>9445.12670565302</v>
      </c>
      <c r="I371" s="15" t="n">
        <f aca="false">Motore_Operativo!CA371</f>
        <v>27783.5852826511</v>
      </c>
      <c r="J371" s="15" t="n">
        <f aca="false">Motore_Operativo!CC371</f>
        <v>-18338.458576998</v>
      </c>
      <c r="K371" s="15" t="n">
        <f aca="false">Motore_Operativo!CE371</f>
        <v>1666.66666666667</v>
      </c>
      <c r="L371" s="15" t="n">
        <f aca="false">SUM(INDEX($K$365:$K$424,MAX(1,7-Parametri_v3!$C$59+1)):K371)/Parametri_v3!$C$59</f>
        <v>324.074074074074</v>
      </c>
      <c r="M371" s="15" t="n">
        <f aca="false">J371-L371</f>
        <v>-18662.5326510721</v>
      </c>
      <c r="N371" s="15" t="n">
        <f aca="false">CD371-(CD370)</f>
        <v>0</v>
      </c>
      <c r="O371" s="15" t="n">
        <f aca="false">(BG370)*Ipotesi!$C$110/12+CH371*Parametri_v3!$C$39/12</f>
        <v>93.1349176803119</v>
      </c>
      <c r="P371" s="15" t="n">
        <f aca="false">M371+N371-O371</f>
        <v>-18755.6675687524</v>
      </c>
      <c r="Q371" s="15" t="n">
        <f aca="false">SUM(P365:P371)+Parametri_v3!$C$54*7/12</f>
        <v>-131072.530141852</v>
      </c>
      <c r="R371" s="15" t="n">
        <f aca="false">0</f>
        <v>0</v>
      </c>
      <c r="S371" s="15" t="n">
        <f aca="false">0</f>
        <v>0</v>
      </c>
      <c r="T371" s="15" t="n">
        <f aca="false">MIN(R371,MAX(0,Q371))</f>
        <v>0</v>
      </c>
      <c r="U371" s="15" t="n">
        <f aca="false">MIN(S371,MAX(0,Q371-T371)*Parametri_v3!$C$42)</f>
        <v>0</v>
      </c>
      <c r="V371" s="15" t="n">
        <f aca="false">MAX(0,Q371-T371-U371)*Ipotesi!$C$92</f>
        <v>0</v>
      </c>
      <c r="W371" s="15" t="n">
        <f aca="false">MAX(0,SUM(M365:M371)+Parametri_v3!$C$55*7/12)*Ipotesi!$C$93</f>
        <v>0</v>
      </c>
      <c r="X371" s="15" t="n">
        <f aca="false">V371+W371-(V370+W370)</f>
        <v>0</v>
      </c>
      <c r="Y371" s="15" t="n">
        <f aca="false">P371-X371</f>
        <v>-18755.6675687524</v>
      </c>
      <c r="Z371" s="15" t="n">
        <f aca="false">R371-T371+IF(AND(Parametri_v3!$C$40=1,D371-YEAR(Parametri_v3!$C$50)&lt;Parametri_v3!$C$41),MAX(0,-Q371),0)</f>
        <v>131072.530141852</v>
      </c>
      <c r="AA371" s="15" t="n">
        <f aca="false">S371-U371+IF(AND(Parametri_v3!$C$40=1,D371-YEAR(Parametri_v3!$C$50)&lt;Parametri_v3!$C$41),0,MAX(0,-Q371))</f>
        <v>0</v>
      </c>
      <c r="AB371" s="15" t="n">
        <f aca="false">F371*(1+Parametri_v3!$C$26)</f>
        <v>9545.37037037037</v>
      </c>
      <c r="AC371" s="15" t="n">
        <f aca="false">(IF(7-(INT((Motore_Operativo!L371)/30))&lt;1,0,INDEX(Motore_Startup!$AB$365:$AB$424,MAX(1,7-(INT((Motore_Operativo!L371)/30)))))*(1-(MOD((Motore_Operativo!L371),30)/30))+IF(7-(INT((Motore_Operativo!L371)/30))-1&lt;1,0,INDEX(Motore_Startup!$AB$365:$AB$424,MAX(1,7-(INT((Motore_Operativo!L371)/30))-1)))*(MOD((Motore_Operativo!L371),30)/30))</f>
        <v>9206.48148148148</v>
      </c>
      <c r="AD371" s="15" t="n">
        <f aca="false">(AD370)+AB371-AC371</f>
        <v>28297.2222222222</v>
      </c>
      <c r="AE371" s="15" t="n">
        <f aca="false">Motore_Operativo!BH371*(1+Parametri_v3!$C$26)</f>
        <v>1977.68421052632</v>
      </c>
      <c r="AF371" s="15" t="n">
        <f aca="false">(IF(7-(INT((Parametri_v3!$C$29)/30))&lt;1,0,INDEX(Motore_Operativo!$BH$365:$BH$424,MAX(1,7-(INT((Parametri_v3!$C$29)/30)))))*(1-(MOD((Parametri_v3!$C$29),30)/30))+IF(7-(INT((Parametri_v3!$C$29)/30))-1&lt;1,0,INDEX(Motore_Operativo!$BH$365:$BH$424,MAX(1,7-(INT((Parametri_v3!$C$29)/30))-1)))*(MOD((Parametri_v3!$C$29),30)/30))*(1+Parametri_v3!$C$26)</f>
        <v>1977.68421052632</v>
      </c>
      <c r="AG371" s="15" t="n">
        <f aca="false">(AG370)+AE371-AF371</f>
        <v>1977.68421052632</v>
      </c>
      <c r="AH371" s="15" t="n">
        <f aca="false">(Motore_Operativo!CJ371)*(1+Parametri_v3!$C$27*Parametri_v3!$C$26)</f>
        <v>11712.0323971735</v>
      </c>
      <c r="AI371" s="15" t="n">
        <f aca="false">(IF(7-(INT((Ipotesi!$C$91)/30))&lt;1,0,INDEX(Motore_Startup!$AH$365:$AH$424,MAX(1,7-(INT((Ipotesi!$C$91)/30)))))*(1-(MOD((Ipotesi!$C$91),30)/30))+IF(7-(INT((Ipotesi!$C$91)/30))-1&lt;1,0,INDEX(Motore_Startup!$AH$365:$AH$424,MAX(1,7-(INT((Ipotesi!$C$91)/30))-1)))*(MOD((Ipotesi!$C$91),30)/30))</f>
        <v>11681.2583230994</v>
      </c>
      <c r="AJ371" s="15" t="n">
        <f aca="false">(AJ370)+AH371-AI371</f>
        <v>23408.6777573099</v>
      </c>
      <c r="AK371" s="15" t="n">
        <f aca="false">(F371+ Motore_Operativo!BH371-(Motore_Operativo!CJ371)*Parametri_v3!$C$27-Motore_Operativo!CE371)*Parametri_v3!$C$26</f>
        <v>-133.852572612085</v>
      </c>
      <c r="AL371" s="15" t="n">
        <f aca="false">MAX(0,(AM370))</f>
        <v>0</v>
      </c>
      <c r="AM371" s="15" t="n">
        <f aca="false">(AM370)+AK371-AL371</f>
        <v>-1233.08189717349</v>
      </c>
      <c r="AN371" s="15" t="n">
        <f aca="false">0</f>
        <v>0</v>
      </c>
      <c r="AO371" s="15" t="n">
        <f aca="false">0</f>
        <v>0</v>
      </c>
      <c r="AP371" s="15" t="n">
        <f aca="false">MAX(0,AN371)*IF(7=Parametri_v3!$C$43,Parametri_v3!$C$45,IF(7=Parametri_v3!$C$44,1-Parametri_v3!$C$45,0))</f>
        <v>0</v>
      </c>
      <c r="AQ371" s="15" t="n">
        <f aca="false">MAX(0,AP371+IF(7=Parametri_v3!$C$43,MAX(0,AN371-AO371),0)-MAX(0,-(AR370)))</f>
        <v>0</v>
      </c>
      <c r="AR371" s="15" t="n">
        <f aca="false">(AR370)+X371-AQ371</f>
        <v>0</v>
      </c>
      <c r="AS371" s="15" t="n">
        <f aca="false">Motore_Operativo!AB371-AT371+AU371</f>
        <v>17020.8333333333</v>
      </c>
      <c r="AT371" s="15" t="n">
        <f aca="false">Motore_Operativo!CH371</f>
        <v>895.833333333334</v>
      </c>
      <c r="AU371" s="15" t="n">
        <f aca="false">MIN(MAX(0,(AV370)+AT371),Parametri_v3!$C$60/12)</f>
        <v>0</v>
      </c>
      <c r="AV371" s="15" t="n">
        <f aca="false">(AV370)+AT371-AU371</f>
        <v>6270.83333333334</v>
      </c>
      <c r="AW371" s="15" t="n">
        <f aca="false">IF(AND(Motore_Operativo!C371=Finanziamenti!$D$6,Finanziamenti!$F$6=1),Finanziamenti!$C$6,0)</f>
        <v>0</v>
      </c>
      <c r="AX371" s="15" t="n">
        <f aca="false">IF(AND(7&lt;&gt;7,7&lt;&gt;9,Finanziamenti!$F$8=1,OR(Parametri_v3!$C$6=0,Finanziamenti!$E$8=1),Motore_Operativo!C371=EDATE(Finanziamenti!$D$8,Ipotesi!I15*12)),Finanziamenti!$C$8*1,0)+IF(AND(7&lt;&gt;7,7&lt;&gt;9,Finanziamenti!$F$9=1,OR(Parametri_v3!$C$6=0,Finanziamenti!$E$9=1),Motore_Operativo!C371=EDATE(Finanziamenti!$D$9,Ipotesi!I15*12)),Finanziamenti!$C$9*Ipotesi!I16,0)</f>
        <v>0</v>
      </c>
      <c r="AY371" s="15" t="n">
        <f aca="false">0</f>
        <v>0</v>
      </c>
      <c r="AZ371" s="15" t="n">
        <f aca="false">Motore_Advisory!AY371*(1-Ipotesi!$C$95)*Ipotesi!$C$96</f>
        <v>0</v>
      </c>
      <c r="BA371" s="15" t="n">
        <f aca="false">MAX(0,MIN(CG371*MIN(1,IF(Motore_Operativo!C371&gt;=EDATE(Finanziamenti!$D$15,Ipotesi!I14*12),Finanziamenti!$C$15,0)+IF(Motore_Operativo!C371&gt;=EDATE(Finanziamenti!$D$16,Ipotesi!I14*12),Finanziamenti!$C$16,0)+IF(Motore_Operativo!C371&gt;=EDATE(Finanziamenti!$D$17,Ipotesi!I14*12),Finanziamenti!$C$17,0)),CA371*Ipotesi!$C$102)-(CC370))</f>
        <v>0</v>
      </c>
      <c r="BB371" s="15" t="n">
        <f aca="false">IF(AND(CF371&gt;0,Motore_Operativo!C371&gt;=IF(CF371=0,0,EDATE(CF371,Parametri_v3!$C$37)),MOD(((D371-YEAR(IF(CF371=0,0,EDATE(CF371,Parametri_v3!$C$37))))*12+E371-MONTH(IF(CF371=0,0,EDATE(CF371,Parametri_v3!$C$37)))),Parametri_v3!$C$38)=0),MIN(MAX(0,(BC370)+BA371-N371),(CC371-CD371)/(Ipotesi!$C$108*12/Parametri_v3!$C$38)),0)</f>
        <v>0</v>
      </c>
      <c r="BC371" s="15" t="n">
        <f aca="false">(BC370)+BA371-N371-BB371</f>
        <v>0</v>
      </c>
      <c r="BD371" s="15" t="n">
        <f aca="false">(BH370)+AC371+AF371-AI371-AS371-K371*(1+Parametri_v3!$C$26)-AL371-AQ371-O371+AW371+AX371+AZ371+BA371-BB371</f>
        <v>5355.6057845614</v>
      </c>
      <c r="BE371" s="15" t="n">
        <f aca="false">MAX(0,MIN(MAX(0,CH371-(BG370)),Parametri_v3!$C$30-BD371))</f>
        <v>19644.3942154386</v>
      </c>
      <c r="BF371" s="15" t="n">
        <f aca="false">IF(Motore_Operativo!C371&gt;=Parametri_v3!$C$63,(BG370),MIN((BG370),MAX(0,BD371-Parametri_v3!$C$30)))</f>
        <v>0</v>
      </c>
      <c r="BG371" s="15" t="n">
        <f aca="false">(BG370)+BE371-BF371</f>
        <v>38271.377751501</v>
      </c>
      <c r="BH371" s="15" t="n">
        <f aca="false">BD371+BE371-BF371-AY371</f>
        <v>25000</v>
      </c>
      <c r="BI371" s="15" t="n">
        <f aca="false">MAX(0,Parametri_v3!$C$30-BH371)</f>
        <v>0</v>
      </c>
      <c r="BJ371" s="15" t="n">
        <f aca="false">(BJ370)+K371</f>
        <v>11666.6666666667</v>
      </c>
      <c r="BK371" s="15" t="n">
        <f aca="false">(BK370)+L371</f>
        <v>1296.2962962963</v>
      </c>
      <c r="BL371" s="15" t="n">
        <f aca="false">BJ371-BK371</f>
        <v>10370.3703703704</v>
      </c>
      <c r="BM371" s="15" t="n">
        <f aca="false">(BM370)+Y371</f>
        <v>-131072.530141852</v>
      </c>
      <c r="BN371" s="15" t="n">
        <f aca="false">(BN370)+AW371+AX371+AZ371</f>
        <v>130000</v>
      </c>
      <c r="BO371" s="15" t="n">
        <f aca="false">(BO370)+AY371</f>
        <v>0</v>
      </c>
      <c r="BP371" s="15" t="n">
        <f aca="false">0</f>
        <v>0</v>
      </c>
      <c r="BQ371" s="15" t="n">
        <f aca="false">BN371+BM371-BO371</f>
        <v>-1072.53014185184</v>
      </c>
      <c r="BR371" s="15" t="n">
        <f aca="false">BH371+AD371+BL371+MAX(0,-AM371)+MAX(0,-AR371)+AG371</f>
        <v>66878.3587002924</v>
      </c>
      <c r="BS371" s="15" t="n">
        <f aca="false">AJ371+AV371+MAX(0,AM371)+MAX(0,AR371)+BC371+BG371+BQ371</f>
        <v>66878.3587002924</v>
      </c>
      <c r="BT371" s="15" t="n">
        <f aca="false">BR371-BS371</f>
        <v>0</v>
      </c>
      <c r="BU371" s="15" t="n">
        <f aca="false">BH371-(BD371+BE371-BF371-AY371)</f>
        <v>0</v>
      </c>
      <c r="BV371" s="15" t="n">
        <f aca="false">MIN(Piano_SS!$C$6,(BV370)+IF(AND(Motore_Operativo!C371&gt;=EDATE(Parametri_v3!$C$24,Ipotesi!I14*12),Motore_Operativo!C371&lt;EDATE(Parametri_v3!$C$24,Parametri_v3!$C$25+Ipotesi!I14*12)),MAX(0,(Motore_Operativo!Y371+Motore_Operativo!X371*Parametri_v3!$C$14)*(1-Parametri_v3!$C$32))*Piano_SS!$D$6,0))</f>
        <v>4750</v>
      </c>
      <c r="BW371" s="15" t="n">
        <f aca="false">MIN(Piano_SS!$C$7,(BW370)+IF(AND(Motore_Operativo!C371&gt;=EDATE(Parametri_v3!$C$24,Ipotesi!I14*12),Motore_Operativo!C371&lt;EDATE(Parametri_v3!$C$24,Parametri_v3!$C$25+Ipotesi!I14*12)),MAX(0,(IF(7-(INT((Ipotesi!$C$91)/30))&lt;1,0,INDEX(Motore_Operativo!$BN$365:$BN$424,MAX(1,7-(INT((Ipotesi!$C$91)/30)))))*(1-(MOD((Ipotesi!$C$91),30)/30))+IF(7-(INT((Ipotesi!$C$91)/30))-1&lt;1,0,INDEX(Motore_Operativo!$BN$365:$BN$424,MAX(1,7-(INT((Ipotesi!$C$91)/30))-1)))*(MOD((Ipotesi!$C$91),30)/30)))*Piano_SS!$D$7,0))</f>
        <v>1261.11111111111</v>
      </c>
      <c r="BX371" s="15" t="n">
        <f aca="false">MIN(Piano_SS!$C$8,(BX370)+IF(AND(Motore_Operativo!C371&gt;=EDATE(Parametri_v3!$C$24,Ipotesi!I14*12),Motore_Operativo!C371&lt;EDATE(Parametri_v3!$C$24,Parametri_v3!$C$25+Ipotesi!I14*12)),MAX(0,Motore_Operativo!CE371)*Piano_SS!$D$8,0))</f>
        <v>1666.66666666667</v>
      </c>
      <c r="BY371" s="15" t="n">
        <f aca="false">MIN(Piano_SS!$C$9,(BY370)+IF(AND(Motore_Operativo!C371&gt;=EDATE(Parametri_v3!$C$24,Ipotesi!I14*12),Motore_Operativo!C371&lt;EDATE(Parametri_v3!$C$24,Parametri_v3!$C$25+Ipotesi!I14*12)),MAX(0,((IF(7-(INT((Ipotesi!$C$91)/30))&lt;1,0,INDEX(Motore_Operativo!$BQ$365:$BQ$424,MAX(1,7-(INT((Ipotesi!$C$91)/30)))))*(1-(MOD((Ipotesi!$C$91),30)/30))+IF(7-(INT((Ipotesi!$C$91)/30))-1&lt;1,0,INDEX(Motore_Operativo!$BQ$365:$BQ$424,MAX(1,7-(INT((Ipotesi!$C$91)/30))-1)))*(MOD((Ipotesi!$C$91),30)/30))+(IF(7-(INT((Ipotesi!$C$91)/30))&lt;1,0,INDEX(Motore_Operativo!$BR$365:$BR$424,MAX(1,7-(INT((Ipotesi!$C$91)/30)))))*(1-(MOD((Ipotesi!$C$91),30)/30))+IF(7-(INT((Ipotesi!$C$91)/30))-1&lt;1,0,INDEX(Motore_Operativo!$BR$365:$BR$424,MAX(1,7-(INT((Ipotesi!$C$91)/30))-1)))*(MOD((Ipotesi!$C$91),30)/30))))*Piano_SS!$D$9,0))</f>
        <v>2250</v>
      </c>
      <c r="BZ371" s="15" t="n">
        <f aca="false">MIN(Piano_SS!$C$10,(BZ370)+IF(AND(Motore_Operativo!C371&gt;=EDATE(Parametri_v3!$C$24,Ipotesi!I14*12),Motore_Operativo!C371&lt;EDATE(Parametri_v3!$C$24,Parametri_v3!$C$25+Ipotesi!I14*12)),MAX(0,(IF(7-(INT((Ipotesi!$C$91)/30))&lt;1,0,INDEX(Motore_Operativo!$BO$365:$BO$424,MAX(1,7-(INT((Ipotesi!$C$91)/30)))))*(1-(MOD((Ipotesi!$C$91),30)/30))+IF(7-(INT((Ipotesi!$C$91)/30))-1&lt;1,0,INDEX(Motore_Operativo!$BO$365:$BO$424,MAX(1,7-(INT((Ipotesi!$C$91)/30))-1)))*(MOD((Ipotesi!$C$91),30)/30)))*Piano_SS!$D$10,0))</f>
        <v>1000</v>
      </c>
      <c r="CA371" s="15" t="n">
        <f aca="false">SUM(BV371:BZ371)</f>
        <v>10927.7777777778</v>
      </c>
      <c r="CB371" s="15" t="n">
        <f aca="false">BV371*(1-Piano_SS!$E$6)+BW371*(1-Piano_SS!$E$7)+BX371*(1-Piano_SS!$E$8)+BY371*(1-Piano_SS!$E$9)+BZ371*(1-Piano_SS!$E$10)</f>
        <v>9927.77777777778</v>
      </c>
      <c r="CC371" s="15" t="n">
        <f aca="false">(CC370)+BA371</f>
        <v>0</v>
      </c>
      <c r="CD371" s="15" t="n">
        <f aca="false">IF(CA371=0,0,CC371*CB371/CA371*Ipotesi!$C$103*Parametri_v3!$C$64)</f>
        <v>0</v>
      </c>
      <c r="CE371" s="18" t="n">
        <f aca="false">IF(BA371&gt;0,Motore_Operativo!C371,(CE370))</f>
        <v>0</v>
      </c>
      <c r="CF371" s="18" t="n">
        <f aca="false">IF(AND(CC371&gt;0,OR(CC371&gt;=CG371-0.01,Motore_Operativo!C371&gt;=EDATE(MAX(Finanziamenti!$D$15:$D$17),Ipotesi!I14*12))),CE371,0)</f>
        <v>0</v>
      </c>
      <c r="CG371" s="15" t="n">
        <f aca="false">IF(AND(7&lt;&gt;6,7&lt;&gt;9,Finanziamenti!$F$11=1,OR(Parametri_v3!$C$6=0,Finanziamenti!$E$11=1)),MIN(Finanziamenti!$C$11,Piano_SS!$C$12*Ipotesi!$C$102),0)</f>
        <v>400000</v>
      </c>
      <c r="CH371" s="15" t="n">
        <f aca="false">IF(AND(AND(7&lt;&gt;8,7&lt;&gt;9,Finanziamenti!$F$10=1,OR(Parametri_v3!$C$6=0,Finanziamenti!$E$10=1)),Motore_Operativo!C371&gt;=Finanziamenti!$D$10,Motore_Operativo!C371&lt;Parametri_v3!$C$63),Finanziamenti!$C$10,0)</f>
        <v>150000</v>
      </c>
    </row>
    <row r="372" customFormat="false" ht="18" hidden="false" customHeight="true" outlineLevel="0" collapsed="false">
      <c r="A372" s="68" t="n">
        <f aca="false">7</f>
        <v>7</v>
      </c>
      <c r="B372" s="68" t="n">
        <f aca="false">8</f>
        <v>8</v>
      </c>
      <c r="C372" s="18" t="n">
        <f aca="false">Motore_Operativo!C372</f>
        <v>46600</v>
      </c>
      <c r="D372" s="68" t="n">
        <f aca="false">Motore_Operativo!D372</f>
        <v>2027</v>
      </c>
      <c r="E372" s="68" t="n">
        <f aca="false">Motore_Operativo!E372</f>
        <v>8</v>
      </c>
      <c r="F372" s="15" t="n">
        <f aca="false">Motore_Operativo!AQ372+Motore_Operativo!BF372</f>
        <v>7916.66666666667</v>
      </c>
      <c r="G372" s="15" t="n">
        <f aca="false">Motore_Operativo!BH372</f>
        <v>1621.05263157895</v>
      </c>
      <c r="H372" s="15" t="n">
        <f aca="false">Motore_Operativo!BI372</f>
        <v>9537.71929824561</v>
      </c>
      <c r="I372" s="15" t="n">
        <f aca="false">Motore_Operativo!CA372</f>
        <v>27796.548245614</v>
      </c>
      <c r="J372" s="15" t="n">
        <f aca="false">Motore_Operativo!CC372</f>
        <v>-18258.8289473684</v>
      </c>
      <c r="K372" s="15" t="n">
        <f aca="false">Motore_Operativo!CE372</f>
        <v>1666.66666666667</v>
      </c>
      <c r="L372" s="15" t="n">
        <f aca="false">SUM(INDEX($K$365:$K$424,MAX(1,8-Parametri_v3!$C$59+1)):K372)/Parametri_v3!$C$59</f>
        <v>370.37037037037</v>
      </c>
      <c r="M372" s="15" t="n">
        <f aca="false">J372-L372</f>
        <v>-18629.1993177388</v>
      </c>
      <c r="N372" s="15" t="n">
        <f aca="false">CD372-(CD371)</f>
        <v>0</v>
      </c>
      <c r="O372" s="15" t="n">
        <f aca="false">(BG371)*Ipotesi!$C$110/12+CH372*Parametri_v3!$C$39/12</f>
        <v>191.356888757505</v>
      </c>
      <c r="P372" s="15" t="n">
        <f aca="false">M372+N372-O372</f>
        <v>-18820.5562064963</v>
      </c>
      <c r="Q372" s="15" t="n">
        <f aca="false">SUM(P365:P372)+Parametri_v3!$C$54*8/12</f>
        <v>-149893.086348348</v>
      </c>
      <c r="R372" s="15" t="n">
        <f aca="false">0</f>
        <v>0</v>
      </c>
      <c r="S372" s="15" t="n">
        <f aca="false">0</f>
        <v>0</v>
      </c>
      <c r="T372" s="15" t="n">
        <f aca="false">MIN(R372,MAX(0,Q372))</f>
        <v>0</v>
      </c>
      <c r="U372" s="15" t="n">
        <f aca="false">MIN(S372,MAX(0,Q372-T372)*Parametri_v3!$C$42)</f>
        <v>0</v>
      </c>
      <c r="V372" s="15" t="n">
        <f aca="false">MAX(0,Q372-T372-U372)*Ipotesi!$C$92</f>
        <v>0</v>
      </c>
      <c r="W372" s="15" t="n">
        <f aca="false">MAX(0,SUM(M365:M372)+Parametri_v3!$C$55*8/12)*Ipotesi!$C$93</f>
        <v>0</v>
      </c>
      <c r="X372" s="15" t="n">
        <f aca="false">V372+W372-(V371+W371)</f>
        <v>0</v>
      </c>
      <c r="Y372" s="15" t="n">
        <f aca="false">P372-X372</f>
        <v>-18820.5562064963</v>
      </c>
      <c r="Z372" s="15" t="n">
        <f aca="false">R372-T372+IF(AND(Parametri_v3!$C$40=1,D372-YEAR(Parametri_v3!$C$50)&lt;Parametri_v3!$C$41),MAX(0,-Q372),0)</f>
        <v>149893.086348348</v>
      </c>
      <c r="AA372" s="15" t="n">
        <f aca="false">S372-U372+IF(AND(Parametri_v3!$C$40=1,D372-YEAR(Parametri_v3!$C$50)&lt;Parametri_v3!$C$41),0,MAX(0,-Q372))</f>
        <v>0</v>
      </c>
      <c r="AB372" s="15" t="n">
        <f aca="false">F372*(1+Parametri_v3!$C$26)</f>
        <v>9658.33333333333</v>
      </c>
      <c r="AC372" s="15" t="n">
        <f aca="false">(IF(8-(INT((Motore_Operativo!L372)/30))&lt;1,0,INDEX(Motore_Startup!$AB$365:$AB$424,MAX(1,8-(INT((Motore_Operativo!L372)/30)))))*(1-(MOD((Motore_Operativo!L372),30)/30))+IF(8-(INT((Motore_Operativo!L372)/30))-1&lt;1,0,INDEX(Motore_Startup!$AB$365:$AB$424,MAX(1,8-(INT((Motore_Operativo!L372)/30))-1)))*(MOD((Motore_Operativo!L372),30)/30))</f>
        <v>9319.44444444445</v>
      </c>
      <c r="AD372" s="15" t="n">
        <f aca="false">(AD371)+AB372-AC372</f>
        <v>28636.1111111111</v>
      </c>
      <c r="AE372" s="15" t="n">
        <f aca="false">Motore_Operativo!BH372*(1+Parametri_v3!$C$26)</f>
        <v>1977.68421052632</v>
      </c>
      <c r="AF372" s="15" t="n">
        <f aca="false">(IF(8-(INT((Parametri_v3!$C$29)/30))&lt;1,0,INDEX(Motore_Operativo!$BH$365:$BH$424,MAX(1,8-(INT((Parametri_v3!$C$29)/30)))))*(1-(MOD((Parametri_v3!$C$29),30)/30))+IF(8-(INT((Parametri_v3!$C$29)/30))-1&lt;1,0,INDEX(Motore_Operativo!$BH$365:$BH$424,MAX(1,8-(INT((Parametri_v3!$C$29)/30))-1)))*(MOD((Parametri_v3!$C$29),30)/30))*(1+Parametri_v3!$C$26)</f>
        <v>1977.68421052632</v>
      </c>
      <c r="AG372" s="15" t="n">
        <f aca="false">(AG371)+AE372-AF372</f>
        <v>1977.68421052632</v>
      </c>
      <c r="AH372" s="15" t="n">
        <f aca="false">(Motore_Operativo!CJ372)*(1+Parametri_v3!$C$27*Parametri_v3!$C$26)</f>
        <v>11727.4194342105</v>
      </c>
      <c r="AI372" s="15" t="n">
        <f aca="false">(IF(8-(INT((Ipotesi!$C$91)/30))&lt;1,0,INDEX(Motore_Startup!$AH$365:$AH$424,MAX(1,8-(INT((Ipotesi!$C$91)/30)))))*(1-(MOD((Ipotesi!$C$91),30)/30))+IF(8-(INT((Ipotesi!$C$91)/30))-1&lt;1,0,INDEX(Motore_Startup!$AH$365:$AH$424,MAX(1,8-(INT((Ipotesi!$C$91)/30))-1)))*(MOD((Ipotesi!$C$91),30)/30))</f>
        <v>11696.6453601365</v>
      </c>
      <c r="AJ372" s="15" t="n">
        <f aca="false">(AJ371)+AH372-AI372</f>
        <v>23439.451831384</v>
      </c>
      <c r="AK372" s="15" t="n">
        <f aca="false">(F372+ Motore_Operativo!BH372-(Motore_Operativo!CJ372)*Parametri_v3!$C$27-Motore_Operativo!CE372)*Parametri_v3!$C$26</f>
        <v>-115.906276315789</v>
      </c>
      <c r="AL372" s="15" t="n">
        <f aca="false">MAX(0,(AM371))</f>
        <v>0</v>
      </c>
      <c r="AM372" s="15" t="n">
        <f aca="false">(AM371)+AK372-AL372</f>
        <v>-1348.98817348927</v>
      </c>
      <c r="AN372" s="15" t="n">
        <f aca="false">0</f>
        <v>0</v>
      </c>
      <c r="AO372" s="15" t="n">
        <f aca="false">0</f>
        <v>0</v>
      </c>
      <c r="AP372" s="15" t="n">
        <f aca="false">MAX(0,AN372)*IF(8=Parametri_v3!$C$43,Parametri_v3!$C$45,IF(8=Parametri_v3!$C$44,1-Parametri_v3!$C$45,0))</f>
        <v>0</v>
      </c>
      <c r="AQ372" s="15" t="n">
        <f aca="false">MAX(0,AP372+IF(8=Parametri_v3!$C$43,MAX(0,AN372-AO372),0)-MAX(0,-(AR371)))</f>
        <v>0</v>
      </c>
      <c r="AR372" s="15" t="n">
        <f aca="false">(AR371)+X372-AQ372</f>
        <v>0</v>
      </c>
      <c r="AS372" s="15" t="n">
        <f aca="false">Motore_Operativo!AB372-AT372+AU372</f>
        <v>17020.8333333333</v>
      </c>
      <c r="AT372" s="15" t="n">
        <f aca="false">Motore_Operativo!CH372</f>
        <v>895.833333333334</v>
      </c>
      <c r="AU372" s="15" t="n">
        <f aca="false">MIN(MAX(0,(AV371)+AT372),Parametri_v3!$C$60/12)</f>
        <v>0</v>
      </c>
      <c r="AV372" s="15" t="n">
        <f aca="false">(AV371)+AT372-AU372</f>
        <v>7166.66666666667</v>
      </c>
      <c r="AW372" s="15" t="n">
        <f aca="false">IF(AND(Motore_Operativo!C372=Finanziamenti!$D$6,Finanziamenti!$F$6=1),Finanziamenti!$C$6,0)</f>
        <v>0</v>
      </c>
      <c r="AX372" s="15" t="n">
        <f aca="false">IF(AND(7&lt;&gt;7,7&lt;&gt;9,Finanziamenti!$F$8=1,OR(Parametri_v3!$C$6=0,Finanziamenti!$E$8=1),Motore_Operativo!C372=EDATE(Finanziamenti!$D$8,Ipotesi!I15*12)),Finanziamenti!$C$8*1,0)+IF(AND(7&lt;&gt;7,7&lt;&gt;9,Finanziamenti!$F$9=1,OR(Parametri_v3!$C$6=0,Finanziamenti!$E$9=1),Motore_Operativo!C372=EDATE(Finanziamenti!$D$9,Ipotesi!I15*12)),Finanziamenti!$C$9*Ipotesi!I16,0)</f>
        <v>0</v>
      </c>
      <c r="AY372" s="15" t="n">
        <f aca="false">0</f>
        <v>0</v>
      </c>
      <c r="AZ372" s="15" t="n">
        <f aca="false">Motore_Advisory!AY372*(1-Ipotesi!$C$95)*Ipotesi!$C$96</f>
        <v>0</v>
      </c>
      <c r="BA372" s="15" t="n">
        <f aca="false">MAX(0,MIN(CG372*MIN(1,IF(Motore_Operativo!C372&gt;=EDATE(Finanziamenti!$D$15,Ipotesi!I14*12),Finanziamenti!$C$15,0)+IF(Motore_Operativo!C372&gt;=EDATE(Finanziamenti!$D$16,Ipotesi!I14*12),Finanziamenti!$C$16,0)+IF(Motore_Operativo!C372&gt;=EDATE(Finanziamenti!$D$17,Ipotesi!I14*12),Finanziamenti!$C$17,0)),CA372*Ipotesi!$C$102)-(CC371))</f>
        <v>0</v>
      </c>
      <c r="BB372" s="15" t="n">
        <f aca="false">IF(AND(CF372&gt;0,Motore_Operativo!C372&gt;=IF(CF372=0,0,EDATE(CF372,Parametri_v3!$C$37)),MOD(((D372-YEAR(IF(CF372=0,0,EDATE(CF372,Parametri_v3!$C$37))))*12+E372-MONTH(IF(CF372=0,0,EDATE(CF372,Parametri_v3!$C$37)))),Parametri_v3!$C$38)=0),MIN(MAX(0,(BC371)+BA372-N372),(CC372-CD372)/(Ipotesi!$C$108*12/Parametri_v3!$C$38)),0)</f>
        <v>0</v>
      </c>
      <c r="BC372" s="15" t="n">
        <f aca="false">(BC371)+BA372-N372-BB372</f>
        <v>0</v>
      </c>
      <c r="BD372" s="15" t="n">
        <f aca="false">(BH371)+AC372+AF372-AI372-AS372-K372*(1+Parametri_v3!$C$26)-AL372-AQ372-O372+AW372+AX372+AZ372+BA372-BB372</f>
        <v>5354.95973941014</v>
      </c>
      <c r="BE372" s="15" t="n">
        <f aca="false">MAX(0,MIN(MAX(0,CH372-(BG371)),Parametri_v3!$C$30-BD372))</f>
        <v>19645.0402605899</v>
      </c>
      <c r="BF372" s="15" t="n">
        <f aca="false">IF(Motore_Operativo!C372&gt;=Parametri_v3!$C$63,(BG371),MIN((BG371),MAX(0,BD372-Parametri_v3!$C$30)))</f>
        <v>0</v>
      </c>
      <c r="BG372" s="15" t="n">
        <f aca="false">(BG371)+BE372-BF372</f>
        <v>57916.4180120908</v>
      </c>
      <c r="BH372" s="15" t="n">
        <f aca="false">BD372+BE372-BF372-AY372</f>
        <v>25000</v>
      </c>
      <c r="BI372" s="15" t="n">
        <f aca="false">MAX(0,Parametri_v3!$C$30-BH372)</f>
        <v>0</v>
      </c>
      <c r="BJ372" s="15" t="n">
        <f aca="false">(BJ371)+K372</f>
        <v>13333.3333333333</v>
      </c>
      <c r="BK372" s="15" t="n">
        <f aca="false">(BK371)+L372</f>
        <v>1666.66666666667</v>
      </c>
      <c r="BL372" s="15" t="n">
        <f aca="false">BJ372-BK372</f>
        <v>11666.6666666667</v>
      </c>
      <c r="BM372" s="15" t="n">
        <f aca="false">(BM371)+Y372</f>
        <v>-149893.086348348</v>
      </c>
      <c r="BN372" s="15" t="n">
        <f aca="false">(BN371)+AW372+AX372+AZ372</f>
        <v>130000</v>
      </c>
      <c r="BO372" s="15" t="n">
        <f aca="false">(BO371)+AY372</f>
        <v>0</v>
      </c>
      <c r="BP372" s="15" t="n">
        <f aca="false">0</f>
        <v>0</v>
      </c>
      <c r="BQ372" s="15" t="n">
        <f aca="false">BN372+BM372-BO372</f>
        <v>-19893.0863483481</v>
      </c>
      <c r="BR372" s="15" t="n">
        <f aca="false">BH372+AD372+BL372+MAX(0,-AM372)+MAX(0,-AR372)+AG372</f>
        <v>68629.4501617934</v>
      </c>
      <c r="BS372" s="15" t="n">
        <f aca="false">AJ372+AV372+MAX(0,AM372)+MAX(0,AR372)+BC372+BG372+BQ372</f>
        <v>68629.4501617934</v>
      </c>
      <c r="BT372" s="15" t="n">
        <f aca="false">BR372-BS372</f>
        <v>0</v>
      </c>
      <c r="BU372" s="15" t="n">
        <f aca="false">BH372-(BD372+BE372-BF372-AY372)</f>
        <v>0</v>
      </c>
      <c r="BV372" s="15" t="n">
        <f aca="false">MIN(Piano_SS!$C$6,(BV371)+IF(AND(Motore_Operativo!C372&gt;=EDATE(Parametri_v3!$C$24,Ipotesi!I14*12),Motore_Operativo!C372&lt;EDATE(Parametri_v3!$C$24,Parametri_v3!$C$25+Ipotesi!I14*12)),MAX(0,(Motore_Operativo!Y372+Motore_Operativo!X372*Parametri_v3!$C$14)*(1-Parametri_v3!$C$32))*Piano_SS!$D$6,0))</f>
        <v>9500</v>
      </c>
      <c r="BW372" s="15" t="n">
        <f aca="false">MIN(Piano_SS!$C$7,(BW371)+IF(AND(Motore_Operativo!C372&gt;=EDATE(Parametri_v3!$C$24,Ipotesi!I14*12),Motore_Operativo!C372&lt;EDATE(Parametri_v3!$C$24,Parametri_v3!$C$25+Ipotesi!I14*12)),MAX(0,(IF(8-(INT((Ipotesi!$C$91)/30))&lt;1,0,INDEX(Motore_Operativo!$BN$365:$BN$424,MAX(1,8-(INT((Ipotesi!$C$91)/30)))))*(1-(MOD((Ipotesi!$C$91),30)/30))+IF(8-(INT((Ipotesi!$C$91)/30))-1&lt;1,0,INDEX(Motore_Operativo!$BN$365:$BN$424,MAX(1,8-(INT((Ipotesi!$C$91)/30))-1)))*(MOD((Ipotesi!$C$91),30)/30)))*Piano_SS!$D$7,0))</f>
        <v>2529.62962962963</v>
      </c>
      <c r="BX372" s="15" t="n">
        <f aca="false">MIN(Piano_SS!$C$8,(BX371)+IF(AND(Motore_Operativo!C372&gt;=EDATE(Parametri_v3!$C$24,Ipotesi!I14*12),Motore_Operativo!C372&lt;EDATE(Parametri_v3!$C$24,Parametri_v3!$C$25+Ipotesi!I14*12)),MAX(0,Motore_Operativo!CE372)*Piano_SS!$D$8,0))</f>
        <v>3333.33333333333</v>
      </c>
      <c r="BY372" s="15" t="n">
        <f aca="false">MIN(Piano_SS!$C$9,(BY371)+IF(AND(Motore_Operativo!C372&gt;=EDATE(Parametri_v3!$C$24,Ipotesi!I14*12),Motore_Operativo!C372&lt;EDATE(Parametri_v3!$C$24,Parametri_v3!$C$25+Ipotesi!I14*12)),MAX(0,((IF(8-(INT((Ipotesi!$C$91)/30))&lt;1,0,INDEX(Motore_Operativo!$BQ$365:$BQ$424,MAX(1,8-(INT((Ipotesi!$C$91)/30)))))*(1-(MOD((Ipotesi!$C$91),30)/30))+IF(8-(INT((Ipotesi!$C$91)/30))-1&lt;1,0,INDEX(Motore_Operativo!$BQ$365:$BQ$424,MAX(1,8-(INT((Ipotesi!$C$91)/30))-1)))*(MOD((Ipotesi!$C$91),30)/30))+(IF(8-(INT((Ipotesi!$C$91)/30))&lt;1,0,INDEX(Motore_Operativo!$BR$365:$BR$424,MAX(1,8-(INT((Ipotesi!$C$91)/30)))))*(1-(MOD((Ipotesi!$C$91),30)/30))+IF(8-(INT((Ipotesi!$C$91)/30))-1&lt;1,0,INDEX(Motore_Operativo!$BR$365:$BR$424,MAX(1,8-(INT((Ipotesi!$C$91)/30))-1)))*(MOD((Ipotesi!$C$91),30)/30))))*Piano_SS!$D$9,0))</f>
        <v>4500</v>
      </c>
      <c r="BZ372" s="15" t="n">
        <f aca="false">MIN(Piano_SS!$C$10,(BZ371)+IF(AND(Motore_Operativo!C372&gt;=EDATE(Parametri_v3!$C$24,Ipotesi!I14*12),Motore_Operativo!C372&lt;EDATE(Parametri_v3!$C$24,Parametri_v3!$C$25+Ipotesi!I14*12)),MAX(0,(IF(8-(INT((Ipotesi!$C$91)/30))&lt;1,0,INDEX(Motore_Operativo!$BO$365:$BO$424,MAX(1,8-(INT((Ipotesi!$C$91)/30)))))*(1-(MOD((Ipotesi!$C$91),30)/30))+IF(8-(INT((Ipotesi!$C$91)/30))-1&lt;1,0,INDEX(Motore_Operativo!$BO$365:$BO$424,MAX(1,8-(INT((Ipotesi!$C$91)/30))-1)))*(MOD((Ipotesi!$C$91),30)/30)))*Piano_SS!$D$10,0))</f>
        <v>2000</v>
      </c>
      <c r="CA372" s="15" t="n">
        <f aca="false">SUM(BV372:BZ372)</f>
        <v>21862.962962963</v>
      </c>
      <c r="CB372" s="15" t="n">
        <f aca="false">BV372*(1-Piano_SS!$E$6)+BW372*(1-Piano_SS!$E$7)+BX372*(1-Piano_SS!$E$8)+BY372*(1-Piano_SS!$E$9)+BZ372*(1-Piano_SS!$E$10)</f>
        <v>19862.962962963</v>
      </c>
      <c r="CC372" s="15" t="n">
        <f aca="false">(CC371)+BA372</f>
        <v>0</v>
      </c>
      <c r="CD372" s="15" t="n">
        <f aca="false">IF(CA372=0,0,CC372*CB372/CA372*Ipotesi!$C$103*Parametri_v3!$C$64)</f>
        <v>0</v>
      </c>
      <c r="CE372" s="18" t="n">
        <f aca="false">IF(BA372&gt;0,Motore_Operativo!C372,(CE371))</f>
        <v>0</v>
      </c>
      <c r="CF372" s="18" t="n">
        <f aca="false">IF(AND(CC372&gt;0,OR(CC372&gt;=CG372-0.01,Motore_Operativo!C372&gt;=EDATE(MAX(Finanziamenti!$D$15:$D$17),Ipotesi!I14*12))),CE372,0)</f>
        <v>0</v>
      </c>
      <c r="CG372" s="15" t="n">
        <f aca="false">IF(AND(7&lt;&gt;6,7&lt;&gt;9,Finanziamenti!$F$11=1,OR(Parametri_v3!$C$6=0,Finanziamenti!$E$11=1)),MIN(Finanziamenti!$C$11,Piano_SS!$C$12*Ipotesi!$C$102),0)</f>
        <v>400000</v>
      </c>
      <c r="CH372" s="15" t="n">
        <f aca="false">IF(AND(AND(7&lt;&gt;8,7&lt;&gt;9,Finanziamenti!$F$10=1,OR(Parametri_v3!$C$6=0,Finanziamenti!$E$10=1)),Motore_Operativo!C372&gt;=Finanziamenti!$D$10,Motore_Operativo!C372&lt;Parametri_v3!$C$63),Finanziamenti!$C$10,0)</f>
        <v>150000</v>
      </c>
    </row>
    <row r="373" customFormat="false" ht="18" hidden="false" customHeight="true" outlineLevel="0" collapsed="false">
      <c r="A373" s="68" t="n">
        <f aca="false">7</f>
        <v>7</v>
      </c>
      <c r="B373" s="68" t="n">
        <f aca="false">9</f>
        <v>9</v>
      </c>
      <c r="C373" s="18" t="n">
        <f aca="false">Motore_Operativo!C373</f>
        <v>46631</v>
      </c>
      <c r="D373" s="68" t="n">
        <f aca="false">Motore_Operativo!D373</f>
        <v>2027</v>
      </c>
      <c r="E373" s="68" t="n">
        <f aca="false">Motore_Operativo!E373</f>
        <v>9</v>
      </c>
      <c r="F373" s="15" t="n">
        <f aca="false">Motore_Operativo!AQ373+Motore_Operativo!BF373</f>
        <v>8009.25925925926</v>
      </c>
      <c r="G373" s="15" t="n">
        <f aca="false">Motore_Operativo!BH373</f>
        <v>1621.05263157895</v>
      </c>
      <c r="H373" s="15" t="n">
        <f aca="false">Motore_Operativo!BI373</f>
        <v>9630.31189083821</v>
      </c>
      <c r="I373" s="15" t="n">
        <f aca="false">Motore_Operativo!CA373</f>
        <v>27809.511208577</v>
      </c>
      <c r="J373" s="15" t="n">
        <f aca="false">Motore_Operativo!CC373</f>
        <v>-18179.1993177388</v>
      </c>
      <c r="K373" s="15" t="n">
        <f aca="false">Motore_Operativo!CE373</f>
        <v>1666.66666666667</v>
      </c>
      <c r="L373" s="15" t="n">
        <f aca="false">SUM(INDEX($K$365:$K$424,MAX(1,9-Parametri_v3!$C$59+1)):K373)/Parametri_v3!$C$59</f>
        <v>416.666666666667</v>
      </c>
      <c r="M373" s="15" t="n">
        <f aca="false">J373-L373</f>
        <v>-18595.8659844055</v>
      </c>
      <c r="N373" s="15" t="n">
        <f aca="false">CD373-(CD372)</f>
        <v>0</v>
      </c>
      <c r="O373" s="15" t="n">
        <f aca="false">(BG372)*Ipotesi!$C$110/12+CH373*Parametri_v3!$C$39/12</f>
        <v>289.582090060454</v>
      </c>
      <c r="P373" s="15" t="n">
        <f aca="false">M373+N373-O373</f>
        <v>-18885.4480744659</v>
      </c>
      <c r="Q373" s="15" t="n">
        <f aca="false">SUM(P365:P373)+Parametri_v3!$C$54*9/12</f>
        <v>-168778.534422814</v>
      </c>
      <c r="R373" s="15" t="n">
        <f aca="false">0</f>
        <v>0</v>
      </c>
      <c r="S373" s="15" t="n">
        <f aca="false">0</f>
        <v>0</v>
      </c>
      <c r="T373" s="15" t="n">
        <f aca="false">MIN(R373,MAX(0,Q373))</f>
        <v>0</v>
      </c>
      <c r="U373" s="15" t="n">
        <f aca="false">MIN(S373,MAX(0,Q373-T373)*Parametri_v3!$C$42)</f>
        <v>0</v>
      </c>
      <c r="V373" s="15" t="n">
        <f aca="false">MAX(0,Q373-T373-U373)*Ipotesi!$C$92</f>
        <v>0</v>
      </c>
      <c r="W373" s="15" t="n">
        <f aca="false">MAX(0,SUM(M365:M373)+Parametri_v3!$C$55*9/12)*Ipotesi!$C$93</f>
        <v>0</v>
      </c>
      <c r="X373" s="15" t="n">
        <f aca="false">V373+W373-(V372+W372)</f>
        <v>0</v>
      </c>
      <c r="Y373" s="15" t="n">
        <f aca="false">P373-X373</f>
        <v>-18885.4480744659</v>
      </c>
      <c r="Z373" s="15" t="n">
        <f aca="false">R373-T373+IF(AND(Parametri_v3!$C$40=1,D373-YEAR(Parametri_v3!$C$50)&lt;Parametri_v3!$C$41),MAX(0,-Q373),0)</f>
        <v>168778.534422814</v>
      </c>
      <c r="AA373" s="15" t="n">
        <f aca="false">S373-U373+IF(AND(Parametri_v3!$C$40=1,D373-YEAR(Parametri_v3!$C$50)&lt;Parametri_v3!$C$41),0,MAX(0,-Q373))</f>
        <v>0</v>
      </c>
      <c r="AB373" s="15" t="n">
        <f aca="false">F373*(1+Parametri_v3!$C$26)</f>
        <v>9771.2962962963</v>
      </c>
      <c r="AC373" s="15" t="n">
        <f aca="false">(IF(9-(INT((Motore_Operativo!L373)/30))&lt;1,0,INDEX(Motore_Startup!$AB$365:$AB$424,MAX(1,9-(INT((Motore_Operativo!L373)/30)))))*(1-(MOD((Motore_Operativo!L373),30)/30))+IF(9-(INT((Motore_Operativo!L373)/30))-1&lt;1,0,INDEX(Motore_Startup!$AB$365:$AB$424,MAX(1,9-(INT((Motore_Operativo!L373)/30))-1)))*(MOD((Motore_Operativo!L373),30)/30))</f>
        <v>9432.40740740741</v>
      </c>
      <c r="AD373" s="15" t="n">
        <f aca="false">(AD372)+AB373-AC373</f>
        <v>28975</v>
      </c>
      <c r="AE373" s="15" t="n">
        <f aca="false">Motore_Operativo!BH373*(1+Parametri_v3!$C$26)</f>
        <v>1977.68421052632</v>
      </c>
      <c r="AF373" s="15" t="n">
        <f aca="false">(IF(9-(INT((Parametri_v3!$C$29)/30))&lt;1,0,INDEX(Motore_Operativo!$BH$365:$BH$424,MAX(1,9-(INT((Parametri_v3!$C$29)/30)))))*(1-(MOD((Parametri_v3!$C$29),30)/30))+IF(9-(INT((Parametri_v3!$C$29)/30))-1&lt;1,0,INDEX(Motore_Operativo!$BH$365:$BH$424,MAX(1,9-(INT((Parametri_v3!$C$29)/30))-1)))*(MOD((Parametri_v3!$C$29),30)/30))*(1+Parametri_v3!$C$26)</f>
        <v>1977.68421052632</v>
      </c>
      <c r="AG373" s="15" t="n">
        <f aca="false">(AG372)+AE373-AF373</f>
        <v>1977.68421052632</v>
      </c>
      <c r="AH373" s="15" t="n">
        <f aca="false">(Motore_Operativo!CJ373)*(1+Parametri_v3!$C$27*Parametri_v3!$C$26)</f>
        <v>11742.8064712476</v>
      </c>
      <c r="AI373" s="15" t="n">
        <f aca="false">(IF(9-(INT((Ipotesi!$C$91)/30))&lt;1,0,INDEX(Motore_Startup!$AH$365:$AH$424,MAX(1,9-(INT((Ipotesi!$C$91)/30)))))*(1-(MOD((Ipotesi!$C$91),30)/30))+IF(9-(INT((Ipotesi!$C$91)/30))-1&lt;1,0,INDEX(Motore_Startup!$AH$365:$AH$424,MAX(1,9-(INT((Ipotesi!$C$91)/30))-1)))*(MOD((Ipotesi!$C$91),30)/30))</f>
        <v>11712.0323971735</v>
      </c>
      <c r="AJ373" s="15" t="n">
        <f aca="false">(AJ372)+AH373-AI373</f>
        <v>23470.2259054581</v>
      </c>
      <c r="AK373" s="15" t="n">
        <f aca="false">(F373+ Motore_Operativo!BH373-(Motore_Operativo!CJ373)*Parametri_v3!$C$27-Motore_Operativo!CE373)*Parametri_v3!$C$26</f>
        <v>-97.9599800194927</v>
      </c>
      <c r="AL373" s="15" t="n">
        <f aca="false">MAX(0,(AM372))</f>
        <v>0</v>
      </c>
      <c r="AM373" s="15" t="n">
        <f aca="false">(AM372)+AK373-AL373</f>
        <v>-1446.94815350877</v>
      </c>
      <c r="AN373" s="15" t="n">
        <f aca="false">0</f>
        <v>0</v>
      </c>
      <c r="AO373" s="15" t="n">
        <f aca="false">0</f>
        <v>0</v>
      </c>
      <c r="AP373" s="15" t="n">
        <f aca="false">MAX(0,AN373)*IF(9=Parametri_v3!$C$43,Parametri_v3!$C$45,IF(9=Parametri_v3!$C$44,1-Parametri_v3!$C$45,0))</f>
        <v>0</v>
      </c>
      <c r="AQ373" s="15" t="n">
        <f aca="false">MAX(0,AP373+IF(9=Parametri_v3!$C$43,MAX(0,AN373-AO373),0)-MAX(0,-(AR372)))</f>
        <v>0</v>
      </c>
      <c r="AR373" s="15" t="n">
        <f aca="false">(AR372)+X373-AQ373</f>
        <v>0</v>
      </c>
      <c r="AS373" s="15" t="n">
        <f aca="false">Motore_Operativo!AB373-AT373+AU373</f>
        <v>17020.8333333333</v>
      </c>
      <c r="AT373" s="15" t="n">
        <f aca="false">Motore_Operativo!CH373</f>
        <v>895.833333333334</v>
      </c>
      <c r="AU373" s="15" t="n">
        <f aca="false">MIN(MAX(0,(AV372)+AT373),Parametri_v3!$C$60/12)</f>
        <v>0</v>
      </c>
      <c r="AV373" s="15" t="n">
        <f aca="false">(AV372)+AT373-AU373</f>
        <v>8062.5</v>
      </c>
      <c r="AW373" s="15" t="n">
        <f aca="false">IF(AND(Motore_Operativo!C373=Finanziamenti!$D$6,Finanziamenti!$F$6=1),Finanziamenti!$C$6,0)</f>
        <v>0</v>
      </c>
      <c r="AX373" s="15" t="n">
        <f aca="false">IF(AND(7&lt;&gt;7,7&lt;&gt;9,Finanziamenti!$F$8=1,OR(Parametri_v3!$C$6=0,Finanziamenti!$E$8=1),Motore_Operativo!C373=EDATE(Finanziamenti!$D$8,Ipotesi!I15*12)),Finanziamenti!$C$8*1,0)+IF(AND(7&lt;&gt;7,7&lt;&gt;9,Finanziamenti!$F$9=1,OR(Parametri_v3!$C$6=0,Finanziamenti!$E$9=1),Motore_Operativo!C373=EDATE(Finanziamenti!$D$9,Ipotesi!I15*12)),Finanziamenti!$C$9*Ipotesi!I16,0)</f>
        <v>0</v>
      </c>
      <c r="AY373" s="15" t="n">
        <f aca="false">0</f>
        <v>0</v>
      </c>
      <c r="AZ373" s="15" t="n">
        <f aca="false">Motore_Advisory!AY373*(1-Ipotesi!$C$95)*Ipotesi!$C$96</f>
        <v>0</v>
      </c>
      <c r="BA373" s="15" t="n">
        <f aca="false">MAX(0,MIN(CG373*MIN(1,IF(Motore_Operativo!C373&gt;=EDATE(Finanziamenti!$D$15,Ipotesi!I14*12),Finanziamenti!$C$15,0)+IF(Motore_Operativo!C373&gt;=EDATE(Finanziamenti!$D$16,Ipotesi!I14*12),Finanziamenti!$C$16,0)+IF(Motore_Operativo!C373&gt;=EDATE(Finanziamenti!$D$17,Ipotesi!I14*12),Finanziamenti!$C$17,0)),CA373*Ipotesi!$C$102)-(CC372))</f>
        <v>0</v>
      </c>
      <c r="BB373" s="15" t="n">
        <f aca="false">IF(AND(CF373&gt;0,Motore_Operativo!C373&gt;=IF(CF373=0,0,EDATE(CF373,Parametri_v3!$C$37)),MOD(((D373-YEAR(IF(CF373=0,0,EDATE(CF373,Parametri_v3!$C$37))))*12+E373-MONTH(IF(CF373=0,0,EDATE(CF373,Parametri_v3!$C$37)))),Parametri_v3!$C$38)=0),MIN(MAX(0,(BC372)+BA373-N373),(CC373-CD373)/(Ipotesi!$C$108*12/Parametri_v3!$C$38)),0)</f>
        <v>0</v>
      </c>
      <c r="BC373" s="15" t="n">
        <f aca="false">(BC372)+BA373-N373-BB373</f>
        <v>0</v>
      </c>
      <c r="BD373" s="15" t="n">
        <f aca="false">(BH372)+AC373+AF373-AI373-AS373-K373*(1+Parametri_v3!$C$26)-AL373-AQ373-O373+AW373+AX373+AZ373+BA373-BB373</f>
        <v>5354.31046403311</v>
      </c>
      <c r="BE373" s="15" t="n">
        <f aca="false">MAX(0,MIN(MAX(0,CH373-(BG372)),Parametri_v3!$C$30-BD373))</f>
        <v>19645.6895359669</v>
      </c>
      <c r="BF373" s="15" t="n">
        <f aca="false">IF(Motore_Operativo!C373&gt;=Parametri_v3!$C$63,(BG372),MIN((BG372),MAX(0,BD373-Parametri_v3!$C$30)))</f>
        <v>0</v>
      </c>
      <c r="BG373" s="15" t="n">
        <f aca="false">(BG372)+BE373-BF373</f>
        <v>77562.1075480577</v>
      </c>
      <c r="BH373" s="15" t="n">
        <f aca="false">BD373+BE373-BF373-AY373</f>
        <v>25000</v>
      </c>
      <c r="BI373" s="15" t="n">
        <f aca="false">MAX(0,Parametri_v3!$C$30-BH373)</f>
        <v>0</v>
      </c>
      <c r="BJ373" s="15" t="n">
        <f aca="false">(BJ372)+K373</f>
        <v>15000</v>
      </c>
      <c r="BK373" s="15" t="n">
        <f aca="false">(BK372)+L373</f>
        <v>2083.33333333333</v>
      </c>
      <c r="BL373" s="15" t="n">
        <f aca="false">BJ373-BK373</f>
        <v>12916.6666666667</v>
      </c>
      <c r="BM373" s="15" t="n">
        <f aca="false">(BM372)+Y373</f>
        <v>-168778.534422814</v>
      </c>
      <c r="BN373" s="15" t="n">
        <f aca="false">(BN372)+AW373+AX373+AZ373</f>
        <v>130000</v>
      </c>
      <c r="BO373" s="15" t="n">
        <f aca="false">(BO372)+AY373</f>
        <v>0</v>
      </c>
      <c r="BP373" s="15" t="n">
        <f aca="false">0</f>
        <v>0</v>
      </c>
      <c r="BQ373" s="15" t="n">
        <f aca="false">BN373+BM373-BO373</f>
        <v>-38778.534422814</v>
      </c>
      <c r="BR373" s="15" t="n">
        <f aca="false">BH373+AD373+BL373+MAX(0,-AM373)+MAX(0,-AR373)+AG373</f>
        <v>70316.2990307018</v>
      </c>
      <c r="BS373" s="15" t="n">
        <f aca="false">AJ373+AV373+MAX(0,AM373)+MAX(0,AR373)+BC373+BG373+BQ373</f>
        <v>70316.2990307018</v>
      </c>
      <c r="BT373" s="15" t="n">
        <f aca="false">BR373-BS373</f>
        <v>0</v>
      </c>
      <c r="BU373" s="15" t="n">
        <f aca="false">BH373-(BD373+BE373-BF373-AY373)</f>
        <v>0</v>
      </c>
      <c r="BV373" s="15" t="n">
        <f aca="false">MIN(Piano_SS!$C$6,(BV372)+IF(AND(Motore_Operativo!C373&gt;=EDATE(Parametri_v3!$C$24,Ipotesi!I14*12),Motore_Operativo!C373&lt;EDATE(Parametri_v3!$C$24,Parametri_v3!$C$25+Ipotesi!I14*12)),MAX(0,(Motore_Operativo!Y373+Motore_Operativo!X373*Parametri_v3!$C$14)*(1-Parametri_v3!$C$32))*Piano_SS!$D$6,0))</f>
        <v>14250</v>
      </c>
      <c r="BW373" s="15" t="n">
        <f aca="false">MIN(Piano_SS!$C$7,(BW372)+IF(AND(Motore_Operativo!C373&gt;=EDATE(Parametri_v3!$C$24,Ipotesi!I14*12),Motore_Operativo!C373&lt;EDATE(Parametri_v3!$C$24,Parametri_v3!$C$25+Ipotesi!I14*12)),MAX(0,(IF(9-(INT((Ipotesi!$C$91)/30))&lt;1,0,INDEX(Motore_Operativo!$BN$365:$BN$424,MAX(1,9-(INT((Ipotesi!$C$91)/30)))))*(1-(MOD((Ipotesi!$C$91),30)/30))+IF(9-(INT((Ipotesi!$C$91)/30))-1&lt;1,0,INDEX(Motore_Operativo!$BN$365:$BN$424,MAX(1,9-(INT((Ipotesi!$C$91)/30))-1)))*(MOD((Ipotesi!$C$91),30)/30)))*Piano_SS!$D$7,0))</f>
        <v>3805.55555555556</v>
      </c>
      <c r="BX373" s="15" t="n">
        <f aca="false">MIN(Piano_SS!$C$8,(BX372)+IF(AND(Motore_Operativo!C373&gt;=EDATE(Parametri_v3!$C$24,Ipotesi!I14*12),Motore_Operativo!C373&lt;EDATE(Parametri_v3!$C$24,Parametri_v3!$C$25+Ipotesi!I14*12)),MAX(0,Motore_Operativo!CE373)*Piano_SS!$D$8,0))</f>
        <v>5000</v>
      </c>
      <c r="BY373" s="15" t="n">
        <f aca="false">MIN(Piano_SS!$C$9,(BY372)+IF(AND(Motore_Operativo!C373&gt;=EDATE(Parametri_v3!$C$24,Ipotesi!I14*12),Motore_Operativo!C373&lt;EDATE(Parametri_v3!$C$24,Parametri_v3!$C$25+Ipotesi!I14*12)),MAX(0,((IF(9-(INT((Ipotesi!$C$91)/30))&lt;1,0,INDEX(Motore_Operativo!$BQ$365:$BQ$424,MAX(1,9-(INT((Ipotesi!$C$91)/30)))))*(1-(MOD((Ipotesi!$C$91),30)/30))+IF(9-(INT((Ipotesi!$C$91)/30))-1&lt;1,0,INDEX(Motore_Operativo!$BQ$365:$BQ$424,MAX(1,9-(INT((Ipotesi!$C$91)/30))-1)))*(MOD((Ipotesi!$C$91),30)/30))+(IF(9-(INT((Ipotesi!$C$91)/30))&lt;1,0,INDEX(Motore_Operativo!$BR$365:$BR$424,MAX(1,9-(INT((Ipotesi!$C$91)/30)))))*(1-(MOD((Ipotesi!$C$91),30)/30))+IF(9-(INT((Ipotesi!$C$91)/30))-1&lt;1,0,INDEX(Motore_Operativo!$BR$365:$BR$424,MAX(1,9-(INT((Ipotesi!$C$91)/30))-1)))*(MOD((Ipotesi!$C$91),30)/30))))*Piano_SS!$D$9,0))</f>
        <v>6750</v>
      </c>
      <c r="BZ373" s="15" t="n">
        <f aca="false">MIN(Piano_SS!$C$10,(BZ372)+IF(AND(Motore_Operativo!C373&gt;=EDATE(Parametri_v3!$C$24,Ipotesi!I14*12),Motore_Operativo!C373&lt;EDATE(Parametri_v3!$C$24,Parametri_v3!$C$25+Ipotesi!I14*12)),MAX(0,(IF(9-(INT((Ipotesi!$C$91)/30))&lt;1,0,INDEX(Motore_Operativo!$BO$365:$BO$424,MAX(1,9-(INT((Ipotesi!$C$91)/30)))))*(1-(MOD((Ipotesi!$C$91),30)/30))+IF(9-(INT((Ipotesi!$C$91)/30))-1&lt;1,0,INDEX(Motore_Operativo!$BO$365:$BO$424,MAX(1,9-(INT((Ipotesi!$C$91)/30))-1)))*(MOD((Ipotesi!$C$91),30)/30)))*Piano_SS!$D$10,0))</f>
        <v>3000</v>
      </c>
      <c r="CA373" s="15" t="n">
        <f aca="false">SUM(BV373:BZ373)</f>
        <v>32805.5555555556</v>
      </c>
      <c r="CB373" s="15" t="n">
        <f aca="false">BV373*(1-Piano_SS!$E$6)+BW373*(1-Piano_SS!$E$7)+BX373*(1-Piano_SS!$E$8)+BY373*(1-Piano_SS!$E$9)+BZ373*(1-Piano_SS!$E$10)</f>
        <v>29805.5555555556</v>
      </c>
      <c r="CC373" s="15" t="n">
        <f aca="false">(CC372)+BA373</f>
        <v>0</v>
      </c>
      <c r="CD373" s="15" t="n">
        <f aca="false">IF(CA373=0,0,CC373*CB373/CA373*Ipotesi!$C$103*Parametri_v3!$C$64)</f>
        <v>0</v>
      </c>
      <c r="CE373" s="18" t="n">
        <f aca="false">IF(BA373&gt;0,Motore_Operativo!C373,(CE372))</f>
        <v>0</v>
      </c>
      <c r="CF373" s="18" t="n">
        <f aca="false">IF(AND(CC373&gt;0,OR(CC373&gt;=CG373-0.01,Motore_Operativo!C373&gt;=EDATE(MAX(Finanziamenti!$D$15:$D$17),Ipotesi!I14*12))),CE373,0)</f>
        <v>0</v>
      </c>
      <c r="CG373" s="15" t="n">
        <f aca="false">IF(AND(7&lt;&gt;6,7&lt;&gt;9,Finanziamenti!$F$11=1,OR(Parametri_v3!$C$6=0,Finanziamenti!$E$11=1)),MIN(Finanziamenti!$C$11,Piano_SS!$C$12*Ipotesi!$C$102),0)</f>
        <v>400000</v>
      </c>
      <c r="CH373" s="15" t="n">
        <f aca="false">IF(AND(AND(7&lt;&gt;8,7&lt;&gt;9,Finanziamenti!$F$10=1,OR(Parametri_v3!$C$6=0,Finanziamenti!$E$10=1)),Motore_Operativo!C373&gt;=Finanziamenti!$D$10,Motore_Operativo!C373&lt;Parametri_v3!$C$63),Finanziamenti!$C$10,0)</f>
        <v>150000</v>
      </c>
    </row>
    <row r="374" customFormat="false" ht="18" hidden="false" customHeight="true" outlineLevel="0" collapsed="false">
      <c r="A374" s="68" t="n">
        <f aca="false">7</f>
        <v>7</v>
      </c>
      <c r="B374" s="68" t="n">
        <f aca="false">10</f>
        <v>10</v>
      </c>
      <c r="C374" s="18" t="n">
        <f aca="false">Motore_Operativo!C374</f>
        <v>46661</v>
      </c>
      <c r="D374" s="68" t="n">
        <f aca="false">Motore_Operativo!D374</f>
        <v>2027</v>
      </c>
      <c r="E374" s="68" t="n">
        <f aca="false">Motore_Operativo!E374</f>
        <v>10</v>
      </c>
      <c r="F374" s="15" t="n">
        <f aca="false">Motore_Operativo!AQ374+Motore_Operativo!BF374</f>
        <v>8101.85185185185</v>
      </c>
      <c r="G374" s="15" t="n">
        <f aca="false">Motore_Operativo!BH374</f>
        <v>1621.05263157895</v>
      </c>
      <c r="H374" s="15" t="n">
        <f aca="false">Motore_Operativo!BI374</f>
        <v>9722.9044834308</v>
      </c>
      <c r="I374" s="15" t="n">
        <f aca="false">Motore_Operativo!CA374</f>
        <v>27822.47417154</v>
      </c>
      <c r="J374" s="15" t="n">
        <f aca="false">Motore_Operativo!CC374</f>
        <v>-18099.5696881092</v>
      </c>
      <c r="K374" s="15" t="n">
        <f aca="false">Motore_Operativo!CE374</f>
        <v>1666.66666666667</v>
      </c>
      <c r="L374" s="15" t="n">
        <f aca="false">SUM(INDEX($K$365:$K$424,MAX(1,10-Parametri_v3!$C$59+1)):K374)/Parametri_v3!$C$59</f>
        <v>462.962962962963</v>
      </c>
      <c r="M374" s="15" t="n">
        <f aca="false">J374-L374</f>
        <v>-18562.5326510721</v>
      </c>
      <c r="N374" s="15" t="n">
        <f aca="false">CD374-(CD373)</f>
        <v>0</v>
      </c>
      <c r="O374" s="15" t="n">
        <f aca="false">(BG373)*Ipotesi!$C$110/12+CH374*Parametri_v3!$C$39/12</f>
        <v>387.810537740289</v>
      </c>
      <c r="P374" s="15" t="n">
        <f aca="false">M374+N374-O374</f>
        <v>-18950.3431888124</v>
      </c>
      <c r="Q374" s="15" t="n">
        <f aca="false">SUM(P365:P374)+Parametri_v3!$C$54*10/12</f>
        <v>-187728.877611626</v>
      </c>
      <c r="R374" s="15" t="n">
        <f aca="false">0</f>
        <v>0</v>
      </c>
      <c r="S374" s="15" t="n">
        <f aca="false">0</f>
        <v>0</v>
      </c>
      <c r="T374" s="15" t="n">
        <f aca="false">MIN(R374,MAX(0,Q374))</f>
        <v>0</v>
      </c>
      <c r="U374" s="15" t="n">
        <f aca="false">MIN(S374,MAX(0,Q374-T374)*Parametri_v3!$C$42)</f>
        <v>0</v>
      </c>
      <c r="V374" s="15" t="n">
        <f aca="false">MAX(0,Q374-T374-U374)*Ipotesi!$C$92</f>
        <v>0</v>
      </c>
      <c r="W374" s="15" t="n">
        <f aca="false">MAX(0,SUM(M365:M374)+Parametri_v3!$C$55*10/12)*Ipotesi!$C$93</f>
        <v>0</v>
      </c>
      <c r="X374" s="15" t="n">
        <f aca="false">V374+W374-(V373+W373)</f>
        <v>0</v>
      </c>
      <c r="Y374" s="15" t="n">
        <f aca="false">P374-X374</f>
        <v>-18950.3431888124</v>
      </c>
      <c r="Z374" s="15" t="n">
        <f aca="false">R374-T374+IF(AND(Parametri_v3!$C$40=1,D374-YEAR(Parametri_v3!$C$50)&lt;Parametri_v3!$C$41),MAX(0,-Q374),0)</f>
        <v>187728.877611626</v>
      </c>
      <c r="AA374" s="15" t="n">
        <f aca="false">S374-U374+IF(AND(Parametri_v3!$C$40=1,D374-YEAR(Parametri_v3!$C$50)&lt;Parametri_v3!$C$41),0,MAX(0,-Q374))</f>
        <v>0</v>
      </c>
      <c r="AB374" s="15" t="n">
        <f aca="false">F374*(1+Parametri_v3!$C$26)</f>
        <v>9884.25925925926</v>
      </c>
      <c r="AC374" s="15" t="n">
        <f aca="false">(IF(10-(INT((Motore_Operativo!L374)/30))&lt;1,0,INDEX(Motore_Startup!$AB$365:$AB$424,MAX(1,10-(INT((Motore_Operativo!L374)/30)))))*(1-(MOD((Motore_Operativo!L374),30)/30))+IF(10-(INT((Motore_Operativo!L374)/30))-1&lt;1,0,INDEX(Motore_Startup!$AB$365:$AB$424,MAX(1,10-(INT((Motore_Operativo!L374)/30))-1)))*(MOD((Motore_Operativo!L374),30)/30))</f>
        <v>9545.37037037037</v>
      </c>
      <c r="AD374" s="15" t="n">
        <f aca="false">(AD373)+AB374-AC374</f>
        <v>29313.8888888889</v>
      </c>
      <c r="AE374" s="15" t="n">
        <f aca="false">Motore_Operativo!BH374*(1+Parametri_v3!$C$26)</f>
        <v>1977.68421052632</v>
      </c>
      <c r="AF374" s="15" t="n">
        <f aca="false">(IF(10-(INT((Parametri_v3!$C$29)/30))&lt;1,0,INDEX(Motore_Operativo!$BH$365:$BH$424,MAX(1,10-(INT((Parametri_v3!$C$29)/30)))))*(1-(MOD((Parametri_v3!$C$29),30)/30))+IF(10-(INT((Parametri_v3!$C$29)/30))-1&lt;1,0,INDEX(Motore_Operativo!$BH$365:$BH$424,MAX(1,10-(INT((Parametri_v3!$C$29)/30))-1)))*(MOD((Parametri_v3!$C$29),30)/30))*(1+Parametri_v3!$C$26)</f>
        <v>1977.68421052632</v>
      </c>
      <c r="AG374" s="15" t="n">
        <f aca="false">(AG373)+AE374-AF374</f>
        <v>1977.68421052632</v>
      </c>
      <c r="AH374" s="15" t="n">
        <f aca="false">(Motore_Operativo!CJ374)*(1+Parametri_v3!$C$27*Parametri_v3!$C$26)</f>
        <v>11758.1935082846</v>
      </c>
      <c r="AI374" s="15" t="n">
        <f aca="false">(IF(10-(INT((Ipotesi!$C$91)/30))&lt;1,0,INDEX(Motore_Startup!$AH$365:$AH$424,MAX(1,10-(INT((Ipotesi!$C$91)/30)))))*(1-(MOD((Ipotesi!$C$91),30)/30))+IF(10-(INT((Ipotesi!$C$91)/30))-1&lt;1,0,INDEX(Motore_Startup!$AH$365:$AH$424,MAX(1,10-(INT((Ipotesi!$C$91)/30))-1)))*(MOD((Ipotesi!$C$91),30)/30))</f>
        <v>11727.4194342105</v>
      </c>
      <c r="AJ374" s="15" t="n">
        <f aca="false">(AJ373)+AH374-AI374</f>
        <v>23500.9999795322</v>
      </c>
      <c r="AK374" s="15" t="n">
        <f aca="false">(F374+ Motore_Operativo!BH374-(Motore_Operativo!CJ374)*Parametri_v3!$C$27-Motore_Operativo!CE374)*Parametri_v3!$C$26</f>
        <v>-80.0136837231962</v>
      </c>
      <c r="AL374" s="15" t="n">
        <f aca="false">MAX(0,(AM373))</f>
        <v>0</v>
      </c>
      <c r="AM374" s="15" t="n">
        <f aca="false">(AM373)+AK374-AL374</f>
        <v>-1526.96183723196</v>
      </c>
      <c r="AN374" s="15" t="n">
        <f aca="false">0</f>
        <v>0</v>
      </c>
      <c r="AO374" s="15" t="n">
        <f aca="false">0</f>
        <v>0</v>
      </c>
      <c r="AP374" s="15" t="n">
        <f aca="false">MAX(0,AN374)*IF(10=Parametri_v3!$C$43,Parametri_v3!$C$45,IF(10=Parametri_v3!$C$44,1-Parametri_v3!$C$45,0))</f>
        <v>0</v>
      </c>
      <c r="AQ374" s="15" t="n">
        <f aca="false">MAX(0,AP374+IF(10=Parametri_v3!$C$43,MAX(0,AN374-AO374),0)-MAX(0,-(AR373)))</f>
        <v>0</v>
      </c>
      <c r="AR374" s="15" t="n">
        <f aca="false">(AR373)+X374-AQ374</f>
        <v>0</v>
      </c>
      <c r="AS374" s="15" t="n">
        <f aca="false">Motore_Operativo!AB374-AT374+AU374</f>
        <v>17020.8333333333</v>
      </c>
      <c r="AT374" s="15" t="n">
        <f aca="false">Motore_Operativo!CH374</f>
        <v>895.833333333334</v>
      </c>
      <c r="AU374" s="15" t="n">
        <f aca="false">MIN(MAX(0,(AV373)+AT374),Parametri_v3!$C$60/12)</f>
        <v>0</v>
      </c>
      <c r="AV374" s="15" t="n">
        <f aca="false">(AV373)+AT374-AU374</f>
        <v>8958.33333333334</v>
      </c>
      <c r="AW374" s="15" t="n">
        <f aca="false">IF(AND(Motore_Operativo!C374=Finanziamenti!$D$6,Finanziamenti!$F$6=1),Finanziamenti!$C$6,0)</f>
        <v>0</v>
      </c>
      <c r="AX374" s="15" t="n">
        <f aca="false">IF(AND(7&lt;&gt;7,7&lt;&gt;9,Finanziamenti!$F$8=1,OR(Parametri_v3!$C$6=0,Finanziamenti!$E$8=1),Motore_Operativo!C374=EDATE(Finanziamenti!$D$8,Ipotesi!I15*12)),Finanziamenti!$C$8*1,0)+IF(AND(7&lt;&gt;7,7&lt;&gt;9,Finanziamenti!$F$9=1,OR(Parametri_v3!$C$6=0,Finanziamenti!$E$9=1),Motore_Operativo!C374=EDATE(Finanziamenti!$D$9,Ipotesi!I15*12)),Finanziamenti!$C$9*Ipotesi!I16,0)</f>
        <v>0</v>
      </c>
      <c r="AY374" s="15" t="n">
        <f aca="false">0</f>
        <v>0</v>
      </c>
      <c r="AZ374" s="15" t="n">
        <f aca="false">Motore_Advisory!AY374*(1-Ipotesi!$C$95)*Ipotesi!$C$96</f>
        <v>0</v>
      </c>
      <c r="BA374" s="15" t="n">
        <f aca="false">MAX(0,MIN(CG374*MIN(1,IF(Motore_Operativo!C374&gt;=EDATE(Finanziamenti!$D$15,Ipotesi!I14*12),Finanziamenti!$C$15,0)+IF(Motore_Operativo!C374&gt;=EDATE(Finanziamenti!$D$16,Ipotesi!I14*12),Finanziamenti!$C$16,0)+IF(Motore_Operativo!C374&gt;=EDATE(Finanziamenti!$D$17,Ipotesi!I14*12),Finanziamenti!$C$17,0)),CA374*Ipotesi!$C$102)-(CC373))</f>
        <v>0</v>
      </c>
      <c r="BB374" s="15" t="n">
        <f aca="false">IF(AND(CF374&gt;0,Motore_Operativo!C374&gt;=IF(CF374=0,0,EDATE(CF374,Parametri_v3!$C$37)),MOD(((D374-YEAR(IF(CF374=0,0,EDATE(CF374,Parametri_v3!$C$37))))*12+E374-MONTH(IF(CF374=0,0,EDATE(CF374,Parametri_v3!$C$37)))),Parametri_v3!$C$38)=0),MIN(MAX(0,(BC373)+BA374-N374),(CC374-CD374)/(Ipotesi!$C$108*12/Parametri_v3!$C$38)),0)</f>
        <v>0</v>
      </c>
      <c r="BC374" s="15" t="n">
        <f aca="false">(BC373)+BA374-N374-BB374</f>
        <v>0</v>
      </c>
      <c r="BD374" s="15" t="n">
        <f aca="false">(BH373)+AC374+AF374-AI374-AS374-K374*(1+Parametri_v3!$C$26)-AL374-AQ374-O374+AW374+AX374+AZ374+BA374-BB374</f>
        <v>5353.6579422792</v>
      </c>
      <c r="BE374" s="15" t="n">
        <f aca="false">MAX(0,MIN(MAX(0,CH374-(BG373)),Parametri_v3!$C$30-BD374))</f>
        <v>19646.3420577208</v>
      </c>
      <c r="BF374" s="15" t="n">
        <f aca="false">IF(Motore_Operativo!C374&gt;=Parametri_v3!$C$63,(BG373),MIN((BG373),MAX(0,BD374-Parametri_v3!$C$30)))</f>
        <v>0</v>
      </c>
      <c r="BG374" s="15" t="n">
        <f aca="false">(BG373)+BE374-BF374</f>
        <v>97208.4496057785</v>
      </c>
      <c r="BH374" s="15" t="n">
        <f aca="false">BD374+BE374-BF374-AY374</f>
        <v>25000</v>
      </c>
      <c r="BI374" s="15" t="n">
        <f aca="false">MAX(0,Parametri_v3!$C$30-BH374)</f>
        <v>0</v>
      </c>
      <c r="BJ374" s="15" t="n">
        <f aca="false">(BJ373)+K374</f>
        <v>16666.6666666667</v>
      </c>
      <c r="BK374" s="15" t="n">
        <f aca="false">(BK373)+L374</f>
        <v>2546.2962962963</v>
      </c>
      <c r="BL374" s="15" t="n">
        <f aca="false">BJ374-BK374</f>
        <v>14120.3703703704</v>
      </c>
      <c r="BM374" s="15" t="n">
        <f aca="false">(BM373)+Y374</f>
        <v>-187728.877611626</v>
      </c>
      <c r="BN374" s="15" t="n">
        <f aca="false">(BN373)+AW374+AX374+AZ374</f>
        <v>130000</v>
      </c>
      <c r="BO374" s="15" t="n">
        <f aca="false">(BO373)+AY374</f>
        <v>0</v>
      </c>
      <c r="BP374" s="15" t="n">
        <f aca="false">0</f>
        <v>0</v>
      </c>
      <c r="BQ374" s="15" t="n">
        <f aca="false">BN374+BM374-BO374</f>
        <v>-57728.8776116264</v>
      </c>
      <c r="BR374" s="15" t="n">
        <f aca="false">BH374+AD374+BL374+MAX(0,-AM374)+MAX(0,-AR374)+AG374</f>
        <v>71938.9053070176</v>
      </c>
      <c r="BS374" s="15" t="n">
        <f aca="false">AJ374+AV374+MAX(0,AM374)+MAX(0,AR374)+BC374+BG374+BQ374</f>
        <v>71938.9053070176</v>
      </c>
      <c r="BT374" s="15" t="n">
        <f aca="false">BR374-BS374</f>
        <v>0</v>
      </c>
      <c r="BU374" s="15" t="n">
        <f aca="false">BH374-(BD374+BE374-BF374-AY374)</f>
        <v>0</v>
      </c>
      <c r="BV374" s="15" t="n">
        <f aca="false">MIN(Piano_SS!$C$6,(BV373)+IF(AND(Motore_Operativo!C374&gt;=EDATE(Parametri_v3!$C$24,Ipotesi!I14*12),Motore_Operativo!C374&lt;EDATE(Parametri_v3!$C$24,Parametri_v3!$C$25+Ipotesi!I14*12)),MAX(0,(Motore_Operativo!Y374+Motore_Operativo!X374*Parametri_v3!$C$14)*(1-Parametri_v3!$C$32))*Piano_SS!$D$6,0))</f>
        <v>19000</v>
      </c>
      <c r="BW374" s="15" t="n">
        <f aca="false">MIN(Piano_SS!$C$7,(BW373)+IF(AND(Motore_Operativo!C374&gt;=EDATE(Parametri_v3!$C$24,Ipotesi!I14*12),Motore_Operativo!C374&lt;EDATE(Parametri_v3!$C$24,Parametri_v3!$C$25+Ipotesi!I14*12)),MAX(0,(IF(10-(INT((Ipotesi!$C$91)/30))&lt;1,0,INDEX(Motore_Operativo!$BN$365:$BN$424,MAX(1,10-(INT((Ipotesi!$C$91)/30)))))*(1-(MOD((Ipotesi!$C$91),30)/30))+IF(10-(INT((Ipotesi!$C$91)/30))-1&lt;1,0,INDEX(Motore_Operativo!$BN$365:$BN$424,MAX(1,10-(INT((Ipotesi!$C$91)/30))-1)))*(MOD((Ipotesi!$C$91),30)/30)))*Piano_SS!$D$7,0))</f>
        <v>5088.88888888889</v>
      </c>
      <c r="BX374" s="15" t="n">
        <f aca="false">MIN(Piano_SS!$C$8,(BX373)+IF(AND(Motore_Operativo!C374&gt;=EDATE(Parametri_v3!$C$24,Ipotesi!I14*12),Motore_Operativo!C374&lt;EDATE(Parametri_v3!$C$24,Parametri_v3!$C$25+Ipotesi!I14*12)),MAX(0,Motore_Operativo!CE374)*Piano_SS!$D$8,0))</f>
        <v>6666.66666666667</v>
      </c>
      <c r="BY374" s="15" t="n">
        <f aca="false">MIN(Piano_SS!$C$9,(BY373)+IF(AND(Motore_Operativo!C374&gt;=EDATE(Parametri_v3!$C$24,Ipotesi!I14*12),Motore_Operativo!C374&lt;EDATE(Parametri_v3!$C$24,Parametri_v3!$C$25+Ipotesi!I14*12)),MAX(0,((IF(10-(INT((Ipotesi!$C$91)/30))&lt;1,0,INDEX(Motore_Operativo!$BQ$365:$BQ$424,MAX(1,10-(INT((Ipotesi!$C$91)/30)))))*(1-(MOD((Ipotesi!$C$91),30)/30))+IF(10-(INT((Ipotesi!$C$91)/30))-1&lt;1,0,INDEX(Motore_Operativo!$BQ$365:$BQ$424,MAX(1,10-(INT((Ipotesi!$C$91)/30))-1)))*(MOD((Ipotesi!$C$91),30)/30))+(IF(10-(INT((Ipotesi!$C$91)/30))&lt;1,0,INDEX(Motore_Operativo!$BR$365:$BR$424,MAX(1,10-(INT((Ipotesi!$C$91)/30)))))*(1-(MOD((Ipotesi!$C$91),30)/30))+IF(10-(INT((Ipotesi!$C$91)/30))-1&lt;1,0,INDEX(Motore_Operativo!$BR$365:$BR$424,MAX(1,10-(INT((Ipotesi!$C$91)/30))-1)))*(MOD((Ipotesi!$C$91),30)/30))))*Piano_SS!$D$9,0))</f>
        <v>9000</v>
      </c>
      <c r="BZ374" s="15" t="n">
        <f aca="false">MIN(Piano_SS!$C$10,(BZ373)+IF(AND(Motore_Operativo!C374&gt;=EDATE(Parametri_v3!$C$24,Ipotesi!I14*12),Motore_Operativo!C374&lt;EDATE(Parametri_v3!$C$24,Parametri_v3!$C$25+Ipotesi!I14*12)),MAX(0,(IF(10-(INT((Ipotesi!$C$91)/30))&lt;1,0,INDEX(Motore_Operativo!$BO$365:$BO$424,MAX(1,10-(INT((Ipotesi!$C$91)/30)))))*(1-(MOD((Ipotesi!$C$91),30)/30))+IF(10-(INT((Ipotesi!$C$91)/30))-1&lt;1,0,INDEX(Motore_Operativo!$BO$365:$BO$424,MAX(1,10-(INT((Ipotesi!$C$91)/30))-1)))*(MOD((Ipotesi!$C$91),30)/30)))*Piano_SS!$D$10,0))</f>
        <v>4000</v>
      </c>
      <c r="CA374" s="15" t="n">
        <f aca="false">SUM(BV374:BZ374)</f>
        <v>43755.5555555556</v>
      </c>
      <c r="CB374" s="15" t="n">
        <f aca="false">BV374*(1-Piano_SS!$E$6)+BW374*(1-Piano_SS!$E$7)+BX374*(1-Piano_SS!$E$8)+BY374*(1-Piano_SS!$E$9)+BZ374*(1-Piano_SS!$E$10)</f>
        <v>39755.5555555556</v>
      </c>
      <c r="CC374" s="15" t="n">
        <f aca="false">(CC373)+BA374</f>
        <v>0</v>
      </c>
      <c r="CD374" s="15" t="n">
        <f aca="false">IF(CA374=0,0,CC374*CB374/CA374*Ipotesi!$C$103*Parametri_v3!$C$64)</f>
        <v>0</v>
      </c>
      <c r="CE374" s="18" t="n">
        <f aca="false">IF(BA374&gt;0,Motore_Operativo!C374,(CE373))</f>
        <v>0</v>
      </c>
      <c r="CF374" s="18" t="n">
        <f aca="false">IF(AND(CC374&gt;0,OR(CC374&gt;=CG374-0.01,Motore_Operativo!C374&gt;=EDATE(MAX(Finanziamenti!$D$15:$D$17),Ipotesi!I14*12))),CE374,0)</f>
        <v>0</v>
      </c>
      <c r="CG374" s="15" t="n">
        <f aca="false">IF(AND(7&lt;&gt;6,7&lt;&gt;9,Finanziamenti!$F$11=1,OR(Parametri_v3!$C$6=0,Finanziamenti!$E$11=1)),MIN(Finanziamenti!$C$11,Piano_SS!$C$12*Ipotesi!$C$102),0)</f>
        <v>400000</v>
      </c>
      <c r="CH374" s="15" t="n">
        <f aca="false">IF(AND(AND(7&lt;&gt;8,7&lt;&gt;9,Finanziamenti!$F$10=1,OR(Parametri_v3!$C$6=0,Finanziamenti!$E$10=1)),Motore_Operativo!C374&gt;=Finanziamenti!$D$10,Motore_Operativo!C374&lt;Parametri_v3!$C$63),Finanziamenti!$C$10,0)</f>
        <v>150000</v>
      </c>
    </row>
    <row r="375" customFormat="false" ht="18" hidden="false" customHeight="true" outlineLevel="0" collapsed="false">
      <c r="A375" s="68" t="n">
        <f aca="false">7</f>
        <v>7</v>
      </c>
      <c r="B375" s="68" t="n">
        <f aca="false">11</f>
        <v>11</v>
      </c>
      <c r="C375" s="18" t="n">
        <f aca="false">Motore_Operativo!C375</f>
        <v>46692</v>
      </c>
      <c r="D375" s="68" t="n">
        <f aca="false">Motore_Operativo!D375</f>
        <v>2027</v>
      </c>
      <c r="E375" s="68" t="n">
        <f aca="false">Motore_Operativo!E375</f>
        <v>11</v>
      </c>
      <c r="F375" s="15" t="n">
        <f aca="false">Motore_Operativo!AQ375+Motore_Operativo!BF375</f>
        <v>8194.44444444445</v>
      </c>
      <c r="G375" s="15" t="n">
        <f aca="false">Motore_Operativo!BH375</f>
        <v>1621.05263157895</v>
      </c>
      <c r="H375" s="15" t="n">
        <f aca="false">Motore_Operativo!BI375</f>
        <v>9815.49707602339</v>
      </c>
      <c r="I375" s="15" t="n">
        <f aca="false">Motore_Operativo!CA375</f>
        <v>27835.4371345029</v>
      </c>
      <c r="J375" s="15" t="n">
        <f aca="false">Motore_Operativo!CC375</f>
        <v>-18019.9400584795</v>
      </c>
      <c r="K375" s="15" t="n">
        <f aca="false">Motore_Operativo!CE375</f>
        <v>1666.66666666667</v>
      </c>
      <c r="L375" s="15" t="n">
        <f aca="false">SUM(INDEX($K$365:$K$424,MAX(1,11-Parametri_v3!$C$59+1)):K375)/Parametri_v3!$C$59</f>
        <v>509.259259259259</v>
      </c>
      <c r="M375" s="15" t="n">
        <f aca="false">J375-L375</f>
        <v>-18529.1993177388</v>
      </c>
      <c r="N375" s="15" t="n">
        <f aca="false">CD375-(CD374)</f>
        <v>0</v>
      </c>
      <c r="O375" s="15" t="n">
        <f aca="false">(BG374)*Ipotesi!$C$110/12+CH375*Parametri_v3!$C$39/12</f>
        <v>486.042248028893</v>
      </c>
      <c r="P375" s="15" t="n">
        <f aca="false">M375+N375-O375</f>
        <v>-19015.2415657677</v>
      </c>
      <c r="Q375" s="15" t="n">
        <f aca="false">SUM(P365:P375)+Parametri_v3!$C$54*11/12</f>
        <v>-206744.119177394</v>
      </c>
      <c r="R375" s="15" t="n">
        <f aca="false">0</f>
        <v>0</v>
      </c>
      <c r="S375" s="15" t="n">
        <f aca="false">0</f>
        <v>0</v>
      </c>
      <c r="T375" s="15" t="n">
        <f aca="false">MIN(R375,MAX(0,Q375))</f>
        <v>0</v>
      </c>
      <c r="U375" s="15" t="n">
        <f aca="false">MIN(S375,MAX(0,Q375-T375)*Parametri_v3!$C$42)</f>
        <v>0</v>
      </c>
      <c r="V375" s="15" t="n">
        <f aca="false">MAX(0,Q375-T375-U375)*Ipotesi!$C$92</f>
        <v>0</v>
      </c>
      <c r="W375" s="15" t="n">
        <f aca="false">MAX(0,SUM(M365:M375)+Parametri_v3!$C$55*11/12)*Ipotesi!$C$93</f>
        <v>0</v>
      </c>
      <c r="X375" s="15" t="n">
        <f aca="false">V375+W375-(V374+W374)</f>
        <v>0</v>
      </c>
      <c r="Y375" s="15" t="n">
        <f aca="false">P375-X375</f>
        <v>-19015.2415657677</v>
      </c>
      <c r="Z375" s="15" t="n">
        <f aca="false">R375-T375+IF(AND(Parametri_v3!$C$40=1,D375-YEAR(Parametri_v3!$C$50)&lt;Parametri_v3!$C$41),MAX(0,-Q375),0)</f>
        <v>206744.119177394</v>
      </c>
      <c r="AA375" s="15" t="n">
        <f aca="false">S375-U375+IF(AND(Parametri_v3!$C$40=1,D375-YEAR(Parametri_v3!$C$50)&lt;Parametri_v3!$C$41),0,MAX(0,-Q375))</f>
        <v>0</v>
      </c>
      <c r="AB375" s="15" t="n">
        <f aca="false">F375*(1+Parametri_v3!$C$26)</f>
        <v>9997.22222222222</v>
      </c>
      <c r="AC375" s="15" t="n">
        <f aca="false">(IF(11-(INT((Motore_Operativo!L375)/30))&lt;1,0,INDEX(Motore_Startup!$AB$365:$AB$424,MAX(1,11-(INT((Motore_Operativo!L375)/30)))))*(1-(MOD((Motore_Operativo!L375),30)/30))+IF(11-(INT((Motore_Operativo!L375)/30))-1&lt;1,0,INDEX(Motore_Startup!$AB$365:$AB$424,MAX(1,11-(INT((Motore_Operativo!L375)/30))-1)))*(MOD((Motore_Operativo!L375),30)/30))</f>
        <v>9658.33333333333</v>
      </c>
      <c r="AD375" s="15" t="n">
        <f aca="false">(AD374)+AB375-AC375</f>
        <v>29652.7777777778</v>
      </c>
      <c r="AE375" s="15" t="n">
        <f aca="false">Motore_Operativo!BH375*(1+Parametri_v3!$C$26)</f>
        <v>1977.68421052632</v>
      </c>
      <c r="AF375" s="15" t="n">
        <f aca="false">(IF(11-(INT((Parametri_v3!$C$29)/30))&lt;1,0,INDEX(Motore_Operativo!$BH$365:$BH$424,MAX(1,11-(INT((Parametri_v3!$C$29)/30)))))*(1-(MOD((Parametri_v3!$C$29),30)/30))+IF(11-(INT((Parametri_v3!$C$29)/30))-1&lt;1,0,INDEX(Motore_Operativo!$BH$365:$BH$424,MAX(1,11-(INT((Parametri_v3!$C$29)/30))-1)))*(MOD((Parametri_v3!$C$29),30)/30))*(1+Parametri_v3!$C$26)</f>
        <v>1977.68421052632</v>
      </c>
      <c r="AG375" s="15" t="n">
        <f aca="false">(AG374)+AE375-AF375</f>
        <v>1977.68421052632</v>
      </c>
      <c r="AH375" s="15" t="n">
        <f aca="false">(Motore_Operativo!CJ375)*(1+Parametri_v3!$C$27*Parametri_v3!$C$26)</f>
        <v>11773.5805453216</v>
      </c>
      <c r="AI375" s="15" t="n">
        <f aca="false">(IF(11-(INT((Ipotesi!$C$91)/30))&lt;1,0,INDEX(Motore_Startup!$AH$365:$AH$424,MAX(1,11-(INT((Ipotesi!$C$91)/30)))))*(1-(MOD((Ipotesi!$C$91),30)/30))+IF(11-(INT((Ipotesi!$C$91)/30))-1&lt;1,0,INDEX(Motore_Startup!$AH$365:$AH$424,MAX(1,11-(INT((Ipotesi!$C$91)/30))-1)))*(MOD((Ipotesi!$C$91),30)/30))</f>
        <v>11742.8064712476</v>
      </c>
      <c r="AJ375" s="15" t="n">
        <f aca="false">(AJ374)+AH375-AI375</f>
        <v>23531.7740536062</v>
      </c>
      <c r="AK375" s="15" t="n">
        <f aca="false">(F375+ Motore_Operativo!BH375-(Motore_Operativo!CJ375)*Parametri_v3!$C$27-Motore_Operativo!CE375)*Parametri_v3!$C$26</f>
        <v>-62.0673874268997</v>
      </c>
      <c r="AL375" s="15" t="n">
        <f aca="false">MAX(0,(AM374))</f>
        <v>0</v>
      </c>
      <c r="AM375" s="15" t="n">
        <f aca="false">(AM374)+AK375-AL375</f>
        <v>-1589.02922465886</v>
      </c>
      <c r="AN375" s="15" t="n">
        <f aca="false">0</f>
        <v>0</v>
      </c>
      <c r="AO375" s="15" t="n">
        <f aca="false">0</f>
        <v>0</v>
      </c>
      <c r="AP375" s="15" t="n">
        <f aca="false">MAX(0,AN375)*IF(11=Parametri_v3!$C$43,Parametri_v3!$C$45,IF(11=Parametri_v3!$C$44,1-Parametri_v3!$C$45,0))</f>
        <v>0</v>
      </c>
      <c r="AQ375" s="15" t="n">
        <f aca="false">MAX(0,AP375+IF(11=Parametri_v3!$C$43,MAX(0,AN375-AO375),0)-MAX(0,-(AR374)))</f>
        <v>0</v>
      </c>
      <c r="AR375" s="15" t="n">
        <f aca="false">(AR374)+X375-AQ375</f>
        <v>0</v>
      </c>
      <c r="AS375" s="15" t="n">
        <f aca="false">Motore_Operativo!AB375-AT375+AU375</f>
        <v>17020.8333333333</v>
      </c>
      <c r="AT375" s="15" t="n">
        <f aca="false">Motore_Operativo!CH375</f>
        <v>895.833333333334</v>
      </c>
      <c r="AU375" s="15" t="n">
        <f aca="false">MIN(MAX(0,(AV374)+AT375),Parametri_v3!$C$60/12)</f>
        <v>0</v>
      </c>
      <c r="AV375" s="15" t="n">
        <f aca="false">(AV374)+AT375-AU375</f>
        <v>9854.16666666667</v>
      </c>
      <c r="AW375" s="15" t="n">
        <f aca="false">IF(AND(Motore_Operativo!C375=Finanziamenti!$D$6,Finanziamenti!$F$6=1),Finanziamenti!$C$6,0)</f>
        <v>0</v>
      </c>
      <c r="AX375" s="15" t="n">
        <f aca="false">IF(AND(7&lt;&gt;7,7&lt;&gt;9,Finanziamenti!$F$8=1,OR(Parametri_v3!$C$6=0,Finanziamenti!$E$8=1),Motore_Operativo!C375=EDATE(Finanziamenti!$D$8,Ipotesi!I15*12)),Finanziamenti!$C$8*1,0)+IF(AND(7&lt;&gt;7,7&lt;&gt;9,Finanziamenti!$F$9=1,OR(Parametri_v3!$C$6=0,Finanziamenti!$E$9=1),Motore_Operativo!C375=EDATE(Finanziamenti!$D$9,Ipotesi!I15*12)),Finanziamenti!$C$9*Ipotesi!I16,0)</f>
        <v>0</v>
      </c>
      <c r="AY375" s="15" t="n">
        <f aca="false">0</f>
        <v>0</v>
      </c>
      <c r="AZ375" s="15" t="n">
        <f aca="false">Motore_Advisory!AY375*(1-Ipotesi!$C$95)*Ipotesi!$C$96</f>
        <v>0</v>
      </c>
      <c r="BA375" s="15" t="n">
        <f aca="false">MAX(0,MIN(CG375*MIN(1,IF(Motore_Operativo!C375&gt;=EDATE(Finanziamenti!$D$15,Ipotesi!I14*12),Finanziamenti!$C$15,0)+IF(Motore_Operativo!C375&gt;=EDATE(Finanziamenti!$D$16,Ipotesi!I14*12),Finanziamenti!$C$16,0)+IF(Motore_Operativo!C375&gt;=EDATE(Finanziamenti!$D$17,Ipotesi!I14*12),Finanziamenti!$C$17,0)),CA375*Ipotesi!$C$102)-(CC374))</f>
        <v>0</v>
      </c>
      <c r="BB375" s="15" t="n">
        <f aca="false">IF(AND(CF375&gt;0,Motore_Operativo!C375&gt;=IF(CF375=0,0,EDATE(CF375,Parametri_v3!$C$37)),MOD(((D375-YEAR(IF(CF375=0,0,EDATE(CF375,Parametri_v3!$C$37))))*12+E375-MONTH(IF(CF375=0,0,EDATE(CF375,Parametri_v3!$C$37)))),Parametri_v3!$C$38)=0),MIN(MAX(0,(BC374)+BA375-N375),(CC375-CD375)/(Ipotesi!$C$108*12/Parametri_v3!$C$38)),0)</f>
        <v>0</v>
      </c>
      <c r="BC375" s="15" t="n">
        <f aca="false">(BC374)+BA375-N375-BB375</f>
        <v>0</v>
      </c>
      <c r="BD375" s="15" t="n">
        <f aca="false">(BH374)+AC375+AF375-AI375-AS375-K375*(1+Parametri_v3!$C$26)-AL375-AQ375-O375+AW375+AX375+AZ375+BA375-BB375</f>
        <v>5353.00215791653</v>
      </c>
      <c r="BE375" s="15" t="n">
        <f aca="false">MAX(0,MIN(MAX(0,CH375-(BG374)),Parametri_v3!$C$30-BD375))</f>
        <v>19646.9978420835</v>
      </c>
      <c r="BF375" s="15" t="n">
        <f aca="false">IF(Motore_Operativo!C375&gt;=Parametri_v3!$C$63,(BG374),MIN((BG374),MAX(0,BD375-Parametri_v3!$C$30)))</f>
        <v>0</v>
      </c>
      <c r="BG375" s="15" t="n">
        <f aca="false">(BG374)+BE375-BF375</f>
        <v>116855.447447862</v>
      </c>
      <c r="BH375" s="15" t="n">
        <f aca="false">BD375+BE375-BF375-AY375</f>
        <v>25000</v>
      </c>
      <c r="BI375" s="15" t="n">
        <f aca="false">MAX(0,Parametri_v3!$C$30-BH375)</f>
        <v>0</v>
      </c>
      <c r="BJ375" s="15" t="n">
        <f aca="false">(BJ374)+K375</f>
        <v>18333.3333333333</v>
      </c>
      <c r="BK375" s="15" t="n">
        <f aca="false">(BK374)+L375</f>
        <v>3055.55555555556</v>
      </c>
      <c r="BL375" s="15" t="n">
        <f aca="false">BJ375-BK375</f>
        <v>15277.7777777778</v>
      </c>
      <c r="BM375" s="15" t="n">
        <f aca="false">(BM374)+Y375</f>
        <v>-206744.119177394</v>
      </c>
      <c r="BN375" s="15" t="n">
        <f aca="false">(BN374)+AW375+AX375+AZ375</f>
        <v>130000</v>
      </c>
      <c r="BO375" s="15" t="n">
        <f aca="false">(BO374)+AY375</f>
        <v>0</v>
      </c>
      <c r="BP375" s="15" t="n">
        <f aca="false">0</f>
        <v>0</v>
      </c>
      <c r="BQ375" s="15" t="n">
        <f aca="false">BN375+BM375-BO375</f>
        <v>-76744.1191773941</v>
      </c>
      <c r="BR375" s="15" t="n">
        <f aca="false">BH375+AD375+BL375+MAX(0,-AM375)+MAX(0,-AR375)+AG375</f>
        <v>73497.2689907408</v>
      </c>
      <c r="BS375" s="15" t="n">
        <f aca="false">AJ375+AV375+MAX(0,AM375)+MAX(0,AR375)+BC375+BG375+BQ375</f>
        <v>73497.2689907408</v>
      </c>
      <c r="BT375" s="15" t="n">
        <f aca="false">BR375-BS375</f>
        <v>0</v>
      </c>
      <c r="BU375" s="15" t="n">
        <f aca="false">BH375-(BD375+BE375-BF375-AY375)</f>
        <v>0</v>
      </c>
      <c r="BV375" s="15" t="n">
        <f aca="false">MIN(Piano_SS!$C$6,(BV374)+IF(AND(Motore_Operativo!C375&gt;=EDATE(Parametri_v3!$C$24,Ipotesi!I14*12),Motore_Operativo!C375&lt;EDATE(Parametri_v3!$C$24,Parametri_v3!$C$25+Ipotesi!I14*12)),MAX(0,(Motore_Operativo!Y375+Motore_Operativo!X375*Parametri_v3!$C$14)*(1-Parametri_v3!$C$32))*Piano_SS!$D$6,0))</f>
        <v>23750</v>
      </c>
      <c r="BW375" s="15" t="n">
        <f aca="false">MIN(Piano_SS!$C$7,(BW374)+IF(AND(Motore_Operativo!C375&gt;=EDATE(Parametri_v3!$C$24,Ipotesi!I14*12),Motore_Operativo!C375&lt;EDATE(Parametri_v3!$C$24,Parametri_v3!$C$25+Ipotesi!I14*12)),MAX(0,(IF(11-(INT((Ipotesi!$C$91)/30))&lt;1,0,INDEX(Motore_Operativo!$BN$365:$BN$424,MAX(1,11-(INT((Ipotesi!$C$91)/30)))))*(1-(MOD((Ipotesi!$C$91),30)/30))+IF(11-(INT((Ipotesi!$C$91)/30))-1&lt;1,0,INDEX(Motore_Operativo!$BN$365:$BN$424,MAX(1,11-(INT((Ipotesi!$C$91)/30))-1)))*(MOD((Ipotesi!$C$91),30)/30)))*Piano_SS!$D$7,0))</f>
        <v>6379.62962962963</v>
      </c>
      <c r="BX375" s="15" t="n">
        <f aca="false">MIN(Piano_SS!$C$8,(BX374)+IF(AND(Motore_Operativo!C375&gt;=EDATE(Parametri_v3!$C$24,Ipotesi!I14*12),Motore_Operativo!C375&lt;EDATE(Parametri_v3!$C$24,Parametri_v3!$C$25+Ipotesi!I14*12)),MAX(0,Motore_Operativo!CE375)*Piano_SS!$D$8,0))</f>
        <v>8333.33333333333</v>
      </c>
      <c r="BY375" s="15" t="n">
        <f aca="false">MIN(Piano_SS!$C$9,(BY374)+IF(AND(Motore_Operativo!C375&gt;=EDATE(Parametri_v3!$C$24,Ipotesi!I14*12),Motore_Operativo!C375&lt;EDATE(Parametri_v3!$C$24,Parametri_v3!$C$25+Ipotesi!I14*12)),MAX(0,((IF(11-(INT((Ipotesi!$C$91)/30))&lt;1,0,INDEX(Motore_Operativo!$BQ$365:$BQ$424,MAX(1,11-(INT((Ipotesi!$C$91)/30)))))*(1-(MOD((Ipotesi!$C$91),30)/30))+IF(11-(INT((Ipotesi!$C$91)/30))-1&lt;1,0,INDEX(Motore_Operativo!$BQ$365:$BQ$424,MAX(1,11-(INT((Ipotesi!$C$91)/30))-1)))*(MOD((Ipotesi!$C$91),30)/30))+(IF(11-(INT((Ipotesi!$C$91)/30))&lt;1,0,INDEX(Motore_Operativo!$BR$365:$BR$424,MAX(1,11-(INT((Ipotesi!$C$91)/30)))))*(1-(MOD((Ipotesi!$C$91),30)/30))+IF(11-(INT((Ipotesi!$C$91)/30))-1&lt;1,0,INDEX(Motore_Operativo!$BR$365:$BR$424,MAX(1,11-(INT((Ipotesi!$C$91)/30))-1)))*(MOD((Ipotesi!$C$91),30)/30))))*Piano_SS!$D$9,0))</f>
        <v>11250</v>
      </c>
      <c r="BZ375" s="15" t="n">
        <f aca="false">MIN(Piano_SS!$C$10,(BZ374)+IF(AND(Motore_Operativo!C375&gt;=EDATE(Parametri_v3!$C$24,Ipotesi!I14*12),Motore_Operativo!C375&lt;EDATE(Parametri_v3!$C$24,Parametri_v3!$C$25+Ipotesi!I14*12)),MAX(0,(IF(11-(INT((Ipotesi!$C$91)/30))&lt;1,0,INDEX(Motore_Operativo!$BO$365:$BO$424,MAX(1,11-(INT((Ipotesi!$C$91)/30)))))*(1-(MOD((Ipotesi!$C$91),30)/30))+IF(11-(INT((Ipotesi!$C$91)/30))-1&lt;1,0,INDEX(Motore_Operativo!$BO$365:$BO$424,MAX(1,11-(INT((Ipotesi!$C$91)/30))-1)))*(MOD((Ipotesi!$C$91),30)/30)))*Piano_SS!$D$10,0))</f>
        <v>5000</v>
      </c>
      <c r="CA375" s="15" t="n">
        <f aca="false">SUM(BV375:BZ375)</f>
        <v>54712.962962963</v>
      </c>
      <c r="CB375" s="15" t="n">
        <f aca="false">BV375*(1-Piano_SS!$E$6)+BW375*(1-Piano_SS!$E$7)+BX375*(1-Piano_SS!$E$8)+BY375*(1-Piano_SS!$E$9)+BZ375*(1-Piano_SS!$E$10)</f>
        <v>49712.962962963</v>
      </c>
      <c r="CC375" s="15" t="n">
        <f aca="false">(CC374)+BA375</f>
        <v>0</v>
      </c>
      <c r="CD375" s="15" t="n">
        <f aca="false">IF(CA375=0,0,CC375*CB375/CA375*Ipotesi!$C$103*Parametri_v3!$C$64)</f>
        <v>0</v>
      </c>
      <c r="CE375" s="18" t="n">
        <f aca="false">IF(BA375&gt;0,Motore_Operativo!C375,(CE374))</f>
        <v>0</v>
      </c>
      <c r="CF375" s="18" t="n">
        <f aca="false">IF(AND(CC375&gt;0,OR(CC375&gt;=CG375-0.01,Motore_Operativo!C375&gt;=EDATE(MAX(Finanziamenti!$D$15:$D$17),Ipotesi!I14*12))),CE375,0)</f>
        <v>0</v>
      </c>
      <c r="CG375" s="15" t="n">
        <f aca="false">IF(AND(7&lt;&gt;6,7&lt;&gt;9,Finanziamenti!$F$11=1,OR(Parametri_v3!$C$6=0,Finanziamenti!$E$11=1)),MIN(Finanziamenti!$C$11,Piano_SS!$C$12*Ipotesi!$C$102),0)</f>
        <v>400000</v>
      </c>
      <c r="CH375" s="15" t="n">
        <f aca="false">IF(AND(AND(7&lt;&gt;8,7&lt;&gt;9,Finanziamenti!$F$10=1,OR(Parametri_v3!$C$6=0,Finanziamenti!$E$10=1)),Motore_Operativo!C375&gt;=Finanziamenti!$D$10,Motore_Operativo!C375&lt;Parametri_v3!$C$63),Finanziamenti!$C$10,0)</f>
        <v>150000</v>
      </c>
    </row>
    <row r="376" customFormat="false" ht="18" hidden="false" customHeight="true" outlineLevel="0" collapsed="false">
      <c r="A376" s="68" t="n">
        <f aca="false">7</f>
        <v>7</v>
      </c>
      <c r="B376" s="68" t="n">
        <f aca="false">12</f>
        <v>12</v>
      </c>
      <c r="C376" s="18" t="n">
        <f aca="false">Motore_Operativo!C376</f>
        <v>46722</v>
      </c>
      <c r="D376" s="68" t="n">
        <f aca="false">Motore_Operativo!D376</f>
        <v>2027</v>
      </c>
      <c r="E376" s="68" t="n">
        <f aca="false">Motore_Operativo!E376</f>
        <v>12</v>
      </c>
      <c r="F376" s="15" t="n">
        <f aca="false">Motore_Operativo!AQ376+Motore_Operativo!BF376</f>
        <v>8287.03703703704</v>
      </c>
      <c r="G376" s="15" t="n">
        <f aca="false">Motore_Operativo!BH376</f>
        <v>1621.05263157895</v>
      </c>
      <c r="H376" s="15" t="n">
        <f aca="false">Motore_Operativo!BI376</f>
        <v>9908.08966861599</v>
      </c>
      <c r="I376" s="15" t="n">
        <f aca="false">Motore_Operativo!CA376</f>
        <v>27848.4000974659</v>
      </c>
      <c r="J376" s="15" t="n">
        <f aca="false">Motore_Operativo!CC376</f>
        <v>-17940.3104288499</v>
      </c>
      <c r="K376" s="15" t="n">
        <f aca="false">Motore_Operativo!CE376</f>
        <v>1666.66666666667</v>
      </c>
      <c r="L376" s="15" t="n">
        <f aca="false">SUM(INDEX($K$365:$K$424,MAX(1,12-Parametri_v3!$C$59+1)):K376)/Parametri_v3!$C$59</f>
        <v>555.555555555556</v>
      </c>
      <c r="M376" s="15" t="n">
        <f aca="false">J376-L376</f>
        <v>-18495.8659844055</v>
      </c>
      <c r="N376" s="15" t="n">
        <f aca="false">CD376-(CD375)</f>
        <v>14322.6666666667</v>
      </c>
      <c r="O376" s="15" t="n">
        <f aca="false">(BG375)*Ipotesi!$C$110/12+CH376*Parametri_v3!$C$39/12</f>
        <v>584.27723723931</v>
      </c>
      <c r="P376" s="15" t="n">
        <f aca="false">M376+N376-O376</f>
        <v>-4757.4765549781</v>
      </c>
      <c r="Q376" s="15" t="n">
        <f aca="false">SUM(P365:P376)+Parametri_v3!$C$54*12/12</f>
        <v>-211501.595732372</v>
      </c>
      <c r="R376" s="15" t="n">
        <f aca="false">0</f>
        <v>0</v>
      </c>
      <c r="S376" s="15" t="n">
        <f aca="false">0</f>
        <v>0</v>
      </c>
      <c r="T376" s="15" t="n">
        <f aca="false">MIN(R376,MAX(0,Q376))</f>
        <v>0</v>
      </c>
      <c r="U376" s="15" t="n">
        <f aca="false">MIN(S376,MAX(0,Q376-T376)*Parametri_v3!$C$42)</f>
        <v>0</v>
      </c>
      <c r="V376" s="15" t="n">
        <f aca="false">MAX(0,Q376-T376-U376)*Ipotesi!$C$92</f>
        <v>0</v>
      </c>
      <c r="W376" s="15" t="n">
        <f aca="false">MAX(0,SUM(M365:M376)+Parametri_v3!$C$55*12/12)*Ipotesi!$C$93</f>
        <v>0</v>
      </c>
      <c r="X376" s="15" t="n">
        <f aca="false">V376+W376-(V375+W375)</f>
        <v>0</v>
      </c>
      <c r="Y376" s="15" t="n">
        <f aca="false">P376-X376</f>
        <v>-4757.4765549781</v>
      </c>
      <c r="Z376" s="15" t="n">
        <f aca="false">R376-T376+IF(AND(Parametri_v3!$C$40=1,D376-YEAR(Parametri_v3!$C$50)&lt;Parametri_v3!$C$41),MAX(0,-Q376),0)</f>
        <v>211501.595732372</v>
      </c>
      <c r="AA376" s="15" t="n">
        <f aca="false">S376-U376+IF(AND(Parametri_v3!$C$40=1,D376-YEAR(Parametri_v3!$C$50)&lt;Parametri_v3!$C$41),0,MAX(0,-Q376))</f>
        <v>0</v>
      </c>
      <c r="AB376" s="15" t="n">
        <f aca="false">F376*(1+Parametri_v3!$C$26)</f>
        <v>10110.1851851852</v>
      </c>
      <c r="AC376" s="15" t="n">
        <f aca="false">(IF(12-(INT((Motore_Operativo!L376)/30))&lt;1,0,INDEX(Motore_Startup!$AB$365:$AB$424,MAX(1,12-(INT((Motore_Operativo!L376)/30)))))*(1-(MOD((Motore_Operativo!L376),30)/30))+IF(12-(INT((Motore_Operativo!L376)/30))-1&lt;1,0,INDEX(Motore_Startup!$AB$365:$AB$424,MAX(1,12-(INT((Motore_Operativo!L376)/30))-1)))*(MOD((Motore_Operativo!L376),30)/30))</f>
        <v>9771.2962962963</v>
      </c>
      <c r="AD376" s="15" t="n">
        <f aca="false">(AD375)+AB376-AC376</f>
        <v>29991.6666666667</v>
      </c>
      <c r="AE376" s="15" t="n">
        <f aca="false">Motore_Operativo!BH376*(1+Parametri_v3!$C$26)</f>
        <v>1977.68421052632</v>
      </c>
      <c r="AF376" s="15" t="n">
        <f aca="false">(IF(12-(INT((Parametri_v3!$C$29)/30))&lt;1,0,INDEX(Motore_Operativo!$BH$365:$BH$424,MAX(1,12-(INT((Parametri_v3!$C$29)/30)))))*(1-(MOD((Parametri_v3!$C$29),30)/30))+IF(12-(INT((Parametri_v3!$C$29)/30))-1&lt;1,0,INDEX(Motore_Operativo!$BH$365:$BH$424,MAX(1,12-(INT((Parametri_v3!$C$29)/30))-1)))*(MOD((Parametri_v3!$C$29),30)/30))*(1+Parametri_v3!$C$26)</f>
        <v>1977.68421052632</v>
      </c>
      <c r="AG376" s="15" t="n">
        <f aca="false">(AG375)+AE376-AF376</f>
        <v>1977.68421052632</v>
      </c>
      <c r="AH376" s="15" t="n">
        <f aca="false">(Motore_Operativo!CJ376)*(1+Parametri_v3!$C$27*Parametri_v3!$C$26)</f>
        <v>11788.9675823587</v>
      </c>
      <c r="AI376" s="15" t="n">
        <f aca="false">(IF(12-(INT((Ipotesi!$C$91)/30))&lt;1,0,INDEX(Motore_Startup!$AH$365:$AH$424,MAX(1,12-(INT((Ipotesi!$C$91)/30)))))*(1-(MOD((Ipotesi!$C$91),30)/30))+IF(12-(INT((Ipotesi!$C$91)/30))-1&lt;1,0,INDEX(Motore_Startup!$AH$365:$AH$424,MAX(1,12-(INT((Ipotesi!$C$91)/30))-1)))*(MOD((Ipotesi!$C$91),30)/30))</f>
        <v>11758.1935082846</v>
      </c>
      <c r="AJ376" s="15" t="n">
        <f aca="false">(AJ375)+AH376-AI376</f>
        <v>23562.5481276803</v>
      </c>
      <c r="AK376" s="15" t="n">
        <f aca="false">(F376+ Motore_Operativo!BH376-(Motore_Operativo!CJ376)*Parametri_v3!$C$27-Motore_Operativo!CE376)*Parametri_v3!$C$26</f>
        <v>-44.1210911306033</v>
      </c>
      <c r="AL376" s="15" t="n">
        <f aca="false">MAX(0,(AM375))</f>
        <v>0</v>
      </c>
      <c r="AM376" s="15" t="n">
        <f aca="false">(AM375)+AK376-AL376</f>
        <v>-1633.15031578947</v>
      </c>
      <c r="AN376" s="15" t="n">
        <f aca="false">0</f>
        <v>0</v>
      </c>
      <c r="AO376" s="15" t="n">
        <f aca="false">0</f>
        <v>0</v>
      </c>
      <c r="AP376" s="15" t="n">
        <f aca="false">MAX(0,AN376)*IF(12=Parametri_v3!$C$43,Parametri_v3!$C$45,IF(12=Parametri_v3!$C$44,1-Parametri_v3!$C$45,0))</f>
        <v>0</v>
      </c>
      <c r="AQ376" s="15" t="n">
        <f aca="false">MAX(0,AP376+IF(12=Parametri_v3!$C$43,MAX(0,AN376-AO376),0)-MAX(0,-(AR375)))</f>
        <v>0</v>
      </c>
      <c r="AR376" s="15" t="n">
        <f aca="false">(AR375)+X376-AQ376</f>
        <v>0</v>
      </c>
      <c r="AS376" s="15" t="n">
        <f aca="false">Motore_Operativo!AB376-AT376+AU376</f>
        <v>17020.8333333333</v>
      </c>
      <c r="AT376" s="15" t="n">
        <f aca="false">Motore_Operativo!CH376</f>
        <v>895.833333333334</v>
      </c>
      <c r="AU376" s="15" t="n">
        <f aca="false">MIN(MAX(0,(AV375)+AT376),Parametri_v3!$C$60/12)</f>
        <v>0</v>
      </c>
      <c r="AV376" s="15" t="n">
        <f aca="false">(AV375)+AT376-AU376</f>
        <v>10750</v>
      </c>
      <c r="AW376" s="15" t="n">
        <f aca="false">IF(AND(Motore_Operativo!C376=Finanziamenti!$D$6,Finanziamenti!$F$6=1),Finanziamenti!$C$6,0)</f>
        <v>0</v>
      </c>
      <c r="AX376" s="15" t="n">
        <f aca="false">IF(AND(7&lt;&gt;7,7&lt;&gt;9,Finanziamenti!$F$8=1,OR(Parametri_v3!$C$6=0,Finanziamenti!$E$8=1),Motore_Operativo!C376=EDATE(Finanziamenti!$D$8,Ipotesi!I15*12)),Finanziamenti!$C$8*1,0)+IF(AND(7&lt;&gt;7,7&lt;&gt;9,Finanziamenti!$F$9=1,OR(Parametri_v3!$C$6=0,Finanziamenti!$E$9=1),Motore_Operativo!C376=EDATE(Finanziamenti!$D$9,Ipotesi!I15*12)),Finanziamenti!$C$9*Ipotesi!I16,0)</f>
        <v>0</v>
      </c>
      <c r="AY376" s="15" t="n">
        <f aca="false">0</f>
        <v>0</v>
      </c>
      <c r="AZ376" s="15" t="n">
        <f aca="false">Motore_Advisory!AY376*(1-Ipotesi!$C$95)*Ipotesi!$C$96</f>
        <v>0</v>
      </c>
      <c r="BA376" s="15" t="n">
        <f aca="false">MAX(0,MIN(CG376*MIN(1,IF(Motore_Operativo!C376&gt;=EDATE(Finanziamenti!$D$15,Ipotesi!I14*12),Finanziamenti!$C$15,0)+IF(Motore_Operativo!C376&gt;=EDATE(Finanziamenti!$D$16,Ipotesi!I14*12),Finanziamenti!$C$16,0)+IF(Motore_Operativo!C376&gt;=EDATE(Finanziamenti!$D$17,Ipotesi!I14*12),Finanziamenti!$C$17,0)),CA376*Ipotesi!$C$102)-(CC375))</f>
        <v>52542.2222222222</v>
      </c>
      <c r="BB376" s="15" t="n">
        <f aca="false">IF(AND(CF376&gt;0,Motore_Operativo!C376&gt;=IF(CF376=0,0,EDATE(CF376,Parametri_v3!$C$37)),MOD(((D376-YEAR(IF(CF376=0,0,EDATE(CF376,Parametri_v3!$C$37))))*12+E376-MONTH(IF(CF376=0,0,EDATE(CF376,Parametri_v3!$C$37)))),Parametri_v3!$C$38)=0),MIN(MAX(0,(BC375)+BA376-N376),(CC376-CD376)/(Ipotesi!$C$108*12/Parametri_v3!$C$38)),0)</f>
        <v>0</v>
      </c>
      <c r="BC376" s="15" t="n">
        <f aca="false">(BC375)+BA376-N376-BB376</f>
        <v>38219.5555555556</v>
      </c>
      <c r="BD376" s="15" t="n">
        <f aca="false">(BH375)+AC376+AF376-AI376-AS376-K376*(1+Parametri_v3!$C$26)-AL376-AQ376-O376+AW376+AX376+AZ376+BA376-BB376</f>
        <v>57894.5653168543</v>
      </c>
      <c r="BE376" s="15" t="n">
        <f aca="false">MAX(0,MIN(MAX(0,CH376-(BG375)),Parametri_v3!$C$30-BD376))</f>
        <v>0</v>
      </c>
      <c r="BF376" s="15" t="n">
        <f aca="false">IF(Motore_Operativo!C376&gt;=Parametri_v3!$C$63,(BG375),MIN((BG375),MAX(0,BD376-Parametri_v3!$C$30)))</f>
        <v>32894.5653168543</v>
      </c>
      <c r="BG376" s="15" t="n">
        <f aca="false">(BG375)+BE376-BF376</f>
        <v>83960.8821310078</v>
      </c>
      <c r="BH376" s="15" t="n">
        <f aca="false">BD376+BE376-BF376-AY376</f>
        <v>25000</v>
      </c>
      <c r="BI376" s="15" t="n">
        <f aca="false">MAX(0,Parametri_v3!$C$30-BH376)</f>
        <v>0</v>
      </c>
      <c r="BJ376" s="15" t="n">
        <f aca="false">(BJ375)+K376</f>
        <v>20000</v>
      </c>
      <c r="BK376" s="15" t="n">
        <f aca="false">(BK375)+L376</f>
        <v>3611.11111111111</v>
      </c>
      <c r="BL376" s="15" t="n">
        <f aca="false">BJ376-BK376</f>
        <v>16388.8888888889</v>
      </c>
      <c r="BM376" s="15" t="n">
        <f aca="false">(BM375)+Y376</f>
        <v>-211501.595732372</v>
      </c>
      <c r="BN376" s="15" t="n">
        <f aca="false">(BN375)+AW376+AX376+AZ376</f>
        <v>130000</v>
      </c>
      <c r="BO376" s="15" t="n">
        <f aca="false">(BO375)+AY376</f>
        <v>0</v>
      </c>
      <c r="BP376" s="15" t="n">
        <f aca="false">0</f>
        <v>0</v>
      </c>
      <c r="BQ376" s="15" t="n">
        <f aca="false">BN376+BM376-BO376</f>
        <v>-81501.5957323722</v>
      </c>
      <c r="BR376" s="15" t="n">
        <f aca="false">BH376+AD376+BL376+MAX(0,-AM376)+MAX(0,-AR376)+AG376</f>
        <v>74991.3900818713</v>
      </c>
      <c r="BS376" s="15" t="n">
        <f aca="false">AJ376+AV376+MAX(0,AM376)+MAX(0,AR376)+BC376+BG376+BQ376</f>
        <v>74991.3900818714</v>
      </c>
      <c r="BT376" s="15" t="n">
        <f aca="false">BR376-BS376</f>
        <v>0</v>
      </c>
      <c r="BU376" s="15" t="n">
        <f aca="false">BH376-(BD376+BE376-BF376-AY376)</f>
        <v>0</v>
      </c>
      <c r="BV376" s="15" t="n">
        <f aca="false">MIN(Piano_SS!$C$6,(BV375)+IF(AND(Motore_Operativo!C376&gt;=EDATE(Parametri_v3!$C$24,Ipotesi!I14*12),Motore_Operativo!C376&lt;EDATE(Parametri_v3!$C$24,Parametri_v3!$C$25+Ipotesi!I14*12)),MAX(0,(Motore_Operativo!Y376+Motore_Operativo!X376*Parametri_v3!$C$14)*(1-Parametri_v3!$C$32))*Piano_SS!$D$6,0))</f>
        <v>28500</v>
      </c>
      <c r="BW376" s="15" t="n">
        <f aca="false">MIN(Piano_SS!$C$7,(BW375)+IF(AND(Motore_Operativo!C376&gt;=EDATE(Parametri_v3!$C$24,Ipotesi!I14*12),Motore_Operativo!C376&lt;EDATE(Parametri_v3!$C$24,Parametri_v3!$C$25+Ipotesi!I14*12)),MAX(0,(IF(12-(INT((Ipotesi!$C$91)/30))&lt;1,0,INDEX(Motore_Operativo!$BN$365:$BN$424,MAX(1,12-(INT((Ipotesi!$C$91)/30)))))*(1-(MOD((Ipotesi!$C$91),30)/30))+IF(12-(INT((Ipotesi!$C$91)/30))-1&lt;1,0,INDEX(Motore_Operativo!$BN$365:$BN$424,MAX(1,12-(INT((Ipotesi!$C$91)/30))-1)))*(MOD((Ipotesi!$C$91),30)/30)))*Piano_SS!$D$7,0))</f>
        <v>7677.77777777778</v>
      </c>
      <c r="BX376" s="15" t="n">
        <f aca="false">MIN(Piano_SS!$C$8,(BX375)+IF(AND(Motore_Operativo!C376&gt;=EDATE(Parametri_v3!$C$24,Ipotesi!I14*12),Motore_Operativo!C376&lt;EDATE(Parametri_v3!$C$24,Parametri_v3!$C$25+Ipotesi!I14*12)),MAX(0,Motore_Operativo!CE376)*Piano_SS!$D$8,0))</f>
        <v>10000</v>
      </c>
      <c r="BY376" s="15" t="n">
        <f aca="false">MIN(Piano_SS!$C$9,(BY375)+IF(AND(Motore_Operativo!C376&gt;=EDATE(Parametri_v3!$C$24,Ipotesi!I14*12),Motore_Operativo!C376&lt;EDATE(Parametri_v3!$C$24,Parametri_v3!$C$25+Ipotesi!I14*12)),MAX(0,((IF(12-(INT((Ipotesi!$C$91)/30))&lt;1,0,INDEX(Motore_Operativo!$BQ$365:$BQ$424,MAX(1,12-(INT((Ipotesi!$C$91)/30)))))*(1-(MOD((Ipotesi!$C$91),30)/30))+IF(12-(INT((Ipotesi!$C$91)/30))-1&lt;1,0,INDEX(Motore_Operativo!$BQ$365:$BQ$424,MAX(1,12-(INT((Ipotesi!$C$91)/30))-1)))*(MOD((Ipotesi!$C$91),30)/30))+(IF(12-(INT((Ipotesi!$C$91)/30))&lt;1,0,INDEX(Motore_Operativo!$BR$365:$BR$424,MAX(1,12-(INT((Ipotesi!$C$91)/30)))))*(1-(MOD((Ipotesi!$C$91),30)/30))+IF(12-(INT((Ipotesi!$C$91)/30))-1&lt;1,0,INDEX(Motore_Operativo!$BR$365:$BR$424,MAX(1,12-(INT((Ipotesi!$C$91)/30))-1)))*(MOD((Ipotesi!$C$91),30)/30))))*Piano_SS!$D$9,0))</f>
        <v>13500</v>
      </c>
      <c r="BZ376" s="15" t="n">
        <f aca="false">MIN(Piano_SS!$C$10,(BZ375)+IF(AND(Motore_Operativo!C376&gt;=EDATE(Parametri_v3!$C$24,Ipotesi!I14*12),Motore_Operativo!C376&lt;EDATE(Parametri_v3!$C$24,Parametri_v3!$C$25+Ipotesi!I14*12)),MAX(0,(IF(12-(INT((Ipotesi!$C$91)/30))&lt;1,0,INDEX(Motore_Operativo!$BO$365:$BO$424,MAX(1,12-(INT((Ipotesi!$C$91)/30)))))*(1-(MOD((Ipotesi!$C$91),30)/30))+IF(12-(INT((Ipotesi!$C$91)/30))-1&lt;1,0,INDEX(Motore_Operativo!$BO$365:$BO$424,MAX(1,12-(INT((Ipotesi!$C$91)/30))-1)))*(MOD((Ipotesi!$C$91),30)/30)))*Piano_SS!$D$10,0))</f>
        <v>6000</v>
      </c>
      <c r="CA376" s="15" t="n">
        <f aca="false">SUM(BV376:BZ376)</f>
        <v>65677.7777777778</v>
      </c>
      <c r="CB376" s="15" t="n">
        <f aca="false">BV376*(1-Piano_SS!$E$6)+BW376*(1-Piano_SS!$E$7)+BX376*(1-Piano_SS!$E$8)+BY376*(1-Piano_SS!$E$9)+BZ376*(1-Piano_SS!$E$10)</f>
        <v>59677.7777777778</v>
      </c>
      <c r="CC376" s="15" t="n">
        <f aca="false">(CC375)+BA376</f>
        <v>52542.2222222222</v>
      </c>
      <c r="CD376" s="15" t="n">
        <f aca="false">IF(CA376=0,0,CC376*CB376/CA376*Ipotesi!$C$103*Parametri_v3!$C$64)</f>
        <v>14322.6666666667</v>
      </c>
      <c r="CE376" s="18" t="n">
        <f aca="false">IF(BA376&gt;0,Motore_Operativo!C376,(CE375))</f>
        <v>46722</v>
      </c>
      <c r="CF376" s="18" t="n">
        <f aca="false">IF(AND(CC376&gt;0,OR(CC376&gt;=CG376-0.01,Motore_Operativo!C376&gt;=EDATE(MAX(Finanziamenti!$D$15:$D$17),Ipotesi!I14*12))),CE376,0)</f>
        <v>0</v>
      </c>
      <c r="CG376" s="15" t="n">
        <f aca="false">IF(AND(7&lt;&gt;6,7&lt;&gt;9,Finanziamenti!$F$11=1,OR(Parametri_v3!$C$6=0,Finanziamenti!$E$11=1)),MIN(Finanziamenti!$C$11,Piano_SS!$C$12*Ipotesi!$C$102),0)</f>
        <v>400000</v>
      </c>
      <c r="CH376" s="15" t="n">
        <f aca="false">IF(AND(AND(7&lt;&gt;8,7&lt;&gt;9,Finanziamenti!$F$10=1,OR(Parametri_v3!$C$6=0,Finanziamenti!$E$10=1)),Motore_Operativo!C376&gt;=Finanziamenti!$D$10,Motore_Operativo!C376&lt;Parametri_v3!$C$63),Finanziamenti!$C$10,0)</f>
        <v>150000</v>
      </c>
    </row>
    <row r="377" customFormat="false" ht="18" hidden="false" customHeight="true" outlineLevel="0" collapsed="false">
      <c r="A377" s="68" t="n">
        <f aca="false">7</f>
        <v>7</v>
      </c>
      <c r="B377" s="68" t="n">
        <f aca="false">13</f>
        <v>13</v>
      </c>
      <c r="C377" s="18" t="n">
        <f aca="false">Motore_Operativo!C377</f>
        <v>46753</v>
      </c>
      <c r="D377" s="68" t="n">
        <f aca="false">Motore_Operativo!D377</f>
        <v>2028</v>
      </c>
      <c r="E377" s="68" t="n">
        <f aca="false">Motore_Operativo!E377</f>
        <v>1</v>
      </c>
      <c r="F377" s="15" t="n">
        <f aca="false">Motore_Operativo!AQ377+Motore_Operativo!BF377</f>
        <v>23223.0393982785</v>
      </c>
      <c r="G377" s="15" t="n">
        <f aca="false">Motore_Operativo!BH377</f>
        <v>3398.1220657277</v>
      </c>
      <c r="H377" s="15" t="n">
        <f aca="false">Motore_Operativo!BI377</f>
        <v>26621.1614640062</v>
      </c>
      <c r="I377" s="15" t="n">
        <f aca="false">Motore_Operativo!CA377</f>
        <v>56964.0025110642</v>
      </c>
      <c r="J377" s="15" t="n">
        <f aca="false">Motore_Operativo!CC377</f>
        <v>-30342.841047058</v>
      </c>
      <c r="K377" s="15" t="n">
        <f aca="false">Motore_Operativo!CE377</f>
        <v>2083.33333333333</v>
      </c>
      <c r="L377" s="15" t="n">
        <f aca="false">SUM(INDEX($K$365:$K$424,MAX(1,13-Parametri_v3!$C$59+1)):K377)/Parametri_v3!$C$59</f>
        <v>613.425925925926</v>
      </c>
      <c r="M377" s="15" t="n">
        <f aca="false">J377-L377</f>
        <v>-30956.2669729839</v>
      </c>
      <c r="N377" s="15" t="n">
        <f aca="false">CD377-(CD376)</f>
        <v>4288.83333333333</v>
      </c>
      <c r="O377" s="15" t="n">
        <f aca="false">(BG376)*Ipotesi!$C$110/12+CH377*Parametri_v3!$C$39/12</f>
        <v>419.804410655039</v>
      </c>
      <c r="P377" s="15" t="n">
        <f aca="false">M377+N377-O377</f>
        <v>-27087.2380503056</v>
      </c>
      <c r="Q377" s="15" t="n">
        <f aca="false">SUM(P377)+Parametri_v3!$C$54*1/12</f>
        <v>-27087.2380503056</v>
      </c>
      <c r="R377" s="15" t="n">
        <f aca="false">Z376</f>
        <v>211501.595732372</v>
      </c>
      <c r="S377" s="15" t="n">
        <f aca="false">AA376</f>
        <v>0</v>
      </c>
      <c r="T377" s="15" t="n">
        <f aca="false">MIN(R377,MAX(0,Q377))</f>
        <v>0</v>
      </c>
      <c r="U377" s="15" t="n">
        <f aca="false">MIN(S377,MAX(0,Q377-T377)*Parametri_v3!$C$42)</f>
        <v>0</v>
      </c>
      <c r="V377" s="15" t="n">
        <f aca="false">MAX(0,Q377-T377-U377)*Ipotesi!$C$92</f>
        <v>0</v>
      </c>
      <c r="W377" s="15" t="n">
        <f aca="false">MAX(0,SUM(M377)+Parametri_v3!$C$55*1/12)*Ipotesi!$C$93</f>
        <v>0</v>
      </c>
      <c r="X377" s="15" t="n">
        <f aca="false">V377+W377-(0)</f>
        <v>0</v>
      </c>
      <c r="Y377" s="15" t="n">
        <f aca="false">P377-X377</f>
        <v>-27087.2380503056</v>
      </c>
      <c r="Z377" s="15" t="n">
        <f aca="false">R377-T377+IF(AND(Parametri_v3!$C$40=1,D377-YEAR(Parametri_v3!$C$50)&lt;Parametri_v3!$C$41),MAX(0,-Q377),0)</f>
        <v>238588.833782678</v>
      </c>
      <c r="AA377" s="15" t="n">
        <f aca="false">S377-U377+IF(AND(Parametri_v3!$C$40=1,D377-YEAR(Parametri_v3!$C$50)&lt;Parametri_v3!$C$41),0,MAX(0,-Q377))</f>
        <v>0</v>
      </c>
      <c r="AB377" s="15" t="n">
        <f aca="false">F377*(1+Parametri_v3!$C$26)</f>
        <v>28332.1080658998</v>
      </c>
      <c r="AC377" s="15" t="n">
        <f aca="false">(IF(13-(INT((Motore_Operativo!L377)/30))&lt;1,0,INDEX(Motore_Startup!$AB$365:$AB$424,MAX(1,13-(INT((Motore_Operativo!L377)/30)))))*(1-(MOD((Motore_Operativo!L377),30)/30))+IF(13-(INT((Motore_Operativo!L377)/30))-1&lt;1,0,INDEX(Motore_Startup!$AB$365:$AB$424,MAX(1,13-(INT((Motore_Operativo!L377)/30))-1)))*(MOD((Motore_Operativo!L377),30)/30))</f>
        <v>9884.25925925926</v>
      </c>
      <c r="AD377" s="15" t="n">
        <f aca="false">(AD376)+AB377-AC377</f>
        <v>48439.5154733072</v>
      </c>
      <c r="AE377" s="15" t="n">
        <f aca="false">Motore_Operativo!BH377*(1+Parametri_v3!$C$26)</f>
        <v>4145.70892018779</v>
      </c>
      <c r="AF377" s="15" t="n">
        <f aca="false">(IF(13-(INT((Parametri_v3!$C$29)/30))&lt;1,0,INDEX(Motore_Operativo!$BH$365:$BH$424,MAX(1,13-(INT((Parametri_v3!$C$29)/30)))))*(1-(MOD((Parametri_v3!$C$29),30)/30))+IF(13-(INT((Parametri_v3!$C$29)/30))-1&lt;1,0,INDEX(Motore_Operativo!$BH$365:$BH$424,MAX(1,13-(INT((Parametri_v3!$C$29)/30))-1)))*(MOD((Parametri_v3!$C$29),30)/30))*(1+Parametri_v3!$C$26)</f>
        <v>1977.68421052632</v>
      </c>
      <c r="AG377" s="15" t="n">
        <f aca="false">(AG376)+AE377-AF377</f>
        <v>4145.70892018779</v>
      </c>
      <c r="AH377" s="15" t="n">
        <f aca="false">(Motore_Operativo!CJ377)*(1+Parametri_v3!$C$27*Parametri_v3!$C$26)</f>
        <v>20418.1834806332</v>
      </c>
      <c r="AI377" s="15" t="n">
        <f aca="false">(IF(13-(INT((Ipotesi!$C$91)/30))&lt;1,0,INDEX(Motore_Startup!$AH$365:$AH$424,MAX(1,13-(INT((Ipotesi!$C$91)/30)))))*(1-(MOD((Ipotesi!$C$91),30)/30))+IF(13-(INT((Ipotesi!$C$91)/30))-1&lt;1,0,INDEX(Motore_Startup!$AH$365:$AH$424,MAX(1,13-(INT((Ipotesi!$C$91)/30))-1)))*(MOD((Ipotesi!$C$91),30)/30))</f>
        <v>11773.5805453216</v>
      </c>
      <c r="AJ377" s="15" t="n">
        <f aca="false">(AJ376)+AH377-AI377</f>
        <v>32207.1510629918</v>
      </c>
      <c r="AK377" s="15" t="n">
        <f aca="false">(F377+ Motore_Operativo!BH377-(Motore_Operativo!CJ377)*Parametri_v3!$C$27-Motore_Operativo!CE377)*Parametri_v3!$C$26</f>
        <v>2181.64121917903</v>
      </c>
      <c r="AL377" s="15" t="n">
        <f aca="false">MAX(0,(AM376))</f>
        <v>0</v>
      </c>
      <c r="AM377" s="15" t="n">
        <f aca="false">(AM376)+AK377-AL377</f>
        <v>548.490903389566</v>
      </c>
      <c r="AN377" s="15" t="n">
        <f aca="false">SUM(X365:X376)</f>
        <v>0</v>
      </c>
      <c r="AO377" s="15" t="n">
        <f aca="false">SUM(AP365:AP376)</f>
        <v>0</v>
      </c>
      <c r="AP377" s="15" t="n">
        <f aca="false">MAX(0,AN377)*IF(1=Parametri_v3!$C$43,Parametri_v3!$C$45,IF(1=Parametri_v3!$C$44,1-Parametri_v3!$C$45,0))</f>
        <v>0</v>
      </c>
      <c r="AQ377" s="15" t="n">
        <f aca="false">MAX(0,AP377+IF(1=Parametri_v3!$C$43,MAX(0,AN377-AO377),0)-MAX(0,-(AR376)))</f>
        <v>0</v>
      </c>
      <c r="AR377" s="15" t="n">
        <f aca="false">(AR376)+X377-AQ377</f>
        <v>0</v>
      </c>
      <c r="AS377" s="15" t="n">
        <f aca="false">Motore_Operativo!AB377-AT377+AU377</f>
        <v>37774.375</v>
      </c>
      <c r="AT377" s="15" t="n">
        <f aca="false">Motore_Operativo!CH377</f>
        <v>1988.125</v>
      </c>
      <c r="AU377" s="15" t="n">
        <f aca="false">MIN(MAX(0,(AV376)+AT377),Parametri_v3!$C$60/12)</f>
        <v>0</v>
      </c>
      <c r="AV377" s="15" t="n">
        <f aca="false">(AV376)+AT377-AU377</f>
        <v>12738.125</v>
      </c>
      <c r="AW377" s="15" t="n">
        <f aca="false">IF(AND(Motore_Operativo!C377=Finanziamenti!$D$6,Finanziamenti!$F$6=1),Finanziamenti!$C$6,0)</f>
        <v>0</v>
      </c>
      <c r="AX377" s="15" t="n">
        <f aca="false">IF(AND(7&lt;&gt;7,7&lt;&gt;9,Finanziamenti!$F$8=1,OR(Parametri_v3!$C$6=0,Finanziamenti!$E$8=1),Motore_Operativo!C377=EDATE(Finanziamenti!$D$8,Ipotesi!I15*12)),Finanziamenti!$C$8*1,0)+IF(AND(7&lt;&gt;7,7&lt;&gt;9,Finanziamenti!$F$9=1,OR(Parametri_v3!$C$6=0,Finanziamenti!$E$9=1),Motore_Operativo!C377=EDATE(Finanziamenti!$D$9,Ipotesi!I15*12)),Finanziamenti!$C$9*Ipotesi!I16,0)</f>
        <v>0</v>
      </c>
      <c r="AY377" s="15" t="n">
        <f aca="false">0</f>
        <v>0</v>
      </c>
      <c r="AZ377" s="15" t="n">
        <f aca="false">Motore_Advisory!AY377*(1-Ipotesi!$C$95)*Ipotesi!$C$96</f>
        <v>0</v>
      </c>
      <c r="BA377" s="15" t="n">
        <f aca="false">MAX(0,MIN(CG377*MIN(1,IF(Motore_Operativo!C377&gt;=EDATE(Finanziamenti!$D$15,Ipotesi!I14*12),Finanziamenti!$C$15,0)+IF(Motore_Operativo!C377&gt;=EDATE(Finanziamenti!$D$16,Ipotesi!I14*12),Finanziamenti!$C$16,0)+IF(Motore_Operativo!C377&gt;=EDATE(Finanziamenti!$D$17,Ipotesi!I14*12),Finanziamenti!$C$17,0)),CA377*Ipotesi!$C$102)-(CC376))</f>
        <v>15096.1111111111</v>
      </c>
      <c r="BB377" s="15" t="n">
        <f aca="false">IF(AND(CF377&gt;0,Motore_Operativo!C377&gt;=IF(CF377=0,0,EDATE(CF377,Parametri_v3!$C$37)),MOD(((D377-YEAR(IF(CF377=0,0,EDATE(CF377,Parametri_v3!$C$37))))*12+E377-MONTH(IF(CF377=0,0,EDATE(CF377,Parametri_v3!$C$37)))),Parametri_v3!$C$38)=0),MIN(MAX(0,(BC376)+BA377-N377),(CC377-CD377)/(Ipotesi!$C$108*12/Parametri_v3!$C$38)),0)</f>
        <v>0</v>
      </c>
      <c r="BC377" s="15" t="n">
        <f aca="false">(BC376)+BA377-N377-BB377</f>
        <v>49026.8333333334</v>
      </c>
      <c r="BD377" s="15" t="n">
        <f aca="false">(BH376)+AC377+AF377-AI377-AS377-K377*(1+Parametri_v3!$C$26)-AL377-AQ377-O377+AW377+AX377+AZ377+BA377-BB377</f>
        <v>-551.372041746645</v>
      </c>
      <c r="BE377" s="15" t="n">
        <f aca="false">MAX(0,MIN(MAX(0,CH377-(BG376)),Parametri_v3!$C$30-BD377))</f>
        <v>25551.3720417466</v>
      </c>
      <c r="BF377" s="15" t="n">
        <f aca="false">IF(Motore_Operativo!C377&gt;=Parametri_v3!$C$63,(BG376),MIN((BG376),MAX(0,BD377-Parametri_v3!$C$30)))</f>
        <v>0</v>
      </c>
      <c r="BG377" s="15" t="n">
        <f aca="false">(BG376)+BE377-BF377</f>
        <v>109512.254172754</v>
      </c>
      <c r="BH377" s="15" t="n">
        <f aca="false">BD377+BE377-BF377-AY377</f>
        <v>25000</v>
      </c>
      <c r="BI377" s="15" t="n">
        <f aca="false">MAX(0,Parametri_v3!$C$30-BH377)</f>
        <v>0</v>
      </c>
      <c r="BJ377" s="15" t="n">
        <f aca="false">(BJ376)+K377</f>
        <v>22083.3333333333</v>
      </c>
      <c r="BK377" s="15" t="n">
        <f aca="false">(BK376)+L377</f>
        <v>4224.53703703704</v>
      </c>
      <c r="BL377" s="15" t="n">
        <f aca="false">BJ377-BK377</f>
        <v>17858.7962962963</v>
      </c>
      <c r="BM377" s="15" t="n">
        <f aca="false">(BM376)+Y377</f>
        <v>-238588.833782678</v>
      </c>
      <c r="BN377" s="15" t="n">
        <f aca="false">(BN376)+AW377+AX377+AZ377</f>
        <v>130000</v>
      </c>
      <c r="BO377" s="15" t="n">
        <f aca="false">(BO376)+AY377</f>
        <v>0</v>
      </c>
      <c r="BP377" s="15" t="n">
        <f aca="false">0</f>
        <v>0</v>
      </c>
      <c r="BQ377" s="15" t="n">
        <f aca="false">BN377+BM377-BO377</f>
        <v>-108588.833782678</v>
      </c>
      <c r="BR377" s="15" t="n">
        <f aca="false">BH377+AD377+BL377+MAX(0,-AM377)+MAX(0,-AR377)+AG377</f>
        <v>95444.0206897913</v>
      </c>
      <c r="BS377" s="15" t="n">
        <f aca="false">AJ377+AV377+MAX(0,AM377)+MAX(0,AR377)+BC377+BG377+BQ377</f>
        <v>95444.0206897914</v>
      </c>
      <c r="BT377" s="15" t="n">
        <f aca="false">BR377-BS377</f>
        <v>0</v>
      </c>
      <c r="BU377" s="15" t="n">
        <f aca="false">BH377-(BD377+BE377-BF377-AY377)</f>
        <v>0</v>
      </c>
      <c r="BV377" s="15" t="n">
        <f aca="false">MIN(Piano_SS!$C$6,(BV376)+IF(AND(Motore_Operativo!C377&gt;=EDATE(Parametri_v3!$C$24,Ipotesi!I14*12),Motore_Operativo!C377&lt;EDATE(Parametri_v3!$C$24,Parametri_v3!$C$25+Ipotesi!I14*12)),MAX(0,(Motore_Operativo!Y377+Motore_Operativo!X377*Parametri_v3!$C$14)*(1-Parametri_v3!$C$32))*Piano_SS!$D$6,0))</f>
        <v>40731.25</v>
      </c>
      <c r="BW377" s="15" t="n">
        <f aca="false">MIN(Piano_SS!$C$7,(BW376)+IF(AND(Motore_Operativo!C377&gt;=EDATE(Parametri_v3!$C$24,Ipotesi!I14*12),Motore_Operativo!C377&lt;EDATE(Parametri_v3!$C$24,Parametri_v3!$C$25+Ipotesi!I14*12)),MAX(0,(IF(13-(INT((Ipotesi!$C$91)/30))&lt;1,0,INDEX(Motore_Operativo!$BN$365:$BN$424,MAX(1,13-(INT((Ipotesi!$C$91)/30)))))*(1-(MOD((Ipotesi!$C$91),30)/30))+IF(13-(INT((Ipotesi!$C$91)/30))-1&lt;1,0,INDEX(Motore_Operativo!$BN$365:$BN$424,MAX(1,13-(INT((Ipotesi!$C$91)/30))-1)))*(MOD((Ipotesi!$C$91),30)/30)))*Piano_SS!$D$7,0))</f>
        <v>8983.33333333333</v>
      </c>
      <c r="BX377" s="15" t="n">
        <f aca="false">MIN(Piano_SS!$C$8,(BX376)+IF(AND(Motore_Operativo!C377&gt;=EDATE(Parametri_v3!$C$24,Ipotesi!I14*12),Motore_Operativo!C377&lt;EDATE(Parametri_v3!$C$24,Parametri_v3!$C$25+Ipotesi!I14*12)),MAX(0,Motore_Operativo!CE377)*Piano_SS!$D$8,0))</f>
        <v>12083.3333333333</v>
      </c>
      <c r="BY377" s="15" t="n">
        <f aca="false">MIN(Piano_SS!$C$9,(BY376)+IF(AND(Motore_Operativo!C377&gt;=EDATE(Parametri_v3!$C$24,Ipotesi!I14*12),Motore_Operativo!C377&lt;EDATE(Parametri_v3!$C$24,Parametri_v3!$C$25+Ipotesi!I14*12)),MAX(0,((IF(13-(INT((Ipotesi!$C$91)/30))&lt;1,0,INDEX(Motore_Operativo!$BQ$365:$BQ$424,MAX(1,13-(INT((Ipotesi!$C$91)/30)))))*(1-(MOD((Ipotesi!$C$91),30)/30))+IF(13-(INT((Ipotesi!$C$91)/30))-1&lt;1,0,INDEX(Motore_Operativo!$BQ$365:$BQ$424,MAX(1,13-(INT((Ipotesi!$C$91)/30))-1)))*(MOD((Ipotesi!$C$91),30)/30))+(IF(13-(INT((Ipotesi!$C$91)/30))&lt;1,0,INDEX(Motore_Operativo!$BR$365:$BR$424,MAX(1,13-(INT((Ipotesi!$C$91)/30)))))*(1-(MOD((Ipotesi!$C$91),30)/30))+IF(13-(INT((Ipotesi!$C$91)/30))-1&lt;1,0,INDEX(Motore_Operativo!$BR$365:$BR$424,MAX(1,13-(INT((Ipotesi!$C$91)/30))-1)))*(MOD((Ipotesi!$C$91),30)/30))))*Piano_SS!$D$9,0))</f>
        <v>15750</v>
      </c>
      <c r="BZ377" s="15" t="n">
        <f aca="false">MIN(Piano_SS!$C$10,(BZ376)+IF(AND(Motore_Operativo!C377&gt;=EDATE(Parametri_v3!$C$24,Ipotesi!I14*12),Motore_Operativo!C377&lt;EDATE(Parametri_v3!$C$24,Parametri_v3!$C$25+Ipotesi!I14*12)),MAX(0,(IF(13-(INT((Ipotesi!$C$91)/30))&lt;1,0,INDEX(Motore_Operativo!$BO$365:$BO$424,MAX(1,13-(INT((Ipotesi!$C$91)/30)))))*(1-(MOD((Ipotesi!$C$91),30)/30))+IF(13-(INT((Ipotesi!$C$91)/30))-1&lt;1,0,INDEX(Motore_Operativo!$BO$365:$BO$424,MAX(1,13-(INT((Ipotesi!$C$91)/30))-1)))*(MOD((Ipotesi!$C$91),30)/30)))*Piano_SS!$D$10,0))</f>
        <v>7000</v>
      </c>
      <c r="CA377" s="15" t="n">
        <f aca="false">SUM(BV377:BZ377)</f>
        <v>84547.9166666667</v>
      </c>
      <c r="CB377" s="15" t="n">
        <f aca="false">BV377*(1-Piano_SS!$E$6)+BW377*(1-Piano_SS!$E$7)+BX377*(1-Piano_SS!$E$8)+BY377*(1-Piano_SS!$E$9)+BZ377*(1-Piano_SS!$E$10)</f>
        <v>77547.9166666667</v>
      </c>
      <c r="CC377" s="15" t="n">
        <f aca="false">(CC376)+BA377</f>
        <v>67638.3333333333</v>
      </c>
      <c r="CD377" s="15" t="n">
        <f aca="false">IF(CA377=0,0,CC377*CB377/CA377*Ipotesi!$C$103*Parametri_v3!$C$64)</f>
        <v>18611.5</v>
      </c>
      <c r="CE377" s="18" t="n">
        <f aca="false">IF(BA377&gt;0,Motore_Operativo!C377,(CE376))</f>
        <v>46753</v>
      </c>
      <c r="CF377" s="18" t="n">
        <f aca="false">IF(AND(CC377&gt;0,OR(CC377&gt;=CG377-0.01,Motore_Operativo!C377&gt;=EDATE(MAX(Finanziamenti!$D$15:$D$17),Ipotesi!I14*12))),CE377,0)</f>
        <v>0</v>
      </c>
      <c r="CG377" s="15" t="n">
        <f aca="false">IF(AND(7&lt;&gt;6,7&lt;&gt;9,Finanziamenti!$F$11=1,OR(Parametri_v3!$C$6=0,Finanziamenti!$E$11=1)),MIN(Finanziamenti!$C$11,Piano_SS!$C$12*Ipotesi!$C$102),0)</f>
        <v>400000</v>
      </c>
      <c r="CH377" s="15" t="n">
        <f aca="false">IF(AND(AND(7&lt;&gt;8,7&lt;&gt;9,Finanziamenti!$F$10=1,OR(Parametri_v3!$C$6=0,Finanziamenti!$E$10=1)),Motore_Operativo!C377&gt;=Finanziamenti!$D$10,Motore_Operativo!C377&lt;Parametri_v3!$C$63),Finanziamenti!$C$10,0)</f>
        <v>150000</v>
      </c>
    </row>
    <row r="378" customFormat="false" ht="18" hidden="false" customHeight="true" outlineLevel="0" collapsed="false">
      <c r="A378" s="68" t="n">
        <f aca="false">7</f>
        <v>7</v>
      </c>
      <c r="B378" s="68" t="n">
        <f aca="false">14</f>
        <v>14</v>
      </c>
      <c r="C378" s="18" t="n">
        <f aca="false">Motore_Operativo!C378</f>
        <v>46784</v>
      </c>
      <c r="D378" s="68" t="n">
        <f aca="false">Motore_Operativo!D378</f>
        <v>2028</v>
      </c>
      <c r="E378" s="68" t="n">
        <f aca="false">Motore_Operativo!E378</f>
        <v>2</v>
      </c>
      <c r="F378" s="15" t="n">
        <f aca="false">Motore_Operativo!AQ378+Motore_Operativo!BF378</f>
        <v>23584.1993716446</v>
      </c>
      <c r="G378" s="15" t="n">
        <f aca="false">Motore_Operativo!BH378</f>
        <v>3398.1220657277</v>
      </c>
      <c r="H378" s="15" t="n">
        <f aca="false">Motore_Operativo!BI378</f>
        <v>26982.3214373723</v>
      </c>
      <c r="I378" s="15" t="n">
        <f aca="false">Motore_Operativo!CA378</f>
        <v>57014.5649073354</v>
      </c>
      <c r="J378" s="15" t="n">
        <f aca="false">Motore_Operativo!CC378</f>
        <v>-30032.2434699631</v>
      </c>
      <c r="K378" s="15" t="n">
        <f aca="false">Motore_Operativo!CE378</f>
        <v>2083.33333333333</v>
      </c>
      <c r="L378" s="15" t="n">
        <f aca="false">SUM(INDEX($K$365:$K$424,MAX(1,14-Parametri_v3!$C$59+1)):K378)/Parametri_v3!$C$59</f>
        <v>671.296296296296</v>
      </c>
      <c r="M378" s="15" t="n">
        <f aca="false">J378-L378</f>
        <v>-30703.5397662594</v>
      </c>
      <c r="N378" s="15" t="n">
        <f aca="false">CD378-(CD377)</f>
        <v>3532.09061589354</v>
      </c>
      <c r="O378" s="15" t="n">
        <f aca="false">(BG377)*Ipotesi!$C$110/12+CH378*Parametri_v3!$C$39/12</f>
        <v>547.561270863772</v>
      </c>
      <c r="P378" s="15" t="n">
        <f aca="false">M378+N378-O378</f>
        <v>-27719.0104212296</v>
      </c>
      <c r="Q378" s="15" t="n">
        <f aca="false">SUM(P377:P378)+Parametri_v3!$C$54*2/12</f>
        <v>-54806.2484715352</v>
      </c>
      <c r="R378" s="15" t="n">
        <f aca="false">Z376</f>
        <v>211501.595732372</v>
      </c>
      <c r="S378" s="15" t="n">
        <f aca="false">AA376</f>
        <v>0</v>
      </c>
      <c r="T378" s="15" t="n">
        <f aca="false">MIN(R378,MAX(0,Q378))</f>
        <v>0</v>
      </c>
      <c r="U378" s="15" t="n">
        <f aca="false">MIN(S378,MAX(0,Q378-T378)*Parametri_v3!$C$42)</f>
        <v>0</v>
      </c>
      <c r="V378" s="15" t="n">
        <f aca="false">MAX(0,Q378-T378-U378)*Ipotesi!$C$92</f>
        <v>0</v>
      </c>
      <c r="W378" s="15" t="n">
        <f aca="false">MAX(0,SUM(M377:M378)+Parametri_v3!$C$55*2/12)*Ipotesi!$C$93</f>
        <v>0</v>
      </c>
      <c r="X378" s="15" t="n">
        <f aca="false">V378+W378-(V377+W377)</f>
        <v>0</v>
      </c>
      <c r="Y378" s="15" t="n">
        <f aca="false">P378-X378</f>
        <v>-27719.0104212296</v>
      </c>
      <c r="Z378" s="15" t="n">
        <f aca="false">R378-T378+IF(AND(Parametri_v3!$C$40=1,D378-YEAR(Parametri_v3!$C$50)&lt;Parametri_v3!$C$41),MAX(0,-Q378),0)</f>
        <v>266307.844203908</v>
      </c>
      <c r="AA378" s="15" t="n">
        <f aca="false">S378-U378+IF(AND(Parametri_v3!$C$40=1,D378-YEAR(Parametri_v3!$C$50)&lt;Parametri_v3!$C$41),0,MAX(0,-Q378))</f>
        <v>0</v>
      </c>
      <c r="AB378" s="15" t="n">
        <f aca="false">F378*(1+Parametri_v3!$C$26)</f>
        <v>28772.7232334064</v>
      </c>
      <c r="AC378" s="15" t="n">
        <f aca="false">(IF(14-(INT((Motore_Operativo!L378)/30))&lt;1,0,INDEX(Motore_Startup!$AB$365:$AB$424,MAX(1,14-(INT((Motore_Operativo!L378)/30)))))*(1-(MOD((Motore_Operativo!L378),30)/30))+IF(14-(INT((Motore_Operativo!L378)/30))-1&lt;1,0,INDEX(Motore_Startup!$AB$365:$AB$424,MAX(1,14-(INT((Motore_Operativo!L378)/30))-1)))*(MOD((Motore_Operativo!L378),30)/30))</f>
        <v>9997.22222222222</v>
      </c>
      <c r="AD378" s="15" t="n">
        <f aca="false">(AD377)+AB378-AC378</f>
        <v>67215.0164844914</v>
      </c>
      <c r="AE378" s="15" t="n">
        <f aca="false">Motore_Operativo!BH378*(1+Parametri_v3!$C$26)</f>
        <v>4145.70892018779</v>
      </c>
      <c r="AF378" s="15" t="n">
        <f aca="false">(IF(14-(INT((Parametri_v3!$C$29)/30))&lt;1,0,INDEX(Motore_Operativo!$BH$365:$BH$424,MAX(1,14-(INT((Parametri_v3!$C$29)/30)))))*(1-(MOD((Parametri_v3!$C$29),30)/30))+IF(14-(INT((Parametri_v3!$C$29)/30))-1&lt;1,0,INDEX(Motore_Operativo!$BH$365:$BH$424,MAX(1,14-(INT((Parametri_v3!$C$29)/30))-1)))*(MOD((Parametri_v3!$C$29),30)/30))*(1+Parametri_v3!$C$26)</f>
        <v>4145.70892018779</v>
      </c>
      <c r="AG378" s="15" t="n">
        <f aca="false">(AG377)+AE378-AF378</f>
        <v>4145.70892018779</v>
      </c>
      <c r="AH378" s="15" t="n">
        <f aca="false">(Motore_Operativo!CJ378)*(1+Parametri_v3!$C$27*Parametri_v3!$C$26)</f>
        <v>20478.2010450071</v>
      </c>
      <c r="AI378" s="15" t="n">
        <f aca="false">(IF(14-(INT((Ipotesi!$C$91)/30))&lt;1,0,INDEX(Motore_Startup!$AH$365:$AH$424,MAX(1,14-(INT((Ipotesi!$C$91)/30)))))*(1-(MOD((Ipotesi!$C$91),30)/30))+IF(14-(INT((Ipotesi!$C$91)/30))-1&lt;1,0,INDEX(Motore_Startup!$AH$365:$AH$424,MAX(1,14-(INT((Ipotesi!$C$91)/30))-1)))*(MOD((Ipotesi!$C$91),30)/30))</f>
        <v>11788.9675823587</v>
      </c>
      <c r="AJ378" s="15" t="n">
        <f aca="false">(AJ377)+AH378-AI378</f>
        <v>40896.3845256403</v>
      </c>
      <c r="AK378" s="15" t="n">
        <f aca="false">(F378+ Motore_Operativo!BH378-(Motore_Operativo!CJ378)*Parametri_v3!$C$27-Motore_Operativo!CE378)*Parametri_v3!$C$26</f>
        <v>2251.64124521685</v>
      </c>
      <c r="AL378" s="15" t="n">
        <f aca="false">MAX(0,(AM377))</f>
        <v>548.490903389566</v>
      </c>
      <c r="AM378" s="15" t="n">
        <f aca="false">(AM377)+AK378-AL378</f>
        <v>2251.64124521685</v>
      </c>
      <c r="AN378" s="15" t="n">
        <f aca="false">SUM(X365:X376)</f>
        <v>0</v>
      </c>
      <c r="AO378" s="15" t="n">
        <f aca="false">SUM(AP365:AP376)</f>
        <v>0</v>
      </c>
      <c r="AP378" s="15" t="n">
        <f aca="false">MAX(0,AN378)*IF(2=Parametri_v3!$C$43,Parametri_v3!$C$45,IF(2=Parametri_v3!$C$44,1-Parametri_v3!$C$45,0))</f>
        <v>0</v>
      </c>
      <c r="AQ378" s="15" t="n">
        <f aca="false">MAX(0,AP378+IF(2=Parametri_v3!$C$43,MAX(0,AN378-AO378),0)-MAX(0,-(AR377)))</f>
        <v>0</v>
      </c>
      <c r="AR378" s="15" t="n">
        <f aca="false">(AR377)+X378-AQ378</f>
        <v>0</v>
      </c>
      <c r="AS378" s="15" t="n">
        <f aca="false">Motore_Operativo!AB378-AT378+AU378</f>
        <v>37774.375</v>
      </c>
      <c r="AT378" s="15" t="n">
        <f aca="false">Motore_Operativo!CH378</f>
        <v>1988.125</v>
      </c>
      <c r="AU378" s="15" t="n">
        <f aca="false">MIN(MAX(0,(AV377)+AT378),Parametri_v3!$C$60/12)</f>
        <v>0</v>
      </c>
      <c r="AV378" s="15" t="n">
        <f aca="false">(AV377)+AT378-AU378</f>
        <v>14726.25</v>
      </c>
      <c r="AW378" s="15" t="n">
        <f aca="false">IF(AND(Motore_Operativo!C378=Finanziamenti!$D$6,Finanziamenti!$F$6=1),Finanziamenti!$C$6,0)</f>
        <v>0</v>
      </c>
      <c r="AX378" s="15" t="n">
        <f aca="false">IF(AND(7&lt;&gt;7,7&lt;&gt;9,Finanziamenti!$F$8=1,OR(Parametri_v3!$C$6=0,Finanziamenti!$E$8=1),Motore_Operativo!C378=EDATE(Finanziamenti!$D$8,Ipotesi!I15*12)),Finanziamenti!$C$8*1,0)+IF(AND(7&lt;&gt;7,7&lt;&gt;9,Finanziamenti!$F$9=1,OR(Parametri_v3!$C$6=0,Finanziamenti!$E$9=1),Motore_Operativo!C378=EDATE(Finanziamenti!$D$9,Ipotesi!I15*12)),Finanziamenti!$C$9*Ipotesi!I16,0)</f>
        <v>0</v>
      </c>
      <c r="AY378" s="15" t="n">
        <f aca="false">0</f>
        <v>0</v>
      </c>
      <c r="AZ378" s="15" t="n">
        <f aca="false">Motore_Advisory!AY378*(1-Ipotesi!$C$95)*Ipotesi!$C$96</f>
        <v>0</v>
      </c>
      <c r="BA378" s="15" t="n">
        <f aca="false">MAX(0,MIN(CG378*MIN(1,IF(Motore_Operativo!C378&gt;=EDATE(Finanziamenti!$D$15,Ipotesi!I14*12),Finanziamenti!$C$15,0)+IF(Motore_Operativo!C378&gt;=EDATE(Finanziamenti!$D$16,Ipotesi!I14*12),Finanziamenti!$C$16,0)+IF(Motore_Operativo!C378&gt;=EDATE(Finanziamenti!$D$17,Ipotesi!I14*12),Finanziamenti!$C$17,0)),CA378*Ipotesi!$C$102)-(CC377))</f>
        <v>12361.6666666667</v>
      </c>
      <c r="BB378" s="15" t="n">
        <f aca="false">IF(AND(CF378&gt;0,Motore_Operativo!C378&gt;=IF(CF378=0,0,EDATE(CF378,Parametri_v3!$C$37)),MOD(((D378-YEAR(IF(CF378=0,0,EDATE(CF378,Parametri_v3!$C$37))))*12+E378-MONTH(IF(CF378=0,0,EDATE(CF378,Parametri_v3!$C$37)))),Parametri_v3!$C$38)=0),MIN(MAX(0,(BC377)+BA378-N378),(CC378-CD378)/(Ipotesi!$C$108*12/Parametri_v3!$C$38)),0)</f>
        <v>0</v>
      </c>
      <c r="BC378" s="15" t="n">
        <f aca="false">(BC377)+BA378-N378-BB378</f>
        <v>57856.4093841065</v>
      </c>
      <c r="BD378" s="15" t="n">
        <f aca="false">(BH377)+AC378+AF378-AI378-AS378-K378*(1+Parametri_v3!$C$26)-AL378-AQ378-O378+AW378+AX378+AZ378+BA378-BB378</f>
        <v>-1696.46361420201</v>
      </c>
      <c r="BE378" s="15" t="n">
        <f aca="false">MAX(0,MIN(MAX(0,CH378-(BG377)),Parametri_v3!$C$30-BD378))</f>
        <v>26696.463614202</v>
      </c>
      <c r="BF378" s="15" t="n">
        <f aca="false">IF(Motore_Operativo!C378&gt;=Parametri_v3!$C$63,(BG377),MIN((BG377),MAX(0,BD378-Parametri_v3!$C$30)))</f>
        <v>0</v>
      </c>
      <c r="BG378" s="15" t="n">
        <f aca="false">(BG377)+BE378-BF378</f>
        <v>136208.717786956</v>
      </c>
      <c r="BH378" s="15" t="n">
        <f aca="false">BD378+BE378-BF378-AY378</f>
        <v>25000</v>
      </c>
      <c r="BI378" s="15" t="n">
        <f aca="false">MAX(0,Parametri_v3!$C$30-BH378)</f>
        <v>0</v>
      </c>
      <c r="BJ378" s="15" t="n">
        <f aca="false">(BJ377)+K378</f>
        <v>24166.6666666667</v>
      </c>
      <c r="BK378" s="15" t="n">
        <f aca="false">(BK377)+L378</f>
        <v>4895.83333333333</v>
      </c>
      <c r="BL378" s="15" t="n">
        <f aca="false">BJ378-BK378</f>
        <v>19270.8333333333</v>
      </c>
      <c r="BM378" s="15" t="n">
        <f aca="false">(BM377)+Y378</f>
        <v>-266307.844203907</v>
      </c>
      <c r="BN378" s="15" t="n">
        <f aca="false">(BN377)+AW378+AX378+AZ378</f>
        <v>130000</v>
      </c>
      <c r="BO378" s="15" t="n">
        <f aca="false">(BO377)+AY378</f>
        <v>0</v>
      </c>
      <c r="BP378" s="15" t="n">
        <f aca="false">0</f>
        <v>0</v>
      </c>
      <c r="BQ378" s="15" t="n">
        <f aca="false">BN378+BM378-BO378</f>
        <v>-136307.844203907</v>
      </c>
      <c r="BR378" s="15" t="n">
        <f aca="false">BH378+AD378+BL378+MAX(0,-AM378)+MAX(0,-AR378)+AG378</f>
        <v>115631.558738013</v>
      </c>
      <c r="BS378" s="15" t="n">
        <f aca="false">AJ378+AV378+MAX(0,AM378)+MAX(0,AR378)+BC378+BG378+BQ378</f>
        <v>115631.558738013</v>
      </c>
      <c r="BT378" s="15" t="n">
        <f aca="false">BR378-BS378</f>
        <v>0</v>
      </c>
      <c r="BU378" s="15" t="n">
        <f aca="false">BH378-(BD378+BE378-BF378-AY378)</f>
        <v>0</v>
      </c>
      <c r="BV378" s="15" t="n">
        <f aca="false">MIN(Piano_SS!$C$6,(BV377)+IF(AND(Motore_Operativo!C378&gt;=EDATE(Parametri_v3!$C$24,Ipotesi!I14*12),Motore_Operativo!C378&lt;EDATE(Parametri_v3!$C$24,Parametri_v3!$C$25+Ipotesi!I14*12)),MAX(0,(Motore_Operativo!Y378+Motore_Operativo!X378*Parametri_v3!$C$14)*(1-Parametri_v3!$C$32))*Piano_SS!$D$6,0))</f>
        <v>52962.5</v>
      </c>
      <c r="BW378" s="15" t="n">
        <f aca="false">MIN(Piano_SS!$C$7,(BW377)+IF(AND(Motore_Operativo!C378&gt;=EDATE(Parametri_v3!$C$24,Ipotesi!I14*12),Motore_Operativo!C378&lt;EDATE(Parametri_v3!$C$24,Parametri_v3!$C$25+Ipotesi!I14*12)),MAX(0,(IF(14-(INT((Ipotesi!$C$91)/30))&lt;1,0,INDEX(Motore_Operativo!$BN$365:$BN$424,MAX(1,14-(INT((Ipotesi!$C$91)/30)))))*(1-(MOD((Ipotesi!$C$91),30)/30))+IF(14-(INT((Ipotesi!$C$91)/30))-1&lt;1,0,INDEX(Motore_Operativo!$BN$365:$BN$424,MAX(1,14-(INT((Ipotesi!$C$91)/30))-1)))*(MOD((Ipotesi!$C$91),30)/30)))*Piano_SS!$D$7,0))</f>
        <v>10296.2962962963</v>
      </c>
      <c r="BX378" s="15" t="n">
        <f aca="false">MIN(Piano_SS!$C$8,(BX377)+IF(AND(Motore_Operativo!C378&gt;=EDATE(Parametri_v3!$C$24,Ipotesi!I14*12),Motore_Operativo!C378&lt;EDATE(Parametri_v3!$C$24,Parametri_v3!$C$25+Ipotesi!I14*12)),MAX(0,Motore_Operativo!CE378)*Piano_SS!$D$8,0))</f>
        <v>14166.6666666667</v>
      </c>
      <c r="BY378" s="15" t="n">
        <f aca="false">MIN(Piano_SS!$C$9,(BY377)+IF(AND(Motore_Operativo!C378&gt;=EDATE(Parametri_v3!$C$24,Ipotesi!I14*12),Motore_Operativo!C378&lt;EDATE(Parametri_v3!$C$24,Parametri_v3!$C$25+Ipotesi!I14*12)),MAX(0,((IF(14-(INT((Ipotesi!$C$91)/30))&lt;1,0,INDEX(Motore_Operativo!$BQ$365:$BQ$424,MAX(1,14-(INT((Ipotesi!$C$91)/30)))))*(1-(MOD((Ipotesi!$C$91),30)/30))+IF(14-(INT((Ipotesi!$C$91)/30))-1&lt;1,0,INDEX(Motore_Operativo!$BQ$365:$BQ$424,MAX(1,14-(INT((Ipotesi!$C$91)/30))-1)))*(MOD((Ipotesi!$C$91),30)/30))+(IF(14-(INT((Ipotesi!$C$91)/30))&lt;1,0,INDEX(Motore_Operativo!$BR$365:$BR$424,MAX(1,14-(INT((Ipotesi!$C$91)/30)))))*(1-(MOD((Ipotesi!$C$91),30)/30))+IF(14-(INT((Ipotesi!$C$91)/30))-1&lt;1,0,INDEX(Motore_Operativo!$BR$365:$BR$424,MAX(1,14-(INT((Ipotesi!$C$91)/30))-1)))*(MOD((Ipotesi!$C$91),30)/30))))*Piano_SS!$D$9,0))</f>
        <v>18000</v>
      </c>
      <c r="BZ378" s="15" t="n">
        <f aca="false">MIN(Piano_SS!$C$10,(BZ377)+IF(AND(Motore_Operativo!C378&gt;=EDATE(Parametri_v3!$C$24,Ipotesi!I14*12),Motore_Operativo!C378&lt;EDATE(Parametri_v3!$C$24,Parametri_v3!$C$25+Ipotesi!I14*12)),MAX(0,(IF(14-(INT((Ipotesi!$C$91)/30))&lt;1,0,INDEX(Motore_Operativo!$BO$365:$BO$424,MAX(1,14-(INT((Ipotesi!$C$91)/30)))))*(1-(MOD((Ipotesi!$C$91),30)/30))+IF(14-(INT((Ipotesi!$C$91)/30))-1&lt;1,0,INDEX(Motore_Operativo!$BO$365:$BO$424,MAX(1,14-(INT((Ipotesi!$C$91)/30))-1)))*(MOD((Ipotesi!$C$91),30)/30)))*Piano_SS!$D$10,0))</f>
        <v>8000</v>
      </c>
      <c r="CA378" s="15" t="n">
        <f aca="false">SUM(BV378:BZ378)</f>
        <v>103425.462962963</v>
      </c>
      <c r="CB378" s="15" t="n">
        <f aca="false">BV378*(1-Piano_SS!$E$6)+BW378*(1-Piano_SS!$E$7)+BX378*(1-Piano_SS!$E$8)+BY378*(1-Piano_SS!$E$9)+BZ378*(1-Piano_SS!$E$10)</f>
        <v>95425.462962963</v>
      </c>
      <c r="CC378" s="15" t="n">
        <f aca="false">(CC377)+BA378</f>
        <v>80000</v>
      </c>
      <c r="CD378" s="15" t="n">
        <f aca="false">IF(CA378=0,0,CC378*CB378/CA378*Ipotesi!$C$103*Parametri_v3!$C$64)</f>
        <v>22143.5906158935</v>
      </c>
      <c r="CE378" s="18" t="n">
        <f aca="false">IF(BA378&gt;0,Motore_Operativo!C378,(CE377))</f>
        <v>46784</v>
      </c>
      <c r="CF378" s="18" t="n">
        <f aca="false">IF(AND(CC378&gt;0,OR(CC378&gt;=CG378-0.01,Motore_Operativo!C378&gt;=EDATE(MAX(Finanziamenti!$D$15:$D$17),Ipotesi!I14*12))),CE378,0)</f>
        <v>0</v>
      </c>
      <c r="CG378" s="15" t="n">
        <f aca="false">IF(AND(7&lt;&gt;6,7&lt;&gt;9,Finanziamenti!$F$11=1,OR(Parametri_v3!$C$6=0,Finanziamenti!$E$11=1)),MIN(Finanziamenti!$C$11,Piano_SS!$C$12*Ipotesi!$C$102),0)</f>
        <v>400000</v>
      </c>
      <c r="CH378" s="15" t="n">
        <f aca="false">IF(AND(AND(7&lt;&gt;8,7&lt;&gt;9,Finanziamenti!$F$10=1,OR(Parametri_v3!$C$6=0,Finanziamenti!$E$10=1)),Motore_Operativo!C378&gt;=Finanziamenti!$D$10,Motore_Operativo!C378&lt;Parametri_v3!$C$63),Finanziamenti!$C$10,0)</f>
        <v>150000</v>
      </c>
    </row>
    <row r="379" customFormat="false" ht="18" hidden="false" customHeight="true" outlineLevel="0" collapsed="false">
      <c r="A379" s="68" t="n">
        <f aca="false">7</f>
        <v>7</v>
      </c>
      <c r="B379" s="68" t="n">
        <f aca="false">15</f>
        <v>15</v>
      </c>
      <c r="C379" s="18" t="n">
        <f aca="false">Motore_Operativo!C379</f>
        <v>46813</v>
      </c>
      <c r="D379" s="68" t="n">
        <f aca="false">Motore_Operativo!D379</f>
        <v>2028</v>
      </c>
      <c r="E379" s="68" t="n">
        <f aca="false">Motore_Operativo!E379</f>
        <v>3</v>
      </c>
      <c r="F379" s="15" t="n">
        <f aca="false">Motore_Operativo!AQ379+Motore_Operativo!BF379</f>
        <v>23942.2022250311</v>
      </c>
      <c r="G379" s="15" t="n">
        <f aca="false">Motore_Operativo!BH379</f>
        <v>3398.1220657277</v>
      </c>
      <c r="H379" s="15" t="n">
        <f aca="false">Motore_Operativo!BI379</f>
        <v>27340.3242907588</v>
      </c>
      <c r="I379" s="15" t="n">
        <f aca="false">Motore_Operativo!CA379</f>
        <v>57064.6853068095</v>
      </c>
      <c r="J379" s="15" t="n">
        <f aca="false">Motore_Operativo!CC379</f>
        <v>-29724.3610160507</v>
      </c>
      <c r="K379" s="15" t="n">
        <f aca="false">Motore_Operativo!CE379</f>
        <v>2083.33333333333</v>
      </c>
      <c r="L379" s="15" t="n">
        <f aca="false">SUM(INDEX($K$365:$K$424,MAX(1,15-Parametri_v3!$C$59+1)):K379)/Parametri_v3!$C$59</f>
        <v>729.166666666667</v>
      </c>
      <c r="M379" s="15" t="n">
        <f aca="false">J379-L379</f>
        <v>-30453.5276827174</v>
      </c>
      <c r="N379" s="15" t="n">
        <f aca="false">CD379-(CD378)</f>
        <v>-48.5387189827779</v>
      </c>
      <c r="O379" s="15" t="n">
        <f aca="false">(BG378)*Ipotesi!$C$110/12+CH379*Parametri_v3!$C$39/12</f>
        <v>681.043588934782</v>
      </c>
      <c r="P379" s="15" t="n">
        <f aca="false">M379+N379-O379</f>
        <v>-31183.1099906349</v>
      </c>
      <c r="Q379" s="15" t="n">
        <f aca="false">SUM(P377:P379)+Parametri_v3!$C$54*3/12</f>
        <v>-85989.3584621702</v>
      </c>
      <c r="R379" s="15" t="n">
        <f aca="false">Z376</f>
        <v>211501.595732372</v>
      </c>
      <c r="S379" s="15" t="n">
        <f aca="false">AA376</f>
        <v>0</v>
      </c>
      <c r="T379" s="15" t="n">
        <f aca="false">MIN(R379,MAX(0,Q379))</f>
        <v>0</v>
      </c>
      <c r="U379" s="15" t="n">
        <f aca="false">MIN(S379,MAX(0,Q379-T379)*Parametri_v3!$C$42)</f>
        <v>0</v>
      </c>
      <c r="V379" s="15" t="n">
        <f aca="false">MAX(0,Q379-T379-U379)*Ipotesi!$C$92</f>
        <v>0</v>
      </c>
      <c r="W379" s="15" t="n">
        <f aca="false">MAX(0,SUM(M377:M379)+Parametri_v3!$C$55*3/12)*Ipotesi!$C$93</f>
        <v>0</v>
      </c>
      <c r="X379" s="15" t="n">
        <f aca="false">V379+W379-(V378+W378)</f>
        <v>0</v>
      </c>
      <c r="Y379" s="15" t="n">
        <f aca="false">P379-X379</f>
        <v>-31183.1099906349</v>
      </c>
      <c r="Z379" s="15" t="n">
        <f aca="false">R379-T379+IF(AND(Parametri_v3!$C$40=1,D379-YEAR(Parametri_v3!$C$50)&lt;Parametri_v3!$C$41),MAX(0,-Q379),0)</f>
        <v>297490.954194542</v>
      </c>
      <c r="AA379" s="15" t="n">
        <f aca="false">S379-U379+IF(AND(Parametri_v3!$C$40=1,D379-YEAR(Parametri_v3!$C$50)&lt;Parametri_v3!$C$41),0,MAX(0,-Q379))</f>
        <v>0</v>
      </c>
      <c r="AB379" s="15" t="n">
        <f aca="false">F379*(1+Parametri_v3!$C$26)</f>
        <v>29209.486714538</v>
      </c>
      <c r="AC379" s="15" t="n">
        <f aca="false">(IF(15-(INT((Motore_Operativo!L379)/30))&lt;1,0,INDEX(Motore_Startup!$AB$365:$AB$424,MAX(1,15-(INT((Motore_Operativo!L379)/30)))))*(1-(MOD((Motore_Operativo!L379),30)/30))+IF(15-(INT((Motore_Operativo!L379)/30))-1&lt;1,0,INDEX(Motore_Startup!$AB$365:$AB$424,MAX(1,15-(INT((Motore_Operativo!L379)/30))-1)))*(MOD((Motore_Operativo!L379),30)/30))</f>
        <v>10110.1851851852</v>
      </c>
      <c r="AD379" s="15" t="n">
        <f aca="false">(AD378)+AB379-AC379</f>
        <v>86314.3180138442</v>
      </c>
      <c r="AE379" s="15" t="n">
        <f aca="false">Motore_Operativo!BH379*(1+Parametri_v3!$C$26)</f>
        <v>4145.70892018779</v>
      </c>
      <c r="AF379" s="15" t="n">
        <f aca="false">(IF(15-(INT((Parametri_v3!$C$29)/30))&lt;1,0,INDEX(Motore_Operativo!$BH$365:$BH$424,MAX(1,15-(INT((Parametri_v3!$C$29)/30)))))*(1-(MOD((Parametri_v3!$C$29),30)/30))+IF(15-(INT((Parametri_v3!$C$29)/30))-1&lt;1,0,INDEX(Motore_Operativo!$BH$365:$BH$424,MAX(1,15-(INT((Parametri_v3!$C$29)/30))-1)))*(MOD((Parametri_v3!$C$29),30)/30))*(1+Parametri_v3!$C$26)</f>
        <v>4145.70892018779</v>
      </c>
      <c r="AG379" s="15" t="n">
        <f aca="false">(AG378)+AE379-AF379</f>
        <v>4145.70892018779</v>
      </c>
      <c r="AH379" s="15" t="n">
        <f aca="false">(Motore_Operativo!CJ379)*(1+Parametri_v3!$C$27*Parametri_v3!$C$26)</f>
        <v>20537.6939591829</v>
      </c>
      <c r="AI379" s="15" t="n">
        <f aca="false">(IF(15-(INT((Ipotesi!$C$91)/30))&lt;1,0,INDEX(Motore_Startup!$AH$365:$AH$424,MAX(1,15-(INT((Ipotesi!$C$91)/30)))))*(1-(MOD((Ipotesi!$C$91),30)/30))+IF(15-(INT((Ipotesi!$C$91)/30))-1&lt;1,0,INDEX(Motore_Startup!$AH$365:$AH$424,MAX(1,15-(INT((Ipotesi!$C$91)/30))-1)))*(MOD((Ipotesi!$C$91),30)/30))</f>
        <v>20418.1834806332</v>
      </c>
      <c r="AJ379" s="15" t="n">
        <f aca="false">(AJ378)+AH379-AI379</f>
        <v>41015.8950041901</v>
      </c>
      <c r="AK379" s="15" t="n">
        <f aca="false">(F379+ Motore_Operativo!BH379-(Motore_Operativo!CJ379)*Parametri_v3!$C$27-Motore_Operativo!CE379)*Parametri_v3!$C$26</f>
        <v>2321.02935826023</v>
      </c>
      <c r="AL379" s="15" t="n">
        <f aca="false">MAX(0,(AM378))</f>
        <v>2251.64124521685</v>
      </c>
      <c r="AM379" s="15" t="n">
        <f aca="false">(AM378)+AK379-AL379</f>
        <v>2321.02935826023</v>
      </c>
      <c r="AN379" s="15" t="n">
        <f aca="false">SUM(X365:X376)</f>
        <v>0</v>
      </c>
      <c r="AO379" s="15" t="n">
        <f aca="false">SUM(AP365:AP376)</f>
        <v>0</v>
      </c>
      <c r="AP379" s="15" t="n">
        <f aca="false">MAX(0,AN379)*IF(3=Parametri_v3!$C$43,Parametri_v3!$C$45,IF(3=Parametri_v3!$C$44,1-Parametri_v3!$C$45,0))</f>
        <v>0</v>
      </c>
      <c r="AQ379" s="15" t="n">
        <f aca="false">MAX(0,AP379+IF(3=Parametri_v3!$C$43,MAX(0,AN379-AO379),0)-MAX(0,-(AR378)))</f>
        <v>0</v>
      </c>
      <c r="AR379" s="15" t="n">
        <f aca="false">(AR378)+X379-AQ379</f>
        <v>0</v>
      </c>
      <c r="AS379" s="15" t="n">
        <f aca="false">Motore_Operativo!AB379-AT379+AU379</f>
        <v>37774.375</v>
      </c>
      <c r="AT379" s="15" t="n">
        <f aca="false">Motore_Operativo!CH379</f>
        <v>1988.125</v>
      </c>
      <c r="AU379" s="15" t="n">
        <f aca="false">MIN(MAX(0,(AV378)+AT379),Parametri_v3!$C$60/12)</f>
        <v>0</v>
      </c>
      <c r="AV379" s="15" t="n">
        <f aca="false">(AV378)+AT379-AU379</f>
        <v>16714.375</v>
      </c>
      <c r="AW379" s="15" t="n">
        <f aca="false">IF(AND(Motore_Operativo!C379=Finanziamenti!$D$6,Finanziamenti!$F$6=1),Finanziamenti!$C$6,0)</f>
        <v>0</v>
      </c>
      <c r="AX379" s="15" t="n">
        <f aca="false">IF(AND(7&lt;&gt;7,7&lt;&gt;9,Finanziamenti!$F$8=1,OR(Parametri_v3!$C$6=0,Finanziamenti!$E$8=1),Motore_Operativo!C379=EDATE(Finanziamenti!$D$8,Ipotesi!I15*12)),Finanziamenti!$C$8*1,0)+IF(AND(7&lt;&gt;7,7&lt;&gt;9,Finanziamenti!$F$9=1,OR(Parametri_v3!$C$6=0,Finanziamenti!$E$9=1),Motore_Operativo!C379=EDATE(Finanziamenti!$D$9,Ipotesi!I15*12)),Finanziamenti!$C$9*Ipotesi!I16,0)</f>
        <v>0</v>
      </c>
      <c r="AY379" s="15" t="n">
        <f aca="false">0</f>
        <v>0</v>
      </c>
      <c r="AZ379" s="15" t="n">
        <f aca="false">Motore_Advisory!AY379*(1-Ipotesi!$C$95)*Ipotesi!$C$96</f>
        <v>0</v>
      </c>
      <c r="BA379" s="15" t="n">
        <f aca="false">MAX(0,MIN(CG379*MIN(1,IF(Motore_Operativo!C379&gt;=EDATE(Finanziamenti!$D$15,Ipotesi!I14*12),Finanziamenti!$C$15,0)+IF(Motore_Operativo!C379&gt;=EDATE(Finanziamenti!$D$16,Ipotesi!I14*12),Finanziamenti!$C$16,0)+IF(Motore_Operativo!C379&gt;=EDATE(Finanziamenti!$D$17,Ipotesi!I14*12),Finanziamenti!$C$17,0)),CA379*Ipotesi!$C$102)-(CC378))</f>
        <v>0</v>
      </c>
      <c r="BB379" s="15" t="n">
        <f aca="false">IF(AND(CF379&gt;0,Motore_Operativo!C379&gt;=IF(CF379=0,0,EDATE(CF379,Parametri_v3!$C$37)),MOD(((D379-YEAR(IF(CF379=0,0,EDATE(CF379,Parametri_v3!$C$37))))*12+E379-MONTH(IF(CF379=0,0,EDATE(CF379,Parametri_v3!$C$37)))),Parametri_v3!$C$38)=0),MIN(MAX(0,(BC378)+BA379-N379),(CC379-CD379)/(Ipotesi!$C$108*12/Parametri_v3!$C$38)),0)</f>
        <v>0</v>
      </c>
      <c r="BC379" s="15" t="n">
        <f aca="false">(BC378)+BA379-N379-BB379</f>
        <v>57904.9481030893</v>
      </c>
      <c r="BD379" s="15" t="n">
        <f aca="false">(BH378)+AC379+AF379-AI379-AS379-K379*(1+Parametri_v3!$C$26)-AL379-AQ379-O379+AW379+AX379+AZ379+BA379-BB379</f>
        <v>-24411.0158760785</v>
      </c>
      <c r="BE379" s="15" t="n">
        <f aca="false">MAX(0,MIN(MAX(0,CH379-(BG378)),Parametri_v3!$C$30-BD379))</f>
        <v>13791.2822130436</v>
      </c>
      <c r="BF379" s="15" t="n">
        <f aca="false">IF(Motore_Operativo!C379&gt;=Parametri_v3!$C$63,(BG378),MIN((BG378),MAX(0,BD379-Parametri_v3!$C$30)))</f>
        <v>0</v>
      </c>
      <c r="BG379" s="15" t="n">
        <f aca="false">(BG378)+BE379-BF379</f>
        <v>150000</v>
      </c>
      <c r="BH379" s="15" t="n">
        <f aca="false">BD379+BE379-BF379-AY379</f>
        <v>-10619.7336630349</v>
      </c>
      <c r="BI379" s="15" t="n">
        <f aca="false">MAX(0,Parametri_v3!$C$30-BH379)</f>
        <v>35619.7336630349</v>
      </c>
      <c r="BJ379" s="15" t="n">
        <f aca="false">(BJ378)+K379</f>
        <v>26250</v>
      </c>
      <c r="BK379" s="15" t="n">
        <f aca="false">(BK378)+L379</f>
        <v>5625</v>
      </c>
      <c r="BL379" s="15" t="n">
        <f aca="false">BJ379-BK379</f>
        <v>20625</v>
      </c>
      <c r="BM379" s="15" t="n">
        <f aca="false">(BM378)+Y379</f>
        <v>-297490.954194542</v>
      </c>
      <c r="BN379" s="15" t="n">
        <f aca="false">(BN378)+AW379+AX379+AZ379</f>
        <v>130000</v>
      </c>
      <c r="BO379" s="15" t="n">
        <f aca="false">(BO378)+AY379</f>
        <v>0</v>
      </c>
      <c r="BP379" s="15" t="n">
        <f aca="false">0</f>
        <v>0</v>
      </c>
      <c r="BQ379" s="15" t="n">
        <f aca="false">BN379+BM379-BO379</f>
        <v>-167490.954194542</v>
      </c>
      <c r="BR379" s="15" t="n">
        <f aca="false">BH379+AD379+BL379+MAX(0,-AM379)+MAX(0,-AR379)+AG379</f>
        <v>100465.293270997</v>
      </c>
      <c r="BS379" s="15" t="n">
        <f aca="false">AJ379+AV379+MAX(0,AM379)+MAX(0,AR379)+BC379+BG379+BQ379</f>
        <v>100465.293270997</v>
      </c>
      <c r="BT379" s="15" t="n">
        <f aca="false">BR379-BS379</f>
        <v>0</v>
      </c>
      <c r="BU379" s="15" t="n">
        <f aca="false">BH379-(BD379+BE379-BF379-AY379)</f>
        <v>0</v>
      </c>
      <c r="BV379" s="15" t="n">
        <f aca="false">MIN(Piano_SS!$C$6,(BV378)+IF(AND(Motore_Operativo!C379&gt;=EDATE(Parametri_v3!$C$24,Ipotesi!I14*12),Motore_Operativo!C379&lt;EDATE(Parametri_v3!$C$24,Parametri_v3!$C$25+Ipotesi!I14*12)),MAX(0,(Motore_Operativo!Y379+Motore_Operativo!X379*Parametri_v3!$C$14)*(1-Parametri_v3!$C$32))*Piano_SS!$D$6,0))</f>
        <v>65193.75</v>
      </c>
      <c r="BW379" s="15" t="n">
        <f aca="false">MIN(Piano_SS!$C$7,(BW378)+IF(AND(Motore_Operativo!C379&gt;=EDATE(Parametri_v3!$C$24,Ipotesi!I14*12),Motore_Operativo!C379&lt;EDATE(Parametri_v3!$C$24,Parametri_v3!$C$25+Ipotesi!I14*12)),MAX(0,(IF(15-(INT((Ipotesi!$C$91)/30))&lt;1,0,INDEX(Motore_Operativo!$BN$365:$BN$424,MAX(1,15-(INT((Ipotesi!$C$91)/30)))))*(1-(MOD((Ipotesi!$C$91),30)/30))+IF(15-(INT((Ipotesi!$C$91)/30))-1&lt;1,0,INDEX(Motore_Operativo!$BN$365:$BN$424,MAX(1,15-(INT((Ipotesi!$C$91)/30))-1)))*(MOD((Ipotesi!$C$91),30)/30)))*Piano_SS!$D$7,0))</f>
        <v>11694.1394481586</v>
      </c>
      <c r="BX379" s="15" t="n">
        <f aca="false">MIN(Piano_SS!$C$8,(BX378)+IF(AND(Motore_Operativo!C379&gt;=EDATE(Parametri_v3!$C$24,Ipotesi!I14*12),Motore_Operativo!C379&lt;EDATE(Parametri_v3!$C$24,Parametri_v3!$C$25+Ipotesi!I14*12)),MAX(0,Motore_Operativo!CE379)*Piano_SS!$D$8,0))</f>
        <v>16250</v>
      </c>
      <c r="BY379" s="15" t="n">
        <f aca="false">MIN(Piano_SS!$C$9,(BY378)+IF(AND(Motore_Operativo!C379&gt;=EDATE(Parametri_v3!$C$24,Ipotesi!I14*12),Motore_Operativo!C379&lt;EDATE(Parametri_v3!$C$24,Parametri_v3!$C$25+Ipotesi!I14*12)),MAX(0,((IF(15-(INT((Ipotesi!$C$91)/30))&lt;1,0,INDEX(Motore_Operativo!$BQ$365:$BQ$424,MAX(1,15-(INT((Ipotesi!$C$91)/30)))))*(1-(MOD((Ipotesi!$C$91),30)/30))+IF(15-(INT((Ipotesi!$C$91)/30))-1&lt;1,0,INDEX(Motore_Operativo!$BQ$365:$BQ$424,MAX(1,15-(INT((Ipotesi!$C$91)/30))-1)))*(MOD((Ipotesi!$C$91),30)/30))+(IF(15-(INT((Ipotesi!$C$91)/30))&lt;1,0,INDEX(Motore_Operativo!$BR$365:$BR$424,MAX(1,15-(INT((Ipotesi!$C$91)/30)))))*(1-(MOD((Ipotesi!$C$91),30)/30))+IF(15-(INT((Ipotesi!$C$91)/30))-1&lt;1,0,INDEX(Motore_Operativo!$BR$365:$BR$424,MAX(1,15-(INT((Ipotesi!$C$91)/30))-1)))*(MOD((Ipotesi!$C$91),30)/30))))*Piano_SS!$D$9,0))</f>
        <v>20916.6666666667</v>
      </c>
      <c r="BZ379" s="15" t="n">
        <f aca="false">MIN(Piano_SS!$C$10,(BZ378)+IF(AND(Motore_Operativo!C379&gt;=EDATE(Parametri_v3!$C$24,Ipotesi!I14*12),Motore_Operativo!C379&lt;EDATE(Parametri_v3!$C$24,Parametri_v3!$C$25+Ipotesi!I14*12)),MAX(0,(IF(15-(INT((Ipotesi!$C$91)/30))&lt;1,0,INDEX(Motore_Operativo!$BO$365:$BO$424,MAX(1,15-(INT((Ipotesi!$C$91)/30)))))*(1-(MOD((Ipotesi!$C$91),30)/30))+IF(15-(INT((Ipotesi!$C$91)/30))-1&lt;1,0,INDEX(Motore_Operativo!$BO$365:$BO$424,MAX(1,15-(INT((Ipotesi!$C$91)/30))-1)))*(MOD((Ipotesi!$C$91),30)/30)))*Piano_SS!$D$10,0))</f>
        <v>9833.33333333333</v>
      </c>
      <c r="CA379" s="15" t="n">
        <f aca="false">SUM(BV379:BZ379)</f>
        <v>123887.889448159</v>
      </c>
      <c r="CB379" s="15" t="n">
        <f aca="false">BV379*(1-Piano_SS!$E$6)+BW379*(1-Piano_SS!$E$7)+BX379*(1-Piano_SS!$E$8)+BY379*(1-Piano_SS!$E$9)+BZ379*(1-Piano_SS!$E$10)</f>
        <v>114054.556114825</v>
      </c>
      <c r="CC379" s="15" t="n">
        <f aca="false">(CC378)+BA379</f>
        <v>80000</v>
      </c>
      <c r="CD379" s="15" t="n">
        <f aca="false">IF(CA379=0,0,CC379*CB379/CA379*Ipotesi!$C$103*Parametri_v3!$C$64)</f>
        <v>22095.0518969108</v>
      </c>
      <c r="CE379" s="18" t="n">
        <f aca="false">IF(BA379&gt;0,Motore_Operativo!C379,(CE378))</f>
        <v>46784</v>
      </c>
      <c r="CF379" s="18" t="n">
        <f aca="false">IF(AND(CC379&gt;0,OR(CC379&gt;=CG379-0.01,Motore_Operativo!C379&gt;=EDATE(MAX(Finanziamenti!$D$15:$D$17),Ipotesi!I14*12))),CE379,0)</f>
        <v>0</v>
      </c>
      <c r="CG379" s="15" t="n">
        <f aca="false">IF(AND(7&lt;&gt;6,7&lt;&gt;9,Finanziamenti!$F$11=1,OR(Parametri_v3!$C$6=0,Finanziamenti!$E$11=1)),MIN(Finanziamenti!$C$11,Piano_SS!$C$12*Ipotesi!$C$102),0)</f>
        <v>400000</v>
      </c>
      <c r="CH379" s="15" t="n">
        <f aca="false">IF(AND(AND(7&lt;&gt;8,7&lt;&gt;9,Finanziamenti!$F$10=1,OR(Parametri_v3!$C$6=0,Finanziamenti!$E$10=1)),Motore_Operativo!C379&gt;=Finanziamenti!$D$10,Motore_Operativo!C379&lt;Parametri_v3!$C$63),Finanziamenti!$C$10,0)</f>
        <v>150000</v>
      </c>
    </row>
    <row r="380" customFormat="false" ht="18" hidden="false" customHeight="true" outlineLevel="0" collapsed="false">
      <c r="A380" s="68" t="n">
        <f aca="false">7</f>
        <v>7</v>
      </c>
      <c r="B380" s="68" t="n">
        <f aca="false">16</f>
        <v>16</v>
      </c>
      <c r="C380" s="18" t="n">
        <f aca="false">Motore_Operativo!C380</f>
        <v>46844</v>
      </c>
      <c r="D380" s="68" t="n">
        <f aca="false">Motore_Operativo!D380</f>
        <v>2028</v>
      </c>
      <c r="E380" s="68" t="n">
        <f aca="false">Motore_Operativo!E380</f>
        <v>4</v>
      </c>
      <c r="F380" s="15" t="n">
        <f aca="false">Motore_Operativo!AQ380+Motore_Operativo!BF380</f>
        <v>24588.3602789749</v>
      </c>
      <c r="G380" s="15" t="n">
        <f aca="false">Motore_Operativo!BH380</f>
        <v>3398.1220657277</v>
      </c>
      <c r="H380" s="15" t="n">
        <f aca="false">Motore_Operativo!BI380</f>
        <v>27986.4823447026</v>
      </c>
      <c r="I380" s="15" t="n">
        <f aca="false">Motore_Operativo!CA380</f>
        <v>57155.1474343617</v>
      </c>
      <c r="J380" s="15" t="n">
        <f aca="false">Motore_Operativo!CC380</f>
        <v>-29168.665089659</v>
      </c>
      <c r="K380" s="15" t="n">
        <f aca="false">Motore_Operativo!CE380</f>
        <v>2083.33333333333</v>
      </c>
      <c r="L380" s="15" t="n">
        <f aca="false">SUM(INDEX($K$365:$K$424,MAX(1,16-Parametri_v3!$C$59+1)):K380)/Parametri_v3!$C$59</f>
        <v>787.037037037037</v>
      </c>
      <c r="M380" s="15" t="n">
        <f aca="false">J380-L380</f>
        <v>-29955.7021266961</v>
      </c>
      <c r="N380" s="15" t="n">
        <f aca="false">CD380-(CD379)</f>
        <v>-34.3893019331663</v>
      </c>
      <c r="O380" s="15" t="n">
        <f aca="false">(BG379)*Ipotesi!$C$110/12+CH380*Parametri_v3!$C$39/12</f>
        <v>750</v>
      </c>
      <c r="P380" s="15" t="n">
        <f aca="false">M380+N380-O380</f>
        <v>-30740.0914286292</v>
      </c>
      <c r="Q380" s="15" t="n">
        <f aca="false">SUM(P377:P380)+Parametri_v3!$C$54*4/12</f>
        <v>-116729.449890799</v>
      </c>
      <c r="R380" s="15" t="n">
        <f aca="false">Z376</f>
        <v>211501.595732372</v>
      </c>
      <c r="S380" s="15" t="n">
        <f aca="false">AA376</f>
        <v>0</v>
      </c>
      <c r="T380" s="15" t="n">
        <f aca="false">MIN(R380,MAX(0,Q380))</f>
        <v>0</v>
      </c>
      <c r="U380" s="15" t="n">
        <f aca="false">MIN(S380,MAX(0,Q380-T380)*Parametri_v3!$C$42)</f>
        <v>0</v>
      </c>
      <c r="V380" s="15" t="n">
        <f aca="false">MAX(0,Q380-T380-U380)*Ipotesi!$C$92</f>
        <v>0</v>
      </c>
      <c r="W380" s="15" t="n">
        <f aca="false">MAX(0,SUM(M377:M380)+Parametri_v3!$C$55*4/12)*Ipotesi!$C$93</f>
        <v>0</v>
      </c>
      <c r="X380" s="15" t="n">
        <f aca="false">V380+W380-(V379+W379)</f>
        <v>0</v>
      </c>
      <c r="Y380" s="15" t="n">
        <f aca="false">P380-X380</f>
        <v>-30740.0914286292</v>
      </c>
      <c r="Z380" s="15" t="n">
        <f aca="false">R380-T380+IF(AND(Parametri_v3!$C$40=1,D380-YEAR(Parametri_v3!$C$50)&lt;Parametri_v3!$C$41),MAX(0,-Q380),0)</f>
        <v>328231.045623172</v>
      </c>
      <c r="AA380" s="15" t="n">
        <f aca="false">S380-U380+IF(AND(Parametri_v3!$C$40=1,D380-YEAR(Parametri_v3!$C$50)&lt;Parametri_v3!$C$41),0,MAX(0,-Q380))</f>
        <v>0</v>
      </c>
      <c r="AB380" s="15" t="n">
        <f aca="false">F380*(1+Parametri_v3!$C$26)</f>
        <v>29997.7995403494</v>
      </c>
      <c r="AC380" s="15" t="n">
        <f aca="false">(IF(16-(INT((Motore_Operativo!L380)/30))&lt;1,0,INDEX(Motore_Startup!$AB$365:$AB$424,MAX(1,16-(INT((Motore_Operativo!L380)/30)))))*(1-(MOD((Motore_Operativo!L380),30)/30))+IF(16-(INT((Motore_Operativo!L380)/30))-1&lt;1,0,INDEX(Motore_Startup!$AB$365:$AB$424,MAX(1,16-(INT((Motore_Operativo!L380)/30))-1)))*(MOD((Motore_Operativo!L380),30)/30))</f>
        <v>28332.1080658998</v>
      </c>
      <c r="AD380" s="15" t="n">
        <f aca="false">(AD379)+AB380-AC380</f>
        <v>87980.0094882938</v>
      </c>
      <c r="AE380" s="15" t="n">
        <f aca="false">Motore_Operativo!BH380*(1+Parametri_v3!$C$26)</f>
        <v>4145.70892018779</v>
      </c>
      <c r="AF380" s="15" t="n">
        <f aca="false">(IF(16-(INT((Parametri_v3!$C$29)/30))&lt;1,0,INDEX(Motore_Operativo!$BH$365:$BH$424,MAX(1,16-(INT((Parametri_v3!$C$29)/30)))))*(1-(MOD((Parametri_v3!$C$29),30)/30))+IF(16-(INT((Parametri_v3!$C$29)/30))-1&lt;1,0,INDEX(Motore_Operativo!$BH$365:$BH$424,MAX(1,16-(INT((Parametri_v3!$C$29)/30))-1)))*(MOD((Parametri_v3!$C$29),30)/30))*(1+Parametri_v3!$C$26)</f>
        <v>4145.70892018779</v>
      </c>
      <c r="AG380" s="15" t="n">
        <f aca="false">(AG379)+AE380-AF380</f>
        <v>4145.70892018779</v>
      </c>
      <c r="AH380" s="15" t="n">
        <f aca="false">(Motore_Operativo!CJ380)*(1+Parametri_v3!$C$27*Parametri_v3!$C$26)</f>
        <v>20645.0725045873</v>
      </c>
      <c r="AI380" s="15" t="n">
        <f aca="false">(IF(16-(INT((Ipotesi!$C$91)/30))&lt;1,0,INDEX(Motore_Startup!$AH$365:$AH$424,MAX(1,16-(INT((Ipotesi!$C$91)/30)))))*(1-(MOD((Ipotesi!$C$91),30)/30))+IF(16-(INT((Ipotesi!$C$91)/30))-1&lt;1,0,INDEX(Motore_Startup!$AH$365:$AH$424,MAX(1,16-(INT((Ipotesi!$C$91)/30))-1)))*(MOD((Ipotesi!$C$91),30)/30))</f>
        <v>20478.2010450071</v>
      </c>
      <c r="AJ380" s="15" t="n">
        <f aca="false">(AJ379)+AH380-AI380</f>
        <v>41182.7664637702</v>
      </c>
      <c r="AK380" s="15" t="n">
        <f aca="false">(F380+ Motore_Operativo!BH380-(Motore_Operativo!CJ380)*Parametri_v3!$C$27-Motore_Operativo!CE380)*Parametri_v3!$C$26</f>
        <v>2446.26771227562</v>
      </c>
      <c r="AL380" s="15" t="n">
        <f aca="false">MAX(0,(AM379))</f>
        <v>2321.02935826023</v>
      </c>
      <c r="AM380" s="15" t="n">
        <f aca="false">(AM379)+AK380-AL380</f>
        <v>2446.26771227562</v>
      </c>
      <c r="AN380" s="15" t="n">
        <f aca="false">SUM(X365:X376)</f>
        <v>0</v>
      </c>
      <c r="AO380" s="15" t="n">
        <f aca="false">SUM(AP365:AP376)</f>
        <v>0</v>
      </c>
      <c r="AP380" s="15" t="n">
        <f aca="false">MAX(0,AN380)*IF(4=Parametri_v3!$C$43,Parametri_v3!$C$45,IF(4=Parametri_v3!$C$44,1-Parametri_v3!$C$45,0))</f>
        <v>0</v>
      </c>
      <c r="AQ380" s="15" t="n">
        <f aca="false">MAX(0,AP380+IF(4=Parametri_v3!$C$43,MAX(0,AN380-AO380),0)-MAX(0,-(AR379)))</f>
        <v>0</v>
      </c>
      <c r="AR380" s="15" t="n">
        <f aca="false">(AR379)+X380-AQ380</f>
        <v>0</v>
      </c>
      <c r="AS380" s="15" t="n">
        <f aca="false">Motore_Operativo!AB380-AT380+AU380</f>
        <v>37774.375</v>
      </c>
      <c r="AT380" s="15" t="n">
        <f aca="false">Motore_Operativo!CH380</f>
        <v>1988.125</v>
      </c>
      <c r="AU380" s="15" t="n">
        <f aca="false">MIN(MAX(0,(AV379)+AT380),Parametri_v3!$C$60/12)</f>
        <v>0</v>
      </c>
      <c r="AV380" s="15" t="n">
        <f aca="false">(AV379)+AT380-AU380</f>
        <v>18702.5</v>
      </c>
      <c r="AW380" s="15" t="n">
        <f aca="false">IF(AND(Motore_Operativo!C380=Finanziamenti!$D$6,Finanziamenti!$F$6=1),Finanziamenti!$C$6,0)</f>
        <v>0</v>
      </c>
      <c r="AX380" s="15" t="n">
        <f aca="false">IF(AND(7&lt;&gt;7,7&lt;&gt;9,Finanziamenti!$F$8=1,OR(Parametri_v3!$C$6=0,Finanziamenti!$E$8=1),Motore_Operativo!C380=EDATE(Finanziamenti!$D$8,Ipotesi!I15*12)),Finanziamenti!$C$8*1,0)+IF(AND(7&lt;&gt;7,7&lt;&gt;9,Finanziamenti!$F$9=1,OR(Parametri_v3!$C$6=0,Finanziamenti!$E$9=1),Motore_Operativo!C380=EDATE(Finanziamenti!$D$9,Ipotesi!I15*12)),Finanziamenti!$C$9*Ipotesi!I16,0)</f>
        <v>0</v>
      </c>
      <c r="AY380" s="15" t="n">
        <f aca="false">0</f>
        <v>0</v>
      </c>
      <c r="AZ380" s="15" t="n">
        <f aca="false">Motore_Advisory!AY380*(1-Ipotesi!$C$95)*Ipotesi!$C$96</f>
        <v>0</v>
      </c>
      <c r="BA380" s="15" t="n">
        <f aca="false">MAX(0,MIN(CG380*MIN(1,IF(Motore_Operativo!C380&gt;=EDATE(Finanziamenti!$D$15,Ipotesi!I14*12),Finanziamenti!$C$15,0)+IF(Motore_Operativo!C380&gt;=EDATE(Finanziamenti!$D$16,Ipotesi!I14*12),Finanziamenti!$C$16,0)+IF(Motore_Operativo!C380&gt;=EDATE(Finanziamenti!$D$17,Ipotesi!I14*12),Finanziamenti!$C$17,0)),CA380*Ipotesi!$C$102)-(CC379))</f>
        <v>0</v>
      </c>
      <c r="BB380" s="15" t="n">
        <f aca="false">IF(AND(CF380&gt;0,Motore_Operativo!C380&gt;=IF(CF380=0,0,EDATE(CF380,Parametri_v3!$C$37)),MOD(((D380-YEAR(IF(CF380=0,0,EDATE(CF380,Parametri_v3!$C$37))))*12+E380-MONTH(IF(CF380=0,0,EDATE(CF380,Parametri_v3!$C$37)))),Parametri_v3!$C$38)=0),MIN(MAX(0,(BC379)+BA380-N380),(CC380-CD380)/(Ipotesi!$C$108*12/Parametri_v3!$C$38)),0)</f>
        <v>0</v>
      </c>
      <c r="BC380" s="15" t="n">
        <f aca="false">(BC379)+BA380-N380-BB380</f>
        <v>57939.3374050224</v>
      </c>
      <c r="BD380" s="15" t="n">
        <f aca="false">(BH379)+AC380+AF380-AI380-AS380-K380*(1+Parametri_v3!$C$26)-AL380-AQ380-O380+AW380+AX380+AZ380+BA380-BB380</f>
        <v>-42007.1887468814</v>
      </c>
      <c r="BE380" s="15" t="n">
        <f aca="false">MAX(0,MIN(MAX(0,CH380-(BG379)),Parametri_v3!$C$30-BD380))</f>
        <v>0</v>
      </c>
      <c r="BF380" s="15" t="n">
        <f aca="false">IF(Motore_Operativo!C380&gt;=Parametri_v3!$C$63,(BG379),MIN((BG379),MAX(0,BD380-Parametri_v3!$C$30)))</f>
        <v>0</v>
      </c>
      <c r="BG380" s="15" t="n">
        <f aca="false">(BG379)+BE380-BF380</f>
        <v>150000</v>
      </c>
      <c r="BH380" s="15" t="n">
        <f aca="false">BD380+BE380-BF380-AY380</f>
        <v>-42007.1887468814</v>
      </c>
      <c r="BI380" s="15" t="n">
        <f aca="false">MAX(0,Parametri_v3!$C$30-BH380)</f>
        <v>67007.1887468814</v>
      </c>
      <c r="BJ380" s="15" t="n">
        <f aca="false">(BJ379)+K380</f>
        <v>28333.3333333333</v>
      </c>
      <c r="BK380" s="15" t="n">
        <f aca="false">(BK379)+L380</f>
        <v>6412.03703703704</v>
      </c>
      <c r="BL380" s="15" t="n">
        <f aca="false">BJ380-BK380</f>
        <v>21921.2962962963</v>
      </c>
      <c r="BM380" s="15" t="n">
        <f aca="false">(BM379)+Y380</f>
        <v>-328231.045623172</v>
      </c>
      <c r="BN380" s="15" t="n">
        <f aca="false">(BN379)+AW380+AX380+AZ380</f>
        <v>130000</v>
      </c>
      <c r="BO380" s="15" t="n">
        <f aca="false">(BO379)+AY380</f>
        <v>0</v>
      </c>
      <c r="BP380" s="15" t="n">
        <f aca="false">0</f>
        <v>0</v>
      </c>
      <c r="BQ380" s="15" t="n">
        <f aca="false">BN380+BM380-BO380</f>
        <v>-198231.045623172</v>
      </c>
      <c r="BR380" s="15" t="n">
        <f aca="false">BH380+AD380+BL380+MAX(0,-AM380)+MAX(0,-AR380)+AG380</f>
        <v>72039.8259578966</v>
      </c>
      <c r="BS380" s="15" t="n">
        <f aca="false">AJ380+AV380+MAX(0,AM380)+MAX(0,AR380)+BC380+BG380+BQ380</f>
        <v>72039.8259578967</v>
      </c>
      <c r="BT380" s="15" t="n">
        <f aca="false">BR380-BS380</f>
        <v>0</v>
      </c>
      <c r="BU380" s="15" t="n">
        <f aca="false">BH380-(BD380+BE380-BF380-AY380)</f>
        <v>0</v>
      </c>
      <c r="BV380" s="15" t="n">
        <f aca="false">MIN(Piano_SS!$C$6,(BV379)+IF(AND(Motore_Operativo!C380&gt;=EDATE(Parametri_v3!$C$24,Ipotesi!I14*12),Motore_Operativo!C380&lt;EDATE(Parametri_v3!$C$24,Parametri_v3!$C$25+Ipotesi!I14*12)),MAX(0,(Motore_Operativo!Y380+Motore_Operativo!X380*Parametri_v3!$C$14)*(1-Parametri_v3!$C$32))*Piano_SS!$D$6,0))</f>
        <v>77425</v>
      </c>
      <c r="BW380" s="15" t="n">
        <f aca="false">MIN(Piano_SS!$C$7,(BW379)+IF(AND(Motore_Operativo!C380&gt;=EDATE(Parametri_v3!$C$24,Ipotesi!I14*12),Motore_Operativo!C380&lt;EDATE(Parametri_v3!$C$24,Parametri_v3!$C$25+Ipotesi!I14*12)),MAX(0,(IF(16-(INT((Ipotesi!$C$91)/30))&lt;1,0,INDEX(Motore_Operativo!$BN$365:$BN$424,MAX(1,16-(INT((Ipotesi!$C$91)/30)))))*(1-(MOD((Ipotesi!$C$91),30)/30))+IF(16-(INT((Ipotesi!$C$91)/30))-1&lt;1,0,INDEX(Motore_Operativo!$BN$365:$BN$424,MAX(1,16-(INT((Ipotesi!$C$91)/30))-1)))*(MOD((Ipotesi!$C$91),30)/30)))*Piano_SS!$D$7,0))</f>
        <v>13120.8753978901</v>
      </c>
      <c r="BX380" s="15" t="n">
        <f aca="false">MIN(Piano_SS!$C$8,(BX379)+IF(AND(Motore_Operativo!C380&gt;=EDATE(Parametri_v3!$C$24,Ipotesi!I14*12),Motore_Operativo!C380&lt;EDATE(Parametri_v3!$C$24,Parametri_v3!$C$25+Ipotesi!I14*12)),MAX(0,Motore_Operativo!CE380)*Piano_SS!$D$8,0))</f>
        <v>18333.3333333333</v>
      </c>
      <c r="BY380" s="15" t="n">
        <f aca="false">MIN(Piano_SS!$C$9,(BY379)+IF(AND(Motore_Operativo!C380&gt;=EDATE(Parametri_v3!$C$24,Ipotesi!I14*12),Motore_Operativo!C380&lt;EDATE(Parametri_v3!$C$24,Parametri_v3!$C$25+Ipotesi!I14*12)),MAX(0,((IF(16-(INT((Ipotesi!$C$91)/30))&lt;1,0,INDEX(Motore_Operativo!$BQ$365:$BQ$424,MAX(1,16-(INT((Ipotesi!$C$91)/30)))))*(1-(MOD((Ipotesi!$C$91),30)/30))+IF(16-(INT((Ipotesi!$C$91)/30))-1&lt;1,0,INDEX(Motore_Operativo!$BQ$365:$BQ$424,MAX(1,16-(INT((Ipotesi!$C$91)/30))-1)))*(MOD((Ipotesi!$C$91),30)/30))+(IF(16-(INT((Ipotesi!$C$91)/30))&lt;1,0,INDEX(Motore_Operativo!$BR$365:$BR$424,MAX(1,16-(INT((Ipotesi!$C$91)/30)))))*(1-(MOD((Ipotesi!$C$91),30)/30))+IF(16-(INT((Ipotesi!$C$91)/30))-1&lt;1,0,INDEX(Motore_Operativo!$BR$365:$BR$424,MAX(1,16-(INT((Ipotesi!$C$91)/30))-1)))*(MOD((Ipotesi!$C$91),30)/30))))*Piano_SS!$D$9,0))</f>
        <v>23833.3333333333</v>
      </c>
      <c r="BZ380" s="15" t="n">
        <f aca="false">MIN(Piano_SS!$C$10,(BZ379)+IF(AND(Motore_Operativo!C380&gt;=EDATE(Parametri_v3!$C$24,Ipotesi!I14*12),Motore_Operativo!C380&lt;EDATE(Parametri_v3!$C$24,Parametri_v3!$C$25+Ipotesi!I14*12)),MAX(0,(IF(16-(INT((Ipotesi!$C$91)/30))&lt;1,0,INDEX(Motore_Operativo!$BO$365:$BO$424,MAX(1,16-(INT((Ipotesi!$C$91)/30)))))*(1-(MOD((Ipotesi!$C$91),30)/30))+IF(16-(INT((Ipotesi!$C$91)/30))-1&lt;1,0,INDEX(Motore_Operativo!$BO$365:$BO$424,MAX(1,16-(INT((Ipotesi!$C$91)/30))-1)))*(MOD((Ipotesi!$C$91),30)/30)))*Piano_SS!$D$10,0))</f>
        <v>11666.6666666667</v>
      </c>
      <c r="CA380" s="15" t="n">
        <f aca="false">SUM(BV380:BZ380)</f>
        <v>144379.208731223</v>
      </c>
      <c r="CB380" s="15" t="n">
        <f aca="false">BV380*(1-Piano_SS!$E$6)+BW380*(1-Piano_SS!$E$7)+BX380*(1-Piano_SS!$E$8)+BY380*(1-Piano_SS!$E$9)+BZ380*(1-Piano_SS!$E$10)</f>
        <v>132712.542064557</v>
      </c>
      <c r="CC380" s="15" t="n">
        <f aca="false">(CC379)+BA380</f>
        <v>80000</v>
      </c>
      <c r="CD380" s="15" t="n">
        <f aca="false">IF(CA380=0,0,CC380*CB380/CA380*Ipotesi!$C$103*Parametri_v3!$C$64)</f>
        <v>22060.6625949776</v>
      </c>
      <c r="CE380" s="18" t="n">
        <f aca="false">IF(BA380&gt;0,Motore_Operativo!C380,(CE379))</f>
        <v>46784</v>
      </c>
      <c r="CF380" s="18" t="n">
        <f aca="false">IF(AND(CC380&gt;0,OR(CC380&gt;=CG380-0.01,Motore_Operativo!C380&gt;=EDATE(MAX(Finanziamenti!$D$15:$D$17),Ipotesi!I14*12))),CE380,0)</f>
        <v>0</v>
      </c>
      <c r="CG380" s="15" t="n">
        <f aca="false">IF(AND(7&lt;&gt;6,7&lt;&gt;9,Finanziamenti!$F$11=1,OR(Parametri_v3!$C$6=0,Finanziamenti!$E$11=1)),MIN(Finanziamenti!$C$11,Piano_SS!$C$12*Ipotesi!$C$102),0)</f>
        <v>400000</v>
      </c>
      <c r="CH380" s="15" t="n">
        <f aca="false">IF(AND(AND(7&lt;&gt;8,7&lt;&gt;9,Finanziamenti!$F$10=1,OR(Parametri_v3!$C$6=0,Finanziamenti!$E$10=1)),Motore_Operativo!C380&gt;=Finanziamenti!$D$10,Motore_Operativo!C380&lt;Parametri_v3!$C$63),Finanziamenti!$C$10,0)</f>
        <v>150000</v>
      </c>
    </row>
    <row r="381" customFormat="false" ht="18" hidden="false" customHeight="true" outlineLevel="0" collapsed="false">
      <c r="A381" s="68" t="n">
        <f aca="false">7</f>
        <v>7</v>
      </c>
      <c r="B381" s="68" t="n">
        <f aca="false">17</f>
        <v>17</v>
      </c>
      <c r="C381" s="18" t="n">
        <f aca="false">Motore_Operativo!C381</f>
        <v>46874</v>
      </c>
      <c r="D381" s="68" t="n">
        <f aca="false">Motore_Operativo!D381</f>
        <v>2028</v>
      </c>
      <c r="E381" s="68" t="n">
        <f aca="false">Motore_Operativo!E381</f>
        <v>5</v>
      </c>
      <c r="F381" s="15" t="n">
        <f aca="false">Motore_Operativo!AQ381+Motore_Operativo!BF381</f>
        <v>25520.1545928181</v>
      </c>
      <c r="G381" s="15" t="n">
        <f aca="false">Motore_Operativo!BH381</f>
        <v>3398.1220657277</v>
      </c>
      <c r="H381" s="15" t="n">
        <f aca="false">Motore_Operativo!BI381</f>
        <v>28918.2766585458</v>
      </c>
      <c r="I381" s="15" t="n">
        <f aca="false">Motore_Operativo!CA381</f>
        <v>57285.5986382997</v>
      </c>
      <c r="J381" s="15" t="n">
        <f aca="false">Motore_Operativo!CC381</f>
        <v>-28367.3219797539</v>
      </c>
      <c r="K381" s="15" t="n">
        <f aca="false">Motore_Operativo!CE381</f>
        <v>2083.33333333333</v>
      </c>
      <c r="L381" s="15" t="n">
        <f aca="false">SUM(INDEX($K$365:$K$424,MAX(1,17-Parametri_v3!$C$59+1)):K381)/Parametri_v3!$C$59</f>
        <v>844.907407407407</v>
      </c>
      <c r="M381" s="15" t="n">
        <f aca="false">J381-L381</f>
        <v>-29212.2293871613</v>
      </c>
      <c r="N381" s="15" t="n">
        <f aca="false">CD381-(CD380)</f>
        <v>-25.4996736183384</v>
      </c>
      <c r="O381" s="15" t="n">
        <f aca="false">(BG380)*Ipotesi!$C$110/12+CH381*Parametri_v3!$C$39/12</f>
        <v>750</v>
      </c>
      <c r="P381" s="15" t="n">
        <f aca="false">M381+N381-O381</f>
        <v>-29987.7290607796</v>
      </c>
      <c r="Q381" s="15" t="n">
        <f aca="false">SUM(P377:P381)+Parametri_v3!$C$54*5/12</f>
        <v>-146717.178951579</v>
      </c>
      <c r="R381" s="15" t="n">
        <f aca="false">Z376</f>
        <v>211501.595732372</v>
      </c>
      <c r="S381" s="15" t="n">
        <f aca="false">AA376</f>
        <v>0</v>
      </c>
      <c r="T381" s="15" t="n">
        <f aca="false">MIN(R381,MAX(0,Q381))</f>
        <v>0</v>
      </c>
      <c r="U381" s="15" t="n">
        <f aca="false">MIN(S381,MAX(0,Q381-T381)*Parametri_v3!$C$42)</f>
        <v>0</v>
      </c>
      <c r="V381" s="15" t="n">
        <f aca="false">MAX(0,Q381-T381-U381)*Ipotesi!$C$92</f>
        <v>0</v>
      </c>
      <c r="W381" s="15" t="n">
        <f aca="false">MAX(0,SUM(M377:M381)+Parametri_v3!$C$55*5/12)*Ipotesi!$C$93</f>
        <v>0</v>
      </c>
      <c r="X381" s="15" t="n">
        <f aca="false">V381+W381-(V380+W380)</f>
        <v>0</v>
      </c>
      <c r="Y381" s="15" t="n">
        <f aca="false">P381-X381</f>
        <v>-29987.7290607796</v>
      </c>
      <c r="Z381" s="15" t="n">
        <f aca="false">R381-T381+IF(AND(Parametri_v3!$C$40=1,D381-YEAR(Parametri_v3!$C$50)&lt;Parametri_v3!$C$41),MAX(0,-Q381),0)</f>
        <v>358218.774683951</v>
      </c>
      <c r="AA381" s="15" t="n">
        <f aca="false">S381-U381+IF(AND(Parametri_v3!$C$40=1,D381-YEAR(Parametri_v3!$C$50)&lt;Parametri_v3!$C$41),0,MAX(0,-Q381))</f>
        <v>0</v>
      </c>
      <c r="AB381" s="15" t="n">
        <f aca="false">F381*(1+Parametri_v3!$C$26)</f>
        <v>31134.5886032381</v>
      </c>
      <c r="AC381" s="15" t="n">
        <f aca="false">(IF(17-(INT((Motore_Operativo!L381)/30))&lt;1,0,INDEX(Motore_Startup!$AB$365:$AB$424,MAX(1,17-(INT((Motore_Operativo!L381)/30)))))*(1-(MOD((Motore_Operativo!L381),30)/30))+IF(17-(INT((Motore_Operativo!L381)/30))-1&lt;1,0,INDEX(Motore_Startup!$AB$365:$AB$424,MAX(1,17-(INT((Motore_Operativo!L381)/30))-1)))*(MOD((Motore_Operativo!L381),30)/30))</f>
        <v>28772.7232334064</v>
      </c>
      <c r="AD381" s="15" t="n">
        <f aca="false">(AD380)+AB381-AC381</f>
        <v>90341.8748581255</v>
      </c>
      <c r="AE381" s="15" t="n">
        <f aca="false">Motore_Operativo!BH381*(1+Parametri_v3!$C$26)</f>
        <v>4145.70892018779</v>
      </c>
      <c r="AF381" s="15" t="n">
        <f aca="false">(IF(17-(INT((Parametri_v3!$C$29)/30))&lt;1,0,INDEX(Motore_Operativo!$BH$365:$BH$424,MAX(1,17-(INT((Parametri_v3!$C$29)/30)))))*(1-(MOD((Parametri_v3!$C$29),30)/30))+IF(17-(INT((Parametri_v3!$C$29)/30))-1&lt;1,0,INDEX(Motore_Operativo!$BH$365:$BH$424,MAX(1,17-(INT((Parametri_v3!$C$29)/30))-1)))*(MOD((Parametri_v3!$C$29),30)/30))*(1+Parametri_v3!$C$26)</f>
        <v>4145.70892018779</v>
      </c>
      <c r="AG381" s="15" t="n">
        <f aca="false">(AG380)+AE381-AF381</f>
        <v>4145.70892018779</v>
      </c>
      <c r="AH381" s="15" t="n">
        <f aca="false">(Motore_Operativo!CJ381)*(1+Parametri_v3!$C$27*Parametri_v3!$C$26)</f>
        <v>20799.9180836617</v>
      </c>
      <c r="AI381" s="15" t="n">
        <f aca="false">(IF(17-(INT((Ipotesi!$C$91)/30))&lt;1,0,INDEX(Motore_Startup!$AH$365:$AH$424,MAX(1,17-(INT((Ipotesi!$C$91)/30)))))*(1-(MOD((Ipotesi!$C$91),30)/30))+IF(17-(INT((Ipotesi!$C$91)/30))-1&lt;1,0,INDEX(Motore_Startup!$AH$365:$AH$424,MAX(1,17-(INT((Ipotesi!$C$91)/30))-1)))*(MOD((Ipotesi!$C$91),30)/30))</f>
        <v>20537.6939591829</v>
      </c>
      <c r="AJ381" s="15" t="n">
        <f aca="false">(AJ380)+AH381-AI381</f>
        <v>41444.9905882491</v>
      </c>
      <c r="AK381" s="15" t="n">
        <f aca="false">(F381+ Motore_Operativo!BH381-(Motore_Operativo!CJ381)*Parametri_v3!$C$27-Motore_Operativo!CE381)*Parametri_v3!$C$26</f>
        <v>2626.8680861847</v>
      </c>
      <c r="AL381" s="15" t="n">
        <f aca="false">MAX(0,(AM380))</f>
        <v>2446.26771227562</v>
      </c>
      <c r="AM381" s="15" t="n">
        <f aca="false">(AM380)+AK381-AL381</f>
        <v>2626.8680861847</v>
      </c>
      <c r="AN381" s="15" t="n">
        <f aca="false">SUM(X365:X376)</f>
        <v>0</v>
      </c>
      <c r="AO381" s="15" t="n">
        <f aca="false">SUM(AP365:AP376)</f>
        <v>0</v>
      </c>
      <c r="AP381" s="15" t="n">
        <f aca="false">MAX(0,AN381)*IF(5=Parametri_v3!$C$43,Parametri_v3!$C$45,IF(5=Parametri_v3!$C$44,1-Parametri_v3!$C$45,0))</f>
        <v>0</v>
      </c>
      <c r="AQ381" s="15" t="n">
        <f aca="false">MAX(0,AP381+IF(5=Parametri_v3!$C$43,MAX(0,AN381-AO381),0)-MAX(0,-(AR380)))</f>
        <v>0</v>
      </c>
      <c r="AR381" s="15" t="n">
        <f aca="false">(AR380)+X381-AQ381</f>
        <v>0</v>
      </c>
      <c r="AS381" s="15" t="n">
        <f aca="false">Motore_Operativo!AB381-AT381+AU381</f>
        <v>37774.375</v>
      </c>
      <c r="AT381" s="15" t="n">
        <f aca="false">Motore_Operativo!CH381</f>
        <v>1988.125</v>
      </c>
      <c r="AU381" s="15" t="n">
        <f aca="false">MIN(MAX(0,(AV380)+AT381),Parametri_v3!$C$60/12)</f>
        <v>0</v>
      </c>
      <c r="AV381" s="15" t="n">
        <f aca="false">(AV380)+AT381-AU381</f>
        <v>20690.625</v>
      </c>
      <c r="AW381" s="15" t="n">
        <f aca="false">IF(AND(Motore_Operativo!C381=Finanziamenti!$D$6,Finanziamenti!$F$6=1),Finanziamenti!$C$6,0)</f>
        <v>0</v>
      </c>
      <c r="AX381" s="15" t="n">
        <f aca="false">IF(AND(7&lt;&gt;7,7&lt;&gt;9,Finanziamenti!$F$8=1,OR(Parametri_v3!$C$6=0,Finanziamenti!$E$8=1),Motore_Operativo!C381=EDATE(Finanziamenti!$D$8,Ipotesi!I15*12)),Finanziamenti!$C$8*1,0)+IF(AND(7&lt;&gt;7,7&lt;&gt;9,Finanziamenti!$F$9=1,OR(Parametri_v3!$C$6=0,Finanziamenti!$E$9=1),Motore_Operativo!C381=EDATE(Finanziamenti!$D$9,Ipotesi!I15*12)),Finanziamenti!$C$9*Ipotesi!I16,0)</f>
        <v>0</v>
      </c>
      <c r="AY381" s="15" t="n">
        <f aca="false">0</f>
        <v>0</v>
      </c>
      <c r="AZ381" s="15" t="n">
        <f aca="false">Motore_Advisory!AY381*(1-Ipotesi!$C$95)*Ipotesi!$C$96</f>
        <v>0</v>
      </c>
      <c r="BA381" s="15" t="n">
        <f aca="false">MAX(0,MIN(CG381*MIN(1,IF(Motore_Operativo!C381&gt;=EDATE(Finanziamenti!$D$15,Ipotesi!I14*12),Finanziamenti!$C$15,0)+IF(Motore_Operativo!C381&gt;=EDATE(Finanziamenti!$D$16,Ipotesi!I14*12),Finanziamenti!$C$16,0)+IF(Motore_Operativo!C381&gt;=EDATE(Finanziamenti!$D$17,Ipotesi!I14*12),Finanziamenti!$C$17,0)),CA381*Ipotesi!$C$102)-(CC380))</f>
        <v>0</v>
      </c>
      <c r="BB381" s="15" t="n">
        <f aca="false">IF(AND(CF381&gt;0,Motore_Operativo!C381&gt;=IF(CF381=0,0,EDATE(CF381,Parametri_v3!$C$37)),MOD(((D381-YEAR(IF(CF381=0,0,EDATE(CF381,Parametri_v3!$C$37))))*12+E381-MONTH(IF(CF381=0,0,EDATE(CF381,Parametri_v3!$C$37)))),Parametri_v3!$C$38)=0),MIN(MAX(0,(BC380)+BA381-N381),(CC381-CD381)/(Ipotesi!$C$108*12/Parametri_v3!$C$38)),0)</f>
        <v>0</v>
      </c>
      <c r="BC381" s="15" t="n">
        <f aca="false">(BC380)+BA381-N381-BB381</f>
        <v>57964.8370786408</v>
      </c>
      <c r="BD381" s="15" t="n">
        <f aca="false">(BH380)+AC381+AF381-AI381-AS381-K381*(1+Parametri_v3!$C$26)-AL381-AQ381-O381+AW381+AX381+AZ381+BA381-BB381</f>
        <v>-73138.7599314124</v>
      </c>
      <c r="BE381" s="15" t="n">
        <f aca="false">MAX(0,MIN(MAX(0,CH381-(BG380)),Parametri_v3!$C$30-BD381))</f>
        <v>0</v>
      </c>
      <c r="BF381" s="15" t="n">
        <f aca="false">IF(Motore_Operativo!C381&gt;=Parametri_v3!$C$63,(BG380),MIN((BG380),MAX(0,BD381-Parametri_v3!$C$30)))</f>
        <v>0</v>
      </c>
      <c r="BG381" s="15" t="n">
        <f aca="false">(BG380)+BE381-BF381</f>
        <v>150000</v>
      </c>
      <c r="BH381" s="15" t="n">
        <f aca="false">BD381+BE381-BF381-AY381</f>
        <v>-73138.7599314124</v>
      </c>
      <c r="BI381" s="15" t="n">
        <f aca="false">MAX(0,Parametri_v3!$C$30-BH381)</f>
        <v>98138.7599314124</v>
      </c>
      <c r="BJ381" s="15" t="n">
        <f aca="false">(BJ380)+K381</f>
        <v>30416.6666666667</v>
      </c>
      <c r="BK381" s="15" t="n">
        <f aca="false">(BK380)+L381</f>
        <v>7256.94444444445</v>
      </c>
      <c r="BL381" s="15" t="n">
        <f aca="false">BJ381-BK381</f>
        <v>23159.7222222222</v>
      </c>
      <c r="BM381" s="15" t="n">
        <f aca="false">(BM380)+Y381</f>
        <v>-358218.774683951</v>
      </c>
      <c r="BN381" s="15" t="n">
        <f aca="false">(BN380)+AW381+AX381+AZ381</f>
        <v>130000</v>
      </c>
      <c r="BO381" s="15" t="n">
        <f aca="false">(BO380)+AY381</f>
        <v>0</v>
      </c>
      <c r="BP381" s="15" t="n">
        <f aca="false">0</f>
        <v>0</v>
      </c>
      <c r="BQ381" s="15" t="n">
        <f aca="false">BN381+BM381-BO381</f>
        <v>-228218.774683951</v>
      </c>
      <c r="BR381" s="15" t="n">
        <f aca="false">BH381+AD381+BL381+MAX(0,-AM381)+MAX(0,-AR381)+AG381</f>
        <v>44508.5460691232</v>
      </c>
      <c r="BS381" s="15" t="n">
        <f aca="false">AJ381+AV381+MAX(0,AM381)+MAX(0,AR381)+BC381+BG381+BQ381</f>
        <v>44508.5460691233</v>
      </c>
      <c r="BT381" s="15" t="n">
        <f aca="false">BR381-BS381</f>
        <v>0</v>
      </c>
      <c r="BU381" s="15" t="n">
        <f aca="false">BH381-(BD381+BE381-BF381-AY381)</f>
        <v>0</v>
      </c>
      <c r="BV381" s="15" t="n">
        <f aca="false">MIN(Piano_SS!$C$6,(BV380)+IF(AND(Motore_Operativo!C381&gt;=EDATE(Parametri_v3!$C$24,Ipotesi!I14*12),Motore_Operativo!C381&lt;EDATE(Parametri_v3!$C$24,Parametri_v3!$C$25+Ipotesi!I14*12)),MAX(0,(Motore_Operativo!Y381+Motore_Operativo!X381*Parametri_v3!$C$14)*(1-Parametri_v3!$C$32))*Piano_SS!$D$6,0))</f>
        <v>89656.25</v>
      </c>
      <c r="BW381" s="15" t="n">
        <f aca="false">MIN(Piano_SS!$C$7,(BW380)+IF(AND(Motore_Operativo!C381&gt;=EDATE(Parametri_v3!$C$24,Ipotesi!I14*12),Motore_Operativo!C381&lt;EDATE(Parametri_v3!$C$24,Parametri_v3!$C$25+Ipotesi!I14*12)),MAX(0,(IF(17-(INT((Ipotesi!$C$91)/30))&lt;1,0,INDEX(Motore_Operativo!$BN$365:$BN$424,MAX(1,17-(INT((Ipotesi!$C$91)/30)))))*(1-(MOD((Ipotesi!$C$91),30)/30))+IF(17-(INT((Ipotesi!$C$91)/30))-1&lt;1,0,INDEX(Motore_Operativo!$BN$365:$BN$424,MAX(1,17-(INT((Ipotesi!$C$91)/30))-1)))*(MOD((Ipotesi!$C$91),30)/30)))*Piano_SS!$D$7,0))</f>
        <v>14576.2515758926</v>
      </c>
      <c r="BX381" s="15" t="n">
        <f aca="false">MIN(Piano_SS!$C$8,(BX380)+IF(AND(Motore_Operativo!C381&gt;=EDATE(Parametri_v3!$C$24,Ipotesi!I14*12),Motore_Operativo!C381&lt;EDATE(Parametri_v3!$C$24,Parametri_v3!$C$25+Ipotesi!I14*12)),MAX(0,Motore_Operativo!CE381)*Piano_SS!$D$8,0))</f>
        <v>20416.6666666667</v>
      </c>
      <c r="BY381" s="15" t="n">
        <f aca="false">MIN(Piano_SS!$C$9,(BY380)+IF(AND(Motore_Operativo!C381&gt;=EDATE(Parametri_v3!$C$24,Ipotesi!I14*12),Motore_Operativo!C381&lt;EDATE(Parametri_v3!$C$24,Parametri_v3!$C$25+Ipotesi!I14*12)),MAX(0,((IF(17-(INT((Ipotesi!$C$91)/30))&lt;1,0,INDEX(Motore_Operativo!$BQ$365:$BQ$424,MAX(1,17-(INT((Ipotesi!$C$91)/30)))))*(1-(MOD((Ipotesi!$C$91),30)/30))+IF(17-(INT((Ipotesi!$C$91)/30))-1&lt;1,0,INDEX(Motore_Operativo!$BQ$365:$BQ$424,MAX(1,17-(INT((Ipotesi!$C$91)/30))-1)))*(MOD((Ipotesi!$C$91),30)/30))+(IF(17-(INT((Ipotesi!$C$91)/30))&lt;1,0,INDEX(Motore_Operativo!$BR$365:$BR$424,MAX(1,17-(INT((Ipotesi!$C$91)/30)))))*(1-(MOD((Ipotesi!$C$91),30)/30))+IF(17-(INT((Ipotesi!$C$91)/30))-1&lt;1,0,INDEX(Motore_Operativo!$BR$365:$BR$424,MAX(1,17-(INT((Ipotesi!$C$91)/30))-1)))*(MOD((Ipotesi!$C$91),30)/30))))*Piano_SS!$D$9,0))</f>
        <v>26750</v>
      </c>
      <c r="BZ381" s="15" t="n">
        <f aca="false">MIN(Piano_SS!$C$10,(BZ380)+IF(AND(Motore_Operativo!C381&gt;=EDATE(Parametri_v3!$C$24,Ipotesi!I14*12),Motore_Operativo!C381&lt;EDATE(Parametri_v3!$C$24,Parametri_v3!$C$25+Ipotesi!I14*12)),MAX(0,(IF(17-(INT((Ipotesi!$C$91)/30))&lt;1,0,INDEX(Motore_Operativo!$BO$365:$BO$424,MAX(1,17-(INT((Ipotesi!$C$91)/30)))))*(1-(MOD((Ipotesi!$C$91),30)/30))+IF(17-(INT((Ipotesi!$C$91)/30))-1&lt;1,0,INDEX(Motore_Operativo!$BO$365:$BO$424,MAX(1,17-(INT((Ipotesi!$C$91)/30))-1)))*(MOD((Ipotesi!$C$91),30)/30)))*Piano_SS!$D$10,0))</f>
        <v>13500</v>
      </c>
      <c r="CA381" s="15" t="n">
        <f aca="false">SUM(BV381:BZ381)</f>
        <v>164899.168242559</v>
      </c>
      <c r="CB381" s="15" t="n">
        <f aca="false">BV381*(1-Piano_SS!$E$6)+BW381*(1-Piano_SS!$E$7)+BX381*(1-Piano_SS!$E$8)+BY381*(1-Piano_SS!$E$9)+BZ381*(1-Piano_SS!$E$10)</f>
        <v>151399.168242559</v>
      </c>
      <c r="CC381" s="15" t="n">
        <f aca="false">(CC380)+BA381</f>
        <v>80000</v>
      </c>
      <c r="CD381" s="15" t="n">
        <f aca="false">IF(CA381=0,0,CC381*CB381/CA381*Ipotesi!$C$103*Parametri_v3!$C$64)</f>
        <v>22035.1629213593</v>
      </c>
      <c r="CE381" s="18" t="n">
        <f aca="false">IF(BA381&gt;0,Motore_Operativo!C381,(CE380))</f>
        <v>46784</v>
      </c>
      <c r="CF381" s="18" t="n">
        <f aca="false">IF(AND(CC381&gt;0,OR(CC381&gt;=CG381-0.01,Motore_Operativo!C381&gt;=EDATE(MAX(Finanziamenti!$D$15:$D$17),Ipotesi!I14*12))),CE381,0)</f>
        <v>0</v>
      </c>
      <c r="CG381" s="15" t="n">
        <f aca="false">IF(AND(7&lt;&gt;6,7&lt;&gt;9,Finanziamenti!$F$11=1,OR(Parametri_v3!$C$6=0,Finanziamenti!$E$11=1)),MIN(Finanziamenti!$C$11,Piano_SS!$C$12*Ipotesi!$C$102),0)</f>
        <v>400000</v>
      </c>
      <c r="CH381" s="15" t="n">
        <f aca="false">IF(AND(AND(7&lt;&gt;8,7&lt;&gt;9,Finanziamenti!$F$10=1,OR(Parametri_v3!$C$6=0,Finanziamenti!$E$10=1)),Motore_Operativo!C381&gt;=Finanziamenti!$D$10,Motore_Operativo!C381&lt;Parametri_v3!$C$63),Finanziamenti!$C$10,0)</f>
        <v>150000</v>
      </c>
    </row>
    <row r="382" customFormat="false" ht="18" hidden="false" customHeight="true" outlineLevel="0" collapsed="false">
      <c r="A382" s="68" t="n">
        <f aca="false">7</f>
        <v>7</v>
      </c>
      <c r="B382" s="68" t="n">
        <f aca="false">18</f>
        <v>18</v>
      </c>
      <c r="C382" s="18" t="n">
        <f aca="false">Motore_Operativo!C382</f>
        <v>46905</v>
      </c>
      <c r="D382" s="68" t="n">
        <f aca="false">Motore_Operativo!D382</f>
        <v>2028</v>
      </c>
      <c r="E382" s="68" t="n">
        <f aca="false">Motore_Operativo!E382</f>
        <v>6</v>
      </c>
      <c r="F382" s="15" t="n">
        <f aca="false">Motore_Operativo!AQ382+Motore_Operativo!BF382</f>
        <v>26443.8035232799</v>
      </c>
      <c r="G382" s="15" t="n">
        <f aca="false">Motore_Operativo!BH382</f>
        <v>3398.1220657277</v>
      </c>
      <c r="H382" s="15" t="n">
        <f aca="false">Motore_Operativo!BI382</f>
        <v>29841.9255890076</v>
      </c>
      <c r="I382" s="15" t="n">
        <f aca="false">Motore_Operativo!CA382</f>
        <v>57414.9094885644</v>
      </c>
      <c r="J382" s="15" t="n">
        <f aca="false">Motore_Operativo!CC382</f>
        <v>-27572.9838995568</v>
      </c>
      <c r="K382" s="15" t="n">
        <f aca="false">Motore_Operativo!CE382</f>
        <v>2083.33333333333</v>
      </c>
      <c r="L382" s="15" t="n">
        <f aca="false">SUM(INDEX($K$365:$K$424,MAX(1,18-Parametri_v3!$C$59+1)):K382)/Parametri_v3!$C$59</f>
        <v>902.777777777778</v>
      </c>
      <c r="M382" s="15" t="n">
        <f aca="false">J382-L382</f>
        <v>-28475.7616773345</v>
      </c>
      <c r="N382" s="15" t="n">
        <f aca="false">CD382-(CD381)</f>
        <v>-19.3025246127145</v>
      </c>
      <c r="O382" s="15" t="n">
        <f aca="false">(BG381)*Ipotesi!$C$110/12+CH382*Parametri_v3!$C$39/12</f>
        <v>750</v>
      </c>
      <c r="P382" s="15" t="n">
        <f aca="false">M382+N382-O382</f>
        <v>-29245.0642019473</v>
      </c>
      <c r="Q382" s="15" t="n">
        <f aca="false">SUM(P377:P382)+Parametri_v3!$C$54*6/12</f>
        <v>-175962.243153526</v>
      </c>
      <c r="R382" s="15" t="n">
        <f aca="false">Z376</f>
        <v>211501.595732372</v>
      </c>
      <c r="S382" s="15" t="n">
        <f aca="false">AA376</f>
        <v>0</v>
      </c>
      <c r="T382" s="15" t="n">
        <f aca="false">MIN(R382,MAX(0,Q382))</f>
        <v>0</v>
      </c>
      <c r="U382" s="15" t="n">
        <f aca="false">MIN(S382,MAX(0,Q382-T382)*Parametri_v3!$C$42)</f>
        <v>0</v>
      </c>
      <c r="V382" s="15" t="n">
        <f aca="false">MAX(0,Q382-T382-U382)*Ipotesi!$C$92</f>
        <v>0</v>
      </c>
      <c r="W382" s="15" t="n">
        <f aca="false">MAX(0,SUM(M377:M382)+Parametri_v3!$C$55*6/12)*Ipotesi!$C$93</f>
        <v>0</v>
      </c>
      <c r="X382" s="15" t="n">
        <f aca="false">V382+W382-(V381+W381)</f>
        <v>0</v>
      </c>
      <c r="Y382" s="15" t="n">
        <f aca="false">P382-X382</f>
        <v>-29245.0642019473</v>
      </c>
      <c r="Z382" s="15" t="n">
        <f aca="false">R382-T382+IF(AND(Parametri_v3!$C$40=1,D382-YEAR(Parametri_v3!$C$50)&lt;Parametri_v3!$C$41),MAX(0,-Q382),0)</f>
        <v>387463.838885899</v>
      </c>
      <c r="AA382" s="15" t="n">
        <f aca="false">S382-U382+IF(AND(Parametri_v3!$C$40=1,D382-YEAR(Parametri_v3!$C$50)&lt;Parametri_v3!$C$41),0,MAX(0,-Q382))</f>
        <v>0</v>
      </c>
      <c r="AB382" s="15" t="n">
        <f aca="false">F382*(1+Parametri_v3!$C$26)</f>
        <v>32261.4402984015</v>
      </c>
      <c r="AC382" s="15" t="n">
        <f aca="false">(IF(18-(INT((Motore_Operativo!L382)/30))&lt;1,0,INDEX(Motore_Startup!$AB$365:$AB$424,MAX(1,18-(INT((Motore_Operativo!L382)/30)))))*(1-(MOD((Motore_Operativo!L382),30)/30))+IF(18-(INT((Motore_Operativo!L382)/30))-1&lt;1,0,INDEX(Motore_Startup!$AB$365:$AB$424,MAX(1,18-(INT((Motore_Operativo!L382)/30))-1)))*(MOD((Motore_Operativo!L382),30)/30))</f>
        <v>29209.486714538</v>
      </c>
      <c r="AD382" s="15" t="n">
        <f aca="false">(AD381)+AB382-AC382</f>
        <v>93393.828441989</v>
      </c>
      <c r="AE382" s="15" t="n">
        <f aca="false">Motore_Operativo!BH382*(1+Parametri_v3!$C$26)</f>
        <v>4145.70892018779</v>
      </c>
      <c r="AF382" s="15" t="n">
        <f aca="false">(IF(18-(INT((Parametri_v3!$C$29)/30))&lt;1,0,INDEX(Motore_Operativo!$BH$365:$BH$424,MAX(1,18-(INT((Parametri_v3!$C$29)/30)))))*(1-(MOD((Parametri_v3!$C$29),30)/30))+IF(18-(INT((Parametri_v3!$C$29)/30))-1&lt;1,0,INDEX(Motore_Operativo!$BH$365:$BH$424,MAX(1,18-(INT((Parametri_v3!$C$29)/30))-1)))*(MOD((Parametri_v3!$C$29),30)/30))*(1+Parametri_v3!$C$26)</f>
        <v>4145.70892018779</v>
      </c>
      <c r="AG382" s="15" t="n">
        <f aca="false">(AG381)+AE382-AF382</f>
        <v>4145.70892018779</v>
      </c>
      <c r="AH382" s="15" t="n">
        <f aca="false">(Motore_Operativo!CJ382)*(1+Parametri_v3!$C$27*Parametri_v3!$C$26)</f>
        <v>20953.4100629259</v>
      </c>
      <c r="AI382" s="15" t="n">
        <f aca="false">(IF(18-(INT((Ipotesi!$C$91)/30))&lt;1,0,INDEX(Motore_Startup!$AH$365:$AH$424,MAX(1,18-(INT((Ipotesi!$C$91)/30)))))*(1-(MOD((Ipotesi!$C$91),30)/30))+IF(18-(INT((Ipotesi!$C$91)/30))-1&lt;1,0,INDEX(Motore_Startup!$AH$365:$AH$424,MAX(1,18-(INT((Ipotesi!$C$91)/30))-1)))*(MOD((Ipotesi!$C$91),30)/30))</f>
        <v>20645.0725045873</v>
      </c>
      <c r="AJ382" s="15" t="n">
        <f aca="false">(AJ381)+AH382-AI382</f>
        <v>41753.3281465876</v>
      </c>
      <c r="AK382" s="15" t="n">
        <f aca="false">(F382+ Motore_Operativo!BH382-(Motore_Operativo!CJ382)*Parametri_v3!$C$27-Motore_Operativo!CE382)*Parametri_v3!$C$26</f>
        <v>2805.8897218868</v>
      </c>
      <c r="AL382" s="15" t="n">
        <f aca="false">MAX(0,(AM381))</f>
        <v>2626.8680861847</v>
      </c>
      <c r="AM382" s="15" t="n">
        <f aca="false">(AM381)+AK382-AL382</f>
        <v>2805.8897218868</v>
      </c>
      <c r="AN382" s="15" t="n">
        <f aca="false">SUM(X365:X376)</f>
        <v>0</v>
      </c>
      <c r="AO382" s="15" t="n">
        <f aca="false">SUM(AP365:AP376)</f>
        <v>0</v>
      </c>
      <c r="AP382" s="15" t="n">
        <f aca="false">MAX(0,AN382)*IF(6=Parametri_v3!$C$43,Parametri_v3!$C$45,IF(6=Parametri_v3!$C$44,1-Parametri_v3!$C$45,0))</f>
        <v>0</v>
      </c>
      <c r="AQ382" s="15" t="n">
        <f aca="false">MAX(0,AP382+IF(6=Parametri_v3!$C$43,MAX(0,AN382-AO382),0)-MAX(0,-(AR381)))</f>
        <v>0</v>
      </c>
      <c r="AR382" s="15" t="n">
        <f aca="false">(AR381)+X382-AQ382</f>
        <v>0</v>
      </c>
      <c r="AS382" s="15" t="n">
        <f aca="false">Motore_Operativo!AB382-AT382+AU382</f>
        <v>37774.375</v>
      </c>
      <c r="AT382" s="15" t="n">
        <f aca="false">Motore_Operativo!CH382</f>
        <v>1988.125</v>
      </c>
      <c r="AU382" s="15" t="n">
        <f aca="false">MIN(MAX(0,(AV381)+AT382),Parametri_v3!$C$60/12)</f>
        <v>0</v>
      </c>
      <c r="AV382" s="15" t="n">
        <f aca="false">(AV381)+AT382-AU382</f>
        <v>22678.75</v>
      </c>
      <c r="AW382" s="15" t="n">
        <f aca="false">IF(AND(Motore_Operativo!C382=Finanziamenti!$D$6,Finanziamenti!$F$6=1),Finanziamenti!$C$6,0)</f>
        <v>0</v>
      </c>
      <c r="AX382" s="15" t="n">
        <f aca="false">IF(AND(7&lt;&gt;7,7&lt;&gt;9,Finanziamenti!$F$8=1,OR(Parametri_v3!$C$6=0,Finanziamenti!$E$8=1),Motore_Operativo!C382=EDATE(Finanziamenti!$D$8,Ipotesi!I15*12)),Finanziamenti!$C$8*1,0)+IF(AND(7&lt;&gt;7,7&lt;&gt;9,Finanziamenti!$F$9=1,OR(Parametri_v3!$C$6=0,Finanziamenti!$E$9=1),Motore_Operativo!C382=EDATE(Finanziamenti!$D$9,Ipotesi!I15*12)),Finanziamenti!$C$9*Ipotesi!I16,0)</f>
        <v>0</v>
      </c>
      <c r="AY382" s="15" t="n">
        <f aca="false">0</f>
        <v>0</v>
      </c>
      <c r="AZ382" s="15" t="n">
        <f aca="false">Motore_Advisory!AY382*(1-Ipotesi!$C$95)*Ipotesi!$C$96</f>
        <v>0</v>
      </c>
      <c r="BA382" s="15" t="n">
        <f aca="false">MAX(0,MIN(CG382*MIN(1,IF(Motore_Operativo!C382&gt;=EDATE(Finanziamenti!$D$15,Ipotesi!I14*12),Finanziamenti!$C$15,0)+IF(Motore_Operativo!C382&gt;=EDATE(Finanziamenti!$D$16,Ipotesi!I14*12),Finanziamenti!$C$16,0)+IF(Motore_Operativo!C382&gt;=EDATE(Finanziamenti!$D$17,Ipotesi!I14*12),Finanziamenti!$C$17,0)),CA382*Ipotesi!$C$102)-(CC381))</f>
        <v>0</v>
      </c>
      <c r="BB382" s="15" t="n">
        <f aca="false">IF(AND(CF382&gt;0,Motore_Operativo!C382&gt;=IF(CF382=0,0,EDATE(CF382,Parametri_v3!$C$37)),MOD(((D382-YEAR(IF(CF382=0,0,EDATE(CF382,Parametri_v3!$C$37))))*12+E382-MONTH(IF(CF382=0,0,EDATE(CF382,Parametri_v3!$C$37)))),Parametri_v3!$C$38)=0),MIN(MAX(0,(BC381)+BA382-N382),(CC382-CD382)/(Ipotesi!$C$108*12/Parametri_v3!$C$38)),0)</f>
        <v>0</v>
      </c>
      <c r="BC382" s="15" t="n">
        <f aca="false">(BC381)+BA382-N382-BB382</f>
        <v>57984.1396032535</v>
      </c>
      <c r="BD382" s="15" t="n">
        <f aca="false">(BH381)+AC382+AF382-AI382-AS382-K382*(1+Parametri_v3!$C$26)-AL382-AQ382-O382+AW382+AX382+AZ382+BA382-BB382</f>
        <v>-104121.546554125</v>
      </c>
      <c r="BE382" s="15" t="n">
        <f aca="false">MAX(0,MIN(MAX(0,CH382-(BG381)),Parametri_v3!$C$30-BD382))</f>
        <v>0</v>
      </c>
      <c r="BF382" s="15" t="n">
        <f aca="false">IF(Motore_Operativo!C382&gt;=Parametri_v3!$C$63,(BG381),MIN((BG381),MAX(0,BD382-Parametri_v3!$C$30)))</f>
        <v>0</v>
      </c>
      <c r="BG382" s="15" t="n">
        <f aca="false">(BG381)+BE382-BF382</f>
        <v>150000</v>
      </c>
      <c r="BH382" s="15" t="n">
        <f aca="false">BD382+BE382-BF382-AY382</f>
        <v>-104121.546554125</v>
      </c>
      <c r="BI382" s="15" t="n">
        <f aca="false">MAX(0,Parametri_v3!$C$30-BH382)</f>
        <v>129121.546554125</v>
      </c>
      <c r="BJ382" s="15" t="n">
        <f aca="false">(BJ381)+K382</f>
        <v>32500</v>
      </c>
      <c r="BK382" s="15" t="n">
        <f aca="false">(BK381)+L382</f>
        <v>8159.72222222222</v>
      </c>
      <c r="BL382" s="15" t="n">
        <f aca="false">BJ382-BK382</f>
        <v>24340.2777777778</v>
      </c>
      <c r="BM382" s="15" t="n">
        <f aca="false">(BM381)+Y382</f>
        <v>-387463.838885898</v>
      </c>
      <c r="BN382" s="15" t="n">
        <f aca="false">(BN381)+AW382+AX382+AZ382</f>
        <v>130000</v>
      </c>
      <c r="BO382" s="15" t="n">
        <f aca="false">(BO381)+AY382</f>
        <v>0</v>
      </c>
      <c r="BP382" s="15" t="n">
        <f aca="false">0</f>
        <v>0</v>
      </c>
      <c r="BQ382" s="15" t="n">
        <f aca="false">BN382+BM382-BO382</f>
        <v>-257463.838885898</v>
      </c>
      <c r="BR382" s="15" t="n">
        <f aca="false">BH382+AD382+BL382+MAX(0,-AM382)+MAX(0,-AR382)+AG382</f>
        <v>17758.2685858293</v>
      </c>
      <c r="BS382" s="15" t="n">
        <f aca="false">AJ382+AV382+MAX(0,AM382)+MAX(0,AR382)+BC382+BG382+BQ382</f>
        <v>17758.2685858295</v>
      </c>
      <c r="BT382" s="15" t="n">
        <f aca="false">BR382-BS382</f>
        <v>-2.18278728425503E-010</v>
      </c>
      <c r="BU382" s="15" t="n">
        <f aca="false">BH382-(BD382+BE382-BF382-AY382)</f>
        <v>0</v>
      </c>
      <c r="BV382" s="15" t="n">
        <f aca="false">MIN(Piano_SS!$C$6,(BV381)+IF(AND(Motore_Operativo!C382&gt;=EDATE(Parametri_v3!$C$24,Ipotesi!I14*12),Motore_Operativo!C382&lt;EDATE(Parametri_v3!$C$24,Parametri_v3!$C$25+Ipotesi!I14*12)),MAX(0,(Motore_Operativo!Y382+Motore_Operativo!X382*Parametri_v3!$C$14)*(1-Parametri_v3!$C$32))*Piano_SS!$D$6,0))</f>
        <v>101887.5</v>
      </c>
      <c r="BW382" s="15" t="n">
        <f aca="false">MIN(Piano_SS!$C$7,(BW381)+IF(AND(Motore_Operativo!C382&gt;=EDATE(Parametri_v3!$C$24,Ipotesi!I14*12),Motore_Operativo!C382&lt;EDATE(Parametri_v3!$C$24,Parametri_v3!$C$25+Ipotesi!I14*12)),MAX(0,(IF(18-(INT((Ipotesi!$C$91)/30))&lt;1,0,INDEX(Motore_Operativo!$BN$365:$BN$424,MAX(1,18-(INT((Ipotesi!$C$91)/30)))))*(1-(MOD((Ipotesi!$C$91),30)/30))+IF(18-(INT((Ipotesi!$C$91)/30))-1&lt;1,0,INDEX(Motore_Operativo!$BN$365:$BN$424,MAX(1,18-(INT((Ipotesi!$C$91)/30))-1)))*(MOD((Ipotesi!$C$91),30)/30)))*Piano_SS!$D$7,0))</f>
        <v>16083.3203982106</v>
      </c>
      <c r="BX382" s="15" t="n">
        <f aca="false">MIN(Piano_SS!$C$8,(BX381)+IF(AND(Motore_Operativo!C382&gt;=EDATE(Parametri_v3!$C$24,Ipotesi!I14*12),Motore_Operativo!C382&lt;EDATE(Parametri_v3!$C$24,Parametri_v3!$C$25+Ipotesi!I14*12)),MAX(0,Motore_Operativo!CE382)*Piano_SS!$D$8,0))</f>
        <v>22500</v>
      </c>
      <c r="BY382" s="15" t="n">
        <f aca="false">MIN(Piano_SS!$C$9,(BY381)+IF(AND(Motore_Operativo!C382&gt;=EDATE(Parametri_v3!$C$24,Ipotesi!I14*12),Motore_Operativo!C382&lt;EDATE(Parametri_v3!$C$24,Parametri_v3!$C$25+Ipotesi!I14*12)),MAX(0,((IF(18-(INT((Ipotesi!$C$91)/30))&lt;1,0,INDEX(Motore_Operativo!$BQ$365:$BQ$424,MAX(1,18-(INT((Ipotesi!$C$91)/30)))))*(1-(MOD((Ipotesi!$C$91),30)/30))+IF(18-(INT((Ipotesi!$C$91)/30))-1&lt;1,0,INDEX(Motore_Operativo!$BQ$365:$BQ$424,MAX(1,18-(INT((Ipotesi!$C$91)/30))-1)))*(MOD((Ipotesi!$C$91),30)/30))+(IF(18-(INT((Ipotesi!$C$91)/30))&lt;1,0,INDEX(Motore_Operativo!$BR$365:$BR$424,MAX(1,18-(INT((Ipotesi!$C$91)/30)))))*(1-(MOD((Ipotesi!$C$91),30)/30))+IF(18-(INT((Ipotesi!$C$91)/30))-1&lt;1,0,INDEX(Motore_Operativo!$BR$365:$BR$424,MAX(1,18-(INT((Ipotesi!$C$91)/30))-1)))*(MOD((Ipotesi!$C$91),30)/30))))*Piano_SS!$D$9,0))</f>
        <v>29666.6666666667</v>
      </c>
      <c r="BZ382" s="15" t="n">
        <f aca="false">MIN(Piano_SS!$C$10,(BZ381)+IF(AND(Motore_Operativo!C382&gt;=EDATE(Parametri_v3!$C$24,Ipotesi!I14*12),Motore_Operativo!C382&lt;EDATE(Parametri_v3!$C$24,Parametri_v3!$C$25+Ipotesi!I14*12)),MAX(0,(IF(18-(INT((Ipotesi!$C$91)/30))&lt;1,0,INDEX(Motore_Operativo!$BO$365:$BO$424,MAX(1,18-(INT((Ipotesi!$C$91)/30)))))*(1-(MOD((Ipotesi!$C$91),30)/30))+IF(18-(INT((Ipotesi!$C$91)/30))-1&lt;1,0,INDEX(Motore_Operativo!$BO$365:$BO$424,MAX(1,18-(INT((Ipotesi!$C$91)/30))-1)))*(MOD((Ipotesi!$C$91),30)/30)))*Piano_SS!$D$10,0))</f>
        <v>15333.3333333333</v>
      </c>
      <c r="CA382" s="15" t="n">
        <f aca="false">SUM(BV382:BZ382)</f>
        <v>185470.820398211</v>
      </c>
      <c r="CB382" s="15" t="n">
        <f aca="false">BV382*(1-Piano_SS!$E$6)+BW382*(1-Piano_SS!$E$7)+BX382*(1-Piano_SS!$E$8)+BY382*(1-Piano_SS!$E$9)+BZ382*(1-Piano_SS!$E$10)</f>
        <v>170137.487064877</v>
      </c>
      <c r="CC382" s="15" t="n">
        <f aca="false">(CC381)+BA382</f>
        <v>80000</v>
      </c>
      <c r="CD382" s="15" t="n">
        <f aca="false">IF(CA382=0,0,CC382*CB382/CA382*Ipotesi!$C$103*Parametri_v3!$C$64)</f>
        <v>22015.8603967465</v>
      </c>
      <c r="CE382" s="18" t="n">
        <f aca="false">IF(BA382&gt;0,Motore_Operativo!C382,(CE381))</f>
        <v>46784</v>
      </c>
      <c r="CF382" s="18" t="n">
        <f aca="false">IF(AND(CC382&gt;0,OR(CC382&gt;=CG382-0.01,Motore_Operativo!C382&gt;=EDATE(MAX(Finanziamenti!$D$15:$D$17),Ipotesi!I14*12))),CE382,0)</f>
        <v>0</v>
      </c>
      <c r="CG382" s="15" t="n">
        <f aca="false">IF(AND(7&lt;&gt;6,7&lt;&gt;9,Finanziamenti!$F$11=1,OR(Parametri_v3!$C$6=0,Finanziamenti!$E$11=1)),MIN(Finanziamenti!$C$11,Piano_SS!$C$12*Ipotesi!$C$102),0)</f>
        <v>400000</v>
      </c>
      <c r="CH382" s="15" t="n">
        <f aca="false">IF(AND(AND(7&lt;&gt;8,7&lt;&gt;9,Finanziamenti!$F$10=1,OR(Parametri_v3!$C$6=0,Finanziamenti!$E$10=1)),Motore_Operativo!C382&gt;=Finanziamenti!$D$10,Motore_Operativo!C382&lt;Parametri_v3!$C$63),Finanziamenti!$C$10,0)</f>
        <v>150000</v>
      </c>
    </row>
    <row r="383" customFormat="false" ht="18" hidden="false" customHeight="true" outlineLevel="0" collapsed="false">
      <c r="A383" s="68" t="n">
        <f aca="false">7</f>
        <v>7</v>
      </c>
      <c r="B383" s="68" t="n">
        <f aca="false">19</f>
        <v>19</v>
      </c>
      <c r="C383" s="18" t="n">
        <f aca="false">Motore_Operativo!C383</f>
        <v>46935</v>
      </c>
      <c r="D383" s="68" t="n">
        <f aca="false">Motore_Operativo!D383</f>
        <v>2028</v>
      </c>
      <c r="E383" s="68" t="n">
        <f aca="false">Motore_Operativo!E383</f>
        <v>7</v>
      </c>
      <c r="F383" s="15" t="n">
        <f aca="false">Motore_Operativo!AQ383+Motore_Operativo!BF383</f>
        <v>27359.3782741328</v>
      </c>
      <c r="G383" s="15" t="n">
        <f aca="false">Motore_Operativo!BH383</f>
        <v>3398.1220657277</v>
      </c>
      <c r="H383" s="15" t="n">
        <f aca="false">Motore_Operativo!BI383</f>
        <v>30757.5003398605</v>
      </c>
      <c r="I383" s="15" t="n">
        <f aca="false">Motore_Operativo!CA383</f>
        <v>57543.0899536838</v>
      </c>
      <c r="J383" s="15" t="n">
        <f aca="false">Motore_Operativo!CC383</f>
        <v>-26785.5896138232</v>
      </c>
      <c r="K383" s="15" t="n">
        <f aca="false">Motore_Operativo!CE383</f>
        <v>2083.33333333333</v>
      </c>
      <c r="L383" s="15" t="n">
        <f aca="false">SUM(INDEX($K$365:$K$424,MAX(1,19-Parametri_v3!$C$59+1)):K383)/Parametri_v3!$C$59</f>
        <v>960.648148148148</v>
      </c>
      <c r="M383" s="15" t="n">
        <f aca="false">J383-L383</f>
        <v>-27746.2377619714</v>
      </c>
      <c r="N383" s="15" t="n">
        <f aca="false">CD383-(CD382)</f>
        <v>-14.7249630867191</v>
      </c>
      <c r="O383" s="15" t="n">
        <f aca="false">(BG382)*Ipotesi!$C$110/12+CH383*Parametri_v3!$C$39/12</f>
        <v>750</v>
      </c>
      <c r="P383" s="15" t="n">
        <f aca="false">M383+N383-O383</f>
        <v>-28510.9627250581</v>
      </c>
      <c r="Q383" s="15" t="n">
        <f aca="false">SUM(P377:P383)+Parametri_v3!$C$54*7/12</f>
        <v>-204473.205878584</v>
      </c>
      <c r="R383" s="15" t="n">
        <f aca="false">Z376</f>
        <v>211501.595732372</v>
      </c>
      <c r="S383" s="15" t="n">
        <f aca="false">AA376</f>
        <v>0</v>
      </c>
      <c r="T383" s="15" t="n">
        <f aca="false">MIN(R383,MAX(0,Q383))</f>
        <v>0</v>
      </c>
      <c r="U383" s="15" t="n">
        <f aca="false">MIN(S383,MAX(0,Q383-T383)*Parametri_v3!$C$42)</f>
        <v>0</v>
      </c>
      <c r="V383" s="15" t="n">
        <f aca="false">MAX(0,Q383-T383-U383)*Ipotesi!$C$92</f>
        <v>0</v>
      </c>
      <c r="W383" s="15" t="n">
        <f aca="false">MAX(0,SUM(M377:M383)+Parametri_v3!$C$55*7/12)*Ipotesi!$C$93</f>
        <v>0</v>
      </c>
      <c r="X383" s="15" t="n">
        <f aca="false">V383+W383-(V382+W382)</f>
        <v>0</v>
      </c>
      <c r="Y383" s="15" t="n">
        <f aca="false">P383-X383</f>
        <v>-28510.9627250581</v>
      </c>
      <c r="Z383" s="15" t="n">
        <f aca="false">R383-T383+IF(AND(Parametri_v3!$C$40=1,D383-YEAR(Parametri_v3!$C$50)&lt;Parametri_v3!$C$41),MAX(0,-Q383),0)</f>
        <v>415974.801610957</v>
      </c>
      <c r="AA383" s="15" t="n">
        <f aca="false">S383-U383+IF(AND(Parametri_v3!$C$40=1,D383-YEAR(Parametri_v3!$C$50)&lt;Parametri_v3!$C$41),0,MAX(0,-Q383))</f>
        <v>0</v>
      </c>
      <c r="AB383" s="15" t="n">
        <f aca="false">F383*(1+Parametri_v3!$C$26)</f>
        <v>33378.4414944421</v>
      </c>
      <c r="AC383" s="15" t="n">
        <f aca="false">(IF(19-(INT((Motore_Operativo!L383)/30))&lt;1,0,INDEX(Motore_Startup!$AB$365:$AB$424,MAX(1,19-(INT((Motore_Operativo!L383)/30)))))*(1-(MOD((Motore_Operativo!L383),30)/30))+IF(19-(INT((Motore_Operativo!L383)/30))-1&lt;1,0,INDEX(Motore_Startup!$AB$365:$AB$424,MAX(1,19-(INT((Motore_Operativo!L383)/30))-1)))*(MOD((Motore_Operativo!L383),30)/30))</f>
        <v>29997.7995403494</v>
      </c>
      <c r="AD383" s="15" t="n">
        <f aca="false">(AD382)+AB383-AC383</f>
        <v>96774.4703960816</v>
      </c>
      <c r="AE383" s="15" t="n">
        <f aca="false">Motore_Operativo!BH383*(1+Parametri_v3!$C$26)</f>
        <v>4145.70892018779</v>
      </c>
      <c r="AF383" s="15" t="n">
        <f aca="false">(IF(19-(INT((Parametri_v3!$C$29)/30))&lt;1,0,INDEX(Motore_Operativo!$BH$365:$BH$424,MAX(1,19-(INT((Parametri_v3!$C$29)/30)))))*(1-(MOD((Parametri_v3!$C$29),30)/30))+IF(19-(INT((Parametri_v3!$C$29)/30))-1&lt;1,0,INDEX(Motore_Operativo!$BH$365:$BH$424,MAX(1,19-(INT((Parametri_v3!$C$29)/30))-1)))*(MOD((Parametri_v3!$C$29),30)/30))*(1+Parametri_v3!$C$26)</f>
        <v>4145.70892018779</v>
      </c>
      <c r="AG383" s="15" t="n">
        <f aca="false">(AG382)+AE383-AF383</f>
        <v>4145.70892018779</v>
      </c>
      <c r="AH383" s="15" t="n">
        <f aca="false">(Motore_Operativo!CJ383)*(1+Parametri_v3!$C$27*Parametri_v3!$C$26)</f>
        <v>21105.5602750226</v>
      </c>
      <c r="AI383" s="15" t="n">
        <f aca="false">(IF(19-(INT((Ipotesi!$C$91)/30))&lt;1,0,INDEX(Motore_Startup!$AH$365:$AH$424,MAX(1,19-(INT((Ipotesi!$C$91)/30)))))*(1-(MOD((Ipotesi!$C$91),30)/30))+IF(19-(INT((Ipotesi!$C$91)/30))-1&lt;1,0,INDEX(Motore_Startup!$AH$365:$AH$424,MAX(1,19-(INT((Ipotesi!$C$91)/30))-1)))*(MOD((Ipotesi!$C$91),30)/30))</f>
        <v>20799.9180836617</v>
      </c>
      <c r="AJ383" s="15" t="n">
        <f aca="false">(AJ382)+AH383-AI383</f>
        <v>42058.9703379485</v>
      </c>
      <c r="AK383" s="15" t="n">
        <f aca="false">(F383+ Motore_Operativo!BH383-(Motore_Operativo!CJ383)*Parametri_v3!$C$27-Motore_Operativo!CE383)*Parametri_v3!$C$26</f>
        <v>2983.34642009712</v>
      </c>
      <c r="AL383" s="15" t="n">
        <f aca="false">MAX(0,(AM382))</f>
        <v>2805.8897218868</v>
      </c>
      <c r="AM383" s="15" t="n">
        <f aca="false">(AM382)+AK383-AL383</f>
        <v>2983.34642009712</v>
      </c>
      <c r="AN383" s="15" t="n">
        <f aca="false">SUM(X365:X376)</f>
        <v>0</v>
      </c>
      <c r="AO383" s="15" t="n">
        <f aca="false">SUM(AP365:AP376)</f>
        <v>0</v>
      </c>
      <c r="AP383" s="15" t="n">
        <f aca="false">MAX(0,AN383)*IF(7=Parametri_v3!$C$43,Parametri_v3!$C$45,IF(7=Parametri_v3!$C$44,1-Parametri_v3!$C$45,0))</f>
        <v>0</v>
      </c>
      <c r="AQ383" s="15" t="n">
        <f aca="false">MAX(0,AP383+IF(7=Parametri_v3!$C$43,MAX(0,AN383-AO383),0)-MAX(0,-(AR382)))</f>
        <v>0</v>
      </c>
      <c r="AR383" s="15" t="n">
        <f aca="false">(AR382)+X383-AQ383</f>
        <v>0</v>
      </c>
      <c r="AS383" s="15" t="n">
        <f aca="false">Motore_Operativo!AB383-AT383+AU383</f>
        <v>37774.375</v>
      </c>
      <c r="AT383" s="15" t="n">
        <f aca="false">Motore_Operativo!CH383</f>
        <v>1988.125</v>
      </c>
      <c r="AU383" s="15" t="n">
        <f aca="false">MIN(MAX(0,(AV382)+AT383),Parametri_v3!$C$60/12)</f>
        <v>0</v>
      </c>
      <c r="AV383" s="15" t="n">
        <f aca="false">(AV382)+AT383-AU383</f>
        <v>24666.875</v>
      </c>
      <c r="AW383" s="15" t="n">
        <f aca="false">IF(AND(Motore_Operativo!C383=Finanziamenti!$D$6,Finanziamenti!$F$6=1),Finanziamenti!$C$6,0)</f>
        <v>0</v>
      </c>
      <c r="AX383" s="15" t="n">
        <f aca="false">IF(AND(7&lt;&gt;7,7&lt;&gt;9,Finanziamenti!$F$8=1,OR(Parametri_v3!$C$6=0,Finanziamenti!$E$8=1),Motore_Operativo!C383=EDATE(Finanziamenti!$D$8,Ipotesi!I15*12)),Finanziamenti!$C$8*1,0)+IF(AND(7&lt;&gt;7,7&lt;&gt;9,Finanziamenti!$F$9=1,OR(Parametri_v3!$C$6=0,Finanziamenti!$E$9=1),Motore_Operativo!C383=EDATE(Finanziamenti!$D$9,Ipotesi!I15*12)),Finanziamenti!$C$9*Ipotesi!I16,0)</f>
        <v>0</v>
      </c>
      <c r="AY383" s="15" t="n">
        <f aca="false">0</f>
        <v>0</v>
      </c>
      <c r="AZ383" s="15" t="n">
        <f aca="false">Motore_Advisory!AY383*(1-Ipotesi!$C$95)*Ipotesi!$C$96</f>
        <v>0</v>
      </c>
      <c r="BA383" s="15" t="n">
        <f aca="false">MAX(0,MIN(CG383*MIN(1,IF(Motore_Operativo!C383&gt;=EDATE(Finanziamenti!$D$15,Ipotesi!I14*12),Finanziamenti!$C$15,0)+IF(Motore_Operativo!C383&gt;=EDATE(Finanziamenti!$D$16,Ipotesi!I14*12),Finanziamenti!$C$16,0)+IF(Motore_Operativo!C383&gt;=EDATE(Finanziamenti!$D$17,Ipotesi!I14*12),Finanziamenti!$C$17,0)),CA383*Ipotesi!$C$102)-(CC382))</f>
        <v>0</v>
      </c>
      <c r="BB383" s="15" t="n">
        <f aca="false">IF(AND(CF383&gt;0,Motore_Operativo!C383&gt;=IF(CF383=0,0,EDATE(CF383,Parametri_v3!$C$37)),MOD(((D383-YEAR(IF(CF383=0,0,EDATE(CF383,Parametri_v3!$C$37))))*12+E383-MONTH(IF(CF383=0,0,EDATE(CF383,Parametri_v3!$C$37)))),Parametri_v3!$C$38)=0),MIN(MAX(0,(BC382)+BA383-N383),(CC383-CD383)/(Ipotesi!$C$108*12/Parametri_v3!$C$38)),0)</f>
        <v>0</v>
      </c>
      <c r="BC383" s="15" t="n">
        <f aca="false">(BC382)+BA383-N383-BB383</f>
        <v>57998.8645663402</v>
      </c>
      <c r="BD383" s="15" t="n">
        <f aca="false">(BH382)+AC383+AF383-AI383-AS383-K383*(1+Parametri_v3!$C$26)-AL383-AQ383-O383+AW383+AX383+AZ383+BA383-BB383</f>
        <v>-134649.887565803</v>
      </c>
      <c r="BE383" s="15" t="n">
        <f aca="false">MAX(0,MIN(MAX(0,CH383-(BG382)),Parametri_v3!$C$30-BD383))</f>
        <v>0</v>
      </c>
      <c r="BF383" s="15" t="n">
        <f aca="false">IF(Motore_Operativo!C383&gt;=Parametri_v3!$C$63,(BG382),MIN((BG382),MAX(0,BD383-Parametri_v3!$C$30)))</f>
        <v>0</v>
      </c>
      <c r="BG383" s="15" t="n">
        <f aca="false">(BG382)+BE383-BF383</f>
        <v>150000</v>
      </c>
      <c r="BH383" s="15" t="n">
        <f aca="false">BD383+BE383-BF383-AY383</f>
        <v>-134649.887565803</v>
      </c>
      <c r="BI383" s="15" t="n">
        <f aca="false">MAX(0,Parametri_v3!$C$30-BH383)</f>
        <v>159649.887565803</v>
      </c>
      <c r="BJ383" s="15" t="n">
        <f aca="false">(BJ382)+K383</f>
        <v>34583.3333333333</v>
      </c>
      <c r="BK383" s="15" t="n">
        <f aca="false">(BK382)+L383</f>
        <v>9120.37037037037</v>
      </c>
      <c r="BL383" s="15" t="n">
        <f aca="false">BJ383-BK383</f>
        <v>25462.962962963</v>
      </c>
      <c r="BM383" s="15" t="n">
        <f aca="false">(BM382)+Y383</f>
        <v>-415974.801610957</v>
      </c>
      <c r="BN383" s="15" t="n">
        <f aca="false">(BN382)+AW383+AX383+AZ383</f>
        <v>130000</v>
      </c>
      <c r="BO383" s="15" t="n">
        <f aca="false">(BO382)+AY383</f>
        <v>0</v>
      </c>
      <c r="BP383" s="15" t="n">
        <f aca="false">0</f>
        <v>0</v>
      </c>
      <c r="BQ383" s="15" t="n">
        <f aca="false">BN383+BM383-BO383</f>
        <v>-285974.801610957</v>
      </c>
      <c r="BR383" s="15" t="n">
        <f aca="false">BH383+AD383+BL383+MAX(0,-AM383)+MAX(0,-AR383)+AG383</f>
        <v>-8266.74528657089</v>
      </c>
      <c r="BS383" s="15" t="n">
        <f aca="false">AJ383+AV383+MAX(0,AM383)+MAX(0,AR383)+BC383+BG383+BQ383</f>
        <v>-8266.74528657069</v>
      </c>
      <c r="BT383" s="15" t="n">
        <f aca="false">BR383-BS383</f>
        <v>-2.00088834390044E-010</v>
      </c>
      <c r="BU383" s="15" t="n">
        <f aca="false">BH383-(BD383+BE383-BF383-AY383)</f>
        <v>0</v>
      </c>
      <c r="BV383" s="15" t="n">
        <f aca="false">MIN(Piano_SS!$C$6,(BV382)+IF(AND(Motore_Operativo!C383&gt;=EDATE(Parametri_v3!$C$24,Ipotesi!I14*12),Motore_Operativo!C383&lt;EDATE(Parametri_v3!$C$24,Parametri_v3!$C$25+Ipotesi!I14*12)),MAX(0,(Motore_Operativo!Y383+Motore_Operativo!X383*Parametri_v3!$C$14)*(1-Parametri_v3!$C$32))*Piano_SS!$D$6,0))</f>
        <v>114118.75</v>
      </c>
      <c r="BW383" s="15" t="n">
        <f aca="false">MIN(Piano_SS!$C$7,(BW382)+IF(AND(Motore_Operativo!C383&gt;=EDATE(Parametri_v3!$C$24,Ipotesi!I14*12),Motore_Operativo!C383&lt;EDATE(Parametri_v3!$C$24,Parametri_v3!$C$25+Ipotesi!I14*12)),MAX(0,(IF(19-(INT((Ipotesi!$C$91)/30))&lt;1,0,INDEX(Motore_Operativo!$BN$365:$BN$424,MAX(1,19-(INT((Ipotesi!$C$91)/30)))))*(1-(MOD((Ipotesi!$C$91),30)/30))+IF(19-(INT((Ipotesi!$C$91)/30))-1&lt;1,0,INDEX(Motore_Operativo!$BN$365:$BN$424,MAX(1,19-(INT((Ipotesi!$C$91)/30))-1)))*(MOD((Ipotesi!$C$91),30)/30)))*Piano_SS!$D$7,0))</f>
        <v>17664.9327656361</v>
      </c>
      <c r="BX383" s="15" t="n">
        <f aca="false">MIN(Piano_SS!$C$8,(BX382)+IF(AND(Motore_Operativo!C383&gt;=EDATE(Parametri_v3!$C$24,Ipotesi!I14*12),Motore_Operativo!C383&lt;EDATE(Parametri_v3!$C$24,Parametri_v3!$C$25+Ipotesi!I14*12)),MAX(0,Motore_Operativo!CE383)*Piano_SS!$D$8,0))</f>
        <v>24583.3333333333</v>
      </c>
      <c r="BY383" s="15" t="n">
        <f aca="false">MIN(Piano_SS!$C$9,(BY382)+IF(AND(Motore_Operativo!C383&gt;=EDATE(Parametri_v3!$C$24,Ipotesi!I14*12),Motore_Operativo!C383&lt;EDATE(Parametri_v3!$C$24,Parametri_v3!$C$25+Ipotesi!I14*12)),MAX(0,((IF(19-(INT((Ipotesi!$C$91)/30))&lt;1,0,INDEX(Motore_Operativo!$BQ$365:$BQ$424,MAX(1,19-(INT((Ipotesi!$C$91)/30)))))*(1-(MOD((Ipotesi!$C$91),30)/30))+IF(19-(INT((Ipotesi!$C$91)/30))-1&lt;1,0,INDEX(Motore_Operativo!$BQ$365:$BQ$424,MAX(1,19-(INT((Ipotesi!$C$91)/30))-1)))*(MOD((Ipotesi!$C$91),30)/30))+(IF(19-(INT((Ipotesi!$C$91)/30))&lt;1,0,INDEX(Motore_Operativo!$BR$365:$BR$424,MAX(1,19-(INT((Ipotesi!$C$91)/30)))))*(1-(MOD((Ipotesi!$C$91),30)/30))+IF(19-(INT((Ipotesi!$C$91)/30))-1&lt;1,0,INDEX(Motore_Operativo!$BR$365:$BR$424,MAX(1,19-(INT((Ipotesi!$C$91)/30))-1)))*(MOD((Ipotesi!$C$91),30)/30))))*Piano_SS!$D$9,0))</f>
        <v>32583.3333333333</v>
      </c>
      <c r="BZ383" s="15" t="n">
        <f aca="false">MIN(Piano_SS!$C$10,(BZ382)+IF(AND(Motore_Operativo!C383&gt;=EDATE(Parametri_v3!$C$24,Ipotesi!I14*12),Motore_Operativo!C383&lt;EDATE(Parametri_v3!$C$24,Parametri_v3!$C$25+Ipotesi!I14*12)),MAX(0,(IF(19-(INT((Ipotesi!$C$91)/30))&lt;1,0,INDEX(Motore_Operativo!$BO$365:$BO$424,MAX(1,19-(INT((Ipotesi!$C$91)/30)))))*(1-(MOD((Ipotesi!$C$91),30)/30))+IF(19-(INT((Ipotesi!$C$91)/30))-1&lt;1,0,INDEX(Motore_Operativo!$BO$365:$BO$424,MAX(1,19-(INT((Ipotesi!$C$91)/30))-1)))*(MOD((Ipotesi!$C$91),30)/30)))*Piano_SS!$D$10,0))</f>
        <v>17166.6666666667</v>
      </c>
      <c r="CA383" s="15" t="n">
        <f aca="false">SUM(BV383:BZ383)</f>
        <v>206117.016098969</v>
      </c>
      <c r="CB383" s="15" t="n">
        <f aca="false">BV383*(1-Piano_SS!$E$6)+BW383*(1-Piano_SS!$E$7)+BX383*(1-Piano_SS!$E$8)+BY383*(1-Piano_SS!$E$9)+BZ383*(1-Piano_SS!$E$10)</f>
        <v>188950.349432303</v>
      </c>
      <c r="CC383" s="15" t="n">
        <f aca="false">(CC382)+BA383</f>
        <v>80000</v>
      </c>
      <c r="CD383" s="15" t="n">
        <f aca="false">IF(CA383=0,0,CC383*CB383/CA383*Ipotesi!$C$103*Parametri_v3!$C$64)</f>
        <v>22001.1354336598</v>
      </c>
      <c r="CE383" s="18" t="n">
        <f aca="false">IF(BA383&gt;0,Motore_Operativo!C383,(CE382))</f>
        <v>46784</v>
      </c>
      <c r="CF383" s="18" t="n">
        <f aca="false">IF(AND(CC383&gt;0,OR(CC383&gt;=CG383-0.01,Motore_Operativo!C383&gt;=EDATE(MAX(Finanziamenti!$D$15:$D$17),Ipotesi!I14*12))),CE383,0)</f>
        <v>0</v>
      </c>
      <c r="CG383" s="15" t="n">
        <f aca="false">IF(AND(7&lt;&gt;6,7&lt;&gt;9,Finanziamenti!$F$11=1,OR(Parametri_v3!$C$6=0,Finanziamenti!$E$11=1)),MIN(Finanziamenti!$C$11,Piano_SS!$C$12*Ipotesi!$C$102),0)</f>
        <v>400000</v>
      </c>
      <c r="CH383" s="15" t="n">
        <f aca="false">IF(AND(AND(7&lt;&gt;8,7&lt;&gt;9,Finanziamenti!$F$10=1,OR(Parametri_v3!$C$6=0,Finanziamenti!$E$10=1)),Motore_Operativo!C383&gt;=Finanziamenti!$D$10,Motore_Operativo!C383&lt;Parametri_v3!$C$63),Finanziamenti!$C$10,0)</f>
        <v>150000</v>
      </c>
    </row>
    <row r="384" customFormat="false" ht="18" hidden="false" customHeight="true" outlineLevel="0" collapsed="false">
      <c r="A384" s="68" t="n">
        <f aca="false">7</f>
        <v>7</v>
      </c>
      <c r="B384" s="68" t="n">
        <f aca="false">20</f>
        <v>20</v>
      </c>
      <c r="C384" s="18" t="n">
        <f aca="false">Motore_Operativo!C384</f>
        <v>46966</v>
      </c>
      <c r="D384" s="68" t="n">
        <f aca="false">Motore_Operativo!D384</f>
        <v>2028</v>
      </c>
      <c r="E384" s="68" t="n">
        <f aca="false">Motore_Operativo!E384</f>
        <v>8</v>
      </c>
      <c r="F384" s="15" t="n">
        <f aca="false">Motore_Operativo!AQ384+Motore_Operativo!BF384</f>
        <v>28266.9494267139</v>
      </c>
      <c r="G384" s="15" t="n">
        <f aca="false">Motore_Operativo!BH384</f>
        <v>3398.1220657277</v>
      </c>
      <c r="H384" s="15" t="n">
        <f aca="false">Motore_Operativo!BI384</f>
        <v>31665.0714924416</v>
      </c>
      <c r="I384" s="15" t="n">
        <f aca="false">Motore_Operativo!CA384</f>
        <v>57670.1499150451</v>
      </c>
      <c r="J384" s="15" t="n">
        <f aca="false">Motore_Operativo!CC384</f>
        <v>-26005.0784226035</v>
      </c>
      <c r="K384" s="15" t="n">
        <f aca="false">Motore_Operativo!CE384</f>
        <v>2083.33333333333</v>
      </c>
      <c r="L384" s="15" t="n">
        <f aca="false">SUM(INDEX($K$365:$K$424,MAX(1,20-Parametri_v3!$C$59+1)):K384)/Parametri_v3!$C$59</f>
        <v>1018.51851851852</v>
      </c>
      <c r="M384" s="15" t="n">
        <f aca="false">J384-L384</f>
        <v>-27023.5969411221</v>
      </c>
      <c r="N384" s="15" t="n">
        <f aca="false">CD384-(CD383)</f>
        <v>-11.3885736161428</v>
      </c>
      <c r="O384" s="15" t="n">
        <f aca="false">(BG383)*Ipotesi!$C$110/12+CH384*Parametri_v3!$C$39/12</f>
        <v>750</v>
      </c>
      <c r="P384" s="15" t="n">
        <f aca="false">M384+N384-O384</f>
        <v>-27784.9855147382</v>
      </c>
      <c r="Q384" s="15" t="n">
        <f aca="false">SUM(P377:P384)+Parametri_v3!$C$54*8/12</f>
        <v>-232258.191393323</v>
      </c>
      <c r="R384" s="15" t="n">
        <f aca="false">Z376</f>
        <v>211501.595732372</v>
      </c>
      <c r="S384" s="15" t="n">
        <f aca="false">AA376</f>
        <v>0</v>
      </c>
      <c r="T384" s="15" t="n">
        <f aca="false">MIN(R384,MAX(0,Q384))</f>
        <v>0</v>
      </c>
      <c r="U384" s="15" t="n">
        <f aca="false">MIN(S384,MAX(0,Q384-T384)*Parametri_v3!$C$42)</f>
        <v>0</v>
      </c>
      <c r="V384" s="15" t="n">
        <f aca="false">MAX(0,Q384-T384-U384)*Ipotesi!$C$92</f>
        <v>0</v>
      </c>
      <c r="W384" s="15" t="n">
        <f aca="false">MAX(0,SUM(M377:M384)+Parametri_v3!$C$55*8/12)*Ipotesi!$C$93</f>
        <v>0</v>
      </c>
      <c r="X384" s="15" t="n">
        <f aca="false">V384+W384-(V383+W383)</f>
        <v>0</v>
      </c>
      <c r="Y384" s="15" t="n">
        <f aca="false">P384-X384</f>
        <v>-27784.9855147382</v>
      </c>
      <c r="Z384" s="15" t="n">
        <f aca="false">R384-T384+IF(AND(Parametri_v3!$C$40=1,D384-YEAR(Parametri_v3!$C$50)&lt;Parametri_v3!$C$41),MAX(0,-Q384),0)</f>
        <v>443759.787125695</v>
      </c>
      <c r="AA384" s="15" t="n">
        <f aca="false">S384-U384+IF(AND(Parametri_v3!$C$40=1,D384-YEAR(Parametri_v3!$C$50)&lt;Parametri_v3!$C$41),0,MAX(0,-Q384))</f>
        <v>0</v>
      </c>
      <c r="AB384" s="15" t="n">
        <f aca="false">F384*(1+Parametri_v3!$C$26)</f>
        <v>34485.6783005909</v>
      </c>
      <c r="AC384" s="15" t="n">
        <f aca="false">(IF(20-(INT((Motore_Operativo!L384)/30))&lt;1,0,INDEX(Motore_Startup!$AB$365:$AB$424,MAX(1,20-(INT((Motore_Operativo!L384)/30)))))*(1-(MOD((Motore_Operativo!L384),30)/30))+IF(20-(INT((Motore_Operativo!L384)/30))-1&lt;1,0,INDEX(Motore_Startup!$AB$365:$AB$424,MAX(1,20-(INT((Motore_Operativo!L384)/30))-1)))*(MOD((Motore_Operativo!L384),30)/30))</f>
        <v>31134.5886032381</v>
      </c>
      <c r="AD384" s="15" t="n">
        <f aca="false">(AD383)+AB384-AC384</f>
        <v>100125.560093434</v>
      </c>
      <c r="AE384" s="15" t="n">
        <f aca="false">Motore_Operativo!BH384*(1+Parametri_v3!$C$26)</f>
        <v>4145.70892018779</v>
      </c>
      <c r="AF384" s="15" t="n">
        <f aca="false">(IF(20-(INT((Parametri_v3!$C$29)/30))&lt;1,0,INDEX(Motore_Operativo!$BH$365:$BH$424,MAX(1,20-(INT((Parametri_v3!$C$29)/30)))))*(1-(MOD((Parametri_v3!$C$29),30)/30))+IF(20-(INT((Parametri_v3!$C$29)/30))-1&lt;1,0,INDEX(Motore_Operativo!$BH$365:$BH$424,MAX(1,20-(INT((Parametri_v3!$C$29)/30))-1)))*(MOD((Parametri_v3!$C$29),30)/30))*(1+Parametri_v3!$C$26)</f>
        <v>4145.70892018779</v>
      </c>
      <c r="AG384" s="15" t="n">
        <f aca="false">(AG383)+AE384-AF384</f>
        <v>4145.70892018779</v>
      </c>
      <c r="AH384" s="15" t="n">
        <f aca="false">(Motore_Operativo!CJ384)*(1+Parametri_v3!$C$27*Parametri_v3!$C$26)</f>
        <v>21256.3804491586</v>
      </c>
      <c r="AI384" s="15" t="n">
        <f aca="false">(IF(20-(INT((Ipotesi!$C$91)/30))&lt;1,0,INDEX(Motore_Startup!$AH$365:$AH$424,MAX(1,20-(INT((Ipotesi!$C$91)/30)))))*(1-(MOD((Ipotesi!$C$91),30)/30))+IF(20-(INT((Ipotesi!$C$91)/30))-1&lt;1,0,INDEX(Motore_Startup!$AH$365:$AH$424,MAX(1,20-(INT((Ipotesi!$C$91)/30))-1)))*(MOD((Ipotesi!$C$91),30)/30))</f>
        <v>20953.4100629259</v>
      </c>
      <c r="AJ384" s="15" t="n">
        <f aca="false">(AJ383)+AH384-AI384</f>
        <v>42361.9407241812</v>
      </c>
      <c r="AK384" s="15" t="n">
        <f aca="false">(F384+ Motore_Operativo!BH384-(Motore_Operativo!CJ384)*Parametri_v3!$C$27-Motore_Operativo!CE384)*Parametri_v3!$C$26</f>
        <v>3159.25186089038</v>
      </c>
      <c r="AL384" s="15" t="n">
        <f aca="false">MAX(0,(AM383))</f>
        <v>2983.34642009712</v>
      </c>
      <c r="AM384" s="15" t="n">
        <f aca="false">(AM383)+AK384-AL384</f>
        <v>3159.25186089038</v>
      </c>
      <c r="AN384" s="15" t="n">
        <f aca="false">SUM(X365:X376)</f>
        <v>0</v>
      </c>
      <c r="AO384" s="15" t="n">
        <f aca="false">SUM(AP365:AP376)</f>
        <v>0</v>
      </c>
      <c r="AP384" s="15" t="n">
        <f aca="false">MAX(0,AN384)*IF(8=Parametri_v3!$C$43,Parametri_v3!$C$45,IF(8=Parametri_v3!$C$44,1-Parametri_v3!$C$45,0))</f>
        <v>0</v>
      </c>
      <c r="AQ384" s="15" t="n">
        <f aca="false">MAX(0,AP384+IF(8=Parametri_v3!$C$43,MAX(0,AN384-AO384),0)-MAX(0,-(AR383)))</f>
        <v>0</v>
      </c>
      <c r="AR384" s="15" t="n">
        <f aca="false">(AR383)+X384-AQ384</f>
        <v>0</v>
      </c>
      <c r="AS384" s="15" t="n">
        <f aca="false">Motore_Operativo!AB384-AT384+AU384</f>
        <v>37774.375</v>
      </c>
      <c r="AT384" s="15" t="n">
        <f aca="false">Motore_Operativo!CH384</f>
        <v>1988.125</v>
      </c>
      <c r="AU384" s="15" t="n">
        <f aca="false">MIN(MAX(0,(AV383)+AT384),Parametri_v3!$C$60/12)</f>
        <v>0</v>
      </c>
      <c r="AV384" s="15" t="n">
        <f aca="false">(AV383)+AT384-AU384</f>
        <v>26655</v>
      </c>
      <c r="AW384" s="15" t="n">
        <f aca="false">IF(AND(Motore_Operativo!C384=Finanziamenti!$D$6,Finanziamenti!$F$6=1),Finanziamenti!$C$6,0)</f>
        <v>0</v>
      </c>
      <c r="AX384" s="15" t="n">
        <f aca="false">IF(AND(7&lt;&gt;7,7&lt;&gt;9,Finanziamenti!$F$8=1,OR(Parametri_v3!$C$6=0,Finanziamenti!$E$8=1),Motore_Operativo!C384=EDATE(Finanziamenti!$D$8,Ipotesi!I15*12)),Finanziamenti!$C$8*1,0)+IF(AND(7&lt;&gt;7,7&lt;&gt;9,Finanziamenti!$F$9=1,OR(Parametri_v3!$C$6=0,Finanziamenti!$E$9=1),Motore_Operativo!C384=EDATE(Finanziamenti!$D$9,Ipotesi!I15*12)),Finanziamenti!$C$9*Ipotesi!I16,0)</f>
        <v>0</v>
      </c>
      <c r="AY384" s="15" t="n">
        <f aca="false">0</f>
        <v>0</v>
      </c>
      <c r="AZ384" s="15" t="n">
        <f aca="false">Motore_Advisory!AY384*(1-Ipotesi!$C$95)*Ipotesi!$C$96</f>
        <v>0</v>
      </c>
      <c r="BA384" s="15" t="n">
        <f aca="false">MAX(0,MIN(CG384*MIN(1,IF(Motore_Operativo!C384&gt;=EDATE(Finanziamenti!$D$15,Ipotesi!I14*12),Finanziamenti!$C$15,0)+IF(Motore_Operativo!C384&gt;=EDATE(Finanziamenti!$D$16,Ipotesi!I14*12),Finanziamenti!$C$16,0)+IF(Motore_Operativo!C384&gt;=EDATE(Finanziamenti!$D$17,Ipotesi!I14*12),Finanziamenti!$C$17,0)),CA384*Ipotesi!$C$102)-(CC383))</f>
        <v>0</v>
      </c>
      <c r="BB384" s="15" t="n">
        <f aca="false">IF(AND(CF384&gt;0,Motore_Operativo!C384&gt;=IF(CF384=0,0,EDATE(CF384,Parametri_v3!$C$37)),MOD(((D384-YEAR(IF(CF384=0,0,EDATE(CF384,Parametri_v3!$C$37))))*12+E384-MONTH(IF(CF384=0,0,EDATE(CF384,Parametri_v3!$C$37)))),Parametri_v3!$C$38)=0),MIN(MAX(0,(BC383)+BA384-N384),(CC384-CD384)/(Ipotesi!$C$108*12/Parametri_v3!$C$38)),0)</f>
        <v>0</v>
      </c>
      <c r="BC384" s="15" t="n">
        <f aca="false">(BC383)+BA384-N384-BB384</f>
        <v>58010.2531399563</v>
      </c>
      <c r="BD384" s="15" t="n">
        <f aca="false">(BH383)+AC384+AF384-AI384-AS384-K384*(1+Parametri_v3!$C$26)-AL384-AQ384-O384+AW384+AX384+AZ384+BA384-BB384</f>
        <v>-164372.388192067</v>
      </c>
      <c r="BE384" s="15" t="n">
        <f aca="false">MAX(0,MIN(MAX(0,CH384-(BG383)),Parametri_v3!$C$30-BD384))</f>
        <v>0</v>
      </c>
      <c r="BF384" s="15" t="n">
        <f aca="false">IF(Motore_Operativo!C384&gt;=Parametri_v3!$C$63,(BG383),MIN((BG383),MAX(0,BD384-Parametri_v3!$C$30)))</f>
        <v>0</v>
      </c>
      <c r="BG384" s="15" t="n">
        <f aca="false">(BG383)+BE384-BF384</f>
        <v>150000</v>
      </c>
      <c r="BH384" s="15" t="n">
        <f aca="false">BD384+BE384-BF384-AY384</f>
        <v>-164372.388192067</v>
      </c>
      <c r="BI384" s="15" t="n">
        <f aca="false">MAX(0,Parametri_v3!$C$30-BH384)</f>
        <v>189372.388192067</v>
      </c>
      <c r="BJ384" s="15" t="n">
        <f aca="false">(BJ383)+K384</f>
        <v>36666.6666666667</v>
      </c>
      <c r="BK384" s="15" t="n">
        <f aca="false">(BK383)+L384</f>
        <v>10138.8888888889</v>
      </c>
      <c r="BL384" s="15" t="n">
        <f aca="false">BJ384-BK384</f>
        <v>26527.7777777778</v>
      </c>
      <c r="BM384" s="15" t="n">
        <f aca="false">(BM383)+Y384</f>
        <v>-443759.787125695</v>
      </c>
      <c r="BN384" s="15" t="n">
        <f aca="false">(BN383)+AW384+AX384+AZ384</f>
        <v>130000</v>
      </c>
      <c r="BO384" s="15" t="n">
        <f aca="false">(BO383)+AY384</f>
        <v>0</v>
      </c>
      <c r="BP384" s="15" t="n">
        <f aca="false">0</f>
        <v>0</v>
      </c>
      <c r="BQ384" s="15" t="n">
        <f aca="false">BN384+BM384-BO384</f>
        <v>-313759.787125695</v>
      </c>
      <c r="BR384" s="15" t="n">
        <f aca="false">BH384+AD384+BL384+MAX(0,-AM384)+MAX(0,-AR384)+AG384</f>
        <v>-33573.341400667</v>
      </c>
      <c r="BS384" s="15" t="n">
        <f aca="false">AJ384+AV384+MAX(0,AM384)+MAX(0,AR384)+BC384+BG384+BQ384</f>
        <v>-33573.3414006667</v>
      </c>
      <c r="BT384" s="15" t="n">
        <f aca="false">BR384-BS384</f>
        <v>-2.47382558882237E-010</v>
      </c>
      <c r="BU384" s="15" t="n">
        <f aca="false">BH384-(BD384+BE384-BF384-AY384)</f>
        <v>0</v>
      </c>
      <c r="BV384" s="15" t="n">
        <f aca="false">MIN(Piano_SS!$C$6,(BV383)+IF(AND(Motore_Operativo!C384&gt;=EDATE(Parametri_v3!$C$24,Ipotesi!I14*12),Motore_Operativo!C384&lt;EDATE(Parametri_v3!$C$24,Parametri_v3!$C$25+Ipotesi!I14*12)),MAX(0,(Motore_Operativo!Y384+Motore_Operativo!X384*Parametri_v3!$C$14)*(1-Parametri_v3!$C$32))*Piano_SS!$D$6,0))</f>
        <v>126350</v>
      </c>
      <c r="BW384" s="15" t="n">
        <f aca="false">MIN(Piano_SS!$C$7,(BW383)+IF(AND(Motore_Operativo!C384&gt;=EDATE(Parametri_v3!$C$24,Ipotesi!I14*12),Motore_Operativo!C384&lt;EDATE(Parametri_v3!$C$24,Parametri_v3!$C$25+Ipotesi!I14*12)),MAX(0,(IF(20-(INT((Ipotesi!$C$91)/30))&lt;1,0,INDEX(Motore_Operativo!$BN$365:$BN$424,MAX(1,20-(INT((Ipotesi!$C$91)/30)))))*(1-(MOD((Ipotesi!$C$91),30)/30))+IF(20-(INT((Ipotesi!$C$91)/30))-1&lt;1,0,INDEX(Motore_Operativo!$BN$365:$BN$424,MAX(1,20-(INT((Ipotesi!$C$91)/30))-1)))*(MOD((Ipotesi!$C$91),30)/30)))*Piano_SS!$D$7,0))</f>
        <v>19320.4370474985</v>
      </c>
      <c r="BX384" s="15" t="n">
        <f aca="false">MIN(Piano_SS!$C$8,(BX383)+IF(AND(Motore_Operativo!C384&gt;=EDATE(Parametri_v3!$C$24,Ipotesi!I14*12),Motore_Operativo!C384&lt;EDATE(Parametri_v3!$C$24,Parametri_v3!$C$25+Ipotesi!I14*12)),MAX(0,Motore_Operativo!CE384)*Piano_SS!$D$8,0))</f>
        <v>26666.6666666667</v>
      </c>
      <c r="BY384" s="15" t="n">
        <f aca="false">MIN(Piano_SS!$C$9,(BY383)+IF(AND(Motore_Operativo!C384&gt;=EDATE(Parametri_v3!$C$24,Ipotesi!I14*12),Motore_Operativo!C384&lt;EDATE(Parametri_v3!$C$24,Parametri_v3!$C$25+Ipotesi!I14*12)),MAX(0,((IF(20-(INT((Ipotesi!$C$91)/30))&lt;1,0,INDEX(Motore_Operativo!$BQ$365:$BQ$424,MAX(1,20-(INT((Ipotesi!$C$91)/30)))))*(1-(MOD((Ipotesi!$C$91),30)/30))+IF(20-(INT((Ipotesi!$C$91)/30))-1&lt;1,0,INDEX(Motore_Operativo!$BQ$365:$BQ$424,MAX(1,20-(INT((Ipotesi!$C$91)/30))-1)))*(MOD((Ipotesi!$C$91),30)/30))+(IF(20-(INT((Ipotesi!$C$91)/30))&lt;1,0,INDEX(Motore_Operativo!$BR$365:$BR$424,MAX(1,20-(INT((Ipotesi!$C$91)/30)))))*(1-(MOD((Ipotesi!$C$91),30)/30))+IF(20-(INT((Ipotesi!$C$91)/30))-1&lt;1,0,INDEX(Motore_Operativo!$BR$365:$BR$424,MAX(1,20-(INT((Ipotesi!$C$91)/30))-1)))*(MOD((Ipotesi!$C$91),30)/30))))*Piano_SS!$D$9,0))</f>
        <v>35500</v>
      </c>
      <c r="BZ384" s="15" t="n">
        <f aca="false">MIN(Piano_SS!$C$10,(BZ383)+IF(AND(Motore_Operativo!C384&gt;=EDATE(Parametri_v3!$C$24,Ipotesi!I14*12),Motore_Operativo!C384&lt;EDATE(Parametri_v3!$C$24,Parametri_v3!$C$25+Ipotesi!I14*12)),MAX(0,(IF(20-(INT((Ipotesi!$C$91)/30))&lt;1,0,INDEX(Motore_Operativo!$BO$365:$BO$424,MAX(1,20-(INT((Ipotesi!$C$91)/30)))))*(1-(MOD((Ipotesi!$C$91),30)/30))+IF(20-(INT((Ipotesi!$C$91)/30))-1&lt;1,0,INDEX(Motore_Operativo!$BO$365:$BO$424,MAX(1,20-(INT((Ipotesi!$C$91)/30))-1)))*(MOD((Ipotesi!$C$91),30)/30)))*Piano_SS!$D$10,0))</f>
        <v>19000</v>
      </c>
      <c r="CA384" s="15" t="n">
        <f aca="false">SUM(BV384:BZ384)</f>
        <v>226837.103714165</v>
      </c>
      <c r="CB384" s="15" t="n">
        <f aca="false">BV384*(1-Piano_SS!$E$6)+BW384*(1-Piano_SS!$E$7)+BX384*(1-Piano_SS!$E$8)+BY384*(1-Piano_SS!$E$9)+BZ384*(1-Piano_SS!$E$10)</f>
        <v>207837.103714165</v>
      </c>
      <c r="CC384" s="15" t="n">
        <f aca="false">(CC383)+BA384</f>
        <v>80000</v>
      </c>
      <c r="CD384" s="15" t="n">
        <f aca="false">IF(CA384=0,0,CC384*CB384/CA384*Ipotesi!$C$103*Parametri_v3!$C$64)</f>
        <v>21989.7468600437</v>
      </c>
      <c r="CE384" s="18" t="n">
        <f aca="false">IF(BA384&gt;0,Motore_Operativo!C384,(CE383))</f>
        <v>46784</v>
      </c>
      <c r="CF384" s="18" t="n">
        <f aca="false">IF(AND(CC384&gt;0,OR(CC384&gt;=CG384-0.01,Motore_Operativo!C384&gt;=EDATE(MAX(Finanziamenti!$D$15:$D$17),Ipotesi!I14*12))),CE384,0)</f>
        <v>0</v>
      </c>
      <c r="CG384" s="15" t="n">
        <f aca="false">IF(AND(7&lt;&gt;6,7&lt;&gt;9,Finanziamenti!$F$11=1,OR(Parametri_v3!$C$6=0,Finanziamenti!$E$11=1)),MIN(Finanziamenti!$C$11,Piano_SS!$C$12*Ipotesi!$C$102),0)</f>
        <v>400000</v>
      </c>
      <c r="CH384" s="15" t="n">
        <f aca="false">IF(AND(AND(7&lt;&gt;8,7&lt;&gt;9,Finanziamenti!$F$10=1,OR(Parametri_v3!$C$6=0,Finanziamenti!$E$10=1)),Motore_Operativo!C384&gt;=Finanziamenti!$D$10,Motore_Operativo!C384&lt;Parametri_v3!$C$63),Finanziamenti!$C$10,0)</f>
        <v>150000</v>
      </c>
    </row>
    <row r="385" customFormat="false" ht="18" hidden="false" customHeight="true" outlineLevel="0" collapsed="false">
      <c r="A385" s="68" t="n">
        <f aca="false">7</f>
        <v>7</v>
      </c>
      <c r="B385" s="68" t="n">
        <f aca="false">21</f>
        <v>21</v>
      </c>
      <c r="C385" s="18" t="n">
        <f aca="false">Motore_Operativo!C385</f>
        <v>46997</v>
      </c>
      <c r="D385" s="68" t="n">
        <f aca="false">Motore_Operativo!D385</f>
        <v>2028</v>
      </c>
      <c r="E385" s="68" t="n">
        <f aca="false">Motore_Operativo!E385</f>
        <v>9</v>
      </c>
      <c r="F385" s="15" t="n">
        <f aca="false">Motore_Operativo!AQ385+Motore_Operativo!BF385</f>
        <v>29166.5869453654</v>
      </c>
      <c r="G385" s="15" t="n">
        <f aca="false">Motore_Operativo!BH385</f>
        <v>3398.1220657277</v>
      </c>
      <c r="H385" s="15" t="n">
        <f aca="false">Motore_Operativo!BI385</f>
        <v>32564.7090110931</v>
      </c>
      <c r="I385" s="15" t="n">
        <f aca="false">Motore_Operativo!CA385</f>
        <v>57796.0991676563</v>
      </c>
      <c r="J385" s="15" t="n">
        <f aca="false">Motore_Operativo!CC385</f>
        <v>-25231.3901565633</v>
      </c>
      <c r="K385" s="15" t="n">
        <f aca="false">Motore_Operativo!CE385</f>
        <v>2083.33333333333</v>
      </c>
      <c r="L385" s="15" t="n">
        <f aca="false">SUM(INDEX($K$365:$K$424,MAX(1,21-Parametri_v3!$C$59+1)):K385)/Parametri_v3!$C$59</f>
        <v>1076.38888888889</v>
      </c>
      <c r="M385" s="15" t="n">
        <f aca="false">J385-L385</f>
        <v>-26307.7790454521</v>
      </c>
      <c r="N385" s="15" t="n">
        <f aca="false">CD385-(CD384)</f>
        <v>-8.8847553389096</v>
      </c>
      <c r="O385" s="15" t="n">
        <f aca="false">(BG384)*Ipotesi!$C$110/12+CH385*Parametri_v3!$C$39/12</f>
        <v>750</v>
      </c>
      <c r="P385" s="15" t="n">
        <f aca="false">M385+N385-O385</f>
        <v>-27066.6638007911</v>
      </c>
      <c r="Q385" s="15" t="n">
        <f aca="false">SUM(P377:P385)+Parametri_v3!$C$54*9/12</f>
        <v>-259324.855194114</v>
      </c>
      <c r="R385" s="15" t="n">
        <f aca="false">Z376</f>
        <v>211501.595732372</v>
      </c>
      <c r="S385" s="15" t="n">
        <f aca="false">AA376</f>
        <v>0</v>
      </c>
      <c r="T385" s="15" t="n">
        <f aca="false">MIN(R385,MAX(0,Q385))</f>
        <v>0</v>
      </c>
      <c r="U385" s="15" t="n">
        <f aca="false">MIN(S385,MAX(0,Q385-T385)*Parametri_v3!$C$42)</f>
        <v>0</v>
      </c>
      <c r="V385" s="15" t="n">
        <f aca="false">MAX(0,Q385-T385-U385)*Ipotesi!$C$92</f>
        <v>0</v>
      </c>
      <c r="W385" s="15" t="n">
        <f aca="false">MAX(0,SUM(M377:M385)+Parametri_v3!$C$55*9/12)*Ipotesi!$C$93</f>
        <v>0</v>
      </c>
      <c r="X385" s="15" t="n">
        <f aca="false">V385+W385-(V384+W384)</f>
        <v>0</v>
      </c>
      <c r="Y385" s="15" t="n">
        <f aca="false">P385-X385</f>
        <v>-27066.6638007911</v>
      </c>
      <c r="Z385" s="15" t="n">
        <f aca="false">R385-T385+IF(AND(Parametri_v3!$C$40=1,D385-YEAR(Parametri_v3!$C$50)&lt;Parametri_v3!$C$41),MAX(0,-Q385),0)</f>
        <v>470826.450926486</v>
      </c>
      <c r="AA385" s="15" t="n">
        <f aca="false">S385-U385+IF(AND(Parametri_v3!$C$40=1,D385-YEAR(Parametri_v3!$C$50)&lt;Parametri_v3!$C$41),0,MAX(0,-Q385))</f>
        <v>0</v>
      </c>
      <c r="AB385" s="15" t="n">
        <f aca="false">F385*(1+Parametri_v3!$C$26)</f>
        <v>35583.2360733457</v>
      </c>
      <c r="AC385" s="15" t="n">
        <f aca="false">(IF(21-(INT((Motore_Operativo!L385)/30))&lt;1,0,INDEX(Motore_Startup!$AB$365:$AB$424,MAX(1,21-(INT((Motore_Operativo!L385)/30)))))*(1-(MOD((Motore_Operativo!L385),30)/30))+IF(21-(INT((Motore_Operativo!L385)/30))-1&lt;1,0,INDEX(Motore_Startup!$AB$365:$AB$424,MAX(1,21-(INT((Motore_Operativo!L385)/30))-1)))*(MOD((Motore_Operativo!L385),30)/30))</f>
        <v>32261.4402984015</v>
      </c>
      <c r="AD385" s="15" t="n">
        <f aca="false">(AD384)+AB385-AC385</f>
        <v>103447.355868379</v>
      </c>
      <c r="AE385" s="15" t="n">
        <f aca="false">Motore_Operativo!BH385*(1+Parametri_v3!$C$26)</f>
        <v>4145.70892018779</v>
      </c>
      <c r="AF385" s="15" t="n">
        <f aca="false">(IF(21-(INT((Parametri_v3!$C$29)/30))&lt;1,0,INDEX(Motore_Operativo!$BH$365:$BH$424,MAX(1,21-(INT((Parametri_v3!$C$29)/30)))))*(1-(MOD((Parametri_v3!$C$29),30)/30))+IF(21-(INT((Parametri_v3!$C$29)/30))-1&lt;1,0,INDEX(Motore_Operativo!$BH$365:$BH$424,MAX(1,21-(INT((Parametri_v3!$C$29)/30))-1)))*(MOD((Parametri_v3!$C$29),30)/30))*(1+Parametri_v3!$C$26)</f>
        <v>4145.70892018779</v>
      </c>
      <c r="AG385" s="15" t="n">
        <f aca="false">(AG384)+AE385-AF385</f>
        <v>4145.70892018779</v>
      </c>
      <c r="AH385" s="15" t="n">
        <f aca="false">(Motore_Operativo!CJ385)*(1+Parametri_v3!$C$27*Parametri_v3!$C$26)</f>
        <v>21405.882212008</v>
      </c>
      <c r="AI385" s="15" t="n">
        <f aca="false">(IF(21-(INT((Ipotesi!$C$91)/30))&lt;1,0,INDEX(Motore_Startup!$AH$365:$AH$424,MAX(1,21-(INT((Ipotesi!$C$91)/30)))))*(1-(MOD((Ipotesi!$C$91),30)/30))+IF(21-(INT((Ipotesi!$C$91)/30))-1&lt;1,0,INDEX(Motore_Startup!$AH$365:$AH$424,MAX(1,21-(INT((Ipotesi!$C$91)/30))-1)))*(MOD((Ipotesi!$C$91),30)/30))</f>
        <v>21105.5602750226</v>
      </c>
      <c r="AJ385" s="15" t="n">
        <f aca="false">(AJ384)+AH385-AI385</f>
        <v>42662.2626611666</v>
      </c>
      <c r="AK385" s="15" t="n">
        <f aca="false">(F385+ Motore_Operativo!BH385-(Motore_Operativo!CJ385)*Parametri_v3!$C$27-Motore_Operativo!CE385)*Parametri_v3!$C$26</f>
        <v>3333.61960475541</v>
      </c>
      <c r="AL385" s="15" t="n">
        <f aca="false">MAX(0,(AM384))</f>
        <v>3159.25186089038</v>
      </c>
      <c r="AM385" s="15" t="n">
        <f aca="false">(AM384)+AK385-AL385</f>
        <v>3333.61960475541</v>
      </c>
      <c r="AN385" s="15" t="n">
        <f aca="false">SUM(X365:X376)</f>
        <v>0</v>
      </c>
      <c r="AO385" s="15" t="n">
        <f aca="false">SUM(AP365:AP376)</f>
        <v>0</v>
      </c>
      <c r="AP385" s="15" t="n">
        <f aca="false">MAX(0,AN385)*IF(9=Parametri_v3!$C$43,Parametri_v3!$C$45,IF(9=Parametri_v3!$C$44,1-Parametri_v3!$C$45,0))</f>
        <v>0</v>
      </c>
      <c r="AQ385" s="15" t="n">
        <f aca="false">MAX(0,AP385+IF(9=Parametri_v3!$C$43,MAX(0,AN385-AO385),0)-MAX(0,-(AR384)))</f>
        <v>0</v>
      </c>
      <c r="AR385" s="15" t="n">
        <f aca="false">(AR384)+X385-AQ385</f>
        <v>0</v>
      </c>
      <c r="AS385" s="15" t="n">
        <f aca="false">Motore_Operativo!AB385-AT385+AU385</f>
        <v>37774.375</v>
      </c>
      <c r="AT385" s="15" t="n">
        <f aca="false">Motore_Operativo!CH385</f>
        <v>1988.125</v>
      </c>
      <c r="AU385" s="15" t="n">
        <f aca="false">MIN(MAX(0,(AV384)+AT385),Parametri_v3!$C$60/12)</f>
        <v>0</v>
      </c>
      <c r="AV385" s="15" t="n">
        <f aca="false">(AV384)+AT385-AU385</f>
        <v>28643.125</v>
      </c>
      <c r="AW385" s="15" t="n">
        <f aca="false">IF(AND(Motore_Operativo!C385=Finanziamenti!$D$6,Finanziamenti!$F$6=1),Finanziamenti!$C$6,0)</f>
        <v>0</v>
      </c>
      <c r="AX385" s="15" t="n">
        <f aca="false">IF(AND(7&lt;&gt;7,7&lt;&gt;9,Finanziamenti!$F$8=1,OR(Parametri_v3!$C$6=0,Finanziamenti!$E$8=1),Motore_Operativo!C385=EDATE(Finanziamenti!$D$8,Ipotesi!I15*12)),Finanziamenti!$C$8*1,0)+IF(AND(7&lt;&gt;7,7&lt;&gt;9,Finanziamenti!$F$9=1,OR(Parametri_v3!$C$6=0,Finanziamenti!$E$9=1),Motore_Operativo!C385=EDATE(Finanziamenti!$D$9,Ipotesi!I15*12)),Finanziamenti!$C$9*Ipotesi!I16,0)</f>
        <v>0</v>
      </c>
      <c r="AY385" s="15" t="n">
        <f aca="false">0</f>
        <v>0</v>
      </c>
      <c r="AZ385" s="15" t="n">
        <f aca="false">Motore_Advisory!AY385*(1-Ipotesi!$C$95)*Ipotesi!$C$96</f>
        <v>0</v>
      </c>
      <c r="BA385" s="15" t="n">
        <f aca="false">MAX(0,MIN(CG385*MIN(1,IF(Motore_Operativo!C385&gt;=EDATE(Finanziamenti!$D$15,Ipotesi!I14*12),Finanziamenti!$C$15,0)+IF(Motore_Operativo!C385&gt;=EDATE(Finanziamenti!$D$16,Ipotesi!I14*12),Finanziamenti!$C$16,0)+IF(Motore_Operativo!C385&gt;=EDATE(Finanziamenti!$D$17,Ipotesi!I14*12),Finanziamenti!$C$17,0)),CA385*Ipotesi!$C$102)-(CC384))</f>
        <v>0</v>
      </c>
      <c r="BB385" s="15" t="n">
        <f aca="false">IF(AND(CF385&gt;0,Motore_Operativo!C385&gt;=IF(CF385=0,0,EDATE(CF385,Parametri_v3!$C$37)),MOD(((D385-YEAR(IF(CF385=0,0,EDATE(CF385,Parametri_v3!$C$37))))*12+E385-MONTH(IF(CF385=0,0,EDATE(CF385,Parametri_v3!$C$37)))),Parametri_v3!$C$38)=0),MIN(MAX(0,(BC384)+BA385-N385),(CC385-CD385)/(Ipotesi!$C$108*12/Parametri_v3!$C$38)),0)</f>
        <v>0</v>
      </c>
      <c r="BC385" s="15" t="n">
        <f aca="false">(BC384)+BA385-N385-BB385</f>
        <v>58019.1378952952</v>
      </c>
      <c r="BD385" s="15" t="n">
        <f aca="false">(BH384)+AC385+AF385-AI385-AS385-K385*(1+Parametri_v3!$C$26)-AL385-AQ385-O385+AW385+AX385+AZ385+BA385-BB385</f>
        <v>-193296.092776057</v>
      </c>
      <c r="BE385" s="15" t="n">
        <f aca="false">MAX(0,MIN(MAX(0,CH385-(BG384)),Parametri_v3!$C$30-BD385))</f>
        <v>0</v>
      </c>
      <c r="BF385" s="15" t="n">
        <f aca="false">IF(Motore_Operativo!C385&gt;=Parametri_v3!$C$63,(BG384),MIN((BG384),MAX(0,BD385-Parametri_v3!$C$30)))</f>
        <v>0</v>
      </c>
      <c r="BG385" s="15" t="n">
        <f aca="false">(BG384)+BE385-BF385</f>
        <v>150000</v>
      </c>
      <c r="BH385" s="15" t="n">
        <f aca="false">BD385+BE385-BF385-AY385</f>
        <v>-193296.092776057</v>
      </c>
      <c r="BI385" s="15" t="n">
        <f aca="false">MAX(0,Parametri_v3!$C$30-BH385)</f>
        <v>218296.092776057</v>
      </c>
      <c r="BJ385" s="15" t="n">
        <f aca="false">(BJ384)+K385</f>
        <v>38750</v>
      </c>
      <c r="BK385" s="15" t="n">
        <f aca="false">(BK384)+L385</f>
        <v>11215.2777777778</v>
      </c>
      <c r="BL385" s="15" t="n">
        <f aca="false">BJ385-BK385</f>
        <v>27534.7222222222</v>
      </c>
      <c r="BM385" s="15" t="n">
        <f aca="false">(BM384)+Y385</f>
        <v>-470826.450926486</v>
      </c>
      <c r="BN385" s="15" t="n">
        <f aca="false">(BN384)+AW385+AX385+AZ385</f>
        <v>130000</v>
      </c>
      <c r="BO385" s="15" t="n">
        <f aca="false">(BO384)+AY385</f>
        <v>0</v>
      </c>
      <c r="BP385" s="15" t="n">
        <f aca="false">0</f>
        <v>0</v>
      </c>
      <c r="BQ385" s="15" t="n">
        <f aca="false">BN385+BM385-BO385</f>
        <v>-340826.450926486</v>
      </c>
      <c r="BR385" s="15" t="n">
        <f aca="false">BH385+AD385+BL385+MAX(0,-AM385)+MAX(0,-AR385)+AG385</f>
        <v>-58168.3057652687</v>
      </c>
      <c r="BS385" s="15" t="n">
        <f aca="false">AJ385+AV385+MAX(0,AM385)+MAX(0,AR385)+BC385+BG385+BQ385</f>
        <v>-58168.3057652685</v>
      </c>
      <c r="BT385" s="15" t="n">
        <f aca="false">BR385-BS385</f>
        <v>0</v>
      </c>
      <c r="BU385" s="15" t="n">
        <f aca="false">BH385-(BD385+BE385-BF385-AY385)</f>
        <v>0</v>
      </c>
      <c r="BV385" s="15" t="n">
        <f aca="false">MIN(Piano_SS!$C$6,(BV384)+IF(AND(Motore_Operativo!C385&gt;=EDATE(Parametri_v3!$C$24,Ipotesi!I14*12),Motore_Operativo!C385&lt;EDATE(Parametri_v3!$C$24,Parametri_v3!$C$25+Ipotesi!I14*12)),MAX(0,(Motore_Operativo!Y385+Motore_Operativo!X385*Parametri_v3!$C$14)*(1-Parametri_v3!$C$32))*Piano_SS!$D$6,0))</f>
        <v>138581.25</v>
      </c>
      <c r="BW385" s="15" t="n">
        <f aca="false">MIN(Piano_SS!$C$7,(BW384)+IF(AND(Motore_Operativo!C385&gt;=EDATE(Parametri_v3!$C$24,Ipotesi!I14*12),Motore_Operativo!C385&lt;EDATE(Parametri_v3!$C$24,Parametri_v3!$C$25+Ipotesi!I14*12)),MAX(0,(IF(21-(INT((Ipotesi!$C$91)/30))&lt;1,0,INDEX(Motore_Operativo!$BN$365:$BN$424,MAX(1,21-(INT((Ipotesi!$C$91)/30)))))*(1-(MOD((Ipotesi!$C$91),30)/30))+IF(21-(INT((Ipotesi!$C$91)/30))-1&lt;1,0,INDEX(Motore_Operativo!$BN$365:$BN$424,MAX(1,21-(INT((Ipotesi!$C$91)/30))-1)))*(MOD((Ipotesi!$C$91),30)/30)))*Piano_SS!$D$7,0))</f>
        <v>21049.1873094291</v>
      </c>
      <c r="BX385" s="15" t="n">
        <f aca="false">MIN(Piano_SS!$C$8,(BX384)+IF(AND(Motore_Operativo!C385&gt;=EDATE(Parametri_v3!$C$24,Ipotesi!I14*12),Motore_Operativo!C385&lt;EDATE(Parametri_v3!$C$24,Parametri_v3!$C$25+Ipotesi!I14*12)),MAX(0,Motore_Operativo!CE385)*Piano_SS!$D$8,0))</f>
        <v>28750</v>
      </c>
      <c r="BY385" s="15" t="n">
        <f aca="false">MIN(Piano_SS!$C$9,(BY384)+IF(AND(Motore_Operativo!C385&gt;=EDATE(Parametri_v3!$C$24,Ipotesi!I14*12),Motore_Operativo!C385&lt;EDATE(Parametri_v3!$C$24,Parametri_v3!$C$25+Ipotesi!I14*12)),MAX(0,((IF(21-(INT((Ipotesi!$C$91)/30))&lt;1,0,INDEX(Motore_Operativo!$BQ$365:$BQ$424,MAX(1,21-(INT((Ipotesi!$C$91)/30)))))*(1-(MOD((Ipotesi!$C$91),30)/30))+IF(21-(INT((Ipotesi!$C$91)/30))-1&lt;1,0,INDEX(Motore_Operativo!$BQ$365:$BQ$424,MAX(1,21-(INT((Ipotesi!$C$91)/30))-1)))*(MOD((Ipotesi!$C$91),30)/30))+(IF(21-(INT((Ipotesi!$C$91)/30))&lt;1,0,INDEX(Motore_Operativo!$BR$365:$BR$424,MAX(1,21-(INT((Ipotesi!$C$91)/30)))))*(1-(MOD((Ipotesi!$C$91),30)/30))+IF(21-(INT((Ipotesi!$C$91)/30))-1&lt;1,0,INDEX(Motore_Operativo!$BR$365:$BR$424,MAX(1,21-(INT((Ipotesi!$C$91)/30))-1)))*(MOD((Ipotesi!$C$91),30)/30))))*Piano_SS!$D$9,0))</f>
        <v>38416.6666666667</v>
      </c>
      <c r="BZ385" s="15" t="n">
        <f aca="false">MIN(Piano_SS!$C$10,(BZ384)+IF(AND(Motore_Operativo!C385&gt;=EDATE(Parametri_v3!$C$24,Ipotesi!I14*12),Motore_Operativo!C385&lt;EDATE(Parametri_v3!$C$24,Parametri_v3!$C$25+Ipotesi!I14*12)),MAX(0,(IF(21-(INT((Ipotesi!$C$91)/30))&lt;1,0,INDEX(Motore_Operativo!$BO$365:$BO$424,MAX(1,21-(INT((Ipotesi!$C$91)/30)))))*(1-(MOD((Ipotesi!$C$91),30)/30))+IF(21-(INT((Ipotesi!$C$91)/30))-1&lt;1,0,INDEX(Motore_Operativo!$BO$365:$BO$424,MAX(1,21-(INT((Ipotesi!$C$91)/30))-1)))*(MOD((Ipotesi!$C$91),30)/30)))*Piano_SS!$D$10,0))</f>
        <v>20833.3333333333</v>
      </c>
      <c r="CA385" s="15" t="n">
        <f aca="false">SUM(BV385:BZ385)</f>
        <v>247630.437309429</v>
      </c>
      <c r="CB385" s="15" t="n">
        <f aca="false">BV385*(1-Piano_SS!$E$6)+BW385*(1-Piano_SS!$E$7)+BX385*(1-Piano_SS!$E$8)+BY385*(1-Piano_SS!$E$9)+BZ385*(1-Piano_SS!$E$10)</f>
        <v>226797.103976096</v>
      </c>
      <c r="CC385" s="15" t="n">
        <f aca="false">(CC384)+BA385</f>
        <v>80000</v>
      </c>
      <c r="CD385" s="15" t="n">
        <f aca="false">IF(CA385=0,0,CC385*CB385/CA385*Ipotesi!$C$103*Parametri_v3!$C$64)</f>
        <v>21980.8621047048</v>
      </c>
      <c r="CE385" s="18" t="n">
        <f aca="false">IF(BA385&gt;0,Motore_Operativo!C385,(CE384))</f>
        <v>46784</v>
      </c>
      <c r="CF385" s="18" t="n">
        <f aca="false">IF(AND(CC385&gt;0,OR(CC385&gt;=CG385-0.01,Motore_Operativo!C385&gt;=EDATE(MAX(Finanziamenti!$D$15:$D$17),Ipotesi!I14*12))),CE385,0)</f>
        <v>0</v>
      </c>
      <c r="CG385" s="15" t="n">
        <f aca="false">IF(AND(7&lt;&gt;6,7&lt;&gt;9,Finanziamenti!$F$11=1,OR(Parametri_v3!$C$6=0,Finanziamenti!$E$11=1)),MIN(Finanziamenti!$C$11,Piano_SS!$C$12*Ipotesi!$C$102),0)</f>
        <v>400000</v>
      </c>
      <c r="CH385" s="15" t="n">
        <f aca="false">IF(AND(AND(7&lt;&gt;8,7&lt;&gt;9,Finanziamenti!$F$10=1,OR(Parametri_v3!$C$6=0,Finanziamenti!$E$10=1)),Motore_Operativo!C385&gt;=Finanziamenti!$D$10,Motore_Operativo!C385&lt;Parametri_v3!$C$63),Finanziamenti!$C$10,0)</f>
        <v>150000</v>
      </c>
    </row>
    <row r="386" customFormat="false" ht="18" hidden="false" customHeight="true" outlineLevel="0" collapsed="false">
      <c r="A386" s="68" t="n">
        <f aca="false">7</f>
        <v>7</v>
      </c>
      <c r="B386" s="68" t="n">
        <f aca="false">22</f>
        <v>22</v>
      </c>
      <c r="C386" s="18" t="n">
        <f aca="false">Motore_Operativo!C386</f>
        <v>47027</v>
      </c>
      <c r="D386" s="68" t="n">
        <f aca="false">Motore_Operativo!D386</f>
        <v>2028</v>
      </c>
      <c r="E386" s="68" t="n">
        <f aca="false">Motore_Operativo!E386</f>
        <v>10</v>
      </c>
      <c r="F386" s="15" t="n">
        <f aca="false">Motore_Operativo!AQ386+Motore_Operativo!BF386</f>
        <v>30058.3601828285</v>
      </c>
      <c r="G386" s="15" t="n">
        <f aca="false">Motore_Operativo!BH386</f>
        <v>3398.1220657277</v>
      </c>
      <c r="H386" s="15" t="n">
        <f aca="false">Motore_Operativo!BI386</f>
        <v>33456.4822485563</v>
      </c>
      <c r="I386" s="15" t="n">
        <f aca="false">Motore_Operativo!CA386</f>
        <v>57920.9474209012</v>
      </c>
      <c r="J386" s="15" t="n">
        <f aca="false">Motore_Operativo!CC386</f>
        <v>-24464.4651723449</v>
      </c>
      <c r="K386" s="15" t="n">
        <f aca="false">Motore_Operativo!CE386</f>
        <v>2083.33333333333</v>
      </c>
      <c r="L386" s="15" t="n">
        <f aca="false">SUM(INDEX($K$365:$K$424,MAX(1,22-Parametri_v3!$C$59+1)):K386)/Parametri_v3!$C$59</f>
        <v>1134.25925925926</v>
      </c>
      <c r="M386" s="15" t="n">
        <f aca="false">J386-L386</f>
        <v>-25598.7244316042</v>
      </c>
      <c r="N386" s="15" t="n">
        <f aca="false">CD386-(CD385)</f>
        <v>-17.0718789111634</v>
      </c>
      <c r="O386" s="15" t="n">
        <f aca="false">(BG385)*Ipotesi!$C$110/12+CH386*Parametri_v3!$C$39/12</f>
        <v>750</v>
      </c>
      <c r="P386" s="15" t="n">
        <f aca="false">M386+N386-O386</f>
        <v>-26365.7963105153</v>
      </c>
      <c r="Q386" s="15" t="n">
        <f aca="false">SUM(P377:P386)+Parametri_v3!$C$54*10/12</f>
        <v>-285690.651504629</v>
      </c>
      <c r="R386" s="15" t="n">
        <f aca="false">Z376</f>
        <v>211501.595732372</v>
      </c>
      <c r="S386" s="15" t="n">
        <f aca="false">AA376</f>
        <v>0</v>
      </c>
      <c r="T386" s="15" t="n">
        <f aca="false">MIN(R386,MAX(0,Q386))</f>
        <v>0</v>
      </c>
      <c r="U386" s="15" t="n">
        <f aca="false">MIN(S386,MAX(0,Q386-T386)*Parametri_v3!$C$42)</f>
        <v>0</v>
      </c>
      <c r="V386" s="15" t="n">
        <f aca="false">MAX(0,Q386-T386-U386)*Ipotesi!$C$92</f>
        <v>0</v>
      </c>
      <c r="W386" s="15" t="n">
        <f aca="false">MAX(0,SUM(M377:M386)+Parametri_v3!$C$55*10/12)*Ipotesi!$C$93</f>
        <v>0</v>
      </c>
      <c r="X386" s="15" t="n">
        <f aca="false">V386+W386-(V385+W385)</f>
        <v>0</v>
      </c>
      <c r="Y386" s="15" t="n">
        <f aca="false">P386-X386</f>
        <v>-26365.7963105153</v>
      </c>
      <c r="Z386" s="15" t="n">
        <f aca="false">R386-T386+IF(AND(Parametri_v3!$C$40=1,D386-YEAR(Parametri_v3!$C$50)&lt;Parametri_v3!$C$41),MAX(0,-Q386),0)</f>
        <v>497192.247237001</v>
      </c>
      <c r="AA386" s="15" t="n">
        <f aca="false">S386-U386+IF(AND(Parametri_v3!$C$40=1,D386-YEAR(Parametri_v3!$C$50)&lt;Parametri_v3!$C$41),0,MAX(0,-Q386))</f>
        <v>0</v>
      </c>
      <c r="AB386" s="15" t="n">
        <f aca="false">F386*(1+Parametri_v3!$C$26)</f>
        <v>36671.1994230508</v>
      </c>
      <c r="AC386" s="15" t="n">
        <f aca="false">(IF(22-(INT((Motore_Operativo!L386)/30))&lt;1,0,INDEX(Motore_Startup!$AB$365:$AB$424,MAX(1,22-(INT((Motore_Operativo!L386)/30)))))*(1-(MOD((Motore_Operativo!L386),30)/30))+IF(22-(INT((Motore_Operativo!L386)/30))-1&lt;1,0,INDEX(Motore_Startup!$AB$365:$AB$424,MAX(1,22-(INT((Motore_Operativo!L386)/30))-1)))*(MOD((Motore_Operativo!L386),30)/30))</f>
        <v>33378.4414944421</v>
      </c>
      <c r="AD386" s="15" t="n">
        <f aca="false">(AD385)+AB386-AC386</f>
        <v>106740.113796988</v>
      </c>
      <c r="AE386" s="15" t="n">
        <f aca="false">Motore_Operativo!BH386*(1+Parametri_v3!$C$26)</f>
        <v>4145.70892018779</v>
      </c>
      <c r="AF386" s="15" t="n">
        <f aca="false">(IF(22-(INT((Parametri_v3!$C$29)/30))&lt;1,0,INDEX(Motore_Operativo!$BH$365:$BH$424,MAX(1,22-(INT((Parametri_v3!$C$29)/30)))))*(1-(MOD((Parametri_v3!$C$29),30)/30))+IF(22-(INT((Parametri_v3!$C$29)/30))-1&lt;1,0,INDEX(Motore_Operativo!$BH$365:$BH$424,MAX(1,22-(INT((Parametri_v3!$C$29)/30))-1)))*(MOD((Parametri_v3!$C$29),30)/30))*(1+Parametri_v3!$C$26)</f>
        <v>4145.70892018779</v>
      </c>
      <c r="AG386" s="15" t="n">
        <f aca="false">(AG385)+AE386-AF386</f>
        <v>4145.70892018779</v>
      </c>
      <c r="AH386" s="15" t="n">
        <f aca="false">(Motore_Operativo!CJ386)*(1+Parametri_v3!$C$27*Parametri_v3!$C$26)</f>
        <v>21554.0770886097</v>
      </c>
      <c r="AI386" s="15" t="n">
        <f aca="false">(IF(22-(INT((Ipotesi!$C$91)/30))&lt;1,0,INDEX(Motore_Startup!$AH$365:$AH$424,MAX(1,22-(INT((Ipotesi!$C$91)/30)))))*(1-(MOD((Ipotesi!$C$91),30)/30))+IF(22-(INT((Ipotesi!$C$91)/30))-1&lt;1,0,INDEX(Motore_Startup!$AH$365:$AH$424,MAX(1,22-(INT((Ipotesi!$C$91)/30))-1)))*(MOD((Ipotesi!$C$91),30)/30))</f>
        <v>21256.3804491586</v>
      </c>
      <c r="AJ386" s="15" t="n">
        <f aca="false">(AJ385)+AH386-AI386</f>
        <v>42959.9593006177</v>
      </c>
      <c r="AK386" s="15" t="n">
        <f aca="false">(F386+ Motore_Operativo!BH386-(Motore_Operativo!CJ386)*Parametri_v3!$C$27-Motore_Operativo!CE386)*Parametri_v3!$C$26</f>
        <v>3506.46309364052</v>
      </c>
      <c r="AL386" s="15" t="n">
        <f aca="false">MAX(0,(AM385))</f>
        <v>3333.61960475541</v>
      </c>
      <c r="AM386" s="15" t="n">
        <f aca="false">(AM385)+AK386-AL386</f>
        <v>3506.46309364052</v>
      </c>
      <c r="AN386" s="15" t="n">
        <f aca="false">SUM(X365:X376)</f>
        <v>0</v>
      </c>
      <c r="AO386" s="15" t="n">
        <f aca="false">SUM(AP365:AP376)</f>
        <v>0</v>
      </c>
      <c r="AP386" s="15" t="n">
        <f aca="false">MAX(0,AN386)*IF(10=Parametri_v3!$C$43,Parametri_v3!$C$45,IF(10=Parametri_v3!$C$44,1-Parametri_v3!$C$45,0))</f>
        <v>0</v>
      </c>
      <c r="AQ386" s="15" t="n">
        <f aca="false">MAX(0,AP386+IF(10=Parametri_v3!$C$43,MAX(0,AN386-AO386),0)-MAX(0,-(AR385)))</f>
        <v>0</v>
      </c>
      <c r="AR386" s="15" t="n">
        <f aca="false">(AR385)+X386-AQ386</f>
        <v>0</v>
      </c>
      <c r="AS386" s="15" t="n">
        <f aca="false">Motore_Operativo!AB386-AT386+AU386</f>
        <v>37774.375</v>
      </c>
      <c r="AT386" s="15" t="n">
        <f aca="false">Motore_Operativo!CH386</f>
        <v>1988.125</v>
      </c>
      <c r="AU386" s="15" t="n">
        <f aca="false">MIN(MAX(0,(AV385)+AT386),Parametri_v3!$C$60/12)</f>
        <v>0</v>
      </c>
      <c r="AV386" s="15" t="n">
        <f aca="false">(AV385)+AT386-AU386</f>
        <v>30631.25</v>
      </c>
      <c r="AW386" s="15" t="n">
        <f aca="false">IF(AND(Motore_Operativo!C386=Finanziamenti!$D$6,Finanziamenti!$F$6=1),Finanziamenti!$C$6,0)</f>
        <v>0</v>
      </c>
      <c r="AX386" s="15" t="n">
        <f aca="false">IF(AND(7&lt;&gt;7,7&lt;&gt;9,Finanziamenti!$F$8=1,OR(Parametri_v3!$C$6=0,Finanziamenti!$E$8=1),Motore_Operativo!C386=EDATE(Finanziamenti!$D$8,Ipotesi!I15*12)),Finanziamenti!$C$8*1,0)+IF(AND(7&lt;&gt;7,7&lt;&gt;9,Finanziamenti!$F$9=1,OR(Parametri_v3!$C$6=0,Finanziamenti!$E$9=1),Motore_Operativo!C386=EDATE(Finanziamenti!$D$9,Ipotesi!I15*12)),Finanziamenti!$C$9*Ipotesi!I16,0)</f>
        <v>0</v>
      </c>
      <c r="AY386" s="15" t="n">
        <f aca="false">0</f>
        <v>0</v>
      </c>
      <c r="AZ386" s="15" t="n">
        <f aca="false">Motore_Advisory!AY386*(1-Ipotesi!$C$95)*Ipotesi!$C$96</f>
        <v>0</v>
      </c>
      <c r="BA386" s="15" t="n">
        <f aca="false">MAX(0,MIN(CG386*MIN(1,IF(Motore_Operativo!C386&gt;=EDATE(Finanziamenti!$D$15,Ipotesi!I14*12),Finanziamenti!$C$15,0)+IF(Motore_Operativo!C386&gt;=EDATE(Finanziamenti!$D$16,Ipotesi!I14*12),Finanziamenti!$C$16,0)+IF(Motore_Operativo!C386&gt;=EDATE(Finanziamenti!$D$17,Ipotesi!I14*12),Finanziamenti!$C$17,0)),CA386*Ipotesi!$C$102)-(CC385))</f>
        <v>0</v>
      </c>
      <c r="BB386" s="15" t="n">
        <f aca="false">IF(AND(CF386&gt;0,Motore_Operativo!C386&gt;=IF(CF386=0,0,EDATE(CF386,Parametri_v3!$C$37)),MOD(((D386-YEAR(IF(CF386=0,0,EDATE(CF386,Parametri_v3!$C$37))))*12+E386-MONTH(IF(CF386=0,0,EDATE(CF386,Parametri_v3!$C$37)))),Parametri_v3!$C$38)=0),MIN(MAX(0,(BC385)+BA386-N386),(CC386-CD386)/(Ipotesi!$C$108*12/Parametri_v3!$C$38)),0)</f>
        <v>0</v>
      </c>
      <c r="BC386" s="15" t="n">
        <f aca="false">(BC385)+BA386-N386-BB386</f>
        <v>58036.2097742064</v>
      </c>
      <c r="BD386" s="15" t="n">
        <f aca="false">(BH385)+AC386+AF386-AI386-AS386-K386*(1+Parametri_v3!$C$26)-AL386-AQ386-O386+AW386+AX386+AZ386+BA386-BB386</f>
        <v>-221427.984082008</v>
      </c>
      <c r="BE386" s="15" t="n">
        <f aca="false">MAX(0,MIN(MAX(0,CH386-(BG385)),Parametri_v3!$C$30-BD386))</f>
        <v>0</v>
      </c>
      <c r="BF386" s="15" t="n">
        <f aca="false">IF(Motore_Operativo!C386&gt;=Parametri_v3!$C$63,(BG385),MIN((BG385),MAX(0,BD386-Parametri_v3!$C$30)))</f>
        <v>0</v>
      </c>
      <c r="BG386" s="15" t="n">
        <f aca="false">(BG385)+BE386-BF386</f>
        <v>150000</v>
      </c>
      <c r="BH386" s="15" t="n">
        <f aca="false">BD386+BE386-BF386-AY386</f>
        <v>-221427.984082008</v>
      </c>
      <c r="BI386" s="15" t="n">
        <f aca="false">MAX(0,Parametri_v3!$C$30-BH386)</f>
        <v>246427.984082008</v>
      </c>
      <c r="BJ386" s="15" t="n">
        <f aca="false">(BJ385)+K386</f>
        <v>40833.3333333333</v>
      </c>
      <c r="BK386" s="15" t="n">
        <f aca="false">(BK385)+L386</f>
        <v>12349.537037037</v>
      </c>
      <c r="BL386" s="15" t="n">
        <f aca="false">BJ386-BK386</f>
        <v>28483.7962962963</v>
      </c>
      <c r="BM386" s="15" t="n">
        <f aca="false">(BM385)+Y386</f>
        <v>-497192.247237001</v>
      </c>
      <c r="BN386" s="15" t="n">
        <f aca="false">(BN385)+AW386+AX386+AZ386</f>
        <v>130000</v>
      </c>
      <c r="BO386" s="15" t="n">
        <f aca="false">(BO385)+AY386</f>
        <v>0</v>
      </c>
      <c r="BP386" s="15" t="n">
        <f aca="false">0</f>
        <v>0</v>
      </c>
      <c r="BQ386" s="15" t="n">
        <f aca="false">BN386+BM386-BO386</f>
        <v>-367192.247237001</v>
      </c>
      <c r="BR386" s="15" t="n">
        <f aca="false">BH386+AD386+BL386+MAX(0,-AM386)+MAX(0,-AR386)+AG386</f>
        <v>-82058.3650685366</v>
      </c>
      <c r="BS386" s="15" t="n">
        <f aca="false">AJ386+AV386+MAX(0,AM386)+MAX(0,AR386)+BC386+BG386+BQ386</f>
        <v>-82058.3650685364</v>
      </c>
      <c r="BT386" s="15" t="n">
        <f aca="false">BR386-BS386</f>
        <v>0</v>
      </c>
      <c r="BU386" s="15" t="n">
        <f aca="false">BH386-(BD386+BE386-BF386-AY386)</f>
        <v>0</v>
      </c>
      <c r="BV386" s="15" t="n">
        <f aca="false">MIN(Piano_SS!$C$6,(BV385)+IF(AND(Motore_Operativo!C386&gt;=EDATE(Parametri_v3!$C$24,Ipotesi!I14*12),Motore_Operativo!C386&lt;EDATE(Parametri_v3!$C$24,Parametri_v3!$C$25+Ipotesi!I14*12)),MAX(0,(Motore_Operativo!Y386+Motore_Operativo!X386*Parametri_v3!$C$14)*(1-Parametri_v3!$C$32))*Piano_SS!$D$6,0))</f>
        <v>150812.5</v>
      </c>
      <c r="BW386" s="15" t="n">
        <f aca="false">MIN(Piano_SS!$C$7,(BW385)+IF(AND(Motore_Operativo!C386&gt;=EDATE(Parametri_v3!$C$24,Ipotesi!I14*12),Motore_Operativo!C386&lt;EDATE(Parametri_v3!$C$24,Parametri_v3!$C$25+Ipotesi!I14*12)),MAX(0,(IF(22-(INT((Ipotesi!$C$91)/30))&lt;1,0,INDEX(Motore_Operativo!$BN$365:$BN$424,MAX(1,22-(INT((Ipotesi!$C$91)/30)))))*(1-(MOD((Ipotesi!$C$91),30)/30))+IF(22-(INT((Ipotesi!$C$91)/30))-1&lt;1,0,INDEX(Motore_Operativo!$BN$365:$BN$424,MAX(1,22-(INT((Ipotesi!$C$91)/30))-1)))*(MOD((Ipotesi!$C$91),30)/30)))*Piano_SS!$D$7,0))</f>
        <v>22850.5432635662</v>
      </c>
      <c r="BX386" s="15" t="n">
        <f aca="false">MIN(Piano_SS!$C$8,(BX385)+IF(AND(Motore_Operativo!C386&gt;=EDATE(Parametri_v3!$C$24,Ipotesi!I14*12),Motore_Operativo!C386&lt;EDATE(Parametri_v3!$C$24,Parametri_v3!$C$25+Ipotesi!I14*12)),MAX(0,Motore_Operativo!CE386)*Piano_SS!$D$8,0))</f>
        <v>30833.3333333333</v>
      </c>
      <c r="BY386" s="15" t="n">
        <f aca="false">MIN(Piano_SS!$C$9,(BY385)+IF(AND(Motore_Operativo!C386&gt;=EDATE(Parametri_v3!$C$24,Ipotesi!I14*12),Motore_Operativo!C386&lt;EDATE(Parametri_v3!$C$24,Parametri_v3!$C$25+Ipotesi!I14*12)),MAX(0,((IF(22-(INT((Ipotesi!$C$91)/30))&lt;1,0,INDEX(Motore_Operativo!$BQ$365:$BQ$424,MAX(1,22-(INT((Ipotesi!$C$91)/30)))))*(1-(MOD((Ipotesi!$C$91),30)/30))+IF(22-(INT((Ipotesi!$C$91)/30))-1&lt;1,0,INDEX(Motore_Operativo!$BQ$365:$BQ$424,MAX(1,22-(INT((Ipotesi!$C$91)/30))-1)))*(MOD((Ipotesi!$C$91),30)/30))+(IF(22-(INT((Ipotesi!$C$91)/30))&lt;1,0,INDEX(Motore_Operativo!$BR$365:$BR$424,MAX(1,22-(INT((Ipotesi!$C$91)/30)))))*(1-(MOD((Ipotesi!$C$91),30)/30))+IF(22-(INT((Ipotesi!$C$91)/30))-1&lt;1,0,INDEX(Motore_Operativo!$BR$365:$BR$424,MAX(1,22-(INT((Ipotesi!$C$91)/30))-1)))*(MOD((Ipotesi!$C$91),30)/30))))*Piano_SS!$D$9,0))</f>
        <v>40000</v>
      </c>
      <c r="BZ386" s="15" t="n">
        <f aca="false">MIN(Piano_SS!$C$10,(BZ385)+IF(AND(Motore_Operativo!C386&gt;=EDATE(Parametri_v3!$C$24,Ipotesi!I14*12),Motore_Operativo!C386&lt;EDATE(Parametri_v3!$C$24,Parametri_v3!$C$25+Ipotesi!I14*12)),MAX(0,(IF(22-(INT((Ipotesi!$C$91)/30))&lt;1,0,INDEX(Motore_Operativo!$BO$365:$BO$424,MAX(1,22-(INT((Ipotesi!$C$91)/30)))))*(1-(MOD((Ipotesi!$C$91),30)/30))+IF(22-(INT((Ipotesi!$C$91)/30))-1&lt;1,0,INDEX(Motore_Operativo!$BO$365:$BO$424,MAX(1,22-(INT((Ipotesi!$C$91)/30))-1)))*(MOD((Ipotesi!$C$91),30)/30)))*Piano_SS!$D$10,0))</f>
        <v>22666.6666666667</v>
      </c>
      <c r="CA386" s="15" t="n">
        <f aca="false">SUM(BV386:BZ386)</f>
        <v>267163.043263566</v>
      </c>
      <c r="CB386" s="15" t="n">
        <f aca="false">BV386*(1-Piano_SS!$E$6)+BW386*(1-Piano_SS!$E$7)+BX386*(1-Piano_SS!$E$8)+BY386*(1-Piano_SS!$E$9)+BZ386*(1-Piano_SS!$E$10)</f>
        <v>244496.3765969</v>
      </c>
      <c r="CC386" s="15" t="n">
        <f aca="false">(CC385)+BA386</f>
        <v>80000</v>
      </c>
      <c r="CD386" s="15" t="n">
        <f aca="false">IF(CA386=0,0,CC386*CB386/CA386*Ipotesi!$C$103*Parametri_v3!$C$64)</f>
        <v>21963.7902257936</v>
      </c>
      <c r="CE386" s="18" t="n">
        <f aca="false">IF(BA386&gt;0,Motore_Operativo!C386,(CE385))</f>
        <v>46784</v>
      </c>
      <c r="CF386" s="18" t="n">
        <f aca="false">IF(AND(CC386&gt;0,OR(CC386&gt;=CG386-0.01,Motore_Operativo!C386&gt;=EDATE(MAX(Finanziamenti!$D$15:$D$17),Ipotesi!I14*12))),CE386,0)</f>
        <v>0</v>
      </c>
      <c r="CG386" s="15" t="n">
        <f aca="false">IF(AND(7&lt;&gt;6,7&lt;&gt;9,Finanziamenti!$F$11=1,OR(Parametri_v3!$C$6=0,Finanziamenti!$E$11=1)),MIN(Finanziamenti!$C$11,Piano_SS!$C$12*Ipotesi!$C$102),0)</f>
        <v>400000</v>
      </c>
      <c r="CH386" s="15" t="n">
        <f aca="false">IF(AND(AND(7&lt;&gt;8,7&lt;&gt;9,Finanziamenti!$F$10=1,OR(Parametri_v3!$C$6=0,Finanziamenti!$E$10=1)),Motore_Operativo!C386&gt;=Finanziamenti!$D$10,Motore_Operativo!C386&lt;Parametri_v3!$C$63),Finanziamenti!$C$10,0)</f>
        <v>150000</v>
      </c>
    </row>
    <row r="387" customFormat="false" ht="18" hidden="false" customHeight="true" outlineLevel="0" collapsed="false">
      <c r="A387" s="68" t="n">
        <f aca="false">7</f>
        <v>7</v>
      </c>
      <c r="B387" s="68" t="n">
        <f aca="false">23</f>
        <v>23</v>
      </c>
      <c r="C387" s="18" t="n">
        <f aca="false">Motore_Operativo!C387</f>
        <v>47058</v>
      </c>
      <c r="D387" s="68" t="n">
        <f aca="false">Motore_Operativo!D387</f>
        <v>2028</v>
      </c>
      <c r="E387" s="68" t="n">
        <f aca="false">Motore_Operativo!E387</f>
        <v>11</v>
      </c>
      <c r="F387" s="15" t="n">
        <f aca="false">Motore_Operativo!AQ387+Motore_Operativo!BF387</f>
        <v>30942.33788559</v>
      </c>
      <c r="G387" s="15" t="n">
        <f aca="false">Motore_Operativo!BH387</f>
        <v>3398.1220657277</v>
      </c>
      <c r="H387" s="15" t="n">
        <f aca="false">Motore_Operativo!BI387</f>
        <v>34340.4599513177</v>
      </c>
      <c r="I387" s="15" t="n">
        <f aca="false">Motore_Operativo!CA387</f>
        <v>58044.7042992878</v>
      </c>
      <c r="J387" s="15" t="n">
        <f aca="false">Motore_Operativo!CC387</f>
        <v>-23704.2443479701</v>
      </c>
      <c r="K387" s="15" t="n">
        <f aca="false">Motore_Operativo!CE387</f>
        <v>2083.33333333333</v>
      </c>
      <c r="L387" s="15" t="n">
        <f aca="false">SUM(INDEX($K$365:$K$424,MAX(1,23-Parametri_v3!$C$59+1)):K387)/Parametri_v3!$C$59</f>
        <v>1192.12962962963</v>
      </c>
      <c r="M387" s="15" t="n">
        <f aca="false">J387-L387</f>
        <v>-24896.3739775997</v>
      </c>
      <c r="N387" s="15" t="n">
        <f aca="false">CD387-(CD386)</f>
        <v>-25.6149021136225</v>
      </c>
      <c r="O387" s="15" t="n">
        <f aca="false">(BG386)*Ipotesi!$C$110/12+CH387*Parametri_v3!$C$39/12</f>
        <v>750</v>
      </c>
      <c r="P387" s="15" t="n">
        <f aca="false">M387+N387-O387</f>
        <v>-25671.9888797133</v>
      </c>
      <c r="Q387" s="15" t="n">
        <f aca="false">SUM(P377:P387)+Parametri_v3!$C$54*11/12</f>
        <v>-311362.640384342</v>
      </c>
      <c r="R387" s="15" t="n">
        <f aca="false">Z376</f>
        <v>211501.595732372</v>
      </c>
      <c r="S387" s="15" t="n">
        <f aca="false">AA376</f>
        <v>0</v>
      </c>
      <c r="T387" s="15" t="n">
        <f aca="false">MIN(R387,MAX(0,Q387))</f>
        <v>0</v>
      </c>
      <c r="U387" s="15" t="n">
        <f aca="false">MIN(S387,MAX(0,Q387-T387)*Parametri_v3!$C$42)</f>
        <v>0</v>
      </c>
      <c r="V387" s="15" t="n">
        <f aca="false">MAX(0,Q387-T387-U387)*Ipotesi!$C$92</f>
        <v>0</v>
      </c>
      <c r="W387" s="15" t="n">
        <f aca="false">MAX(0,SUM(M377:M387)+Parametri_v3!$C$55*11/12)*Ipotesi!$C$93</f>
        <v>0</v>
      </c>
      <c r="X387" s="15" t="n">
        <f aca="false">V387+W387-(V386+W386)</f>
        <v>0</v>
      </c>
      <c r="Y387" s="15" t="n">
        <f aca="false">P387-X387</f>
        <v>-25671.9888797133</v>
      </c>
      <c r="Z387" s="15" t="n">
        <f aca="false">R387-T387+IF(AND(Parametri_v3!$C$40=1,D387-YEAR(Parametri_v3!$C$50)&lt;Parametri_v3!$C$41),MAX(0,-Q387),0)</f>
        <v>522864.236116715</v>
      </c>
      <c r="AA387" s="15" t="n">
        <f aca="false">S387-U387+IF(AND(Parametri_v3!$C$40=1,D387-YEAR(Parametri_v3!$C$50)&lt;Parametri_v3!$C$41),0,MAX(0,-Q387))</f>
        <v>0</v>
      </c>
      <c r="AB387" s="15" t="n">
        <f aca="false">F387*(1+Parametri_v3!$C$26)</f>
        <v>37749.6522204198</v>
      </c>
      <c r="AC387" s="15" t="n">
        <f aca="false">(IF(23-(INT((Motore_Operativo!L387)/30))&lt;1,0,INDEX(Motore_Startup!$AB$365:$AB$424,MAX(1,23-(INT((Motore_Operativo!L387)/30)))))*(1-(MOD((Motore_Operativo!L387),30)/30))+IF(23-(INT((Motore_Operativo!L387)/30))-1&lt;1,0,INDEX(Motore_Startup!$AB$365:$AB$424,MAX(1,23-(INT((Motore_Operativo!L387)/30))-1)))*(MOD((Motore_Operativo!L387),30)/30))</f>
        <v>34485.6783005909</v>
      </c>
      <c r="AD387" s="15" t="n">
        <f aca="false">(AD386)+AB387-AC387</f>
        <v>110004.087716816</v>
      </c>
      <c r="AE387" s="15" t="n">
        <f aca="false">Motore_Operativo!BH387*(1+Parametri_v3!$C$26)</f>
        <v>4145.70892018779</v>
      </c>
      <c r="AF387" s="15" t="n">
        <f aca="false">(IF(23-(INT((Parametri_v3!$C$29)/30))&lt;1,0,INDEX(Motore_Operativo!$BH$365:$BH$424,MAX(1,23-(INT((Parametri_v3!$C$29)/30)))))*(1-(MOD((Parametri_v3!$C$29),30)/30))+IF(23-(INT((Parametri_v3!$C$29)/30))-1&lt;1,0,INDEX(Motore_Operativo!$BH$365:$BH$424,MAX(1,23-(INT((Parametri_v3!$C$29)/30))-1)))*(MOD((Parametri_v3!$C$29),30)/30))*(1+Parametri_v3!$C$26)</f>
        <v>4145.70892018779</v>
      </c>
      <c r="AG387" s="15" t="n">
        <f aca="false">(AG386)+AE387-AF387</f>
        <v>4145.70892018779</v>
      </c>
      <c r="AH387" s="15" t="n">
        <f aca="false">(Motore_Operativo!CJ387)*(1+Parametri_v3!$C$27*Parametri_v3!$C$26)</f>
        <v>21700.9765032546</v>
      </c>
      <c r="AI387" s="15" t="n">
        <f aca="false">(IF(23-(INT((Ipotesi!$C$91)/30))&lt;1,0,INDEX(Motore_Startup!$AH$365:$AH$424,MAX(1,23-(INT((Ipotesi!$C$91)/30)))))*(1-(MOD((Ipotesi!$C$91),30)/30))+IF(23-(INT((Ipotesi!$C$91)/30))-1&lt;1,0,INDEX(Motore_Startup!$AH$365:$AH$424,MAX(1,23-(INT((Ipotesi!$C$91)/30))-1)))*(MOD((Ipotesi!$C$91),30)/30))</f>
        <v>21405.882212008</v>
      </c>
      <c r="AJ387" s="15" t="n">
        <f aca="false">(AJ386)+AH387-AI387</f>
        <v>43255.0535918643</v>
      </c>
      <c r="AK387" s="15" t="n">
        <f aca="false">(F387+ Motore_Operativo!BH387-(Motore_Operativo!CJ387)*Parametri_v3!$C$27-Motore_Operativo!CE387)*Parametri_v3!$C$26</f>
        <v>3677.79565198975</v>
      </c>
      <c r="AL387" s="15" t="n">
        <f aca="false">MAX(0,(AM386))</f>
        <v>3506.46309364052</v>
      </c>
      <c r="AM387" s="15" t="n">
        <f aca="false">(AM386)+AK387-AL387</f>
        <v>3677.79565198975</v>
      </c>
      <c r="AN387" s="15" t="n">
        <f aca="false">SUM(X365:X376)</f>
        <v>0</v>
      </c>
      <c r="AO387" s="15" t="n">
        <f aca="false">SUM(AP365:AP376)</f>
        <v>0</v>
      </c>
      <c r="AP387" s="15" t="n">
        <f aca="false">MAX(0,AN387)*IF(11=Parametri_v3!$C$43,Parametri_v3!$C$45,IF(11=Parametri_v3!$C$44,1-Parametri_v3!$C$45,0))</f>
        <v>0</v>
      </c>
      <c r="AQ387" s="15" t="n">
        <f aca="false">MAX(0,AP387+IF(11=Parametri_v3!$C$43,MAX(0,AN387-AO387),0)-MAX(0,-(AR386)))</f>
        <v>0</v>
      </c>
      <c r="AR387" s="15" t="n">
        <f aca="false">(AR386)+X387-AQ387</f>
        <v>0</v>
      </c>
      <c r="AS387" s="15" t="n">
        <f aca="false">Motore_Operativo!AB387-AT387+AU387</f>
        <v>37774.375</v>
      </c>
      <c r="AT387" s="15" t="n">
        <f aca="false">Motore_Operativo!CH387</f>
        <v>1988.125</v>
      </c>
      <c r="AU387" s="15" t="n">
        <f aca="false">MIN(MAX(0,(AV386)+AT387),Parametri_v3!$C$60/12)</f>
        <v>0</v>
      </c>
      <c r="AV387" s="15" t="n">
        <f aca="false">(AV386)+AT387-AU387</f>
        <v>32619.375</v>
      </c>
      <c r="AW387" s="15" t="n">
        <f aca="false">IF(AND(Motore_Operativo!C387=Finanziamenti!$D$6,Finanziamenti!$F$6=1),Finanziamenti!$C$6,0)</f>
        <v>0</v>
      </c>
      <c r="AX387" s="15" t="n">
        <f aca="false">IF(AND(7&lt;&gt;7,7&lt;&gt;9,Finanziamenti!$F$8=1,OR(Parametri_v3!$C$6=0,Finanziamenti!$E$8=1),Motore_Operativo!C387=EDATE(Finanziamenti!$D$8,Ipotesi!I15*12)),Finanziamenti!$C$8*1,0)+IF(AND(7&lt;&gt;7,7&lt;&gt;9,Finanziamenti!$F$9=1,OR(Parametri_v3!$C$6=0,Finanziamenti!$E$9=1),Motore_Operativo!C387=EDATE(Finanziamenti!$D$9,Ipotesi!I15*12)),Finanziamenti!$C$9*Ipotesi!I16,0)</f>
        <v>0</v>
      </c>
      <c r="AY387" s="15" t="n">
        <f aca="false">0</f>
        <v>0</v>
      </c>
      <c r="AZ387" s="15" t="n">
        <f aca="false">Motore_Advisory!AY387*(1-Ipotesi!$C$95)*Ipotesi!$C$96</f>
        <v>0</v>
      </c>
      <c r="BA387" s="15" t="n">
        <f aca="false">MAX(0,MIN(CG387*MIN(1,IF(Motore_Operativo!C387&gt;=EDATE(Finanziamenti!$D$15,Ipotesi!I14*12),Finanziamenti!$C$15,0)+IF(Motore_Operativo!C387&gt;=EDATE(Finanziamenti!$D$16,Ipotesi!I14*12),Finanziamenti!$C$16,0)+IF(Motore_Operativo!C387&gt;=EDATE(Finanziamenti!$D$17,Ipotesi!I14*12),Finanziamenti!$C$17,0)),CA387*Ipotesi!$C$102)-(CC386))</f>
        <v>0</v>
      </c>
      <c r="BB387" s="15" t="n">
        <f aca="false">IF(AND(CF387&gt;0,Motore_Operativo!C387&gt;=IF(CF387=0,0,EDATE(CF387,Parametri_v3!$C$37)),MOD(((D387-YEAR(IF(CF387=0,0,EDATE(CF387,Parametri_v3!$C$37))))*12+E387-MONTH(IF(CF387=0,0,EDATE(CF387,Parametri_v3!$C$37)))),Parametri_v3!$C$38)=0),MIN(MAX(0,(BC386)+BA387-N387),(CC387-CD387)/(Ipotesi!$C$108*12/Parametri_v3!$C$38)),0)</f>
        <v>0</v>
      </c>
      <c r="BC387" s="15" t="n">
        <f aca="false">(BC386)+BA387-N387-BB387</f>
        <v>58061.82467632</v>
      </c>
      <c r="BD387" s="15" t="n">
        <f aca="false">(BH386)+AC387+AF387-AI387-AS387-K387*(1+Parametri_v3!$C$26)-AL387-AQ387-O387+AW387+AX387+AZ387+BA387-BB387</f>
        <v>-248774.983833545</v>
      </c>
      <c r="BE387" s="15" t="n">
        <f aca="false">MAX(0,MIN(MAX(0,CH387-(BG386)),Parametri_v3!$C$30-BD387))</f>
        <v>0</v>
      </c>
      <c r="BF387" s="15" t="n">
        <f aca="false">IF(Motore_Operativo!C387&gt;=Parametri_v3!$C$63,(BG386),MIN((BG386),MAX(0,BD387-Parametri_v3!$C$30)))</f>
        <v>0</v>
      </c>
      <c r="BG387" s="15" t="n">
        <f aca="false">(BG386)+BE387-BF387</f>
        <v>150000</v>
      </c>
      <c r="BH387" s="15" t="n">
        <f aca="false">BD387+BE387-BF387-AY387</f>
        <v>-248774.983833545</v>
      </c>
      <c r="BI387" s="15" t="n">
        <f aca="false">MAX(0,Parametri_v3!$C$30-BH387)</f>
        <v>273774.983833545</v>
      </c>
      <c r="BJ387" s="15" t="n">
        <f aca="false">(BJ386)+K387</f>
        <v>42916.6666666667</v>
      </c>
      <c r="BK387" s="15" t="n">
        <f aca="false">(BK386)+L387</f>
        <v>13541.6666666667</v>
      </c>
      <c r="BL387" s="15" t="n">
        <f aca="false">BJ387-BK387</f>
        <v>29375</v>
      </c>
      <c r="BM387" s="15" t="n">
        <f aca="false">(BM386)+Y387</f>
        <v>-522864.236116714</v>
      </c>
      <c r="BN387" s="15" t="n">
        <f aca="false">(BN386)+AW387+AX387+AZ387</f>
        <v>130000</v>
      </c>
      <c r="BO387" s="15" t="n">
        <f aca="false">(BO386)+AY387</f>
        <v>0</v>
      </c>
      <c r="BP387" s="15" t="n">
        <f aca="false">0</f>
        <v>0</v>
      </c>
      <c r="BQ387" s="15" t="n">
        <f aca="false">BN387+BM387-BO387</f>
        <v>-392864.236116714</v>
      </c>
      <c r="BR387" s="15" t="n">
        <f aca="false">BH387+AD387+BL387+MAX(0,-AM387)+MAX(0,-AR387)+AG387</f>
        <v>-105250.18719654</v>
      </c>
      <c r="BS387" s="15" t="n">
        <f aca="false">AJ387+AV387+MAX(0,AM387)+MAX(0,AR387)+BC387+BG387+BQ387</f>
        <v>-105250.18719654</v>
      </c>
      <c r="BT387" s="15" t="n">
        <f aca="false">BR387-BS387</f>
        <v>0</v>
      </c>
      <c r="BU387" s="15" t="n">
        <f aca="false">BH387-(BD387+BE387-BF387-AY387)</f>
        <v>0</v>
      </c>
      <c r="BV387" s="15" t="n">
        <f aca="false">MIN(Piano_SS!$C$6,(BV386)+IF(AND(Motore_Operativo!C387&gt;=EDATE(Parametri_v3!$C$24,Ipotesi!I14*12),Motore_Operativo!C387&lt;EDATE(Parametri_v3!$C$24,Parametri_v3!$C$25+Ipotesi!I14*12)),MAX(0,(Motore_Operativo!Y387+Motore_Operativo!X387*Parametri_v3!$C$14)*(1-Parametri_v3!$C$32))*Piano_SS!$D$6,0))</f>
        <v>163043.75</v>
      </c>
      <c r="BW387" s="15" t="n">
        <f aca="false">MIN(Piano_SS!$C$7,(BW386)+IF(AND(Motore_Operativo!C387&gt;=EDATE(Parametri_v3!$C$24,Ipotesi!I14*12),Motore_Operativo!C387&lt;EDATE(Parametri_v3!$C$24,Parametri_v3!$C$25+Ipotesi!I14*12)),MAX(0,(IF(23-(INT((Ipotesi!$C$91)/30))&lt;1,0,INDEX(Motore_Operativo!$BN$365:$BN$424,MAX(1,23-(INT((Ipotesi!$C$91)/30)))))*(1-(MOD((Ipotesi!$C$91),30)/30))+IF(23-(INT((Ipotesi!$C$91)/30))-1&lt;1,0,INDEX(Motore_Operativo!$BN$365:$BN$424,MAX(1,23-(INT((Ipotesi!$C$91)/30))-1)))*(MOD((Ipotesi!$C$91),30)/30)))*Piano_SS!$D$7,0))</f>
        <v>24723.8702191954</v>
      </c>
      <c r="BX387" s="15" t="n">
        <f aca="false">MIN(Piano_SS!$C$8,(BX386)+IF(AND(Motore_Operativo!C387&gt;=EDATE(Parametri_v3!$C$24,Ipotesi!I14*12),Motore_Operativo!C387&lt;EDATE(Parametri_v3!$C$24,Parametri_v3!$C$25+Ipotesi!I14*12)),MAX(0,Motore_Operativo!CE387)*Piano_SS!$D$8,0))</f>
        <v>32916.6666666667</v>
      </c>
      <c r="BY387" s="15" t="n">
        <f aca="false">MIN(Piano_SS!$C$9,(BY386)+IF(AND(Motore_Operativo!C387&gt;=EDATE(Parametri_v3!$C$24,Ipotesi!I14*12),Motore_Operativo!C387&lt;EDATE(Parametri_v3!$C$24,Parametri_v3!$C$25+Ipotesi!I14*12)),MAX(0,((IF(23-(INT((Ipotesi!$C$91)/30))&lt;1,0,INDEX(Motore_Operativo!$BQ$365:$BQ$424,MAX(1,23-(INT((Ipotesi!$C$91)/30)))))*(1-(MOD((Ipotesi!$C$91),30)/30))+IF(23-(INT((Ipotesi!$C$91)/30))-1&lt;1,0,INDEX(Motore_Operativo!$BQ$365:$BQ$424,MAX(1,23-(INT((Ipotesi!$C$91)/30))-1)))*(MOD((Ipotesi!$C$91),30)/30))+(IF(23-(INT((Ipotesi!$C$91)/30))&lt;1,0,INDEX(Motore_Operativo!$BR$365:$BR$424,MAX(1,23-(INT((Ipotesi!$C$91)/30)))))*(1-(MOD((Ipotesi!$C$91),30)/30))+IF(23-(INT((Ipotesi!$C$91)/30))-1&lt;1,0,INDEX(Motore_Operativo!$BR$365:$BR$424,MAX(1,23-(INT((Ipotesi!$C$91)/30))-1)))*(MOD((Ipotesi!$C$91),30)/30))))*Piano_SS!$D$9,0))</f>
        <v>40000</v>
      </c>
      <c r="BZ387" s="15" t="n">
        <f aca="false">MIN(Piano_SS!$C$10,(BZ386)+IF(AND(Motore_Operativo!C387&gt;=EDATE(Parametri_v3!$C$24,Ipotesi!I14*12),Motore_Operativo!C387&lt;EDATE(Parametri_v3!$C$24,Parametri_v3!$C$25+Ipotesi!I14*12)),MAX(0,(IF(23-(INT((Ipotesi!$C$91)/30))&lt;1,0,INDEX(Motore_Operativo!$BO$365:$BO$424,MAX(1,23-(INT((Ipotesi!$C$91)/30)))))*(1-(MOD((Ipotesi!$C$91),30)/30))+IF(23-(INT((Ipotesi!$C$91)/30))-1&lt;1,0,INDEX(Motore_Operativo!$BO$365:$BO$424,MAX(1,23-(INT((Ipotesi!$C$91)/30))-1)))*(MOD((Ipotesi!$C$91),30)/30)))*Piano_SS!$D$10,0))</f>
        <v>24500</v>
      </c>
      <c r="CA387" s="15" t="n">
        <f aca="false">SUM(BV387:BZ387)</f>
        <v>285184.286885862</v>
      </c>
      <c r="CB387" s="15" t="n">
        <f aca="false">BV387*(1-Piano_SS!$E$6)+BW387*(1-Piano_SS!$E$7)+BX387*(1-Piano_SS!$E$8)+BY387*(1-Piano_SS!$E$9)+BZ387*(1-Piano_SS!$E$10)</f>
        <v>260684.286885862</v>
      </c>
      <c r="CC387" s="15" t="n">
        <f aca="false">(CC386)+BA387</f>
        <v>80000</v>
      </c>
      <c r="CD387" s="15" t="n">
        <f aca="false">IF(CA387=0,0,CC387*CB387/CA387*Ipotesi!$C$103*Parametri_v3!$C$64)</f>
        <v>21938.17532368</v>
      </c>
      <c r="CE387" s="18" t="n">
        <f aca="false">IF(BA387&gt;0,Motore_Operativo!C387,(CE386))</f>
        <v>46784</v>
      </c>
      <c r="CF387" s="18" t="n">
        <f aca="false">IF(AND(CC387&gt;0,OR(CC387&gt;=CG387-0.01,Motore_Operativo!C387&gt;=EDATE(MAX(Finanziamenti!$D$15:$D$17),Ipotesi!I14*12))),CE387,0)</f>
        <v>0</v>
      </c>
      <c r="CG387" s="15" t="n">
        <f aca="false">IF(AND(7&lt;&gt;6,7&lt;&gt;9,Finanziamenti!$F$11=1,OR(Parametri_v3!$C$6=0,Finanziamenti!$E$11=1)),MIN(Finanziamenti!$C$11,Piano_SS!$C$12*Ipotesi!$C$102),0)</f>
        <v>400000</v>
      </c>
      <c r="CH387" s="15" t="n">
        <f aca="false">IF(AND(AND(7&lt;&gt;8,7&lt;&gt;9,Finanziamenti!$F$10=1,OR(Parametri_v3!$C$6=0,Finanziamenti!$E$10=1)),Motore_Operativo!C387&gt;=Finanziamenti!$D$10,Motore_Operativo!C387&lt;Parametri_v3!$C$63),Finanziamenti!$C$10,0)</f>
        <v>150000</v>
      </c>
    </row>
    <row r="388" customFormat="false" ht="18" hidden="false" customHeight="true" outlineLevel="0" collapsed="false">
      <c r="A388" s="68" t="n">
        <f aca="false">7</f>
        <v>7</v>
      </c>
      <c r="B388" s="68" t="n">
        <f aca="false">24</f>
        <v>24</v>
      </c>
      <c r="C388" s="18" t="n">
        <f aca="false">Motore_Operativo!C388</f>
        <v>47088</v>
      </c>
      <c r="D388" s="68" t="n">
        <f aca="false">Motore_Operativo!D388</f>
        <v>2028</v>
      </c>
      <c r="E388" s="68" t="n">
        <f aca="false">Motore_Operativo!E388</f>
        <v>12</v>
      </c>
      <c r="F388" s="15" t="n">
        <f aca="false">Motore_Operativo!AQ388+Motore_Operativo!BF388</f>
        <v>31818.5881991813</v>
      </c>
      <c r="G388" s="15" t="n">
        <f aca="false">Motore_Operativo!BH388</f>
        <v>3398.1220657277</v>
      </c>
      <c r="H388" s="15" t="n">
        <f aca="false">Motore_Operativo!BI388</f>
        <v>35216.710264909</v>
      </c>
      <c r="I388" s="15" t="n">
        <f aca="false">Motore_Operativo!CA388</f>
        <v>58167.3793431906</v>
      </c>
      <c r="J388" s="15" t="n">
        <f aca="false">Motore_Operativo!CC388</f>
        <v>-22950.6690782815</v>
      </c>
      <c r="K388" s="15" t="n">
        <f aca="false">Motore_Operativo!CE388</f>
        <v>2083.33333333333</v>
      </c>
      <c r="L388" s="15" t="n">
        <f aca="false">SUM(INDEX($K$365:$K$424,MAX(1,24-Parametri_v3!$C$59+1)):K388)/Parametri_v3!$C$59</f>
        <v>1250</v>
      </c>
      <c r="M388" s="15" t="n">
        <f aca="false">J388-L388</f>
        <v>-24200.6690782815</v>
      </c>
      <c r="N388" s="15" t="n">
        <f aca="false">CD388-(CD387)</f>
        <v>44528.2740444372</v>
      </c>
      <c r="O388" s="15" t="n">
        <f aca="false">(BG387)*Ipotesi!$C$110/12+CH388*Parametri_v3!$C$39/12</f>
        <v>750</v>
      </c>
      <c r="P388" s="15" t="n">
        <f aca="false">M388+N388-O388</f>
        <v>19577.6049661557</v>
      </c>
      <c r="Q388" s="15" t="n">
        <f aca="false">SUM(P377:P388)+Parametri_v3!$C$54*12/12</f>
        <v>-291785.035418187</v>
      </c>
      <c r="R388" s="15" t="n">
        <f aca="false">Z376</f>
        <v>211501.595732372</v>
      </c>
      <c r="S388" s="15" t="n">
        <f aca="false">AA376</f>
        <v>0</v>
      </c>
      <c r="T388" s="15" t="n">
        <f aca="false">MIN(R388,MAX(0,Q388))</f>
        <v>0</v>
      </c>
      <c r="U388" s="15" t="n">
        <f aca="false">MIN(S388,MAX(0,Q388-T388)*Parametri_v3!$C$42)</f>
        <v>0</v>
      </c>
      <c r="V388" s="15" t="n">
        <f aca="false">MAX(0,Q388-T388-U388)*Ipotesi!$C$92</f>
        <v>0</v>
      </c>
      <c r="W388" s="15" t="n">
        <f aca="false">MAX(0,SUM(M377:M388)+Parametri_v3!$C$55*12/12)*Ipotesi!$C$93</f>
        <v>0</v>
      </c>
      <c r="X388" s="15" t="n">
        <f aca="false">V388+W388-(V387+W387)</f>
        <v>0</v>
      </c>
      <c r="Y388" s="15" t="n">
        <f aca="false">P388-X388</f>
        <v>19577.6049661557</v>
      </c>
      <c r="Z388" s="15" t="n">
        <f aca="false">R388-T388+IF(AND(Parametri_v3!$C$40=1,D388-YEAR(Parametri_v3!$C$50)&lt;Parametri_v3!$C$41),MAX(0,-Q388),0)</f>
        <v>503286.631150559</v>
      </c>
      <c r="AA388" s="15" t="n">
        <f aca="false">S388-U388+IF(AND(Parametri_v3!$C$40=1,D388-YEAR(Parametri_v3!$C$50)&lt;Parametri_v3!$C$41),0,MAX(0,-Q388))</f>
        <v>0</v>
      </c>
      <c r="AB388" s="15" t="n">
        <f aca="false">F388*(1+Parametri_v3!$C$26)</f>
        <v>38818.6776030012</v>
      </c>
      <c r="AC388" s="15" t="n">
        <f aca="false">(IF(24-(INT((Motore_Operativo!L388)/30))&lt;1,0,INDEX(Motore_Startup!$AB$365:$AB$424,MAX(1,24-(INT((Motore_Operativo!L388)/30)))))*(1-(MOD((Motore_Operativo!L388),30)/30))+IF(24-(INT((Motore_Operativo!L388)/30))-1&lt;1,0,INDEX(Motore_Startup!$AB$365:$AB$424,MAX(1,24-(INT((Motore_Operativo!L388)/30))-1)))*(MOD((Motore_Operativo!L388),30)/30))</f>
        <v>35583.2360733457</v>
      </c>
      <c r="AD388" s="15" t="n">
        <f aca="false">(AD387)+AB388-AC388</f>
        <v>113239.529246472</v>
      </c>
      <c r="AE388" s="15" t="n">
        <f aca="false">Motore_Operativo!BH388*(1+Parametri_v3!$C$26)</f>
        <v>4145.70892018779</v>
      </c>
      <c r="AF388" s="15" t="n">
        <f aca="false">(IF(24-(INT((Parametri_v3!$C$29)/30))&lt;1,0,INDEX(Motore_Operativo!$BH$365:$BH$424,MAX(1,24-(INT((Parametri_v3!$C$29)/30)))))*(1-(MOD((Parametri_v3!$C$29),30)/30))+IF(24-(INT((Parametri_v3!$C$29)/30))-1&lt;1,0,INDEX(Motore_Operativo!$BH$365:$BH$424,MAX(1,24-(INT((Parametri_v3!$C$29)/30))-1)))*(MOD((Parametri_v3!$C$29),30)/30))*(1+Parametri_v3!$C$26)</f>
        <v>4145.70892018779</v>
      </c>
      <c r="AG388" s="15" t="n">
        <f aca="false">(AG387)+AE388-AF388</f>
        <v>4145.70892018779</v>
      </c>
      <c r="AH388" s="15" t="n">
        <f aca="false">(Motore_Operativo!CJ388)*(1+Parametri_v3!$C$27*Parametri_v3!$C$26)</f>
        <v>21846.5917803672</v>
      </c>
      <c r="AI388" s="15" t="n">
        <f aca="false">(IF(24-(INT((Ipotesi!$C$91)/30))&lt;1,0,INDEX(Motore_Startup!$AH$365:$AH$424,MAX(1,24-(INT((Ipotesi!$C$91)/30)))))*(1-(MOD((Ipotesi!$C$91),30)/30))+IF(24-(INT((Ipotesi!$C$91)/30))-1&lt;1,0,INDEX(Motore_Startup!$AH$365:$AH$424,MAX(1,24-(INT((Ipotesi!$C$91)/30))-1)))*(MOD((Ipotesi!$C$91),30)/30))</f>
        <v>21554.0770886097</v>
      </c>
      <c r="AJ388" s="15" t="n">
        <f aca="false">(AJ387)+AH388-AI388</f>
        <v>43547.5682836218</v>
      </c>
      <c r="AK388" s="15" t="n">
        <f aca="false">(F388+ Motore_Operativo!BH388-(Motore_Operativo!CJ388)*Parametri_v3!$C$27-Motore_Operativo!CE388)*Parametri_v3!$C$26</f>
        <v>3847.63048777002</v>
      </c>
      <c r="AL388" s="15" t="n">
        <f aca="false">MAX(0,(AM387))</f>
        <v>3677.79565198975</v>
      </c>
      <c r="AM388" s="15" t="n">
        <f aca="false">(AM387)+AK388-AL388</f>
        <v>3847.63048777002</v>
      </c>
      <c r="AN388" s="15" t="n">
        <f aca="false">SUM(X365:X376)</f>
        <v>0</v>
      </c>
      <c r="AO388" s="15" t="n">
        <f aca="false">SUM(AP365:AP376)</f>
        <v>0</v>
      </c>
      <c r="AP388" s="15" t="n">
        <f aca="false">MAX(0,AN388)*IF(12=Parametri_v3!$C$43,Parametri_v3!$C$45,IF(12=Parametri_v3!$C$44,1-Parametri_v3!$C$45,0))</f>
        <v>0</v>
      </c>
      <c r="AQ388" s="15" t="n">
        <f aca="false">MAX(0,AP388+IF(12=Parametri_v3!$C$43,MAX(0,AN388-AO388),0)-MAX(0,-(AR387)))</f>
        <v>0</v>
      </c>
      <c r="AR388" s="15" t="n">
        <f aca="false">(AR387)+X388-AQ388</f>
        <v>0</v>
      </c>
      <c r="AS388" s="15" t="n">
        <f aca="false">Motore_Operativo!AB388-AT388+AU388</f>
        <v>37774.375</v>
      </c>
      <c r="AT388" s="15" t="n">
        <f aca="false">Motore_Operativo!CH388</f>
        <v>1988.125</v>
      </c>
      <c r="AU388" s="15" t="n">
        <f aca="false">MIN(MAX(0,(AV387)+AT388),Parametri_v3!$C$60/12)</f>
        <v>0</v>
      </c>
      <c r="AV388" s="15" t="n">
        <f aca="false">(AV387)+AT388-AU388</f>
        <v>34607.5</v>
      </c>
      <c r="AW388" s="15" t="n">
        <f aca="false">IF(AND(Motore_Operativo!C388=Finanziamenti!$D$6,Finanziamenti!$F$6=1),Finanziamenti!$C$6,0)</f>
        <v>0</v>
      </c>
      <c r="AX388" s="15" t="n">
        <f aca="false">IF(AND(7&lt;&gt;7,7&lt;&gt;9,Finanziamenti!$F$8=1,OR(Parametri_v3!$C$6=0,Finanziamenti!$E$8=1),Motore_Operativo!C388=EDATE(Finanziamenti!$D$8,Ipotesi!I15*12)),Finanziamenti!$C$8*1,0)+IF(AND(7&lt;&gt;7,7&lt;&gt;9,Finanziamenti!$F$9=1,OR(Parametri_v3!$C$6=0,Finanziamenti!$E$9=1),Motore_Operativo!C388=EDATE(Finanziamenti!$D$9,Ipotesi!I15*12)),Finanziamenti!$C$9*Ipotesi!I16,0)</f>
        <v>0</v>
      </c>
      <c r="AY388" s="15" t="n">
        <f aca="false">0</f>
        <v>0</v>
      </c>
      <c r="AZ388" s="15" t="n">
        <f aca="false">Motore_Advisory!AY388*(1-Ipotesi!$C$95)*Ipotesi!$C$96</f>
        <v>0</v>
      </c>
      <c r="BA388" s="15" t="n">
        <f aca="false">MAX(0,MIN(CG388*MIN(1,IF(Motore_Operativo!C388&gt;=EDATE(Finanziamenti!$D$15,Ipotesi!I14*12),Finanziamenti!$C$15,0)+IF(Motore_Operativo!C388&gt;=EDATE(Finanziamenti!$D$16,Ipotesi!I14*12),Finanziamenti!$C$16,0)+IF(Motore_Operativo!C388&gt;=EDATE(Finanziamenti!$D$17,Ipotesi!I14*12),Finanziamenti!$C$17,0)),CA388*Ipotesi!$C$102)-(CC387))</f>
        <v>162621.497893724</v>
      </c>
      <c r="BB388" s="15" t="n">
        <f aca="false">IF(AND(CF388&gt;0,Motore_Operativo!C388&gt;=IF(CF388=0,0,EDATE(CF388,Parametri_v3!$C$37)),MOD(((D388-YEAR(IF(CF388=0,0,EDATE(CF388,Parametri_v3!$C$37))))*12+E388-MONTH(IF(CF388=0,0,EDATE(CF388,Parametri_v3!$C$37)))),Parametri_v3!$C$38)=0),MIN(MAX(0,(BC387)+BA388-N388),(CC388-CD388)/(Ipotesi!$C$108*12/Parametri_v3!$C$38)),0)</f>
        <v>0</v>
      </c>
      <c r="BC388" s="15" t="n">
        <f aca="false">(BC387)+BA388-N388-BB388</f>
        <v>176155.048525607</v>
      </c>
      <c r="BD388" s="15" t="n">
        <f aca="false">(BH387)+AC388+AF388-AI388-AS388-K388*(1+Parametri_v3!$C$26)-AL388-AQ388-O388+AW388+AX388+AZ388+BA388-BB388</f>
        <v>-112722.455353553</v>
      </c>
      <c r="BE388" s="15" t="n">
        <f aca="false">MAX(0,MIN(MAX(0,CH388-(BG387)),Parametri_v3!$C$30-BD388))</f>
        <v>0</v>
      </c>
      <c r="BF388" s="15" t="n">
        <f aca="false">IF(Motore_Operativo!C388&gt;=Parametri_v3!$C$63,(BG387),MIN((BG387),MAX(0,BD388-Parametri_v3!$C$30)))</f>
        <v>0</v>
      </c>
      <c r="BG388" s="15" t="n">
        <f aca="false">(BG387)+BE388-BF388</f>
        <v>150000</v>
      </c>
      <c r="BH388" s="15" t="n">
        <f aca="false">BD388+BE388-BF388-AY388</f>
        <v>-112722.455353553</v>
      </c>
      <c r="BI388" s="15" t="n">
        <f aca="false">MAX(0,Parametri_v3!$C$30-BH388)</f>
        <v>137722.455353553</v>
      </c>
      <c r="BJ388" s="15" t="n">
        <f aca="false">(BJ387)+K388</f>
        <v>45000</v>
      </c>
      <c r="BK388" s="15" t="n">
        <f aca="false">(BK387)+L388</f>
        <v>14791.6666666667</v>
      </c>
      <c r="BL388" s="15" t="n">
        <f aca="false">BJ388-BK388</f>
        <v>30208.3333333333</v>
      </c>
      <c r="BM388" s="15" t="n">
        <f aca="false">(BM387)+Y388</f>
        <v>-503286.631150559</v>
      </c>
      <c r="BN388" s="15" t="n">
        <f aca="false">(BN387)+AW388+AX388+AZ388</f>
        <v>130000</v>
      </c>
      <c r="BO388" s="15" t="n">
        <f aca="false">(BO387)+AY388</f>
        <v>0</v>
      </c>
      <c r="BP388" s="15" t="n">
        <f aca="false">0</f>
        <v>0</v>
      </c>
      <c r="BQ388" s="15" t="n">
        <f aca="false">BN388+BM388-BO388</f>
        <v>-373286.631150559</v>
      </c>
      <c r="BR388" s="15" t="n">
        <f aca="false">BH388+AD388+BL388+MAX(0,-AM388)+MAX(0,-AR388)+AG388</f>
        <v>34871.1161464398</v>
      </c>
      <c r="BS388" s="15" t="n">
        <f aca="false">AJ388+AV388+MAX(0,AM388)+MAX(0,AR388)+BC388+BG388+BQ388</f>
        <v>34871.11614644</v>
      </c>
      <c r="BT388" s="15" t="n">
        <f aca="false">BR388-BS388</f>
        <v>-2.25554686039686E-010</v>
      </c>
      <c r="BU388" s="15" t="n">
        <f aca="false">BH388-(BD388+BE388-BF388-AY388)</f>
        <v>0</v>
      </c>
      <c r="BV388" s="15" t="n">
        <f aca="false">MIN(Piano_SS!$C$6,(BV387)+IF(AND(Motore_Operativo!C388&gt;=EDATE(Parametri_v3!$C$24,Ipotesi!I14*12),Motore_Operativo!C388&lt;EDATE(Parametri_v3!$C$24,Parametri_v3!$C$25+Ipotesi!I14*12)),MAX(0,(Motore_Operativo!Y388+Motore_Operativo!X388*Parametri_v3!$C$14)*(1-Parametri_v3!$C$32))*Piano_SS!$D$6,0))</f>
        <v>175275</v>
      </c>
      <c r="BW388" s="15" t="n">
        <f aca="false">MIN(Piano_SS!$C$7,(BW387)+IF(AND(Motore_Operativo!C388&gt;=EDATE(Parametri_v3!$C$24,Ipotesi!I14*12),Motore_Operativo!C388&lt;EDATE(Parametri_v3!$C$24,Parametri_v3!$C$25+Ipotesi!I14*12)),MAX(0,(IF(24-(INT((Ipotesi!$C$91)/30))&lt;1,0,INDEX(Motore_Operativo!$BN$365:$BN$424,MAX(1,24-(INT((Ipotesi!$C$91)/30)))))*(1-(MOD((Ipotesi!$C$91),30)/30))+IF(24-(INT((Ipotesi!$C$91)/30))-1&lt;1,0,INDEX(Motore_Operativo!$BN$365:$BN$424,MAX(1,24-(INT((Ipotesi!$C$91)/30))-1)))*(MOD((Ipotesi!$C$91),30)/30)))*Piano_SS!$D$7,0))</f>
        <v>26668.5390338217</v>
      </c>
      <c r="BX388" s="15" t="n">
        <f aca="false">MIN(Piano_SS!$C$8,(BX387)+IF(AND(Motore_Operativo!C388&gt;=EDATE(Parametri_v3!$C$24,Ipotesi!I14*12),Motore_Operativo!C388&lt;EDATE(Parametri_v3!$C$24,Parametri_v3!$C$25+Ipotesi!I14*12)),MAX(0,Motore_Operativo!CE388)*Piano_SS!$D$8,0))</f>
        <v>35000</v>
      </c>
      <c r="BY388" s="15" t="n">
        <f aca="false">MIN(Piano_SS!$C$9,(BY387)+IF(AND(Motore_Operativo!C388&gt;=EDATE(Parametri_v3!$C$24,Ipotesi!I14*12),Motore_Operativo!C388&lt;EDATE(Parametri_v3!$C$24,Parametri_v3!$C$25+Ipotesi!I14*12)),MAX(0,((IF(24-(INT((Ipotesi!$C$91)/30))&lt;1,0,INDEX(Motore_Operativo!$BQ$365:$BQ$424,MAX(1,24-(INT((Ipotesi!$C$91)/30)))))*(1-(MOD((Ipotesi!$C$91),30)/30))+IF(24-(INT((Ipotesi!$C$91)/30))-1&lt;1,0,INDEX(Motore_Operativo!$BQ$365:$BQ$424,MAX(1,24-(INT((Ipotesi!$C$91)/30))-1)))*(MOD((Ipotesi!$C$91),30)/30))+(IF(24-(INT((Ipotesi!$C$91)/30))&lt;1,0,INDEX(Motore_Operativo!$BR$365:$BR$424,MAX(1,24-(INT((Ipotesi!$C$91)/30)))))*(1-(MOD((Ipotesi!$C$91),30)/30))+IF(24-(INT((Ipotesi!$C$91)/30))-1&lt;1,0,INDEX(Motore_Operativo!$BR$365:$BR$424,MAX(1,24-(INT((Ipotesi!$C$91)/30))-1)))*(MOD((Ipotesi!$C$91),30)/30))))*Piano_SS!$D$9,0))</f>
        <v>40000</v>
      </c>
      <c r="BZ388" s="15" t="n">
        <f aca="false">MIN(Piano_SS!$C$10,(BZ387)+IF(AND(Motore_Operativo!C388&gt;=EDATE(Parametri_v3!$C$24,Ipotesi!I14*12),Motore_Operativo!C388&lt;EDATE(Parametri_v3!$C$24,Parametri_v3!$C$25+Ipotesi!I14*12)),MAX(0,(IF(24-(INT((Ipotesi!$C$91)/30))&lt;1,0,INDEX(Motore_Operativo!$BO$365:$BO$424,MAX(1,24-(INT((Ipotesi!$C$91)/30)))))*(1-(MOD((Ipotesi!$C$91),30)/30))+IF(24-(INT((Ipotesi!$C$91)/30))-1&lt;1,0,INDEX(Motore_Operativo!$BO$365:$BO$424,MAX(1,24-(INT((Ipotesi!$C$91)/30))-1)))*(MOD((Ipotesi!$C$91),30)/30)))*Piano_SS!$D$10,0))</f>
        <v>26333.3333333333</v>
      </c>
      <c r="CA388" s="15" t="n">
        <f aca="false">SUM(BV388:BZ388)</f>
        <v>303276.872367155</v>
      </c>
      <c r="CB388" s="15" t="n">
        <f aca="false">BV388*(1-Piano_SS!$E$6)+BW388*(1-Piano_SS!$E$7)+BX388*(1-Piano_SS!$E$8)+BY388*(1-Piano_SS!$E$9)+BZ388*(1-Piano_SS!$E$10)</f>
        <v>276943.539033822</v>
      </c>
      <c r="CC388" s="15" t="n">
        <f aca="false">(CC387)+BA388</f>
        <v>242621.497893724</v>
      </c>
      <c r="CD388" s="15" t="n">
        <f aca="false">IF(CA388=0,0,CC388*CB388/CA388*Ipotesi!$C$103*Parametri_v3!$C$64)</f>
        <v>66466.4493681172</v>
      </c>
      <c r="CE388" s="18" t="n">
        <f aca="false">IF(BA388&gt;0,Motore_Operativo!C388,(CE387))</f>
        <v>47088</v>
      </c>
      <c r="CF388" s="18" t="n">
        <f aca="false">IF(AND(CC388&gt;0,OR(CC388&gt;=CG388-0.01,Motore_Operativo!C388&gt;=EDATE(MAX(Finanziamenti!$D$15:$D$17),Ipotesi!I14*12))),CE388,0)</f>
        <v>0</v>
      </c>
      <c r="CG388" s="15" t="n">
        <f aca="false">IF(AND(7&lt;&gt;6,7&lt;&gt;9,Finanziamenti!$F$11=1,OR(Parametri_v3!$C$6=0,Finanziamenti!$E$11=1)),MIN(Finanziamenti!$C$11,Piano_SS!$C$12*Ipotesi!$C$102),0)</f>
        <v>400000</v>
      </c>
      <c r="CH388" s="15" t="n">
        <f aca="false">IF(AND(AND(7&lt;&gt;8,7&lt;&gt;9,Finanziamenti!$F$10=1,OR(Parametri_v3!$C$6=0,Finanziamenti!$E$10=1)),Motore_Operativo!C388&gt;=Finanziamenti!$D$10,Motore_Operativo!C388&lt;Parametri_v3!$C$63),Finanziamenti!$C$10,0)</f>
        <v>150000</v>
      </c>
    </row>
    <row r="389" customFormat="false" ht="18" hidden="false" customHeight="true" outlineLevel="0" collapsed="false">
      <c r="A389" s="68" t="n">
        <f aca="false">7</f>
        <v>7</v>
      </c>
      <c r="B389" s="68" t="n">
        <f aca="false">25</f>
        <v>25</v>
      </c>
      <c r="C389" s="18" t="n">
        <f aca="false">Motore_Operativo!C389</f>
        <v>47119</v>
      </c>
      <c r="D389" s="68" t="n">
        <f aca="false">Motore_Operativo!D389</f>
        <v>2029</v>
      </c>
      <c r="E389" s="68" t="n">
        <f aca="false">Motore_Operativo!E389</f>
        <v>1</v>
      </c>
      <c r="F389" s="15" t="n">
        <f aca="false">Motore_Operativo!AQ389+Motore_Operativo!BF389</f>
        <v>56956.9441713397</v>
      </c>
      <c r="G389" s="15" t="n">
        <f aca="false">Motore_Operativo!BH389</f>
        <v>6050</v>
      </c>
      <c r="H389" s="15" t="n">
        <f aca="false">Motore_Operativo!BI389</f>
        <v>63006.9441713397</v>
      </c>
      <c r="I389" s="15" t="n">
        <f aca="false">Motore_Operativo!CA389</f>
        <v>115308.305517321</v>
      </c>
      <c r="J389" s="15" t="n">
        <f aca="false">Motore_Operativo!CC389</f>
        <v>-52301.3613459812</v>
      </c>
      <c r="K389" s="15" t="n">
        <f aca="false">Motore_Operativo!CE389</f>
        <v>2500</v>
      </c>
      <c r="L389" s="15" t="n">
        <f aca="false">SUM(INDEX($K$365:$K$424,MAX(1,25-Parametri_v3!$C$59+1)):K389)/Parametri_v3!$C$59</f>
        <v>1319.44444444444</v>
      </c>
      <c r="M389" s="15" t="n">
        <f aca="false">J389-L389</f>
        <v>-53620.8057904256</v>
      </c>
      <c r="N389" s="15" t="n">
        <f aca="false">CD389-(CD388)</f>
        <v>7030.03738740331</v>
      </c>
      <c r="O389" s="15" t="n">
        <f aca="false">(BG388)*Ipotesi!$C$110/12+CH389*Parametri_v3!$C$39/12</f>
        <v>750</v>
      </c>
      <c r="P389" s="15" t="n">
        <f aca="false">M389+N389-O389</f>
        <v>-47340.7684030223</v>
      </c>
      <c r="Q389" s="15" t="n">
        <f aca="false">SUM(P389)+Parametri_v3!$C$54*1/12</f>
        <v>-47340.7684030223</v>
      </c>
      <c r="R389" s="15" t="n">
        <f aca="false">Z388</f>
        <v>503286.631150559</v>
      </c>
      <c r="S389" s="15" t="n">
        <f aca="false">AA388</f>
        <v>0</v>
      </c>
      <c r="T389" s="15" t="n">
        <f aca="false">MIN(R389,MAX(0,Q389))</f>
        <v>0</v>
      </c>
      <c r="U389" s="15" t="n">
        <f aca="false">MIN(S389,MAX(0,Q389-T389)*Parametri_v3!$C$42)</f>
        <v>0</v>
      </c>
      <c r="V389" s="15" t="n">
        <f aca="false">MAX(0,Q389-T389-U389)*Ipotesi!$C$92</f>
        <v>0</v>
      </c>
      <c r="W389" s="15" t="n">
        <f aca="false">MAX(0,SUM(M389)+Parametri_v3!$C$55*1/12)*Ipotesi!$C$93</f>
        <v>0</v>
      </c>
      <c r="X389" s="15" t="n">
        <f aca="false">V389+W389-(0)</f>
        <v>0</v>
      </c>
      <c r="Y389" s="15" t="n">
        <f aca="false">P389-X389</f>
        <v>-47340.7684030223</v>
      </c>
      <c r="Z389" s="15" t="n">
        <f aca="false">R389-T389+IF(AND(Parametri_v3!$C$40=1,D389-YEAR(Parametri_v3!$C$50)&lt;Parametri_v3!$C$41),MAX(0,-Q389),0)</f>
        <v>550627.399553581</v>
      </c>
      <c r="AA389" s="15" t="n">
        <f aca="false">S389-U389+IF(AND(Parametri_v3!$C$40=1,D389-YEAR(Parametri_v3!$C$50)&lt;Parametri_v3!$C$41),0,MAX(0,-Q389))</f>
        <v>0</v>
      </c>
      <c r="AB389" s="15" t="n">
        <f aca="false">F389*(1+Parametri_v3!$C$26)</f>
        <v>69487.4718890345</v>
      </c>
      <c r="AC389" s="15" t="n">
        <f aca="false">(IF(25-(INT((Motore_Operativo!L389)/30))&lt;1,0,INDEX(Motore_Startup!$AB$365:$AB$424,MAX(1,25-(INT((Motore_Operativo!L389)/30)))))*(1-(MOD((Motore_Operativo!L389),30)/30))+IF(25-(INT((Motore_Operativo!L389)/30))-1&lt;1,0,INDEX(Motore_Startup!$AB$365:$AB$424,MAX(1,25-(INT((Motore_Operativo!L389)/30))-1)))*(MOD((Motore_Operativo!L389),30)/30))</f>
        <v>36671.1994230508</v>
      </c>
      <c r="AD389" s="15" t="n">
        <f aca="false">(AD388)+AB389-AC389</f>
        <v>146055.801712456</v>
      </c>
      <c r="AE389" s="15" t="n">
        <f aca="false">Motore_Operativo!BH389*(1+Parametri_v3!$C$26)</f>
        <v>7381</v>
      </c>
      <c r="AF389" s="15" t="n">
        <f aca="false">(IF(25-(INT((Parametri_v3!$C$29)/30))&lt;1,0,INDEX(Motore_Operativo!$BH$365:$BH$424,MAX(1,25-(INT((Parametri_v3!$C$29)/30)))))*(1-(MOD((Parametri_v3!$C$29),30)/30))+IF(25-(INT((Parametri_v3!$C$29)/30))-1&lt;1,0,INDEX(Motore_Operativo!$BH$365:$BH$424,MAX(1,25-(INT((Parametri_v3!$C$29)/30))-1)))*(MOD((Parametri_v3!$C$29),30)/30))*(1+Parametri_v3!$C$26)</f>
        <v>4145.70892018779</v>
      </c>
      <c r="AG389" s="15" t="n">
        <f aca="false">(AG388)+AE389-AF389</f>
        <v>7381</v>
      </c>
      <c r="AH389" s="15" t="n">
        <f aca="false">(Motore_Operativo!CJ389)*(1+Parametri_v3!$C$27*Parametri_v3!$C$26)</f>
        <v>48708.1163157266</v>
      </c>
      <c r="AI389" s="15" t="n">
        <f aca="false">(IF(25-(INT((Ipotesi!$C$91)/30))&lt;1,0,INDEX(Motore_Startup!$AH$365:$AH$424,MAX(1,25-(INT((Ipotesi!$C$91)/30)))))*(1-(MOD((Ipotesi!$C$91),30)/30))+IF(25-(INT((Ipotesi!$C$91)/30))-1&lt;1,0,INDEX(Motore_Startup!$AH$365:$AH$424,MAX(1,25-(INT((Ipotesi!$C$91)/30))-1)))*(MOD((Ipotesi!$C$91),30)/30))</f>
        <v>21700.9765032546</v>
      </c>
      <c r="AJ389" s="15" t="n">
        <f aca="false">(AJ388)+AH389-AI389</f>
        <v>70554.7080960938</v>
      </c>
      <c r="AK389" s="15" t="n">
        <f aca="false">(F389+ Motore_Operativo!BH389-(Motore_Operativo!CJ389)*Parametri_v3!$C$27-Motore_Operativo!CE389)*Parametri_v3!$C$26</f>
        <v>5638.0502526224</v>
      </c>
      <c r="AL389" s="15" t="n">
        <f aca="false">MAX(0,(AM388))</f>
        <v>3847.63048777002</v>
      </c>
      <c r="AM389" s="15" t="n">
        <f aca="false">(AM388)+AK389-AL389</f>
        <v>5638.0502526224</v>
      </c>
      <c r="AN389" s="15" t="n">
        <f aca="false">SUM(X377:X388)</f>
        <v>0</v>
      </c>
      <c r="AO389" s="15" t="n">
        <f aca="false">SUM(AP377:AP388)</f>
        <v>0</v>
      </c>
      <c r="AP389" s="15" t="n">
        <f aca="false">MAX(0,AN389)*IF(1=Parametri_v3!$C$43,Parametri_v3!$C$45,IF(1=Parametri_v3!$C$44,1-Parametri_v3!$C$45,0))</f>
        <v>0</v>
      </c>
      <c r="AQ389" s="15" t="n">
        <f aca="false">MAX(0,AP389+IF(1=Parametri_v3!$C$43,MAX(0,AN389-AO389),0)-MAX(0,-(AR388)))</f>
        <v>0</v>
      </c>
      <c r="AR389" s="15" t="n">
        <f aca="false">(AR388)+X389-AQ389</f>
        <v>0</v>
      </c>
      <c r="AS389" s="15" t="n">
        <f aca="false">Motore_Operativo!AB389-AT389+AU389</f>
        <v>70559.9833333333</v>
      </c>
      <c r="AT389" s="15" t="n">
        <f aca="false">Motore_Operativo!CH389</f>
        <v>3713.68333333333</v>
      </c>
      <c r="AU389" s="15" t="n">
        <f aca="false">MIN(MAX(0,(AV388)+AT389),Parametri_v3!$C$60/12)</f>
        <v>0</v>
      </c>
      <c r="AV389" s="15" t="n">
        <f aca="false">(AV388)+AT389-AU389</f>
        <v>38321.1833333333</v>
      </c>
      <c r="AW389" s="15" t="n">
        <f aca="false">IF(AND(Motore_Operativo!C389=Finanziamenti!$D$6,Finanziamenti!$F$6=1),Finanziamenti!$C$6,0)</f>
        <v>0</v>
      </c>
      <c r="AX389" s="15" t="n">
        <f aca="false">IF(AND(7&lt;&gt;7,7&lt;&gt;9,Finanziamenti!$F$8=1,OR(Parametri_v3!$C$6=0,Finanziamenti!$E$8=1),Motore_Operativo!C389=EDATE(Finanziamenti!$D$8,Ipotesi!I15*12)),Finanziamenti!$C$8*1,0)+IF(AND(7&lt;&gt;7,7&lt;&gt;9,Finanziamenti!$F$9=1,OR(Parametri_v3!$C$6=0,Finanziamenti!$E$9=1),Motore_Operativo!C389=EDATE(Finanziamenti!$D$9,Ipotesi!I15*12)),Finanziamenti!$C$9*Ipotesi!I16,0)</f>
        <v>0</v>
      </c>
      <c r="AY389" s="15" t="n">
        <f aca="false">0</f>
        <v>0</v>
      </c>
      <c r="AZ389" s="15" t="n">
        <f aca="false">Motore_Advisory!AY389*(1-Ipotesi!$C$95)*Ipotesi!$C$96</f>
        <v>0</v>
      </c>
      <c r="BA389" s="15" t="n">
        <f aca="false">MAX(0,MIN(CG389*MIN(1,IF(Motore_Operativo!C389&gt;=EDATE(Finanziamenti!$D$15,Ipotesi!I14*12),Finanziamenti!$C$15,0)+IF(Motore_Operativo!C389&gt;=EDATE(Finanziamenti!$D$16,Ipotesi!I14*12),Finanziamenti!$C$16,0)+IF(Motore_Operativo!C389&gt;=EDATE(Finanziamenti!$D$17,Ipotesi!I14*12),Finanziamenti!$C$17,0)),CA389*Ipotesi!$C$102)-(CC388))</f>
        <v>24900.1246246778</v>
      </c>
      <c r="BB389" s="15" t="n">
        <f aca="false">IF(AND(CF389&gt;0,Motore_Operativo!C389&gt;=IF(CF389=0,0,EDATE(CF389,Parametri_v3!$C$37)),MOD(((D389-YEAR(IF(CF389=0,0,EDATE(CF389,Parametri_v3!$C$37))))*12+E389-MONTH(IF(CF389=0,0,EDATE(CF389,Parametri_v3!$C$37)))),Parametri_v3!$C$38)=0),MIN(MAX(0,(BC388)+BA389-N389),(CC389-CD389)/(Ipotesi!$C$108*12/Parametri_v3!$C$38)),0)</f>
        <v>0</v>
      </c>
      <c r="BC389" s="15" t="n">
        <f aca="false">(BC388)+BA389-N389-BB389</f>
        <v>194025.135762881</v>
      </c>
      <c r="BD389" s="15" t="n">
        <f aca="false">(BH388)+AC389+AF389-AI389-AS389-K389*(1+Parametri_v3!$C$26)-AL389-AQ389-O389+AW389+AX389+AZ389+BA389-BB389</f>
        <v>-146914.012709995</v>
      </c>
      <c r="BE389" s="15" t="n">
        <f aca="false">MAX(0,MIN(MAX(0,CH389-(BG388)),Parametri_v3!$C$30-BD389))</f>
        <v>0</v>
      </c>
      <c r="BF389" s="15" t="n">
        <f aca="false">IF(Motore_Operativo!C389&gt;=Parametri_v3!$C$63,(BG388),MIN((BG388),MAX(0,BD389-Parametri_v3!$C$30)))</f>
        <v>0</v>
      </c>
      <c r="BG389" s="15" t="n">
        <f aca="false">(BG388)+BE389-BF389</f>
        <v>150000</v>
      </c>
      <c r="BH389" s="15" t="n">
        <f aca="false">BD389+BE389-BF389-AY389</f>
        <v>-146914.012709995</v>
      </c>
      <c r="BI389" s="15" t="n">
        <f aca="false">MAX(0,Parametri_v3!$C$30-BH389)</f>
        <v>171914.012709995</v>
      </c>
      <c r="BJ389" s="15" t="n">
        <f aca="false">(BJ388)+K389</f>
        <v>47500</v>
      </c>
      <c r="BK389" s="15" t="n">
        <f aca="false">(BK388)+L389</f>
        <v>16111.1111111111</v>
      </c>
      <c r="BL389" s="15" t="n">
        <f aca="false">BJ389-BK389</f>
        <v>31388.8888888889</v>
      </c>
      <c r="BM389" s="15" t="n">
        <f aca="false">(BM388)+Y389</f>
        <v>-550627.399553581</v>
      </c>
      <c r="BN389" s="15" t="n">
        <f aca="false">(BN388)+AW389+AX389+AZ389</f>
        <v>130000</v>
      </c>
      <c r="BO389" s="15" t="n">
        <f aca="false">(BO388)+AY389</f>
        <v>0</v>
      </c>
      <c r="BP389" s="15" t="n">
        <f aca="false">0</f>
        <v>0</v>
      </c>
      <c r="BQ389" s="15" t="n">
        <f aca="false">BN389+BM389-BO389</f>
        <v>-420627.399553581</v>
      </c>
      <c r="BR389" s="15" t="n">
        <f aca="false">BH389+AD389+BL389+MAX(0,-AM389)+MAX(0,-AR389)+AG389</f>
        <v>37911.6778913497</v>
      </c>
      <c r="BS389" s="15" t="n">
        <f aca="false">AJ389+AV389+MAX(0,AM389)+MAX(0,AR389)+BC389+BG389+BQ389</f>
        <v>37911.6778913499</v>
      </c>
      <c r="BT389" s="15" t="n">
        <f aca="false">BR389-BS389</f>
        <v>-2.11002770811319E-010</v>
      </c>
      <c r="BU389" s="15" t="n">
        <f aca="false">BH389-(BD389+BE389-BF389-AY389)</f>
        <v>0</v>
      </c>
      <c r="BV389" s="15" t="n">
        <f aca="false">MIN(Piano_SS!$C$6,(BV388)+IF(AND(Motore_Operativo!C389&gt;=EDATE(Parametri_v3!$C$24,Ipotesi!I14*12),Motore_Operativo!C389&lt;EDATE(Parametri_v3!$C$24,Parametri_v3!$C$25+Ipotesi!I14*12)),MAX(0,(Motore_Operativo!Y389+Motore_Operativo!X389*Parametri_v3!$C$14)*(1-Parametri_v3!$C$32))*Piano_SS!$D$6,0))</f>
        <v>200051.435416667</v>
      </c>
      <c r="BW389" s="15" t="n">
        <f aca="false">MIN(Piano_SS!$C$7,(BW388)+IF(AND(Motore_Operativo!C389&gt;=EDATE(Parametri_v3!$C$24,Ipotesi!I14*12),Motore_Operativo!C389&lt;EDATE(Parametri_v3!$C$24,Parametri_v3!$C$25+Ipotesi!I14*12)),MAX(0,(IF(25-(INT((Ipotesi!$C$91)/30))&lt;1,0,INDEX(Motore_Operativo!$BN$365:$BN$424,MAX(1,25-(INT((Ipotesi!$C$91)/30)))))*(1-(MOD((Ipotesi!$C$91),30)/30))+IF(25-(INT((Ipotesi!$C$91)/30))-1&lt;1,0,INDEX(Motore_Operativo!$BN$365:$BN$424,MAX(1,25-(INT((Ipotesi!$C$91)/30))-1)))*(MOD((Ipotesi!$C$91),30)/30)))*Piano_SS!$D$7,0))</f>
        <v>28683.9260646689</v>
      </c>
      <c r="BX389" s="15" t="n">
        <f aca="false">MIN(Piano_SS!$C$8,(BX388)+IF(AND(Motore_Operativo!C389&gt;=EDATE(Parametri_v3!$C$24,Ipotesi!I14*12),Motore_Operativo!C389&lt;EDATE(Parametri_v3!$C$24,Parametri_v3!$C$25+Ipotesi!I14*12)),MAX(0,Motore_Operativo!CE389)*Piano_SS!$D$8,0))</f>
        <v>37500</v>
      </c>
      <c r="BY389" s="15" t="n">
        <f aca="false">MIN(Piano_SS!$C$9,(BY388)+IF(AND(Motore_Operativo!C389&gt;=EDATE(Parametri_v3!$C$24,Ipotesi!I14*12),Motore_Operativo!C389&lt;EDATE(Parametri_v3!$C$24,Parametri_v3!$C$25+Ipotesi!I14*12)),MAX(0,((IF(25-(INT((Ipotesi!$C$91)/30))&lt;1,0,INDEX(Motore_Operativo!$BQ$365:$BQ$424,MAX(1,25-(INT((Ipotesi!$C$91)/30)))))*(1-(MOD((Ipotesi!$C$91),30)/30))+IF(25-(INT((Ipotesi!$C$91)/30))-1&lt;1,0,INDEX(Motore_Operativo!$BQ$365:$BQ$424,MAX(1,25-(INT((Ipotesi!$C$91)/30))-1)))*(MOD((Ipotesi!$C$91),30)/30))+(IF(25-(INT((Ipotesi!$C$91)/30))&lt;1,0,INDEX(Motore_Operativo!$BR$365:$BR$424,MAX(1,25-(INT((Ipotesi!$C$91)/30)))))*(1-(MOD((Ipotesi!$C$91),30)/30))+IF(25-(INT((Ipotesi!$C$91)/30))-1&lt;1,0,INDEX(Motore_Operativo!$BR$365:$BR$424,MAX(1,25-(INT((Ipotesi!$C$91)/30))-1)))*(MOD((Ipotesi!$C$91),30)/30))))*Piano_SS!$D$9,0))</f>
        <v>40000</v>
      </c>
      <c r="BZ389" s="15" t="n">
        <f aca="false">MIN(Piano_SS!$C$10,(BZ388)+IF(AND(Motore_Operativo!C389&gt;=EDATE(Parametri_v3!$C$24,Ipotesi!I14*12),Motore_Operativo!C389&lt;EDATE(Parametri_v3!$C$24,Parametri_v3!$C$25+Ipotesi!I14*12)),MAX(0,(IF(25-(INT((Ipotesi!$C$91)/30))&lt;1,0,INDEX(Motore_Operativo!$BO$365:$BO$424,MAX(1,25-(INT((Ipotesi!$C$91)/30)))))*(1-(MOD((Ipotesi!$C$91),30)/30))+IF(25-(INT((Ipotesi!$C$91)/30))-1&lt;1,0,INDEX(Motore_Operativo!$BO$365:$BO$424,MAX(1,25-(INT((Ipotesi!$C$91)/30))-1)))*(MOD((Ipotesi!$C$91),30)/30)))*Piano_SS!$D$10,0))</f>
        <v>28166.6666666667</v>
      </c>
      <c r="CA389" s="15" t="n">
        <f aca="false">SUM(BV389:BZ389)</f>
        <v>334402.028148002</v>
      </c>
      <c r="CB389" s="15" t="n">
        <f aca="false">BV389*(1-Piano_SS!$E$6)+BW389*(1-Piano_SS!$E$7)+BX389*(1-Piano_SS!$E$8)+BY389*(1-Piano_SS!$E$9)+BZ389*(1-Piano_SS!$E$10)</f>
        <v>306235.361481336</v>
      </c>
      <c r="CC389" s="15" t="n">
        <f aca="false">(CC388)+BA389</f>
        <v>267521.622518402</v>
      </c>
      <c r="CD389" s="15" t="n">
        <f aca="false">IF(CA389=0,0,CC389*CB389/CA389*Ipotesi!$C$103*Parametri_v3!$C$64)</f>
        <v>73496.4867555205</v>
      </c>
      <c r="CE389" s="18" t="n">
        <f aca="false">IF(BA389&gt;0,Motore_Operativo!C389,(CE388))</f>
        <v>47119</v>
      </c>
      <c r="CF389" s="18" t="n">
        <f aca="false">IF(AND(CC389&gt;0,OR(CC389&gt;=CG389-0.01,Motore_Operativo!C389&gt;=EDATE(MAX(Finanziamenti!$D$15:$D$17),Ipotesi!I14*12))),CE389,0)</f>
        <v>0</v>
      </c>
      <c r="CG389" s="15" t="n">
        <f aca="false">IF(AND(7&lt;&gt;6,7&lt;&gt;9,Finanziamenti!$F$11=1,OR(Parametri_v3!$C$6=0,Finanziamenti!$E$11=1)),MIN(Finanziamenti!$C$11,Piano_SS!$C$12*Ipotesi!$C$102),0)</f>
        <v>400000</v>
      </c>
      <c r="CH389" s="15" t="n">
        <f aca="false">IF(AND(AND(7&lt;&gt;8,7&lt;&gt;9,Finanziamenti!$F$10=1,OR(Parametri_v3!$C$6=0,Finanziamenti!$E$10=1)),Motore_Operativo!C389&gt;=Finanziamenti!$D$10,Motore_Operativo!C389&lt;Parametri_v3!$C$63),Finanziamenti!$C$10,0)</f>
        <v>150000</v>
      </c>
    </row>
    <row r="390" customFormat="false" ht="18" hidden="false" customHeight="true" outlineLevel="0" collapsed="false">
      <c r="A390" s="68" t="n">
        <f aca="false">7</f>
        <v>7</v>
      </c>
      <c r="B390" s="68" t="n">
        <f aca="false">26</f>
        <v>26</v>
      </c>
      <c r="C390" s="18" t="n">
        <f aca="false">Motore_Operativo!C390</f>
        <v>47150</v>
      </c>
      <c r="D390" s="68" t="n">
        <f aca="false">Motore_Operativo!D390</f>
        <v>2029</v>
      </c>
      <c r="E390" s="68" t="n">
        <f aca="false">Motore_Operativo!E390</f>
        <v>2</v>
      </c>
      <c r="F390" s="15" t="n">
        <f aca="false">Motore_Operativo!AQ390+Motore_Operativo!BF390</f>
        <v>57615.1870278934</v>
      </c>
      <c r="G390" s="15" t="n">
        <f aca="false">Motore_Operativo!BH390</f>
        <v>6050</v>
      </c>
      <c r="H390" s="15" t="n">
        <f aca="false">Motore_Operativo!BI390</f>
        <v>63665.1870278934</v>
      </c>
      <c r="I390" s="15" t="n">
        <f aca="false">Motore_Operativo!CA390</f>
        <v>115400.459517238</v>
      </c>
      <c r="J390" s="15" t="n">
        <f aca="false">Motore_Operativo!CC390</f>
        <v>-51735.272489345</v>
      </c>
      <c r="K390" s="15" t="n">
        <f aca="false">Motore_Operativo!CE390</f>
        <v>2500</v>
      </c>
      <c r="L390" s="15" t="n">
        <f aca="false">SUM(INDEX($K$365:$K$424,MAX(1,26-Parametri_v3!$C$59+1)):K390)/Parametri_v3!$C$59</f>
        <v>1388.88888888889</v>
      </c>
      <c r="M390" s="15" t="n">
        <f aca="false">J390-L390</f>
        <v>-53124.1613782339</v>
      </c>
      <c r="N390" s="15" t="n">
        <f aca="false">CD390-(CD389)</f>
        <v>3610.6830441394</v>
      </c>
      <c r="O390" s="15" t="n">
        <f aca="false">(BG389)*Ipotesi!$C$110/12+CH390*Parametri_v3!$C$39/12</f>
        <v>750</v>
      </c>
      <c r="P390" s="15" t="n">
        <f aca="false">M390+N390-O390</f>
        <v>-50263.4783340945</v>
      </c>
      <c r="Q390" s="15" t="n">
        <f aca="false">SUM(P389:P390)+Parametri_v3!$C$54*2/12</f>
        <v>-97604.2467371168</v>
      </c>
      <c r="R390" s="15" t="n">
        <f aca="false">Z388</f>
        <v>503286.631150559</v>
      </c>
      <c r="S390" s="15" t="n">
        <f aca="false">AA388</f>
        <v>0</v>
      </c>
      <c r="T390" s="15" t="n">
        <f aca="false">MIN(R390,MAX(0,Q390))</f>
        <v>0</v>
      </c>
      <c r="U390" s="15" t="n">
        <f aca="false">MIN(S390,MAX(0,Q390-T390)*Parametri_v3!$C$42)</f>
        <v>0</v>
      </c>
      <c r="V390" s="15" t="n">
        <f aca="false">MAX(0,Q390-T390-U390)*Ipotesi!$C$92</f>
        <v>0</v>
      </c>
      <c r="W390" s="15" t="n">
        <f aca="false">MAX(0,SUM(M389:M390)+Parametri_v3!$C$55*2/12)*Ipotesi!$C$93</f>
        <v>0</v>
      </c>
      <c r="X390" s="15" t="n">
        <f aca="false">V390+W390-(V389+W389)</f>
        <v>0</v>
      </c>
      <c r="Y390" s="15" t="n">
        <f aca="false">P390-X390</f>
        <v>-50263.4783340945</v>
      </c>
      <c r="Z390" s="15" t="n">
        <f aca="false">R390-T390+IF(AND(Parametri_v3!$C$40=1,D390-YEAR(Parametri_v3!$C$50)&lt;Parametri_v3!$C$41),MAX(0,-Q390),0)</f>
        <v>600890.877887676</v>
      </c>
      <c r="AA390" s="15" t="n">
        <f aca="false">S390-U390+IF(AND(Parametri_v3!$C$40=1,D390-YEAR(Parametri_v3!$C$50)&lt;Parametri_v3!$C$41),0,MAX(0,-Q390))</f>
        <v>0</v>
      </c>
      <c r="AB390" s="15" t="n">
        <f aca="false">F390*(1+Parametri_v3!$C$26)</f>
        <v>70290.52817403</v>
      </c>
      <c r="AC390" s="15" t="n">
        <f aca="false">(IF(26-(INT((Motore_Operativo!L390)/30))&lt;1,0,INDEX(Motore_Startup!$AB$365:$AB$424,MAX(1,26-(INT((Motore_Operativo!L390)/30)))))*(1-(MOD((Motore_Operativo!L390),30)/30))+IF(26-(INT((Motore_Operativo!L390)/30))-1&lt;1,0,INDEX(Motore_Startup!$AB$365:$AB$424,MAX(1,26-(INT((Motore_Operativo!L390)/30))-1)))*(MOD((Motore_Operativo!L390),30)/30))</f>
        <v>37749.6522204198</v>
      </c>
      <c r="AD390" s="15" t="n">
        <f aca="false">(AD389)+AB390-AC390</f>
        <v>178596.677666066</v>
      </c>
      <c r="AE390" s="15" t="n">
        <f aca="false">Motore_Operativo!BH390*(1+Parametri_v3!$C$26)</f>
        <v>7381</v>
      </c>
      <c r="AF390" s="15" t="n">
        <f aca="false">(IF(26-(INT((Parametri_v3!$C$29)/30))&lt;1,0,INDEX(Motore_Operativo!$BH$365:$BH$424,MAX(1,26-(INT((Parametri_v3!$C$29)/30)))))*(1-(MOD((Parametri_v3!$C$29),30)/30))+IF(26-(INT((Parametri_v3!$C$29)/30))-1&lt;1,0,INDEX(Motore_Operativo!$BH$365:$BH$424,MAX(1,26-(INT((Parametri_v3!$C$29)/30))-1)))*(MOD((Parametri_v3!$C$29),30)/30))*(1+Parametri_v3!$C$26)</f>
        <v>7381</v>
      </c>
      <c r="AG390" s="15" t="n">
        <f aca="false">(AG389)+AE390-AF390</f>
        <v>7381</v>
      </c>
      <c r="AH390" s="15" t="n">
        <f aca="false">(Motore_Operativo!CJ390)*(1+Parametri_v3!$C$27*Parametri_v3!$C$26)</f>
        <v>48817.5031136287</v>
      </c>
      <c r="AI390" s="15" t="n">
        <f aca="false">(IF(26-(INT((Ipotesi!$C$91)/30))&lt;1,0,INDEX(Motore_Startup!$AH$365:$AH$424,MAX(1,26-(INT((Ipotesi!$C$91)/30)))))*(1-(MOD((Ipotesi!$C$91),30)/30))+IF(26-(INT((Ipotesi!$C$91)/30))-1&lt;1,0,INDEX(Motore_Startup!$AH$365:$AH$424,MAX(1,26-(INT((Ipotesi!$C$91)/30))-1)))*(MOD((Ipotesi!$C$91),30)/30))</f>
        <v>21846.5917803672</v>
      </c>
      <c r="AJ390" s="15" t="n">
        <f aca="false">(AJ389)+AH390-AI390</f>
        <v>97525.6194293553</v>
      </c>
      <c r="AK390" s="15" t="n">
        <f aca="false">(F390+ Motore_Operativo!BH390-(Motore_Operativo!CJ390)*Parametri_v3!$C$27-Motore_Operativo!CE390)*Parametri_v3!$C$26</f>
        <v>5765.63088307964</v>
      </c>
      <c r="AL390" s="15" t="n">
        <f aca="false">MAX(0,(AM389))</f>
        <v>5638.0502526224</v>
      </c>
      <c r="AM390" s="15" t="n">
        <f aca="false">(AM389)+AK390-AL390</f>
        <v>5765.63088307964</v>
      </c>
      <c r="AN390" s="15" t="n">
        <f aca="false">SUM(X377:X388)</f>
        <v>0</v>
      </c>
      <c r="AO390" s="15" t="n">
        <f aca="false">SUM(AP377:AP388)</f>
        <v>0</v>
      </c>
      <c r="AP390" s="15" t="n">
        <f aca="false">MAX(0,AN390)*IF(2=Parametri_v3!$C$43,Parametri_v3!$C$45,IF(2=Parametri_v3!$C$44,1-Parametri_v3!$C$45,0))</f>
        <v>0</v>
      </c>
      <c r="AQ390" s="15" t="n">
        <f aca="false">MAX(0,AP390+IF(2=Parametri_v3!$C$43,MAX(0,AN390-AO390),0)-MAX(0,-(AR389)))</f>
        <v>0</v>
      </c>
      <c r="AR390" s="15" t="n">
        <f aca="false">(AR389)+X390-AQ390</f>
        <v>0</v>
      </c>
      <c r="AS390" s="15" t="n">
        <f aca="false">Motore_Operativo!AB390-AT390+AU390</f>
        <v>70559.9833333333</v>
      </c>
      <c r="AT390" s="15" t="n">
        <f aca="false">Motore_Operativo!CH390</f>
        <v>3713.68333333333</v>
      </c>
      <c r="AU390" s="15" t="n">
        <f aca="false">MIN(MAX(0,(AV389)+AT390),Parametri_v3!$C$60/12)</f>
        <v>0</v>
      </c>
      <c r="AV390" s="15" t="n">
        <f aca="false">(AV389)+AT390-AU390</f>
        <v>42034.8666666667</v>
      </c>
      <c r="AW390" s="15" t="n">
        <f aca="false">IF(AND(Motore_Operativo!C390=Finanziamenti!$D$6,Finanziamenti!$F$6=1),Finanziamenti!$C$6,0)</f>
        <v>0</v>
      </c>
      <c r="AX390" s="15" t="n">
        <f aca="false">IF(AND(7&lt;&gt;7,7&lt;&gt;9,Finanziamenti!$F$8=1,OR(Parametri_v3!$C$6=0,Finanziamenti!$E$8=1),Motore_Operativo!C390=EDATE(Finanziamenti!$D$8,Ipotesi!I15*12)),Finanziamenti!$C$8*1,0)+IF(AND(7&lt;&gt;7,7&lt;&gt;9,Finanziamenti!$F$9=1,OR(Parametri_v3!$C$6=0,Finanziamenti!$E$9=1),Motore_Operativo!C390=EDATE(Finanziamenti!$D$9,Ipotesi!I15*12)),Finanziamenti!$C$9*Ipotesi!I16,0)</f>
        <v>0</v>
      </c>
      <c r="AY390" s="15" t="n">
        <f aca="false">0</f>
        <v>0</v>
      </c>
      <c r="AZ390" s="15" t="n">
        <f aca="false">Motore_Advisory!AY390*(1-Ipotesi!$C$95)*Ipotesi!$C$96</f>
        <v>0</v>
      </c>
      <c r="BA390" s="15" t="n">
        <f aca="false">MAX(0,MIN(CG390*MIN(1,IF(Motore_Operativo!C390&gt;=EDATE(Finanziamenti!$D$15,Ipotesi!I14*12),Finanziamenti!$C$15,0)+IF(Motore_Operativo!C390&gt;=EDATE(Finanziamenti!$D$16,Ipotesi!I14*12),Finanziamenti!$C$16,0)+IF(Motore_Operativo!C390&gt;=EDATE(Finanziamenti!$D$17,Ipotesi!I14*12),Finanziamenti!$C$17,0)),CA390*Ipotesi!$C$102)-(CC389))</f>
        <v>12478.3774815982</v>
      </c>
      <c r="BB390" s="15" t="n">
        <f aca="false">IF(AND(CF390&gt;0,Motore_Operativo!C390&gt;=IF(CF390=0,0,EDATE(CF390,Parametri_v3!$C$37)),MOD(((D390-YEAR(IF(CF390=0,0,EDATE(CF390,Parametri_v3!$C$37))))*12+E390-MONTH(IF(CF390=0,0,EDATE(CF390,Parametri_v3!$C$37)))),Parametri_v3!$C$38)=0),MIN(MAX(0,(BC389)+BA390-N390),(CC390-CD390)/(Ipotesi!$C$108*12/Parametri_v3!$C$38)),0)</f>
        <v>0</v>
      </c>
      <c r="BC390" s="15" t="n">
        <f aca="false">(BC389)+BA390-N390-BB390</f>
        <v>202892.83020034</v>
      </c>
      <c r="BD390" s="15" t="n">
        <f aca="false">(BH389)+AC390+AF390-AI390-AS390-K390*(1+Parametri_v3!$C$26)-AL390-AQ390-O390+AW390+AX390+AZ390+BA390-BB390</f>
        <v>-191149.6083743</v>
      </c>
      <c r="BE390" s="15" t="n">
        <f aca="false">MAX(0,MIN(MAX(0,CH390-(BG389)),Parametri_v3!$C$30-BD390))</f>
        <v>0</v>
      </c>
      <c r="BF390" s="15" t="n">
        <f aca="false">IF(Motore_Operativo!C390&gt;=Parametri_v3!$C$63,(BG389),MIN((BG389),MAX(0,BD390-Parametri_v3!$C$30)))</f>
        <v>0</v>
      </c>
      <c r="BG390" s="15" t="n">
        <f aca="false">(BG389)+BE390-BF390</f>
        <v>150000</v>
      </c>
      <c r="BH390" s="15" t="n">
        <f aca="false">BD390+BE390-BF390-AY390</f>
        <v>-191149.6083743</v>
      </c>
      <c r="BI390" s="15" t="n">
        <f aca="false">MAX(0,Parametri_v3!$C$30-BH390)</f>
        <v>216149.6083743</v>
      </c>
      <c r="BJ390" s="15" t="n">
        <f aca="false">(BJ389)+K390</f>
        <v>50000</v>
      </c>
      <c r="BK390" s="15" t="n">
        <f aca="false">(BK389)+L390</f>
        <v>17500</v>
      </c>
      <c r="BL390" s="15" t="n">
        <f aca="false">BJ390-BK390</f>
        <v>32500</v>
      </c>
      <c r="BM390" s="15" t="n">
        <f aca="false">(BM389)+Y390</f>
        <v>-600890.877887675</v>
      </c>
      <c r="BN390" s="15" t="n">
        <f aca="false">(BN389)+AW390+AX390+AZ390</f>
        <v>130000</v>
      </c>
      <c r="BO390" s="15" t="n">
        <f aca="false">(BO389)+AY390</f>
        <v>0</v>
      </c>
      <c r="BP390" s="15" t="n">
        <f aca="false">0</f>
        <v>0</v>
      </c>
      <c r="BQ390" s="15" t="n">
        <f aca="false">BN390+BM390-BO390</f>
        <v>-470890.877887675</v>
      </c>
      <c r="BR390" s="15" t="n">
        <f aca="false">BH390+AD390+BL390+MAX(0,-AM390)+MAX(0,-AR390)+AG390</f>
        <v>27328.069291766</v>
      </c>
      <c r="BS390" s="15" t="n">
        <f aca="false">AJ390+AV390+MAX(0,AM390)+MAX(0,AR390)+BC390+BG390+BQ390</f>
        <v>27328.0692917662</v>
      </c>
      <c r="BT390" s="15" t="n">
        <f aca="false">BR390-BS390</f>
        <v>-1.96450855582953E-010</v>
      </c>
      <c r="BU390" s="15" t="n">
        <f aca="false">BH390-(BD390+BE390-BF390-AY390)</f>
        <v>0</v>
      </c>
      <c r="BV390" s="15" t="n">
        <f aca="false">MIN(Piano_SS!$C$6,(BV389)+IF(AND(Motore_Operativo!C390&gt;=EDATE(Parametri_v3!$C$24,Ipotesi!I14*12),Motore_Operativo!C390&lt;EDATE(Parametri_v3!$C$24,Parametri_v3!$C$25+Ipotesi!I14*12)),MAX(0,(Motore_Operativo!Y390+Motore_Operativo!X390*Parametri_v3!$C$14)*(1-Parametri_v3!$C$32))*Piano_SS!$D$6,0))</f>
        <v>224827.870833333</v>
      </c>
      <c r="BW390" s="15" t="n">
        <f aca="false">MIN(Piano_SS!$C$7,(BW389)+IF(AND(Motore_Operativo!C390&gt;=EDATE(Parametri_v3!$C$24,Ipotesi!I14*12),Motore_Operativo!C390&lt;EDATE(Parametri_v3!$C$24,Parametri_v3!$C$25+Ipotesi!I14*12)),MAX(0,(IF(26-(INT((Ipotesi!$C$91)/30))&lt;1,0,INDEX(Motore_Operativo!$BN$365:$BN$424,MAX(1,26-(INT((Ipotesi!$C$91)/30)))))*(1-(MOD((Ipotesi!$C$91),30)/30))+IF(26-(INT((Ipotesi!$C$91)/30))-1&lt;1,0,INDEX(Motore_Operativo!$BN$365:$BN$424,MAX(1,26-(INT((Ipotesi!$C$91)/30))-1)))*(MOD((Ipotesi!$C$91),30)/30)))*Piano_SS!$D$7,0))</f>
        <v>30769.4131206034</v>
      </c>
      <c r="BX390" s="15" t="n">
        <f aca="false">MIN(Piano_SS!$C$8,(BX389)+IF(AND(Motore_Operativo!C390&gt;=EDATE(Parametri_v3!$C$24,Ipotesi!I14*12),Motore_Operativo!C390&lt;EDATE(Parametri_v3!$C$24,Parametri_v3!$C$25+Ipotesi!I14*12)),MAX(0,Motore_Operativo!CE390)*Piano_SS!$D$8,0))</f>
        <v>40000</v>
      </c>
      <c r="BY390" s="15" t="n">
        <f aca="false">MIN(Piano_SS!$C$9,(BY389)+IF(AND(Motore_Operativo!C390&gt;=EDATE(Parametri_v3!$C$24,Ipotesi!I14*12),Motore_Operativo!C390&lt;EDATE(Parametri_v3!$C$24,Parametri_v3!$C$25+Ipotesi!I14*12)),MAX(0,((IF(26-(INT((Ipotesi!$C$91)/30))&lt;1,0,INDEX(Motore_Operativo!$BQ$365:$BQ$424,MAX(1,26-(INT((Ipotesi!$C$91)/30)))))*(1-(MOD((Ipotesi!$C$91),30)/30))+IF(26-(INT((Ipotesi!$C$91)/30))-1&lt;1,0,INDEX(Motore_Operativo!$BQ$365:$BQ$424,MAX(1,26-(INT((Ipotesi!$C$91)/30))-1)))*(MOD((Ipotesi!$C$91),30)/30))+(IF(26-(INT((Ipotesi!$C$91)/30))&lt;1,0,INDEX(Motore_Operativo!$BR$365:$BR$424,MAX(1,26-(INT((Ipotesi!$C$91)/30)))))*(1-(MOD((Ipotesi!$C$91),30)/30))+IF(26-(INT((Ipotesi!$C$91)/30))-1&lt;1,0,INDEX(Motore_Operativo!$BR$365:$BR$424,MAX(1,26-(INT((Ipotesi!$C$91)/30))-1)))*(MOD((Ipotesi!$C$91),30)/30))))*Piano_SS!$D$9,0))</f>
        <v>40000</v>
      </c>
      <c r="BZ390" s="15" t="n">
        <f aca="false">MIN(Piano_SS!$C$10,(BZ389)+IF(AND(Motore_Operativo!C390&gt;=EDATE(Parametri_v3!$C$24,Ipotesi!I14*12),Motore_Operativo!C390&lt;EDATE(Parametri_v3!$C$24,Parametri_v3!$C$25+Ipotesi!I14*12)),MAX(0,(IF(26-(INT((Ipotesi!$C$91)/30))&lt;1,0,INDEX(Motore_Operativo!$BO$365:$BO$424,MAX(1,26-(INT((Ipotesi!$C$91)/30)))))*(1-(MOD((Ipotesi!$C$91),30)/30))+IF(26-(INT((Ipotesi!$C$91)/30))-1&lt;1,0,INDEX(Motore_Operativo!$BO$365:$BO$424,MAX(1,26-(INT((Ipotesi!$C$91)/30))-1)))*(MOD((Ipotesi!$C$91),30)/30)))*Piano_SS!$D$10,0))</f>
        <v>30000</v>
      </c>
      <c r="CA390" s="15" t="n">
        <f aca="false">SUM(BV390:BZ390)</f>
        <v>365597.283953937</v>
      </c>
      <c r="CB390" s="15" t="n">
        <f aca="false">BV390*(1-Piano_SS!$E$6)+BW390*(1-Piano_SS!$E$7)+BX390*(1-Piano_SS!$E$8)+BY390*(1-Piano_SS!$E$9)+BZ390*(1-Piano_SS!$E$10)</f>
        <v>335597.283953937</v>
      </c>
      <c r="CC390" s="15" t="n">
        <f aca="false">(CC389)+BA390</f>
        <v>280000</v>
      </c>
      <c r="CD390" s="15" t="n">
        <f aca="false">IF(CA390=0,0,CC390*CB390/CA390*Ipotesi!$C$103*Parametri_v3!$C$64)</f>
        <v>77107.1697996599</v>
      </c>
      <c r="CE390" s="18" t="n">
        <f aca="false">IF(BA390&gt;0,Motore_Operativo!C390,(CE389))</f>
        <v>47150</v>
      </c>
      <c r="CF390" s="18" t="n">
        <f aca="false">IF(AND(CC390&gt;0,OR(CC390&gt;=CG390-0.01,Motore_Operativo!C390&gt;=EDATE(MAX(Finanziamenti!$D$15:$D$17),Ipotesi!I14*12))),CE390,0)</f>
        <v>0</v>
      </c>
      <c r="CG390" s="15" t="n">
        <f aca="false">IF(AND(7&lt;&gt;6,7&lt;&gt;9,Finanziamenti!$F$11=1,OR(Parametri_v3!$C$6=0,Finanziamenti!$E$11=1)),MIN(Finanziamenti!$C$11,Piano_SS!$C$12*Ipotesi!$C$102),0)</f>
        <v>400000</v>
      </c>
      <c r="CH390" s="15" t="n">
        <f aca="false">IF(AND(AND(7&lt;&gt;8,7&lt;&gt;9,Finanziamenti!$F$10=1,OR(Parametri_v3!$C$6=0,Finanziamenti!$E$10=1)),Motore_Operativo!C390&gt;=Finanziamenti!$D$10,Motore_Operativo!C390&lt;Parametri_v3!$C$63),Finanziamenti!$C$10,0)</f>
        <v>150000</v>
      </c>
    </row>
    <row r="391" customFormat="false" ht="18" hidden="false" customHeight="true" outlineLevel="0" collapsed="false">
      <c r="A391" s="68" t="n">
        <f aca="false">7</f>
        <v>7</v>
      </c>
      <c r="B391" s="68" t="n">
        <f aca="false">27</f>
        <v>27</v>
      </c>
      <c r="C391" s="18" t="n">
        <f aca="false">Motore_Operativo!C391</f>
        <v>47178</v>
      </c>
      <c r="D391" s="68" t="n">
        <f aca="false">Motore_Operativo!D391</f>
        <v>2029</v>
      </c>
      <c r="E391" s="68" t="n">
        <f aca="false">Motore_Operativo!E391</f>
        <v>3</v>
      </c>
      <c r="F391" s="15" t="n">
        <f aca="false">Motore_Operativo!AQ391+Motore_Operativo!BF391</f>
        <v>58267.6757814814</v>
      </c>
      <c r="G391" s="15" t="n">
        <f aca="false">Motore_Operativo!BH391</f>
        <v>6050</v>
      </c>
      <c r="H391" s="15" t="n">
        <f aca="false">Motore_Operativo!BI391</f>
        <v>64317.6757814814</v>
      </c>
      <c r="I391" s="15" t="n">
        <f aca="false">Motore_Operativo!CA391</f>
        <v>115491.807942741</v>
      </c>
      <c r="J391" s="15" t="n">
        <f aca="false">Motore_Operativo!CC391</f>
        <v>-51174.1321612593</v>
      </c>
      <c r="K391" s="15" t="n">
        <f aca="false">Motore_Operativo!CE391</f>
        <v>2500</v>
      </c>
      <c r="L391" s="15" t="n">
        <f aca="false">SUM(INDEX($K$365:$K$424,MAX(1,27-Parametri_v3!$C$59+1)):K391)/Parametri_v3!$C$59</f>
        <v>1458.33333333333</v>
      </c>
      <c r="M391" s="15" t="n">
        <f aca="false">J391-L391</f>
        <v>-52632.4654945927</v>
      </c>
      <c r="N391" s="15" t="n">
        <f aca="false">CD391-(CD390)</f>
        <v>518.681990197467</v>
      </c>
      <c r="O391" s="15" t="n">
        <f aca="false">(BG390)*Ipotesi!$C$110/12+CH391*Parametri_v3!$C$39/12</f>
        <v>750</v>
      </c>
      <c r="P391" s="15" t="n">
        <f aca="false">M391+N391-O391</f>
        <v>-52863.7835043952</v>
      </c>
      <c r="Q391" s="15" t="n">
        <f aca="false">SUM(P389:P391)+Parametri_v3!$C$54*3/12</f>
        <v>-150468.030241512</v>
      </c>
      <c r="R391" s="15" t="n">
        <f aca="false">Z388</f>
        <v>503286.631150559</v>
      </c>
      <c r="S391" s="15" t="n">
        <f aca="false">AA388</f>
        <v>0</v>
      </c>
      <c r="T391" s="15" t="n">
        <f aca="false">MIN(R391,MAX(0,Q391))</f>
        <v>0</v>
      </c>
      <c r="U391" s="15" t="n">
        <f aca="false">MIN(S391,MAX(0,Q391-T391)*Parametri_v3!$C$42)</f>
        <v>0</v>
      </c>
      <c r="V391" s="15" t="n">
        <f aca="false">MAX(0,Q391-T391-U391)*Ipotesi!$C$92</f>
        <v>0</v>
      </c>
      <c r="W391" s="15" t="n">
        <f aca="false">MAX(0,SUM(M389:M391)+Parametri_v3!$C$55*3/12)*Ipotesi!$C$93</f>
        <v>0</v>
      </c>
      <c r="X391" s="15" t="n">
        <f aca="false">V391+W391-(V390+W390)</f>
        <v>0</v>
      </c>
      <c r="Y391" s="15" t="n">
        <f aca="false">P391-X391</f>
        <v>-52863.7835043952</v>
      </c>
      <c r="Z391" s="15" t="n">
        <f aca="false">R391-T391+IF(AND(Parametri_v3!$C$40=1,D391-YEAR(Parametri_v3!$C$50)&lt;Parametri_v3!$C$41),MAX(0,-Q391),0)</f>
        <v>653754.661392071</v>
      </c>
      <c r="AA391" s="15" t="n">
        <f aca="false">S391-U391+IF(AND(Parametri_v3!$C$40=1,D391-YEAR(Parametri_v3!$C$50)&lt;Parametri_v3!$C$41),0,MAX(0,-Q391))</f>
        <v>0</v>
      </c>
      <c r="AB391" s="15" t="n">
        <f aca="false">F391*(1+Parametri_v3!$C$26)</f>
        <v>71086.5644534073</v>
      </c>
      <c r="AC391" s="15" t="n">
        <f aca="false">(IF(27-(INT((Motore_Operativo!L391)/30))&lt;1,0,INDEX(Motore_Startup!$AB$365:$AB$424,MAX(1,27-(INT((Motore_Operativo!L391)/30)))))*(1-(MOD((Motore_Operativo!L391),30)/30))+IF(27-(INT((Motore_Operativo!L391)/30))-1&lt;1,0,INDEX(Motore_Startup!$AB$365:$AB$424,MAX(1,27-(INT((Motore_Operativo!L391)/30))-1)))*(MOD((Motore_Operativo!L391),30)/30))</f>
        <v>38818.6776030012</v>
      </c>
      <c r="AD391" s="15" t="n">
        <f aca="false">(AD390)+AB391-AC391</f>
        <v>210864.564516472</v>
      </c>
      <c r="AE391" s="15" t="n">
        <f aca="false">Motore_Operativo!BH391*(1+Parametri_v3!$C$26)</f>
        <v>7381</v>
      </c>
      <c r="AF391" s="15" t="n">
        <f aca="false">(IF(27-(INT((Parametri_v3!$C$29)/30))&lt;1,0,INDEX(Motore_Operativo!$BH$365:$BH$424,MAX(1,27-(INT((Parametri_v3!$C$29)/30)))))*(1-(MOD((Parametri_v3!$C$29),30)/30))+IF(27-(INT((Parametri_v3!$C$29)/30))-1&lt;1,0,INDEX(Motore_Operativo!$BH$365:$BH$424,MAX(1,27-(INT((Parametri_v3!$C$29)/30))-1)))*(MOD((Parametri_v3!$C$29),30)/30))*(1+Parametri_v3!$C$26)</f>
        <v>7381</v>
      </c>
      <c r="AG391" s="15" t="n">
        <f aca="false">(AG390)+AE391-AF391</f>
        <v>7381</v>
      </c>
      <c r="AH391" s="15" t="n">
        <f aca="false">(Motore_Operativo!CJ391)*(1+Parametri_v3!$C$27*Parametri_v3!$C$26)</f>
        <v>48925.9336946999</v>
      </c>
      <c r="AI391" s="15" t="n">
        <f aca="false">(IF(27-(INT((Ipotesi!$C$91)/30))&lt;1,0,INDEX(Motore_Startup!$AH$365:$AH$424,MAX(1,27-(INT((Ipotesi!$C$91)/30)))))*(1-(MOD((Ipotesi!$C$91),30)/30))+IF(27-(INT((Ipotesi!$C$91)/30))-1&lt;1,0,INDEX(Motore_Startup!$AH$365:$AH$424,MAX(1,27-(INT((Ipotesi!$C$91)/30))-1)))*(MOD((Ipotesi!$C$91),30)/30))</f>
        <v>48708.1163157266</v>
      </c>
      <c r="AJ391" s="15" t="n">
        <f aca="false">(AJ390)+AH391-AI391</f>
        <v>97743.4368083286</v>
      </c>
      <c r="AK391" s="15" t="n">
        <f aca="false">(F391+ Motore_Operativo!BH391-(Motore_Operativo!CJ391)*Parametri_v3!$C$27-Motore_Operativo!CE391)*Parametri_v3!$C$26</f>
        <v>5892.09625330006</v>
      </c>
      <c r="AL391" s="15" t="n">
        <f aca="false">MAX(0,(AM390))</f>
        <v>5765.63088307964</v>
      </c>
      <c r="AM391" s="15" t="n">
        <f aca="false">(AM390)+AK391-AL391</f>
        <v>5892.09625330006</v>
      </c>
      <c r="AN391" s="15" t="n">
        <f aca="false">SUM(X377:X388)</f>
        <v>0</v>
      </c>
      <c r="AO391" s="15" t="n">
        <f aca="false">SUM(AP377:AP388)</f>
        <v>0</v>
      </c>
      <c r="AP391" s="15" t="n">
        <f aca="false">MAX(0,AN391)*IF(3=Parametri_v3!$C$43,Parametri_v3!$C$45,IF(3=Parametri_v3!$C$44,1-Parametri_v3!$C$45,0))</f>
        <v>0</v>
      </c>
      <c r="AQ391" s="15" t="n">
        <f aca="false">MAX(0,AP391+IF(3=Parametri_v3!$C$43,MAX(0,AN391-AO391),0)-MAX(0,-(AR390)))</f>
        <v>0</v>
      </c>
      <c r="AR391" s="15" t="n">
        <f aca="false">(AR390)+X391-AQ391</f>
        <v>0</v>
      </c>
      <c r="AS391" s="15" t="n">
        <f aca="false">Motore_Operativo!AB391-AT391+AU391</f>
        <v>70559.9833333333</v>
      </c>
      <c r="AT391" s="15" t="n">
        <f aca="false">Motore_Operativo!CH391</f>
        <v>3713.68333333333</v>
      </c>
      <c r="AU391" s="15" t="n">
        <f aca="false">MIN(MAX(0,(AV390)+AT391),Parametri_v3!$C$60/12)</f>
        <v>0</v>
      </c>
      <c r="AV391" s="15" t="n">
        <f aca="false">(AV390)+AT391-AU391</f>
        <v>45748.55</v>
      </c>
      <c r="AW391" s="15" t="n">
        <f aca="false">IF(AND(Motore_Operativo!C391=Finanziamenti!$D$6,Finanziamenti!$F$6=1),Finanziamenti!$C$6,0)</f>
        <v>0</v>
      </c>
      <c r="AX391" s="15" t="n">
        <f aca="false">IF(AND(7&lt;&gt;7,7&lt;&gt;9,Finanziamenti!$F$8=1,OR(Parametri_v3!$C$6=0,Finanziamenti!$E$8=1),Motore_Operativo!C391=EDATE(Finanziamenti!$D$8,Ipotesi!I15*12)),Finanziamenti!$C$8*1,0)+IF(AND(7&lt;&gt;7,7&lt;&gt;9,Finanziamenti!$F$9=1,OR(Parametri_v3!$C$6=0,Finanziamenti!$E$9=1),Motore_Operativo!C391=EDATE(Finanziamenti!$D$9,Ipotesi!I15*12)),Finanziamenti!$C$9*Ipotesi!I16,0)</f>
        <v>0</v>
      </c>
      <c r="AY391" s="15" t="n">
        <f aca="false">0</f>
        <v>0</v>
      </c>
      <c r="AZ391" s="15" t="n">
        <f aca="false">Motore_Advisory!AY391*(1-Ipotesi!$C$95)*Ipotesi!$C$96</f>
        <v>0</v>
      </c>
      <c r="BA391" s="15" t="n">
        <f aca="false">MAX(0,MIN(CG391*MIN(1,IF(Motore_Operativo!C391&gt;=EDATE(Finanziamenti!$D$15,Ipotesi!I14*12),Finanziamenti!$C$15,0)+IF(Motore_Operativo!C391&gt;=EDATE(Finanziamenti!$D$16,Ipotesi!I14*12),Finanziamenti!$C$16,0)+IF(Motore_Operativo!C391&gt;=EDATE(Finanziamenti!$D$17,Ipotesi!I14*12),Finanziamenti!$C$17,0)),CA391*Ipotesi!$C$102)-(CC390))</f>
        <v>0</v>
      </c>
      <c r="BB391" s="15" t="n">
        <f aca="false">IF(AND(CF391&gt;0,Motore_Operativo!C391&gt;=IF(CF391=0,0,EDATE(CF391,Parametri_v3!$C$37)),MOD(((D391-YEAR(IF(CF391=0,0,EDATE(CF391,Parametri_v3!$C$37))))*12+E391-MONTH(IF(CF391=0,0,EDATE(CF391,Parametri_v3!$C$37)))),Parametri_v3!$C$38)=0),MIN(MAX(0,(BC390)+BA391-N391),(CC391-CD391)/(Ipotesi!$C$108*12/Parametri_v3!$C$38)),0)</f>
        <v>0</v>
      </c>
      <c r="BC391" s="15" t="n">
        <f aca="false">(BC390)+BA391-N391-BB391</f>
        <v>202374.148210143</v>
      </c>
      <c r="BD391" s="15" t="n">
        <f aca="false">(BH390)+AC391+AF391-AI391-AS391-K391*(1+Parametri_v3!$C$26)-AL391-AQ391-O391+AW391+AX391+AZ391+BA391-BB391</f>
        <v>-273783.661303438</v>
      </c>
      <c r="BE391" s="15" t="n">
        <f aca="false">MAX(0,MIN(MAX(0,CH391-(BG390)),Parametri_v3!$C$30-BD391))</f>
        <v>0</v>
      </c>
      <c r="BF391" s="15" t="n">
        <f aca="false">IF(Motore_Operativo!C391&gt;=Parametri_v3!$C$63,(BG390),MIN((BG390),MAX(0,BD391-Parametri_v3!$C$30)))</f>
        <v>0</v>
      </c>
      <c r="BG391" s="15" t="n">
        <f aca="false">(BG390)+BE391-BF391</f>
        <v>150000</v>
      </c>
      <c r="BH391" s="15" t="n">
        <f aca="false">BD391+BE391-BF391-AY391</f>
        <v>-273783.661303438</v>
      </c>
      <c r="BI391" s="15" t="n">
        <f aca="false">MAX(0,Parametri_v3!$C$30-BH391)</f>
        <v>298783.661303438</v>
      </c>
      <c r="BJ391" s="15" t="n">
        <f aca="false">(BJ390)+K391</f>
        <v>52500</v>
      </c>
      <c r="BK391" s="15" t="n">
        <f aca="false">(BK390)+L391</f>
        <v>18958.3333333333</v>
      </c>
      <c r="BL391" s="15" t="n">
        <f aca="false">BJ391-BK391</f>
        <v>33541.6666666667</v>
      </c>
      <c r="BM391" s="15" t="n">
        <f aca="false">(BM390)+Y391</f>
        <v>-653754.661392071</v>
      </c>
      <c r="BN391" s="15" t="n">
        <f aca="false">(BN390)+AW391+AX391+AZ391</f>
        <v>130000</v>
      </c>
      <c r="BO391" s="15" t="n">
        <f aca="false">(BO390)+AY391</f>
        <v>0</v>
      </c>
      <c r="BP391" s="15" t="n">
        <f aca="false">0</f>
        <v>0</v>
      </c>
      <c r="BQ391" s="15" t="n">
        <f aca="false">BN391+BM391-BO391</f>
        <v>-523754.661392071</v>
      </c>
      <c r="BR391" s="15" t="n">
        <f aca="false">BH391+AD391+BL391+MAX(0,-AM391)+MAX(0,-AR391)+AG391</f>
        <v>-21996.4301202996</v>
      </c>
      <c r="BS391" s="15" t="n">
        <f aca="false">AJ391+AV391+MAX(0,AM391)+MAX(0,AR391)+BC391+BG391+BQ391</f>
        <v>-21996.4301202993</v>
      </c>
      <c r="BT391" s="15" t="n">
        <f aca="false">BR391-BS391</f>
        <v>-3.05590219795704E-010</v>
      </c>
      <c r="BU391" s="15" t="n">
        <f aca="false">BH391-(BD391+BE391-BF391-AY391)</f>
        <v>0</v>
      </c>
      <c r="BV391" s="15" t="n">
        <f aca="false">MIN(Piano_SS!$C$6,(BV390)+IF(AND(Motore_Operativo!C391&gt;=EDATE(Parametri_v3!$C$24,Ipotesi!I14*12),Motore_Operativo!C391&lt;EDATE(Parametri_v3!$C$24,Parametri_v3!$C$25+Ipotesi!I14*12)),MAX(0,(Motore_Operativo!Y391+Motore_Operativo!X391*Parametri_v3!$C$14)*(1-Parametri_v3!$C$32))*Piano_SS!$D$6,0))</f>
        <v>249604.30625</v>
      </c>
      <c r="BW391" s="15" t="n">
        <f aca="false">MIN(Piano_SS!$C$7,(BW390)+IF(AND(Motore_Operativo!C391&gt;=EDATE(Parametri_v3!$C$24,Ipotesi!I14*12),Motore_Operativo!C391&lt;EDATE(Parametri_v3!$C$24,Parametri_v3!$C$25+Ipotesi!I14*12)),MAX(0,(IF(27-(INT((Ipotesi!$C$91)/30))&lt;1,0,INDEX(Motore_Operativo!$BN$365:$BN$424,MAX(1,27-(INT((Ipotesi!$C$91)/30)))))*(1-(MOD((Ipotesi!$C$91),30)/30))+IF(27-(INT((Ipotesi!$C$91)/30))-1&lt;1,0,INDEX(Motore_Operativo!$BN$365:$BN$424,MAX(1,27-(INT((Ipotesi!$C$91)/30))-1)))*(MOD((Ipotesi!$C$91),30)/30)))*Piano_SS!$D$7,0))</f>
        <v>33242.6353209773</v>
      </c>
      <c r="BX391" s="15" t="n">
        <f aca="false">MIN(Piano_SS!$C$8,(BX390)+IF(AND(Motore_Operativo!C391&gt;=EDATE(Parametri_v3!$C$24,Ipotesi!I14*12),Motore_Operativo!C391&lt;EDATE(Parametri_v3!$C$24,Parametri_v3!$C$25+Ipotesi!I14*12)),MAX(0,Motore_Operativo!CE391)*Piano_SS!$D$8,0))</f>
        <v>42500</v>
      </c>
      <c r="BY391" s="15" t="n">
        <f aca="false">MIN(Piano_SS!$C$9,(BY390)+IF(AND(Motore_Operativo!C391&gt;=EDATE(Parametri_v3!$C$24,Ipotesi!I14*12),Motore_Operativo!C391&lt;EDATE(Parametri_v3!$C$24,Parametri_v3!$C$25+Ipotesi!I14*12)),MAX(0,((IF(27-(INT((Ipotesi!$C$91)/30))&lt;1,0,INDEX(Motore_Operativo!$BQ$365:$BQ$424,MAX(1,27-(INT((Ipotesi!$C$91)/30)))))*(1-(MOD((Ipotesi!$C$91),30)/30))+IF(27-(INT((Ipotesi!$C$91)/30))-1&lt;1,0,INDEX(Motore_Operativo!$BQ$365:$BQ$424,MAX(1,27-(INT((Ipotesi!$C$91)/30))-1)))*(MOD((Ipotesi!$C$91),30)/30))+(IF(27-(INT((Ipotesi!$C$91)/30))&lt;1,0,INDEX(Motore_Operativo!$BR$365:$BR$424,MAX(1,27-(INT((Ipotesi!$C$91)/30)))))*(1-(MOD((Ipotesi!$C$91),30)/30))+IF(27-(INT((Ipotesi!$C$91)/30))-1&lt;1,0,INDEX(Motore_Operativo!$BR$365:$BR$424,MAX(1,27-(INT((Ipotesi!$C$91)/30))-1)))*(MOD((Ipotesi!$C$91),30)/30))))*Piano_SS!$D$9,0))</f>
        <v>40000</v>
      </c>
      <c r="BZ391" s="15" t="n">
        <f aca="false">MIN(Piano_SS!$C$10,(BZ390)+IF(AND(Motore_Operativo!C391&gt;=EDATE(Parametri_v3!$C$24,Ipotesi!I14*12),Motore_Operativo!C391&lt;EDATE(Parametri_v3!$C$24,Parametri_v3!$C$25+Ipotesi!I14*12)),MAX(0,(IF(27-(INT((Ipotesi!$C$91)/30))&lt;1,0,INDEX(Motore_Operativo!$BO$365:$BO$424,MAX(1,27-(INT((Ipotesi!$C$91)/30)))))*(1-(MOD((Ipotesi!$C$91),30)/30))+IF(27-(INT((Ipotesi!$C$91)/30))-1&lt;1,0,INDEX(Motore_Operativo!$BO$365:$BO$424,MAX(1,27-(INT((Ipotesi!$C$91)/30))-1)))*(MOD((Ipotesi!$C$91),30)/30)))*Piano_SS!$D$10,0))</f>
        <v>30000</v>
      </c>
      <c r="CA391" s="15" t="n">
        <f aca="false">SUM(BV391:BZ391)</f>
        <v>395346.941570977</v>
      </c>
      <c r="CB391" s="15" t="n">
        <f aca="false">BV391*(1-Piano_SS!$E$6)+BW391*(1-Piano_SS!$E$7)+BX391*(1-Piano_SS!$E$8)+BY391*(1-Piano_SS!$E$9)+BZ391*(1-Piano_SS!$E$10)</f>
        <v>365346.941570977</v>
      </c>
      <c r="CC391" s="15" t="n">
        <f aca="false">(CC390)+BA391</f>
        <v>280000</v>
      </c>
      <c r="CD391" s="15" t="n">
        <f aca="false">IF(CA391=0,0,CC391*CB391/CA391*Ipotesi!$C$103*Parametri_v3!$C$64)</f>
        <v>77625.8517898574</v>
      </c>
      <c r="CE391" s="18" t="n">
        <f aca="false">IF(BA391&gt;0,Motore_Operativo!C391,(CE390))</f>
        <v>47150</v>
      </c>
      <c r="CF391" s="18" t="n">
        <f aca="false">IF(AND(CC391&gt;0,OR(CC391&gt;=CG391-0.01,Motore_Operativo!C391&gt;=EDATE(MAX(Finanziamenti!$D$15:$D$17),Ipotesi!I14*12))),CE391,0)</f>
        <v>0</v>
      </c>
      <c r="CG391" s="15" t="n">
        <f aca="false">IF(AND(7&lt;&gt;6,7&lt;&gt;9,Finanziamenti!$F$11=1,OR(Parametri_v3!$C$6=0,Finanziamenti!$E$11=1)),MIN(Finanziamenti!$C$11,Piano_SS!$C$12*Ipotesi!$C$102),0)</f>
        <v>400000</v>
      </c>
      <c r="CH391" s="15" t="n">
        <f aca="false">IF(AND(AND(7&lt;&gt;8,7&lt;&gt;9,Finanziamenti!$F$10=1,OR(Parametri_v3!$C$6=0,Finanziamenti!$E$10=1)),Motore_Operativo!C391&gt;=Finanziamenti!$D$10,Motore_Operativo!C391&lt;Parametri_v3!$C$63),Finanziamenti!$C$10,0)</f>
        <v>150000</v>
      </c>
    </row>
    <row r="392" customFormat="false" ht="18" hidden="false" customHeight="true" outlineLevel="0" collapsed="false">
      <c r="A392" s="68" t="n">
        <f aca="false">7</f>
        <v>7</v>
      </c>
      <c r="B392" s="68" t="n">
        <f aca="false">28</f>
        <v>28</v>
      </c>
      <c r="C392" s="18" t="n">
        <f aca="false">Motore_Operativo!C392</f>
        <v>47209</v>
      </c>
      <c r="D392" s="68" t="n">
        <f aca="false">Motore_Operativo!D392</f>
        <v>2029</v>
      </c>
      <c r="E392" s="68" t="n">
        <f aca="false">Motore_Operativo!E392</f>
        <v>4</v>
      </c>
      <c r="F392" s="15" t="n">
        <f aca="false">Motore_Operativo!AQ392+Motore_Operativo!BF392</f>
        <v>59945.7332669554</v>
      </c>
      <c r="G392" s="15" t="n">
        <f aca="false">Motore_Operativo!BH392</f>
        <v>6050</v>
      </c>
      <c r="H392" s="15" t="n">
        <f aca="false">Motore_Operativo!BI392</f>
        <v>65995.7332669555</v>
      </c>
      <c r="I392" s="15" t="n">
        <f aca="false">Motore_Operativo!CA392</f>
        <v>115726.735990707</v>
      </c>
      <c r="J392" s="15" t="n">
        <f aca="false">Motore_Operativo!CC392</f>
        <v>-49731.0027237517</v>
      </c>
      <c r="K392" s="15" t="n">
        <f aca="false">Motore_Operativo!CE392</f>
        <v>2500</v>
      </c>
      <c r="L392" s="15" t="n">
        <f aca="false">SUM(INDEX($K$365:$K$424,MAX(1,28-Parametri_v3!$C$59+1)):K392)/Parametri_v3!$C$59</f>
        <v>1527.77777777778</v>
      </c>
      <c r="M392" s="15" t="n">
        <f aca="false">J392-L392</f>
        <v>-51258.7805015294</v>
      </c>
      <c r="N392" s="15" t="n">
        <f aca="false">CD392-(CD391)</f>
        <v>446.818104475213</v>
      </c>
      <c r="O392" s="15" t="n">
        <f aca="false">(BG391)*Ipotesi!$C$110/12+CH392*Parametri_v3!$C$39/12</f>
        <v>750</v>
      </c>
      <c r="P392" s="15" t="n">
        <f aca="false">M392+N392-O392</f>
        <v>-51561.9623970542</v>
      </c>
      <c r="Q392" s="15" t="n">
        <f aca="false">SUM(P389:P392)+Parametri_v3!$C$54*4/12</f>
        <v>-202029.992638566</v>
      </c>
      <c r="R392" s="15" t="n">
        <f aca="false">Z388</f>
        <v>503286.631150559</v>
      </c>
      <c r="S392" s="15" t="n">
        <f aca="false">AA388</f>
        <v>0</v>
      </c>
      <c r="T392" s="15" t="n">
        <f aca="false">MIN(R392,MAX(0,Q392))</f>
        <v>0</v>
      </c>
      <c r="U392" s="15" t="n">
        <f aca="false">MIN(S392,MAX(0,Q392-T392)*Parametri_v3!$C$42)</f>
        <v>0</v>
      </c>
      <c r="V392" s="15" t="n">
        <f aca="false">MAX(0,Q392-T392-U392)*Ipotesi!$C$92</f>
        <v>0</v>
      </c>
      <c r="W392" s="15" t="n">
        <f aca="false">MAX(0,SUM(M389:M392)+Parametri_v3!$C$55*4/12)*Ipotesi!$C$93</f>
        <v>0</v>
      </c>
      <c r="X392" s="15" t="n">
        <f aca="false">V392+W392-(V391+W391)</f>
        <v>0</v>
      </c>
      <c r="Y392" s="15" t="n">
        <f aca="false">P392-X392</f>
        <v>-51561.9623970542</v>
      </c>
      <c r="Z392" s="15" t="n">
        <f aca="false">R392-T392+IF(AND(Parametri_v3!$C$40=1,D392-YEAR(Parametri_v3!$C$50)&lt;Parametri_v3!$C$41),MAX(0,-Q392),0)</f>
        <v>705316.623789125</v>
      </c>
      <c r="AA392" s="15" t="n">
        <f aca="false">S392-U392+IF(AND(Parametri_v3!$C$40=1,D392-YEAR(Parametri_v3!$C$50)&lt;Parametri_v3!$C$41),0,MAX(0,-Q392))</f>
        <v>0</v>
      </c>
      <c r="AB392" s="15" t="n">
        <f aca="false">F392*(1+Parametri_v3!$C$26)</f>
        <v>73133.7945856856</v>
      </c>
      <c r="AC392" s="15" t="n">
        <f aca="false">(IF(28-(INT((Motore_Operativo!L392)/30))&lt;1,0,INDEX(Motore_Startup!$AB$365:$AB$424,MAX(1,28-(INT((Motore_Operativo!L392)/30)))))*(1-(MOD((Motore_Operativo!L392),30)/30))+IF(28-(INT((Motore_Operativo!L392)/30))-1&lt;1,0,INDEX(Motore_Startup!$AB$365:$AB$424,MAX(1,28-(INT((Motore_Operativo!L392)/30))-1)))*(MOD((Motore_Operativo!L392),30)/30))</f>
        <v>69487.4718890345</v>
      </c>
      <c r="AD392" s="15" t="n">
        <f aca="false">(AD391)+AB392-AC392</f>
        <v>214510.887213123</v>
      </c>
      <c r="AE392" s="15" t="n">
        <f aca="false">Motore_Operativo!BH392*(1+Parametri_v3!$C$26)</f>
        <v>7381</v>
      </c>
      <c r="AF392" s="15" t="n">
        <f aca="false">(IF(28-(INT((Parametri_v3!$C$29)/30))&lt;1,0,INDEX(Motore_Operativo!$BH$365:$BH$424,MAX(1,28-(INT((Parametri_v3!$C$29)/30)))))*(1-(MOD((Parametri_v3!$C$29),30)/30))+IF(28-(INT((Parametri_v3!$C$29)/30))-1&lt;1,0,INDEX(Motore_Operativo!$BH$365:$BH$424,MAX(1,28-(INT((Parametri_v3!$C$29)/30))-1)))*(MOD((Parametri_v3!$C$29),30)/30))*(1+Parametri_v3!$C$26)</f>
        <v>7381</v>
      </c>
      <c r="AG392" s="15" t="n">
        <f aca="false">(AG391)+AE392-AF392</f>
        <v>7381</v>
      </c>
      <c r="AH392" s="15" t="n">
        <f aca="false">(Motore_Operativo!CJ392)*(1+Parametri_v3!$C$27*Parametri_v3!$C$26)</f>
        <v>49204.793287636</v>
      </c>
      <c r="AI392" s="15" t="n">
        <f aca="false">(IF(28-(INT((Ipotesi!$C$91)/30))&lt;1,0,INDEX(Motore_Startup!$AH$365:$AH$424,MAX(1,28-(INT((Ipotesi!$C$91)/30)))))*(1-(MOD((Ipotesi!$C$91),30)/30))+IF(28-(INT((Ipotesi!$C$91)/30))-1&lt;1,0,INDEX(Motore_Startup!$AH$365:$AH$424,MAX(1,28-(INT((Ipotesi!$C$91)/30))-1)))*(MOD((Ipotesi!$C$91),30)/30))</f>
        <v>48817.5031136287</v>
      </c>
      <c r="AJ392" s="15" t="n">
        <f aca="false">(AJ391)+AH392-AI392</f>
        <v>98130.7269823359</v>
      </c>
      <c r="AK392" s="15" t="n">
        <f aca="false">(F392+ Motore_Operativo!BH392-(Motore_Operativo!CJ392)*Parametri_v3!$C$27-Motore_Operativo!CE392)*Parametri_v3!$C$26</f>
        <v>6217.33735513464</v>
      </c>
      <c r="AL392" s="15" t="n">
        <f aca="false">MAX(0,(AM391))</f>
        <v>5892.09625330006</v>
      </c>
      <c r="AM392" s="15" t="n">
        <f aca="false">(AM391)+AK392-AL392</f>
        <v>6217.33735513464</v>
      </c>
      <c r="AN392" s="15" t="n">
        <f aca="false">SUM(X377:X388)</f>
        <v>0</v>
      </c>
      <c r="AO392" s="15" t="n">
        <f aca="false">SUM(AP377:AP388)</f>
        <v>0</v>
      </c>
      <c r="AP392" s="15" t="n">
        <f aca="false">MAX(0,AN392)*IF(4=Parametri_v3!$C$43,Parametri_v3!$C$45,IF(4=Parametri_v3!$C$44,1-Parametri_v3!$C$45,0))</f>
        <v>0</v>
      </c>
      <c r="AQ392" s="15" t="n">
        <f aca="false">MAX(0,AP392+IF(4=Parametri_v3!$C$43,MAX(0,AN392-AO392),0)-MAX(0,-(AR391)))</f>
        <v>0</v>
      </c>
      <c r="AR392" s="15" t="n">
        <f aca="false">(AR391)+X392-AQ392</f>
        <v>0</v>
      </c>
      <c r="AS392" s="15" t="n">
        <f aca="false">Motore_Operativo!AB392-AT392+AU392</f>
        <v>70559.9833333333</v>
      </c>
      <c r="AT392" s="15" t="n">
        <f aca="false">Motore_Operativo!CH392</f>
        <v>3713.68333333333</v>
      </c>
      <c r="AU392" s="15" t="n">
        <f aca="false">MIN(MAX(0,(AV391)+AT392),Parametri_v3!$C$60/12)</f>
        <v>0</v>
      </c>
      <c r="AV392" s="15" t="n">
        <f aca="false">(AV391)+AT392-AU392</f>
        <v>49462.2333333333</v>
      </c>
      <c r="AW392" s="15" t="n">
        <f aca="false">IF(AND(Motore_Operativo!C392=Finanziamenti!$D$6,Finanziamenti!$F$6=1),Finanziamenti!$C$6,0)</f>
        <v>0</v>
      </c>
      <c r="AX392" s="15" t="n">
        <f aca="false">IF(AND(7&lt;&gt;7,7&lt;&gt;9,Finanziamenti!$F$8=1,OR(Parametri_v3!$C$6=0,Finanziamenti!$E$8=1),Motore_Operativo!C392=EDATE(Finanziamenti!$D$8,Ipotesi!I15*12)),Finanziamenti!$C$8*1,0)+IF(AND(7&lt;&gt;7,7&lt;&gt;9,Finanziamenti!$F$9=1,OR(Parametri_v3!$C$6=0,Finanziamenti!$E$9=1),Motore_Operativo!C392=EDATE(Finanziamenti!$D$9,Ipotesi!I15*12)),Finanziamenti!$C$9*Ipotesi!I16,0)</f>
        <v>0</v>
      </c>
      <c r="AY392" s="15" t="n">
        <f aca="false">0</f>
        <v>0</v>
      </c>
      <c r="AZ392" s="15" t="n">
        <f aca="false">Motore_Advisory!AY392*(1-Ipotesi!$C$95)*Ipotesi!$C$96</f>
        <v>0</v>
      </c>
      <c r="BA392" s="15" t="n">
        <f aca="false">MAX(0,MIN(CG392*MIN(1,IF(Motore_Operativo!C392&gt;=EDATE(Finanziamenti!$D$15,Ipotesi!I14*12),Finanziamenti!$C$15,0)+IF(Motore_Operativo!C392&gt;=EDATE(Finanziamenti!$D$16,Ipotesi!I14*12),Finanziamenti!$C$16,0)+IF(Motore_Operativo!C392&gt;=EDATE(Finanziamenti!$D$17,Ipotesi!I14*12),Finanziamenti!$C$17,0)),CA392*Ipotesi!$C$102)-(CC391))</f>
        <v>0</v>
      </c>
      <c r="BB392" s="15" t="n">
        <f aca="false">IF(AND(CF392&gt;0,Motore_Operativo!C392&gt;=IF(CF392=0,0,EDATE(CF392,Parametri_v3!$C$37)),MOD(((D392-YEAR(IF(CF392=0,0,EDATE(CF392,Parametri_v3!$C$37))))*12+E392-MONTH(IF(CF392=0,0,EDATE(CF392,Parametri_v3!$C$37)))),Parametri_v3!$C$38)=0),MIN(MAX(0,(BC391)+BA392-N392),(CC392-CD392)/(Ipotesi!$C$108*12/Parametri_v3!$C$38)),0)</f>
        <v>0</v>
      </c>
      <c r="BC392" s="15" t="n">
        <f aca="false">(BC391)+BA392-N392-BB392</f>
        <v>201927.330105667</v>
      </c>
      <c r="BD392" s="15" t="n">
        <f aca="false">(BH391)+AC392+AF392-AI392-AS392-K392*(1+Parametri_v3!$C$26)-AL392-AQ392-O392+AW392+AX392+AZ392+BA392-BB392</f>
        <v>-325984.772114666</v>
      </c>
      <c r="BE392" s="15" t="n">
        <f aca="false">MAX(0,MIN(MAX(0,CH392-(BG391)),Parametri_v3!$C$30-BD392))</f>
        <v>0</v>
      </c>
      <c r="BF392" s="15" t="n">
        <f aca="false">IF(Motore_Operativo!C392&gt;=Parametri_v3!$C$63,(BG391),MIN((BG391),MAX(0,BD392-Parametri_v3!$C$30)))</f>
        <v>0</v>
      </c>
      <c r="BG392" s="15" t="n">
        <f aca="false">(BG391)+BE392-BF392</f>
        <v>150000</v>
      </c>
      <c r="BH392" s="15" t="n">
        <f aca="false">BD392+BE392-BF392-AY392</f>
        <v>-325984.772114666</v>
      </c>
      <c r="BI392" s="15" t="n">
        <f aca="false">MAX(0,Parametri_v3!$C$30-BH392)</f>
        <v>350984.772114666</v>
      </c>
      <c r="BJ392" s="15" t="n">
        <f aca="false">(BJ391)+K392</f>
        <v>55000</v>
      </c>
      <c r="BK392" s="15" t="n">
        <f aca="false">(BK391)+L392</f>
        <v>20486.1111111111</v>
      </c>
      <c r="BL392" s="15" t="n">
        <f aca="false">BJ392-BK392</f>
        <v>34513.8888888889</v>
      </c>
      <c r="BM392" s="15" t="n">
        <f aca="false">(BM391)+Y392</f>
        <v>-705316.623789125</v>
      </c>
      <c r="BN392" s="15" t="n">
        <f aca="false">(BN391)+AW392+AX392+AZ392</f>
        <v>130000</v>
      </c>
      <c r="BO392" s="15" t="n">
        <f aca="false">(BO391)+AY392</f>
        <v>0</v>
      </c>
      <c r="BP392" s="15" t="n">
        <f aca="false">0</f>
        <v>0</v>
      </c>
      <c r="BQ392" s="15" t="n">
        <f aca="false">BN392+BM392-BO392</f>
        <v>-575316.623789125</v>
      </c>
      <c r="BR392" s="15" t="n">
        <f aca="false">BH392+AD392+BL392+MAX(0,-AM392)+MAX(0,-AR392)+AG392</f>
        <v>-69578.9960126538</v>
      </c>
      <c r="BS392" s="15" t="n">
        <f aca="false">AJ392+AV392+MAX(0,AM392)+MAX(0,AR392)+BC392+BG392+BQ392</f>
        <v>-69578.9960126535</v>
      </c>
      <c r="BT392" s="15" t="n">
        <f aca="false">BR392-BS392</f>
        <v>-3.20142135024071E-010</v>
      </c>
      <c r="BU392" s="15" t="n">
        <f aca="false">BH392-(BD392+BE392-BF392-AY392)</f>
        <v>0</v>
      </c>
      <c r="BV392" s="15" t="n">
        <f aca="false">MIN(Piano_SS!$C$6,(BV391)+IF(AND(Motore_Operativo!C392&gt;=EDATE(Parametri_v3!$C$24,Ipotesi!I14*12),Motore_Operativo!C392&lt;EDATE(Parametri_v3!$C$24,Parametri_v3!$C$25+Ipotesi!I14*12)),MAX(0,(Motore_Operativo!Y392+Motore_Operativo!X392*Parametri_v3!$C$14)*(1-Parametri_v3!$C$32))*Piano_SS!$D$6,0))</f>
        <v>274380.741666667</v>
      </c>
      <c r="BW392" s="15" t="n">
        <f aca="false">MIN(Piano_SS!$C$7,(BW391)+IF(AND(Motore_Operativo!C392&gt;=EDATE(Parametri_v3!$C$24,Ipotesi!I14*12),Motore_Operativo!C392&lt;EDATE(Parametri_v3!$C$24,Parametri_v3!$C$25+Ipotesi!I14*12)),MAX(0,(IF(28-(INT((Ipotesi!$C$91)/30))&lt;1,0,INDEX(Motore_Operativo!$BN$365:$BN$424,MAX(1,28-(INT((Ipotesi!$C$91)/30)))))*(1-(MOD((Ipotesi!$C$91),30)/30))+IF(28-(INT((Ipotesi!$C$91)/30))-1&lt;1,0,INDEX(Motore_Operativo!$BN$365:$BN$424,MAX(1,28-(INT((Ipotesi!$C$91)/30))-1)))*(MOD((Ipotesi!$C$91),30)/30)))*Piano_SS!$D$7,0))</f>
        <v>35768.5169498754</v>
      </c>
      <c r="BX392" s="15" t="n">
        <f aca="false">MIN(Piano_SS!$C$8,(BX391)+IF(AND(Motore_Operativo!C392&gt;=EDATE(Parametri_v3!$C$24,Ipotesi!I14*12),Motore_Operativo!C392&lt;EDATE(Parametri_v3!$C$24,Parametri_v3!$C$25+Ipotesi!I14*12)),MAX(0,Motore_Operativo!CE392)*Piano_SS!$D$8,0))</f>
        <v>45000</v>
      </c>
      <c r="BY392" s="15" t="n">
        <f aca="false">MIN(Piano_SS!$C$9,(BY391)+IF(AND(Motore_Operativo!C392&gt;=EDATE(Parametri_v3!$C$24,Ipotesi!I14*12),Motore_Operativo!C392&lt;EDATE(Parametri_v3!$C$24,Parametri_v3!$C$25+Ipotesi!I14*12)),MAX(0,((IF(28-(INT((Ipotesi!$C$91)/30))&lt;1,0,INDEX(Motore_Operativo!$BQ$365:$BQ$424,MAX(1,28-(INT((Ipotesi!$C$91)/30)))))*(1-(MOD((Ipotesi!$C$91),30)/30))+IF(28-(INT((Ipotesi!$C$91)/30))-1&lt;1,0,INDEX(Motore_Operativo!$BQ$365:$BQ$424,MAX(1,28-(INT((Ipotesi!$C$91)/30))-1)))*(MOD((Ipotesi!$C$91),30)/30))+(IF(28-(INT((Ipotesi!$C$91)/30))&lt;1,0,INDEX(Motore_Operativo!$BR$365:$BR$424,MAX(1,28-(INT((Ipotesi!$C$91)/30)))))*(1-(MOD((Ipotesi!$C$91),30)/30))+IF(28-(INT((Ipotesi!$C$91)/30))-1&lt;1,0,INDEX(Motore_Operativo!$BR$365:$BR$424,MAX(1,28-(INT((Ipotesi!$C$91)/30))-1)))*(MOD((Ipotesi!$C$91),30)/30))))*Piano_SS!$D$9,0))</f>
        <v>40000</v>
      </c>
      <c r="BZ392" s="15" t="n">
        <f aca="false">MIN(Piano_SS!$C$10,(BZ391)+IF(AND(Motore_Operativo!C392&gt;=EDATE(Parametri_v3!$C$24,Ipotesi!I14*12),Motore_Operativo!C392&lt;EDATE(Parametri_v3!$C$24,Parametri_v3!$C$25+Ipotesi!I14*12)),MAX(0,(IF(28-(INT((Ipotesi!$C$91)/30))&lt;1,0,INDEX(Motore_Operativo!$BO$365:$BO$424,MAX(1,28-(INT((Ipotesi!$C$91)/30)))))*(1-(MOD((Ipotesi!$C$91),30)/30))+IF(28-(INT((Ipotesi!$C$91)/30))-1&lt;1,0,INDEX(Motore_Operativo!$BO$365:$BO$424,MAX(1,28-(INT((Ipotesi!$C$91)/30))-1)))*(MOD((Ipotesi!$C$91),30)/30)))*Piano_SS!$D$10,0))</f>
        <v>30000</v>
      </c>
      <c r="CA392" s="15" t="n">
        <f aca="false">SUM(BV392:BZ392)</f>
        <v>425149.258616542</v>
      </c>
      <c r="CB392" s="15" t="n">
        <f aca="false">BV392*(1-Piano_SS!$E$6)+BW392*(1-Piano_SS!$E$7)+BX392*(1-Piano_SS!$E$8)+BY392*(1-Piano_SS!$E$9)+BZ392*(1-Piano_SS!$E$10)</f>
        <v>395149.258616542</v>
      </c>
      <c r="CC392" s="15" t="n">
        <f aca="false">(CC391)+BA392</f>
        <v>280000</v>
      </c>
      <c r="CD392" s="15" t="n">
        <f aca="false">IF(CA392=0,0,CC392*CB392/CA392*Ipotesi!$C$103*Parametri_v3!$C$64)</f>
        <v>78072.6698943326</v>
      </c>
      <c r="CE392" s="18" t="n">
        <f aca="false">IF(BA392&gt;0,Motore_Operativo!C392,(CE391))</f>
        <v>47150</v>
      </c>
      <c r="CF392" s="18" t="n">
        <f aca="false">IF(AND(CC392&gt;0,OR(CC392&gt;=CG392-0.01,Motore_Operativo!C392&gt;=EDATE(MAX(Finanziamenti!$D$15:$D$17),Ipotesi!I14*12))),CE392,0)</f>
        <v>0</v>
      </c>
      <c r="CG392" s="15" t="n">
        <f aca="false">IF(AND(7&lt;&gt;6,7&lt;&gt;9,Finanziamenti!$F$11=1,OR(Parametri_v3!$C$6=0,Finanziamenti!$E$11=1)),MIN(Finanziamenti!$C$11,Piano_SS!$C$12*Ipotesi!$C$102),0)</f>
        <v>400000</v>
      </c>
      <c r="CH392" s="15" t="n">
        <f aca="false">IF(AND(AND(7&lt;&gt;8,7&lt;&gt;9,Finanziamenti!$F$10=1,OR(Parametri_v3!$C$6=0,Finanziamenti!$E$10=1)),Motore_Operativo!C392&gt;=Finanziamenti!$D$10,Motore_Operativo!C392&lt;Parametri_v3!$C$63),Finanziamenti!$C$10,0)</f>
        <v>150000</v>
      </c>
    </row>
    <row r="393" customFormat="false" ht="18" hidden="false" customHeight="true" outlineLevel="0" collapsed="false">
      <c r="A393" s="68" t="n">
        <f aca="false">7</f>
        <v>7</v>
      </c>
      <c r="B393" s="68" t="n">
        <f aca="false">29</f>
        <v>29</v>
      </c>
      <c r="C393" s="18" t="n">
        <f aca="false">Motore_Operativo!C393</f>
        <v>47239</v>
      </c>
      <c r="D393" s="68" t="n">
        <f aca="false">Motore_Operativo!D393</f>
        <v>2029</v>
      </c>
      <c r="E393" s="68" t="n">
        <f aca="false">Motore_Operativo!E393</f>
        <v>5</v>
      </c>
      <c r="F393" s="15" t="n">
        <f aca="false">Motore_Operativo!AQ393+Motore_Operativo!BF393</f>
        <v>62640.3943614541</v>
      </c>
      <c r="G393" s="15" t="n">
        <f aca="false">Motore_Operativo!BH393</f>
        <v>6050</v>
      </c>
      <c r="H393" s="15" t="n">
        <f aca="false">Motore_Operativo!BI393</f>
        <v>68690.3943614541</v>
      </c>
      <c r="I393" s="15" t="n">
        <f aca="false">Motore_Operativo!CA393</f>
        <v>116103.988543937</v>
      </c>
      <c r="J393" s="15" t="n">
        <f aca="false">Motore_Operativo!CC393</f>
        <v>-47413.5941824828</v>
      </c>
      <c r="K393" s="15" t="n">
        <f aca="false">Motore_Operativo!CE393</f>
        <v>2500</v>
      </c>
      <c r="L393" s="15" t="n">
        <f aca="false">SUM(INDEX($K$365:$K$424,MAX(1,29-Parametri_v3!$C$59+1)):K393)/Parametri_v3!$C$59</f>
        <v>1597.22222222222</v>
      </c>
      <c r="M393" s="15" t="n">
        <f aca="false">J393-L393</f>
        <v>-49010.8164047051</v>
      </c>
      <c r="N393" s="15" t="n">
        <f aca="false">CD393-(CD392)</f>
        <v>388.914514904522</v>
      </c>
      <c r="O393" s="15" t="n">
        <f aca="false">(BG392)*Ipotesi!$C$110/12+CH393*Parametri_v3!$C$39/12</f>
        <v>750</v>
      </c>
      <c r="P393" s="15" t="n">
        <f aca="false">M393+N393-O393</f>
        <v>-49371.9018898005</v>
      </c>
      <c r="Q393" s="15" t="n">
        <f aca="false">SUM(P389:P393)+Parametri_v3!$C$54*5/12</f>
        <v>-251401.894528367</v>
      </c>
      <c r="R393" s="15" t="n">
        <f aca="false">Z388</f>
        <v>503286.631150559</v>
      </c>
      <c r="S393" s="15" t="n">
        <f aca="false">AA388</f>
        <v>0</v>
      </c>
      <c r="T393" s="15" t="n">
        <f aca="false">MIN(R393,MAX(0,Q393))</f>
        <v>0</v>
      </c>
      <c r="U393" s="15" t="n">
        <f aca="false">MIN(S393,MAX(0,Q393-T393)*Parametri_v3!$C$42)</f>
        <v>0</v>
      </c>
      <c r="V393" s="15" t="n">
        <f aca="false">MAX(0,Q393-T393-U393)*Ipotesi!$C$92</f>
        <v>0</v>
      </c>
      <c r="W393" s="15" t="n">
        <f aca="false">MAX(0,SUM(M389:M393)+Parametri_v3!$C$55*5/12)*Ipotesi!$C$93</f>
        <v>0</v>
      </c>
      <c r="X393" s="15" t="n">
        <f aca="false">V393+W393-(V392+W392)</f>
        <v>0</v>
      </c>
      <c r="Y393" s="15" t="n">
        <f aca="false">P393-X393</f>
        <v>-49371.9018898005</v>
      </c>
      <c r="Z393" s="15" t="n">
        <f aca="false">R393-T393+IF(AND(Parametri_v3!$C$40=1,D393-YEAR(Parametri_v3!$C$50)&lt;Parametri_v3!$C$41),MAX(0,-Q393),0)</f>
        <v>754688.525678926</v>
      </c>
      <c r="AA393" s="15" t="n">
        <f aca="false">S393-U393+IF(AND(Parametri_v3!$C$40=1,D393-YEAR(Parametri_v3!$C$50)&lt;Parametri_v3!$C$41),0,MAX(0,-Q393))</f>
        <v>0</v>
      </c>
      <c r="AB393" s="15" t="n">
        <f aca="false">F393*(1+Parametri_v3!$C$26)</f>
        <v>76421.281120974</v>
      </c>
      <c r="AC393" s="15" t="n">
        <f aca="false">(IF(29-(INT((Motore_Operativo!L393)/30))&lt;1,0,INDEX(Motore_Startup!$AB$365:$AB$424,MAX(1,29-(INT((Motore_Operativo!L393)/30)))))*(1-(MOD((Motore_Operativo!L393),30)/30))+IF(29-(INT((Motore_Operativo!L393)/30))-1&lt;1,0,INDEX(Motore_Startup!$AB$365:$AB$424,MAX(1,29-(INT((Motore_Operativo!L393)/30))-1)))*(MOD((Motore_Operativo!L393),30)/30))</f>
        <v>70290.52817403</v>
      </c>
      <c r="AD393" s="15" t="n">
        <f aca="false">(AD392)+AB393-AC393</f>
        <v>220641.640160067</v>
      </c>
      <c r="AE393" s="15" t="n">
        <f aca="false">Motore_Operativo!BH393*(1+Parametri_v3!$C$26)</f>
        <v>7381</v>
      </c>
      <c r="AF393" s="15" t="n">
        <f aca="false">(IF(29-(INT((Parametri_v3!$C$29)/30))&lt;1,0,INDEX(Motore_Operativo!$BH$365:$BH$424,MAX(1,29-(INT((Parametri_v3!$C$29)/30)))))*(1-(MOD((Parametri_v3!$C$29),30)/30))+IF(29-(INT((Parametri_v3!$C$29)/30))-1&lt;1,0,INDEX(Motore_Operativo!$BH$365:$BH$424,MAX(1,29-(INT((Parametri_v3!$C$29)/30))-1)))*(MOD((Parametri_v3!$C$29),30)/30))*(1+Parametri_v3!$C$26)</f>
        <v>7381</v>
      </c>
      <c r="AG393" s="15" t="n">
        <f aca="false">(AG392)+AE393-AF393</f>
        <v>7381</v>
      </c>
      <c r="AH393" s="15" t="n">
        <f aca="false">(Motore_Operativo!CJ393)*(1+Parametri_v3!$C$27*Parametri_v3!$C$26)</f>
        <v>49652.5920683198</v>
      </c>
      <c r="AI393" s="15" t="n">
        <f aca="false">(IF(29-(INT((Ipotesi!$C$91)/30))&lt;1,0,INDEX(Motore_Startup!$AH$365:$AH$424,MAX(1,29-(INT((Ipotesi!$C$91)/30)))))*(1-(MOD((Ipotesi!$C$91),30)/30))+IF(29-(INT((Ipotesi!$C$91)/30))-1&lt;1,0,INDEX(Motore_Startup!$AH$365:$AH$424,MAX(1,29-(INT((Ipotesi!$C$91)/30))-1)))*(MOD((Ipotesi!$C$91),30)/30))</f>
        <v>48925.9336946999</v>
      </c>
      <c r="AJ393" s="15" t="n">
        <f aca="false">(AJ392)+AH393-AI393</f>
        <v>98857.3853559558</v>
      </c>
      <c r="AK393" s="15" t="n">
        <f aca="false">(F393+ Motore_Operativo!BH393-(Motore_Operativo!CJ393)*Parametri_v3!$C$27-Motore_Operativo!CE393)*Parametri_v3!$C$26</f>
        <v>6739.61656847036</v>
      </c>
      <c r="AL393" s="15" t="n">
        <f aca="false">MAX(0,(AM392))</f>
        <v>6217.33735513464</v>
      </c>
      <c r="AM393" s="15" t="n">
        <f aca="false">(AM392)+AK393-AL393</f>
        <v>6739.61656847036</v>
      </c>
      <c r="AN393" s="15" t="n">
        <f aca="false">SUM(X377:X388)</f>
        <v>0</v>
      </c>
      <c r="AO393" s="15" t="n">
        <f aca="false">SUM(AP377:AP388)</f>
        <v>0</v>
      </c>
      <c r="AP393" s="15" t="n">
        <f aca="false">MAX(0,AN393)*IF(5=Parametri_v3!$C$43,Parametri_v3!$C$45,IF(5=Parametri_v3!$C$44,1-Parametri_v3!$C$45,0))</f>
        <v>0</v>
      </c>
      <c r="AQ393" s="15" t="n">
        <f aca="false">MAX(0,AP393+IF(5=Parametri_v3!$C$43,MAX(0,AN393-AO393),0)-MAX(0,-(AR392)))</f>
        <v>0</v>
      </c>
      <c r="AR393" s="15" t="n">
        <f aca="false">(AR392)+X393-AQ393</f>
        <v>0</v>
      </c>
      <c r="AS393" s="15" t="n">
        <f aca="false">Motore_Operativo!AB393-AT393+AU393</f>
        <v>70559.9833333333</v>
      </c>
      <c r="AT393" s="15" t="n">
        <f aca="false">Motore_Operativo!CH393</f>
        <v>3713.68333333333</v>
      </c>
      <c r="AU393" s="15" t="n">
        <f aca="false">MIN(MAX(0,(AV392)+AT393),Parametri_v3!$C$60/12)</f>
        <v>0</v>
      </c>
      <c r="AV393" s="15" t="n">
        <f aca="false">(AV392)+AT393-AU393</f>
        <v>53175.9166666667</v>
      </c>
      <c r="AW393" s="15" t="n">
        <f aca="false">IF(AND(Motore_Operativo!C393=Finanziamenti!$D$6,Finanziamenti!$F$6=1),Finanziamenti!$C$6,0)</f>
        <v>0</v>
      </c>
      <c r="AX393" s="15" t="n">
        <f aca="false">IF(AND(7&lt;&gt;7,7&lt;&gt;9,Finanziamenti!$F$8=1,OR(Parametri_v3!$C$6=0,Finanziamenti!$E$8=1),Motore_Operativo!C393=EDATE(Finanziamenti!$D$8,Ipotesi!I15*12)),Finanziamenti!$C$8*1,0)+IF(AND(7&lt;&gt;7,7&lt;&gt;9,Finanziamenti!$F$9=1,OR(Parametri_v3!$C$6=0,Finanziamenti!$E$9=1),Motore_Operativo!C393=EDATE(Finanziamenti!$D$9,Ipotesi!I15*12)),Finanziamenti!$C$9*Ipotesi!I16,0)</f>
        <v>0</v>
      </c>
      <c r="AY393" s="15" t="n">
        <f aca="false">0</f>
        <v>0</v>
      </c>
      <c r="AZ393" s="15" t="n">
        <f aca="false">Motore_Advisory!AY393*(1-Ipotesi!$C$95)*Ipotesi!$C$96</f>
        <v>0</v>
      </c>
      <c r="BA393" s="15" t="n">
        <f aca="false">MAX(0,MIN(CG393*MIN(1,IF(Motore_Operativo!C393&gt;=EDATE(Finanziamenti!$D$15,Ipotesi!I14*12),Finanziamenti!$C$15,0)+IF(Motore_Operativo!C393&gt;=EDATE(Finanziamenti!$D$16,Ipotesi!I14*12),Finanziamenti!$C$16,0)+IF(Motore_Operativo!C393&gt;=EDATE(Finanziamenti!$D$17,Ipotesi!I14*12),Finanziamenti!$C$17,0)),CA393*Ipotesi!$C$102)-(CC392))</f>
        <v>0</v>
      </c>
      <c r="BB393" s="15" t="n">
        <f aca="false">IF(AND(CF393&gt;0,Motore_Operativo!C393&gt;=IF(CF393=0,0,EDATE(CF393,Parametri_v3!$C$37)),MOD(((D393-YEAR(IF(CF393=0,0,EDATE(CF393,Parametri_v3!$C$37))))*12+E393-MONTH(IF(CF393=0,0,EDATE(CF393,Parametri_v3!$C$37)))),Parametri_v3!$C$38)=0),MIN(MAX(0,(BC392)+BA393-N393),(CC393-CD393)/(Ipotesi!$C$108*12/Parametri_v3!$C$38)),0)</f>
        <v>0</v>
      </c>
      <c r="BC393" s="15" t="n">
        <f aca="false">(BC392)+BA393-N393-BB393</f>
        <v>201538.415590763</v>
      </c>
      <c r="BD393" s="15" t="n">
        <f aca="false">(BH392)+AC393+AF393-AI393-AS393-K393*(1+Parametri_v3!$C$26)-AL393-AQ393-O393+AW393+AX393+AZ393+BA393-BB393</f>
        <v>-377816.498323804</v>
      </c>
      <c r="BE393" s="15" t="n">
        <f aca="false">MAX(0,MIN(MAX(0,CH393-(BG392)),Parametri_v3!$C$30-BD393))</f>
        <v>0</v>
      </c>
      <c r="BF393" s="15" t="n">
        <f aca="false">IF(Motore_Operativo!C393&gt;=Parametri_v3!$C$63,(BG392),MIN((BG392),MAX(0,BD393-Parametri_v3!$C$30)))</f>
        <v>0</v>
      </c>
      <c r="BG393" s="15" t="n">
        <f aca="false">(BG392)+BE393-BF393</f>
        <v>150000</v>
      </c>
      <c r="BH393" s="15" t="n">
        <f aca="false">BD393+BE393-BF393-AY393</f>
        <v>-377816.498323804</v>
      </c>
      <c r="BI393" s="15" t="n">
        <f aca="false">MAX(0,Parametri_v3!$C$30-BH393)</f>
        <v>402816.498323804</v>
      </c>
      <c r="BJ393" s="15" t="n">
        <f aca="false">(BJ392)+K393</f>
        <v>57500</v>
      </c>
      <c r="BK393" s="15" t="n">
        <f aca="false">(BK392)+L393</f>
        <v>22083.3333333333</v>
      </c>
      <c r="BL393" s="15" t="n">
        <f aca="false">BJ393-BK393</f>
        <v>35416.6666666667</v>
      </c>
      <c r="BM393" s="15" t="n">
        <f aca="false">(BM392)+Y393</f>
        <v>-754688.525678925</v>
      </c>
      <c r="BN393" s="15" t="n">
        <f aca="false">(BN392)+AW393+AX393+AZ393</f>
        <v>130000</v>
      </c>
      <c r="BO393" s="15" t="n">
        <f aca="false">(BO392)+AY393</f>
        <v>0</v>
      </c>
      <c r="BP393" s="15" t="n">
        <f aca="false">0</f>
        <v>0</v>
      </c>
      <c r="BQ393" s="15" t="n">
        <f aca="false">BN393+BM393-BO393</f>
        <v>-624688.525678925</v>
      </c>
      <c r="BR393" s="15" t="n">
        <f aca="false">BH393+AD393+BL393+MAX(0,-AM393)+MAX(0,-AR393)+AG393</f>
        <v>-114377.19149707</v>
      </c>
      <c r="BS393" s="15" t="n">
        <f aca="false">AJ393+AV393+MAX(0,AM393)+MAX(0,AR393)+BC393+BG393+BQ393</f>
        <v>-114377.19149707</v>
      </c>
      <c r="BT393" s="15" t="n">
        <f aca="false">BR393-BS393</f>
        <v>0</v>
      </c>
      <c r="BU393" s="15" t="n">
        <f aca="false">BH393-(BD393+BE393-BF393-AY393)</f>
        <v>0</v>
      </c>
      <c r="BV393" s="15" t="n">
        <f aca="false">MIN(Piano_SS!$C$6,(BV392)+IF(AND(Motore_Operativo!C393&gt;=EDATE(Parametri_v3!$C$24,Ipotesi!I14*12),Motore_Operativo!C393&lt;EDATE(Parametri_v3!$C$24,Parametri_v3!$C$25+Ipotesi!I14*12)),MAX(0,(Motore_Operativo!Y393+Motore_Operativo!X393*Parametri_v3!$C$14)*(1-Parametri_v3!$C$32))*Piano_SS!$D$6,0))</f>
        <v>299157.177083333</v>
      </c>
      <c r="BW393" s="15" t="n">
        <f aca="false">MIN(Piano_SS!$C$7,(BW392)+IF(AND(Motore_Operativo!C393&gt;=EDATE(Parametri_v3!$C$24,Ipotesi!I14*12),Motore_Operativo!C393&lt;EDATE(Parametri_v3!$C$24,Parametri_v3!$C$25+Ipotesi!I14*12)),MAX(0,(IF(29-(INT((Ipotesi!$C$91)/30))&lt;1,0,INDEX(Motore_Operativo!$BN$365:$BN$424,MAX(1,29-(INT((Ipotesi!$C$91)/30)))))*(1-(MOD((Ipotesi!$C$91),30)/30))+IF(29-(INT((Ipotesi!$C$91)/30))-1&lt;1,0,INDEX(Motore_Operativo!$BN$365:$BN$424,MAX(1,29-(INT((Ipotesi!$C$91)/30))-1)))*(MOD((Ipotesi!$C$91),30)/30)))*Piano_SS!$D$7,0))</f>
        <v>38346.5976790606</v>
      </c>
      <c r="BX393" s="15" t="n">
        <f aca="false">MIN(Piano_SS!$C$8,(BX392)+IF(AND(Motore_Operativo!C393&gt;=EDATE(Parametri_v3!$C$24,Ipotesi!I14*12),Motore_Operativo!C393&lt;EDATE(Parametri_v3!$C$24,Parametri_v3!$C$25+Ipotesi!I14*12)),MAX(0,Motore_Operativo!CE393)*Piano_SS!$D$8,0))</f>
        <v>47500</v>
      </c>
      <c r="BY393" s="15" t="n">
        <f aca="false">MIN(Piano_SS!$C$9,(BY392)+IF(AND(Motore_Operativo!C393&gt;=EDATE(Parametri_v3!$C$24,Ipotesi!I14*12),Motore_Operativo!C393&lt;EDATE(Parametri_v3!$C$24,Parametri_v3!$C$25+Ipotesi!I14*12)),MAX(0,((IF(29-(INT((Ipotesi!$C$91)/30))&lt;1,0,INDEX(Motore_Operativo!$BQ$365:$BQ$424,MAX(1,29-(INT((Ipotesi!$C$91)/30)))))*(1-(MOD((Ipotesi!$C$91),30)/30))+IF(29-(INT((Ipotesi!$C$91)/30))-1&lt;1,0,INDEX(Motore_Operativo!$BQ$365:$BQ$424,MAX(1,29-(INT((Ipotesi!$C$91)/30))-1)))*(MOD((Ipotesi!$C$91),30)/30))+(IF(29-(INT((Ipotesi!$C$91)/30))&lt;1,0,INDEX(Motore_Operativo!$BR$365:$BR$424,MAX(1,29-(INT((Ipotesi!$C$91)/30)))))*(1-(MOD((Ipotesi!$C$91),30)/30))+IF(29-(INT((Ipotesi!$C$91)/30))-1&lt;1,0,INDEX(Motore_Operativo!$BR$365:$BR$424,MAX(1,29-(INT((Ipotesi!$C$91)/30))-1)))*(MOD((Ipotesi!$C$91),30)/30))))*Piano_SS!$D$9,0))</f>
        <v>40000</v>
      </c>
      <c r="BZ393" s="15" t="n">
        <f aca="false">MIN(Piano_SS!$C$10,(BZ392)+IF(AND(Motore_Operativo!C393&gt;=EDATE(Parametri_v3!$C$24,Ipotesi!I14*12),Motore_Operativo!C393&lt;EDATE(Parametri_v3!$C$24,Parametri_v3!$C$25+Ipotesi!I14*12)),MAX(0,(IF(29-(INT((Ipotesi!$C$91)/30))&lt;1,0,INDEX(Motore_Operativo!$BO$365:$BO$424,MAX(1,29-(INT((Ipotesi!$C$91)/30)))))*(1-(MOD((Ipotesi!$C$91),30)/30))+IF(29-(INT((Ipotesi!$C$91)/30))-1&lt;1,0,INDEX(Motore_Operativo!$BO$365:$BO$424,MAX(1,29-(INT((Ipotesi!$C$91)/30))-1)))*(MOD((Ipotesi!$C$91),30)/30)))*Piano_SS!$D$10,0))</f>
        <v>30000</v>
      </c>
      <c r="CA393" s="15" t="n">
        <f aca="false">SUM(BV393:BZ393)</f>
        <v>455003.774762394</v>
      </c>
      <c r="CB393" s="15" t="n">
        <f aca="false">BV393*(1-Piano_SS!$E$6)+BW393*(1-Piano_SS!$E$7)+BX393*(1-Piano_SS!$E$8)+BY393*(1-Piano_SS!$E$9)+BZ393*(1-Piano_SS!$E$10)</f>
        <v>425003.774762394</v>
      </c>
      <c r="CC393" s="15" t="n">
        <f aca="false">(CC392)+BA393</f>
        <v>280000</v>
      </c>
      <c r="CD393" s="15" t="n">
        <f aca="false">IF(CA393=0,0,CC393*CB393/CA393*Ipotesi!$C$103*Parametri_v3!$C$64)</f>
        <v>78461.5844092371</v>
      </c>
      <c r="CE393" s="18" t="n">
        <f aca="false">IF(BA393&gt;0,Motore_Operativo!C393,(CE392))</f>
        <v>47150</v>
      </c>
      <c r="CF393" s="18" t="n">
        <f aca="false">IF(AND(CC393&gt;0,OR(CC393&gt;=CG393-0.01,Motore_Operativo!C393&gt;=EDATE(MAX(Finanziamenti!$D$15:$D$17),Ipotesi!I14*12))),CE393,0)</f>
        <v>0</v>
      </c>
      <c r="CG393" s="15" t="n">
        <f aca="false">IF(AND(7&lt;&gt;6,7&lt;&gt;9,Finanziamenti!$F$11=1,OR(Parametri_v3!$C$6=0,Finanziamenti!$E$11=1)),MIN(Finanziamenti!$C$11,Piano_SS!$C$12*Ipotesi!$C$102),0)</f>
        <v>400000</v>
      </c>
      <c r="CH393" s="15" t="n">
        <f aca="false">IF(AND(AND(7&lt;&gt;8,7&lt;&gt;9,Finanziamenti!$F$10=1,OR(Parametri_v3!$C$6=0,Finanziamenti!$E$10=1)),Motore_Operativo!C393&gt;=Finanziamenti!$D$10,Motore_Operativo!C393&lt;Parametri_v3!$C$63),Finanziamenti!$C$10,0)</f>
        <v>150000</v>
      </c>
    </row>
    <row r="394" customFormat="false" ht="18" hidden="false" customHeight="true" outlineLevel="0" collapsed="false">
      <c r="A394" s="68" t="n">
        <f aca="false">7</f>
        <v>7</v>
      </c>
      <c r="B394" s="68" t="n">
        <f aca="false">30</f>
        <v>30</v>
      </c>
      <c r="C394" s="18" t="n">
        <f aca="false">Motore_Operativo!C394</f>
        <v>47270</v>
      </c>
      <c r="D394" s="68" t="n">
        <f aca="false">Motore_Operativo!D394</f>
        <v>2029</v>
      </c>
      <c r="E394" s="68" t="n">
        <f aca="false">Motore_Operativo!E394</f>
        <v>6</v>
      </c>
      <c r="F394" s="15" t="n">
        <f aca="false">Motore_Operativo!AQ394+Motore_Operativo!BF394</f>
        <v>65311.4997770098</v>
      </c>
      <c r="G394" s="15" t="n">
        <f aca="false">Motore_Operativo!BH394</f>
        <v>6050</v>
      </c>
      <c r="H394" s="15" t="n">
        <f aca="false">Motore_Operativo!BI394</f>
        <v>71361.4997770098</v>
      </c>
      <c r="I394" s="15" t="n">
        <f aca="false">Motore_Operativo!CA394</f>
        <v>116477.943302115</v>
      </c>
      <c r="J394" s="15" t="n">
        <f aca="false">Motore_Operativo!CC394</f>
        <v>-45116.4435251049</v>
      </c>
      <c r="K394" s="15" t="n">
        <f aca="false">Motore_Operativo!CE394</f>
        <v>2500</v>
      </c>
      <c r="L394" s="15" t="n">
        <f aca="false">SUM(INDEX($K$365:$K$424,MAX(1,30-Parametri_v3!$C$59+1)):K394)/Parametri_v3!$C$59</f>
        <v>1666.66666666667</v>
      </c>
      <c r="M394" s="15" t="n">
        <f aca="false">J394-L394</f>
        <v>-46783.1101917716</v>
      </c>
      <c r="N394" s="15" t="n">
        <f aca="false">CD394-(CD393)</f>
        <v>24992.557112463</v>
      </c>
      <c r="O394" s="15" t="n">
        <f aca="false">(BG393)*Ipotesi!$C$110/12+CH394*Parametri_v3!$C$39/12</f>
        <v>750</v>
      </c>
      <c r="P394" s="15" t="n">
        <f aca="false">M394+N394-O394</f>
        <v>-22540.5530793086</v>
      </c>
      <c r="Q394" s="15" t="n">
        <f aca="false">SUM(P389:P394)+Parametri_v3!$C$54*6/12</f>
        <v>-273942.447607675</v>
      </c>
      <c r="R394" s="15" t="n">
        <f aca="false">Z388</f>
        <v>503286.631150559</v>
      </c>
      <c r="S394" s="15" t="n">
        <f aca="false">AA388</f>
        <v>0</v>
      </c>
      <c r="T394" s="15" t="n">
        <f aca="false">MIN(R394,MAX(0,Q394))</f>
        <v>0</v>
      </c>
      <c r="U394" s="15" t="n">
        <f aca="false">MIN(S394,MAX(0,Q394-T394)*Parametri_v3!$C$42)</f>
        <v>0</v>
      </c>
      <c r="V394" s="15" t="n">
        <f aca="false">MAX(0,Q394-T394-U394)*Ipotesi!$C$92</f>
        <v>0</v>
      </c>
      <c r="W394" s="15" t="n">
        <f aca="false">MAX(0,SUM(M389:M394)+Parametri_v3!$C$55*6/12)*Ipotesi!$C$93</f>
        <v>0</v>
      </c>
      <c r="X394" s="15" t="n">
        <f aca="false">V394+W394-(V393+W393)</f>
        <v>0</v>
      </c>
      <c r="Y394" s="15" t="n">
        <f aca="false">P394-X394</f>
        <v>-22540.5530793086</v>
      </c>
      <c r="Z394" s="15" t="n">
        <f aca="false">R394-T394+IF(AND(Parametri_v3!$C$40=1,D394-YEAR(Parametri_v3!$C$50)&lt;Parametri_v3!$C$41),MAX(0,-Q394),0)</f>
        <v>777229.078758234</v>
      </c>
      <c r="AA394" s="15" t="n">
        <f aca="false">S394-U394+IF(AND(Parametri_v3!$C$40=1,D394-YEAR(Parametri_v3!$C$50)&lt;Parametri_v3!$C$41),0,MAX(0,-Q394))</f>
        <v>0</v>
      </c>
      <c r="AB394" s="15" t="n">
        <f aca="false">F394*(1+Parametri_v3!$C$26)</f>
        <v>79680.029727952</v>
      </c>
      <c r="AC394" s="15" t="n">
        <f aca="false">(IF(30-(INT((Motore_Operativo!L394)/30))&lt;1,0,INDEX(Motore_Startup!$AB$365:$AB$424,MAX(1,30-(INT((Motore_Operativo!L394)/30)))))*(1-(MOD((Motore_Operativo!L394),30)/30))+IF(30-(INT((Motore_Operativo!L394)/30))-1&lt;1,0,INDEX(Motore_Startup!$AB$365:$AB$424,MAX(1,30-(INT((Motore_Operativo!L394)/30))-1)))*(MOD((Motore_Operativo!L394),30)/30))</f>
        <v>71086.5644534073</v>
      </c>
      <c r="AD394" s="15" t="n">
        <f aca="false">(AD393)+AB394-AC394</f>
        <v>229235.105434612</v>
      </c>
      <c r="AE394" s="15" t="n">
        <f aca="false">Motore_Operativo!BH394*(1+Parametri_v3!$C$26)</f>
        <v>7381</v>
      </c>
      <c r="AF394" s="15" t="n">
        <f aca="false">(IF(30-(INT((Parametri_v3!$C$29)/30))&lt;1,0,INDEX(Motore_Operativo!$BH$365:$BH$424,MAX(1,30-(INT((Parametri_v3!$C$29)/30)))))*(1-(MOD((Parametri_v3!$C$29),30)/30))+IF(30-(INT((Parametri_v3!$C$29)/30))-1&lt;1,0,INDEX(Motore_Operativo!$BH$365:$BH$424,MAX(1,30-(INT((Parametri_v3!$C$29)/30))-1)))*(MOD((Parametri_v3!$C$29),30)/30))*(1+Parametri_v3!$C$26)</f>
        <v>7381</v>
      </c>
      <c r="AG394" s="15" t="n">
        <f aca="false">(AG393)+AE394-AF394</f>
        <v>7381</v>
      </c>
      <c r="AH394" s="15" t="n">
        <f aca="false">(Motore_Operativo!CJ394)*(1+Parametri_v3!$C$27*Parametri_v3!$C$26)</f>
        <v>50096.4763662768</v>
      </c>
      <c r="AI394" s="15" t="n">
        <f aca="false">(IF(30-(INT((Ipotesi!$C$91)/30))&lt;1,0,INDEX(Motore_Startup!$AH$365:$AH$424,MAX(1,30-(INT((Ipotesi!$C$91)/30)))))*(1-(MOD((Ipotesi!$C$91),30)/30))+IF(30-(INT((Ipotesi!$C$91)/30))-1&lt;1,0,INDEX(Motore_Startup!$AH$365:$AH$424,MAX(1,30-(INT((Ipotesi!$C$91)/30))-1)))*(MOD((Ipotesi!$C$91),30)/30))</f>
        <v>49204.793287636</v>
      </c>
      <c r="AJ394" s="15" t="n">
        <f aca="false">(AJ393)+AH394-AI394</f>
        <v>99749.0684345966</v>
      </c>
      <c r="AK394" s="15" t="n">
        <f aca="false">(F394+ Motore_Operativo!BH394-(Motore_Operativo!CJ394)*Parametri_v3!$C$27-Motore_Operativo!CE394)*Parametri_v3!$C$26</f>
        <v>7257.33022011338</v>
      </c>
      <c r="AL394" s="15" t="n">
        <f aca="false">MAX(0,(AM393))</f>
        <v>6739.61656847036</v>
      </c>
      <c r="AM394" s="15" t="n">
        <f aca="false">(AM393)+AK394-AL394</f>
        <v>7257.33022011338</v>
      </c>
      <c r="AN394" s="15" t="n">
        <f aca="false">SUM(X377:X388)</f>
        <v>0</v>
      </c>
      <c r="AO394" s="15" t="n">
        <f aca="false">SUM(AP377:AP388)</f>
        <v>0</v>
      </c>
      <c r="AP394" s="15" t="n">
        <f aca="false">MAX(0,AN394)*IF(6=Parametri_v3!$C$43,Parametri_v3!$C$45,IF(6=Parametri_v3!$C$44,1-Parametri_v3!$C$45,0))</f>
        <v>0</v>
      </c>
      <c r="AQ394" s="15" t="n">
        <f aca="false">MAX(0,AP394+IF(6=Parametri_v3!$C$43,MAX(0,AN394-AO394),0)-MAX(0,-(AR393)))</f>
        <v>0</v>
      </c>
      <c r="AR394" s="15" t="n">
        <f aca="false">(AR393)+X394-AQ394</f>
        <v>0</v>
      </c>
      <c r="AS394" s="15" t="n">
        <f aca="false">Motore_Operativo!AB394-AT394+AU394</f>
        <v>70559.9833333333</v>
      </c>
      <c r="AT394" s="15" t="n">
        <f aca="false">Motore_Operativo!CH394</f>
        <v>3713.68333333333</v>
      </c>
      <c r="AU394" s="15" t="n">
        <f aca="false">MIN(MAX(0,(AV393)+AT394),Parametri_v3!$C$60/12)</f>
        <v>0</v>
      </c>
      <c r="AV394" s="15" t="n">
        <f aca="false">(AV393)+AT394-AU394</f>
        <v>56889.6</v>
      </c>
      <c r="AW394" s="15" t="n">
        <f aca="false">IF(AND(Motore_Operativo!C394=Finanziamenti!$D$6,Finanziamenti!$F$6=1),Finanziamenti!$C$6,0)</f>
        <v>0</v>
      </c>
      <c r="AX394" s="15" t="n">
        <f aca="false">IF(AND(7&lt;&gt;7,7&lt;&gt;9,Finanziamenti!$F$8=1,OR(Parametri_v3!$C$6=0,Finanziamenti!$E$8=1),Motore_Operativo!C394=EDATE(Finanziamenti!$D$8,Ipotesi!I15*12)),Finanziamenti!$C$8*1,0)+IF(AND(7&lt;&gt;7,7&lt;&gt;9,Finanziamenti!$F$9=1,OR(Parametri_v3!$C$6=0,Finanziamenti!$E$9=1),Motore_Operativo!C394=EDATE(Finanziamenti!$D$9,Ipotesi!I15*12)),Finanziamenti!$C$9*Ipotesi!I16,0)</f>
        <v>0</v>
      </c>
      <c r="AY394" s="15" t="n">
        <f aca="false">0</f>
        <v>0</v>
      </c>
      <c r="AZ394" s="15" t="n">
        <f aca="false">Motore_Advisory!AY394*(1-Ipotesi!$C$95)*Ipotesi!$C$96</f>
        <v>0</v>
      </c>
      <c r="BA394" s="15" t="n">
        <f aca="false">MAX(0,MIN(CG394*MIN(1,IF(Motore_Operativo!C394&gt;=EDATE(Finanziamenti!$D$15,Ipotesi!I14*12),Finanziamenti!$C$15,0)+IF(Motore_Operativo!C394&gt;=EDATE(Finanziamenti!$D$16,Ipotesi!I14*12),Finanziamenti!$C$16,0)+IF(Motore_Operativo!C394&gt;=EDATE(Finanziamenti!$D$17,Ipotesi!I14*12),Finanziamenti!$C$17,0)),CA394*Ipotesi!$C$102)-(CC393))</f>
        <v>88847.138405667</v>
      </c>
      <c r="BB394" s="15" t="n">
        <f aca="false">IF(AND(CF394&gt;0,Motore_Operativo!C394&gt;=IF(CF394=0,0,EDATE(CF394,Parametri_v3!$C$37)),MOD(((D394-YEAR(IF(CF394=0,0,EDATE(CF394,Parametri_v3!$C$37))))*12+E394-MONTH(IF(CF394=0,0,EDATE(CF394,Parametri_v3!$C$37)))),Parametri_v3!$C$38)=0),MIN(MAX(0,(BC393)+BA394-N394),(CC394-CD394)/(Ipotesi!$C$108*12/Parametri_v3!$C$38)),0)</f>
        <v>0</v>
      </c>
      <c r="BC394" s="15" t="n">
        <f aca="false">(BC393)+BA394-N394-BB394</f>
        <v>265392.996883967</v>
      </c>
      <c r="BD394" s="15" t="n">
        <f aca="false">(BH393)+AC394+AF394-AI394-AS394-K394*(1+Parametri_v3!$C$26)-AL394-AQ394-O394+AW394+AX394+AZ394+BA394-BB394</f>
        <v>-340806.188654169</v>
      </c>
      <c r="BE394" s="15" t="n">
        <f aca="false">MAX(0,MIN(MAX(0,CH394-(BG393)),Parametri_v3!$C$30-BD394))</f>
        <v>0</v>
      </c>
      <c r="BF394" s="15" t="n">
        <f aca="false">IF(Motore_Operativo!C394&gt;=Parametri_v3!$C$63,(BG393),MIN((BG393),MAX(0,BD394-Parametri_v3!$C$30)))</f>
        <v>0</v>
      </c>
      <c r="BG394" s="15" t="n">
        <f aca="false">(BG393)+BE394-BF394</f>
        <v>150000</v>
      </c>
      <c r="BH394" s="15" t="n">
        <f aca="false">BD394+BE394-BF394-AY394</f>
        <v>-340806.188654169</v>
      </c>
      <c r="BI394" s="15" t="n">
        <f aca="false">MAX(0,Parametri_v3!$C$30-BH394)</f>
        <v>365806.188654169</v>
      </c>
      <c r="BJ394" s="15" t="n">
        <f aca="false">(BJ393)+K394</f>
        <v>60000</v>
      </c>
      <c r="BK394" s="15" t="n">
        <f aca="false">(BK393)+L394</f>
        <v>23750</v>
      </c>
      <c r="BL394" s="15" t="n">
        <f aca="false">BJ394-BK394</f>
        <v>36250</v>
      </c>
      <c r="BM394" s="15" t="n">
        <f aca="false">(BM393)+Y394</f>
        <v>-777229.078758234</v>
      </c>
      <c r="BN394" s="15" t="n">
        <f aca="false">(BN393)+AW394+AX394+AZ394</f>
        <v>130000</v>
      </c>
      <c r="BO394" s="15" t="n">
        <f aca="false">(BO393)+AY394</f>
        <v>0</v>
      </c>
      <c r="BP394" s="15" t="n">
        <f aca="false">0</f>
        <v>0</v>
      </c>
      <c r="BQ394" s="15" t="n">
        <f aca="false">BN394+BM394-BO394</f>
        <v>-647229.078758234</v>
      </c>
      <c r="BR394" s="15" t="n">
        <f aca="false">BH394+AD394+BL394+MAX(0,-AM394)+MAX(0,-AR394)+AG394</f>
        <v>-67940.0832195574</v>
      </c>
      <c r="BS394" s="15" t="n">
        <f aca="false">AJ394+AV394+MAX(0,AM394)+MAX(0,AR394)+BC394+BG394+BQ394</f>
        <v>-67940.083219557</v>
      </c>
      <c r="BT394" s="15" t="n">
        <f aca="false">BR394-BS394</f>
        <v>-4.07453626394272E-010</v>
      </c>
      <c r="BU394" s="15" t="n">
        <f aca="false">BH394-(BD394+BE394-BF394-AY394)</f>
        <v>0</v>
      </c>
      <c r="BV394" s="15" t="n">
        <f aca="false">MIN(Piano_SS!$C$6,(BV393)+IF(AND(Motore_Operativo!C394&gt;=EDATE(Parametri_v3!$C$24,Ipotesi!I14*12),Motore_Operativo!C394&lt;EDATE(Parametri_v3!$C$24,Parametri_v3!$C$25+Ipotesi!I14*12)),MAX(0,(Motore_Operativo!Y394+Motore_Operativo!X394*Parametri_v3!$C$14)*(1-Parametri_v3!$C$32))*Piano_SS!$D$6,0))</f>
        <v>300000</v>
      </c>
      <c r="BW394" s="15" t="n">
        <f aca="false">MIN(Piano_SS!$C$7,(BW393)+IF(AND(Motore_Operativo!C394&gt;=EDATE(Parametri_v3!$C$24,Ipotesi!I14*12),Motore_Operativo!C394&lt;EDATE(Parametri_v3!$C$24,Parametri_v3!$C$25+Ipotesi!I14*12)),MAX(0,(IF(30-(INT((Ipotesi!$C$91)/30))&lt;1,0,INDEX(Motore_Operativo!$BN$365:$BN$424,MAX(1,30-(INT((Ipotesi!$C$91)/30)))))*(1-(MOD((Ipotesi!$C$91),30)/30))+IF(30-(INT((Ipotesi!$C$91)/30))-1&lt;1,0,INDEX(Motore_Operativo!$BN$365:$BN$424,MAX(1,30-(INT((Ipotesi!$C$91)/30))-1)))*(MOD((Ipotesi!$C$91),30)/30)))*Piano_SS!$D$7,0))</f>
        <v>41058.9230070837</v>
      </c>
      <c r="BX394" s="15" t="n">
        <f aca="false">MIN(Piano_SS!$C$8,(BX393)+IF(AND(Motore_Operativo!C394&gt;=EDATE(Parametri_v3!$C$24,Ipotesi!I14*12),Motore_Operativo!C394&lt;EDATE(Parametri_v3!$C$24,Parametri_v3!$C$25+Ipotesi!I14*12)),MAX(0,Motore_Operativo!CE394)*Piano_SS!$D$8,0))</f>
        <v>50000</v>
      </c>
      <c r="BY394" s="15" t="n">
        <f aca="false">MIN(Piano_SS!$C$9,(BY393)+IF(AND(Motore_Operativo!C394&gt;=EDATE(Parametri_v3!$C$24,Ipotesi!I14*12),Motore_Operativo!C394&lt;EDATE(Parametri_v3!$C$24,Parametri_v3!$C$25+Ipotesi!I14*12)),MAX(0,((IF(30-(INT((Ipotesi!$C$91)/30))&lt;1,0,INDEX(Motore_Operativo!$BQ$365:$BQ$424,MAX(1,30-(INT((Ipotesi!$C$91)/30)))))*(1-(MOD((Ipotesi!$C$91),30)/30))+IF(30-(INT((Ipotesi!$C$91)/30))-1&lt;1,0,INDEX(Motore_Operativo!$BQ$365:$BQ$424,MAX(1,30-(INT((Ipotesi!$C$91)/30))-1)))*(MOD((Ipotesi!$C$91),30)/30))+(IF(30-(INT((Ipotesi!$C$91)/30))&lt;1,0,INDEX(Motore_Operativo!$BR$365:$BR$424,MAX(1,30-(INT((Ipotesi!$C$91)/30)))))*(1-(MOD((Ipotesi!$C$91),30)/30))+IF(30-(INT((Ipotesi!$C$91)/30))-1&lt;1,0,INDEX(Motore_Operativo!$BR$365:$BR$424,MAX(1,30-(INT((Ipotesi!$C$91)/30))-1)))*(MOD((Ipotesi!$C$91),30)/30))))*Piano_SS!$D$9,0))</f>
        <v>40000</v>
      </c>
      <c r="BZ394" s="15" t="n">
        <f aca="false">MIN(Piano_SS!$C$10,(BZ393)+IF(AND(Motore_Operativo!C394&gt;=EDATE(Parametri_v3!$C$24,Ipotesi!I14*12),Motore_Operativo!C394&lt;EDATE(Parametri_v3!$C$24,Parametri_v3!$C$25+Ipotesi!I14*12)),MAX(0,(IF(30-(INT((Ipotesi!$C$91)/30))&lt;1,0,INDEX(Motore_Operativo!$BO$365:$BO$424,MAX(1,30-(INT((Ipotesi!$C$91)/30)))))*(1-(MOD((Ipotesi!$C$91),30)/30))+IF(30-(INT((Ipotesi!$C$91)/30))-1&lt;1,0,INDEX(Motore_Operativo!$BO$365:$BO$424,MAX(1,30-(INT((Ipotesi!$C$91)/30))-1)))*(MOD((Ipotesi!$C$91),30)/30)))*Piano_SS!$D$10,0))</f>
        <v>30000</v>
      </c>
      <c r="CA394" s="15" t="n">
        <f aca="false">SUM(BV394:BZ394)</f>
        <v>461058.923007084</v>
      </c>
      <c r="CB394" s="15" t="n">
        <f aca="false">BV394*(1-Piano_SS!$E$6)+BW394*(1-Piano_SS!$E$7)+BX394*(1-Piano_SS!$E$8)+BY394*(1-Piano_SS!$E$9)+BZ394*(1-Piano_SS!$E$10)</f>
        <v>431058.923007084</v>
      </c>
      <c r="CC394" s="15" t="n">
        <f aca="false">(CC393)+BA394</f>
        <v>368847.138405667</v>
      </c>
      <c r="CD394" s="15" t="n">
        <f aca="false">IF(CA394=0,0,CC394*CB394/CA394*Ipotesi!$C$103*Parametri_v3!$C$64)</f>
        <v>103454.1415217</v>
      </c>
      <c r="CE394" s="18" t="n">
        <f aca="false">IF(BA394&gt;0,Motore_Operativo!C394,(CE393))</f>
        <v>47270</v>
      </c>
      <c r="CF394" s="18" t="n">
        <f aca="false">IF(AND(CC394&gt;0,OR(CC394&gt;=CG394-0.01,Motore_Operativo!C394&gt;=EDATE(MAX(Finanziamenti!$D$15:$D$17),Ipotesi!I14*12))),CE394,0)</f>
        <v>47270</v>
      </c>
      <c r="CG394" s="15" t="n">
        <f aca="false">IF(AND(7&lt;&gt;6,7&lt;&gt;9,Finanziamenti!$F$11=1,OR(Parametri_v3!$C$6=0,Finanziamenti!$E$11=1)),MIN(Finanziamenti!$C$11,Piano_SS!$C$12*Ipotesi!$C$102),0)</f>
        <v>400000</v>
      </c>
      <c r="CH394" s="15" t="n">
        <f aca="false">IF(AND(AND(7&lt;&gt;8,7&lt;&gt;9,Finanziamenti!$F$10=1,OR(Parametri_v3!$C$6=0,Finanziamenti!$E$10=1)),Motore_Operativo!C394&gt;=Finanziamenti!$D$10,Motore_Operativo!C394&lt;Parametri_v3!$C$63),Finanziamenti!$C$10,0)</f>
        <v>150000</v>
      </c>
    </row>
    <row r="395" customFormat="false" ht="18" hidden="false" customHeight="true" outlineLevel="0" collapsed="false">
      <c r="A395" s="68" t="n">
        <f aca="false">7</f>
        <v>7</v>
      </c>
      <c r="B395" s="68" t="n">
        <f aca="false">31</f>
        <v>31</v>
      </c>
      <c r="C395" s="18" t="n">
        <f aca="false">Motore_Operativo!C395</f>
        <v>47300</v>
      </c>
      <c r="D395" s="68" t="n">
        <f aca="false">Motore_Operativo!D395</f>
        <v>2029</v>
      </c>
      <c r="E395" s="68" t="n">
        <f aca="false">Motore_Operativo!E395</f>
        <v>7</v>
      </c>
      <c r="F395" s="15" t="n">
        <f aca="false">Motore_Operativo!AQ395+Motore_Operativo!BF395</f>
        <v>67959.2554282038</v>
      </c>
      <c r="G395" s="15" t="n">
        <f aca="false">Motore_Operativo!BH395</f>
        <v>6050</v>
      </c>
      <c r="H395" s="15" t="n">
        <f aca="false">Motore_Operativo!BI395</f>
        <v>74009.2554282038</v>
      </c>
      <c r="I395" s="15" t="n">
        <f aca="false">Motore_Operativo!CA395</f>
        <v>116848.629093282</v>
      </c>
      <c r="J395" s="15" t="n">
        <f aca="false">Motore_Operativo!CC395</f>
        <v>-42839.3736650781</v>
      </c>
      <c r="K395" s="15" t="n">
        <f aca="false">Motore_Operativo!CE395</f>
        <v>2500</v>
      </c>
      <c r="L395" s="15" t="n">
        <f aca="false">SUM(INDEX($K$365:$K$424,MAX(1,31-Parametri_v3!$C$59+1)):K395)/Parametri_v3!$C$59</f>
        <v>1736.11111111111</v>
      </c>
      <c r="M395" s="15" t="n">
        <f aca="false">J395-L395</f>
        <v>-44575.4847761892</v>
      </c>
      <c r="N395" s="15" t="n">
        <f aca="false">CD395-(CD394)</f>
        <v>0</v>
      </c>
      <c r="O395" s="15" t="n">
        <f aca="false">(BG394)*Ipotesi!$C$110/12+CH395*Parametri_v3!$C$39/12</f>
        <v>750</v>
      </c>
      <c r="P395" s="15" t="n">
        <f aca="false">M395+N395-O395</f>
        <v>-45325.4847761892</v>
      </c>
      <c r="Q395" s="15" t="n">
        <f aca="false">SUM(P389:P395)+Parametri_v3!$C$54*7/12</f>
        <v>-319267.932383865</v>
      </c>
      <c r="R395" s="15" t="n">
        <f aca="false">Z388</f>
        <v>503286.631150559</v>
      </c>
      <c r="S395" s="15" t="n">
        <f aca="false">AA388</f>
        <v>0</v>
      </c>
      <c r="T395" s="15" t="n">
        <f aca="false">MIN(R395,MAX(0,Q395))</f>
        <v>0</v>
      </c>
      <c r="U395" s="15" t="n">
        <f aca="false">MIN(S395,MAX(0,Q395-T395)*Parametri_v3!$C$42)</f>
        <v>0</v>
      </c>
      <c r="V395" s="15" t="n">
        <f aca="false">MAX(0,Q395-T395-U395)*Ipotesi!$C$92</f>
        <v>0</v>
      </c>
      <c r="W395" s="15" t="n">
        <f aca="false">MAX(0,SUM(M389:M395)+Parametri_v3!$C$55*7/12)*Ipotesi!$C$93</f>
        <v>0</v>
      </c>
      <c r="X395" s="15" t="n">
        <f aca="false">V395+W395-(V394+W394)</f>
        <v>0</v>
      </c>
      <c r="Y395" s="15" t="n">
        <f aca="false">P395-X395</f>
        <v>-45325.4847761892</v>
      </c>
      <c r="Z395" s="15" t="n">
        <f aca="false">R395-T395+IF(AND(Parametri_v3!$C$40=1,D395-YEAR(Parametri_v3!$C$50)&lt;Parametri_v3!$C$41),MAX(0,-Q395),0)</f>
        <v>822554.563534423</v>
      </c>
      <c r="AA395" s="15" t="n">
        <f aca="false">S395-U395+IF(AND(Parametri_v3!$C$40=1,D395-YEAR(Parametri_v3!$C$50)&lt;Parametri_v3!$C$41),0,MAX(0,-Q395))</f>
        <v>0</v>
      </c>
      <c r="AB395" s="15" t="n">
        <f aca="false">F395*(1+Parametri_v3!$C$26)</f>
        <v>82910.2916224086</v>
      </c>
      <c r="AC395" s="15" t="n">
        <f aca="false">(IF(31-(INT((Motore_Operativo!L395)/30))&lt;1,0,INDEX(Motore_Startup!$AB$365:$AB$424,MAX(1,31-(INT((Motore_Operativo!L395)/30)))))*(1-(MOD((Motore_Operativo!L395),30)/30))+IF(31-(INT((Motore_Operativo!L395)/30))-1&lt;1,0,INDEX(Motore_Startup!$AB$365:$AB$424,MAX(1,31-(INT((Motore_Operativo!L395)/30))-1)))*(MOD((Motore_Operativo!L395),30)/30))</f>
        <v>73133.7945856856</v>
      </c>
      <c r="AD395" s="15" t="n">
        <f aca="false">(AD394)+AB395-AC395</f>
        <v>239011.602471335</v>
      </c>
      <c r="AE395" s="15" t="n">
        <f aca="false">Motore_Operativo!BH395*(1+Parametri_v3!$C$26)</f>
        <v>7381</v>
      </c>
      <c r="AF395" s="15" t="n">
        <f aca="false">(IF(31-(INT((Parametri_v3!$C$29)/30))&lt;1,0,INDEX(Motore_Operativo!$BH$365:$BH$424,MAX(1,31-(INT((Parametri_v3!$C$29)/30)))))*(1-(MOD((Parametri_v3!$C$29),30)/30))+IF(31-(INT((Parametri_v3!$C$29)/30))-1&lt;1,0,INDEX(Motore_Operativo!$BH$365:$BH$424,MAX(1,31-(INT((Parametri_v3!$C$29)/30))-1)))*(MOD((Parametri_v3!$C$29),30)/30))*(1+Parametri_v3!$C$26)</f>
        <v>7381</v>
      </c>
      <c r="AG395" s="15" t="n">
        <f aca="false">(AG394)+AE395-AF395</f>
        <v>7381</v>
      </c>
      <c r="AH395" s="15" t="n">
        <f aca="false">(Motore_Operativo!CJ395)*(1+Parametri_v3!$C$27*Parametri_v3!$C$26)</f>
        <v>50536.4804003922</v>
      </c>
      <c r="AI395" s="15" t="n">
        <f aca="false">(IF(31-(INT((Ipotesi!$C$91)/30))&lt;1,0,INDEX(Motore_Startup!$AH$365:$AH$424,MAX(1,31-(INT((Ipotesi!$C$91)/30)))))*(1-(MOD((Ipotesi!$C$91),30)/30))+IF(31-(INT((Ipotesi!$C$91)/30))-1&lt;1,0,INDEX(Motore_Startup!$AH$365:$AH$424,MAX(1,31-(INT((Ipotesi!$C$91)/30))-1)))*(MOD((Ipotesi!$C$91),30)/30))</f>
        <v>49652.5920683198</v>
      </c>
      <c r="AJ395" s="15" t="n">
        <f aca="false">(AJ394)+AH395-AI395</f>
        <v>100632.956766669</v>
      </c>
      <c r="AK395" s="15" t="n">
        <f aca="false">(F395+ Motore_Operativo!BH395-(Motore_Operativo!CJ395)*Parametri_v3!$C$27-Motore_Operativo!CE395)*Parametri_v3!$C$26</f>
        <v>7770.51822042779</v>
      </c>
      <c r="AL395" s="15" t="n">
        <f aca="false">MAX(0,(AM394))</f>
        <v>7257.33022011338</v>
      </c>
      <c r="AM395" s="15" t="n">
        <f aca="false">(AM394)+AK395-AL395</f>
        <v>7770.51822042779</v>
      </c>
      <c r="AN395" s="15" t="n">
        <f aca="false">SUM(X377:X388)</f>
        <v>0</v>
      </c>
      <c r="AO395" s="15" t="n">
        <f aca="false">SUM(AP377:AP388)</f>
        <v>0</v>
      </c>
      <c r="AP395" s="15" t="n">
        <f aca="false">MAX(0,AN395)*IF(7=Parametri_v3!$C$43,Parametri_v3!$C$45,IF(7=Parametri_v3!$C$44,1-Parametri_v3!$C$45,0))</f>
        <v>0</v>
      </c>
      <c r="AQ395" s="15" t="n">
        <f aca="false">MAX(0,AP395+IF(7=Parametri_v3!$C$43,MAX(0,AN395-AO395),0)-MAX(0,-(AR394)))</f>
        <v>0</v>
      </c>
      <c r="AR395" s="15" t="n">
        <f aca="false">(AR394)+X395-AQ395</f>
        <v>0</v>
      </c>
      <c r="AS395" s="15" t="n">
        <f aca="false">Motore_Operativo!AB395-AT395+AU395</f>
        <v>70559.9833333333</v>
      </c>
      <c r="AT395" s="15" t="n">
        <f aca="false">Motore_Operativo!CH395</f>
        <v>3713.68333333333</v>
      </c>
      <c r="AU395" s="15" t="n">
        <f aca="false">MIN(MAX(0,(AV394)+AT395),Parametri_v3!$C$60/12)</f>
        <v>0</v>
      </c>
      <c r="AV395" s="15" t="n">
        <f aca="false">(AV394)+AT395-AU395</f>
        <v>60603.2833333334</v>
      </c>
      <c r="AW395" s="15" t="n">
        <f aca="false">IF(AND(Motore_Operativo!C395=Finanziamenti!$D$6,Finanziamenti!$F$6=1),Finanziamenti!$C$6,0)</f>
        <v>0</v>
      </c>
      <c r="AX395" s="15" t="n">
        <f aca="false">IF(AND(7&lt;&gt;7,7&lt;&gt;9,Finanziamenti!$F$8=1,OR(Parametri_v3!$C$6=0,Finanziamenti!$E$8=1),Motore_Operativo!C395=EDATE(Finanziamenti!$D$8,Ipotesi!I15*12)),Finanziamenti!$C$8*1,0)+IF(AND(7&lt;&gt;7,7&lt;&gt;9,Finanziamenti!$F$9=1,OR(Parametri_v3!$C$6=0,Finanziamenti!$E$9=1),Motore_Operativo!C395=EDATE(Finanziamenti!$D$9,Ipotesi!I15*12)),Finanziamenti!$C$9*Ipotesi!I16,0)</f>
        <v>0</v>
      </c>
      <c r="AY395" s="15" t="n">
        <f aca="false">0</f>
        <v>0</v>
      </c>
      <c r="AZ395" s="15" t="n">
        <f aca="false">Motore_Advisory!AY395*(1-Ipotesi!$C$95)*Ipotesi!$C$96</f>
        <v>0</v>
      </c>
      <c r="BA395" s="15" t="n">
        <f aca="false">MAX(0,MIN(CG395*MIN(1,IF(Motore_Operativo!C395&gt;=EDATE(Finanziamenti!$D$15,Ipotesi!I14*12),Finanziamenti!$C$15,0)+IF(Motore_Operativo!C395&gt;=EDATE(Finanziamenti!$D$16,Ipotesi!I14*12),Finanziamenti!$C$16,0)+IF(Motore_Operativo!C395&gt;=EDATE(Finanziamenti!$D$17,Ipotesi!I14*12),Finanziamenti!$C$17,0)),CA395*Ipotesi!$C$102)-(CC394))</f>
        <v>0</v>
      </c>
      <c r="BB395" s="15" t="n">
        <f aca="false">IF(AND(CF395&gt;0,Motore_Operativo!C395&gt;=IF(CF395=0,0,EDATE(CF395,Parametri_v3!$C$37)),MOD(((D395-YEAR(IF(CF395=0,0,EDATE(CF395,Parametri_v3!$C$37))))*12+E395-MONTH(IF(CF395=0,0,EDATE(CF395,Parametri_v3!$C$37)))),Parametri_v3!$C$38)=0),MIN(MAX(0,(BC394)+BA395-N395),(CC395-CD395)/(Ipotesi!$C$108*12/Parametri_v3!$C$38)),0)</f>
        <v>0</v>
      </c>
      <c r="BC395" s="15" t="n">
        <f aca="false">(BC394)+BA395-N395-BB395</f>
        <v>265392.996883967</v>
      </c>
      <c r="BD395" s="15" t="n">
        <f aca="false">(BH394)+AC395+AF395-AI395-AS395-K395*(1+Parametri_v3!$C$26)-AL395-AQ395-O395+AW395+AX395+AZ395+BA395-BB395</f>
        <v>-391561.29969025</v>
      </c>
      <c r="BE395" s="15" t="n">
        <f aca="false">MAX(0,MIN(MAX(0,CH395-(BG394)),Parametri_v3!$C$30-BD395))</f>
        <v>0</v>
      </c>
      <c r="BF395" s="15" t="n">
        <f aca="false">IF(Motore_Operativo!C395&gt;=Parametri_v3!$C$63,(BG394),MIN((BG394),MAX(0,BD395-Parametri_v3!$C$30)))</f>
        <v>0</v>
      </c>
      <c r="BG395" s="15" t="n">
        <f aca="false">(BG394)+BE395-BF395</f>
        <v>150000</v>
      </c>
      <c r="BH395" s="15" t="n">
        <f aca="false">BD395+BE395-BF395-AY395</f>
        <v>-391561.29969025</v>
      </c>
      <c r="BI395" s="15" t="n">
        <f aca="false">MAX(0,Parametri_v3!$C$30-BH395)</f>
        <v>416561.29969025</v>
      </c>
      <c r="BJ395" s="15" t="n">
        <f aca="false">(BJ394)+K395</f>
        <v>62500</v>
      </c>
      <c r="BK395" s="15" t="n">
        <f aca="false">(BK394)+L395</f>
        <v>25486.1111111111</v>
      </c>
      <c r="BL395" s="15" t="n">
        <f aca="false">BJ395-BK395</f>
        <v>37013.8888888889</v>
      </c>
      <c r="BM395" s="15" t="n">
        <f aca="false">(BM394)+Y395</f>
        <v>-822554.563534423</v>
      </c>
      <c r="BN395" s="15" t="n">
        <f aca="false">(BN394)+AW395+AX395+AZ395</f>
        <v>130000</v>
      </c>
      <c r="BO395" s="15" t="n">
        <f aca="false">(BO394)+AY395</f>
        <v>0</v>
      </c>
      <c r="BP395" s="15" t="n">
        <f aca="false">0</f>
        <v>0</v>
      </c>
      <c r="BQ395" s="15" t="n">
        <f aca="false">BN395+BM395-BO395</f>
        <v>-692554.563534423</v>
      </c>
      <c r="BR395" s="15" t="n">
        <f aca="false">BH395+AD395+BL395+MAX(0,-AM395)+MAX(0,-AR395)+AG395</f>
        <v>-108154.808330026</v>
      </c>
      <c r="BS395" s="15" t="n">
        <f aca="false">AJ395+AV395+MAX(0,AM395)+MAX(0,AR395)+BC395+BG395+BQ395</f>
        <v>-108154.808330026</v>
      </c>
      <c r="BT395" s="15" t="n">
        <f aca="false">BR395-BS395</f>
        <v>-4.36557456851006E-010</v>
      </c>
      <c r="BU395" s="15" t="n">
        <f aca="false">BH395-(BD395+BE395-BF395-AY395)</f>
        <v>0</v>
      </c>
      <c r="BV395" s="15" t="n">
        <f aca="false">MIN(Piano_SS!$C$6,(BV394)+IF(AND(Motore_Operativo!C395&gt;=EDATE(Parametri_v3!$C$24,Ipotesi!I14*12),Motore_Operativo!C395&lt;EDATE(Parametri_v3!$C$24,Parametri_v3!$C$25+Ipotesi!I14*12)),MAX(0,(Motore_Operativo!Y395+Motore_Operativo!X395*Parametri_v3!$C$14)*(1-Parametri_v3!$C$32))*Piano_SS!$D$6,0))</f>
        <v>300000</v>
      </c>
      <c r="BW395" s="15" t="n">
        <f aca="false">MIN(Piano_SS!$C$7,(BW394)+IF(AND(Motore_Operativo!C395&gt;=EDATE(Parametri_v3!$C$24,Ipotesi!I14*12),Motore_Operativo!C395&lt;EDATE(Parametri_v3!$C$24,Parametri_v3!$C$25+Ipotesi!I14*12)),MAX(0,(IF(31-(INT((Ipotesi!$C$91)/30))&lt;1,0,INDEX(Motore_Operativo!$BN$365:$BN$424,MAX(1,31-(INT((Ipotesi!$C$91)/30)))))*(1-(MOD((Ipotesi!$C$91),30)/30))+IF(31-(INT((Ipotesi!$C$91)/30))-1&lt;1,0,INDEX(Motore_Operativo!$BN$365:$BN$424,MAX(1,31-(INT((Ipotesi!$C$91)/30))-1)))*(MOD((Ipotesi!$C$91),30)/30)))*Piano_SS!$D$7,0))</f>
        <v>41058.9230070837</v>
      </c>
      <c r="BX395" s="15" t="n">
        <f aca="false">MIN(Piano_SS!$C$8,(BX394)+IF(AND(Motore_Operativo!C395&gt;=EDATE(Parametri_v3!$C$24,Ipotesi!I14*12),Motore_Operativo!C395&lt;EDATE(Parametri_v3!$C$24,Parametri_v3!$C$25+Ipotesi!I14*12)),MAX(0,Motore_Operativo!CE395)*Piano_SS!$D$8,0))</f>
        <v>50000</v>
      </c>
      <c r="BY395" s="15" t="n">
        <f aca="false">MIN(Piano_SS!$C$9,(BY394)+IF(AND(Motore_Operativo!C395&gt;=EDATE(Parametri_v3!$C$24,Ipotesi!I14*12),Motore_Operativo!C395&lt;EDATE(Parametri_v3!$C$24,Parametri_v3!$C$25+Ipotesi!I14*12)),MAX(0,((IF(31-(INT((Ipotesi!$C$91)/30))&lt;1,0,INDEX(Motore_Operativo!$BQ$365:$BQ$424,MAX(1,31-(INT((Ipotesi!$C$91)/30)))))*(1-(MOD((Ipotesi!$C$91),30)/30))+IF(31-(INT((Ipotesi!$C$91)/30))-1&lt;1,0,INDEX(Motore_Operativo!$BQ$365:$BQ$424,MAX(1,31-(INT((Ipotesi!$C$91)/30))-1)))*(MOD((Ipotesi!$C$91),30)/30))+(IF(31-(INT((Ipotesi!$C$91)/30))&lt;1,0,INDEX(Motore_Operativo!$BR$365:$BR$424,MAX(1,31-(INT((Ipotesi!$C$91)/30)))))*(1-(MOD((Ipotesi!$C$91),30)/30))+IF(31-(INT((Ipotesi!$C$91)/30))-1&lt;1,0,INDEX(Motore_Operativo!$BR$365:$BR$424,MAX(1,31-(INT((Ipotesi!$C$91)/30))-1)))*(MOD((Ipotesi!$C$91),30)/30))))*Piano_SS!$D$9,0))</f>
        <v>40000</v>
      </c>
      <c r="BZ395" s="15" t="n">
        <f aca="false">MIN(Piano_SS!$C$10,(BZ394)+IF(AND(Motore_Operativo!C395&gt;=EDATE(Parametri_v3!$C$24,Ipotesi!I14*12),Motore_Operativo!C395&lt;EDATE(Parametri_v3!$C$24,Parametri_v3!$C$25+Ipotesi!I14*12)),MAX(0,(IF(31-(INT((Ipotesi!$C$91)/30))&lt;1,0,INDEX(Motore_Operativo!$BO$365:$BO$424,MAX(1,31-(INT((Ipotesi!$C$91)/30)))))*(1-(MOD((Ipotesi!$C$91),30)/30))+IF(31-(INT((Ipotesi!$C$91)/30))-1&lt;1,0,INDEX(Motore_Operativo!$BO$365:$BO$424,MAX(1,31-(INT((Ipotesi!$C$91)/30))-1)))*(MOD((Ipotesi!$C$91),30)/30)))*Piano_SS!$D$10,0))</f>
        <v>30000</v>
      </c>
      <c r="CA395" s="15" t="n">
        <f aca="false">SUM(BV395:BZ395)</f>
        <v>461058.923007084</v>
      </c>
      <c r="CB395" s="15" t="n">
        <f aca="false">BV395*(1-Piano_SS!$E$6)+BW395*(1-Piano_SS!$E$7)+BX395*(1-Piano_SS!$E$8)+BY395*(1-Piano_SS!$E$9)+BZ395*(1-Piano_SS!$E$10)</f>
        <v>431058.923007084</v>
      </c>
      <c r="CC395" s="15" t="n">
        <f aca="false">(CC394)+BA395</f>
        <v>368847.138405667</v>
      </c>
      <c r="CD395" s="15" t="n">
        <f aca="false">IF(CA395=0,0,CC395*CB395/CA395*Ipotesi!$C$103*Parametri_v3!$C$64)</f>
        <v>103454.1415217</v>
      </c>
      <c r="CE395" s="18" t="n">
        <f aca="false">IF(BA395&gt;0,Motore_Operativo!C395,(CE394))</f>
        <v>47270</v>
      </c>
      <c r="CF395" s="18" t="n">
        <f aca="false">IF(AND(CC395&gt;0,OR(CC395&gt;=CG395-0.01,Motore_Operativo!C395&gt;=EDATE(MAX(Finanziamenti!$D$15:$D$17),Ipotesi!I14*12))),CE395,0)</f>
        <v>47270</v>
      </c>
      <c r="CG395" s="15" t="n">
        <f aca="false">IF(AND(7&lt;&gt;6,7&lt;&gt;9,Finanziamenti!$F$11=1,OR(Parametri_v3!$C$6=0,Finanziamenti!$E$11=1)),MIN(Finanziamenti!$C$11,Piano_SS!$C$12*Ipotesi!$C$102),0)</f>
        <v>400000</v>
      </c>
      <c r="CH395" s="15" t="n">
        <f aca="false">IF(AND(AND(7&lt;&gt;8,7&lt;&gt;9,Finanziamenti!$F$10=1,OR(Parametri_v3!$C$6=0,Finanziamenti!$E$10=1)),Motore_Operativo!C395&gt;=Finanziamenti!$D$10,Motore_Operativo!C395&lt;Parametri_v3!$C$63),Finanziamenti!$C$10,0)</f>
        <v>150000</v>
      </c>
    </row>
    <row r="396" customFormat="false" ht="18" hidden="false" customHeight="true" outlineLevel="0" collapsed="false">
      <c r="A396" s="68" t="n">
        <f aca="false">7</f>
        <v>7</v>
      </c>
      <c r="B396" s="68" t="n">
        <f aca="false">32</f>
        <v>32</v>
      </c>
      <c r="C396" s="18" t="n">
        <f aca="false">Motore_Operativo!C396</f>
        <v>47331</v>
      </c>
      <c r="D396" s="68" t="n">
        <f aca="false">Motore_Operativo!D396</f>
        <v>2029</v>
      </c>
      <c r="E396" s="68" t="n">
        <f aca="false">Motore_Operativo!E396</f>
        <v>8</v>
      </c>
      <c r="F396" s="15" t="n">
        <f aca="false">Motore_Operativo!AQ396+Motore_Operativo!BF396</f>
        <v>70583.8654295919</v>
      </c>
      <c r="G396" s="15" t="n">
        <f aca="false">Motore_Operativo!BH396</f>
        <v>6050</v>
      </c>
      <c r="H396" s="15" t="n">
        <f aca="false">Motore_Operativo!BI396</f>
        <v>76633.8654295919</v>
      </c>
      <c r="I396" s="15" t="n">
        <f aca="false">Motore_Operativo!CA396</f>
        <v>117216.074493476</v>
      </c>
      <c r="J396" s="15" t="n">
        <f aca="false">Motore_Operativo!CC396</f>
        <v>-40582.2090638843</v>
      </c>
      <c r="K396" s="15" t="n">
        <f aca="false">Motore_Operativo!CE396</f>
        <v>2500</v>
      </c>
      <c r="L396" s="15" t="n">
        <f aca="false">SUM(INDEX($K$365:$K$424,MAX(1,32-Parametri_v3!$C$59+1)):K396)/Parametri_v3!$C$59</f>
        <v>1805.55555555556</v>
      </c>
      <c r="M396" s="15" t="n">
        <f aca="false">J396-L396</f>
        <v>-42387.7646194398</v>
      </c>
      <c r="N396" s="15" t="n">
        <f aca="false">CD396-(CD395)</f>
        <v>0</v>
      </c>
      <c r="O396" s="15" t="n">
        <f aca="false">(BG395)*Ipotesi!$C$110/12+CH396*Parametri_v3!$C$39/12</f>
        <v>750</v>
      </c>
      <c r="P396" s="15" t="n">
        <f aca="false">M396+N396-O396</f>
        <v>-43137.7646194398</v>
      </c>
      <c r="Q396" s="15" t="n">
        <f aca="false">SUM(P389:P396)+Parametri_v3!$C$54*8/12</f>
        <v>-362405.697003304</v>
      </c>
      <c r="R396" s="15" t="n">
        <f aca="false">Z388</f>
        <v>503286.631150559</v>
      </c>
      <c r="S396" s="15" t="n">
        <f aca="false">AA388</f>
        <v>0</v>
      </c>
      <c r="T396" s="15" t="n">
        <f aca="false">MIN(R396,MAX(0,Q396))</f>
        <v>0</v>
      </c>
      <c r="U396" s="15" t="n">
        <f aca="false">MIN(S396,MAX(0,Q396-T396)*Parametri_v3!$C$42)</f>
        <v>0</v>
      </c>
      <c r="V396" s="15" t="n">
        <f aca="false">MAX(0,Q396-T396-U396)*Ipotesi!$C$92</f>
        <v>0</v>
      </c>
      <c r="W396" s="15" t="n">
        <f aca="false">MAX(0,SUM(M389:M396)+Parametri_v3!$C$55*8/12)*Ipotesi!$C$93</f>
        <v>0</v>
      </c>
      <c r="X396" s="15" t="n">
        <f aca="false">V396+W396-(V395+W395)</f>
        <v>0</v>
      </c>
      <c r="Y396" s="15" t="n">
        <f aca="false">P396-X396</f>
        <v>-43137.7646194398</v>
      </c>
      <c r="Z396" s="15" t="n">
        <f aca="false">R396-T396+IF(AND(Parametri_v3!$C$40=1,D396-YEAR(Parametri_v3!$C$50)&lt;Parametri_v3!$C$41),MAX(0,-Q396),0)</f>
        <v>865692.328153863</v>
      </c>
      <c r="AA396" s="15" t="n">
        <f aca="false">S396-U396+IF(AND(Parametri_v3!$C$40=1,D396-YEAR(Parametri_v3!$C$50)&lt;Parametri_v3!$C$41),0,MAX(0,-Q396))</f>
        <v>0</v>
      </c>
      <c r="AB396" s="15" t="n">
        <f aca="false">F396*(1+Parametri_v3!$C$26)</f>
        <v>86112.3158241022</v>
      </c>
      <c r="AC396" s="15" t="n">
        <f aca="false">(IF(32-(INT((Motore_Operativo!L396)/30))&lt;1,0,INDEX(Motore_Startup!$AB$365:$AB$424,MAX(1,32-(INT((Motore_Operativo!L396)/30)))))*(1-(MOD((Motore_Operativo!L396),30)/30))+IF(32-(INT((Motore_Operativo!L396)/30))-1&lt;1,0,INDEX(Motore_Startup!$AB$365:$AB$424,MAX(1,32-(INT((Motore_Operativo!L396)/30))-1)))*(MOD((Motore_Operativo!L396),30)/30))</f>
        <v>76421.281120974</v>
      </c>
      <c r="AD396" s="15" t="n">
        <f aca="false">(AD395)+AB396-AC396</f>
        <v>248702.637174463</v>
      </c>
      <c r="AE396" s="15" t="n">
        <f aca="false">Motore_Operativo!BH396*(1+Parametri_v3!$C$26)</f>
        <v>7381</v>
      </c>
      <c r="AF396" s="15" t="n">
        <f aca="false">(IF(32-(INT((Parametri_v3!$C$29)/30))&lt;1,0,INDEX(Motore_Operativo!$BH$365:$BH$424,MAX(1,32-(INT((Parametri_v3!$C$29)/30)))))*(1-(MOD((Parametri_v3!$C$29),30)/30))+IF(32-(INT((Parametri_v3!$C$29)/30))-1&lt;1,0,INDEX(Motore_Operativo!$BH$365:$BH$424,MAX(1,32-(INT((Parametri_v3!$C$29)/30))-1)))*(MOD((Parametri_v3!$C$29),30)/30))*(1+Parametri_v3!$C$26)</f>
        <v>7381</v>
      </c>
      <c r="AG396" s="15" t="n">
        <f aca="false">(AG395)+AE396-AF396</f>
        <v>7381</v>
      </c>
      <c r="AH396" s="15" t="n">
        <f aca="false">(Motore_Operativo!CJ396)*(1+Parametri_v3!$C$27*Parametri_v3!$C$26)</f>
        <v>50972.6380904229</v>
      </c>
      <c r="AI396" s="15" t="n">
        <f aca="false">(IF(32-(INT((Ipotesi!$C$91)/30))&lt;1,0,INDEX(Motore_Startup!$AH$365:$AH$424,MAX(1,32-(INT((Ipotesi!$C$91)/30)))))*(1-(MOD((Ipotesi!$C$91),30)/30))+IF(32-(INT((Ipotesi!$C$91)/30))-1&lt;1,0,INDEX(Motore_Startup!$AH$365:$AH$424,MAX(1,32-(INT((Ipotesi!$C$91)/30))-1)))*(MOD((Ipotesi!$C$91),30)/30))</f>
        <v>50096.4763662768</v>
      </c>
      <c r="AJ396" s="15" t="n">
        <f aca="false">(AJ395)+AH396-AI396</f>
        <v>101509.118490815</v>
      </c>
      <c r="AK396" s="15" t="n">
        <f aca="false">(F396+ Motore_Operativo!BH396-(Motore_Operativo!CJ396)*Parametri_v3!$C$27-Motore_Operativo!CE396)*Parametri_v3!$C$26</f>
        <v>8279.22013089684</v>
      </c>
      <c r="AL396" s="15" t="n">
        <f aca="false">MAX(0,(AM395))</f>
        <v>7770.51822042779</v>
      </c>
      <c r="AM396" s="15" t="n">
        <f aca="false">(AM395)+AK396-AL396</f>
        <v>8279.22013089684</v>
      </c>
      <c r="AN396" s="15" t="n">
        <f aca="false">SUM(X377:X388)</f>
        <v>0</v>
      </c>
      <c r="AO396" s="15" t="n">
        <f aca="false">SUM(AP377:AP388)</f>
        <v>0</v>
      </c>
      <c r="AP396" s="15" t="n">
        <f aca="false">MAX(0,AN396)*IF(8=Parametri_v3!$C$43,Parametri_v3!$C$45,IF(8=Parametri_v3!$C$44,1-Parametri_v3!$C$45,0))</f>
        <v>0</v>
      </c>
      <c r="AQ396" s="15" t="n">
        <f aca="false">MAX(0,AP396+IF(8=Parametri_v3!$C$43,MAX(0,AN396-AO396),0)-MAX(0,-(AR395)))</f>
        <v>0</v>
      </c>
      <c r="AR396" s="15" t="n">
        <f aca="false">(AR395)+X396-AQ396</f>
        <v>0</v>
      </c>
      <c r="AS396" s="15" t="n">
        <f aca="false">Motore_Operativo!AB396-AT396+AU396</f>
        <v>70559.9833333333</v>
      </c>
      <c r="AT396" s="15" t="n">
        <f aca="false">Motore_Operativo!CH396</f>
        <v>3713.68333333333</v>
      </c>
      <c r="AU396" s="15" t="n">
        <f aca="false">MIN(MAX(0,(AV395)+AT396),Parametri_v3!$C$60/12)</f>
        <v>0</v>
      </c>
      <c r="AV396" s="15" t="n">
        <f aca="false">(AV395)+AT396-AU396</f>
        <v>64316.9666666667</v>
      </c>
      <c r="AW396" s="15" t="n">
        <f aca="false">IF(AND(Motore_Operativo!C396=Finanziamenti!$D$6,Finanziamenti!$F$6=1),Finanziamenti!$C$6,0)</f>
        <v>0</v>
      </c>
      <c r="AX396" s="15" t="n">
        <f aca="false">IF(AND(7&lt;&gt;7,7&lt;&gt;9,Finanziamenti!$F$8=1,OR(Parametri_v3!$C$6=0,Finanziamenti!$E$8=1),Motore_Operativo!C396=EDATE(Finanziamenti!$D$8,Ipotesi!I15*12)),Finanziamenti!$C$8*1,0)+IF(AND(7&lt;&gt;7,7&lt;&gt;9,Finanziamenti!$F$9=1,OR(Parametri_v3!$C$6=0,Finanziamenti!$E$9=1),Motore_Operativo!C396=EDATE(Finanziamenti!$D$9,Ipotesi!I15*12)),Finanziamenti!$C$9*Ipotesi!I16,0)</f>
        <v>0</v>
      </c>
      <c r="AY396" s="15" t="n">
        <f aca="false">0</f>
        <v>0</v>
      </c>
      <c r="AZ396" s="15" t="n">
        <f aca="false">Motore_Advisory!AY396*(1-Ipotesi!$C$95)*Ipotesi!$C$96</f>
        <v>0</v>
      </c>
      <c r="BA396" s="15" t="n">
        <f aca="false">MAX(0,MIN(CG396*MIN(1,IF(Motore_Operativo!C396&gt;=EDATE(Finanziamenti!$D$15,Ipotesi!I14*12),Finanziamenti!$C$15,0)+IF(Motore_Operativo!C396&gt;=EDATE(Finanziamenti!$D$16,Ipotesi!I14*12),Finanziamenti!$C$16,0)+IF(Motore_Operativo!C396&gt;=EDATE(Finanziamenti!$D$17,Ipotesi!I14*12),Finanziamenti!$C$17,0)),CA396*Ipotesi!$C$102)-(CC395))</f>
        <v>0</v>
      </c>
      <c r="BB396" s="15" t="n">
        <f aca="false">IF(AND(CF396&gt;0,Motore_Operativo!C396&gt;=IF(CF396=0,0,EDATE(CF396,Parametri_v3!$C$37)),MOD(((D396-YEAR(IF(CF396=0,0,EDATE(CF396,Parametri_v3!$C$37))))*12+E396-MONTH(IF(CF396=0,0,EDATE(CF396,Parametri_v3!$C$37)))),Parametri_v3!$C$38)=0),MIN(MAX(0,(BC395)+BA396-N396),(CC396-CD396)/(Ipotesi!$C$108*12/Parametri_v3!$C$38)),0)</f>
        <v>0</v>
      </c>
      <c r="BC396" s="15" t="n">
        <f aca="false">(BC395)+BA396-N396-BB396</f>
        <v>265392.996883967</v>
      </c>
      <c r="BD396" s="15" t="n">
        <f aca="false">(BH395)+AC396+AF396-AI396-AS396-K396*(1+Parametri_v3!$C$26)-AL396-AQ396-O396+AW396+AX396+AZ396+BA396-BB396</f>
        <v>-439985.996489314</v>
      </c>
      <c r="BE396" s="15" t="n">
        <f aca="false">MAX(0,MIN(MAX(0,CH396-(BG395)),Parametri_v3!$C$30-BD396))</f>
        <v>0</v>
      </c>
      <c r="BF396" s="15" t="n">
        <f aca="false">IF(Motore_Operativo!C396&gt;=Parametri_v3!$C$63,(BG395),MIN((BG395),MAX(0,BD396-Parametri_v3!$C$30)))</f>
        <v>0</v>
      </c>
      <c r="BG396" s="15" t="n">
        <f aca="false">(BG395)+BE396-BF396</f>
        <v>150000</v>
      </c>
      <c r="BH396" s="15" t="n">
        <f aca="false">BD396+BE396-BF396-AY396</f>
        <v>-439985.996489314</v>
      </c>
      <c r="BI396" s="15" t="n">
        <f aca="false">MAX(0,Parametri_v3!$C$30-BH396)</f>
        <v>464985.996489314</v>
      </c>
      <c r="BJ396" s="15" t="n">
        <f aca="false">(BJ395)+K396</f>
        <v>65000</v>
      </c>
      <c r="BK396" s="15" t="n">
        <f aca="false">(BK395)+L396</f>
        <v>27291.6666666667</v>
      </c>
      <c r="BL396" s="15" t="n">
        <f aca="false">BJ396-BK396</f>
        <v>37708.3333333333</v>
      </c>
      <c r="BM396" s="15" t="n">
        <f aca="false">(BM395)+Y396</f>
        <v>-865692.328153863</v>
      </c>
      <c r="BN396" s="15" t="n">
        <f aca="false">(BN395)+AW396+AX396+AZ396</f>
        <v>130000</v>
      </c>
      <c r="BO396" s="15" t="n">
        <f aca="false">(BO395)+AY396</f>
        <v>0</v>
      </c>
      <c r="BP396" s="15" t="n">
        <f aca="false">0</f>
        <v>0</v>
      </c>
      <c r="BQ396" s="15" t="n">
        <f aca="false">BN396+BM396-BO396</f>
        <v>-735692.328153863</v>
      </c>
      <c r="BR396" s="15" t="n">
        <f aca="false">BH396+AD396+BL396+MAX(0,-AM396)+MAX(0,-AR396)+AG396</f>
        <v>-146194.025981518</v>
      </c>
      <c r="BS396" s="15" t="n">
        <f aca="false">AJ396+AV396+MAX(0,AM396)+MAX(0,AR396)+BC396+BG396+BQ396</f>
        <v>-146194.025981517</v>
      </c>
      <c r="BT396" s="15" t="n">
        <f aca="false">BR396-BS396</f>
        <v>0</v>
      </c>
      <c r="BU396" s="15" t="n">
        <f aca="false">BH396-(BD396+BE396-BF396-AY396)</f>
        <v>0</v>
      </c>
      <c r="BV396" s="15" t="n">
        <f aca="false">MIN(Piano_SS!$C$6,(BV395)+IF(AND(Motore_Operativo!C396&gt;=EDATE(Parametri_v3!$C$24,Ipotesi!I14*12),Motore_Operativo!C396&lt;EDATE(Parametri_v3!$C$24,Parametri_v3!$C$25+Ipotesi!I14*12)),MAX(0,(Motore_Operativo!Y396+Motore_Operativo!X396*Parametri_v3!$C$14)*(1-Parametri_v3!$C$32))*Piano_SS!$D$6,0))</f>
        <v>300000</v>
      </c>
      <c r="BW396" s="15" t="n">
        <f aca="false">MIN(Piano_SS!$C$7,(BW395)+IF(AND(Motore_Operativo!C396&gt;=EDATE(Parametri_v3!$C$24,Ipotesi!I14*12),Motore_Operativo!C396&lt;EDATE(Parametri_v3!$C$24,Parametri_v3!$C$25+Ipotesi!I14*12)),MAX(0,(IF(32-(INT((Ipotesi!$C$91)/30))&lt;1,0,INDEX(Motore_Operativo!$BN$365:$BN$424,MAX(1,32-(INT((Ipotesi!$C$91)/30)))))*(1-(MOD((Ipotesi!$C$91),30)/30))+IF(32-(INT((Ipotesi!$C$91)/30))-1&lt;1,0,INDEX(Motore_Operativo!$BN$365:$BN$424,MAX(1,32-(INT((Ipotesi!$C$91)/30))-1)))*(MOD((Ipotesi!$C$91),30)/30)))*Piano_SS!$D$7,0))</f>
        <v>41058.9230070837</v>
      </c>
      <c r="BX396" s="15" t="n">
        <f aca="false">MIN(Piano_SS!$C$8,(BX395)+IF(AND(Motore_Operativo!C396&gt;=EDATE(Parametri_v3!$C$24,Ipotesi!I14*12),Motore_Operativo!C396&lt;EDATE(Parametri_v3!$C$24,Parametri_v3!$C$25+Ipotesi!I14*12)),MAX(0,Motore_Operativo!CE396)*Piano_SS!$D$8,0))</f>
        <v>50000</v>
      </c>
      <c r="BY396" s="15" t="n">
        <f aca="false">MIN(Piano_SS!$C$9,(BY395)+IF(AND(Motore_Operativo!C396&gt;=EDATE(Parametri_v3!$C$24,Ipotesi!I14*12),Motore_Operativo!C396&lt;EDATE(Parametri_v3!$C$24,Parametri_v3!$C$25+Ipotesi!I14*12)),MAX(0,((IF(32-(INT((Ipotesi!$C$91)/30))&lt;1,0,INDEX(Motore_Operativo!$BQ$365:$BQ$424,MAX(1,32-(INT((Ipotesi!$C$91)/30)))))*(1-(MOD((Ipotesi!$C$91),30)/30))+IF(32-(INT((Ipotesi!$C$91)/30))-1&lt;1,0,INDEX(Motore_Operativo!$BQ$365:$BQ$424,MAX(1,32-(INT((Ipotesi!$C$91)/30))-1)))*(MOD((Ipotesi!$C$91),30)/30))+(IF(32-(INT((Ipotesi!$C$91)/30))&lt;1,0,INDEX(Motore_Operativo!$BR$365:$BR$424,MAX(1,32-(INT((Ipotesi!$C$91)/30)))))*(1-(MOD((Ipotesi!$C$91),30)/30))+IF(32-(INT((Ipotesi!$C$91)/30))-1&lt;1,0,INDEX(Motore_Operativo!$BR$365:$BR$424,MAX(1,32-(INT((Ipotesi!$C$91)/30))-1)))*(MOD((Ipotesi!$C$91),30)/30))))*Piano_SS!$D$9,0))</f>
        <v>40000</v>
      </c>
      <c r="BZ396" s="15" t="n">
        <f aca="false">MIN(Piano_SS!$C$10,(BZ395)+IF(AND(Motore_Operativo!C396&gt;=EDATE(Parametri_v3!$C$24,Ipotesi!I14*12),Motore_Operativo!C396&lt;EDATE(Parametri_v3!$C$24,Parametri_v3!$C$25+Ipotesi!I14*12)),MAX(0,(IF(32-(INT((Ipotesi!$C$91)/30))&lt;1,0,INDEX(Motore_Operativo!$BO$365:$BO$424,MAX(1,32-(INT((Ipotesi!$C$91)/30)))))*(1-(MOD((Ipotesi!$C$91),30)/30))+IF(32-(INT((Ipotesi!$C$91)/30))-1&lt;1,0,INDEX(Motore_Operativo!$BO$365:$BO$424,MAX(1,32-(INT((Ipotesi!$C$91)/30))-1)))*(MOD((Ipotesi!$C$91),30)/30)))*Piano_SS!$D$10,0))</f>
        <v>30000</v>
      </c>
      <c r="CA396" s="15" t="n">
        <f aca="false">SUM(BV396:BZ396)</f>
        <v>461058.923007084</v>
      </c>
      <c r="CB396" s="15" t="n">
        <f aca="false">BV396*(1-Piano_SS!$E$6)+BW396*(1-Piano_SS!$E$7)+BX396*(1-Piano_SS!$E$8)+BY396*(1-Piano_SS!$E$9)+BZ396*(1-Piano_SS!$E$10)</f>
        <v>431058.923007084</v>
      </c>
      <c r="CC396" s="15" t="n">
        <f aca="false">(CC395)+BA396</f>
        <v>368847.138405667</v>
      </c>
      <c r="CD396" s="15" t="n">
        <f aca="false">IF(CA396=0,0,CC396*CB396/CA396*Ipotesi!$C$103*Parametri_v3!$C$64)</f>
        <v>103454.1415217</v>
      </c>
      <c r="CE396" s="18" t="n">
        <f aca="false">IF(BA396&gt;0,Motore_Operativo!C396,(CE395))</f>
        <v>47270</v>
      </c>
      <c r="CF396" s="18" t="n">
        <f aca="false">IF(AND(CC396&gt;0,OR(CC396&gt;=CG396-0.01,Motore_Operativo!C396&gt;=EDATE(MAX(Finanziamenti!$D$15:$D$17),Ipotesi!I14*12))),CE396,0)</f>
        <v>47270</v>
      </c>
      <c r="CG396" s="15" t="n">
        <f aca="false">IF(AND(7&lt;&gt;6,7&lt;&gt;9,Finanziamenti!$F$11=1,OR(Parametri_v3!$C$6=0,Finanziamenti!$E$11=1)),MIN(Finanziamenti!$C$11,Piano_SS!$C$12*Ipotesi!$C$102),0)</f>
        <v>400000</v>
      </c>
      <c r="CH396" s="15" t="n">
        <f aca="false">IF(AND(AND(7&lt;&gt;8,7&lt;&gt;9,Finanziamenti!$F$10=1,OR(Parametri_v3!$C$6=0,Finanziamenti!$E$10=1)),Motore_Operativo!C396&gt;=Finanziamenti!$D$10,Motore_Operativo!C396&lt;Parametri_v3!$C$63),Finanziamenti!$C$10,0)</f>
        <v>150000</v>
      </c>
    </row>
    <row r="397" customFormat="false" ht="18" hidden="false" customHeight="true" outlineLevel="0" collapsed="false">
      <c r="A397" s="68" t="n">
        <f aca="false">7</f>
        <v>7</v>
      </c>
      <c r="B397" s="68" t="n">
        <f aca="false">33</f>
        <v>33</v>
      </c>
      <c r="C397" s="18" t="n">
        <f aca="false">Motore_Operativo!C397</f>
        <v>47362</v>
      </c>
      <c r="D397" s="68" t="n">
        <f aca="false">Motore_Operativo!D397</f>
        <v>2029</v>
      </c>
      <c r="E397" s="68" t="n">
        <f aca="false">Motore_Operativo!E397</f>
        <v>9</v>
      </c>
      <c r="F397" s="15" t="n">
        <f aca="false">Motore_Operativo!AQ397+Motore_Operativo!BF397</f>
        <v>73185.5321114401</v>
      </c>
      <c r="G397" s="15" t="n">
        <f aca="false">Motore_Operativo!BH397</f>
        <v>6050</v>
      </c>
      <c r="H397" s="15" t="n">
        <f aca="false">Motore_Operativo!BI397</f>
        <v>79235.5321114401</v>
      </c>
      <c r="I397" s="15" t="n">
        <f aca="false">Motore_Operativo!CA397</f>
        <v>117580.307828935</v>
      </c>
      <c r="J397" s="15" t="n">
        <f aca="false">Motore_Operativo!CC397</f>
        <v>-38344.7757174948</v>
      </c>
      <c r="K397" s="15" t="n">
        <f aca="false">Motore_Operativo!CE397</f>
        <v>2500</v>
      </c>
      <c r="L397" s="15" t="n">
        <f aca="false">SUM(INDEX($K$365:$K$424,MAX(1,33-Parametri_v3!$C$59+1)):K397)/Parametri_v3!$C$59</f>
        <v>1875</v>
      </c>
      <c r="M397" s="15" t="n">
        <f aca="false">J397-L397</f>
        <v>-40219.7757174948</v>
      </c>
      <c r="N397" s="15" t="n">
        <f aca="false">CD397-(CD396)</f>
        <v>0</v>
      </c>
      <c r="O397" s="15" t="n">
        <f aca="false">(BG396)*Ipotesi!$C$110/12+CH397*Parametri_v3!$C$39/12</f>
        <v>750</v>
      </c>
      <c r="P397" s="15" t="n">
        <f aca="false">M397+N397-O397</f>
        <v>-40969.7757174948</v>
      </c>
      <c r="Q397" s="15" t="n">
        <f aca="false">SUM(P389:P397)+Parametri_v3!$C$54*9/12</f>
        <v>-403375.472720799</v>
      </c>
      <c r="R397" s="15" t="n">
        <f aca="false">Z388</f>
        <v>503286.631150559</v>
      </c>
      <c r="S397" s="15" t="n">
        <f aca="false">AA388</f>
        <v>0</v>
      </c>
      <c r="T397" s="15" t="n">
        <f aca="false">MIN(R397,MAX(0,Q397))</f>
        <v>0</v>
      </c>
      <c r="U397" s="15" t="n">
        <f aca="false">MIN(S397,MAX(0,Q397-T397)*Parametri_v3!$C$42)</f>
        <v>0</v>
      </c>
      <c r="V397" s="15" t="n">
        <f aca="false">MAX(0,Q397-T397-U397)*Ipotesi!$C$92</f>
        <v>0</v>
      </c>
      <c r="W397" s="15" t="n">
        <f aca="false">MAX(0,SUM(M389:M397)+Parametri_v3!$C$55*9/12)*Ipotesi!$C$93</f>
        <v>0</v>
      </c>
      <c r="X397" s="15" t="n">
        <f aca="false">V397+W397-(V396+W396)</f>
        <v>0</v>
      </c>
      <c r="Y397" s="15" t="n">
        <f aca="false">P397-X397</f>
        <v>-40969.7757174948</v>
      </c>
      <c r="Z397" s="15" t="n">
        <f aca="false">R397-T397+IF(AND(Parametri_v3!$C$40=1,D397-YEAR(Parametri_v3!$C$50)&lt;Parametri_v3!$C$41),MAX(0,-Q397),0)</f>
        <v>906662.103871358</v>
      </c>
      <c r="AA397" s="15" t="n">
        <f aca="false">S397-U397+IF(AND(Parametri_v3!$C$40=1,D397-YEAR(Parametri_v3!$C$50)&lt;Parametri_v3!$C$41),0,MAX(0,-Q397))</f>
        <v>0</v>
      </c>
      <c r="AB397" s="15" t="n">
        <f aca="false">F397*(1+Parametri_v3!$C$26)</f>
        <v>89286.349175957</v>
      </c>
      <c r="AC397" s="15" t="n">
        <f aca="false">(IF(33-(INT((Motore_Operativo!L397)/30))&lt;1,0,INDEX(Motore_Startup!$AB$365:$AB$424,MAX(1,33-(INT((Motore_Operativo!L397)/30)))))*(1-(MOD((Motore_Operativo!L397),30)/30))+IF(33-(INT((Motore_Operativo!L397)/30))-1&lt;1,0,INDEX(Motore_Startup!$AB$365:$AB$424,MAX(1,33-(INT((Motore_Operativo!L397)/30))-1)))*(MOD((Motore_Operativo!L397),30)/30))</f>
        <v>79680.029727952</v>
      </c>
      <c r="AD397" s="15" t="n">
        <f aca="false">(AD396)+AB397-AC397</f>
        <v>258308.956622468</v>
      </c>
      <c r="AE397" s="15" t="n">
        <f aca="false">Motore_Operativo!BH397*(1+Parametri_v3!$C$26)</f>
        <v>7381</v>
      </c>
      <c r="AF397" s="15" t="n">
        <f aca="false">(IF(33-(INT((Parametri_v3!$C$29)/30))&lt;1,0,INDEX(Motore_Operativo!$BH$365:$BH$424,MAX(1,33-(INT((Parametri_v3!$C$29)/30)))))*(1-(MOD((Parametri_v3!$C$29),30)/30))+IF(33-(INT((Parametri_v3!$C$29)/30))-1&lt;1,0,INDEX(Motore_Operativo!$BH$365:$BH$424,MAX(1,33-(INT((Parametri_v3!$C$29)/30))-1)))*(MOD((Parametri_v3!$C$29),30)/30))*(1+Parametri_v3!$C$26)</f>
        <v>7381</v>
      </c>
      <c r="AG397" s="15" t="n">
        <f aca="false">(AG396)+AE397-AF397</f>
        <v>7381</v>
      </c>
      <c r="AH397" s="15" t="n">
        <f aca="false">(Motore_Operativo!CJ397)*(1+Parametri_v3!$C$27*Parametri_v3!$C$26)</f>
        <v>51404.9830596125</v>
      </c>
      <c r="AI397" s="15" t="n">
        <f aca="false">(IF(33-(INT((Ipotesi!$C$91)/30))&lt;1,0,INDEX(Motore_Startup!$AH$365:$AH$424,MAX(1,33-(INT((Ipotesi!$C$91)/30)))))*(1-(MOD((Ipotesi!$C$91),30)/30))+IF(33-(INT((Ipotesi!$C$91)/30))-1&lt;1,0,INDEX(Motore_Startup!$AH$365:$AH$424,MAX(1,33-(INT((Ipotesi!$C$91)/30))-1)))*(MOD((Ipotesi!$C$91),30)/30))</f>
        <v>50536.4804003922</v>
      </c>
      <c r="AJ397" s="15" t="n">
        <f aca="false">(AJ396)+AH397-AI397</f>
        <v>102377.621150035</v>
      </c>
      <c r="AK397" s="15" t="n">
        <f aca="false">(F397+ Motore_Operativo!BH397-(Motore_Operativo!CJ397)*Parametri_v3!$C$27-Motore_Operativo!CE397)*Parametri_v3!$C$26</f>
        <v>8783.47516717266</v>
      </c>
      <c r="AL397" s="15" t="n">
        <f aca="false">MAX(0,(AM396))</f>
        <v>8279.22013089684</v>
      </c>
      <c r="AM397" s="15" t="n">
        <f aca="false">(AM396)+AK397-AL397</f>
        <v>8783.47516717266</v>
      </c>
      <c r="AN397" s="15" t="n">
        <f aca="false">SUM(X377:X388)</f>
        <v>0</v>
      </c>
      <c r="AO397" s="15" t="n">
        <f aca="false">SUM(AP377:AP388)</f>
        <v>0</v>
      </c>
      <c r="AP397" s="15" t="n">
        <f aca="false">MAX(0,AN397)*IF(9=Parametri_v3!$C$43,Parametri_v3!$C$45,IF(9=Parametri_v3!$C$44,1-Parametri_v3!$C$45,0))</f>
        <v>0</v>
      </c>
      <c r="AQ397" s="15" t="n">
        <f aca="false">MAX(0,AP397+IF(9=Parametri_v3!$C$43,MAX(0,AN397-AO397),0)-MAX(0,-(AR396)))</f>
        <v>0</v>
      </c>
      <c r="AR397" s="15" t="n">
        <f aca="false">(AR396)+X397-AQ397</f>
        <v>0</v>
      </c>
      <c r="AS397" s="15" t="n">
        <f aca="false">Motore_Operativo!AB397-AT397+AU397</f>
        <v>70559.9833333333</v>
      </c>
      <c r="AT397" s="15" t="n">
        <f aca="false">Motore_Operativo!CH397</f>
        <v>3713.68333333333</v>
      </c>
      <c r="AU397" s="15" t="n">
        <f aca="false">MIN(MAX(0,(AV396)+AT397),Parametri_v3!$C$60/12)</f>
        <v>0</v>
      </c>
      <c r="AV397" s="15" t="n">
        <f aca="false">(AV396)+AT397-AU397</f>
        <v>68030.65</v>
      </c>
      <c r="AW397" s="15" t="n">
        <f aca="false">IF(AND(Motore_Operativo!C397=Finanziamenti!$D$6,Finanziamenti!$F$6=1),Finanziamenti!$C$6,0)</f>
        <v>0</v>
      </c>
      <c r="AX397" s="15" t="n">
        <f aca="false">IF(AND(7&lt;&gt;7,7&lt;&gt;9,Finanziamenti!$F$8=1,OR(Parametri_v3!$C$6=0,Finanziamenti!$E$8=1),Motore_Operativo!C397=EDATE(Finanziamenti!$D$8,Ipotesi!I15*12)),Finanziamenti!$C$8*1,0)+IF(AND(7&lt;&gt;7,7&lt;&gt;9,Finanziamenti!$F$9=1,OR(Parametri_v3!$C$6=0,Finanziamenti!$E$9=1),Motore_Operativo!C397=EDATE(Finanziamenti!$D$9,Ipotesi!I15*12)),Finanziamenti!$C$9*Ipotesi!I16,0)</f>
        <v>0</v>
      </c>
      <c r="AY397" s="15" t="n">
        <f aca="false">0</f>
        <v>0</v>
      </c>
      <c r="AZ397" s="15" t="n">
        <f aca="false">Motore_Advisory!AY397*(1-Ipotesi!$C$95)*Ipotesi!$C$96</f>
        <v>0</v>
      </c>
      <c r="BA397" s="15" t="n">
        <f aca="false">MAX(0,MIN(CG397*MIN(1,IF(Motore_Operativo!C397&gt;=EDATE(Finanziamenti!$D$15,Ipotesi!I14*12),Finanziamenti!$C$15,0)+IF(Motore_Operativo!C397&gt;=EDATE(Finanziamenti!$D$16,Ipotesi!I14*12),Finanziamenti!$C$16,0)+IF(Motore_Operativo!C397&gt;=EDATE(Finanziamenti!$D$17,Ipotesi!I14*12),Finanziamenti!$C$17,0)),CA397*Ipotesi!$C$102)-(CC396))</f>
        <v>0</v>
      </c>
      <c r="BB397" s="15" t="n">
        <f aca="false">IF(AND(CF397&gt;0,Motore_Operativo!C397&gt;=IF(CF397=0,0,EDATE(CF397,Parametri_v3!$C$37)),MOD(((D397-YEAR(IF(CF397=0,0,EDATE(CF397,Parametri_v3!$C$37))))*12+E397-MONTH(IF(CF397=0,0,EDATE(CF397,Parametri_v3!$C$37)))),Parametri_v3!$C$38)=0),MIN(MAX(0,(BC396)+BA397-N397),(CC397-CD397)/(Ipotesi!$C$108*12/Parametri_v3!$C$38)),0)</f>
        <v>0</v>
      </c>
      <c r="BC397" s="15" t="n">
        <f aca="false">(BC396)+BA397-N397-BB397</f>
        <v>265392.996883967</v>
      </c>
      <c r="BD397" s="15" t="n">
        <f aca="false">(BH396)+AC397+AF397-AI397-AS397-K397*(1+Parametri_v3!$C$26)-AL397-AQ397-O397+AW397+AX397+AZ397+BA397-BB397</f>
        <v>-486100.650625984</v>
      </c>
      <c r="BE397" s="15" t="n">
        <f aca="false">MAX(0,MIN(MAX(0,CH397-(BG396)),Parametri_v3!$C$30-BD397))</f>
        <v>0</v>
      </c>
      <c r="BF397" s="15" t="n">
        <f aca="false">IF(Motore_Operativo!C397&gt;=Parametri_v3!$C$63,(BG396),MIN((BG396),MAX(0,BD397-Parametri_v3!$C$30)))</f>
        <v>0</v>
      </c>
      <c r="BG397" s="15" t="n">
        <f aca="false">(BG396)+BE397-BF397</f>
        <v>150000</v>
      </c>
      <c r="BH397" s="15" t="n">
        <f aca="false">BD397+BE397-BF397-AY397</f>
        <v>-486100.650625984</v>
      </c>
      <c r="BI397" s="15" t="n">
        <f aca="false">MAX(0,Parametri_v3!$C$30-BH397)</f>
        <v>511100.650625984</v>
      </c>
      <c r="BJ397" s="15" t="n">
        <f aca="false">(BJ396)+K397</f>
        <v>67500</v>
      </c>
      <c r="BK397" s="15" t="n">
        <f aca="false">(BK396)+L397</f>
        <v>29166.6666666667</v>
      </c>
      <c r="BL397" s="15" t="n">
        <f aca="false">BJ397-BK397</f>
        <v>38333.3333333333</v>
      </c>
      <c r="BM397" s="15" t="n">
        <f aca="false">(BM396)+Y397</f>
        <v>-906662.103871358</v>
      </c>
      <c r="BN397" s="15" t="n">
        <f aca="false">(BN396)+AW397+AX397+AZ397</f>
        <v>130000</v>
      </c>
      <c r="BO397" s="15" t="n">
        <f aca="false">(BO396)+AY397</f>
        <v>0</v>
      </c>
      <c r="BP397" s="15" t="n">
        <f aca="false">0</f>
        <v>0</v>
      </c>
      <c r="BQ397" s="15" t="n">
        <f aca="false">BN397+BM397-BO397</f>
        <v>-776662.103871358</v>
      </c>
      <c r="BR397" s="15" t="n">
        <f aca="false">BH397+AD397+BL397+MAX(0,-AM397)+MAX(0,-AR397)+AG397</f>
        <v>-182077.360670183</v>
      </c>
      <c r="BS397" s="15" t="n">
        <f aca="false">AJ397+AV397+MAX(0,AM397)+MAX(0,AR397)+BC397+BG397+BQ397</f>
        <v>-182077.360670183</v>
      </c>
      <c r="BT397" s="15" t="n">
        <f aca="false">BR397-BS397</f>
        <v>0</v>
      </c>
      <c r="BU397" s="15" t="n">
        <f aca="false">BH397-(BD397+BE397-BF397-AY397)</f>
        <v>0</v>
      </c>
      <c r="BV397" s="15" t="n">
        <f aca="false">MIN(Piano_SS!$C$6,(BV396)+IF(AND(Motore_Operativo!C397&gt;=EDATE(Parametri_v3!$C$24,Ipotesi!I14*12),Motore_Operativo!C397&lt;EDATE(Parametri_v3!$C$24,Parametri_v3!$C$25+Ipotesi!I14*12)),MAX(0,(Motore_Operativo!Y397+Motore_Operativo!X397*Parametri_v3!$C$14)*(1-Parametri_v3!$C$32))*Piano_SS!$D$6,0))</f>
        <v>300000</v>
      </c>
      <c r="BW397" s="15" t="n">
        <f aca="false">MIN(Piano_SS!$C$7,(BW396)+IF(AND(Motore_Operativo!C397&gt;=EDATE(Parametri_v3!$C$24,Ipotesi!I14*12),Motore_Operativo!C397&lt;EDATE(Parametri_v3!$C$24,Parametri_v3!$C$25+Ipotesi!I14*12)),MAX(0,(IF(33-(INT((Ipotesi!$C$91)/30))&lt;1,0,INDEX(Motore_Operativo!$BN$365:$BN$424,MAX(1,33-(INT((Ipotesi!$C$91)/30)))))*(1-(MOD((Ipotesi!$C$91),30)/30))+IF(33-(INT((Ipotesi!$C$91)/30))-1&lt;1,0,INDEX(Motore_Operativo!$BN$365:$BN$424,MAX(1,33-(INT((Ipotesi!$C$91)/30))-1)))*(MOD((Ipotesi!$C$91),30)/30)))*Piano_SS!$D$7,0))</f>
        <v>41058.9230070837</v>
      </c>
      <c r="BX397" s="15" t="n">
        <f aca="false">MIN(Piano_SS!$C$8,(BX396)+IF(AND(Motore_Operativo!C397&gt;=EDATE(Parametri_v3!$C$24,Ipotesi!I14*12),Motore_Operativo!C397&lt;EDATE(Parametri_v3!$C$24,Parametri_v3!$C$25+Ipotesi!I14*12)),MAX(0,Motore_Operativo!CE397)*Piano_SS!$D$8,0))</f>
        <v>50000</v>
      </c>
      <c r="BY397" s="15" t="n">
        <f aca="false">MIN(Piano_SS!$C$9,(BY396)+IF(AND(Motore_Operativo!C397&gt;=EDATE(Parametri_v3!$C$24,Ipotesi!I14*12),Motore_Operativo!C397&lt;EDATE(Parametri_v3!$C$24,Parametri_v3!$C$25+Ipotesi!I14*12)),MAX(0,((IF(33-(INT((Ipotesi!$C$91)/30))&lt;1,0,INDEX(Motore_Operativo!$BQ$365:$BQ$424,MAX(1,33-(INT((Ipotesi!$C$91)/30)))))*(1-(MOD((Ipotesi!$C$91),30)/30))+IF(33-(INT((Ipotesi!$C$91)/30))-1&lt;1,0,INDEX(Motore_Operativo!$BQ$365:$BQ$424,MAX(1,33-(INT((Ipotesi!$C$91)/30))-1)))*(MOD((Ipotesi!$C$91),30)/30))+(IF(33-(INT((Ipotesi!$C$91)/30))&lt;1,0,INDEX(Motore_Operativo!$BR$365:$BR$424,MAX(1,33-(INT((Ipotesi!$C$91)/30)))))*(1-(MOD((Ipotesi!$C$91),30)/30))+IF(33-(INT((Ipotesi!$C$91)/30))-1&lt;1,0,INDEX(Motore_Operativo!$BR$365:$BR$424,MAX(1,33-(INT((Ipotesi!$C$91)/30))-1)))*(MOD((Ipotesi!$C$91),30)/30))))*Piano_SS!$D$9,0))</f>
        <v>40000</v>
      </c>
      <c r="BZ397" s="15" t="n">
        <f aca="false">MIN(Piano_SS!$C$10,(BZ396)+IF(AND(Motore_Operativo!C397&gt;=EDATE(Parametri_v3!$C$24,Ipotesi!I14*12),Motore_Operativo!C397&lt;EDATE(Parametri_v3!$C$24,Parametri_v3!$C$25+Ipotesi!I14*12)),MAX(0,(IF(33-(INT((Ipotesi!$C$91)/30))&lt;1,0,INDEX(Motore_Operativo!$BO$365:$BO$424,MAX(1,33-(INT((Ipotesi!$C$91)/30)))))*(1-(MOD((Ipotesi!$C$91),30)/30))+IF(33-(INT((Ipotesi!$C$91)/30))-1&lt;1,0,INDEX(Motore_Operativo!$BO$365:$BO$424,MAX(1,33-(INT((Ipotesi!$C$91)/30))-1)))*(MOD((Ipotesi!$C$91),30)/30)))*Piano_SS!$D$10,0))</f>
        <v>30000</v>
      </c>
      <c r="CA397" s="15" t="n">
        <f aca="false">SUM(BV397:BZ397)</f>
        <v>461058.923007084</v>
      </c>
      <c r="CB397" s="15" t="n">
        <f aca="false">BV397*(1-Piano_SS!$E$6)+BW397*(1-Piano_SS!$E$7)+BX397*(1-Piano_SS!$E$8)+BY397*(1-Piano_SS!$E$9)+BZ397*(1-Piano_SS!$E$10)</f>
        <v>431058.923007084</v>
      </c>
      <c r="CC397" s="15" t="n">
        <f aca="false">(CC396)+BA397</f>
        <v>368847.138405667</v>
      </c>
      <c r="CD397" s="15" t="n">
        <f aca="false">IF(CA397=0,0,CC397*CB397/CA397*Ipotesi!$C$103*Parametri_v3!$C$64)</f>
        <v>103454.1415217</v>
      </c>
      <c r="CE397" s="18" t="n">
        <f aca="false">IF(BA397&gt;0,Motore_Operativo!C397,(CE396))</f>
        <v>47270</v>
      </c>
      <c r="CF397" s="18" t="n">
        <f aca="false">IF(AND(CC397&gt;0,OR(CC397&gt;=CG397-0.01,Motore_Operativo!C397&gt;=EDATE(MAX(Finanziamenti!$D$15:$D$17),Ipotesi!I14*12))),CE397,0)</f>
        <v>47270</v>
      </c>
      <c r="CG397" s="15" t="n">
        <f aca="false">IF(AND(7&lt;&gt;6,7&lt;&gt;9,Finanziamenti!$F$11=1,OR(Parametri_v3!$C$6=0,Finanziamenti!$E$11=1)),MIN(Finanziamenti!$C$11,Piano_SS!$C$12*Ipotesi!$C$102),0)</f>
        <v>400000</v>
      </c>
      <c r="CH397" s="15" t="n">
        <f aca="false">IF(AND(AND(7&lt;&gt;8,7&lt;&gt;9,Finanziamenti!$F$10=1,OR(Parametri_v3!$C$6=0,Finanziamenti!$E$10=1)),Motore_Operativo!C397&gt;=Finanziamenti!$D$10,Motore_Operativo!C397&lt;Parametri_v3!$C$63),Finanziamenti!$C$10,0)</f>
        <v>150000</v>
      </c>
    </row>
    <row r="398" customFormat="false" ht="18" hidden="false" customHeight="true" outlineLevel="0" collapsed="false">
      <c r="A398" s="68" t="n">
        <f aca="false">7</f>
        <v>7</v>
      </c>
      <c r="B398" s="68" t="n">
        <f aca="false">34</f>
        <v>34</v>
      </c>
      <c r="C398" s="18" t="n">
        <f aca="false">Motore_Operativo!C398</f>
        <v>47392</v>
      </c>
      <c r="D398" s="68" t="n">
        <f aca="false">Motore_Operativo!D398</f>
        <v>2029</v>
      </c>
      <c r="E398" s="68" t="n">
        <f aca="false">Motore_Operativo!E398</f>
        <v>10</v>
      </c>
      <c r="F398" s="15" t="n">
        <f aca="false">Motore_Operativo!AQ398+Motore_Operativo!BF398</f>
        <v>75764.4560353218</v>
      </c>
      <c r="G398" s="15" t="n">
        <f aca="false">Motore_Operativo!BH398</f>
        <v>6050</v>
      </c>
      <c r="H398" s="15" t="n">
        <f aca="false">Motore_Operativo!BI398</f>
        <v>81814.4560353218</v>
      </c>
      <c r="I398" s="15" t="n">
        <f aca="false">Motore_Operativo!CA398</f>
        <v>117941.357178278</v>
      </c>
      <c r="J398" s="15" t="n">
        <f aca="false">Motore_Operativo!CC398</f>
        <v>-36126.9011429566</v>
      </c>
      <c r="K398" s="15" t="n">
        <f aca="false">Motore_Operativo!CE398</f>
        <v>2500</v>
      </c>
      <c r="L398" s="15" t="n">
        <f aca="false">SUM(INDEX($K$365:$K$424,MAX(1,34-Parametri_v3!$C$59+1)):K398)/Parametri_v3!$C$59</f>
        <v>1944.44444444444</v>
      </c>
      <c r="M398" s="15" t="n">
        <f aca="false">J398-L398</f>
        <v>-38071.345587401</v>
      </c>
      <c r="N398" s="15" t="n">
        <f aca="false">CD398-(CD397)</f>
        <v>0</v>
      </c>
      <c r="O398" s="15" t="n">
        <f aca="false">(BG397)*Ipotesi!$C$110/12+CH398*Parametri_v3!$C$39/12</f>
        <v>750</v>
      </c>
      <c r="P398" s="15" t="n">
        <f aca="false">M398+N398-O398</f>
        <v>-38821.345587401</v>
      </c>
      <c r="Q398" s="15" t="n">
        <f aca="false">SUM(P389:P398)+Parametri_v3!$C$54*10/12</f>
        <v>-442196.8183082</v>
      </c>
      <c r="R398" s="15" t="n">
        <f aca="false">Z388</f>
        <v>503286.631150559</v>
      </c>
      <c r="S398" s="15" t="n">
        <f aca="false">AA388</f>
        <v>0</v>
      </c>
      <c r="T398" s="15" t="n">
        <f aca="false">MIN(R398,MAX(0,Q398))</f>
        <v>0</v>
      </c>
      <c r="U398" s="15" t="n">
        <f aca="false">MIN(S398,MAX(0,Q398-T398)*Parametri_v3!$C$42)</f>
        <v>0</v>
      </c>
      <c r="V398" s="15" t="n">
        <f aca="false">MAX(0,Q398-T398-U398)*Ipotesi!$C$92</f>
        <v>0</v>
      </c>
      <c r="W398" s="15" t="n">
        <f aca="false">MAX(0,SUM(M389:M398)+Parametri_v3!$C$55*10/12)*Ipotesi!$C$93</f>
        <v>0</v>
      </c>
      <c r="X398" s="15" t="n">
        <f aca="false">V398+W398-(V397+W397)</f>
        <v>0</v>
      </c>
      <c r="Y398" s="15" t="n">
        <f aca="false">P398-X398</f>
        <v>-38821.345587401</v>
      </c>
      <c r="Z398" s="15" t="n">
        <f aca="false">R398-T398+IF(AND(Parametri_v3!$C$40=1,D398-YEAR(Parametri_v3!$C$50)&lt;Parametri_v3!$C$41),MAX(0,-Q398),0)</f>
        <v>945483.449458759</v>
      </c>
      <c r="AA398" s="15" t="n">
        <f aca="false">S398-U398+IF(AND(Parametri_v3!$C$40=1,D398-YEAR(Parametri_v3!$C$50)&lt;Parametri_v3!$C$41),0,MAX(0,-Q398))</f>
        <v>0</v>
      </c>
      <c r="AB398" s="15" t="n">
        <f aca="false">F398*(1+Parametri_v3!$C$26)</f>
        <v>92432.6363630927</v>
      </c>
      <c r="AC398" s="15" t="n">
        <f aca="false">(IF(34-(INT((Motore_Operativo!L398)/30))&lt;1,0,INDEX(Motore_Startup!$AB$365:$AB$424,MAX(1,34-(INT((Motore_Operativo!L398)/30)))))*(1-(MOD((Motore_Operativo!L398),30)/30))+IF(34-(INT((Motore_Operativo!L398)/30))-1&lt;1,0,INDEX(Motore_Startup!$AB$365:$AB$424,MAX(1,34-(INT((Motore_Operativo!L398)/30))-1)))*(MOD((Motore_Operativo!L398),30)/30))</f>
        <v>82910.2916224086</v>
      </c>
      <c r="AD398" s="15" t="n">
        <f aca="false">(AD397)+AB398-AC398</f>
        <v>267831.301363152</v>
      </c>
      <c r="AE398" s="15" t="n">
        <f aca="false">Motore_Operativo!BH398*(1+Parametri_v3!$C$26)</f>
        <v>7381</v>
      </c>
      <c r="AF398" s="15" t="n">
        <f aca="false">(IF(34-(INT((Parametri_v3!$C$29)/30))&lt;1,0,INDEX(Motore_Operativo!$BH$365:$BH$424,MAX(1,34-(INT((Parametri_v3!$C$29)/30)))))*(1-(MOD((Parametri_v3!$C$29),30)/30))+IF(34-(INT((Parametri_v3!$C$29)/30))-1&lt;1,0,INDEX(Motore_Operativo!$BH$365:$BH$424,MAX(1,34-(INT((Parametri_v3!$C$29)/30))-1)))*(MOD((Parametri_v3!$C$29),30)/30))*(1+Parametri_v3!$C$26)</f>
        <v>7381</v>
      </c>
      <c r="AG398" s="15" t="n">
        <f aca="false">(AG397)+AE398-AF398</f>
        <v>7381</v>
      </c>
      <c r="AH398" s="15" t="n">
        <f aca="false">(Motore_Operativo!CJ398)*(1+Parametri_v3!$C$27*Parametri_v3!$C$26)</f>
        <v>51833.5486372831</v>
      </c>
      <c r="AI398" s="15" t="n">
        <f aca="false">(IF(34-(INT((Ipotesi!$C$91)/30))&lt;1,0,INDEX(Motore_Startup!$AH$365:$AH$424,MAX(1,34-(INT((Ipotesi!$C$91)/30)))))*(1-(MOD((Ipotesi!$C$91),30)/30))+IF(34-(INT((Ipotesi!$C$91)/30))-1&lt;1,0,INDEX(Motore_Startup!$AH$365:$AH$424,MAX(1,34-(INT((Ipotesi!$C$91)/30))-1)))*(MOD((Ipotesi!$C$91),30)/30))</f>
        <v>50972.6380904229</v>
      </c>
      <c r="AJ398" s="15" t="n">
        <f aca="false">(AJ397)+AH398-AI398</f>
        <v>103238.531696896</v>
      </c>
      <c r="AK398" s="15" t="n">
        <f aca="false">(F398+ Motore_Operativo!BH398-(Motore_Operativo!CJ398)*Parametri_v3!$C$27-Motore_Operativo!CE398)*Parametri_v3!$C$26</f>
        <v>9283.32220209941</v>
      </c>
      <c r="AL398" s="15" t="n">
        <f aca="false">MAX(0,(AM397))</f>
        <v>8783.47516717266</v>
      </c>
      <c r="AM398" s="15" t="n">
        <f aca="false">(AM397)+AK398-AL398</f>
        <v>9283.32220209941</v>
      </c>
      <c r="AN398" s="15" t="n">
        <f aca="false">SUM(X377:X388)</f>
        <v>0</v>
      </c>
      <c r="AO398" s="15" t="n">
        <f aca="false">SUM(AP377:AP388)</f>
        <v>0</v>
      </c>
      <c r="AP398" s="15" t="n">
        <f aca="false">MAX(0,AN398)*IF(10=Parametri_v3!$C$43,Parametri_v3!$C$45,IF(10=Parametri_v3!$C$44,1-Parametri_v3!$C$45,0))</f>
        <v>0</v>
      </c>
      <c r="AQ398" s="15" t="n">
        <f aca="false">MAX(0,AP398+IF(10=Parametri_v3!$C$43,MAX(0,AN398-AO398),0)-MAX(0,-(AR397)))</f>
        <v>0</v>
      </c>
      <c r="AR398" s="15" t="n">
        <f aca="false">(AR397)+X398-AQ398</f>
        <v>0</v>
      </c>
      <c r="AS398" s="15" t="n">
        <f aca="false">Motore_Operativo!AB398-AT398+AU398</f>
        <v>70559.9833333333</v>
      </c>
      <c r="AT398" s="15" t="n">
        <f aca="false">Motore_Operativo!CH398</f>
        <v>3713.68333333333</v>
      </c>
      <c r="AU398" s="15" t="n">
        <f aca="false">MIN(MAX(0,(AV397)+AT398),Parametri_v3!$C$60/12)</f>
        <v>0</v>
      </c>
      <c r="AV398" s="15" t="n">
        <f aca="false">(AV397)+AT398-AU398</f>
        <v>71744.3333333333</v>
      </c>
      <c r="AW398" s="15" t="n">
        <f aca="false">IF(AND(Motore_Operativo!C398=Finanziamenti!$D$6,Finanziamenti!$F$6=1),Finanziamenti!$C$6,0)</f>
        <v>0</v>
      </c>
      <c r="AX398" s="15" t="n">
        <f aca="false">IF(AND(7&lt;&gt;7,7&lt;&gt;9,Finanziamenti!$F$8=1,OR(Parametri_v3!$C$6=0,Finanziamenti!$E$8=1),Motore_Operativo!C398=EDATE(Finanziamenti!$D$8,Ipotesi!I15*12)),Finanziamenti!$C$8*1,0)+IF(AND(7&lt;&gt;7,7&lt;&gt;9,Finanziamenti!$F$9=1,OR(Parametri_v3!$C$6=0,Finanziamenti!$E$9=1),Motore_Operativo!C398=EDATE(Finanziamenti!$D$9,Ipotesi!I15*12)),Finanziamenti!$C$9*Ipotesi!I16,0)</f>
        <v>0</v>
      </c>
      <c r="AY398" s="15" t="n">
        <f aca="false">0</f>
        <v>0</v>
      </c>
      <c r="AZ398" s="15" t="n">
        <f aca="false">Motore_Advisory!AY398*(1-Ipotesi!$C$95)*Ipotesi!$C$96</f>
        <v>0</v>
      </c>
      <c r="BA398" s="15" t="n">
        <f aca="false">MAX(0,MIN(CG398*MIN(1,IF(Motore_Operativo!C398&gt;=EDATE(Finanziamenti!$D$15,Ipotesi!I14*12),Finanziamenti!$C$15,0)+IF(Motore_Operativo!C398&gt;=EDATE(Finanziamenti!$D$16,Ipotesi!I14*12),Finanziamenti!$C$16,0)+IF(Motore_Operativo!C398&gt;=EDATE(Finanziamenti!$D$17,Ipotesi!I14*12),Finanziamenti!$C$17,0)),CA398*Ipotesi!$C$102)-(CC397))</f>
        <v>0</v>
      </c>
      <c r="BB398" s="15" t="n">
        <f aca="false">IF(AND(CF398&gt;0,Motore_Operativo!C398&gt;=IF(CF398=0,0,EDATE(CF398,Parametri_v3!$C$37)),MOD(((D398-YEAR(IF(CF398=0,0,EDATE(CF398,Parametri_v3!$C$37))))*12+E398-MONTH(IF(CF398=0,0,EDATE(CF398,Parametri_v3!$C$37)))),Parametri_v3!$C$38)=0),MIN(MAX(0,(BC397)+BA398-N398),(CC398-CD398)/(Ipotesi!$C$108*12/Parametri_v3!$C$38)),0)</f>
        <v>0</v>
      </c>
      <c r="BC398" s="15" t="n">
        <f aca="false">(BC397)+BA398-N398-BB398</f>
        <v>265392.996883967</v>
      </c>
      <c r="BD398" s="15" t="n">
        <f aca="false">(BH397)+AC398+AF398-AI398-AS398-K398*(1+Parametri_v3!$C$26)-AL398-AQ398-O398+AW398+AX398+AZ398+BA398-BB398</f>
        <v>-529925.455594505</v>
      </c>
      <c r="BE398" s="15" t="n">
        <f aca="false">MAX(0,MIN(MAX(0,CH398-(BG397)),Parametri_v3!$C$30-BD398))</f>
        <v>0</v>
      </c>
      <c r="BF398" s="15" t="n">
        <f aca="false">IF(Motore_Operativo!C398&gt;=Parametri_v3!$C$63,(BG397),MIN((BG397),MAX(0,BD398-Parametri_v3!$C$30)))</f>
        <v>0</v>
      </c>
      <c r="BG398" s="15" t="n">
        <f aca="false">(BG397)+BE398-BF398</f>
        <v>150000</v>
      </c>
      <c r="BH398" s="15" t="n">
        <f aca="false">BD398+BE398-BF398-AY398</f>
        <v>-529925.455594505</v>
      </c>
      <c r="BI398" s="15" t="n">
        <f aca="false">MAX(0,Parametri_v3!$C$30-BH398)</f>
        <v>554925.455594505</v>
      </c>
      <c r="BJ398" s="15" t="n">
        <f aca="false">(BJ397)+K398</f>
        <v>70000</v>
      </c>
      <c r="BK398" s="15" t="n">
        <f aca="false">(BK397)+L398</f>
        <v>31111.1111111111</v>
      </c>
      <c r="BL398" s="15" t="n">
        <f aca="false">BJ398-BK398</f>
        <v>38888.8888888889</v>
      </c>
      <c r="BM398" s="15" t="n">
        <f aca="false">(BM397)+Y398</f>
        <v>-945483.449458759</v>
      </c>
      <c r="BN398" s="15" t="n">
        <f aca="false">(BN397)+AW398+AX398+AZ398</f>
        <v>130000</v>
      </c>
      <c r="BO398" s="15" t="n">
        <f aca="false">(BO397)+AY398</f>
        <v>0</v>
      </c>
      <c r="BP398" s="15" t="n">
        <f aca="false">0</f>
        <v>0</v>
      </c>
      <c r="BQ398" s="15" t="n">
        <f aca="false">BN398+BM398-BO398</f>
        <v>-815483.449458759</v>
      </c>
      <c r="BR398" s="15" t="n">
        <f aca="false">BH398+AD398+BL398+MAX(0,-AM398)+MAX(0,-AR398)+AG398</f>
        <v>-215824.265342464</v>
      </c>
      <c r="BS398" s="15" t="n">
        <f aca="false">AJ398+AV398+MAX(0,AM398)+MAX(0,AR398)+BC398+BG398+BQ398</f>
        <v>-215824.265342463</v>
      </c>
      <c r="BT398" s="15" t="n">
        <f aca="false">BR398-BS398</f>
        <v>0</v>
      </c>
      <c r="BU398" s="15" t="n">
        <f aca="false">BH398-(BD398+BE398-BF398-AY398)</f>
        <v>0</v>
      </c>
      <c r="BV398" s="15" t="n">
        <f aca="false">MIN(Piano_SS!$C$6,(BV397)+IF(AND(Motore_Operativo!C398&gt;=EDATE(Parametri_v3!$C$24,Ipotesi!I14*12),Motore_Operativo!C398&lt;EDATE(Parametri_v3!$C$24,Parametri_v3!$C$25+Ipotesi!I14*12)),MAX(0,(Motore_Operativo!Y398+Motore_Operativo!X398*Parametri_v3!$C$14)*(1-Parametri_v3!$C$32))*Piano_SS!$D$6,0))</f>
        <v>300000</v>
      </c>
      <c r="BW398" s="15" t="n">
        <f aca="false">MIN(Piano_SS!$C$7,(BW397)+IF(AND(Motore_Operativo!C398&gt;=EDATE(Parametri_v3!$C$24,Ipotesi!I14*12),Motore_Operativo!C398&lt;EDATE(Parametri_v3!$C$24,Parametri_v3!$C$25+Ipotesi!I14*12)),MAX(0,(IF(34-(INT((Ipotesi!$C$91)/30))&lt;1,0,INDEX(Motore_Operativo!$BN$365:$BN$424,MAX(1,34-(INT((Ipotesi!$C$91)/30)))))*(1-(MOD((Ipotesi!$C$91),30)/30))+IF(34-(INT((Ipotesi!$C$91)/30))-1&lt;1,0,INDEX(Motore_Operativo!$BN$365:$BN$424,MAX(1,34-(INT((Ipotesi!$C$91)/30))-1)))*(MOD((Ipotesi!$C$91),30)/30)))*Piano_SS!$D$7,0))</f>
        <v>41058.9230070837</v>
      </c>
      <c r="BX398" s="15" t="n">
        <f aca="false">MIN(Piano_SS!$C$8,(BX397)+IF(AND(Motore_Operativo!C398&gt;=EDATE(Parametri_v3!$C$24,Ipotesi!I14*12),Motore_Operativo!C398&lt;EDATE(Parametri_v3!$C$24,Parametri_v3!$C$25+Ipotesi!I14*12)),MAX(0,Motore_Operativo!CE398)*Piano_SS!$D$8,0))</f>
        <v>50000</v>
      </c>
      <c r="BY398" s="15" t="n">
        <f aca="false">MIN(Piano_SS!$C$9,(BY397)+IF(AND(Motore_Operativo!C398&gt;=EDATE(Parametri_v3!$C$24,Ipotesi!I14*12),Motore_Operativo!C398&lt;EDATE(Parametri_v3!$C$24,Parametri_v3!$C$25+Ipotesi!I14*12)),MAX(0,((IF(34-(INT((Ipotesi!$C$91)/30))&lt;1,0,INDEX(Motore_Operativo!$BQ$365:$BQ$424,MAX(1,34-(INT((Ipotesi!$C$91)/30)))))*(1-(MOD((Ipotesi!$C$91),30)/30))+IF(34-(INT((Ipotesi!$C$91)/30))-1&lt;1,0,INDEX(Motore_Operativo!$BQ$365:$BQ$424,MAX(1,34-(INT((Ipotesi!$C$91)/30))-1)))*(MOD((Ipotesi!$C$91),30)/30))+(IF(34-(INT((Ipotesi!$C$91)/30))&lt;1,0,INDEX(Motore_Operativo!$BR$365:$BR$424,MAX(1,34-(INT((Ipotesi!$C$91)/30)))))*(1-(MOD((Ipotesi!$C$91),30)/30))+IF(34-(INT((Ipotesi!$C$91)/30))-1&lt;1,0,INDEX(Motore_Operativo!$BR$365:$BR$424,MAX(1,34-(INT((Ipotesi!$C$91)/30))-1)))*(MOD((Ipotesi!$C$91),30)/30))))*Piano_SS!$D$9,0))</f>
        <v>40000</v>
      </c>
      <c r="BZ398" s="15" t="n">
        <f aca="false">MIN(Piano_SS!$C$10,(BZ397)+IF(AND(Motore_Operativo!C398&gt;=EDATE(Parametri_v3!$C$24,Ipotesi!I14*12),Motore_Operativo!C398&lt;EDATE(Parametri_v3!$C$24,Parametri_v3!$C$25+Ipotesi!I14*12)),MAX(0,(IF(34-(INT((Ipotesi!$C$91)/30))&lt;1,0,INDEX(Motore_Operativo!$BO$365:$BO$424,MAX(1,34-(INT((Ipotesi!$C$91)/30)))))*(1-(MOD((Ipotesi!$C$91),30)/30))+IF(34-(INT((Ipotesi!$C$91)/30))-1&lt;1,0,INDEX(Motore_Operativo!$BO$365:$BO$424,MAX(1,34-(INT((Ipotesi!$C$91)/30))-1)))*(MOD((Ipotesi!$C$91),30)/30)))*Piano_SS!$D$10,0))</f>
        <v>30000</v>
      </c>
      <c r="CA398" s="15" t="n">
        <f aca="false">SUM(BV398:BZ398)</f>
        <v>461058.923007084</v>
      </c>
      <c r="CB398" s="15" t="n">
        <f aca="false">BV398*(1-Piano_SS!$E$6)+BW398*(1-Piano_SS!$E$7)+BX398*(1-Piano_SS!$E$8)+BY398*(1-Piano_SS!$E$9)+BZ398*(1-Piano_SS!$E$10)</f>
        <v>431058.923007084</v>
      </c>
      <c r="CC398" s="15" t="n">
        <f aca="false">(CC397)+BA398</f>
        <v>368847.138405667</v>
      </c>
      <c r="CD398" s="15" t="n">
        <f aca="false">IF(CA398=0,0,CC398*CB398/CA398*Ipotesi!$C$103*Parametri_v3!$C$64)</f>
        <v>103454.1415217</v>
      </c>
      <c r="CE398" s="18" t="n">
        <f aca="false">IF(BA398&gt;0,Motore_Operativo!C398,(CE397))</f>
        <v>47270</v>
      </c>
      <c r="CF398" s="18" t="n">
        <f aca="false">IF(AND(CC398&gt;0,OR(CC398&gt;=CG398-0.01,Motore_Operativo!C398&gt;=EDATE(MAX(Finanziamenti!$D$15:$D$17),Ipotesi!I14*12))),CE398,0)</f>
        <v>47270</v>
      </c>
      <c r="CG398" s="15" t="n">
        <f aca="false">IF(AND(7&lt;&gt;6,7&lt;&gt;9,Finanziamenti!$F$11=1,OR(Parametri_v3!$C$6=0,Finanziamenti!$E$11=1)),MIN(Finanziamenti!$C$11,Piano_SS!$C$12*Ipotesi!$C$102),0)</f>
        <v>400000</v>
      </c>
      <c r="CH398" s="15" t="n">
        <f aca="false">IF(AND(AND(7&lt;&gt;8,7&lt;&gt;9,Finanziamenti!$F$10=1,OR(Parametri_v3!$C$6=0,Finanziamenti!$E$10=1)),Motore_Operativo!C398&gt;=Finanziamenti!$D$10,Motore_Operativo!C398&lt;Parametri_v3!$C$63),Finanziamenti!$C$10,0)</f>
        <v>150000</v>
      </c>
    </row>
    <row r="399" customFormat="false" ht="18" hidden="false" customHeight="true" outlineLevel="0" collapsed="false">
      <c r="A399" s="68" t="n">
        <f aca="false">7</f>
        <v>7</v>
      </c>
      <c r="B399" s="68" t="n">
        <f aca="false">35</f>
        <v>35</v>
      </c>
      <c r="C399" s="18" t="n">
        <f aca="false">Motore_Operativo!C399</f>
        <v>47423</v>
      </c>
      <c r="D399" s="68" t="n">
        <f aca="false">Motore_Operativo!D399</f>
        <v>2029</v>
      </c>
      <c r="E399" s="68" t="n">
        <f aca="false">Motore_Operativo!E399</f>
        <v>11</v>
      </c>
      <c r="F399" s="15" t="n">
        <f aca="false">Motore_Operativo!AQ399+Motore_Operativo!BF399</f>
        <v>78320.8360095792</v>
      </c>
      <c r="G399" s="15" t="n">
        <f aca="false">Motore_Operativo!BH399</f>
        <v>6050</v>
      </c>
      <c r="H399" s="15" t="n">
        <f aca="false">Motore_Operativo!BI399</f>
        <v>84370.8360095792</v>
      </c>
      <c r="I399" s="15" t="n">
        <f aca="false">Motore_Operativo!CA399</f>
        <v>118299.250374674</v>
      </c>
      <c r="J399" s="15" t="n">
        <f aca="false">Motore_Operativo!CC399</f>
        <v>-33928.4143650952</v>
      </c>
      <c r="K399" s="15" t="n">
        <f aca="false">Motore_Operativo!CE399</f>
        <v>2500</v>
      </c>
      <c r="L399" s="15" t="n">
        <f aca="false">SUM(INDEX($K$365:$K$424,MAX(1,35-Parametri_v3!$C$59+1)):K399)/Parametri_v3!$C$59</f>
        <v>2013.88888888889</v>
      </c>
      <c r="M399" s="15" t="n">
        <f aca="false">J399-L399</f>
        <v>-35942.3032539841</v>
      </c>
      <c r="N399" s="15" t="n">
        <f aca="false">CD399-(CD398)</f>
        <v>0</v>
      </c>
      <c r="O399" s="15" t="n">
        <f aca="false">(BG398)*Ipotesi!$C$110/12+CH399*Parametri_v3!$C$39/12</f>
        <v>750</v>
      </c>
      <c r="P399" s="15" t="n">
        <f aca="false">M399+N399-O399</f>
        <v>-36692.3032539841</v>
      </c>
      <c r="Q399" s="15" t="n">
        <f aca="false">SUM(P389:P399)+Parametri_v3!$C$54*11/12</f>
        <v>-478889.121562184</v>
      </c>
      <c r="R399" s="15" t="n">
        <f aca="false">Z388</f>
        <v>503286.631150559</v>
      </c>
      <c r="S399" s="15" t="n">
        <f aca="false">AA388</f>
        <v>0</v>
      </c>
      <c r="T399" s="15" t="n">
        <f aca="false">MIN(R399,MAX(0,Q399))</f>
        <v>0</v>
      </c>
      <c r="U399" s="15" t="n">
        <f aca="false">MIN(S399,MAX(0,Q399-T399)*Parametri_v3!$C$42)</f>
        <v>0</v>
      </c>
      <c r="V399" s="15" t="n">
        <f aca="false">MAX(0,Q399-T399-U399)*Ipotesi!$C$92</f>
        <v>0</v>
      </c>
      <c r="W399" s="15" t="n">
        <f aca="false">MAX(0,SUM(M389:M399)+Parametri_v3!$C$55*11/12)*Ipotesi!$C$93</f>
        <v>0</v>
      </c>
      <c r="X399" s="15" t="n">
        <f aca="false">V399+W399-(V398+W398)</f>
        <v>0</v>
      </c>
      <c r="Y399" s="15" t="n">
        <f aca="false">P399-X399</f>
        <v>-36692.3032539841</v>
      </c>
      <c r="Z399" s="15" t="n">
        <f aca="false">R399-T399+IF(AND(Parametri_v3!$C$40=1,D399-YEAR(Parametri_v3!$C$50)&lt;Parametri_v3!$C$41),MAX(0,-Q399),0)</f>
        <v>982175.752712743</v>
      </c>
      <c r="AA399" s="15" t="n">
        <f aca="false">S399-U399+IF(AND(Parametri_v3!$C$40=1,D399-YEAR(Parametri_v3!$C$50)&lt;Parametri_v3!$C$41),0,MAX(0,-Q399))</f>
        <v>0</v>
      </c>
      <c r="AB399" s="15" t="n">
        <f aca="false">F399*(1+Parametri_v3!$C$26)</f>
        <v>95551.4199316866</v>
      </c>
      <c r="AC399" s="15" t="n">
        <f aca="false">(IF(35-(INT((Motore_Operativo!L399)/30))&lt;1,0,INDEX(Motore_Startup!$AB$365:$AB$424,MAX(1,35-(INT((Motore_Operativo!L399)/30)))))*(1-(MOD((Motore_Operativo!L399),30)/30))+IF(35-(INT((Motore_Operativo!L399)/30))-1&lt;1,0,INDEX(Motore_Startup!$AB$365:$AB$424,MAX(1,35-(INT((Motore_Operativo!L399)/30))-1)))*(MOD((Motore_Operativo!L399),30)/30))</f>
        <v>86112.3158241022</v>
      </c>
      <c r="AD399" s="15" t="n">
        <f aca="false">(AD398)+AB399-AC399</f>
        <v>277270.405470736</v>
      </c>
      <c r="AE399" s="15" t="n">
        <f aca="false">Motore_Operativo!BH399*(1+Parametri_v3!$C$26)</f>
        <v>7381</v>
      </c>
      <c r="AF399" s="15" t="n">
        <f aca="false">(IF(35-(INT((Parametri_v3!$C$29)/30))&lt;1,0,INDEX(Motore_Operativo!$BH$365:$BH$424,MAX(1,35-(INT((Parametri_v3!$C$29)/30)))))*(1-(MOD((Parametri_v3!$C$29),30)/30))+IF(35-(INT((Parametri_v3!$C$29)/30))-1&lt;1,0,INDEX(Motore_Operativo!$BH$365:$BH$424,MAX(1,35-(INT((Parametri_v3!$C$29)/30))-1)))*(MOD((Parametri_v3!$C$29),30)/30))*(1+Parametri_v3!$C$26)</f>
        <v>7381</v>
      </c>
      <c r="AG399" s="15" t="n">
        <f aca="false">(AG398)+AE399-AF399</f>
        <v>7381</v>
      </c>
      <c r="AH399" s="15" t="n">
        <f aca="false">(Motore_Operativo!CJ399)*(1+Parametri_v3!$C$27*Parametri_v3!$C$26)</f>
        <v>52258.3678614052</v>
      </c>
      <c r="AI399" s="15" t="n">
        <f aca="false">(IF(35-(INT((Ipotesi!$C$91)/30))&lt;1,0,INDEX(Motore_Startup!$AH$365:$AH$424,MAX(1,35-(INT((Ipotesi!$C$91)/30)))))*(1-(MOD((Ipotesi!$C$91),30)/30))+IF(35-(INT((Ipotesi!$C$91)/30))-1&lt;1,0,INDEX(Motore_Startup!$AH$365:$AH$424,MAX(1,35-(INT((Ipotesi!$C$91)/30))-1)))*(MOD((Ipotesi!$C$91),30)/30))</f>
        <v>51404.9830596125</v>
      </c>
      <c r="AJ399" s="15" t="n">
        <f aca="false">(AJ398)+AH399-AI399</f>
        <v>104091.916498688</v>
      </c>
      <c r="AK399" s="15" t="n">
        <f aca="false">(F399+ Motore_Operativo!BH399-(Motore_Operativo!CJ399)*Parametri_v3!$C$27-Motore_Operativo!CE399)*Parametri_v3!$C$26</f>
        <v>9778.79976870998</v>
      </c>
      <c r="AL399" s="15" t="n">
        <f aca="false">MAX(0,(AM398))</f>
        <v>9283.32220209941</v>
      </c>
      <c r="AM399" s="15" t="n">
        <f aca="false">(AM398)+AK399-AL399</f>
        <v>9778.79976870997</v>
      </c>
      <c r="AN399" s="15" t="n">
        <f aca="false">SUM(X377:X388)</f>
        <v>0</v>
      </c>
      <c r="AO399" s="15" t="n">
        <f aca="false">SUM(AP377:AP388)</f>
        <v>0</v>
      </c>
      <c r="AP399" s="15" t="n">
        <f aca="false">MAX(0,AN399)*IF(11=Parametri_v3!$C$43,Parametri_v3!$C$45,IF(11=Parametri_v3!$C$44,1-Parametri_v3!$C$45,0))</f>
        <v>0</v>
      </c>
      <c r="AQ399" s="15" t="n">
        <f aca="false">MAX(0,AP399+IF(11=Parametri_v3!$C$43,MAX(0,AN399-AO399),0)-MAX(0,-(AR398)))</f>
        <v>0</v>
      </c>
      <c r="AR399" s="15" t="n">
        <f aca="false">(AR398)+X399-AQ399</f>
        <v>0</v>
      </c>
      <c r="AS399" s="15" t="n">
        <f aca="false">Motore_Operativo!AB399-AT399+AU399</f>
        <v>70559.9833333333</v>
      </c>
      <c r="AT399" s="15" t="n">
        <f aca="false">Motore_Operativo!CH399</f>
        <v>3713.68333333333</v>
      </c>
      <c r="AU399" s="15" t="n">
        <f aca="false">MIN(MAX(0,(AV398)+AT399),Parametri_v3!$C$60/12)</f>
        <v>0</v>
      </c>
      <c r="AV399" s="15" t="n">
        <f aca="false">(AV398)+AT399-AU399</f>
        <v>75458.0166666667</v>
      </c>
      <c r="AW399" s="15" t="n">
        <f aca="false">IF(AND(Motore_Operativo!C399=Finanziamenti!$D$6,Finanziamenti!$F$6=1),Finanziamenti!$C$6,0)</f>
        <v>0</v>
      </c>
      <c r="AX399" s="15" t="n">
        <f aca="false">IF(AND(7&lt;&gt;7,7&lt;&gt;9,Finanziamenti!$F$8=1,OR(Parametri_v3!$C$6=0,Finanziamenti!$E$8=1),Motore_Operativo!C399=EDATE(Finanziamenti!$D$8,Ipotesi!I15*12)),Finanziamenti!$C$8*1,0)+IF(AND(7&lt;&gt;7,7&lt;&gt;9,Finanziamenti!$F$9=1,OR(Parametri_v3!$C$6=0,Finanziamenti!$E$9=1),Motore_Operativo!C399=EDATE(Finanziamenti!$D$9,Ipotesi!I15*12)),Finanziamenti!$C$9*Ipotesi!I16,0)</f>
        <v>0</v>
      </c>
      <c r="AY399" s="15" t="n">
        <f aca="false">0</f>
        <v>0</v>
      </c>
      <c r="AZ399" s="15" t="n">
        <f aca="false">Motore_Advisory!AY399*(1-Ipotesi!$C$95)*Ipotesi!$C$96</f>
        <v>0</v>
      </c>
      <c r="BA399" s="15" t="n">
        <f aca="false">MAX(0,MIN(CG399*MIN(1,IF(Motore_Operativo!C399&gt;=EDATE(Finanziamenti!$D$15,Ipotesi!I14*12),Finanziamenti!$C$15,0)+IF(Motore_Operativo!C399&gt;=EDATE(Finanziamenti!$D$16,Ipotesi!I14*12),Finanziamenti!$C$16,0)+IF(Motore_Operativo!C399&gt;=EDATE(Finanziamenti!$D$17,Ipotesi!I14*12),Finanziamenti!$C$17,0)),CA399*Ipotesi!$C$102)-(CC398))</f>
        <v>0</v>
      </c>
      <c r="BB399" s="15" t="n">
        <f aca="false">IF(AND(CF399&gt;0,Motore_Operativo!C399&gt;=IF(CF399=0,0,EDATE(CF399,Parametri_v3!$C$37)),MOD(((D399-YEAR(IF(CF399=0,0,EDATE(CF399,Parametri_v3!$C$37))))*12+E399-MONTH(IF(CF399=0,0,EDATE(CF399,Parametri_v3!$C$37)))),Parametri_v3!$C$38)=0),MIN(MAX(0,(BC398)+BA399-N399),(CC399-CD399)/(Ipotesi!$C$108*12/Parametri_v3!$C$38)),0)</f>
        <v>0</v>
      </c>
      <c r="BC399" s="15" t="n">
        <f aca="false">(BC398)+BA399-N399-BB399</f>
        <v>265392.996883967</v>
      </c>
      <c r="BD399" s="15" t="n">
        <f aca="false">(BH398)+AC399+AF399-AI399-AS399-K399*(1+Parametri_v3!$C$26)-AL399-AQ399-O399+AW399+AX399+AZ399+BA399-BB399</f>
        <v>-571480.428365448</v>
      </c>
      <c r="BE399" s="15" t="n">
        <f aca="false">MAX(0,MIN(MAX(0,CH399-(BG398)),Parametri_v3!$C$30-BD399))</f>
        <v>0</v>
      </c>
      <c r="BF399" s="15" t="n">
        <f aca="false">IF(Motore_Operativo!C399&gt;=Parametri_v3!$C$63,(BG398),MIN((BG398),MAX(0,BD399-Parametri_v3!$C$30)))</f>
        <v>0</v>
      </c>
      <c r="BG399" s="15" t="n">
        <f aca="false">(BG398)+BE399-BF399</f>
        <v>150000</v>
      </c>
      <c r="BH399" s="15" t="n">
        <f aca="false">BD399+BE399-BF399-AY399</f>
        <v>-571480.428365448</v>
      </c>
      <c r="BI399" s="15" t="n">
        <f aca="false">MAX(0,Parametri_v3!$C$30-BH399)</f>
        <v>596480.428365448</v>
      </c>
      <c r="BJ399" s="15" t="n">
        <f aca="false">(BJ398)+K399</f>
        <v>72500</v>
      </c>
      <c r="BK399" s="15" t="n">
        <f aca="false">(BK398)+L399</f>
        <v>33125</v>
      </c>
      <c r="BL399" s="15" t="n">
        <f aca="false">BJ399-BK399</f>
        <v>39375</v>
      </c>
      <c r="BM399" s="15" t="n">
        <f aca="false">(BM398)+Y399</f>
        <v>-982175.752712743</v>
      </c>
      <c r="BN399" s="15" t="n">
        <f aca="false">(BN398)+AW399+AX399+AZ399</f>
        <v>130000</v>
      </c>
      <c r="BO399" s="15" t="n">
        <f aca="false">(BO398)+AY399</f>
        <v>0</v>
      </c>
      <c r="BP399" s="15" t="n">
        <f aca="false">0</f>
        <v>0</v>
      </c>
      <c r="BQ399" s="15" t="n">
        <f aca="false">BN399+BM399-BO399</f>
        <v>-852175.752712743</v>
      </c>
      <c r="BR399" s="15" t="n">
        <f aca="false">BH399+AD399+BL399+MAX(0,-AM399)+MAX(0,-AR399)+AG399</f>
        <v>-247454.022894711</v>
      </c>
      <c r="BS399" s="15" t="n">
        <f aca="false">AJ399+AV399+MAX(0,AM399)+MAX(0,AR399)+BC399+BG399+BQ399</f>
        <v>-247454.022894711</v>
      </c>
      <c r="BT399" s="15" t="n">
        <f aca="false">BR399-BS399</f>
        <v>0</v>
      </c>
      <c r="BU399" s="15" t="n">
        <f aca="false">BH399-(BD399+BE399-BF399-AY399)</f>
        <v>0</v>
      </c>
      <c r="BV399" s="15" t="n">
        <f aca="false">MIN(Piano_SS!$C$6,(BV398)+IF(AND(Motore_Operativo!C399&gt;=EDATE(Parametri_v3!$C$24,Ipotesi!I14*12),Motore_Operativo!C399&lt;EDATE(Parametri_v3!$C$24,Parametri_v3!$C$25+Ipotesi!I14*12)),MAX(0,(Motore_Operativo!Y399+Motore_Operativo!X399*Parametri_v3!$C$14)*(1-Parametri_v3!$C$32))*Piano_SS!$D$6,0))</f>
        <v>300000</v>
      </c>
      <c r="BW399" s="15" t="n">
        <f aca="false">MIN(Piano_SS!$C$7,(BW398)+IF(AND(Motore_Operativo!C399&gt;=EDATE(Parametri_v3!$C$24,Ipotesi!I14*12),Motore_Operativo!C399&lt;EDATE(Parametri_v3!$C$24,Parametri_v3!$C$25+Ipotesi!I14*12)),MAX(0,(IF(35-(INT((Ipotesi!$C$91)/30))&lt;1,0,INDEX(Motore_Operativo!$BN$365:$BN$424,MAX(1,35-(INT((Ipotesi!$C$91)/30)))))*(1-(MOD((Ipotesi!$C$91),30)/30))+IF(35-(INT((Ipotesi!$C$91)/30))-1&lt;1,0,INDEX(Motore_Operativo!$BN$365:$BN$424,MAX(1,35-(INT((Ipotesi!$C$91)/30))-1)))*(MOD((Ipotesi!$C$91),30)/30)))*Piano_SS!$D$7,0))</f>
        <v>41058.9230070837</v>
      </c>
      <c r="BX399" s="15" t="n">
        <f aca="false">MIN(Piano_SS!$C$8,(BX398)+IF(AND(Motore_Operativo!C399&gt;=EDATE(Parametri_v3!$C$24,Ipotesi!I14*12),Motore_Operativo!C399&lt;EDATE(Parametri_v3!$C$24,Parametri_v3!$C$25+Ipotesi!I14*12)),MAX(0,Motore_Operativo!CE399)*Piano_SS!$D$8,0))</f>
        <v>50000</v>
      </c>
      <c r="BY399" s="15" t="n">
        <f aca="false">MIN(Piano_SS!$C$9,(BY398)+IF(AND(Motore_Operativo!C399&gt;=EDATE(Parametri_v3!$C$24,Ipotesi!I14*12),Motore_Operativo!C399&lt;EDATE(Parametri_v3!$C$24,Parametri_v3!$C$25+Ipotesi!I14*12)),MAX(0,((IF(35-(INT((Ipotesi!$C$91)/30))&lt;1,0,INDEX(Motore_Operativo!$BQ$365:$BQ$424,MAX(1,35-(INT((Ipotesi!$C$91)/30)))))*(1-(MOD((Ipotesi!$C$91),30)/30))+IF(35-(INT((Ipotesi!$C$91)/30))-1&lt;1,0,INDEX(Motore_Operativo!$BQ$365:$BQ$424,MAX(1,35-(INT((Ipotesi!$C$91)/30))-1)))*(MOD((Ipotesi!$C$91),30)/30))+(IF(35-(INT((Ipotesi!$C$91)/30))&lt;1,0,INDEX(Motore_Operativo!$BR$365:$BR$424,MAX(1,35-(INT((Ipotesi!$C$91)/30)))))*(1-(MOD((Ipotesi!$C$91),30)/30))+IF(35-(INT((Ipotesi!$C$91)/30))-1&lt;1,0,INDEX(Motore_Operativo!$BR$365:$BR$424,MAX(1,35-(INT((Ipotesi!$C$91)/30))-1)))*(MOD((Ipotesi!$C$91),30)/30))))*Piano_SS!$D$9,0))</f>
        <v>40000</v>
      </c>
      <c r="BZ399" s="15" t="n">
        <f aca="false">MIN(Piano_SS!$C$10,(BZ398)+IF(AND(Motore_Operativo!C399&gt;=EDATE(Parametri_v3!$C$24,Ipotesi!I14*12),Motore_Operativo!C399&lt;EDATE(Parametri_v3!$C$24,Parametri_v3!$C$25+Ipotesi!I14*12)),MAX(0,(IF(35-(INT((Ipotesi!$C$91)/30))&lt;1,0,INDEX(Motore_Operativo!$BO$365:$BO$424,MAX(1,35-(INT((Ipotesi!$C$91)/30)))))*(1-(MOD((Ipotesi!$C$91),30)/30))+IF(35-(INT((Ipotesi!$C$91)/30))-1&lt;1,0,INDEX(Motore_Operativo!$BO$365:$BO$424,MAX(1,35-(INT((Ipotesi!$C$91)/30))-1)))*(MOD((Ipotesi!$C$91),30)/30)))*Piano_SS!$D$10,0))</f>
        <v>30000</v>
      </c>
      <c r="CA399" s="15" t="n">
        <f aca="false">SUM(BV399:BZ399)</f>
        <v>461058.923007084</v>
      </c>
      <c r="CB399" s="15" t="n">
        <f aca="false">BV399*(1-Piano_SS!$E$6)+BW399*(1-Piano_SS!$E$7)+BX399*(1-Piano_SS!$E$8)+BY399*(1-Piano_SS!$E$9)+BZ399*(1-Piano_SS!$E$10)</f>
        <v>431058.923007084</v>
      </c>
      <c r="CC399" s="15" t="n">
        <f aca="false">(CC398)+BA399</f>
        <v>368847.138405667</v>
      </c>
      <c r="CD399" s="15" t="n">
        <f aca="false">IF(CA399=0,0,CC399*CB399/CA399*Ipotesi!$C$103*Parametri_v3!$C$64)</f>
        <v>103454.1415217</v>
      </c>
      <c r="CE399" s="18" t="n">
        <f aca="false">IF(BA399&gt;0,Motore_Operativo!C399,(CE398))</f>
        <v>47270</v>
      </c>
      <c r="CF399" s="18" t="n">
        <f aca="false">IF(AND(CC399&gt;0,OR(CC399&gt;=CG399-0.01,Motore_Operativo!C399&gt;=EDATE(MAX(Finanziamenti!$D$15:$D$17),Ipotesi!I14*12))),CE399,0)</f>
        <v>47270</v>
      </c>
      <c r="CG399" s="15" t="n">
        <f aca="false">IF(AND(7&lt;&gt;6,7&lt;&gt;9,Finanziamenti!$F$11=1,OR(Parametri_v3!$C$6=0,Finanziamenti!$E$11=1)),MIN(Finanziamenti!$C$11,Piano_SS!$C$12*Ipotesi!$C$102),0)</f>
        <v>400000</v>
      </c>
      <c r="CH399" s="15" t="n">
        <f aca="false">IF(AND(AND(7&lt;&gt;8,7&lt;&gt;9,Finanziamenti!$F$10=1,OR(Parametri_v3!$C$6=0,Finanziamenti!$E$10=1)),Motore_Operativo!C399&gt;=Finanziamenti!$D$10,Motore_Operativo!C399&lt;Parametri_v3!$C$63),Finanziamenti!$C$10,0)</f>
        <v>150000</v>
      </c>
    </row>
    <row r="400" customFormat="false" ht="18" hidden="false" customHeight="true" outlineLevel="0" collapsed="false">
      <c r="A400" s="68" t="n">
        <f aca="false">7</f>
        <v>7</v>
      </c>
      <c r="B400" s="68" t="n">
        <f aca="false">36</f>
        <v>36</v>
      </c>
      <c r="C400" s="18" t="n">
        <f aca="false">Motore_Operativo!C400</f>
        <v>47453</v>
      </c>
      <c r="D400" s="68" t="n">
        <f aca="false">Motore_Operativo!D400</f>
        <v>2029</v>
      </c>
      <c r="E400" s="68" t="n">
        <f aca="false">Motore_Operativo!E400</f>
        <v>12</v>
      </c>
      <c r="F400" s="15" t="n">
        <f aca="false">Motore_Operativo!AQ400+Motore_Operativo!BF400</f>
        <v>80854.8691046492</v>
      </c>
      <c r="G400" s="15" t="n">
        <f aca="false">Motore_Operativo!BH400</f>
        <v>6050</v>
      </c>
      <c r="H400" s="15" t="n">
        <f aca="false">Motore_Operativo!BI400</f>
        <v>86904.8691046492</v>
      </c>
      <c r="I400" s="15" t="n">
        <f aca="false">Motore_Operativo!CA400</f>
        <v>118654.015007984</v>
      </c>
      <c r="J400" s="15" t="n">
        <f aca="false">Motore_Operativo!CC400</f>
        <v>-31749.145903335</v>
      </c>
      <c r="K400" s="15" t="n">
        <f aca="false">Motore_Operativo!CE400</f>
        <v>2500</v>
      </c>
      <c r="L400" s="15" t="n">
        <f aca="false">SUM(INDEX($K$365:$K$424,MAX(1,36-Parametri_v3!$C$59+1)):K400)/Parametri_v3!$C$59</f>
        <v>2083.33333333333</v>
      </c>
      <c r="M400" s="15" t="n">
        <f aca="false">J400-L400</f>
        <v>-33832.4792366684</v>
      </c>
      <c r="N400" s="15" t="n">
        <f aca="false">CD400-(CD399)</f>
        <v>0</v>
      </c>
      <c r="O400" s="15" t="n">
        <f aca="false">(BG399)*Ipotesi!$C$110/12+CH400*Parametri_v3!$C$39/12</f>
        <v>750</v>
      </c>
      <c r="P400" s="15" t="n">
        <f aca="false">M400+N400-O400</f>
        <v>-34582.4792366684</v>
      </c>
      <c r="Q400" s="15" t="n">
        <f aca="false">SUM(P389:P400)+Parametri_v3!$C$54*12/12</f>
        <v>-513471.600798853</v>
      </c>
      <c r="R400" s="15" t="n">
        <f aca="false">Z388</f>
        <v>503286.631150559</v>
      </c>
      <c r="S400" s="15" t="n">
        <f aca="false">AA388</f>
        <v>0</v>
      </c>
      <c r="T400" s="15" t="n">
        <f aca="false">MIN(R400,MAX(0,Q400))</f>
        <v>0</v>
      </c>
      <c r="U400" s="15" t="n">
        <f aca="false">MIN(S400,MAX(0,Q400-T400)*Parametri_v3!$C$42)</f>
        <v>0</v>
      </c>
      <c r="V400" s="15" t="n">
        <f aca="false">MAX(0,Q400-T400-U400)*Ipotesi!$C$92</f>
        <v>0</v>
      </c>
      <c r="W400" s="15" t="n">
        <f aca="false">MAX(0,SUM(M389:M400)+Parametri_v3!$C$55*12/12)*Ipotesi!$C$93</f>
        <v>0</v>
      </c>
      <c r="X400" s="15" t="n">
        <f aca="false">V400+W400-(V399+W399)</f>
        <v>0</v>
      </c>
      <c r="Y400" s="15" t="n">
        <f aca="false">P400-X400</f>
        <v>-34582.4792366684</v>
      </c>
      <c r="Z400" s="15" t="n">
        <f aca="false">R400-T400+IF(AND(Parametri_v3!$C$40=1,D400-YEAR(Parametri_v3!$C$50)&lt;Parametri_v3!$C$41),MAX(0,-Q400),0)</f>
        <v>1016758.23194941</v>
      </c>
      <c r="AA400" s="15" t="n">
        <f aca="false">S400-U400+IF(AND(Parametri_v3!$C$40=1,D400-YEAR(Parametri_v3!$C$50)&lt;Parametri_v3!$C$41),0,MAX(0,-Q400))</f>
        <v>0</v>
      </c>
      <c r="AB400" s="15" t="n">
        <f aca="false">F400*(1+Parametri_v3!$C$26)</f>
        <v>98642.9403076721</v>
      </c>
      <c r="AC400" s="15" t="n">
        <f aca="false">(IF(36-(INT((Motore_Operativo!L400)/30))&lt;1,0,INDEX(Motore_Startup!$AB$365:$AB$424,MAX(1,36-(INT((Motore_Operativo!L400)/30)))))*(1-(MOD((Motore_Operativo!L400),30)/30))+IF(36-(INT((Motore_Operativo!L400)/30))-1&lt;1,0,INDEX(Motore_Startup!$AB$365:$AB$424,MAX(1,36-(INT((Motore_Operativo!L400)/30))-1)))*(MOD((Motore_Operativo!L400),30)/30))</f>
        <v>89286.349175957</v>
      </c>
      <c r="AD400" s="15" t="n">
        <f aca="false">(AD399)+AB400-AC400</f>
        <v>286626.996602451</v>
      </c>
      <c r="AE400" s="15" t="n">
        <f aca="false">Motore_Operativo!BH400*(1+Parametri_v3!$C$26)</f>
        <v>7381</v>
      </c>
      <c r="AF400" s="15" t="n">
        <f aca="false">(IF(36-(INT((Parametri_v3!$C$29)/30))&lt;1,0,INDEX(Motore_Operativo!$BH$365:$BH$424,MAX(1,36-(INT((Parametri_v3!$C$29)/30)))))*(1-(MOD((Parametri_v3!$C$29),30)/30))+IF(36-(INT((Parametri_v3!$C$29)/30))-1&lt;1,0,INDEX(Motore_Operativo!$BH$365:$BH$424,MAX(1,36-(INT((Parametri_v3!$C$29)/30))-1)))*(MOD((Parametri_v3!$C$29),30)/30))*(1+Parametri_v3!$C$26)</f>
        <v>7381</v>
      </c>
      <c r="AG400" s="15" t="n">
        <f aca="false">(AG399)+AE400-AF400</f>
        <v>7381</v>
      </c>
      <c r="AH400" s="15" t="n">
        <f aca="false">(Motore_Operativo!CJ400)*(1+Parametri_v3!$C$27*Parametri_v3!$C$26)</f>
        <v>52679.4734811439</v>
      </c>
      <c r="AI400" s="15" t="n">
        <f aca="false">(IF(36-(INT((Ipotesi!$C$91)/30))&lt;1,0,INDEX(Motore_Startup!$AH$365:$AH$424,MAX(1,36-(INT((Ipotesi!$C$91)/30)))))*(1-(MOD((Ipotesi!$C$91),30)/30))+IF(36-(INT((Ipotesi!$C$91)/30))-1&lt;1,0,INDEX(Motore_Startup!$AH$365:$AH$424,MAX(1,36-(INT((Ipotesi!$C$91)/30))-1)))*(MOD((Ipotesi!$C$91),30)/30))</f>
        <v>51833.5486372831</v>
      </c>
      <c r="AJ400" s="15" t="n">
        <f aca="false">(AJ399)+AH400-AI400</f>
        <v>104937.841342549</v>
      </c>
      <c r="AK400" s="15" t="n">
        <f aca="false">(F400+ Motore_Operativo!BH400-(Motore_Operativo!CJ400)*Parametri_v3!$C$27-Motore_Operativo!CE400)*Parametri_v3!$C$26</f>
        <v>10269.9460631964</v>
      </c>
      <c r="AL400" s="15" t="n">
        <f aca="false">MAX(0,(AM399))</f>
        <v>9778.79976870997</v>
      </c>
      <c r="AM400" s="15" t="n">
        <f aca="false">(AM399)+AK400-AL400</f>
        <v>10269.9460631964</v>
      </c>
      <c r="AN400" s="15" t="n">
        <f aca="false">SUM(X377:X388)</f>
        <v>0</v>
      </c>
      <c r="AO400" s="15" t="n">
        <f aca="false">SUM(AP377:AP388)</f>
        <v>0</v>
      </c>
      <c r="AP400" s="15" t="n">
        <f aca="false">MAX(0,AN400)*IF(12=Parametri_v3!$C$43,Parametri_v3!$C$45,IF(12=Parametri_v3!$C$44,1-Parametri_v3!$C$45,0))</f>
        <v>0</v>
      </c>
      <c r="AQ400" s="15" t="n">
        <f aca="false">MAX(0,AP400+IF(12=Parametri_v3!$C$43,MAX(0,AN400-AO400),0)-MAX(0,-(AR399)))</f>
        <v>0</v>
      </c>
      <c r="AR400" s="15" t="n">
        <f aca="false">(AR399)+X400-AQ400</f>
        <v>0</v>
      </c>
      <c r="AS400" s="15" t="n">
        <f aca="false">Motore_Operativo!AB400-AT400+AU400</f>
        <v>70559.9833333333</v>
      </c>
      <c r="AT400" s="15" t="n">
        <f aca="false">Motore_Operativo!CH400</f>
        <v>3713.68333333333</v>
      </c>
      <c r="AU400" s="15" t="n">
        <f aca="false">MIN(MAX(0,(AV399)+AT400),Parametri_v3!$C$60/12)</f>
        <v>0</v>
      </c>
      <c r="AV400" s="15" t="n">
        <f aca="false">(AV399)+AT400-AU400</f>
        <v>79171.7</v>
      </c>
      <c r="AW400" s="15" t="n">
        <f aca="false">IF(AND(Motore_Operativo!C400=Finanziamenti!$D$6,Finanziamenti!$F$6=1),Finanziamenti!$C$6,0)</f>
        <v>0</v>
      </c>
      <c r="AX400" s="15" t="n">
        <f aca="false">IF(AND(7&lt;&gt;7,7&lt;&gt;9,Finanziamenti!$F$8=1,OR(Parametri_v3!$C$6=0,Finanziamenti!$E$8=1),Motore_Operativo!C400=EDATE(Finanziamenti!$D$8,Ipotesi!I15*12)),Finanziamenti!$C$8*1,0)+IF(AND(7&lt;&gt;7,7&lt;&gt;9,Finanziamenti!$F$9=1,OR(Parametri_v3!$C$6=0,Finanziamenti!$E$9=1),Motore_Operativo!C400=EDATE(Finanziamenti!$D$9,Ipotesi!I15*12)),Finanziamenti!$C$9*Ipotesi!I16,0)</f>
        <v>0</v>
      </c>
      <c r="AY400" s="15" t="n">
        <f aca="false">0</f>
        <v>0</v>
      </c>
      <c r="AZ400" s="15" t="n">
        <f aca="false">Motore_Advisory!AY400*(1-Ipotesi!$C$95)*Ipotesi!$C$96</f>
        <v>0</v>
      </c>
      <c r="BA400" s="15" t="n">
        <f aca="false">MAX(0,MIN(CG400*MIN(1,IF(Motore_Operativo!C400&gt;=EDATE(Finanziamenti!$D$15,Ipotesi!I14*12),Finanziamenti!$C$15,0)+IF(Motore_Operativo!C400&gt;=EDATE(Finanziamenti!$D$16,Ipotesi!I14*12),Finanziamenti!$C$16,0)+IF(Motore_Operativo!C400&gt;=EDATE(Finanziamenti!$D$17,Ipotesi!I14*12),Finanziamenti!$C$17,0)),CA400*Ipotesi!$C$102)-(CC399))</f>
        <v>0</v>
      </c>
      <c r="BB400" s="15" t="n">
        <f aca="false">IF(AND(CF400&gt;0,Motore_Operativo!C400&gt;=IF(CF400=0,0,EDATE(CF400,Parametri_v3!$C$37)),MOD(((D400-YEAR(IF(CF400=0,0,EDATE(CF400,Parametri_v3!$C$37))))*12+E400-MONTH(IF(CF400=0,0,EDATE(CF400,Parametri_v3!$C$37)))),Parametri_v3!$C$38)=0),MIN(MAX(0,(BC399)+BA400-N400),(CC400-CD400)/(Ipotesi!$C$108*12/Parametri_v3!$C$38)),0)</f>
        <v>0</v>
      </c>
      <c r="BC400" s="15" t="n">
        <f aca="false">(BC399)+BA400-N400-BB400</f>
        <v>265392.996883967</v>
      </c>
      <c r="BD400" s="15" t="n">
        <f aca="false">(BH399)+AC400+AF400-AI400-AS400-K400*(1+Parametri_v3!$C$26)-AL400-AQ400-O400+AW400+AX400+AZ400+BA400-BB400</f>
        <v>-610785.410928817</v>
      </c>
      <c r="BE400" s="15" t="n">
        <f aca="false">MAX(0,MIN(MAX(0,CH400-(BG399)),Parametri_v3!$C$30-BD400))</f>
        <v>0</v>
      </c>
      <c r="BF400" s="15" t="n">
        <f aca="false">IF(Motore_Operativo!C400&gt;=Parametri_v3!$C$63,(BG399),MIN((BG399),MAX(0,BD400-Parametri_v3!$C$30)))</f>
        <v>0</v>
      </c>
      <c r="BG400" s="15" t="n">
        <f aca="false">(BG399)+BE400-BF400</f>
        <v>150000</v>
      </c>
      <c r="BH400" s="15" t="n">
        <f aca="false">BD400+BE400-BF400-AY400</f>
        <v>-610785.410928817</v>
      </c>
      <c r="BI400" s="15" t="n">
        <f aca="false">MAX(0,Parametri_v3!$C$30-BH400)</f>
        <v>635785.410928817</v>
      </c>
      <c r="BJ400" s="15" t="n">
        <f aca="false">(BJ399)+K400</f>
        <v>75000</v>
      </c>
      <c r="BK400" s="15" t="n">
        <f aca="false">(BK399)+L400</f>
        <v>35208.3333333333</v>
      </c>
      <c r="BL400" s="15" t="n">
        <f aca="false">BJ400-BK400</f>
        <v>39791.6666666667</v>
      </c>
      <c r="BM400" s="15" t="n">
        <f aca="false">(BM399)+Y400</f>
        <v>-1016758.23194941</v>
      </c>
      <c r="BN400" s="15" t="n">
        <f aca="false">(BN399)+AW400+AX400+AZ400</f>
        <v>130000</v>
      </c>
      <c r="BO400" s="15" t="n">
        <f aca="false">(BO399)+AY400</f>
        <v>0</v>
      </c>
      <c r="BP400" s="15" t="n">
        <f aca="false">0</f>
        <v>0</v>
      </c>
      <c r="BQ400" s="15" t="n">
        <f aca="false">BN400+BM400-BO400</f>
        <v>-886758.231949411</v>
      </c>
      <c r="BR400" s="15" t="n">
        <f aca="false">BH400+AD400+BL400+MAX(0,-AM400)+MAX(0,-AR400)+AG400</f>
        <v>-276985.747659699</v>
      </c>
      <c r="BS400" s="15" t="n">
        <f aca="false">AJ400+AV400+MAX(0,AM400)+MAX(0,AR400)+BC400+BG400+BQ400</f>
        <v>-276985.747659699</v>
      </c>
      <c r="BT400" s="15" t="n">
        <f aca="false">BR400-BS400</f>
        <v>0</v>
      </c>
      <c r="BU400" s="15" t="n">
        <f aca="false">BH400-(BD400+BE400-BF400-AY400)</f>
        <v>0</v>
      </c>
      <c r="BV400" s="15" t="n">
        <f aca="false">MIN(Piano_SS!$C$6,(BV399)+IF(AND(Motore_Operativo!C400&gt;=EDATE(Parametri_v3!$C$24,Ipotesi!I14*12),Motore_Operativo!C400&lt;EDATE(Parametri_v3!$C$24,Parametri_v3!$C$25+Ipotesi!I14*12)),MAX(0,(Motore_Operativo!Y400+Motore_Operativo!X400*Parametri_v3!$C$14)*(1-Parametri_v3!$C$32))*Piano_SS!$D$6,0))</f>
        <v>300000</v>
      </c>
      <c r="BW400" s="15" t="n">
        <f aca="false">MIN(Piano_SS!$C$7,(BW399)+IF(AND(Motore_Operativo!C400&gt;=EDATE(Parametri_v3!$C$24,Ipotesi!I14*12),Motore_Operativo!C400&lt;EDATE(Parametri_v3!$C$24,Parametri_v3!$C$25+Ipotesi!I14*12)),MAX(0,(IF(36-(INT((Ipotesi!$C$91)/30))&lt;1,0,INDEX(Motore_Operativo!$BN$365:$BN$424,MAX(1,36-(INT((Ipotesi!$C$91)/30)))))*(1-(MOD((Ipotesi!$C$91),30)/30))+IF(36-(INT((Ipotesi!$C$91)/30))-1&lt;1,0,INDEX(Motore_Operativo!$BN$365:$BN$424,MAX(1,36-(INT((Ipotesi!$C$91)/30))-1)))*(MOD((Ipotesi!$C$91),30)/30)))*Piano_SS!$D$7,0))</f>
        <v>41058.9230070837</v>
      </c>
      <c r="BX400" s="15" t="n">
        <f aca="false">MIN(Piano_SS!$C$8,(BX399)+IF(AND(Motore_Operativo!C400&gt;=EDATE(Parametri_v3!$C$24,Ipotesi!I14*12),Motore_Operativo!C400&lt;EDATE(Parametri_v3!$C$24,Parametri_v3!$C$25+Ipotesi!I14*12)),MAX(0,Motore_Operativo!CE400)*Piano_SS!$D$8,0))</f>
        <v>50000</v>
      </c>
      <c r="BY400" s="15" t="n">
        <f aca="false">MIN(Piano_SS!$C$9,(BY399)+IF(AND(Motore_Operativo!C400&gt;=EDATE(Parametri_v3!$C$24,Ipotesi!I14*12),Motore_Operativo!C400&lt;EDATE(Parametri_v3!$C$24,Parametri_v3!$C$25+Ipotesi!I14*12)),MAX(0,((IF(36-(INT((Ipotesi!$C$91)/30))&lt;1,0,INDEX(Motore_Operativo!$BQ$365:$BQ$424,MAX(1,36-(INT((Ipotesi!$C$91)/30)))))*(1-(MOD((Ipotesi!$C$91),30)/30))+IF(36-(INT((Ipotesi!$C$91)/30))-1&lt;1,0,INDEX(Motore_Operativo!$BQ$365:$BQ$424,MAX(1,36-(INT((Ipotesi!$C$91)/30))-1)))*(MOD((Ipotesi!$C$91),30)/30))+(IF(36-(INT((Ipotesi!$C$91)/30))&lt;1,0,INDEX(Motore_Operativo!$BR$365:$BR$424,MAX(1,36-(INT((Ipotesi!$C$91)/30)))))*(1-(MOD((Ipotesi!$C$91),30)/30))+IF(36-(INT((Ipotesi!$C$91)/30))-1&lt;1,0,INDEX(Motore_Operativo!$BR$365:$BR$424,MAX(1,36-(INT((Ipotesi!$C$91)/30))-1)))*(MOD((Ipotesi!$C$91),30)/30))))*Piano_SS!$D$9,0))</f>
        <v>40000</v>
      </c>
      <c r="BZ400" s="15" t="n">
        <f aca="false">MIN(Piano_SS!$C$10,(BZ399)+IF(AND(Motore_Operativo!C400&gt;=EDATE(Parametri_v3!$C$24,Ipotesi!I14*12),Motore_Operativo!C400&lt;EDATE(Parametri_v3!$C$24,Parametri_v3!$C$25+Ipotesi!I14*12)),MAX(0,(IF(36-(INT((Ipotesi!$C$91)/30))&lt;1,0,INDEX(Motore_Operativo!$BO$365:$BO$424,MAX(1,36-(INT((Ipotesi!$C$91)/30)))))*(1-(MOD((Ipotesi!$C$91),30)/30))+IF(36-(INT((Ipotesi!$C$91)/30))-1&lt;1,0,INDEX(Motore_Operativo!$BO$365:$BO$424,MAX(1,36-(INT((Ipotesi!$C$91)/30))-1)))*(MOD((Ipotesi!$C$91),30)/30)))*Piano_SS!$D$10,0))</f>
        <v>30000</v>
      </c>
      <c r="CA400" s="15" t="n">
        <f aca="false">SUM(BV400:BZ400)</f>
        <v>461058.923007084</v>
      </c>
      <c r="CB400" s="15" t="n">
        <f aca="false">BV400*(1-Piano_SS!$E$6)+BW400*(1-Piano_SS!$E$7)+BX400*(1-Piano_SS!$E$8)+BY400*(1-Piano_SS!$E$9)+BZ400*(1-Piano_SS!$E$10)</f>
        <v>431058.923007084</v>
      </c>
      <c r="CC400" s="15" t="n">
        <f aca="false">(CC399)+BA400</f>
        <v>368847.138405667</v>
      </c>
      <c r="CD400" s="15" t="n">
        <f aca="false">IF(CA400=0,0,CC400*CB400/CA400*Ipotesi!$C$103*Parametri_v3!$C$64)</f>
        <v>103454.1415217</v>
      </c>
      <c r="CE400" s="18" t="n">
        <f aca="false">IF(BA400&gt;0,Motore_Operativo!C400,(CE399))</f>
        <v>47270</v>
      </c>
      <c r="CF400" s="18" t="n">
        <f aca="false">IF(AND(CC400&gt;0,OR(CC400&gt;=CG400-0.01,Motore_Operativo!C400&gt;=EDATE(MAX(Finanziamenti!$D$15:$D$17),Ipotesi!I14*12))),CE400,0)</f>
        <v>47270</v>
      </c>
      <c r="CG400" s="15" t="n">
        <f aca="false">IF(AND(7&lt;&gt;6,7&lt;&gt;9,Finanziamenti!$F$11=1,OR(Parametri_v3!$C$6=0,Finanziamenti!$E$11=1)),MIN(Finanziamenti!$C$11,Piano_SS!$C$12*Ipotesi!$C$102),0)</f>
        <v>400000</v>
      </c>
      <c r="CH400" s="15" t="n">
        <f aca="false">IF(AND(AND(7&lt;&gt;8,7&lt;&gt;9,Finanziamenti!$F$10=1,OR(Parametri_v3!$C$6=0,Finanziamenti!$E$10=1)),Motore_Operativo!C400&gt;=Finanziamenti!$D$10,Motore_Operativo!C400&lt;Parametri_v3!$C$63),Finanziamenti!$C$10,0)</f>
        <v>150000</v>
      </c>
    </row>
    <row r="401" customFormat="false" ht="18" hidden="false" customHeight="true" outlineLevel="0" collapsed="false">
      <c r="A401" s="68" t="n">
        <f aca="false">7</f>
        <v>7</v>
      </c>
      <c r="B401" s="68" t="n">
        <f aca="false">37</f>
        <v>37</v>
      </c>
      <c r="C401" s="18" t="n">
        <f aca="false">Motore_Operativo!C401</f>
        <v>47484</v>
      </c>
      <c r="D401" s="68" t="n">
        <f aca="false">Motore_Operativo!D401</f>
        <v>2030</v>
      </c>
      <c r="E401" s="68" t="n">
        <f aca="false">Motore_Operativo!E401</f>
        <v>1</v>
      </c>
      <c r="F401" s="15" t="n">
        <f aca="false">Motore_Operativo!AQ401+Motore_Operativo!BF401</f>
        <v>109981.50531234</v>
      </c>
      <c r="G401" s="15" t="n">
        <f aca="false">Motore_Operativo!BH401</f>
        <v>9024.16666666667</v>
      </c>
      <c r="H401" s="15" t="n">
        <f aca="false">Motore_Operativo!BI401</f>
        <v>119005.671979006</v>
      </c>
      <c r="I401" s="15" t="n">
        <f aca="false">Motore_Operativo!CA401</f>
        <v>155002.886368728</v>
      </c>
      <c r="J401" s="15" t="n">
        <f aca="false">Motore_Operativo!CC401</f>
        <v>-35997.2143897212</v>
      </c>
      <c r="K401" s="15" t="n">
        <f aca="false">Motore_Operativo!CE401</f>
        <v>3333.33333333333</v>
      </c>
      <c r="L401" s="15" t="n">
        <f aca="false">SUM(INDEX($K$365:$K$424,MAX(1,37-Parametri_v3!$C$59+1)):K401)/Parametri_v3!$C$59</f>
        <v>2129.62962962963</v>
      </c>
      <c r="M401" s="15" t="n">
        <f aca="false">J401-L401</f>
        <v>-38126.8440193509</v>
      </c>
      <c r="N401" s="15" t="n">
        <f aca="false">CD401-(CD400)</f>
        <v>0</v>
      </c>
      <c r="O401" s="15" t="n">
        <f aca="false">(BG400)*Ipotesi!$C$110/12+CH401*Parametri_v3!$C$39/12</f>
        <v>750</v>
      </c>
      <c r="P401" s="15" t="n">
        <f aca="false">M401+N401-O401</f>
        <v>-38876.8440193509</v>
      </c>
      <c r="Q401" s="15" t="n">
        <f aca="false">SUM(P401)+Parametri_v3!$C$54*1/12</f>
        <v>-38876.8440193509</v>
      </c>
      <c r="R401" s="15" t="n">
        <f aca="false">Z400</f>
        <v>1016758.23194941</v>
      </c>
      <c r="S401" s="15" t="n">
        <f aca="false">AA400</f>
        <v>0</v>
      </c>
      <c r="T401" s="15" t="n">
        <f aca="false">MIN(R401,MAX(0,Q401))</f>
        <v>0</v>
      </c>
      <c r="U401" s="15" t="n">
        <f aca="false">MIN(S401,MAX(0,Q401-T401)*Parametri_v3!$C$42)</f>
        <v>0</v>
      </c>
      <c r="V401" s="15" t="n">
        <f aca="false">MAX(0,Q401-T401-U401)*Ipotesi!$C$92</f>
        <v>0</v>
      </c>
      <c r="W401" s="15" t="n">
        <f aca="false">MAX(0,SUM(M401)+Parametri_v3!$C$55*1/12)*Ipotesi!$C$93</f>
        <v>0</v>
      </c>
      <c r="X401" s="15" t="n">
        <f aca="false">V401+W401-(0)</f>
        <v>0</v>
      </c>
      <c r="Y401" s="15" t="n">
        <f aca="false">P401-X401</f>
        <v>-38876.8440193509</v>
      </c>
      <c r="Z401" s="15" t="n">
        <f aca="false">R401-T401+IF(AND(Parametri_v3!$C$40=1,D401-YEAR(Parametri_v3!$C$50)&lt;Parametri_v3!$C$41),MAX(0,-Q401),0)</f>
        <v>1016758.23194941</v>
      </c>
      <c r="AA401" s="15" t="n">
        <f aca="false">S401-U401+IF(AND(Parametri_v3!$C$40=1,D401-YEAR(Parametri_v3!$C$50)&lt;Parametri_v3!$C$41),0,MAX(0,-Q401))</f>
        <v>38876.8440193509</v>
      </c>
      <c r="AB401" s="15" t="n">
        <f aca="false">F401*(1+Parametri_v3!$C$26)</f>
        <v>134177.436481054</v>
      </c>
      <c r="AC401" s="15" t="n">
        <f aca="false">(IF(37-(INT((Motore_Operativo!L401)/30))&lt;1,0,INDEX(Motore_Startup!$AB$365:$AB$424,MAX(1,37-(INT((Motore_Operativo!L401)/30)))))*(1-(MOD((Motore_Operativo!L401),30)/30))+IF(37-(INT((Motore_Operativo!L401)/30))-1&lt;1,0,INDEX(Motore_Startup!$AB$365:$AB$424,MAX(1,37-(INT((Motore_Operativo!L401)/30))-1)))*(MOD((Motore_Operativo!L401),30)/30))</f>
        <v>92432.6363630927</v>
      </c>
      <c r="AD401" s="15" t="n">
        <f aca="false">(AD400)+AB401-AC401</f>
        <v>328371.796720413</v>
      </c>
      <c r="AE401" s="15" t="n">
        <f aca="false">Motore_Operativo!BH401*(1+Parametri_v3!$C$26)</f>
        <v>11009.4833333333</v>
      </c>
      <c r="AF401" s="15" t="n">
        <f aca="false">(IF(37-(INT((Parametri_v3!$C$29)/30))&lt;1,0,INDEX(Motore_Operativo!$BH$365:$BH$424,MAX(1,37-(INT((Parametri_v3!$C$29)/30)))))*(1-(MOD((Parametri_v3!$C$29),30)/30))+IF(37-(INT((Parametri_v3!$C$29)/30))-1&lt;1,0,INDEX(Motore_Operativo!$BH$365:$BH$424,MAX(1,37-(INT((Parametri_v3!$C$29)/30))-1)))*(MOD((Parametri_v3!$C$29),30)/30))*(1+Parametri_v3!$C$26)</f>
        <v>7381</v>
      </c>
      <c r="AG401" s="15" t="n">
        <f aca="false">(AG400)+AE401-AF401</f>
        <v>11009.4833333333</v>
      </c>
      <c r="AH401" s="15" t="n">
        <f aca="false">(Motore_Operativo!CJ401)*(1+Parametri_v3!$C$27*Parametri_v3!$C$26)</f>
        <v>69474.875461138</v>
      </c>
      <c r="AI401" s="15" t="n">
        <f aca="false">(IF(37-(INT((Ipotesi!$C$91)/30))&lt;1,0,INDEX(Motore_Startup!$AH$365:$AH$424,MAX(1,37-(INT((Ipotesi!$C$91)/30)))))*(1-(MOD((Ipotesi!$C$91),30)/30))+IF(37-(INT((Ipotesi!$C$91)/30))-1&lt;1,0,INDEX(Motore_Startup!$AH$365:$AH$424,MAX(1,37-(INT((Ipotesi!$C$91)/30))-1)))*(MOD((Ipotesi!$C$91),30)/30))</f>
        <v>52258.3678614052</v>
      </c>
      <c r="AJ401" s="15" t="n">
        <f aca="false">(AJ400)+AH401-AI401</f>
        <v>122154.348942282</v>
      </c>
      <c r="AK401" s="15" t="n">
        <f aca="false">(F401+ Motore_Operativo!BH401-(Motore_Operativo!CJ401)*Parametri_v3!$C$27-Motore_Operativo!CE401)*Parametri_v3!$C$26</f>
        <v>14502.8414513043</v>
      </c>
      <c r="AL401" s="15" t="n">
        <f aca="false">MAX(0,(AM400))</f>
        <v>10269.9460631964</v>
      </c>
      <c r="AM401" s="15" t="n">
        <f aca="false">(AM400)+AK401-AL401</f>
        <v>14502.8414513043</v>
      </c>
      <c r="AN401" s="15" t="n">
        <f aca="false">SUM(X389:X400)</f>
        <v>0</v>
      </c>
      <c r="AO401" s="15" t="n">
        <f aca="false">SUM(AP389:AP400)</f>
        <v>0</v>
      </c>
      <c r="AP401" s="15" t="n">
        <f aca="false">MAX(0,AN401)*IF(1=Parametri_v3!$C$43,Parametri_v3!$C$45,IF(1=Parametri_v3!$C$44,1-Parametri_v3!$C$45,0))</f>
        <v>0</v>
      </c>
      <c r="AQ401" s="15" t="n">
        <f aca="false">MAX(0,AP401+IF(1=Parametri_v3!$C$43,MAX(0,AN401-AO401),0)-MAX(0,-(AR400)))</f>
        <v>0</v>
      </c>
      <c r="AR401" s="15" t="n">
        <f aca="false">(AR400)+X401-AQ401</f>
        <v>0</v>
      </c>
      <c r="AS401" s="15" t="n">
        <f aca="false">Motore_Operativo!AB401-AT401+AU401</f>
        <v>91649.4297604167</v>
      </c>
      <c r="AT401" s="15" t="n">
        <f aca="false">Motore_Operativo!CH401</f>
        <v>4823.65419791667</v>
      </c>
      <c r="AU401" s="15" t="n">
        <f aca="false">MIN(MAX(0,(AV400)+AT401),Parametri_v3!$C$60/12)</f>
        <v>0</v>
      </c>
      <c r="AV401" s="15" t="n">
        <f aca="false">(AV400)+AT401-AU401</f>
        <v>83995.3541979167</v>
      </c>
      <c r="AW401" s="15" t="n">
        <f aca="false">IF(AND(Motore_Operativo!C401=Finanziamenti!$D$6,Finanziamenti!$F$6=1),Finanziamenti!$C$6,0)</f>
        <v>0</v>
      </c>
      <c r="AX401" s="15" t="n">
        <f aca="false">IF(AND(7&lt;&gt;7,7&lt;&gt;9,Finanziamenti!$F$8=1,OR(Parametri_v3!$C$6=0,Finanziamenti!$E$8=1),Motore_Operativo!C401=EDATE(Finanziamenti!$D$8,Ipotesi!I15*12)),Finanziamenti!$C$8*1,0)+IF(AND(7&lt;&gt;7,7&lt;&gt;9,Finanziamenti!$F$9=1,OR(Parametri_v3!$C$6=0,Finanziamenti!$E$9=1),Motore_Operativo!C401=EDATE(Finanziamenti!$D$9,Ipotesi!I15*12)),Finanziamenti!$C$9*Ipotesi!I16,0)</f>
        <v>0</v>
      </c>
      <c r="AY401" s="15" t="n">
        <f aca="false">0</f>
        <v>0</v>
      </c>
      <c r="AZ401" s="15" t="n">
        <f aca="false">Motore_Advisory!AY401*(1-Ipotesi!$C$95)*Ipotesi!$C$96</f>
        <v>0</v>
      </c>
      <c r="BA401" s="15" t="n">
        <f aca="false">MAX(0,MIN(CG401*MIN(1,IF(Motore_Operativo!C401&gt;=EDATE(Finanziamenti!$D$15,Ipotesi!I14*12),Finanziamenti!$C$15,0)+IF(Motore_Operativo!C401&gt;=EDATE(Finanziamenti!$D$16,Ipotesi!I14*12),Finanziamenti!$C$16,0)+IF(Motore_Operativo!C401&gt;=EDATE(Finanziamenti!$D$17,Ipotesi!I14*12),Finanziamenti!$C$17,0)),CA401*Ipotesi!$C$102)-(CC400))</f>
        <v>0</v>
      </c>
      <c r="BB401" s="15" t="n">
        <f aca="false">IF(AND(CF401&gt;0,Motore_Operativo!C401&gt;=IF(CF401=0,0,EDATE(CF401,Parametri_v3!$C$37)),MOD(((D401-YEAR(IF(CF401=0,0,EDATE(CF401,Parametri_v3!$C$37))))*12+E401-MONTH(IF(CF401=0,0,EDATE(CF401,Parametri_v3!$C$37)))),Parametri_v3!$C$38)=0),MIN(MAX(0,(BC400)+BA401-N401),(CC401-CD401)/(Ipotesi!$C$108*12/Parametri_v3!$C$38)),0)</f>
        <v>0</v>
      </c>
      <c r="BC401" s="15" t="n">
        <f aca="false">(BC400)+BA401-N401-BB401</f>
        <v>265392.996883967</v>
      </c>
      <c r="BD401" s="15" t="n">
        <f aca="false">(BH400)+AC401+AF401-AI401-AS401-K401*(1+Parametri_v3!$C$26)-AL401-AQ401-O401+AW401+AX401+AZ401+BA401-BB401</f>
        <v>-669966.184917409</v>
      </c>
      <c r="BE401" s="15" t="n">
        <f aca="false">MAX(0,MIN(MAX(0,CH401-(BG400)),Parametri_v3!$C$30-BD401))</f>
        <v>0</v>
      </c>
      <c r="BF401" s="15" t="n">
        <f aca="false">IF(Motore_Operativo!C401&gt;=Parametri_v3!$C$63,(BG400),MIN((BG400),MAX(0,BD401-Parametri_v3!$C$30)))</f>
        <v>0</v>
      </c>
      <c r="BG401" s="15" t="n">
        <f aca="false">(BG400)+BE401-BF401</f>
        <v>150000</v>
      </c>
      <c r="BH401" s="15" t="n">
        <f aca="false">BD401+BE401-BF401-AY401</f>
        <v>-669966.184917409</v>
      </c>
      <c r="BI401" s="15" t="n">
        <f aca="false">MAX(0,Parametri_v3!$C$30-BH401)</f>
        <v>694966.184917409</v>
      </c>
      <c r="BJ401" s="15" t="n">
        <f aca="false">(BJ400)+K401</f>
        <v>78333.3333333333</v>
      </c>
      <c r="BK401" s="15" t="n">
        <f aca="false">(BK400)+L401</f>
        <v>37337.962962963</v>
      </c>
      <c r="BL401" s="15" t="n">
        <f aca="false">BJ401-BK401</f>
        <v>40995.3703703704</v>
      </c>
      <c r="BM401" s="15" t="n">
        <f aca="false">(BM400)+Y401</f>
        <v>-1055635.07596876</v>
      </c>
      <c r="BN401" s="15" t="n">
        <f aca="false">(BN400)+AW401+AX401+AZ401</f>
        <v>130000</v>
      </c>
      <c r="BO401" s="15" t="n">
        <f aca="false">(BO400)+AY401</f>
        <v>0</v>
      </c>
      <c r="BP401" s="15" t="n">
        <f aca="false">0</f>
        <v>0</v>
      </c>
      <c r="BQ401" s="15" t="n">
        <f aca="false">BN401+BM401-BO401</f>
        <v>-925635.075968762</v>
      </c>
      <c r="BR401" s="15" t="n">
        <f aca="false">BH401+AD401+BL401+MAX(0,-AM401)+MAX(0,-AR401)+AG401</f>
        <v>-289589.534493293</v>
      </c>
      <c r="BS401" s="15" t="n">
        <f aca="false">AJ401+AV401+MAX(0,AM401)+MAX(0,AR401)+BC401+BG401+BQ401</f>
        <v>-289589.534493292</v>
      </c>
      <c r="BT401" s="15" t="n">
        <f aca="false">BR401-BS401</f>
        <v>0</v>
      </c>
      <c r="BU401" s="15" t="n">
        <f aca="false">BH401-(BD401+BE401-BF401-AY401)</f>
        <v>0</v>
      </c>
      <c r="BV401" s="15" t="n">
        <f aca="false">MIN(Piano_SS!$C$6,(BV400)+IF(AND(Motore_Operativo!C401&gt;=EDATE(Parametri_v3!$C$24,Ipotesi!I14*12),Motore_Operativo!C401&lt;EDATE(Parametri_v3!$C$24,Parametri_v3!$C$25+Ipotesi!I14*12)),MAX(0,(Motore_Operativo!Y401+Motore_Operativo!X401*Parametri_v3!$C$14)*(1-Parametri_v3!$C$32))*Piano_SS!$D$6,0))</f>
        <v>300000</v>
      </c>
      <c r="BW401" s="15" t="n">
        <f aca="false">MIN(Piano_SS!$C$7,(BW400)+IF(AND(Motore_Operativo!C401&gt;=EDATE(Parametri_v3!$C$24,Ipotesi!I14*12),Motore_Operativo!C401&lt;EDATE(Parametri_v3!$C$24,Parametri_v3!$C$25+Ipotesi!I14*12)),MAX(0,(IF(37-(INT((Ipotesi!$C$91)/30))&lt;1,0,INDEX(Motore_Operativo!$BN$365:$BN$424,MAX(1,37-(INT((Ipotesi!$C$91)/30)))))*(1-(MOD((Ipotesi!$C$91),30)/30))+IF(37-(INT((Ipotesi!$C$91)/30))-1&lt;1,0,INDEX(Motore_Operativo!$BN$365:$BN$424,MAX(1,37-(INT((Ipotesi!$C$91)/30))-1)))*(MOD((Ipotesi!$C$91),30)/30)))*Piano_SS!$D$7,0))</f>
        <v>41058.9230070837</v>
      </c>
      <c r="BX401" s="15" t="n">
        <f aca="false">MIN(Piano_SS!$C$8,(BX400)+IF(AND(Motore_Operativo!C401&gt;=EDATE(Parametri_v3!$C$24,Ipotesi!I14*12),Motore_Operativo!C401&lt;EDATE(Parametri_v3!$C$24,Parametri_v3!$C$25+Ipotesi!I14*12)),MAX(0,Motore_Operativo!CE401)*Piano_SS!$D$8,0))</f>
        <v>50000</v>
      </c>
      <c r="BY401" s="15" t="n">
        <f aca="false">MIN(Piano_SS!$C$9,(BY400)+IF(AND(Motore_Operativo!C401&gt;=EDATE(Parametri_v3!$C$24,Ipotesi!I14*12),Motore_Operativo!C401&lt;EDATE(Parametri_v3!$C$24,Parametri_v3!$C$25+Ipotesi!I14*12)),MAX(0,((IF(37-(INT((Ipotesi!$C$91)/30))&lt;1,0,INDEX(Motore_Operativo!$BQ$365:$BQ$424,MAX(1,37-(INT((Ipotesi!$C$91)/30)))))*(1-(MOD((Ipotesi!$C$91),30)/30))+IF(37-(INT((Ipotesi!$C$91)/30))-1&lt;1,0,INDEX(Motore_Operativo!$BQ$365:$BQ$424,MAX(1,37-(INT((Ipotesi!$C$91)/30))-1)))*(MOD((Ipotesi!$C$91),30)/30))+(IF(37-(INT((Ipotesi!$C$91)/30))&lt;1,0,INDEX(Motore_Operativo!$BR$365:$BR$424,MAX(1,37-(INT((Ipotesi!$C$91)/30)))))*(1-(MOD((Ipotesi!$C$91),30)/30))+IF(37-(INT((Ipotesi!$C$91)/30))-1&lt;1,0,INDEX(Motore_Operativo!$BR$365:$BR$424,MAX(1,37-(INT((Ipotesi!$C$91)/30))-1)))*(MOD((Ipotesi!$C$91),30)/30))))*Piano_SS!$D$9,0))</f>
        <v>40000</v>
      </c>
      <c r="BZ401" s="15" t="n">
        <f aca="false">MIN(Piano_SS!$C$10,(BZ400)+IF(AND(Motore_Operativo!C401&gt;=EDATE(Parametri_v3!$C$24,Ipotesi!I14*12),Motore_Operativo!C401&lt;EDATE(Parametri_v3!$C$24,Parametri_v3!$C$25+Ipotesi!I14*12)),MAX(0,(IF(37-(INT((Ipotesi!$C$91)/30))&lt;1,0,INDEX(Motore_Operativo!$BO$365:$BO$424,MAX(1,37-(INT((Ipotesi!$C$91)/30)))))*(1-(MOD((Ipotesi!$C$91),30)/30))+IF(37-(INT((Ipotesi!$C$91)/30))-1&lt;1,0,INDEX(Motore_Operativo!$BO$365:$BO$424,MAX(1,37-(INT((Ipotesi!$C$91)/30))-1)))*(MOD((Ipotesi!$C$91),30)/30)))*Piano_SS!$D$10,0))</f>
        <v>30000</v>
      </c>
      <c r="CA401" s="15" t="n">
        <f aca="false">SUM(BV401:BZ401)</f>
        <v>461058.923007084</v>
      </c>
      <c r="CB401" s="15" t="n">
        <f aca="false">BV401*(1-Piano_SS!$E$6)+BW401*(1-Piano_SS!$E$7)+BX401*(1-Piano_SS!$E$8)+BY401*(1-Piano_SS!$E$9)+BZ401*(1-Piano_SS!$E$10)</f>
        <v>431058.923007084</v>
      </c>
      <c r="CC401" s="15" t="n">
        <f aca="false">(CC400)+BA401</f>
        <v>368847.138405667</v>
      </c>
      <c r="CD401" s="15" t="n">
        <f aca="false">IF(CA401=0,0,CC401*CB401/CA401*Ipotesi!$C$103*Parametri_v3!$C$64)</f>
        <v>103454.1415217</v>
      </c>
      <c r="CE401" s="18" t="n">
        <f aca="false">IF(BA401&gt;0,Motore_Operativo!C401,(CE400))</f>
        <v>47270</v>
      </c>
      <c r="CF401" s="18" t="n">
        <f aca="false">IF(AND(CC401&gt;0,OR(CC401&gt;=CG401-0.01,Motore_Operativo!C401&gt;=EDATE(MAX(Finanziamenti!$D$15:$D$17),Ipotesi!I14*12))),CE401,0)</f>
        <v>47270</v>
      </c>
      <c r="CG401" s="15" t="n">
        <f aca="false">IF(AND(7&lt;&gt;6,7&lt;&gt;9,Finanziamenti!$F$11=1,OR(Parametri_v3!$C$6=0,Finanziamenti!$E$11=1)),MIN(Finanziamenti!$C$11,Piano_SS!$C$12*Ipotesi!$C$102),0)</f>
        <v>400000</v>
      </c>
      <c r="CH401" s="15" t="n">
        <f aca="false">IF(AND(AND(7&lt;&gt;8,7&lt;&gt;9,Finanziamenti!$F$10=1,OR(Parametri_v3!$C$6=0,Finanziamenti!$E$10=1)),Motore_Operativo!C401&gt;=Finanziamenti!$D$10,Motore_Operativo!C401&lt;Parametri_v3!$C$63),Finanziamenti!$C$10,0)</f>
        <v>150000</v>
      </c>
    </row>
    <row r="402" customFormat="false" ht="18" hidden="false" customHeight="true" outlineLevel="0" collapsed="false">
      <c r="A402" s="68" t="n">
        <f aca="false">7</f>
        <v>7</v>
      </c>
      <c r="B402" s="68" t="n">
        <f aca="false">38</f>
        <v>38</v>
      </c>
      <c r="C402" s="18" t="n">
        <f aca="false">Motore_Operativo!C402</f>
        <v>47515</v>
      </c>
      <c r="D402" s="68" t="n">
        <f aca="false">Motore_Operativo!D402</f>
        <v>2030</v>
      </c>
      <c r="E402" s="68" t="n">
        <f aca="false">Motore_Operativo!E402</f>
        <v>2</v>
      </c>
      <c r="F402" s="15" t="n">
        <f aca="false">Motore_Operativo!AQ402+Motore_Operativo!BF402</f>
        <v>112181.063256671</v>
      </c>
      <c r="G402" s="15" t="n">
        <f aca="false">Motore_Operativo!BH402</f>
        <v>9024.16666666667</v>
      </c>
      <c r="H402" s="15" t="n">
        <f aca="false">Motore_Operativo!BI402</f>
        <v>121205.229923337</v>
      </c>
      <c r="I402" s="15" t="n">
        <f aca="false">Motore_Operativo!CA402</f>
        <v>155310.824480934</v>
      </c>
      <c r="J402" s="15" t="n">
        <f aca="false">Motore_Operativo!CC402</f>
        <v>-34105.5945575967</v>
      </c>
      <c r="K402" s="15" t="n">
        <f aca="false">Motore_Operativo!CE402</f>
        <v>3333.33333333333</v>
      </c>
      <c r="L402" s="15" t="n">
        <f aca="false">SUM(INDEX($K$365:$K$424,MAX(1,38-Parametri_v3!$C$59+1)):K402)/Parametri_v3!$C$59</f>
        <v>2175.92592592593</v>
      </c>
      <c r="M402" s="15" t="n">
        <f aca="false">J402-L402</f>
        <v>-36281.5204835226</v>
      </c>
      <c r="N402" s="15" t="n">
        <f aca="false">CD402-(CD401)</f>
        <v>0</v>
      </c>
      <c r="O402" s="15" t="n">
        <f aca="false">(BG401)*Ipotesi!$C$110/12+CH402*Parametri_v3!$C$39/12</f>
        <v>750</v>
      </c>
      <c r="P402" s="15" t="n">
        <f aca="false">M402+N402-O402</f>
        <v>-37031.5204835226</v>
      </c>
      <c r="Q402" s="15" t="n">
        <f aca="false">SUM(P401:P402)+Parametri_v3!$C$54*2/12</f>
        <v>-75908.3645028735</v>
      </c>
      <c r="R402" s="15" t="n">
        <f aca="false">Z400</f>
        <v>1016758.23194941</v>
      </c>
      <c r="S402" s="15" t="n">
        <f aca="false">AA400</f>
        <v>0</v>
      </c>
      <c r="T402" s="15" t="n">
        <f aca="false">MIN(R402,MAX(0,Q402))</f>
        <v>0</v>
      </c>
      <c r="U402" s="15" t="n">
        <f aca="false">MIN(S402,MAX(0,Q402-T402)*Parametri_v3!$C$42)</f>
        <v>0</v>
      </c>
      <c r="V402" s="15" t="n">
        <f aca="false">MAX(0,Q402-T402-U402)*Ipotesi!$C$92</f>
        <v>0</v>
      </c>
      <c r="W402" s="15" t="n">
        <f aca="false">MAX(0,SUM(M401:M402)+Parametri_v3!$C$55*2/12)*Ipotesi!$C$93</f>
        <v>0</v>
      </c>
      <c r="X402" s="15" t="n">
        <f aca="false">V402+W402-(V401+W401)</f>
        <v>0</v>
      </c>
      <c r="Y402" s="15" t="n">
        <f aca="false">P402-X402</f>
        <v>-37031.5204835226</v>
      </c>
      <c r="Z402" s="15" t="n">
        <f aca="false">R402-T402+IF(AND(Parametri_v3!$C$40=1,D402-YEAR(Parametri_v3!$C$50)&lt;Parametri_v3!$C$41),MAX(0,-Q402),0)</f>
        <v>1016758.23194941</v>
      </c>
      <c r="AA402" s="15" t="n">
        <f aca="false">S402-U402+IF(AND(Parametri_v3!$C$40=1,D402-YEAR(Parametri_v3!$C$50)&lt;Parametri_v3!$C$41),0,MAX(0,-Q402))</f>
        <v>75908.3645028735</v>
      </c>
      <c r="AB402" s="15" t="n">
        <f aca="false">F402*(1+Parametri_v3!$C$26)</f>
        <v>136860.897173138</v>
      </c>
      <c r="AC402" s="15" t="n">
        <f aca="false">(IF(38-(INT((Motore_Operativo!L402)/30))&lt;1,0,INDEX(Motore_Startup!$AB$365:$AB$424,MAX(1,38-(INT((Motore_Operativo!L402)/30)))))*(1-(MOD((Motore_Operativo!L402),30)/30))+IF(38-(INT((Motore_Operativo!L402)/30))-1&lt;1,0,INDEX(Motore_Startup!$AB$365:$AB$424,MAX(1,38-(INT((Motore_Operativo!L402)/30))-1)))*(MOD((Motore_Operativo!L402),30)/30))</f>
        <v>95551.4199316866</v>
      </c>
      <c r="AD402" s="15" t="n">
        <f aca="false">(AD401)+AB402-AC402</f>
        <v>369681.273961864</v>
      </c>
      <c r="AE402" s="15" t="n">
        <f aca="false">Motore_Operativo!BH402*(1+Parametri_v3!$C$26)</f>
        <v>11009.4833333333</v>
      </c>
      <c r="AF402" s="15" t="n">
        <f aca="false">(IF(38-(INT((Parametri_v3!$C$29)/30))&lt;1,0,INDEX(Motore_Operativo!$BH$365:$BH$424,MAX(1,38-(INT((Parametri_v3!$C$29)/30)))))*(1-(MOD((Parametri_v3!$C$29),30)/30))+IF(38-(INT((Parametri_v3!$C$29)/30))-1&lt;1,0,INDEX(Motore_Operativo!$BH$365:$BH$424,MAX(1,38-(INT((Parametri_v3!$C$29)/30))-1)))*(MOD((Parametri_v3!$C$29),30)/30))*(1+Parametri_v3!$C$26)</f>
        <v>11009.4833333333</v>
      </c>
      <c r="AG402" s="15" t="n">
        <f aca="false">(AG401)+AE402-AF402</f>
        <v>11009.4833333333</v>
      </c>
      <c r="AH402" s="15" t="n">
        <f aca="false">(Motore_Operativo!CJ402)*(1+Parametri_v3!$C$27*Parametri_v3!$C$26)</f>
        <v>69840.3980003269</v>
      </c>
      <c r="AI402" s="15" t="n">
        <f aca="false">(IF(38-(INT((Ipotesi!$C$91)/30))&lt;1,0,INDEX(Motore_Startup!$AH$365:$AH$424,MAX(1,38-(INT((Ipotesi!$C$91)/30)))))*(1-(MOD((Ipotesi!$C$91),30)/30))+IF(38-(INT((Ipotesi!$C$91)/30))-1&lt;1,0,INDEX(Motore_Startup!$AH$365:$AH$424,MAX(1,38-(INT((Ipotesi!$C$91)/30))-1)))*(MOD((Ipotesi!$C$91),30)/30))</f>
        <v>52679.4734811439</v>
      </c>
      <c r="AJ402" s="15" t="n">
        <f aca="false">(AJ401)+AH402-AI402</f>
        <v>139315.273461465</v>
      </c>
      <c r="AK402" s="15" t="n">
        <f aca="false">(F402+ Motore_Operativo!BH402-(Motore_Operativo!CJ402)*Parametri_v3!$C$27-Motore_Operativo!CE402)*Parametri_v3!$C$26</f>
        <v>14929.1597720746</v>
      </c>
      <c r="AL402" s="15" t="n">
        <f aca="false">MAX(0,(AM401))</f>
        <v>14502.8414513043</v>
      </c>
      <c r="AM402" s="15" t="n">
        <f aca="false">(AM401)+AK402-AL402</f>
        <v>14929.1597720746</v>
      </c>
      <c r="AN402" s="15" t="n">
        <f aca="false">SUM(X389:X400)</f>
        <v>0</v>
      </c>
      <c r="AO402" s="15" t="n">
        <f aca="false">SUM(AP389:AP400)</f>
        <v>0</v>
      </c>
      <c r="AP402" s="15" t="n">
        <f aca="false">MAX(0,AN402)*IF(2=Parametri_v3!$C$43,Parametri_v3!$C$45,IF(2=Parametri_v3!$C$44,1-Parametri_v3!$C$45,0))</f>
        <v>0</v>
      </c>
      <c r="AQ402" s="15" t="n">
        <f aca="false">MAX(0,AP402+IF(2=Parametri_v3!$C$43,MAX(0,AN402-AO402),0)-MAX(0,-(AR401)))</f>
        <v>0</v>
      </c>
      <c r="AR402" s="15" t="n">
        <f aca="false">(AR401)+X402-AQ402</f>
        <v>0</v>
      </c>
      <c r="AS402" s="15" t="n">
        <f aca="false">Motore_Operativo!AB402-AT402+AU402</f>
        <v>91649.4297604167</v>
      </c>
      <c r="AT402" s="15" t="n">
        <f aca="false">Motore_Operativo!CH402</f>
        <v>4823.65419791667</v>
      </c>
      <c r="AU402" s="15" t="n">
        <f aca="false">MIN(MAX(0,(AV401)+AT402),Parametri_v3!$C$60/12)</f>
        <v>0</v>
      </c>
      <c r="AV402" s="15" t="n">
        <f aca="false">(AV401)+AT402-AU402</f>
        <v>88819.0083958333</v>
      </c>
      <c r="AW402" s="15" t="n">
        <f aca="false">IF(AND(Motore_Operativo!C402=Finanziamenti!$D$6,Finanziamenti!$F$6=1),Finanziamenti!$C$6,0)</f>
        <v>0</v>
      </c>
      <c r="AX402" s="15" t="n">
        <f aca="false">IF(AND(7&lt;&gt;7,7&lt;&gt;9,Finanziamenti!$F$8=1,OR(Parametri_v3!$C$6=0,Finanziamenti!$E$8=1),Motore_Operativo!C402=EDATE(Finanziamenti!$D$8,Ipotesi!I15*12)),Finanziamenti!$C$8*1,0)+IF(AND(7&lt;&gt;7,7&lt;&gt;9,Finanziamenti!$F$9=1,OR(Parametri_v3!$C$6=0,Finanziamenti!$E$9=1),Motore_Operativo!C402=EDATE(Finanziamenti!$D$9,Ipotesi!I15*12)),Finanziamenti!$C$9*Ipotesi!I16,0)</f>
        <v>0</v>
      </c>
      <c r="AY402" s="15" t="n">
        <f aca="false">0</f>
        <v>0</v>
      </c>
      <c r="AZ402" s="15" t="n">
        <f aca="false">Motore_Advisory!AY402*(1-Ipotesi!$C$95)*Ipotesi!$C$96</f>
        <v>0</v>
      </c>
      <c r="BA402" s="15" t="n">
        <f aca="false">MAX(0,MIN(CG402*MIN(1,IF(Motore_Operativo!C402&gt;=EDATE(Finanziamenti!$D$15,Ipotesi!I14*12),Finanziamenti!$C$15,0)+IF(Motore_Operativo!C402&gt;=EDATE(Finanziamenti!$D$16,Ipotesi!I14*12),Finanziamenti!$C$16,0)+IF(Motore_Operativo!C402&gt;=EDATE(Finanziamenti!$D$17,Ipotesi!I14*12),Finanziamenti!$C$17,0)),CA402*Ipotesi!$C$102)-(CC401))</f>
        <v>0</v>
      </c>
      <c r="BB402" s="15" t="n">
        <f aca="false">IF(AND(CF402&gt;0,Motore_Operativo!C402&gt;=IF(CF402=0,0,EDATE(CF402,Parametri_v3!$C$37)),MOD(((D402-YEAR(IF(CF402=0,0,EDATE(CF402,Parametri_v3!$C$37))))*12+E402-MONTH(IF(CF402=0,0,EDATE(CF402,Parametri_v3!$C$37)))),Parametri_v3!$C$38)=0),MIN(MAX(0,(BC401)+BA402-N402),(CC402-CD402)/(Ipotesi!$C$108*12/Parametri_v3!$C$38)),0)</f>
        <v>0</v>
      </c>
      <c r="BC402" s="15" t="n">
        <f aca="false">(BC401)+BA402-N402-BB402</f>
        <v>265392.996883967</v>
      </c>
      <c r="BD402" s="15" t="n">
        <f aca="false">(BH401)+AC402+AF402-AI402-AS402-K402*(1+Parametri_v3!$C$26)-AL402-AQ402-O402+AW402+AX402+AZ402+BA402-BB402</f>
        <v>-727053.693011921</v>
      </c>
      <c r="BE402" s="15" t="n">
        <f aca="false">MAX(0,MIN(MAX(0,CH402-(BG401)),Parametri_v3!$C$30-BD402))</f>
        <v>0</v>
      </c>
      <c r="BF402" s="15" t="n">
        <f aca="false">IF(Motore_Operativo!C402&gt;=Parametri_v3!$C$63,(BG401),MIN((BG401),MAX(0,BD402-Parametri_v3!$C$30)))</f>
        <v>0</v>
      </c>
      <c r="BG402" s="15" t="n">
        <f aca="false">(BG401)+BE402-BF402</f>
        <v>150000</v>
      </c>
      <c r="BH402" s="15" t="n">
        <f aca="false">BD402+BE402-BF402-AY402</f>
        <v>-727053.693011921</v>
      </c>
      <c r="BI402" s="15" t="n">
        <f aca="false">MAX(0,Parametri_v3!$C$30-BH402)</f>
        <v>752053.693011921</v>
      </c>
      <c r="BJ402" s="15" t="n">
        <f aca="false">(BJ401)+K402</f>
        <v>81666.6666666667</v>
      </c>
      <c r="BK402" s="15" t="n">
        <f aca="false">(BK401)+L402</f>
        <v>39513.8888888889</v>
      </c>
      <c r="BL402" s="15" t="n">
        <f aca="false">BJ402-BK402</f>
        <v>42152.7777777778</v>
      </c>
      <c r="BM402" s="15" t="n">
        <f aca="false">(BM401)+Y402</f>
        <v>-1092666.59645228</v>
      </c>
      <c r="BN402" s="15" t="n">
        <f aca="false">(BN401)+AW402+AX402+AZ402</f>
        <v>130000</v>
      </c>
      <c r="BO402" s="15" t="n">
        <f aca="false">(BO401)+AY402</f>
        <v>0</v>
      </c>
      <c r="BP402" s="15" t="n">
        <f aca="false">0</f>
        <v>0</v>
      </c>
      <c r="BQ402" s="15" t="n">
        <f aca="false">BN402+BM402-BO402</f>
        <v>-962666.596452285</v>
      </c>
      <c r="BR402" s="15" t="n">
        <f aca="false">BH402+AD402+BL402+MAX(0,-AM402)+MAX(0,-AR402)+AG402</f>
        <v>-304210.157938946</v>
      </c>
      <c r="BS402" s="15" t="n">
        <f aca="false">AJ402+AV402+MAX(0,AM402)+MAX(0,AR402)+BC402+BG402+BQ402</f>
        <v>-304210.157938945</v>
      </c>
      <c r="BT402" s="15" t="n">
        <f aca="false">BR402-BS402</f>
        <v>0</v>
      </c>
      <c r="BU402" s="15" t="n">
        <f aca="false">BH402-(BD402+BE402-BF402-AY402)</f>
        <v>0</v>
      </c>
      <c r="BV402" s="15" t="n">
        <f aca="false">MIN(Piano_SS!$C$6,(BV401)+IF(AND(Motore_Operativo!C402&gt;=EDATE(Parametri_v3!$C$24,Ipotesi!I14*12),Motore_Operativo!C402&lt;EDATE(Parametri_v3!$C$24,Parametri_v3!$C$25+Ipotesi!I14*12)),MAX(0,(Motore_Operativo!Y402+Motore_Operativo!X402*Parametri_v3!$C$14)*(1-Parametri_v3!$C$32))*Piano_SS!$D$6,0))</f>
        <v>300000</v>
      </c>
      <c r="BW402" s="15" t="n">
        <f aca="false">MIN(Piano_SS!$C$7,(BW401)+IF(AND(Motore_Operativo!C402&gt;=EDATE(Parametri_v3!$C$24,Ipotesi!I14*12),Motore_Operativo!C402&lt;EDATE(Parametri_v3!$C$24,Parametri_v3!$C$25+Ipotesi!I14*12)),MAX(0,(IF(38-(INT((Ipotesi!$C$91)/30))&lt;1,0,INDEX(Motore_Operativo!$BN$365:$BN$424,MAX(1,38-(INT((Ipotesi!$C$91)/30)))))*(1-(MOD((Ipotesi!$C$91),30)/30))+IF(38-(INT((Ipotesi!$C$91)/30))-1&lt;1,0,INDEX(Motore_Operativo!$BN$365:$BN$424,MAX(1,38-(INT((Ipotesi!$C$91)/30))-1)))*(MOD((Ipotesi!$C$91),30)/30)))*Piano_SS!$D$7,0))</f>
        <v>41058.9230070837</v>
      </c>
      <c r="BX402" s="15" t="n">
        <f aca="false">MIN(Piano_SS!$C$8,(BX401)+IF(AND(Motore_Operativo!C402&gt;=EDATE(Parametri_v3!$C$24,Ipotesi!I14*12),Motore_Operativo!C402&lt;EDATE(Parametri_v3!$C$24,Parametri_v3!$C$25+Ipotesi!I14*12)),MAX(0,Motore_Operativo!CE402)*Piano_SS!$D$8,0))</f>
        <v>50000</v>
      </c>
      <c r="BY402" s="15" t="n">
        <f aca="false">MIN(Piano_SS!$C$9,(BY401)+IF(AND(Motore_Operativo!C402&gt;=EDATE(Parametri_v3!$C$24,Ipotesi!I14*12),Motore_Operativo!C402&lt;EDATE(Parametri_v3!$C$24,Parametri_v3!$C$25+Ipotesi!I14*12)),MAX(0,((IF(38-(INT((Ipotesi!$C$91)/30))&lt;1,0,INDEX(Motore_Operativo!$BQ$365:$BQ$424,MAX(1,38-(INT((Ipotesi!$C$91)/30)))))*(1-(MOD((Ipotesi!$C$91),30)/30))+IF(38-(INT((Ipotesi!$C$91)/30))-1&lt;1,0,INDEX(Motore_Operativo!$BQ$365:$BQ$424,MAX(1,38-(INT((Ipotesi!$C$91)/30))-1)))*(MOD((Ipotesi!$C$91),30)/30))+(IF(38-(INT((Ipotesi!$C$91)/30))&lt;1,0,INDEX(Motore_Operativo!$BR$365:$BR$424,MAX(1,38-(INT((Ipotesi!$C$91)/30)))))*(1-(MOD((Ipotesi!$C$91),30)/30))+IF(38-(INT((Ipotesi!$C$91)/30))-1&lt;1,0,INDEX(Motore_Operativo!$BR$365:$BR$424,MAX(1,38-(INT((Ipotesi!$C$91)/30))-1)))*(MOD((Ipotesi!$C$91),30)/30))))*Piano_SS!$D$9,0))</f>
        <v>40000</v>
      </c>
      <c r="BZ402" s="15" t="n">
        <f aca="false">MIN(Piano_SS!$C$10,(BZ401)+IF(AND(Motore_Operativo!C402&gt;=EDATE(Parametri_v3!$C$24,Ipotesi!I14*12),Motore_Operativo!C402&lt;EDATE(Parametri_v3!$C$24,Parametri_v3!$C$25+Ipotesi!I14*12)),MAX(0,(IF(38-(INT((Ipotesi!$C$91)/30))&lt;1,0,INDEX(Motore_Operativo!$BO$365:$BO$424,MAX(1,38-(INT((Ipotesi!$C$91)/30)))))*(1-(MOD((Ipotesi!$C$91),30)/30))+IF(38-(INT((Ipotesi!$C$91)/30))-1&lt;1,0,INDEX(Motore_Operativo!$BO$365:$BO$424,MAX(1,38-(INT((Ipotesi!$C$91)/30))-1)))*(MOD((Ipotesi!$C$91),30)/30)))*Piano_SS!$D$10,0))</f>
        <v>30000</v>
      </c>
      <c r="CA402" s="15" t="n">
        <f aca="false">SUM(BV402:BZ402)</f>
        <v>461058.923007084</v>
      </c>
      <c r="CB402" s="15" t="n">
        <f aca="false">BV402*(1-Piano_SS!$E$6)+BW402*(1-Piano_SS!$E$7)+BX402*(1-Piano_SS!$E$8)+BY402*(1-Piano_SS!$E$9)+BZ402*(1-Piano_SS!$E$10)</f>
        <v>431058.923007084</v>
      </c>
      <c r="CC402" s="15" t="n">
        <f aca="false">(CC401)+BA402</f>
        <v>368847.138405667</v>
      </c>
      <c r="CD402" s="15" t="n">
        <f aca="false">IF(CA402=0,0,CC402*CB402/CA402*Ipotesi!$C$103*Parametri_v3!$C$64)</f>
        <v>103454.1415217</v>
      </c>
      <c r="CE402" s="18" t="n">
        <f aca="false">IF(BA402&gt;0,Motore_Operativo!C402,(CE401))</f>
        <v>47270</v>
      </c>
      <c r="CF402" s="18" t="n">
        <f aca="false">IF(AND(CC402&gt;0,OR(CC402&gt;=CG402-0.01,Motore_Operativo!C402&gt;=EDATE(MAX(Finanziamenti!$D$15:$D$17),Ipotesi!I14*12))),CE402,0)</f>
        <v>47270</v>
      </c>
      <c r="CG402" s="15" t="n">
        <f aca="false">IF(AND(7&lt;&gt;6,7&lt;&gt;9,Finanziamenti!$F$11=1,OR(Parametri_v3!$C$6=0,Finanziamenti!$E$11=1)),MIN(Finanziamenti!$C$11,Piano_SS!$C$12*Ipotesi!$C$102),0)</f>
        <v>400000</v>
      </c>
      <c r="CH402" s="15" t="n">
        <f aca="false">IF(AND(AND(7&lt;&gt;8,7&lt;&gt;9,Finanziamenti!$F$10=1,OR(Parametri_v3!$C$6=0,Finanziamenti!$E$10=1)),Motore_Operativo!C402&gt;=Finanziamenti!$D$10,Motore_Operativo!C402&lt;Parametri_v3!$C$63),Finanziamenti!$C$10,0)</f>
        <v>150000</v>
      </c>
    </row>
    <row r="403" customFormat="false" ht="18" hidden="false" customHeight="true" outlineLevel="0" collapsed="false">
      <c r="A403" s="68" t="n">
        <f aca="false">7</f>
        <v>7</v>
      </c>
      <c r="B403" s="68" t="n">
        <f aca="false">39</f>
        <v>39</v>
      </c>
      <c r="C403" s="18" t="n">
        <f aca="false">Motore_Operativo!C403</f>
        <v>47543</v>
      </c>
      <c r="D403" s="68" t="n">
        <f aca="false">Motore_Operativo!D403</f>
        <v>2030</v>
      </c>
      <c r="E403" s="68" t="n">
        <f aca="false">Motore_Operativo!E403</f>
        <v>3</v>
      </c>
      <c r="F403" s="15" t="n">
        <f aca="false">Motore_Operativo!AQ403+Motore_Operativo!BF403</f>
        <v>114361.39352118</v>
      </c>
      <c r="G403" s="15" t="n">
        <f aca="false">Motore_Operativo!BH403</f>
        <v>9024.16666666667</v>
      </c>
      <c r="H403" s="15" t="n">
        <f aca="false">Motore_Operativo!BI403</f>
        <v>123385.560187847</v>
      </c>
      <c r="I403" s="15" t="n">
        <f aca="false">Motore_Operativo!CA403</f>
        <v>155616.070717965</v>
      </c>
      <c r="J403" s="15" t="n">
        <f aca="false">Motore_Operativo!CC403</f>
        <v>-32230.5105301187</v>
      </c>
      <c r="K403" s="15" t="n">
        <f aca="false">Motore_Operativo!CE403</f>
        <v>3333.33333333333</v>
      </c>
      <c r="L403" s="15" t="n">
        <f aca="false">SUM(INDEX($K$365:$K$424,MAX(1,39-Parametri_v3!$C$59+1)):K403)/Parametri_v3!$C$59</f>
        <v>2222.22222222222</v>
      </c>
      <c r="M403" s="15" t="n">
        <f aca="false">J403-L403</f>
        <v>-34452.7327523409</v>
      </c>
      <c r="N403" s="15" t="n">
        <f aca="false">CD403-(CD402)</f>
        <v>0</v>
      </c>
      <c r="O403" s="15" t="n">
        <f aca="false">(BG402)*Ipotesi!$C$110/12+CH403*Parametri_v3!$C$39/12</f>
        <v>750</v>
      </c>
      <c r="P403" s="15" t="n">
        <f aca="false">M403+N403-O403</f>
        <v>-35202.7327523409</v>
      </c>
      <c r="Q403" s="15" t="n">
        <f aca="false">SUM(P401:P403)+Parametri_v3!$C$54*3/12</f>
        <v>-111111.097255214</v>
      </c>
      <c r="R403" s="15" t="n">
        <f aca="false">Z400</f>
        <v>1016758.23194941</v>
      </c>
      <c r="S403" s="15" t="n">
        <f aca="false">AA400</f>
        <v>0</v>
      </c>
      <c r="T403" s="15" t="n">
        <f aca="false">MIN(R403,MAX(0,Q403))</f>
        <v>0</v>
      </c>
      <c r="U403" s="15" t="n">
        <f aca="false">MIN(S403,MAX(0,Q403-T403)*Parametri_v3!$C$42)</f>
        <v>0</v>
      </c>
      <c r="V403" s="15" t="n">
        <f aca="false">MAX(0,Q403-T403-U403)*Ipotesi!$C$92</f>
        <v>0</v>
      </c>
      <c r="W403" s="15" t="n">
        <f aca="false">MAX(0,SUM(M401:M403)+Parametri_v3!$C$55*3/12)*Ipotesi!$C$93</f>
        <v>0</v>
      </c>
      <c r="X403" s="15" t="n">
        <f aca="false">V403+W403-(V402+W402)</f>
        <v>0</v>
      </c>
      <c r="Y403" s="15" t="n">
        <f aca="false">P403-X403</f>
        <v>-35202.7327523409</v>
      </c>
      <c r="Z403" s="15" t="n">
        <f aca="false">R403-T403+IF(AND(Parametri_v3!$C$40=1,D403-YEAR(Parametri_v3!$C$50)&lt;Parametri_v3!$C$41),MAX(0,-Q403),0)</f>
        <v>1016758.23194941</v>
      </c>
      <c r="AA403" s="15" t="n">
        <f aca="false">S403-U403+IF(AND(Parametri_v3!$C$40=1,D403-YEAR(Parametri_v3!$C$50)&lt;Parametri_v3!$C$41),0,MAX(0,-Q403))</f>
        <v>111111.097255214</v>
      </c>
      <c r="AB403" s="15" t="n">
        <f aca="false">F403*(1+Parametri_v3!$C$26)</f>
        <v>139520.900095839</v>
      </c>
      <c r="AC403" s="15" t="n">
        <f aca="false">(IF(39-(INT((Motore_Operativo!L403)/30))&lt;1,0,INDEX(Motore_Startup!$AB$365:$AB$424,MAX(1,39-(INT((Motore_Operativo!L403)/30)))))*(1-(MOD((Motore_Operativo!L403),30)/30))+IF(39-(INT((Motore_Operativo!L403)/30))-1&lt;1,0,INDEX(Motore_Startup!$AB$365:$AB$424,MAX(1,39-(INT((Motore_Operativo!L403)/30))-1)))*(MOD((Motore_Operativo!L403),30)/30))</f>
        <v>98642.9403076721</v>
      </c>
      <c r="AD403" s="15" t="n">
        <f aca="false">(AD402)+AB403-AC403</f>
        <v>410559.233750032</v>
      </c>
      <c r="AE403" s="15" t="n">
        <f aca="false">Motore_Operativo!BH403*(1+Parametri_v3!$C$26)</f>
        <v>11009.4833333333</v>
      </c>
      <c r="AF403" s="15" t="n">
        <f aca="false">(IF(39-(INT((Parametri_v3!$C$29)/30))&lt;1,0,INDEX(Motore_Operativo!$BH$365:$BH$424,MAX(1,39-(INT((Parametri_v3!$C$29)/30)))))*(1-(MOD((Parametri_v3!$C$29),30)/30))+IF(39-(INT((Parametri_v3!$C$29)/30))-1&lt;1,0,INDEX(Motore_Operativo!$BH$365:$BH$424,MAX(1,39-(INT((Parametri_v3!$C$29)/30))-1)))*(MOD((Parametri_v3!$C$29),30)/30))*(1+Parametri_v3!$C$26)</f>
        <v>11009.4833333333</v>
      </c>
      <c r="AG403" s="15" t="n">
        <f aca="false">(AG402)+AE403-AF403</f>
        <v>11009.4833333333</v>
      </c>
      <c r="AH403" s="15" t="n">
        <f aca="false">(Motore_Operativo!CJ403)*(1+Parametri_v3!$C$27*Parametri_v3!$C$26)</f>
        <v>70202.725283683</v>
      </c>
      <c r="AI403" s="15" t="n">
        <f aca="false">(IF(39-(INT((Ipotesi!$C$91)/30))&lt;1,0,INDEX(Motore_Startup!$AH$365:$AH$424,MAX(1,39-(INT((Ipotesi!$C$91)/30)))))*(1-(MOD((Ipotesi!$C$91),30)/30))+IF(39-(INT((Ipotesi!$C$91)/30))-1&lt;1,0,INDEX(Motore_Startup!$AH$365:$AH$424,MAX(1,39-(INT((Ipotesi!$C$91)/30))-1)))*(MOD((Ipotesi!$C$91),30)/30))</f>
        <v>69474.875461138</v>
      </c>
      <c r="AJ403" s="15" t="n">
        <f aca="false">(AJ402)+AH403-AI403</f>
        <v>140043.12328401</v>
      </c>
      <c r="AK403" s="15" t="n">
        <f aca="false">(F403+ Motore_Operativo!BH403-(Motore_Operativo!CJ403)*Parametri_v3!$C$27-Motore_Operativo!CE403)*Parametri_v3!$C$26</f>
        <v>15351.7513839417</v>
      </c>
      <c r="AL403" s="15" t="n">
        <f aca="false">MAX(0,(AM402))</f>
        <v>14929.1597720746</v>
      </c>
      <c r="AM403" s="15" t="n">
        <f aca="false">(AM402)+AK403-AL403</f>
        <v>15351.7513839417</v>
      </c>
      <c r="AN403" s="15" t="n">
        <f aca="false">SUM(X389:X400)</f>
        <v>0</v>
      </c>
      <c r="AO403" s="15" t="n">
        <f aca="false">SUM(AP389:AP400)</f>
        <v>0</v>
      </c>
      <c r="AP403" s="15" t="n">
        <f aca="false">MAX(0,AN403)*IF(3=Parametri_v3!$C$43,Parametri_v3!$C$45,IF(3=Parametri_v3!$C$44,1-Parametri_v3!$C$45,0))</f>
        <v>0</v>
      </c>
      <c r="AQ403" s="15" t="n">
        <f aca="false">MAX(0,AP403+IF(3=Parametri_v3!$C$43,MAX(0,AN403-AO403),0)-MAX(0,-(AR402)))</f>
        <v>0</v>
      </c>
      <c r="AR403" s="15" t="n">
        <f aca="false">(AR402)+X403-AQ403</f>
        <v>0</v>
      </c>
      <c r="AS403" s="15" t="n">
        <f aca="false">Motore_Operativo!AB403-AT403+AU403</f>
        <v>91649.4297604167</v>
      </c>
      <c r="AT403" s="15" t="n">
        <f aca="false">Motore_Operativo!CH403</f>
        <v>4823.65419791667</v>
      </c>
      <c r="AU403" s="15" t="n">
        <f aca="false">MIN(MAX(0,(AV402)+AT403),Parametri_v3!$C$60/12)</f>
        <v>0</v>
      </c>
      <c r="AV403" s="15" t="n">
        <f aca="false">(AV402)+AT403-AU403</f>
        <v>93642.66259375</v>
      </c>
      <c r="AW403" s="15" t="n">
        <f aca="false">IF(AND(Motore_Operativo!C403=Finanziamenti!$D$6,Finanziamenti!$F$6=1),Finanziamenti!$C$6,0)</f>
        <v>0</v>
      </c>
      <c r="AX403" s="15" t="n">
        <f aca="false">IF(AND(7&lt;&gt;7,7&lt;&gt;9,Finanziamenti!$F$8=1,OR(Parametri_v3!$C$6=0,Finanziamenti!$E$8=1),Motore_Operativo!C403=EDATE(Finanziamenti!$D$8,Ipotesi!I15*12)),Finanziamenti!$C$8*1,0)+IF(AND(7&lt;&gt;7,7&lt;&gt;9,Finanziamenti!$F$9=1,OR(Parametri_v3!$C$6=0,Finanziamenti!$E$9=1),Motore_Operativo!C403=EDATE(Finanziamenti!$D$9,Ipotesi!I15*12)),Finanziamenti!$C$9*Ipotesi!I16,0)</f>
        <v>0</v>
      </c>
      <c r="AY403" s="15" t="n">
        <f aca="false">0</f>
        <v>0</v>
      </c>
      <c r="AZ403" s="15" t="n">
        <f aca="false">Motore_Advisory!AY403*(1-Ipotesi!$C$95)*Ipotesi!$C$96</f>
        <v>0</v>
      </c>
      <c r="BA403" s="15" t="n">
        <f aca="false">MAX(0,MIN(CG403*MIN(1,IF(Motore_Operativo!C403&gt;=EDATE(Finanziamenti!$D$15,Ipotesi!I14*12),Finanziamenti!$C$15,0)+IF(Motore_Operativo!C403&gt;=EDATE(Finanziamenti!$D$16,Ipotesi!I14*12),Finanziamenti!$C$16,0)+IF(Motore_Operativo!C403&gt;=EDATE(Finanziamenti!$D$17,Ipotesi!I14*12),Finanziamenti!$C$17,0)),CA403*Ipotesi!$C$102)-(CC402))</f>
        <v>0</v>
      </c>
      <c r="BB403" s="15" t="n">
        <f aca="false">IF(AND(CF403&gt;0,Motore_Operativo!C403&gt;=IF(CF403=0,0,EDATE(CF403,Parametri_v3!$C$37)),MOD(((D403-YEAR(IF(CF403=0,0,EDATE(CF403,Parametri_v3!$C$37))))*12+E403-MONTH(IF(CF403=0,0,EDATE(CF403,Parametri_v3!$C$37)))),Parametri_v3!$C$38)=0),MIN(MAX(0,(BC402)+BA403-N403),(CC403-CD403)/(Ipotesi!$C$108*12/Parametri_v3!$C$38)),0)</f>
        <v>0</v>
      </c>
      <c r="BC403" s="15" t="n">
        <f aca="false">(BC402)+BA403-N403-BB403</f>
        <v>265392.996883967</v>
      </c>
      <c r="BD403" s="15" t="n">
        <f aca="false">(BH402)+AC403+AF403-AI403-AS403-K403*(1+Parametri_v3!$C$26)-AL403-AQ403-O403+AW403+AX403+AZ403+BA403-BB403</f>
        <v>-798271.401031212</v>
      </c>
      <c r="BE403" s="15" t="n">
        <f aca="false">MAX(0,MIN(MAX(0,CH403-(BG402)),Parametri_v3!$C$30-BD403))</f>
        <v>0</v>
      </c>
      <c r="BF403" s="15" t="n">
        <f aca="false">IF(Motore_Operativo!C403&gt;=Parametri_v3!$C$63,(BG402),MIN((BG402),MAX(0,BD403-Parametri_v3!$C$30)))</f>
        <v>0</v>
      </c>
      <c r="BG403" s="15" t="n">
        <f aca="false">(BG402)+BE403-BF403</f>
        <v>150000</v>
      </c>
      <c r="BH403" s="15" t="n">
        <f aca="false">BD403+BE403-BF403-AY403</f>
        <v>-798271.401031212</v>
      </c>
      <c r="BI403" s="15" t="n">
        <f aca="false">MAX(0,Parametri_v3!$C$30-BH403)</f>
        <v>823271.401031212</v>
      </c>
      <c r="BJ403" s="15" t="n">
        <f aca="false">(BJ402)+K403</f>
        <v>85000</v>
      </c>
      <c r="BK403" s="15" t="n">
        <f aca="false">(BK402)+L403</f>
        <v>41736.1111111111</v>
      </c>
      <c r="BL403" s="15" t="n">
        <f aca="false">BJ403-BK403</f>
        <v>43263.8888888889</v>
      </c>
      <c r="BM403" s="15" t="n">
        <f aca="false">(BM402)+Y403</f>
        <v>-1127869.32920463</v>
      </c>
      <c r="BN403" s="15" t="n">
        <f aca="false">(BN402)+AW403+AX403+AZ403</f>
        <v>130000</v>
      </c>
      <c r="BO403" s="15" t="n">
        <f aca="false">(BO402)+AY403</f>
        <v>0</v>
      </c>
      <c r="BP403" s="15" t="n">
        <f aca="false">0</f>
        <v>0</v>
      </c>
      <c r="BQ403" s="15" t="n">
        <f aca="false">BN403+BM403-BO403</f>
        <v>-997869.329204626</v>
      </c>
      <c r="BR403" s="15" t="n">
        <f aca="false">BH403+AD403+BL403+MAX(0,-AM403)+MAX(0,-AR403)+AG403</f>
        <v>-333438.795058958</v>
      </c>
      <c r="BS403" s="15" t="n">
        <f aca="false">AJ403+AV403+MAX(0,AM403)+MAX(0,AR403)+BC403+BG403+BQ403</f>
        <v>-333438.795058957</v>
      </c>
      <c r="BT403" s="15" t="n">
        <f aca="false">BR403-BS403</f>
        <v>0</v>
      </c>
      <c r="BU403" s="15" t="n">
        <f aca="false">BH403-(BD403+BE403-BF403-AY403)</f>
        <v>0</v>
      </c>
      <c r="BV403" s="15" t="n">
        <f aca="false">MIN(Piano_SS!$C$6,(BV402)+IF(AND(Motore_Operativo!C403&gt;=EDATE(Parametri_v3!$C$24,Ipotesi!I14*12),Motore_Operativo!C403&lt;EDATE(Parametri_v3!$C$24,Parametri_v3!$C$25+Ipotesi!I14*12)),MAX(0,(Motore_Operativo!Y403+Motore_Operativo!X403*Parametri_v3!$C$14)*(1-Parametri_v3!$C$32))*Piano_SS!$D$6,0))</f>
        <v>300000</v>
      </c>
      <c r="BW403" s="15" t="n">
        <f aca="false">MIN(Piano_SS!$C$7,(BW402)+IF(AND(Motore_Operativo!C403&gt;=EDATE(Parametri_v3!$C$24,Ipotesi!I14*12),Motore_Operativo!C403&lt;EDATE(Parametri_v3!$C$24,Parametri_v3!$C$25+Ipotesi!I14*12)),MAX(0,(IF(39-(INT((Ipotesi!$C$91)/30))&lt;1,0,INDEX(Motore_Operativo!$BN$365:$BN$424,MAX(1,39-(INT((Ipotesi!$C$91)/30)))))*(1-(MOD((Ipotesi!$C$91),30)/30))+IF(39-(INT((Ipotesi!$C$91)/30))-1&lt;1,0,INDEX(Motore_Operativo!$BN$365:$BN$424,MAX(1,39-(INT((Ipotesi!$C$91)/30))-1)))*(MOD((Ipotesi!$C$91),30)/30)))*Piano_SS!$D$7,0))</f>
        <v>41058.9230070837</v>
      </c>
      <c r="BX403" s="15" t="n">
        <f aca="false">MIN(Piano_SS!$C$8,(BX402)+IF(AND(Motore_Operativo!C403&gt;=EDATE(Parametri_v3!$C$24,Ipotesi!I14*12),Motore_Operativo!C403&lt;EDATE(Parametri_v3!$C$24,Parametri_v3!$C$25+Ipotesi!I14*12)),MAX(0,Motore_Operativo!CE403)*Piano_SS!$D$8,0))</f>
        <v>50000</v>
      </c>
      <c r="BY403" s="15" t="n">
        <f aca="false">MIN(Piano_SS!$C$9,(BY402)+IF(AND(Motore_Operativo!C403&gt;=EDATE(Parametri_v3!$C$24,Ipotesi!I14*12),Motore_Operativo!C403&lt;EDATE(Parametri_v3!$C$24,Parametri_v3!$C$25+Ipotesi!I14*12)),MAX(0,((IF(39-(INT((Ipotesi!$C$91)/30))&lt;1,0,INDEX(Motore_Operativo!$BQ$365:$BQ$424,MAX(1,39-(INT((Ipotesi!$C$91)/30)))))*(1-(MOD((Ipotesi!$C$91),30)/30))+IF(39-(INT((Ipotesi!$C$91)/30))-1&lt;1,0,INDEX(Motore_Operativo!$BQ$365:$BQ$424,MAX(1,39-(INT((Ipotesi!$C$91)/30))-1)))*(MOD((Ipotesi!$C$91),30)/30))+(IF(39-(INT((Ipotesi!$C$91)/30))&lt;1,0,INDEX(Motore_Operativo!$BR$365:$BR$424,MAX(1,39-(INT((Ipotesi!$C$91)/30)))))*(1-(MOD((Ipotesi!$C$91),30)/30))+IF(39-(INT((Ipotesi!$C$91)/30))-1&lt;1,0,INDEX(Motore_Operativo!$BR$365:$BR$424,MAX(1,39-(INT((Ipotesi!$C$91)/30))-1)))*(MOD((Ipotesi!$C$91),30)/30))))*Piano_SS!$D$9,0))</f>
        <v>40000</v>
      </c>
      <c r="BZ403" s="15" t="n">
        <f aca="false">MIN(Piano_SS!$C$10,(BZ402)+IF(AND(Motore_Operativo!C403&gt;=EDATE(Parametri_v3!$C$24,Ipotesi!I14*12),Motore_Operativo!C403&lt;EDATE(Parametri_v3!$C$24,Parametri_v3!$C$25+Ipotesi!I14*12)),MAX(0,(IF(39-(INT((Ipotesi!$C$91)/30))&lt;1,0,INDEX(Motore_Operativo!$BO$365:$BO$424,MAX(1,39-(INT((Ipotesi!$C$91)/30)))))*(1-(MOD((Ipotesi!$C$91),30)/30))+IF(39-(INT((Ipotesi!$C$91)/30))-1&lt;1,0,INDEX(Motore_Operativo!$BO$365:$BO$424,MAX(1,39-(INT((Ipotesi!$C$91)/30))-1)))*(MOD((Ipotesi!$C$91),30)/30)))*Piano_SS!$D$10,0))</f>
        <v>30000</v>
      </c>
      <c r="CA403" s="15" t="n">
        <f aca="false">SUM(BV403:BZ403)</f>
        <v>461058.923007084</v>
      </c>
      <c r="CB403" s="15" t="n">
        <f aca="false">BV403*(1-Piano_SS!$E$6)+BW403*(1-Piano_SS!$E$7)+BX403*(1-Piano_SS!$E$8)+BY403*(1-Piano_SS!$E$9)+BZ403*(1-Piano_SS!$E$10)</f>
        <v>431058.923007084</v>
      </c>
      <c r="CC403" s="15" t="n">
        <f aca="false">(CC402)+BA403</f>
        <v>368847.138405667</v>
      </c>
      <c r="CD403" s="15" t="n">
        <f aca="false">IF(CA403=0,0,CC403*CB403/CA403*Ipotesi!$C$103*Parametri_v3!$C$64)</f>
        <v>103454.1415217</v>
      </c>
      <c r="CE403" s="18" t="n">
        <f aca="false">IF(BA403&gt;0,Motore_Operativo!C403,(CE402))</f>
        <v>47270</v>
      </c>
      <c r="CF403" s="18" t="n">
        <f aca="false">IF(AND(CC403&gt;0,OR(CC403&gt;=CG403-0.01,Motore_Operativo!C403&gt;=EDATE(MAX(Finanziamenti!$D$15:$D$17),Ipotesi!I14*12))),CE403,0)</f>
        <v>47270</v>
      </c>
      <c r="CG403" s="15" t="n">
        <f aca="false">IF(AND(7&lt;&gt;6,7&lt;&gt;9,Finanziamenti!$F$11=1,OR(Parametri_v3!$C$6=0,Finanziamenti!$E$11=1)),MIN(Finanziamenti!$C$11,Piano_SS!$C$12*Ipotesi!$C$102),0)</f>
        <v>400000</v>
      </c>
      <c r="CH403" s="15" t="n">
        <f aca="false">IF(AND(AND(7&lt;&gt;8,7&lt;&gt;9,Finanziamenti!$F$10=1,OR(Parametri_v3!$C$6=0,Finanziamenti!$E$10=1)),Motore_Operativo!C403&gt;=Finanziamenti!$D$10,Motore_Operativo!C403&lt;Parametri_v3!$C$63),Finanziamenti!$C$10,0)</f>
        <v>150000</v>
      </c>
    </row>
    <row r="404" customFormat="false" ht="18" hidden="false" customHeight="true" outlineLevel="0" collapsed="false">
      <c r="A404" s="68" t="n">
        <f aca="false">7</f>
        <v>7</v>
      </c>
      <c r="B404" s="68" t="n">
        <f aca="false">40</f>
        <v>40</v>
      </c>
      <c r="C404" s="18" t="n">
        <f aca="false">Motore_Operativo!C404</f>
        <v>47574</v>
      </c>
      <c r="D404" s="68" t="n">
        <f aca="false">Motore_Operativo!D404</f>
        <v>2030</v>
      </c>
      <c r="E404" s="68" t="n">
        <f aca="false">Motore_Operativo!E404</f>
        <v>4</v>
      </c>
      <c r="F404" s="15" t="n">
        <f aca="false">Motore_Operativo!AQ404+Motore_Operativo!BF404</f>
        <v>116985.966626</v>
      </c>
      <c r="G404" s="15" t="n">
        <f aca="false">Motore_Operativo!BH404</f>
        <v>9024.16666666667</v>
      </c>
      <c r="H404" s="15" t="n">
        <f aca="false">Motore_Operativo!BI404</f>
        <v>126010.133292667</v>
      </c>
      <c r="I404" s="15" t="n">
        <f aca="false">Motore_Operativo!CA404</f>
        <v>155983.51095264</v>
      </c>
      <c r="J404" s="15" t="n">
        <f aca="false">Motore_Operativo!CC404</f>
        <v>-29973.3776599733</v>
      </c>
      <c r="K404" s="15" t="n">
        <f aca="false">Motore_Operativo!CE404</f>
        <v>3333.33333333333</v>
      </c>
      <c r="L404" s="15" t="n">
        <f aca="false">SUM(INDEX($K$365:$K$424,MAX(1,40-Parametri_v3!$C$59+1)):K404)/Parametri_v3!$C$59</f>
        <v>2268.51851851852</v>
      </c>
      <c r="M404" s="15" t="n">
        <f aca="false">J404-L404</f>
        <v>-32241.8961784918</v>
      </c>
      <c r="N404" s="15" t="n">
        <f aca="false">CD404-(CD403)</f>
        <v>0</v>
      </c>
      <c r="O404" s="15" t="n">
        <f aca="false">(BG403)*Ipotesi!$C$110/12+CH404*Parametri_v3!$C$39/12</f>
        <v>750</v>
      </c>
      <c r="P404" s="15" t="n">
        <f aca="false">M404+N404-O404</f>
        <v>-32991.8961784918</v>
      </c>
      <c r="Q404" s="15" t="n">
        <f aca="false">SUM(P401:P404)+Parametri_v3!$C$54*4/12</f>
        <v>-144102.993433706</v>
      </c>
      <c r="R404" s="15" t="n">
        <f aca="false">Z400</f>
        <v>1016758.23194941</v>
      </c>
      <c r="S404" s="15" t="n">
        <f aca="false">AA400</f>
        <v>0</v>
      </c>
      <c r="T404" s="15" t="n">
        <f aca="false">MIN(R404,MAX(0,Q404))</f>
        <v>0</v>
      </c>
      <c r="U404" s="15" t="n">
        <f aca="false">MIN(S404,MAX(0,Q404-T404)*Parametri_v3!$C$42)</f>
        <v>0</v>
      </c>
      <c r="V404" s="15" t="n">
        <f aca="false">MAX(0,Q404-T404-U404)*Ipotesi!$C$92</f>
        <v>0</v>
      </c>
      <c r="W404" s="15" t="n">
        <f aca="false">MAX(0,SUM(M401:M404)+Parametri_v3!$C$55*4/12)*Ipotesi!$C$93</f>
        <v>0</v>
      </c>
      <c r="X404" s="15" t="n">
        <f aca="false">V404+W404-(V403+W403)</f>
        <v>0</v>
      </c>
      <c r="Y404" s="15" t="n">
        <f aca="false">P404-X404</f>
        <v>-32991.8961784918</v>
      </c>
      <c r="Z404" s="15" t="n">
        <f aca="false">R404-T404+IF(AND(Parametri_v3!$C$40=1,D404-YEAR(Parametri_v3!$C$50)&lt;Parametri_v3!$C$41),MAX(0,-Q404),0)</f>
        <v>1016758.23194941</v>
      </c>
      <c r="AA404" s="15" t="n">
        <f aca="false">S404-U404+IF(AND(Parametri_v3!$C$40=1,D404-YEAR(Parametri_v3!$C$50)&lt;Parametri_v3!$C$41),0,MAX(0,-Q404))</f>
        <v>144102.993433706</v>
      </c>
      <c r="AB404" s="15" t="n">
        <f aca="false">F404*(1+Parametri_v3!$C$26)</f>
        <v>142722.87928372</v>
      </c>
      <c r="AC404" s="15" t="n">
        <f aca="false">(IF(40-(INT((Motore_Operativo!L404)/30))&lt;1,0,INDEX(Motore_Startup!$AB$365:$AB$424,MAX(1,40-(INT((Motore_Operativo!L404)/30)))))*(1-(MOD((Motore_Operativo!L404),30)/30))+IF(40-(INT((Motore_Operativo!L404)/30))-1&lt;1,0,INDEX(Motore_Startup!$AB$365:$AB$424,MAX(1,40-(INT((Motore_Operativo!L404)/30))-1)))*(MOD((Motore_Operativo!L404),30)/30))</f>
        <v>134177.436481054</v>
      </c>
      <c r="AD404" s="15" t="n">
        <f aca="false">(AD403)+AB404-AC404</f>
        <v>419104.676552697</v>
      </c>
      <c r="AE404" s="15" t="n">
        <f aca="false">Motore_Operativo!BH404*(1+Parametri_v3!$C$26)</f>
        <v>11009.4833333333</v>
      </c>
      <c r="AF404" s="15" t="n">
        <f aca="false">(IF(40-(INT((Parametri_v3!$C$29)/30))&lt;1,0,INDEX(Motore_Operativo!$BH$365:$BH$424,MAX(1,40-(INT((Parametri_v3!$C$29)/30)))))*(1-(MOD((Parametri_v3!$C$29),30)/30))+IF(40-(INT((Parametri_v3!$C$29)/30))-1&lt;1,0,INDEX(Motore_Operativo!$BH$365:$BH$424,MAX(1,40-(INT((Parametri_v3!$C$29)/30))-1)))*(MOD((Parametri_v3!$C$29),30)/30))*(1+Parametri_v3!$C$26)</f>
        <v>11009.4833333333</v>
      </c>
      <c r="AG404" s="15" t="n">
        <f aca="false">(AG403)+AE404-AF404</f>
        <v>11009.4833333333</v>
      </c>
      <c r="AH404" s="15" t="n">
        <f aca="false">(Motore_Operativo!CJ404)*(1+Parametri_v3!$C$27*Parametri_v3!$C$26)</f>
        <v>70638.876842242</v>
      </c>
      <c r="AI404" s="15" t="n">
        <f aca="false">(IF(40-(INT((Ipotesi!$C$91)/30))&lt;1,0,INDEX(Motore_Startup!$AH$365:$AH$424,MAX(1,40-(INT((Ipotesi!$C$91)/30)))))*(1-(MOD((Ipotesi!$C$91),30)/30))+IF(40-(INT((Ipotesi!$C$91)/30))-1&lt;1,0,INDEX(Motore_Startup!$AH$365:$AH$424,MAX(1,40-(INT((Ipotesi!$C$91)/30))-1)))*(MOD((Ipotesi!$C$91),30)/30))</f>
        <v>69840.3980003269</v>
      </c>
      <c r="AJ404" s="15" t="n">
        <f aca="false">(AJ403)+AH404-AI404</f>
        <v>140841.602125925</v>
      </c>
      <c r="AK404" s="15" t="n">
        <f aca="false">(F404+ Motore_Operativo!BH404-(Motore_Operativo!CJ404)*Parametri_v3!$C$27-Motore_Operativo!CE404)*Parametri_v3!$C$26</f>
        <v>15860.446143118</v>
      </c>
      <c r="AL404" s="15" t="n">
        <f aca="false">MAX(0,(AM403))</f>
        <v>15351.7513839417</v>
      </c>
      <c r="AM404" s="15" t="n">
        <f aca="false">(AM403)+AK404-AL404</f>
        <v>15860.446143118</v>
      </c>
      <c r="AN404" s="15" t="n">
        <f aca="false">SUM(X389:X400)</f>
        <v>0</v>
      </c>
      <c r="AO404" s="15" t="n">
        <f aca="false">SUM(AP389:AP400)</f>
        <v>0</v>
      </c>
      <c r="AP404" s="15" t="n">
        <f aca="false">MAX(0,AN404)*IF(4=Parametri_v3!$C$43,Parametri_v3!$C$45,IF(4=Parametri_v3!$C$44,1-Parametri_v3!$C$45,0))</f>
        <v>0</v>
      </c>
      <c r="AQ404" s="15" t="n">
        <f aca="false">MAX(0,AP404+IF(4=Parametri_v3!$C$43,MAX(0,AN404-AO404),0)-MAX(0,-(AR403)))</f>
        <v>0</v>
      </c>
      <c r="AR404" s="15" t="n">
        <f aca="false">(AR403)+X404-AQ404</f>
        <v>0</v>
      </c>
      <c r="AS404" s="15" t="n">
        <f aca="false">Motore_Operativo!AB404-AT404+AU404</f>
        <v>91649.4297604167</v>
      </c>
      <c r="AT404" s="15" t="n">
        <f aca="false">Motore_Operativo!CH404</f>
        <v>4823.65419791667</v>
      </c>
      <c r="AU404" s="15" t="n">
        <f aca="false">MIN(MAX(0,(AV403)+AT404),Parametri_v3!$C$60/12)</f>
        <v>0</v>
      </c>
      <c r="AV404" s="15" t="n">
        <f aca="false">(AV403)+AT404-AU404</f>
        <v>98466.3167916667</v>
      </c>
      <c r="AW404" s="15" t="n">
        <f aca="false">IF(AND(Motore_Operativo!C404=Finanziamenti!$D$6,Finanziamenti!$F$6=1),Finanziamenti!$C$6,0)</f>
        <v>0</v>
      </c>
      <c r="AX404" s="15" t="n">
        <f aca="false">IF(AND(7&lt;&gt;7,7&lt;&gt;9,Finanziamenti!$F$8=1,OR(Parametri_v3!$C$6=0,Finanziamenti!$E$8=1),Motore_Operativo!C404=EDATE(Finanziamenti!$D$8,Ipotesi!I15*12)),Finanziamenti!$C$8*1,0)+IF(AND(7&lt;&gt;7,7&lt;&gt;9,Finanziamenti!$F$9=1,OR(Parametri_v3!$C$6=0,Finanziamenti!$E$9=1),Motore_Operativo!C404=EDATE(Finanziamenti!$D$9,Ipotesi!I15*12)),Finanziamenti!$C$9*Ipotesi!I16,0)</f>
        <v>0</v>
      </c>
      <c r="AY404" s="15" t="n">
        <f aca="false">0</f>
        <v>0</v>
      </c>
      <c r="AZ404" s="15" t="n">
        <f aca="false">Motore_Advisory!AY404*(1-Ipotesi!$C$95)*Ipotesi!$C$96</f>
        <v>0</v>
      </c>
      <c r="BA404" s="15" t="n">
        <f aca="false">MAX(0,MIN(CG404*MIN(1,IF(Motore_Operativo!C404&gt;=EDATE(Finanziamenti!$D$15,Ipotesi!I14*12),Finanziamenti!$C$15,0)+IF(Motore_Operativo!C404&gt;=EDATE(Finanziamenti!$D$16,Ipotesi!I14*12),Finanziamenti!$C$16,0)+IF(Motore_Operativo!C404&gt;=EDATE(Finanziamenti!$D$17,Ipotesi!I14*12),Finanziamenti!$C$17,0)),CA404*Ipotesi!$C$102)-(CC403))</f>
        <v>0</v>
      </c>
      <c r="BB404" s="15" t="n">
        <f aca="false">IF(AND(CF404&gt;0,Motore_Operativo!C404&gt;=IF(CF404=0,0,EDATE(CF404,Parametri_v3!$C$37)),MOD(((D404-YEAR(IF(CF404=0,0,EDATE(CF404,Parametri_v3!$C$37))))*12+E404-MONTH(IF(CF404=0,0,EDATE(CF404,Parametri_v3!$C$37)))),Parametri_v3!$C$38)=0),MIN(MAX(0,(BC403)+BA404-N404),(CC404-CD404)/(Ipotesi!$C$108*12/Parametri_v3!$C$38)),0)</f>
        <v>0</v>
      </c>
      <c r="BC404" s="15" t="n">
        <f aca="false">(BC403)+BA404-N404-BB404</f>
        <v>265392.996883967</v>
      </c>
      <c r="BD404" s="15" t="n">
        <f aca="false">(BH403)+AC404+AF404-AI404-AS404-K404*(1+Parametri_v3!$C$26)-AL404-AQ404-O404+AW404+AX404+AZ404+BA404-BB404</f>
        <v>-834742.727028176</v>
      </c>
      <c r="BE404" s="15" t="n">
        <f aca="false">MAX(0,MIN(MAX(0,CH404-(BG403)),Parametri_v3!$C$30-BD404))</f>
        <v>0</v>
      </c>
      <c r="BF404" s="15" t="n">
        <f aca="false">IF(Motore_Operativo!C404&gt;=Parametri_v3!$C$63,(BG403),MIN((BG403),MAX(0,BD404-Parametri_v3!$C$30)))</f>
        <v>0</v>
      </c>
      <c r="BG404" s="15" t="n">
        <f aca="false">(BG403)+BE404-BF404</f>
        <v>150000</v>
      </c>
      <c r="BH404" s="15" t="n">
        <f aca="false">BD404+BE404-BF404-AY404</f>
        <v>-834742.727028176</v>
      </c>
      <c r="BI404" s="15" t="n">
        <f aca="false">MAX(0,Parametri_v3!$C$30-BH404)</f>
        <v>859742.727028176</v>
      </c>
      <c r="BJ404" s="15" t="n">
        <f aca="false">(BJ403)+K404</f>
        <v>88333.3333333333</v>
      </c>
      <c r="BK404" s="15" t="n">
        <f aca="false">(BK403)+L404</f>
        <v>44004.6296296296</v>
      </c>
      <c r="BL404" s="15" t="n">
        <f aca="false">BJ404-BK404</f>
        <v>44328.7037037037</v>
      </c>
      <c r="BM404" s="15" t="n">
        <f aca="false">(BM403)+Y404</f>
        <v>-1160861.22538312</v>
      </c>
      <c r="BN404" s="15" t="n">
        <f aca="false">(BN403)+AW404+AX404+AZ404</f>
        <v>130000</v>
      </c>
      <c r="BO404" s="15" t="n">
        <f aca="false">(BO403)+AY404</f>
        <v>0</v>
      </c>
      <c r="BP404" s="15" t="n">
        <f aca="false">0</f>
        <v>0</v>
      </c>
      <c r="BQ404" s="15" t="n">
        <f aca="false">BN404+BM404-BO404</f>
        <v>-1030861.22538312</v>
      </c>
      <c r="BR404" s="15" t="n">
        <f aca="false">BH404+AD404+BL404+MAX(0,-AM404)+MAX(0,-AR404)+AG404</f>
        <v>-360299.863438441</v>
      </c>
      <c r="BS404" s="15" t="n">
        <f aca="false">AJ404+AV404+MAX(0,AM404)+MAX(0,AR404)+BC404+BG404+BQ404</f>
        <v>-360299.863438441</v>
      </c>
      <c r="BT404" s="15" t="n">
        <f aca="false">BR404-BS404</f>
        <v>0</v>
      </c>
      <c r="BU404" s="15" t="n">
        <f aca="false">BH404-(BD404+BE404-BF404-AY404)</f>
        <v>0</v>
      </c>
      <c r="BV404" s="15" t="n">
        <f aca="false">MIN(Piano_SS!$C$6,(BV403)+IF(AND(Motore_Operativo!C404&gt;=EDATE(Parametri_v3!$C$24,Ipotesi!I14*12),Motore_Operativo!C404&lt;EDATE(Parametri_v3!$C$24,Parametri_v3!$C$25+Ipotesi!I14*12)),MAX(0,(Motore_Operativo!Y404+Motore_Operativo!X404*Parametri_v3!$C$14)*(1-Parametri_v3!$C$32))*Piano_SS!$D$6,0))</f>
        <v>300000</v>
      </c>
      <c r="BW404" s="15" t="n">
        <f aca="false">MIN(Piano_SS!$C$7,(BW403)+IF(AND(Motore_Operativo!C404&gt;=EDATE(Parametri_v3!$C$24,Ipotesi!I14*12),Motore_Operativo!C404&lt;EDATE(Parametri_v3!$C$24,Parametri_v3!$C$25+Ipotesi!I14*12)),MAX(0,(IF(40-(INT((Ipotesi!$C$91)/30))&lt;1,0,INDEX(Motore_Operativo!$BN$365:$BN$424,MAX(1,40-(INT((Ipotesi!$C$91)/30)))))*(1-(MOD((Ipotesi!$C$91),30)/30))+IF(40-(INT((Ipotesi!$C$91)/30))-1&lt;1,0,INDEX(Motore_Operativo!$BN$365:$BN$424,MAX(1,40-(INT((Ipotesi!$C$91)/30))-1)))*(MOD((Ipotesi!$C$91),30)/30)))*Piano_SS!$D$7,0))</f>
        <v>41058.9230070837</v>
      </c>
      <c r="BX404" s="15" t="n">
        <f aca="false">MIN(Piano_SS!$C$8,(BX403)+IF(AND(Motore_Operativo!C404&gt;=EDATE(Parametri_v3!$C$24,Ipotesi!I14*12),Motore_Operativo!C404&lt;EDATE(Parametri_v3!$C$24,Parametri_v3!$C$25+Ipotesi!I14*12)),MAX(0,Motore_Operativo!CE404)*Piano_SS!$D$8,0))</f>
        <v>50000</v>
      </c>
      <c r="BY404" s="15" t="n">
        <f aca="false">MIN(Piano_SS!$C$9,(BY403)+IF(AND(Motore_Operativo!C404&gt;=EDATE(Parametri_v3!$C$24,Ipotesi!I14*12),Motore_Operativo!C404&lt;EDATE(Parametri_v3!$C$24,Parametri_v3!$C$25+Ipotesi!I14*12)),MAX(0,((IF(40-(INT((Ipotesi!$C$91)/30))&lt;1,0,INDEX(Motore_Operativo!$BQ$365:$BQ$424,MAX(1,40-(INT((Ipotesi!$C$91)/30)))))*(1-(MOD((Ipotesi!$C$91),30)/30))+IF(40-(INT((Ipotesi!$C$91)/30))-1&lt;1,0,INDEX(Motore_Operativo!$BQ$365:$BQ$424,MAX(1,40-(INT((Ipotesi!$C$91)/30))-1)))*(MOD((Ipotesi!$C$91),30)/30))+(IF(40-(INT((Ipotesi!$C$91)/30))&lt;1,0,INDEX(Motore_Operativo!$BR$365:$BR$424,MAX(1,40-(INT((Ipotesi!$C$91)/30)))))*(1-(MOD((Ipotesi!$C$91),30)/30))+IF(40-(INT((Ipotesi!$C$91)/30))-1&lt;1,0,INDEX(Motore_Operativo!$BR$365:$BR$424,MAX(1,40-(INT((Ipotesi!$C$91)/30))-1)))*(MOD((Ipotesi!$C$91),30)/30))))*Piano_SS!$D$9,0))</f>
        <v>40000</v>
      </c>
      <c r="BZ404" s="15" t="n">
        <f aca="false">MIN(Piano_SS!$C$10,(BZ403)+IF(AND(Motore_Operativo!C404&gt;=EDATE(Parametri_v3!$C$24,Ipotesi!I14*12),Motore_Operativo!C404&lt;EDATE(Parametri_v3!$C$24,Parametri_v3!$C$25+Ipotesi!I14*12)),MAX(0,(IF(40-(INT((Ipotesi!$C$91)/30))&lt;1,0,INDEX(Motore_Operativo!$BO$365:$BO$424,MAX(1,40-(INT((Ipotesi!$C$91)/30)))))*(1-(MOD((Ipotesi!$C$91),30)/30))+IF(40-(INT((Ipotesi!$C$91)/30))-1&lt;1,0,INDEX(Motore_Operativo!$BO$365:$BO$424,MAX(1,40-(INT((Ipotesi!$C$91)/30))-1)))*(MOD((Ipotesi!$C$91),30)/30)))*Piano_SS!$D$10,0))</f>
        <v>30000</v>
      </c>
      <c r="CA404" s="15" t="n">
        <f aca="false">SUM(BV404:BZ404)</f>
        <v>461058.923007084</v>
      </c>
      <c r="CB404" s="15" t="n">
        <f aca="false">BV404*(1-Piano_SS!$E$6)+BW404*(1-Piano_SS!$E$7)+BX404*(1-Piano_SS!$E$8)+BY404*(1-Piano_SS!$E$9)+BZ404*(1-Piano_SS!$E$10)</f>
        <v>431058.923007084</v>
      </c>
      <c r="CC404" s="15" t="n">
        <f aca="false">(CC403)+BA404</f>
        <v>368847.138405667</v>
      </c>
      <c r="CD404" s="15" t="n">
        <f aca="false">IF(CA404=0,0,CC404*CB404/CA404*Ipotesi!$C$103*Parametri_v3!$C$64)</f>
        <v>103454.1415217</v>
      </c>
      <c r="CE404" s="18" t="n">
        <f aca="false">IF(BA404&gt;0,Motore_Operativo!C404,(CE403))</f>
        <v>47270</v>
      </c>
      <c r="CF404" s="18" t="n">
        <f aca="false">IF(AND(CC404&gt;0,OR(CC404&gt;=CG404-0.01,Motore_Operativo!C404&gt;=EDATE(MAX(Finanziamenti!$D$15:$D$17),Ipotesi!I14*12))),CE404,0)</f>
        <v>47270</v>
      </c>
      <c r="CG404" s="15" t="n">
        <f aca="false">IF(AND(7&lt;&gt;6,7&lt;&gt;9,Finanziamenti!$F$11=1,OR(Parametri_v3!$C$6=0,Finanziamenti!$E$11=1)),MIN(Finanziamenti!$C$11,Piano_SS!$C$12*Ipotesi!$C$102),0)</f>
        <v>400000</v>
      </c>
      <c r="CH404" s="15" t="n">
        <f aca="false">IF(AND(AND(7&lt;&gt;8,7&lt;&gt;9,Finanziamenti!$F$10=1,OR(Parametri_v3!$C$6=0,Finanziamenti!$E$10=1)),Motore_Operativo!C404&gt;=Finanziamenti!$D$10,Motore_Operativo!C404&lt;Parametri_v3!$C$63),Finanziamenti!$C$10,0)</f>
        <v>150000</v>
      </c>
    </row>
    <row r="405" customFormat="false" ht="18" hidden="false" customHeight="true" outlineLevel="0" collapsed="false">
      <c r="A405" s="68" t="n">
        <f aca="false">7</f>
        <v>7</v>
      </c>
      <c r="B405" s="68" t="n">
        <f aca="false">41</f>
        <v>41</v>
      </c>
      <c r="C405" s="18" t="n">
        <f aca="false">Motore_Operativo!C405</f>
        <v>47604</v>
      </c>
      <c r="D405" s="68" t="n">
        <f aca="false">Motore_Operativo!D405</f>
        <v>2030</v>
      </c>
      <c r="E405" s="68" t="n">
        <f aca="false">Motore_Operativo!E405</f>
        <v>5</v>
      </c>
      <c r="F405" s="15" t="n">
        <f aca="false">Motore_Operativo!AQ405+Motore_Operativo!BF405</f>
        <v>120050.899173052</v>
      </c>
      <c r="G405" s="15" t="n">
        <f aca="false">Motore_Operativo!BH405</f>
        <v>9024.16666666667</v>
      </c>
      <c r="H405" s="15" t="n">
        <f aca="false">Motore_Operativo!BI405</f>
        <v>129075.065839719</v>
      </c>
      <c r="I405" s="15" t="n">
        <f aca="false">Motore_Operativo!CA405</f>
        <v>156412.601509227</v>
      </c>
      <c r="J405" s="15" t="n">
        <f aca="false">Motore_Operativo!CC405</f>
        <v>-27337.5356695087</v>
      </c>
      <c r="K405" s="15" t="n">
        <f aca="false">Motore_Operativo!CE405</f>
        <v>3333.33333333333</v>
      </c>
      <c r="L405" s="15" t="n">
        <f aca="false">SUM(INDEX($K$365:$K$424,MAX(1,41-Parametri_v3!$C$59+1)):K405)/Parametri_v3!$C$59</f>
        <v>2314.81481481482</v>
      </c>
      <c r="M405" s="15" t="n">
        <f aca="false">J405-L405</f>
        <v>-29652.3504843235</v>
      </c>
      <c r="N405" s="15" t="n">
        <f aca="false">CD405-(CD404)</f>
        <v>0</v>
      </c>
      <c r="O405" s="15" t="n">
        <f aca="false">(BG404)*Ipotesi!$C$110/12+CH405*Parametri_v3!$C$39/12</f>
        <v>750</v>
      </c>
      <c r="P405" s="15" t="n">
        <f aca="false">M405+N405-O405</f>
        <v>-30402.3504843235</v>
      </c>
      <c r="Q405" s="15" t="n">
        <f aca="false">SUM(P401:P405)+Parametri_v3!$C$54*5/12</f>
        <v>-174505.34391803</v>
      </c>
      <c r="R405" s="15" t="n">
        <f aca="false">Z400</f>
        <v>1016758.23194941</v>
      </c>
      <c r="S405" s="15" t="n">
        <f aca="false">AA400</f>
        <v>0</v>
      </c>
      <c r="T405" s="15" t="n">
        <f aca="false">MIN(R405,MAX(0,Q405))</f>
        <v>0</v>
      </c>
      <c r="U405" s="15" t="n">
        <f aca="false">MIN(S405,MAX(0,Q405-T405)*Parametri_v3!$C$42)</f>
        <v>0</v>
      </c>
      <c r="V405" s="15" t="n">
        <f aca="false">MAX(0,Q405-T405-U405)*Ipotesi!$C$92</f>
        <v>0</v>
      </c>
      <c r="W405" s="15" t="n">
        <f aca="false">MAX(0,SUM(M401:M405)+Parametri_v3!$C$55*5/12)*Ipotesi!$C$93</f>
        <v>0</v>
      </c>
      <c r="X405" s="15" t="n">
        <f aca="false">V405+W405-(V404+W404)</f>
        <v>0</v>
      </c>
      <c r="Y405" s="15" t="n">
        <f aca="false">P405-X405</f>
        <v>-30402.3504843235</v>
      </c>
      <c r="Z405" s="15" t="n">
        <f aca="false">R405-T405+IF(AND(Parametri_v3!$C$40=1,D405-YEAR(Parametri_v3!$C$50)&lt;Parametri_v3!$C$41),MAX(0,-Q405),0)</f>
        <v>1016758.23194941</v>
      </c>
      <c r="AA405" s="15" t="n">
        <f aca="false">S405-U405+IF(AND(Parametri_v3!$C$40=1,D405-YEAR(Parametri_v3!$C$50)&lt;Parametri_v3!$C$41),0,MAX(0,-Q405))</f>
        <v>174505.34391803</v>
      </c>
      <c r="AB405" s="15" t="n">
        <f aca="false">F405*(1+Parametri_v3!$C$26)</f>
        <v>146462.096991123</v>
      </c>
      <c r="AC405" s="15" t="n">
        <f aca="false">(IF(41-(INT((Motore_Operativo!L405)/30))&lt;1,0,INDEX(Motore_Startup!$AB$365:$AB$424,MAX(1,41-(INT((Motore_Operativo!L405)/30)))))*(1-(MOD((Motore_Operativo!L405),30)/30))+IF(41-(INT((Motore_Operativo!L405)/30))-1&lt;1,0,INDEX(Motore_Startup!$AB$365:$AB$424,MAX(1,41-(INT((Motore_Operativo!L405)/30))-1)))*(MOD((Motore_Operativo!L405),30)/30))</f>
        <v>136860.897173138</v>
      </c>
      <c r="AD405" s="15" t="n">
        <f aca="false">(AD404)+AB405-AC405</f>
        <v>428705.876370683</v>
      </c>
      <c r="AE405" s="15" t="n">
        <f aca="false">Motore_Operativo!BH405*(1+Parametri_v3!$C$26)</f>
        <v>11009.4833333333</v>
      </c>
      <c r="AF405" s="15" t="n">
        <f aca="false">(IF(41-(INT((Parametri_v3!$C$29)/30))&lt;1,0,INDEX(Motore_Operativo!$BH$365:$BH$424,MAX(1,41-(INT((Parametri_v3!$C$29)/30)))))*(1-(MOD((Parametri_v3!$C$29),30)/30))+IF(41-(INT((Parametri_v3!$C$29)/30))-1&lt;1,0,INDEX(Motore_Operativo!$BH$365:$BH$424,MAX(1,41-(INT((Parametri_v3!$C$29)/30))-1)))*(MOD((Parametri_v3!$C$29),30)/30))*(1+Parametri_v3!$C$26)</f>
        <v>11009.4833333333</v>
      </c>
      <c r="AG405" s="15" t="n">
        <f aca="false">(AG404)+AE405-AF405</f>
        <v>11009.4833333333</v>
      </c>
      <c r="AH405" s="15" t="n">
        <f aca="false">(Motore_Operativo!CJ405)*(1+Parametri_v3!$C$27*Parametri_v3!$C$26)</f>
        <v>71148.2073329111</v>
      </c>
      <c r="AI405" s="15" t="n">
        <f aca="false">(IF(41-(INT((Ipotesi!$C$91)/30))&lt;1,0,INDEX(Motore_Startup!$AH$365:$AH$424,MAX(1,41-(INT((Ipotesi!$C$91)/30)))))*(1-(MOD((Ipotesi!$C$91),30)/30))+IF(41-(INT((Ipotesi!$C$91)/30))-1&lt;1,0,INDEX(Motore_Startup!$AH$365:$AH$424,MAX(1,41-(INT((Ipotesi!$C$91)/30))-1)))*(MOD((Ipotesi!$C$91),30)/30))</f>
        <v>70202.725283683</v>
      </c>
      <c r="AJ405" s="15" t="n">
        <f aca="false">(AJ404)+AH405-AI405</f>
        <v>141787.084175153</v>
      </c>
      <c r="AK405" s="15" t="n">
        <f aca="false">(F405+ Motore_Operativo!BH405-(Motore_Operativo!CJ405)*Parametri_v3!$C$27-Motore_Operativo!CE405)*Parametri_v3!$C$26</f>
        <v>16454.4913693876</v>
      </c>
      <c r="AL405" s="15" t="n">
        <f aca="false">MAX(0,(AM404))</f>
        <v>15860.446143118</v>
      </c>
      <c r="AM405" s="15" t="n">
        <f aca="false">(AM404)+AK405-AL405</f>
        <v>16454.4913693876</v>
      </c>
      <c r="AN405" s="15" t="n">
        <f aca="false">SUM(X389:X400)</f>
        <v>0</v>
      </c>
      <c r="AO405" s="15" t="n">
        <f aca="false">SUM(AP389:AP400)</f>
        <v>0</v>
      </c>
      <c r="AP405" s="15" t="n">
        <f aca="false">MAX(0,AN405)*IF(5=Parametri_v3!$C$43,Parametri_v3!$C$45,IF(5=Parametri_v3!$C$44,1-Parametri_v3!$C$45,0))</f>
        <v>0</v>
      </c>
      <c r="AQ405" s="15" t="n">
        <f aca="false">MAX(0,AP405+IF(5=Parametri_v3!$C$43,MAX(0,AN405-AO405),0)-MAX(0,-(AR404)))</f>
        <v>0</v>
      </c>
      <c r="AR405" s="15" t="n">
        <f aca="false">(AR404)+X405-AQ405</f>
        <v>0</v>
      </c>
      <c r="AS405" s="15" t="n">
        <f aca="false">Motore_Operativo!AB405-AT405+AU405</f>
        <v>91649.4297604167</v>
      </c>
      <c r="AT405" s="15" t="n">
        <f aca="false">Motore_Operativo!CH405</f>
        <v>4823.65419791667</v>
      </c>
      <c r="AU405" s="15" t="n">
        <f aca="false">MIN(MAX(0,(AV404)+AT405),Parametri_v3!$C$60/12)</f>
        <v>0</v>
      </c>
      <c r="AV405" s="15" t="n">
        <f aca="false">(AV404)+AT405-AU405</f>
        <v>103289.970989583</v>
      </c>
      <c r="AW405" s="15" t="n">
        <f aca="false">IF(AND(Motore_Operativo!C405=Finanziamenti!$D$6,Finanziamenti!$F$6=1),Finanziamenti!$C$6,0)</f>
        <v>0</v>
      </c>
      <c r="AX405" s="15" t="n">
        <f aca="false">IF(AND(7&lt;&gt;7,7&lt;&gt;9,Finanziamenti!$F$8=1,OR(Parametri_v3!$C$6=0,Finanziamenti!$E$8=1),Motore_Operativo!C405=EDATE(Finanziamenti!$D$8,Ipotesi!I15*12)),Finanziamenti!$C$8*1,0)+IF(AND(7&lt;&gt;7,7&lt;&gt;9,Finanziamenti!$F$9=1,OR(Parametri_v3!$C$6=0,Finanziamenti!$E$9=1),Motore_Operativo!C405=EDATE(Finanziamenti!$D$9,Ipotesi!I15*12)),Finanziamenti!$C$9*Ipotesi!I16,0)</f>
        <v>0</v>
      </c>
      <c r="AY405" s="15" t="n">
        <f aca="false">0</f>
        <v>0</v>
      </c>
      <c r="AZ405" s="15" t="n">
        <f aca="false">Motore_Advisory!AY405*(1-Ipotesi!$C$95)*Ipotesi!$C$96</f>
        <v>0</v>
      </c>
      <c r="BA405" s="15" t="n">
        <f aca="false">MAX(0,MIN(CG405*MIN(1,IF(Motore_Operativo!C405&gt;=EDATE(Finanziamenti!$D$15,Ipotesi!I14*12),Finanziamenti!$C$15,0)+IF(Motore_Operativo!C405&gt;=EDATE(Finanziamenti!$D$16,Ipotesi!I14*12),Finanziamenti!$C$16,0)+IF(Motore_Operativo!C405&gt;=EDATE(Finanziamenti!$D$17,Ipotesi!I14*12),Finanziamenti!$C$17,0)),CA405*Ipotesi!$C$102)-(CC404))</f>
        <v>0</v>
      </c>
      <c r="BB405" s="15" t="n">
        <f aca="false">IF(AND(CF405&gt;0,Motore_Operativo!C405&gt;=IF(CF405=0,0,EDATE(CF405,Parametri_v3!$C$37)),MOD(((D405-YEAR(IF(CF405=0,0,EDATE(CF405,Parametri_v3!$C$37))))*12+E405-MONTH(IF(CF405=0,0,EDATE(CF405,Parametri_v3!$C$37)))),Parametri_v3!$C$38)=0),MIN(MAX(0,(BC404)+BA405-N405),(CC405-CD405)/(Ipotesi!$C$108*12/Parametri_v3!$C$38)),0)</f>
        <v>0</v>
      </c>
      <c r="BC405" s="15" t="n">
        <f aca="false">(BC404)+BA405-N405-BB405</f>
        <v>265392.996883967</v>
      </c>
      <c r="BD405" s="15" t="n">
        <f aca="false">(BH404)+AC405+AF405-AI405-AS405-K405*(1+Parametri_v3!$C$26)-AL405-AQ405-O405+AW405+AX405+AZ405+BA405-BB405</f>
        <v>-869401.614375589</v>
      </c>
      <c r="BE405" s="15" t="n">
        <f aca="false">MAX(0,MIN(MAX(0,CH405-(BG404)),Parametri_v3!$C$30-BD405))</f>
        <v>0</v>
      </c>
      <c r="BF405" s="15" t="n">
        <f aca="false">IF(Motore_Operativo!C405&gt;=Parametri_v3!$C$63,(BG404),MIN((BG404),MAX(0,BD405-Parametri_v3!$C$30)))</f>
        <v>0</v>
      </c>
      <c r="BG405" s="15" t="n">
        <f aca="false">(BG404)+BE405-BF405</f>
        <v>150000</v>
      </c>
      <c r="BH405" s="15" t="n">
        <f aca="false">BD405+BE405-BF405-AY405</f>
        <v>-869401.614375589</v>
      </c>
      <c r="BI405" s="15" t="n">
        <f aca="false">MAX(0,Parametri_v3!$C$30-BH405)</f>
        <v>894401.614375589</v>
      </c>
      <c r="BJ405" s="15" t="n">
        <f aca="false">(BJ404)+K405</f>
        <v>91666.6666666666</v>
      </c>
      <c r="BK405" s="15" t="n">
        <f aca="false">(BK404)+L405</f>
        <v>46319.4444444444</v>
      </c>
      <c r="BL405" s="15" t="n">
        <f aca="false">BJ405-BK405</f>
        <v>45347.2222222222</v>
      </c>
      <c r="BM405" s="15" t="n">
        <f aca="false">(BM404)+Y405</f>
        <v>-1191263.57586744</v>
      </c>
      <c r="BN405" s="15" t="n">
        <f aca="false">(BN404)+AW405+AX405+AZ405</f>
        <v>130000</v>
      </c>
      <c r="BO405" s="15" t="n">
        <f aca="false">(BO404)+AY405</f>
        <v>0</v>
      </c>
      <c r="BP405" s="15" t="n">
        <f aca="false">0</f>
        <v>0</v>
      </c>
      <c r="BQ405" s="15" t="n">
        <f aca="false">BN405+BM405-BO405</f>
        <v>-1061263.57586744</v>
      </c>
      <c r="BR405" s="15" t="n">
        <f aca="false">BH405+AD405+BL405+MAX(0,-AM405)+MAX(0,-AR405)+AG405</f>
        <v>-384339.03244935</v>
      </c>
      <c r="BS405" s="15" t="n">
        <f aca="false">AJ405+AV405+MAX(0,AM405)+MAX(0,AR405)+BC405+BG405+BQ405</f>
        <v>-384339.03244935</v>
      </c>
      <c r="BT405" s="15" t="n">
        <f aca="false">BR405-BS405</f>
        <v>0</v>
      </c>
      <c r="BU405" s="15" t="n">
        <f aca="false">BH405-(BD405+BE405-BF405-AY405)</f>
        <v>0</v>
      </c>
      <c r="BV405" s="15" t="n">
        <f aca="false">MIN(Piano_SS!$C$6,(BV404)+IF(AND(Motore_Operativo!C405&gt;=EDATE(Parametri_v3!$C$24,Ipotesi!I14*12),Motore_Operativo!C405&lt;EDATE(Parametri_v3!$C$24,Parametri_v3!$C$25+Ipotesi!I14*12)),MAX(0,(Motore_Operativo!Y405+Motore_Operativo!X405*Parametri_v3!$C$14)*(1-Parametri_v3!$C$32))*Piano_SS!$D$6,0))</f>
        <v>300000</v>
      </c>
      <c r="BW405" s="15" t="n">
        <f aca="false">MIN(Piano_SS!$C$7,(BW404)+IF(AND(Motore_Operativo!C405&gt;=EDATE(Parametri_v3!$C$24,Ipotesi!I14*12),Motore_Operativo!C405&lt;EDATE(Parametri_v3!$C$24,Parametri_v3!$C$25+Ipotesi!I14*12)),MAX(0,(IF(41-(INT((Ipotesi!$C$91)/30))&lt;1,0,INDEX(Motore_Operativo!$BN$365:$BN$424,MAX(1,41-(INT((Ipotesi!$C$91)/30)))))*(1-(MOD((Ipotesi!$C$91),30)/30))+IF(41-(INT((Ipotesi!$C$91)/30))-1&lt;1,0,INDEX(Motore_Operativo!$BN$365:$BN$424,MAX(1,41-(INT((Ipotesi!$C$91)/30))-1)))*(MOD((Ipotesi!$C$91),30)/30)))*Piano_SS!$D$7,0))</f>
        <v>41058.9230070837</v>
      </c>
      <c r="BX405" s="15" t="n">
        <f aca="false">MIN(Piano_SS!$C$8,(BX404)+IF(AND(Motore_Operativo!C405&gt;=EDATE(Parametri_v3!$C$24,Ipotesi!I14*12),Motore_Operativo!C405&lt;EDATE(Parametri_v3!$C$24,Parametri_v3!$C$25+Ipotesi!I14*12)),MAX(0,Motore_Operativo!CE405)*Piano_SS!$D$8,0))</f>
        <v>50000</v>
      </c>
      <c r="BY405" s="15" t="n">
        <f aca="false">MIN(Piano_SS!$C$9,(BY404)+IF(AND(Motore_Operativo!C405&gt;=EDATE(Parametri_v3!$C$24,Ipotesi!I14*12),Motore_Operativo!C405&lt;EDATE(Parametri_v3!$C$24,Parametri_v3!$C$25+Ipotesi!I14*12)),MAX(0,((IF(41-(INT((Ipotesi!$C$91)/30))&lt;1,0,INDEX(Motore_Operativo!$BQ$365:$BQ$424,MAX(1,41-(INT((Ipotesi!$C$91)/30)))))*(1-(MOD((Ipotesi!$C$91),30)/30))+IF(41-(INT((Ipotesi!$C$91)/30))-1&lt;1,0,INDEX(Motore_Operativo!$BQ$365:$BQ$424,MAX(1,41-(INT((Ipotesi!$C$91)/30))-1)))*(MOD((Ipotesi!$C$91),30)/30))+(IF(41-(INT((Ipotesi!$C$91)/30))&lt;1,0,INDEX(Motore_Operativo!$BR$365:$BR$424,MAX(1,41-(INT((Ipotesi!$C$91)/30)))))*(1-(MOD((Ipotesi!$C$91),30)/30))+IF(41-(INT((Ipotesi!$C$91)/30))-1&lt;1,0,INDEX(Motore_Operativo!$BR$365:$BR$424,MAX(1,41-(INT((Ipotesi!$C$91)/30))-1)))*(MOD((Ipotesi!$C$91),30)/30))))*Piano_SS!$D$9,0))</f>
        <v>40000</v>
      </c>
      <c r="BZ405" s="15" t="n">
        <f aca="false">MIN(Piano_SS!$C$10,(BZ404)+IF(AND(Motore_Operativo!C405&gt;=EDATE(Parametri_v3!$C$24,Ipotesi!I14*12),Motore_Operativo!C405&lt;EDATE(Parametri_v3!$C$24,Parametri_v3!$C$25+Ipotesi!I14*12)),MAX(0,(IF(41-(INT((Ipotesi!$C$91)/30))&lt;1,0,INDEX(Motore_Operativo!$BO$365:$BO$424,MAX(1,41-(INT((Ipotesi!$C$91)/30)))))*(1-(MOD((Ipotesi!$C$91),30)/30))+IF(41-(INT((Ipotesi!$C$91)/30))-1&lt;1,0,INDEX(Motore_Operativo!$BO$365:$BO$424,MAX(1,41-(INT((Ipotesi!$C$91)/30))-1)))*(MOD((Ipotesi!$C$91),30)/30)))*Piano_SS!$D$10,0))</f>
        <v>30000</v>
      </c>
      <c r="CA405" s="15" t="n">
        <f aca="false">SUM(BV405:BZ405)</f>
        <v>461058.923007084</v>
      </c>
      <c r="CB405" s="15" t="n">
        <f aca="false">BV405*(1-Piano_SS!$E$6)+BW405*(1-Piano_SS!$E$7)+BX405*(1-Piano_SS!$E$8)+BY405*(1-Piano_SS!$E$9)+BZ405*(1-Piano_SS!$E$10)</f>
        <v>431058.923007084</v>
      </c>
      <c r="CC405" s="15" t="n">
        <f aca="false">(CC404)+BA405</f>
        <v>368847.138405667</v>
      </c>
      <c r="CD405" s="15" t="n">
        <f aca="false">IF(CA405=0,0,CC405*CB405/CA405*Ipotesi!$C$103*Parametri_v3!$C$64)</f>
        <v>103454.1415217</v>
      </c>
      <c r="CE405" s="18" t="n">
        <f aca="false">IF(BA405&gt;0,Motore_Operativo!C405,(CE404))</f>
        <v>47270</v>
      </c>
      <c r="CF405" s="18" t="n">
        <f aca="false">IF(AND(CC405&gt;0,OR(CC405&gt;=CG405-0.01,Motore_Operativo!C405&gt;=EDATE(MAX(Finanziamenti!$D$15:$D$17),Ipotesi!I14*12))),CE405,0)</f>
        <v>47270</v>
      </c>
      <c r="CG405" s="15" t="n">
        <f aca="false">IF(AND(7&lt;&gt;6,7&lt;&gt;9,Finanziamenti!$F$11=1,OR(Parametri_v3!$C$6=0,Finanziamenti!$E$11=1)),MIN(Finanziamenti!$C$11,Piano_SS!$C$12*Ipotesi!$C$102),0)</f>
        <v>400000</v>
      </c>
      <c r="CH405" s="15" t="n">
        <f aca="false">IF(AND(AND(7&lt;&gt;8,7&lt;&gt;9,Finanziamenti!$F$10=1,OR(Parametri_v3!$C$6=0,Finanziamenti!$E$10=1)),Motore_Operativo!C405&gt;=Finanziamenti!$D$10,Motore_Operativo!C405&lt;Parametri_v3!$C$63),Finanziamenti!$C$10,0)</f>
        <v>150000</v>
      </c>
    </row>
    <row r="406" customFormat="false" ht="18" hidden="false" customHeight="true" outlineLevel="0" collapsed="false">
      <c r="A406" s="68" t="n">
        <f aca="false">7</f>
        <v>7</v>
      </c>
      <c r="B406" s="68" t="n">
        <f aca="false">42</f>
        <v>42</v>
      </c>
      <c r="C406" s="18" t="n">
        <f aca="false">Motore_Operativo!C406</f>
        <v>47635</v>
      </c>
      <c r="D406" s="68" t="n">
        <f aca="false">Motore_Operativo!D406</f>
        <v>2030</v>
      </c>
      <c r="E406" s="68" t="n">
        <f aca="false">Motore_Operativo!E406</f>
        <v>6</v>
      </c>
      <c r="F406" s="15" t="n">
        <f aca="false">Motore_Operativo!AQ406+Motore_Operativo!BF406</f>
        <v>123089.039272175</v>
      </c>
      <c r="G406" s="15" t="n">
        <f aca="false">Motore_Operativo!BH406</f>
        <v>9024.16666666667</v>
      </c>
      <c r="H406" s="15" t="n">
        <f aca="false">Motore_Operativo!BI406</f>
        <v>132113.205938842</v>
      </c>
      <c r="I406" s="15" t="n">
        <f aca="false">Motore_Operativo!CA406</f>
        <v>156837.941123105</v>
      </c>
      <c r="J406" s="15" t="n">
        <f aca="false">Motore_Operativo!CC406</f>
        <v>-24724.7351842627</v>
      </c>
      <c r="K406" s="15" t="n">
        <f aca="false">Motore_Operativo!CE406</f>
        <v>3333.33333333333</v>
      </c>
      <c r="L406" s="15" t="n">
        <f aca="false">SUM(INDEX($K$365:$K$424,MAX(1,42-Parametri_v3!$C$59+1)):K406)/Parametri_v3!$C$59</f>
        <v>2361.11111111111</v>
      </c>
      <c r="M406" s="15" t="n">
        <f aca="false">J406-L406</f>
        <v>-27085.8462953739</v>
      </c>
      <c r="N406" s="15" t="n">
        <f aca="false">CD406-(CD405)</f>
        <v>0</v>
      </c>
      <c r="O406" s="15" t="n">
        <f aca="false">(BG405)*Ipotesi!$C$110/12+CH406*Parametri_v3!$C$39/12</f>
        <v>750</v>
      </c>
      <c r="P406" s="15" t="n">
        <f aca="false">M406+N406-O406</f>
        <v>-27835.8462953739</v>
      </c>
      <c r="Q406" s="15" t="n">
        <f aca="false">SUM(P401:P406)+Parametri_v3!$C$54*6/12</f>
        <v>-202341.190213404</v>
      </c>
      <c r="R406" s="15" t="n">
        <f aca="false">Z400</f>
        <v>1016758.23194941</v>
      </c>
      <c r="S406" s="15" t="n">
        <f aca="false">AA400</f>
        <v>0</v>
      </c>
      <c r="T406" s="15" t="n">
        <f aca="false">MIN(R406,MAX(0,Q406))</f>
        <v>0</v>
      </c>
      <c r="U406" s="15" t="n">
        <f aca="false">MIN(S406,MAX(0,Q406-T406)*Parametri_v3!$C$42)</f>
        <v>0</v>
      </c>
      <c r="V406" s="15" t="n">
        <f aca="false">MAX(0,Q406-T406-U406)*Ipotesi!$C$92</f>
        <v>0</v>
      </c>
      <c r="W406" s="15" t="n">
        <f aca="false">MAX(0,SUM(M401:M406)+Parametri_v3!$C$55*6/12)*Ipotesi!$C$93</f>
        <v>0</v>
      </c>
      <c r="X406" s="15" t="n">
        <f aca="false">V406+W406-(V405+W405)</f>
        <v>0</v>
      </c>
      <c r="Y406" s="15" t="n">
        <f aca="false">P406-X406</f>
        <v>-27835.8462953739</v>
      </c>
      <c r="Z406" s="15" t="n">
        <f aca="false">R406-T406+IF(AND(Parametri_v3!$C$40=1,D406-YEAR(Parametri_v3!$C$50)&lt;Parametri_v3!$C$41),MAX(0,-Q406),0)</f>
        <v>1016758.23194941</v>
      </c>
      <c r="AA406" s="15" t="n">
        <f aca="false">S406-U406+IF(AND(Parametri_v3!$C$40=1,D406-YEAR(Parametri_v3!$C$50)&lt;Parametri_v3!$C$41),0,MAX(0,-Q406))</f>
        <v>202341.190213404</v>
      </c>
      <c r="AB406" s="15" t="n">
        <f aca="false">F406*(1+Parametri_v3!$C$26)</f>
        <v>150168.627912054</v>
      </c>
      <c r="AC406" s="15" t="n">
        <f aca="false">(IF(42-(INT((Motore_Operativo!L406)/30))&lt;1,0,INDEX(Motore_Startup!$AB$365:$AB$424,MAX(1,42-(INT((Motore_Operativo!L406)/30)))))*(1-(MOD((Motore_Operativo!L406),30)/30))+IF(42-(INT((Motore_Operativo!L406)/30))-1&lt;1,0,INDEX(Motore_Startup!$AB$365:$AB$424,MAX(1,42-(INT((Motore_Operativo!L406)/30))-1)))*(MOD((Motore_Operativo!L406),30)/30))</f>
        <v>139520.900095839</v>
      </c>
      <c r="AD406" s="15" t="n">
        <f aca="false">(AD405)+AB406-AC406</f>
        <v>439353.604186897</v>
      </c>
      <c r="AE406" s="15" t="n">
        <f aca="false">Motore_Operativo!BH406*(1+Parametri_v3!$C$26)</f>
        <v>11009.4833333333</v>
      </c>
      <c r="AF406" s="15" t="n">
        <f aca="false">(IF(42-(INT((Parametri_v3!$C$29)/30))&lt;1,0,INDEX(Motore_Operativo!$BH$365:$BH$424,MAX(1,42-(INT((Parametri_v3!$C$29)/30)))))*(1-(MOD((Parametri_v3!$C$29),30)/30))+IF(42-(INT((Parametri_v3!$C$29)/30))-1&lt;1,0,INDEX(Motore_Operativo!$BH$365:$BH$424,MAX(1,42-(INT((Parametri_v3!$C$29)/30))-1)))*(MOD((Parametri_v3!$C$29),30)/30))*(1+Parametri_v3!$C$26)</f>
        <v>11009.4833333333</v>
      </c>
      <c r="AG406" s="15" t="n">
        <f aca="false">(AG405)+AE406-AF406</f>
        <v>11009.4833333333</v>
      </c>
      <c r="AH406" s="15" t="n">
        <f aca="false">(Motore_Operativo!CJ406)*(1+Parametri_v3!$C$27*Parametri_v3!$C$26)</f>
        <v>71653.0854545834</v>
      </c>
      <c r="AI406" s="15" t="n">
        <f aca="false">(IF(42-(INT((Ipotesi!$C$91)/30))&lt;1,0,INDEX(Motore_Startup!$AH$365:$AH$424,MAX(1,42-(INT((Ipotesi!$C$91)/30)))))*(1-(MOD((Ipotesi!$C$91),30)/30))+IF(42-(INT((Ipotesi!$C$91)/30))-1&lt;1,0,INDEX(Motore_Startup!$AH$365:$AH$424,MAX(1,42-(INT((Ipotesi!$C$91)/30))-1)))*(MOD((Ipotesi!$C$91),30)/30))</f>
        <v>70638.876842242</v>
      </c>
      <c r="AJ406" s="15" t="n">
        <f aca="false">(AJ405)+AH406-AI406</f>
        <v>142801.292787495</v>
      </c>
      <c r="AK406" s="15" t="n">
        <f aca="false">(F406+ Motore_Operativo!BH406-(Motore_Operativo!CJ406)*Parametri_v3!$C$27-Motore_Operativo!CE406)*Parametri_v3!$C$26</f>
        <v>17043.3436833996</v>
      </c>
      <c r="AL406" s="15" t="n">
        <f aca="false">MAX(0,(AM405))</f>
        <v>16454.4913693876</v>
      </c>
      <c r="AM406" s="15" t="n">
        <f aca="false">(AM405)+AK406-AL406</f>
        <v>17043.3436833996</v>
      </c>
      <c r="AN406" s="15" t="n">
        <f aca="false">SUM(X389:X400)</f>
        <v>0</v>
      </c>
      <c r="AO406" s="15" t="n">
        <f aca="false">SUM(AP389:AP400)</f>
        <v>0</v>
      </c>
      <c r="AP406" s="15" t="n">
        <f aca="false">MAX(0,AN406)*IF(6=Parametri_v3!$C$43,Parametri_v3!$C$45,IF(6=Parametri_v3!$C$44,1-Parametri_v3!$C$45,0))</f>
        <v>0</v>
      </c>
      <c r="AQ406" s="15" t="n">
        <f aca="false">MAX(0,AP406+IF(6=Parametri_v3!$C$43,MAX(0,AN406-AO406),0)-MAX(0,-(AR405)))</f>
        <v>0</v>
      </c>
      <c r="AR406" s="15" t="n">
        <f aca="false">(AR405)+X406-AQ406</f>
        <v>0</v>
      </c>
      <c r="AS406" s="15" t="n">
        <f aca="false">Motore_Operativo!AB406-AT406+AU406</f>
        <v>91649.4297604167</v>
      </c>
      <c r="AT406" s="15" t="n">
        <f aca="false">Motore_Operativo!CH406</f>
        <v>4823.65419791667</v>
      </c>
      <c r="AU406" s="15" t="n">
        <f aca="false">MIN(MAX(0,(AV405)+AT406),Parametri_v3!$C$60/12)</f>
        <v>0</v>
      </c>
      <c r="AV406" s="15" t="n">
        <f aca="false">(AV405)+AT406-AU406</f>
        <v>108113.6251875</v>
      </c>
      <c r="AW406" s="15" t="n">
        <f aca="false">IF(AND(Motore_Operativo!C406=Finanziamenti!$D$6,Finanziamenti!$F$6=1),Finanziamenti!$C$6,0)</f>
        <v>0</v>
      </c>
      <c r="AX406" s="15" t="n">
        <f aca="false">IF(AND(7&lt;&gt;7,7&lt;&gt;9,Finanziamenti!$F$8=1,OR(Parametri_v3!$C$6=0,Finanziamenti!$E$8=1),Motore_Operativo!C406=EDATE(Finanziamenti!$D$8,Ipotesi!I15*12)),Finanziamenti!$C$8*1,0)+IF(AND(7&lt;&gt;7,7&lt;&gt;9,Finanziamenti!$F$9=1,OR(Parametri_v3!$C$6=0,Finanziamenti!$E$9=1),Motore_Operativo!C406=EDATE(Finanziamenti!$D$9,Ipotesi!I15*12)),Finanziamenti!$C$9*Ipotesi!I16,0)</f>
        <v>0</v>
      </c>
      <c r="AY406" s="15" t="n">
        <f aca="false">0</f>
        <v>0</v>
      </c>
      <c r="AZ406" s="15" t="n">
        <f aca="false">Motore_Advisory!AY406*(1-Ipotesi!$C$95)*Ipotesi!$C$96</f>
        <v>35707.0162944445</v>
      </c>
      <c r="BA406" s="15" t="n">
        <f aca="false">MAX(0,MIN(CG406*MIN(1,IF(Motore_Operativo!C406&gt;=EDATE(Finanziamenti!$D$15,Ipotesi!I14*12),Finanziamenti!$C$15,0)+IF(Motore_Operativo!C406&gt;=EDATE(Finanziamenti!$D$16,Ipotesi!I14*12),Finanziamenti!$C$16,0)+IF(Motore_Operativo!C406&gt;=EDATE(Finanziamenti!$D$17,Ipotesi!I14*12),Finanziamenti!$C$17,0)),CA406*Ipotesi!$C$102)-(CC405))</f>
        <v>0</v>
      </c>
      <c r="BB406" s="15" t="n">
        <f aca="false">IF(AND(CF406&gt;0,Motore_Operativo!C406&gt;=IF(CF406=0,0,EDATE(CF406,Parametri_v3!$C$37)),MOD(((D406-YEAR(IF(CF406=0,0,EDATE(CF406,Parametri_v3!$C$37))))*12+E406-MONTH(IF(CF406=0,0,EDATE(CF406,Parametri_v3!$C$37)))),Parametri_v3!$C$38)=0),MIN(MAX(0,(BC405)+BA406-N406),(CC406-CD406)/(Ipotesi!$C$108*12/Parametri_v3!$C$38)),0)</f>
        <v>13269.6498441983</v>
      </c>
      <c r="BC406" s="15" t="n">
        <f aca="false">(BC405)+BA406-N406-BB406</f>
        <v>252123.347039769</v>
      </c>
      <c r="BD406" s="15" t="n">
        <f aca="false">(BH405)+AC406+AF406-AI406-AS406-K406*(1+Parametri_v3!$C$26)-AL406-AQ406-O406+AW406+AX406+AZ406+BA406-BB406</f>
        <v>-879993.329134883</v>
      </c>
      <c r="BE406" s="15" t="n">
        <f aca="false">MAX(0,MIN(MAX(0,CH406-(BG405)),Parametri_v3!$C$30-BD406))</f>
        <v>0</v>
      </c>
      <c r="BF406" s="15" t="n">
        <f aca="false">IF(Motore_Operativo!C406&gt;=Parametri_v3!$C$63,(BG405),MIN((BG405),MAX(0,BD406-Parametri_v3!$C$30)))</f>
        <v>0</v>
      </c>
      <c r="BG406" s="15" t="n">
        <f aca="false">(BG405)+BE406-BF406</f>
        <v>150000</v>
      </c>
      <c r="BH406" s="15" t="n">
        <f aca="false">BD406+BE406-BF406-AY406</f>
        <v>-879993.329134883</v>
      </c>
      <c r="BI406" s="15" t="n">
        <f aca="false">MAX(0,Parametri_v3!$C$30-BH406)</f>
        <v>904993.329134883</v>
      </c>
      <c r="BJ406" s="15" t="n">
        <f aca="false">(BJ405)+K406</f>
        <v>95000</v>
      </c>
      <c r="BK406" s="15" t="n">
        <f aca="false">(BK405)+L406</f>
        <v>48680.5555555556</v>
      </c>
      <c r="BL406" s="15" t="n">
        <f aca="false">BJ406-BK406</f>
        <v>46319.4444444444</v>
      </c>
      <c r="BM406" s="15" t="n">
        <f aca="false">(BM405)+Y406</f>
        <v>-1219099.42216281</v>
      </c>
      <c r="BN406" s="15" t="n">
        <f aca="false">(BN405)+AW406+AX406+AZ406</f>
        <v>165707.016294444</v>
      </c>
      <c r="BO406" s="15" t="n">
        <f aca="false">(BO405)+AY406</f>
        <v>0</v>
      </c>
      <c r="BP406" s="15" t="n">
        <f aca="false">0</f>
        <v>0</v>
      </c>
      <c r="BQ406" s="15" t="n">
        <f aca="false">BN406+BM406-BO406</f>
        <v>-1053392.40586837</v>
      </c>
      <c r="BR406" s="15" t="n">
        <f aca="false">BH406+AD406+BL406+MAX(0,-AM406)+MAX(0,-AR406)+AG406</f>
        <v>-383310.797170208</v>
      </c>
      <c r="BS406" s="15" t="n">
        <f aca="false">AJ406+AV406+MAX(0,AM406)+MAX(0,AR406)+BC406+BG406+BQ406</f>
        <v>-383310.797170207</v>
      </c>
      <c r="BT406" s="15" t="n">
        <f aca="false">BR406-BS406</f>
        <v>0</v>
      </c>
      <c r="BU406" s="15" t="n">
        <f aca="false">BH406-(BD406+BE406-BF406-AY406)</f>
        <v>0</v>
      </c>
      <c r="BV406" s="15" t="n">
        <f aca="false">MIN(Piano_SS!$C$6,(BV405)+IF(AND(Motore_Operativo!C406&gt;=EDATE(Parametri_v3!$C$24,Ipotesi!I14*12),Motore_Operativo!C406&lt;EDATE(Parametri_v3!$C$24,Parametri_v3!$C$25+Ipotesi!I14*12)),MAX(0,(Motore_Operativo!Y406+Motore_Operativo!X406*Parametri_v3!$C$14)*(1-Parametri_v3!$C$32))*Piano_SS!$D$6,0))</f>
        <v>300000</v>
      </c>
      <c r="BW406" s="15" t="n">
        <f aca="false">MIN(Piano_SS!$C$7,(BW405)+IF(AND(Motore_Operativo!C406&gt;=EDATE(Parametri_v3!$C$24,Ipotesi!I14*12),Motore_Operativo!C406&lt;EDATE(Parametri_v3!$C$24,Parametri_v3!$C$25+Ipotesi!I14*12)),MAX(0,(IF(42-(INT((Ipotesi!$C$91)/30))&lt;1,0,INDEX(Motore_Operativo!$BN$365:$BN$424,MAX(1,42-(INT((Ipotesi!$C$91)/30)))))*(1-(MOD((Ipotesi!$C$91),30)/30))+IF(42-(INT((Ipotesi!$C$91)/30))-1&lt;1,0,INDEX(Motore_Operativo!$BN$365:$BN$424,MAX(1,42-(INT((Ipotesi!$C$91)/30))-1)))*(MOD((Ipotesi!$C$91),30)/30)))*Piano_SS!$D$7,0))</f>
        <v>41058.9230070837</v>
      </c>
      <c r="BX406" s="15" t="n">
        <f aca="false">MIN(Piano_SS!$C$8,(BX405)+IF(AND(Motore_Operativo!C406&gt;=EDATE(Parametri_v3!$C$24,Ipotesi!I14*12),Motore_Operativo!C406&lt;EDATE(Parametri_v3!$C$24,Parametri_v3!$C$25+Ipotesi!I14*12)),MAX(0,Motore_Operativo!CE406)*Piano_SS!$D$8,0))</f>
        <v>50000</v>
      </c>
      <c r="BY406" s="15" t="n">
        <f aca="false">MIN(Piano_SS!$C$9,(BY405)+IF(AND(Motore_Operativo!C406&gt;=EDATE(Parametri_v3!$C$24,Ipotesi!I14*12),Motore_Operativo!C406&lt;EDATE(Parametri_v3!$C$24,Parametri_v3!$C$25+Ipotesi!I14*12)),MAX(0,((IF(42-(INT((Ipotesi!$C$91)/30))&lt;1,0,INDEX(Motore_Operativo!$BQ$365:$BQ$424,MAX(1,42-(INT((Ipotesi!$C$91)/30)))))*(1-(MOD((Ipotesi!$C$91),30)/30))+IF(42-(INT((Ipotesi!$C$91)/30))-1&lt;1,0,INDEX(Motore_Operativo!$BQ$365:$BQ$424,MAX(1,42-(INT((Ipotesi!$C$91)/30))-1)))*(MOD((Ipotesi!$C$91),30)/30))+(IF(42-(INT((Ipotesi!$C$91)/30))&lt;1,0,INDEX(Motore_Operativo!$BR$365:$BR$424,MAX(1,42-(INT((Ipotesi!$C$91)/30)))))*(1-(MOD((Ipotesi!$C$91),30)/30))+IF(42-(INT((Ipotesi!$C$91)/30))-1&lt;1,0,INDEX(Motore_Operativo!$BR$365:$BR$424,MAX(1,42-(INT((Ipotesi!$C$91)/30))-1)))*(MOD((Ipotesi!$C$91),30)/30))))*Piano_SS!$D$9,0))</f>
        <v>40000</v>
      </c>
      <c r="BZ406" s="15" t="n">
        <f aca="false">MIN(Piano_SS!$C$10,(BZ405)+IF(AND(Motore_Operativo!C406&gt;=EDATE(Parametri_v3!$C$24,Ipotesi!I14*12),Motore_Operativo!C406&lt;EDATE(Parametri_v3!$C$24,Parametri_v3!$C$25+Ipotesi!I14*12)),MAX(0,(IF(42-(INT((Ipotesi!$C$91)/30))&lt;1,0,INDEX(Motore_Operativo!$BO$365:$BO$424,MAX(1,42-(INT((Ipotesi!$C$91)/30)))))*(1-(MOD((Ipotesi!$C$91),30)/30))+IF(42-(INT((Ipotesi!$C$91)/30))-1&lt;1,0,INDEX(Motore_Operativo!$BO$365:$BO$424,MAX(1,42-(INT((Ipotesi!$C$91)/30))-1)))*(MOD((Ipotesi!$C$91),30)/30)))*Piano_SS!$D$10,0))</f>
        <v>30000</v>
      </c>
      <c r="CA406" s="15" t="n">
        <f aca="false">SUM(BV406:BZ406)</f>
        <v>461058.923007084</v>
      </c>
      <c r="CB406" s="15" t="n">
        <f aca="false">BV406*(1-Piano_SS!$E$6)+BW406*(1-Piano_SS!$E$7)+BX406*(1-Piano_SS!$E$8)+BY406*(1-Piano_SS!$E$9)+BZ406*(1-Piano_SS!$E$10)</f>
        <v>431058.923007084</v>
      </c>
      <c r="CC406" s="15" t="n">
        <f aca="false">(CC405)+BA406</f>
        <v>368847.138405667</v>
      </c>
      <c r="CD406" s="15" t="n">
        <f aca="false">IF(CA406=0,0,CC406*CB406/CA406*Ipotesi!$C$103*Parametri_v3!$C$64)</f>
        <v>103454.1415217</v>
      </c>
      <c r="CE406" s="18" t="n">
        <f aca="false">IF(BA406&gt;0,Motore_Operativo!C406,(CE405))</f>
        <v>47270</v>
      </c>
      <c r="CF406" s="18" t="n">
        <f aca="false">IF(AND(CC406&gt;0,OR(CC406&gt;=CG406-0.01,Motore_Operativo!C406&gt;=EDATE(MAX(Finanziamenti!$D$15:$D$17),Ipotesi!I14*12))),CE406,0)</f>
        <v>47270</v>
      </c>
      <c r="CG406" s="15" t="n">
        <f aca="false">IF(AND(7&lt;&gt;6,7&lt;&gt;9,Finanziamenti!$F$11=1,OR(Parametri_v3!$C$6=0,Finanziamenti!$E$11=1)),MIN(Finanziamenti!$C$11,Piano_SS!$C$12*Ipotesi!$C$102),0)</f>
        <v>400000</v>
      </c>
      <c r="CH406" s="15" t="n">
        <f aca="false">IF(AND(AND(7&lt;&gt;8,7&lt;&gt;9,Finanziamenti!$F$10=1,OR(Parametri_v3!$C$6=0,Finanziamenti!$E$10=1)),Motore_Operativo!C406&gt;=Finanziamenti!$D$10,Motore_Operativo!C406&lt;Parametri_v3!$C$63),Finanziamenti!$C$10,0)</f>
        <v>150000</v>
      </c>
    </row>
    <row r="407" customFormat="false" ht="18" hidden="false" customHeight="true" outlineLevel="0" collapsed="false">
      <c r="A407" s="68" t="n">
        <f aca="false">7</f>
        <v>7</v>
      </c>
      <c r="B407" s="68" t="n">
        <f aca="false">43</f>
        <v>43</v>
      </c>
      <c r="C407" s="18" t="n">
        <f aca="false">Motore_Operativo!C407</f>
        <v>47665</v>
      </c>
      <c r="D407" s="68" t="n">
        <f aca="false">Motore_Operativo!D407</f>
        <v>2030</v>
      </c>
      <c r="E407" s="68" t="n">
        <f aca="false">Motore_Operativo!E407</f>
        <v>7</v>
      </c>
      <c r="F407" s="15" t="n">
        <f aca="false">Motore_Operativo!AQ407+Motore_Operativo!BF407</f>
        <v>126100.621132526</v>
      </c>
      <c r="G407" s="15" t="n">
        <f aca="false">Motore_Operativo!BH407</f>
        <v>9024.16666666667</v>
      </c>
      <c r="H407" s="15" t="n">
        <f aca="false">Motore_Operativo!BI407</f>
        <v>135124.787799193</v>
      </c>
      <c r="I407" s="15" t="n">
        <f aca="false">Motore_Operativo!CA407</f>
        <v>157259.562583554</v>
      </c>
      <c r="J407" s="15" t="n">
        <f aca="false">Motore_Operativo!CC407</f>
        <v>-22134.7747843611</v>
      </c>
      <c r="K407" s="15" t="n">
        <f aca="false">Motore_Operativo!CE407</f>
        <v>3333.33333333333</v>
      </c>
      <c r="L407" s="15" t="n">
        <f aca="false">SUM(INDEX($K$365:$K$424,MAX(1,43-Parametri_v3!$C$59+1)):K407)/Parametri_v3!$C$59</f>
        <v>2407.40740740741</v>
      </c>
      <c r="M407" s="15" t="n">
        <f aca="false">J407-L407</f>
        <v>-24542.1821917685</v>
      </c>
      <c r="N407" s="15" t="n">
        <f aca="false">CD407-(CD406)</f>
        <v>0</v>
      </c>
      <c r="O407" s="15" t="n">
        <f aca="false">(BG406)*Ipotesi!$C$110/12+CH407*Parametri_v3!$C$39/12</f>
        <v>750</v>
      </c>
      <c r="P407" s="15" t="n">
        <f aca="false">M407+N407-O407</f>
        <v>-25292.1821917685</v>
      </c>
      <c r="Q407" s="15" t="n">
        <f aca="false">SUM(P401:P407)+Parametri_v3!$C$54*7/12</f>
        <v>-227633.372405172</v>
      </c>
      <c r="R407" s="15" t="n">
        <f aca="false">Z400</f>
        <v>1016758.23194941</v>
      </c>
      <c r="S407" s="15" t="n">
        <f aca="false">AA400</f>
        <v>0</v>
      </c>
      <c r="T407" s="15" t="n">
        <f aca="false">MIN(R407,MAX(0,Q407))</f>
        <v>0</v>
      </c>
      <c r="U407" s="15" t="n">
        <f aca="false">MIN(S407,MAX(0,Q407-T407)*Parametri_v3!$C$42)</f>
        <v>0</v>
      </c>
      <c r="V407" s="15" t="n">
        <f aca="false">MAX(0,Q407-T407-U407)*Ipotesi!$C$92</f>
        <v>0</v>
      </c>
      <c r="W407" s="15" t="n">
        <f aca="false">MAX(0,SUM(M401:M407)+Parametri_v3!$C$55*7/12)*Ipotesi!$C$93</f>
        <v>0</v>
      </c>
      <c r="X407" s="15" t="n">
        <f aca="false">V407+W407-(V406+W406)</f>
        <v>0</v>
      </c>
      <c r="Y407" s="15" t="n">
        <f aca="false">P407-X407</f>
        <v>-25292.1821917685</v>
      </c>
      <c r="Z407" s="15" t="n">
        <f aca="false">R407-T407+IF(AND(Parametri_v3!$C$40=1,D407-YEAR(Parametri_v3!$C$50)&lt;Parametri_v3!$C$41),MAX(0,-Q407),0)</f>
        <v>1016758.23194941</v>
      </c>
      <c r="AA407" s="15" t="n">
        <f aca="false">S407-U407+IF(AND(Parametri_v3!$C$40=1,D407-YEAR(Parametri_v3!$C$50)&lt;Parametri_v3!$C$41),0,MAX(0,-Q407))</f>
        <v>227633.372405172</v>
      </c>
      <c r="AB407" s="15" t="n">
        <f aca="false">F407*(1+Parametri_v3!$C$26)</f>
        <v>153842.757781682</v>
      </c>
      <c r="AC407" s="15" t="n">
        <f aca="false">(IF(43-(INT((Motore_Operativo!L407)/30))&lt;1,0,INDEX(Motore_Startup!$AB$365:$AB$424,MAX(1,43-(INT((Motore_Operativo!L407)/30)))))*(1-(MOD((Motore_Operativo!L407),30)/30))+IF(43-(INT((Motore_Operativo!L407)/30))-1&lt;1,0,INDEX(Motore_Startup!$AB$365:$AB$424,MAX(1,43-(INT((Motore_Operativo!L407)/30))-1)))*(MOD((Motore_Operativo!L407),30)/30))</f>
        <v>142722.87928372</v>
      </c>
      <c r="AD407" s="15" t="n">
        <f aca="false">(AD406)+AB407-AC407</f>
        <v>450473.482684858</v>
      </c>
      <c r="AE407" s="15" t="n">
        <f aca="false">Motore_Operativo!BH407*(1+Parametri_v3!$C$26)</f>
        <v>11009.4833333333</v>
      </c>
      <c r="AF407" s="15" t="n">
        <f aca="false">(IF(43-(INT((Parametri_v3!$C$29)/30))&lt;1,0,INDEX(Motore_Operativo!$BH$365:$BH$424,MAX(1,43-(INT((Parametri_v3!$C$29)/30)))))*(1-(MOD((Parametri_v3!$C$29),30)/30))+IF(43-(INT((Parametri_v3!$C$29)/30))-1&lt;1,0,INDEX(Motore_Operativo!$BH$365:$BH$424,MAX(1,43-(INT((Parametri_v3!$C$29)/30))-1)))*(MOD((Parametri_v3!$C$29),30)/30))*(1+Parametri_v3!$C$26)</f>
        <v>11009.4833333333</v>
      </c>
      <c r="AG407" s="15" t="n">
        <f aca="false">(AG406)+AE407-AF407</f>
        <v>11009.4833333333</v>
      </c>
      <c r="AH407" s="15" t="n">
        <f aca="false">(Motore_Operativo!CJ407)*(1+Parametri_v3!$C$27*Parametri_v3!$C$26)</f>
        <v>72153.5501281365</v>
      </c>
      <c r="AI407" s="15" t="n">
        <f aca="false">(IF(43-(INT((Ipotesi!$C$91)/30))&lt;1,0,INDEX(Motore_Startup!$AH$365:$AH$424,MAX(1,43-(INT((Ipotesi!$C$91)/30)))))*(1-(MOD((Ipotesi!$C$91),30)/30))+IF(43-(INT((Ipotesi!$C$91)/30))-1&lt;1,0,INDEX(Motore_Startup!$AH$365:$AH$424,MAX(1,43-(INT((Ipotesi!$C$91)/30))-1)))*(MOD((Ipotesi!$C$91),30)/30))</f>
        <v>71148.2073329111</v>
      </c>
      <c r="AJ407" s="15" t="n">
        <f aca="false">(AJ406)+AH407-AI407</f>
        <v>143806.63558272</v>
      </c>
      <c r="AK407" s="15" t="n">
        <f aca="false">(F407+ Motore_Operativo!BH407-(Motore_Operativo!CJ407)*Parametri_v3!$C$27-Motore_Operativo!CE407)*Parametri_v3!$C$26</f>
        <v>17627.0484795728</v>
      </c>
      <c r="AL407" s="15" t="n">
        <f aca="false">MAX(0,(AM406))</f>
        <v>17043.3436833996</v>
      </c>
      <c r="AM407" s="15" t="n">
        <f aca="false">(AM406)+AK407-AL407</f>
        <v>17627.0484795728</v>
      </c>
      <c r="AN407" s="15" t="n">
        <f aca="false">SUM(X389:X400)</f>
        <v>0</v>
      </c>
      <c r="AO407" s="15" t="n">
        <f aca="false">SUM(AP389:AP400)</f>
        <v>0</v>
      </c>
      <c r="AP407" s="15" t="n">
        <f aca="false">MAX(0,AN407)*IF(7=Parametri_v3!$C$43,Parametri_v3!$C$45,IF(7=Parametri_v3!$C$44,1-Parametri_v3!$C$45,0))</f>
        <v>0</v>
      </c>
      <c r="AQ407" s="15" t="n">
        <f aca="false">MAX(0,AP407+IF(7=Parametri_v3!$C$43,MAX(0,AN407-AO407),0)-MAX(0,-(AR406)))</f>
        <v>0</v>
      </c>
      <c r="AR407" s="15" t="n">
        <f aca="false">(AR406)+X407-AQ407</f>
        <v>0</v>
      </c>
      <c r="AS407" s="15" t="n">
        <f aca="false">Motore_Operativo!AB407-AT407+AU407</f>
        <v>91649.4297604167</v>
      </c>
      <c r="AT407" s="15" t="n">
        <f aca="false">Motore_Operativo!CH407</f>
        <v>4823.65419791667</v>
      </c>
      <c r="AU407" s="15" t="n">
        <f aca="false">MIN(MAX(0,(AV406)+AT407),Parametri_v3!$C$60/12)</f>
        <v>0</v>
      </c>
      <c r="AV407" s="15" t="n">
        <f aca="false">(AV406)+AT407-AU407</f>
        <v>112937.279385417</v>
      </c>
      <c r="AW407" s="15" t="n">
        <f aca="false">IF(AND(Motore_Operativo!C407=Finanziamenti!$D$6,Finanziamenti!$F$6=1),Finanziamenti!$C$6,0)</f>
        <v>0</v>
      </c>
      <c r="AX407" s="15" t="n">
        <f aca="false">IF(AND(7&lt;&gt;7,7&lt;&gt;9,Finanziamenti!$F$8=1,OR(Parametri_v3!$C$6=0,Finanziamenti!$E$8=1),Motore_Operativo!C407=EDATE(Finanziamenti!$D$8,Ipotesi!I15*12)),Finanziamenti!$C$8*1,0)+IF(AND(7&lt;&gt;7,7&lt;&gt;9,Finanziamenti!$F$9=1,OR(Parametri_v3!$C$6=0,Finanziamenti!$E$9=1),Motore_Operativo!C407=EDATE(Finanziamenti!$D$9,Ipotesi!I15*12)),Finanziamenti!$C$9*Ipotesi!I16,0)</f>
        <v>0</v>
      </c>
      <c r="AY407" s="15" t="n">
        <f aca="false">0</f>
        <v>0</v>
      </c>
      <c r="AZ407" s="15" t="n">
        <f aca="false">Motore_Advisory!AY407*(1-Ipotesi!$C$95)*Ipotesi!$C$96</f>
        <v>0</v>
      </c>
      <c r="BA407" s="15" t="n">
        <f aca="false">MAX(0,MIN(CG407*MIN(1,IF(Motore_Operativo!C407&gt;=EDATE(Finanziamenti!$D$15,Ipotesi!I14*12),Finanziamenti!$C$15,0)+IF(Motore_Operativo!C407&gt;=EDATE(Finanziamenti!$D$16,Ipotesi!I14*12),Finanziamenti!$C$16,0)+IF(Motore_Operativo!C407&gt;=EDATE(Finanziamenti!$D$17,Ipotesi!I14*12),Finanziamenti!$C$17,0)),CA407*Ipotesi!$C$102)-(CC406))</f>
        <v>0</v>
      </c>
      <c r="BB407" s="15" t="n">
        <f aca="false">IF(AND(CF407&gt;0,Motore_Operativo!C407&gt;=IF(CF407=0,0,EDATE(CF407,Parametri_v3!$C$37)),MOD(((D407-YEAR(IF(CF407=0,0,EDATE(CF407,Parametri_v3!$C$37))))*12+E407-MONTH(IF(CF407=0,0,EDATE(CF407,Parametri_v3!$C$37)))),Parametri_v3!$C$38)=0),MIN(MAX(0,(BC406)+BA407-N407),(CC407-CD407)/(Ipotesi!$C$108*12/Parametri_v3!$C$38)),0)</f>
        <v>0</v>
      </c>
      <c r="BC407" s="15" t="n">
        <f aca="false">(BC406)+BA407-N407-BB407</f>
        <v>252123.347039769</v>
      </c>
      <c r="BD407" s="15" t="n">
        <f aca="false">(BH406)+AC407+AF407-AI407-AS407-K407*(1+Parametri_v3!$C$26)-AL407-AQ407-O407+AW407+AX407+AZ407+BA407-BB407</f>
        <v>-910918.613961223</v>
      </c>
      <c r="BE407" s="15" t="n">
        <f aca="false">MAX(0,MIN(MAX(0,CH407-(BG406)),Parametri_v3!$C$30-BD407))</f>
        <v>0</v>
      </c>
      <c r="BF407" s="15" t="n">
        <f aca="false">IF(Motore_Operativo!C407&gt;=Parametri_v3!$C$63,(BG406),MIN((BG406),MAX(0,BD407-Parametri_v3!$C$30)))</f>
        <v>0</v>
      </c>
      <c r="BG407" s="15" t="n">
        <f aca="false">(BG406)+BE407-BF407</f>
        <v>150000</v>
      </c>
      <c r="BH407" s="15" t="n">
        <f aca="false">BD407+BE407-BF407-AY407</f>
        <v>-910918.613961223</v>
      </c>
      <c r="BI407" s="15" t="n">
        <f aca="false">MAX(0,Parametri_v3!$C$30-BH407)</f>
        <v>935918.613961223</v>
      </c>
      <c r="BJ407" s="15" t="n">
        <f aca="false">(BJ406)+K407</f>
        <v>98333.3333333333</v>
      </c>
      <c r="BK407" s="15" t="n">
        <f aca="false">(BK406)+L407</f>
        <v>51087.962962963</v>
      </c>
      <c r="BL407" s="15" t="n">
        <f aca="false">BJ407-BK407</f>
        <v>47245.3703703703</v>
      </c>
      <c r="BM407" s="15" t="n">
        <f aca="false">(BM406)+Y407</f>
        <v>-1244391.60435458</v>
      </c>
      <c r="BN407" s="15" t="n">
        <f aca="false">(BN406)+AW407+AX407+AZ407</f>
        <v>165707.016294444</v>
      </c>
      <c r="BO407" s="15" t="n">
        <f aca="false">(BO406)+AY407</f>
        <v>0</v>
      </c>
      <c r="BP407" s="15" t="n">
        <f aca="false">0</f>
        <v>0</v>
      </c>
      <c r="BQ407" s="15" t="n">
        <f aca="false">BN407+BM407-BO407</f>
        <v>-1078684.58806014</v>
      </c>
      <c r="BR407" s="15" t="n">
        <f aca="false">BH407+AD407+BL407+MAX(0,-AM407)+MAX(0,-AR407)+AG407</f>
        <v>-402190.277572661</v>
      </c>
      <c r="BS407" s="15" t="n">
        <f aca="false">AJ407+AV407+MAX(0,AM407)+MAX(0,AR407)+BC407+BG407+BQ407</f>
        <v>-402190.277572661</v>
      </c>
      <c r="BT407" s="15" t="n">
        <f aca="false">BR407-BS407</f>
        <v>0</v>
      </c>
      <c r="BU407" s="15" t="n">
        <f aca="false">BH407-(BD407+BE407-BF407-AY407)</f>
        <v>0</v>
      </c>
      <c r="BV407" s="15" t="n">
        <f aca="false">MIN(Piano_SS!$C$6,(BV406)+IF(AND(Motore_Operativo!C407&gt;=EDATE(Parametri_v3!$C$24,Ipotesi!I14*12),Motore_Operativo!C407&lt;EDATE(Parametri_v3!$C$24,Parametri_v3!$C$25+Ipotesi!I14*12)),MAX(0,(Motore_Operativo!Y407+Motore_Operativo!X407*Parametri_v3!$C$14)*(1-Parametri_v3!$C$32))*Piano_SS!$D$6,0))</f>
        <v>300000</v>
      </c>
      <c r="BW407" s="15" t="n">
        <f aca="false">MIN(Piano_SS!$C$7,(BW406)+IF(AND(Motore_Operativo!C407&gt;=EDATE(Parametri_v3!$C$24,Ipotesi!I14*12),Motore_Operativo!C407&lt;EDATE(Parametri_v3!$C$24,Parametri_v3!$C$25+Ipotesi!I14*12)),MAX(0,(IF(43-(INT((Ipotesi!$C$91)/30))&lt;1,0,INDEX(Motore_Operativo!$BN$365:$BN$424,MAX(1,43-(INT((Ipotesi!$C$91)/30)))))*(1-(MOD((Ipotesi!$C$91),30)/30))+IF(43-(INT((Ipotesi!$C$91)/30))-1&lt;1,0,INDEX(Motore_Operativo!$BN$365:$BN$424,MAX(1,43-(INT((Ipotesi!$C$91)/30))-1)))*(MOD((Ipotesi!$C$91),30)/30)))*Piano_SS!$D$7,0))</f>
        <v>41058.9230070837</v>
      </c>
      <c r="BX407" s="15" t="n">
        <f aca="false">MIN(Piano_SS!$C$8,(BX406)+IF(AND(Motore_Operativo!C407&gt;=EDATE(Parametri_v3!$C$24,Ipotesi!I14*12),Motore_Operativo!C407&lt;EDATE(Parametri_v3!$C$24,Parametri_v3!$C$25+Ipotesi!I14*12)),MAX(0,Motore_Operativo!CE407)*Piano_SS!$D$8,0))</f>
        <v>50000</v>
      </c>
      <c r="BY407" s="15" t="n">
        <f aca="false">MIN(Piano_SS!$C$9,(BY406)+IF(AND(Motore_Operativo!C407&gt;=EDATE(Parametri_v3!$C$24,Ipotesi!I14*12),Motore_Operativo!C407&lt;EDATE(Parametri_v3!$C$24,Parametri_v3!$C$25+Ipotesi!I14*12)),MAX(0,((IF(43-(INT((Ipotesi!$C$91)/30))&lt;1,0,INDEX(Motore_Operativo!$BQ$365:$BQ$424,MAX(1,43-(INT((Ipotesi!$C$91)/30)))))*(1-(MOD((Ipotesi!$C$91),30)/30))+IF(43-(INT((Ipotesi!$C$91)/30))-1&lt;1,0,INDEX(Motore_Operativo!$BQ$365:$BQ$424,MAX(1,43-(INT((Ipotesi!$C$91)/30))-1)))*(MOD((Ipotesi!$C$91),30)/30))+(IF(43-(INT((Ipotesi!$C$91)/30))&lt;1,0,INDEX(Motore_Operativo!$BR$365:$BR$424,MAX(1,43-(INT((Ipotesi!$C$91)/30)))))*(1-(MOD((Ipotesi!$C$91),30)/30))+IF(43-(INT((Ipotesi!$C$91)/30))-1&lt;1,0,INDEX(Motore_Operativo!$BR$365:$BR$424,MAX(1,43-(INT((Ipotesi!$C$91)/30))-1)))*(MOD((Ipotesi!$C$91),30)/30))))*Piano_SS!$D$9,0))</f>
        <v>40000</v>
      </c>
      <c r="BZ407" s="15" t="n">
        <f aca="false">MIN(Piano_SS!$C$10,(BZ406)+IF(AND(Motore_Operativo!C407&gt;=EDATE(Parametri_v3!$C$24,Ipotesi!I14*12),Motore_Operativo!C407&lt;EDATE(Parametri_v3!$C$24,Parametri_v3!$C$25+Ipotesi!I14*12)),MAX(0,(IF(43-(INT((Ipotesi!$C$91)/30))&lt;1,0,INDEX(Motore_Operativo!$BO$365:$BO$424,MAX(1,43-(INT((Ipotesi!$C$91)/30)))))*(1-(MOD((Ipotesi!$C$91),30)/30))+IF(43-(INT((Ipotesi!$C$91)/30))-1&lt;1,0,INDEX(Motore_Operativo!$BO$365:$BO$424,MAX(1,43-(INT((Ipotesi!$C$91)/30))-1)))*(MOD((Ipotesi!$C$91),30)/30)))*Piano_SS!$D$10,0))</f>
        <v>30000</v>
      </c>
      <c r="CA407" s="15" t="n">
        <f aca="false">SUM(BV407:BZ407)</f>
        <v>461058.923007084</v>
      </c>
      <c r="CB407" s="15" t="n">
        <f aca="false">BV407*(1-Piano_SS!$E$6)+BW407*(1-Piano_SS!$E$7)+BX407*(1-Piano_SS!$E$8)+BY407*(1-Piano_SS!$E$9)+BZ407*(1-Piano_SS!$E$10)</f>
        <v>431058.923007084</v>
      </c>
      <c r="CC407" s="15" t="n">
        <f aca="false">(CC406)+BA407</f>
        <v>368847.138405667</v>
      </c>
      <c r="CD407" s="15" t="n">
        <f aca="false">IF(CA407=0,0,CC407*CB407/CA407*Ipotesi!$C$103*Parametri_v3!$C$64)</f>
        <v>103454.1415217</v>
      </c>
      <c r="CE407" s="18" t="n">
        <f aca="false">IF(BA407&gt;0,Motore_Operativo!C407,(CE406))</f>
        <v>47270</v>
      </c>
      <c r="CF407" s="18" t="n">
        <f aca="false">IF(AND(CC407&gt;0,OR(CC407&gt;=CG407-0.01,Motore_Operativo!C407&gt;=EDATE(MAX(Finanziamenti!$D$15:$D$17),Ipotesi!I14*12))),CE407,0)</f>
        <v>47270</v>
      </c>
      <c r="CG407" s="15" t="n">
        <f aca="false">IF(AND(7&lt;&gt;6,7&lt;&gt;9,Finanziamenti!$F$11=1,OR(Parametri_v3!$C$6=0,Finanziamenti!$E$11=1)),MIN(Finanziamenti!$C$11,Piano_SS!$C$12*Ipotesi!$C$102),0)</f>
        <v>400000</v>
      </c>
      <c r="CH407" s="15" t="n">
        <f aca="false">IF(AND(AND(7&lt;&gt;8,7&lt;&gt;9,Finanziamenti!$F$10=1,OR(Parametri_v3!$C$6=0,Finanziamenti!$E$10=1)),Motore_Operativo!C407&gt;=Finanziamenti!$D$10,Motore_Operativo!C407&lt;Parametri_v3!$C$63),Finanziamenti!$C$10,0)</f>
        <v>150000</v>
      </c>
    </row>
    <row r="408" customFormat="false" ht="18" hidden="false" customHeight="true" outlineLevel="0" collapsed="false">
      <c r="A408" s="68" t="n">
        <f aca="false">7</f>
        <v>7</v>
      </c>
      <c r="B408" s="68" t="n">
        <f aca="false">44</f>
        <v>44</v>
      </c>
      <c r="C408" s="18" t="n">
        <f aca="false">Motore_Operativo!C408</f>
        <v>47696</v>
      </c>
      <c r="D408" s="68" t="n">
        <f aca="false">Motore_Operativo!D408</f>
        <v>2030</v>
      </c>
      <c r="E408" s="68" t="n">
        <f aca="false">Motore_Operativo!E408</f>
        <v>8</v>
      </c>
      <c r="F408" s="15" t="n">
        <f aca="false">Motore_Operativo!AQ408+Motore_Operativo!BF408</f>
        <v>129085.876915895</v>
      </c>
      <c r="G408" s="15" t="n">
        <f aca="false">Motore_Operativo!BH408</f>
        <v>9024.16666666667</v>
      </c>
      <c r="H408" s="15" t="n">
        <f aca="false">Motore_Operativo!BI408</f>
        <v>138110.043582562</v>
      </c>
      <c r="I408" s="15" t="n">
        <f aca="false">Motore_Operativo!CA408</f>
        <v>157677.498393225</v>
      </c>
      <c r="J408" s="15" t="n">
        <f aca="false">Motore_Operativo!CC408</f>
        <v>-19567.4548106635</v>
      </c>
      <c r="K408" s="15" t="n">
        <f aca="false">Motore_Operativo!CE408</f>
        <v>3333.33333333333</v>
      </c>
      <c r="L408" s="15" t="n">
        <f aca="false">SUM(INDEX($K$365:$K$424,MAX(1,44-Parametri_v3!$C$59+1)):K408)/Parametri_v3!$C$59</f>
        <v>2453.7037037037</v>
      </c>
      <c r="M408" s="15" t="n">
        <f aca="false">J408-L408</f>
        <v>-22021.1585143672</v>
      </c>
      <c r="N408" s="15" t="n">
        <f aca="false">CD408-(CD407)</f>
        <v>0</v>
      </c>
      <c r="O408" s="15" t="n">
        <f aca="false">(BG407)*Ipotesi!$C$110/12+CH408*Parametri_v3!$C$39/12</f>
        <v>750</v>
      </c>
      <c r="P408" s="15" t="n">
        <f aca="false">M408+N408-O408</f>
        <v>-22771.1585143672</v>
      </c>
      <c r="Q408" s="15" t="n">
        <f aca="false">SUM(P401:P408)+Parametri_v3!$C$54*8/12</f>
        <v>-250404.530919539</v>
      </c>
      <c r="R408" s="15" t="n">
        <f aca="false">Z400</f>
        <v>1016758.23194941</v>
      </c>
      <c r="S408" s="15" t="n">
        <f aca="false">AA400</f>
        <v>0</v>
      </c>
      <c r="T408" s="15" t="n">
        <f aca="false">MIN(R408,MAX(0,Q408))</f>
        <v>0</v>
      </c>
      <c r="U408" s="15" t="n">
        <f aca="false">MIN(S408,MAX(0,Q408-T408)*Parametri_v3!$C$42)</f>
        <v>0</v>
      </c>
      <c r="V408" s="15" t="n">
        <f aca="false">MAX(0,Q408-T408-U408)*Ipotesi!$C$92</f>
        <v>0</v>
      </c>
      <c r="W408" s="15" t="n">
        <f aca="false">MAX(0,SUM(M401:M408)+Parametri_v3!$C$55*8/12)*Ipotesi!$C$93</f>
        <v>0</v>
      </c>
      <c r="X408" s="15" t="n">
        <f aca="false">V408+W408-(V407+W407)</f>
        <v>0</v>
      </c>
      <c r="Y408" s="15" t="n">
        <f aca="false">P408-X408</f>
        <v>-22771.1585143672</v>
      </c>
      <c r="Z408" s="15" t="n">
        <f aca="false">R408-T408+IF(AND(Parametri_v3!$C$40=1,D408-YEAR(Parametri_v3!$C$50)&lt;Parametri_v3!$C$41),MAX(0,-Q408),0)</f>
        <v>1016758.23194941</v>
      </c>
      <c r="AA408" s="15" t="n">
        <f aca="false">S408-U408+IF(AND(Parametri_v3!$C$40=1,D408-YEAR(Parametri_v3!$C$50)&lt;Parametri_v3!$C$41),0,MAX(0,-Q408))</f>
        <v>250404.530919539</v>
      </c>
      <c r="AB408" s="15" t="n">
        <f aca="false">F408*(1+Parametri_v3!$C$26)</f>
        <v>157484.769837392</v>
      </c>
      <c r="AC408" s="15" t="n">
        <f aca="false">(IF(44-(INT((Motore_Operativo!L408)/30))&lt;1,0,INDEX(Motore_Startup!$AB$365:$AB$424,MAX(1,44-(INT((Motore_Operativo!L408)/30)))))*(1-(MOD((Motore_Operativo!L408),30)/30))+IF(44-(INT((Motore_Operativo!L408)/30))-1&lt;1,0,INDEX(Motore_Startup!$AB$365:$AB$424,MAX(1,44-(INT((Motore_Operativo!L408)/30))-1)))*(MOD((Motore_Operativo!L408),30)/30))</f>
        <v>146462.096991123</v>
      </c>
      <c r="AD408" s="15" t="n">
        <f aca="false">(AD407)+AB408-AC408</f>
        <v>461496.155531127</v>
      </c>
      <c r="AE408" s="15" t="n">
        <f aca="false">Motore_Operativo!BH408*(1+Parametri_v3!$C$26)</f>
        <v>11009.4833333333</v>
      </c>
      <c r="AF408" s="15" t="n">
        <f aca="false">(IF(44-(INT((Parametri_v3!$C$29)/30))&lt;1,0,INDEX(Motore_Operativo!$BH$365:$BH$424,MAX(1,44-(INT((Parametri_v3!$C$29)/30)))))*(1-(MOD((Parametri_v3!$C$29),30)/30))+IF(44-(INT((Parametri_v3!$C$29)/30))-1&lt;1,0,INDEX(Motore_Operativo!$BH$365:$BH$424,MAX(1,44-(INT((Parametri_v3!$C$29)/30))-1)))*(MOD((Parametri_v3!$C$29),30)/30))*(1+Parametri_v3!$C$26)</f>
        <v>11009.4833333333</v>
      </c>
      <c r="AG408" s="15" t="n">
        <f aca="false">(AG407)+AE408-AF408</f>
        <v>11009.4833333333</v>
      </c>
      <c r="AH408" s="15" t="n">
        <f aca="false">(Motore_Operativo!CJ408)*(1+Parametri_v3!$C$27*Parametri_v3!$C$26)</f>
        <v>72649.6399342168</v>
      </c>
      <c r="AI408" s="15" t="n">
        <f aca="false">(IF(44-(INT((Ipotesi!$C$91)/30))&lt;1,0,INDEX(Motore_Startup!$AH$365:$AH$424,MAX(1,44-(INT((Ipotesi!$C$91)/30)))))*(1-(MOD((Ipotesi!$C$91),30)/30))+IF(44-(INT((Ipotesi!$C$91)/30))-1&lt;1,0,INDEX(Motore_Startup!$AH$365:$AH$424,MAX(1,44-(INT((Ipotesi!$C$91)/30))-1)))*(MOD((Ipotesi!$C$91),30)/30))</f>
        <v>71653.0854545834</v>
      </c>
      <c r="AJ408" s="15" t="n">
        <f aca="false">(AJ407)+AH408-AI408</f>
        <v>144803.190062353</v>
      </c>
      <c r="AK408" s="15" t="n">
        <f aca="false">(F408+ Motore_Operativo!BH408-(Motore_Operativo!CJ408)*Parametri_v3!$C$27-Motore_Operativo!CE408)*Parametri_v3!$C$26</f>
        <v>18205.6507555055</v>
      </c>
      <c r="AL408" s="15" t="n">
        <f aca="false">MAX(0,(AM407))</f>
        <v>17627.0484795728</v>
      </c>
      <c r="AM408" s="15" t="n">
        <f aca="false">(AM407)+AK408-AL408</f>
        <v>18205.6507555055</v>
      </c>
      <c r="AN408" s="15" t="n">
        <f aca="false">SUM(X389:X400)</f>
        <v>0</v>
      </c>
      <c r="AO408" s="15" t="n">
        <f aca="false">SUM(AP389:AP400)</f>
        <v>0</v>
      </c>
      <c r="AP408" s="15" t="n">
        <f aca="false">MAX(0,AN408)*IF(8=Parametri_v3!$C$43,Parametri_v3!$C$45,IF(8=Parametri_v3!$C$44,1-Parametri_v3!$C$45,0))</f>
        <v>0</v>
      </c>
      <c r="AQ408" s="15" t="n">
        <f aca="false">MAX(0,AP408+IF(8=Parametri_v3!$C$43,MAX(0,AN408-AO408),0)-MAX(0,-(AR407)))</f>
        <v>0</v>
      </c>
      <c r="AR408" s="15" t="n">
        <f aca="false">(AR407)+X408-AQ408</f>
        <v>0</v>
      </c>
      <c r="AS408" s="15" t="n">
        <f aca="false">Motore_Operativo!AB408-AT408+AU408</f>
        <v>91649.4297604167</v>
      </c>
      <c r="AT408" s="15" t="n">
        <f aca="false">Motore_Operativo!CH408</f>
        <v>4823.65419791667</v>
      </c>
      <c r="AU408" s="15" t="n">
        <f aca="false">MIN(MAX(0,(AV407)+AT408),Parametri_v3!$C$60/12)</f>
        <v>0</v>
      </c>
      <c r="AV408" s="15" t="n">
        <f aca="false">(AV407)+AT408-AU408</f>
        <v>117760.933583333</v>
      </c>
      <c r="AW408" s="15" t="n">
        <f aca="false">IF(AND(Motore_Operativo!C408=Finanziamenti!$D$6,Finanziamenti!$F$6=1),Finanziamenti!$C$6,0)</f>
        <v>0</v>
      </c>
      <c r="AX408" s="15" t="n">
        <f aca="false">IF(AND(7&lt;&gt;7,7&lt;&gt;9,Finanziamenti!$F$8=1,OR(Parametri_v3!$C$6=0,Finanziamenti!$E$8=1),Motore_Operativo!C408=EDATE(Finanziamenti!$D$8,Ipotesi!I15*12)),Finanziamenti!$C$8*1,0)+IF(AND(7&lt;&gt;7,7&lt;&gt;9,Finanziamenti!$F$9=1,OR(Parametri_v3!$C$6=0,Finanziamenti!$E$9=1),Motore_Operativo!C408=EDATE(Finanziamenti!$D$9,Ipotesi!I15*12)),Finanziamenti!$C$9*Ipotesi!I16,0)</f>
        <v>0</v>
      </c>
      <c r="AY408" s="15" t="n">
        <f aca="false">0</f>
        <v>0</v>
      </c>
      <c r="AZ408" s="15" t="n">
        <f aca="false">Motore_Advisory!AY408*(1-Ipotesi!$C$95)*Ipotesi!$C$96</f>
        <v>0</v>
      </c>
      <c r="BA408" s="15" t="n">
        <f aca="false">MAX(0,MIN(CG408*MIN(1,IF(Motore_Operativo!C408&gt;=EDATE(Finanziamenti!$D$15,Ipotesi!I14*12),Finanziamenti!$C$15,0)+IF(Motore_Operativo!C408&gt;=EDATE(Finanziamenti!$D$16,Ipotesi!I14*12),Finanziamenti!$C$16,0)+IF(Motore_Operativo!C408&gt;=EDATE(Finanziamenti!$D$17,Ipotesi!I14*12),Finanziamenti!$C$17,0)),CA408*Ipotesi!$C$102)-(CC407))</f>
        <v>0</v>
      </c>
      <c r="BB408" s="15" t="n">
        <f aca="false">IF(AND(CF408&gt;0,Motore_Operativo!C408&gt;=IF(CF408=0,0,EDATE(CF408,Parametri_v3!$C$37)),MOD(((D408-YEAR(IF(CF408=0,0,EDATE(CF408,Parametri_v3!$C$37))))*12+E408-MONTH(IF(CF408=0,0,EDATE(CF408,Parametri_v3!$C$37)))),Parametri_v3!$C$38)=0),MIN(MAX(0,(BC407)+BA408-N408),(CC408-CD408)/(Ipotesi!$C$108*12/Parametri_v3!$C$38)),0)</f>
        <v>0</v>
      </c>
      <c r="BC408" s="15" t="n">
        <f aca="false">(BC407)+BA408-N408-BB408</f>
        <v>252123.347039769</v>
      </c>
      <c r="BD408" s="15" t="n">
        <f aca="false">(BH407)+AC408+AF408-AI408-AS408-K408*(1+Parametri_v3!$C$26)-AL408-AQ408-O408+AW408+AX408+AZ408+BA408-BB408</f>
        <v>-939193.263998006</v>
      </c>
      <c r="BE408" s="15" t="n">
        <f aca="false">MAX(0,MIN(MAX(0,CH408-(BG407)),Parametri_v3!$C$30-BD408))</f>
        <v>0</v>
      </c>
      <c r="BF408" s="15" t="n">
        <f aca="false">IF(Motore_Operativo!C408&gt;=Parametri_v3!$C$63,(BG407),MIN((BG407),MAX(0,BD408-Parametri_v3!$C$30)))</f>
        <v>0</v>
      </c>
      <c r="BG408" s="15" t="n">
        <f aca="false">(BG407)+BE408-BF408</f>
        <v>150000</v>
      </c>
      <c r="BH408" s="15" t="n">
        <f aca="false">BD408+BE408-BF408-AY408</f>
        <v>-939193.263998006</v>
      </c>
      <c r="BI408" s="15" t="n">
        <f aca="false">MAX(0,Parametri_v3!$C$30-BH408)</f>
        <v>964193.263998006</v>
      </c>
      <c r="BJ408" s="15" t="n">
        <f aca="false">(BJ407)+K408</f>
        <v>101666.666666667</v>
      </c>
      <c r="BK408" s="15" t="n">
        <f aca="false">(BK407)+L408</f>
        <v>53541.6666666667</v>
      </c>
      <c r="BL408" s="15" t="n">
        <f aca="false">BJ408-BK408</f>
        <v>48125</v>
      </c>
      <c r="BM408" s="15" t="n">
        <f aca="false">(BM407)+Y408</f>
        <v>-1267162.76286895</v>
      </c>
      <c r="BN408" s="15" t="n">
        <f aca="false">(BN407)+AW408+AX408+AZ408</f>
        <v>165707.016294444</v>
      </c>
      <c r="BO408" s="15" t="n">
        <f aca="false">(BO407)+AY408</f>
        <v>0</v>
      </c>
      <c r="BP408" s="15" t="n">
        <f aca="false">0</f>
        <v>0</v>
      </c>
      <c r="BQ408" s="15" t="n">
        <f aca="false">BN408+BM408-BO408</f>
        <v>-1101455.74657451</v>
      </c>
      <c r="BR408" s="15" t="n">
        <f aca="false">BH408+AD408+BL408+MAX(0,-AM408)+MAX(0,-AR408)+AG408</f>
        <v>-418562.625133546</v>
      </c>
      <c r="BS408" s="15" t="n">
        <f aca="false">AJ408+AV408+MAX(0,AM408)+MAX(0,AR408)+BC408+BG408+BQ408</f>
        <v>-418562.625133545</v>
      </c>
      <c r="BT408" s="15" t="n">
        <f aca="false">BR408-BS408</f>
        <v>0</v>
      </c>
      <c r="BU408" s="15" t="n">
        <f aca="false">BH408-(BD408+BE408-BF408-AY408)</f>
        <v>0</v>
      </c>
      <c r="BV408" s="15" t="n">
        <f aca="false">MIN(Piano_SS!$C$6,(BV407)+IF(AND(Motore_Operativo!C408&gt;=EDATE(Parametri_v3!$C$24,Ipotesi!I14*12),Motore_Operativo!C408&lt;EDATE(Parametri_v3!$C$24,Parametri_v3!$C$25+Ipotesi!I14*12)),MAX(0,(Motore_Operativo!Y408+Motore_Operativo!X408*Parametri_v3!$C$14)*(1-Parametri_v3!$C$32))*Piano_SS!$D$6,0))</f>
        <v>300000</v>
      </c>
      <c r="BW408" s="15" t="n">
        <f aca="false">MIN(Piano_SS!$C$7,(BW407)+IF(AND(Motore_Operativo!C408&gt;=EDATE(Parametri_v3!$C$24,Ipotesi!I14*12),Motore_Operativo!C408&lt;EDATE(Parametri_v3!$C$24,Parametri_v3!$C$25+Ipotesi!I14*12)),MAX(0,(IF(44-(INT((Ipotesi!$C$91)/30))&lt;1,0,INDEX(Motore_Operativo!$BN$365:$BN$424,MAX(1,44-(INT((Ipotesi!$C$91)/30)))))*(1-(MOD((Ipotesi!$C$91),30)/30))+IF(44-(INT((Ipotesi!$C$91)/30))-1&lt;1,0,INDEX(Motore_Operativo!$BN$365:$BN$424,MAX(1,44-(INT((Ipotesi!$C$91)/30))-1)))*(MOD((Ipotesi!$C$91),30)/30)))*Piano_SS!$D$7,0))</f>
        <v>41058.9230070837</v>
      </c>
      <c r="BX408" s="15" t="n">
        <f aca="false">MIN(Piano_SS!$C$8,(BX407)+IF(AND(Motore_Operativo!C408&gt;=EDATE(Parametri_v3!$C$24,Ipotesi!I14*12),Motore_Operativo!C408&lt;EDATE(Parametri_v3!$C$24,Parametri_v3!$C$25+Ipotesi!I14*12)),MAX(0,Motore_Operativo!CE408)*Piano_SS!$D$8,0))</f>
        <v>50000</v>
      </c>
      <c r="BY408" s="15" t="n">
        <f aca="false">MIN(Piano_SS!$C$9,(BY407)+IF(AND(Motore_Operativo!C408&gt;=EDATE(Parametri_v3!$C$24,Ipotesi!I14*12),Motore_Operativo!C408&lt;EDATE(Parametri_v3!$C$24,Parametri_v3!$C$25+Ipotesi!I14*12)),MAX(0,((IF(44-(INT((Ipotesi!$C$91)/30))&lt;1,0,INDEX(Motore_Operativo!$BQ$365:$BQ$424,MAX(1,44-(INT((Ipotesi!$C$91)/30)))))*(1-(MOD((Ipotesi!$C$91),30)/30))+IF(44-(INT((Ipotesi!$C$91)/30))-1&lt;1,0,INDEX(Motore_Operativo!$BQ$365:$BQ$424,MAX(1,44-(INT((Ipotesi!$C$91)/30))-1)))*(MOD((Ipotesi!$C$91),30)/30))+(IF(44-(INT((Ipotesi!$C$91)/30))&lt;1,0,INDEX(Motore_Operativo!$BR$365:$BR$424,MAX(1,44-(INT((Ipotesi!$C$91)/30)))))*(1-(MOD((Ipotesi!$C$91),30)/30))+IF(44-(INT((Ipotesi!$C$91)/30))-1&lt;1,0,INDEX(Motore_Operativo!$BR$365:$BR$424,MAX(1,44-(INT((Ipotesi!$C$91)/30))-1)))*(MOD((Ipotesi!$C$91),30)/30))))*Piano_SS!$D$9,0))</f>
        <v>40000</v>
      </c>
      <c r="BZ408" s="15" t="n">
        <f aca="false">MIN(Piano_SS!$C$10,(BZ407)+IF(AND(Motore_Operativo!C408&gt;=EDATE(Parametri_v3!$C$24,Ipotesi!I14*12),Motore_Operativo!C408&lt;EDATE(Parametri_v3!$C$24,Parametri_v3!$C$25+Ipotesi!I14*12)),MAX(0,(IF(44-(INT((Ipotesi!$C$91)/30))&lt;1,0,INDEX(Motore_Operativo!$BO$365:$BO$424,MAX(1,44-(INT((Ipotesi!$C$91)/30)))))*(1-(MOD((Ipotesi!$C$91),30)/30))+IF(44-(INT((Ipotesi!$C$91)/30))-1&lt;1,0,INDEX(Motore_Operativo!$BO$365:$BO$424,MAX(1,44-(INT((Ipotesi!$C$91)/30))-1)))*(MOD((Ipotesi!$C$91),30)/30)))*Piano_SS!$D$10,0))</f>
        <v>30000</v>
      </c>
      <c r="CA408" s="15" t="n">
        <f aca="false">SUM(BV408:BZ408)</f>
        <v>461058.923007084</v>
      </c>
      <c r="CB408" s="15" t="n">
        <f aca="false">BV408*(1-Piano_SS!$E$6)+BW408*(1-Piano_SS!$E$7)+BX408*(1-Piano_SS!$E$8)+BY408*(1-Piano_SS!$E$9)+BZ408*(1-Piano_SS!$E$10)</f>
        <v>431058.923007084</v>
      </c>
      <c r="CC408" s="15" t="n">
        <f aca="false">(CC407)+BA408</f>
        <v>368847.138405667</v>
      </c>
      <c r="CD408" s="15" t="n">
        <f aca="false">IF(CA408=0,0,CC408*CB408/CA408*Ipotesi!$C$103*Parametri_v3!$C$64)</f>
        <v>103454.1415217</v>
      </c>
      <c r="CE408" s="18" t="n">
        <f aca="false">IF(BA408&gt;0,Motore_Operativo!C408,(CE407))</f>
        <v>47270</v>
      </c>
      <c r="CF408" s="18" t="n">
        <f aca="false">IF(AND(CC408&gt;0,OR(CC408&gt;=CG408-0.01,Motore_Operativo!C408&gt;=EDATE(MAX(Finanziamenti!$D$15:$D$17),Ipotesi!I14*12))),CE408,0)</f>
        <v>47270</v>
      </c>
      <c r="CG408" s="15" t="n">
        <f aca="false">IF(AND(7&lt;&gt;6,7&lt;&gt;9,Finanziamenti!$F$11=1,OR(Parametri_v3!$C$6=0,Finanziamenti!$E$11=1)),MIN(Finanziamenti!$C$11,Piano_SS!$C$12*Ipotesi!$C$102),0)</f>
        <v>400000</v>
      </c>
      <c r="CH408" s="15" t="n">
        <f aca="false">IF(AND(AND(7&lt;&gt;8,7&lt;&gt;9,Finanziamenti!$F$10=1,OR(Parametri_v3!$C$6=0,Finanziamenti!$E$10=1)),Motore_Operativo!C408&gt;=Finanziamenti!$D$10,Motore_Operativo!C408&lt;Parametri_v3!$C$63),Finanziamenti!$C$10,0)</f>
        <v>150000</v>
      </c>
    </row>
    <row r="409" customFormat="false" ht="18" hidden="false" customHeight="true" outlineLevel="0" collapsed="false">
      <c r="A409" s="68" t="n">
        <f aca="false">7</f>
        <v>7</v>
      </c>
      <c r="B409" s="68" t="n">
        <f aca="false">45</f>
        <v>45</v>
      </c>
      <c r="C409" s="18" t="n">
        <f aca="false">Motore_Operativo!C409</f>
        <v>47727</v>
      </c>
      <c r="D409" s="68" t="n">
        <f aca="false">Motore_Operativo!D409</f>
        <v>2030</v>
      </c>
      <c r="E409" s="68" t="n">
        <f aca="false">Motore_Operativo!E409</f>
        <v>9</v>
      </c>
      <c r="F409" s="15" t="n">
        <f aca="false">Motore_Operativo!AQ409+Motore_Operativo!BF409</f>
        <v>132045.036754606</v>
      </c>
      <c r="G409" s="15" t="n">
        <f aca="false">Motore_Operativo!BH409</f>
        <v>9024.16666666667</v>
      </c>
      <c r="H409" s="15" t="n">
        <f aca="false">Motore_Operativo!BI409</f>
        <v>141069.203421273</v>
      </c>
      <c r="I409" s="15" t="n">
        <f aca="false">Motore_Operativo!CA409</f>
        <v>158091.780770645</v>
      </c>
      <c r="J409" s="15" t="n">
        <f aca="false">Motore_Operativo!CC409</f>
        <v>-17022.5773493721</v>
      </c>
      <c r="K409" s="15" t="n">
        <f aca="false">Motore_Operativo!CE409</f>
        <v>3333.33333333333</v>
      </c>
      <c r="L409" s="15" t="n">
        <f aca="false">SUM(INDEX($K$365:$K$424,MAX(1,45-Parametri_v3!$C$59+1)):K409)/Parametri_v3!$C$59</f>
        <v>2500</v>
      </c>
      <c r="M409" s="15" t="n">
        <f aca="false">J409-L409</f>
        <v>-19522.5773493721</v>
      </c>
      <c r="N409" s="15" t="n">
        <f aca="false">CD409-(CD408)</f>
        <v>0</v>
      </c>
      <c r="O409" s="15" t="n">
        <f aca="false">(BG408)*Ipotesi!$C$110/12+CH409*Parametri_v3!$C$39/12</f>
        <v>750</v>
      </c>
      <c r="P409" s="15" t="n">
        <f aca="false">M409+N409-O409</f>
        <v>-20272.5773493721</v>
      </c>
      <c r="Q409" s="15" t="n">
        <f aca="false">SUM(P401:P409)+Parametri_v3!$C$54*9/12</f>
        <v>-270677.108268911</v>
      </c>
      <c r="R409" s="15" t="n">
        <f aca="false">Z400</f>
        <v>1016758.23194941</v>
      </c>
      <c r="S409" s="15" t="n">
        <f aca="false">AA400</f>
        <v>0</v>
      </c>
      <c r="T409" s="15" t="n">
        <f aca="false">MIN(R409,MAX(0,Q409))</f>
        <v>0</v>
      </c>
      <c r="U409" s="15" t="n">
        <f aca="false">MIN(S409,MAX(0,Q409-T409)*Parametri_v3!$C$42)</f>
        <v>0</v>
      </c>
      <c r="V409" s="15" t="n">
        <f aca="false">MAX(0,Q409-T409-U409)*Ipotesi!$C$92</f>
        <v>0</v>
      </c>
      <c r="W409" s="15" t="n">
        <f aca="false">MAX(0,SUM(M401:M409)+Parametri_v3!$C$55*9/12)*Ipotesi!$C$93</f>
        <v>0</v>
      </c>
      <c r="X409" s="15" t="n">
        <f aca="false">V409+W409-(V408+W408)</f>
        <v>0</v>
      </c>
      <c r="Y409" s="15" t="n">
        <f aca="false">P409-X409</f>
        <v>-20272.5773493721</v>
      </c>
      <c r="Z409" s="15" t="n">
        <f aca="false">R409-T409+IF(AND(Parametri_v3!$C$40=1,D409-YEAR(Parametri_v3!$C$50)&lt;Parametri_v3!$C$41),MAX(0,-Q409),0)</f>
        <v>1016758.23194941</v>
      </c>
      <c r="AA409" s="15" t="n">
        <f aca="false">S409-U409+IF(AND(Parametri_v3!$C$40=1,D409-YEAR(Parametri_v3!$C$50)&lt;Parametri_v3!$C$41),0,MAX(0,-Q409))</f>
        <v>270677.108268911</v>
      </c>
      <c r="AB409" s="15" t="n">
        <f aca="false">F409*(1+Parametri_v3!$C$26)</f>
        <v>161094.944840619</v>
      </c>
      <c r="AC409" s="15" t="n">
        <f aca="false">(IF(45-(INT((Motore_Operativo!L409)/30))&lt;1,0,INDEX(Motore_Startup!$AB$365:$AB$424,MAX(1,45-(INT((Motore_Operativo!L409)/30)))))*(1-(MOD((Motore_Operativo!L409),30)/30))+IF(45-(INT((Motore_Operativo!L409)/30))-1&lt;1,0,INDEX(Motore_Startup!$AB$365:$AB$424,MAX(1,45-(INT((Motore_Operativo!L409)/30))-1)))*(MOD((Motore_Operativo!L409),30)/30))</f>
        <v>150168.627912054</v>
      </c>
      <c r="AD409" s="15" t="n">
        <f aca="false">(AD408)+AB409-AC409</f>
        <v>472422.472459693</v>
      </c>
      <c r="AE409" s="15" t="n">
        <f aca="false">Motore_Operativo!BH409*(1+Parametri_v3!$C$26)</f>
        <v>11009.4833333333</v>
      </c>
      <c r="AF409" s="15" t="n">
        <f aca="false">(IF(45-(INT((Parametri_v3!$C$29)/30))&lt;1,0,INDEX(Motore_Operativo!$BH$365:$BH$424,MAX(1,45-(INT((Parametri_v3!$C$29)/30)))))*(1-(MOD((Parametri_v3!$C$29),30)/30))+IF(45-(INT((Parametri_v3!$C$29)/30))-1&lt;1,0,INDEX(Motore_Operativo!$BH$365:$BH$424,MAX(1,45-(INT((Parametri_v3!$C$29)/30))-1)))*(MOD((Parametri_v3!$C$29),30)/30))*(1+Parametri_v3!$C$26)</f>
        <v>11009.4833333333</v>
      </c>
      <c r="AG409" s="15" t="n">
        <f aca="false">(AG408)+AE409-AF409</f>
        <v>11009.4833333333</v>
      </c>
      <c r="AH409" s="15" t="n">
        <f aca="false">(Motore_Operativo!CJ409)*(1+Parametri_v3!$C$27*Parametri_v3!$C$26)</f>
        <v>73141.3931162138</v>
      </c>
      <c r="AI409" s="15" t="n">
        <f aca="false">(IF(45-(INT((Ipotesi!$C$91)/30))&lt;1,0,INDEX(Motore_Startup!$AH$365:$AH$424,MAX(1,45-(INT((Ipotesi!$C$91)/30)))))*(1-(MOD((Ipotesi!$C$91),30)/30))+IF(45-(INT((Ipotesi!$C$91)/30))-1&lt;1,0,INDEX(Motore_Startup!$AH$365:$AH$424,MAX(1,45-(INT((Ipotesi!$C$91)/30))-1)))*(MOD((Ipotesi!$C$91),30)/30))</f>
        <v>72153.5501281365</v>
      </c>
      <c r="AJ409" s="15" t="n">
        <f aca="false">(AJ408)+AH409-AI409</f>
        <v>145791.033050431</v>
      </c>
      <c r="AK409" s="15" t="n">
        <f aca="false">(F409+ Motore_Operativo!BH409-(Motore_Operativo!CJ409)*Parametri_v3!$C$27-Motore_Operativo!CE409)*Parametri_v3!$C$26</f>
        <v>18779.1951154444</v>
      </c>
      <c r="AL409" s="15" t="n">
        <f aca="false">MAX(0,(AM408))</f>
        <v>18205.6507555055</v>
      </c>
      <c r="AM409" s="15" t="n">
        <f aca="false">(AM408)+AK409-AL409</f>
        <v>18779.1951154444</v>
      </c>
      <c r="AN409" s="15" t="n">
        <f aca="false">SUM(X389:X400)</f>
        <v>0</v>
      </c>
      <c r="AO409" s="15" t="n">
        <f aca="false">SUM(AP389:AP400)</f>
        <v>0</v>
      </c>
      <c r="AP409" s="15" t="n">
        <f aca="false">MAX(0,AN409)*IF(9=Parametri_v3!$C$43,Parametri_v3!$C$45,IF(9=Parametri_v3!$C$44,1-Parametri_v3!$C$45,0))</f>
        <v>0</v>
      </c>
      <c r="AQ409" s="15" t="n">
        <f aca="false">MAX(0,AP409+IF(9=Parametri_v3!$C$43,MAX(0,AN409-AO409),0)-MAX(0,-(AR408)))</f>
        <v>0</v>
      </c>
      <c r="AR409" s="15" t="n">
        <f aca="false">(AR408)+X409-AQ409</f>
        <v>0</v>
      </c>
      <c r="AS409" s="15" t="n">
        <f aca="false">Motore_Operativo!AB409-AT409+AU409</f>
        <v>91649.4297604167</v>
      </c>
      <c r="AT409" s="15" t="n">
        <f aca="false">Motore_Operativo!CH409</f>
        <v>4823.65419791667</v>
      </c>
      <c r="AU409" s="15" t="n">
        <f aca="false">MIN(MAX(0,(AV408)+AT409),Parametri_v3!$C$60/12)</f>
        <v>0</v>
      </c>
      <c r="AV409" s="15" t="n">
        <f aca="false">(AV408)+AT409-AU409</f>
        <v>122584.58778125</v>
      </c>
      <c r="AW409" s="15" t="n">
        <f aca="false">IF(AND(Motore_Operativo!C409=Finanziamenti!$D$6,Finanziamenti!$F$6=1),Finanziamenti!$C$6,0)</f>
        <v>0</v>
      </c>
      <c r="AX409" s="15" t="n">
        <f aca="false">IF(AND(7&lt;&gt;7,7&lt;&gt;9,Finanziamenti!$F$8=1,OR(Parametri_v3!$C$6=0,Finanziamenti!$E$8=1),Motore_Operativo!C409=EDATE(Finanziamenti!$D$8,Ipotesi!I15*12)),Finanziamenti!$C$8*1,0)+IF(AND(7&lt;&gt;7,7&lt;&gt;9,Finanziamenti!$F$9=1,OR(Parametri_v3!$C$6=0,Finanziamenti!$E$9=1),Motore_Operativo!C409=EDATE(Finanziamenti!$D$9,Ipotesi!I15*12)),Finanziamenti!$C$9*Ipotesi!I16,0)</f>
        <v>0</v>
      </c>
      <c r="AY409" s="15" t="n">
        <f aca="false">0</f>
        <v>0</v>
      </c>
      <c r="AZ409" s="15" t="n">
        <f aca="false">Motore_Advisory!AY409*(1-Ipotesi!$C$95)*Ipotesi!$C$96</f>
        <v>0</v>
      </c>
      <c r="BA409" s="15" t="n">
        <f aca="false">MAX(0,MIN(CG409*MIN(1,IF(Motore_Operativo!C409&gt;=EDATE(Finanziamenti!$D$15,Ipotesi!I14*12),Finanziamenti!$C$15,0)+IF(Motore_Operativo!C409&gt;=EDATE(Finanziamenti!$D$16,Ipotesi!I14*12),Finanziamenti!$C$16,0)+IF(Motore_Operativo!C409&gt;=EDATE(Finanziamenti!$D$17,Ipotesi!I14*12),Finanziamenti!$C$17,0)),CA409*Ipotesi!$C$102)-(CC408))</f>
        <v>0</v>
      </c>
      <c r="BB409" s="15" t="n">
        <f aca="false">IF(AND(CF409&gt;0,Motore_Operativo!C409&gt;=IF(CF409=0,0,EDATE(CF409,Parametri_v3!$C$37)),MOD(((D409-YEAR(IF(CF409=0,0,EDATE(CF409,Parametri_v3!$C$37))))*12+E409-MONTH(IF(CF409=0,0,EDATE(CF409,Parametri_v3!$C$37)))),Parametri_v3!$C$38)=0),MIN(MAX(0,(BC408)+BA409-N409),(CC409-CD409)/(Ipotesi!$C$108*12/Parametri_v3!$C$38)),0)</f>
        <v>0</v>
      </c>
      <c r="BC409" s="15" t="n">
        <f aca="false">(BC408)+BA409-N409-BB409</f>
        <v>252123.347039769</v>
      </c>
      <c r="BD409" s="15" t="n">
        <f aca="false">(BH408)+AC409+AF409-AI409-AS409-K409*(1+Parametri_v3!$C$26)-AL409-AQ409-O409+AW409+AX409+AZ409+BA409-BB409</f>
        <v>-964840.450063344</v>
      </c>
      <c r="BE409" s="15" t="n">
        <f aca="false">MAX(0,MIN(MAX(0,CH409-(BG408)),Parametri_v3!$C$30-BD409))</f>
        <v>0</v>
      </c>
      <c r="BF409" s="15" t="n">
        <f aca="false">IF(Motore_Operativo!C409&gt;=Parametri_v3!$C$63,(BG408),MIN((BG408),MAX(0,BD409-Parametri_v3!$C$30)))</f>
        <v>0</v>
      </c>
      <c r="BG409" s="15" t="n">
        <f aca="false">(BG408)+BE409-BF409</f>
        <v>150000</v>
      </c>
      <c r="BH409" s="15" t="n">
        <f aca="false">BD409+BE409-BF409-AY409</f>
        <v>-964840.450063344</v>
      </c>
      <c r="BI409" s="15" t="n">
        <f aca="false">MAX(0,Parametri_v3!$C$30-BH409)</f>
        <v>989840.450063344</v>
      </c>
      <c r="BJ409" s="15" t="n">
        <f aca="false">(BJ408)+K409</f>
        <v>105000</v>
      </c>
      <c r="BK409" s="15" t="n">
        <f aca="false">(BK408)+L409</f>
        <v>56041.6666666667</v>
      </c>
      <c r="BL409" s="15" t="n">
        <f aca="false">BJ409-BK409</f>
        <v>48958.3333333333</v>
      </c>
      <c r="BM409" s="15" t="n">
        <f aca="false">(BM408)+Y409</f>
        <v>-1287435.34021832</v>
      </c>
      <c r="BN409" s="15" t="n">
        <f aca="false">(BN408)+AW409+AX409+AZ409</f>
        <v>165707.016294444</v>
      </c>
      <c r="BO409" s="15" t="n">
        <f aca="false">(BO408)+AY409</f>
        <v>0</v>
      </c>
      <c r="BP409" s="15" t="n">
        <f aca="false">0</f>
        <v>0</v>
      </c>
      <c r="BQ409" s="15" t="n">
        <f aca="false">BN409+BM409-BO409</f>
        <v>-1121728.32392388</v>
      </c>
      <c r="BR409" s="15" t="n">
        <f aca="false">BH409+AD409+BL409+MAX(0,-AM409)+MAX(0,-AR409)+AG409</f>
        <v>-432450.160936985</v>
      </c>
      <c r="BS409" s="15" t="n">
        <f aca="false">AJ409+AV409+MAX(0,AM409)+MAX(0,AR409)+BC409+BG409+BQ409</f>
        <v>-432450.160936984</v>
      </c>
      <c r="BT409" s="15" t="n">
        <f aca="false">BR409-BS409</f>
        <v>0</v>
      </c>
      <c r="BU409" s="15" t="n">
        <f aca="false">BH409-(BD409+BE409-BF409-AY409)</f>
        <v>0</v>
      </c>
      <c r="BV409" s="15" t="n">
        <f aca="false">MIN(Piano_SS!$C$6,(BV408)+IF(AND(Motore_Operativo!C409&gt;=EDATE(Parametri_v3!$C$24,Ipotesi!I14*12),Motore_Operativo!C409&lt;EDATE(Parametri_v3!$C$24,Parametri_v3!$C$25+Ipotesi!I14*12)),MAX(0,(Motore_Operativo!Y409+Motore_Operativo!X409*Parametri_v3!$C$14)*(1-Parametri_v3!$C$32))*Piano_SS!$D$6,0))</f>
        <v>300000</v>
      </c>
      <c r="BW409" s="15" t="n">
        <f aca="false">MIN(Piano_SS!$C$7,(BW408)+IF(AND(Motore_Operativo!C409&gt;=EDATE(Parametri_v3!$C$24,Ipotesi!I14*12),Motore_Operativo!C409&lt;EDATE(Parametri_v3!$C$24,Parametri_v3!$C$25+Ipotesi!I14*12)),MAX(0,(IF(45-(INT((Ipotesi!$C$91)/30))&lt;1,0,INDEX(Motore_Operativo!$BN$365:$BN$424,MAX(1,45-(INT((Ipotesi!$C$91)/30)))))*(1-(MOD((Ipotesi!$C$91),30)/30))+IF(45-(INT((Ipotesi!$C$91)/30))-1&lt;1,0,INDEX(Motore_Operativo!$BN$365:$BN$424,MAX(1,45-(INT((Ipotesi!$C$91)/30))-1)))*(MOD((Ipotesi!$C$91),30)/30)))*Piano_SS!$D$7,0))</f>
        <v>41058.9230070837</v>
      </c>
      <c r="BX409" s="15" t="n">
        <f aca="false">MIN(Piano_SS!$C$8,(BX408)+IF(AND(Motore_Operativo!C409&gt;=EDATE(Parametri_v3!$C$24,Ipotesi!I14*12),Motore_Operativo!C409&lt;EDATE(Parametri_v3!$C$24,Parametri_v3!$C$25+Ipotesi!I14*12)),MAX(0,Motore_Operativo!CE409)*Piano_SS!$D$8,0))</f>
        <v>50000</v>
      </c>
      <c r="BY409" s="15" t="n">
        <f aca="false">MIN(Piano_SS!$C$9,(BY408)+IF(AND(Motore_Operativo!C409&gt;=EDATE(Parametri_v3!$C$24,Ipotesi!I14*12),Motore_Operativo!C409&lt;EDATE(Parametri_v3!$C$24,Parametri_v3!$C$25+Ipotesi!I14*12)),MAX(0,((IF(45-(INT((Ipotesi!$C$91)/30))&lt;1,0,INDEX(Motore_Operativo!$BQ$365:$BQ$424,MAX(1,45-(INT((Ipotesi!$C$91)/30)))))*(1-(MOD((Ipotesi!$C$91),30)/30))+IF(45-(INT((Ipotesi!$C$91)/30))-1&lt;1,0,INDEX(Motore_Operativo!$BQ$365:$BQ$424,MAX(1,45-(INT((Ipotesi!$C$91)/30))-1)))*(MOD((Ipotesi!$C$91),30)/30))+(IF(45-(INT((Ipotesi!$C$91)/30))&lt;1,0,INDEX(Motore_Operativo!$BR$365:$BR$424,MAX(1,45-(INT((Ipotesi!$C$91)/30)))))*(1-(MOD((Ipotesi!$C$91),30)/30))+IF(45-(INT((Ipotesi!$C$91)/30))-1&lt;1,0,INDEX(Motore_Operativo!$BR$365:$BR$424,MAX(1,45-(INT((Ipotesi!$C$91)/30))-1)))*(MOD((Ipotesi!$C$91),30)/30))))*Piano_SS!$D$9,0))</f>
        <v>40000</v>
      </c>
      <c r="BZ409" s="15" t="n">
        <f aca="false">MIN(Piano_SS!$C$10,(BZ408)+IF(AND(Motore_Operativo!C409&gt;=EDATE(Parametri_v3!$C$24,Ipotesi!I14*12),Motore_Operativo!C409&lt;EDATE(Parametri_v3!$C$24,Parametri_v3!$C$25+Ipotesi!I14*12)),MAX(0,(IF(45-(INT((Ipotesi!$C$91)/30))&lt;1,0,INDEX(Motore_Operativo!$BO$365:$BO$424,MAX(1,45-(INT((Ipotesi!$C$91)/30)))))*(1-(MOD((Ipotesi!$C$91),30)/30))+IF(45-(INT((Ipotesi!$C$91)/30))-1&lt;1,0,INDEX(Motore_Operativo!$BO$365:$BO$424,MAX(1,45-(INT((Ipotesi!$C$91)/30))-1)))*(MOD((Ipotesi!$C$91),30)/30)))*Piano_SS!$D$10,0))</f>
        <v>30000</v>
      </c>
      <c r="CA409" s="15" t="n">
        <f aca="false">SUM(BV409:BZ409)</f>
        <v>461058.923007084</v>
      </c>
      <c r="CB409" s="15" t="n">
        <f aca="false">BV409*(1-Piano_SS!$E$6)+BW409*(1-Piano_SS!$E$7)+BX409*(1-Piano_SS!$E$8)+BY409*(1-Piano_SS!$E$9)+BZ409*(1-Piano_SS!$E$10)</f>
        <v>431058.923007084</v>
      </c>
      <c r="CC409" s="15" t="n">
        <f aca="false">(CC408)+BA409</f>
        <v>368847.138405667</v>
      </c>
      <c r="CD409" s="15" t="n">
        <f aca="false">IF(CA409=0,0,CC409*CB409/CA409*Ipotesi!$C$103*Parametri_v3!$C$64)</f>
        <v>103454.1415217</v>
      </c>
      <c r="CE409" s="18" t="n">
        <f aca="false">IF(BA409&gt;0,Motore_Operativo!C409,(CE408))</f>
        <v>47270</v>
      </c>
      <c r="CF409" s="18" t="n">
        <f aca="false">IF(AND(CC409&gt;0,OR(CC409&gt;=CG409-0.01,Motore_Operativo!C409&gt;=EDATE(MAX(Finanziamenti!$D$15:$D$17),Ipotesi!I14*12))),CE409,0)</f>
        <v>47270</v>
      </c>
      <c r="CG409" s="15" t="n">
        <f aca="false">IF(AND(7&lt;&gt;6,7&lt;&gt;9,Finanziamenti!$F$11=1,OR(Parametri_v3!$C$6=0,Finanziamenti!$E$11=1)),MIN(Finanziamenti!$C$11,Piano_SS!$C$12*Ipotesi!$C$102),0)</f>
        <v>400000</v>
      </c>
      <c r="CH409" s="15" t="n">
        <f aca="false">IF(AND(AND(7&lt;&gt;8,7&lt;&gt;9,Finanziamenti!$F$10=1,OR(Parametri_v3!$C$6=0,Finanziamenti!$E$10=1)),Motore_Operativo!C409&gt;=Finanziamenti!$D$10,Motore_Operativo!C409&lt;Parametri_v3!$C$63),Finanziamenti!$C$10,0)</f>
        <v>150000</v>
      </c>
    </row>
    <row r="410" customFormat="false" ht="18" hidden="false" customHeight="true" outlineLevel="0" collapsed="false">
      <c r="A410" s="68" t="n">
        <f aca="false">7</f>
        <v>7</v>
      </c>
      <c r="B410" s="68" t="n">
        <f aca="false">46</f>
        <v>46</v>
      </c>
      <c r="C410" s="18" t="n">
        <f aca="false">Motore_Operativo!C410</f>
        <v>47757</v>
      </c>
      <c r="D410" s="68" t="n">
        <f aca="false">Motore_Operativo!D410</f>
        <v>2030</v>
      </c>
      <c r="E410" s="68" t="n">
        <f aca="false">Motore_Operativo!E410</f>
        <v>10</v>
      </c>
      <c r="F410" s="15" t="n">
        <f aca="false">Motore_Operativo!AQ410+Motore_Operativo!BF410</f>
        <v>134978.328769254</v>
      </c>
      <c r="G410" s="15" t="n">
        <f aca="false">Motore_Operativo!BH410</f>
        <v>9024.16666666667</v>
      </c>
      <c r="H410" s="15" t="n">
        <f aca="false">Motore_Operativo!BI410</f>
        <v>144002.495435921</v>
      </c>
      <c r="I410" s="15" t="n">
        <f aca="false">Motore_Operativo!CA410</f>
        <v>158502.441652696</v>
      </c>
      <c r="J410" s="15" t="n">
        <f aca="false">Motore_Operativo!CC410</f>
        <v>-14499.9462167748</v>
      </c>
      <c r="K410" s="15" t="n">
        <f aca="false">Motore_Operativo!CE410</f>
        <v>3333.33333333333</v>
      </c>
      <c r="L410" s="15" t="n">
        <f aca="false">SUM(INDEX($K$365:$K$424,MAX(1,46-Parametri_v3!$C$59+1)):K410)/Parametri_v3!$C$59</f>
        <v>2546.2962962963</v>
      </c>
      <c r="M410" s="15" t="n">
        <f aca="false">J410-L410</f>
        <v>-17046.2425130711</v>
      </c>
      <c r="N410" s="15" t="n">
        <f aca="false">CD410-(CD409)</f>
        <v>0</v>
      </c>
      <c r="O410" s="15" t="n">
        <f aca="false">(BG409)*Ipotesi!$C$110/12+CH410*Parametri_v3!$C$39/12</f>
        <v>750</v>
      </c>
      <c r="P410" s="15" t="n">
        <f aca="false">M410+N410-O410</f>
        <v>-17796.2425130711</v>
      </c>
      <c r="Q410" s="15" t="n">
        <f aca="false">SUM(P401:P410)+Parametri_v3!$C$54*10/12</f>
        <v>-288473.350781982</v>
      </c>
      <c r="R410" s="15" t="n">
        <f aca="false">Z400</f>
        <v>1016758.23194941</v>
      </c>
      <c r="S410" s="15" t="n">
        <f aca="false">AA400</f>
        <v>0</v>
      </c>
      <c r="T410" s="15" t="n">
        <f aca="false">MIN(R410,MAX(0,Q410))</f>
        <v>0</v>
      </c>
      <c r="U410" s="15" t="n">
        <f aca="false">MIN(S410,MAX(0,Q410-T410)*Parametri_v3!$C$42)</f>
        <v>0</v>
      </c>
      <c r="V410" s="15" t="n">
        <f aca="false">MAX(0,Q410-T410-U410)*Ipotesi!$C$92</f>
        <v>0</v>
      </c>
      <c r="W410" s="15" t="n">
        <f aca="false">MAX(0,SUM(M401:M410)+Parametri_v3!$C$55*10/12)*Ipotesi!$C$93</f>
        <v>0</v>
      </c>
      <c r="X410" s="15" t="n">
        <f aca="false">V410+W410-(V409+W409)</f>
        <v>0</v>
      </c>
      <c r="Y410" s="15" t="n">
        <f aca="false">P410-X410</f>
        <v>-17796.2425130711</v>
      </c>
      <c r="Z410" s="15" t="n">
        <f aca="false">R410-T410+IF(AND(Parametri_v3!$C$40=1,D410-YEAR(Parametri_v3!$C$50)&lt;Parametri_v3!$C$41),MAX(0,-Q410),0)</f>
        <v>1016758.23194941</v>
      </c>
      <c r="AA410" s="15" t="n">
        <f aca="false">S410-U410+IF(AND(Parametri_v3!$C$40=1,D410-YEAR(Parametri_v3!$C$50)&lt;Parametri_v3!$C$41),0,MAX(0,-Q410))</f>
        <v>288473.350781982</v>
      </c>
      <c r="AB410" s="15" t="n">
        <f aca="false">F410*(1+Parametri_v3!$C$26)</f>
        <v>164673.56109849</v>
      </c>
      <c r="AC410" s="15" t="n">
        <f aca="false">(IF(46-(INT((Motore_Operativo!L410)/30))&lt;1,0,INDEX(Motore_Startup!$AB$365:$AB$424,MAX(1,46-(INT((Motore_Operativo!L410)/30)))))*(1-(MOD((Motore_Operativo!L410),30)/30))+IF(46-(INT((Motore_Operativo!L410)/30))-1&lt;1,0,INDEX(Motore_Startup!$AB$365:$AB$424,MAX(1,46-(INT((Motore_Operativo!L410)/30))-1)))*(MOD((Motore_Operativo!L410),30)/30))</f>
        <v>153842.757781682</v>
      </c>
      <c r="AD410" s="15" t="n">
        <f aca="false">(AD409)+AB410-AC410</f>
        <v>483253.275776502</v>
      </c>
      <c r="AE410" s="15" t="n">
        <f aca="false">Motore_Operativo!BH410*(1+Parametri_v3!$C$26)</f>
        <v>11009.4833333333</v>
      </c>
      <c r="AF410" s="15" t="n">
        <f aca="false">(IF(46-(INT((Parametri_v3!$C$29)/30))&lt;1,0,INDEX(Motore_Operativo!$BH$365:$BH$424,MAX(1,46-(INT((Parametri_v3!$C$29)/30)))))*(1-(MOD((Parametri_v3!$C$29),30)/30))+IF(46-(INT((Parametri_v3!$C$29)/30))-1&lt;1,0,INDEX(Motore_Operativo!$BH$365:$BH$424,MAX(1,46-(INT((Parametri_v3!$C$29)/30))-1)))*(MOD((Parametri_v3!$C$29),30)/30))*(1+Parametri_v3!$C$26)</f>
        <v>11009.4833333333</v>
      </c>
      <c r="AG410" s="15" t="n">
        <f aca="false">(AG409)+AE410-AF410</f>
        <v>11009.4833333333</v>
      </c>
      <c r="AH410" s="15" t="n">
        <f aca="false">(Motore_Operativo!CJ410)*(1+Parametri_v3!$C$27*Parametri_v3!$C$26)</f>
        <v>73628.847583208</v>
      </c>
      <c r="AI410" s="15" t="n">
        <f aca="false">(IF(46-(INT((Ipotesi!$C$91)/30))&lt;1,0,INDEX(Motore_Startup!$AH$365:$AH$424,MAX(1,46-(INT((Ipotesi!$C$91)/30)))))*(1-(MOD((Ipotesi!$C$91),30)/30))+IF(46-(INT((Ipotesi!$C$91)/30))-1&lt;1,0,INDEX(Motore_Startup!$AH$365:$AH$424,MAX(1,46-(INT((Ipotesi!$C$91)/30))-1)))*(MOD((Ipotesi!$C$91),30)/30))</f>
        <v>72649.6399342168</v>
      </c>
      <c r="AJ410" s="15" t="n">
        <f aca="false">(AJ409)+AH410-AI410</f>
        <v>146770.240699422</v>
      </c>
      <c r="AK410" s="15" t="n">
        <f aca="false">(F410+ Motore_Operativo!BH410-(Motore_Operativo!CJ410)*Parametri_v3!$C$27-Motore_Operativo!CE410)*Parametri_v3!$C$26</f>
        <v>19347.7257737235</v>
      </c>
      <c r="AL410" s="15" t="n">
        <f aca="false">MAX(0,(AM409))</f>
        <v>18779.1951154444</v>
      </c>
      <c r="AM410" s="15" t="n">
        <f aca="false">(AM409)+AK410-AL410</f>
        <v>19347.7257737235</v>
      </c>
      <c r="AN410" s="15" t="n">
        <f aca="false">SUM(X389:X400)</f>
        <v>0</v>
      </c>
      <c r="AO410" s="15" t="n">
        <f aca="false">SUM(AP389:AP400)</f>
        <v>0</v>
      </c>
      <c r="AP410" s="15" t="n">
        <f aca="false">MAX(0,AN410)*IF(10=Parametri_v3!$C$43,Parametri_v3!$C$45,IF(10=Parametri_v3!$C$44,1-Parametri_v3!$C$45,0))</f>
        <v>0</v>
      </c>
      <c r="AQ410" s="15" t="n">
        <f aca="false">MAX(0,AP410+IF(10=Parametri_v3!$C$43,MAX(0,AN410-AO410),0)-MAX(0,-(AR409)))</f>
        <v>0</v>
      </c>
      <c r="AR410" s="15" t="n">
        <f aca="false">(AR409)+X410-AQ410</f>
        <v>0</v>
      </c>
      <c r="AS410" s="15" t="n">
        <f aca="false">Motore_Operativo!AB410-AT410+AU410</f>
        <v>91649.4297604167</v>
      </c>
      <c r="AT410" s="15" t="n">
        <f aca="false">Motore_Operativo!CH410</f>
        <v>4823.65419791667</v>
      </c>
      <c r="AU410" s="15" t="n">
        <f aca="false">MIN(MAX(0,(AV409)+AT410),Parametri_v3!$C$60/12)</f>
        <v>0</v>
      </c>
      <c r="AV410" s="15" t="n">
        <f aca="false">(AV409)+AT410-AU410</f>
        <v>127408.241979167</v>
      </c>
      <c r="AW410" s="15" t="n">
        <f aca="false">IF(AND(Motore_Operativo!C410=Finanziamenti!$D$6,Finanziamenti!$F$6=1),Finanziamenti!$C$6,0)</f>
        <v>0</v>
      </c>
      <c r="AX410" s="15" t="n">
        <f aca="false">IF(AND(7&lt;&gt;7,7&lt;&gt;9,Finanziamenti!$F$8=1,OR(Parametri_v3!$C$6=0,Finanziamenti!$E$8=1),Motore_Operativo!C410=EDATE(Finanziamenti!$D$8,Ipotesi!I15*12)),Finanziamenti!$C$8*1,0)+IF(AND(7&lt;&gt;7,7&lt;&gt;9,Finanziamenti!$F$9=1,OR(Parametri_v3!$C$6=0,Finanziamenti!$E$9=1),Motore_Operativo!C410=EDATE(Finanziamenti!$D$9,Ipotesi!I15*12)),Finanziamenti!$C$9*Ipotesi!I16,0)</f>
        <v>0</v>
      </c>
      <c r="AY410" s="15" t="n">
        <f aca="false">0</f>
        <v>0</v>
      </c>
      <c r="AZ410" s="15" t="n">
        <f aca="false">Motore_Advisory!AY410*(1-Ipotesi!$C$95)*Ipotesi!$C$96</f>
        <v>0</v>
      </c>
      <c r="BA410" s="15" t="n">
        <f aca="false">MAX(0,MIN(CG410*MIN(1,IF(Motore_Operativo!C410&gt;=EDATE(Finanziamenti!$D$15,Ipotesi!I14*12),Finanziamenti!$C$15,0)+IF(Motore_Operativo!C410&gt;=EDATE(Finanziamenti!$D$16,Ipotesi!I14*12),Finanziamenti!$C$16,0)+IF(Motore_Operativo!C410&gt;=EDATE(Finanziamenti!$D$17,Ipotesi!I14*12),Finanziamenti!$C$17,0)),CA410*Ipotesi!$C$102)-(CC409))</f>
        <v>0</v>
      </c>
      <c r="BB410" s="15" t="n">
        <f aca="false">IF(AND(CF410&gt;0,Motore_Operativo!C410&gt;=IF(CF410=0,0,EDATE(CF410,Parametri_v3!$C$37)),MOD(((D410-YEAR(IF(CF410=0,0,EDATE(CF410,Parametri_v3!$C$37))))*12+E410-MONTH(IF(CF410=0,0,EDATE(CF410,Parametri_v3!$C$37)))),Parametri_v3!$C$38)=0),MIN(MAX(0,(BC409)+BA410-N410),(CC410-CD410)/(Ipotesi!$C$108*12/Parametri_v3!$C$38)),0)</f>
        <v>0</v>
      </c>
      <c r="BC410" s="15" t="n">
        <f aca="false">(BC409)+BA410-N410-BB410</f>
        <v>252123.347039769</v>
      </c>
      <c r="BD410" s="15" t="n">
        <f aca="false">(BH409)+AC410+AF410-AI410-AS410-K410*(1+Parametri_v3!$C$26)-AL410-AQ410-O410+AW410+AX410+AZ410+BA410-BB410</f>
        <v>-987883.140425074</v>
      </c>
      <c r="BE410" s="15" t="n">
        <f aca="false">MAX(0,MIN(MAX(0,CH410-(BG409)),Parametri_v3!$C$30-BD410))</f>
        <v>0</v>
      </c>
      <c r="BF410" s="15" t="n">
        <f aca="false">IF(Motore_Operativo!C410&gt;=Parametri_v3!$C$63,(BG409),MIN((BG409),MAX(0,BD410-Parametri_v3!$C$30)))</f>
        <v>0</v>
      </c>
      <c r="BG410" s="15" t="n">
        <f aca="false">(BG409)+BE410-BF410</f>
        <v>150000</v>
      </c>
      <c r="BH410" s="15" t="n">
        <f aca="false">BD410+BE410-BF410-AY410</f>
        <v>-987883.140425074</v>
      </c>
      <c r="BI410" s="15" t="n">
        <f aca="false">MAX(0,Parametri_v3!$C$30-BH410)</f>
        <v>1012883.14042507</v>
      </c>
      <c r="BJ410" s="15" t="n">
        <f aca="false">(BJ409)+K410</f>
        <v>108333.333333333</v>
      </c>
      <c r="BK410" s="15" t="n">
        <f aca="false">(BK409)+L410</f>
        <v>58587.962962963</v>
      </c>
      <c r="BL410" s="15" t="n">
        <f aca="false">BJ410-BK410</f>
        <v>49745.3703703703</v>
      </c>
      <c r="BM410" s="15" t="n">
        <f aca="false">(BM409)+Y410</f>
        <v>-1305231.58273139</v>
      </c>
      <c r="BN410" s="15" t="n">
        <f aca="false">(BN409)+AW410+AX410+AZ410</f>
        <v>165707.016294444</v>
      </c>
      <c r="BO410" s="15" t="n">
        <f aca="false">(BO409)+AY410</f>
        <v>0</v>
      </c>
      <c r="BP410" s="15" t="n">
        <f aca="false">0</f>
        <v>0</v>
      </c>
      <c r="BQ410" s="15" t="n">
        <f aca="false">BN410+BM410-BO410</f>
        <v>-1139524.56643695</v>
      </c>
      <c r="BR410" s="15" t="n">
        <f aca="false">BH410+AD410+BL410+MAX(0,-AM410)+MAX(0,-AR410)+AG410</f>
        <v>-443875.010944869</v>
      </c>
      <c r="BS410" s="15" t="n">
        <f aca="false">AJ410+AV410+MAX(0,AM410)+MAX(0,AR410)+BC410+BG410+BQ410</f>
        <v>-443875.010944868</v>
      </c>
      <c r="BT410" s="15" t="n">
        <f aca="false">BR410-BS410</f>
        <v>0</v>
      </c>
      <c r="BU410" s="15" t="n">
        <f aca="false">BH410-(BD410+BE410-BF410-AY410)</f>
        <v>0</v>
      </c>
      <c r="BV410" s="15" t="n">
        <f aca="false">MIN(Piano_SS!$C$6,(BV409)+IF(AND(Motore_Operativo!C410&gt;=EDATE(Parametri_v3!$C$24,Ipotesi!I14*12),Motore_Operativo!C410&lt;EDATE(Parametri_v3!$C$24,Parametri_v3!$C$25+Ipotesi!I14*12)),MAX(0,(Motore_Operativo!Y410+Motore_Operativo!X410*Parametri_v3!$C$14)*(1-Parametri_v3!$C$32))*Piano_SS!$D$6,0))</f>
        <v>300000</v>
      </c>
      <c r="BW410" s="15" t="n">
        <f aca="false">MIN(Piano_SS!$C$7,(BW409)+IF(AND(Motore_Operativo!C410&gt;=EDATE(Parametri_v3!$C$24,Ipotesi!I14*12),Motore_Operativo!C410&lt;EDATE(Parametri_v3!$C$24,Parametri_v3!$C$25+Ipotesi!I14*12)),MAX(0,(IF(46-(INT((Ipotesi!$C$91)/30))&lt;1,0,INDEX(Motore_Operativo!$BN$365:$BN$424,MAX(1,46-(INT((Ipotesi!$C$91)/30)))))*(1-(MOD((Ipotesi!$C$91),30)/30))+IF(46-(INT((Ipotesi!$C$91)/30))-1&lt;1,0,INDEX(Motore_Operativo!$BN$365:$BN$424,MAX(1,46-(INT((Ipotesi!$C$91)/30))-1)))*(MOD((Ipotesi!$C$91),30)/30)))*Piano_SS!$D$7,0))</f>
        <v>41058.9230070837</v>
      </c>
      <c r="BX410" s="15" t="n">
        <f aca="false">MIN(Piano_SS!$C$8,(BX409)+IF(AND(Motore_Operativo!C410&gt;=EDATE(Parametri_v3!$C$24,Ipotesi!I14*12),Motore_Operativo!C410&lt;EDATE(Parametri_v3!$C$24,Parametri_v3!$C$25+Ipotesi!I14*12)),MAX(0,Motore_Operativo!CE410)*Piano_SS!$D$8,0))</f>
        <v>50000</v>
      </c>
      <c r="BY410" s="15" t="n">
        <f aca="false">MIN(Piano_SS!$C$9,(BY409)+IF(AND(Motore_Operativo!C410&gt;=EDATE(Parametri_v3!$C$24,Ipotesi!I14*12),Motore_Operativo!C410&lt;EDATE(Parametri_v3!$C$24,Parametri_v3!$C$25+Ipotesi!I14*12)),MAX(0,((IF(46-(INT((Ipotesi!$C$91)/30))&lt;1,0,INDEX(Motore_Operativo!$BQ$365:$BQ$424,MAX(1,46-(INT((Ipotesi!$C$91)/30)))))*(1-(MOD((Ipotesi!$C$91),30)/30))+IF(46-(INT((Ipotesi!$C$91)/30))-1&lt;1,0,INDEX(Motore_Operativo!$BQ$365:$BQ$424,MAX(1,46-(INT((Ipotesi!$C$91)/30))-1)))*(MOD((Ipotesi!$C$91),30)/30))+(IF(46-(INT((Ipotesi!$C$91)/30))&lt;1,0,INDEX(Motore_Operativo!$BR$365:$BR$424,MAX(1,46-(INT((Ipotesi!$C$91)/30)))))*(1-(MOD((Ipotesi!$C$91),30)/30))+IF(46-(INT((Ipotesi!$C$91)/30))-1&lt;1,0,INDEX(Motore_Operativo!$BR$365:$BR$424,MAX(1,46-(INT((Ipotesi!$C$91)/30))-1)))*(MOD((Ipotesi!$C$91),30)/30))))*Piano_SS!$D$9,0))</f>
        <v>40000</v>
      </c>
      <c r="BZ410" s="15" t="n">
        <f aca="false">MIN(Piano_SS!$C$10,(BZ409)+IF(AND(Motore_Operativo!C410&gt;=EDATE(Parametri_v3!$C$24,Ipotesi!I14*12),Motore_Operativo!C410&lt;EDATE(Parametri_v3!$C$24,Parametri_v3!$C$25+Ipotesi!I14*12)),MAX(0,(IF(46-(INT((Ipotesi!$C$91)/30))&lt;1,0,INDEX(Motore_Operativo!$BO$365:$BO$424,MAX(1,46-(INT((Ipotesi!$C$91)/30)))))*(1-(MOD((Ipotesi!$C$91),30)/30))+IF(46-(INT((Ipotesi!$C$91)/30))-1&lt;1,0,INDEX(Motore_Operativo!$BO$365:$BO$424,MAX(1,46-(INT((Ipotesi!$C$91)/30))-1)))*(MOD((Ipotesi!$C$91),30)/30)))*Piano_SS!$D$10,0))</f>
        <v>30000</v>
      </c>
      <c r="CA410" s="15" t="n">
        <f aca="false">SUM(BV410:BZ410)</f>
        <v>461058.923007084</v>
      </c>
      <c r="CB410" s="15" t="n">
        <f aca="false">BV410*(1-Piano_SS!$E$6)+BW410*(1-Piano_SS!$E$7)+BX410*(1-Piano_SS!$E$8)+BY410*(1-Piano_SS!$E$9)+BZ410*(1-Piano_SS!$E$10)</f>
        <v>431058.923007084</v>
      </c>
      <c r="CC410" s="15" t="n">
        <f aca="false">(CC409)+BA410</f>
        <v>368847.138405667</v>
      </c>
      <c r="CD410" s="15" t="n">
        <f aca="false">IF(CA410=0,0,CC410*CB410/CA410*Ipotesi!$C$103*Parametri_v3!$C$64)</f>
        <v>103454.1415217</v>
      </c>
      <c r="CE410" s="18" t="n">
        <f aca="false">IF(BA410&gt;0,Motore_Operativo!C410,(CE409))</f>
        <v>47270</v>
      </c>
      <c r="CF410" s="18" t="n">
        <f aca="false">IF(AND(CC410&gt;0,OR(CC410&gt;=CG410-0.01,Motore_Operativo!C410&gt;=EDATE(MAX(Finanziamenti!$D$15:$D$17),Ipotesi!I14*12))),CE410,0)</f>
        <v>47270</v>
      </c>
      <c r="CG410" s="15" t="n">
        <f aca="false">IF(AND(7&lt;&gt;6,7&lt;&gt;9,Finanziamenti!$F$11=1,OR(Parametri_v3!$C$6=0,Finanziamenti!$E$11=1)),MIN(Finanziamenti!$C$11,Piano_SS!$C$12*Ipotesi!$C$102),0)</f>
        <v>400000</v>
      </c>
      <c r="CH410" s="15" t="n">
        <f aca="false">IF(AND(AND(7&lt;&gt;8,7&lt;&gt;9,Finanziamenti!$F$10=1,OR(Parametri_v3!$C$6=0,Finanziamenti!$E$10=1)),Motore_Operativo!C410&gt;=Finanziamenti!$D$10,Motore_Operativo!C410&lt;Parametri_v3!$C$63),Finanziamenti!$C$10,0)</f>
        <v>150000</v>
      </c>
    </row>
    <row r="411" customFormat="false" ht="18" hidden="false" customHeight="true" outlineLevel="0" collapsed="false">
      <c r="A411" s="68" t="n">
        <f aca="false">7</f>
        <v>7</v>
      </c>
      <c r="B411" s="68" t="n">
        <f aca="false">47</f>
        <v>47</v>
      </c>
      <c r="C411" s="18" t="n">
        <f aca="false">Motore_Operativo!C411</f>
        <v>47788</v>
      </c>
      <c r="D411" s="68" t="n">
        <f aca="false">Motore_Operativo!D411</f>
        <v>2030</v>
      </c>
      <c r="E411" s="68" t="n">
        <f aca="false">Motore_Operativo!E411</f>
        <v>11</v>
      </c>
      <c r="F411" s="15" t="n">
        <f aca="false">Motore_Operativo!AQ411+Motore_Operativo!BF411</f>
        <v>137885.979086294</v>
      </c>
      <c r="G411" s="15" t="n">
        <f aca="false">Motore_Operativo!BH411</f>
        <v>9024.16666666667</v>
      </c>
      <c r="H411" s="15" t="n">
        <f aca="false">Motore_Operativo!BI411</f>
        <v>146910.14575296</v>
      </c>
      <c r="I411" s="15" t="n">
        <f aca="false">Motore_Operativo!CA411</f>
        <v>158909.512697081</v>
      </c>
      <c r="J411" s="15" t="n">
        <f aca="false">Motore_Operativo!CC411</f>
        <v>-11999.3669441208</v>
      </c>
      <c r="K411" s="15" t="n">
        <f aca="false">Motore_Operativo!CE411</f>
        <v>3333.33333333333</v>
      </c>
      <c r="L411" s="15" t="n">
        <f aca="false">SUM(INDEX($K$365:$K$424,MAX(1,47-Parametri_v3!$C$59+1)):K411)/Parametri_v3!$C$59</f>
        <v>2592.59259259259</v>
      </c>
      <c r="M411" s="15" t="n">
        <f aca="false">J411-L411</f>
        <v>-14591.9595367134</v>
      </c>
      <c r="N411" s="15" t="n">
        <f aca="false">CD411-(CD410)</f>
        <v>0</v>
      </c>
      <c r="O411" s="15" t="n">
        <f aca="false">(BG410)*Ipotesi!$C$110/12+CH411*Parametri_v3!$C$39/12</f>
        <v>750</v>
      </c>
      <c r="P411" s="15" t="n">
        <f aca="false">M411+N411-O411</f>
        <v>-15341.9595367134</v>
      </c>
      <c r="Q411" s="15" t="n">
        <f aca="false">SUM(P401:P411)+Parametri_v3!$C$54*11/12</f>
        <v>-303815.310318696</v>
      </c>
      <c r="R411" s="15" t="n">
        <f aca="false">Z400</f>
        <v>1016758.23194941</v>
      </c>
      <c r="S411" s="15" t="n">
        <f aca="false">AA400</f>
        <v>0</v>
      </c>
      <c r="T411" s="15" t="n">
        <f aca="false">MIN(R411,MAX(0,Q411))</f>
        <v>0</v>
      </c>
      <c r="U411" s="15" t="n">
        <f aca="false">MIN(S411,MAX(0,Q411-T411)*Parametri_v3!$C$42)</f>
        <v>0</v>
      </c>
      <c r="V411" s="15" t="n">
        <f aca="false">MAX(0,Q411-T411-U411)*Ipotesi!$C$92</f>
        <v>0</v>
      </c>
      <c r="W411" s="15" t="n">
        <f aca="false">MAX(0,SUM(M401:M411)+Parametri_v3!$C$55*11/12)*Ipotesi!$C$93</f>
        <v>0</v>
      </c>
      <c r="X411" s="15" t="n">
        <f aca="false">V411+W411-(V410+W410)</f>
        <v>0</v>
      </c>
      <c r="Y411" s="15" t="n">
        <f aca="false">P411-X411</f>
        <v>-15341.9595367134</v>
      </c>
      <c r="Z411" s="15" t="n">
        <f aca="false">R411-T411+IF(AND(Parametri_v3!$C$40=1,D411-YEAR(Parametri_v3!$C$50)&lt;Parametri_v3!$C$41),MAX(0,-Q411),0)</f>
        <v>1016758.23194941</v>
      </c>
      <c r="AA411" s="15" t="n">
        <f aca="false">S411-U411+IF(AND(Parametri_v3!$C$40=1,D411-YEAR(Parametri_v3!$C$50)&lt;Parametri_v3!$C$41),0,MAX(0,-Q411))</f>
        <v>303815.310318696</v>
      </c>
      <c r="AB411" s="15" t="n">
        <f aca="false">F411*(1+Parametri_v3!$C$26)</f>
        <v>168220.894485278</v>
      </c>
      <c r="AC411" s="15" t="n">
        <f aca="false">(IF(47-(INT((Motore_Operativo!L411)/30))&lt;1,0,INDEX(Motore_Startup!$AB$365:$AB$424,MAX(1,47-(INT((Motore_Operativo!L411)/30)))))*(1-(MOD((Motore_Operativo!L411),30)/30))+IF(47-(INT((Motore_Operativo!L411)/30))-1&lt;1,0,INDEX(Motore_Startup!$AB$365:$AB$424,MAX(1,47-(INT((Motore_Operativo!L411)/30))-1)))*(MOD((Motore_Operativo!L411),30)/30))</f>
        <v>157484.769837392</v>
      </c>
      <c r="AD411" s="15" t="n">
        <f aca="false">(AD410)+AB411-AC411</f>
        <v>493989.400424388</v>
      </c>
      <c r="AE411" s="15" t="n">
        <f aca="false">Motore_Operativo!BH411*(1+Parametri_v3!$C$26)</f>
        <v>11009.4833333333</v>
      </c>
      <c r="AF411" s="15" t="n">
        <f aca="false">(IF(47-(INT((Parametri_v3!$C$29)/30))&lt;1,0,INDEX(Motore_Operativo!$BH$365:$BH$424,MAX(1,47-(INT((Parametri_v3!$C$29)/30)))))*(1-(MOD((Parametri_v3!$C$29),30)/30))+IF(47-(INT((Parametri_v3!$C$29)/30))-1&lt;1,0,INDEX(Motore_Operativo!$BH$365:$BH$424,MAX(1,47-(INT((Parametri_v3!$C$29)/30))-1)))*(MOD((Parametri_v3!$C$29),30)/30))*(1+Parametri_v3!$C$26)</f>
        <v>11009.4833333333</v>
      </c>
      <c r="AG411" s="15" t="n">
        <f aca="false">(AG410)+AE411-AF411</f>
        <v>11009.4833333333</v>
      </c>
      <c r="AH411" s="15" t="n">
        <f aca="false">(Motore_Operativo!CJ411)*(1+Parametri_v3!$C$27*Parametri_v3!$C$26)</f>
        <v>74112.0409128937</v>
      </c>
      <c r="AI411" s="15" t="n">
        <f aca="false">(IF(47-(INT((Ipotesi!$C$91)/30))&lt;1,0,INDEX(Motore_Startup!$AH$365:$AH$424,MAX(1,47-(INT((Ipotesi!$C$91)/30)))))*(1-(MOD((Ipotesi!$C$91),30)/30))+IF(47-(INT((Ipotesi!$C$91)/30))-1&lt;1,0,INDEX(Motore_Startup!$AH$365:$AH$424,MAX(1,47-(INT((Ipotesi!$C$91)/30))-1)))*(MOD((Ipotesi!$C$91),30)/30))</f>
        <v>73141.3931162138</v>
      </c>
      <c r="AJ411" s="15" t="n">
        <f aca="false">(AJ410)+AH411-AI411</f>
        <v>147740.888496102</v>
      </c>
      <c r="AK411" s="15" t="n">
        <f aca="false">(F411+ Motore_Operativo!BH411-(Motore_Operativo!CJ411)*Parametri_v3!$C$27-Motore_Operativo!CE411)*Parametri_v3!$C$26</f>
        <v>19911.2865581721</v>
      </c>
      <c r="AL411" s="15" t="n">
        <f aca="false">MAX(0,(AM410))</f>
        <v>19347.7257737235</v>
      </c>
      <c r="AM411" s="15" t="n">
        <f aca="false">(AM410)+AK411-AL411</f>
        <v>19911.2865581721</v>
      </c>
      <c r="AN411" s="15" t="n">
        <f aca="false">SUM(X389:X400)</f>
        <v>0</v>
      </c>
      <c r="AO411" s="15" t="n">
        <f aca="false">SUM(AP389:AP400)</f>
        <v>0</v>
      </c>
      <c r="AP411" s="15" t="n">
        <f aca="false">MAX(0,AN411)*IF(11=Parametri_v3!$C$43,Parametri_v3!$C$45,IF(11=Parametri_v3!$C$44,1-Parametri_v3!$C$45,0))</f>
        <v>0</v>
      </c>
      <c r="AQ411" s="15" t="n">
        <f aca="false">MAX(0,AP411+IF(11=Parametri_v3!$C$43,MAX(0,AN411-AO411),0)-MAX(0,-(AR410)))</f>
        <v>0</v>
      </c>
      <c r="AR411" s="15" t="n">
        <f aca="false">(AR410)+X411-AQ411</f>
        <v>0</v>
      </c>
      <c r="AS411" s="15" t="n">
        <f aca="false">Motore_Operativo!AB411-AT411+AU411</f>
        <v>91649.4297604167</v>
      </c>
      <c r="AT411" s="15" t="n">
        <f aca="false">Motore_Operativo!CH411</f>
        <v>4823.65419791667</v>
      </c>
      <c r="AU411" s="15" t="n">
        <f aca="false">MIN(MAX(0,(AV410)+AT411),Parametri_v3!$C$60/12)</f>
        <v>0</v>
      </c>
      <c r="AV411" s="15" t="n">
        <f aca="false">(AV410)+AT411-AU411</f>
        <v>132231.896177083</v>
      </c>
      <c r="AW411" s="15" t="n">
        <f aca="false">IF(AND(Motore_Operativo!C411=Finanziamenti!$D$6,Finanziamenti!$F$6=1),Finanziamenti!$C$6,0)</f>
        <v>0</v>
      </c>
      <c r="AX411" s="15" t="n">
        <f aca="false">IF(AND(7&lt;&gt;7,7&lt;&gt;9,Finanziamenti!$F$8=1,OR(Parametri_v3!$C$6=0,Finanziamenti!$E$8=1),Motore_Operativo!C411=EDATE(Finanziamenti!$D$8,Ipotesi!I15*12)),Finanziamenti!$C$8*1,0)+IF(AND(7&lt;&gt;7,7&lt;&gt;9,Finanziamenti!$F$9=1,OR(Parametri_v3!$C$6=0,Finanziamenti!$E$9=1),Motore_Operativo!C411=EDATE(Finanziamenti!$D$9,Ipotesi!I15*12)),Finanziamenti!$C$9*Ipotesi!I16,0)</f>
        <v>0</v>
      </c>
      <c r="AY411" s="15" t="n">
        <f aca="false">0</f>
        <v>0</v>
      </c>
      <c r="AZ411" s="15" t="n">
        <f aca="false">Motore_Advisory!AY411*(1-Ipotesi!$C$95)*Ipotesi!$C$96</f>
        <v>0</v>
      </c>
      <c r="BA411" s="15" t="n">
        <f aca="false">MAX(0,MIN(CG411*MIN(1,IF(Motore_Operativo!C411&gt;=EDATE(Finanziamenti!$D$15,Ipotesi!I14*12),Finanziamenti!$C$15,0)+IF(Motore_Operativo!C411&gt;=EDATE(Finanziamenti!$D$16,Ipotesi!I14*12),Finanziamenti!$C$16,0)+IF(Motore_Operativo!C411&gt;=EDATE(Finanziamenti!$D$17,Ipotesi!I14*12),Finanziamenti!$C$17,0)),CA411*Ipotesi!$C$102)-(CC410))</f>
        <v>0</v>
      </c>
      <c r="BB411" s="15" t="n">
        <f aca="false">IF(AND(CF411&gt;0,Motore_Operativo!C411&gt;=IF(CF411=0,0,EDATE(CF411,Parametri_v3!$C$37)),MOD(((D411-YEAR(IF(CF411=0,0,EDATE(CF411,Parametri_v3!$C$37))))*12+E411-MONTH(IF(CF411=0,0,EDATE(CF411,Parametri_v3!$C$37)))),Parametri_v3!$C$38)=0),MIN(MAX(0,(BC410)+BA411-N411),(CC411-CD411)/(Ipotesi!$C$108*12/Parametri_v3!$C$38)),0)</f>
        <v>0</v>
      </c>
      <c r="BC411" s="15" t="n">
        <f aca="false">(BC410)+BA411-N411-BB411</f>
        <v>252123.347039769</v>
      </c>
      <c r="BD411" s="15" t="n">
        <f aca="false">(BH410)+AC411+AF411-AI411-AS411-K411*(1+Parametri_v3!$C$26)-AL411-AQ411-O411+AW411+AX411+AZ411+BA411-BB411</f>
        <v>-1008344.10257137</v>
      </c>
      <c r="BE411" s="15" t="n">
        <f aca="false">MAX(0,MIN(MAX(0,CH411-(BG410)),Parametri_v3!$C$30-BD411))</f>
        <v>0</v>
      </c>
      <c r="BF411" s="15" t="n">
        <f aca="false">IF(Motore_Operativo!C411&gt;=Parametri_v3!$C$63,(BG410),MIN((BG410),MAX(0,BD411-Parametri_v3!$C$30)))</f>
        <v>0</v>
      </c>
      <c r="BG411" s="15" t="n">
        <f aca="false">(BG410)+BE411-BF411</f>
        <v>150000</v>
      </c>
      <c r="BH411" s="15" t="n">
        <f aca="false">BD411+BE411-BF411-AY411</f>
        <v>-1008344.10257137</v>
      </c>
      <c r="BI411" s="15" t="n">
        <f aca="false">MAX(0,Parametri_v3!$C$30-BH411)</f>
        <v>1033344.10257137</v>
      </c>
      <c r="BJ411" s="15" t="n">
        <f aca="false">(BJ410)+K411</f>
        <v>111666.666666667</v>
      </c>
      <c r="BK411" s="15" t="n">
        <f aca="false">(BK410)+L411</f>
        <v>61180.5555555556</v>
      </c>
      <c r="BL411" s="15" t="n">
        <f aca="false">BJ411-BK411</f>
        <v>50486.1111111111</v>
      </c>
      <c r="BM411" s="15" t="n">
        <f aca="false">(BM410)+Y411</f>
        <v>-1320573.54226811</v>
      </c>
      <c r="BN411" s="15" t="n">
        <f aca="false">(BN410)+AW411+AX411+AZ411</f>
        <v>165707.016294444</v>
      </c>
      <c r="BO411" s="15" t="n">
        <f aca="false">(BO410)+AY411</f>
        <v>0</v>
      </c>
      <c r="BP411" s="15" t="n">
        <f aca="false">0</f>
        <v>0</v>
      </c>
      <c r="BQ411" s="15" t="n">
        <f aca="false">BN411+BM411-BO411</f>
        <v>-1154866.52597366</v>
      </c>
      <c r="BR411" s="15" t="n">
        <f aca="false">BH411+AD411+BL411+MAX(0,-AM411)+MAX(0,-AR411)+AG411</f>
        <v>-452859.107702537</v>
      </c>
      <c r="BS411" s="15" t="n">
        <f aca="false">AJ411+AV411+MAX(0,AM411)+MAX(0,AR411)+BC411+BG411+BQ411</f>
        <v>-452859.107702537</v>
      </c>
      <c r="BT411" s="15" t="n">
        <f aca="false">BR411-BS411</f>
        <v>0</v>
      </c>
      <c r="BU411" s="15" t="n">
        <f aca="false">BH411-(BD411+BE411-BF411-AY411)</f>
        <v>0</v>
      </c>
      <c r="BV411" s="15" t="n">
        <f aca="false">MIN(Piano_SS!$C$6,(BV410)+IF(AND(Motore_Operativo!C411&gt;=EDATE(Parametri_v3!$C$24,Ipotesi!I14*12),Motore_Operativo!C411&lt;EDATE(Parametri_v3!$C$24,Parametri_v3!$C$25+Ipotesi!I14*12)),MAX(0,(Motore_Operativo!Y411+Motore_Operativo!X411*Parametri_v3!$C$14)*(1-Parametri_v3!$C$32))*Piano_SS!$D$6,0))</f>
        <v>300000</v>
      </c>
      <c r="BW411" s="15" t="n">
        <f aca="false">MIN(Piano_SS!$C$7,(BW410)+IF(AND(Motore_Operativo!C411&gt;=EDATE(Parametri_v3!$C$24,Ipotesi!I14*12),Motore_Operativo!C411&lt;EDATE(Parametri_v3!$C$24,Parametri_v3!$C$25+Ipotesi!I14*12)),MAX(0,(IF(47-(INT((Ipotesi!$C$91)/30))&lt;1,0,INDEX(Motore_Operativo!$BN$365:$BN$424,MAX(1,47-(INT((Ipotesi!$C$91)/30)))))*(1-(MOD((Ipotesi!$C$91),30)/30))+IF(47-(INT((Ipotesi!$C$91)/30))-1&lt;1,0,INDEX(Motore_Operativo!$BN$365:$BN$424,MAX(1,47-(INT((Ipotesi!$C$91)/30))-1)))*(MOD((Ipotesi!$C$91),30)/30)))*Piano_SS!$D$7,0))</f>
        <v>41058.9230070837</v>
      </c>
      <c r="BX411" s="15" t="n">
        <f aca="false">MIN(Piano_SS!$C$8,(BX410)+IF(AND(Motore_Operativo!C411&gt;=EDATE(Parametri_v3!$C$24,Ipotesi!I14*12),Motore_Operativo!C411&lt;EDATE(Parametri_v3!$C$24,Parametri_v3!$C$25+Ipotesi!I14*12)),MAX(0,Motore_Operativo!CE411)*Piano_SS!$D$8,0))</f>
        <v>50000</v>
      </c>
      <c r="BY411" s="15" t="n">
        <f aca="false">MIN(Piano_SS!$C$9,(BY410)+IF(AND(Motore_Operativo!C411&gt;=EDATE(Parametri_v3!$C$24,Ipotesi!I14*12),Motore_Operativo!C411&lt;EDATE(Parametri_v3!$C$24,Parametri_v3!$C$25+Ipotesi!I14*12)),MAX(0,((IF(47-(INT((Ipotesi!$C$91)/30))&lt;1,0,INDEX(Motore_Operativo!$BQ$365:$BQ$424,MAX(1,47-(INT((Ipotesi!$C$91)/30)))))*(1-(MOD((Ipotesi!$C$91),30)/30))+IF(47-(INT((Ipotesi!$C$91)/30))-1&lt;1,0,INDEX(Motore_Operativo!$BQ$365:$BQ$424,MAX(1,47-(INT((Ipotesi!$C$91)/30))-1)))*(MOD((Ipotesi!$C$91),30)/30))+(IF(47-(INT((Ipotesi!$C$91)/30))&lt;1,0,INDEX(Motore_Operativo!$BR$365:$BR$424,MAX(1,47-(INT((Ipotesi!$C$91)/30)))))*(1-(MOD((Ipotesi!$C$91),30)/30))+IF(47-(INT((Ipotesi!$C$91)/30))-1&lt;1,0,INDEX(Motore_Operativo!$BR$365:$BR$424,MAX(1,47-(INT((Ipotesi!$C$91)/30))-1)))*(MOD((Ipotesi!$C$91),30)/30))))*Piano_SS!$D$9,0))</f>
        <v>40000</v>
      </c>
      <c r="BZ411" s="15" t="n">
        <f aca="false">MIN(Piano_SS!$C$10,(BZ410)+IF(AND(Motore_Operativo!C411&gt;=EDATE(Parametri_v3!$C$24,Ipotesi!I14*12),Motore_Operativo!C411&lt;EDATE(Parametri_v3!$C$24,Parametri_v3!$C$25+Ipotesi!I14*12)),MAX(0,(IF(47-(INT((Ipotesi!$C$91)/30))&lt;1,0,INDEX(Motore_Operativo!$BO$365:$BO$424,MAX(1,47-(INT((Ipotesi!$C$91)/30)))))*(1-(MOD((Ipotesi!$C$91),30)/30))+IF(47-(INT((Ipotesi!$C$91)/30))-1&lt;1,0,INDEX(Motore_Operativo!$BO$365:$BO$424,MAX(1,47-(INT((Ipotesi!$C$91)/30))-1)))*(MOD((Ipotesi!$C$91),30)/30)))*Piano_SS!$D$10,0))</f>
        <v>30000</v>
      </c>
      <c r="CA411" s="15" t="n">
        <f aca="false">SUM(BV411:BZ411)</f>
        <v>461058.923007084</v>
      </c>
      <c r="CB411" s="15" t="n">
        <f aca="false">BV411*(1-Piano_SS!$E$6)+BW411*(1-Piano_SS!$E$7)+BX411*(1-Piano_SS!$E$8)+BY411*(1-Piano_SS!$E$9)+BZ411*(1-Piano_SS!$E$10)</f>
        <v>431058.923007084</v>
      </c>
      <c r="CC411" s="15" t="n">
        <f aca="false">(CC410)+BA411</f>
        <v>368847.138405667</v>
      </c>
      <c r="CD411" s="15" t="n">
        <f aca="false">IF(CA411=0,0,CC411*CB411/CA411*Ipotesi!$C$103*Parametri_v3!$C$64)</f>
        <v>103454.1415217</v>
      </c>
      <c r="CE411" s="18" t="n">
        <f aca="false">IF(BA411&gt;0,Motore_Operativo!C411,(CE410))</f>
        <v>47270</v>
      </c>
      <c r="CF411" s="18" t="n">
        <f aca="false">IF(AND(CC411&gt;0,OR(CC411&gt;=CG411-0.01,Motore_Operativo!C411&gt;=EDATE(MAX(Finanziamenti!$D$15:$D$17),Ipotesi!I14*12))),CE411,0)</f>
        <v>47270</v>
      </c>
      <c r="CG411" s="15" t="n">
        <f aca="false">IF(AND(7&lt;&gt;6,7&lt;&gt;9,Finanziamenti!$F$11=1,OR(Parametri_v3!$C$6=0,Finanziamenti!$E$11=1)),MIN(Finanziamenti!$C$11,Piano_SS!$C$12*Ipotesi!$C$102),0)</f>
        <v>400000</v>
      </c>
      <c r="CH411" s="15" t="n">
        <f aca="false">IF(AND(AND(7&lt;&gt;8,7&lt;&gt;9,Finanziamenti!$F$10=1,OR(Parametri_v3!$C$6=0,Finanziamenti!$E$10=1)),Motore_Operativo!C411&gt;=Finanziamenti!$D$10,Motore_Operativo!C411&lt;Parametri_v3!$C$63),Finanziamenti!$C$10,0)</f>
        <v>150000</v>
      </c>
    </row>
    <row r="412" customFormat="false" ht="18" hidden="false" customHeight="true" outlineLevel="0" collapsed="false">
      <c r="A412" s="68" t="n">
        <f aca="false">7</f>
        <v>7</v>
      </c>
      <c r="B412" s="68" t="n">
        <f aca="false">48</f>
        <v>48</v>
      </c>
      <c r="C412" s="18" t="n">
        <f aca="false">Motore_Operativo!C412</f>
        <v>47818</v>
      </c>
      <c r="D412" s="68" t="n">
        <f aca="false">Motore_Operativo!D412</f>
        <v>2030</v>
      </c>
      <c r="E412" s="68" t="n">
        <f aca="false">Motore_Operativo!E412</f>
        <v>12</v>
      </c>
      <c r="F412" s="15" t="n">
        <f aca="false">Motore_Operativo!AQ412+Motore_Operativo!BF412</f>
        <v>140768.211855469</v>
      </c>
      <c r="G412" s="15" t="n">
        <f aca="false">Motore_Operativo!BH412</f>
        <v>9024.16666666667</v>
      </c>
      <c r="H412" s="15" t="n">
        <f aca="false">Motore_Operativo!BI412</f>
        <v>149792.378522136</v>
      </c>
      <c r="I412" s="15" t="n">
        <f aca="false">Motore_Operativo!CA412</f>
        <v>159313.025284766</v>
      </c>
      <c r="J412" s="15" t="n">
        <f aca="false">Motore_Operativo!CC412</f>
        <v>-9520.64676262965</v>
      </c>
      <c r="K412" s="15" t="n">
        <f aca="false">Motore_Operativo!CE412</f>
        <v>3333.33333333333</v>
      </c>
      <c r="L412" s="15" t="n">
        <f aca="false">SUM(INDEX($K$365:$K$424,MAX(1,48-Parametri_v3!$C$59+1)):K412)/Parametri_v3!$C$59</f>
        <v>2638.88888888889</v>
      </c>
      <c r="M412" s="15" t="n">
        <f aca="false">J412-L412</f>
        <v>-12159.5356515185</v>
      </c>
      <c r="N412" s="15" t="n">
        <f aca="false">CD412-(CD411)</f>
        <v>0</v>
      </c>
      <c r="O412" s="15" t="n">
        <f aca="false">(BG411)*Ipotesi!$C$110/12+CH412*Parametri_v3!$C$39/12</f>
        <v>750</v>
      </c>
      <c r="P412" s="15" t="n">
        <f aca="false">M412+N412-O412</f>
        <v>-12909.5356515185</v>
      </c>
      <c r="Q412" s="15" t="n">
        <f aca="false">SUM(P401:P412)+Parametri_v3!$C$54*12/12</f>
        <v>-316724.845970214</v>
      </c>
      <c r="R412" s="15" t="n">
        <f aca="false">Z400</f>
        <v>1016758.23194941</v>
      </c>
      <c r="S412" s="15" t="n">
        <f aca="false">AA400</f>
        <v>0</v>
      </c>
      <c r="T412" s="15" t="n">
        <f aca="false">MIN(R412,MAX(0,Q412))</f>
        <v>0</v>
      </c>
      <c r="U412" s="15" t="n">
        <f aca="false">MIN(S412,MAX(0,Q412-T412)*Parametri_v3!$C$42)</f>
        <v>0</v>
      </c>
      <c r="V412" s="15" t="n">
        <f aca="false">MAX(0,Q412-T412-U412)*Ipotesi!$C$92</f>
        <v>0</v>
      </c>
      <c r="W412" s="15" t="n">
        <f aca="false">MAX(0,SUM(M401:M412)+Parametri_v3!$C$55*12/12)*Ipotesi!$C$93</f>
        <v>0</v>
      </c>
      <c r="X412" s="15" t="n">
        <f aca="false">V412+W412-(V411+W411)</f>
        <v>0</v>
      </c>
      <c r="Y412" s="15" t="n">
        <f aca="false">P412-X412</f>
        <v>-12909.5356515185</v>
      </c>
      <c r="Z412" s="15" t="n">
        <f aca="false">R412-T412+IF(AND(Parametri_v3!$C$40=1,D412-YEAR(Parametri_v3!$C$50)&lt;Parametri_v3!$C$41),MAX(0,-Q412),0)</f>
        <v>1016758.23194941</v>
      </c>
      <c r="AA412" s="15" t="n">
        <f aca="false">S412-U412+IF(AND(Parametri_v3!$C$40=1,D412-YEAR(Parametri_v3!$C$50)&lt;Parametri_v3!$C$41),0,MAX(0,-Q412))</f>
        <v>316724.845970214</v>
      </c>
      <c r="AB412" s="15" t="n">
        <f aca="false">F412*(1+Parametri_v3!$C$26)</f>
        <v>171737.218463673</v>
      </c>
      <c r="AC412" s="15" t="n">
        <f aca="false">(IF(48-(INT((Motore_Operativo!L412)/30))&lt;1,0,INDEX(Motore_Startup!$AB$365:$AB$424,MAX(1,48-(INT((Motore_Operativo!L412)/30)))))*(1-(MOD((Motore_Operativo!L412),30)/30))+IF(48-(INT((Motore_Operativo!L412)/30))-1&lt;1,0,INDEX(Motore_Startup!$AB$365:$AB$424,MAX(1,48-(INT((Motore_Operativo!L412)/30))-1)))*(MOD((Motore_Operativo!L412),30)/30))</f>
        <v>161094.944840619</v>
      </c>
      <c r="AD412" s="15" t="n">
        <f aca="false">(AD411)+AB412-AC412</f>
        <v>504631.674047441</v>
      </c>
      <c r="AE412" s="15" t="n">
        <f aca="false">Motore_Operativo!BH412*(1+Parametri_v3!$C$26)</f>
        <v>11009.4833333333</v>
      </c>
      <c r="AF412" s="15" t="n">
        <f aca="false">(IF(48-(INT((Parametri_v3!$C$29)/30))&lt;1,0,INDEX(Motore_Operativo!$BH$365:$BH$424,MAX(1,48-(INT((Parametri_v3!$C$29)/30)))))*(1-(MOD((Parametri_v3!$C$29),30)/30))+IF(48-(INT((Parametri_v3!$C$29)/30))-1&lt;1,0,INDEX(Motore_Operativo!$BH$365:$BH$424,MAX(1,48-(INT((Parametri_v3!$C$29)/30))-1)))*(MOD((Parametri_v3!$C$29),30)/30))*(1+Parametri_v3!$C$26)</f>
        <v>11009.4833333333</v>
      </c>
      <c r="AG412" s="15" t="n">
        <f aca="false">(AG411)+AE412-AF412</f>
        <v>11009.4833333333</v>
      </c>
      <c r="AH412" s="15" t="n">
        <f aca="false">(Motore_Operativo!CJ412)*(1+Parametri_v3!$C$27*Parametri_v3!$C$26)</f>
        <v>74591.0103544752</v>
      </c>
      <c r="AI412" s="15" t="n">
        <f aca="false">(IF(48-(INT((Ipotesi!$C$91)/30))&lt;1,0,INDEX(Motore_Startup!$AH$365:$AH$424,MAX(1,48-(INT((Ipotesi!$C$91)/30)))))*(1-(MOD((Ipotesi!$C$91),30)/30))+IF(48-(INT((Ipotesi!$C$91)/30))-1&lt;1,0,INDEX(Motore_Startup!$AH$365:$AH$424,MAX(1,48-(INT((Ipotesi!$C$91)/30))-1)))*(MOD((Ipotesi!$C$91),30)/30))</f>
        <v>73628.847583208</v>
      </c>
      <c r="AJ412" s="15" t="n">
        <f aca="false">(AJ411)+AH412-AI412</f>
        <v>148703.051267369</v>
      </c>
      <c r="AK412" s="15" t="n">
        <f aca="false">(F412+ Motore_Operativo!BH412-(Motore_Operativo!CJ412)*Parametri_v3!$C$27-Motore_Operativo!CE412)*Parametri_v3!$C$26</f>
        <v>20469.9209134937</v>
      </c>
      <c r="AL412" s="15" t="n">
        <f aca="false">MAX(0,(AM411))</f>
        <v>19911.2865581721</v>
      </c>
      <c r="AM412" s="15" t="n">
        <f aca="false">(AM411)+AK412-AL412</f>
        <v>20469.9209134937</v>
      </c>
      <c r="AN412" s="15" t="n">
        <f aca="false">SUM(X389:X400)</f>
        <v>0</v>
      </c>
      <c r="AO412" s="15" t="n">
        <f aca="false">SUM(AP389:AP400)</f>
        <v>0</v>
      </c>
      <c r="AP412" s="15" t="n">
        <f aca="false">MAX(0,AN412)*IF(12=Parametri_v3!$C$43,Parametri_v3!$C$45,IF(12=Parametri_v3!$C$44,1-Parametri_v3!$C$45,0))</f>
        <v>0</v>
      </c>
      <c r="AQ412" s="15" t="n">
        <f aca="false">MAX(0,AP412+IF(12=Parametri_v3!$C$43,MAX(0,AN412-AO412),0)-MAX(0,-(AR411)))</f>
        <v>0</v>
      </c>
      <c r="AR412" s="15" t="n">
        <f aca="false">(AR411)+X412-AQ412</f>
        <v>0</v>
      </c>
      <c r="AS412" s="15" t="n">
        <f aca="false">Motore_Operativo!AB412-AT412+AU412</f>
        <v>91649.4297604167</v>
      </c>
      <c r="AT412" s="15" t="n">
        <f aca="false">Motore_Operativo!CH412</f>
        <v>4823.65419791667</v>
      </c>
      <c r="AU412" s="15" t="n">
        <f aca="false">MIN(MAX(0,(AV411)+AT412),Parametri_v3!$C$60/12)</f>
        <v>0</v>
      </c>
      <c r="AV412" s="15" t="n">
        <f aca="false">(AV411)+AT412-AU412</f>
        <v>137055.550375</v>
      </c>
      <c r="AW412" s="15" t="n">
        <f aca="false">IF(AND(Motore_Operativo!C412=Finanziamenti!$D$6,Finanziamenti!$F$6=1),Finanziamenti!$C$6,0)</f>
        <v>0</v>
      </c>
      <c r="AX412" s="15" t="n">
        <f aca="false">IF(AND(7&lt;&gt;7,7&lt;&gt;9,Finanziamenti!$F$8=1,OR(Parametri_v3!$C$6=0,Finanziamenti!$E$8=1),Motore_Operativo!C412=EDATE(Finanziamenti!$D$8,Ipotesi!I15*12)),Finanziamenti!$C$8*1,0)+IF(AND(7&lt;&gt;7,7&lt;&gt;9,Finanziamenti!$F$9=1,OR(Parametri_v3!$C$6=0,Finanziamenti!$E$9=1),Motore_Operativo!C412=EDATE(Finanziamenti!$D$9,Ipotesi!I15*12)),Finanziamenti!$C$9*Ipotesi!I16,0)</f>
        <v>0</v>
      </c>
      <c r="AY412" s="15" t="n">
        <f aca="false">0</f>
        <v>0</v>
      </c>
      <c r="AZ412" s="15" t="n">
        <f aca="false">Motore_Advisory!AY412*(1-Ipotesi!$C$95)*Ipotesi!$C$96</f>
        <v>0</v>
      </c>
      <c r="BA412" s="15" t="n">
        <f aca="false">MAX(0,MIN(CG412*MIN(1,IF(Motore_Operativo!C412&gt;=EDATE(Finanziamenti!$D$15,Ipotesi!I14*12),Finanziamenti!$C$15,0)+IF(Motore_Operativo!C412&gt;=EDATE(Finanziamenti!$D$16,Ipotesi!I14*12),Finanziamenti!$C$16,0)+IF(Motore_Operativo!C412&gt;=EDATE(Finanziamenti!$D$17,Ipotesi!I14*12),Finanziamenti!$C$17,0)),CA412*Ipotesi!$C$102)-(CC411))</f>
        <v>0</v>
      </c>
      <c r="BB412" s="15" t="n">
        <f aca="false">IF(AND(CF412&gt;0,Motore_Operativo!C412&gt;=IF(CF412=0,0,EDATE(CF412,Parametri_v3!$C$37)),MOD(((D412-YEAR(IF(CF412=0,0,EDATE(CF412,Parametri_v3!$C$37))))*12+E412-MONTH(IF(CF412=0,0,EDATE(CF412,Parametri_v3!$C$37)))),Parametri_v3!$C$38)=0),MIN(MAX(0,(BC411)+BA412-N412),(CC412-CD412)/(Ipotesi!$C$108*12/Parametri_v3!$C$38)),0)</f>
        <v>13269.6498441983</v>
      </c>
      <c r="BC412" s="15" t="n">
        <f aca="false">(BC411)+BA412-N412-BB412</f>
        <v>238853.69719557</v>
      </c>
      <c r="BD412" s="15" t="n">
        <f aca="false">(BH411)+AC412+AF412-AI412-AS412-K412*(1+Parametri_v3!$C$26)-AL412-AQ412-O412+AW412+AX412+AZ412+BA412-BB412</f>
        <v>-1039515.55481008</v>
      </c>
      <c r="BE412" s="15" t="n">
        <f aca="false">MAX(0,MIN(MAX(0,CH412-(BG411)),Parametri_v3!$C$30-BD412))</f>
        <v>0</v>
      </c>
      <c r="BF412" s="15" t="n">
        <f aca="false">IF(Motore_Operativo!C412&gt;=Parametri_v3!$C$63,(BG411),MIN((BG411),MAX(0,BD412-Parametri_v3!$C$30)))</f>
        <v>0</v>
      </c>
      <c r="BG412" s="15" t="n">
        <f aca="false">(BG411)+BE412-BF412</f>
        <v>150000</v>
      </c>
      <c r="BH412" s="15" t="n">
        <f aca="false">BD412+BE412-BF412-AY412</f>
        <v>-1039515.55481008</v>
      </c>
      <c r="BI412" s="15" t="n">
        <f aca="false">MAX(0,Parametri_v3!$C$30-BH412)</f>
        <v>1064515.55481008</v>
      </c>
      <c r="BJ412" s="15" t="n">
        <f aca="false">(BJ411)+K412</f>
        <v>115000</v>
      </c>
      <c r="BK412" s="15" t="n">
        <f aca="false">(BK411)+L412</f>
        <v>63819.4444444444</v>
      </c>
      <c r="BL412" s="15" t="n">
        <f aca="false">BJ412-BK412</f>
        <v>51180.5555555555</v>
      </c>
      <c r="BM412" s="15" t="n">
        <f aca="false">(BM411)+Y412</f>
        <v>-1333483.07791963</v>
      </c>
      <c r="BN412" s="15" t="n">
        <f aca="false">(BN411)+AW412+AX412+AZ412</f>
        <v>165707.016294444</v>
      </c>
      <c r="BO412" s="15" t="n">
        <f aca="false">(BO411)+AY412</f>
        <v>0</v>
      </c>
      <c r="BP412" s="15" t="n">
        <f aca="false">0</f>
        <v>0</v>
      </c>
      <c r="BQ412" s="15" t="n">
        <f aca="false">BN412+BM412-BO412</f>
        <v>-1167776.06162518</v>
      </c>
      <c r="BR412" s="15" t="n">
        <f aca="false">BH412+AD412+BL412+MAX(0,-AM412)+MAX(0,-AR412)+AG412</f>
        <v>-472693.841873748</v>
      </c>
      <c r="BS412" s="15" t="n">
        <f aca="false">AJ412+AV412+MAX(0,AM412)+MAX(0,AR412)+BC412+BG412+BQ412</f>
        <v>-472693.841873748</v>
      </c>
      <c r="BT412" s="15" t="n">
        <f aca="false">BR412-BS412</f>
        <v>0</v>
      </c>
      <c r="BU412" s="15" t="n">
        <f aca="false">BH412-(BD412+BE412-BF412-AY412)</f>
        <v>0</v>
      </c>
      <c r="BV412" s="15" t="n">
        <f aca="false">MIN(Piano_SS!$C$6,(BV411)+IF(AND(Motore_Operativo!C412&gt;=EDATE(Parametri_v3!$C$24,Ipotesi!I14*12),Motore_Operativo!C412&lt;EDATE(Parametri_v3!$C$24,Parametri_v3!$C$25+Ipotesi!I14*12)),MAX(0,(Motore_Operativo!Y412+Motore_Operativo!X412*Parametri_v3!$C$14)*(1-Parametri_v3!$C$32))*Piano_SS!$D$6,0))</f>
        <v>300000</v>
      </c>
      <c r="BW412" s="15" t="n">
        <f aca="false">MIN(Piano_SS!$C$7,(BW411)+IF(AND(Motore_Operativo!C412&gt;=EDATE(Parametri_v3!$C$24,Ipotesi!I14*12),Motore_Operativo!C412&lt;EDATE(Parametri_v3!$C$24,Parametri_v3!$C$25+Ipotesi!I14*12)),MAX(0,(IF(48-(INT((Ipotesi!$C$91)/30))&lt;1,0,INDEX(Motore_Operativo!$BN$365:$BN$424,MAX(1,48-(INT((Ipotesi!$C$91)/30)))))*(1-(MOD((Ipotesi!$C$91),30)/30))+IF(48-(INT((Ipotesi!$C$91)/30))-1&lt;1,0,INDEX(Motore_Operativo!$BN$365:$BN$424,MAX(1,48-(INT((Ipotesi!$C$91)/30))-1)))*(MOD((Ipotesi!$C$91),30)/30)))*Piano_SS!$D$7,0))</f>
        <v>41058.9230070837</v>
      </c>
      <c r="BX412" s="15" t="n">
        <f aca="false">MIN(Piano_SS!$C$8,(BX411)+IF(AND(Motore_Operativo!C412&gt;=EDATE(Parametri_v3!$C$24,Ipotesi!I14*12),Motore_Operativo!C412&lt;EDATE(Parametri_v3!$C$24,Parametri_v3!$C$25+Ipotesi!I14*12)),MAX(0,Motore_Operativo!CE412)*Piano_SS!$D$8,0))</f>
        <v>50000</v>
      </c>
      <c r="BY412" s="15" t="n">
        <f aca="false">MIN(Piano_SS!$C$9,(BY411)+IF(AND(Motore_Operativo!C412&gt;=EDATE(Parametri_v3!$C$24,Ipotesi!I14*12),Motore_Operativo!C412&lt;EDATE(Parametri_v3!$C$24,Parametri_v3!$C$25+Ipotesi!I14*12)),MAX(0,((IF(48-(INT((Ipotesi!$C$91)/30))&lt;1,0,INDEX(Motore_Operativo!$BQ$365:$BQ$424,MAX(1,48-(INT((Ipotesi!$C$91)/30)))))*(1-(MOD((Ipotesi!$C$91),30)/30))+IF(48-(INT((Ipotesi!$C$91)/30))-1&lt;1,0,INDEX(Motore_Operativo!$BQ$365:$BQ$424,MAX(1,48-(INT((Ipotesi!$C$91)/30))-1)))*(MOD((Ipotesi!$C$91),30)/30))+(IF(48-(INT((Ipotesi!$C$91)/30))&lt;1,0,INDEX(Motore_Operativo!$BR$365:$BR$424,MAX(1,48-(INT((Ipotesi!$C$91)/30)))))*(1-(MOD((Ipotesi!$C$91),30)/30))+IF(48-(INT((Ipotesi!$C$91)/30))-1&lt;1,0,INDEX(Motore_Operativo!$BR$365:$BR$424,MAX(1,48-(INT((Ipotesi!$C$91)/30))-1)))*(MOD((Ipotesi!$C$91),30)/30))))*Piano_SS!$D$9,0))</f>
        <v>40000</v>
      </c>
      <c r="BZ412" s="15" t="n">
        <f aca="false">MIN(Piano_SS!$C$10,(BZ411)+IF(AND(Motore_Operativo!C412&gt;=EDATE(Parametri_v3!$C$24,Ipotesi!I14*12),Motore_Operativo!C412&lt;EDATE(Parametri_v3!$C$24,Parametri_v3!$C$25+Ipotesi!I14*12)),MAX(0,(IF(48-(INT((Ipotesi!$C$91)/30))&lt;1,0,INDEX(Motore_Operativo!$BO$365:$BO$424,MAX(1,48-(INT((Ipotesi!$C$91)/30)))))*(1-(MOD((Ipotesi!$C$91),30)/30))+IF(48-(INT((Ipotesi!$C$91)/30))-1&lt;1,0,INDEX(Motore_Operativo!$BO$365:$BO$424,MAX(1,48-(INT((Ipotesi!$C$91)/30))-1)))*(MOD((Ipotesi!$C$91),30)/30)))*Piano_SS!$D$10,0))</f>
        <v>30000</v>
      </c>
      <c r="CA412" s="15" t="n">
        <f aca="false">SUM(BV412:BZ412)</f>
        <v>461058.923007084</v>
      </c>
      <c r="CB412" s="15" t="n">
        <f aca="false">BV412*(1-Piano_SS!$E$6)+BW412*(1-Piano_SS!$E$7)+BX412*(1-Piano_SS!$E$8)+BY412*(1-Piano_SS!$E$9)+BZ412*(1-Piano_SS!$E$10)</f>
        <v>431058.923007084</v>
      </c>
      <c r="CC412" s="15" t="n">
        <f aca="false">(CC411)+BA412</f>
        <v>368847.138405667</v>
      </c>
      <c r="CD412" s="15" t="n">
        <f aca="false">IF(CA412=0,0,CC412*CB412/CA412*Ipotesi!$C$103*Parametri_v3!$C$64)</f>
        <v>103454.1415217</v>
      </c>
      <c r="CE412" s="18" t="n">
        <f aca="false">IF(BA412&gt;0,Motore_Operativo!C412,(CE411))</f>
        <v>47270</v>
      </c>
      <c r="CF412" s="18" t="n">
        <f aca="false">IF(AND(CC412&gt;0,OR(CC412&gt;=CG412-0.01,Motore_Operativo!C412&gt;=EDATE(MAX(Finanziamenti!$D$15:$D$17),Ipotesi!I14*12))),CE412,0)</f>
        <v>47270</v>
      </c>
      <c r="CG412" s="15" t="n">
        <f aca="false">IF(AND(7&lt;&gt;6,7&lt;&gt;9,Finanziamenti!$F$11=1,OR(Parametri_v3!$C$6=0,Finanziamenti!$E$11=1)),MIN(Finanziamenti!$C$11,Piano_SS!$C$12*Ipotesi!$C$102),0)</f>
        <v>400000</v>
      </c>
      <c r="CH412" s="15" t="n">
        <f aca="false">IF(AND(AND(7&lt;&gt;8,7&lt;&gt;9,Finanziamenti!$F$10=1,OR(Parametri_v3!$C$6=0,Finanziamenti!$E$10=1)),Motore_Operativo!C412&gt;=Finanziamenti!$D$10,Motore_Operativo!C412&lt;Parametri_v3!$C$63),Finanziamenti!$C$10,0)</f>
        <v>150000</v>
      </c>
    </row>
    <row r="413" customFormat="false" ht="18" hidden="false" customHeight="true" outlineLevel="0" collapsed="false">
      <c r="A413" s="68" t="n">
        <f aca="false">7</f>
        <v>7</v>
      </c>
      <c r="B413" s="68" t="n">
        <f aca="false">49</f>
        <v>49</v>
      </c>
      <c r="C413" s="18" t="n">
        <f aca="false">Motore_Operativo!C413</f>
        <v>47849</v>
      </c>
      <c r="D413" s="68" t="n">
        <f aca="false">Motore_Operativo!D413</f>
        <v>2031</v>
      </c>
      <c r="E413" s="68" t="n">
        <f aca="false">Motore_Operativo!E413</f>
        <v>1</v>
      </c>
      <c r="F413" s="15" t="n">
        <f aca="false">Motore_Operativo!AQ413+Motore_Operativo!BF413</f>
        <v>171197.798178051</v>
      </c>
      <c r="G413" s="15" t="n">
        <f aca="false">Motore_Operativo!BH413</f>
        <v>11595.8333333333</v>
      </c>
      <c r="H413" s="15" t="n">
        <f aca="false">Motore_Operativo!BI413</f>
        <v>182793.631511385</v>
      </c>
      <c r="I413" s="15" t="n">
        <f aca="false">Motore_Operativo!CA413</f>
        <v>196627.061732427</v>
      </c>
      <c r="J413" s="15" t="n">
        <f aca="false">Motore_Operativo!CC413</f>
        <v>-13833.4302210424</v>
      </c>
      <c r="K413" s="15" t="n">
        <f aca="false">Motore_Operativo!CE413</f>
        <v>4166.66666666667</v>
      </c>
      <c r="L413" s="15" t="n">
        <f aca="false">SUM(INDEX($K$365:$K$424,MAX(1,49-Parametri_v3!$C$59+1)):K413)/Parametri_v3!$C$59</f>
        <v>2696.75925925926</v>
      </c>
      <c r="M413" s="15" t="n">
        <f aca="false">J413-L413</f>
        <v>-16530.1894803017</v>
      </c>
      <c r="N413" s="15" t="n">
        <f aca="false">CD413-(CD412)</f>
        <v>0</v>
      </c>
      <c r="O413" s="15" t="n">
        <f aca="false">(BG412)*Ipotesi!$C$110/12+CH413*Parametri_v3!$C$39/12</f>
        <v>750</v>
      </c>
      <c r="P413" s="15" t="n">
        <f aca="false">M413+N413-O413</f>
        <v>-17280.1894803017</v>
      </c>
      <c r="Q413" s="15" t="n">
        <f aca="false">SUM(P413)+Parametri_v3!$C$54*1/12</f>
        <v>-17280.1894803017</v>
      </c>
      <c r="R413" s="15" t="n">
        <f aca="false">Z412</f>
        <v>1016758.23194941</v>
      </c>
      <c r="S413" s="15" t="n">
        <f aca="false">AA412</f>
        <v>316724.845970214</v>
      </c>
      <c r="T413" s="15" t="n">
        <f aca="false">MIN(R413,MAX(0,Q413))</f>
        <v>0</v>
      </c>
      <c r="U413" s="15" t="n">
        <f aca="false">MIN(S413,MAX(0,Q413-T413)*Parametri_v3!$C$42)</f>
        <v>0</v>
      </c>
      <c r="V413" s="15" t="n">
        <f aca="false">MAX(0,Q413-T413-U413)*Ipotesi!$C$92</f>
        <v>0</v>
      </c>
      <c r="W413" s="15" t="n">
        <f aca="false">MAX(0,SUM(M413)+Parametri_v3!$C$55*1/12)*Ipotesi!$C$93</f>
        <v>0</v>
      </c>
      <c r="X413" s="15" t="n">
        <f aca="false">V413+W413-(0)</f>
        <v>0</v>
      </c>
      <c r="Y413" s="15" t="n">
        <f aca="false">P413-X413</f>
        <v>-17280.1894803017</v>
      </c>
      <c r="Z413" s="15" t="n">
        <f aca="false">R413-T413+IF(AND(Parametri_v3!$C$40=1,D413-YEAR(Parametri_v3!$C$50)&lt;Parametri_v3!$C$41),MAX(0,-Q413),0)</f>
        <v>1016758.23194941</v>
      </c>
      <c r="AA413" s="15" t="n">
        <f aca="false">S413-U413+IF(AND(Parametri_v3!$C$40=1,D413-YEAR(Parametri_v3!$C$50)&lt;Parametri_v3!$C$41),0,MAX(0,-Q413))</f>
        <v>334005.035450516</v>
      </c>
      <c r="AB413" s="15" t="n">
        <f aca="false">F413*(1+Parametri_v3!$C$26)</f>
        <v>208861.313777223</v>
      </c>
      <c r="AC413" s="15" t="n">
        <f aca="false">(IF(49-(INT((Motore_Operativo!L413)/30))&lt;1,0,INDEX(Motore_Startup!$AB$365:$AB$424,MAX(1,49-(INT((Motore_Operativo!L413)/30)))))*(1-(MOD((Motore_Operativo!L413),30)/30))+IF(49-(INT((Motore_Operativo!L413)/30))-1&lt;1,0,INDEX(Motore_Startup!$AB$365:$AB$424,MAX(1,49-(INT((Motore_Operativo!L413)/30))-1)))*(MOD((Motore_Operativo!L413),30)/30))</f>
        <v>164673.56109849</v>
      </c>
      <c r="AD413" s="15" t="n">
        <f aca="false">(AD412)+AB413-AC413</f>
        <v>548819.426726174</v>
      </c>
      <c r="AE413" s="15" t="n">
        <f aca="false">Motore_Operativo!BH413*(1+Parametri_v3!$C$26)</f>
        <v>14146.9166666667</v>
      </c>
      <c r="AF413" s="15" t="n">
        <f aca="false">(IF(49-(INT((Parametri_v3!$C$29)/30))&lt;1,0,INDEX(Motore_Operativo!$BH$365:$BH$424,MAX(1,49-(INT((Parametri_v3!$C$29)/30)))))*(1-(MOD((Parametri_v3!$C$29),30)/30))+IF(49-(INT((Parametri_v3!$C$29)/30))-1&lt;1,0,INDEX(Motore_Operativo!$BH$365:$BH$424,MAX(1,49-(INT((Parametri_v3!$C$29)/30))-1)))*(MOD((Parametri_v3!$C$29),30)/30))*(1+Parametri_v3!$C$26)</f>
        <v>11009.4833333333</v>
      </c>
      <c r="AG413" s="15" t="n">
        <f aca="false">(AG412)+AE413-AF413</f>
        <v>14146.9166666667</v>
      </c>
      <c r="AH413" s="15" t="n">
        <f aca="false">(Motore_Operativo!CJ413)*(1+Parametri_v3!$C$27*Parametri_v3!$C$26)</f>
        <v>91576.7335595619</v>
      </c>
      <c r="AI413" s="15" t="n">
        <f aca="false">(IF(49-(INT((Ipotesi!$C$91)/30))&lt;1,0,INDEX(Motore_Startup!$AH$365:$AH$424,MAX(1,49-(INT((Ipotesi!$C$91)/30)))))*(1-(MOD((Ipotesi!$C$91),30)/30))+IF(49-(INT((Ipotesi!$C$91)/30))-1&lt;1,0,INDEX(Motore_Startup!$AH$365:$AH$424,MAX(1,49-(INT((Ipotesi!$C$91)/30))-1)))*(MOD((Ipotesi!$C$91),30)/30))</f>
        <v>74112.0409128937</v>
      </c>
      <c r="AJ413" s="15" t="n">
        <f aca="false">(AJ412)+AH413-AI413</f>
        <v>166167.743914037</v>
      </c>
      <c r="AK413" s="15" t="n">
        <f aca="false">(F413+ Motore_Operativo!BH413-(Motore_Operativo!CJ413)*Parametri_v3!$C$27-Motore_Operativo!CE413)*Parametri_v3!$C$26</f>
        <v>24870.9321178699</v>
      </c>
      <c r="AL413" s="15" t="n">
        <f aca="false">MAX(0,(AM412))</f>
        <v>20469.9209134937</v>
      </c>
      <c r="AM413" s="15" t="n">
        <f aca="false">(AM412)+AK413-AL413</f>
        <v>24870.9321178699</v>
      </c>
      <c r="AN413" s="15" t="n">
        <f aca="false">SUM(X401:X412)</f>
        <v>0</v>
      </c>
      <c r="AO413" s="15" t="n">
        <f aca="false">SUM(AP401:AP412)</f>
        <v>0</v>
      </c>
      <c r="AP413" s="15" t="n">
        <f aca="false">MAX(0,AN413)*IF(1=Parametri_v3!$C$43,Parametri_v3!$C$45,IF(1=Parametri_v3!$C$44,1-Parametri_v3!$C$45,0))</f>
        <v>0</v>
      </c>
      <c r="AQ413" s="15" t="n">
        <f aca="false">MAX(0,AP413+IF(1=Parametri_v3!$C$43,MAX(0,AN413-AO413),0)-MAX(0,-(AR412)))</f>
        <v>0</v>
      </c>
      <c r="AR413" s="15" t="n">
        <f aca="false">(AR412)+X413-AQ413</f>
        <v>0</v>
      </c>
      <c r="AS413" s="15" t="n">
        <f aca="false">Motore_Operativo!AB413-AT413+AU413</f>
        <v>113503.461904792</v>
      </c>
      <c r="AT413" s="15" t="n">
        <f aca="false">Motore_Operativo!CH413</f>
        <v>5973.86641604167</v>
      </c>
      <c r="AU413" s="15" t="n">
        <f aca="false">MIN(MAX(0,(AV412)+AT413),Parametri_v3!$C$60/12)</f>
        <v>0</v>
      </c>
      <c r="AV413" s="15" t="n">
        <f aca="false">(AV412)+AT413-AU413</f>
        <v>143029.416791042</v>
      </c>
      <c r="AW413" s="15" t="n">
        <f aca="false">IF(AND(Motore_Operativo!C413=Finanziamenti!$D$6,Finanziamenti!$F$6=1),Finanziamenti!$C$6,0)</f>
        <v>0</v>
      </c>
      <c r="AX413" s="15" t="n">
        <f aca="false">IF(AND(7&lt;&gt;7,7&lt;&gt;9,Finanziamenti!$F$8=1,OR(Parametri_v3!$C$6=0,Finanziamenti!$E$8=1),Motore_Operativo!C413=EDATE(Finanziamenti!$D$8,Ipotesi!I15*12)),Finanziamenti!$C$8*1,0)+IF(AND(7&lt;&gt;7,7&lt;&gt;9,Finanziamenti!$F$9=1,OR(Parametri_v3!$C$6=0,Finanziamenti!$E$9=1),Motore_Operativo!C413=EDATE(Finanziamenti!$D$9,Ipotesi!I15*12)),Finanziamenti!$C$9*Ipotesi!I16,0)</f>
        <v>0</v>
      </c>
      <c r="AY413" s="15" t="n">
        <f aca="false">0</f>
        <v>0</v>
      </c>
      <c r="AZ413" s="15" t="n">
        <f aca="false">Motore_Advisory!AY413*(1-Ipotesi!$C$95)*Ipotesi!$C$96</f>
        <v>0</v>
      </c>
      <c r="BA413" s="15" t="n">
        <f aca="false">MAX(0,MIN(CG413*MIN(1,IF(Motore_Operativo!C413&gt;=EDATE(Finanziamenti!$D$15,Ipotesi!I14*12),Finanziamenti!$C$15,0)+IF(Motore_Operativo!C413&gt;=EDATE(Finanziamenti!$D$16,Ipotesi!I14*12),Finanziamenti!$C$16,0)+IF(Motore_Operativo!C413&gt;=EDATE(Finanziamenti!$D$17,Ipotesi!I14*12),Finanziamenti!$C$17,0)),CA413*Ipotesi!$C$102)-(CC412))</f>
        <v>0</v>
      </c>
      <c r="BB413" s="15" t="n">
        <f aca="false">IF(AND(CF413&gt;0,Motore_Operativo!C413&gt;=IF(CF413=0,0,EDATE(CF413,Parametri_v3!$C$37)),MOD(((D413-YEAR(IF(CF413=0,0,EDATE(CF413,Parametri_v3!$C$37))))*12+E413-MONTH(IF(CF413=0,0,EDATE(CF413,Parametri_v3!$C$37)))),Parametri_v3!$C$38)=0),MIN(MAX(0,(BC412)+BA413-N413),(CC413-CD413)/(Ipotesi!$C$108*12/Parametri_v3!$C$38)),0)</f>
        <v>0</v>
      </c>
      <c r="BC413" s="15" t="n">
        <f aca="false">(BC412)+BA413-N413-BB413</f>
        <v>238853.69719557</v>
      </c>
      <c r="BD413" s="15" t="n">
        <f aca="false">(BH412)+AC413+AF413-AI413-AS413-K413*(1+Parametri_v3!$C$26)-AL413-AQ413-O413+AW413+AX413+AZ413+BA413-BB413</f>
        <v>-1077751.26744277</v>
      </c>
      <c r="BE413" s="15" t="n">
        <f aca="false">MAX(0,MIN(MAX(0,CH413-(BG412)),Parametri_v3!$C$30-BD413))</f>
        <v>0</v>
      </c>
      <c r="BF413" s="15" t="n">
        <f aca="false">IF(Motore_Operativo!C413&gt;=Parametri_v3!$C$63,(BG412),MIN((BG412),MAX(0,BD413-Parametri_v3!$C$30)))</f>
        <v>0</v>
      </c>
      <c r="BG413" s="15" t="n">
        <f aca="false">(BG412)+BE413-BF413</f>
        <v>150000</v>
      </c>
      <c r="BH413" s="15" t="n">
        <f aca="false">BD413+BE413-BF413-AY413</f>
        <v>-1077751.26744277</v>
      </c>
      <c r="BI413" s="15" t="n">
        <f aca="false">MAX(0,Parametri_v3!$C$30-BH413)</f>
        <v>1102751.26744277</v>
      </c>
      <c r="BJ413" s="15" t="n">
        <f aca="false">(BJ412)+K413</f>
        <v>119166.666666667</v>
      </c>
      <c r="BK413" s="15" t="n">
        <f aca="false">(BK412)+L413</f>
        <v>66516.2037037037</v>
      </c>
      <c r="BL413" s="15" t="n">
        <f aca="false">BJ413-BK413</f>
        <v>52650.4629629629</v>
      </c>
      <c r="BM413" s="15" t="n">
        <f aca="false">(BM412)+Y413</f>
        <v>-1350763.26739993</v>
      </c>
      <c r="BN413" s="15" t="n">
        <f aca="false">(BN412)+AW413+AX413+AZ413</f>
        <v>165707.016294444</v>
      </c>
      <c r="BO413" s="15" t="n">
        <f aca="false">(BO412)+AY413</f>
        <v>0</v>
      </c>
      <c r="BP413" s="15" t="n">
        <f aca="false">0</f>
        <v>0</v>
      </c>
      <c r="BQ413" s="15" t="n">
        <f aca="false">BN413+BM413-BO413</f>
        <v>-1185056.25110548</v>
      </c>
      <c r="BR413" s="15" t="n">
        <f aca="false">BH413+AD413+BL413+MAX(0,-AM413)+MAX(0,-AR413)+AG413</f>
        <v>-462134.461086964</v>
      </c>
      <c r="BS413" s="15" t="n">
        <f aca="false">AJ413+AV413+MAX(0,AM413)+MAX(0,AR413)+BC413+BG413+BQ413</f>
        <v>-462134.461086963</v>
      </c>
      <c r="BT413" s="15" t="n">
        <f aca="false">BR413-BS413</f>
        <v>0</v>
      </c>
      <c r="BU413" s="15" t="n">
        <f aca="false">BH413-(BD413+BE413-BF413-AY413)</f>
        <v>0</v>
      </c>
      <c r="BV413" s="15" t="n">
        <f aca="false">MIN(Piano_SS!$C$6,(BV412)+IF(AND(Motore_Operativo!C413&gt;=EDATE(Parametri_v3!$C$24,Ipotesi!I14*12),Motore_Operativo!C413&lt;EDATE(Parametri_v3!$C$24,Parametri_v3!$C$25+Ipotesi!I14*12)),MAX(0,(Motore_Operativo!Y413+Motore_Operativo!X413*Parametri_v3!$C$14)*(1-Parametri_v3!$C$32))*Piano_SS!$D$6,0))</f>
        <v>300000</v>
      </c>
      <c r="BW413" s="15" t="n">
        <f aca="false">MIN(Piano_SS!$C$7,(BW412)+IF(AND(Motore_Operativo!C413&gt;=EDATE(Parametri_v3!$C$24,Ipotesi!I14*12),Motore_Operativo!C413&lt;EDATE(Parametri_v3!$C$24,Parametri_v3!$C$25+Ipotesi!I14*12)),MAX(0,(IF(49-(INT((Ipotesi!$C$91)/30))&lt;1,0,INDEX(Motore_Operativo!$BN$365:$BN$424,MAX(1,49-(INT((Ipotesi!$C$91)/30)))))*(1-(MOD((Ipotesi!$C$91),30)/30))+IF(49-(INT((Ipotesi!$C$91)/30))-1&lt;1,0,INDEX(Motore_Operativo!$BN$365:$BN$424,MAX(1,49-(INT((Ipotesi!$C$91)/30))-1)))*(MOD((Ipotesi!$C$91),30)/30)))*Piano_SS!$D$7,0))</f>
        <v>41058.9230070837</v>
      </c>
      <c r="BX413" s="15" t="n">
        <f aca="false">MIN(Piano_SS!$C$8,(BX412)+IF(AND(Motore_Operativo!C413&gt;=EDATE(Parametri_v3!$C$24,Ipotesi!I14*12),Motore_Operativo!C413&lt;EDATE(Parametri_v3!$C$24,Parametri_v3!$C$25+Ipotesi!I14*12)),MAX(0,Motore_Operativo!CE413)*Piano_SS!$D$8,0))</f>
        <v>50000</v>
      </c>
      <c r="BY413" s="15" t="n">
        <f aca="false">MIN(Piano_SS!$C$9,(BY412)+IF(AND(Motore_Operativo!C413&gt;=EDATE(Parametri_v3!$C$24,Ipotesi!I14*12),Motore_Operativo!C413&lt;EDATE(Parametri_v3!$C$24,Parametri_v3!$C$25+Ipotesi!I14*12)),MAX(0,((IF(49-(INT((Ipotesi!$C$91)/30))&lt;1,0,INDEX(Motore_Operativo!$BQ$365:$BQ$424,MAX(1,49-(INT((Ipotesi!$C$91)/30)))))*(1-(MOD((Ipotesi!$C$91),30)/30))+IF(49-(INT((Ipotesi!$C$91)/30))-1&lt;1,0,INDEX(Motore_Operativo!$BQ$365:$BQ$424,MAX(1,49-(INT((Ipotesi!$C$91)/30))-1)))*(MOD((Ipotesi!$C$91),30)/30))+(IF(49-(INT((Ipotesi!$C$91)/30))&lt;1,0,INDEX(Motore_Operativo!$BR$365:$BR$424,MAX(1,49-(INT((Ipotesi!$C$91)/30)))))*(1-(MOD((Ipotesi!$C$91),30)/30))+IF(49-(INT((Ipotesi!$C$91)/30))-1&lt;1,0,INDEX(Motore_Operativo!$BR$365:$BR$424,MAX(1,49-(INT((Ipotesi!$C$91)/30))-1)))*(MOD((Ipotesi!$C$91),30)/30))))*Piano_SS!$D$9,0))</f>
        <v>40000</v>
      </c>
      <c r="BZ413" s="15" t="n">
        <f aca="false">MIN(Piano_SS!$C$10,(BZ412)+IF(AND(Motore_Operativo!C413&gt;=EDATE(Parametri_v3!$C$24,Ipotesi!I14*12),Motore_Operativo!C413&lt;EDATE(Parametri_v3!$C$24,Parametri_v3!$C$25+Ipotesi!I14*12)),MAX(0,(IF(49-(INT((Ipotesi!$C$91)/30))&lt;1,0,INDEX(Motore_Operativo!$BO$365:$BO$424,MAX(1,49-(INT((Ipotesi!$C$91)/30)))))*(1-(MOD((Ipotesi!$C$91),30)/30))+IF(49-(INT((Ipotesi!$C$91)/30))-1&lt;1,0,INDEX(Motore_Operativo!$BO$365:$BO$424,MAX(1,49-(INT((Ipotesi!$C$91)/30))-1)))*(MOD((Ipotesi!$C$91),30)/30)))*Piano_SS!$D$10,0))</f>
        <v>30000</v>
      </c>
      <c r="CA413" s="15" t="n">
        <f aca="false">SUM(BV413:BZ413)</f>
        <v>461058.923007084</v>
      </c>
      <c r="CB413" s="15" t="n">
        <f aca="false">BV413*(1-Piano_SS!$E$6)+BW413*(1-Piano_SS!$E$7)+BX413*(1-Piano_SS!$E$8)+BY413*(1-Piano_SS!$E$9)+BZ413*(1-Piano_SS!$E$10)</f>
        <v>431058.923007084</v>
      </c>
      <c r="CC413" s="15" t="n">
        <f aca="false">(CC412)+BA413</f>
        <v>368847.138405667</v>
      </c>
      <c r="CD413" s="15" t="n">
        <f aca="false">IF(CA413=0,0,CC413*CB413/CA413*Ipotesi!$C$103*Parametri_v3!$C$64)</f>
        <v>103454.1415217</v>
      </c>
      <c r="CE413" s="18" t="n">
        <f aca="false">IF(BA413&gt;0,Motore_Operativo!C413,(CE412))</f>
        <v>47270</v>
      </c>
      <c r="CF413" s="18" t="n">
        <f aca="false">IF(AND(CC413&gt;0,OR(CC413&gt;=CG413-0.01,Motore_Operativo!C413&gt;=EDATE(MAX(Finanziamenti!$D$15:$D$17),Ipotesi!I14*12))),CE413,0)</f>
        <v>47270</v>
      </c>
      <c r="CG413" s="15" t="n">
        <f aca="false">IF(AND(7&lt;&gt;6,7&lt;&gt;9,Finanziamenti!$F$11=1,OR(Parametri_v3!$C$6=0,Finanziamenti!$E$11=1)),MIN(Finanziamenti!$C$11,Piano_SS!$C$12*Ipotesi!$C$102),0)</f>
        <v>400000</v>
      </c>
      <c r="CH413" s="15" t="n">
        <f aca="false">IF(AND(AND(7&lt;&gt;8,7&lt;&gt;9,Finanziamenti!$F$10=1,OR(Parametri_v3!$C$6=0,Finanziamenti!$E$10=1)),Motore_Operativo!C413&gt;=Finanziamenti!$D$10,Motore_Operativo!C413&lt;Parametri_v3!$C$63),Finanziamenti!$C$10,0)</f>
        <v>150000</v>
      </c>
    </row>
    <row r="414" customFormat="false" ht="18" hidden="false" customHeight="true" outlineLevel="0" collapsed="false">
      <c r="A414" s="68" t="n">
        <f aca="false">7</f>
        <v>7</v>
      </c>
      <c r="B414" s="68" t="n">
        <f aca="false">50</f>
        <v>50</v>
      </c>
      <c r="C414" s="18" t="n">
        <f aca="false">Motore_Operativo!C414</f>
        <v>47880</v>
      </c>
      <c r="D414" s="68" t="n">
        <f aca="false">Motore_Operativo!D414</f>
        <v>2031</v>
      </c>
      <c r="E414" s="68" t="n">
        <f aca="false">Motore_Operativo!E414</f>
        <v>2</v>
      </c>
      <c r="F414" s="15" t="n">
        <f aca="false">Motore_Operativo!AQ414+Motore_Operativo!BF414</f>
        <v>173845.56723159</v>
      </c>
      <c r="G414" s="15" t="n">
        <f aca="false">Motore_Operativo!BH414</f>
        <v>11595.8333333333</v>
      </c>
      <c r="H414" s="15" t="n">
        <f aca="false">Motore_Operativo!BI414</f>
        <v>185441.400564923</v>
      </c>
      <c r="I414" s="15" t="n">
        <f aca="false">Motore_Operativo!CA414</f>
        <v>196997.749399923</v>
      </c>
      <c r="J414" s="15" t="n">
        <f aca="false">Motore_Operativo!CC414</f>
        <v>-11556.3488349995</v>
      </c>
      <c r="K414" s="15" t="n">
        <f aca="false">Motore_Operativo!CE414</f>
        <v>4166.66666666667</v>
      </c>
      <c r="L414" s="15" t="n">
        <f aca="false">SUM(INDEX($K$365:$K$424,MAX(1,50-Parametri_v3!$C$59+1)):K414)/Parametri_v3!$C$59</f>
        <v>2754.62962962963</v>
      </c>
      <c r="M414" s="15" t="n">
        <f aca="false">J414-L414</f>
        <v>-14310.9784646292</v>
      </c>
      <c r="N414" s="15" t="n">
        <f aca="false">CD414-(CD413)</f>
        <v>0</v>
      </c>
      <c r="O414" s="15" t="n">
        <f aca="false">(BG413)*Ipotesi!$C$110/12+CH414*Parametri_v3!$C$39/12</f>
        <v>750</v>
      </c>
      <c r="P414" s="15" t="n">
        <f aca="false">M414+N414-O414</f>
        <v>-15060.9784646292</v>
      </c>
      <c r="Q414" s="15" t="n">
        <f aca="false">SUM(P413:P414)+Parametri_v3!$C$54*2/12</f>
        <v>-32341.1679449309</v>
      </c>
      <c r="R414" s="15" t="n">
        <f aca="false">Z412</f>
        <v>1016758.23194941</v>
      </c>
      <c r="S414" s="15" t="n">
        <f aca="false">AA412</f>
        <v>316724.845970214</v>
      </c>
      <c r="T414" s="15" t="n">
        <f aca="false">MIN(R414,MAX(0,Q414))</f>
        <v>0</v>
      </c>
      <c r="U414" s="15" t="n">
        <f aca="false">MIN(S414,MAX(0,Q414-T414)*Parametri_v3!$C$42)</f>
        <v>0</v>
      </c>
      <c r="V414" s="15" t="n">
        <f aca="false">MAX(0,Q414-T414-U414)*Ipotesi!$C$92</f>
        <v>0</v>
      </c>
      <c r="W414" s="15" t="n">
        <f aca="false">MAX(0,SUM(M413:M414)+Parametri_v3!$C$55*2/12)*Ipotesi!$C$93</f>
        <v>0</v>
      </c>
      <c r="X414" s="15" t="n">
        <f aca="false">V414+W414-(V413+W413)</f>
        <v>0</v>
      </c>
      <c r="Y414" s="15" t="n">
        <f aca="false">P414-X414</f>
        <v>-15060.9784646292</v>
      </c>
      <c r="Z414" s="15" t="n">
        <f aca="false">R414-T414+IF(AND(Parametri_v3!$C$40=1,D414-YEAR(Parametri_v3!$C$50)&lt;Parametri_v3!$C$41),MAX(0,-Q414),0)</f>
        <v>1016758.23194941</v>
      </c>
      <c r="AA414" s="15" t="n">
        <f aca="false">S414-U414+IF(AND(Parametri_v3!$C$40=1,D414-YEAR(Parametri_v3!$C$50)&lt;Parametri_v3!$C$41),0,MAX(0,-Q414))</f>
        <v>349066.013915145</v>
      </c>
      <c r="AB414" s="15" t="n">
        <f aca="false">F414*(1+Parametri_v3!$C$26)</f>
        <v>212091.592022539</v>
      </c>
      <c r="AC414" s="15" t="n">
        <f aca="false">(IF(50-(INT((Motore_Operativo!L414)/30))&lt;1,0,INDEX(Motore_Startup!$AB$365:$AB$424,MAX(1,50-(INT((Motore_Operativo!L414)/30)))))*(1-(MOD((Motore_Operativo!L414),30)/30))+IF(50-(INT((Motore_Operativo!L414)/30))-1&lt;1,0,INDEX(Motore_Startup!$AB$365:$AB$424,MAX(1,50-(INT((Motore_Operativo!L414)/30))-1)))*(MOD((Motore_Operativo!L414),30)/30))</f>
        <v>168220.894485278</v>
      </c>
      <c r="AD414" s="15" t="n">
        <f aca="false">(AD413)+AB414-AC414</f>
        <v>592690.124263435</v>
      </c>
      <c r="AE414" s="15" t="n">
        <f aca="false">Motore_Operativo!BH414*(1+Parametri_v3!$C$26)</f>
        <v>14146.9166666667</v>
      </c>
      <c r="AF414" s="15" t="n">
        <f aca="false">(IF(50-(INT((Parametri_v3!$C$29)/30))&lt;1,0,INDEX(Motore_Operativo!$BH$365:$BH$424,MAX(1,50-(INT((Parametri_v3!$C$29)/30)))))*(1-(MOD((Parametri_v3!$C$29),30)/30))+IF(50-(INT((Parametri_v3!$C$29)/30))-1&lt;1,0,INDEX(Motore_Operativo!$BH$365:$BH$424,MAX(1,50-(INT((Parametri_v3!$C$29)/30))-1)))*(MOD((Parametri_v3!$C$29),30)/30))*(1+Parametri_v3!$C$26)</f>
        <v>14146.9166666667</v>
      </c>
      <c r="AG414" s="15" t="n">
        <f aca="false">(AG413)+AE414-AF414</f>
        <v>14146.9166666667</v>
      </c>
      <c r="AH414" s="15" t="n">
        <f aca="false">(Motore_Operativo!CJ414)*(1+Parametri_v3!$C$27*Parametri_v3!$C$26)</f>
        <v>92016.7398208789</v>
      </c>
      <c r="AI414" s="15" t="n">
        <f aca="false">(IF(50-(INT((Ipotesi!$C$91)/30))&lt;1,0,INDEX(Motore_Startup!$AH$365:$AH$424,MAX(1,50-(INT((Ipotesi!$C$91)/30)))))*(1-(MOD((Ipotesi!$C$91),30)/30))+IF(50-(INT((Ipotesi!$C$91)/30))-1&lt;1,0,INDEX(Motore_Startup!$AH$365:$AH$424,MAX(1,50-(INT((Ipotesi!$C$91)/30))-1)))*(MOD((Ipotesi!$C$91),30)/30))</f>
        <v>74591.0103544752</v>
      </c>
      <c r="AJ414" s="15" t="n">
        <f aca="false">(AJ413)+AH414-AI414</f>
        <v>183593.473380441</v>
      </c>
      <c r="AK414" s="15" t="n">
        <f aca="false">(F414+ Motore_Operativo!BH414-(Motore_Operativo!CJ414)*Parametri_v3!$C$27-Motore_Operativo!CE414)*Parametri_v3!$C$26</f>
        <v>25384.1227158267</v>
      </c>
      <c r="AL414" s="15" t="n">
        <f aca="false">MAX(0,(AM413))</f>
        <v>24870.9321178699</v>
      </c>
      <c r="AM414" s="15" t="n">
        <f aca="false">(AM413)+AK414-AL414</f>
        <v>25384.1227158267</v>
      </c>
      <c r="AN414" s="15" t="n">
        <f aca="false">SUM(X401:X412)</f>
        <v>0</v>
      </c>
      <c r="AO414" s="15" t="n">
        <f aca="false">SUM(AP401:AP412)</f>
        <v>0</v>
      </c>
      <c r="AP414" s="15" t="n">
        <f aca="false">MAX(0,AN414)*IF(2=Parametri_v3!$C$43,Parametri_v3!$C$45,IF(2=Parametri_v3!$C$44,1-Parametri_v3!$C$45,0))</f>
        <v>0</v>
      </c>
      <c r="AQ414" s="15" t="n">
        <f aca="false">MAX(0,AP414+IF(2=Parametri_v3!$C$43,MAX(0,AN414-AO414),0)-MAX(0,-(AR413)))</f>
        <v>0</v>
      </c>
      <c r="AR414" s="15" t="n">
        <f aca="false">(AR413)+X414-AQ414</f>
        <v>0</v>
      </c>
      <c r="AS414" s="15" t="n">
        <f aca="false">Motore_Operativo!AB414-AT414+AU414</f>
        <v>113503.461904792</v>
      </c>
      <c r="AT414" s="15" t="n">
        <f aca="false">Motore_Operativo!CH414</f>
        <v>5973.86641604167</v>
      </c>
      <c r="AU414" s="15" t="n">
        <f aca="false">MIN(MAX(0,(AV413)+AT414),Parametri_v3!$C$60/12)</f>
        <v>0</v>
      </c>
      <c r="AV414" s="15" t="n">
        <f aca="false">(AV413)+AT414-AU414</f>
        <v>149003.283207083</v>
      </c>
      <c r="AW414" s="15" t="n">
        <f aca="false">IF(AND(Motore_Operativo!C414=Finanziamenti!$D$6,Finanziamenti!$F$6=1),Finanziamenti!$C$6,0)</f>
        <v>0</v>
      </c>
      <c r="AX414" s="15" t="n">
        <f aca="false">IF(AND(7&lt;&gt;7,7&lt;&gt;9,Finanziamenti!$F$8=1,OR(Parametri_v3!$C$6=0,Finanziamenti!$E$8=1),Motore_Operativo!C414=EDATE(Finanziamenti!$D$8,Ipotesi!I15*12)),Finanziamenti!$C$8*1,0)+IF(AND(7&lt;&gt;7,7&lt;&gt;9,Finanziamenti!$F$9=1,OR(Parametri_v3!$C$6=0,Finanziamenti!$E$9=1),Motore_Operativo!C414=EDATE(Finanziamenti!$D$9,Ipotesi!I15*12)),Finanziamenti!$C$9*Ipotesi!I16,0)</f>
        <v>0</v>
      </c>
      <c r="AY414" s="15" t="n">
        <f aca="false">0</f>
        <v>0</v>
      </c>
      <c r="AZ414" s="15" t="n">
        <f aca="false">Motore_Advisory!AY414*(1-Ipotesi!$C$95)*Ipotesi!$C$96</f>
        <v>0</v>
      </c>
      <c r="BA414" s="15" t="n">
        <f aca="false">MAX(0,MIN(CG414*MIN(1,IF(Motore_Operativo!C414&gt;=EDATE(Finanziamenti!$D$15,Ipotesi!I14*12),Finanziamenti!$C$15,0)+IF(Motore_Operativo!C414&gt;=EDATE(Finanziamenti!$D$16,Ipotesi!I14*12),Finanziamenti!$C$16,0)+IF(Motore_Operativo!C414&gt;=EDATE(Finanziamenti!$D$17,Ipotesi!I14*12),Finanziamenti!$C$17,0)),CA414*Ipotesi!$C$102)-(CC413))</f>
        <v>0</v>
      </c>
      <c r="BB414" s="15" t="n">
        <f aca="false">IF(AND(CF414&gt;0,Motore_Operativo!C414&gt;=IF(CF414=0,0,EDATE(CF414,Parametri_v3!$C$37)),MOD(((D414-YEAR(IF(CF414=0,0,EDATE(CF414,Parametri_v3!$C$37))))*12+E414-MONTH(IF(CF414=0,0,EDATE(CF414,Parametri_v3!$C$37)))),Parametri_v3!$C$38)=0),MIN(MAX(0,(BC413)+BA414-N414),(CC414-CD414)/(Ipotesi!$C$108*12/Parametri_v3!$C$38)),0)</f>
        <v>0</v>
      </c>
      <c r="BC414" s="15" t="n">
        <f aca="false">(BC413)+BA414-N414-BB414</f>
        <v>238853.69719557</v>
      </c>
      <c r="BD414" s="15" t="n">
        <f aca="false">(BH413)+AC414+AF414-AI414-AS414-K414*(1+Parametri_v3!$C$26)-AL414-AQ414-O414+AW414+AX414+AZ414+BA414-BB414</f>
        <v>-1114182.19400129</v>
      </c>
      <c r="BE414" s="15" t="n">
        <f aca="false">MAX(0,MIN(MAX(0,CH414-(BG413)),Parametri_v3!$C$30-BD414))</f>
        <v>0</v>
      </c>
      <c r="BF414" s="15" t="n">
        <f aca="false">IF(Motore_Operativo!C414&gt;=Parametri_v3!$C$63,(BG413),MIN((BG413),MAX(0,BD414-Parametri_v3!$C$30)))</f>
        <v>0</v>
      </c>
      <c r="BG414" s="15" t="n">
        <f aca="false">(BG413)+BE414-BF414</f>
        <v>150000</v>
      </c>
      <c r="BH414" s="15" t="n">
        <f aca="false">BD414+BE414-BF414-AY414</f>
        <v>-1114182.19400129</v>
      </c>
      <c r="BI414" s="15" t="n">
        <f aca="false">MAX(0,Parametri_v3!$C$30-BH414)</f>
        <v>1139182.19400129</v>
      </c>
      <c r="BJ414" s="15" t="n">
        <f aca="false">(BJ413)+K414</f>
        <v>123333.333333333</v>
      </c>
      <c r="BK414" s="15" t="n">
        <f aca="false">(BK413)+L414</f>
        <v>69270.8333333333</v>
      </c>
      <c r="BL414" s="15" t="n">
        <f aca="false">BJ414-BK414</f>
        <v>54062.4999999999</v>
      </c>
      <c r="BM414" s="15" t="n">
        <f aca="false">(BM413)+Y414</f>
        <v>-1365824.24586456</v>
      </c>
      <c r="BN414" s="15" t="n">
        <f aca="false">(BN413)+AW414+AX414+AZ414</f>
        <v>165707.016294444</v>
      </c>
      <c r="BO414" s="15" t="n">
        <f aca="false">(BO413)+AY414</f>
        <v>0</v>
      </c>
      <c r="BP414" s="15" t="n">
        <f aca="false">0</f>
        <v>0</v>
      </c>
      <c r="BQ414" s="15" t="n">
        <f aca="false">BN414+BM414-BO414</f>
        <v>-1200117.22957011</v>
      </c>
      <c r="BR414" s="15" t="n">
        <f aca="false">BH414+AD414+BL414+MAX(0,-AM414)+MAX(0,-AR414)+AG414</f>
        <v>-453282.653071191</v>
      </c>
      <c r="BS414" s="15" t="n">
        <f aca="false">AJ414+AV414+MAX(0,AM414)+MAX(0,AR414)+BC414+BG414+BQ414</f>
        <v>-453282.65307119</v>
      </c>
      <c r="BT414" s="15" t="n">
        <f aca="false">BR414-BS414</f>
        <v>0</v>
      </c>
      <c r="BU414" s="15" t="n">
        <f aca="false">BH414-(BD414+BE414-BF414-AY414)</f>
        <v>0</v>
      </c>
      <c r="BV414" s="15" t="n">
        <f aca="false">MIN(Piano_SS!$C$6,(BV413)+IF(AND(Motore_Operativo!C414&gt;=EDATE(Parametri_v3!$C$24,Ipotesi!I14*12),Motore_Operativo!C414&lt;EDATE(Parametri_v3!$C$24,Parametri_v3!$C$25+Ipotesi!I14*12)),MAX(0,(Motore_Operativo!Y414+Motore_Operativo!X414*Parametri_v3!$C$14)*(1-Parametri_v3!$C$32))*Piano_SS!$D$6,0))</f>
        <v>300000</v>
      </c>
      <c r="BW414" s="15" t="n">
        <f aca="false">MIN(Piano_SS!$C$7,(BW413)+IF(AND(Motore_Operativo!C414&gt;=EDATE(Parametri_v3!$C$24,Ipotesi!I14*12),Motore_Operativo!C414&lt;EDATE(Parametri_v3!$C$24,Parametri_v3!$C$25+Ipotesi!I14*12)),MAX(0,(IF(50-(INT((Ipotesi!$C$91)/30))&lt;1,0,INDEX(Motore_Operativo!$BN$365:$BN$424,MAX(1,50-(INT((Ipotesi!$C$91)/30)))))*(1-(MOD((Ipotesi!$C$91),30)/30))+IF(50-(INT((Ipotesi!$C$91)/30))-1&lt;1,0,INDEX(Motore_Operativo!$BN$365:$BN$424,MAX(1,50-(INT((Ipotesi!$C$91)/30))-1)))*(MOD((Ipotesi!$C$91),30)/30)))*Piano_SS!$D$7,0))</f>
        <v>41058.9230070837</v>
      </c>
      <c r="BX414" s="15" t="n">
        <f aca="false">MIN(Piano_SS!$C$8,(BX413)+IF(AND(Motore_Operativo!C414&gt;=EDATE(Parametri_v3!$C$24,Ipotesi!I14*12),Motore_Operativo!C414&lt;EDATE(Parametri_v3!$C$24,Parametri_v3!$C$25+Ipotesi!I14*12)),MAX(0,Motore_Operativo!CE414)*Piano_SS!$D$8,0))</f>
        <v>50000</v>
      </c>
      <c r="BY414" s="15" t="n">
        <f aca="false">MIN(Piano_SS!$C$9,(BY413)+IF(AND(Motore_Operativo!C414&gt;=EDATE(Parametri_v3!$C$24,Ipotesi!I14*12),Motore_Operativo!C414&lt;EDATE(Parametri_v3!$C$24,Parametri_v3!$C$25+Ipotesi!I14*12)),MAX(0,((IF(50-(INT((Ipotesi!$C$91)/30))&lt;1,0,INDEX(Motore_Operativo!$BQ$365:$BQ$424,MAX(1,50-(INT((Ipotesi!$C$91)/30)))))*(1-(MOD((Ipotesi!$C$91),30)/30))+IF(50-(INT((Ipotesi!$C$91)/30))-1&lt;1,0,INDEX(Motore_Operativo!$BQ$365:$BQ$424,MAX(1,50-(INT((Ipotesi!$C$91)/30))-1)))*(MOD((Ipotesi!$C$91),30)/30))+(IF(50-(INT((Ipotesi!$C$91)/30))&lt;1,0,INDEX(Motore_Operativo!$BR$365:$BR$424,MAX(1,50-(INT((Ipotesi!$C$91)/30)))))*(1-(MOD((Ipotesi!$C$91),30)/30))+IF(50-(INT((Ipotesi!$C$91)/30))-1&lt;1,0,INDEX(Motore_Operativo!$BR$365:$BR$424,MAX(1,50-(INT((Ipotesi!$C$91)/30))-1)))*(MOD((Ipotesi!$C$91),30)/30))))*Piano_SS!$D$9,0))</f>
        <v>40000</v>
      </c>
      <c r="BZ414" s="15" t="n">
        <f aca="false">MIN(Piano_SS!$C$10,(BZ413)+IF(AND(Motore_Operativo!C414&gt;=EDATE(Parametri_v3!$C$24,Ipotesi!I14*12),Motore_Operativo!C414&lt;EDATE(Parametri_v3!$C$24,Parametri_v3!$C$25+Ipotesi!I14*12)),MAX(0,(IF(50-(INT((Ipotesi!$C$91)/30))&lt;1,0,INDEX(Motore_Operativo!$BO$365:$BO$424,MAX(1,50-(INT((Ipotesi!$C$91)/30)))))*(1-(MOD((Ipotesi!$C$91),30)/30))+IF(50-(INT((Ipotesi!$C$91)/30))-1&lt;1,0,INDEX(Motore_Operativo!$BO$365:$BO$424,MAX(1,50-(INT((Ipotesi!$C$91)/30))-1)))*(MOD((Ipotesi!$C$91),30)/30)))*Piano_SS!$D$10,0))</f>
        <v>30000</v>
      </c>
      <c r="CA414" s="15" t="n">
        <f aca="false">SUM(BV414:BZ414)</f>
        <v>461058.923007084</v>
      </c>
      <c r="CB414" s="15" t="n">
        <f aca="false">BV414*(1-Piano_SS!$E$6)+BW414*(1-Piano_SS!$E$7)+BX414*(1-Piano_SS!$E$8)+BY414*(1-Piano_SS!$E$9)+BZ414*(1-Piano_SS!$E$10)</f>
        <v>431058.923007084</v>
      </c>
      <c r="CC414" s="15" t="n">
        <f aca="false">(CC413)+BA414</f>
        <v>368847.138405667</v>
      </c>
      <c r="CD414" s="15" t="n">
        <f aca="false">IF(CA414=0,0,CC414*CB414/CA414*Ipotesi!$C$103*Parametri_v3!$C$64)</f>
        <v>103454.1415217</v>
      </c>
      <c r="CE414" s="18" t="n">
        <f aca="false">IF(BA414&gt;0,Motore_Operativo!C414,(CE413))</f>
        <v>47270</v>
      </c>
      <c r="CF414" s="18" t="n">
        <f aca="false">IF(AND(CC414&gt;0,OR(CC414&gt;=CG414-0.01,Motore_Operativo!C414&gt;=EDATE(MAX(Finanziamenti!$D$15:$D$17),Ipotesi!I14*12))),CE414,0)</f>
        <v>47270</v>
      </c>
      <c r="CG414" s="15" t="n">
        <f aca="false">IF(AND(7&lt;&gt;6,7&lt;&gt;9,Finanziamenti!$F$11=1,OR(Parametri_v3!$C$6=0,Finanziamenti!$E$11=1)),MIN(Finanziamenti!$C$11,Piano_SS!$C$12*Ipotesi!$C$102),0)</f>
        <v>400000</v>
      </c>
      <c r="CH414" s="15" t="n">
        <f aca="false">IF(AND(AND(7&lt;&gt;8,7&lt;&gt;9,Finanziamenti!$F$10=1,OR(Parametri_v3!$C$6=0,Finanziamenti!$E$10=1)),Motore_Operativo!C414&gt;=Finanziamenti!$D$10,Motore_Operativo!C414&lt;Parametri_v3!$C$63),Finanziamenti!$C$10,0)</f>
        <v>150000</v>
      </c>
    </row>
    <row r="415" customFormat="false" ht="18" hidden="false" customHeight="true" outlineLevel="0" collapsed="false">
      <c r="A415" s="68" t="n">
        <f aca="false">7</f>
        <v>7</v>
      </c>
      <c r="B415" s="68" t="n">
        <f aca="false">51</f>
        <v>51</v>
      </c>
      <c r="C415" s="18" t="n">
        <f aca="false">Motore_Operativo!C415</f>
        <v>47908</v>
      </c>
      <c r="D415" s="68" t="n">
        <f aca="false">Motore_Operativo!D415</f>
        <v>2031</v>
      </c>
      <c r="E415" s="68" t="n">
        <f aca="false">Motore_Operativo!E415</f>
        <v>3</v>
      </c>
      <c r="F415" s="15" t="n">
        <f aca="false">Motore_Operativo!AQ415+Motore_Operativo!BF415</f>
        <v>176470.190518164</v>
      </c>
      <c r="G415" s="15" t="n">
        <f aca="false">Motore_Operativo!BH415</f>
        <v>11595.8333333333</v>
      </c>
      <c r="H415" s="15" t="n">
        <f aca="false">Motore_Operativo!BI415</f>
        <v>188066.023851497</v>
      </c>
      <c r="I415" s="15" t="n">
        <f aca="false">Motore_Operativo!CA415</f>
        <v>197365.196660043</v>
      </c>
      <c r="J415" s="15" t="n">
        <f aca="false">Motore_Operativo!CC415</f>
        <v>-9299.17280854564</v>
      </c>
      <c r="K415" s="15" t="n">
        <f aca="false">Motore_Operativo!CE415</f>
        <v>4166.66666666667</v>
      </c>
      <c r="L415" s="15" t="n">
        <f aca="false">SUM(INDEX($K$365:$K$424,MAX(1,51-Parametri_v3!$C$59+1)):K415)/Parametri_v3!$C$59</f>
        <v>2812.5</v>
      </c>
      <c r="M415" s="15" t="n">
        <f aca="false">J415-L415</f>
        <v>-12111.6728085456</v>
      </c>
      <c r="N415" s="15" t="n">
        <f aca="false">CD415-(CD414)</f>
        <v>0</v>
      </c>
      <c r="O415" s="15" t="n">
        <f aca="false">(BG414)*Ipotesi!$C$110/12+CH415*Parametri_v3!$C$39/12</f>
        <v>750</v>
      </c>
      <c r="P415" s="15" t="n">
        <f aca="false">M415+N415-O415</f>
        <v>-12861.6728085456</v>
      </c>
      <c r="Q415" s="15" t="n">
        <f aca="false">SUM(P413:P415)+Parametri_v3!$C$54*3/12</f>
        <v>-45202.8407534765</v>
      </c>
      <c r="R415" s="15" t="n">
        <f aca="false">Z412</f>
        <v>1016758.23194941</v>
      </c>
      <c r="S415" s="15" t="n">
        <f aca="false">AA412</f>
        <v>316724.845970214</v>
      </c>
      <c r="T415" s="15" t="n">
        <f aca="false">MIN(R415,MAX(0,Q415))</f>
        <v>0</v>
      </c>
      <c r="U415" s="15" t="n">
        <f aca="false">MIN(S415,MAX(0,Q415-T415)*Parametri_v3!$C$42)</f>
        <v>0</v>
      </c>
      <c r="V415" s="15" t="n">
        <f aca="false">MAX(0,Q415-T415-U415)*Ipotesi!$C$92</f>
        <v>0</v>
      </c>
      <c r="W415" s="15" t="n">
        <f aca="false">MAX(0,SUM(M413:M415)+Parametri_v3!$C$55*3/12)*Ipotesi!$C$93</f>
        <v>0</v>
      </c>
      <c r="X415" s="15" t="n">
        <f aca="false">V415+W415-(V414+W414)</f>
        <v>0</v>
      </c>
      <c r="Y415" s="15" t="n">
        <f aca="false">P415-X415</f>
        <v>-12861.6728085456</v>
      </c>
      <c r="Z415" s="15" t="n">
        <f aca="false">R415-T415+IF(AND(Parametri_v3!$C$40=1,D415-YEAR(Parametri_v3!$C$50)&lt;Parametri_v3!$C$41),MAX(0,-Q415),0)</f>
        <v>1016758.23194941</v>
      </c>
      <c r="AA415" s="15" t="n">
        <f aca="false">S415-U415+IF(AND(Parametri_v3!$C$40=1,D415-YEAR(Parametri_v3!$C$50)&lt;Parametri_v3!$C$41),0,MAX(0,-Q415))</f>
        <v>361927.686723691</v>
      </c>
      <c r="AB415" s="15" t="n">
        <f aca="false">F415*(1+Parametri_v3!$C$26)</f>
        <v>215293.63243216</v>
      </c>
      <c r="AC415" s="15" t="n">
        <f aca="false">(IF(51-(INT((Motore_Operativo!L415)/30))&lt;1,0,INDEX(Motore_Startup!$AB$365:$AB$424,MAX(1,51-(INT((Motore_Operativo!L415)/30)))))*(1-(MOD((Motore_Operativo!L415),30)/30))+IF(51-(INT((Motore_Operativo!L415)/30))-1&lt;1,0,INDEX(Motore_Startup!$AB$365:$AB$424,MAX(1,51-(INT((Motore_Operativo!L415)/30))-1)))*(MOD((Motore_Operativo!L415),30)/30))</f>
        <v>171737.218463673</v>
      </c>
      <c r="AD415" s="15" t="n">
        <f aca="false">(AD414)+AB415-AC415</f>
        <v>636246.538231922</v>
      </c>
      <c r="AE415" s="15" t="n">
        <f aca="false">Motore_Operativo!BH415*(1+Parametri_v3!$C$26)</f>
        <v>14146.9166666667</v>
      </c>
      <c r="AF415" s="15" t="n">
        <f aca="false">(IF(51-(INT((Parametri_v3!$C$29)/30))&lt;1,0,INDEX(Motore_Operativo!$BH$365:$BH$424,MAX(1,51-(INT((Parametri_v3!$C$29)/30)))))*(1-(MOD((Parametri_v3!$C$29),30)/30))+IF(51-(INT((Parametri_v3!$C$29)/30))-1&lt;1,0,INDEX(Motore_Operativo!$BH$365:$BH$424,MAX(1,51-(INT((Parametri_v3!$C$29)/30))-1)))*(MOD((Parametri_v3!$C$29),30)/30))*(1+Parametri_v3!$C$26)</f>
        <v>14146.9166666667</v>
      </c>
      <c r="AG415" s="15" t="n">
        <f aca="false">(AG414)+AE415-AF415</f>
        <v>14146.9166666667</v>
      </c>
      <c r="AH415" s="15" t="n">
        <f aca="false">(Motore_Operativo!CJ415)*(1+Parametri_v3!$C$27*Parametri_v3!$C$26)</f>
        <v>92452.8997186419</v>
      </c>
      <c r="AI415" s="15" t="n">
        <f aca="false">(IF(51-(INT((Ipotesi!$C$91)/30))&lt;1,0,INDEX(Motore_Startup!$AH$365:$AH$424,MAX(1,51-(INT((Ipotesi!$C$91)/30)))))*(1-(MOD((Ipotesi!$C$91),30)/30))+IF(51-(INT((Ipotesi!$C$91)/30))-1&lt;1,0,INDEX(Motore_Startup!$AH$365:$AH$424,MAX(1,51-(INT((Ipotesi!$C$91)/30))-1)))*(MOD((Ipotesi!$C$91),30)/30))</f>
        <v>91576.7335595619</v>
      </c>
      <c r="AJ415" s="15" t="n">
        <f aca="false">(AJ414)+AH415-AI415</f>
        <v>184469.639539521</v>
      </c>
      <c r="AK415" s="15" t="n">
        <f aca="false">(F415+ Motore_Operativo!BH415-(Motore_Operativo!CJ415)*Parametri_v3!$C$27-Motore_Operativo!CE415)*Parametri_v3!$C$26</f>
        <v>25892.8272012306</v>
      </c>
      <c r="AL415" s="15" t="n">
        <f aca="false">MAX(0,(AM414))</f>
        <v>25384.1227158267</v>
      </c>
      <c r="AM415" s="15" t="n">
        <f aca="false">(AM414)+AK415-AL415</f>
        <v>25892.8272012306</v>
      </c>
      <c r="AN415" s="15" t="n">
        <f aca="false">SUM(X401:X412)</f>
        <v>0</v>
      </c>
      <c r="AO415" s="15" t="n">
        <f aca="false">SUM(AP401:AP412)</f>
        <v>0</v>
      </c>
      <c r="AP415" s="15" t="n">
        <f aca="false">MAX(0,AN415)*IF(3=Parametri_v3!$C$43,Parametri_v3!$C$45,IF(3=Parametri_v3!$C$44,1-Parametri_v3!$C$45,0))</f>
        <v>0</v>
      </c>
      <c r="AQ415" s="15" t="n">
        <f aca="false">MAX(0,AP415+IF(3=Parametri_v3!$C$43,MAX(0,AN415-AO415),0)-MAX(0,-(AR414)))</f>
        <v>0</v>
      </c>
      <c r="AR415" s="15" t="n">
        <f aca="false">(AR414)+X415-AQ415</f>
        <v>0</v>
      </c>
      <c r="AS415" s="15" t="n">
        <f aca="false">Motore_Operativo!AB415-AT415+AU415</f>
        <v>113503.461904792</v>
      </c>
      <c r="AT415" s="15" t="n">
        <f aca="false">Motore_Operativo!CH415</f>
        <v>5973.86641604167</v>
      </c>
      <c r="AU415" s="15" t="n">
        <f aca="false">MIN(MAX(0,(AV414)+AT415),Parametri_v3!$C$60/12)</f>
        <v>0</v>
      </c>
      <c r="AV415" s="15" t="n">
        <f aca="false">(AV414)+AT415-AU415</f>
        <v>154977.149623125</v>
      </c>
      <c r="AW415" s="15" t="n">
        <f aca="false">IF(AND(Motore_Operativo!C415=Finanziamenti!$D$6,Finanziamenti!$F$6=1),Finanziamenti!$C$6,0)</f>
        <v>0</v>
      </c>
      <c r="AX415" s="15" t="n">
        <f aca="false">IF(AND(7&lt;&gt;7,7&lt;&gt;9,Finanziamenti!$F$8=1,OR(Parametri_v3!$C$6=0,Finanziamenti!$E$8=1),Motore_Operativo!C415=EDATE(Finanziamenti!$D$8,Ipotesi!I15*12)),Finanziamenti!$C$8*1,0)+IF(AND(7&lt;&gt;7,7&lt;&gt;9,Finanziamenti!$F$9=1,OR(Parametri_v3!$C$6=0,Finanziamenti!$E$9=1),Motore_Operativo!C415=EDATE(Finanziamenti!$D$9,Ipotesi!I15*12)),Finanziamenti!$C$9*Ipotesi!I16,0)</f>
        <v>0</v>
      </c>
      <c r="AY415" s="15" t="n">
        <f aca="false">0</f>
        <v>0</v>
      </c>
      <c r="AZ415" s="15" t="n">
        <f aca="false">Motore_Advisory!AY415*(1-Ipotesi!$C$95)*Ipotesi!$C$96</f>
        <v>0</v>
      </c>
      <c r="BA415" s="15" t="n">
        <f aca="false">MAX(0,MIN(CG415*MIN(1,IF(Motore_Operativo!C415&gt;=EDATE(Finanziamenti!$D$15,Ipotesi!I14*12),Finanziamenti!$C$15,0)+IF(Motore_Operativo!C415&gt;=EDATE(Finanziamenti!$D$16,Ipotesi!I14*12),Finanziamenti!$C$16,0)+IF(Motore_Operativo!C415&gt;=EDATE(Finanziamenti!$D$17,Ipotesi!I14*12),Finanziamenti!$C$17,0)),CA415*Ipotesi!$C$102)-(CC414))</f>
        <v>0</v>
      </c>
      <c r="BB415" s="15" t="n">
        <f aca="false">IF(AND(CF415&gt;0,Motore_Operativo!C415&gt;=IF(CF415=0,0,EDATE(CF415,Parametri_v3!$C$37)),MOD(((D415-YEAR(IF(CF415=0,0,EDATE(CF415,Parametri_v3!$C$37))))*12+E415-MONTH(IF(CF415=0,0,EDATE(CF415,Parametri_v3!$C$37)))),Parametri_v3!$C$38)=0),MIN(MAX(0,(BC414)+BA415-N415),(CC415-CD415)/(Ipotesi!$C$108*12/Parametri_v3!$C$38)),0)</f>
        <v>0</v>
      </c>
      <c r="BC415" s="15" t="n">
        <f aca="false">(BC414)+BA415-N415-BB415</f>
        <v>238853.69719557</v>
      </c>
      <c r="BD415" s="15" t="n">
        <f aca="false">(BH414)+AC415+AF415-AI415-AS415-K415*(1+Parametri_v3!$C$26)-AL415-AQ415-O415+AW415+AX415+AZ415+BA415-BB415</f>
        <v>-1164595.71038447</v>
      </c>
      <c r="BE415" s="15" t="n">
        <f aca="false">MAX(0,MIN(MAX(0,CH415-(BG414)),Parametri_v3!$C$30-BD415))</f>
        <v>0</v>
      </c>
      <c r="BF415" s="15" t="n">
        <f aca="false">IF(Motore_Operativo!C415&gt;=Parametri_v3!$C$63,(BG414),MIN((BG414),MAX(0,BD415-Parametri_v3!$C$30)))</f>
        <v>0</v>
      </c>
      <c r="BG415" s="15" t="n">
        <f aca="false">(BG414)+BE415-BF415</f>
        <v>150000</v>
      </c>
      <c r="BH415" s="15" t="n">
        <f aca="false">BD415+BE415-BF415-AY415</f>
        <v>-1164595.71038447</v>
      </c>
      <c r="BI415" s="15" t="n">
        <f aca="false">MAX(0,Parametri_v3!$C$30-BH415)</f>
        <v>1189595.71038447</v>
      </c>
      <c r="BJ415" s="15" t="n">
        <f aca="false">(BJ414)+K415</f>
        <v>127500</v>
      </c>
      <c r="BK415" s="15" t="n">
        <f aca="false">(BK414)+L415</f>
        <v>72083.3333333333</v>
      </c>
      <c r="BL415" s="15" t="n">
        <f aca="false">BJ415-BK415</f>
        <v>55416.6666666666</v>
      </c>
      <c r="BM415" s="15" t="n">
        <f aca="false">(BM414)+Y415</f>
        <v>-1378685.9186731</v>
      </c>
      <c r="BN415" s="15" t="n">
        <f aca="false">(BN414)+AW415+AX415+AZ415</f>
        <v>165707.016294444</v>
      </c>
      <c r="BO415" s="15" t="n">
        <f aca="false">(BO414)+AY415</f>
        <v>0</v>
      </c>
      <c r="BP415" s="15" t="n">
        <f aca="false">0</f>
        <v>0</v>
      </c>
      <c r="BQ415" s="15" t="n">
        <f aca="false">BN415+BM415-BO415</f>
        <v>-1212978.90237866</v>
      </c>
      <c r="BR415" s="15" t="n">
        <f aca="false">BH415+AD415+BL415+MAX(0,-AM415)+MAX(0,-AR415)+AG415</f>
        <v>-458785.588819211</v>
      </c>
      <c r="BS415" s="15" t="n">
        <f aca="false">AJ415+AV415+MAX(0,AM415)+MAX(0,AR415)+BC415+BG415+BQ415</f>
        <v>-458785.588819211</v>
      </c>
      <c r="BT415" s="15" t="n">
        <f aca="false">BR415-BS415</f>
        <v>0</v>
      </c>
      <c r="BU415" s="15" t="n">
        <f aca="false">BH415-(BD415+BE415-BF415-AY415)</f>
        <v>0</v>
      </c>
      <c r="BV415" s="15" t="n">
        <f aca="false">MIN(Piano_SS!$C$6,(BV414)+IF(AND(Motore_Operativo!C415&gt;=EDATE(Parametri_v3!$C$24,Ipotesi!I14*12),Motore_Operativo!C415&lt;EDATE(Parametri_v3!$C$24,Parametri_v3!$C$25+Ipotesi!I14*12)),MAX(0,(Motore_Operativo!Y415+Motore_Operativo!X415*Parametri_v3!$C$14)*(1-Parametri_v3!$C$32))*Piano_SS!$D$6,0))</f>
        <v>300000</v>
      </c>
      <c r="BW415" s="15" t="n">
        <f aca="false">MIN(Piano_SS!$C$7,(BW414)+IF(AND(Motore_Operativo!C415&gt;=EDATE(Parametri_v3!$C$24,Ipotesi!I14*12),Motore_Operativo!C415&lt;EDATE(Parametri_v3!$C$24,Parametri_v3!$C$25+Ipotesi!I14*12)),MAX(0,(IF(51-(INT((Ipotesi!$C$91)/30))&lt;1,0,INDEX(Motore_Operativo!$BN$365:$BN$424,MAX(1,51-(INT((Ipotesi!$C$91)/30)))))*(1-(MOD((Ipotesi!$C$91),30)/30))+IF(51-(INT((Ipotesi!$C$91)/30))-1&lt;1,0,INDEX(Motore_Operativo!$BN$365:$BN$424,MAX(1,51-(INT((Ipotesi!$C$91)/30))-1)))*(MOD((Ipotesi!$C$91),30)/30)))*Piano_SS!$D$7,0))</f>
        <v>41058.9230070837</v>
      </c>
      <c r="BX415" s="15" t="n">
        <f aca="false">MIN(Piano_SS!$C$8,(BX414)+IF(AND(Motore_Operativo!C415&gt;=EDATE(Parametri_v3!$C$24,Ipotesi!I14*12),Motore_Operativo!C415&lt;EDATE(Parametri_v3!$C$24,Parametri_v3!$C$25+Ipotesi!I14*12)),MAX(0,Motore_Operativo!CE415)*Piano_SS!$D$8,0))</f>
        <v>50000</v>
      </c>
      <c r="BY415" s="15" t="n">
        <f aca="false">MIN(Piano_SS!$C$9,(BY414)+IF(AND(Motore_Operativo!C415&gt;=EDATE(Parametri_v3!$C$24,Ipotesi!I14*12),Motore_Operativo!C415&lt;EDATE(Parametri_v3!$C$24,Parametri_v3!$C$25+Ipotesi!I14*12)),MAX(0,((IF(51-(INT((Ipotesi!$C$91)/30))&lt;1,0,INDEX(Motore_Operativo!$BQ$365:$BQ$424,MAX(1,51-(INT((Ipotesi!$C$91)/30)))))*(1-(MOD((Ipotesi!$C$91),30)/30))+IF(51-(INT((Ipotesi!$C$91)/30))-1&lt;1,0,INDEX(Motore_Operativo!$BQ$365:$BQ$424,MAX(1,51-(INT((Ipotesi!$C$91)/30))-1)))*(MOD((Ipotesi!$C$91),30)/30))+(IF(51-(INT((Ipotesi!$C$91)/30))&lt;1,0,INDEX(Motore_Operativo!$BR$365:$BR$424,MAX(1,51-(INT((Ipotesi!$C$91)/30)))))*(1-(MOD((Ipotesi!$C$91),30)/30))+IF(51-(INT((Ipotesi!$C$91)/30))-1&lt;1,0,INDEX(Motore_Operativo!$BR$365:$BR$424,MAX(1,51-(INT((Ipotesi!$C$91)/30))-1)))*(MOD((Ipotesi!$C$91),30)/30))))*Piano_SS!$D$9,0))</f>
        <v>40000</v>
      </c>
      <c r="BZ415" s="15" t="n">
        <f aca="false">MIN(Piano_SS!$C$10,(BZ414)+IF(AND(Motore_Operativo!C415&gt;=EDATE(Parametri_v3!$C$24,Ipotesi!I14*12),Motore_Operativo!C415&lt;EDATE(Parametri_v3!$C$24,Parametri_v3!$C$25+Ipotesi!I14*12)),MAX(0,(IF(51-(INT((Ipotesi!$C$91)/30))&lt;1,0,INDEX(Motore_Operativo!$BO$365:$BO$424,MAX(1,51-(INT((Ipotesi!$C$91)/30)))))*(1-(MOD((Ipotesi!$C$91),30)/30))+IF(51-(INT((Ipotesi!$C$91)/30))-1&lt;1,0,INDEX(Motore_Operativo!$BO$365:$BO$424,MAX(1,51-(INT((Ipotesi!$C$91)/30))-1)))*(MOD((Ipotesi!$C$91),30)/30)))*Piano_SS!$D$10,0))</f>
        <v>30000</v>
      </c>
      <c r="CA415" s="15" t="n">
        <f aca="false">SUM(BV415:BZ415)</f>
        <v>461058.923007084</v>
      </c>
      <c r="CB415" s="15" t="n">
        <f aca="false">BV415*(1-Piano_SS!$E$6)+BW415*(1-Piano_SS!$E$7)+BX415*(1-Piano_SS!$E$8)+BY415*(1-Piano_SS!$E$9)+BZ415*(1-Piano_SS!$E$10)</f>
        <v>431058.923007084</v>
      </c>
      <c r="CC415" s="15" t="n">
        <f aca="false">(CC414)+BA415</f>
        <v>368847.138405667</v>
      </c>
      <c r="CD415" s="15" t="n">
        <f aca="false">IF(CA415=0,0,CC415*CB415/CA415*Ipotesi!$C$103*Parametri_v3!$C$64)</f>
        <v>103454.1415217</v>
      </c>
      <c r="CE415" s="18" t="n">
        <f aca="false">IF(BA415&gt;0,Motore_Operativo!C415,(CE414))</f>
        <v>47270</v>
      </c>
      <c r="CF415" s="18" t="n">
        <f aca="false">IF(AND(CC415&gt;0,OR(CC415&gt;=CG415-0.01,Motore_Operativo!C415&gt;=EDATE(MAX(Finanziamenti!$D$15:$D$17),Ipotesi!I14*12))),CE415,0)</f>
        <v>47270</v>
      </c>
      <c r="CG415" s="15" t="n">
        <f aca="false">IF(AND(7&lt;&gt;6,7&lt;&gt;9,Finanziamenti!$F$11=1,OR(Parametri_v3!$C$6=0,Finanziamenti!$E$11=1)),MIN(Finanziamenti!$C$11,Piano_SS!$C$12*Ipotesi!$C$102),0)</f>
        <v>400000</v>
      </c>
      <c r="CH415" s="15" t="n">
        <f aca="false">IF(AND(AND(7&lt;&gt;8,7&lt;&gt;9,Finanziamenti!$F$10=1,OR(Parametri_v3!$C$6=0,Finanziamenti!$E$10=1)),Motore_Operativo!C415&gt;=Finanziamenti!$D$10,Motore_Operativo!C415&lt;Parametri_v3!$C$63),Finanziamenti!$C$10,0)</f>
        <v>150000</v>
      </c>
    </row>
    <row r="416" customFormat="false" ht="18" hidden="false" customHeight="true" outlineLevel="0" collapsed="false">
      <c r="A416" s="68" t="n">
        <f aca="false">7</f>
        <v>7</v>
      </c>
      <c r="B416" s="68" t="n">
        <f aca="false">52</f>
        <v>52</v>
      </c>
      <c r="C416" s="18" t="n">
        <f aca="false">Motore_Operativo!C416</f>
        <v>47939</v>
      </c>
      <c r="D416" s="68" t="n">
        <f aca="false">Motore_Operativo!D416</f>
        <v>2031</v>
      </c>
      <c r="E416" s="68" t="n">
        <f aca="false">Motore_Operativo!E416</f>
        <v>4</v>
      </c>
      <c r="F416" s="15" t="n">
        <f aca="false">Motore_Operativo!AQ416+Motore_Operativo!BF416</f>
        <v>179521.028119095</v>
      </c>
      <c r="G416" s="15" t="n">
        <f aca="false">Motore_Operativo!BH416</f>
        <v>11595.8333333333</v>
      </c>
      <c r="H416" s="15" t="n">
        <f aca="false">Motore_Operativo!BI416</f>
        <v>191116.861452429</v>
      </c>
      <c r="I416" s="15" t="n">
        <f aca="false">Motore_Operativo!CA416</f>
        <v>197792.313924173</v>
      </c>
      <c r="J416" s="15" t="n">
        <f aca="false">Motore_Operativo!CC416</f>
        <v>-6675.45247174462</v>
      </c>
      <c r="K416" s="15" t="n">
        <f aca="false">Motore_Operativo!CE416</f>
        <v>4166.66666666667</v>
      </c>
      <c r="L416" s="15" t="n">
        <f aca="false">SUM(INDEX($K$365:$K$424,MAX(1,52-Parametri_v3!$C$59+1)):K416)/Parametri_v3!$C$59</f>
        <v>2870.37037037037</v>
      </c>
      <c r="M416" s="15" t="n">
        <f aca="false">J416-L416</f>
        <v>-9545.82284211499</v>
      </c>
      <c r="N416" s="15" t="n">
        <f aca="false">CD416-(CD415)</f>
        <v>0</v>
      </c>
      <c r="O416" s="15" t="n">
        <f aca="false">(BG415)*Ipotesi!$C$110/12+CH416*Parametri_v3!$C$39/12</f>
        <v>750</v>
      </c>
      <c r="P416" s="15" t="n">
        <f aca="false">M416+N416-O416</f>
        <v>-10295.822842115</v>
      </c>
      <c r="Q416" s="15" t="n">
        <f aca="false">SUM(P413:P416)+Parametri_v3!$C$54*4/12</f>
        <v>-55498.6635955915</v>
      </c>
      <c r="R416" s="15" t="n">
        <f aca="false">Z412</f>
        <v>1016758.23194941</v>
      </c>
      <c r="S416" s="15" t="n">
        <f aca="false">AA412</f>
        <v>316724.845970214</v>
      </c>
      <c r="T416" s="15" t="n">
        <f aca="false">MIN(R416,MAX(0,Q416))</f>
        <v>0</v>
      </c>
      <c r="U416" s="15" t="n">
        <f aca="false">MIN(S416,MAX(0,Q416-T416)*Parametri_v3!$C$42)</f>
        <v>0</v>
      </c>
      <c r="V416" s="15" t="n">
        <f aca="false">MAX(0,Q416-T416-U416)*Ipotesi!$C$92</f>
        <v>0</v>
      </c>
      <c r="W416" s="15" t="n">
        <f aca="false">MAX(0,SUM(M413:M416)+Parametri_v3!$C$55*4/12)*Ipotesi!$C$93</f>
        <v>0</v>
      </c>
      <c r="X416" s="15" t="n">
        <f aca="false">V416+W416-(V415+W415)</f>
        <v>0</v>
      </c>
      <c r="Y416" s="15" t="n">
        <f aca="false">P416-X416</f>
        <v>-10295.822842115</v>
      </c>
      <c r="Z416" s="15" t="n">
        <f aca="false">R416-T416+IF(AND(Parametri_v3!$C$40=1,D416-YEAR(Parametri_v3!$C$50)&lt;Parametri_v3!$C$41),MAX(0,-Q416),0)</f>
        <v>1016758.23194941</v>
      </c>
      <c r="AA416" s="15" t="n">
        <f aca="false">S416-U416+IF(AND(Parametri_v3!$C$40=1,D416-YEAR(Parametri_v3!$C$50)&lt;Parametri_v3!$C$41),0,MAX(0,-Q416))</f>
        <v>372223.509565806</v>
      </c>
      <c r="AB416" s="15" t="n">
        <f aca="false">F416*(1+Parametri_v3!$C$26)</f>
        <v>219015.654305296</v>
      </c>
      <c r="AC416" s="15" t="n">
        <f aca="false">(IF(52-(INT((Motore_Operativo!L416)/30))&lt;1,0,INDEX(Motore_Startup!$AB$365:$AB$424,MAX(1,52-(INT((Motore_Operativo!L416)/30)))))*(1-(MOD((Motore_Operativo!L416),30)/30))+IF(52-(INT((Motore_Operativo!L416)/30))-1&lt;1,0,INDEX(Motore_Startup!$AB$365:$AB$424,MAX(1,52-(INT((Motore_Operativo!L416)/30))-1)))*(MOD((Motore_Operativo!L416),30)/30))</f>
        <v>208861.313777223</v>
      </c>
      <c r="AD416" s="15" t="n">
        <f aca="false">(AD415)+AB416-AC416</f>
        <v>646400.878759996</v>
      </c>
      <c r="AE416" s="15" t="n">
        <f aca="false">Motore_Operativo!BH416*(1+Parametri_v3!$C$26)</f>
        <v>14146.9166666667</v>
      </c>
      <c r="AF416" s="15" t="n">
        <f aca="false">(IF(52-(INT((Parametri_v3!$C$29)/30))&lt;1,0,INDEX(Motore_Operativo!$BH$365:$BH$424,MAX(1,52-(INT((Parametri_v3!$C$29)/30)))))*(1-(MOD((Parametri_v3!$C$29),30)/30))+IF(52-(INT((Parametri_v3!$C$29)/30))-1&lt;1,0,INDEX(Motore_Operativo!$BH$365:$BH$424,MAX(1,52-(INT((Parametri_v3!$C$29)/30))-1)))*(MOD((Parametri_v3!$C$29),30)/30))*(1+Parametri_v3!$C$26)</f>
        <v>14146.9166666667</v>
      </c>
      <c r="AG416" s="15" t="n">
        <f aca="false">(AG415)+AE416-AF416</f>
        <v>14146.9166666667</v>
      </c>
      <c r="AH416" s="15" t="n">
        <f aca="false">(Motore_Operativo!CJ416)*(1+Parametri_v3!$C$27*Parametri_v3!$C$26)</f>
        <v>92959.8879111646</v>
      </c>
      <c r="AI416" s="15" t="n">
        <f aca="false">(IF(52-(INT((Ipotesi!$C$91)/30))&lt;1,0,INDEX(Motore_Startup!$AH$365:$AH$424,MAX(1,52-(INT((Ipotesi!$C$91)/30)))))*(1-(MOD((Ipotesi!$C$91),30)/30))+IF(52-(INT((Ipotesi!$C$91)/30))-1&lt;1,0,INDEX(Motore_Startup!$AH$365:$AH$424,MAX(1,52-(INT((Ipotesi!$C$91)/30))-1)))*(MOD((Ipotesi!$C$91),30)/30))</f>
        <v>92016.7398208789</v>
      </c>
      <c r="AJ416" s="15" t="n">
        <f aca="false">(AJ415)+AH416-AI416</f>
        <v>185412.787629806</v>
      </c>
      <c r="AK416" s="15" t="n">
        <f aca="false">(F416+ Motore_Operativo!BH416-(Motore_Operativo!CJ416)*Parametri_v3!$C$27-Motore_Operativo!CE416)*Parametri_v3!$C$26</f>
        <v>26484.1405450431</v>
      </c>
      <c r="AL416" s="15" t="n">
        <f aca="false">MAX(0,(AM415))</f>
        <v>25892.8272012306</v>
      </c>
      <c r="AM416" s="15" t="n">
        <f aca="false">(AM415)+AK416-AL416</f>
        <v>26484.1405450431</v>
      </c>
      <c r="AN416" s="15" t="n">
        <f aca="false">SUM(X401:X412)</f>
        <v>0</v>
      </c>
      <c r="AO416" s="15" t="n">
        <f aca="false">SUM(AP401:AP412)</f>
        <v>0</v>
      </c>
      <c r="AP416" s="15" t="n">
        <f aca="false">MAX(0,AN416)*IF(4=Parametri_v3!$C$43,Parametri_v3!$C$45,IF(4=Parametri_v3!$C$44,1-Parametri_v3!$C$45,0))</f>
        <v>0</v>
      </c>
      <c r="AQ416" s="15" t="n">
        <f aca="false">MAX(0,AP416+IF(4=Parametri_v3!$C$43,MAX(0,AN416-AO416),0)-MAX(0,-(AR415)))</f>
        <v>0</v>
      </c>
      <c r="AR416" s="15" t="n">
        <f aca="false">(AR415)+X416-AQ416</f>
        <v>0</v>
      </c>
      <c r="AS416" s="15" t="n">
        <f aca="false">Motore_Operativo!AB416-AT416+AU416</f>
        <v>113503.461904792</v>
      </c>
      <c r="AT416" s="15" t="n">
        <f aca="false">Motore_Operativo!CH416</f>
        <v>5973.86641604167</v>
      </c>
      <c r="AU416" s="15" t="n">
        <f aca="false">MIN(MAX(0,(AV415)+AT416),Parametri_v3!$C$60/12)</f>
        <v>0</v>
      </c>
      <c r="AV416" s="15" t="n">
        <f aca="false">(AV415)+AT416-AU416</f>
        <v>160951.016039167</v>
      </c>
      <c r="AW416" s="15" t="n">
        <f aca="false">IF(AND(Motore_Operativo!C416=Finanziamenti!$D$6,Finanziamenti!$F$6=1),Finanziamenti!$C$6,0)</f>
        <v>0</v>
      </c>
      <c r="AX416" s="15" t="n">
        <f aca="false">IF(AND(7&lt;&gt;7,7&lt;&gt;9,Finanziamenti!$F$8=1,OR(Parametri_v3!$C$6=0,Finanziamenti!$E$8=1),Motore_Operativo!C416=EDATE(Finanziamenti!$D$8,Ipotesi!I15*12)),Finanziamenti!$C$8*1,0)+IF(AND(7&lt;&gt;7,7&lt;&gt;9,Finanziamenti!$F$9=1,OR(Parametri_v3!$C$6=0,Finanziamenti!$E$9=1),Motore_Operativo!C416=EDATE(Finanziamenti!$D$9,Ipotesi!I15*12)),Finanziamenti!$C$9*Ipotesi!I16,0)</f>
        <v>0</v>
      </c>
      <c r="AY416" s="15" t="n">
        <f aca="false">0</f>
        <v>0</v>
      </c>
      <c r="AZ416" s="15" t="n">
        <f aca="false">Motore_Advisory!AY416*(1-Ipotesi!$C$95)*Ipotesi!$C$96</f>
        <v>0</v>
      </c>
      <c r="BA416" s="15" t="n">
        <f aca="false">MAX(0,MIN(CG416*MIN(1,IF(Motore_Operativo!C416&gt;=EDATE(Finanziamenti!$D$15,Ipotesi!I14*12),Finanziamenti!$C$15,0)+IF(Motore_Operativo!C416&gt;=EDATE(Finanziamenti!$D$16,Ipotesi!I14*12),Finanziamenti!$C$16,0)+IF(Motore_Operativo!C416&gt;=EDATE(Finanziamenti!$D$17,Ipotesi!I14*12),Finanziamenti!$C$17,0)),CA416*Ipotesi!$C$102)-(CC415))</f>
        <v>0</v>
      </c>
      <c r="BB416" s="15" t="n">
        <f aca="false">IF(AND(CF416&gt;0,Motore_Operativo!C416&gt;=IF(CF416=0,0,EDATE(CF416,Parametri_v3!$C$37)),MOD(((D416-YEAR(IF(CF416=0,0,EDATE(CF416,Parametri_v3!$C$37))))*12+E416-MONTH(IF(CF416=0,0,EDATE(CF416,Parametri_v3!$C$37)))),Parametri_v3!$C$38)=0),MIN(MAX(0,(BC415)+BA416-N416),(CC416-CD416)/(Ipotesi!$C$108*12/Parametri_v3!$C$38)),0)</f>
        <v>0</v>
      </c>
      <c r="BC416" s="15" t="n">
        <f aca="false">(BC415)+BA416-N416-BB416</f>
        <v>238853.69719557</v>
      </c>
      <c r="BD416" s="15" t="n">
        <f aca="false">(BH415)+AC416+AF416-AI416-AS416-K416*(1+Parametri_v3!$C$26)-AL416-AQ416-O416+AW416+AX416+AZ416+BA416-BB416</f>
        <v>-1178833.84220081</v>
      </c>
      <c r="BE416" s="15" t="n">
        <f aca="false">MAX(0,MIN(MAX(0,CH416-(BG415)),Parametri_v3!$C$30-BD416))</f>
        <v>0</v>
      </c>
      <c r="BF416" s="15" t="n">
        <f aca="false">IF(Motore_Operativo!C416&gt;=Parametri_v3!$C$63,(BG415),MIN((BG415),MAX(0,BD416-Parametri_v3!$C$30)))</f>
        <v>0</v>
      </c>
      <c r="BG416" s="15" t="n">
        <f aca="false">(BG415)+BE416-BF416</f>
        <v>150000</v>
      </c>
      <c r="BH416" s="15" t="n">
        <f aca="false">BD416+BE416-BF416-AY416</f>
        <v>-1178833.84220081</v>
      </c>
      <c r="BI416" s="15" t="n">
        <f aca="false">MAX(0,Parametri_v3!$C$30-BH416)</f>
        <v>1203833.84220081</v>
      </c>
      <c r="BJ416" s="15" t="n">
        <f aca="false">(BJ415)+K416</f>
        <v>131666.666666667</v>
      </c>
      <c r="BK416" s="15" t="n">
        <f aca="false">(BK415)+L416</f>
        <v>74953.7037037037</v>
      </c>
      <c r="BL416" s="15" t="n">
        <f aca="false">BJ416-BK416</f>
        <v>56712.9629629629</v>
      </c>
      <c r="BM416" s="15" t="n">
        <f aca="false">(BM415)+Y416</f>
        <v>-1388981.74151522</v>
      </c>
      <c r="BN416" s="15" t="n">
        <f aca="false">(BN415)+AW416+AX416+AZ416</f>
        <v>165707.016294444</v>
      </c>
      <c r="BO416" s="15" t="n">
        <f aca="false">(BO415)+AY416</f>
        <v>0</v>
      </c>
      <c r="BP416" s="15" t="n">
        <f aca="false">0</f>
        <v>0</v>
      </c>
      <c r="BQ416" s="15" t="n">
        <f aca="false">BN416+BM416-BO416</f>
        <v>-1223274.72522077</v>
      </c>
      <c r="BR416" s="15" t="n">
        <f aca="false">BH416+AD416+BL416+MAX(0,-AM416)+MAX(0,-AR416)+AG416</f>
        <v>-461573.083811186</v>
      </c>
      <c r="BS416" s="15" t="n">
        <f aca="false">AJ416+AV416+MAX(0,AM416)+MAX(0,AR416)+BC416+BG416+BQ416</f>
        <v>-461573.083811186</v>
      </c>
      <c r="BT416" s="15" t="n">
        <f aca="false">BR416-BS416</f>
        <v>0</v>
      </c>
      <c r="BU416" s="15" t="n">
        <f aca="false">BH416-(BD416+BE416-BF416-AY416)</f>
        <v>0</v>
      </c>
      <c r="BV416" s="15" t="n">
        <f aca="false">MIN(Piano_SS!$C$6,(BV415)+IF(AND(Motore_Operativo!C416&gt;=EDATE(Parametri_v3!$C$24,Ipotesi!I14*12),Motore_Operativo!C416&lt;EDATE(Parametri_v3!$C$24,Parametri_v3!$C$25+Ipotesi!I14*12)),MAX(0,(Motore_Operativo!Y416+Motore_Operativo!X416*Parametri_v3!$C$14)*(1-Parametri_v3!$C$32))*Piano_SS!$D$6,0))</f>
        <v>300000</v>
      </c>
      <c r="BW416" s="15" t="n">
        <f aca="false">MIN(Piano_SS!$C$7,(BW415)+IF(AND(Motore_Operativo!C416&gt;=EDATE(Parametri_v3!$C$24,Ipotesi!I14*12),Motore_Operativo!C416&lt;EDATE(Parametri_v3!$C$24,Parametri_v3!$C$25+Ipotesi!I14*12)),MAX(0,(IF(52-(INT((Ipotesi!$C$91)/30))&lt;1,0,INDEX(Motore_Operativo!$BN$365:$BN$424,MAX(1,52-(INT((Ipotesi!$C$91)/30)))))*(1-(MOD((Ipotesi!$C$91),30)/30))+IF(52-(INT((Ipotesi!$C$91)/30))-1&lt;1,0,INDEX(Motore_Operativo!$BN$365:$BN$424,MAX(1,52-(INT((Ipotesi!$C$91)/30))-1)))*(MOD((Ipotesi!$C$91),30)/30)))*Piano_SS!$D$7,0))</f>
        <v>41058.9230070837</v>
      </c>
      <c r="BX416" s="15" t="n">
        <f aca="false">MIN(Piano_SS!$C$8,(BX415)+IF(AND(Motore_Operativo!C416&gt;=EDATE(Parametri_v3!$C$24,Ipotesi!I14*12),Motore_Operativo!C416&lt;EDATE(Parametri_v3!$C$24,Parametri_v3!$C$25+Ipotesi!I14*12)),MAX(0,Motore_Operativo!CE416)*Piano_SS!$D$8,0))</f>
        <v>50000</v>
      </c>
      <c r="BY416" s="15" t="n">
        <f aca="false">MIN(Piano_SS!$C$9,(BY415)+IF(AND(Motore_Operativo!C416&gt;=EDATE(Parametri_v3!$C$24,Ipotesi!I14*12),Motore_Operativo!C416&lt;EDATE(Parametri_v3!$C$24,Parametri_v3!$C$25+Ipotesi!I14*12)),MAX(0,((IF(52-(INT((Ipotesi!$C$91)/30))&lt;1,0,INDEX(Motore_Operativo!$BQ$365:$BQ$424,MAX(1,52-(INT((Ipotesi!$C$91)/30)))))*(1-(MOD((Ipotesi!$C$91),30)/30))+IF(52-(INT((Ipotesi!$C$91)/30))-1&lt;1,0,INDEX(Motore_Operativo!$BQ$365:$BQ$424,MAX(1,52-(INT((Ipotesi!$C$91)/30))-1)))*(MOD((Ipotesi!$C$91),30)/30))+(IF(52-(INT((Ipotesi!$C$91)/30))&lt;1,0,INDEX(Motore_Operativo!$BR$365:$BR$424,MAX(1,52-(INT((Ipotesi!$C$91)/30)))))*(1-(MOD((Ipotesi!$C$91),30)/30))+IF(52-(INT((Ipotesi!$C$91)/30))-1&lt;1,0,INDEX(Motore_Operativo!$BR$365:$BR$424,MAX(1,52-(INT((Ipotesi!$C$91)/30))-1)))*(MOD((Ipotesi!$C$91),30)/30))))*Piano_SS!$D$9,0))</f>
        <v>40000</v>
      </c>
      <c r="BZ416" s="15" t="n">
        <f aca="false">MIN(Piano_SS!$C$10,(BZ415)+IF(AND(Motore_Operativo!C416&gt;=EDATE(Parametri_v3!$C$24,Ipotesi!I14*12),Motore_Operativo!C416&lt;EDATE(Parametri_v3!$C$24,Parametri_v3!$C$25+Ipotesi!I14*12)),MAX(0,(IF(52-(INT((Ipotesi!$C$91)/30))&lt;1,0,INDEX(Motore_Operativo!$BO$365:$BO$424,MAX(1,52-(INT((Ipotesi!$C$91)/30)))))*(1-(MOD((Ipotesi!$C$91),30)/30))+IF(52-(INT((Ipotesi!$C$91)/30))-1&lt;1,0,INDEX(Motore_Operativo!$BO$365:$BO$424,MAX(1,52-(INT((Ipotesi!$C$91)/30))-1)))*(MOD((Ipotesi!$C$91),30)/30)))*Piano_SS!$D$10,0))</f>
        <v>30000</v>
      </c>
      <c r="CA416" s="15" t="n">
        <f aca="false">SUM(BV416:BZ416)</f>
        <v>461058.923007084</v>
      </c>
      <c r="CB416" s="15" t="n">
        <f aca="false">BV416*(1-Piano_SS!$E$6)+BW416*(1-Piano_SS!$E$7)+BX416*(1-Piano_SS!$E$8)+BY416*(1-Piano_SS!$E$9)+BZ416*(1-Piano_SS!$E$10)</f>
        <v>431058.923007084</v>
      </c>
      <c r="CC416" s="15" t="n">
        <f aca="false">(CC415)+BA416</f>
        <v>368847.138405667</v>
      </c>
      <c r="CD416" s="15" t="n">
        <f aca="false">IF(CA416=0,0,CC416*CB416/CA416*Ipotesi!$C$103*Parametri_v3!$C$64)</f>
        <v>103454.1415217</v>
      </c>
      <c r="CE416" s="18" t="n">
        <f aca="false">IF(BA416&gt;0,Motore_Operativo!C416,(CE415))</f>
        <v>47270</v>
      </c>
      <c r="CF416" s="18" t="n">
        <f aca="false">IF(AND(CC416&gt;0,OR(CC416&gt;=CG416-0.01,Motore_Operativo!C416&gt;=EDATE(MAX(Finanziamenti!$D$15:$D$17),Ipotesi!I14*12))),CE416,0)</f>
        <v>47270</v>
      </c>
      <c r="CG416" s="15" t="n">
        <f aca="false">IF(AND(7&lt;&gt;6,7&lt;&gt;9,Finanziamenti!$F$11=1,OR(Parametri_v3!$C$6=0,Finanziamenti!$E$11=1)),MIN(Finanziamenti!$C$11,Piano_SS!$C$12*Ipotesi!$C$102),0)</f>
        <v>400000</v>
      </c>
      <c r="CH416" s="15" t="n">
        <f aca="false">IF(AND(AND(7&lt;&gt;8,7&lt;&gt;9,Finanziamenti!$F$10=1,OR(Parametri_v3!$C$6=0,Finanziamenti!$E$10=1)),Motore_Operativo!C416&gt;=Finanziamenti!$D$10,Motore_Operativo!C416&lt;Parametri_v3!$C$63),Finanziamenti!$C$10,0)</f>
        <v>150000</v>
      </c>
    </row>
    <row r="417" customFormat="false" ht="18" hidden="false" customHeight="true" outlineLevel="0" collapsed="false">
      <c r="A417" s="68" t="n">
        <f aca="false">7</f>
        <v>7</v>
      </c>
      <c r="B417" s="68" t="n">
        <f aca="false">53</f>
        <v>53</v>
      </c>
      <c r="C417" s="18" t="n">
        <f aca="false">Motore_Operativo!C417</f>
        <v>47969</v>
      </c>
      <c r="D417" s="68" t="n">
        <f aca="false">Motore_Operativo!D417</f>
        <v>2031</v>
      </c>
      <c r="E417" s="68" t="n">
        <f aca="false">Motore_Operativo!E417</f>
        <v>5</v>
      </c>
      <c r="F417" s="15" t="n">
        <f aca="false">Motore_Operativo!AQ417+Motore_Operativo!BF417</f>
        <v>182994.354234665</v>
      </c>
      <c r="G417" s="15" t="n">
        <f aca="false">Motore_Operativo!BH417</f>
        <v>11595.8333333333</v>
      </c>
      <c r="H417" s="15" t="n">
        <f aca="false">Motore_Operativo!BI417</f>
        <v>194590.187567998</v>
      </c>
      <c r="I417" s="15" t="n">
        <f aca="false">Motore_Operativo!CA417</f>
        <v>198278.579580353</v>
      </c>
      <c r="J417" s="15" t="n">
        <f aca="false">Motore_Operativo!CC417</f>
        <v>-3688.39201235518</v>
      </c>
      <c r="K417" s="15" t="n">
        <f aca="false">Motore_Operativo!CE417</f>
        <v>4166.66666666667</v>
      </c>
      <c r="L417" s="15" t="n">
        <f aca="false">SUM(INDEX($K$365:$K$424,MAX(1,53-Parametri_v3!$C$59+1)):K417)/Parametri_v3!$C$59</f>
        <v>2928.24074074074</v>
      </c>
      <c r="M417" s="15" t="n">
        <f aca="false">J417-L417</f>
        <v>-6616.63275309592</v>
      </c>
      <c r="N417" s="15" t="n">
        <f aca="false">CD417-(CD416)</f>
        <v>0</v>
      </c>
      <c r="O417" s="15" t="n">
        <f aca="false">(BG416)*Ipotesi!$C$110/12+CH417*Parametri_v3!$C$39/12</f>
        <v>750</v>
      </c>
      <c r="P417" s="15" t="n">
        <f aca="false">M417+N417-O417</f>
        <v>-7366.63275309592</v>
      </c>
      <c r="Q417" s="15" t="n">
        <f aca="false">SUM(P413:P417)+Parametri_v3!$C$54*5/12</f>
        <v>-62865.2963486874</v>
      </c>
      <c r="R417" s="15" t="n">
        <f aca="false">Z412</f>
        <v>1016758.23194941</v>
      </c>
      <c r="S417" s="15" t="n">
        <f aca="false">AA412</f>
        <v>316724.845970214</v>
      </c>
      <c r="T417" s="15" t="n">
        <f aca="false">MIN(R417,MAX(0,Q417))</f>
        <v>0</v>
      </c>
      <c r="U417" s="15" t="n">
        <f aca="false">MIN(S417,MAX(0,Q417-T417)*Parametri_v3!$C$42)</f>
        <v>0</v>
      </c>
      <c r="V417" s="15" t="n">
        <f aca="false">MAX(0,Q417-T417-U417)*Ipotesi!$C$92</f>
        <v>0</v>
      </c>
      <c r="W417" s="15" t="n">
        <f aca="false">MAX(0,SUM(M413:M417)+Parametri_v3!$C$55*5/12)*Ipotesi!$C$93</f>
        <v>0</v>
      </c>
      <c r="X417" s="15" t="n">
        <f aca="false">V417+W417-(V416+W416)</f>
        <v>0</v>
      </c>
      <c r="Y417" s="15" t="n">
        <f aca="false">P417-X417</f>
        <v>-7366.63275309592</v>
      </c>
      <c r="Z417" s="15" t="n">
        <f aca="false">R417-T417+IF(AND(Parametri_v3!$C$40=1,D417-YEAR(Parametri_v3!$C$50)&lt;Parametri_v3!$C$41),MAX(0,-Q417),0)</f>
        <v>1016758.23194941</v>
      </c>
      <c r="AA417" s="15" t="n">
        <f aca="false">S417-U417+IF(AND(Parametri_v3!$C$40=1,D417-YEAR(Parametri_v3!$C$50)&lt;Parametri_v3!$C$41),0,MAX(0,-Q417))</f>
        <v>379590.142318902</v>
      </c>
      <c r="AB417" s="15" t="n">
        <f aca="false">F417*(1+Parametri_v3!$C$26)</f>
        <v>223253.112166291</v>
      </c>
      <c r="AC417" s="15" t="n">
        <f aca="false">(IF(53-(INT((Motore_Operativo!L417)/30))&lt;1,0,INDEX(Motore_Startup!$AB$365:$AB$424,MAX(1,53-(INT((Motore_Operativo!L417)/30)))))*(1-(MOD((Motore_Operativo!L417),30)/30))+IF(53-(INT((Motore_Operativo!L417)/30))-1&lt;1,0,INDEX(Motore_Startup!$AB$365:$AB$424,MAX(1,53-(INT((Motore_Operativo!L417)/30))-1)))*(MOD((Motore_Operativo!L417),30)/30))</f>
        <v>212091.592022539</v>
      </c>
      <c r="AD417" s="15" t="n">
        <f aca="false">(AD416)+AB417-AC417</f>
        <v>657562.398903747</v>
      </c>
      <c r="AE417" s="15" t="n">
        <f aca="false">Motore_Operativo!BH417*(1+Parametri_v3!$C$26)</f>
        <v>14146.9166666667</v>
      </c>
      <c r="AF417" s="15" t="n">
        <f aca="false">(IF(53-(INT((Parametri_v3!$C$29)/30))&lt;1,0,INDEX(Motore_Operativo!$BH$365:$BH$424,MAX(1,53-(INT((Parametri_v3!$C$29)/30)))))*(1-(MOD((Parametri_v3!$C$29),30)/30))+IF(53-(INT((Parametri_v3!$C$29)/30))-1&lt;1,0,INDEX(Motore_Operativo!$BH$365:$BH$424,MAX(1,53-(INT((Parametri_v3!$C$29)/30))-1)))*(MOD((Parametri_v3!$C$29),30)/30))*(1+Parametri_v3!$C$26)</f>
        <v>14146.9166666667</v>
      </c>
      <c r="AG417" s="15" t="n">
        <f aca="false">(AG416)+AE417-AF417</f>
        <v>14146.9166666667</v>
      </c>
      <c r="AH417" s="15" t="n">
        <f aca="false">(Motore_Operativo!CJ417)*(1+Parametri_v3!$C$27*Parametri_v3!$C$26)</f>
        <v>93537.0852450499</v>
      </c>
      <c r="AI417" s="15" t="n">
        <f aca="false">(IF(53-(INT((Ipotesi!$C$91)/30))&lt;1,0,INDEX(Motore_Startup!$AH$365:$AH$424,MAX(1,53-(INT((Ipotesi!$C$91)/30)))))*(1-(MOD((Ipotesi!$C$91),30)/30))+IF(53-(INT((Ipotesi!$C$91)/30))-1&lt;1,0,INDEX(Motore_Startup!$AH$365:$AH$424,MAX(1,53-(INT((Ipotesi!$C$91)/30))-1)))*(MOD((Ipotesi!$C$91),30)/30))</f>
        <v>92452.8997186419</v>
      </c>
      <c r="AJ417" s="15" t="n">
        <f aca="false">(AJ416)+AH417-AI417</f>
        <v>186496.973156215</v>
      </c>
      <c r="AK417" s="15" t="n">
        <f aca="false">(F417+ Motore_Operativo!BH417-(Motore_Operativo!CJ417)*Parametri_v3!$C$27-Motore_Operativo!CE417)*Parametri_v3!$C$26</f>
        <v>27157.3406127627</v>
      </c>
      <c r="AL417" s="15" t="n">
        <f aca="false">MAX(0,(AM416))</f>
        <v>26484.1405450431</v>
      </c>
      <c r="AM417" s="15" t="n">
        <f aca="false">(AM416)+AK417-AL417</f>
        <v>27157.3406127627</v>
      </c>
      <c r="AN417" s="15" t="n">
        <f aca="false">SUM(X401:X412)</f>
        <v>0</v>
      </c>
      <c r="AO417" s="15" t="n">
        <f aca="false">SUM(AP401:AP412)</f>
        <v>0</v>
      </c>
      <c r="AP417" s="15" t="n">
        <f aca="false">MAX(0,AN417)*IF(5=Parametri_v3!$C$43,Parametri_v3!$C$45,IF(5=Parametri_v3!$C$44,1-Parametri_v3!$C$45,0))</f>
        <v>0</v>
      </c>
      <c r="AQ417" s="15" t="n">
        <f aca="false">MAX(0,AP417+IF(5=Parametri_v3!$C$43,MAX(0,AN417-AO417),0)-MAX(0,-(AR416)))</f>
        <v>0</v>
      </c>
      <c r="AR417" s="15" t="n">
        <f aca="false">(AR416)+X417-AQ417</f>
        <v>0</v>
      </c>
      <c r="AS417" s="15" t="n">
        <f aca="false">Motore_Operativo!AB417-AT417+AU417</f>
        <v>113503.461904792</v>
      </c>
      <c r="AT417" s="15" t="n">
        <f aca="false">Motore_Operativo!CH417</f>
        <v>5973.86641604167</v>
      </c>
      <c r="AU417" s="15" t="n">
        <f aca="false">MIN(MAX(0,(AV416)+AT417),Parametri_v3!$C$60/12)</f>
        <v>0</v>
      </c>
      <c r="AV417" s="15" t="n">
        <f aca="false">(AV416)+AT417-AU417</f>
        <v>166924.882455208</v>
      </c>
      <c r="AW417" s="15" t="n">
        <f aca="false">IF(AND(Motore_Operativo!C417=Finanziamenti!$D$6,Finanziamenti!$F$6=1),Finanziamenti!$C$6,0)</f>
        <v>0</v>
      </c>
      <c r="AX417" s="15" t="n">
        <f aca="false">IF(AND(7&lt;&gt;7,7&lt;&gt;9,Finanziamenti!$F$8=1,OR(Parametri_v3!$C$6=0,Finanziamenti!$E$8=1),Motore_Operativo!C417=EDATE(Finanziamenti!$D$8,Ipotesi!I15*12)),Finanziamenti!$C$8*1,0)+IF(AND(7&lt;&gt;7,7&lt;&gt;9,Finanziamenti!$F$9=1,OR(Parametri_v3!$C$6=0,Finanziamenti!$E$9=1),Motore_Operativo!C417=EDATE(Finanziamenti!$D$9,Ipotesi!I15*12)),Finanziamenti!$C$9*Ipotesi!I16,0)</f>
        <v>0</v>
      </c>
      <c r="AY417" s="15" t="n">
        <f aca="false">0</f>
        <v>0</v>
      </c>
      <c r="AZ417" s="15" t="n">
        <f aca="false">Motore_Advisory!AY417*(1-Ipotesi!$C$95)*Ipotesi!$C$96</f>
        <v>0</v>
      </c>
      <c r="BA417" s="15" t="n">
        <f aca="false">MAX(0,MIN(CG417*MIN(1,IF(Motore_Operativo!C417&gt;=EDATE(Finanziamenti!$D$15,Ipotesi!I14*12),Finanziamenti!$C$15,0)+IF(Motore_Operativo!C417&gt;=EDATE(Finanziamenti!$D$16,Ipotesi!I14*12),Finanziamenti!$C$16,0)+IF(Motore_Operativo!C417&gt;=EDATE(Finanziamenti!$D$17,Ipotesi!I14*12),Finanziamenti!$C$17,0)),CA417*Ipotesi!$C$102)-(CC416))</f>
        <v>0</v>
      </c>
      <c r="BB417" s="15" t="n">
        <f aca="false">IF(AND(CF417&gt;0,Motore_Operativo!C417&gt;=IF(CF417=0,0,EDATE(CF417,Parametri_v3!$C$37)),MOD(((D417-YEAR(IF(CF417=0,0,EDATE(CF417,Parametri_v3!$C$37))))*12+E417-MONTH(IF(CF417=0,0,EDATE(CF417,Parametri_v3!$C$37)))),Parametri_v3!$C$38)=0),MIN(MAX(0,(BC416)+BA417-N417),(CC417-CD417)/(Ipotesi!$C$108*12/Parametri_v3!$C$38)),0)</f>
        <v>0</v>
      </c>
      <c r="BC417" s="15" t="n">
        <f aca="false">(BC416)+BA417-N417-BB417</f>
        <v>238853.69719557</v>
      </c>
      <c r="BD417" s="15" t="n">
        <f aca="false">(BH416)+AC417+AF417-AI417-AS417-K417*(1+Parametri_v3!$C$26)-AL417-AQ417-O417+AW417+AX417+AZ417+BA417-BB417</f>
        <v>-1190869.16901342</v>
      </c>
      <c r="BE417" s="15" t="n">
        <f aca="false">MAX(0,MIN(MAX(0,CH417-(BG416)),Parametri_v3!$C$30-BD417))</f>
        <v>0</v>
      </c>
      <c r="BF417" s="15" t="n">
        <f aca="false">IF(Motore_Operativo!C417&gt;=Parametri_v3!$C$63,(BG416),MIN((BG416),MAX(0,BD417-Parametri_v3!$C$30)))</f>
        <v>0</v>
      </c>
      <c r="BG417" s="15" t="n">
        <f aca="false">(BG416)+BE417-BF417</f>
        <v>150000</v>
      </c>
      <c r="BH417" s="15" t="n">
        <f aca="false">BD417+BE417-BF417-AY417</f>
        <v>-1190869.16901342</v>
      </c>
      <c r="BI417" s="15" t="n">
        <f aca="false">MAX(0,Parametri_v3!$C$30-BH417)</f>
        <v>1215869.16901342</v>
      </c>
      <c r="BJ417" s="15" t="n">
        <f aca="false">(BJ416)+K417</f>
        <v>135833.333333333</v>
      </c>
      <c r="BK417" s="15" t="n">
        <f aca="false">(BK416)+L417</f>
        <v>77881.9444444445</v>
      </c>
      <c r="BL417" s="15" t="n">
        <f aca="false">BJ417-BK417</f>
        <v>57951.3888888888</v>
      </c>
      <c r="BM417" s="15" t="n">
        <f aca="false">(BM416)+Y417</f>
        <v>-1396348.37426831</v>
      </c>
      <c r="BN417" s="15" t="n">
        <f aca="false">(BN416)+AW417+AX417+AZ417</f>
        <v>165707.016294444</v>
      </c>
      <c r="BO417" s="15" t="n">
        <f aca="false">(BO416)+AY417</f>
        <v>0</v>
      </c>
      <c r="BP417" s="15" t="n">
        <f aca="false">0</f>
        <v>0</v>
      </c>
      <c r="BQ417" s="15" t="n">
        <f aca="false">BN417+BM417-BO417</f>
        <v>-1230641.35797387</v>
      </c>
      <c r="BR417" s="15" t="n">
        <f aca="false">BH417+AD417+BL417+MAX(0,-AM417)+MAX(0,-AR417)+AG417</f>
        <v>-461208.464554112</v>
      </c>
      <c r="BS417" s="15" t="n">
        <f aca="false">AJ417+AV417+MAX(0,AM417)+MAX(0,AR417)+BC417+BG417+BQ417</f>
        <v>-461208.464554112</v>
      </c>
      <c r="BT417" s="15" t="n">
        <f aca="false">BR417-BS417</f>
        <v>0</v>
      </c>
      <c r="BU417" s="15" t="n">
        <f aca="false">BH417-(BD417+BE417-BF417-AY417)</f>
        <v>0</v>
      </c>
      <c r="BV417" s="15" t="n">
        <f aca="false">MIN(Piano_SS!$C$6,(BV416)+IF(AND(Motore_Operativo!C417&gt;=EDATE(Parametri_v3!$C$24,Ipotesi!I14*12),Motore_Operativo!C417&lt;EDATE(Parametri_v3!$C$24,Parametri_v3!$C$25+Ipotesi!I14*12)),MAX(0,(Motore_Operativo!Y417+Motore_Operativo!X417*Parametri_v3!$C$14)*(1-Parametri_v3!$C$32))*Piano_SS!$D$6,0))</f>
        <v>300000</v>
      </c>
      <c r="BW417" s="15" t="n">
        <f aca="false">MIN(Piano_SS!$C$7,(BW416)+IF(AND(Motore_Operativo!C417&gt;=EDATE(Parametri_v3!$C$24,Ipotesi!I14*12),Motore_Operativo!C417&lt;EDATE(Parametri_v3!$C$24,Parametri_v3!$C$25+Ipotesi!I14*12)),MAX(0,(IF(53-(INT((Ipotesi!$C$91)/30))&lt;1,0,INDEX(Motore_Operativo!$BN$365:$BN$424,MAX(1,53-(INT((Ipotesi!$C$91)/30)))))*(1-(MOD((Ipotesi!$C$91),30)/30))+IF(53-(INT((Ipotesi!$C$91)/30))-1&lt;1,0,INDEX(Motore_Operativo!$BN$365:$BN$424,MAX(1,53-(INT((Ipotesi!$C$91)/30))-1)))*(MOD((Ipotesi!$C$91),30)/30)))*Piano_SS!$D$7,0))</f>
        <v>41058.9230070837</v>
      </c>
      <c r="BX417" s="15" t="n">
        <f aca="false">MIN(Piano_SS!$C$8,(BX416)+IF(AND(Motore_Operativo!C417&gt;=EDATE(Parametri_v3!$C$24,Ipotesi!I14*12),Motore_Operativo!C417&lt;EDATE(Parametri_v3!$C$24,Parametri_v3!$C$25+Ipotesi!I14*12)),MAX(0,Motore_Operativo!CE417)*Piano_SS!$D$8,0))</f>
        <v>50000</v>
      </c>
      <c r="BY417" s="15" t="n">
        <f aca="false">MIN(Piano_SS!$C$9,(BY416)+IF(AND(Motore_Operativo!C417&gt;=EDATE(Parametri_v3!$C$24,Ipotesi!I14*12),Motore_Operativo!C417&lt;EDATE(Parametri_v3!$C$24,Parametri_v3!$C$25+Ipotesi!I14*12)),MAX(0,((IF(53-(INT((Ipotesi!$C$91)/30))&lt;1,0,INDEX(Motore_Operativo!$BQ$365:$BQ$424,MAX(1,53-(INT((Ipotesi!$C$91)/30)))))*(1-(MOD((Ipotesi!$C$91),30)/30))+IF(53-(INT((Ipotesi!$C$91)/30))-1&lt;1,0,INDEX(Motore_Operativo!$BQ$365:$BQ$424,MAX(1,53-(INT((Ipotesi!$C$91)/30))-1)))*(MOD((Ipotesi!$C$91),30)/30))+(IF(53-(INT((Ipotesi!$C$91)/30))&lt;1,0,INDEX(Motore_Operativo!$BR$365:$BR$424,MAX(1,53-(INT((Ipotesi!$C$91)/30)))))*(1-(MOD((Ipotesi!$C$91),30)/30))+IF(53-(INT((Ipotesi!$C$91)/30))-1&lt;1,0,INDEX(Motore_Operativo!$BR$365:$BR$424,MAX(1,53-(INT((Ipotesi!$C$91)/30))-1)))*(MOD((Ipotesi!$C$91),30)/30))))*Piano_SS!$D$9,0))</f>
        <v>40000</v>
      </c>
      <c r="BZ417" s="15" t="n">
        <f aca="false">MIN(Piano_SS!$C$10,(BZ416)+IF(AND(Motore_Operativo!C417&gt;=EDATE(Parametri_v3!$C$24,Ipotesi!I14*12),Motore_Operativo!C417&lt;EDATE(Parametri_v3!$C$24,Parametri_v3!$C$25+Ipotesi!I14*12)),MAX(0,(IF(53-(INT((Ipotesi!$C$91)/30))&lt;1,0,INDEX(Motore_Operativo!$BO$365:$BO$424,MAX(1,53-(INT((Ipotesi!$C$91)/30)))))*(1-(MOD((Ipotesi!$C$91),30)/30))+IF(53-(INT((Ipotesi!$C$91)/30))-1&lt;1,0,INDEX(Motore_Operativo!$BO$365:$BO$424,MAX(1,53-(INT((Ipotesi!$C$91)/30))-1)))*(MOD((Ipotesi!$C$91),30)/30)))*Piano_SS!$D$10,0))</f>
        <v>30000</v>
      </c>
      <c r="CA417" s="15" t="n">
        <f aca="false">SUM(BV417:BZ417)</f>
        <v>461058.923007084</v>
      </c>
      <c r="CB417" s="15" t="n">
        <f aca="false">BV417*(1-Piano_SS!$E$6)+BW417*(1-Piano_SS!$E$7)+BX417*(1-Piano_SS!$E$8)+BY417*(1-Piano_SS!$E$9)+BZ417*(1-Piano_SS!$E$10)</f>
        <v>431058.923007084</v>
      </c>
      <c r="CC417" s="15" t="n">
        <f aca="false">(CC416)+BA417</f>
        <v>368847.138405667</v>
      </c>
      <c r="CD417" s="15" t="n">
        <f aca="false">IF(CA417=0,0,CC417*CB417/CA417*Ipotesi!$C$103*Parametri_v3!$C$64)</f>
        <v>103454.1415217</v>
      </c>
      <c r="CE417" s="18" t="n">
        <f aca="false">IF(BA417&gt;0,Motore_Operativo!C417,(CE416))</f>
        <v>47270</v>
      </c>
      <c r="CF417" s="18" t="n">
        <f aca="false">IF(AND(CC417&gt;0,OR(CC417&gt;=CG417-0.01,Motore_Operativo!C417&gt;=EDATE(MAX(Finanziamenti!$D$15:$D$17),Ipotesi!I14*12))),CE417,0)</f>
        <v>47270</v>
      </c>
      <c r="CG417" s="15" t="n">
        <f aca="false">IF(AND(7&lt;&gt;6,7&lt;&gt;9,Finanziamenti!$F$11=1,OR(Parametri_v3!$C$6=0,Finanziamenti!$E$11=1)),MIN(Finanziamenti!$C$11,Piano_SS!$C$12*Ipotesi!$C$102),0)</f>
        <v>400000</v>
      </c>
      <c r="CH417" s="15" t="n">
        <f aca="false">IF(AND(AND(7&lt;&gt;8,7&lt;&gt;9,Finanziamenti!$F$10=1,OR(Parametri_v3!$C$6=0,Finanziamenti!$E$10=1)),Motore_Operativo!C417&gt;=Finanziamenti!$D$10,Motore_Operativo!C417&lt;Parametri_v3!$C$63),Finanziamenti!$C$10,0)</f>
        <v>150000</v>
      </c>
    </row>
    <row r="418" customFormat="false" ht="18" hidden="false" customHeight="true" outlineLevel="0" collapsed="false">
      <c r="A418" s="68" t="n">
        <f aca="false">7</f>
        <v>7</v>
      </c>
      <c r="B418" s="68" t="n">
        <f aca="false">54</f>
        <v>54</v>
      </c>
      <c r="C418" s="18" t="n">
        <f aca="false">Motore_Operativo!C418</f>
        <v>48000</v>
      </c>
      <c r="D418" s="68" t="n">
        <f aca="false">Motore_Operativo!D418</f>
        <v>2031</v>
      </c>
      <c r="E418" s="68" t="n">
        <f aca="false">Motore_Operativo!E418</f>
        <v>6</v>
      </c>
      <c r="F418" s="15" t="n">
        <f aca="false">Motore_Operativo!AQ418+Motore_Operativo!BF418</f>
        <v>186437.317884613</v>
      </c>
      <c r="G418" s="15" t="n">
        <f aca="false">Motore_Operativo!BH418</f>
        <v>11595.8333333333</v>
      </c>
      <c r="H418" s="15" t="n">
        <f aca="false">Motore_Operativo!BI418</f>
        <v>198033.151217946</v>
      </c>
      <c r="I418" s="15" t="n">
        <f aca="false">Motore_Operativo!CA418</f>
        <v>198760.594491346</v>
      </c>
      <c r="J418" s="15" t="n">
        <f aca="false">Motore_Operativo!CC418</f>
        <v>-727.443273399869</v>
      </c>
      <c r="K418" s="15" t="n">
        <f aca="false">Motore_Operativo!CE418</f>
        <v>4166.66666666667</v>
      </c>
      <c r="L418" s="15" t="n">
        <f aca="false">SUM(INDEX($K$365:$K$424,MAX(1,54-Parametri_v3!$C$59+1)):K418)/Parametri_v3!$C$59</f>
        <v>2986.11111111111</v>
      </c>
      <c r="M418" s="15" t="n">
        <f aca="false">J418-L418</f>
        <v>-3713.55438451098</v>
      </c>
      <c r="N418" s="15" t="n">
        <f aca="false">CD418-(CD417)</f>
        <v>0</v>
      </c>
      <c r="O418" s="15" t="n">
        <f aca="false">(BG417)*Ipotesi!$C$110/12+CH418*Parametri_v3!$C$39/12</f>
        <v>750</v>
      </c>
      <c r="P418" s="15" t="n">
        <f aca="false">M418+N418-O418</f>
        <v>-4463.55438451098</v>
      </c>
      <c r="Q418" s="15" t="n">
        <f aca="false">SUM(P413:P418)+Parametri_v3!$C$54*6/12</f>
        <v>-67328.8507331984</v>
      </c>
      <c r="R418" s="15" t="n">
        <f aca="false">Z412</f>
        <v>1016758.23194941</v>
      </c>
      <c r="S418" s="15" t="n">
        <f aca="false">AA412</f>
        <v>316724.845970214</v>
      </c>
      <c r="T418" s="15" t="n">
        <f aca="false">MIN(R418,MAX(0,Q418))</f>
        <v>0</v>
      </c>
      <c r="U418" s="15" t="n">
        <f aca="false">MIN(S418,MAX(0,Q418-T418)*Parametri_v3!$C$42)</f>
        <v>0</v>
      </c>
      <c r="V418" s="15" t="n">
        <f aca="false">MAX(0,Q418-T418-U418)*Ipotesi!$C$92</f>
        <v>0</v>
      </c>
      <c r="W418" s="15" t="n">
        <f aca="false">MAX(0,SUM(M413:M418)+Parametri_v3!$C$55*6/12)*Ipotesi!$C$93</f>
        <v>0</v>
      </c>
      <c r="X418" s="15" t="n">
        <f aca="false">V418+W418-(V417+W417)</f>
        <v>0</v>
      </c>
      <c r="Y418" s="15" t="n">
        <f aca="false">P418-X418</f>
        <v>-4463.55438451098</v>
      </c>
      <c r="Z418" s="15" t="n">
        <f aca="false">R418-T418+IF(AND(Parametri_v3!$C$40=1,D418-YEAR(Parametri_v3!$C$50)&lt;Parametri_v3!$C$41),MAX(0,-Q418),0)</f>
        <v>1016758.23194941</v>
      </c>
      <c r="AA418" s="15" t="n">
        <f aca="false">S418-U418+IF(AND(Parametri_v3!$C$40=1,D418-YEAR(Parametri_v3!$C$50)&lt;Parametri_v3!$C$41),0,MAX(0,-Q418))</f>
        <v>384053.696703413</v>
      </c>
      <c r="AB418" s="15" t="n">
        <f aca="false">F418*(1+Parametri_v3!$C$26)</f>
        <v>227453.527819227</v>
      </c>
      <c r="AC418" s="15" t="n">
        <f aca="false">(IF(54-(INT((Motore_Operativo!L418)/30))&lt;1,0,INDEX(Motore_Startup!$AB$365:$AB$424,MAX(1,54-(INT((Motore_Operativo!L418)/30)))))*(1-(MOD((Motore_Operativo!L418),30)/30))+IF(54-(INT((Motore_Operativo!L418)/30))-1&lt;1,0,INDEX(Motore_Startup!$AB$365:$AB$424,MAX(1,54-(INT((Motore_Operativo!L418)/30))-1)))*(MOD((Motore_Operativo!L418),30)/30))</f>
        <v>215293.63243216</v>
      </c>
      <c r="AD418" s="15" t="n">
        <f aca="false">(AD417)+AB418-AC418</f>
        <v>669722.294290815</v>
      </c>
      <c r="AE418" s="15" t="n">
        <f aca="false">Motore_Operativo!BH418*(1+Parametri_v3!$C$26)</f>
        <v>14146.9166666667</v>
      </c>
      <c r="AF418" s="15" t="n">
        <f aca="false">(IF(54-(INT((Parametri_v3!$C$29)/30))&lt;1,0,INDEX(Motore_Operativo!$BH$365:$BH$424,MAX(1,54-(INT((Parametri_v3!$C$29)/30)))))*(1-(MOD((Parametri_v3!$C$29),30)/30))+IF(54-(INT((Parametri_v3!$C$29)/30))-1&lt;1,0,INDEX(Motore_Operativo!$BH$365:$BH$424,MAX(1,54-(INT((Parametri_v3!$C$29)/30))-1)))*(MOD((Parametri_v3!$C$29),30)/30))*(1+Parametri_v3!$C$26)</f>
        <v>14146.9166666667</v>
      </c>
      <c r="AG418" s="15" t="n">
        <f aca="false">(AG417)+AE418-AF418</f>
        <v>14146.9166666667</v>
      </c>
      <c r="AH418" s="15" t="n">
        <f aca="false">(Motore_Operativo!CJ418)*(1+Parametri_v3!$C$27*Parametri_v3!$C$26)</f>
        <v>94109.2369443983</v>
      </c>
      <c r="AI418" s="15" t="n">
        <f aca="false">(IF(54-(INT((Ipotesi!$C$91)/30))&lt;1,0,INDEX(Motore_Startup!$AH$365:$AH$424,MAX(1,54-(INT((Ipotesi!$C$91)/30)))))*(1-(MOD((Ipotesi!$C$91),30)/30))+IF(54-(INT((Ipotesi!$C$91)/30))-1&lt;1,0,INDEX(Motore_Startup!$AH$365:$AH$424,MAX(1,54-(INT((Ipotesi!$C$91)/30))-1)))*(MOD((Ipotesi!$C$91),30)/30))</f>
        <v>92959.8879111646</v>
      </c>
      <c r="AJ418" s="15" t="n">
        <f aca="false">(AJ417)+AH418-AI418</f>
        <v>187646.322189448</v>
      </c>
      <c r="AK418" s="15" t="n">
        <f aca="false">(F418+ Motore_Operativo!BH418-(Motore_Operativo!CJ418)*Parametri_v3!$C$27-Motore_Operativo!CE418)*Parametri_v3!$C$26</f>
        <v>27824.6558273956</v>
      </c>
      <c r="AL418" s="15" t="n">
        <f aca="false">MAX(0,(AM417))</f>
        <v>27157.3406127627</v>
      </c>
      <c r="AM418" s="15" t="n">
        <f aca="false">(AM417)+AK418-AL418</f>
        <v>27824.6558273956</v>
      </c>
      <c r="AN418" s="15" t="n">
        <f aca="false">SUM(X401:X412)</f>
        <v>0</v>
      </c>
      <c r="AO418" s="15" t="n">
        <f aca="false">SUM(AP401:AP412)</f>
        <v>0</v>
      </c>
      <c r="AP418" s="15" t="n">
        <f aca="false">MAX(0,AN418)*IF(6=Parametri_v3!$C$43,Parametri_v3!$C$45,IF(6=Parametri_v3!$C$44,1-Parametri_v3!$C$45,0))</f>
        <v>0</v>
      </c>
      <c r="AQ418" s="15" t="n">
        <f aca="false">MAX(0,AP418+IF(6=Parametri_v3!$C$43,MAX(0,AN418-AO418),0)-MAX(0,-(AR417)))</f>
        <v>0</v>
      </c>
      <c r="AR418" s="15" t="n">
        <f aca="false">(AR417)+X418-AQ418</f>
        <v>0</v>
      </c>
      <c r="AS418" s="15" t="n">
        <f aca="false">Motore_Operativo!AB418-AT418+AU418</f>
        <v>113503.461904792</v>
      </c>
      <c r="AT418" s="15" t="n">
        <f aca="false">Motore_Operativo!CH418</f>
        <v>5973.86641604167</v>
      </c>
      <c r="AU418" s="15" t="n">
        <f aca="false">MIN(MAX(0,(AV417)+AT418),Parametri_v3!$C$60/12)</f>
        <v>0</v>
      </c>
      <c r="AV418" s="15" t="n">
        <f aca="false">(AV417)+AT418-AU418</f>
        <v>172898.74887125</v>
      </c>
      <c r="AW418" s="15" t="n">
        <f aca="false">IF(AND(Motore_Operativo!C418=Finanziamenti!$D$6,Finanziamenti!$F$6=1),Finanziamenti!$C$6,0)</f>
        <v>0</v>
      </c>
      <c r="AX418" s="15" t="n">
        <f aca="false">IF(AND(7&lt;&gt;7,7&lt;&gt;9,Finanziamenti!$F$8=1,OR(Parametri_v3!$C$6=0,Finanziamenti!$E$8=1),Motore_Operativo!C418=EDATE(Finanziamenti!$D$8,Ipotesi!I15*12)),Finanziamenti!$C$8*1,0)+IF(AND(7&lt;&gt;7,7&lt;&gt;9,Finanziamenti!$F$9=1,OR(Parametri_v3!$C$6=0,Finanziamenti!$E$9=1),Motore_Operativo!C418=EDATE(Finanziamenti!$D$9,Ipotesi!I15*12)),Finanziamenti!$C$9*Ipotesi!I16,0)</f>
        <v>0</v>
      </c>
      <c r="AY418" s="15" t="n">
        <f aca="false">0</f>
        <v>0</v>
      </c>
      <c r="AZ418" s="15" t="n">
        <f aca="false">Motore_Advisory!AY418*(1-Ipotesi!$C$95)*Ipotesi!$C$96</f>
        <v>69723.3931391231</v>
      </c>
      <c r="BA418" s="15" t="n">
        <f aca="false">MAX(0,MIN(CG418*MIN(1,IF(Motore_Operativo!C418&gt;=EDATE(Finanziamenti!$D$15,Ipotesi!I14*12),Finanziamenti!$C$15,0)+IF(Motore_Operativo!C418&gt;=EDATE(Finanziamenti!$D$16,Ipotesi!I14*12),Finanziamenti!$C$16,0)+IF(Motore_Operativo!C418&gt;=EDATE(Finanziamenti!$D$17,Ipotesi!I14*12),Finanziamenti!$C$17,0)),CA418*Ipotesi!$C$102)-(CC417))</f>
        <v>0</v>
      </c>
      <c r="BB418" s="15" t="n">
        <f aca="false">IF(AND(CF418&gt;0,Motore_Operativo!C418&gt;=IF(CF418=0,0,EDATE(CF418,Parametri_v3!$C$37)),MOD(((D418-YEAR(IF(CF418=0,0,EDATE(CF418,Parametri_v3!$C$37))))*12+E418-MONTH(IF(CF418=0,0,EDATE(CF418,Parametri_v3!$C$37)))),Parametri_v3!$C$38)=0),MIN(MAX(0,(BC417)+BA418-N418),(CC418-CD418)/(Ipotesi!$C$108*12/Parametri_v3!$C$38)),0)</f>
        <v>13269.6498441983</v>
      </c>
      <c r="BC418" s="15" t="n">
        <f aca="false">(BC417)+BA418-N418-BB418</f>
        <v>225584.047351372</v>
      </c>
      <c r="BD418" s="15" t="n">
        <f aca="false">(BH417)+AC418+AF418-AI418-AS418-K418*(1+Parametri_v3!$C$26)-AL418-AQ418-O418+AW418+AX418+AZ418+BA418-BB418</f>
        <v>-1144428.90038172</v>
      </c>
      <c r="BE418" s="15" t="n">
        <f aca="false">MAX(0,MIN(MAX(0,CH418-(BG417)),Parametri_v3!$C$30-BD418))</f>
        <v>0</v>
      </c>
      <c r="BF418" s="15" t="n">
        <f aca="false">IF(Motore_Operativo!C418&gt;=Parametri_v3!$C$63,(BG417),MIN((BG417),MAX(0,BD418-Parametri_v3!$C$30)))</f>
        <v>0</v>
      </c>
      <c r="BG418" s="15" t="n">
        <f aca="false">(BG417)+BE418-BF418</f>
        <v>150000</v>
      </c>
      <c r="BH418" s="15" t="n">
        <f aca="false">BD418+BE418-BF418-AY418</f>
        <v>-1144428.90038172</v>
      </c>
      <c r="BI418" s="15" t="n">
        <f aca="false">MAX(0,Parametri_v3!$C$30-BH418)</f>
        <v>1169428.90038172</v>
      </c>
      <c r="BJ418" s="15" t="n">
        <f aca="false">(BJ417)+K418</f>
        <v>140000</v>
      </c>
      <c r="BK418" s="15" t="n">
        <f aca="false">(BK417)+L418</f>
        <v>80868.0555555556</v>
      </c>
      <c r="BL418" s="15" t="n">
        <f aca="false">BJ418-BK418</f>
        <v>59131.9444444444</v>
      </c>
      <c r="BM418" s="15" t="n">
        <f aca="false">(BM417)+Y418</f>
        <v>-1400811.92865282</v>
      </c>
      <c r="BN418" s="15" t="n">
        <f aca="false">(BN417)+AW418+AX418+AZ418</f>
        <v>235430.409433568</v>
      </c>
      <c r="BO418" s="15" t="n">
        <f aca="false">(BO417)+AY418</f>
        <v>0</v>
      </c>
      <c r="BP418" s="15" t="n">
        <f aca="false">0</f>
        <v>0</v>
      </c>
      <c r="BQ418" s="15" t="n">
        <f aca="false">BN418+BM418-BO418</f>
        <v>-1165381.51921926</v>
      </c>
      <c r="BR418" s="15" t="n">
        <f aca="false">BH418+AD418+BL418+MAX(0,-AM418)+MAX(0,-AR418)+AG418</f>
        <v>-401427.74497979</v>
      </c>
      <c r="BS418" s="15" t="n">
        <f aca="false">AJ418+AV418+MAX(0,AM418)+MAX(0,AR418)+BC418+BG418+BQ418</f>
        <v>-401427.74497979</v>
      </c>
      <c r="BT418" s="15" t="n">
        <f aca="false">BR418-BS418</f>
        <v>0</v>
      </c>
      <c r="BU418" s="15" t="n">
        <f aca="false">BH418-(BD418+BE418-BF418-AY418)</f>
        <v>0</v>
      </c>
      <c r="BV418" s="15" t="n">
        <f aca="false">MIN(Piano_SS!$C$6,(BV417)+IF(AND(Motore_Operativo!C418&gt;=EDATE(Parametri_v3!$C$24,Ipotesi!I14*12),Motore_Operativo!C418&lt;EDATE(Parametri_v3!$C$24,Parametri_v3!$C$25+Ipotesi!I14*12)),MAX(0,(Motore_Operativo!Y418+Motore_Operativo!X418*Parametri_v3!$C$14)*(1-Parametri_v3!$C$32))*Piano_SS!$D$6,0))</f>
        <v>300000</v>
      </c>
      <c r="BW418" s="15" t="n">
        <f aca="false">MIN(Piano_SS!$C$7,(BW417)+IF(AND(Motore_Operativo!C418&gt;=EDATE(Parametri_v3!$C$24,Ipotesi!I14*12),Motore_Operativo!C418&lt;EDATE(Parametri_v3!$C$24,Parametri_v3!$C$25+Ipotesi!I14*12)),MAX(0,(IF(54-(INT((Ipotesi!$C$91)/30))&lt;1,0,INDEX(Motore_Operativo!$BN$365:$BN$424,MAX(1,54-(INT((Ipotesi!$C$91)/30)))))*(1-(MOD((Ipotesi!$C$91),30)/30))+IF(54-(INT((Ipotesi!$C$91)/30))-1&lt;1,0,INDEX(Motore_Operativo!$BN$365:$BN$424,MAX(1,54-(INT((Ipotesi!$C$91)/30))-1)))*(MOD((Ipotesi!$C$91),30)/30)))*Piano_SS!$D$7,0))</f>
        <v>41058.9230070837</v>
      </c>
      <c r="BX418" s="15" t="n">
        <f aca="false">MIN(Piano_SS!$C$8,(BX417)+IF(AND(Motore_Operativo!C418&gt;=EDATE(Parametri_v3!$C$24,Ipotesi!I14*12),Motore_Operativo!C418&lt;EDATE(Parametri_v3!$C$24,Parametri_v3!$C$25+Ipotesi!I14*12)),MAX(0,Motore_Operativo!CE418)*Piano_SS!$D$8,0))</f>
        <v>50000</v>
      </c>
      <c r="BY418" s="15" t="n">
        <f aca="false">MIN(Piano_SS!$C$9,(BY417)+IF(AND(Motore_Operativo!C418&gt;=EDATE(Parametri_v3!$C$24,Ipotesi!I14*12),Motore_Operativo!C418&lt;EDATE(Parametri_v3!$C$24,Parametri_v3!$C$25+Ipotesi!I14*12)),MAX(0,((IF(54-(INT((Ipotesi!$C$91)/30))&lt;1,0,INDEX(Motore_Operativo!$BQ$365:$BQ$424,MAX(1,54-(INT((Ipotesi!$C$91)/30)))))*(1-(MOD((Ipotesi!$C$91),30)/30))+IF(54-(INT((Ipotesi!$C$91)/30))-1&lt;1,0,INDEX(Motore_Operativo!$BQ$365:$BQ$424,MAX(1,54-(INT((Ipotesi!$C$91)/30))-1)))*(MOD((Ipotesi!$C$91),30)/30))+(IF(54-(INT((Ipotesi!$C$91)/30))&lt;1,0,INDEX(Motore_Operativo!$BR$365:$BR$424,MAX(1,54-(INT((Ipotesi!$C$91)/30)))))*(1-(MOD((Ipotesi!$C$91),30)/30))+IF(54-(INT((Ipotesi!$C$91)/30))-1&lt;1,0,INDEX(Motore_Operativo!$BR$365:$BR$424,MAX(1,54-(INT((Ipotesi!$C$91)/30))-1)))*(MOD((Ipotesi!$C$91),30)/30))))*Piano_SS!$D$9,0))</f>
        <v>40000</v>
      </c>
      <c r="BZ418" s="15" t="n">
        <f aca="false">MIN(Piano_SS!$C$10,(BZ417)+IF(AND(Motore_Operativo!C418&gt;=EDATE(Parametri_v3!$C$24,Ipotesi!I14*12),Motore_Operativo!C418&lt;EDATE(Parametri_v3!$C$24,Parametri_v3!$C$25+Ipotesi!I14*12)),MAX(0,(IF(54-(INT((Ipotesi!$C$91)/30))&lt;1,0,INDEX(Motore_Operativo!$BO$365:$BO$424,MAX(1,54-(INT((Ipotesi!$C$91)/30)))))*(1-(MOD((Ipotesi!$C$91),30)/30))+IF(54-(INT((Ipotesi!$C$91)/30))-1&lt;1,0,INDEX(Motore_Operativo!$BO$365:$BO$424,MAX(1,54-(INT((Ipotesi!$C$91)/30))-1)))*(MOD((Ipotesi!$C$91),30)/30)))*Piano_SS!$D$10,0))</f>
        <v>30000</v>
      </c>
      <c r="CA418" s="15" t="n">
        <f aca="false">SUM(BV418:BZ418)</f>
        <v>461058.923007084</v>
      </c>
      <c r="CB418" s="15" t="n">
        <f aca="false">BV418*(1-Piano_SS!$E$6)+BW418*(1-Piano_SS!$E$7)+BX418*(1-Piano_SS!$E$8)+BY418*(1-Piano_SS!$E$9)+BZ418*(1-Piano_SS!$E$10)</f>
        <v>431058.923007084</v>
      </c>
      <c r="CC418" s="15" t="n">
        <f aca="false">(CC417)+BA418</f>
        <v>368847.138405667</v>
      </c>
      <c r="CD418" s="15" t="n">
        <f aca="false">IF(CA418=0,0,CC418*CB418/CA418*Ipotesi!$C$103*Parametri_v3!$C$64)</f>
        <v>103454.1415217</v>
      </c>
      <c r="CE418" s="18" t="n">
        <f aca="false">IF(BA418&gt;0,Motore_Operativo!C418,(CE417))</f>
        <v>47270</v>
      </c>
      <c r="CF418" s="18" t="n">
        <f aca="false">IF(AND(CC418&gt;0,OR(CC418&gt;=CG418-0.01,Motore_Operativo!C418&gt;=EDATE(MAX(Finanziamenti!$D$15:$D$17),Ipotesi!I14*12))),CE418,0)</f>
        <v>47270</v>
      </c>
      <c r="CG418" s="15" t="n">
        <f aca="false">IF(AND(7&lt;&gt;6,7&lt;&gt;9,Finanziamenti!$F$11=1,OR(Parametri_v3!$C$6=0,Finanziamenti!$E$11=1)),MIN(Finanziamenti!$C$11,Piano_SS!$C$12*Ipotesi!$C$102),0)</f>
        <v>400000</v>
      </c>
      <c r="CH418" s="15" t="n">
        <f aca="false">IF(AND(AND(7&lt;&gt;8,7&lt;&gt;9,Finanziamenti!$F$10=1,OR(Parametri_v3!$C$6=0,Finanziamenti!$E$10=1)),Motore_Operativo!C418&gt;=Finanziamenti!$D$10,Motore_Operativo!C418&lt;Parametri_v3!$C$63),Finanziamenti!$C$10,0)</f>
        <v>150000</v>
      </c>
    </row>
    <row r="419" customFormat="false" ht="18" hidden="false" customHeight="true" outlineLevel="0" collapsed="false">
      <c r="A419" s="68" t="n">
        <f aca="false">7</f>
        <v>7</v>
      </c>
      <c r="B419" s="68" t="n">
        <f aca="false">55</f>
        <v>55</v>
      </c>
      <c r="C419" s="18" t="n">
        <f aca="false">Motore_Operativo!C419</f>
        <v>48030</v>
      </c>
      <c r="D419" s="68" t="n">
        <f aca="false">Motore_Operativo!D419</f>
        <v>2031</v>
      </c>
      <c r="E419" s="68" t="n">
        <f aca="false">Motore_Operativo!E419</f>
        <v>7</v>
      </c>
      <c r="F419" s="15" t="n">
        <f aca="false">Motore_Operativo!AQ419+Motore_Operativo!BF419</f>
        <v>189850.184485802</v>
      </c>
      <c r="G419" s="15" t="n">
        <f aca="false">Motore_Operativo!BH419</f>
        <v>11595.8333333333</v>
      </c>
      <c r="H419" s="15" t="n">
        <f aca="false">Motore_Operativo!BI419</f>
        <v>201446.017819135</v>
      </c>
      <c r="I419" s="15" t="n">
        <f aca="false">Motore_Operativo!CA419</f>
        <v>199238.395815512</v>
      </c>
      <c r="J419" s="15" t="n">
        <f aca="false">Motore_Operativo!CC419</f>
        <v>2207.6220036227</v>
      </c>
      <c r="K419" s="15" t="n">
        <f aca="false">Motore_Operativo!CE419</f>
        <v>4166.66666666667</v>
      </c>
      <c r="L419" s="15" t="n">
        <f aca="false">SUM(INDEX($K$365:$K$424,MAX(1,55-Parametri_v3!$C$59+1)):K419)/Parametri_v3!$C$59</f>
        <v>3043.98148148148</v>
      </c>
      <c r="M419" s="15" t="n">
        <f aca="false">J419-L419</f>
        <v>-836.359477858779</v>
      </c>
      <c r="N419" s="15" t="n">
        <f aca="false">CD419-(CD418)</f>
        <v>0</v>
      </c>
      <c r="O419" s="15" t="n">
        <f aca="false">(BG418)*Ipotesi!$C$110/12+CH419*Parametri_v3!$C$39/12</f>
        <v>750</v>
      </c>
      <c r="P419" s="15" t="n">
        <f aca="false">M419+N419-O419</f>
        <v>-1586.35947785878</v>
      </c>
      <c r="Q419" s="15" t="n">
        <f aca="false">SUM(P413:P419)+Parametri_v3!$C$54*7/12</f>
        <v>-68915.2102110572</v>
      </c>
      <c r="R419" s="15" t="n">
        <f aca="false">Z412</f>
        <v>1016758.23194941</v>
      </c>
      <c r="S419" s="15" t="n">
        <f aca="false">AA412</f>
        <v>316724.845970214</v>
      </c>
      <c r="T419" s="15" t="n">
        <f aca="false">MIN(R419,MAX(0,Q419))</f>
        <v>0</v>
      </c>
      <c r="U419" s="15" t="n">
        <f aca="false">MIN(S419,MAX(0,Q419-T419)*Parametri_v3!$C$42)</f>
        <v>0</v>
      </c>
      <c r="V419" s="15" t="n">
        <f aca="false">MAX(0,Q419-T419-U419)*Ipotesi!$C$92</f>
        <v>0</v>
      </c>
      <c r="W419" s="15" t="n">
        <f aca="false">MAX(0,SUM(M413:M419)+Parametri_v3!$C$55*7/12)*Ipotesi!$C$93</f>
        <v>0</v>
      </c>
      <c r="X419" s="15" t="n">
        <f aca="false">V419+W419-(V418+W418)</f>
        <v>0</v>
      </c>
      <c r="Y419" s="15" t="n">
        <f aca="false">P419-X419</f>
        <v>-1586.35947785878</v>
      </c>
      <c r="Z419" s="15" t="n">
        <f aca="false">R419-T419+IF(AND(Parametri_v3!$C$40=1,D419-YEAR(Parametri_v3!$C$50)&lt;Parametri_v3!$C$41),MAX(0,-Q419),0)</f>
        <v>1016758.23194941</v>
      </c>
      <c r="AA419" s="15" t="n">
        <f aca="false">S419-U419+IF(AND(Parametri_v3!$C$40=1,D419-YEAR(Parametri_v3!$C$50)&lt;Parametri_v3!$C$41),0,MAX(0,-Q419))</f>
        <v>385640.056181271</v>
      </c>
      <c r="AB419" s="15" t="n">
        <f aca="false">F419*(1+Parametri_v3!$C$26)</f>
        <v>231617.225072678</v>
      </c>
      <c r="AC419" s="15" t="n">
        <f aca="false">(IF(55-(INT((Motore_Operativo!L419)/30))&lt;1,0,INDEX(Motore_Startup!$AB$365:$AB$424,MAX(1,55-(INT((Motore_Operativo!L419)/30)))))*(1-(MOD((Motore_Operativo!L419),30)/30))+IF(55-(INT((Motore_Operativo!L419)/30))-1&lt;1,0,INDEX(Motore_Startup!$AB$365:$AB$424,MAX(1,55-(INT((Motore_Operativo!L419)/30))-1)))*(MOD((Motore_Operativo!L419),30)/30))</f>
        <v>219015.654305296</v>
      </c>
      <c r="AD419" s="15" t="n">
        <f aca="false">(AD418)+AB419-AC419</f>
        <v>682323.865058196</v>
      </c>
      <c r="AE419" s="15" t="n">
        <f aca="false">Motore_Operativo!BH419*(1+Parametri_v3!$C$26)</f>
        <v>14146.9166666667</v>
      </c>
      <c r="AF419" s="15" t="n">
        <f aca="false">(IF(55-(INT((Parametri_v3!$C$29)/30))&lt;1,0,INDEX(Motore_Operativo!$BH$365:$BH$424,MAX(1,55-(INT((Parametri_v3!$C$29)/30)))))*(1-(MOD((Parametri_v3!$C$29),30)/30))+IF(55-(INT((Parametri_v3!$C$29)/30))-1&lt;1,0,INDEX(Motore_Operativo!$BH$365:$BH$424,MAX(1,55-(INT((Parametri_v3!$C$29)/30))-1)))*(MOD((Parametri_v3!$C$29),30)/30))*(1+Parametri_v3!$C$26)</f>
        <v>14146.9166666667</v>
      </c>
      <c r="AG419" s="15" t="n">
        <f aca="false">(AG418)+AE419-AF419</f>
        <v>14146.9166666667</v>
      </c>
      <c r="AH419" s="15" t="n">
        <f aca="false">(Motore_Operativo!CJ419)*(1+Parametri_v3!$C$27*Parametri_v3!$C$26)</f>
        <v>94676.3871161839</v>
      </c>
      <c r="AI419" s="15" t="n">
        <f aca="false">(IF(55-(INT((Ipotesi!$C$91)/30))&lt;1,0,INDEX(Motore_Startup!$AH$365:$AH$424,MAX(1,55-(INT((Ipotesi!$C$91)/30)))))*(1-(MOD((Ipotesi!$C$91),30)/30))+IF(55-(INT((Ipotesi!$C$91)/30))-1&lt;1,0,INDEX(Motore_Startup!$AH$365:$AH$424,MAX(1,55-(INT((Ipotesi!$C$91)/30))-1)))*(MOD((Ipotesi!$C$91),30)/30))</f>
        <v>93537.0852450499</v>
      </c>
      <c r="AJ419" s="15" t="n">
        <f aca="false">(AJ418)+AH419-AI419</f>
        <v>188785.624060582</v>
      </c>
      <c r="AK419" s="15" t="n">
        <f aca="false">(F419+ Motore_Operativo!BH419-(Motore_Operativo!CJ419)*Parametri_v3!$C$27-Motore_Operativo!CE419)*Parametri_v3!$C$26</f>
        <v>28486.1376320381</v>
      </c>
      <c r="AL419" s="15" t="n">
        <f aca="false">MAX(0,(AM418))</f>
        <v>27824.6558273956</v>
      </c>
      <c r="AM419" s="15" t="n">
        <f aca="false">(AM418)+AK419-AL419</f>
        <v>28486.1376320381</v>
      </c>
      <c r="AN419" s="15" t="n">
        <f aca="false">SUM(X401:X412)</f>
        <v>0</v>
      </c>
      <c r="AO419" s="15" t="n">
        <f aca="false">SUM(AP401:AP412)</f>
        <v>0</v>
      </c>
      <c r="AP419" s="15" t="n">
        <f aca="false">MAX(0,AN419)*IF(7=Parametri_v3!$C$43,Parametri_v3!$C$45,IF(7=Parametri_v3!$C$44,1-Parametri_v3!$C$45,0))</f>
        <v>0</v>
      </c>
      <c r="AQ419" s="15" t="n">
        <f aca="false">MAX(0,AP419+IF(7=Parametri_v3!$C$43,MAX(0,AN419-AO419),0)-MAX(0,-(AR418)))</f>
        <v>0</v>
      </c>
      <c r="AR419" s="15" t="n">
        <f aca="false">(AR418)+X419-AQ419</f>
        <v>0</v>
      </c>
      <c r="AS419" s="15" t="n">
        <f aca="false">Motore_Operativo!AB419-AT419+AU419</f>
        <v>113503.461904792</v>
      </c>
      <c r="AT419" s="15" t="n">
        <f aca="false">Motore_Operativo!CH419</f>
        <v>5973.86641604167</v>
      </c>
      <c r="AU419" s="15" t="n">
        <f aca="false">MIN(MAX(0,(AV418)+AT419),Parametri_v3!$C$60/12)</f>
        <v>0</v>
      </c>
      <c r="AV419" s="15" t="n">
        <f aca="false">(AV418)+AT419-AU419</f>
        <v>178872.615287292</v>
      </c>
      <c r="AW419" s="15" t="n">
        <f aca="false">IF(AND(Motore_Operativo!C419=Finanziamenti!$D$6,Finanziamenti!$F$6=1),Finanziamenti!$C$6,0)</f>
        <v>0</v>
      </c>
      <c r="AX419" s="15" t="n">
        <f aca="false">IF(AND(7&lt;&gt;7,7&lt;&gt;9,Finanziamenti!$F$8=1,OR(Parametri_v3!$C$6=0,Finanziamenti!$E$8=1),Motore_Operativo!C419=EDATE(Finanziamenti!$D$8,Ipotesi!I15*12)),Finanziamenti!$C$8*1,0)+IF(AND(7&lt;&gt;7,7&lt;&gt;9,Finanziamenti!$F$9=1,OR(Parametri_v3!$C$6=0,Finanziamenti!$E$9=1),Motore_Operativo!C419=EDATE(Finanziamenti!$D$9,Ipotesi!I15*12)),Finanziamenti!$C$9*Ipotesi!I16,0)</f>
        <v>0</v>
      </c>
      <c r="AY419" s="15" t="n">
        <f aca="false">0</f>
        <v>0</v>
      </c>
      <c r="AZ419" s="15" t="n">
        <f aca="false">Motore_Advisory!AY419*(1-Ipotesi!$C$95)*Ipotesi!$C$96</f>
        <v>0</v>
      </c>
      <c r="BA419" s="15" t="n">
        <f aca="false">MAX(0,MIN(CG419*MIN(1,IF(Motore_Operativo!C419&gt;=EDATE(Finanziamenti!$D$15,Ipotesi!I14*12),Finanziamenti!$C$15,0)+IF(Motore_Operativo!C419&gt;=EDATE(Finanziamenti!$D$16,Ipotesi!I14*12),Finanziamenti!$C$16,0)+IF(Motore_Operativo!C419&gt;=EDATE(Finanziamenti!$D$17,Ipotesi!I14*12),Finanziamenti!$C$17,0)),CA419*Ipotesi!$C$102)-(CC418))</f>
        <v>0</v>
      </c>
      <c r="BB419" s="15" t="n">
        <f aca="false">IF(AND(CF419&gt;0,Motore_Operativo!C419&gt;=IF(CF419=0,0,EDATE(CF419,Parametri_v3!$C$37)),MOD(((D419-YEAR(IF(CF419=0,0,EDATE(CF419,Parametri_v3!$C$37))))*12+E419-MONTH(IF(CF419=0,0,EDATE(CF419,Parametri_v3!$C$37)))),Parametri_v3!$C$38)=0),MIN(MAX(0,(BC418)+BA419-N419),(CC419-CD419)/(Ipotesi!$C$108*12/Parametri_v3!$C$38)),0)</f>
        <v>0</v>
      </c>
      <c r="BC419" s="15" t="n">
        <f aca="false">(BC418)+BA419-N419-BB419</f>
        <v>225584.047351372</v>
      </c>
      <c r="BD419" s="15" t="n">
        <f aca="false">(BH418)+AC419+AF419-AI419-AS419-K419*(1+Parametri_v3!$C$26)-AL419-AQ419-O419+AW419+AX419+AZ419+BA419-BB419</f>
        <v>-1151964.86572032</v>
      </c>
      <c r="BE419" s="15" t="n">
        <f aca="false">MAX(0,MIN(MAX(0,CH419-(BG418)),Parametri_v3!$C$30-BD419))</f>
        <v>0</v>
      </c>
      <c r="BF419" s="15" t="n">
        <f aca="false">IF(Motore_Operativo!C419&gt;=Parametri_v3!$C$63,(BG418),MIN((BG418),MAX(0,BD419-Parametri_v3!$C$30)))</f>
        <v>0</v>
      </c>
      <c r="BG419" s="15" t="n">
        <f aca="false">(BG418)+BE419-BF419</f>
        <v>150000</v>
      </c>
      <c r="BH419" s="15" t="n">
        <f aca="false">BD419+BE419-BF419-AY419</f>
        <v>-1151964.86572032</v>
      </c>
      <c r="BI419" s="15" t="n">
        <f aca="false">MAX(0,Parametri_v3!$C$30-BH419)</f>
        <v>1176964.86572032</v>
      </c>
      <c r="BJ419" s="15" t="n">
        <f aca="false">(BJ418)+K419</f>
        <v>144166.666666667</v>
      </c>
      <c r="BK419" s="15" t="n">
        <f aca="false">(BK418)+L419</f>
        <v>83912.0370370371</v>
      </c>
      <c r="BL419" s="15" t="n">
        <f aca="false">BJ419-BK419</f>
        <v>60254.6296296296</v>
      </c>
      <c r="BM419" s="15" t="n">
        <f aca="false">(BM418)+Y419</f>
        <v>-1402398.28813068</v>
      </c>
      <c r="BN419" s="15" t="n">
        <f aca="false">(BN418)+AW419+AX419+AZ419</f>
        <v>235430.409433568</v>
      </c>
      <c r="BO419" s="15" t="n">
        <f aca="false">(BO418)+AY419</f>
        <v>0</v>
      </c>
      <c r="BP419" s="15" t="n">
        <f aca="false">0</f>
        <v>0</v>
      </c>
      <c r="BQ419" s="15" t="n">
        <f aca="false">BN419+BM419-BO419</f>
        <v>-1166967.87869712</v>
      </c>
      <c r="BR419" s="15" t="n">
        <f aca="false">BH419+AD419+BL419+MAX(0,-AM419)+MAX(0,-AR419)+AG419</f>
        <v>-395239.454365831</v>
      </c>
      <c r="BS419" s="15" t="n">
        <f aca="false">AJ419+AV419+MAX(0,AM419)+MAX(0,AR419)+BC419+BG419+BQ419</f>
        <v>-395239.454365831</v>
      </c>
      <c r="BT419" s="15" t="n">
        <f aca="false">BR419-BS419</f>
        <v>0</v>
      </c>
      <c r="BU419" s="15" t="n">
        <f aca="false">BH419-(BD419+BE419-BF419-AY419)</f>
        <v>0</v>
      </c>
      <c r="BV419" s="15" t="n">
        <f aca="false">MIN(Piano_SS!$C$6,(BV418)+IF(AND(Motore_Operativo!C419&gt;=EDATE(Parametri_v3!$C$24,Ipotesi!I14*12),Motore_Operativo!C419&lt;EDATE(Parametri_v3!$C$24,Parametri_v3!$C$25+Ipotesi!I14*12)),MAX(0,(Motore_Operativo!Y419+Motore_Operativo!X419*Parametri_v3!$C$14)*(1-Parametri_v3!$C$32))*Piano_SS!$D$6,0))</f>
        <v>300000</v>
      </c>
      <c r="BW419" s="15" t="n">
        <f aca="false">MIN(Piano_SS!$C$7,(BW418)+IF(AND(Motore_Operativo!C419&gt;=EDATE(Parametri_v3!$C$24,Ipotesi!I14*12),Motore_Operativo!C419&lt;EDATE(Parametri_v3!$C$24,Parametri_v3!$C$25+Ipotesi!I14*12)),MAX(0,(IF(55-(INT((Ipotesi!$C$91)/30))&lt;1,0,INDEX(Motore_Operativo!$BN$365:$BN$424,MAX(1,55-(INT((Ipotesi!$C$91)/30)))))*(1-(MOD((Ipotesi!$C$91),30)/30))+IF(55-(INT((Ipotesi!$C$91)/30))-1&lt;1,0,INDEX(Motore_Operativo!$BN$365:$BN$424,MAX(1,55-(INT((Ipotesi!$C$91)/30))-1)))*(MOD((Ipotesi!$C$91),30)/30)))*Piano_SS!$D$7,0))</f>
        <v>41058.9230070837</v>
      </c>
      <c r="BX419" s="15" t="n">
        <f aca="false">MIN(Piano_SS!$C$8,(BX418)+IF(AND(Motore_Operativo!C419&gt;=EDATE(Parametri_v3!$C$24,Ipotesi!I14*12),Motore_Operativo!C419&lt;EDATE(Parametri_v3!$C$24,Parametri_v3!$C$25+Ipotesi!I14*12)),MAX(0,Motore_Operativo!CE419)*Piano_SS!$D$8,0))</f>
        <v>50000</v>
      </c>
      <c r="BY419" s="15" t="n">
        <f aca="false">MIN(Piano_SS!$C$9,(BY418)+IF(AND(Motore_Operativo!C419&gt;=EDATE(Parametri_v3!$C$24,Ipotesi!I14*12),Motore_Operativo!C419&lt;EDATE(Parametri_v3!$C$24,Parametri_v3!$C$25+Ipotesi!I14*12)),MAX(0,((IF(55-(INT((Ipotesi!$C$91)/30))&lt;1,0,INDEX(Motore_Operativo!$BQ$365:$BQ$424,MAX(1,55-(INT((Ipotesi!$C$91)/30)))))*(1-(MOD((Ipotesi!$C$91),30)/30))+IF(55-(INT((Ipotesi!$C$91)/30))-1&lt;1,0,INDEX(Motore_Operativo!$BQ$365:$BQ$424,MAX(1,55-(INT((Ipotesi!$C$91)/30))-1)))*(MOD((Ipotesi!$C$91),30)/30))+(IF(55-(INT((Ipotesi!$C$91)/30))&lt;1,0,INDEX(Motore_Operativo!$BR$365:$BR$424,MAX(1,55-(INT((Ipotesi!$C$91)/30)))))*(1-(MOD((Ipotesi!$C$91),30)/30))+IF(55-(INT((Ipotesi!$C$91)/30))-1&lt;1,0,INDEX(Motore_Operativo!$BR$365:$BR$424,MAX(1,55-(INT((Ipotesi!$C$91)/30))-1)))*(MOD((Ipotesi!$C$91),30)/30))))*Piano_SS!$D$9,0))</f>
        <v>40000</v>
      </c>
      <c r="BZ419" s="15" t="n">
        <f aca="false">MIN(Piano_SS!$C$10,(BZ418)+IF(AND(Motore_Operativo!C419&gt;=EDATE(Parametri_v3!$C$24,Ipotesi!I14*12),Motore_Operativo!C419&lt;EDATE(Parametri_v3!$C$24,Parametri_v3!$C$25+Ipotesi!I14*12)),MAX(0,(IF(55-(INT((Ipotesi!$C$91)/30))&lt;1,0,INDEX(Motore_Operativo!$BO$365:$BO$424,MAX(1,55-(INT((Ipotesi!$C$91)/30)))))*(1-(MOD((Ipotesi!$C$91),30)/30))+IF(55-(INT((Ipotesi!$C$91)/30))-1&lt;1,0,INDEX(Motore_Operativo!$BO$365:$BO$424,MAX(1,55-(INT((Ipotesi!$C$91)/30))-1)))*(MOD((Ipotesi!$C$91),30)/30)))*Piano_SS!$D$10,0))</f>
        <v>30000</v>
      </c>
      <c r="CA419" s="15" t="n">
        <f aca="false">SUM(BV419:BZ419)</f>
        <v>461058.923007084</v>
      </c>
      <c r="CB419" s="15" t="n">
        <f aca="false">BV419*(1-Piano_SS!$E$6)+BW419*(1-Piano_SS!$E$7)+BX419*(1-Piano_SS!$E$8)+BY419*(1-Piano_SS!$E$9)+BZ419*(1-Piano_SS!$E$10)</f>
        <v>431058.923007084</v>
      </c>
      <c r="CC419" s="15" t="n">
        <f aca="false">(CC418)+BA419</f>
        <v>368847.138405667</v>
      </c>
      <c r="CD419" s="15" t="n">
        <f aca="false">IF(CA419=0,0,CC419*CB419/CA419*Ipotesi!$C$103*Parametri_v3!$C$64)</f>
        <v>103454.1415217</v>
      </c>
      <c r="CE419" s="18" t="n">
        <f aca="false">IF(BA419&gt;0,Motore_Operativo!C419,(CE418))</f>
        <v>47270</v>
      </c>
      <c r="CF419" s="18" t="n">
        <f aca="false">IF(AND(CC419&gt;0,OR(CC419&gt;=CG419-0.01,Motore_Operativo!C419&gt;=EDATE(MAX(Finanziamenti!$D$15:$D$17),Ipotesi!I14*12))),CE419,0)</f>
        <v>47270</v>
      </c>
      <c r="CG419" s="15" t="n">
        <f aca="false">IF(AND(7&lt;&gt;6,7&lt;&gt;9,Finanziamenti!$F$11=1,OR(Parametri_v3!$C$6=0,Finanziamenti!$E$11=1)),MIN(Finanziamenti!$C$11,Piano_SS!$C$12*Ipotesi!$C$102),0)</f>
        <v>400000</v>
      </c>
      <c r="CH419" s="15" t="n">
        <f aca="false">IF(AND(AND(7&lt;&gt;8,7&lt;&gt;9,Finanziamenti!$F$10=1,OR(Parametri_v3!$C$6=0,Finanziamenti!$E$10=1)),Motore_Operativo!C419&gt;=Finanziamenti!$D$10,Motore_Operativo!C419&lt;Parametri_v3!$C$63),Finanziamenti!$C$10,0)</f>
        <v>150000</v>
      </c>
    </row>
    <row r="420" customFormat="false" ht="18" hidden="false" customHeight="true" outlineLevel="0" collapsed="false">
      <c r="A420" s="68" t="n">
        <f aca="false">7</f>
        <v>7</v>
      </c>
      <c r="B420" s="68" t="n">
        <f aca="false">56</f>
        <v>56</v>
      </c>
      <c r="C420" s="18" t="n">
        <f aca="false">Motore_Operativo!C420</f>
        <v>48061</v>
      </c>
      <c r="D420" s="68" t="n">
        <f aca="false">Motore_Operativo!D420</f>
        <v>2031</v>
      </c>
      <c r="E420" s="68" t="n">
        <f aca="false">Motore_Operativo!E420</f>
        <v>8</v>
      </c>
      <c r="F420" s="15" t="n">
        <f aca="false">Motore_Operativo!AQ420+Motore_Operativo!BF420</f>
        <v>193233.217134923</v>
      </c>
      <c r="G420" s="15" t="n">
        <f aca="false">Motore_Operativo!BH420</f>
        <v>11595.8333333333</v>
      </c>
      <c r="H420" s="15" t="n">
        <f aca="false">Motore_Operativo!BI420</f>
        <v>204829.050468256</v>
      </c>
      <c r="I420" s="15" t="n">
        <f aca="false">Motore_Operativo!CA420</f>
        <v>199712.020386389</v>
      </c>
      <c r="J420" s="15" t="n">
        <f aca="false">Motore_Operativo!CC420</f>
        <v>5117.03008186689</v>
      </c>
      <c r="K420" s="15" t="n">
        <f aca="false">Motore_Operativo!CE420</f>
        <v>4166.66666666667</v>
      </c>
      <c r="L420" s="15" t="n">
        <f aca="false">SUM(INDEX($K$365:$K$424,MAX(1,56-Parametri_v3!$C$59+1)):K420)/Parametri_v3!$C$59</f>
        <v>3101.85185185185</v>
      </c>
      <c r="M420" s="15" t="n">
        <f aca="false">J420-L420</f>
        <v>2015.17823001504</v>
      </c>
      <c r="N420" s="15" t="n">
        <f aca="false">CD420-(CD419)</f>
        <v>0</v>
      </c>
      <c r="O420" s="15" t="n">
        <f aca="false">(BG419)*Ipotesi!$C$110/12+CH420*Parametri_v3!$C$39/12</f>
        <v>750</v>
      </c>
      <c r="P420" s="15" t="n">
        <f aca="false">M420+N420-O420</f>
        <v>1265.17823001504</v>
      </c>
      <c r="Q420" s="15" t="n">
        <f aca="false">SUM(P413:P420)+Parametri_v3!$C$54*8/12</f>
        <v>-67650.0319810421</v>
      </c>
      <c r="R420" s="15" t="n">
        <f aca="false">Z412</f>
        <v>1016758.23194941</v>
      </c>
      <c r="S420" s="15" t="n">
        <f aca="false">AA412</f>
        <v>316724.845970214</v>
      </c>
      <c r="T420" s="15" t="n">
        <f aca="false">MIN(R420,MAX(0,Q420))</f>
        <v>0</v>
      </c>
      <c r="U420" s="15" t="n">
        <f aca="false">MIN(S420,MAX(0,Q420-T420)*Parametri_v3!$C$42)</f>
        <v>0</v>
      </c>
      <c r="V420" s="15" t="n">
        <f aca="false">MAX(0,Q420-T420-U420)*Ipotesi!$C$92</f>
        <v>0</v>
      </c>
      <c r="W420" s="15" t="n">
        <f aca="false">MAX(0,SUM(M413:M420)+Parametri_v3!$C$55*8/12)*Ipotesi!$C$93</f>
        <v>0</v>
      </c>
      <c r="X420" s="15" t="n">
        <f aca="false">V420+W420-(V419+W419)</f>
        <v>0</v>
      </c>
      <c r="Y420" s="15" t="n">
        <f aca="false">P420-X420</f>
        <v>1265.17823001504</v>
      </c>
      <c r="Z420" s="15" t="n">
        <f aca="false">R420-T420+IF(AND(Parametri_v3!$C$40=1,D420-YEAR(Parametri_v3!$C$50)&lt;Parametri_v3!$C$41),MAX(0,-Q420),0)</f>
        <v>1016758.23194941</v>
      </c>
      <c r="AA420" s="15" t="n">
        <f aca="false">S420-U420+IF(AND(Parametri_v3!$C$40=1,D420-YEAR(Parametri_v3!$C$50)&lt;Parametri_v3!$C$41),0,MAX(0,-Q420))</f>
        <v>384374.877951256</v>
      </c>
      <c r="AB420" s="15" t="n">
        <f aca="false">F420*(1+Parametri_v3!$C$26)</f>
        <v>235744.524904606</v>
      </c>
      <c r="AC420" s="15" t="n">
        <f aca="false">(IF(56-(INT((Motore_Operativo!L420)/30))&lt;1,0,INDEX(Motore_Startup!$AB$365:$AB$424,MAX(1,56-(INT((Motore_Operativo!L420)/30)))))*(1-(MOD((Motore_Operativo!L420),30)/30))+IF(56-(INT((Motore_Operativo!L420)/30))-1&lt;1,0,INDEX(Motore_Startup!$AB$365:$AB$424,MAX(1,56-(INT((Motore_Operativo!L420)/30))-1)))*(MOD((Motore_Operativo!L420),30)/30))</f>
        <v>223253.112166291</v>
      </c>
      <c r="AD420" s="15" t="n">
        <f aca="false">(AD419)+AB420-AC420</f>
        <v>694815.277796511</v>
      </c>
      <c r="AE420" s="15" t="n">
        <f aca="false">Motore_Operativo!BH420*(1+Parametri_v3!$C$26)</f>
        <v>14146.9166666667</v>
      </c>
      <c r="AF420" s="15" t="n">
        <f aca="false">(IF(56-(INT((Parametri_v3!$C$29)/30))&lt;1,0,INDEX(Motore_Operativo!$BH$365:$BH$424,MAX(1,56-(INT((Parametri_v3!$C$29)/30)))))*(1-(MOD((Parametri_v3!$C$29),30)/30))+IF(56-(INT((Parametri_v3!$C$29)/30))-1&lt;1,0,INDEX(Motore_Operativo!$BH$365:$BH$424,MAX(1,56-(INT((Parametri_v3!$C$29)/30))-1)))*(MOD((Parametri_v3!$C$29),30)/30))*(1+Parametri_v3!$C$26)</f>
        <v>14146.9166666667</v>
      </c>
      <c r="AG420" s="15" t="n">
        <f aca="false">(AG419)+AE420-AF420</f>
        <v>14146.9166666667</v>
      </c>
      <c r="AH420" s="15" t="n">
        <f aca="false">(Motore_Operativo!CJ420)*(1+Parametri_v3!$C$27*Parametri_v3!$C$26)</f>
        <v>95238.5794818148</v>
      </c>
      <c r="AI420" s="15" t="n">
        <f aca="false">(IF(56-(INT((Ipotesi!$C$91)/30))&lt;1,0,INDEX(Motore_Startup!$AH$365:$AH$424,MAX(1,56-(INT((Ipotesi!$C$91)/30)))))*(1-(MOD((Ipotesi!$C$91),30)/30))+IF(56-(INT((Ipotesi!$C$91)/30))-1&lt;1,0,INDEX(Motore_Startup!$AH$365:$AH$424,MAX(1,56-(INT((Ipotesi!$C$91)/30))-1)))*(MOD((Ipotesi!$C$91),30)/30))</f>
        <v>94109.2369443983</v>
      </c>
      <c r="AJ420" s="15" t="n">
        <f aca="false">(AJ419)+AH420-AI420</f>
        <v>189914.966597999</v>
      </c>
      <c r="AK420" s="15" t="n">
        <f aca="false">(F420+ Motore_Operativo!BH420-(Motore_Operativo!CJ420)*Parametri_v3!$C$27-Motore_Operativo!CE420)*Parametri_v3!$C$26</f>
        <v>29141.8370200907</v>
      </c>
      <c r="AL420" s="15" t="n">
        <f aca="false">MAX(0,(AM419))</f>
        <v>28486.1376320381</v>
      </c>
      <c r="AM420" s="15" t="n">
        <f aca="false">(AM419)+AK420-AL420</f>
        <v>29141.8370200907</v>
      </c>
      <c r="AN420" s="15" t="n">
        <f aca="false">SUM(X401:X412)</f>
        <v>0</v>
      </c>
      <c r="AO420" s="15" t="n">
        <f aca="false">SUM(AP401:AP412)</f>
        <v>0</v>
      </c>
      <c r="AP420" s="15" t="n">
        <f aca="false">MAX(0,AN420)*IF(8=Parametri_v3!$C$43,Parametri_v3!$C$45,IF(8=Parametri_v3!$C$44,1-Parametri_v3!$C$45,0))</f>
        <v>0</v>
      </c>
      <c r="AQ420" s="15" t="n">
        <f aca="false">MAX(0,AP420+IF(8=Parametri_v3!$C$43,MAX(0,AN420-AO420),0)-MAX(0,-(AR419)))</f>
        <v>0</v>
      </c>
      <c r="AR420" s="15" t="n">
        <f aca="false">(AR419)+X420-AQ420</f>
        <v>0</v>
      </c>
      <c r="AS420" s="15" t="n">
        <f aca="false">Motore_Operativo!AB420-AT420+AU420</f>
        <v>113503.461904792</v>
      </c>
      <c r="AT420" s="15" t="n">
        <f aca="false">Motore_Operativo!CH420</f>
        <v>5973.86641604167</v>
      </c>
      <c r="AU420" s="15" t="n">
        <f aca="false">MIN(MAX(0,(AV419)+AT420),Parametri_v3!$C$60/12)</f>
        <v>0</v>
      </c>
      <c r="AV420" s="15" t="n">
        <f aca="false">(AV419)+AT420-AU420</f>
        <v>184846.481703333</v>
      </c>
      <c r="AW420" s="15" t="n">
        <f aca="false">IF(AND(Motore_Operativo!C420=Finanziamenti!$D$6,Finanziamenti!$F$6=1),Finanziamenti!$C$6,0)</f>
        <v>0</v>
      </c>
      <c r="AX420" s="15" t="n">
        <f aca="false">IF(AND(7&lt;&gt;7,7&lt;&gt;9,Finanziamenti!$F$8=1,OR(Parametri_v3!$C$6=0,Finanziamenti!$E$8=1),Motore_Operativo!C420=EDATE(Finanziamenti!$D$8,Ipotesi!I15*12)),Finanziamenti!$C$8*1,0)+IF(AND(7&lt;&gt;7,7&lt;&gt;9,Finanziamenti!$F$9=1,OR(Parametri_v3!$C$6=0,Finanziamenti!$E$9=1),Motore_Operativo!C420=EDATE(Finanziamenti!$D$9,Ipotesi!I15*12)),Finanziamenti!$C$9*Ipotesi!I16,0)</f>
        <v>0</v>
      </c>
      <c r="AY420" s="15" t="n">
        <f aca="false">0</f>
        <v>0</v>
      </c>
      <c r="AZ420" s="15" t="n">
        <f aca="false">Motore_Advisory!AY420*(1-Ipotesi!$C$95)*Ipotesi!$C$96</f>
        <v>0</v>
      </c>
      <c r="BA420" s="15" t="n">
        <f aca="false">MAX(0,MIN(CG420*MIN(1,IF(Motore_Operativo!C420&gt;=EDATE(Finanziamenti!$D$15,Ipotesi!I14*12),Finanziamenti!$C$15,0)+IF(Motore_Operativo!C420&gt;=EDATE(Finanziamenti!$D$16,Ipotesi!I14*12),Finanziamenti!$C$16,0)+IF(Motore_Operativo!C420&gt;=EDATE(Finanziamenti!$D$17,Ipotesi!I14*12),Finanziamenti!$C$17,0)),CA420*Ipotesi!$C$102)-(CC419))</f>
        <v>0</v>
      </c>
      <c r="BB420" s="15" t="n">
        <f aca="false">IF(AND(CF420&gt;0,Motore_Operativo!C420&gt;=IF(CF420=0,0,EDATE(CF420,Parametri_v3!$C$37)),MOD(((D420-YEAR(IF(CF420=0,0,EDATE(CF420,Parametri_v3!$C$37))))*12+E420-MONTH(IF(CF420=0,0,EDATE(CF420,Parametri_v3!$C$37)))),Parametri_v3!$C$38)=0),MIN(MAX(0,(BC419)+BA420-N420),(CC420-CD420)/(Ipotesi!$C$108*12/Parametri_v3!$C$38)),0)</f>
        <v>0</v>
      </c>
      <c r="BC420" s="15" t="n">
        <f aca="false">(BC419)+BA420-N420-BB420</f>
        <v>225584.047351372</v>
      </c>
      <c r="BD420" s="15" t="n">
        <f aca="false">(BH419)+AC420+AF420-AI420-AS420-K420*(1+Parametri_v3!$C$26)-AL420-AQ420-O420+AW420+AX420+AZ420+BA420-BB420</f>
        <v>-1156497.00670193</v>
      </c>
      <c r="BE420" s="15" t="n">
        <f aca="false">MAX(0,MIN(MAX(0,CH420-(BG419)),Parametri_v3!$C$30-BD420))</f>
        <v>0</v>
      </c>
      <c r="BF420" s="15" t="n">
        <f aca="false">IF(Motore_Operativo!C420&gt;=Parametri_v3!$C$63,(BG419),MIN((BG419),MAX(0,BD420-Parametri_v3!$C$30)))</f>
        <v>0</v>
      </c>
      <c r="BG420" s="15" t="n">
        <f aca="false">(BG419)+BE420-BF420</f>
        <v>150000</v>
      </c>
      <c r="BH420" s="15" t="n">
        <f aca="false">BD420+BE420-BF420-AY420</f>
        <v>-1156497.00670193</v>
      </c>
      <c r="BI420" s="15" t="n">
        <f aca="false">MAX(0,Parametri_v3!$C$30-BH420)</f>
        <v>1181497.00670193</v>
      </c>
      <c r="BJ420" s="15" t="n">
        <f aca="false">(BJ419)+K420</f>
        <v>148333.333333333</v>
      </c>
      <c r="BK420" s="15" t="n">
        <f aca="false">(BK419)+L420</f>
        <v>87013.8888888889</v>
      </c>
      <c r="BL420" s="15" t="n">
        <f aca="false">BJ420-BK420</f>
        <v>61319.4444444444</v>
      </c>
      <c r="BM420" s="15" t="n">
        <f aca="false">(BM419)+Y420</f>
        <v>-1401133.10990067</v>
      </c>
      <c r="BN420" s="15" t="n">
        <f aca="false">(BN419)+AW420+AX420+AZ420</f>
        <v>235430.409433568</v>
      </c>
      <c r="BO420" s="15" t="n">
        <f aca="false">(BO419)+AY420</f>
        <v>0</v>
      </c>
      <c r="BP420" s="15" t="n">
        <f aca="false">0</f>
        <v>0</v>
      </c>
      <c r="BQ420" s="15" t="n">
        <f aca="false">BN420+BM420-BO420</f>
        <v>-1165702.7004671</v>
      </c>
      <c r="BR420" s="15" t="n">
        <f aca="false">BH420+AD420+BL420+MAX(0,-AM420)+MAX(0,-AR420)+AG420</f>
        <v>-386215.367794305</v>
      </c>
      <c r="BS420" s="15" t="n">
        <f aca="false">AJ420+AV420+MAX(0,AM420)+MAX(0,AR420)+BC420+BG420+BQ420</f>
        <v>-386215.367794305</v>
      </c>
      <c r="BT420" s="15" t="n">
        <f aca="false">BR420-BS420</f>
        <v>0</v>
      </c>
      <c r="BU420" s="15" t="n">
        <f aca="false">BH420-(BD420+BE420-BF420-AY420)</f>
        <v>0</v>
      </c>
      <c r="BV420" s="15" t="n">
        <f aca="false">MIN(Piano_SS!$C$6,(BV419)+IF(AND(Motore_Operativo!C420&gt;=EDATE(Parametri_v3!$C$24,Ipotesi!I14*12),Motore_Operativo!C420&lt;EDATE(Parametri_v3!$C$24,Parametri_v3!$C$25+Ipotesi!I14*12)),MAX(0,(Motore_Operativo!Y420+Motore_Operativo!X420*Parametri_v3!$C$14)*(1-Parametri_v3!$C$32))*Piano_SS!$D$6,0))</f>
        <v>300000</v>
      </c>
      <c r="BW420" s="15" t="n">
        <f aca="false">MIN(Piano_SS!$C$7,(BW419)+IF(AND(Motore_Operativo!C420&gt;=EDATE(Parametri_v3!$C$24,Ipotesi!I14*12),Motore_Operativo!C420&lt;EDATE(Parametri_v3!$C$24,Parametri_v3!$C$25+Ipotesi!I14*12)),MAX(0,(IF(56-(INT((Ipotesi!$C$91)/30))&lt;1,0,INDEX(Motore_Operativo!$BN$365:$BN$424,MAX(1,56-(INT((Ipotesi!$C$91)/30)))))*(1-(MOD((Ipotesi!$C$91),30)/30))+IF(56-(INT((Ipotesi!$C$91)/30))-1&lt;1,0,INDEX(Motore_Operativo!$BN$365:$BN$424,MAX(1,56-(INT((Ipotesi!$C$91)/30))-1)))*(MOD((Ipotesi!$C$91),30)/30)))*Piano_SS!$D$7,0))</f>
        <v>41058.9230070837</v>
      </c>
      <c r="BX420" s="15" t="n">
        <f aca="false">MIN(Piano_SS!$C$8,(BX419)+IF(AND(Motore_Operativo!C420&gt;=EDATE(Parametri_v3!$C$24,Ipotesi!I14*12),Motore_Operativo!C420&lt;EDATE(Parametri_v3!$C$24,Parametri_v3!$C$25+Ipotesi!I14*12)),MAX(0,Motore_Operativo!CE420)*Piano_SS!$D$8,0))</f>
        <v>50000</v>
      </c>
      <c r="BY420" s="15" t="n">
        <f aca="false">MIN(Piano_SS!$C$9,(BY419)+IF(AND(Motore_Operativo!C420&gt;=EDATE(Parametri_v3!$C$24,Ipotesi!I14*12),Motore_Operativo!C420&lt;EDATE(Parametri_v3!$C$24,Parametri_v3!$C$25+Ipotesi!I14*12)),MAX(0,((IF(56-(INT((Ipotesi!$C$91)/30))&lt;1,0,INDEX(Motore_Operativo!$BQ$365:$BQ$424,MAX(1,56-(INT((Ipotesi!$C$91)/30)))))*(1-(MOD((Ipotesi!$C$91),30)/30))+IF(56-(INT((Ipotesi!$C$91)/30))-1&lt;1,0,INDEX(Motore_Operativo!$BQ$365:$BQ$424,MAX(1,56-(INT((Ipotesi!$C$91)/30))-1)))*(MOD((Ipotesi!$C$91),30)/30))+(IF(56-(INT((Ipotesi!$C$91)/30))&lt;1,0,INDEX(Motore_Operativo!$BR$365:$BR$424,MAX(1,56-(INT((Ipotesi!$C$91)/30)))))*(1-(MOD((Ipotesi!$C$91),30)/30))+IF(56-(INT((Ipotesi!$C$91)/30))-1&lt;1,0,INDEX(Motore_Operativo!$BR$365:$BR$424,MAX(1,56-(INT((Ipotesi!$C$91)/30))-1)))*(MOD((Ipotesi!$C$91),30)/30))))*Piano_SS!$D$9,0))</f>
        <v>40000</v>
      </c>
      <c r="BZ420" s="15" t="n">
        <f aca="false">MIN(Piano_SS!$C$10,(BZ419)+IF(AND(Motore_Operativo!C420&gt;=EDATE(Parametri_v3!$C$24,Ipotesi!I14*12),Motore_Operativo!C420&lt;EDATE(Parametri_v3!$C$24,Parametri_v3!$C$25+Ipotesi!I14*12)),MAX(0,(IF(56-(INT((Ipotesi!$C$91)/30))&lt;1,0,INDEX(Motore_Operativo!$BO$365:$BO$424,MAX(1,56-(INT((Ipotesi!$C$91)/30)))))*(1-(MOD((Ipotesi!$C$91),30)/30))+IF(56-(INT((Ipotesi!$C$91)/30))-1&lt;1,0,INDEX(Motore_Operativo!$BO$365:$BO$424,MAX(1,56-(INT((Ipotesi!$C$91)/30))-1)))*(MOD((Ipotesi!$C$91),30)/30)))*Piano_SS!$D$10,0))</f>
        <v>30000</v>
      </c>
      <c r="CA420" s="15" t="n">
        <f aca="false">SUM(BV420:BZ420)</f>
        <v>461058.923007084</v>
      </c>
      <c r="CB420" s="15" t="n">
        <f aca="false">BV420*(1-Piano_SS!$E$6)+BW420*(1-Piano_SS!$E$7)+BX420*(1-Piano_SS!$E$8)+BY420*(1-Piano_SS!$E$9)+BZ420*(1-Piano_SS!$E$10)</f>
        <v>431058.923007084</v>
      </c>
      <c r="CC420" s="15" t="n">
        <f aca="false">(CC419)+BA420</f>
        <v>368847.138405667</v>
      </c>
      <c r="CD420" s="15" t="n">
        <f aca="false">IF(CA420=0,0,CC420*CB420/CA420*Ipotesi!$C$103*Parametri_v3!$C$64)</f>
        <v>103454.1415217</v>
      </c>
      <c r="CE420" s="18" t="n">
        <f aca="false">IF(BA420&gt;0,Motore_Operativo!C420,(CE419))</f>
        <v>47270</v>
      </c>
      <c r="CF420" s="18" t="n">
        <f aca="false">IF(AND(CC420&gt;0,OR(CC420&gt;=CG420-0.01,Motore_Operativo!C420&gt;=EDATE(MAX(Finanziamenti!$D$15:$D$17),Ipotesi!I14*12))),CE420,0)</f>
        <v>47270</v>
      </c>
      <c r="CG420" s="15" t="n">
        <f aca="false">IF(AND(7&lt;&gt;6,7&lt;&gt;9,Finanziamenti!$F$11=1,OR(Parametri_v3!$C$6=0,Finanziamenti!$E$11=1)),MIN(Finanziamenti!$C$11,Piano_SS!$C$12*Ipotesi!$C$102),0)</f>
        <v>400000</v>
      </c>
      <c r="CH420" s="15" t="n">
        <f aca="false">IF(AND(AND(7&lt;&gt;8,7&lt;&gt;9,Finanziamenti!$F$10=1,OR(Parametri_v3!$C$6=0,Finanziamenti!$E$10=1)),Motore_Operativo!C420&gt;=Finanziamenti!$D$10,Motore_Operativo!C420&lt;Parametri_v3!$C$63),Finanziamenti!$C$10,0)</f>
        <v>150000</v>
      </c>
    </row>
    <row r="421" customFormat="false" ht="18" hidden="false" customHeight="true" outlineLevel="0" collapsed="false">
      <c r="A421" s="68" t="n">
        <f aca="false">7</f>
        <v>7</v>
      </c>
      <c r="B421" s="68" t="n">
        <f aca="false">57</f>
        <v>57</v>
      </c>
      <c r="C421" s="18" t="n">
        <f aca="false">Motore_Operativo!C421</f>
        <v>48092</v>
      </c>
      <c r="D421" s="68" t="n">
        <f aca="false">Motore_Operativo!D421</f>
        <v>2031</v>
      </c>
      <c r="E421" s="68" t="n">
        <f aca="false">Motore_Operativo!E421</f>
        <v>9</v>
      </c>
      <c r="F421" s="15" t="n">
        <f aca="false">Motore_Operativo!AQ421+Motore_Operativo!BF421</f>
        <v>196586.676628778</v>
      </c>
      <c r="G421" s="15" t="n">
        <f aca="false">Motore_Operativo!BH421</f>
        <v>11595.8333333333</v>
      </c>
      <c r="H421" s="15" t="n">
        <f aca="false">Motore_Operativo!BI421</f>
        <v>208182.509962112</v>
      </c>
      <c r="I421" s="15" t="n">
        <f aca="false">Motore_Operativo!CA421</f>
        <v>200181.504715529</v>
      </c>
      <c r="J421" s="15" t="n">
        <f aca="false">Motore_Operativo!CC421</f>
        <v>8001.00524658262</v>
      </c>
      <c r="K421" s="15" t="n">
        <f aca="false">Motore_Operativo!CE421</f>
        <v>4166.66666666667</v>
      </c>
      <c r="L421" s="15" t="n">
        <f aca="false">SUM(INDEX($K$365:$K$424,MAX(1,57-Parametri_v3!$C$59+1)):K421)/Parametri_v3!$C$59</f>
        <v>3159.72222222222</v>
      </c>
      <c r="M421" s="15" t="n">
        <f aca="false">J421-L421</f>
        <v>4841.28302436039</v>
      </c>
      <c r="N421" s="15" t="n">
        <f aca="false">CD421-(CD420)</f>
        <v>0</v>
      </c>
      <c r="O421" s="15" t="n">
        <f aca="false">(BG420)*Ipotesi!$C$110/12+CH421*Parametri_v3!$C$39/12</f>
        <v>750</v>
      </c>
      <c r="P421" s="15" t="n">
        <f aca="false">M421+N421-O421</f>
        <v>4091.28302436039</v>
      </c>
      <c r="Q421" s="15" t="n">
        <f aca="false">SUM(P413:P421)+Parametri_v3!$C$54*9/12</f>
        <v>-63558.7489566817</v>
      </c>
      <c r="R421" s="15" t="n">
        <f aca="false">Z412</f>
        <v>1016758.23194941</v>
      </c>
      <c r="S421" s="15" t="n">
        <f aca="false">AA412</f>
        <v>316724.845970214</v>
      </c>
      <c r="T421" s="15" t="n">
        <f aca="false">MIN(R421,MAX(0,Q421))</f>
        <v>0</v>
      </c>
      <c r="U421" s="15" t="n">
        <f aca="false">MIN(S421,MAX(0,Q421-T421)*Parametri_v3!$C$42)</f>
        <v>0</v>
      </c>
      <c r="V421" s="15" t="n">
        <f aca="false">MAX(0,Q421-T421-U421)*Ipotesi!$C$92</f>
        <v>0</v>
      </c>
      <c r="W421" s="15" t="n">
        <f aca="false">MAX(0,SUM(M413:M421)+Parametri_v3!$C$55*9/12)*Ipotesi!$C$93</f>
        <v>0</v>
      </c>
      <c r="X421" s="15" t="n">
        <f aca="false">V421+W421-(V420+W420)</f>
        <v>0</v>
      </c>
      <c r="Y421" s="15" t="n">
        <f aca="false">P421-X421</f>
        <v>4091.28302436039</v>
      </c>
      <c r="Z421" s="15" t="n">
        <f aca="false">R421-T421+IF(AND(Parametri_v3!$C$40=1,D421-YEAR(Parametri_v3!$C$50)&lt;Parametri_v3!$C$41),MAX(0,-Q421),0)</f>
        <v>1016758.23194941</v>
      </c>
      <c r="AA421" s="15" t="n">
        <f aca="false">S421-U421+IF(AND(Parametri_v3!$C$40=1,D421-YEAR(Parametri_v3!$C$50)&lt;Parametri_v3!$C$41),0,MAX(0,-Q421))</f>
        <v>380283.594926896</v>
      </c>
      <c r="AB421" s="15" t="n">
        <f aca="false">F421*(1+Parametri_v3!$C$26)</f>
        <v>239835.745487109</v>
      </c>
      <c r="AC421" s="15" t="n">
        <f aca="false">(IF(57-(INT((Motore_Operativo!L421)/30))&lt;1,0,INDEX(Motore_Startup!$AB$365:$AB$424,MAX(1,57-(INT((Motore_Operativo!L421)/30)))))*(1-(MOD((Motore_Operativo!L421),30)/30))+IF(57-(INT((Motore_Operativo!L421)/30))-1&lt;1,0,INDEX(Motore_Startup!$AB$365:$AB$424,MAX(1,57-(INT((Motore_Operativo!L421)/30))-1)))*(MOD((Motore_Operativo!L421),30)/30))</f>
        <v>227453.527819227</v>
      </c>
      <c r="AD421" s="15" t="n">
        <f aca="false">(AD420)+AB421-AC421</f>
        <v>707197.495464393</v>
      </c>
      <c r="AE421" s="15" t="n">
        <f aca="false">Motore_Operativo!BH421*(1+Parametri_v3!$C$26)</f>
        <v>14146.9166666667</v>
      </c>
      <c r="AF421" s="15" t="n">
        <f aca="false">(IF(57-(INT((Parametri_v3!$C$29)/30))&lt;1,0,INDEX(Motore_Operativo!$BH$365:$BH$424,MAX(1,57-(INT((Parametri_v3!$C$29)/30)))))*(1-(MOD((Parametri_v3!$C$29),30)/30))+IF(57-(INT((Parametri_v3!$C$29)/30))-1&lt;1,0,INDEX(Motore_Operativo!$BH$365:$BH$424,MAX(1,57-(INT((Parametri_v3!$C$29)/30))-1)))*(MOD((Parametri_v3!$C$29),30)/30))*(1+Parametri_v3!$C$26)</f>
        <v>14146.9166666667</v>
      </c>
      <c r="AG421" s="15" t="n">
        <f aca="false">(AG420)+AE421-AF421</f>
        <v>14146.9166666667</v>
      </c>
      <c r="AH421" s="15" t="n">
        <f aca="false">(Motore_Operativo!CJ421)*(1+Parametri_v3!$C$27*Parametri_v3!$C$26)</f>
        <v>95795.8573805037</v>
      </c>
      <c r="AI421" s="15" t="n">
        <f aca="false">(IF(57-(INT((Ipotesi!$C$91)/30))&lt;1,0,INDEX(Motore_Startup!$AH$365:$AH$424,MAX(1,57-(INT((Ipotesi!$C$91)/30)))))*(1-(MOD((Ipotesi!$C$91),30)/30))+IF(57-(INT((Ipotesi!$C$91)/30))-1&lt;1,0,INDEX(Motore_Startup!$AH$365:$AH$424,MAX(1,57-(INT((Ipotesi!$C$91)/30))-1)))*(MOD((Ipotesi!$C$91),30)/30))</f>
        <v>94676.3871161839</v>
      </c>
      <c r="AJ421" s="15" t="n">
        <f aca="false">(AJ420)+AH421-AI421</f>
        <v>191034.436862318</v>
      </c>
      <c r="AK421" s="15" t="n">
        <f aca="false">(F421+ Motore_Operativo!BH421-(Motore_Operativo!CJ421)*Parametri_v3!$C$27-Motore_Operativo!CE421)*Parametri_v3!$C$26</f>
        <v>29791.8045391898</v>
      </c>
      <c r="AL421" s="15" t="n">
        <f aca="false">MAX(0,(AM420))</f>
        <v>29141.8370200907</v>
      </c>
      <c r="AM421" s="15" t="n">
        <f aca="false">(AM420)+AK421-AL421</f>
        <v>29791.8045391898</v>
      </c>
      <c r="AN421" s="15" t="n">
        <f aca="false">SUM(X401:X412)</f>
        <v>0</v>
      </c>
      <c r="AO421" s="15" t="n">
        <f aca="false">SUM(AP401:AP412)</f>
        <v>0</v>
      </c>
      <c r="AP421" s="15" t="n">
        <f aca="false">MAX(0,AN421)*IF(9=Parametri_v3!$C$43,Parametri_v3!$C$45,IF(9=Parametri_v3!$C$44,1-Parametri_v3!$C$45,0))</f>
        <v>0</v>
      </c>
      <c r="AQ421" s="15" t="n">
        <f aca="false">MAX(0,AP421+IF(9=Parametri_v3!$C$43,MAX(0,AN421-AO421),0)-MAX(0,-(AR420)))</f>
        <v>0</v>
      </c>
      <c r="AR421" s="15" t="n">
        <f aca="false">(AR420)+X421-AQ421</f>
        <v>0</v>
      </c>
      <c r="AS421" s="15" t="n">
        <f aca="false">Motore_Operativo!AB421-AT421+AU421</f>
        <v>113503.461904792</v>
      </c>
      <c r="AT421" s="15" t="n">
        <f aca="false">Motore_Operativo!CH421</f>
        <v>5973.86641604167</v>
      </c>
      <c r="AU421" s="15" t="n">
        <f aca="false">MIN(MAX(0,(AV420)+AT421),Parametri_v3!$C$60/12)</f>
        <v>0</v>
      </c>
      <c r="AV421" s="15" t="n">
        <f aca="false">(AV420)+AT421-AU421</f>
        <v>190820.348119375</v>
      </c>
      <c r="AW421" s="15" t="n">
        <f aca="false">IF(AND(Motore_Operativo!C421=Finanziamenti!$D$6,Finanziamenti!$F$6=1),Finanziamenti!$C$6,0)</f>
        <v>0</v>
      </c>
      <c r="AX421" s="15" t="n">
        <f aca="false">IF(AND(7&lt;&gt;7,7&lt;&gt;9,Finanziamenti!$F$8=1,OR(Parametri_v3!$C$6=0,Finanziamenti!$E$8=1),Motore_Operativo!C421=EDATE(Finanziamenti!$D$8,Ipotesi!I15*12)),Finanziamenti!$C$8*1,0)+IF(AND(7&lt;&gt;7,7&lt;&gt;9,Finanziamenti!$F$9=1,OR(Parametri_v3!$C$6=0,Finanziamenti!$E$9=1),Motore_Operativo!C421=EDATE(Finanziamenti!$D$9,Ipotesi!I15*12)),Finanziamenti!$C$9*Ipotesi!I16,0)</f>
        <v>0</v>
      </c>
      <c r="AY421" s="15" t="n">
        <f aca="false">0</f>
        <v>0</v>
      </c>
      <c r="AZ421" s="15" t="n">
        <f aca="false">Motore_Advisory!AY421*(1-Ipotesi!$C$95)*Ipotesi!$C$96</f>
        <v>0</v>
      </c>
      <c r="BA421" s="15" t="n">
        <f aca="false">MAX(0,MIN(CG421*MIN(1,IF(Motore_Operativo!C421&gt;=EDATE(Finanziamenti!$D$15,Ipotesi!I14*12),Finanziamenti!$C$15,0)+IF(Motore_Operativo!C421&gt;=EDATE(Finanziamenti!$D$16,Ipotesi!I14*12),Finanziamenti!$C$16,0)+IF(Motore_Operativo!C421&gt;=EDATE(Finanziamenti!$D$17,Ipotesi!I14*12),Finanziamenti!$C$17,0)),CA421*Ipotesi!$C$102)-(CC420))</f>
        <v>0</v>
      </c>
      <c r="BB421" s="15" t="n">
        <f aca="false">IF(AND(CF421&gt;0,Motore_Operativo!C421&gt;=IF(CF421=0,0,EDATE(CF421,Parametri_v3!$C$37)),MOD(((D421-YEAR(IF(CF421=0,0,EDATE(CF421,Parametri_v3!$C$37))))*12+E421-MONTH(IF(CF421=0,0,EDATE(CF421,Parametri_v3!$C$37)))),Parametri_v3!$C$38)=0),MIN(MAX(0,(BC420)+BA421-N421),(CC421-CD421)/(Ipotesi!$C$108*12/Parametri_v3!$C$38)),0)</f>
        <v>0</v>
      </c>
      <c r="BC421" s="15" t="n">
        <f aca="false">(BC420)+BA421-N421-BB421</f>
        <v>225584.047351372</v>
      </c>
      <c r="BD421" s="15" t="n">
        <f aca="false">(BH420)+AC421+AF421-AI421-AS421-K421*(1+Parametri_v3!$C$26)-AL421-AQ421-O421+AW421+AX421+AZ421+BA421-BB421</f>
        <v>-1158051.58159043</v>
      </c>
      <c r="BE421" s="15" t="n">
        <f aca="false">MAX(0,MIN(MAX(0,CH421-(BG420)),Parametri_v3!$C$30-BD421))</f>
        <v>0</v>
      </c>
      <c r="BF421" s="15" t="n">
        <f aca="false">IF(Motore_Operativo!C421&gt;=Parametri_v3!$C$63,(BG420),MIN((BG420),MAX(0,BD421-Parametri_v3!$C$30)))</f>
        <v>0</v>
      </c>
      <c r="BG421" s="15" t="n">
        <f aca="false">(BG420)+BE421-BF421</f>
        <v>150000</v>
      </c>
      <c r="BH421" s="15" t="n">
        <f aca="false">BD421+BE421-BF421-AY421</f>
        <v>-1158051.58159043</v>
      </c>
      <c r="BI421" s="15" t="n">
        <f aca="false">MAX(0,Parametri_v3!$C$30-BH421)</f>
        <v>1183051.58159043</v>
      </c>
      <c r="BJ421" s="15" t="n">
        <f aca="false">(BJ420)+K421</f>
        <v>152500</v>
      </c>
      <c r="BK421" s="15" t="n">
        <f aca="false">(BK420)+L421</f>
        <v>90173.6111111111</v>
      </c>
      <c r="BL421" s="15" t="n">
        <f aca="false">BJ421-BK421</f>
        <v>62326.3888888888</v>
      </c>
      <c r="BM421" s="15" t="n">
        <f aca="false">(BM420)+Y421</f>
        <v>-1397041.82687631</v>
      </c>
      <c r="BN421" s="15" t="n">
        <f aca="false">(BN420)+AW421+AX421+AZ421</f>
        <v>235430.409433568</v>
      </c>
      <c r="BO421" s="15" t="n">
        <f aca="false">(BO420)+AY421</f>
        <v>0</v>
      </c>
      <c r="BP421" s="15" t="n">
        <f aca="false">0</f>
        <v>0</v>
      </c>
      <c r="BQ421" s="15" t="n">
        <f aca="false">BN421+BM421-BO421</f>
        <v>-1161611.41744274</v>
      </c>
      <c r="BR421" s="15" t="n">
        <f aca="false">BH421+AD421+BL421+MAX(0,-AM421)+MAX(0,-AR421)+AG421</f>
        <v>-374380.780570484</v>
      </c>
      <c r="BS421" s="15" t="n">
        <f aca="false">AJ421+AV421+MAX(0,AM421)+MAX(0,AR421)+BC421+BG421+BQ421</f>
        <v>-374380.780570484</v>
      </c>
      <c r="BT421" s="15" t="n">
        <f aca="false">BR421-BS421</f>
        <v>0</v>
      </c>
      <c r="BU421" s="15" t="n">
        <f aca="false">BH421-(BD421+BE421-BF421-AY421)</f>
        <v>0</v>
      </c>
      <c r="BV421" s="15" t="n">
        <f aca="false">MIN(Piano_SS!$C$6,(BV420)+IF(AND(Motore_Operativo!C421&gt;=EDATE(Parametri_v3!$C$24,Ipotesi!I14*12),Motore_Operativo!C421&lt;EDATE(Parametri_v3!$C$24,Parametri_v3!$C$25+Ipotesi!I14*12)),MAX(0,(Motore_Operativo!Y421+Motore_Operativo!X421*Parametri_v3!$C$14)*(1-Parametri_v3!$C$32))*Piano_SS!$D$6,0))</f>
        <v>300000</v>
      </c>
      <c r="BW421" s="15" t="n">
        <f aca="false">MIN(Piano_SS!$C$7,(BW420)+IF(AND(Motore_Operativo!C421&gt;=EDATE(Parametri_v3!$C$24,Ipotesi!I14*12),Motore_Operativo!C421&lt;EDATE(Parametri_v3!$C$24,Parametri_v3!$C$25+Ipotesi!I14*12)),MAX(0,(IF(57-(INT((Ipotesi!$C$91)/30))&lt;1,0,INDEX(Motore_Operativo!$BN$365:$BN$424,MAX(1,57-(INT((Ipotesi!$C$91)/30)))))*(1-(MOD((Ipotesi!$C$91),30)/30))+IF(57-(INT((Ipotesi!$C$91)/30))-1&lt;1,0,INDEX(Motore_Operativo!$BN$365:$BN$424,MAX(1,57-(INT((Ipotesi!$C$91)/30))-1)))*(MOD((Ipotesi!$C$91),30)/30)))*Piano_SS!$D$7,0))</f>
        <v>41058.9230070837</v>
      </c>
      <c r="BX421" s="15" t="n">
        <f aca="false">MIN(Piano_SS!$C$8,(BX420)+IF(AND(Motore_Operativo!C421&gt;=EDATE(Parametri_v3!$C$24,Ipotesi!I14*12),Motore_Operativo!C421&lt;EDATE(Parametri_v3!$C$24,Parametri_v3!$C$25+Ipotesi!I14*12)),MAX(0,Motore_Operativo!CE421)*Piano_SS!$D$8,0))</f>
        <v>50000</v>
      </c>
      <c r="BY421" s="15" t="n">
        <f aca="false">MIN(Piano_SS!$C$9,(BY420)+IF(AND(Motore_Operativo!C421&gt;=EDATE(Parametri_v3!$C$24,Ipotesi!I14*12),Motore_Operativo!C421&lt;EDATE(Parametri_v3!$C$24,Parametri_v3!$C$25+Ipotesi!I14*12)),MAX(0,((IF(57-(INT((Ipotesi!$C$91)/30))&lt;1,0,INDEX(Motore_Operativo!$BQ$365:$BQ$424,MAX(1,57-(INT((Ipotesi!$C$91)/30)))))*(1-(MOD((Ipotesi!$C$91),30)/30))+IF(57-(INT((Ipotesi!$C$91)/30))-1&lt;1,0,INDEX(Motore_Operativo!$BQ$365:$BQ$424,MAX(1,57-(INT((Ipotesi!$C$91)/30))-1)))*(MOD((Ipotesi!$C$91),30)/30))+(IF(57-(INT((Ipotesi!$C$91)/30))&lt;1,0,INDEX(Motore_Operativo!$BR$365:$BR$424,MAX(1,57-(INT((Ipotesi!$C$91)/30)))))*(1-(MOD((Ipotesi!$C$91),30)/30))+IF(57-(INT((Ipotesi!$C$91)/30))-1&lt;1,0,INDEX(Motore_Operativo!$BR$365:$BR$424,MAX(1,57-(INT((Ipotesi!$C$91)/30))-1)))*(MOD((Ipotesi!$C$91),30)/30))))*Piano_SS!$D$9,0))</f>
        <v>40000</v>
      </c>
      <c r="BZ421" s="15" t="n">
        <f aca="false">MIN(Piano_SS!$C$10,(BZ420)+IF(AND(Motore_Operativo!C421&gt;=EDATE(Parametri_v3!$C$24,Ipotesi!I14*12),Motore_Operativo!C421&lt;EDATE(Parametri_v3!$C$24,Parametri_v3!$C$25+Ipotesi!I14*12)),MAX(0,(IF(57-(INT((Ipotesi!$C$91)/30))&lt;1,0,INDEX(Motore_Operativo!$BO$365:$BO$424,MAX(1,57-(INT((Ipotesi!$C$91)/30)))))*(1-(MOD((Ipotesi!$C$91),30)/30))+IF(57-(INT((Ipotesi!$C$91)/30))-1&lt;1,0,INDEX(Motore_Operativo!$BO$365:$BO$424,MAX(1,57-(INT((Ipotesi!$C$91)/30))-1)))*(MOD((Ipotesi!$C$91),30)/30)))*Piano_SS!$D$10,0))</f>
        <v>30000</v>
      </c>
      <c r="CA421" s="15" t="n">
        <f aca="false">SUM(BV421:BZ421)</f>
        <v>461058.923007084</v>
      </c>
      <c r="CB421" s="15" t="n">
        <f aca="false">BV421*(1-Piano_SS!$E$6)+BW421*(1-Piano_SS!$E$7)+BX421*(1-Piano_SS!$E$8)+BY421*(1-Piano_SS!$E$9)+BZ421*(1-Piano_SS!$E$10)</f>
        <v>431058.923007084</v>
      </c>
      <c r="CC421" s="15" t="n">
        <f aca="false">(CC420)+BA421</f>
        <v>368847.138405667</v>
      </c>
      <c r="CD421" s="15" t="n">
        <f aca="false">IF(CA421=0,0,CC421*CB421/CA421*Ipotesi!$C$103*Parametri_v3!$C$64)</f>
        <v>103454.1415217</v>
      </c>
      <c r="CE421" s="18" t="n">
        <f aca="false">IF(BA421&gt;0,Motore_Operativo!C421,(CE420))</f>
        <v>47270</v>
      </c>
      <c r="CF421" s="18" t="n">
        <f aca="false">IF(AND(CC421&gt;0,OR(CC421&gt;=CG421-0.01,Motore_Operativo!C421&gt;=EDATE(MAX(Finanziamenti!$D$15:$D$17),Ipotesi!I14*12))),CE421,0)</f>
        <v>47270</v>
      </c>
      <c r="CG421" s="15" t="n">
        <f aca="false">IF(AND(7&lt;&gt;6,7&lt;&gt;9,Finanziamenti!$F$11=1,OR(Parametri_v3!$C$6=0,Finanziamenti!$E$11=1)),MIN(Finanziamenti!$C$11,Piano_SS!$C$12*Ipotesi!$C$102),0)</f>
        <v>400000</v>
      </c>
      <c r="CH421" s="15" t="n">
        <f aca="false">IF(AND(AND(7&lt;&gt;8,7&lt;&gt;9,Finanziamenti!$F$10=1,OR(Parametri_v3!$C$6=0,Finanziamenti!$E$10=1)),Motore_Operativo!C421&gt;=Finanziamenti!$D$10,Motore_Operativo!C421&lt;Parametri_v3!$C$63),Finanziamenti!$C$10,0)</f>
        <v>150000</v>
      </c>
    </row>
    <row r="422" customFormat="false" ht="18" hidden="false" customHeight="true" outlineLevel="0" collapsed="false">
      <c r="A422" s="68" t="n">
        <f aca="false">7</f>
        <v>7</v>
      </c>
      <c r="B422" s="68" t="n">
        <f aca="false">58</f>
        <v>58</v>
      </c>
      <c r="C422" s="18" t="n">
        <f aca="false">Motore_Operativo!C422</f>
        <v>48122</v>
      </c>
      <c r="D422" s="68" t="n">
        <f aca="false">Motore_Operativo!D422</f>
        <v>2031</v>
      </c>
      <c r="E422" s="68" t="n">
        <f aca="false">Motore_Operativo!E422</f>
        <v>10</v>
      </c>
      <c r="F422" s="15" t="n">
        <f aca="false">Motore_Operativo!AQ422+Motore_Operativo!BF422</f>
        <v>199910.821484386</v>
      </c>
      <c r="G422" s="15" t="n">
        <f aca="false">Motore_Operativo!BH422</f>
        <v>11595.8333333333</v>
      </c>
      <c r="H422" s="15" t="n">
        <f aca="false">Motore_Operativo!BI422</f>
        <v>211506.654817719</v>
      </c>
      <c r="I422" s="15" t="n">
        <f aca="false">Motore_Operativo!CA422</f>
        <v>200646.884995314</v>
      </c>
      <c r="J422" s="15" t="n">
        <f aca="false">Motore_Operativo!CC422</f>
        <v>10859.7698224054</v>
      </c>
      <c r="K422" s="15" t="n">
        <f aca="false">Motore_Operativo!CE422</f>
        <v>4166.66666666667</v>
      </c>
      <c r="L422" s="15" t="n">
        <f aca="false">SUM(INDEX($K$365:$K$424,MAX(1,58-Parametri_v3!$C$59+1)):K422)/Parametri_v3!$C$59</f>
        <v>3217.59259259259</v>
      </c>
      <c r="M422" s="15" t="n">
        <f aca="false">J422-L422</f>
        <v>7642.17722981277</v>
      </c>
      <c r="N422" s="15" t="n">
        <f aca="false">CD422-(CD421)</f>
        <v>0</v>
      </c>
      <c r="O422" s="15" t="n">
        <f aca="false">(BG421)*Ipotesi!$C$110/12+CH422*Parametri_v3!$C$39/12</f>
        <v>750</v>
      </c>
      <c r="P422" s="15" t="n">
        <f aca="false">M422+N422-O422</f>
        <v>6892.17722981277</v>
      </c>
      <c r="Q422" s="15" t="n">
        <f aca="false">SUM(P413:P422)+Parametri_v3!$C$54*10/12</f>
        <v>-56666.571726869</v>
      </c>
      <c r="R422" s="15" t="n">
        <f aca="false">Z412</f>
        <v>1016758.23194941</v>
      </c>
      <c r="S422" s="15" t="n">
        <f aca="false">AA412</f>
        <v>316724.845970214</v>
      </c>
      <c r="T422" s="15" t="n">
        <f aca="false">MIN(R422,MAX(0,Q422))</f>
        <v>0</v>
      </c>
      <c r="U422" s="15" t="n">
        <f aca="false">MIN(S422,MAX(0,Q422-T422)*Parametri_v3!$C$42)</f>
        <v>0</v>
      </c>
      <c r="V422" s="15" t="n">
        <f aca="false">MAX(0,Q422-T422-U422)*Ipotesi!$C$92</f>
        <v>0</v>
      </c>
      <c r="W422" s="15" t="n">
        <f aca="false">MAX(0,SUM(M413:M422)+Parametri_v3!$C$55*10/12)*Ipotesi!$C$93</f>
        <v>0</v>
      </c>
      <c r="X422" s="15" t="n">
        <f aca="false">V422+W422-(V421+W421)</f>
        <v>0</v>
      </c>
      <c r="Y422" s="15" t="n">
        <f aca="false">P422-X422</f>
        <v>6892.17722981277</v>
      </c>
      <c r="Z422" s="15" t="n">
        <f aca="false">R422-T422+IF(AND(Parametri_v3!$C$40=1,D422-YEAR(Parametri_v3!$C$50)&lt;Parametri_v3!$C$41),MAX(0,-Q422),0)</f>
        <v>1016758.23194941</v>
      </c>
      <c r="AA422" s="15" t="n">
        <f aca="false">S422-U422+IF(AND(Parametri_v3!$C$40=1,D422-YEAR(Parametri_v3!$C$50)&lt;Parametri_v3!$C$41),0,MAX(0,-Q422))</f>
        <v>373391.417697083</v>
      </c>
      <c r="AB422" s="15" t="n">
        <f aca="false">F422*(1+Parametri_v3!$C$26)</f>
        <v>243891.202210951</v>
      </c>
      <c r="AC422" s="15" t="n">
        <f aca="false">(IF(58-(INT((Motore_Operativo!L422)/30))&lt;1,0,INDEX(Motore_Startup!$AB$365:$AB$424,MAX(1,58-(INT((Motore_Operativo!L422)/30)))))*(1-(MOD((Motore_Operativo!L422),30)/30))+IF(58-(INT((Motore_Operativo!L422)/30))-1&lt;1,0,INDEX(Motore_Startup!$AB$365:$AB$424,MAX(1,58-(INT((Motore_Operativo!L422)/30))-1)))*(MOD((Motore_Operativo!L422),30)/30))</f>
        <v>231617.225072678</v>
      </c>
      <c r="AD422" s="15" t="n">
        <f aca="false">(AD421)+AB422-AC422</f>
        <v>719471.472602666</v>
      </c>
      <c r="AE422" s="15" t="n">
        <f aca="false">Motore_Operativo!BH422*(1+Parametri_v3!$C$26)</f>
        <v>14146.9166666667</v>
      </c>
      <c r="AF422" s="15" t="n">
        <f aca="false">(IF(58-(INT((Parametri_v3!$C$29)/30))&lt;1,0,INDEX(Motore_Operativo!$BH$365:$BH$424,MAX(1,58-(INT((Parametri_v3!$C$29)/30)))))*(1-(MOD((Parametri_v3!$C$29),30)/30))+IF(58-(INT((Parametri_v3!$C$29)/30))-1&lt;1,0,INDEX(Motore_Operativo!$BH$365:$BH$424,MAX(1,58-(INT((Parametri_v3!$C$29)/30))-1)))*(MOD((Parametri_v3!$C$29),30)/30))*(1+Parametri_v3!$C$26)</f>
        <v>14146.9166666667</v>
      </c>
      <c r="AG422" s="15" t="n">
        <f aca="false">(AG421)+AE422-AF422</f>
        <v>14146.9166666667</v>
      </c>
      <c r="AH422" s="15" t="n">
        <f aca="false">(Motore_Operativo!CJ422)*(1+Parametri_v3!$C$27*Parametri_v3!$C$26)</f>
        <v>96348.2637726086</v>
      </c>
      <c r="AI422" s="15" t="n">
        <f aca="false">(IF(58-(INT((Ipotesi!$C$91)/30))&lt;1,0,INDEX(Motore_Startup!$AH$365:$AH$424,MAX(1,58-(INT((Ipotesi!$C$91)/30)))))*(1-(MOD((Ipotesi!$C$91),30)/30))+IF(58-(INT((Ipotesi!$C$91)/30))-1&lt;1,0,INDEX(Motore_Startup!$AH$365:$AH$424,MAX(1,58-(INT((Ipotesi!$C$91)/30))-1)))*(MOD((Ipotesi!$C$91),30)/30))</f>
        <v>95238.5794818148</v>
      </c>
      <c r="AJ422" s="15" t="n">
        <f aca="false">(AJ421)+AH422-AI422</f>
        <v>192144.121153112</v>
      </c>
      <c r="AK422" s="15" t="n">
        <f aca="false">(F422+ Motore_Operativo!BH422-(Motore_Operativo!CJ422)*Parametri_v3!$C$27-Motore_Operativo!CE422)*Parametri_v3!$C$26</f>
        <v>30436.0902951037</v>
      </c>
      <c r="AL422" s="15" t="n">
        <f aca="false">MAX(0,(AM421))</f>
        <v>29791.8045391898</v>
      </c>
      <c r="AM422" s="15" t="n">
        <f aca="false">(AM421)+AK422-AL422</f>
        <v>30436.0902951037</v>
      </c>
      <c r="AN422" s="15" t="n">
        <f aca="false">SUM(X401:X412)</f>
        <v>0</v>
      </c>
      <c r="AO422" s="15" t="n">
        <f aca="false">SUM(AP401:AP412)</f>
        <v>0</v>
      </c>
      <c r="AP422" s="15" t="n">
        <f aca="false">MAX(0,AN422)*IF(10=Parametri_v3!$C$43,Parametri_v3!$C$45,IF(10=Parametri_v3!$C$44,1-Parametri_v3!$C$45,0))</f>
        <v>0</v>
      </c>
      <c r="AQ422" s="15" t="n">
        <f aca="false">MAX(0,AP422+IF(10=Parametri_v3!$C$43,MAX(0,AN422-AO422),0)-MAX(0,-(AR421)))</f>
        <v>0</v>
      </c>
      <c r="AR422" s="15" t="n">
        <f aca="false">(AR421)+X422-AQ422</f>
        <v>0</v>
      </c>
      <c r="AS422" s="15" t="n">
        <f aca="false">Motore_Operativo!AB422-AT422+AU422</f>
        <v>113503.461904792</v>
      </c>
      <c r="AT422" s="15" t="n">
        <f aca="false">Motore_Operativo!CH422</f>
        <v>5973.86641604167</v>
      </c>
      <c r="AU422" s="15" t="n">
        <f aca="false">MIN(MAX(0,(AV421)+AT422),Parametri_v3!$C$60/12)</f>
        <v>0</v>
      </c>
      <c r="AV422" s="15" t="n">
        <f aca="false">(AV421)+AT422-AU422</f>
        <v>196794.214535417</v>
      </c>
      <c r="AW422" s="15" t="n">
        <f aca="false">IF(AND(Motore_Operativo!C422=Finanziamenti!$D$6,Finanziamenti!$F$6=1),Finanziamenti!$C$6,0)</f>
        <v>0</v>
      </c>
      <c r="AX422" s="15" t="n">
        <f aca="false">IF(AND(7&lt;&gt;7,7&lt;&gt;9,Finanziamenti!$F$8=1,OR(Parametri_v3!$C$6=0,Finanziamenti!$E$8=1),Motore_Operativo!C422=EDATE(Finanziamenti!$D$8,Ipotesi!I15*12)),Finanziamenti!$C$8*1,0)+IF(AND(7&lt;&gt;7,7&lt;&gt;9,Finanziamenti!$F$9=1,OR(Parametri_v3!$C$6=0,Finanziamenti!$E$9=1),Motore_Operativo!C422=EDATE(Finanziamenti!$D$9,Ipotesi!I15*12)),Finanziamenti!$C$9*Ipotesi!I16,0)</f>
        <v>0</v>
      </c>
      <c r="AY422" s="15" t="n">
        <f aca="false">0</f>
        <v>0</v>
      </c>
      <c r="AZ422" s="15" t="n">
        <f aca="false">Motore_Advisory!AY422*(1-Ipotesi!$C$95)*Ipotesi!$C$96</f>
        <v>0</v>
      </c>
      <c r="BA422" s="15" t="n">
        <f aca="false">MAX(0,MIN(CG422*MIN(1,IF(Motore_Operativo!C422&gt;=EDATE(Finanziamenti!$D$15,Ipotesi!I14*12),Finanziamenti!$C$15,0)+IF(Motore_Operativo!C422&gt;=EDATE(Finanziamenti!$D$16,Ipotesi!I14*12),Finanziamenti!$C$16,0)+IF(Motore_Operativo!C422&gt;=EDATE(Finanziamenti!$D$17,Ipotesi!I14*12),Finanziamenti!$C$17,0)),CA422*Ipotesi!$C$102)-(CC421))</f>
        <v>0</v>
      </c>
      <c r="BB422" s="15" t="n">
        <f aca="false">IF(AND(CF422&gt;0,Motore_Operativo!C422&gt;=IF(CF422=0,0,EDATE(CF422,Parametri_v3!$C$37)),MOD(((D422-YEAR(IF(CF422=0,0,EDATE(CF422,Parametri_v3!$C$37))))*12+E422-MONTH(IF(CF422=0,0,EDATE(CF422,Parametri_v3!$C$37)))),Parametri_v3!$C$38)=0),MIN(MAX(0,(BC421)+BA422-N422),(CC422-CD422)/(Ipotesi!$C$108*12/Parametri_v3!$C$38)),0)</f>
        <v>0</v>
      </c>
      <c r="BC422" s="15" t="n">
        <f aca="false">(BC421)+BA422-N422-BB422</f>
        <v>225584.047351372</v>
      </c>
      <c r="BD422" s="15" t="n">
        <f aca="false">(BH421)+AC422+AF422-AI422-AS422-K422*(1+Parametri_v3!$C$26)-AL422-AQ422-O422+AW422+AX422+AZ422+BA422-BB422</f>
        <v>-1156654.61911022</v>
      </c>
      <c r="BE422" s="15" t="n">
        <f aca="false">MAX(0,MIN(MAX(0,CH422-(BG421)),Parametri_v3!$C$30-BD422))</f>
        <v>0</v>
      </c>
      <c r="BF422" s="15" t="n">
        <f aca="false">IF(Motore_Operativo!C422&gt;=Parametri_v3!$C$63,(BG421),MIN((BG421),MAX(0,BD422-Parametri_v3!$C$30)))</f>
        <v>0</v>
      </c>
      <c r="BG422" s="15" t="n">
        <f aca="false">(BG421)+BE422-BF422</f>
        <v>150000</v>
      </c>
      <c r="BH422" s="15" t="n">
        <f aca="false">BD422+BE422-BF422-AY422</f>
        <v>-1156654.61911022</v>
      </c>
      <c r="BI422" s="15" t="n">
        <f aca="false">MAX(0,Parametri_v3!$C$30-BH422)</f>
        <v>1181654.61911022</v>
      </c>
      <c r="BJ422" s="15" t="n">
        <f aca="false">(BJ421)+K422</f>
        <v>156666.666666667</v>
      </c>
      <c r="BK422" s="15" t="n">
        <f aca="false">(BK421)+L422</f>
        <v>93391.2037037037</v>
      </c>
      <c r="BL422" s="15" t="n">
        <f aca="false">BJ422-BK422</f>
        <v>63275.4629629629</v>
      </c>
      <c r="BM422" s="15" t="n">
        <f aca="false">(BM421)+Y422</f>
        <v>-1390149.64964649</v>
      </c>
      <c r="BN422" s="15" t="n">
        <f aca="false">(BN421)+AW422+AX422+AZ422</f>
        <v>235430.409433568</v>
      </c>
      <c r="BO422" s="15" t="n">
        <f aca="false">(BO421)+AY422</f>
        <v>0</v>
      </c>
      <c r="BP422" s="15" t="n">
        <f aca="false">0</f>
        <v>0</v>
      </c>
      <c r="BQ422" s="15" t="n">
        <f aca="false">BN422+BM422-BO422</f>
        <v>-1154719.24021293</v>
      </c>
      <c r="BR422" s="15" t="n">
        <f aca="false">BH422+AD422+BL422+MAX(0,-AM422)+MAX(0,-AR422)+AG422</f>
        <v>-359760.766877922</v>
      </c>
      <c r="BS422" s="15" t="n">
        <f aca="false">AJ422+AV422+MAX(0,AM422)+MAX(0,AR422)+BC422+BG422+BQ422</f>
        <v>-359760.766877922</v>
      </c>
      <c r="BT422" s="15" t="n">
        <f aca="false">BR422-BS422</f>
        <v>0</v>
      </c>
      <c r="BU422" s="15" t="n">
        <f aca="false">BH422-(BD422+BE422-BF422-AY422)</f>
        <v>0</v>
      </c>
      <c r="BV422" s="15" t="n">
        <f aca="false">MIN(Piano_SS!$C$6,(BV421)+IF(AND(Motore_Operativo!C422&gt;=EDATE(Parametri_v3!$C$24,Ipotesi!I14*12),Motore_Operativo!C422&lt;EDATE(Parametri_v3!$C$24,Parametri_v3!$C$25+Ipotesi!I14*12)),MAX(0,(Motore_Operativo!Y422+Motore_Operativo!X422*Parametri_v3!$C$14)*(1-Parametri_v3!$C$32))*Piano_SS!$D$6,0))</f>
        <v>300000</v>
      </c>
      <c r="BW422" s="15" t="n">
        <f aca="false">MIN(Piano_SS!$C$7,(BW421)+IF(AND(Motore_Operativo!C422&gt;=EDATE(Parametri_v3!$C$24,Ipotesi!I14*12),Motore_Operativo!C422&lt;EDATE(Parametri_v3!$C$24,Parametri_v3!$C$25+Ipotesi!I14*12)),MAX(0,(IF(58-(INT((Ipotesi!$C$91)/30))&lt;1,0,INDEX(Motore_Operativo!$BN$365:$BN$424,MAX(1,58-(INT((Ipotesi!$C$91)/30)))))*(1-(MOD((Ipotesi!$C$91),30)/30))+IF(58-(INT((Ipotesi!$C$91)/30))-1&lt;1,0,INDEX(Motore_Operativo!$BN$365:$BN$424,MAX(1,58-(INT((Ipotesi!$C$91)/30))-1)))*(MOD((Ipotesi!$C$91),30)/30)))*Piano_SS!$D$7,0))</f>
        <v>41058.9230070837</v>
      </c>
      <c r="BX422" s="15" t="n">
        <f aca="false">MIN(Piano_SS!$C$8,(BX421)+IF(AND(Motore_Operativo!C422&gt;=EDATE(Parametri_v3!$C$24,Ipotesi!I14*12),Motore_Operativo!C422&lt;EDATE(Parametri_v3!$C$24,Parametri_v3!$C$25+Ipotesi!I14*12)),MAX(0,Motore_Operativo!CE422)*Piano_SS!$D$8,0))</f>
        <v>50000</v>
      </c>
      <c r="BY422" s="15" t="n">
        <f aca="false">MIN(Piano_SS!$C$9,(BY421)+IF(AND(Motore_Operativo!C422&gt;=EDATE(Parametri_v3!$C$24,Ipotesi!I14*12),Motore_Operativo!C422&lt;EDATE(Parametri_v3!$C$24,Parametri_v3!$C$25+Ipotesi!I14*12)),MAX(0,((IF(58-(INT((Ipotesi!$C$91)/30))&lt;1,0,INDEX(Motore_Operativo!$BQ$365:$BQ$424,MAX(1,58-(INT((Ipotesi!$C$91)/30)))))*(1-(MOD((Ipotesi!$C$91),30)/30))+IF(58-(INT((Ipotesi!$C$91)/30))-1&lt;1,0,INDEX(Motore_Operativo!$BQ$365:$BQ$424,MAX(1,58-(INT((Ipotesi!$C$91)/30))-1)))*(MOD((Ipotesi!$C$91),30)/30))+(IF(58-(INT((Ipotesi!$C$91)/30))&lt;1,0,INDEX(Motore_Operativo!$BR$365:$BR$424,MAX(1,58-(INT((Ipotesi!$C$91)/30)))))*(1-(MOD((Ipotesi!$C$91),30)/30))+IF(58-(INT((Ipotesi!$C$91)/30))-1&lt;1,0,INDEX(Motore_Operativo!$BR$365:$BR$424,MAX(1,58-(INT((Ipotesi!$C$91)/30))-1)))*(MOD((Ipotesi!$C$91),30)/30))))*Piano_SS!$D$9,0))</f>
        <v>40000</v>
      </c>
      <c r="BZ422" s="15" t="n">
        <f aca="false">MIN(Piano_SS!$C$10,(BZ421)+IF(AND(Motore_Operativo!C422&gt;=EDATE(Parametri_v3!$C$24,Ipotesi!I14*12),Motore_Operativo!C422&lt;EDATE(Parametri_v3!$C$24,Parametri_v3!$C$25+Ipotesi!I14*12)),MAX(0,(IF(58-(INT((Ipotesi!$C$91)/30))&lt;1,0,INDEX(Motore_Operativo!$BO$365:$BO$424,MAX(1,58-(INT((Ipotesi!$C$91)/30)))))*(1-(MOD((Ipotesi!$C$91),30)/30))+IF(58-(INT((Ipotesi!$C$91)/30))-1&lt;1,0,INDEX(Motore_Operativo!$BO$365:$BO$424,MAX(1,58-(INT((Ipotesi!$C$91)/30))-1)))*(MOD((Ipotesi!$C$91),30)/30)))*Piano_SS!$D$10,0))</f>
        <v>30000</v>
      </c>
      <c r="CA422" s="15" t="n">
        <f aca="false">SUM(BV422:BZ422)</f>
        <v>461058.923007084</v>
      </c>
      <c r="CB422" s="15" t="n">
        <f aca="false">BV422*(1-Piano_SS!$E$6)+BW422*(1-Piano_SS!$E$7)+BX422*(1-Piano_SS!$E$8)+BY422*(1-Piano_SS!$E$9)+BZ422*(1-Piano_SS!$E$10)</f>
        <v>431058.923007084</v>
      </c>
      <c r="CC422" s="15" t="n">
        <f aca="false">(CC421)+BA422</f>
        <v>368847.138405667</v>
      </c>
      <c r="CD422" s="15" t="n">
        <f aca="false">IF(CA422=0,0,CC422*CB422/CA422*Ipotesi!$C$103*Parametri_v3!$C$64)</f>
        <v>103454.1415217</v>
      </c>
      <c r="CE422" s="18" t="n">
        <f aca="false">IF(BA422&gt;0,Motore_Operativo!C422,(CE421))</f>
        <v>47270</v>
      </c>
      <c r="CF422" s="18" t="n">
        <f aca="false">IF(AND(CC422&gt;0,OR(CC422&gt;=CG422-0.01,Motore_Operativo!C422&gt;=EDATE(MAX(Finanziamenti!$D$15:$D$17),Ipotesi!I14*12))),CE422,0)</f>
        <v>47270</v>
      </c>
      <c r="CG422" s="15" t="n">
        <f aca="false">IF(AND(7&lt;&gt;6,7&lt;&gt;9,Finanziamenti!$F$11=1,OR(Parametri_v3!$C$6=0,Finanziamenti!$E$11=1)),MIN(Finanziamenti!$C$11,Piano_SS!$C$12*Ipotesi!$C$102),0)</f>
        <v>400000</v>
      </c>
      <c r="CH422" s="15" t="n">
        <f aca="false">IF(AND(AND(7&lt;&gt;8,7&lt;&gt;9,Finanziamenti!$F$10=1,OR(Parametri_v3!$C$6=0,Finanziamenti!$E$10=1)),Motore_Operativo!C422&gt;=Finanziamenti!$D$10,Motore_Operativo!C422&lt;Parametri_v3!$C$63),Finanziamenti!$C$10,0)</f>
        <v>150000</v>
      </c>
    </row>
    <row r="423" customFormat="false" ht="18" hidden="false" customHeight="true" outlineLevel="0" collapsed="false">
      <c r="A423" s="68" t="n">
        <f aca="false">7</f>
        <v>7</v>
      </c>
      <c r="B423" s="68" t="n">
        <f aca="false">59</f>
        <v>59</v>
      </c>
      <c r="C423" s="18" t="n">
        <f aca="false">Motore_Operativo!C423</f>
        <v>48153</v>
      </c>
      <c r="D423" s="68" t="n">
        <f aca="false">Motore_Operativo!D423</f>
        <v>2031</v>
      </c>
      <c r="E423" s="68" t="n">
        <f aca="false">Motore_Operativo!E423</f>
        <v>11</v>
      </c>
      <c r="F423" s="15" t="n">
        <f aca="false">Motore_Operativo!AQ423+Motore_Operativo!BF423</f>
        <v>203205.907958909</v>
      </c>
      <c r="G423" s="15" t="n">
        <f aca="false">Motore_Operativo!BH423</f>
        <v>11595.8333333333</v>
      </c>
      <c r="H423" s="15" t="n">
        <f aca="false">Motore_Operativo!BI423</f>
        <v>214801.741292243</v>
      </c>
      <c r="I423" s="15" t="n">
        <f aca="false">Motore_Operativo!CA423</f>
        <v>201108.197101747</v>
      </c>
      <c r="J423" s="15" t="n">
        <f aca="false">Motore_Operativo!CC423</f>
        <v>13693.5441904952</v>
      </c>
      <c r="K423" s="15" t="n">
        <f aca="false">Motore_Operativo!CE423</f>
        <v>4166.66666666667</v>
      </c>
      <c r="L423" s="15" t="n">
        <f aca="false">SUM(INDEX($K$365:$K$424,MAX(1,59-Parametri_v3!$C$59+1)):K423)/Parametri_v3!$C$59</f>
        <v>3275.46296296296</v>
      </c>
      <c r="M423" s="15" t="n">
        <f aca="false">J423-L423</f>
        <v>10418.0812275323</v>
      </c>
      <c r="N423" s="15" t="n">
        <f aca="false">CD423-(CD422)</f>
        <v>0</v>
      </c>
      <c r="O423" s="15" t="n">
        <f aca="false">(BG422)*Ipotesi!$C$110/12+CH423*Parametri_v3!$C$39/12</f>
        <v>750</v>
      </c>
      <c r="P423" s="15" t="n">
        <f aca="false">M423+N423-O423</f>
        <v>9668.08122753228</v>
      </c>
      <c r="Q423" s="15" t="n">
        <f aca="false">SUM(P413:P423)+Parametri_v3!$C$54*11/12</f>
        <v>-46998.4904993367</v>
      </c>
      <c r="R423" s="15" t="n">
        <f aca="false">Z412</f>
        <v>1016758.23194941</v>
      </c>
      <c r="S423" s="15" t="n">
        <f aca="false">AA412</f>
        <v>316724.845970214</v>
      </c>
      <c r="T423" s="15" t="n">
        <f aca="false">MIN(R423,MAX(0,Q423))</f>
        <v>0</v>
      </c>
      <c r="U423" s="15" t="n">
        <f aca="false">MIN(S423,MAX(0,Q423-T423)*Parametri_v3!$C$42)</f>
        <v>0</v>
      </c>
      <c r="V423" s="15" t="n">
        <f aca="false">MAX(0,Q423-T423-U423)*Ipotesi!$C$92</f>
        <v>0</v>
      </c>
      <c r="W423" s="15" t="n">
        <f aca="false">MAX(0,SUM(M413:M423)+Parametri_v3!$C$55*11/12)*Ipotesi!$C$93</f>
        <v>0</v>
      </c>
      <c r="X423" s="15" t="n">
        <f aca="false">V423+W423-(V422+W422)</f>
        <v>0</v>
      </c>
      <c r="Y423" s="15" t="n">
        <f aca="false">P423-X423</f>
        <v>9668.08122753228</v>
      </c>
      <c r="Z423" s="15" t="n">
        <f aca="false">R423-T423+IF(AND(Parametri_v3!$C$40=1,D423-YEAR(Parametri_v3!$C$50)&lt;Parametri_v3!$C$41),MAX(0,-Q423),0)</f>
        <v>1016758.23194941</v>
      </c>
      <c r="AA423" s="15" t="n">
        <f aca="false">S423-U423+IF(AND(Parametri_v3!$C$40=1,D423-YEAR(Parametri_v3!$C$50)&lt;Parametri_v3!$C$41),0,MAX(0,-Q423))</f>
        <v>363723.336469551</v>
      </c>
      <c r="AB423" s="15" t="n">
        <f aca="false">F423*(1+Parametri_v3!$C$26)</f>
        <v>247911.207709869</v>
      </c>
      <c r="AC423" s="15" t="n">
        <f aca="false">(IF(59-(INT((Motore_Operativo!L423)/30))&lt;1,0,INDEX(Motore_Startup!$AB$365:$AB$424,MAX(1,59-(INT((Motore_Operativo!L423)/30)))))*(1-(MOD((Motore_Operativo!L423),30)/30))+IF(59-(INT((Motore_Operativo!L423)/30))-1&lt;1,0,INDEX(Motore_Startup!$AB$365:$AB$424,MAX(1,59-(INT((Motore_Operativo!L423)/30))-1)))*(MOD((Motore_Operativo!L423),30)/30))</f>
        <v>235744.524904606</v>
      </c>
      <c r="AD423" s="15" t="n">
        <f aca="false">(AD422)+AB423-AC423</f>
        <v>731638.15540793</v>
      </c>
      <c r="AE423" s="15" t="n">
        <f aca="false">Motore_Operativo!BH423*(1+Parametri_v3!$C$26)</f>
        <v>14146.9166666667</v>
      </c>
      <c r="AF423" s="15" t="n">
        <f aca="false">(IF(59-(INT((Parametri_v3!$C$29)/30))&lt;1,0,INDEX(Motore_Operativo!$BH$365:$BH$424,MAX(1,59-(INT((Parametri_v3!$C$29)/30)))))*(1-(MOD((Parametri_v3!$C$29),30)/30))+IF(59-(INT((Parametri_v3!$C$29)/30))-1&lt;1,0,INDEX(Motore_Operativo!$BH$365:$BH$424,MAX(1,59-(INT((Parametri_v3!$C$29)/30))-1)))*(MOD((Parametri_v3!$C$29),30)/30))*(1+Parametri_v3!$C$26)</f>
        <v>14146.9166666667</v>
      </c>
      <c r="AG423" s="15" t="n">
        <f aca="false">(AG422)+AE423-AF423</f>
        <v>14146.9166666667</v>
      </c>
      <c r="AH423" s="15" t="n">
        <f aca="false">(Motore_Operativo!CJ423)*(1+Parametri_v3!$C$27*Parametri_v3!$C$26)</f>
        <v>96895.8412429449</v>
      </c>
      <c r="AI423" s="15" t="n">
        <f aca="false">(IF(59-(INT((Ipotesi!$C$91)/30))&lt;1,0,INDEX(Motore_Startup!$AH$365:$AH$424,MAX(1,59-(INT((Ipotesi!$C$91)/30)))))*(1-(MOD((Ipotesi!$C$91),30)/30))+IF(59-(INT((Ipotesi!$C$91)/30))-1&lt;1,0,INDEX(Motore_Startup!$AH$365:$AH$424,MAX(1,59-(INT((Ipotesi!$C$91)/30))-1)))*(MOD((Ipotesi!$C$91),30)/30))</f>
        <v>95795.8573805037</v>
      </c>
      <c r="AJ423" s="15" t="n">
        <f aca="false">(AJ422)+AH423-AI423</f>
        <v>193244.105015553</v>
      </c>
      <c r="AK423" s="15" t="n">
        <f aca="false">(F423+ Motore_Operativo!BH423-(Motore_Operativo!CJ423)*Parametri_v3!$C$27-Motore_Operativo!CE423)*Parametri_v3!$C$26</f>
        <v>31074.7439555958</v>
      </c>
      <c r="AL423" s="15" t="n">
        <f aca="false">MAX(0,(AM422))</f>
        <v>30436.0902951037</v>
      </c>
      <c r="AM423" s="15" t="n">
        <f aca="false">(AM422)+AK423-AL423</f>
        <v>31074.7439555958</v>
      </c>
      <c r="AN423" s="15" t="n">
        <f aca="false">SUM(X401:X412)</f>
        <v>0</v>
      </c>
      <c r="AO423" s="15" t="n">
        <f aca="false">SUM(AP401:AP412)</f>
        <v>0</v>
      </c>
      <c r="AP423" s="15" t="n">
        <f aca="false">MAX(0,AN423)*IF(11=Parametri_v3!$C$43,Parametri_v3!$C$45,IF(11=Parametri_v3!$C$44,1-Parametri_v3!$C$45,0))</f>
        <v>0</v>
      </c>
      <c r="AQ423" s="15" t="n">
        <f aca="false">MAX(0,AP423+IF(11=Parametri_v3!$C$43,MAX(0,AN423-AO423),0)-MAX(0,-(AR422)))</f>
        <v>0</v>
      </c>
      <c r="AR423" s="15" t="n">
        <f aca="false">(AR422)+X423-AQ423</f>
        <v>0</v>
      </c>
      <c r="AS423" s="15" t="n">
        <f aca="false">Motore_Operativo!AB423-AT423+AU423</f>
        <v>113503.461904792</v>
      </c>
      <c r="AT423" s="15" t="n">
        <f aca="false">Motore_Operativo!CH423</f>
        <v>5973.86641604167</v>
      </c>
      <c r="AU423" s="15" t="n">
        <f aca="false">MIN(MAX(0,(AV422)+AT423),Parametri_v3!$C$60/12)</f>
        <v>0</v>
      </c>
      <c r="AV423" s="15" t="n">
        <f aca="false">(AV422)+AT423-AU423</f>
        <v>202768.080951459</v>
      </c>
      <c r="AW423" s="15" t="n">
        <f aca="false">IF(AND(Motore_Operativo!C423=Finanziamenti!$D$6,Finanziamenti!$F$6=1),Finanziamenti!$C$6,0)</f>
        <v>0</v>
      </c>
      <c r="AX423" s="15" t="n">
        <f aca="false">IF(AND(7&lt;&gt;7,7&lt;&gt;9,Finanziamenti!$F$8=1,OR(Parametri_v3!$C$6=0,Finanziamenti!$E$8=1),Motore_Operativo!C423=EDATE(Finanziamenti!$D$8,Ipotesi!I15*12)),Finanziamenti!$C$8*1,0)+IF(AND(7&lt;&gt;7,7&lt;&gt;9,Finanziamenti!$F$9=1,OR(Parametri_v3!$C$6=0,Finanziamenti!$E$9=1),Motore_Operativo!C423=EDATE(Finanziamenti!$D$9,Ipotesi!I15*12)),Finanziamenti!$C$9*Ipotesi!I16,0)</f>
        <v>0</v>
      </c>
      <c r="AY423" s="15" t="n">
        <f aca="false">0</f>
        <v>0</v>
      </c>
      <c r="AZ423" s="15" t="n">
        <f aca="false">Motore_Advisory!AY423*(1-Ipotesi!$C$95)*Ipotesi!$C$96</f>
        <v>0</v>
      </c>
      <c r="BA423" s="15" t="n">
        <f aca="false">MAX(0,MIN(CG423*MIN(1,IF(Motore_Operativo!C423&gt;=EDATE(Finanziamenti!$D$15,Ipotesi!I14*12),Finanziamenti!$C$15,0)+IF(Motore_Operativo!C423&gt;=EDATE(Finanziamenti!$D$16,Ipotesi!I14*12),Finanziamenti!$C$16,0)+IF(Motore_Operativo!C423&gt;=EDATE(Finanziamenti!$D$17,Ipotesi!I14*12),Finanziamenti!$C$17,0)),CA423*Ipotesi!$C$102)-(CC422))</f>
        <v>0</v>
      </c>
      <c r="BB423" s="15" t="n">
        <f aca="false">IF(AND(CF423&gt;0,Motore_Operativo!C423&gt;=IF(CF423=0,0,EDATE(CF423,Parametri_v3!$C$37)),MOD(((D423-YEAR(IF(CF423=0,0,EDATE(CF423,Parametri_v3!$C$37))))*12+E423-MONTH(IF(CF423=0,0,EDATE(CF423,Parametri_v3!$C$37)))),Parametri_v3!$C$38)=0),MIN(MAX(0,(BC422)+BA423-N423),(CC423-CD423)/(Ipotesi!$C$108*12/Parametri_v3!$C$38)),0)</f>
        <v>0</v>
      </c>
      <c r="BC423" s="15" t="n">
        <f aca="false">(BC422)+BA423-N423-BB423</f>
        <v>225584.047351372</v>
      </c>
      <c r="BD423" s="15" t="n">
        <f aca="false">(BH422)+AC423+AF423-AI423-AS423-K423*(1+Parametri_v3!$C$26)-AL423-AQ423-O423+AW423+AX423+AZ423+BA423-BB423</f>
        <v>-1152331.92045268</v>
      </c>
      <c r="BE423" s="15" t="n">
        <f aca="false">MAX(0,MIN(MAX(0,CH423-(BG422)),Parametri_v3!$C$30-BD423))</f>
        <v>0</v>
      </c>
      <c r="BF423" s="15" t="n">
        <f aca="false">IF(Motore_Operativo!C423&gt;=Parametri_v3!$C$63,(BG422),MIN((BG422),MAX(0,BD423-Parametri_v3!$C$30)))</f>
        <v>0</v>
      </c>
      <c r="BG423" s="15" t="n">
        <f aca="false">(BG422)+BE423-BF423</f>
        <v>150000</v>
      </c>
      <c r="BH423" s="15" t="n">
        <f aca="false">BD423+BE423-BF423-AY423</f>
        <v>-1152331.92045268</v>
      </c>
      <c r="BI423" s="15" t="n">
        <f aca="false">MAX(0,Parametri_v3!$C$30-BH423)</f>
        <v>1177331.92045268</v>
      </c>
      <c r="BJ423" s="15" t="n">
        <f aca="false">(BJ422)+K423</f>
        <v>160833.333333333</v>
      </c>
      <c r="BK423" s="15" t="n">
        <f aca="false">(BK422)+L423</f>
        <v>96666.6666666667</v>
      </c>
      <c r="BL423" s="15" t="n">
        <f aca="false">BJ423-BK423</f>
        <v>64166.6666666665</v>
      </c>
      <c r="BM423" s="15" t="n">
        <f aca="false">(BM422)+Y423</f>
        <v>-1380481.56841896</v>
      </c>
      <c r="BN423" s="15" t="n">
        <f aca="false">(BN422)+AW423+AX423+AZ423</f>
        <v>235430.409433568</v>
      </c>
      <c r="BO423" s="15" t="n">
        <f aca="false">(BO422)+AY423</f>
        <v>0</v>
      </c>
      <c r="BP423" s="15" t="n">
        <f aca="false">0</f>
        <v>0</v>
      </c>
      <c r="BQ423" s="15" t="n">
        <f aca="false">BN423+BM423-BO423</f>
        <v>-1145051.15898539</v>
      </c>
      <c r="BR423" s="15" t="n">
        <f aca="false">BH423+AD423+BL423+MAX(0,-AM423)+MAX(0,-AR423)+AG423</f>
        <v>-342380.181711415</v>
      </c>
      <c r="BS423" s="15" t="n">
        <f aca="false">AJ423+AV423+MAX(0,AM423)+MAX(0,AR423)+BC423+BG423+BQ423</f>
        <v>-342380.181711415</v>
      </c>
      <c r="BT423" s="15" t="n">
        <f aca="false">BR423-BS423</f>
        <v>0</v>
      </c>
      <c r="BU423" s="15" t="n">
        <f aca="false">BH423-(BD423+BE423-BF423-AY423)</f>
        <v>0</v>
      </c>
      <c r="BV423" s="15" t="n">
        <f aca="false">MIN(Piano_SS!$C$6,(BV422)+IF(AND(Motore_Operativo!C423&gt;=EDATE(Parametri_v3!$C$24,Ipotesi!I14*12),Motore_Operativo!C423&lt;EDATE(Parametri_v3!$C$24,Parametri_v3!$C$25+Ipotesi!I14*12)),MAX(0,(Motore_Operativo!Y423+Motore_Operativo!X423*Parametri_v3!$C$14)*(1-Parametri_v3!$C$32))*Piano_SS!$D$6,0))</f>
        <v>300000</v>
      </c>
      <c r="BW423" s="15" t="n">
        <f aca="false">MIN(Piano_SS!$C$7,(BW422)+IF(AND(Motore_Operativo!C423&gt;=EDATE(Parametri_v3!$C$24,Ipotesi!I14*12),Motore_Operativo!C423&lt;EDATE(Parametri_v3!$C$24,Parametri_v3!$C$25+Ipotesi!I14*12)),MAX(0,(IF(59-(INT((Ipotesi!$C$91)/30))&lt;1,0,INDEX(Motore_Operativo!$BN$365:$BN$424,MAX(1,59-(INT((Ipotesi!$C$91)/30)))))*(1-(MOD((Ipotesi!$C$91),30)/30))+IF(59-(INT((Ipotesi!$C$91)/30))-1&lt;1,0,INDEX(Motore_Operativo!$BN$365:$BN$424,MAX(1,59-(INT((Ipotesi!$C$91)/30))-1)))*(MOD((Ipotesi!$C$91),30)/30)))*Piano_SS!$D$7,0))</f>
        <v>41058.9230070837</v>
      </c>
      <c r="BX423" s="15" t="n">
        <f aca="false">MIN(Piano_SS!$C$8,(BX422)+IF(AND(Motore_Operativo!C423&gt;=EDATE(Parametri_v3!$C$24,Ipotesi!I14*12),Motore_Operativo!C423&lt;EDATE(Parametri_v3!$C$24,Parametri_v3!$C$25+Ipotesi!I14*12)),MAX(0,Motore_Operativo!CE423)*Piano_SS!$D$8,0))</f>
        <v>50000</v>
      </c>
      <c r="BY423" s="15" t="n">
        <f aca="false">MIN(Piano_SS!$C$9,(BY422)+IF(AND(Motore_Operativo!C423&gt;=EDATE(Parametri_v3!$C$24,Ipotesi!I14*12),Motore_Operativo!C423&lt;EDATE(Parametri_v3!$C$24,Parametri_v3!$C$25+Ipotesi!I14*12)),MAX(0,((IF(59-(INT((Ipotesi!$C$91)/30))&lt;1,0,INDEX(Motore_Operativo!$BQ$365:$BQ$424,MAX(1,59-(INT((Ipotesi!$C$91)/30)))))*(1-(MOD((Ipotesi!$C$91),30)/30))+IF(59-(INT((Ipotesi!$C$91)/30))-1&lt;1,0,INDEX(Motore_Operativo!$BQ$365:$BQ$424,MAX(1,59-(INT((Ipotesi!$C$91)/30))-1)))*(MOD((Ipotesi!$C$91),30)/30))+(IF(59-(INT((Ipotesi!$C$91)/30))&lt;1,0,INDEX(Motore_Operativo!$BR$365:$BR$424,MAX(1,59-(INT((Ipotesi!$C$91)/30)))))*(1-(MOD((Ipotesi!$C$91),30)/30))+IF(59-(INT((Ipotesi!$C$91)/30))-1&lt;1,0,INDEX(Motore_Operativo!$BR$365:$BR$424,MAX(1,59-(INT((Ipotesi!$C$91)/30))-1)))*(MOD((Ipotesi!$C$91),30)/30))))*Piano_SS!$D$9,0))</f>
        <v>40000</v>
      </c>
      <c r="BZ423" s="15" t="n">
        <f aca="false">MIN(Piano_SS!$C$10,(BZ422)+IF(AND(Motore_Operativo!C423&gt;=EDATE(Parametri_v3!$C$24,Ipotesi!I14*12),Motore_Operativo!C423&lt;EDATE(Parametri_v3!$C$24,Parametri_v3!$C$25+Ipotesi!I14*12)),MAX(0,(IF(59-(INT((Ipotesi!$C$91)/30))&lt;1,0,INDEX(Motore_Operativo!$BO$365:$BO$424,MAX(1,59-(INT((Ipotesi!$C$91)/30)))))*(1-(MOD((Ipotesi!$C$91),30)/30))+IF(59-(INT((Ipotesi!$C$91)/30))-1&lt;1,0,INDEX(Motore_Operativo!$BO$365:$BO$424,MAX(1,59-(INT((Ipotesi!$C$91)/30))-1)))*(MOD((Ipotesi!$C$91),30)/30)))*Piano_SS!$D$10,0))</f>
        <v>30000</v>
      </c>
      <c r="CA423" s="15" t="n">
        <f aca="false">SUM(BV423:BZ423)</f>
        <v>461058.923007084</v>
      </c>
      <c r="CB423" s="15" t="n">
        <f aca="false">BV423*(1-Piano_SS!$E$6)+BW423*(1-Piano_SS!$E$7)+BX423*(1-Piano_SS!$E$8)+BY423*(1-Piano_SS!$E$9)+BZ423*(1-Piano_SS!$E$10)</f>
        <v>431058.923007084</v>
      </c>
      <c r="CC423" s="15" t="n">
        <f aca="false">(CC422)+BA423</f>
        <v>368847.138405667</v>
      </c>
      <c r="CD423" s="15" t="n">
        <f aca="false">IF(CA423=0,0,CC423*CB423/CA423*Ipotesi!$C$103*Parametri_v3!$C$64)</f>
        <v>103454.1415217</v>
      </c>
      <c r="CE423" s="18" t="n">
        <f aca="false">IF(BA423&gt;0,Motore_Operativo!C423,(CE422))</f>
        <v>47270</v>
      </c>
      <c r="CF423" s="18" t="n">
        <f aca="false">IF(AND(CC423&gt;0,OR(CC423&gt;=CG423-0.01,Motore_Operativo!C423&gt;=EDATE(MAX(Finanziamenti!$D$15:$D$17),Ipotesi!I14*12))),CE423,0)</f>
        <v>47270</v>
      </c>
      <c r="CG423" s="15" t="n">
        <f aca="false">IF(AND(7&lt;&gt;6,7&lt;&gt;9,Finanziamenti!$F$11=1,OR(Parametri_v3!$C$6=0,Finanziamenti!$E$11=1)),MIN(Finanziamenti!$C$11,Piano_SS!$C$12*Ipotesi!$C$102),0)</f>
        <v>400000</v>
      </c>
      <c r="CH423" s="15" t="n">
        <f aca="false">IF(AND(AND(7&lt;&gt;8,7&lt;&gt;9,Finanziamenti!$F$10=1,OR(Parametri_v3!$C$6=0,Finanziamenti!$E$10=1)),Motore_Operativo!C423&gt;=Finanziamenti!$D$10,Motore_Operativo!C423&lt;Parametri_v3!$C$63),Finanziamenti!$C$10,0)</f>
        <v>150000</v>
      </c>
    </row>
    <row r="424" customFormat="false" ht="18" hidden="false" customHeight="true" outlineLevel="0" collapsed="false">
      <c r="A424" s="68" t="n">
        <f aca="false">7</f>
        <v>7</v>
      </c>
      <c r="B424" s="68" t="n">
        <f aca="false">60</f>
        <v>60</v>
      </c>
      <c r="C424" s="18" t="n">
        <f aca="false">Motore_Operativo!C424</f>
        <v>48183</v>
      </c>
      <c r="D424" s="68" t="n">
        <f aca="false">Motore_Operativo!D424</f>
        <v>2031</v>
      </c>
      <c r="E424" s="68" t="n">
        <f aca="false">Motore_Operativo!E424</f>
        <v>12</v>
      </c>
      <c r="F424" s="15" t="n">
        <f aca="false">Motore_Operativo!AQ424+Motore_Operativo!BF424</f>
        <v>206472.19006941</v>
      </c>
      <c r="G424" s="15" t="n">
        <f aca="false">Motore_Operativo!BH424</f>
        <v>11595.8333333333</v>
      </c>
      <c r="H424" s="15" t="n">
        <f aca="false">Motore_Operativo!BI424</f>
        <v>218068.023402743</v>
      </c>
      <c r="I424" s="15" t="n">
        <f aca="false">Motore_Operativo!CA424</f>
        <v>201565.476597217</v>
      </c>
      <c r="J424" s="15" t="n">
        <f aca="false">Motore_Operativo!CC424</f>
        <v>16502.5468055258</v>
      </c>
      <c r="K424" s="15" t="n">
        <f aca="false">Motore_Operativo!CE424</f>
        <v>4166.66666666667</v>
      </c>
      <c r="L424" s="15" t="n">
        <f aca="false">SUM(INDEX($K$365:$K$424,MAX(1,60-Parametri_v3!$C$59+1)):K424)/Parametri_v3!$C$59</f>
        <v>3333.33333333333</v>
      </c>
      <c r="M424" s="15" t="n">
        <f aca="false">J424-L424</f>
        <v>13169.2134721925</v>
      </c>
      <c r="N424" s="15" t="n">
        <f aca="false">CD424-(CD423)</f>
        <v>0</v>
      </c>
      <c r="O424" s="15" t="n">
        <f aca="false">(BG423)*Ipotesi!$C$110/12+CH424*Parametri_v3!$C$39/12</f>
        <v>750</v>
      </c>
      <c r="P424" s="15" t="n">
        <f aca="false">M424+N424-O424</f>
        <v>12419.2134721925</v>
      </c>
      <c r="Q424" s="15" t="n">
        <f aca="false">SUM(P413:P424)+Parametri_v3!$C$54*12/12</f>
        <v>-34579.2770271442</v>
      </c>
      <c r="R424" s="15" t="n">
        <f aca="false">Z412</f>
        <v>1016758.23194941</v>
      </c>
      <c r="S424" s="15" t="n">
        <f aca="false">AA412</f>
        <v>316724.845970214</v>
      </c>
      <c r="T424" s="15" t="n">
        <f aca="false">MIN(R424,MAX(0,Q424))</f>
        <v>0</v>
      </c>
      <c r="U424" s="15" t="n">
        <f aca="false">MIN(S424,MAX(0,Q424-T424)*Parametri_v3!$C$42)</f>
        <v>0</v>
      </c>
      <c r="V424" s="15" t="n">
        <f aca="false">MAX(0,Q424-T424-U424)*Ipotesi!$C$92</f>
        <v>0</v>
      </c>
      <c r="W424" s="15" t="n">
        <f aca="false">MAX(0,SUM(M413:M424)+Parametri_v3!$C$55*12/12)*Ipotesi!$C$93</f>
        <v>0</v>
      </c>
      <c r="X424" s="15" t="n">
        <f aca="false">V424+W424-(V423+W423)</f>
        <v>0</v>
      </c>
      <c r="Y424" s="15" t="n">
        <f aca="false">P424-X424</f>
        <v>12419.2134721925</v>
      </c>
      <c r="Z424" s="15" t="n">
        <f aca="false">R424-T424+IF(AND(Parametri_v3!$C$40=1,D424-YEAR(Parametri_v3!$C$50)&lt;Parametri_v3!$C$41),MAX(0,-Q424),0)</f>
        <v>1016758.23194941</v>
      </c>
      <c r="AA424" s="15" t="n">
        <f aca="false">S424-U424+IF(AND(Parametri_v3!$C$40=1,D424-YEAR(Parametri_v3!$C$50)&lt;Parametri_v3!$C$41),0,MAX(0,-Q424))</f>
        <v>351304.122997358</v>
      </c>
      <c r="AB424" s="15" t="n">
        <f aca="false">F424*(1+Parametri_v3!$C$26)</f>
        <v>251896.07188468</v>
      </c>
      <c r="AC424" s="15" t="n">
        <f aca="false">(IF(60-(INT((Motore_Operativo!L424)/30))&lt;1,0,INDEX(Motore_Startup!$AB$365:$AB$424,MAX(1,60-(INT((Motore_Operativo!L424)/30)))))*(1-(MOD((Motore_Operativo!L424),30)/30))+IF(60-(INT((Motore_Operativo!L424)/30))-1&lt;1,0,INDEX(Motore_Startup!$AB$365:$AB$424,MAX(1,60-(INT((Motore_Operativo!L424)/30))-1)))*(MOD((Motore_Operativo!L424),30)/30))</f>
        <v>239835.745487109</v>
      </c>
      <c r="AD424" s="15" t="n">
        <f aca="false">(AD423)+AB424-AC424</f>
        <v>743698.4818055</v>
      </c>
      <c r="AE424" s="15" t="n">
        <f aca="false">Motore_Operativo!BH424*(1+Parametri_v3!$C$26)</f>
        <v>14146.9166666667</v>
      </c>
      <c r="AF424" s="15" t="n">
        <f aca="false">(IF(60-(INT((Parametri_v3!$C$29)/30))&lt;1,0,INDEX(Motore_Operativo!$BH$365:$BH$424,MAX(1,60-(INT((Parametri_v3!$C$29)/30)))))*(1-(MOD((Parametri_v3!$C$29),30)/30))+IF(60-(INT((Parametri_v3!$C$29)/30))-1&lt;1,0,INDEX(Motore_Operativo!$BH$365:$BH$424,MAX(1,60-(INT((Parametri_v3!$C$29)/30))-1)))*(MOD((Parametri_v3!$C$29),30)/30))*(1+Parametri_v3!$C$26)</f>
        <v>14146.9166666667</v>
      </c>
      <c r="AG424" s="15" t="n">
        <f aca="false">(AG423)+AE424-AF424</f>
        <v>14146.9166666667</v>
      </c>
      <c r="AH424" s="15" t="n">
        <f aca="false">(Motore_Operativo!CJ424)*(1+Parametri_v3!$C$27*Parametri_v3!$C$26)</f>
        <v>97438.6320040679</v>
      </c>
      <c r="AI424" s="15" t="n">
        <f aca="false">(IF(60-(INT((Ipotesi!$C$91)/30))&lt;1,0,INDEX(Motore_Startup!$AH$365:$AH$424,MAX(1,60-(INT((Ipotesi!$C$91)/30)))))*(1-(MOD((Ipotesi!$C$91),30)/30))+IF(60-(INT((Ipotesi!$C$91)/30))-1&lt;1,0,INDEX(Motore_Startup!$AH$365:$AH$424,MAX(1,60-(INT((Ipotesi!$C$91)/30))-1)))*(MOD((Ipotesi!$C$91),30)/30))</f>
        <v>96348.2637726086</v>
      </c>
      <c r="AJ424" s="15" t="n">
        <f aca="false">(AJ423)+AH424-AI424</f>
        <v>194334.473247013</v>
      </c>
      <c r="AK424" s="15" t="n">
        <f aca="false">(F424+ Motore_Operativo!BH424-(Motore_Operativo!CJ424)*Parametri_v3!$C$27-Motore_Operativo!CE424)*Parametri_v3!$C$26</f>
        <v>31707.814754253</v>
      </c>
      <c r="AL424" s="15" t="n">
        <f aca="false">MAX(0,(AM423))</f>
        <v>31074.7439555958</v>
      </c>
      <c r="AM424" s="15" t="n">
        <f aca="false">(AM423)+AK424-AL424</f>
        <v>31707.814754253</v>
      </c>
      <c r="AN424" s="15" t="n">
        <f aca="false">SUM(X401:X412)</f>
        <v>0</v>
      </c>
      <c r="AO424" s="15" t="n">
        <f aca="false">SUM(AP401:AP412)</f>
        <v>0</v>
      </c>
      <c r="AP424" s="15" t="n">
        <f aca="false">MAX(0,AN424)*IF(12=Parametri_v3!$C$43,Parametri_v3!$C$45,IF(12=Parametri_v3!$C$44,1-Parametri_v3!$C$45,0))</f>
        <v>0</v>
      </c>
      <c r="AQ424" s="15" t="n">
        <f aca="false">MAX(0,AP424+IF(12=Parametri_v3!$C$43,MAX(0,AN424-AO424),0)-MAX(0,-(AR423)))</f>
        <v>0</v>
      </c>
      <c r="AR424" s="15" t="n">
        <f aca="false">(AR423)+X424-AQ424</f>
        <v>0</v>
      </c>
      <c r="AS424" s="15" t="n">
        <f aca="false">Motore_Operativo!AB424-AT424+AU424</f>
        <v>113503.461904792</v>
      </c>
      <c r="AT424" s="15" t="n">
        <f aca="false">Motore_Operativo!CH424</f>
        <v>5973.86641604167</v>
      </c>
      <c r="AU424" s="15" t="n">
        <f aca="false">MIN(MAX(0,(AV423)+AT424),Parametri_v3!$C$60/12)</f>
        <v>0</v>
      </c>
      <c r="AV424" s="15" t="n">
        <f aca="false">(AV423)+AT424-AU424</f>
        <v>208741.9473675</v>
      </c>
      <c r="AW424" s="15" t="n">
        <f aca="false">IF(AND(Motore_Operativo!C424=Finanziamenti!$D$6,Finanziamenti!$F$6=1),Finanziamenti!$C$6,0)</f>
        <v>0</v>
      </c>
      <c r="AX424" s="15" t="n">
        <f aca="false">IF(AND(7&lt;&gt;7,7&lt;&gt;9,Finanziamenti!$F$8=1,OR(Parametri_v3!$C$6=0,Finanziamenti!$E$8=1),Motore_Operativo!C424=EDATE(Finanziamenti!$D$8,Ipotesi!I15*12)),Finanziamenti!$C$8*1,0)+IF(AND(7&lt;&gt;7,7&lt;&gt;9,Finanziamenti!$F$9=1,OR(Parametri_v3!$C$6=0,Finanziamenti!$E$9=1),Motore_Operativo!C424=EDATE(Finanziamenti!$D$9,Ipotesi!I15*12)),Finanziamenti!$C$9*Ipotesi!I16,0)</f>
        <v>0</v>
      </c>
      <c r="AY424" s="15" t="n">
        <f aca="false">0</f>
        <v>0</v>
      </c>
      <c r="AZ424" s="15" t="n">
        <f aca="false">Motore_Advisory!AY424*(1-Ipotesi!$C$95)*Ipotesi!$C$96</f>
        <v>0</v>
      </c>
      <c r="BA424" s="15" t="n">
        <f aca="false">MAX(0,MIN(CG424*MIN(1,IF(Motore_Operativo!C424&gt;=EDATE(Finanziamenti!$D$15,Ipotesi!I14*12),Finanziamenti!$C$15,0)+IF(Motore_Operativo!C424&gt;=EDATE(Finanziamenti!$D$16,Ipotesi!I14*12),Finanziamenti!$C$16,0)+IF(Motore_Operativo!C424&gt;=EDATE(Finanziamenti!$D$17,Ipotesi!I14*12),Finanziamenti!$C$17,0)),CA424*Ipotesi!$C$102)-(CC423))</f>
        <v>0</v>
      </c>
      <c r="BB424" s="15" t="n">
        <f aca="false">IF(AND(CF424&gt;0,Motore_Operativo!C424&gt;=IF(CF424=0,0,EDATE(CF424,Parametri_v3!$C$37)),MOD(((D424-YEAR(IF(CF424=0,0,EDATE(CF424,Parametri_v3!$C$37))))*12+E424-MONTH(IF(CF424=0,0,EDATE(CF424,Parametri_v3!$C$37)))),Parametri_v3!$C$38)=0),MIN(MAX(0,(BC423)+BA424-N424),(CC424-CD424)/(Ipotesi!$C$108*12/Parametri_v3!$C$38)),0)</f>
        <v>13269.6498441983</v>
      </c>
      <c r="BC424" s="15" t="n">
        <f aca="false">(BC423)+BA424-N424-BB424</f>
        <v>212314.397507174</v>
      </c>
      <c r="BD424" s="15" t="n">
        <f aca="false">(BH423)+AC424+AF424-AI424-AS424-K424*(1+Parametri_v3!$C$26)-AL424-AQ424-O424+AW424+AX424+AZ424+BA424-BB424</f>
        <v>-1158378.71110943</v>
      </c>
      <c r="BE424" s="15" t="n">
        <f aca="false">MAX(0,MIN(MAX(0,CH424-(BG423)),Parametri_v3!$C$30-BD424))</f>
        <v>0</v>
      </c>
      <c r="BF424" s="15" t="n">
        <f aca="false">IF(Motore_Operativo!C424&gt;=Parametri_v3!$C$63,(BG423),MIN((BG423),MAX(0,BD424-Parametri_v3!$C$30)))</f>
        <v>0</v>
      </c>
      <c r="BG424" s="15" t="n">
        <f aca="false">(BG423)+BE424-BF424</f>
        <v>150000</v>
      </c>
      <c r="BH424" s="15" t="n">
        <f aca="false">BD424+BE424-BF424-AY424</f>
        <v>-1158378.71110943</v>
      </c>
      <c r="BI424" s="15" t="n">
        <f aca="false">MAX(0,Parametri_v3!$C$30-BH424)</f>
        <v>1183378.71110943</v>
      </c>
      <c r="BJ424" s="15" t="n">
        <f aca="false">(BJ423)+K424</f>
        <v>165000</v>
      </c>
      <c r="BK424" s="15" t="n">
        <f aca="false">(BK423)+L424</f>
        <v>100000</v>
      </c>
      <c r="BL424" s="15" t="n">
        <f aca="false">BJ424-BK424</f>
        <v>64999.9999999999</v>
      </c>
      <c r="BM424" s="15" t="n">
        <f aca="false">(BM423)+Y424</f>
        <v>-1368062.35494677</v>
      </c>
      <c r="BN424" s="15" t="n">
        <f aca="false">(BN423)+AW424+AX424+AZ424</f>
        <v>235430.409433568</v>
      </c>
      <c r="BO424" s="15" t="n">
        <f aca="false">(BO423)+AY424</f>
        <v>0</v>
      </c>
      <c r="BP424" s="15" t="n">
        <f aca="false">0</f>
        <v>0</v>
      </c>
      <c r="BQ424" s="15" t="n">
        <f aca="false">BN424+BM424-BO424</f>
        <v>-1132631.9455132</v>
      </c>
      <c r="BR424" s="15" t="n">
        <f aca="false">BH424+AD424+BL424+MAX(0,-AM424)+MAX(0,-AR424)+AG424</f>
        <v>-335533.312637262</v>
      </c>
      <c r="BS424" s="15" t="n">
        <f aca="false">AJ424+AV424+MAX(0,AM424)+MAX(0,AR424)+BC424+BG424+BQ424</f>
        <v>-335533.312637263</v>
      </c>
      <c r="BT424" s="15" t="n">
        <f aca="false">BR424-BS424</f>
        <v>0</v>
      </c>
      <c r="BU424" s="15" t="n">
        <f aca="false">BH424-(BD424+BE424-BF424-AY424)</f>
        <v>0</v>
      </c>
      <c r="BV424" s="15" t="n">
        <f aca="false">MIN(Piano_SS!$C$6,(BV423)+IF(AND(Motore_Operativo!C424&gt;=EDATE(Parametri_v3!$C$24,Ipotesi!I14*12),Motore_Operativo!C424&lt;EDATE(Parametri_v3!$C$24,Parametri_v3!$C$25+Ipotesi!I14*12)),MAX(0,(Motore_Operativo!Y424+Motore_Operativo!X424*Parametri_v3!$C$14)*(1-Parametri_v3!$C$32))*Piano_SS!$D$6,0))</f>
        <v>300000</v>
      </c>
      <c r="BW424" s="15" t="n">
        <f aca="false">MIN(Piano_SS!$C$7,(BW423)+IF(AND(Motore_Operativo!C424&gt;=EDATE(Parametri_v3!$C$24,Ipotesi!I14*12),Motore_Operativo!C424&lt;EDATE(Parametri_v3!$C$24,Parametri_v3!$C$25+Ipotesi!I14*12)),MAX(0,(IF(60-(INT((Ipotesi!$C$91)/30))&lt;1,0,INDEX(Motore_Operativo!$BN$365:$BN$424,MAX(1,60-(INT((Ipotesi!$C$91)/30)))))*(1-(MOD((Ipotesi!$C$91),30)/30))+IF(60-(INT((Ipotesi!$C$91)/30))-1&lt;1,0,INDEX(Motore_Operativo!$BN$365:$BN$424,MAX(1,60-(INT((Ipotesi!$C$91)/30))-1)))*(MOD((Ipotesi!$C$91),30)/30)))*Piano_SS!$D$7,0))</f>
        <v>41058.9230070837</v>
      </c>
      <c r="BX424" s="15" t="n">
        <f aca="false">MIN(Piano_SS!$C$8,(BX423)+IF(AND(Motore_Operativo!C424&gt;=EDATE(Parametri_v3!$C$24,Ipotesi!I14*12),Motore_Operativo!C424&lt;EDATE(Parametri_v3!$C$24,Parametri_v3!$C$25+Ipotesi!I14*12)),MAX(0,Motore_Operativo!CE424)*Piano_SS!$D$8,0))</f>
        <v>50000</v>
      </c>
      <c r="BY424" s="15" t="n">
        <f aca="false">MIN(Piano_SS!$C$9,(BY423)+IF(AND(Motore_Operativo!C424&gt;=EDATE(Parametri_v3!$C$24,Ipotesi!I14*12),Motore_Operativo!C424&lt;EDATE(Parametri_v3!$C$24,Parametri_v3!$C$25+Ipotesi!I14*12)),MAX(0,((IF(60-(INT((Ipotesi!$C$91)/30))&lt;1,0,INDEX(Motore_Operativo!$BQ$365:$BQ$424,MAX(1,60-(INT((Ipotesi!$C$91)/30)))))*(1-(MOD((Ipotesi!$C$91),30)/30))+IF(60-(INT((Ipotesi!$C$91)/30))-1&lt;1,0,INDEX(Motore_Operativo!$BQ$365:$BQ$424,MAX(1,60-(INT((Ipotesi!$C$91)/30))-1)))*(MOD((Ipotesi!$C$91),30)/30))+(IF(60-(INT((Ipotesi!$C$91)/30))&lt;1,0,INDEX(Motore_Operativo!$BR$365:$BR$424,MAX(1,60-(INT((Ipotesi!$C$91)/30)))))*(1-(MOD((Ipotesi!$C$91),30)/30))+IF(60-(INT((Ipotesi!$C$91)/30))-1&lt;1,0,INDEX(Motore_Operativo!$BR$365:$BR$424,MAX(1,60-(INT((Ipotesi!$C$91)/30))-1)))*(MOD((Ipotesi!$C$91),30)/30))))*Piano_SS!$D$9,0))</f>
        <v>40000</v>
      </c>
      <c r="BZ424" s="15" t="n">
        <f aca="false">MIN(Piano_SS!$C$10,(BZ423)+IF(AND(Motore_Operativo!C424&gt;=EDATE(Parametri_v3!$C$24,Ipotesi!I14*12),Motore_Operativo!C424&lt;EDATE(Parametri_v3!$C$24,Parametri_v3!$C$25+Ipotesi!I14*12)),MAX(0,(IF(60-(INT((Ipotesi!$C$91)/30))&lt;1,0,INDEX(Motore_Operativo!$BO$365:$BO$424,MAX(1,60-(INT((Ipotesi!$C$91)/30)))))*(1-(MOD((Ipotesi!$C$91),30)/30))+IF(60-(INT((Ipotesi!$C$91)/30))-1&lt;1,0,INDEX(Motore_Operativo!$BO$365:$BO$424,MAX(1,60-(INT((Ipotesi!$C$91)/30))-1)))*(MOD((Ipotesi!$C$91),30)/30)))*Piano_SS!$D$10,0))</f>
        <v>30000</v>
      </c>
      <c r="CA424" s="15" t="n">
        <f aca="false">SUM(BV424:BZ424)</f>
        <v>461058.923007084</v>
      </c>
      <c r="CB424" s="15" t="n">
        <f aca="false">BV424*(1-Piano_SS!$E$6)+BW424*(1-Piano_SS!$E$7)+BX424*(1-Piano_SS!$E$8)+BY424*(1-Piano_SS!$E$9)+BZ424*(1-Piano_SS!$E$10)</f>
        <v>431058.923007084</v>
      </c>
      <c r="CC424" s="15" t="n">
        <f aca="false">(CC423)+BA424</f>
        <v>368847.138405667</v>
      </c>
      <c r="CD424" s="15" t="n">
        <f aca="false">IF(CA424=0,0,CC424*CB424/CA424*Ipotesi!$C$103*Parametri_v3!$C$64)</f>
        <v>103454.1415217</v>
      </c>
      <c r="CE424" s="18" t="n">
        <f aca="false">IF(BA424&gt;0,Motore_Operativo!C424,(CE423))</f>
        <v>47270</v>
      </c>
      <c r="CF424" s="18" t="n">
        <f aca="false">IF(AND(CC424&gt;0,OR(CC424&gt;=CG424-0.01,Motore_Operativo!C424&gt;=EDATE(MAX(Finanziamenti!$D$15:$D$17),Ipotesi!I14*12))),CE424,0)</f>
        <v>47270</v>
      </c>
      <c r="CG424" s="15" t="n">
        <f aca="false">IF(AND(7&lt;&gt;6,7&lt;&gt;9,Finanziamenti!$F$11=1,OR(Parametri_v3!$C$6=0,Finanziamenti!$E$11=1)),MIN(Finanziamenti!$C$11,Piano_SS!$C$12*Ipotesi!$C$102),0)</f>
        <v>400000</v>
      </c>
      <c r="CH424" s="15" t="n">
        <f aca="false">IF(AND(AND(7&lt;&gt;8,7&lt;&gt;9,Finanziamenti!$F$10=1,OR(Parametri_v3!$C$6=0,Finanziamenti!$E$10=1)),Motore_Operativo!C424&gt;=Finanziamenti!$D$10,Motore_Operativo!C424&lt;Parametri_v3!$C$63),Finanziamenti!$C$10,0)</f>
        <v>150000</v>
      </c>
    </row>
    <row r="425" customFormat="false" ht="18" hidden="false" customHeight="true" outlineLevel="0" collapsed="false">
      <c r="A425" s="68" t="n">
        <f aca="false">8</f>
        <v>8</v>
      </c>
      <c r="B425" s="68" t="n">
        <f aca="false">1</f>
        <v>1</v>
      </c>
      <c r="C425" s="18" t="n">
        <f aca="false">Motore_Operativo!C425</f>
        <v>46388</v>
      </c>
      <c r="D425" s="68" t="n">
        <f aca="false">Motore_Operativo!D425</f>
        <v>2027</v>
      </c>
      <c r="E425" s="68" t="n">
        <f aca="false">Motore_Operativo!E425</f>
        <v>1</v>
      </c>
      <c r="F425" s="15" t="n">
        <f aca="false">Motore_Operativo!AQ425+Motore_Operativo!BF425</f>
        <v>7500</v>
      </c>
      <c r="G425" s="15" t="n">
        <f aca="false">Motore_Operativo!BH425</f>
        <v>1621.05263157895</v>
      </c>
      <c r="H425" s="15" t="n">
        <f aca="false">Motore_Operativo!BI425</f>
        <v>9121.05263157895</v>
      </c>
      <c r="I425" s="15" t="n">
        <f aca="false">Motore_Operativo!CA425</f>
        <v>27738.2149122807</v>
      </c>
      <c r="J425" s="15" t="n">
        <f aca="false">Motore_Operativo!CC425</f>
        <v>-18617.1622807018</v>
      </c>
      <c r="K425" s="15" t="n">
        <f aca="false">Motore_Operativo!CE425</f>
        <v>1666.66666666667</v>
      </c>
      <c r="L425" s="15" t="n">
        <f aca="false">SUM(INDEX($K$425:$K$484,MAX(1,1-Parametri_v3!$C$59+1)):K425)/Parametri_v3!$C$59</f>
        <v>46.2962962962963</v>
      </c>
      <c r="M425" s="15" t="n">
        <f aca="false">J425-L425</f>
        <v>-18663.4585769981</v>
      </c>
      <c r="N425" s="15" t="n">
        <f aca="false">CD425-(0)</f>
        <v>0</v>
      </c>
      <c r="O425" s="15" t="n">
        <f aca="false">(0)*Ipotesi!$C$110/12+CH425*Parametri_v3!$C$39/12</f>
        <v>0</v>
      </c>
      <c r="P425" s="15" t="n">
        <f aca="false">M425+N425-O425</f>
        <v>-18663.4585769981</v>
      </c>
      <c r="Q425" s="15" t="n">
        <f aca="false">SUM(P425)+Parametri_v3!$C$54*1/12</f>
        <v>-18663.4585769981</v>
      </c>
      <c r="R425" s="15" t="n">
        <f aca="false">0</f>
        <v>0</v>
      </c>
      <c r="S425" s="15" t="n">
        <f aca="false">0</f>
        <v>0</v>
      </c>
      <c r="T425" s="15" t="n">
        <f aca="false">MIN(R425,MAX(0,Q425))</f>
        <v>0</v>
      </c>
      <c r="U425" s="15" t="n">
        <f aca="false">MIN(S425,MAX(0,Q425-T425)*Parametri_v3!$C$42)</f>
        <v>0</v>
      </c>
      <c r="V425" s="15" t="n">
        <f aca="false">MAX(0,Q425-T425-U425)*Ipotesi!$C$92</f>
        <v>0</v>
      </c>
      <c r="W425" s="15" t="n">
        <f aca="false">MAX(0,SUM(M425)+Parametri_v3!$C$55*1/12)*Ipotesi!$C$93</f>
        <v>0</v>
      </c>
      <c r="X425" s="15" t="n">
        <f aca="false">V425+W425-(0)</f>
        <v>0</v>
      </c>
      <c r="Y425" s="15" t="n">
        <f aca="false">P425-X425</f>
        <v>-18663.4585769981</v>
      </c>
      <c r="Z425" s="15" t="n">
        <f aca="false">R425-T425+IF(AND(Parametri_v3!$C$40=1,D425-YEAR(Parametri_v3!$C$50)&lt;Parametri_v3!$C$41),MAX(0,-Q425),0)</f>
        <v>18663.4585769981</v>
      </c>
      <c r="AA425" s="15" t="n">
        <f aca="false">S425-U425+IF(AND(Parametri_v3!$C$40=1,D425-YEAR(Parametri_v3!$C$50)&lt;Parametri_v3!$C$41),0,MAX(0,-Q425))</f>
        <v>0</v>
      </c>
      <c r="AB425" s="15" t="n">
        <f aca="false">F425*(1+Parametri_v3!$C$26)</f>
        <v>9150</v>
      </c>
      <c r="AC425" s="15" t="n">
        <f aca="false">(IF(1-(INT((Motore_Operativo!L425)/30))&lt;1,0,INDEX(Motore_Startup!$AB$425:$AB$484,MAX(1,1-(INT((Motore_Operativo!L425)/30)))))*(1-(MOD((Motore_Operativo!L425),30)/30))+IF(1-(INT((Motore_Operativo!L425)/30))-1&lt;1,0,INDEX(Motore_Startup!$AB$425:$AB$484,MAX(1,1-(INT((Motore_Operativo!L425)/30))-1)))*(MOD((Motore_Operativo!L425),30)/30))</f>
        <v>0</v>
      </c>
      <c r="AD425" s="15" t="n">
        <f aca="false">(0)+AB425-AC425</f>
        <v>9150</v>
      </c>
      <c r="AE425" s="15" t="n">
        <f aca="false">Motore_Operativo!BH425*(1+Parametri_v3!$C$26)</f>
        <v>1977.68421052632</v>
      </c>
      <c r="AF425" s="15" t="n">
        <f aca="false">(IF(1-(INT((Parametri_v3!$C$29)/30))&lt;1,0,INDEX(Motore_Operativo!$BH$425:$BH$484,MAX(1,1-(INT((Parametri_v3!$C$29)/30)))))*(1-(MOD((Parametri_v3!$C$29),30)/30))+IF(1-(INT((Parametri_v3!$C$29)/30))-1&lt;1,0,INDEX(Motore_Operativo!$BH$425:$BH$484,MAX(1,1-(INT((Parametri_v3!$C$29)/30))-1)))*(MOD((Parametri_v3!$C$29),30)/30))*(1+Parametri_v3!$C$26)</f>
        <v>0</v>
      </c>
      <c r="AG425" s="15" t="n">
        <f aca="false">(0)+AE425-AF425</f>
        <v>1977.68421052632</v>
      </c>
      <c r="AH425" s="15" t="n">
        <f aca="false">(Motore_Operativo!CJ425)*(1+Parametri_v3!$C$27*Parametri_v3!$C$26)</f>
        <v>11658.1777675439</v>
      </c>
      <c r="AI425" s="15" t="n">
        <f aca="false">(IF(1-(INT((Ipotesi!$C$91)/30))&lt;1,0,INDEX(Motore_Startup!$AH$425:$AH$484,MAX(1,1-(INT((Ipotesi!$C$91)/30)))))*(1-(MOD((Ipotesi!$C$91),30)/30))+IF(1-(INT((Ipotesi!$C$91)/30))-1&lt;1,0,INDEX(Motore_Startup!$AH$425:$AH$484,MAX(1,1-(INT((Ipotesi!$C$91)/30))-1)))*(MOD((Ipotesi!$C$91),30)/30))</f>
        <v>0</v>
      </c>
      <c r="AJ425" s="15" t="n">
        <f aca="false">(0)+AH425-AI425</f>
        <v>11658.1777675439</v>
      </c>
      <c r="AK425" s="15" t="n">
        <f aca="false">(F425+ Motore_Operativo!BH425-(Motore_Operativo!CJ425)*Parametri_v3!$C$27-Motore_Operativo!CE425)*Parametri_v3!$C$26</f>
        <v>-196.664609649123</v>
      </c>
      <c r="AL425" s="15" t="n">
        <f aca="false">MAX(0,(0))</f>
        <v>0</v>
      </c>
      <c r="AM425" s="15" t="n">
        <f aca="false">(0)+AK425-AL425</f>
        <v>-196.664609649123</v>
      </c>
      <c r="AN425" s="15" t="n">
        <f aca="false">0</f>
        <v>0</v>
      </c>
      <c r="AO425" s="15" t="n">
        <f aca="false">0</f>
        <v>0</v>
      </c>
      <c r="AP425" s="15" t="n">
        <f aca="false">MAX(0,AN425)*IF(1=Parametri_v3!$C$43,Parametri_v3!$C$45,IF(1=Parametri_v3!$C$44,1-Parametri_v3!$C$45,0))</f>
        <v>0</v>
      </c>
      <c r="AQ425" s="15" t="n">
        <f aca="false">MAX(0,AP425+IF(1=Parametri_v3!$C$43,MAX(0,AN425-AO425),0)-MAX(0,-(0)))</f>
        <v>0</v>
      </c>
      <c r="AR425" s="15" t="n">
        <f aca="false">(0)+X425-AQ425</f>
        <v>0</v>
      </c>
      <c r="AS425" s="15" t="n">
        <f aca="false">Motore_Operativo!AB425-AT425+AU425</f>
        <v>17020.8333333333</v>
      </c>
      <c r="AT425" s="15" t="n">
        <f aca="false">Motore_Operativo!CH425</f>
        <v>895.833333333334</v>
      </c>
      <c r="AU425" s="15" t="n">
        <f aca="false">MIN(MAX(0,(0)+AT425),Parametri_v3!$C$60/12)</f>
        <v>0</v>
      </c>
      <c r="AV425" s="15" t="n">
        <f aca="false">(0)+AT425-AU425</f>
        <v>895.833333333334</v>
      </c>
      <c r="AW425" s="15" t="n">
        <f aca="false">IF(AND(Motore_Operativo!C425=Finanziamenti!$D$6,Finanziamenti!$F$6=1),Finanziamenti!$C$6,0)</f>
        <v>130000</v>
      </c>
      <c r="AX425" s="15" t="n">
        <f aca="false">IF(AND(8&lt;&gt;7,8&lt;&gt;9,Finanziamenti!$F$8=1,OR(Parametri_v3!$C$6=0,Finanziamenti!$E$8=1),Motore_Operativo!C425=EDATE(Finanziamenti!$D$8,Ipotesi!J15*12)),Finanziamenti!$C$8*1,0)+IF(AND(8&lt;&gt;7,8&lt;&gt;9,Finanziamenti!$F$9=1,OR(Parametri_v3!$C$6=0,Finanziamenti!$E$9=1),Motore_Operativo!C425=EDATE(Finanziamenti!$D$9,Ipotesi!J15*12)),Finanziamenti!$C$9*Ipotesi!J16,0)</f>
        <v>0</v>
      </c>
      <c r="AY425" s="15" t="n">
        <f aca="false">0</f>
        <v>0</v>
      </c>
      <c r="AZ425" s="15" t="n">
        <f aca="false">Motore_Advisory!AY425*(1-Ipotesi!$C$95)*Ipotesi!$C$96</f>
        <v>0</v>
      </c>
      <c r="BA425" s="15" t="n">
        <f aca="false">MAX(0,MIN(CG425*MIN(1,IF(Motore_Operativo!C425&gt;=EDATE(Finanziamenti!$D$15,Ipotesi!J14*12),Finanziamenti!$C$15,0)+IF(Motore_Operativo!C425&gt;=EDATE(Finanziamenti!$D$16,Ipotesi!J14*12),Finanziamenti!$C$16,0)+IF(Motore_Operativo!C425&gt;=EDATE(Finanziamenti!$D$17,Ipotesi!J14*12),Finanziamenti!$C$17,0)),CA425*Ipotesi!$C$102)-(0))</f>
        <v>0</v>
      </c>
      <c r="BB425" s="15" t="n">
        <f aca="false">IF(AND(CF425&gt;0,Motore_Operativo!C425&gt;=IF(CF425=0,0,EDATE(CF425,Parametri_v3!$C$37)),MOD(((D425-YEAR(IF(CF425=0,0,EDATE(CF425,Parametri_v3!$C$37))))*12+E425-MONTH(IF(CF425=0,0,EDATE(CF425,Parametri_v3!$C$37)))),Parametri_v3!$C$38)=0),MIN(MAX(0,(0)+BA425-N425),(CC425-CD425)/(Ipotesi!$C$108*12/Parametri_v3!$C$38)),0)</f>
        <v>0</v>
      </c>
      <c r="BC425" s="15" t="n">
        <f aca="false">(0)+BA425-N425-BB425</f>
        <v>0</v>
      </c>
      <c r="BD425" s="15" t="n">
        <f aca="false">(0)+AC425+AF425-AI425-AS425-K425*(1+Parametri_v3!$C$26)-AL425-AQ425-O425+AW425+AX425+AZ425+BA425-BB425</f>
        <v>110945.833333333</v>
      </c>
      <c r="BE425" s="15" t="n">
        <f aca="false">MAX(0,MIN(MAX(0,CH425-(0)),Parametri_v3!$C$30-BD425))</f>
        <v>0</v>
      </c>
      <c r="BF425" s="15" t="n">
        <f aca="false">IF(Motore_Operativo!C425&gt;=Parametri_v3!$C$63,(0),MIN((0),MAX(0,BD425-Parametri_v3!$C$30)))</f>
        <v>0</v>
      </c>
      <c r="BG425" s="15" t="n">
        <f aca="false">(0)+BE425-BF425</f>
        <v>0</v>
      </c>
      <c r="BH425" s="15" t="n">
        <f aca="false">BD425+BE425-BF425-AY425</f>
        <v>110945.833333333</v>
      </c>
      <c r="BI425" s="15" t="n">
        <f aca="false">MAX(0,Parametri_v3!$C$30-BH425)</f>
        <v>0</v>
      </c>
      <c r="BJ425" s="15" t="n">
        <f aca="false">(0)+K425</f>
        <v>1666.66666666667</v>
      </c>
      <c r="BK425" s="15" t="n">
        <f aca="false">(0)+L425</f>
        <v>46.2962962962963</v>
      </c>
      <c r="BL425" s="15" t="n">
        <f aca="false">BJ425-BK425</f>
        <v>1620.37037037037</v>
      </c>
      <c r="BM425" s="15" t="n">
        <f aca="false">(0)+Y425</f>
        <v>-18663.4585769981</v>
      </c>
      <c r="BN425" s="15" t="n">
        <f aca="false">(0)+AW425+AX425+AZ425</f>
        <v>130000</v>
      </c>
      <c r="BO425" s="15" t="n">
        <f aca="false">(0)+AY425</f>
        <v>0</v>
      </c>
      <c r="BP425" s="15" t="n">
        <f aca="false">0</f>
        <v>0</v>
      </c>
      <c r="BQ425" s="15" t="n">
        <f aca="false">BN425+BM425-BO425</f>
        <v>111336.541423002</v>
      </c>
      <c r="BR425" s="15" t="n">
        <f aca="false">BH425+AD425+BL425+MAX(0,-AM425)+MAX(0,-AR425)+AG425</f>
        <v>123890.552523879</v>
      </c>
      <c r="BS425" s="15" t="n">
        <f aca="false">AJ425+AV425+MAX(0,AM425)+MAX(0,AR425)+BC425+BG425+BQ425</f>
        <v>123890.552523879</v>
      </c>
      <c r="BT425" s="15" t="n">
        <f aca="false">BR425-BS425</f>
        <v>0</v>
      </c>
      <c r="BU425" s="15" t="n">
        <f aca="false">BH425-(BD425+BE425-BF425-AY425)</f>
        <v>0</v>
      </c>
      <c r="BV425" s="15" t="n">
        <f aca="false">MIN(Piano_SS!$C$6,(0)+IF(AND(Motore_Operativo!C425&gt;=EDATE(Parametri_v3!$C$24,Ipotesi!J14*12),Motore_Operativo!C425&lt;EDATE(Parametri_v3!$C$24,Parametri_v3!$C$25+Ipotesi!J14*12)),MAX(0,(Motore_Operativo!Y425+Motore_Operativo!X425*Parametri_v3!$C$14)*(1-Parametri_v3!$C$32))*Piano_SS!$D$6,0))</f>
        <v>0</v>
      </c>
      <c r="BW425" s="15" t="n">
        <f aca="false">MIN(Piano_SS!$C$7,(0)+IF(AND(Motore_Operativo!C425&gt;=EDATE(Parametri_v3!$C$24,Ipotesi!J14*12),Motore_Operativo!C425&lt;EDATE(Parametri_v3!$C$24,Parametri_v3!$C$25+Ipotesi!J14*12)),MAX(0,(IF(1-(INT((Ipotesi!$C$91)/30))&lt;1,0,INDEX(Motore_Operativo!$BN$425:$BN$484,MAX(1,1-(INT((Ipotesi!$C$91)/30)))))*(1-(MOD((Ipotesi!$C$91),30)/30))+IF(1-(INT((Ipotesi!$C$91)/30))-1&lt;1,0,INDEX(Motore_Operativo!$BN$425:$BN$484,MAX(1,1-(INT((Ipotesi!$C$91)/30))-1)))*(MOD((Ipotesi!$C$91),30)/30)))*Piano_SS!$D$7,0))</f>
        <v>0</v>
      </c>
      <c r="BX425" s="15" t="n">
        <f aca="false">MIN(Piano_SS!$C$8,(0)+IF(AND(Motore_Operativo!C425&gt;=EDATE(Parametri_v3!$C$24,Ipotesi!J14*12),Motore_Operativo!C425&lt;EDATE(Parametri_v3!$C$24,Parametri_v3!$C$25+Ipotesi!J14*12)),MAX(0,Motore_Operativo!CE425)*Piano_SS!$D$8,0))</f>
        <v>0</v>
      </c>
      <c r="BY425" s="15" t="n">
        <f aca="false">MIN(Piano_SS!$C$9,(0)+IF(AND(Motore_Operativo!C425&gt;=EDATE(Parametri_v3!$C$24,Ipotesi!J14*12),Motore_Operativo!C425&lt;EDATE(Parametri_v3!$C$24,Parametri_v3!$C$25+Ipotesi!J14*12)),MAX(0,((IF(1-(INT((Ipotesi!$C$91)/30))&lt;1,0,INDEX(Motore_Operativo!$BQ$425:$BQ$484,MAX(1,1-(INT((Ipotesi!$C$91)/30)))))*(1-(MOD((Ipotesi!$C$91),30)/30))+IF(1-(INT((Ipotesi!$C$91)/30))-1&lt;1,0,INDEX(Motore_Operativo!$BQ$425:$BQ$484,MAX(1,1-(INT((Ipotesi!$C$91)/30))-1)))*(MOD((Ipotesi!$C$91),30)/30))+(IF(1-(INT((Ipotesi!$C$91)/30))&lt;1,0,INDEX(Motore_Operativo!$BR$425:$BR$484,MAX(1,1-(INT((Ipotesi!$C$91)/30)))))*(1-(MOD((Ipotesi!$C$91),30)/30))+IF(1-(INT((Ipotesi!$C$91)/30))-1&lt;1,0,INDEX(Motore_Operativo!$BR$425:$BR$484,MAX(1,1-(INT((Ipotesi!$C$91)/30))-1)))*(MOD((Ipotesi!$C$91),30)/30))))*Piano_SS!$D$9,0))</f>
        <v>0</v>
      </c>
      <c r="BZ425" s="15" t="n">
        <f aca="false">MIN(Piano_SS!$C$10,(0)+IF(AND(Motore_Operativo!C425&gt;=EDATE(Parametri_v3!$C$24,Ipotesi!J14*12),Motore_Operativo!C425&lt;EDATE(Parametri_v3!$C$24,Parametri_v3!$C$25+Ipotesi!J14*12)),MAX(0,(IF(1-(INT((Ipotesi!$C$91)/30))&lt;1,0,INDEX(Motore_Operativo!$BO$425:$BO$484,MAX(1,1-(INT((Ipotesi!$C$91)/30)))))*(1-(MOD((Ipotesi!$C$91),30)/30))+IF(1-(INT((Ipotesi!$C$91)/30))-1&lt;1,0,INDEX(Motore_Operativo!$BO$425:$BO$484,MAX(1,1-(INT((Ipotesi!$C$91)/30))-1)))*(MOD((Ipotesi!$C$91),30)/30)))*Piano_SS!$D$10,0))</f>
        <v>0</v>
      </c>
      <c r="CA425" s="15" t="n">
        <f aca="false">SUM(BV425:BZ425)</f>
        <v>0</v>
      </c>
      <c r="CB425" s="15" t="n">
        <f aca="false">BV425*(1-Piano_SS!$E$6)+BW425*(1-Piano_SS!$E$7)+BX425*(1-Piano_SS!$E$8)+BY425*(1-Piano_SS!$E$9)+BZ425*(1-Piano_SS!$E$10)</f>
        <v>0</v>
      </c>
      <c r="CC425" s="15" t="n">
        <f aca="false">(0)+BA425</f>
        <v>0</v>
      </c>
      <c r="CD425" s="15" t="n">
        <f aca="false">IF(CA425=0,0,CC425*CB425/CA425*Ipotesi!$C$103*Parametri_v3!$C$64)</f>
        <v>0</v>
      </c>
      <c r="CE425" s="18" t="n">
        <f aca="false">IF(BA425&gt;0,Motore_Operativo!C425,(0))</f>
        <v>0</v>
      </c>
      <c r="CF425" s="18" t="n">
        <f aca="false">IF(AND(CC425&gt;0,OR(CC425&gt;=CG425-0.01,Motore_Operativo!C425&gt;=EDATE(MAX(Finanziamenti!$D$15:$D$17),Ipotesi!J14*12))),CE425,0)</f>
        <v>0</v>
      </c>
      <c r="CG425" s="15" t="n">
        <f aca="false">IF(AND(8&lt;&gt;6,8&lt;&gt;9,Finanziamenti!$F$11=1,OR(Parametri_v3!$C$6=0,Finanziamenti!$E$11=1)),MIN(Finanziamenti!$C$11,Piano_SS!$C$12*Ipotesi!$C$102),0)</f>
        <v>400000</v>
      </c>
      <c r="CH425" s="15" t="n">
        <f aca="false">IF(AND(AND(8&lt;&gt;8,8&lt;&gt;9,Finanziamenti!$F$10=1,OR(Parametri_v3!$C$6=0,Finanziamenti!$E$10=1)),Motore_Operativo!C425&gt;=Finanziamenti!$D$10,Motore_Operativo!C425&lt;Parametri_v3!$C$63),Finanziamenti!$C$10,0)</f>
        <v>0</v>
      </c>
    </row>
    <row r="426" customFormat="false" ht="18" hidden="false" customHeight="true" outlineLevel="0" collapsed="false">
      <c r="A426" s="68" t="n">
        <f aca="false">8</f>
        <v>8</v>
      </c>
      <c r="B426" s="68" t="n">
        <f aca="false">2</f>
        <v>2</v>
      </c>
      <c r="C426" s="18" t="n">
        <f aca="false">Motore_Operativo!C426</f>
        <v>46419</v>
      </c>
      <c r="D426" s="68" t="n">
        <f aca="false">Motore_Operativo!D426</f>
        <v>2027</v>
      </c>
      <c r="E426" s="68" t="n">
        <f aca="false">Motore_Operativo!E426</f>
        <v>2</v>
      </c>
      <c r="F426" s="15" t="n">
        <f aca="false">Motore_Operativo!AQ426+Motore_Operativo!BF426</f>
        <v>7500</v>
      </c>
      <c r="G426" s="15" t="n">
        <f aca="false">Motore_Operativo!BH426</f>
        <v>1621.05263157895</v>
      </c>
      <c r="H426" s="15" t="n">
        <f aca="false">Motore_Operativo!BI426</f>
        <v>9121.05263157895</v>
      </c>
      <c r="I426" s="15" t="n">
        <f aca="false">Motore_Operativo!CA426</f>
        <v>27738.2149122807</v>
      </c>
      <c r="J426" s="15" t="n">
        <f aca="false">Motore_Operativo!CC426</f>
        <v>-18617.1622807018</v>
      </c>
      <c r="K426" s="15" t="n">
        <f aca="false">Motore_Operativo!CE426</f>
        <v>1666.66666666667</v>
      </c>
      <c r="L426" s="15" t="n">
        <f aca="false">SUM(INDEX($K$425:$K$484,MAX(1,2-Parametri_v3!$C$59+1)):K426)/Parametri_v3!$C$59</f>
        <v>92.5925925925926</v>
      </c>
      <c r="M426" s="15" t="n">
        <f aca="false">J426-L426</f>
        <v>-18709.7548732943</v>
      </c>
      <c r="N426" s="15" t="n">
        <f aca="false">CD426-(CD425)</f>
        <v>0</v>
      </c>
      <c r="O426" s="15" t="n">
        <f aca="false">(BG425)*Ipotesi!$C$110/12+CH426*Parametri_v3!$C$39/12</f>
        <v>0</v>
      </c>
      <c r="P426" s="15" t="n">
        <f aca="false">M426+N426-O426</f>
        <v>-18709.7548732943</v>
      </c>
      <c r="Q426" s="15" t="n">
        <f aca="false">SUM(P425:P426)+Parametri_v3!$C$54*2/12</f>
        <v>-37373.2134502924</v>
      </c>
      <c r="R426" s="15" t="n">
        <f aca="false">0</f>
        <v>0</v>
      </c>
      <c r="S426" s="15" t="n">
        <f aca="false">0</f>
        <v>0</v>
      </c>
      <c r="T426" s="15" t="n">
        <f aca="false">MIN(R426,MAX(0,Q426))</f>
        <v>0</v>
      </c>
      <c r="U426" s="15" t="n">
        <f aca="false">MIN(S426,MAX(0,Q426-T426)*Parametri_v3!$C$42)</f>
        <v>0</v>
      </c>
      <c r="V426" s="15" t="n">
        <f aca="false">MAX(0,Q426-T426-U426)*Ipotesi!$C$92</f>
        <v>0</v>
      </c>
      <c r="W426" s="15" t="n">
        <f aca="false">MAX(0,SUM(M425:M426)+Parametri_v3!$C$55*2/12)*Ipotesi!$C$93</f>
        <v>0</v>
      </c>
      <c r="X426" s="15" t="n">
        <f aca="false">V426+W426-(V425+W425)</f>
        <v>0</v>
      </c>
      <c r="Y426" s="15" t="n">
        <f aca="false">P426-X426</f>
        <v>-18709.7548732943</v>
      </c>
      <c r="Z426" s="15" t="n">
        <f aca="false">R426-T426+IF(AND(Parametri_v3!$C$40=1,D426-YEAR(Parametri_v3!$C$50)&lt;Parametri_v3!$C$41),MAX(0,-Q426),0)</f>
        <v>37373.2134502924</v>
      </c>
      <c r="AA426" s="15" t="n">
        <f aca="false">S426-U426+IF(AND(Parametri_v3!$C$40=1,D426-YEAR(Parametri_v3!$C$50)&lt;Parametri_v3!$C$41),0,MAX(0,-Q426))</f>
        <v>0</v>
      </c>
      <c r="AB426" s="15" t="n">
        <f aca="false">F426*(1+Parametri_v3!$C$26)</f>
        <v>9150</v>
      </c>
      <c r="AC426" s="15" t="n">
        <f aca="false">(IF(2-(INT((Motore_Operativo!L426)/30))&lt;1,0,INDEX(Motore_Startup!$AB$425:$AB$484,MAX(1,2-(INT((Motore_Operativo!L426)/30)))))*(1-(MOD((Motore_Operativo!L426),30)/30))+IF(2-(INT((Motore_Operativo!L426)/30))-1&lt;1,0,INDEX(Motore_Startup!$AB$425:$AB$484,MAX(1,2-(INT((Motore_Operativo!L426)/30))-1)))*(MOD((Motore_Operativo!L426),30)/30))</f>
        <v>0</v>
      </c>
      <c r="AD426" s="15" t="n">
        <f aca="false">(AD425)+AB426-AC426</f>
        <v>18300</v>
      </c>
      <c r="AE426" s="15" t="n">
        <f aca="false">Motore_Operativo!BH426*(1+Parametri_v3!$C$26)</f>
        <v>1977.68421052632</v>
      </c>
      <c r="AF426" s="15" t="n">
        <f aca="false">(IF(2-(INT((Parametri_v3!$C$29)/30))&lt;1,0,INDEX(Motore_Operativo!$BH$425:$BH$484,MAX(1,2-(INT((Parametri_v3!$C$29)/30)))))*(1-(MOD((Parametri_v3!$C$29),30)/30))+IF(2-(INT((Parametri_v3!$C$29)/30))-1&lt;1,0,INDEX(Motore_Operativo!$BH$425:$BH$484,MAX(1,2-(INT((Parametri_v3!$C$29)/30))-1)))*(MOD((Parametri_v3!$C$29),30)/30))*(1+Parametri_v3!$C$26)</f>
        <v>1977.68421052632</v>
      </c>
      <c r="AG426" s="15" t="n">
        <f aca="false">(AG425)+AE426-AF426</f>
        <v>1977.68421052632</v>
      </c>
      <c r="AH426" s="15" t="n">
        <f aca="false">(Motore_Operativo!CJ426)*(1+Parametri_v3!$C$27*Parametri_v3!$C$26)</f>
        <v>11658.1777675439</v>
      </c>
      <c r="AI426" s="15" t="n">
        <f aca="false">(IF(2-(INT((Ipotesi!$C$91)/30))&lt;1,0,INDEX(Motore_Startup!$AH$425:$AH$484,MAX(1,2-(INT((Ipotesi!$C$91)/30)))))*(1-(MOD((Ipotesi!$C$91),30)/30))+IF(2-(INT((Ipotesi!$C$91)/30))-1&lt;1,0,INDEX(Motore_Startup!$AH$425:$AH$484,MAX(1,2-(INT((Ipotesi!$C$91)/30))-1)))*(MOD((Ipotesi!$C$91),30)/30))</f>
        <v>0</v>
      </c>
      <c r="AJ426" s="15" t="n">
        <f aca="false">(AJ425)+AH426-AI426</f>
        <v>23316.3555350877</v>
      </c>
      <c r="AK426" s="15" t="n">
        <f aca="false">(F426+ Motore_Operativo!BH426-(Motore_Operativo!CJ426)*Parametri_v3!$C$27-Motore_Operativo!CE426)*Parametri_v3!$C$26</f>
        <v>-196.664609649123</v>
      </c>
      <c r="AL426" s="15" t="n">
        <f aca="false">MAX(0,(AM425))</f>
        <v>0</v>
      </c>
      <c r="AM426" s="15" t="n">
        <f aca="false">(AM425)+AK426-AL426</f>
        <v>-393.329219298245</v>
      </c>
      <c r="AN426" s="15" t="n">
        <f aca="false">0</f>
        <v>0</v>
      </c>
      <c r="AO426" s="15" t="n">
        <f aca="false">0</f>
        <v>0</v>
      </c>
      <c r="AP426" s="15" t="n">
        <f aca="false">MAX(0,AN426)*IF(2=Parametri_v3!$C$43,Parametri_v3!$C$45,IF(2=Parametri_v3!$C$44,1-Parametri_v3!$C$45,0))</f>
        <v>0</v>
      </c>
      <c r="AQ426" s="15" t="n">
        <f aca="false">MAX(0,AP426+IF(2=Parametri_v3!$C$43,MAX(0,AN426-AO426),0)-MAX(0,-(AR425)))</f>
        <v>0</v>
      </c>
      <c r="AR426" s="15" t="n">
        <f aca="false">(AR425)+X426-AQ426</f>
        <v>0</v>
      </c>
      <c r="AS426" s="15" t="n">
        <f aca="false">Motore_Operativo!AB426-AT426+AU426</f>
        <v>17020.8333333333</v>
      </c>
      <c r="AT426" s="15" t="n">
        <f aca="false">Motore_Operativo!CH426</f>
        <v>895.833333333334</v>
      </c>
      <c r="AU426" s="15" t="n">
        <f aca="false">MIN(MAX(0,(AV425)+AT426),Parametri_v3!$C$60/12)</f>
        <v>0</v>
      </c>
      <c r="AV426" s="15" t="n">
        <f aca="false">(AV425)+AT426-AU426</f>
        <v>1791.66666666667</v>
      </c>
      <c r="AW426" s="15" t="n">
        <f aca="false">IF(AND(Motore_Operativo!C426=Finanziamenti!$D$6,Finanziamenti!$F$6=1),Finanziamenti!$C$6,0)</f>
        <v>0</v>
      </c>
      <c r="AX426" s="15" t="n">
        <f aca="false">IF(AND(8&lt;&gt;7,8&lt;&gt;9,Finanziamenti!$F$8=1,OR(Parametri_v3!$C$6=0,Finanziamenti!$E$8=1),Motore_Operativo!C426=EDATE(Finanziamenti!$D$8,Ipotesi!J15*12)),Finanziamenti!$C$8*1,0)+IF(AND(8&lt;&gt;7,8&lt;&gt;9,Finanziamenti!$F$9=1,OR(Parametri_v3!$C$6=0,Finanziamenti!$E$9=1),Motore_Operativo!C426=EDATE(Finanziamenti!$D$9,Ipotesi!J15*12)),Finanziamenti!$C$9*Ipotesi!J16,0)</f>
        <v>0</v>
      </c>
      <c r="AY426" s="15" t="n">
        <f aca="false">0</f>
        <v>0</v>
      </c>
      <c r="AZ426" s="15" t="n">
        <f aca="false">Motore_Advisory!AY426*(1-Ipotesi!$C$95)*Ipotesi!$C$96</f>
        <v>0</v>
      </c>
      <c r="BA426" s="15" t="n">
        <f aca="false">MAX(0,MIN(CG426*MIN(1,IF(Motore_Operativo!C426&gt;=EDATE(Finanziamenti!$D$15,Ipotesi!J14*12),Finanziamenti!$C$15,0)+IF(Motore_Operativo!C426&gt;=EDATE(Finanziamenti!$D$16,Ipotesi!J14*12),Finanziamenti!$C$16,0)+IF(Motore_Operativo!C426&gt;=EDATE(Finanziamenti!$D$17,Ipotesi!J14*12),Finanziamenti!$C$17,0)),CA426*Ipotesi!$C$102)-(CC425))</f>
        <v>0</v>
      </c>
      <c r="BB426" s="15" t="n">
        <f aca="false">IF(AND(CF426&gt;0,Motore_Operativo!C426&gt;=IF(CF426=0,0,EDATE(CF426,Parametri_v3!$C$37)),MOD(((D426-YEAR(IF(CF426=0,0,EDATE(CF426,Parametri_v3!$C$37))))*12+E426-MONTH(IF(CF426=0,0,EDATE(CF426,Parametri_v3!$C$37)))),Parametri_v3!$C$38)=0),MIN(MAX(0,(BC425)+BA426-N426),(CC426-CD426)/(Ipotesi!$C$108*12/Parametri_v3!$C$38)),0)</f>
        <v>0</v>
      </c>
      <c r="BC426" s="15" t="n">
        <f aca="false">(BC425)+BA426-N426-BB426</f>
        <v>0</v>
      </c>
      <c r="BD426" s="15" t="n">
        <f aca="false">(BH425)+AC426+AF426-AI426-AS426-K426*(1+Parametri_v3!$C$26)-AL426-AQ426-O426+AW426+AX426+AZ426+BA426-BB426</f>
        <v>93869.350877193</v>
      </c>
      <c r="BE426" s="15" t="n">
        <f aca="false">MAX(0,MIN(MAX(0,CH426-(BG425)),Parametri_v3!$C$30-BD426))</f>
        <v>0</v>
      </c>
      <c r="BF426" s="15" t="n">
        <f aca="false">IF(Motore_Operativo!C426&gt;=Parametri_v3!$C$63,(BG425),MIN((BG425),MAX(0,BD426-Parametri_v3!$C$30)))</f>
        <v>0</v>
      </c>
      <c r="BG426" s="15" t="n">
        <f aca="false">(BG425)+BE426-BF426</f>
        <v>0</v>
      </c>
      <c r="BH426" s="15" t="n">
        <f aca="false">BD426+BE426-BF426-AY426</f>
        <v>93869.350877193</v>
      </c>
      <c r="BI426" s="15" t="n">
        <f aca="false">MAX(0,Parametri_v3!$C$30-BH426)</f>
        <v>0</v>
      </c>
      <c r="BJ426" s="15" t="n">
        <f aca="false">(BJ425)+K426</f>
        <v>3333.33333333333</v>
      </c>
      <c r="BK426" s="15" t="n">
        <f aca="false">(BK425)+L426</f>
        <v>138.888888888889</v>
      </c>
      <c r="BL426" s="15" t="n">
        <f aca="false">BJ426-BK426</f>
        <v>3194.44444444445</v>
      </c>
      <c r="BM426" s="15" t="n">
        <f aca="false">(BM425)+Y426</f>
        <v>-37373.2134502924</v>
      </c>
      <c r="BN426" s="15" t="n">
        <f aca="false">(BN425)+AW426+AX426+AZ426</f>
        <v>130000</v>
      </c>
      <c r="BO426" s="15" t="n">
        <f aca="false">(BO425)+AY426</f>
        <v>0</v>
      </c>
      <c r="BP426" s="15" t="n">
        <f aca="false">0</f>
        <v>0</v>
      </c>
      <c r="BQ426" s="15" t="n">
        <f aca="false">BN426+BM426-BO426</f>
        <v>92626.7865497076</v>
      </c>
      <c r="BR426" s="15" t="n">
        <f aca="false">BH426+AD426+BL426+MAX(0,-AM426)+MAX(0,-AR426)+AG426</f>
        <v>117734.808751462</v>
      </c>
      <c r="BS426" s="15" t="n">
        <f aca="false">AJ426+AV426+MAX(0,AM426)+MAX(0,AR426)+BC426+BG426+BQ426</f>
        <v>117734.808751462</v>
      </c>
      <c r="BT426" s="15" t="n">
        <f aca="false">BR426-BS426</f>
        <v>0</v>
      </c>
      <c r="BU426" s="15" t="n">
        <f aca="false">BH426-(BD426+BE426-BF426-AY426)</f>
        <v>0</v>
      </c>
      <c r="BV426" s="15" t="n">
        <f aca="false">MIN(Piano_SS!$C$6,(BV425)+IF(AND(Motore_Operativo!C426&gt;=EDATE(Parametri_v3!$C$24,Ipotesi!J14*12),Motore_Operativo!C426&lt;EDATE(Parametri_v3!$C$24,Parametri_v3!$C$25+Ipotesi!J14*12)),MAX(0,(Motore_Operativo!Y426+Motore_Operativo!X426*Parametri_v3!$C$14)*(1-Parametri_v3!$C$32))*Piano_SS!$D$6,0))</f>
        <v>0</v>
      </c>
      <c r="BW426" s="15" t="n">
        <f aca="false">MIN(Piano_SS!$C$7,(BW425)+IF(AND(Motore_Operativo!C426&gt;=EDATE(Parametri_v3!$C$24,Ipotesi!J14*12),Motore_Operativo!C426&lt;EDATE(Parametri_v3!$C$24,Parametri_v3!$C$25+Ipotesi!J14*12)),MAX(0,(IF(2-(INT((Ipotesi!$C$91)/30))&lt;1,0,INDEX(Motore_Operativo!$BN$425:$BN$484,MAX(1,2-(INT((Ipotesi!$C$91)/30)))))*(1-(MOD((Ipotesi!$C$91),30)/30))+IF(2-(INT((Ipotesi!$C$91)/30))-1&lt;1,0,INDEX(Motore_Operativo!$BN$425:$BN$484,MAX(1,2-(INT((Ipotesi!$C$91)/30))-1)))*(MOD((Ipotesi!$C$91),30)/30)))*Piano_SS!$D$7,0))</f>
        <v>0</v>
      </c>
      <c r="BX426" s="15" t="n">
        <f aca="false">MIN(Piano_SS!$C$8,(BX425)+IF(AND(Motore_Operativo!C426&gt;=EDATE(Parametri_v3!$C$24,Ipotesi!J14*12),Motore_Operativo!C426&lt;EDATE(Parametri_v3!$C$24,Parametri_v3!$C$25+Ipotesi!J14*12)),MAX(0,Motore_Operativo!CE426)*Piano_SS!$D$8,0))</f>
        <v>0</v>
      </c>
      <c r="BY426" s="15" t="n">
        <f aca="false">MIN(Piano_SS!$C$9,(BY425)+IF(AND(Motore_Operativo!C426&gt;=EDATE(Parametri_v3!$C$24,Ipotesi!J14*12),Motore_Operativo!C426&lt;EDATE(Parametri_v3!$C$24,Parametri_v3!$C$25+Ipotesi!J14*12)),MAX(0,((IF(2-(INT((Ipotesi!$C$91)/30))&lt;1,0,INDEX(Motore_Operativo!$BQ$425:$BQ$484,MAX(1,2-(INT((Ipotesi!$C$91)/30)))))*(1-(MOD((Ipotesi!$C$91),30)/30))+IF(2-(INT((Ipotesi!$C$91)/30))-1&lt;1,0,INDEX(Motore_Operativo!$BQ$425:$BQ$484,MAX(1,2-(INT((Ipotesi!$C$91)/30))-1)))*(MOD((Ipotesi!$C$91),30)/30))+(IF(2-(INT((Ipotesi!$C$91)/30))&lt;1,0,INDEX(Motore_Operativo!$BR$425:$BR$484,MAX(1,2-(INT((Ipotesi!$C$91)/30)))))*(1-(MOD((Ipotesi!$C$91),30)/30))+IF(2-(INT((Ipotesi!$C$91)/30))-1&lt;1,0,INDEX(Motore_Operativo!$BR$425:$BR$484,MAX(1,2-(INT((Ipotesi!$C$91)/30))-1)))*(MOD((Ipotesi!$C$91),30)/30))))*Piano_SS!$D$9,0))</f>
        <v>0</v>
      </c>
      <c r="BZ426" s="15" t="n">
        <f aca="false">MIN(Piano_SS!$C$10,(BZ425)+IF(AND(Motore_Operativo!C426&gt;=EDATE(Parametri_v3!$C$24,Ipotesi!J14*12),Motore_Operativo!C426&lt;EDATE(Parametri_v3!$C$24,Parametri_v3!$C$25+Ipotesi!J14*12)),MAX(0,(IF(2-(INT((Ipotesi!$C$91)/30))&lt;1,0,INDEX(Motore_Operativo!$BO$425:$BO$484,MAX(1,2-(INT((Ipotesi!$C$91)/30)))))*(1-(MOD((Ipotesi!$C$91),30)/30))+IF(2-(INT((Ipotesi!$C$91)/30))-1&lt;1,0,INDEX(Motore_Operativo!$BO$425:$BO$484,MAX(1,2-(INT((Ipotesi!$C$91)/30))-1)))*(MOD((Ipotesi!$C$91),30)/30)))*Piano_SS!$D$10,0))</f>
        <v>0</v>
      </c>
      <c r="CA426" s="15" t="n">
        <f aca="false">SUM(BV426:BZ426)</f>
        <v>0</v>
      </c>
      <c r="CB426" s="15" t="n">
        <f aca="false">BV426*(1-Piano_SS!$E$6)+BW426*(1-Piano_SS!$E$7)+BX426*(1-Piano_SS!$E$8)+BY426*(1-Piano_SS!$E$9)+BZ426*(1-Piano_SS!$E$10)</f>
        <v>0</v>
      </c>
      <c r="CC426" s="15" t="n">
        <f aca="false">(CC425)+BA426</f>
        <v>0</v>
      </c>
      <c r="CD426" s="15" t="n">
        <f aca="false">IF(CA426=0,0,CC426*CB426/CA426*Ipotesi!$C$103*Parametri_v3!$C$64)</f>
        <v>0</v>
      </c>
      <c r="CE426" s="18" t="n">
        <f aca="false">IF(BA426&gt;0,Motore_Operativo!C426,(CE425))</f>
        <v>0</v>
      </c>
      <c r="CF426" s="18" t="n">
        <f aca="false">IF(AND(CC426&gt;0,OR(CC426&gt;=CG426-0.01,Motore_Operativo!C426&gt;=EDATE(MAX(Finanziamenti!$D$15:$D$17),Ipotesi!J14*12))),CE426,0)</f>
        <v>0</v>
      </c>
      <c r="CG426" s="15" t="n">
        <f aca="false">IF(AND(8&lt;&gt;6,8&lt;&gt;9,Finanziamenti!$F$11=1,OR(Parametri_v3!$C$6=0,Finanziamenti!$E$11=1)),MIN(Finanziamenti!$C$11,Piano_SS!$C$12*Ipotesi!$C$102),0)</f>
        <v>400000</v>
      </c>
      <c r="CH426" s="15" t="n">
        <f aca="false">IF(AND(AND(8&lt;&gt;8,8&lt;&gt;9,Finanziamenti!$F$10=1,OR(Parametri_v3!$C$6=0,Finanziamenti!$E$10=1)),Motore_Operativo!C426&gt;=Finanziamenti!$D$10,Motore_Operativo!C426&lt;Parametri_v3!$C$63),Finanziamenti!$C$10,0)</f>
        <v>0</v>
      </c>
    </row>
    <row r="427" customFormat="false" ht="18" hidden="false" customHeight="true" outlineLevel="0" collapsed="false">
      <c r="A427" s="68" t="n">
        <f aca="false">8</f>
        <v>8</v>
      </c>
      <c r="B427" s="68" t="n">
        <f aca="false">3</f>
        <v>3</v>
      </c>
      <c r="C427" s="18" t="n">
        <f aca="false">Motore_Operativo!C427</f>
        <v>46447</v>
      </c>
      <c r="D427" s="68" t="n">
        <f aca="false">Motore_Operativo!D427</f>
        <v>2027</v>
      </c>
      <c r="E427" s="68" t="n">
        <f aca="false">Motore_Operativo!E427</f>
        <v>3</v>
      </c>
      <c r="F427" s="15" t="n">
        <f aca="false">Motore_Operativo!AQ427+Motore_Operativo!BF427</f>
        <v>7500</v>
      </c>
      <c r="G427" s="15" t="n">
        <f aca="false">Motore_Operativo!BH427</f>
        <v>1621.05263157895</v>
      </c>
      <c r="H427" s="15" t="n">
        <f aca="false">Motore_Operativo!BI427</f>
        <v>9121.05263157895</v>
      </c>
      <c r="I427" s="15" t="n">
        <f aca="false">Motore_Operativo!CA427</f>
        <v>27738.2149122807</v>
      </c>
      <c r="J427" s="15" t="n">
        <f aca="false">Motore_Operativo!CC427</f>
        <v>-18617.1622807018</v>
      </c>
      <c r="K427" s="15" t="n">
        <f aca="false">Motore_Operativo!CE427</f>
        <v>1666.66666666667</v>
      </c>
      <c r="L427" s="15" t="n">
        <f aca="false">SUM(INDEX($K$425:$K$484,MAX(1,3-Parametri_v3!$C$59+1)):K427)/Parametri_v3!$C$59</f>
        <v>138.888888888889</v>
      </c>
      <c r="M427" s="15" t="n">
        <f aca="false">J427-L427</f>
        <v>-18756.0511695906</v>
      </c>
      <c r="N427" s="15" t="n">
        <f aca="false">CD427-(CD426)</f>
        <v>0</v>
      </c>
      <c r="O427" s="15" t="n">
        <f aca="false">(BG426)*Ipotesi!$C$110/12+CH427*Parametri_v3!$C$39/12</f>
        <v>0</v>
      </c>
      <c r="P427" s="15" t="n">
        <f aca="false">M427+N427-O427</f>
        <v>-18756.0511695906</v>
      </c>
      <c r="Q427" s="15" t="n">
        <f aca="false">SUM(P425:P427)+Parametri_v3!$C$54*3/12</f>
        <v>-56129.2646198831</v>
      </c>
      <c r="R427" s="15" t="n">
        <f aca="false">0</f>
        <v>0</v>
      </c>
      <c r="S427" s="15" t="n">
        <f aca="false">0</f>
        <v>0</v>
      </c>
      <c r="T427" s="15" t="n">
        <f aca="false">MIN(R427,MAX(0,Q427))</f>
        <v>0</v>
      </c>
      <c r="U427" s="15" t="n">
        <f aca="false">MIN(S427,MAX(0,Q427-T427)*Parametri_v3!$C$42)</f>
        <v>0</v>
      </c>
      <c r="V427" s="15" t="n">
        <f aca="false">MAX(0,Q427-T427-U427)*Ipotesi!$C$92</f>
        <v>0</v>
      </c>
      <c r="W427" s="15" t="n">
        <f aca="false">MAX(0,SUM(M425:M427)+Parametri_v3!$C$55*3/12)*Ipotesi!$C$93</f>
        <v>0</v>
      </c>
      <c r="X427" s="15" t="n">
        <f aca="false">V427+W427-(V426+W426)</f>
        <v>0</v>
      </c>
      <c r="Y427" s="15" t="n">
        <f aca="false">P427-X427</f>
        <v>-18756.0511695906</v>
      </c>
      <c r="Z427" s="15" t="n">
        <f aca="false">R427-T427+IF(AND(Parametri_v3!$C$40=1,D427-YEAR(Parametri_v3!$C$50)&lt;Parametri_v3!$C$41),MAX(0,-Q427),0)</f>
        <v>56129.2646198831</v>
      </c>
      <c r="AA427" s="15" t="n">
        <f aca="false">S427-U427+IF(AND(Parametri_v3!$C$40=1,D427-YEAR(Parametri_v3!$C$50)&lt;Parametri_v3!$C$41),0,MAX(0,-Q427))</f>
        <v>0</v>
      </c>
      <c r="AB427" s="15" t="n">
        <f aca="false">F427*(1+Parametri_v3!$C$26)</f>
        <v>9150</v>
      </c>
      <c r="AC427" s="15" t="n">
        <f aca="false">(IF(3-(INT((Motore_Operativo!L427)/30))&lt;1,0,INDEX(Motore_Startup!$AB$425:$AB$484,MAX(1,3-(INT((Motore_Operativo!L427)/30)))))*(1-(MOD((Motore_Operativo!L427),30)/30))+IF(3-(INT((Motore_Operativo!L427)/30))-1&lt;1,0,INDEX(Motore_Startup!$AB$425:$AB$484,MAX(1,3-(INT((Motore_Operativo!L427)/30))-1)))*(MOD((Motore_Operativo!L427),30)/30))</f>
        <v>0</v>
      </c>
      <c r="AD427" s="15" t="n">
        <f aca="false">(AD426)+AB427-AC427</f>
        <v>27450</v>
      </c>
      <c r="AE427" s="15" t="n">
        <f aca="false">Motore_Operativo!BH427*(1+Parametri_v3!$C$26)</f>
        <v>1977.68421052632</v>
      </c>
      <c r="AF427" s="15" t="n">
        <f aca="false">(IF(3-(INT((Parametri_v3!$C$29)/30))&lt;1,0,INDEX(Motore_Operativo!$BH$425:$BH$484,MAX(1,3-(INT((Parametri_v3!$C$29)/30)))))*(1-(MOD((Parametri_v3!$C$29),30)/30))+IF(3-(INT((Parametri_v3!$C$29)/30))-1&lt;1,0,INDEX(Motore_Operativo!$BH$425:$BH$484,MAX(1,3-(INT((Parametri_v3!$C$29)/30))-1)))*(MOD((Parametri_v3!$C$29),30)/30))*(1+Parametri_v3!$C$26)</f>
        <v>1977.68421052632</v>
      </c>
      <c r="AG427" s="15" t="n">
        <f aca="false">(AG426)+AE427-AF427</f>
        <v>1977.68421052632</v>
      </c>
      <c r="AH427" s="15" t="n">
        <f aca="false">(Motore_Operativo!CJ427)*(1+Parametri_v3!$C$27*Parametri_v3!$C$26)</f>
        <v>11658.1777675439</v>
      </c>
      <c r="AI427" s="15" t="n">
        <f aca="false">(IF(3-(INT((Ipotesi!$C$91)/30))&lt;1,0,INDEX(Motore_Startup!$AH$425:$AH$484,MAX(1,3-(INT((Ipotesi!$C$91)/30)))))*(1-(MOD((Ipotesi!$C$91),30)/30))+IF(3-(INT((Ipotesi!$C$91)/30))-1&lt;1,0,INDEX(Motore_Startup!$AH$425:$AH$484,MAX(1,3-(INT((Ipotesi!$C$91)/30))-1)))*(MOD((Ipotesi!$C$91),30)/30))</f>
        <v>11658.1777675439</v>
      </c>
      <c r="AJ427" s="15" t="n">
        <f aca="false">(AJ426)+AH427-AI427</f>
        <v>23316.3555350877</v>
      </c>
      <c r="AK427" s="15" t="n">
        <f aca="false">(F427+ Motore_Operativo!BH427-(Motore_Operativo!CJ427)*Parametri_v3!$C$27-Motore_Operativo!CE427)*Parametri_v3!$C$26</f>
        <v>-196.664609649123</v>
      </c>
      <c r="AL427" s="15" t="n">
        <f aca="false">MAX(0,(AM426))</f>
        <v>0</v>
      </c>
      <c r="AM427" s="15" t="n">
        <f aca="false">(AM426)+AK427-AL427</f>
        <v>-589.993828947368</v>
      </c>
      <c r="AN427" s="15" t="n">
        <f aca="false">0</f>
        <v>0</v>
      </c>
      <c r="AO427" s="15" t="n">
        <f aca="false">0</f>
        <v>0</v>
      </c>
      <c r="AP427" s="15" t="n">
        <f aca="false">MAX(0,AN427)*IF(3=Parametri_v3!$C$43,Parametri_v3!$C$45,IF(3=Parametri_v3!$C$44,1-Parametri_v3!$C$45,0))</f>
        <v>0</v>
      </c>
      <c r="AQ427" s="15" t="n">
        <f aca="false">MAX(0,AP427+IF(3=Parametri_v3!$C$43,MAX(0,AN427-AO427),0)-MAX(0,-(AR426)))</f>
        <v>0</v>
      </c>
      <c r="AR427" s="15" t="n">
        <f aca="false">(AR426)+X427-AQ427</f>
        <v>0</v>
      </c>
      <c r="AS427" s="15" t="n">
        <f aca="false">Motore_Operativo!AB427-AT427+AU427</f>
        <v>17020.8333333333</v>
      </c>
      <c r="AT427" s="15" t="n">
        <f aca="false">Motore_Operativo!CH427</f>
        <v>895.833333333334</v>
      </c>
      <c r="AU427" s="15" t="n">
        <f aca="false">MIN(MAX(0,(AV426)+AT427),Parametri_v3!$C$60/12)</f>
        <v>0</v>
      </c>
      <c r="AV427" s="15" t="n">
        <f aca="false">(AV426)+AT427-AU427</f>
        <v>2687.5</v>
      </c>
      <c r="AW427" s="15" t="n">
        <f aca="false">IF(AND(Motore_Operativo!C427=Finanziamenti!$D$6,Finanziamenti!$F$6=1),Finanziamenti!$C$6,0)</f>
        <v>0</v>
      </c>
      <c r="AX427" s="15" t="n">
        <f aca="false">IF(AND(8&lt;&gt;7,8&lt;&gt;9,Finanziamenti!$F$8=1,OR(Parametri_v3!$C$6=0,Finanziamenti!$E$8=1),Motore_Operativo!C427=EDATE(Finanziamenti!$D$8,Ipotesi!J15*12)),Finanziamenti!$C$8*1,0)+IF(AND(8&lt;&gt;7,8&lt;&gt;9,Finanziamenti!$F$9=1,OR(Parametri_v3!$C$6=0,Finanziamenti!$E$9=1),Motore_Operativo!C427=EDATE(Finanziamenti!$D$9,Ipotesi!J15*12)),Finanziamenti!$C$9*Ipotesi!J16,0)</f>
        <v>0</v>
      </c>
      <c r="AY427" s="15" t="n">
        <f aca="false">0</f>
        <v>0</v>
      </c>
      <c r="AZ427" s="15" t="n">
        <f aca="false">Motore_Advisory!AY427*(1-Ipotesi!$C$95)*Ipotesi!$C$96</f>
        <v>0</v>
      </c>
      <c r="BA427" s="15" t="n">
        <f aca="false">MAX(0,MIN(CG427*MIN(1,IF(Motore_Operativo!C427&gt;=EDATE(Finanziamenti!$D$15,Ipotesi!J14*12),Finanziamenti!$C$15,0)+IF(Motore_Operativo!C427&gt;=EDATE(Finanziamenti!$D$16,Ipotesi!J14*12),Finanziamenti!$C$16,0)+IF(Motore_Operativo!C427&gt;=EDATE(Finanziamenti!$D$17,Ipotesi!J14*12),Finanziamenti!$C$17,0)),CA427*Ipotesi!$C$102)-(CC426))</f>
        <v>0</v>
      </c>
      <c r="BB427" s="15" t="n">
        <f aca="false">IF(AND(CF427&gt;0,Motore_Operativo!C427&gt;=IF(CF427=0,0,EDATE(CF427,Parametri_v3!$C$37)),MOD(((D427-YEAR(IF(CF427=0,0,EDATE(CF427,Parametri_v3!$C$37))))*12+E427-MONTH(IF(CF427=0,0,EDATE(CF427,Parametri_v3!$C$37)))),Parametri_v3!$C$38)=0),MIN(MAX(0,(BC426)+BA427-N427),(CC427-CD427)/(Ipotesi!$C$108*12/Parametri_v3!$C$38)),0)</f>
        <v>0</v>
      </c>
      <c r="BC427" s="15" t="n">
        <f aca="false">(BC426)+BA427-N427-BB427</f>
        <v>0</v>
      </c>
      <c r="BD427" s="15" t="n">
        <f aca="false">(BH426)+AC427+AF427-AI427-AS427-K427*(1+Parametri_v3!$C$26)-AL427-AQ427-O427+AW427+AX427+AZ427+BA427-BB427</f>
        <v>65134.6906535088</v>
      </c>
      <c r="BE427" s="15" t="n">
        <f aca="false">MAX(0,MIN(MAX(0,CH427-(BG426)),Parametri_v3!$C$30-BD427))</f>
        <v>0</v>
      </c>
      <c r="BF427" s="15" t="n">
        <f aca="false">IF(Motore_Operativo!C427&gt;=Parametri_v3!$C$63,(BG426),MIN((BG426),MAX(0,BD427-Parametri_v3!$C$30)))</f>
        <v>0</v>
      </c>
      <c r="BG427" s="15" t="n">
        <f aca="false">(BG426)+BE427-BF427</f>
        <v>0</v>
      </c>
      <c r="BH427" s="15" t="n">
        <f aca="false">BD427+BE427-BF427-AY427</f>
        <v>65134.6906535088</v>
      </c>
      <c r="BI427" s="15" t="n">
        <f aca="false">MAX(0,Parametri_v3!$C$30-BH427)</f>
        <v>0</v>
      </c>
      <c r="BJ427" s="15" t="n">
        <f aca="false">(BJ426)+K427</f>
        <v>5000</v>
      </c>
      <c r="BK427" s="15" t="n">
        <f aca="false">(BK426)+L427</f>
        <v>277.777777777778</v>
      </c>
      <c r="BL427" s="15" t="n">
        <f aca="false">BJ427-BK427</f>
        <v>4722.22222222222</v>
      </c>
      <c r="BM427" s="15" t="n">
        <f aca="false">(BM426)+Y427</f>
        <v>-56129.2646198831</v>
      </c>
      <c r="BN427" s="15" t="n">
        <f aca="false">(BN426)+AW427+AX427+AZ427</f>
        <v>130000</v>
      </c>
      <c r="BO427" s="15" t="n">
        <f aca="false">(BO426)+AY427</f>
        <v>0</v>
      </c>
      <c r="BP427" s="15" t="n">
        <f aca="false">0</f>
        <v>0</v>
      </c>
      <c r="BQ427" s="15" t="n">
        <f aca="false">BN427+BM427-BO427</f>
        <v>73870.735380117</v>
      </c>
      <c r="BR427" s="15" t="n">
        <f aca="false">BH427+AD427+BL427+MAX(0,-AM427)+MAX(0,-AR427)+AG427</f>
        <v>99874.5909152047</v>
      </c>
      <c r="BS427" s="15" t="n">
        <f aca="false">AJ427+AV427+MAX(0,AM427)+MAX(0,AR427)+BC427+BG427+BQ427</f>
        <v>99874.5909152047</v>
      </c>
      <c r="BT427" s="15" t="n">
        <f aca="false">BR427-BS427</f>
        <v>0</v>
      </c>
      <c r="BU427" s="15" t="n">
        <f aca="false">BH427-(BD427+BE427-BF427-AY427)</f>
        <v>0</v>
      </c>
      <c r="BV427" s="15" t="n">
        <f aca="false">MIN(Piano_SS!$C$6,(BV426)+IF(AND(Motore_Operativo!C427&gt;=EDATE(Parametri_v3!$C$24,Ipotesi!J14*12),Motore_Operativo!C427&lt;EDATE(Parametri_v3!$C$24,Parametri_v3!$C$25+Ipotesi!J14*12)),MAX(0,(Motore_Operativo!Y427+Motore_Operativo!X427*Parametri_v3!$C$14)*(1-Parametri_v3!$C$32))*Piano_SS!$D$6,0))</f>
        <v>0</v>
      </c>
      <c r="BW427" s="15" t="n">
        <f aca="false">MIN(Piano_SS!$C$7,(BW426)+IF(AND(Motore_Operativo!C427&gt;=EDATE(Parametri_v3!$C$24,Ipotesi!J14*12),Motore_Operativo!C427&lt;EDATE(Parametri_v3!$C$24,Parametri_v3!$C$25+Ipotesi!J14*12)),MAX(0,(IF(3-(INT((Ipotesi!$C$91)/30))&lt;1,0,INDEX(Motore_Operativo!$BN$425:$BN$484,MAX(1,3-(INT((Ipotesi!$C$91)/30)))))*(1-(MOD((Ipotesi!$C$91),30)/30))+IF(3-(INT((Ipotesi!$C$91)/30))-1&lt;1,0,INDEX(Motore_Operativo!$BN$425:$BN$484,MAX(1,3-(INT((Ipotesi!$C$91)/30))-1)))*(MOD((Ipotesi!$C$91),30)/30)))*Piano_SS!$D$7,0))</f>
        <v>0</v>
      </c>
      <c r="BX427" s="15" t="n">
        <f aca="false">MIN(Piano_SS!$C$8,(BX426)+IF(AND(Motore_Operativo!C427&gt;=EDATE(Parametri_v3!$C$24,Ipotesi!J14*12),Motore_Operativo!C427&lt;EDATE(Parametri_v3!$C$24,Parametri_v3!$C$25+Ipotesi!J14*12)),MAX(0,Motore_Operativo!CE427)*Piano_SS!$D$8,0))</f>
        <v>0</v>
      </c>
      <c r="BY427" s="15" t="n">
        <f aca="false">MIN(Piano_SS!$C$9,(BY426)+IF(AND(Motore_Operativo!C427&gt;=EDATE(Parametri_v3!$C$24,Ipotesi!J14*12),Motore_Operativo!C427&lt;EDATE(Parametri_v3!$C$24,Parametri_v3!$C$25+Ipotesi!J14*12)),MAX(0,((IF(3-(INT((Ipotesi!$C$91)/30))&lt;1,0,INDEX(Motore_Operativo!$BQ$425:$BQ$484,MAX(1,3-(INT((Ipotesi!$C$91)/30)))))*(1-(MOD((Ipotesi!$C$91),30)/30))+IF(3-(INT((Ipotesi!$C$91)/30))-1&lt;1,0,INDEX(Motore_Operativo!$BQ$425:$BQ$484,MAX(1,3-(INT((Ipotesi!$C$91)/30))-1)))*(MOD((Ipotesi!$C$91),30)/30))+(IF(3-(INT((Ipotesi!$C$91)/30))&lt;1,0,INDEX(Motore_Operativo!$BR$425:$BR$484,MAX(1,3-(INT((Ipotesi!$C$91)/30)))))*(1-(MOD((Ipotesi!$C$91),30)/30))+IF(3-(INT((Ipotesi!$C$91)/30))-1&lt;1,0,INDEX(Motore_Operativo!$BR$425:$BR$484,MAX(1,3-(INT((Ipotesi!$C$91)/30))-1)))*(MOD((Ipotesi!$C$91),30)/30))))*Piano_SS!$D$9,0))</f>
        <v>0</v>
      </c>
      <c r="BZ427" s="15" t="n">
        <f aca="false">MIN(Piano_SS!$C$10,(BZ426)+IF(AND(Motore_Operativo!C427&gt;=EDATE(Parametri_v3!$C$24,Ipotesi!J14*12),Motore_Operativo!C427&lt;EDATE(Parametri_v3!$C$24,Parametri_v3!$C$25+Ipotesi!J14*12)),MAX(0,(IF(3-(INT((Ipotesi!$C$91)/30))&lt;1,0,INDEX(Motore_Operativo!$BO$425:$BO$484,MAX(1,3-(INT((Ipotesi!$C$91)/30)))))*(1-(MOD((Ipotesi!$C$91),30)/30))+IF(3-(INT((Ipotesi!$C$91)/30))-1&lt;1,0,INDEX(Motore_Operativo!$BO$425:$BO$484,MAX(1,3-(INT((Ipotesi!$C$91)/30))-1)))*(MOD((Ipotesi!$C$91),30)/30)))*Piano_SS!$D$10,0))</f>
        <v>0</v>
      </c>
      <c r="CA427" s="15" t="n">
        <f aca="false">SUM(BV427:BZ427)</f>
        <v>0</v>
      </c>
      <c r="CB427" s="15" t="n">
        <f aca="false">BV427*(1-Piano_SS!$E$6)+BW427*(1-Piano_SS!$E$7)+BX427*(1-Piano_SS!$E$8)+BY427*(1-Piano_SS!$E$9)+BZ427*(1-Piano_SS!$E$10)</f>
        <v>0</v>
      </c>
      <c r="CC427" s="15" t="n">
        <f aca="false">(CC426)+BA427</f>
        <v>0</v>
      </c>
      <c r="CD427" s="15" t="n">
        <f aca="false">IF(CA427=0,0,CC427*CB427/CA427*Ipotesi!$C$103*Parametri_v3!$C$64)</f>
        <v>0</v>
      </c>
      <c r="CE427" s="18" t="n">
        <f aca="false">IF(BA427&gt;0,Motore_Operativo!C427,(CE426))</f>
        <v>0</v>
      </c>
      <c r="CF427" s="18" t="n">
        <f aca="false">IF(AND(CC427&gt;0,OR(CC427&gt;=CG427-0.01,Motore_Operativo!C427&gt;=EDATE(MAX(Finanziamenti!$D$15:$D$17),Ipotesi!J14*12))),CE427,0)</f>
        <v>0</v>
      </c>
      <c r="CG427" s="15" t="n">
        <f aca="false">IF(AND(8&lt;&gt;6,8&lt;&gt;9,Finanziamenti!$F$11=1,OR(Parametri_v3!$C$6=0,Finanziamenti!$E$11=1)),MIN(Finanziamenti!$C$11,Piano_SS!$C$12*Ipotesi!$C$102),0)</f>
        <v>400000</v>
      </c>
      <c r="CH427" s="15" t="n">
        <f aca="false">IF(AND(AND(8&lt;&gt;8,8&lt;&gt;9,Finanziamenti!$F$10=1,OR(Parametri_v3!$C$6=0,Finanziamenti!$E$10=1)),Motore_Operativo!C427&gt;=Finanziamenti!$D$10,Motore_Operativo!C427&lt;Parametri_v3!$C$63),Finanziamenti!$C$10,0)</f>
        <v>0</v>
      </c>
    </row>
    <row r="428" customFormat="false" ht="18" hidden="false" customHeight="true" outlineLevel="0" collapsed="false">
      <c r="A428" s="68" t="n">
        <f aca="false">8</f>
        <v>8</v>
      </c>
      <c r="B428" s="68" t="n">
        <f aca="false">4</f>
        <v>4</v>
      </c>
      <c r="C428" s="18" t="n">
        <f aca="false">Motore_Operativo!C428</f>
        <v>46478</v>
      </c>
      <c r="D428" s="68" t="n">
        <f aca="false">Motore_Operativo!D428</f>
        <v>2027</v>
      </c>
      <c r="E428" s="68" t="n">
        <f aca="false">Motore_Operativo!E428</f>
        <v>4</v>
      </c>
      <c r="F428" s="15" t="n">
        <f aca="false">Motore_Operativo!AQ428+Motore_Operativo!BF428</f>
        <v>7546.2962962963</v>
      </c>
      <c r="G428" s="15" t="n">
        <f aca="false">Motore_Operativo!BH428</f>
        <v>1621.05263157895</v>
      </c>
      <c r="H428" s="15" t="n">
        <f aca="false">Motore_Operativo!BI428</f>
        <v>9167.34892787525</v>
      </c>
      <c r="I428" s="15" t="n">
        <f aca="false">Motore_Operativo!CA428</f>
        <v>27744.6963937622</v>
      </c>
      <c r="J428" s="15" t="n">
        <f aca="false">Motore_Operativo!CC428</f>
        <v>-18577.3474658869</v>
      </c>
      <c r="K428" s="15" t="n">
        <f aca="false">Motore_Operativo!CE428</f>
        <v>1666.66666666667</v>
      </c>
      <c r="L428" s="15" t="n">
        <f aca="false">SUM(INDEX($K$425:$K$484,MAX(1,4-Parametri_v3!$C$59+1)):K428)/Parametri_v3!$C$59</f>
        <v>185.185185185185</v>
      </c>
      <c r="M428" s="15" t="n">
        <f aca="false">J428-L428</f>
        <v>-18762.5326510721</v>
      </c>
      <c r="N428" s="15" t="n">
        <f aca="false">CD428-(CD427)</f>
        <v>0</v>
      </c>
      <c r="O428" s="15" t="n">
        <f aca="false">(BG427)*Ipotesi!$C$110/12+CH428*Parametri_v3!$C$39/12</f>
        <v>0</v>
      </c>
      <c r="P428" s="15" t="n">
        <f aca="false">M428+N428-O428</f>
        <v>-18762.5326510721</v>
      </c>
      <c r="Q428" s="15" t="n">
        <f aca="false">SUM(P425:P428)+Parametri_v3!$C$54*4/12</f>
        <v>-74891.7972709552</v>
      </c>
      <c r="R428" s="15" t="n">
        <f aca="false">0</f>
        <v>0</v>
      </c>
      <c r="S428" s="15" t="n">
        <f aca="false">0</f>
        <v>0</v>
      </c>
      <c r="T428" s="15" t="n">
        <f aca="false">MIN(R428,MAX(0,Q428))</f>
        <v>0</v>
      </c>
      <c r="U428" s="15" t="n">
        <f aca="false">MIN(S428,MAX(0,Q428-T428)*Parametri_v3!$C$42)</f>
        <v>0</v>
      </c>
      <c r="V428" s="15" t="n">
        <f aca="false">MAX(0,Q428-T428-U428)*Ipotesi!$C$92</f>
        <v>0</v>
      </c>
      <c r="W428" s="15" t="n">
        <f aca="false">MAX(0,SUM(M425:M428)+Parametri_v3!$C$55*4/12)*Ipotesi!$C$93</f>
        <v>0</v>
      </c>
      <c r="X428" s="15" t="n">
        <f aca="false">V428+W428-(V427+W427)</f>
        <v>0</v>
      </c>
      <c r="Y428" s="15" t="n">
        <f aca="false">P428-X428</f>
        <v>-18762.5326510721</v>
      </c>
      <c r="Z428" s="15" t="n">
        <f aca="false">R428-T428+IF(AND(Parametri_v3!$C$40=1,D428-YEAR(Parametri_v3!$C$50)&lt;Parametri_v3!$C$41),MAX(0,-Q428),0)</f>
        <v>74891.7972709552</v>
      </c>
      <c r="AA428" s="15" t="n">
        <f aca="false">S428-U428+IF(AND(Parametri_v3!$C$40=1,D428-YEAR(Parametri_v3!$C$50)&lt;Parametri_v3!$C$41),0,MAX(0,-Q428))</f>
        <v>0</v>
      </c>
      <c r="AB428" s="15" t="n">
        <f aca="false">F428*(1+Parametri_v3!$C$26)</f>
        <v>9206.48148148148</v>
      </c>
      <c r="AC428" s="15" t="n">
        <f aca="false">(IF(4-(INT((Motore_Operativo!L428)/30))&lt;1,0,INDEX(Motore_Startup!$AB$425:$AB$484,MAX(1,4-(INT((Motore_Operativo!L428)/30)))))*(1-(MOD((Motore_Operativo!L428),30)/30))+IF(4-(INT((Motore_Operativo!L428)/30))-1&lt;1,0,INDEX(Motore_Startup!$AB$425:$AB$484,MAX(1,4-(INT((Motore_Operativo!L428)/30))-1)))*(MOD((Motore_Operativo!L428),30)/30))</f>
        <v>9150</v>
      </c>
      <c r="AD428" s="15" t="n">
        <f aca="false">(AD427)+AB428-AC428</f>
        <v>27506.4814814815</v>
      </c>
      <c r="AE428" s="15" t="n">
        <f aca="false">Motore_Operativo!BH428*(1+Parametri_v3!$C$26)</f>
        <v>1977.68421052632</v>
      </c>
      <c r="AF428" s="15" t="n">
        <f aca="false">(IF(4-(INT((Parametri_v3!$C$29)/30))&lt;1,0,INDEX(Motore_Operativo!$BH$425:$BH$484,MAX(1,4-(INT((Parametri_v3!$C$29)/30)))))*(1-(MOD((Parametri_v3!$C$29),30)/30))+IF(4-(INT((Parametri_v3!$C$29)/30))-1&lt;1,0,INDEX(Motore_Operativo!$BH$425:$BH$484,MAX(1,4-(INT((Parametri_v3!$C$29)/30))-1)))*(MOD((Parametri_v3!$C$29),30)/30))*(1+Parametri_v3!$C$26)</f>
        <v>1977.68421052632</v>
      </c>
      <c r="AG428" s="15" t="n">
        <f aca="false">(AG427)+AE428-AF428</f>
        <v>1977.68421052632</v>
      </c>
      <c r="AH428" s="15" t="n">
        <f aca="false">(Motore_Operativo!CJ428)*(1+Parametri_v3!$C$27*Parametri_v3!$C$26)</f>
        <v>11665.8712860624</v>
      </c>
      <c r="AI428" s="15" t="n">
        <f aca="false">(IF(4-(INT((Ipotesi!$C$91)/30))&lt;1,0,INDEX(Motore_Startup!$AH$425:$AH$484,MAX(1,4-(INT((Ipotesi!$C$91)/30)))))*(1-(MOD((Ipotesi!$C$91),30)/30))+IF(4-(INT((Ipotesi!$C$91)/30))-1&lt;1,0,INDEX(Motore_Startup!$AH$425:$AH$484,MAX(1,4-(INT((Ipotesi!$C$91)/30))-1)))*(MOD((Ipotesi!$C$91),30)/30))</f>
        <v>11658.1777675439</v>
      </c>
      <c r="AJ428" s="15" t="n">
        <f aca="false">(AJ427)+AH428-AI428</f>
        <v>23324.0490536062</v>
      </c>
      <c r="AK428" s="15" t="n">
        <f aca="false">(F428+ Motore_Operativo!BH428-(Motore_Operativo!CJ428)*Parametri_v3!$C$27-Motore_Operativo!CE428)*Parametri_v3!$C$26</f>
        <v>-187.691461500974</v>
      </c>
      <c r="AL428" s="15" t="n">
        <f aca="false">MAX(0,(AM427))</f>
        <v>0</v>
      </c>
      <c r="AM428" s="15" t="n">
        <f aca="false">(AM427)+AK428-AL428</f>
        <v>-777.685290448342</v>
      </c>
      <c r="AN428" s="15" t="n">
        <f aca="false">0</f>
        <v>0</v>
      </c>
      <c r="AO428" s="15" t="n">
        <f aca="false">0</f>
        <v>0</v>
      </c>
      <c r="AP428" s="15" t="n">
        <f aca="false">MAX(0,AN428)*IF(4=Parametri_v3!$C$43,Parametri_v3!$C$45,IF(4=Parametri_v3!$C$44,1-Parametri_v3!$C$45,0))</f>
        <v>0</v>
      </c>
      <c r="AQ428" s="15" t="n">
        <f aca="false">MAX(0,AP428+IF(4=Parametri_v3!$C$43,MAX(0,AN428-AO428),0)-MAX(0,-(AR427)))</f>
        <v>0</v>
      </c>
      <c r="AR428" s="15" t="n">
        <f aca="false">(AR427)+X428-AQ428</f>
        <v>0</v>
      </c>
      <c r="AS428" s="15" t="n">
        <f aca="false">Motore_Operativo!AB428-AT428+AU428</f>
        <v>17020.8333333333</v>
      </c>
      <c r="AT428" s="15" t="n">
        <f aca="false">Motore_Operativo!CH428</f>
        <v>895.833333333334</v>
      </c>
      <c r="AU428" s="15" t="n">
        <f aca="false">MIN(MAX(0,(AV427)+AT428),Parametri_v3!$C$60/12)</f>
        <v>0</v>
      </c>
      <c r="AV428" s="15" t="n">
        <f aca="false">(AV427)+AT428-AU428</f>
        <v>3583.33333333333</v>
      </c>
      <c r="AW428" s="15" t="n">
        <f aca="false">IF(AND(Motore_Operativo!C428=Finanziamenti!$D$6,Finanziamenti!$F$6=1),Finanziamenti!$C$6,0)</f>
        <v>0</v>
      </c>
      <c r="AX428" s="15" t="n">
        <f aca="false">IF(AND(8&lt;&gt;7,8&lt;&gt;9,Finanziamenti!$F$8=1,OR(Parametri_v3!$C$6=0,Finanziamenti!$E$8=1),Motore_Operativo!C428=EDATE(Finanziamenti!$D$8,Ipotesi!J15*12)),Finanziamenti!$C$8*1,0)+IF(AND(8&lt;&gt;7,8&lt;&gt;9,Finanziamenti!$F$9=1,OR(Parametri_v3!$C$6=0,Finanziamenti!$E$9=1),Motore_Operativo!C428=EDATE(Finanziamenti!$D$9,Ipotesi!J15*12)),Finanziamenti!$C$9*Ipotesi!J16,0)</f>
        <v>0</v>
      </c>
      <c r="AY428" s="15" t="n">
        <f aca="false">0</f>
        <v>0</v>
      </c>
      <c r="AZ428" s="15" t="n">
        <f aca="false">Motore_Advisory!AY428*(1-Ipotesi!$C$95)*Ipotesi!$C$96</f>
        <v>0</v>
      </c>
      <c r="BA428" s="15" t="n">
        <f aca="false">MAX(0,MIN(CG428*MIN(1,IF(Motore_Operativo!C428&gt;=EDATE(Finanziamenti!$D$15,Ipotesi!J14*12),Finanziamenti!$C$15,0)+IF(Motore_Operativo!C428&gt;=EDATE(Finanziamenti!$D$16,Ipotesi!J14*12),Finanziamenti!$C$16,0)+IF(Motore_Operativo!C428&gt;=EDATE(Finanziamenti!$D$17,Ipotesi!J14*12),Finanziamenti!$C$17,0)),CA428*Ipotesi!$C$102)-(CC427))</f>
        <v>0</v>
      </c>
      <c r="BB428" s="15" t="n">
        <f aca="false">IF(AND(CF428&gt;0,Motore_Operativo!C428&gt;=IF(CF428=0,0,EDATE(CF428,Parametri_v3!$C$37)),MOD(((D428-YEAR(IF(CF428=0,0,EDATE(CF428,Parametri_v3!$C$37))))*12+E428-MONTH(IF(CF428=0,0,EDATE(CF428,Parametri_v3!$C$37)))),Parametri_v3!$C$38)=0),MIN(MAX(0,(BC427)+BA428-N428),(CC428-CD428)/(Ipotesi!$C$108*12/Parametri_v3!$C$38)),0)</f>
        <v>0</v>
      </c>
      <c r="BC428" s="15" t="n">
        <f aca="false">(BC427)+BA428-N428-BB428</f>
        <v>0</v>
      </c>
      <c r="BD428" s="15" t="n">
        <f aca="false">(BH427)+AC428+AF428-AI428-AS428-K428*(1+Parametri_v3!$C$26)-AL428-AQ428-O428+AW428+AX428+AZ428+BA428-BB428</f>
        <v>45550.0304298246</v>
      </c>
      <c r="BE428" s="15" t="n">
        <f aca="false">MAX(0,MIN(MAX(0,CH428-(BG427)),Parametri_v3!$C$30-BD428))</f>
        <v>0</v>
      </c>
      <c r="BF428" s="15" t="n">
        <f aca="false">IF(Motore_Operativo!C428&gt;=Parametri_v3!$C$63,(BG427),MIN((BG427),MAX(0,BD428-Parametri_v3!$C$30)))</f>
        <v>0</v>
      </c>
      <c r="BG428" s="15" t="n">
        <f aca="false">(BG427)+BE428-BF428</f>
        <v>0</v>
      </c>
      <c r="BH428" s="15" t="n">
        <f aca="false">BD428+BE428-BF428-AY428</f>
        <v>45550.0304298246</v>
      </c>
      <c r="BI428" s="15" t="n">
        <f aca="false">MAX(0,Parametri_v3!$C$30-BH428)</f>
        <v>0</v>
      </c>
      <c r="BJ428" s="15" t="n">
        <f aca="false">(BJ427)+K428</f>
        <v>6666.66666666667</v>
      </c>
      <c r="BK428" s="15" t="n">
        <f aca="false">(BK427)+L428</f>
        <v>462.962962962963</v>
      </c>
      <c r="BL428" s="15" t="n">
        <f aca="false">BJ428-BK428</f>
        <v>6203.7037037037</v>
      </c>
      <c r="BM428" s="15" t="n">
        <f aca="false">(BM427)+Y428</f>
        <v>-74891.7972709552</v>
      </c>
      <c r="BN428" s="15" t="n">
        <f aca="false">(BN427)+AW428+AX428+AZ428</f>
        <v>130000</v>
      </c>
      <c r="BO428" s="15" t="n">
        <f aca="false">(BO427)+AY428</f>
        <v>0</v>
      </c>
      <c r="BP428" s="15" t="n">
        <f aca="false">0</f>
        <v>0</v>
      </c>
      <c r="BQ428" s="15" t="n">
        <f aca="false">BN428+BM428-BO428</f>
        <v>55108.2027290448</v>
      </c>
      <c r="BR428" s="15" t="n">
        <f aca="false">BH428+AD428+BL428+MAX(0,-AM428)+MAX(0,-AR428)+AG428</f>
        <v>82015.5851159844</v>
      </c>
      <c r="BS428" s="15" t="n">
        <f aca="false">AJ428+AV428+MAX(0,AM428)+MAX(0,AR428)+BC428+BG428+BQ428</f>
        <v>82015.5851159844</v>
      </c>
      <c r="BT428" s="15" t="n">
        <f aca="false">BR428-BS428</f>
        <v>0</v>
      </c>
      <c r="BU428" s="15" t="n">
        <f aca="false">BH428-(BD428+BE428-BF428-AY428)</f>
        <v>0</v>
      </c>
      <c r="BV428" s="15" t="n">
        <f aca="false">MIN(Piano_SS!$C$6,(BV427)+IF(AND(Motore_Operativo!C428&gt;=EDATE(Parametri_v3!$C$24,Ipotesi!J14*12),Motore_Operativo!C428&lt;EDATE(Parametri_v3!$C$24,Parametri_v3!$C$25+Ipotesi!J14*12)),MAX(0,(Motore_Operativo!Y428+Motore_Operativo!X428*Parametri_v3!$C$14)*(1-Parametri_v3!$C$32))*Piano_SS!$D$6,0))</f>
        <v>0</v>
      </c>
      <c r="BW428" s="15" t="n">
        <f aca="false">MIN(Piano_SS!$C$7,(BW427)+IF(AND(Motore_Operativo!C428&gt;=EDATE(Parametri_v3!$C$24,Ipotesi!J14*12),Motore_Operativo!C428&lt;EDATE(Parametri_v3!$C$24,Parametri_v3!$C$25+Ipotesi!J14*12)),MAX(0,(IF(4-(INT((Ipotesi!$C$91)/30))&lt;1,0,INDEX(Motore_Operativo!$BN$425:$BN$484,MAX(1,4-(INT((Ipotesi!$C$91)/30)))))*(1-(MOD((Ipotesi!$C$91),30)/30))+IF(4-(INT((Ipotesi!$C$91)/30))-1&lt;1,0,INDEX(Motore_Operativo!$BN$425:$BN$484,MAX(1,4-(INT((Ipotesi!$C$91)/30))-1)))*(MOD((Ipotesi!$C$91),30)/30)))*Piano_SS!$D$7,0))</f>
        <v>0</v>
      </c>
      <c r="BX428" s="15" t="n">
        <f aca="false">MIN(Piano_SS!$C$8,(BX427)+IF(AND(Motore_Operativo!C428&gt;=EDATE(Parametri_v3!$C$24,Ipotesi!J14*12),Motore_Operativo!C428&lt;EDATE(Parametri_v3!$C$24,Parametri_v3!$C$25+Ipotesi!J14*12)),MAX(0,Motore_Operativo!CE428)*Piano_SS!$D$8,0))</f>
        <v>0</v>
      </c>
      <c r="BY428" s="15" t="n">
        <f aca="false">MIN(Piano_SS!$C$9,(BY427)+IF(AND(Motore_Operativo!C428&gt;=EDATE(Parametri_v3!$C$24,Ipotesi!J14*12),Motore_Operativo!C428&lt;EDATE(Parametri_v3!$C$24,Parametri_v3!$C$25+Ipotesi!J14*12)),MAX(0,((IF(4-(INT((Ipotesi!$C$91)/30))&lt;1,0,INDEX(Motore_Operativo!$BQ$425:$BQ$484,MAX(1,4-(INT((Ipotesi!$C$91)/30)))))*(1-(MOD((Ipotesi!$C$91),30)/30))+IF(4-(INT((Ipotesi!$C$91)/30))-1&lt;1,0,INDEX(Motore_Operativo!$BQ$425:$BQ$484,MAX(1,4-(INT((Ipotesi!$C$91)/30))-1)))*(MOD((Ipotesi!$C$91),30)/30))+(IF(4-(INT((Ipotesi!$C$91)/30))&lt;1,0,INDEX(Motore_Operativo!$BR$425:$BR$484,MAX(1,4-(INT((Ipotesi!$C$91)/30)))))*(1-(MOD((Ipotesi!$C$91),30)/30))+IF(4-(INT((Ipotesi!$C$91)/30))-1&lt;1,0,INDEX(Motore_Operativo!$BR$425:$BR$484,MAX(1,4-(INT((Ipotesi!$C$91)/30))-1)))*(MOD((Ipotesi!$C$91),30)/30))))*Piano_SS!$D$9,0))</f>
        <v>0</v>
      </c>
      <c r="BZ428" s="15" t="n">
        <f aca="false">MIN(Piano_SS!$C$10,(BZ427)+IF(AND(Motore_Operativo!C428&gt;=EDATE(Parametri_v3!$C$24,Ipotesi!J14*12),Motore_Operativo!C428&lt;EDATE(Parametri_v3!$C$24,Parametri_v3!$C$25+Ipotesi!J14*12)),MAX(0,(IF(4-(INT((Ipotesi!$C$91)/30))&lt;1,0,INDEX(Motore_Operativo!$BO$425:$BO$484,MAX(1,4-(INT((Ipotesi!$C$91)/30)))))*(1-(MOD((Ipotesi!$C$91),30)/30))+IF(4-(INT((Ipotesi!$C$91)/30))-1&lt;1,0,INDEX(Motore_Operativo!$BO$425:$BO$484,MAX(1,4-(INT((Ipotesi!$C$91)/30))-1)))*(MOD((Ipotesi!$C$91),30)/30)))*Piano_SS!$D$10,0))</f>
        <v>0</v>
      </c>
      <c r="CA428" s="15" t="n">
        <f aca="false">SUM(BV428:BZ428)</f>
        <v>0</v>
      </c>
      <c r="CB428" s="15" t="n">
        <f aca="false">BV428*(1-Piano_SS!$E$6)+BW428*(1-Piano_SS!$E$7)+BX428*(1-Piano_SS!$E$8)+BY428*(1-Piano_SS!$E$9)+BZ428*(1-Piano_SS!$E$10)</f>
        <v>0</v>
      </c>
      <c r="CC428" s="15" t="n">
        <f aca="false">(CC427)+BA428</f>
        <v>0</v>
      </c>
      <c r="CD428" s="15" t="n">
        <f aca="false">IF(CA428=0,0,CC428*CB428/CA428*Ipotesi!$C$103*Parametri_v3!$C$64)</f>
        <v>0</v>
      </c>
      <c r="CE428" s="18" t="n">
        <f aca="false">IF(BA428&gt;0,Motore_Operativo!C428,(CE427))</f>
        <v>0</v>
      </c>
      <c r="CF428" s="18" t="n">
        <f aca="false">IF(AND(CC428&gt;0,OR(CC428&gt;=CG428-0.01,Motore_Operativo!C428&gt;=EDATE(MAX(Finanziamenti!$D$15:$D$17),Ipotesi!J14*12))),CE428,0)</f>
        <v>0</v>
      </c>
      <c r="CG428" s="15" t="n">
        <f aca="false">IF(AND(8&lt;&gt;6,8&lt;&gt;9,Finanziamenti!$F$11=1,OR(Parametri_v3!$C$6=0,Finanziamenti!$E$11=1)),MIN(Finanziamenti!$C$11,Piano_SS!$C$12*Ipotesi!$C$102),0)</f>
        <v>400000</v>
      </c>
      <c r="CH428" s="15" t="n">
        <f aca="false">IF(AND(AND(8&lt;&gt;8,8&lt;&gt;9,Finanziamenti!$F$10=1,OR(Parametri_v3!$C$6=0,Finanziamenti!$E$10=1)),Motore_Operativo!C428&gt;=Finanziamenti!$D$10,Motore_Operativo!C428&lt;Parametri_v3!$C$63),Finanziamenti!$C$10,0)</f>
        <v>0</v>
      </c>
    </row>
    <row r="429" customFormat="false" ht="18" hidden="false" customHeight="true" outlineLevel="0" collapsed="false">
      <c r="A429" s="68" t="n">
        <f aca="false">8</f>
        <v>8</v>
      </c>
      <c r="B429" s="68" t="n">
        <f aca="false">5</f>
        <v>5</v>
      </c>
      <c r="C429" s="18" t="n">
        <f aca="false">Motore_Operativo!C429</f>
        <v>46508</v>
      </c>
      <c r="D429" s="68" t="n">
        <f aca="false">Motore_Operativo!D429</f>
        <v>2027</v>
      </c>
      <c r="E429" s="68" t="n">
        <f aca="false">Motore_Operativo!E429</f>
        <v>5</v>
      </c>
      <c r="F429" s="15" t="n">
        <f aca="false">Motore_Operativo!AQ429+Motore_Operativo!BF429</f>
        <v>7638.88888888889</v>
      </c>
      <c r="G429" s="15" t="n">
        <f aca="false">Motore_Operativo!BH429</f>
        <v>1621.05263157895</v>
      </c>
      <c r="H429" s="15" t="n">
        <f aca="false">Motore_Operativo!BI429</f>
        <v>9259.94152046784</v>
      </c>
      <c r="I429" s="15" t="n">
        <f aca="false">Motore_Operativo!CA429</f>
        <v>27757.6593567251</v>
      </c>
      <c r="J429" s="15" t="n">
        <f aca="false">Motore_Operativo!CC429</f>
        <v>-18497.7178362573</v>
      </c>
      <c r="K429" s="15" t="n">
        <f aca="false">Motore_Operativo!CE429</f>
        <v>1666.66666666667</v>
      </c>
      <c r="L429" s="15" t="n">
        <f aca="false">SUM(INDEX($K$425:$K$484,MAX(1,5-Parametri_v3!$C$59+1)):K429)/Parametri_v3!$C$59</f>
        <v>231.481481481482</v>
      </c>
      <c r="M429" s="15" t="n">
        <f aca="false">J429-L429</f>
        <v>-18729.1993177388</v>
      </c>
      <c r="N429" s="15" t="n">
        <f aca="false">CD429-(CD428)</f>
        <v>0</v>
      </c>
      <c r="O429" s="15" t="n">
        <f aca="false">(BG428)*Ipotesi!$C$110/12+CH429*Parametri_v3!$C$39/12</f>
        <v>0</v>
      </c>
      <c r="P429" s="15" t="n">
        <f aca="false">M429+N429-O429</f>
        <v>-18729.1993177388</v>
      </c>
      <c r="Q429" s="15" t="n">
        <f aca="false">SUM(P425:P429)+Parametri_v3!$C$54*5/12</f>
        <v>-93620.996588694</v>
      </c>
      <c r="R429" s="15" t="n">
        <f aca="false">0</f>
        <v>0</v>
      </c>
      <c r="S429" s="15" t="n">
        <f aca="false">0</f>
        <v>0</v>
      </c>
      <c r="T429" s="15" t="n">
        <f aca="false">MIN(R429,MAX(0,Q429))</f>
        <v>0</v>
      </c>
      <c r="U429" s="15" t="n">
        <f aca="false">MIN(S429,MAX(0,Q429-T429)*Parametri_v3!$C$42)</f>
        <v>0</v>
      </c>
      <c r="V429" s="15" t="n">
        <f aca="false">MAX(0,Q429-T429-U429)*Ipotesi!$C$92</f>
        <v>0</v>
      </c>
      <c r="W429" s="15" t="n">
        <f aca="false">MAX(0,SUM(M425:M429)+Parametri_v3!$C$55*5/12)*Ipotesi!$C$93</f>
        <v>0</v>
      </c>
      <c r="X429" s="15" t="n">
        <f aca="false">V429+W429-(V428+W428)</f>
        <v>0</v>
      </c>
      <c r="Y429" s="15" t="n">
        <f aca="false">P429-X429</f>
        <v>-18729.1993177388</v>
      </c>
      <c r="Z429" s="15" t="n">
        <f aca="false">R429-T429+IF(AND(Parametri_v3!$C$40=1,D429-YEAR(Parametri_v3!$C$50)&lt;Parametri_v3!$C$41),MAX(0,-Q429),0)</f>
        <v>93620.996588694</v>
      </c>
      <c r="AA429" s="15" t="n">
        <f aca="false">S429-U429+IF(AND(Parametri_v3!$C$40=1,D429-YEAR(Parametri_v3!$C$50)&lt;Parametri_v3!$C$41),0,MAX(0,-Q429))</f>
        <v>0</v>
      </c>
      <c r="AB429" s="15" t="n">
        <f aca="false">F429*(1+Parametri_v3!$C$26)</f>
        <v>9319.44444444445</v>
      </c>
      <c r="AC429" s="15" t="n">
        <f aca="false">(IF(5-(INT((Motore_Operativo!L429)/30))&lt;1,0,INDEX(Motore_Startup!$AB$425:$AB$484,MAX(1,5-(INT((Motore_Operativo!L429)/30)))))*(1-(MOD((Motore_Operativo!L429),30)/30))+IF(5-(INT((Motore_Operativo!L429)/30))-1&lt;1,0,INDEX(Motore_Startup!$AB$425:$AB$484,MAX(1,5-(INT((Motore_Operativo!L429)/30))-1)))*(MOD((Motore_Operativo!L429),30)/30))</f>
        <v>9150</v>
      </c>
      <c r="AD429" s="15" t="n">
        <f aca="false">(AD428)+AB429-AC429</f>
        <v>27675.9259259259</v>
      </c>
      <c r="AE429" s="15" t="n">
        <f aca="false">Motore_Operativo!BH429*(1+Parametri_v3!$C$26)</f>
        <v>1977.68421052632</v>
      </c>
      <c r="AF429" s="15" t="n">
        <f aca="false">(IF(5-(INT((Parametri_v3!$C$29)/30))&lt;1,0,INDEX(Motore_Operativo!$BH$425:$BH$484,MAX(1,5-(INT((Parametri_v3!$C$29)/30)))))*(1-(MOD((Parametri_v3!$C$29),30)/30))+IF(5-(INT((Parametri_v3!$C$29)/30))-1&lt;1,0,INDEX(Motore_Operativo!$BH$425:$BH$484,MAX(1,5-(INT((Parametri_v3!$C$29)/30))-1)))*(MOD((Parametri_v3!$C$29),30)/30))*(1+Parametri_v3!$C$26)</f>
        <v>1977.68421052632</v>
      </c>
      <c r="AG429" s="15" t="n">
        <f aca="false">(AG428)+AE429-AF429</f>
        <v>1977.68421052632</v>
      </c>
      <c r="AH429" s="15" t="n">
        <f aca="false">(Motore_Operativo!CJ429)*(1+Parametri_v3!$C$27*Parametri_v3!$C$26)</f>
        <v>11681.2583230994</v>
      </c>
      <c r="AI429" s="15" t="n">
        <f aca="false">(IF(5-(INT((Ipotesi!$C$91)/30))&lt;1,0,INDEX(Motore_Startup!$AH$425:$AH$484,MAX(1,5-(INT((Ipotesi!$C$91)/30)))))*(1-(MOD((Ipotesi!$C$91),30)/30))+IF(5-(INT((Ipotesi!$C$91)/30))-1&lt;1,0,INDEX(Motore_Startup!$AH$425:$AH$484,MAX(1,5-(INT((Ipotesi!$C$91)/30))-1)))*(MOD((Ipotesi!$C$91),30)/30))</f>
        <v>11658.1777675439</v>
      </c>
      <c r="AJ429" s="15" t="n">
        <f aca="false">(AJ428)+AH429-AI429</f>
        <v>23347.1296091618</v>
      </c>
      <c r="AK429" s="15" t="n">
        <f aca="false">(F429+ Motore_Operativo!BH429-(Motore_Operativo!CJ429)*Parametri_v3!$C$27-Motore_Operativo!CE429)*Parametri_v3!$C$26</f>
        <v>-169.745165204677</v>
      </c>
      <c r="AL429" s="15" t="n">
        <f aca="false">MAX(0,(AM428))</f>
        <v>0</v>
      </c>
      <c r="AM429" s="15" t="n">
        <f aca="false">(AM428)+AK429-AL429</f>
        <v>-947.430455653019</v>
      </c>
      <c r="AN429" s="15" t="n">
        <f aca="false">0</f>
        <v>0</v>
      </c>
      <c r="AO429" s="15" t="n">
        <f aca="false">0</f>
        <v>0</v>
      </c>
      <c r="AP429" s="15" t="n">
        <f aca="false">MAX(0,AN429)*IF(5=Parametri_v3!$C$43,Parametri_v3!$C$45,IF(5=Parametri_v3!$C$44,1-Parametri_v3!$C$45,0))</f>
        <v>0</v>
      </c>
      <c r="AQ429" s="15" t="n">
        <f aca="false">MAX(0,AP429+IF(5=Parametri_v3!$C$43,MAX(0,AN429-AO429),0)-MAX(0,-(AR428)))</f>
        <v>0</v>
      </c>
      <c r="AR429" s="15" t="n">
        <f aca="false">(AR428)+X429-AQ429</f>
        <v>0</v>
      </c>
      <c r="AS429" s="15" t="n">
        <f aca="false">Motore_Operativo!AB429-AT429+AU429</f>
        <v>17020.8333333333</v>
      </c>
      <c r="AT429" s="15" t="n">
        <f aca="false">Motore_Operativo!CH429</f>
        <v>895.833333333334</v>
      </c>
      <c r="AU429" s="15" t="n">
        <f aca="false">MIN(MAX(0,(AV428)+AT429),Parametri_v3!$C$60/12)</f>
        <v>0</v>
      </c>
      <c r="AV429" s="15" t="n">
        <f aca="false">(AV428)+AT429-AU429</f>
        <v>4479.16666666667</v>
      </c>
      <c r="AW429" s="15" t="n">
        <f aca="false">IF(AND(Motore_Operativo!C429=Finanziamenti!$D$6,Finanziamenti!$F$6=1),Finanziamenti!$C$6,0)</f>
        <v>0</v>
      </c>
      <c r="AX429" s="15" t="n">
        <f aca="false">IF(AND(8&lt;&gt;7,8&lt;&gt;9,Finanziamenti!$F$8=1,OR(Parametri_v3!$C$6=0,Finanziamenti!$E$8=1),Motore_Operativo!C429=EDATE(Finanziamenti!$D$8,Ipotesi!J15*12)),Finanziamenti!$C$8*1,0)+IF(AND(8&lt;&gt;7,8&lt;&gt;9,Finanziamenti!$F$9=1,OR(Parametri_v3!$C$6=0,Finanziamenti!$E$9=1),Motore_Operativo!C429=EDATE(Finanziamenti!$D$9,Ipotesi!J15*12)),Finanziamenti!$C$9*Ipotesi!J16,0)</f>
        <v>0</v>
      </c>
      <c r="AY429" s="15" t="n">
        <f aca="false">0</f>
        <v>0</v>
      </c>
      <c r="AZ429" s="15" t="n">
        <f aca="false">Motore_Advisory!AY429*(1-Ipotesi!$C$95)*Ipotesi!$C$96</f>
        <v>0</v>
      </c>
      <c r="BA429" s="15" t="n">
        <f aca="false">MAX(0,MIN(CG429*MIN(1,IF(Motore_Operativo!C429&gt;=EDATE(Finanziamenti!$D$15,Ipotesi!J14*12),Finanziamenti!$C$15,0)+IF(Motore_Operativo!C429&gt;=EDATE(Finanziamenti!$D$16,Ipotesi!J14*12),Finanziamenti!$C$16,0)+IF(Motore_Operativo!C429&gt;=EDATE(Finanziamenti!$D$17,Ipotesi!J14*12),Finanziamenti!$C$17,0)),CA429*Ipotesi!$C$102)-(CC428))</f>
        <v>0</v>
      </c>
      <c r="BB429" s="15" t="n">
        <f aca="false">IF(AND(CF429&gt;0,Motore_Operativo!C429&gt;=IF(CF429=0,0,EDATE(CF429,Parametri_v3!$C$37)),MOD(((D429-YEAR(IF(CF429=0,0,EDATE(CF429,Parametri_v3!$C$37))))*12+E429-MONTH(IF(CF429=0,0,EDATE(CF429,Parametri_v3!$C$37)))),Parametri_v3!$C$38)=0),MIN(MAX(0,(BC428)+BA429-N429),(CC429-CD429)/(Ipotesi!$C$108*12/Parametri_v3!$C$38)),0)</f>
        <v>0</v>
      </c>
      <c r="BC429" s="15" t="n">
        <f aca="false">(BC428)+BA429-N429-BB429</f>
        <v>0</v>
      </c>
      <c r="BD429" s="15" t="n">
        <f aca="false">(BH428)+AC429+AF429-AI429-AS429-K429*(1+Parametri_v3!$C$26)-AL429-AQ429-O429+AW429+AX429+AZ429+BA429-BB429</f>
        <v>25965.3702061404</v>
      </c>
      <c r="BE429" s="15" t="n">
        <f aca="false">MAX(0,MIN(MAX(0,CH429-(BG428)),Parametri_v3!$C$30-BD429))</f>
        <v>0</v>
      </c>
      <c r="BF429" s="15" t="n">
        <f aca="false">IF(Motore_Operativo!C429&gt;=Parametri_v3!$C$63,(BG428),MIN((BG428),MAX(0,BD429-Parametri_v3!$C$30)))</f>
        <v>0</v>
      </c>
      <c r="BG429" s="15" t="n">
        <f aca="false">(BG428)+BE429-BF429</f>
        <v>0</v>
      </c>
      <c r="BH429" s="15" t="n">
        <f aca="false">BD429+BE429-BF429-AY429</f>
        <v>25965.3702061404</v>
      </c>
      <c r="BI429" s="15" t="n">
        <f aca="false">MAX(0,Parametri_v3!$C$30-BH429)</f>
        <v>0</v>
      </c>
      <c r="BJ429" s="15" t="n">
        <f aca="false">(BJ428)+K429</f>
        <v>8333.33333333333</v>
      </c>
      <c r="BK429" s="15" t="n">
        <f aca="false">(BK428)+L429</f>
        <v>694.444444444445</v>
      </c>
      <c r="BL429" s="15" t="n">
        <f aca="false">BJ429-BK429</f>
        <v>7638.88888888889</v>
      </c>
      <c r="BM429" s="15" t="n">
        <f aca="false">(BM428)+Y429</f>
        <v>-93620.996588694</v>
      </c>
      <c r="BN429" s="15" t="n">
        <f aca="false">(BN428)+AW429+AX429+AZ429</f>
        <v>130000</v>
      </c>
      <c r="BO429" s="15" t="n">
        <f aca="false">(BO428)+AY429</f>
        <v>0</v>
      </c>
      <c r="BP429" s="15" t="n">
        <f aca="false">0</f>
        <v>0</v>
      </c>
      <c r="BQ429" s="15" t="n">
        <f aca="false">BN429+BM429-BO429</f>
        <v>36379.003411306</v>
      </c>
      <c r="BR429" s="15" t="n">
        <f aca="false">BH429+AD429+BL429+MAX(0,-AM429)+MAX(0,-AR429)+AG429</f>
        <v>64205.2996871345</v>
      </c>
      <c r="BS429" s="15" t="n">
        <f aca="false">AJ429+AV429+MAX(0,AM429)+MAX(0,AR429)+BC429+BG429+BQ429</f>
        <v>64205.2996871345</v>
      </c>
      <c r="BT429" s="15" t="n">
        <f aca="false">BR429-BS429</f>
        <v>0</v>
      </c>
      <c r="BU429" s="15" t="n">
        <f aca="false">BH429-(BD429+BE429-BF429-AY429)</f>
        <v>0</v>
      </c>
      <c r="BV429" s="15" t="n">
        <f aca="false">MIN(Piano_SS!$C$6,(BV428)+IF(AND(Motore_Operativo!C429&gt;=EDATE(Parametri_v3!$C$24,Ipotesi!J14*12),Motore_Operativo!C429&lt;EDATE(Parametri_v3!$C$24,Parametri_v3!$C$25+Ipotesi!J14*12)),MAX(0,(Motore_Operativo!Y429+Motore_Operativo!X429*Parametri_v3!$C$14)*(1-Parametri_v3!$C$32))*Piano_SS!$D$6,0))</f>
        <v>0</v>
      </c>
      <c r="BW429" s="15" t="n">
        <f aca="false">MIN(Piano_SS!$C$7,(BW428)+IF(AND(Motore_Operativo!C429&gt;=EDATE(Parametri_v3!$C$24,Ipotesi!J14*12),Motore_Operativo!C429&lt;EDATE(Parametri_v3!$C$24,Parametri_v3!$C$25+Ipotesi!J14*12)),MAX(0,(IF(5-(INT((Ipotesi!$C$91)/30))&lt;1,0,INDEX(Motore_Operativo!$BN$425:$BN$484,MAX(1,5-(INT((Ipotesi!$C$91)/30)))))*(1-(MOD((Ipotesi!$C$91),30)/30))+IF(5-(INT((Ipotesi!$C$91)/30))-1&lt;1,0,INDEX(Motore_Operativo!$BN$425:$BN$484,MAX(1,5-(INT((Ipotesi!$C$91)/30))-1)))*(MOD((Ipotesi!$C$91),30)/30)))*Piano_SS!$D$7,0))</f>
        <v>0</v>
      </c>
      <c r="BX429" s="15" t="n">
        <f aca="false">MIN(Piano_SS!$C$8,(BX428)+IF(AND(Motore_Operativo!C429&gt;=EDATE(Parametri_v3!$C$24,Ipotesi!J14*12),Motore_Operativo!C429&lt;EDATE(Parametri_v3!$C$24,Parametri_v3!$C$25+Ipotesi!J14*12)),MAX(0,Motore_Operativo!CE429)*Piano_SS!$D$8,0))</f>
        <v>0</v>
      </c>
      <c r="BY429" s="15" t="n">
        <f aca="false">MIN(Piano_SS!$C$9,(BY428)+IF(AND(Motore_Operativo!C429&gt;=EDATE(Parametri_v3!$C$24,Ipotesi!J14*12),Motore_Operativo!C429&lt;EDATE(Parametri_v3!$C$24,Parametri_v3!$C$25+Ipotesi!J14*12)),MAX(0,((IF(5-(INT((Ipotesi!$C$91)/30))&lt;1,0,INDEX(Motore_Operativo!$BQ$425:$BQ$484,MAX(1,5-(INT((Ipotesi!$C$91)/30)))))*(1-(MOD((Ipotesi!$C$91),30)/30))+IF(5-(INT((Ipotesi!$C$91)/30))-1&lt;1,0,INDEX(Motore_Operativo!$BQ$425:$BQ$484,MAX(1,5-(INT((Ipotesi!$C$91)/30))-1)))*(MOD((Ipotesi!$C$91),30)/30))+(IF(5-(INT((Ipotesi!$C$91)/30))&lt;1,0,INDEX(Motore_Operativo!$BR$425:$BR$484,MAX(1,5-(INT((Ipotesi!$C$91)/30)))))*(1-(MOD((Ipotesi!$C$91),30)/30))+IF(5-(INT((Ipotesi!$C$91)/30))-1&lt;1,0,INDEX(Motore_Operativo!$BR$425:$BR$484,MAX(1,5-(INT((Ipotesi!$C$91)/30))-1)))*(MOD((Ipotesi!$C$91),30)/30))))*Piano_SS!$D$9,0))</f>
        <v>0</v>
      </c>
      <c r="BZ429" s="15" t="n">
        <f aca="false">MIN(Piano_SS!$C$10,(BZ428)+IF(AND(Motore_Operativo!C429&gt;=EDATE(Parametri_v3!$C$24,Ipotesi!J14*12),Motore_Operativo!C429&lt;EDATE(Parametri_v3!$C$24,Parametri_v3!$C$25+Ipotesi!J14*12)),MAX(0,(IF(5-(INT((Ipotesi!$C$91)/30))&lt;1,0,INDEX(Motore_Operativo!$BO$425:$BO$484,MAX(1,5-(INT((Ipotesi!$C$91)/30)))))*(1-(MOD((Ipotesi!$C$91),30)/30))+IF(5-(INT((Ipotesi!$C$91)/30))-1&lt;1,0,INDEX(Motore_Operativo!$BO$425:$BO$484,MAX(1,5-(INT((Ipotesi!$C$91)/30))-1)))*(MOD((Ipotesi!$C$91),30)/30)))*Piano_SS!$D$10,0))</f>
        <v>0</v>
      </c>
      <c r="CA429" s="15" t="n">
        <f aca="false">SUM(BV429:BZ429)</f>
        <v>0</v>
      </c>
      <c r="CB429" s="15" t="n">
        <f aca="false">BV429*(1-Piano_SS!$E$6)+BW429*(1-Piano_SS!$E$7)+BX429*(1-Piano_SS!$E$8)+BY429*(1-Piano_SS!$E$9)+BZ429*(1-Piano_SS!$E$10)</f>
        <v>0</v>
      </c>
      <c r="CC429" s="15" t="n">
        <f aca="false">(CC428)+BA429</f>
        <v>0</v>
      </c>
      <c r="CD429" s="15" t="n">
        <f aca="false">IF(CA429=0,0,CC429*CB429/CA429*Ipotesi!$C$103*Parametri_v3!$C$64)</f>
        <v>0</v>
      </c>
      <c r="CE429" s="18" t="n">
        <f aca="false">IF(BA429&gt;0,Motore_Operativo!C429,(CE428))</f>
        <v>0</v>
      </c>
      <c r="CF429" s="18" t="n">
        <f aca="false">IF(AND(CC429&gt;0,OR(CC429&gt;=CG429-0.01,Motore_Operativo!C429&gt;=EDATE(MAX(Finanziamenti!$D$15:$D$17),Ipotesi!J14*12))),CE429,0)</f>
        <v>0</v>
      </c>
      <c r="CG429" s="15" t="n">
        <f aca="false">IF(AND(8&lt;&gt;6,8&lt;&gt;9,Finanziamenti!$F$11=1,OR(Parametri_v3!$C$6=0,Finanziamenti!$E$11=1)),MIN(Finanziamenti!$C$11,Piano_SS!$C$12*Ipotesi!$C$102),0)</f>
        <v>400000</v>
      </c>
      <c r="CH429" s="15" t="n">
        <f aca="false">IF(AND(AND(8&lt;&gt;8,8&lt;&gt;9,Finanziamenti!$F$10=1,OR(Parametri_v3!$C$6=0,Finanziamenti!$E$10=1)),Motore_Operativo!C429&gt;=Finanziamenti!$D$10,Motore_Operativo!C429&lt;Parametri_v3!$C$63),Finanziamenti!$C$10,0)</f>
        <v>0</v>
      </c>
    </row>
    <row r="430" customFormat="false" ht="18" hidden="false" customHeight="true" outlineLevel="0" collapsed="false">
      <c r="A430" s="68" t="n">
        <f aca="false">8</f>
        <v>8</v>
      </c>
      <c r="B430" s="68" t="n">
        <f aca="false">6</f>
        <v>6</v>
      </c>
      <c r="C430" s="18" t="n">
        <f aca="false">Motore_Operativo!C430</f>
        <v>46539</v>
      </c>
      <c r="D430" s="68" t="n">
        <f aca="false">Motore_Operativo!D430</f>
        <v>2027</v>
      </c>
      <c r="E430" s="68" t="n">
        <f aca="false">Motore_Operativo!E430</f>
        <v>6</v>
      </c>
      <c r="F430" s="15" t="n">
        <f aca="false">Motore_Operativo!AQ430+Motore_Operativo!BF430</f>
        <v>7731.48148148148</v>
      </c>
      <c r="G430" s="15" t="n">
        <f aca="false">Motore_Operativo!BH430</f>
        <v>1621.05263157895</v>
      </c>
      <c r="H430" s="15" t="n">
        <f aca="false">Motore_Operativo!BI430</f>
        <v>9352.53411306043</v>
      </c>
      <c r="I430" s="15" t="n">
        <f aca="false">Motore_Operativo!CA430</f>
        <v>27770.6223196881</v>
      </c>
      <c r="J430" s="15" t="n">
        <f aca="false">Motore_Operativo!CC430</f>
        <v>-18418.0882066277</v>
      </c>
      <c r="K430" s="15" t="n">
        <f aca="false">Motore_Operativo!CE430</f>
        <v>1666.66666666667</v>
      </c>
      <c r="L430" s="15" t="n">
        <f aca="false">SUM(INDEX($K$425:$K$484,MAX(1,6-Parametri_v3!$C$59+1)):K430)/Parametri_v3!$C$59</f>
        <v>277.777777777778</v>
      </c>
      <c r="M430" s="15" t="n">
        <f aca="false">J430-L430</f>
        <v>-18695.8659844055</v>
      </c>
      <c r="N430" s="15" t="n">
        <f aca="false">CD430-(CD429)</f>
        <v>0</v>
      </c>
      <c r="O430" s="15" t="n">
        <f aca="false">(BG429)*Ipotesi!$C$110/12+CH430*Parametri_v3!$C$39/12</f>
        <v>0</v>
      </c>
      <c r="P430" s="15" t="n">
        <f aca="false">M430+N430-O430</f>
        <v>-18695.8659844055</v>
      </c>
      <c r="Q430" s="15" t="n">
        <f aca="false">SUM(P425:P430)+Parametri_v3!$C$54*6/12</f>
        <v>-112316.862573099</v>
      </c>
      <c r="R430" s="15" t="n">
        <f aca="false">0</f>
        <v>0</v>
      </c>
      <c r="S430" s="15" t="n">
        <f aca="false">0</f>
        <v>0</v>
      </c>
      <c r="T430" s="15" t="n">
        <f aca="false">MIN(R430,MAX(0,Q430))</f>
        <v>0</v>
      </c>
      <c r="U430" s="15" t="n">
        <f aca="false">MIN(S430,MAX(0,Q430-T430)*Parametri_v3!$C$42)</f>
        <v>0</v>
      </c>
      <c r="V430" s="15" t="n">
        <f aca="false">MAX(0,Q430-T430-U430)*Ipotesi!$C$92</f>
        <v>0</v>
      </c>
      <c r="W430" s="15" t="n">
        <f aca="false">MAX(0,SUM(M425:M430)+Parametri_v3!$C$55*6/12)*Ipotesi!$C$93</f>
        <v>0</v>
      </c>
      <c r="X430" s="15" t="n">
        <f aca="false">V430+W430-(V429+W429)</f>
        <v>0</v>
      </c>
      <c r="Y430" s="15" t="n">
        <f aca="false">P430-X430</f>
        <v>-18695.8659844055</v>
      </c>
      <c r="Z430" s="15" t="n">
        <f aca="false">R430-T430+IF(AND(Parametri_v3!$C$40=1,D430-YEAR(Parametri_v3!$C$50)&lt;Parametri_v3!$C$41),MAX(0,-Q430),0)</f>
        <v>112316.862573099</v>
      </c>
      <c r="AA430" s="15" t="n">
        <f aca="false">S430-U430+IF(AND(Parametri_v3!$C$40=1,D430-YEAR(Parametri_v3!$C$50)&lt;Parametri_v3!$C$41),0,MAX(0,-Q430))</f>
        <v>0</v>
      </c>
      <c r="AB430" s="15" t="n">
        <f aca="false">F430*(1+Parametri_v3!$C$26)</f>
        <v>9432.40740740741</v>
      </c>
      <c r="AC430" s="15" t="n">
        <f aca="false">(IF(6-(INT((Motore_Operativo!L430)/30))&lt;1,0,INDEX(Motore_Startup!$AB$425:$AB$484,MAX(1,6-(INT((Motore_Operativo!L430)/30)))))*(1-(MOD((Motore_Operativo!L430),30)/30))+IF(6-(INT((Motore_Operativo!L430)/30))-1&lt;1,0,INDEX(Motore_Startup!$AB$425:$AB$484,MAX(1,6-(INT((Motore_Operativo!L430)/30))-1)))*(MOD((Motore_Operativo!L430),30)/30))</f>
        <v>9150</v>
      </c>
      <c r="AD430" s="15" t="n">
        <f aca="false">(AD429)+AB430-AC430</f>
        <v>27958.3333333333</v>
      </c>
      <c r="AE430" s="15" t="n">
        <f aca="false">Motore_Operativo!BH430*(1+Parametri_v3!$C$26)</f>
        <v>1977.68421052632</v>
      </c>
      <c r="AF430" s="15" t="n">
        <f aca="false">(IF(6-(INT((Parametri_v3!$C$29)/30))&lt;1,0,INDEX(Motore_Operativo!$BH$425:$BH$484,MAX(1,6-(INT((Parametri_v3!$C$29)/30)))))*(1-(MOD((Parametri_v3!$C$29),30)/30))+IF(6-(INT((Parametri_v3!$C$29)/30))-1&lt;1,0,INDEX(Motore_Operativo!$BH$425:$BH$484,MAX(1,6-(INT((Parametri_v3!$C$29)/30))-1)))*(MOD((Parametri_v3!$C$29),30)/30))*(1+Parametri_v3!$C$26)</f>
        <v>1977.68421052632</v>
      </c>
      <c r="AG430" s="15" t="n">
        <f aca="false">(AG429)+AE430-AF430</f>
        <v>1977.68421052632</v>
      </c>
      <c r="AH430" s="15" t="n">
        <f aca="false">(Motore_Operativo!CJ430)*(1+Parametri_v3!$C$27*Parametri_v3!$C$26)</f>
        <v>11696.6453601365</v>
      </c>
      <c r="AI430" s="15" t="n">
        <f aca="false">(IF(6-(INT((Ipotesi!$C$91)/30))&lt;1,0,INDEX(Motore_Startup!$AH$425:$AH$484,MAX(1,6-(INT((Ipotesi!$C$91)/30)))))*(1-(MOD((Ipotesi!$C$91),30)/30))+IF(6-(INT((Ipotesi!$C$91)/30))-1&lt;1,0,INDEX(Motore_Startup!$AH$425:$AH$484,MAX(1,6-(INT((Ipotesi!$C$91)/30))-1)))*(MOD((Ipotesi!$C$91),30)/30))</f>
        <v>11665.8712860624</v>
      </c>
      <c r="AJ430" s="15" t="n">
        <f aca="false">(AJ429)+AH430-AI430</f>
        <v>23377.9036832359</v>
      </c>
      <c r="AK430" s="15" t="n">
        <f aca="false">(F430+ Motore_Operativo!BH430-(Motore_Operativo!CJ430)*Parametri_v3!$C$27-Motore_Operativo!CE430)*Parametri_v3!$C$26</f>
        <v>-151.798868908381</v>
      </c>
      <c r="AL430" s="15" t="n">
        <f aca="false">MAX(0,(AM429))</f>
        <v>0</v>
      </c>
      <c r="AM430" s="15" t="n">
        <f aca="false">(AM429)+AK430-AL430</f>
        <v>-1099.2293245614</v>
      </c>
      <c r="AN430" s="15" t="n">
        <f aca="false">0</f>
        <v>0</v>
      </c>
      <c r="AO430" s="15" t="n">
        <f aca="false">0</f>
        <v>0</v>
      </c>
      <c r="AP430" s="15" t="n">
        <f aca="false">MAX(0,AN430)*IF(6=Parametri_v3!$C$43,Parametri_v3!$C$45,IF(6=Parametri_v3!$C$44,1-Parametri_v3!$C$45,0))</f>
        <v>0</v>
      </c>
      <c r="AQ430" s="15" t="n">
        <f aca="false">MAX(0,AP430+IF(6=Parametri_v3!$C$43,MAX(0,AN430-AO430),0)-MAX(0,-(AR429)))</f>
        <v>0</v>
      </c>
      <c r="AR430" s="15" t="n">
        <f aca="false">(AR429)+X430-AQ430</f>
        <v>0</v>
      </c>
      <c r="AS430" s="15" t="n">
        <f aca="false">Motore_Operativo!AB430-AT430+AU430</f>
        <v>17020.8333333333</v>
      </c>
      <c r="AT430" s="15" t="n">
        <f aca="false">Motore_Operativo!CH430</f>
        <v>895.833333333334</v>
      </c>
      <c r="AU430" s="15" t="n">
        <f aca="false">MIN(MAX(0,(AV429)+AT430),Parametri_v3!$C$60/12)</f>
        <v>0</v>
      </c>
      <c r="AV430" s="15" t="n">
        <f aca="false">(AV429)+AT430-AU430</f>
        <v>5375</v>
      </c>
      <c r="AW430" s="15" t="n">
        <f aca="false">IF(AND(Motore_Operativo!C430=Finanziamenti!$D$6,Finanziamenti!$F$6=1),Finanziamenti!$C$6,0)</f>
        <v>0</v>
      </c>
      <c r="AX430" s="15" t="n">
        <f aca="false">IF(AND(8&lt;&gt;7,8&lt;&gt;9,Finanziamenti!$F$8=1,OR(Parametri_v3!$C$6=0,Finanziamenti!$E$8=1),Motore_Operativo!C430=EDATE(Finanziamenti!$D$8,Ipotesi!J15*12)),Finanziamenti!$C$8*1,0)+IF(AND(8&lt;&gt;7,8&lt;&gt;9,Finanziamenti!$F$9=1,OR(Parametri_v3!$C$6=0,Finanziamenti!$E$9=1),Motore_Operativo!C430=EDATE(Finanziamenti!$D$9,Ipotesi!J15*12)),Finanziamenti!$C$9*Ipotesi!J16,0)</f>
        <v>0</v>
      </c>
      <c r="AY430" s="15" t="n">
        <f aca="false">0</f>
        <v>0</v>
      </c>
      <c r="AZ430" s="15" t="n">
        <f aca="false">Motore_Advisory!AY430*(1-Ipotesi!$C$95)*Ipotesi!$C$96</f>
        <v>0</v>
      </c>
      <c r="BA430" s="15" t="n">
        <f aca="false">MAX(0,MIN(CG430*MIN(1,IF(Motore_Operativo!C430&gt;=EDATE(Finanziamenti!$D$15,Ipotesi!J14*12),Finanziamenti!$C$15,0)+IF(Motore_Operativo!C430&gt;=EDATE(Finanziamenti!$D$16,Ipotesi!J14*12),Finanziamenti!$C$16,0)+IF(Motore_Operativo!C430&gt;=EDATE(Finanziamenti!$D$17,Ipotesi!J14*12),Finanziamenti!$C$17,0)),CA430*Ipotesi!$C$102)-(CC429))</f>
        <v>0</v>
      </c>
      <c r="BB430" s="15" t="n">
        <f aca="false">IF(AND(CF430&gt;0,Motore_Operativo!C430&gt;=IF(CF430=0,0,EDATE(CF430,Parametri_v3!$C$37)),MOD(((D430-YEAR(IF(CF430=0,0,EDATE(CF430,Parametri_v3!$C$37))))*12+E430-MONTH(IF(CF430=0,0,EDATE(CF430,Parametri_v3!$C$37)))),Parametri_v3!$C$38)=0),MIN(MAX(0,(BC429)+BA430-N430),(CC430-CD430)/(Ipotesi!$C$108*12/Parametri_v3!$C$38)),0)</f>
        <v>0</v>
      </c>
      <c r="BC430" s="15" t="n">
        <f aca="false">(BC429)+BA430-N430-BB430</f>
        <v>0</v>
      </c>
      <c r="BD430" s="15" t="n">
        <f aca="false">(BH429)+AC430+AF430-AI430-AS430-K430*(1+Parametri_v3!$C$26)-AL430-AQ430-O430+AW430+AX430+AZ430+BA430-BB430</f>
        <v>6373.01646393763</v>
      </c>
      <c r="BE430" s="15" t="n">
        <f aca="false">MAX(0,MIN(MAX(0,CH430-(BG429)),Parametri_v3!$C$30-BD430))</f>
        <v>0</v>
      </c>
      <c r="BF430" s="15" t="n">
        <f aca="false">IF(Motore_Operativo!C430&gt;=Parametri_v3!$C$63,(BG429),MIN((BG429),MAX(0,BD430-Parametri_v3!$C$30)))</f>
        <v>0</v>
      </c>
      <c r="BG430" s="15" t="n">
        <f aca="false">(BG429)+BE430-BF430</f>
        <v>0</v>
      </c>
      <c r="BH430" s="15" t="n">
        <f aca="false">BD430+BE430-BF430-AY430</f>
        <v>6373.01646393763</v>
      </c>
      <c r="BI430" s="15" t="n">
        <f aca="false">MAX(0,Parametri_v3!$C$30-BH430)</f>
        <v>18626.9835360624</v>
      </c>
      <c r="BJ430" s="15" t="n">
        <f aca="false">(BJ429)+K430</f>
        <v>10000</v>
      </c>
      <c r="BK430" s="15" t="n">
        <f aca="false">(BK429)+L430</f>
        <v>972.222222222222</v>
      </c>
      <c r="BL430" s="15" t="n">
        <f aca="false">BJ430-BK430</f>
        <v>9027.77777777778</v>
      </c>
      <c r="BM430" s="15" t="n">
        <f aca="false">(BM429)+Y430</f>
        <v>-112316.862573099</v>
      </c>
      <c r="BN430" s="15" t="n">
        <f aca="false">(BN429)+AW430+AX430+AZ430</f>
        <v>130000</v>
      </c>
      <c r="BO430" s="15" t="n">
        <f aca="false">(BO429)+AY430</f>
        <v>0</v>
      </c>
      <c r="BP430" s="15" t="n">
        <f aca="false">0</f>
        <v>0</v>
      </c>
      <c r="BQ430" s="15" t="n">
        <f aca="false">BN430+BM430-BO430</f>
        <v>17683.1374269006</v>
      </c>
      <c r="BR430" s="15" t="n">
        <f aca="false">BH430+AD430+BL430+MAX(0,-AM430)+MAX(0,-AR430)+AG430</f>
        <v>46436.0411101365</v>
      </c>
      <c r="BS430" s="15" t="n">
        <f aca="false">AJ430+AV430+MAX(0,AM430)+MAX(0,AR430)+BC430+BG430+BQ430</f>
        <v>46436.0411101365</v>
      </c>
      <c r="BT430" s="15" t="n">
        <f aca="false">BR430-BS430</f>
        <v>0</v>
      </c>
      <c r="BU430" s="15" t="n">
        <f aca="false">BH430-(BD430+BE430-BF430-AY430)</f>
        <v>0</v>
      </c>
      <c r="BV430" s="15" t="n">
        <f aca="false">MIN(Piano_SS!$C$6,(BV429)+IF(AND(Motore_Operativo!C430&gt;=EDATE(Parametri_v3!$C$24,Ipotesi!J14*12),Motore_Operativo!C430&lt;EDATE(Parametri_v3!$C$24,Parametri_v3!$C$25+Ipotesi!J14*12)),MAX(0,(Motore_Operativo!Y430+Motore_Operativo!X430*Parametri_v3!$C$14)*(1-Parametri_v3!$C$32))*Piano_SS!$D$6,0))</f>
        <v>0</v>
      </c>
      <c r="BW430" s="15" t="n">
        <f aca="false">MIN(Piano_SS!$C$7,(BW429)+IF(AND(Motore_Operativo!C430&gt;=EDATE(Parametri_v3!$C$24,Ipotesi!J14*12),Motore_Operativo!C430&lt;EDATE(Parametri_v3!$C$24,Parametri_v3!$C$25+Ipotesi!J14*12)),MAX(0,(IF(6-(INT((Ipotesi!$C$91)/30))&lt;1,0,INDEX(Motore_Operativo!$BN$425:$BN$484,MAX(1,6-(INT((Ipotesi!$C$91)/30)))))*(1-(MOD((Ipotesi!$C$91),30)/30))+IF(6-(INT((Ipotesi!$C$91)/30))-1&lt;1,0,INDEX(Motore_Operativo!$BN$425:$BN$484,MAX(1,6-(INT((Ipotesi!$C$91)/30))-1)))*(MOD((Ipotesi!$C$91),30)/30)))*Piano_SS!$D$7,0))</f>
        <v>0</v>
      </c>
      <c r="BX430" s="15" t="n">
        <f aca="false">MIN(Piano_SS!$C$8,(BX429)+IF(AND(Motore_Operativo!C430&gt;=EDATE(Parametri_v3!$C$24,Ipotesi!J14*12),Motore_Operativo!C430&lt;EDATE(Parametri_v3!$C$24,Parametri_v3!$C$25+Ipotesi!J14*12)),MAX(0,Motore_Operativo!CE430)*Piano_SS!$D$8,0))</f>
        <v>0</v>
      </c>
      <c r="BY430" s="15" t="n">
        <f aca="false">MIN(Piano_SS!$C$9,(BY429)+IF(AND(Motore_Operativo!C430&gt;=EDATE(Parametri_v3!$C$24,Ipotesi!J14*12),Motore_Operativo!C430&lt;EDATE(Parametri_v3!$C$24,Parametri_v3!$C$25+Ipotesi!J14*12)),MAX(0,((IF(6-(INT((Ipotesi!$C$91)/30))&lt;1,0,INDEX(Motore_Operativo!$BQ$425:$BQ$484,MAX(1,6-(INT((Ipotesi!$C$91)/30)))))*(1-(MOD((Ipotesi!$C$91),30)/30))+IF(6-(INT((Ipotesi!$C$91)/30))-1&lt;1,0,INDEX(Motore_Operativo!$BQ$425:$BQ$484,MAX(1,6-(INT((Ipotesi!$C$91)/30))-1)))*(MOD((Ipotesi!$C$91),30)/30))+(IF(6-(INT((Ipotesi!$C$91)/30))&lt;1,0,INDEX(Motore_Operativo!$BR$425:$BR$484,MAX(1,6-(INT((Ipotesi!$C$91)/30)))))*(1-(MOD((Ipotesi!$C$91),30)/30))+IF(6-(INT((Ipotesi!$C$91)/30))-1&lt;1,0,INDEX(Motore_Operativo!$BR$425:$BR$484,MAX(1,6-(INT((Ipotesi!$C$91)/30))-1)))*(MOD((Ipotesi!$C$91),30)/30))))*Piano_SS!$D$9,0))</f>
        <v>0</v>
      </c>
      <c r="BZ430" s="15" t="n">
        <f aca="false">MIN(Piano_SS!$C$10,(BZ429)+IF(AND(Motore_Operativo!C430&gt;=EDATE(Parametri_v3!$C$24,Ipotesi!J14*12),Motore_Operativo!C430&lt;EDATE(Parametri_v3!$C$24,Parametri_v3!$C$25+Ipotesi!J14*12)),MAX(0,(IF(6-(INT((Ipotesi!$C$91)/30))&lt;1,0,INDEX(Motore_Operativo!$BO$425:$BO$484,MAX(1,6-(INT((Ipotesi!$C$91)/30)))))*(1-(MOD((Ipotesi!$C$91),30)/30))+IF(6-(INT((Ipotesi!$C$91)/30))-1&lt;1,0,INDEX(Motore_Operativo!$BO$425:$BO$484,MAX(1,6-(INT((Ipotesi!$C$91)/30))-1)))*(MOD((Ipotesi!$C$91),30)/30)))*Piano_SS!$D$10,0))</f>
        <v>0</v>
      </c>
      <c r="CA430" s="15" t="n">
        <f aca="false">SUM(BV430:BZ430)</f>
        <v>0</v>
      </c>
      <c r="CB430" s="15" t="n">
        <f aca="false">BV430*(1-Piano_SS!$E$6)+BW430*(1-Piano_SS!$E$7)+BX430*(1-Piano_SS!$E$8)+BY430*(1-Piano_SS!$E$9)+BZ430*(1-Piano_SS!$E$10)</f>
        <v>0</v>
      </c>
      <c r="CC430" s="15" t="n">
        <f aca="false">(CC429)+BA430</f>
        <v>0</v>
      </c>
      <c r="CD430" s="15" t="n">
        <f aca="false">IF(CA430=0,0,CC430*CB430/CA430*Ipotesi!$C$103*Parametri_v3!$C$64)</f>
        <v>0</v>
      </c>
      <c r="CE430" s="18" t="n">
        <f aca="false">IF(BA430&gt;0,Motore_Operativo!C430,(CE429))</f>
        <v>0</v>
      </c>
      <c r="CF430" s="18" t="n">
        <f aca="false">IF(AND(CC430&gt;0,OR(CC430&gt;=CG430-0.01,Motore_Operativo!C430&gt;=EDATE(MAX(Finanziamenti!$D$15:$D$17),Ipotesi!J14*12))),CE430,0)</f>
        <v>0</v>
      </c>
      <c r="CG430" s="15" t="n">
        <f aca="false">IF(AND(8&lt;&gt;6,8&lt;&gt;9,Finanziamenti!$F$11=1,OR(Parametri_v3!$C$6=0,Finanziamenti!$E$11=1)),MIN(Finanziamenti!$C$11,Piano_SS!$C$12*Ipotesi!$C$102),0)</f>
        <v>400000</v>
      </c>
      <c r="CH430" s="15" t="n">
        <f aca="false">IF(AND(AND(8&lt;&gt;8,8&lt;&gt;9,Finanziamenti!$F$10=1,OR(Parametri_v3!$C$6=0,Finanziamenti!$E$10=1)),Motore_Operativo!C430&gt;=Finanziamenti!$D$10,Motore_Operativo!C430&lt;Parametri_v3!$C$63),Finanziamenti!$C$10,0)</f>
        <v>0</v>
      </c>
    </row>
    <row r="431" customFormat="false" ht="18" hidden="false" customHeight="true" outlineLevel="0" collapsed="false">
      <c r="A431" s="68" t="n">
        <f aca="false">8</f>
        <v>8</v>
      </c>
      <c r="B431" s="68" t="n">
        <f aca="false">7</f>
        <v>7</v>
      </c>
      <c r="C431" s="18" t="n">
        <f aca="false">Motore_Operativo!C431</f>
        <v>46569</v>
      </c>
      <c r="D431" s="68" t="n">
        <f aca="false">Motore_Operativo!D431</f>
        <v>2027</v>
      </c>
      <c r="E431" s="68" t="n">
        <f aca="false">Motore_Operativo!E431</f>
        <v>7</v>
      </c>
      <c r="F431" s="15" t="n">
        <f aca="false">Motore_Operativo!AQ431+Motore_Operativo!BF431</f>
        <v>7824.07407407408</v>
      </c>
      <c r="G431" s="15" t="n">
        <f aca="false">Motore_Operativo!BH431</f>
        <v>1621.05263157895</v>
      </c>
      <c r="H431" s="15" t="n">
        <f aca="false">Motore_Operativo!BI431</f>
        <v>9445.12670565302</v>
      </c>
      <c r="I431" s="15" t="n">
        <f aca="false">Motore_Operativo!CA431</f>
        <v>27783.5852826511</v>
      </c>
      <c r="J431" s="15" t="n">
        <f aca="false">Motore_Operativo!CC431</f>
        <v>-18338.458576998</v>
      </c>
      <c r="K431" s="15" t="n">
        <f aca="false">Motore_Operativo!CE431</f>
        <v>1666.66666666667</v>
      </c>
      <c r="L431" s="15" t="n">
        <f aca="false">SUM(INDEX($K$425:$K$484,MAX(1,7-Parametri_v3!$C$59+1)):K431)/Parametri_v3!$C$59</f>
        <v>324.074074074074</v>
      </c>
      <c r="M431" s="15" t="n">
        <f aca="false">J431-L431</f>
        <v>-18662.5326510721</v>
      </c>
      <c r="N431" s="15" t="n">
        <f aca="false">CD431-(CD430)</f>
        <v>0</v>
      </c>
      <c r="O431" s="15" t="n">
        <f aca="false">(BG430)*Ipotesi!$C$110/12+CH431*Parametri_v3!$C$39/12</f>
        <v>0</v>
      </c>
      <c r="P431" s="15" t="n">
        <f aca="false">M431+N431-O431</f>
        <v>-18662.5326510721</v>
      </c>
      <c r="Q431" s="15" t="n">
        <f aca="false">SUM(P425:P431)+Parametri_v3!$C$54*7/12</f>
        <v>-130979.395224172</v>
      </c>
      <c r="R431" s="15" t="n">
        <f aca="false">0</f>
        <v>0</v>
      </c>
      <c r="S431" s="15" t="n">
        <f aca="false">0</f>
        <v>0</v>
      </c>
      <c r="T431" s="15" t="n">
        <f aca="false">MIN(R431,MAX(0,Q431))</f>
        <v>0</v>
      </c>
      <c r="U431" s="15" t="n">
        <f aca="false">MIN(S431,MAX(0,Q431-T431)*Parametri_v3!$C$42)</f>
        <v>0</v>
      </c>
      <c r="V431" s="15" t="n">
        <f aca="false">MAX(0,Q431-T431-U431)*Ipotesi!$C$92</f>
        <v>0</v>
      </c>
      <c r="W431" s="15" t="n">
        <f aca="false">MAX(0,SUM(M425:M431)+Parametri_v3!$C$55*7/12)*Ipotesi!$C$93</f>
        <v>0</v>
      </c>
      <c r="X431" s="15" t="n">
        <f aca="false">V431+W431-(V430+W430)</f>
        <v>0</v>
      </c>
      <c r="Y431" s="15" t="n">
        <f aca="false">P431-X431</f>
        <v>-18662.5326510721</v>
      </c>
      <c r="Z431" s="15" t="n">
        <f aca="false">R431-T431+IF(AND(Parametri_v3!$C$40=1,D431-YEAR(Parametri_v3!$C$50)&lt;Parametri_v3!$C$41),MAX(0,-Q431),0)</f>
        <v>130979.395224172</v>
      </c>
      <c r="AA431" s="15" t="n">
        <f aca="false">S431-U431+IF(AND(Parametri_v3!$C$40=1,D431-YEAR(Parametri_v3!$C$50)&lt;Parametri_v3!$C$41),0,MAX(0,-Q431))</f>
        <v>0</v>
      </c>
      <c r="AB431" s="15" t="n">
        <f aca="false">F431*(1+Parametri_v3!$C$26)</f>
        <v>9545.37037037037</v>
      </c>
      <c r="AC431" s="15" t="n">
        <f aca="false">(IF(7-(INT((Motore_Operativo!L431)/30))&lt;1,0,INDEX(Motore_Startup!$AB$425:$AB$484,MAX(1,7-(INT((Motore_Operativo!L431)/30)))))*(1-(MOD((Motore_Operativo!L431),30)/30))+IF(7-(INT((Motore_Operativo!L431)/30))-1&lt;1,0,INDEX(Motore_Startup!$AB$425:$AB$484,MAX(1,7-(INT((Motore_Operativo!L431)/30))-1)))*(MOD((Motore_Operativo!L431),30)/30))</f>
        <v>9206.48148148148</v>
      </c>
      <c r="AD431" s="15" t="n">
        <f aca="false">(AD430)+AB431-AC431</f>
        <v>28297.2222222222</v>
      </c>
      <c r="AE431" s="15" t="n">
        <f aca="false">Motore_Operativo!BH431*(1+Parametri_v3!$C$26)</f>
        <v>1977.68421052632</v>
      </c>
      <c r="AF431" s="15" t="n">
        <f aca="false">(IF(7-(INT((Parametri_v3!$C$29)/30))&lt;1,0,INDEX(Motore_Operativo!$BH$425:$BH$484,MAX(1,7-(INT((Parametri_v3!$C$29)/30)))))*(1-(MOD((Parametri_v3!$C$29),30)/30))+IF(7-(INT((Parametri_v3!$C$29)/30))-1&lt;1,0,INDEX(Motore_Operativo!$BH$425:$BH$484,MAX(1,7-(INT((Parametri_v3!$C$29)/30))-1)))*(MOD((Parametri_v3!$C$29),30)/30))*(1+Parametri_v3!$C$26)</f>
        <v>1977.68421052632</v>
      </c>
      <c r="AG431" s="15" t="n">
        <f aca="false">(AG430)+AE431-AF431</f>
        <v>1977.68421052632</v>
      </c>
      <c r="AH431" s="15" t="n">
        <f aca="false">(Motore_Operativo!CJ431)*(1+Parametri_v3!$C$27*Parametri_v3!$C$26)</f>
        <v>11712.0323971735</v>
      </c>
      <c r="AI431" s="15" t="n">
        <f aca="false">(IF(7-(INT((Ipotesi!$C$91)/30))&lt;1,0,INDEX(Motore_Startup!$AH$425:$AH$484,MAX(1,7-(INT((Ipotesi!$C$91)/30)))))*(1-(MOD((Ipotesi!$C$91),30)/30))+IF(7-(INT((Ipotesi!$C$91)/30))-1&lt;1,0,INDEX(Motore_Startup!$AH$425:$AH$484,MAX(1,7-(INT((Ipotesi!$C$91)/30))-1)))*(MOD((Ipotesi!$C$91),30)/30))</f>
        <v>11681.2583230994</v>
      </c>
      <c r="AJ431" s="15" t="n">
        <f aca="false">(AJ430)+AH431-AI431</f>
        <v>23408.6777573099</v>
      </c>
      <c r="AK431" s="15" t="n">
        <f aca="false">(F431+ Motore_Operativo!BH431-(Motore_Operativo!CJ431)*Parametri_v3!$C$27-Motore_Operativo!CE431)*Parametri_v3!$C$26</f>
        <v>-133.852572612085</v>
      </c>
      <c r="AL431" s="15" t="n">
        <f aca="false">MAX(0,(AM430))</f>
        <v>0</v>
      </c>
      <c r="AM431" s="15" t="n">
        <f aca="false">(AM430)+AK431-AL431</f>
        <v>-1233.08189717349</v>
      </c>
      <c r="AN431" s="15" t="n">
        <f aca="false">0</f>
        <v>0</v>
      </c>
      <c r="AO431" s="15" t="n">
        <f aca="false">0</f>
        <v>0</v>
      </c>
      <c r="AP431" s="15" t="n">
        <f aca="false">MAX(0,AN431)*IF(7=Parametri_v3!$C$43,Parametri_v3!$C$45,IF(7=Parametri_v3!$C$44,1-Parametri_v3!$C$45,0))</f>
        <v>0</v>
      </c>
      <c r="AQ431" s="15" t="n">
        <f aca="false">MAX(0,AP431+IF(7=Parametri_v3!$C$43,MAX(0,AN431-AO431),0)-MAX(0,-(AR430)))</f>
        <v>0</v>
      </c>
      <c r="AR431" s="15" t="n">
        <f aca="false">(AR430)+X431-AQ431</f>
        <v>0</v>
      </c>
      <c r="AS431" s="15" t="n">
        <f aca="false">Motore_Operativo!AB431-AT431+AU431</f>
        <v>17020.8333333333</v>
      </c>
      <c r="AT431" s="15" t="n">
        <f aca="false">Motore_Operativo!CH431</f>
        <v>895.833333333334</v>
      </c>
      <c r="AU431" s="15" t="n">
        <f aca="false">MIN(MAX(0,(AV430)+AT431),Parametri_v3!$C$60/12)</f>
        <v>0</v>
      </c>
      <c r="AV431" s="15" t="n">
        <f aca="false">(AV430)+AT431-AU431</f>
        <v>6270.83333333334</v>
      </c>
      <c r="AW431" s="15" t="n">
        <f aca="false">IF(AND(Motore_Operativo!C431=Finanziamenti!$D$6,Finanziamenti!$F$6=1),Finanziamenti!$C$6,0)</f>
        <v>0</v>
      </c>
      <c r="AX431" s="15" t="n">
        <f aca="false">IF(AND(8&lt;&gt;7,8&lt;&gt;9,Finanziamenti!$F$8=1,OR(Parametri_v3!$C$6=0,Finanziamenti!$E$8=1),Motore_Operativo!C431=EDATE(Finanziamenti!$D$8,Ipotesi!J15*12)),Finanziamenti!$C$8*1,0)+IF(AND(8&lt;&gt;7,8&lt;&gt;9,Finanziamenti!$F$9=1,OR(Parametri_v3!$C$6=0,Finanziamenti!$E$9=1),Motore_Operativo!C431=EDATE(Finanziamenti!$D$9,Ipotesi!J15*12)),Finanziamenti!$C$9*Ipotesi!J16,0)</f>
        <v>0</v>
      </c>
      <c r="AY431" s="15" t="n">
        <f aca="false">0</f>
        <v>0</v>
      </c>
      <c r="AZ431" s="15" t="n">
        <f aca="false">Motore_Advisory!AY431*(1-Ipotesi!$C$95)*Ipotesi!$C$96</f>
        <v>0</v>
      </c>
      <c r="BA431" s="15" t="n">
        <f aca="false">MAX(0,MIN(CG431*MIN(1,IF(Motore_Operativo!C431&gt;=EDATE(Finanziamenti!$D$15,Ipotesi!J14*12),Finanziamenti!$C$15,0)+IF(Motore_Operativo!C431&gt;=EDATE(Finanziamenti!$D$16,Ipotesi!J14*12),Finanziamenti!$C$16,0)+IF(Motore_Operativo!C431&gt;=EDATE(Finanziamenti!$D$17,Ipotesi!J14*12),Finanziamenti!$C$17,0)),CA431*Ipotesi!$C$102)-(CC430))</f>
        <v>0</v>
      </c>
      <c r="BB431" s="15" t="n">
        <f aca="false">IF(AND(CF431&gt;0,Motore_Operativo!C431&gt;=IF(CF431=0,0,EDATE(CF431,Parametri_v3!$C$37)),MOD(((D431-YEAR(IF(CF431=0,0,EDATE(CF431,Parametri_v3!$C$37))))*12+E431-MONTH(IF(CF431=0,0,EDATE(CF431,Parametri_v3!$C$37)))),Parametri_v3!$C$38)=0),MIN(MAX(0,(BC430)+BA431-N431),(CC431-CD431)/(Ipotesi!$C$108*12/Parametri_v3!$C$38)),0)</f>
        <v>0</v>
      </c>
      <c r="BC431" s="15" t="n">
        <f aca="false">(BC430)+BA431-N431-BB431</f>
        <v>0</v>
      </c>
      <c r="BD431" s="15" t="n">
        <f aca="false">(BH430)+AC431+AF431-AI431-AS431-K431*(1+Parametri_v3!$C$26)-AL431-AQ431-O431+AW431+AX431+AZ431+BA431-BB431</f>
        <v>-13178.2428338207</v>
      </c>
      <c r="BE431" s="15" t="n">
        <f aca="false">MAX(0,MIN(MAX(0,CH431-(BG430)),Parametri_v3!$C$30-BD431))</f>
        <v>0</v>
      </c>
      <c r="BF431" s="15" t="n">
        <f aca="false">IF(Motore_Operativo!C431&gt;=Parametri_v3!$C$63,(BG430),MIN((BG430),MAX(0,BD431-Parametri_v3!$C$30)))</f>
        <v>0</v>
      </c>
      <c r="BG431" s="15" t="n">
        <f aca="false">(BG430)+BE431-BF431</f>
        <v>0</v>
      </c>
      <c r="BH431" s="15" t="n">
        <f aca="false">BD431+BE431-BF431-AY431</f>
        <v>-13178.2428338207</v>
      </c>
      <c r="BI431" s="15" t="n">
        <f aca="false">MAX(0,Parametri_v3!$C$30-BH431)</f>
        <v>38178.2428338207</v>
      </c>
      <c r="BJ431" s="15" t="n">
        <f aca="false">(BJ430)+K431</f>
        <v>11666.6666666667</v>
      </c>
      <c r="BK431" s="15" t="n">
        <f aca="false">(BK430)+L431</f>
        <v>1296.2962962963</v>
      </c>
      <c r="BL431" s="15" t="n">
        <f aca="false">BJ431-BK431</f>
        <v>10370.3703703704</v>
      </c>
      <c r="BM431" s="15" t="n">
        <f aca="false">(BM430)+Y431</f>
        <v>-130979.395224172</v>
      </c>
      <c r="BN431" s="15" t="n">
        <f aca="false">(BN430)+AW431+AX431+AZ431</f>
        <v>130000</v>
      </c>
      <c r="BO431" s="15" t="n">
        <f aca="false">(BO430)+AY431</f>
        <v>0</v>
      </c>
      <c r="BP431" s="15" t="n">
        <f aca="false">0</f>
        <v>0</v>
      </c>
      <c r="BQ431" s="15" t="n">
        <f aca="false">BN431+BM431-BO431</f>
        <v>-979.395224171531</v>
      </c>
      <c r="BR431" s="15" t="n">
        <f aca="false">BH431+AD431+BL431+MAX(0,-AM431)+MAX(0,-AR431)+AG431</f>
        <v>28700.1158664717</v>
      </c>
      <c r="BS431" s="15" t="n">
        <f aca="false">AJ431+AV431+MAX(0,AM431)+MAX(0,AR431)+BC431+BG431+BQ431</f>
        <v>28700.1158664718</v>
      </c>
      <c r="BT431" s="15" t="n">
        <f aca="false">BR431-BS431</f>
        <v>0</v>
      </c>
      <c r="BU431" s="15" t="n">
        <f aca="false">BH431-(BD431+BE431-BF431-AY431)</f>
        <v>0</v>
      </c>
      <c r="BV431" s="15" t="n">
        <f aca="false">MIN(Piano_SS!$C$6,(BV430)+IF(AND(Motore_Operativo!C431&gt;=EDATE(Parametri_v3!$C$24,Ipotesi!J14*12),Motore_Operativo!C431&lt;EDATE(Parametri_v3!$C$24,Parametri_v3!$C$25+Ipotesi!J14*12)),MAX(0,(Motore_Operativo!Y431+Motore_Operativo!X431*Parametri_v3!$C$14)*(1-Parametri_v3!$C$32))*Piano_SS!$D$6,0))</f>
        <v>4750</v>
      </c>
      <c r="BW431" s="15" t="n">
        <f aca="false">MIN(Piano_SS!$C$7,(BW430)+IF(AND(Motore_Operativo!C431&gt;=EDATE(Parametri_v3!$C$24,Ipotesi!J14*12),Motore_Operativo!C431&lt;EDATE(Parametri_v3!$C$24,Parametri_v3!$C$25+Ipotesi!J14*12)),MAX(0,(IF(7-(INT((Ipotesi!$C$91)/30))&lt;1,0,INDEX(Motore_Operativo!$BN$425:$BN$484,MAX(1,7-(INT((Ipotesi!$C$91)/30)))))*(1-(MOD((Ipotesi!$C$91),30)/30))+IF(7-(INT((Ipotesi!$C$91)/30))-1&lt;1,0,INDEX(Motore_Operativo!$BN$425:$BN$484,MAX(1,7-(INT((Ipotesi!$C$91)/30))-1)))*(MOD((Ipotesi!$C$91),30)/30)))*Piano_SS!$D$7,0))</f>
        <v>1261.11111111111</v>
      </c>
      <c r="BX431" s="15" t="n">
        <f aca="false">MIN(Piano_SS!$C$8,(BX430)+IF(AND(Motore_Operativo!C431&gt;=EDATE(Parametri_v3!$C$24,Ipotesi!J14*12),Motore_Operativo!C431&lt;EDATE(Parametri_v3!$C$24,Parametri_v3!$C$25+Ipotesi!J14*12)),MAX(0,Motore_Operativo!CE431)*Piano_SS!$D$8,0))</f>
        <v>1666.66666666667</v>
      </c>
      <c r="BY431" s="15" t="n">
        <f aca="false">MIN(Piano_SS!$C$9,(BY430)+IF(AND(Motore_Operativo!C431&gt;=EDATE(Parametri_v3!$C$24,Ipotesi!J14*12),Motore_Operativo!C431&lt;EDATE(Parametri_v3!$C$24,Parametri_v3!$C$25+Ipotesi!J14*12)),MAX(0,((IF(7-(INT((Ipotesi!$C$91)/30))&lt;1,0,INDEX(Motore_Operativo!$BQ$425:$BQ$484,MAX(1,7-(INT((Ipotesi!$C$91)/30)))))*(1-(MOD((Ipotesi!$C$91),30)/30))+IF(7-(INT((Ipotesi!$C$91)/30))-1&lt;1,0,INDEX(Motore_Operativo!$BQ$425:$BQ$484,MAX(1,7-(INT((Ipotesi!$C$91)/30))-1)))*(MOD((Ipotesi!$C$91),30)/30))+(IF(7-(INT((Ipotesi!$C$91)/30))&lt;1,0,INDEX(Motore_Operativo!$BR$425:$BR$484,MAX(1,7-(INT((Ipotesi!$C$91)/30)))))*(1-(MOD((Ipotesi!$C$91),30)/30))+IF(7-(INT((Ipotesi!$C$91)/30))-1&lt;1,0,INDEX(Motore_Operativo!$BR$425:$BR$484,MAX(1,7-(INT((Ipotesi!$C$91)/30))-1)))*(MOD((Ipotesi!$C$91),30)/30))))*Piano_SS!$D$9,0))</f>
        <v>2250</v>
      </c>
      <c r="BZ431" s="15" t="n">
        <f aca="false">MIN(Piano_SS!$C$10,(BZ430)+IF(AND(Motore_Operativo!C431&gt;=EDATE(Parametri_v3!$C$24,Ipotesi!J14*12),Motore_Operativo!C431&lt;EDATE(Parametri_v3!$C$24,Parametri_v3!$C$25+Ipotesi!J14*12)),MAX(0,(IF(7-(INT((Ipotesi!$C$91)/30))&lt;1,0,INDEX(Motore_Operativo!$BO$425:$BO$484,MAX(1,7-(INT((Ipotesi!$C$91)/30)))))*(1-(MOD((Ipotesi!$C$91),30)/30))+IF(7-(INT((Ipotesi!$C$91)/30))-1&lt;1,0,INDEX(Motore_Operativo!$BO$425:$BO$484,MAX(1,7-(INT((Ipotesi!$C$91)/30))-1)))*(MOD((Ipotesi!$C$91),30)/30)))*Piano_SS!$D$10,0))</f>
        <v>1000</v>
      </c>
      <c r="CA431" s="15" t="n">
        <f aca="false">SUM(BV431:BZ431)</f>
        <v>10927.7777777778</v>
      </c>
      <c r="CB431" s="15" t="n">
        <f aca="false">BV431*(1-Piano_SS!$E$6)+BW431*(1-Piano_SS!$E$7)+BX431*(1-Piano_SS!$E$8)+BY431*(1-Piano_SS!$E$9)+BZ431*(1-Piano_SS!$E$10)</f>
        <v>9927.77777777778</v>
      </c>
      <c r="CC431" s="15" t="n">
        <f aca="false">(CC430)+BA431</f>
        <v>0</v>
      </c>
      <c r="CD431" s="15" t="n">
        <f aca="false">IF(CA431=0,0,CC431*CB431/CA431*Ipotesi!$C$103*Parametri_v3!$C$64)</f>
        <v>0</v>
      </c>
      <c r="CE431" s="18" t="n">
        <f aca="false">IF(BA431&gt;0,Motore_Operativo!C431,(CE430))</f>
        <v>0</v>
      </c>
      <c r="CF431" s="18" t="n">
        <f aca="false">IF(AND(CC431&gt;0,OR(CC431&gt;=CG431-0.01,Motore_Operativo!C431&gt;=EDATE(MAX(Finanziamenti!$D$15:$D$17),Ipotesi!J14*12))),CE431,0)</f>
        <v>0</v>
      </c>
      <c r="CG431" s="15" t="n">
        <f aca="false">IF(AND(8&lt;&gt;6,8&lt;&gt;9,Finanziamenti!$F$11=1,OR(Parametri_v3!$C$6=0,Finanziamenti!$E$11=1)),MIN(Finanziamenti!$C$11,Piano_SS!$C$12*Ipotesi!$C$102),0)</f>
        <v>400000</v>
      </c>
      <c r="CH431" s="15" t="n">
        <f aca="false">IF(AND(AND(8&lt;&gt;8,8&lt;&gt;9,Finanziamenti!$F$10=1,OR(Parametri_v3!$C$6=0,Finanziamenti!$E$10=1)),Motore_Operativo!C431&gt;=Finanziamenti!$D$10,Motore_Operativo!C431&lt;Parametri_v3!$C$63),Finanziamenti!$C$10,0)</f>
        <v>0</v>
      </c>
    </row>
    <row r="432" customFormat="false" ht="18" hidden="false" customHeight="true" outlineLevel="0" collapsed="false">
      <c r="A432" s="68" t="n">
        <f aca="false">8</f>
        <v>8</v>
      </c>
      <c r="B432" s="68" t="n">
        <f aca="false">8</f>
        <v>8</v>
      </c>
      <c r="C432" s="18" t="n">
        <f aca="false">Motore_Operativo!C432</f>
        <v>46600</v>
      </c>
      <c r="D432" s="68" t="n">
        <f aca="false">Motore_Operativo!D432</f>
        <v>2027</v>
      </c>
      <c r="E432" s="68" t="n">
        <f aca="false">Motore_Operativo!E432</f>
        <v>8</v>
      </c>
      <c r="F432" s="15" t="n">
        <f aca="false">Motore_Operativo!AQ432+Motore_Operativo!BF432</f>
        <v>7916.66666666667</v>
      </c>
      <c r="G432" s="15" t="n">
        <f aca="false">Motore_Operativo!BH432</f>
        <v>1621.05263157895</v>
      </c>
      <c r="H432" s="15" t="n">
        <f aca="false">Motore_Operativo!BI432</f>
        <v>9537.71929824561</v>
      </c>
      <c r="I432" s="15" t="n">
        <f aca="false">Motore_Operativo!CA432</f>
        <v>27796.548245614</v>
      </c>
      <c r="J432" s="15" t="n">
        <f aca="false">Motore_Operativo!CC432</f>
        <v>-18258.8289473684</v>
      </c>
      <c r="K432" s="15" t="n">
        <f aca="false">Motore_Operativo!CE432</f>
        <v>1666.66666666667</v>
      </c>
      <c r="L432" s="15" t="n">
        <f aca="false">SUM(INDEX($K$425:$K$484,MAX(1,8-Parametri_v3!$C$59+1)):K432)/Parametri_v3!$C$59</f>
        <v>370.37037037037</v>
      </c>
      <c r="M432" s="15" t="n">
        <f aca="false">J432-L432</f>
        <v>-18629.1993177388</v>
      </c>
      <c r="N432" s="15" t="n">
        <f aca="false">CD432-(CD431)</f>
        <v>0</v>
      </c>
      <c r="O432" s="15" t="n">
        <f aca="false">(BG431)*Ipotesi!$C$110/12+CH432*Parametri_v3!$C$39/12</f>
        <v>0</v>
      </c>
      <c r="P432" s="15" t="n">
        <f aca="false">M432+N432-O432</f>
        <v>-18629.1993177388</v>
      </c>
      <c r="Q432" s="15" t="n">
        <f aca="false">SUM(P425:P432)+Parametri_v3!$C$54*8/12</f>
        <v>-149608.59454191</v>
      </c>
      <c r="R432" s="15" t="n">
        <f aca="false">0</f>
        <v>0</v>
      </c>
      <c r="S432" s="15" t="n">
        <f aca="false">0</f>
        <v>0</v>
      </c>
      <c r="T432" s="15" t="n">
        <f aca="false">MIN(R432,MAX(0,Q432))</f>
        <v>0</v>
      </c>
      <c r="U432" s="15" t="n">
        <f aca="false">MIN(S432,MAX(0,Q432-T432)*Parametri_v3!$C$42)</f>
        <v>0</v>
      </c>
      <c r="V432" s="15" t="n">
        <f aca="false">MAX(0,Q432-T432-U432)*Ipotesi!$C$92</f>
        <v>0</v>
      </c>
      <c r="W432" s="15" t="n">
        <f aca="false">MAX(0,SUM(M425:M432)+Parametri_v3!$C$55*8/12)*Ipotesi!$C$93</f>
        <v>0</v>
      </c>
      <c r="X432" s="15" t="n">
        <f aca="false">V432+W432-(V431+W431)</f>
        <v>0</v>
      </c>
      <c r="Y432" s="15" t="n">
        <f aca="false">P432-X432</f>
        <v>-18629.1993177388</v>
      </c>
      <c r="Z432" s="15" t="n">
        <f aca="false">R432-T432+IF(AND(Parametri_v3!$C$40=1,D432-YEAR(Parametri_v3!$C$50)&lt;Parametri_v3!$C$41),MAX(0,-Q432),0)</f>
        <v>149608.59454191</v>
      </c>
      <c r="AA432" s="15" t="n">
        <f aca="false">S432-U432+IF(AND(Parametri_v3!$C$40=1,D432-YEAR(Parametri_v3!$C$50)&lt;Parametri_v3!$C$41),0,MAX(0,-Q432))</f>
        <v>0</v>
      </c>
      <c r="AB432" s="15" t="n">
        <f aca="false">F432*(1+Parametri_v3!$C$26)</f>
        <v>9658.33333333333</v>
      </c>
      <c r="AC432" s="15" t="n">
        <f aca="false">(IF(8-(INT((Motore_Operativo!L432)/30))&lt;1,0,INDEX(Motore_Startup!$AB$425:$AB$484,MAX(1,8-(INT((Motore_Operativo!L432)/30)))))*(1-(MOD((Motore_Operativo!L432),30)/30))+IF(8-(INT((Motore_Operativo!L432)/30))-1&lt;1,0,INDEX(Motore_Startup!$AB$425:$AB$484,MAX(1,8-(INT((Motore_Operativo!L432)/30))-1)))*(MOD((Motore_Operativo!L432),30)/30))</f>
        <v>9319.44444444445</v>
      </c>
      <c r="AD432" s="15" t="n">
        <f aca="false">(AD431)+AB432-AC432</f>
        <v>28636.1111111111</v>
      </c>
      <c r="AE432" s="15" t="n">
        <f aca="false">Motore_Operativo!BH432*(1+Parametri_v3!$C$26)</f>
        <v>1977.68421052632</v>
      </c>
      <c r="AF432" s="15" t="n">
        <f aca="false">(IF(8-(INT((Parametri_v3!$C$29)/30))&lt;1,0,INDEX(Motore_Operativo!$BH$425:$BH$484,MAX(1,8-(INT((Parametri_v3!$C$29)/30)))))*(1-(MOD((Parametri_v3!$C$29),30)/30))+IF(8-(INT((Parametri_v3!$C$29)/30))-1&lt;1,0,INDEX(Motore_Operativo!$BH$425:$BH$484,MAX(1,8-(INT((Parametri_v3!$C$29)/30))-1)))*(MOD((Parametri_v3!$C$29),30)/30))*(1+Parametri_v3!$C$26)</f>
        <v>1977.68421052632</v>
      </c>
      <c r="AG432" s="15" t="n">
        <f aca="false">(AG431)+AE432-AF432</f>
        <v>1977.68421052632</v>
      </c>
      <c r="AH432" s="15" t="n">
        <f aca="false">(Motore_Operativo!CJ432)*(1+Parametri_v3!$C$27*Parametri_v3!$C$26)</f>
        <v>11727.4194342105</v>
      </c>
      <c r="AI432" s="15" t="n">
        <f aca="false">(IF(8-(INT((Ipotesi!$C$91)/30))&lt;1,0,INDEX(Motore_Startup!$AH$425:$AH$484,MAX(1,8-(INT((Ipotesi!$C$91)/30)))))*(1-(MOD((Ipotesi!$C$91),30)/30))+IF(8-(INT((Ipotesi!$C$91)/30))-1&lt;1,0,INDEX(Motore_Startup!$AH$425:$AH$484,MAX(1,8-(INT((Ipotesi!$C$91)/30))-1)))*(MOD((Ipotesi!$C$91),30)/30))</f>
        <v>11696.6453601365</v>
      </c>
      <c r="AJ432" s="15" t="n">
        <f aca="false">(AJ431)+AH432-AI432</f>
        <v>23439.451831384</v>
      </c>
      <c r="AK432" s="15" t="n">
        <f aca="false">(F432+ Motore_Operativo!BH432-(Motore_Operativo!CJ432)*Parametri_v3!$C$27-Motore_Operativo!CE432)*Parametri_v3!$C$26</f>
        <v>-115.906276315789</v>
      </c>
      <c r="AL432" s="15" t="n">
        <f aca="false">MAX(0,(AM431))</f>
        <v>0</v>
      </c>
      <c r="AM432" s="15" t="n">
        <f aca="false">(AM431)+AK432-AL432</f>
        <v>-1348.98817348927</v>
      </c>
      <c r="AN432" s="15" t="n">
        <f aca="false">0</f>
        <v>0</v>
      </c>
      <c r="AO432" s="15" t="n">
        <f aca="false">0</f>
        <v>0</v>
      </c>
      <c r="AP432" s="15" t="n">
        <f aca="false">MAX(0,AN432)*IF(8=Parametri_v3!$C$43,Parametri_v3!$C$45,IF(8=Parametri_v3!$C$44,1-Parametri_v3!$C$45,0))</f>
        <v>0</v>
      </c>
      <c r="AQ432" s="15" t="n">
        <f aca="false">MAX(0,AP432+IF(8=Parametri_v3!$C$43,MAX(0,AN432-AO432),0)-MAX(0,-(AR431)))</f>
        <v>0</v>
      </c>
      <c r="AR432" s="15" t="n">
        <f aca="false">(AR431)+X432-AQ432</f>
        <v>0</v>
      </c>
      <c r="AS432" s="15" t="n">
        <f aca="false">Motore_Operativo!AB432-AT432+AU432</f>
        <v>17020.8333333333</v>
      </c>
      <c r="AT432" s="15" t="n">
        <f aca="false">Motore_Operativo!CH432</f>
        <v>895.833333333334</v>
      </c>
      <c r="AU432" s="15" t="n">
        <f aca="false">MIN(MAX(0,(AV431)+AT432),Parametri_v3!$C$60/12)</f>
        <v>0</v>
      </c>
      <c r="AV432" s="15" t="n">
        <f aca="false">(AV431)+AT432-AU432</f>
        <v>7166.66666666667</v>
      </c>
      <c r="AW432" s="15" t="n">
        <f aca="false">IF(AND(Motore_Operativo!C432=Finanziamenti!$D$6,Finanziamenti!$F$6=1),Finanziamenti!$C$6,0)</f>
        <v>0</v>
      </c>
      <c r="AX432" s="15" t="n">
        <f aca="false">IF(AND(8&lt;&gt;7,8&lt;&gt;9,Finanziamenti!$F$8=1,OR(Parametri_v3!$C$6=0,Finanziamenti!$E$8=1),Motore_Operativo!C432=EDATE(Finanziamenti!$D$8,Ipotesi!J15*12)),Finanziamenti!$C$8*1,0)+IF(AND(8&lt;&gt;7,8&lt;&gt;9,Finanziamenti!$F$9=1,OR(Parametri_v3!$C$6=0,Finanziamenti!$E$9=1),Motore_Operativo!C432=EDATE(Finanziamenti!$D$9,Ipotesi!J15*12)),Finanziamenti!$C$9*Ipotesi!J16,0)</f>
        <v>0</v>
      </c>
      <c r="AY432" s="15" t="n">
        <f aca="false">0</f>
        <v>0</v>
      </c>
      <c r="AZ432" s="15" t="n">
        <f aca="false">Motore_Advisory!AY432*(1-Ipotesi!$C$95)*Ipotesi!$C$96</f>
        <v>0</v>
      </c>
      <c r="BA432" s="15" t="n">
        <f aca="false">MAX(0,MIN(CG432*MIN(1,IF(Motore_Operativo!C432&gt;=EDATE(Finanziamenti!$D$15,Ipotesi!J14*12),Finanziamenti!$C$15,0)+IF(Motore_Operativo!C432&gt;=EDATE(Finanziamenti!$D$16,Ipotesi!J14*12),Finanziamenti!$C$16,0)+IF(Motore_Operativo!C432&gt;=EDATE(Finanziamenti!$D$17,Ipotesi!J14*12),Finanziamenti!$C$17,0)),CA432*Ipotesi!$C$102)-(CC431))</f>
        <v>0</v>
      </c>
      <c r="BB432" s="15" t="n">
        <f aca="false">IF(AND(CF432&gt;0,Motore_Operativo!C432&gt;=IF(CF432=0,0,EDATE(CF432,Parametri_v3!$C$37)),MOD(((D432-YEAR(IF(CF432=0,0,EDATE(CF432,Parametri_v3!$C$37))))*12+E432-MONTH(IF(CF432=0,0,EDATE(CF432,Parametri_v3!$C$37)))),Parametri_v3!$C$38)=0),MIN(MAX(0,(BC431)+BA432-N432),(CC432-CD432)/(Ipotesi!$C$108*12/Parametri_v3!$C$38)),0)</f>
        <v>0</v>
      </c>
      <c r="BC432" s="15" t="n">
        <f aca="false">(BC431)+BA432-N432-BB432</f>
        <v>0</v>
      </c>
      <c r="BD432" s="15" t="n">
        <f aca="false">(BH431)+AC432+AF432-AI432-AS432-K432*(1+Parametri_v3!$C$26)-AL432-AQ432-O432+AW432+AX432+AZ432+BA432-BB432</f>
        <v>-32631.926205653</v>
      </c>
      <c r="BE432" s="15" t="n">
        <f aca="false">MAX(0,MIN(MAX(0,CH432-(BG431)),Parametri_v3!$C$30-BD432))</f>
        <v>0</v>
      </c>
      <c r="BF432" s="15" t="n">
        <f aca="false">IF(Motore_Operativo!C432&gt;=Parametri_v3!$C$63,(BG431),MIN((BG431),MAX(0,BD432-Parametri_v3!$C$30)))</f>
        <v>0</v>
      </c>
      <c r="BG432" s="15" t="n">
        <f aca="false">(BG431)+BE432-BF432</f>
        <v>0</v>
      </c>
      <c r="BH432" s="15" t="n">
        <f aca="false">BD432+BE432-BF432-AY432</f>
        <v>-32631.926205653</v>
      </c>
      <c r="BI432" s="15" t="n">
        <f aca="false">MAX(0,Parametri_v3!$C$30-BH432)</f>
        <v>57631.926205653</v>
      </c>
      <c r="BJ432" s="15" t="n">
        <f aca="false">(BJ431)+K432</f>
        <v>13333.3333333333</v>
      </c>
      <c r="BK432" s="15" t="n">
        <f aca="false">(BK431)+L432</f>
        <v>1666.66666666667</v>
      </c>
      <c r="BL432" s="15" t="n">
        <f aca="false">BJ432-BK432</f>
        <v>11666.6666666667</v>
      </c>
      <c r="BM432" s="15" t="n">
        <f aca="false">(BM431)+Y432</f>
        <v>-149608.59454191</v>
      </c>
      <c r="BN432" s="15" t="n">
        <f aca="false">(BN431)+AW432+AX432+AZ432</f>
        <v>130000</v>
      </c>
      <c r="BO432" s="15" t="n">
        <f aca="false">(BO431)+AY432</f>
        <v>0</v>
      </c>
      <c r="BP432" s="15" t="n">
        <f aca="false">0</f>
        <v>0</v>
      </c>
      <c r="BQ432" s="15" t="n">
        <f aca="false">BN432+BM432-BO432</f>
        <v>-19608.5945419103</v>
      </c>
      <c r="BR432" s="15" t="n">
        <f aca="false">BH432+AD432+BL432+MAX(0,-AM432)+MAX(0,-AR432)+AG432</f>
        <v>10997.5239561404</v>
      </c>
      <c r="BS432" s="15" t="n">
        <f aca="false">AJ432+AV432+MAX(0,AM432)+MAX(0,AR432)+BC432+BG432+BQ432</f>
        <v>10997.5239561404</v>
      </c>
      <c r="BT432" s="15" t="n">
        <f aca="false">BR432-BS432</f>
        <v>0</v>
      </c>
      <c r="BU432" s="15" t="n">
        <f aca="false">BH432-(BD432+BE432-BF432-AY432)</f>
        <v>0</v>
      </c>
      <c r="BV432" s="15" t="n">
        <f aca="false">MIN(Piano_SS!$C$6,(BV431)+IF(AND(Motore_Operativo!C432&gt;=EDATE(Parametri_v3!$C$24,Ipotesi!J14*12),Motore_Operativo!C432&lt;EDATE(Parametri_v3!$C$24,Parametri_v3!$C$25+Ipotesi!J14*12)),MAX(0,(Motore_Operativo!Y432+Motore_Operativo!X432*Parametri_v3!$C$14)*(1-Parametri_v3!$C$32))*Piano_SS!$D$6,0))</f>
        <v>9500</v>
      </c>
      <c r="BW432" s="15" t="n">
        <f aca="false">MIN(Piano_SS!$C$7,(BW431)+IF(AND(Motore_Operativo!C432&gt;=EDATE(Parametri_v3!$C$24,Ipotesi!J14*12),Motore_Operativo!C432&lt;EDATE(Parametri_v3!$C$24,Parametri_v3!$C$25+Ipotesi!J14*12)),MAX(0,(IF(8-(INT((Ipotesi!$C$91)/30))&lt;1,0,INDEX(Motore_Operativo!$BN$425:$BN$484,MAX(1,8-(INT((Ipotesi!$C$91)/30)))))*(1-(MOD((Ipotesi!$C$91),30)/30))+IF(8-(INT((Ipotesi!$C$91)/30))-1&lt;1,0,INDEX(Motore_Operativo!$BN$425:$BN$484,MAX(1,8-(INT((Ipotesi!$C$91)/30))-1)))*(MOD((Ipotesi!$C$91),30)/30)))*Piano_SS!$D$7,0))</f>
        <v>2529.62962962963</v>
      </c>
      <c r="BX432" s="15" t="n">
        <f aca="false">MIN(Piano_SS!$C$8,(BX431)+IF(AND(Motore_Operativo!C432&gt;=EDATE(Parametri_v3!$C$24,Ipotesi!J14*12),Motore_Operativo!C432&lt;EDATE(Parametri_v3!$C$24,Parametri_v3!$C$25+Ipotesi!J14*12)),MAX(0,Motore_Operativo!CE432)*Piano_SS!$D$8,0))</f>
        <v>3333.33333333333</v>
      </c>
      <c r="BY432" s="15" t="n">
        <f aca="false">MIN(Piano_SS!$C$9,(BY431)+IF(AND(Motore_Operativo!C432&gt;=EDATE(Parametri_v3!$C$24,Ipotesi!J14*12),Motore_Operativo!C432&lt;EDATE(Parametri_v3!$C$24,Parametri_v3!$C$25+Ipotesi!J14*12)),MAX(0,((IF(8-(INT((Ipotesi!$C$91)/30))&lt;1,0,INDEX(Motore_Operativo!$BQ$425:$BQ$484,MAX(1,8-(INT((Ipotesi!$C$91)/30)))))*(1-(MOD((Ipotesi!$C$91),30)/30))+IF(8-(INT((Ipotesi!$C$91)/30))-1&lt;1,0,INDEX(Motore_Operativo!$BQ$425:$BQ$484,MAX(1,8-(INT((Ipotesi!$C$91)/30))-1)))*(MOD((Ipotesi!$C$91),30)/30))+(IF(8-(INT((Ipotesi!$C$91)/30))&lt;1,0,INDEX(Motore_Operativo!$BR$425:$BR$484,MAX(1,8-(INT((Ipotesi!$C$91)/30)))))*(1-(MOD((Ipotesi!$C$91),30)/30))+IF(8-(INT((Ipotesi!$C$91)/30))-1&lt;1,0,INDEX(Motore_Operativo!$BR$425:$BR$484,MAX(1,8-(INT((Ipotesi!$C$91)/30))-1)))*(MOD((Ipotesi!$C$91),30)/30))))*Piano_SS!$D$9,0))</f>
        <v>4500</v>
      </c>
      <c r="BZ432" s="15" t="n">
        <f aca="false">MIN(Piano_SS!$C$10,(BZ431)+IF(AND(Motore_Operativo!C432&gt;=EDATE(Parametri_v3!$C$24,Ipotesi!J14*12),Motore_Operativo!C432&lt;EDATE(Parametri_v3!$C$24,Parametri_v3!$C$25+Ipotesi!J14*12)),MAX(0,(IF(8-(INT((Ipotesi!$C$91)/30))&lt;1,0,INDEX(Motore_Operativo!$BO$425:$BO$484,MAX(1,8-(INT((Ipotesi!$C$91)/30)))))*(1-(MOD((Ipotesi!$C$91),30)/30))+IF(8-(INT((Ipotesi!$C$91)/30))-1&lt;1,0,INDEX(Motore_Operativo!$BO$425:$BO$484,MAX(1,8-(INT((Ipotesi!$C$91)/30))-1)))*(MOD((Ipotesi!$C$91),30)/30)))*Piano_SS!$D$10,0))</f>
        <v>2000</v>
      </c>
      <c r="CA432" s="15" t="n">
        <f aca="false">SUM(BV432:BZ432)</f>
        <v>21862.962962963</v>
      </c>
      <c r="CB432" s="15" t="n">
        <f aca="false">BV432*(1-Piano_SS!$E$6)+BW432*(1-Piano_SS!$E$7)+BX432*(1-Piano_SS!$E$8)+BY432*(1-Piano_SS!$E$9)+BZ432*(1-Piano_SS!$E$10)</f>
        <v>19862.962962963</v>
      </c>
      <c r="CC432" s="15" t="n">
        <f aca="false">(CC431)+BA432</f>
        <v>0</v>
      </c>
      <c r="CD432" s="15" t="n">
        <f aca="false">IF(CA432=0,0,CC432*CB432/CA432*Ipotesi!$C$103*Parametri_v3!$C$64)</f>
        <v>0</v>
      </c>
      <c r="CE432" s="18" t="n">
        <f aca="false">IF(BA432&gt;0,Motore_Operativo!C432,(CE431))</f>
        <v>0</v>
      </c>
      <c r="CF432" s="18" t="n">
        <f aca="false">IF(AND(CC432&gt;0,OR(CC432&gt;=CG432-0.01,Motore_Operativo!C432&gt;=EDATE(MAX(Finanziamenti!$D$15:$D$17),Ipotesi!J14*12))),CE432,0)</f>
        <v>0</v>
      </c>
      <c r="CG432" s="15" t="n">
        <f aca="false">IF(AND(8&lt;&gt;6,8&lt;&gt;9,Finanziamenti!$F$11=1,OR(Parametri_v3!$C$6=0,Finanziamenti!$E$11=1)),MIN(Finanziamenti!$C$11,Piano_SS!$C$12*Ipotesi!$C$102),0)</f>
        <v>400000</v>
      </c>
      <c r="CH432" s="15" t="n">
        <f aca="false">IF(AND(AND(8&lt;&gt;8,8&lt;&gt;9,Finanziamenti!$F$10=1,OR(Parametri_v3!$C$6=0,Finanziamenti!$E$10=1)),Motore_Operativo!C432&gt;=Finanziamenti!$D$10,Motore_Operativo!C432&lt;Parametri_v3!$C$63),Finanziamenti!$C$10,0)</f>
        <v>0</v>
      </c>
    </row>
    <row r="433" customFormat="false" ht="18" hidden="false" customHeight="true" outlineLevel="0" collapsed="false">
      <c r="A433" s="68" t="n">
        <f aca="false">8</f>
        <v>8</v>
      </c>
      <c r="B433" s="68" t="n">
        <f aca="false">9</f>
        <v>9</v>
      </c>
      <c r="C433" s="18" t="n">
        <f aca="false">Motore_Operativo!C433</f>
        <v>46631</v>
      </c>
      <c r="D433" s="68" t="n">
        <f aca="false">Motore_Operativo!D433</f>
        <v>2027</v>
      </c>
      <c r="E433" s="68" t="n">
        <f aca="false">Motore_Operativo!E433</f>
        <v>9</v>
      </c>
      <c r="F433" s="15" t="n">
        <f aca="false">Motore_Operativo!AQ433+Motore_Operativo!BF433</f>
        <v>8009.25925925926</v>
      </c>
      <c r="G433" s="15" t="n">
        <f aca="false">Motore_Operativo!BH433</f>
        <v>1621.05263157895</v>
      </c>
      <c r="H433" s="15" t="n">
        <f aca="false">Motore_Operativo!BI433</f>
        <v>9630.31189083821</v>
      </c>
      <c r="I433" s="15" t="n">
        <f aca="false">Motore_Operativo!CA433</f>
        <v>27809.511208577</v>
      </c>
      <c r="J433" s="15" t="n">
        <f aca="false">Motore_Operativo!CC433</f>
        <v>-18179.1993177388</v>
      </c>
      <c r="K433" s="15" t="n">
        <f aca="false">Motore_Operativo!CE433</f>
        <v>1666.66666666667</v>
      </c>
      <c r="L433" s="15" t="n">
        <f aca="false">SUM(INDEX($K$425:$K$484,MAX(1,9-Parametri_v3!$C$59+1)):K433)/Parametri_v3!$C$59</f>
        <v>416.666666666667</v>
      </c>
      <c r="M433" s="15" t="n">
        <f aca="false">J433-L433</f>
        <v>-18595.8659844055</v>
      </c>
      <c r="N433" s="15" t="n">
        <f aca="false">CD433-(CD432)</f>
        <v>0</v>
      </c>
      <c r="O433" s="15" t="n">
        <f aca="false">(BG432)*Ipotesi!$C$110/12+CH433*Parametri_v3!$C$39/12</f>
        <v>0</v>
      </c>
      <c r="P433" s="15" t="n">
        <f aca="false">M433+N433-O433</f>
        <v>-18595.8659844055</v>
      </c>
      <c r="Q433" s="15" t="n">
        <f aca="false">SUM(P425:P433)+Parametri_v3!$C$54*9/12</f>
        <v>-168204.460526316</v>
      </c>
      <c r="R433" s="15" t="n">
        <f aca="false">0</f>
        <v>0</v>
      </c>
      <c r="S433" s="15" t="n">
        <f aca="false">0</f>
        <v>0</v>
      </c>
      <c r="T433" s="15" t="n">
        <f aca="false">MIN(R433,MAX(0,Q433))</f>
        <v>0</v>
      </c>
      <c r="U433" s="15" t="n">
        <f aca="false">MIN(S433,MAX(0,Q433-T433)*Parametri_v3!$C$42)</f>
        <v>0</v>
      </c>
      <c r="V433" s="15" t="n">
        <f aca="false">MAX(0,Q433-T433-U433)*Ipotesi!$C$92</f>
        <v>0</v>
      </c>
      <c r="W433" s="15" t="n">
        <f aca="false">MAX(0,SUM(M425:M433)+Parametri_v3!$C$55*9/12)*Ipotesi!$C$93</f>
        <v>0</v>
      </c>
      <c r="X433" s="15" t="n">
        <f aca="false">V433+W433-(V432+W432)</f>
        <v>0</v>
      </c>
      <c r="Y433" s="15" t="n">
        <f aca="false">P433-X433</f>
        <v>-18595.8659844055</v>
      </c>
      <c r="Z433" s="15" t="n">
        <f aca="false">R433-T433+IF(AND(Parametri_v3!$C$40=1,D433-YEAR(Parametri_v3!$C$50)&lt;Parametri_v3!$C$41),MAX(0,-Q433),0)</f>
        <v>168204.460526316</v>
      </c>
      <c r="AA433" s="15" t="n">
        <f aca="false">S433-U433+IF(AND(Parametri_v3!$C$40=1,D433-YEAR(Parametri_v3!$C$50)&lt;Parametri_v3!$C$41),0,MAX(0,-Q433))</f>
        <v>0</v>
      </c>
      <c r="AB433" s="15" t="n">
        <f aca="false">F433*(1+Parametri_v3!$C$26)</f>
        <v>9771.2962962963</v>
      </c>
      <c r="AC433" s="15" t="n">
        <f aca="false">(IF(9-(INT((Motore_Operativo!L433)/30))&lt;1,0,INDEX(Motore_Startup!$AB$425:$AB$484,MAX(1,9-(INT((Motore_Operativo!L433)/30)))))*(1-(MOD((Motore_Operativo!L433),30)/30))+IF(9-(INT((Motore_Operativo!L433)/30))-1&lt;1,0,INDEX(Motore_Startup!$AB$425:$AB$484,MAX(1,9-(INT((Motore_Operativo!L433)/30))-1)))*(MOD((Motore_Operativo!L433),30)/30))</f>
        <v>9432.40740740741</v>
      </c>
      <c r="AD433" s="15" t="n">
        <f aca="false">(AD432)+AB433-AC433</f>
        <v>28975</v>
      </c>
      <c r="AE433" s="15" t="n">
        <f aca="false">Motore_Operativo!BH433*(1+Parametri_v3!$C$26)</f>
        <v>1977.68421052632</v>
      </c>
      <c r="AF433" s="15" t="n">
        <f aca="false">(IF(9-(INT((Parametri_v3!$C$29)/30))&lt;1,0,INDEX(Motore_Operativo!$BH$425:$BH$484,MAX(1,9-(INT((Parametri_v3!$C$29)/30)))))*(1-(MOD((Parametri_v3!$C$29),30)/30))+IF(9-(INT((Parametri_v3!$C$29)/30))-1&lt;1,0,INDEX(Motore_Operativo!$BH$425:$BH$484,MAX(1,9-(INT((Parametri_v3!$C$29)/30))-1)))*(MOD((Parametri_v3!$C$29),30)/30))*(1+Parametri_v3!$C$26)</f>
        <v>1977.68421052632</v>
      </c>
      <c r="AG433" s="15" t="n">
        <f aca="false">(AG432)+AE433-AF433</f>
        <v>1977.68421052632</v>
      </c>
      <c r="AH433" s="15" t="n">
        <f aca="false">(Motore_Operativo!CJ433)*(1+Parametri_v3!$C$27*Parametri_v3!$C$26)</f>
        <v>11742.8064712476</v>
      </c>
      <c r="AI433" s="15" t="n">
        <f aca="false">(IF(9-(INT((Ipotesi!$C$91)/30))&lt;1,0,INDEX(Motore_Startup!$AH$425:$AH$484,MAX(1,9-(INT((Ipotesi!$C$91)/30)))))*(1-(MOD((Ipotesi!$C$91),30)/30))+IF(9-(INT((Ipotesi!$C$91)/30))-1&lt;1,0,INDEX(Motore_Startup!$AH$425:$AH$484,MAX(1,9-(INT((Ipotesi!$C$91)/30))-1)))*(MOD((Ipotesi!$C$91),30)/30))</f>
        <v>11712.0323971735</v>
      </c>
      <c r="AJ433" s="15" t="n">
        <f aca="false">(AJ432)+AH433-AI433</f>
        <v>23470.2259054581</v>
      </c>
      <c r="AK433" s="15" t="n">
        <f aca="false">(F433+ Motore_Operativo!BH433-(Motore_Operativo!CJ433)*Parametri_v3!$C$27-Motore_Operativo!CE433)*Parametri_v3!$C$26</f>
        <v>-97.9599800194927</v>
      </c>
      <c r="AL433" s="15" t="n">
        <f aca="false">MAX(0,(AM432))</f>
        <v>0</v>
      </c>
      <c r="AM433" s="15" t="n">
        <f aca="false">(AM432)+AK433-AL433</f>
        <v>-1446.94815350877</v>
      </c>
      <c r="AN433" s="15" t="n">
        <f aca="false">0</f>
        <v>0</v>
      </c>
      <c r="AO433" s="15" t="n">
        <f aca="false">0</f>
        <v>0</v>
      </c>
      <c r="AP433" s="15" t="n">
        <f aca="false">MAX(0,AN433)*IF(9=Parametri_v3!$C$43,Parametri_v3!$C$45,IF(9=Parametri_v3!$C$44,1-Parametri_v3!$C$45,0))</f>
        <v>0</v>
      </c>
      <c r="AQ433" s="15" t="n">
        <f aca="false">MAX(0,AP433+IF(9=Parametri_v3!$C$43,MAX(0,AN433-AO433),0)-MAX(0,-(AR432)))</f>
        <v>0</v>
      </c>
      <c r="AR433" s="15" t="n">
        <f aca="false">(AR432)+X433-AQ433</f>
        <v>0</v>
      </c>
      <c r="AS433" s="15" t="n">
        <f aca="false">Motore_Operativo!AB433-AT433+AU433</f>
        <v>17020.8333333333</v>
      </c>
      <c r="AT433" s="15" t="n">
        <f aca="false">Motore_Operativo!CH433</f>
        <v>895.833333333334</v>
      </c>
      <c r="AU433" s="15" t="n">
        <f aca="false">MIN(MAX(0,(AV432)+AT433),Parametri_v3!$C$60/12)</f>
        <v>0</v>
      </c>
      <c r="AV433" s="15" t="n">
        <f aca="false">(AV432)+AT433-AU433</f>
        <v>8062.5</v>
      </c>
      <c r="AW433" s="15" t="n">
        <f aca="false">IF(AND(Motore_Operativo!C433=Finanziamenti!$D$6,Finanziamenti!$F$6=1),Finanziamenti!$C$6,0)</f>
        <v>0</v>
      </c>
      <c r="AX433" s="15" t="n">
        <f aca="false">IF(AND(8&lt;&gt;7,8&lt;&gt;9,Finanziamenti!$F$8=1,OR(Parametri_v3!$C$6=0,Finanziamenti!$E$8=1),Motore_Operativo!C433=EDATE(Finanziamenti!$D$8,Ipotesi!J15*12)),Finanziamenti!$C$8*1,0)+IF(AND(8&lt;&gt;7,8&lt;&gt;9,Finanziamenti!$F$9=1,OR(Parametri_v3!$C$6=0,Finanziamenti!$E$9=1),Motore_Operativo!C433=EDATE(Finanziamenti!$D$9,Ipotesi!J15*12)),Finanziamenti!$C$9*Ipotesi!J16,0)</f>
        <v>0</v>
      </c>
      <c r="AY433" s="15" t="n">
        <f aca="false">0</f>
        <v>0</v>
      </c>
      <c r="AZ433" s="15" t="n">
        <f aca="false">Motore_Advisory!AY433*(1-Ipotesi!$C$95)*Ipotesi!$C$96</f>
        <v>0</v>
      </c>
      <c r="BA433" s="15" t="n">
        <f aca="false">MAX(0,MIN(CG433*MIN(1,IF(Motore_Operativo!C433&gt;=EDATE(Finanziamenti!$D$15,Ipotesi!J14*12),Finanziamenti!$C$15,0)+IF(Motore_Operativo!C433&gt;=EDATE(Finanziamenti!$D$16,Ipotesi!J14*12),Finanziamenti!$C$16,0)+IF(Motore_Operativo!C433&gt;=EDATE(Finanziamenti!$D$17,Ipotesi!J14*12),Finanziamenti!$C$17,0)),CA433*Ipotesi!$C$102)-(CC432))</f>
        <v>0</v>
      </c>
      <c r="BB433" s="15" t="n">
        <f aca="false">IF(AND(CF433&gt;0,Motore_Operativo!C433&gt;=IF(CF433=0,0,EDATE(CF433,Parametri_v3!$C$37)),MOD(((D433-YEAR(IF(CF433=0,0,EDATE(CF433,Parametri_v3!$C$37))))*12+E433-MONTH(IF(CF433=0,0,EDATE(CF433,Parametri_v3!$C$37)))),Parametri_v3!$C$38)=0),MIN(MAX(0,(BC432)+BA433-N433),(CC433-CD433)/(Ipotesi!$C$108*12/Parametri_v3!$C$38)),0)</f>
        <v>0</v>
      </c>
      <c r="BC433" s="15" t="n">
        <f aca="false">(BC432)+BA433-N433-BB433</f>
        <v>0</v>
      </c>
      <c r="BD433" s="15" t="n">
        <f aca="false">(BH432)+AC433+AF433-AI433-AS433-K433*(1+Parametri_v3!$C$26)-AL433-AQ433-O433+AW433+AX433+AZ433+BA433-BB433</f>
        <v>-51988.0336515594</v>
      </c>
      <c r="BE433" s="15" t="n">
        <f aca="false">MAX(0,MIN(MAX(0,CH433-(BG432)),Parametri_v3!$C$30-BD433))</f>
        <v>0</v>
      </c>
      <c r="BF433" s="15" t="n">
        <f aca="false">IF(Motore_Operativo!C433&gt;=Parametri_v3!$C$63,(BG432),MIN((BG432),MAX(0,BD433-Parametri_v3!$C$30)))</f>
        <v>0</v>
      </c>
      <c r="BG433" s="15" t="n">
        <f aca="false">(BG432)+BE433-BF433</f>
        <v>0</v>
      </c>
      <c r="BH433" s="15" t="n">
        <f aca="false">BD433+BE433-BF433-AY433</f>
        <v>-51988.0336515594</v>
      </c>
      <c r="BI433" s="15" t="n">
        <f aca="false">MAX(0,Parametri_v3!$C$30-BH433)</f>
        <v>76988.0336515594</v>
      </c>
      <c r="BJ433" s="15" t="n">
        <f aca="false">(BJ432)+K433</f>
        <v>15000</v>
      </c>
      <c r="BK433" s="15" t="n">
        <f aca="false">(BK432)+L433</f>
        <v>2083.33333333333</v>
      </c>
      <c r="BL433" s="15" t="n">
        <f aca="false">BJ433-BK433</f>
        <v>12916.6666666667</v>
      </c>
      <c r="BM433" s="15" t="n">
        <f aca="false">(BM432)+Y433</f>
        <v>-168204.460526316</v>
      </c>
      <c r="BN433" s="15" t="n">
        <f aca="false">(BN432)+AW433+AX433+AZ433</f>
        <v>130000</v>
      </c>
      <c r="BO433" s="15" t="n">
        <f aca="false">(BO432)+AY433</f>
        <v>0</v>
      </c>
      <c r="BP433" s="15" t="n">
        <f aca="false">0</f>
        <v>0</v>
      </c>
      <c r="BQ433" s="15" t="n">
        <f aca="false">BN433+BM433-BO433</f>
        <v>-38204.4605263158</v>
      </c>
      <c r="BR433" s="15" t="n">
        <f aca="false">BH433+AD433+BL433+MAX(0,-AM433)+MAX(0,-AR433)+AG433</f>
        <v>-6671.73462085769</v>
      </c>
      <c r="BS433" s="15" t="n">
        <f aca="false">AJ433+AV433+MAX(0,AM433)+MAX(0,AR433)+BC433+BG433+BQ433</f>
        <v>-6671.73462085766</v>
      </c>
      <c r="BT433" s="15" t="n">
        <f aca="false">BR433-BS433</f>
        <v>-2.81943357549608E-011</v>
      </c>
      <c r="BU433" s="15" t="n">
        <f aca="false">BH433-(BD433+BE433-BF433-AY433)</f>
        <v>0</v>
      </c>
      <c r="BV433" s="15" t="n">
        <f aca="false">MIN(Piano_SS!$C$6,(BV432)+IF(AND(Motore_Operativo!C433&gt;=EDATE(Parametri_v3!$C$24,Ipotesi!J14*12),Motore_Operativo!C433&lt;EDATE(Parametri_v3!$C$24,Parametri_v3!$C$25+Ipotesi!J14*12)),MAX(0,(Motore_Operativo!Y433+Motore_Operativo!X433*Parametri_v3!$C$14)*(1-Parametri_v3!$C$32))*Piano_SS!$D$6,0))</f>
        <v>14250</v>
      </c>
      <c r="BW433" s="15" t="n">
        <f aca="false">MIN(Piano_SS!$C$7,(BW432)+IF(AND(Motore_Operativo!C433&gt;=EDATE(Parametri_v3!$C$24,Ipotesi!J14*12),Motore_Operativo!C433&lt;EDATE(Parametri_v3!$C$24,Parametri_v3!$C$25+Ipotesi!J14*12)),MAX(0,(IF(9-(INT((Ipotesi!$C$91)/30))&lt;1,0,INDEX(Motore_Operativo!$BN$425:$BN$484,MAX(1,9-(INT((Ipotesi!$C$91)/30)))))*(1-(MOD((Ipotesi!$C$91),30)/30))+IF(9-(INT((Ipotesi!$C$91)/30))-1&lt;1,0,INDEX(Motore_Operativo!$BN$425:$BN$484,MAX(1,9-(INT((Ipotesi!$C$91)/30))-1)))*(MOD((Ipotesi!$C$91),30)/30)))*Piano_SS!$D$7,0))</f>
        <v>3805.55555555556</v>
      </c>
      <c r="BX433" s="15" t="n">
        <f aca="false">MIN(Piano_SS!$C$8,(BX432)+IF(AND(Motore_Operativo!C433&gt;=EDATE(Parametri_v3!$C$24,Ipotesi!J14*12),Motore_Operativo!C433&lt;EDATE(Parametri_v3!$C$24,Parametri_v3!$C$25+Ipotesi!J14*12)),MAX(0,Motore_Operativo!CE433)*Piano_SS!$D$8,0))</f>
        <v>5000</v>
      </c>
      <c r="BY433" s="15" t="n">
        <f aca="false">MIN(Piano_SS!$C$9,(BY432)+IF(AND(Motore_Operativo!C433&gt;=EDATE(Parametri_v3!$C$24,Ipotesi!J14*12),Motore_Operativo!C433&lt;EDATE(Parametri_v3!$C$24,Parametri_v3!$C$25+Ipotesi!J14*12)),MAX(0,((IF(9-(INT((Ipotesi!$C$91)/30))&lt;1,0,INDEX(Motore_Operativo!$BQ$425:$BQ$484,MAX(1,9-(INT((Ipotesi!$C$91)/30)))))*(1-(MOD((Ipotesi!$C$91),30)/30))+IF(9-(INT((Ipotesi!$C$91)/30))-1&lt;1,0,INDEX(Motore_Operativo!$BQ$425:$BQ$484,MAX(1,9-(INT((Ipotesi!$C$91)/30))-1)))*(MOD((Ipotesi!$C$91),30)/30))+(IF(9-(INT((Ipotesi!$C$91)/30))&lt;1,0,INDEX(Motore_Operativo!$BR$425:$BR$484,MAX(1,9-(INT((Ipotesi!$C$91)/30)))))*(1-(MOD((Ipotesi!$C$91),30)/30))+IF(9-(INT((Ipotesi!$C$91)/30))-1&lt;1,0,INDEX(Motore_Operativo!$BR$425:$BR$484,MAX(1,9-(INT((Ipotesi!$C$91)/30))-1)))*(MOD((Ipotesi!$C$91),30)/30))))*Piano_SS!$D$9,0))</f>
        <v>6750</v>
      </c>
      <c r="BZ433" s="15" t="n">
        <f aca="false">MIN(Piano_SS!$C$10,(BZ432)+IF(AND(Motore_Operativo!C433&gt;=EDATE(Parametri_v3!$C$24,Ipotesi!J14*12),Motore_Operativo!C433&lt;EDATE(Parametri_v3!$C$24,Parametri_v3!$C$25+Ipotesi!J14*12)),MAX(0,(IF(9-(INT((Ipotesi!$C$91)/30))&lt;1,0,INDEX(Motore_Operativo!$BO$425:$BO$484,MAX(1,9-(INT((Ipotesi!$C$91)/30)))))*(1-(MOD((Ipotesi!$C$91),30)/30))+IF(9-(INT((Ipotesi!$C$91)/30))-1&lt;1,0,INDEX(Motore_Operativo!$BO$425:$BO$484,MAX(1,9-(INT((Ipotesi!$C$91)/30))-1)))*(MOD((Ipotesi!$C$91),30)/30)))*Piano_SS!$D$10,0))</f>
        <v>3000</v>
      </c>
      <c r="CA433" s="15" t="n">
        <f aca="false">SUM(BV433:BZ433)</f>
        <v>32805.5555555556</v>
      </c>
      <c r="CB433" s="15" t="n">
        <f aca="false">BV433*(1-Piano_SS!$E$6)+BW433*(1-Piano_SS!$E$7)+BX433*(1-Piano_SS!$E$8)+BY433*(1-Piano_SS!$E$9)+BZ433*(1-Piano_SS!$E$10)</f>
        <v>29805.5555555556</v>
      </c>
      <c r="CC433" s="15" t="n">
        <f aca="false">(CC432)+BA433</f>
        <v>0</v>
      </c>
      <c r="CD433" s="15" t="n">
        <f aca="false">IF(CA433=0,0,CC433*CB433/CA433*Ipotesi!$C$103*Parametri_v3!$C$64)</f>
        <v>0</v>
      </c>
      <c r="CE433" s="18" t="n">
        <f aca="false">IF(BA433&gt;0,Motore_Operativo!C433,(CE432))</f>
        <v>0</v>
      </c>
      <c r="CF433" s="18" t="n">
        <f aca="false">IF(AND(CC433&gt;0,OR(CC433&gt;=CG433-0.01,Motore_Operativo!C433&gt;=EDATE(MAX(Finanziamenti!$D$15:$D$17),Ipotesi!J14*12))),CE433,0)</f>
        <v>0</v>
      </c>
      <c r="CG433" s="15" t="n">
        <f aca="false">IF(AND(8&lt;&gt;6,8&lt;&gt;9,Finanziamenti!$F$11=1,OR(Parametri_v3!$C$6=0,Finanziamenti!$E$11=1)),MIN(Finanziamenti!$C$11,Piano_SS!$C$12*Ipotesi!$C$102),0)</f>
        <v>400000</v>
      </c>
      <c r="CH433" s="15" t="n">
        <f aca="false">IF(AND(AND(8&lt;&gt;8,8&lt;&gt;9,Finanziamenti!$F$10=1,OR(Parametri_v3!$C$6=0,Finanziamenti!$E$10=1)),Motore_Operativo!C433&gt;=Finanziamenti!$D$10,Motore_Operativo!C433&lt;Parametri_v3!$C$63),Finanziamenti!$C$10,0)</f>
        <v>0</v>
      </c>
    </row>
    <row r="434" customFormat="false" ht="18" hidden="false" customHeight="true" outlineLevel="0" collapsed="false">
      <c r="A434" s="68" t="n">
        <f aca="false">8</f>
        <v>8</v>
      </c>
      <c r="B434" s="68" t="n">
        <f aca="false">10</f>
        <v>10</v>
      </c>
      <c r="C434" s="18" t="n">
        <f aca="false">Motore_Operativo!C434</f>
        <v>46661</v>
      </c>
      <c r="D434" s="68" t="n">
        <f aca="false">Motore_Operativo!D434</f>
        <v>2027</v>
      </c>
      <c r="E434" s="68" t="n">
        <f aca="false">Motore_Operativo!E434</f>
        <v>10</v>
      </c>
      <c r="F434" s="15" t="n">
        <f aca="false">Motore_Operativo!AQ434+Motore_Operativo!BF434</f>
        <v>8101.85185185185</v>
      </c>
      <c r="G434" s="15" t="n">
        <f aca="false">Motore_Operativo!BH434</f>
        <v>1621.05263157895</v>
      </c>
      <c r="H434" s="15" t="n">
        <f aca="false">Motore_Operativo!BI434</f>
        <v>9722.9044834308</v>
      </c>
      <c r="I434" s="15" t="n">
        <f aca="false">Motore_Operativo!CA434</f>
        <v>27822.47417154</v>
      </c>
      <c r="J434" s="15" t="n">
        <f aca="false">Motore_Operativo!CC434</f>
        <v>-18099.5696881092</v>
      </c>
      <c r="K434" s="15" t="n">
        <f aca="false">Motore_Operativo!CE434</f>
        <v>1666.66666666667</v>
      </c>
      <c r="L434" s="15" t="n">
        <f aca="false">SUM(INDEX($K$425:$K$484,MAX(1,10-Parametri_v3!$C$59+1)):K434)/Parametri_v3!$C$59</f>
        <v>462.962962962963</v>
      </c>
      <c r="M434" s="15" t="n">
        <f aca="false">J434-L434</f>
        <v>-18562.5326510721</v>
      </c>
      <c r="N434" s="15" t="n">
        <f aca="false">CD434-(CD433)</f>
        <v>0</v>
      </c>
      <c r="O434" s="15" t="n">
        <f aca="false">(BG433)*Ipotesi!$C$110/12+CH434*Parametri_v3!$C$39/12</f>
        <v>0</v>
      </c>
      <c r="P434" s="15" t="n">
        <f aca="false">M434+N434-O434</f>
        <v>-18562.5326510721</v>
      </c>
      <c r="Q434" s="15" t="n">
        <f aca="false">SUM(P425:P434)+Parametri_v3!$C$54*10/12</f>
        <v>-186766.993177388</v>
      </c>
      <c r="R434" s="15" t="n">
        <f aca="false">0</f>
        <v>0</v>
      </c>
      <c r="S434" s="15" t="n">
        <f aca="false">0</f>
        <v>0</v>
      </c>
      <c r="T434" s="15" t="n">
        <f aca="false">MIN(R434,MAX(0,Q434))</f>
        <v>0</v>
      </c>
      <c r="U434" s="15" t="n">
        <f aca="false">MIN(S434,MAX(0,Q434-T434)*Parametri_v3!$C$42)</f>
        <v>0</v>
      </c>
      <c r="V434" s="15" t="n">
        <f aca="false">MAX(0,Q434-T434-U434)*Ipotesi!$C$92</f>
        <v>0</v>
      </c>
      <c r="W434" s="15" t="n">
        <f aca="false">MAX(0,SUM(M425:M434)+Parametri_v3!$C$55*10/12)*Ipotesi!$C$93</f>
        <v>0</v>
      </c>
      <c r="X434" s="15" t="n">
        <f aca="false">V434+W434-(V433+W433)</f>
        <v>0</v>
      </c>
      <c r="Y434" s="15" t="n">
        <f aca="false">P434-X434</f>
        <v>-18562.5326510721</v>
      </c>
      <c r="Z434" s="15" t="n">
        <f aca="false">R434-T434+IF(AND(Parametri_v3!$C$40=1,D434-YEAR(Parametri_v3!$C$50)&lt;Parametri_v3!$C$41),MAX(0,-Q434),0)</f>
        <v>186766.993177388</v>
      </c>
      <c r="AA434" s="15" t="n">
        <f aca="false">S434-U434+IF(AND(Parametri_v3!$C$40=1,D434-YEAR(Parametri_v3!$C$50)&lt;Parametri_v3!$C$41),0,MAX(0,-Q434))</f>
        <v>0</v>
      </c>
      <c r="AB434" s="15" t="n">
        <f aca="false">F434*(1+Parametri_v3!$C$26)</f>
        <v>9884.25925925926</v>
      </c>
      <c r="AC434" s="15" t="n">
        <f aca="false">(IF(10-(INT((Motore_Operativo!L434)/30))&lt;1,0,INDEX(Motore_Startup!$AB$425:$AB$484,MAX(1,10-(INT((Motore_Operativo!L434)/30)))))*(1-(MOD((Motore_Operativo!L434),30)/30))+IF(10-(INT((Motore_Operativo!L434)/30))-1&lt;1,0,INDEX(Motore_Startup!$AB$425:$AB$484,MAX(1,10-(INT((Motore_Operativo!L434)/30))-1)))*(MOD((Motore_Operativo!L434),30)/30))</f>
        <v>9545.37037037037</v>
      </c>
      <c r="AD434" s="15" t="n">
        <f aca="false">(AD433)+AB434-AC434</f>
        <v>29313.8888888889</v>
      </c>
      <c r="AE434" s="15" t="n">
        <f aca="false">Motore_Operativo!BH434*(1+Parametri_v3!$C$26)</f>
        <v>1977.68421052632</v>
      </c>
      <c r="AF434" s="15" t="n">
        <f aca="false">(IF(10-(INT((Parametri_v3!$C$29)/30))&lt;1,0,INDEX(Motore_Operativo!$BH$425:$BH$484,MAX(1,10-(INT((Parametri_v3!$C$29)/30)))))*(1-(MOD((Parametri_v3!$C$29),30)/30))+IF(10-(INT((Parametri_v3!$C$29)/30))-1&lt;1,0,INDEX(Motore_Operativo!$BH$425:$BH$484,MAX(1,10-(INT((Parametri_v3!$C$29)/30))-1)))*(MOD((Parametri_v3!$C$29),30)/30))*(1+Parametri_v3!$C$26)</f>
        <v>1977.68421052632</v>
      </c>
      <c r="AG434" s="15" t="n">
        <f aca="false">(AG433)+AE434-AF434</f>
        <v>1977.68421052632</v>
      </c>
      <c r="AH434" s="15" t="n">
        <f aca="false">(Motore_Operativo!CJ434)*(1+Parametri_v3!$C$27*Parametri_v3!$C$26)</f>
        <v>11758.1935082846</v>
      </c>
      <c r="AI434" s="15" t="n">
        <f aca="false">(IF(10-(INT((Ipotesi!$C$91)/30))&lt;1,0,INDEX(Motore_Startup!$AH$425:$AH$484,MAX(1,10-(INT((Ipotesi!$C$91)/30)))))*(1-(MOD((Ipotesi!$C$91),30)/30))+IF(10-(INT((Ipotesi!$C$91)/30))-1&lt;1,0,INDEX(Motore_Startup!$AH$425:$AH$484,MAX(1,10-(INT((Ipotesi!$C$91)/30))-1)))*(MOD((Ipotesi!$C$91),30)/30))</f>
        <v>11727.4194342105</v>
      </c>
      <c r="AJ434" s="15" t="n">
        <f aca="false">(AJ433)+AH434-AI434</f>
        <v>23500.9999795322</v>
      </c>
      <c r="AK434" s="15" t="n">
        <f aca="false">(F434+ Motore_Operativo!BH434-(Motore_Operativo!CJ434)*Parametri_v3!$C$27-Motore_Operativo!CE434)*Parametri_v3!$C$26</f>
        <v>-80.0136837231962</v>
      </c>
      <c r="AL434" s="15" t="n">
        <f aca="false">MAX(0,(AM433))</f>
        <v>0</v>
      </c>
      <c r="AM434" s="15" t="n">
        <f aca="false">(AM433)+AK434-AL434</f>
        <v>-1526.96183723196</v>
      </c>
      <c r="AN434" s="15" t="n">
        <f aca="false">0</f>
        <v>0</v>
      </c>
      <c r="AO434" s="15" t="n">
        <f aca="false">0</f>
        <v>0</v>
      </c>
      <c r="AP434" s="15" t="n">
        <f aca="false">MAX(0,AN434)*IF(10=Parametri_v3!$C$43,Parametri_v3!$C$45,IF(10=Parametri_v3!$C$44,1-Parametri_v3!$C$45,0))</f>
        <v>0</v>
      </c>
      <c r="AQ434" s="15" t="n">
        <f aca="false">MAX(0,AP434+IF(10=Parametri_v3!$C$43,MAX(0,AN434-AO434),0)-MAX(0,-(AR433)))</f>
        <v>0</v>
      </c>
      <c r="AR434" s="15" t="n">
        <f aca="false">(AR433)+X434-AQ434</f>
        <v>0</v>
      </c>
      <c r="AS434" s="15" t="n">
        <f aca="false">Motore_Operativo!AB434-AT434+AU434</f>
        <v>17020.8333333333</v>
      </c>
      <c r="AT434" s="15" t="n">
        <f aca="false">Motore_Operativo!CH434</f>
        <v>895.833333333334</v>
      </c>
      <c r="AU434" s="15" t="n">
        <f aca="false">MIN(MAX(0,(AV433)+AT434),Parametri_v3!$C$60/12)</f>
        <v>0</v>
      </c>
      <c r="AV434" s="15" t="n">
        <f aca="false">(AV433)+AT434-AU434</f>
        <v>8958.33333333334</v>
      </c>
      <c r="AW434" s="15" t="n">
        <f aca="false">IF(AND(Motore_Operativo!C434=Finanziamenti!$D$6,Finanziamenti!$F$6=1),Finanziamenti!$C$6,0)</f>
        <v>0</v>
      </c>
      <c r="AX434" s="15" t="n">
        <f aca="false">IF(AND(8&lt;&gt;7,8&lt;&gt;9,Finanziamenti!$F$8=1,OR(Parametri_v3!$C$6=0,Finanziamenti!$E$8=1),Motore_Operativo!C434=EDATE(Finanziamenti!$D$8,Ipotesi!J15*12)),Finanziamenti!$C$8*1,0)+IF(AND(8&lt;&gt;7,8&lt;&gt;9,Finanziamenti!$F$9=1,OR(Parametri_v3!$C$6=0,Finanziamenti!$E$9=1),Motore_Operativo!C434=EDATE(Finanziamenti!$D$9,Ipotesi!J15*12)),Finanziamenti!$C$9*Ipotesi!J16,0)</f>
        <v>0</v>
      </c>
      <c r="AY434" s="15" t="n">
        <f aca="false">0</f>
        <v>0</v>
      </c>
      <c r="AZ434" s="15" t="n">
        <f aca="false">Motore_Advisory!AY434*(1-Ipotesi!$C$95)*Ipotesi!$C$96</f>
        <v>0</v>
      </c>
      <c r="BA434" s="15" t="n">
        <f aca="false">MAX(0,MIN(CG434*MIN(1,IF(Motore_Operativo!C434&gt;=EDATE(Finanziamenti!$D$15,Ipotesi!J14*12),Finanziamenti!$C$15,0)+IF(Motore_Operativo!C434&gt;=EDATE(Finanziamenti!$D$16,Ipotesi!J14*12),Finanziamenti!$C$16,0)+IF(Motore_Operativo!C434&gt;=EDATE(Finanziamenti!$D$17,Ipotesi!J14*12),Finanziamenti!$C$17,0)),CA434*Ipotesi!$C$102)-(CC433))</f>
        <v>0</v>
      </c>
      <c r="BB434" s="15" t="n">
        <f aca="false">IF(AND(CF434&gt;0,Motore_Operativo!C434&gt;=IF(CF434=0,0,EDATE(CF434,Parametri_v3!$C$37)),MOD(((D434-YEAR(IF(CF434=0,0,EDATE(CF434,Parametri_v3!$C$37))))*12+E434-MONTH(IF(CF434=0,0,EDATE(CF434,Parametri_v3!$C$37)))),Parametri_v3!$C$38)=0),MIN(MAX(0,(BC433)+BA434-N434),(CC434-CD434)/(Ipotesi!$C$108*12/Parametri_v3!$C$38)),0)</f>
        <v>0</v>
      </c>
      <c r="BC434" s="15" t="n">
        <f aca="false">(BC433)+BA434-N434-BB434</f>
        <v>0</v>
      </c>
      <c r="BD434" s="15" t="n">
        <f aca="false">(BH433)+AC434+AF434-AI434-AS434-K434*(1+Parametri_v3!$C$26)-AL434-AQ434-O434+AW434+AX434+AZ434+BA434-BB434</f>
        <v>-71246.5651715399</v>
      </c>
      <c r="BE434" s="15" t="n">
        <f aca="false">MAX(0,MIN(MAX(0,CH434-(BG433)),Parametri_v3!$C$30-BD434))</f>
        <v>0</v>
      </c>
      <c r="BF434" s="15" t="n">
        <f aca="false">IF(Motore_Operativo!C434&gt;=Parametri_v3!$C$63,(BG433),MIN((BG433),MAX(0,BD434-Parametri_v3!$C$30)))</f>
        <v>0</v>
      </c>
      <c r="BG434" s="15" t="n">
        <f aca="false">(BG433)+BE434-BF434</f>
        <v>0</v>
      </c>
      <c r="BH434" s="15" t="n">
        <f aca="false">BD434+BE434-BF434-AY434</f>
        <v>-71246.5651715399</v>
      </c>
      <c r="BI434" s="15" t="n">
        <f aca="false">MAX(0,Parametri_v3!$C$30-BH434)</f>
        <v>96246.5651715399</v>
      </c>
      <c r="BJ434" s="15" t="n">
        <f aca="false">(BJ433)+K434</f>
        <v>16666.6666666667</v>
      </c>
      <c r="BK434" s="15" t="n">
        <f aca="false">(BK433)+L434</f>
        <v>2546.2962962963</v>
      </c>
      <c r="BL434" s="15" t="n">
        <f aca="false">BJ434-BK434</f>
        <v>14120.3703703704</v>
      </c>
      <c r="BM434" s="15" t="n">
        <f aca="false">(BM433)+Y434</f>
        <v>-186766.993177388</v>
      </c>
      <c r="BN434" s="15" t="n">
        <f aca="false">(BN433)+AW434+AX434+AZ434</f>
        <v>130000</v>
      </c>
      <c r="BO434" s="15" t="n">
        <f aca="false">(BO433)+AY434</f>
        <v>0</v>
      </c>
      <c r="BP434" s="15" t="n">
        <f aca="false">0</f>
        <v>0</v>
      </c>
      <c r="BQ434" s="15" t="n">
        <f aca="false">BN434+BM434-BO434</f>
        <v>-56766.9931773879</v>
      </c>
      <c r="BR434" s="15" t="n">
        <f aca="false">BH434+AD434+BL434+MAX(0,-AM434)+MAX(0,-AR434)+AG434</f>
        <v>-24307.6598645224</v>
      </c>
      <c r="BS434" s="15" t="n">
        <f aca="false">AJ434+AV434+MAX(0,AM434)+MAX(0,AR434)+BC434+BG434+BQ434</f>
        <v>-24307.6598645224</v>
      </c>
      <c r="BT434" s="15" t="n">
        <f aca="false">BR434-BS434</f>
        <v>0</v>
      </c>
      <c r="BU434" s="15" t="n">
        <f aca="false">BH434-(BD434+BE434-BF434-AY434)</f>
        <v>0</v>
      </c>
      <c r="BV434" s="15" t="n">
        <f aca="false">MIN(Piano_SS!$C$6,(BV433)+IF(AND(Motore_Operativo!C434&gt;=EDATE(Parametri_v3!$C$24,Ipotesi!J14*12),Motore_Operativo!C434&lt;EDATE(Parametri_v3!$C$24,Parametri_v3!$C$25+Ipotesi!J14*12)),MAX(0,(Motore_Operativo!Y434+Motore_Operativo!X434*Parametri_v3!$C$14)*(1-Parametri_v3!$C$32))*Piano_SS!$D$6,0))</f>
        <v>19000</v>
      </c>
      <c r="BW434" s="15" t="n">
        <f aca="false">MIN(Piano_SS!$C$7,(BW433)+IF(AND(Motore_Operativo!C434&gt;=EDATE(Parametri_v3!$C$24,Ipotesi!J14*12),Motore_Operativo!C434&lt;EDATE(Parametri_v3!$C$24,Parametri_v3!$C$25+Ipotesi!J14*12)),MAX(0,(IF(10-(INT((Ipotesi!$C$91)/30))&lt;1,0,INDEX(Motore_Operativo!$BN$425:$BN$484,MAX(1,10-(INT((Ipotesi!$C$91)/30)))))*(1-(MOD((Ipotesi!$C$91),30)/30))+IF(10-(INT((Ipotesi!$C$91)/30))-1&lt;1,0,INDEX(Motore_Operativo!$BN$425:$BN$484,MAX(1,10-(INT((Ipotesi!$C$91)/30))-1)))*(MOD((Ipotesi!$C$91),30)/30)))*Piano_SS!$D$7,0))</f>
        <v>5088.88888888889</v>
      </c>
      <c r="BX434" s="15" t="n">
        <f aca="false">MIN(Piano_SS!$C$8,(BX433)+IF(AND(Motore_Operativo!C434&gt;=EDATE(Parametri_v3!$C$24,Ipotesi!J14*12),Motore_Operativo!C434&lt;EDATE(Parametri_v3!$C$24,Parametri_v3!$C$25+Ipotesi!J14*12)),MAX(0,Motore_Operativo!CE434)*Piano_SS!$D$8,0))</f>
        <v>6666.66666666667</v>
      </c>
      <c r="BY434" s="15" t="n">
        <f aca="false">MIN(Piano_SS!$C$9,(BY433)+IF(AND(Motore_Operativo!C434&gt;=EDATE(Parametri_v3!$C$24,Ipotesi!J14*12),Motore_Operativo!C434&lt;EDATE(Parametri_v3!$C$24,Parametri_v3!$C$25+Ipotesi!J14*12)),MAX(0,((IF(10-(INT((Ipotesi!$C$91)/30))&lt;1,0,INDEX(Motore_Operativo!$BQ$425:$BQ$484,MAX(1,10-(INT((Ipotesi!$C$91)/30)))))*(1-(MOD((Ipotesi!$C$91),30)/30))+IF(10-(INT((Ipotesi!$C$91)/30))-1&lt;1,0,INDEX(Motore_Operativo!$BQ$425:$BQ$484,MAX(1,10-(INT((Ipotesi!$C$91)/30))-1)))*(MOD((Ipotesi!$C$91),30)/30))+(IF(10-(INT((Ipotesi!$C$91)/30))&lt;1,0,INDEX(Motore_Operativo!$BR$425:$BR$484,MAX(1,10-(INT((Ipotesi!$C$91)/30)))))*(1-(MOD((Ipotesi!$C$91),30)/30))+IF(10-(INT((Ipotesi!$C$91)/30))-1&lt;1,0,INDEX(Motore_Operativo!$BR$425:$BR$484,MAX(1,10-(INT((Ipotesi!$C$91)/30))-1)))*(MOD((Ipotesi!$C$91),30)/30))))*Piano_SS!$D$9,0))</f>
        <v>9000</v>
      </c>
      <c r="BZ434" s="15" t="n">
        <f aca="false">MIN(Piano_SS!$C$10,(BZ433)+IF(AND(Motore_Operativo!C434&gt;=EDATE(Parametri_v3!$C$24,Ipotesi!J14*12),Motore_Operativo!C434&lt;EDATE(Parametri_v3!$C$24,Parametri_v3!$C$25+Ipotesi!J14*12)),MAX(0,(IF(10-(INT((Ipotesi!$C$91)/30))&lt;1,0,INDEX(Motore_Operativo!$BO$425:$BO$484,MAX(1,10-(INT((Ipotesi!$C$91)/30)))))*(1-(MOD((Ipotesi!$C$91),30)/30))+IF(10-(INT((Ipotesi!$C$91)/30))-1&lt;1,0,INDEX(Motore_Operativo!$BO$425:$BO$484,MAX(1,10-(INT((Ipotesi!$C$91)/30))-1)))*(MOD((Ipotesi!$C$91),30)/30)))*Piano_SS!$D$10,0))</f>
        <v>4000</v>
      </c>
      <c r="CA434" s="15" t="n">
        <f aca="false">SUM(BV434:BZ434)</f>
        <v>43755.5555555556</v>
      </c>
      <c r="CB434" s="15" t="n">
        <f aca="false">BV434*(1-Piano_SS!$E$6)+BW434*(1-Piano_SS!$E$7)+BX434*(1-Piano_SS!$E$8)+BY434*(1-Piano_SS!$E$9)+BZ434*(1-Piano_SS!$E$10)</f>
        <v>39755.5555555556</v>
      </c>
      <c r="CC434" s="15" t="n">
        <f aca="false">(CC433)+BA434</f>
        <v>0</v>
      </c>
      <c r="CD434" s="15" t="n">
        <f aca="false">IF(CA434=0,0,CC434*CB434/CA434*Ipotesi!$C$103*Parametri_v3!$C$64)</f>
        <v>0</v>
      </c>
      <c r="CE434" s="18" t="n">
        <f aca="false">IF(BA434&gt;0,Motore_Operativo!C434,(CE433))</f>
        <v>0</v>
      </c>
      <c r="CF434" s="18" t="n">
        <f aca="false">IF(AND(CC434&gt;0,OR(CC434&gt;=CG434-0.01,Motore_Operativo!C434&gt;=EDATE(MAX(Finanziamenti!$D$15:$D$17),Ipotesi!J14*12))),CE434,0)</f>
        <v>0</v>
      </c>
      <c r="CG434" s="15" t="n">
        <f aca="false">IF(AND(8&lt;&gt;6,8&lt;&gt;9,Finanziamenti!$F$11=1,OR(Parametri_v3!$C$6=0,Finanziamenti!$E$11=1)),MIN(Finanziamenti!$C$11,Piano_SS!$C$12*Ipotesi!$C$102),0)</f>
        <v>400000</v>
      </c>
      <c r="CH434" s="15" t="n">
        <f aca="false">IF(AND(AND(8&lt;&gt;8,8&lt;&gt;9,Finanziamenti!$F$10=1,OR(Parametri_v3!$C$6=0,Finanziamenti!$E$10=1)),Motore_Operativo!C434&gt;=Finanziamenti!$D$10,Motore_Operativo!C434&lt;Parametri_v3!$C$63),Finanziamenti!$C$10,0)</f>
        <v>0</v>
      </c>
    </row>
    <row r="435" customFormat="false" ht="18" hidden="false" customHeight="true" outlineLevel="0" collapsed="false">
      <c r="A435" s="68" t="n">
        <f aca="false">8</f>
        <v>8</v>
      </c>
      <c r="B435" s="68" t="n">
        <f aca="false">11</f>
        <v>11</v>
      </c>
      <c r="C435" s="18" t="n">
        <f aca="false">Motore_Operativo!C435</f>
        <v>46692</v>
      </c>
      <c r="D435" s="68" t="n">
        <f aca="false">Motore_Operativo!D435</f>
        <v>2027</v>
      </c>
      <c r="E435" s="68" t="n">
        <f aca="false">Motore_Operativo!E435</f>
        <v>11</v>
      </c>
      <c r="F435" s="15" t="n">
        <f aca="false">Motore_Operativo!AQ435+Motore_Operativo!BF435</f>
        <v>8194.44444444445</v>
      </c>
      <c r="G435" s="15" t="n">
        <f aca="false">Motore_Operativo!BH435</f>
        <v>1621.05263157895</v>
      </c>
      <c r="H435" s="15" t="n">
        <f aca="false">Motore_Operativo!BI435</f>
        <v>9815.49707602339</v>
      </c>
      <c r="I435" s="15" t="n">
        <f aca="false">Motore_Operativo!CA435</f>
        <v>27835.4371345029</v>
      </c>
      <c r="J435" s="15" t="n">
        <f aca="false">Motore_Operativo!CC435</f>
        <v>-18019.9400584795</v>
      </c>
      <c r="K435" s="15" t="n">
        <f aca="false">Motore_Operativo!CE435</f>
        <v>1666.66666666667</v>
      </c>
      <c r="L435" s="15" t="n">
        <f aca="false">SUM(INDEX($K$425:$K$484,MAX(1,11-Parametri_v3!$C$59+1)):K435)/Parametri_v3!$C$59</f>
        <v>509.259259259259</v>
      </c>
      <c r="M435" s="15" t="n">
        <f aca="false">J435-L435</f>
        <v>-18529.1993177388</v>
      </c>
      <c r="N435" s="15" t="n">
        <f aca="false">CD435-(CD434)</f>
        <v>0</v>
      </c>
      <c r="O435" s="15" t="n">
        <f aca="false">(BG434)*Ipotesi!$C$110/12+CH435*Parametri_v3!$C$39/12</f>
        <v>0</v>
      </c>
      <c r="P435" s="15" t="n">
        <f aca="false">M435+N435-O435</f>
        <v>-18529.1993177388</v>
      </c>
      <c r="Q435" s="15" t="n">
        <f aca="false">SUM(P425:P435)+Parametri_v3!$C$54*11/12</f>
        <v>-205296.192495127</v>
      </c>
      <c r="R435" s="15" t="n">
        <f aca="false">0</f>
        <v>0</v>
      </c>
      <c r="S435" s="15" t="n">
        <f aca="false">0</f>
        <v>0</v>
      </c>
      <c r="T435" s="15" t="n">
        <f aca="false">MIN(R435,MAX(0,Q435))</f>
        <v>0</v>
      </c>
      <c r="U435" s="15" t="n">
        <f aca="false">MIN(S435,MAX(0,Q435-T435)*Parametri_v3!$C$42)</f>
        <v>0</v>
      </c>
      <c r="V435" s="15" t="n">
        <f aca="false">MAX(0,Q435-T435-U435)*Ipotesi!$C$92</f>
        <v>0</v>
      </c>
      <c r="W435" s="15" t="n">
        <f aca="false">MAX(0,SUM(M425:M435)+Parametri_v3!$C$55*11/12)*Ipotesi!$C$93</f>
        <v>0</v>
      </c>
      <c r="X435" s="15" t="n">
        <f aca="false">V435+W435-(V434+W434)</f>
        <v>0</v>
      </c>
      <c r="Y435" s="15" t="n">
        <f aca="false">P435-X435</f>
        <v>-18529.1993177388</v>
      </c>
      <c r="Z435" s="15" t="n">
        <f aca="false">R435-T435+IF(AND(Parametri_v3!$C$40=1,D435-YEAR(Parametri_v3!$C$50)&lt;Parametri_v3!$C$41),MAX(0,-Q435),0)</f>
        <v>205296.192495127</v>
      </c>
      <c r="AA435" s="15" t="n">
        <f aca="false">S435-U435+IF(AND(Parametri_v3!$C$40=1,D435-YEAR(Parametri_v3!$C$50)&lt;Parametri_v3!$C$41),0,MAX(0,-Q435))</f>
        <v>0</v>
      </c>
      <c r="AB435" s="15" t="n">
        <f aca="false">F435*(1+Parametri_v3!$C$26)</f>
        <v>9997.22222222222</v>
      </c>
      <c r="AC435" s="15" t="n">
        <f aca="false">(IF(11-(INT((Motore_Operativo!L435)/30))&lt;1,0,INDEX(Motore_Startup!$AB$425:$AB$484,MAX(1,11-(INT((Motore_Operativo!L435)/30)))))*(1-(MOD((Motore_Operativo!L435),30)/30))+IF(11-(INT((Motore_Operativo!L435)/30))-1&lt;1,0,INDEX(Motore_Startup!$AB$425:$AB$484,MAX(1,11-(INT((Motore_Operativo!L435)/30))-1)))*(MOD((Motore_Operativo!L435),30)/30))</f>
        <v>9658.33333333333</v>
      </c>
      <c r="AD435" s="15" t="n">
        <f aca="false">(AD434)+AB435-AC435</f>
        <v>29652.7777777778</v>
      </c>
      <c r="AE435" s="15" t="n">
        <f aca="false">Motore_Operativo!BH435*(1+Parametri_v3!$C$26)</f>
        <v>1977.68421052632</v>
      </c>
      <c r="AF435" s="15" t="n">
        <f aca="false">(IF(11-(INT((Parametri_v3!$C$29)/30))&lt;1,0,INDEX(Motore_Operativo!$BH$425:$BH$484,MAX(1,11-(INT((Parametri_v3!$C$29)/30)))))*(1-(MOD((Parametri_v3!$C$29),30)/30))+IF(11-(INT((Parametri_v3!$C$29)/30))-1&lt;1,0,INDEX(Motore_Operativo!$BH$425:$BH$484,MAX(1,11-(INT((Parametri_v3!$C$29)/30))-1)))*(MOD((Parametri_v3!$C$29),30)/30))*(1+Parametri_v3!$C$26)</f>
        <v>1977.68421052632</v>
      </c>
      <c r="AG435" s="15" t="n">
        <f aca="false">(AG434)+AE435-AF435</f>
        <v>1977.68421052632</v>
      </c>
      <c r="AH435" s="15" t="n">
        <f aca="false">(Motore_Operativo!CJ435)*(1+Parametri_v3!$C$27*Parametri_v3!$C$26)</f>
        <v>11773.5805453216</v>
      </c>
      <c r="AI435" s="15" t="n">
        <f aca="false">(IF(11-(INT((Ipotesi!$C$91)/30))&lt;1,0,INDEX(Motore_Startup!$AH$425:$AH$484,MAX(1,11-(INT((Ipotesi!$C$91)/30)))))*(1-(MOD((Ipotesi!$C$91),30)/30))+IF(11-(INT((Ipotesi!$C$91)/30))-1&lt;1,0,INDEX(Motore_Startup!$AH$425:$AH$484,MAX(1,11-(INT((Ipotesi!$C$91)/30))-1)))*(MOD((Ipotesi!$C$91),30)/30))</f>
        <v>11742.8064712476</v>
      </c>
      <c r="AJ435" s="15" t="n">
        <f aca="false">(AJ434)+AH435-AI435</f>
        <v>23531.7740536062</v>
      </c>
      <c r="AK435" s="15" t="n">
        <f aca="false">(F435+ Motore_Operativo!BH435-(Motore_Operativo!CJ435)*Parametri_v3!$C$27-Motore_Operativo!CE435)*Parametri_v3!$C$26</f>
        <v>-62.0673874268997</v>
      </c>
      <c r="AL435" s="15" t="n">
        <f aca="false">MAX(0,(AM434))</f>
        <v>0</v>
      </c>
      <c r="AM435" s="15" t="n">
        <f aca="false">(AM434)+AK435-AL435</f>
        <v>-1589.02922465886</v>
      </c>
      <c r="AN435" s="15" t="n">
        <f aca="false">0</f>
        <v>0</v>
      </c>
      <c r="AO435" s="15" t="n">
        <f aca="false">0</f>
        <v>0</v>
      </c>
      <c r="AP435" s="15" t="n">
        <f aca="false">MAX(0,AN435)*IF(11=Parametri_v3!$C$43,Parametri_v3!$C$45,IF(11=Parametri_v3!$C$44,1-Parametri_v3!$C$45,0))</f>
        <v>0</v>
      </c>
      <c r="AQ435" s="15" t="n">
        <f aca="false">MAX(0,AP435+IF(11=Parametri_v3!$C$43,MAX(0,AN435-AO435),0)-MAX(0,-(AR434)))</f>
        <v>0</v>
      </c>
      <c r="AR435" s="15" t="n">
        <f aca="false">(AR434)+X435-AQ435</f>
        <v>0</v>
      </c>
      <c r="AS435" s="15" t="n">
        <f aca="false">Motore_Operativo!AB435-AT435+AU435</f>
        <v>17020.8333333333</v>
      </c>
      <c r="AT435" s="15" t="n">
        <f aca="false">Motore_Operativo!CH435</f>
        <v>895.833333333334</v>
      </c>
      <c r="AU435" s="15" t="n">
        <f aca="false">MIN(MAX(0,(AV434)+AT435),Parametri_v3!$C$60/12)</f>
        <v>0</v>
      </c>
      <c r="AV435" s="15" t="n">
        <f aca="false">(AV434)+AT435-AU435</f>
        <v>9854.16666666667</v>
      </c>
      <c r="AW435" s="15" t="n">
        <f aca="false">IF(AND(Motore_Operativo!C435=Finanziamenti!$D$6,Finanziamenti!$F$6=1),Finanziamenti!$C$6,0)</f>
        <v>0</v>
      </c>
      <c r="AX435" s="15" t="n">
        <f aca="false">IF(AND(8&lt;&gt;7,8&lt;&gt;9,Finanziamenti!$F$8=1,OR(Parametri_v3!$C$6=0,Finanziamenti!$E$8=1),Motore_Operativo!C435=EDATE(Finanziamenti!$D$8,Ipotesi!J15*12)),Finanziamenti!$C$8*1,0)+IF(AND(8&lt;&gt;7,8&lt;&gt;9,Finanziamenti!$F$9=1,OR(Parametri_v3!$C$6=0,Finanziamenti!$E$9=1),Motore_Operativo!C435=EDATE(Finanziamenti!$D$9,Ipotesi!J15*12)),Finanziamenti!$C$9*Ipotesi!J16,0)</f>
        <v>0</v>
      </c>
      <c r="AY435" s="15" t="n">
        <f aca="false">0</f>
        <v>0</v>
      </c>
      <c r="AZ435" s="15" t="n">
        <f aca="false">Motore_Advisory!AY435*(1-Ipotesi!$C$95)*Ipotesi!$C$96</f>
        <v>0</v>
      </c>
      <c r="BA435" s="15" t="n">
        <f aca="false">MAX(0,MIN(CG435*MIN(1,IF(Motore_Operativo!C435&gt;=EDATE(Finanziamenti!$D$15,Ipotesi!J14*12),Finanziamenti!$C$15,0)+IF(Motore_Operativo!C435&gt;=EDATE(Finanziamenti!$D$16,Ipotesi!J14*12),Finanziamenti!$C$16,0)+IF(Motore_Operativo!C435&gt;=EDATE(Finanziamenti!$D$17,Ipotesi!J14*12),Finanziamenti!$C$17,0)),CA435*Ipotesi!$C$102)-(CC434))</f>
        <v>0</v>
      </c>
      <c r="BB435" s="15" t="n">
        <f aca="false">IF(AND(CF435&gt;0,Motore_Operativo!C435&gt;=IF(CF435=0,0,EDATE(CF435,Parametri_v3!$C$37)),MOD(((D435-YEAR(IF(CF435=0,0,EDATE(CF435,Parametri_v3!$C$37))))*12+E435-MONTH(IF(CF435=0,0,EDATE(CF435,Parametri_v3!$C$37)))),Parametri_v3!$C$38)=0),MIN(MAX(0,(BC434)+BA435-N435),(CC435-CD435)/(Ipotesi!$C$108*12/Parametri_v3!$C$38)),0)</f>
        <v>0</v>
      </c>
      <c r="BC435" s="15" t="n">
        <f aca="false">(BC434)+BA435-N435-BB435</f>
        <v>0</v>
      </c>
      <c r="BD435" s="15" t="n">
        <f aca="false">(BH434)+AC435+AF435-AI435-AS435-K435*(1+Parametri_v3!$C$26)-AL435-AQ435-O435+AW435+AX435+AZ435+BA435-BB435</f>
        <v>-90407.5207655945</v>
      </c>
      <c r="BE435" s="15" t="n">
        <f aca="false">MAX(0,MIN(MAX(0,CH435-(BG434)),Parametri_v3!$C$30-BD435))</f>
        <v>0</v>
      </c>
      <c r="BF435" s="15" t="n">
        <f aca="false">IF(Motore_Operativo!C435&gt;=Parametri_v3!$C$63,(BG434),MIN((BG434),MAX(0,BD435-Parametri_v3!$C$30)))</f>
        <v>0</v>
      </c>
      <c r="BG435" s="15" t="n">
        <f aca="false">(BG434)+BE435-BF435</f>
        <v>0</v>
      </c>
      <c r="BH435" s="15" t="n">
        <f aca="false">BD435+BE435-BF435-AY435</f>
        <v>-90407.5207655945</v>
      </c>
      <c r="BI435" s="15" t="n">
        <f aca="false">MAX(0,Parametri_v3!$C$30-BH435)</f>
        <v>115407.520765595</v>
      </c>
      <c r="BJ435" s="15" t="n">
        <f aca="false">(BJ434)+K435</f>
        <v>18333.3333333333</v>
      </c>
      <c r="BK435" s="15" t="n">
        <f aca="false">(BK434)+L435</f>
        <v>3055.55555555556</v>
      </c>
      <c r="BL435" s="15" t="n">
        <f aca="false">BJ435-BK435</f>
        <v>15277.7777777778</v>
      </c>
      <c r="BM435" s="15" t="n">
        <f aca="false">(BM434)+Y435</f>
        <v>-205296.192495127</v>
      </c>
      <c r="BN435" s="15" t="n">
        <f aca="false">(BN434)+AW435+AX435+AZ435</f>
        <v>130000</v>
      </c>
      <c r="BO435" s="15" t="n">
        <f aca="false">(BO434)+AY435</f>
        <v>0</v>
      </c>
      <c r="BP435" s="15" t="n">
        <f aca="false">0</f>
        <v>0</v>
      </c>
      <c r="BQ435" s="15" t="n">
        <f aca="false">BN435+BM435-BO435</f>
        <v>-75296.1924951267</v>
      </c>
      <c r="BR435" s="15" t="n">
        <f aca="false">BH435+AD435+BL435+MAX(0,-AM435)+MAX(0,-AR435)+AG435</f>
        <v>-41910.2517748538</v>
      </c>
      <c r="BS435" s="15" t="n">
        <f aca="false">AJ435+AV435+MAX(0,AM435)+MAX(0,AR435)+BC435+BG435+BQ435</f>
        <v>-41910.2517748538</v>
      </c>
      <c r="BT435" s="15" t="n">
        <f aca="false">BR435-BS435</f>
        <v>0</v>
      </c>
      <c r="BU435" s="15" t="n">
        <f aca="false">BH435-(BD435+BE435-BF435-AY435)</f>
        <v>0</v>
      </c>
      <c r="BV435" s="15" t="n">
        <f aca="false">MIN(Piano_SS!$C$6,(BV434)+IF(AND(Motore_Operativo!C435&gt;=EDATE(Parametri_v3!$C$24,Ipotesi!J14*12),Motore_Operativo!C435&lt;EDATE(Parametri_v3!$C$24,Parametri_v3!$C$25+Ipotesi!J14*12)),MAX(0,(Motore_Operativo!Y435+Motore_Operativo!X435*Parametri_v3!$C$14)*(1-Parametri_v3!$C$32))*Piano_SS!$D$6,0))</f>
        <v>23750</v>
      </c>
      <c r="BW435" s="15" t="n">
        <f aca="false">MIN(Piano_SS!$C$7,(BW434)+IF(AND(Motore_Operativo!C435&gt;=EDATE(Parametri_v3!$C$24,Ipotesi!J14*12),Motore_Operativo!C435&lt;EDATE(Parametri_v3!$C$24,Parametri_v3!$C$25+Ipotesi!J14*12)),MAX(0,(IF(11-(INT((Ipotesi!$C$91)/30))&lt;1,0,INDEX(Motore_Operativo!$BN$425:$BN$484,MAX(1,11-(INT((Ipotesi!$C$91)/30)))))*(1-(MOD((Ipotesi!$C$91),30)/30))+IF(11-(INT((Ipotesi!$C$91)/30))-1&lt;1,0,INDEX(Motore_Operativo!$BN$425:$BN$484,MAX(1,11-(INT((Ipotesi!$C$91)/30))-1)))*(MOD((Ipotesi!$C$91),30)/30)))*Piano_SS!$D$7,0))</f>
        <v>6379.62962962963</v>
      </c>
      <c r="BX435" s="15" t="n">
        <f aca="false">MIN(Piano_SS!$C$8,(BX434)+IF(AND(Motore_Operativo!C435&gt;=EDATE(Parametri_v3!$C$24,Ipotesi!J14*12),Motore_Operativo!C435&lt;EDATE(Parametri_v3!$C$24,Parametri_v3!$C$25+Ipotesi!J14*12)),MAX(0,Motore_Operativo!CE435)*Piano_SS!$D$8,0))</f>
        <v>8333.33333333333</v>
      </c>
      <c r="BY435" s="15" t="n">
        <f aca="false">MIN(Piano_SS!$C$9,(BY434)+IF(AND(Motore_Operativo!C435&gt;=EDATE(Parametri_v3!$C$24,Ipotesi!J14*12),Motore_Operativo!C435&lt;EDATE(Parametri_v3!$C$24,Parametri_v3!$C$25+Ipotesi!J14*12)),MAX(0,((IF(11-(INT((Ipotesi!$C$91)/30))&lt;1,0,INDEX(Motore_Operativo!$BQ$425:$BQ$484,MAX(1,11-(INT((Ipotesi!$C$91)/30)))))*(1-(MOD((Ipotesi!$C$91),30)/30))+IF(11-(INT((Ipotesi!$C$91)/30))-1&lt;1,0,INDEX(Motore_Operativo!$BQ$425:$BQ$484,MAX(1,11-(INT((Ipotesi!$C$91)/30))-1)))*(MOD((Ipotesi!$C$91),30)/30))+(IF(11-(INT((Ipotesi!$C$91)/30))&lt;1,0,INDEX(Motore_Operativo!$BR$425:$BR$484,MAX(1,11-(INT((Ipotesi!$C$91)/30)))))*(1-(MOD((Ipotesi!$C$91),30)/30))+IF(11-(INT((Ipotesi!$C$91)/30))-1&lt;1,0,INDEX(Motore_Operativo!$BR$425:$BR$484,MAX(1,11-(INT((Ipotesi!$C$91)/30))-1)))*(MOD((Ipotesi!$C$91),30)/30))))*Piano_SS!$D$9,0))</f>
        <v>11250</v>
      </c>
      <c r="BZ435" s="15" t="n">
        <f aca="false">MIN(Piano_SS!$C$10,(BZ434)+IF(AND(Motore_Operativo!C435&gt;=EDATE(Parametri_v3!$C$24,Ipotesi!J14*12),Motore_Operativo!C435&lt;EDATE(Parametri_v3!$C$24,Parametri_v3!$C$25+Ipotesi!J14*12)),MAX(0,(IF(11-(INT((Ipotesi!$C$91)/30))&lt;1,0,INDEX(Motore_Operativo!$BO$425:$BO$484,MAX(1,11-(INT((Ipotesi!$C$91)/30)))))*(1-(MOD((Ipotesi!$C$91),30)/30))+IF(11-(INT((Ipotesi!$C$91)/30))-1&lt;1,0,INDEX(Motore_Operativo!$BO$425:$BO$484,MAX(1,11-(INT((Ipotesi!$C$91)/30))-1)))*(MOD((Ipotesi!$C$91),30)/30)))*Piano_SS!$D$10,0))</f>
        <v>5000</v>
      </c>
      <c r="CA435" s="15" t="n">
        <f aca="false">SUM(BV435:BZ435)</f>
        <v>54712.962962963</v>
      </c>
      <c r="CB435" s="15" t="n">
        <f aca="false">BV435*(1-Piano_SS!$E$6)+BW435*(1-Piano_SS!$E$7)+BX435*(1-Piano_SS!$E$8)+BY435*(1-Piano_SS!$E$9)+BZ435*(1-Piano_SS!$E$10)</f>
        <v>49712.962962963</v>
      </c>
      <c r="CC435" s="15" t="n">
        <f aca="false">(CC434)+BA435</f>
        <v>0</v>
      </c>
      <c r="CD435" s="15" t="n">
        <f aca="false">IF(CA435=0,0,CC435*CB435/CA435*Ipotesi!$C$103*Parametri_v3!$C$64)</f>
        <v>0</v>
      </c>
      <c r="CE435" s="18" t="n">
        <f aca="false">IF(BA435&gt;0,Motore_Operativo!C435,(CE434))</f>
        <v>0</v>
      </c>
      <c r="CF435" s="18" t="n">
        <f aca="false">IF(AND(CC435&gt;0,OR(CC435&gt;=CG435-0.01,Motore_Operativo!C435&gt;=EDATE(MAX(Finanziamenti!$D$15:$D$17),Ipotesi!J14*12))),CE435,0)</f>
        <v>0</v>
      </c>
      <c r="CG435" s="15" t="n">
        <f aca="false">IF(AND(8&lt;&gt;6,8&lt;&gt;9,Finanziamenti!$F$11=1,OR(Parametri_v3!$C$6=0,Finanziamenti!$E$11=1)),MIN(Finanziamenti!$C$11,Piano_SS!$C$12*Ipotesi!$C$102),0)</f>
        <v>400000</v>
      </c>
      <c r="CH435" s="15" t="n">
        <f aca="false">IF(AND(AND(8&lt;&gt;8,8&lt;&gt;9,Finanziamenti!$F$10=1,OR(Parametri_v3!$C$6=0,Finanziamenti!$E$10=1)),Motore_Operativo!C435&gt;=Finanziamenti!$D$10,Motore_Operativo!C435&lt;Parametri_v3!$C$63),Finanziamenti!$C$10,0)</f>
        <v>0</v>
      </c>
    </row>
    <row r="436" customFormat="false" ht="18" hidden="false" customHeight="true" outlineLevel="0" collapsed="false">
      <c r="A436" s="68" t="n">
        <f aca="false">8</f>
        <v>8</v>
      </c>
      <c r="B436" s="68" t="n">
        <f aca="false">12</f>
        <v>12</v>
      </c>
      <c r="C436" s="18" t="n">
        <f aca="false">Motore_Operativo!C436</f>
        <v>46722</v>
      </c>
      <c r="D436" s="68" t="n">
        <f aca="false">Motore_Operativo!D436</f>
        <v>2027</v>
      </c>
      <c r="E436" s="68" t="n">
        <f aca="false">Motore_Operativo!E436</f>
        <v>12</v>
      </c>
      <c r="F436" s="15" t="n">
        <f aca="false">Motore_Operativo!AQ436+Motore_Operativo!BF436</f>
        <v>8287.03703703704</v>
      </c>
      <c r="G436" s="15" t="n">
        <f aca="false">Motore_Operativo!BH436</f>
        <v>1621.05263157895</v>
      </c>
      <c r="H436" s="15" t="n">
        <f aca="false">Motore_Operativo!BI436</f>
        <v>9908.08966861599</v>
      </c>
      <c r="I436" s="15" t="n">
        <f aca="false">Motore_Operativo!CA436</f>
        <v>27848.4000974659</v>
      </c>
      <c r="J436" s="15" t="n">
        <f aca="false">Motore_Operativo!CC436</f>
        <v>-17940.3104288499</v>
      </c>
      <c r="K436" s="15" t="n">
        <f aca="false">Motore_Operativo!CE436</f>
        <v>1666.66666666667</v>
      </c>
      <c r="L436" s="15" t="n">
        <f aca="false">SUM(INDEX($K$425:$K$484,MAX(1,12-Parametri_v3!$C$59+1)):K436)/Parametri_v3!$C$59</f>
        <v>555.555555555556</v>
      </c>
      <c r="M436" s="15" t="n">
        <f aca="false">J436-L436</f>
        <v>-18495.8659844055</v>
      </c>
      <c r="N436" s="15" t="n">
        <f aca="false">CD436-(CD435)</f>
        <v>14322.6666666667</v>
      </c>
      <c r="O436" s="15" t="n">
        <f aca="false">(BG435)*Ipotesi!$C$110/12+CH436*Parametri_v3!$C$39/12</f>
        <v>0</v>
      </c>
      <c r="P436" s="15" t="n">
        <f aca="false">M436+N436-O436</f>
        <v>-4173.19931773879</v>
      </c>
      <c r="Q436" s="15" t="n">
        <f aca="false">SUM(P425:P436)+Parametri_v3!$C$54*12/12</f>
        <v>-209469.391812865</v>
      </c>
      <c r="R436" s="15" t="n">
        <f aca="false">0</f>
        <v>0</v>
      </c>
      <c r="S436" s="15" t="n">
        <f aca="false">0</f>
        <v>0</v>
      </c>
      <c r="T436" s="15" t="n">
        <f aca="false">MIN(R436,MAX(0,Q436))</f>
        <v>0</v>
      </c>
      <c r="U436" s="15" t="n">
        <f aca="false">MIN(S436,MAX(0,Q436-T436)*Parametri_v3!$C$42)</f>
        <v>0</v>
      </c>
      <c r="V436" s="15" t="n">
        <f aca="false">MAX(0,Q436-T436-U436)*Ipotesi!$C$92</f>
        <v>0</v>
      </c>
      <c r="W436" s="15" t="n">
        <f aca="false">MAX(0,SUM(M425:M436)+Parametri_v3!$C$55*12/12)*Ipotesi!$C$93</f>
        <v>0</v>
      </c>
      <c r="X436" s="15" t="n">
        <f aca="false">V436+W436-(V435+W435)</f>
        <v>0</v>
      </c>
      <c r="Y436" s="15" t="n">
        <f aca="false">P436-X436</f>
        <v>-4173.19931773879</v>
      </c>
      <c r="Z436" s="15" t="n">
        <f aca="false">R436-T436+IF(AND(Parametri_v3!$C$40=1,D436-YEAR(Parametri_v3!$C$50)&lt;Parametri_v3!$C$41),MAX(0,-Q436),0)</f>
        <v>209469.391812865</v>
      </c>
      <c r="AA436" s="15" t="n">
        <f aca="false">S436-U436+IF(AND(Parametri_v3!$C$40=1,D436-YEAR(Parametri_v3!$C$50)&lt;Parametri_v3!$C$41),0,MAX(0,-Q436))</f>
        <v>0</v>
      </c>
      <c r="AB436" s="15" t="n">
        <f aca="false">F436*(1+Parametri_v3!$C$26)</f>
        <v>10110.1851851852</v>
      </c>
      <c r="AC436" s="15" t="n">
        <f aca="false">(IF(12-(INT((Motore_Operativo!L436)/30))&lt;1,0,INDEX(Motore_Startup!$AB$425:$AB$484,MAX(1,12-(INT((Motore_Operativo!L436)/30)))))*(1-(MOD((Motore_Operativo!L436),30)/30))+IF(12-(INT((Motore_Operativo!L436)/30))-1&lt;1,0,INDEX(Motore_Startup!$AB$425:$AB$484,MAX(1,12-(INT((Motore_Operativo!L436)/30))-1)))*(MOD((Motore_Operativo!L436),30)/30))</f>
        <v>9771.2962962963</v>
      </c>
      <c r="AD436" s="15" t="n">
        <f aca="false">(AD435)+AB436-AC436</f>
        <v>29991.6666666667</v>
      </c>
      <c r="AE436" s="15" t="n">
        <f aca="false">Motore_Operativo!BH436*(1+Parametri_v3!$C$26)</f>
        <v>1977.68421052632</v>
      </c>
      <c r="AF436" s="15" t="n">
        <f aca="false">(IF(12-(INT((Parametri_v3!$C$29)/30))&lt;1,0,INDEX(Motore_Operativo!$BH$425:$BH$484,MAX(1,12-(INT((Parametri_v3!$C$29)/30)))))*(1-(MOD((Parametri_v3!$C$29),30)/30))+IF(12-(INT((Parametri_v3!$C$29)/30))-1&lt;1,0,INDEX(Motore_Operativo!$BH$425:$BH$484,MAX(1,12-(INT((Parametri_v3!$C$29)/30))-1)))*(MOD((Parametri_v3!$C$29),30)/30))*(1+Parametri_v3!$C$26)</f>
        <v>1977.68421052632</v>
      </c>
      <c r="AG436" s="15" t="n">
        <f aca="false">(AG435)+AE436-AF436</f>
        <v>1977.68421052632</v>
      </c>
      <c r="AH436" s="15" t="n">
        <f aca="false">(Motore_Operativo!CJ436)*(1+Parametri_v3!$C$27*Parametri_v3!$C$26)</f>
        <v>11788.9675823587</v>
      </c>
      <c r="AI436" s="15" t="n">
        <f aca="false">(IF(12-(INT((Ipotesi!$C$91)/30))&lt;1,0,INDEX(Motore_Startup!$AH$425:$AH$484,MAX(1,12-(INT((Ipotesi!$C$91)/30)))))*(1-(MOD((Ipotesi!$C$91),30)/30))+IF(12-(INT((Ipotesi!$C$91)/30))-1&lt;1,0,INDEX(Motore_Startup!$AH$425:$AH$484,MAX(1,12-(INT((Ipotesi!$C$91)/30))-1)))*(MOD((Ipotesi!$C$91),30)/30))</f>
        <v>11758.1935082846</v>
      </c>
      <c r="AJ436" s="15" t="n">
        <f aca="false">(AJ435)+AH436-AI436</f>
        <v>23562.5481276803</v>
      </c>
      <c r="AK436" s="15" t="n">
        <f aca="false">(F436+ Motore_Operativo!BH436-(Motore_Operativo!CJ436)*Parametri_v3!$C$27-Motore_Operativo!CE436)*Parametri_v3!$C$26</f>
        <v>-44.1210911306033</v>
      </c>
      <c r="AL436" s="15" t="n">
        <f aca="false">MAX(0,(AM435))</f>
        <v>0</v>
      </c>
      <c r="AM436" s="15" t="n">
        <f aca="false">(AM435)+AK436-AL436</f>
        <v>-1633.15031578947</v>
      </c>
      <c r="AN436" s="15" t="n">
        <f aca="false">0</f>
        <v>0</v>
      </c>
      <c r="AO436" s="15" t="n">
        <f aca="false">0</f>
        <v>0</v>
      </c>
      <c r="AP436" s="15" t="n">
        <f aca="false">MAX(0,AN436)*IF(12=Parametri_v3!$C$43,Parametri_v3!$C$45,IF(12=Parametri_v3!$C$44,1-Parametri_v3!$C$45,0))</f>
        <v>0</v>
      </c>
      <c r="AQ436" s="15" t="n">
        <f aca="false">MAX(0,AP436+IF(12=Parametri_v3!$C$43,MAX(0,AN436-AO436),0)-MAX(0,-(AR435)))</f>
        <v>0</v>
      </c>
      <c r="AR436" s="15" t="n">
        <f aca="false">(AR435)+X436-AQ436</f>
        <v>0</v>
      </c>
      <c r="AS436" s="15" t="n">
        <f aca="false">Motore_Operativo!AB436-AT436+AU436</f>
        <v>17020.8333333333</v>
      </c>
      <c r="AT436" s="15" t="n">
        <f aca="false">Motore_Operativo!CH436</f>
        <v>895.833333333334</v>
      </c>
      <c r="AU436" s="15" t="n">
        <f aca="false">MIN(MAX(0,(AV435)+AT436),Parametri_v3!$C$60/12)</f>
        <v>0</v>
      </c>
      <c r="AV436" s="15" t="n">
        <f aca="false">(AV435)+AT436-AU436</f>
        <v>10750</v>
      </c>
      <c r="AW436" s="15" t="n">
        <f aca="false">IF(AND(Motore_Operativo!C436=Finanziamenti!$D$6,Finanziamenti!$F$6=1),Finanziamenti!$C$6,0)</f>
        <v>0</v>
      </c>
      <c r="AX436" s="15" t="n">
        <f aca="false">IF(AND(8&lt;&gt;7,8&lt;&gt;9,Finanziamenti!$F$8=1,OR(Parametri_v3!$C$6=0,Finanziamenti!$E$8=1),Motore_Operativo!C436=EDATE(Finanziamenti!$D$8,Ipotesi!J15*12)),Finanziamenti!$C$8*1,0)+IF(AND(8&lt;&gt;7,8&lt;&gt;9,Finanziamenti!$F$9=1,OR(Parametri_v3!$C$6=0,Finanziamenti!$E$9=1),Motore_Operativo!C436=EDATE(Finanziamenti!$D$9,Ipotesi!J15*12)),Finanziamenti!$C$9*Ipotesi!J16,0)</f>
        <v>0</v>
      </c>
      <c r="AY436" s="15" t="n">
        <f aca="false">0</f>
        <v>0</v>
      </c>
      <c r="AZ436" s="15" t="n">
        <f aca="false">Motore_Advisory!AY436*(1-Ipotesi!$C$95)*Ipotesi!$C$96</f>
        <v>0</v>
      </c>
      <c r="BA436" s="15" t="n">
        <f aca="false">MAX(0,MIN(CG436*MIN(1,IF(Motore_Operativo!C436&gt;=EDATE(Finanziamenti!$D$15,Ipotesi!J14*12),Finanziamenti!$C$15,0)+IF(Motore_Operativo!C436&gt;=EDATE(Finanziamenti!$D$16,Ipotesi!J14*12),Finanziamenti!$C$16,0)+IF(Motore_Operativo!C436&gt;=EDATE(Finanziamenti!$D$17,Ipotesi!J14*12),Finanziamenti!$C$17,0)),CA436*Ipotesi!$C$102)-(CC435))</f>
        <v>52542.2222222222</v>
      </c>
      <c r="BB436" s="15" t="n">
        <f aca="false">IF(AND(CF436&gt;0,Motore_Operativo!C436&gt;=IF(CF436=0,0,EDATE(CF436,Parametri_v3!$C$37)),MOD(((D436-YEAR(IF(CF436=0,0,EDATE(CF436,Parametri_v3!$C$37))))*12+E436-MONTH(IF(CF436=0,0,EDATE(CF436,Parametri_v3!$C$37)))),Parametri_v3!$C$38)=0),MIN(MAX(0,(BC435)+BA436-N436),(CC436-CD436)/(Ipotesi!$C$108*12/Parametri_v3!$C$38)),0)</f>
        <v>0</v>
      </c>
      <c r="BC436" s="15" t="n">
        <f aca="false">(BC435)+BA436-N436-BB436</f>
        <v>38219.5555555556</v>
      </c>
      <c r="BD436" s="15" t="n">
        <f aca="false">(BH435)+AC436+AF436-AI436-AS436-K436*(1+Parametri_v3!$C$26)-AL436-AQ436-O436+AW436+AX436+AZ436+BA436-BB436</f>
        <v>-56928.6782115009</v>
      </c>
      <c r="BE436" s="15" t="n">
        <f aca="false">MAX(0,MIN(MAX(0,CH436-(BG435)),Parametri_v3!$C$30-BD436))</f>
        <v>0</v>
      </c>
      <c r="BF436" s="15" t="n">
        <f aca="false">IF(Motore_Operativo!C436&gt;=Parametri_v3!$C$63,(BG435),MIN((BG435),MAX(0,BD436-Parametri_v3!$C$30)))</f>
        <v>0</v>
      </c>
      <c r="BG436" s="15" t="n">
        <f aca="false">(BG435)+BE436-BF436</f>
        <v>0</v>
      </c>
      <c r="BH436" s="15" t="n">
        <f aca="false">BD436+BE436-BF436-AY436</f>
        <v>-56928.6782115009</v>
      </c>
      <c r="BI436" s="15" t="n">
        <f aca="false">MAX(0,Parametri_v3!$C$30-BH436)</f>
        <v>81928.6782115009</v>
      </c>
      <c r="BJ436" s="15" t="n">
        <f aca="false">(BJ435)+K436</f>
        <v>20000</v>
      </c>
      <c r="BK436" s="15" t="n">
        <f aca="false">(BK435)+L436</f>
        <v>3611.11111111111</v>
      </c>
      <c r="BL436" s="15" t="n">
        <f aca="false">BJ436-BK436</f>
        <v>16388.8888888889</v>
      </c>
      <c r="BM436" s="15" t="n">
        <f aca="false">(BM435)+Y436</f>
        <v>-209469.391812865</v>
      </c>
      <c r="BN436" s="15" t="n">
        <f aca="false">(BN435)+AW436+AX436+AZ436</f>
        <v>130000</v>
      </c>
      <c r="BO436" s="15" t="n">
        <f aca="false">(BO435)+AY436</f>
        <v>0</v>
      </c>
      <c r="BP436" s="15" t="n">
        <f aca="false">0</f>
        <v>0</v>
      </c>
      <c r="BQ436" s="15" t="n">
        <f aca="false">BN436+BM436-BO436</f>
        <v>-79469.3918128655</v>
      </c>
      <c r="BR436" s="15" t="n">
        <f aca="false">BH436+AD436+BL436+MAX(0,-AM436)+MAX(0,-AR436)+AG436</f>
        <v>-6937.28812962958</v>
      </c>
      <c r="BS436" s="15" t="n">
        <f aca="false">AJ436+AV436+MAX(0,AM436)+MAX(0,AR436)+BC436+BG436+BQ436</f>
        <v>-6937.2881296296</v>
      </c>
      <c r="BT436" s="15" t="n">
        <f aca="false">BR436-BS436</f>
        <v>0</v>
      </c>
      <c r="BU436" s="15" t="n">
        <f aca="false">BH436-(BD436+BE436-BF436-AY436)</f>
        <v>0</v>
      </c>
      <c r="BV436" s="15" t="n">
        <f aca="false">MIN(Piano_SS!$C$6,(BV435)+IF(AND(Motore_Operativo!C436&gt;=EDATE(Parametri_v3!$C$24,Ipotesi!J14*12),Motore_Operativo!C436&lt;EDATE(Parametri_v3!$C$24,Parametri_v3!$C$25+Ipotesi!J14*12)),MAX(0,(Motore_Operativo!Y436+Motore_Operativo!X436*Parametri_v3!$C$14)*(1-Parametri_v3!$C$32))*Piano_SS!$D$6,0))</f>
        <v>28500</v>
      </c>
      <c r="BW436" s="15" t="n">
        <f aca="false">MIN(Piano_SS!$C$7,(BW435)+IF(AND(Motore_Operativo!C436&gt;=EDATE(Parametri_v3!$C$24,Ipotesi!J14*12),Motore_Operativo!C436&lt;EDATE(Parametri_v3!$C$24,Parametri_v3!$C$25+Ipotesi!J14*12)),MAX(0,(IF(12-(INT((Ipotesi!$C$91)/30))&lt;1,0,INDEX(Motore_Operativo!$BN$425:$BN$484,MAX(1,12-(INT((Ipotesi!$C$91)/30)))))*(1-(MOD((Ipotesi!$C$91),30)/30))+IF(12-(INT((Ipotesi!$C$91)/30))-1&lt;1,0,INDEX(Motore_Operativo!$BN$425:$BN$484,MAX(1,12-(INT((Ipotesi!$C$91)/30))-1)))*(MOD((Ipotesi!$C$91),30)/30)))*Piano_SS!$D$7,0))</f>
        <v>7677.77777777778</v>
      </c>
      <c r="BX436" s="15" t="n">
        <f aca="false">MIN(Piano_SS!$C$8,(BX435)+IF(AND(Motore_Operativo!C436&gt;=EDATE(Parametri_v3!$C$24,Ipotesi!J14*12),Motore_Operativo!C436&lt;EDATE(Parametri_v3!$C$24,Parametri_v3!$C$25+Ipotesi!J14*12)),MAX(0,Motore_Operativo!CE436)*Piano_SS!$D$8,0))</f>
        <v>10000</v>
      </c>
      <c r="BY436" s="15" t="n">
        <f aca="false">MIN(Piano_SS!$C$9,(BY435)+IF(AND(Motore_Operativo!C436&gt;=EDATE(Parametri_v3!$C$24,Ipotesi!J14*12),Motore_Operativo!C436&lt;EDATE(Parametri_v3!$C$24,Parametri_v3!$C$25+Ipotesi!J14*12)),MAX(0,((IF(12-(INT((Ipotesi!$C$91)/30))&lt;1,0,INDEX(Motore_Operativo!$BQ$425:$BQ$484,MAX(1,12-(INT((Ipotesi!$C$91)/30)))))*(1-(MOD((Ipotesi!$C$91),30)/30))+IF(12-(INT((Ipotesi!$C$91)/30))-1&lt;1,0,INDEX(Motore_Operativo!$BQ$425:$BQ$484,MAX(1,12-(INT((Ipotesi!$C$91)/30))-1)))*(MOD((Ipotesi!$C$91),30)/30))+(IF(12-(INT((Ipotesi!$C$91)/30))&lt;1,0,INDEX(Motore_Operativo!$BR$425:$BR$484,MAX(1,12-(INT((Ipotesi!$C$91)/30)))))*(1-(MOD((Ipotesi!$C$91),30)/30))+IF(12-(INT((Ipotesi!$C$91)/30))-1&lt;1,0,INDEX(Motore_Operativo!$BR$425:$BR$484,MAX(1,12-(INT((Ipotesi!$C$91)/30))-1)))*(MOD((Ipotesi!$C$91),30)/30))))*Piano_SS!$D$9,0))</f>
        <v>13500</v>
      </c>
      <c r="BZ436" s="15" t="n">
        <f aca="false">MIN(Piano_SS!$C$10,(BZ435)+IF(AND(Motore_Operativo!C436&gt;=EDATE(Parametri_v3!$C$24,Ipotesi!J14*12),Motore_Operativo!C436&lt;EDATE(Parametri_v3!$C$24,Parametri_v3!$C$25+Ipotesi!J14*12)),MAX(0,(IF(12-(INT((Ipotesi!$C$91)/30))&lt;1,0,INDEX(Motore_Operativo!$BO$425:$BO$484,MAX(1,12-(INT((Ipotesi!$C$91)/30)))))*(1-(MOD((Ipotesi!$C$91),30)/30))+IF(12-(INT((Ipotesi!$C$91)/30))-1&lt;1,0,INDEX(Motore_Operativo!$BO$425:$BO$484,MAX(1,12-(INT((Ipotesi!$C$91)/30))-1)))*(MOD((Ipotesi!$C$91),30)/30)))*Piano_SS!$D$10,0))</f>
        <v>6000</v>
      </c>
      <c r="CA436" s="15" t="n">
        <f aca="false">SUM(BV436:BZ436)</f>
        <v>65677.7777777778</v>
      </c>
      <c r="CB436" s="15" t="n">
        <f aca="false">BV436*(1-Piano_SS!$E$6)+BW436*(1-Piano_SS!$E$7)+BX436*(1-Piano_SS!$E$8)+BY436*(1-Piano_SS!$E$9)+BZ436*(1-Piano_SS!$E$10)</f>
        <v>59677.7777777778</v>
      </c>
      <c r="CC436" s="15" t="n">
        <f aca="false">(CC435)+BA436</f>
        <v>52542.2222222222</v>
      </c>
      <c r="CD436" s="15" t="n">
        <f aca="false">IF(CA436=0,0,CC436*CB436/CA436*Ipotesi!$C$103*Parametri_v3!$C$64)</f>
        <v>14322.6666666667</v>
      </c>
      <c r="CE436" s="18" t="n">
        <f aca="false">IF(BA436&gt;0,Motore_Operativo!C436,(CE435))</f>
        <v>46722</v>
      </c>
      <c r="CF436" s="18" t="n">
        <f aca="false">IF(AND(CC436&gt;0,OR(CC436&gt;=CG436-0.01,Motore_Operativo!C436&gt;=EDATE(MAX(Finanziamenti!$D$15:$D$17),Ipotesi!J14*12))),CE436,0)</f>
        <v>0</v>
      </c>
      <c r="CG436" s="15" t="n">
        <f aca="false">IF(AND(8&lt;&gt;6,8&lt;&gt;9,Finanziamenti!$F$11=1,OR(Parametri_v3!$C$6=0,Finanziamenti!$E$11=1)),MIN(Finanziamenti!$C$11,Piano_SS!$C$12*Ipotesi!$C$102),0)</f>
        <v>400000</v>
      </c>
      <c r="CH436" s="15" t="n">
        <f aca="false">IF(AND(AND(8&lt;&gt;8,8&lt;&gt;9,Finanziamenti!$F$10=1,OR(Parametri_v3!$C$6=0,Finanziamenti!$E$10=1)),Motore_Operativo!C436&gt;=Finanziamenti!$D$10,Motore_Operativo!C436&lt;Parametri_v3!$C$63),Finanziamenti!$C$10,0)</f>
        <v>0</v>
      </c>
    </row>
    <row r="437" customFormat="false" ht="18" hidden="false" customHeight="true" outlineLevel="0" collapsed="false">
      <c r="A437" s="68" t="n">
        <f aca="false">8</f>
        <v>8</v>
      </c>
      <c r="B437" s="68" t="n">
        <f aca="false">13</f>
        <v>13</v>
      </c>
      <c r="C437" s="18" t="n">
        <f aca="false">Motore_Operativo!C437</f>
        <v>46753</v>
      </c>
      <c r="D437" s="68" t="n">
        <f aca="false">Motore_Operativo!D437</f>
        <v>2028</v>
      </c>
      <c r="E437" s="68" t="n">
        <f aca="false">Motore_Operativo!E437</f>
        <v>1</v>
      </c>
      <c r="F437" s="15" t="n">
        <f aca="false">Motore_Operativo!AQ437+Motore_Operativo!BF437</f>
        <v>23223.0393982785</v>
      </c>
      <c r="G437" s="15" t="n">
        <f aca="false">Motore_Operativo!BH437</f>
        <v>3398.1220657277</v>
      </c>
      <c r="H437" s="15" t="n">
        <f aca="false">Motore_Operativo!BI437</f>
        <v>26621.1614640062</v>
      </c>
      <c r="I437" s="15" t="n">
        <f aca="false">Motore_Operativo!CA437</f>
        <v>56964.0025110642</v>
      </c>
      <c r="J437" s="15" t="n">
        <f aca="false">Motore_Operativo!CC437</f>
        <v>-30342.841047058</v>
      </c>
      <c r="K437" s="15" t="n">
        <f aca="false">Motore_Operativo!CE437</f>
        <v>2083.33333333333</v>
      </c>
      <c r="L437" s="15" t="n">
        <f aca="false">SUM(INDEX($K$425:$K$484,MAX(1,13-Parametri_v3!$C$59+1)):K437)/Parametri_v3!$C$59</f>
        <v>613.425925925926</v>
      </c>
      <c r="M437" s="15" t="n">
        <f aca="false">J437-L437</f>
        <v>-30956.2669729839</v>
      </c>
      <c r="N437" s="15" t="n">
        <f aca="false">CD437-(CD436)</f>
        <v>4288.83333333333</v>
      </c>
      <c r="O437" s="15" t="n">
        <f aca="false">(BG436)*Ipotesi!$C$110/12+CH437*Parametri_v3!$C$39/12</f>
        <v>0</v>
      </c>
      <c r="P437" s="15" t="n">
        <f aca="false">M437+N437-O437</f>
        <v>-26667.4336396506</v>
      </c>
      <c r="Q437" s="15" t="n">
        <f aca="false">SUM(P437)+Parametri_v3!$C$54*1/12</f>
        <v>-26667.4336396506</v>
      </c>
      <c r="R437" s="15" t="n">
        <f aca="false">Z436</f>
        <v>209469.391812865</v>
      </c>
      <c r="S437" s="15" t="n">
        <f aca="false">AA436</f>
        <v>0</v>
      </c>
      <c r="T437" s="15" t="n">
        <f aca="false">MIN(R437,MAX(0,Q437))</f>
        <v>0</v>
      </c>
      <c r="U437" s="15" t="n">
        <f aca="false">MIN(S437,MAX(0,Q437-T437)*Parametri_v3!$C$42)</f>
        <v>0</v>
      </c>
      <c r="V437" s="15" t="n">
        <f aca="false">MAX(0,Q437-T437-U437)*Ipotesi!$C$92</f>
        <v>0</v>
      </c>
      <c r="W437" s="15" t="n">
        <f aca="false">MAX(0,SUM(M437)+Parametri_v3!$C$55*1/12)*Ipotesi!$C$93</f>
        <v>0</v>
      </c>
      <c r="X437" s="15" t="n">
        <f aca="false">V437+W437-(0)</f>
        <v>0</v>
      </c>
      <c r="Y437" s="15" t="n">
        <f aca="false">P437-X437</f>
        <v>-26667.4336396506</v>
      </c>
      <c r="Z437" s="15" t="n">
        <f aca="false">R437-T437+IF(AND(Parametri_v3!$C$40=1,D437-YEAR(Parametri_v3!$C$50)&lt;Parametri_v3!$C$41),MAX(0,-Q437),0)</f>
        <v>236136.825452516</v>
      </c>
      <c r="AA437" s="15" t="n">
        <f aca="false">S437-U437+IF(AND(Parametri_v3!$C$40=1,D437-YEAR(Parametri_v3!$C$50)&lt;Parametri_v3!$C$41),0,MAX(0,-Q437))</f>
        <v>0</v>
      </c>
      <c r="AB437" s="15" t="n">
        <f aca="false">F437*(1+Parametri_v3!$C$26)</f>
        <v>28332.1080658998</v>
      </c>
      <c r="AC437" s="15" t="n">
        <f aca="false">(IF(13-(INT((Motore_Operativo!L437)/30))&lt;1,0,INDEX(Motore_Startup!$AB$425:$AB$484,MAX(1,13-(INT((Motore_Operativo!L437)/30)))))*(1-(MOD((Motore_Operativo!L437),30)/30))+IF(13-(INT((Motore_Operativo!L437)/30))-1&lt;1,0,INDEX(Motore_Startup!$AB$425:$AB$484,MAX(1,13-(INT((Motore_Operativo!L437)/30))-1)))*(MOD((Motore_Operativo!L437),30)/30))</f>
        <v>9884.25925925926</v>
      </c>
      <c r="AD437" s="15" t="n">
        <f aca="false">(AD436)+AB437-AC437</f>
        <v>48439.5154733072</v>
      </c>
      <c r="AE437" s="15" t="n">
        <f aca="false">Motore_Operativo!BH437*(1+Parametri_v3!$C$26)</f>
        <v>4145.70892018779</v>
      </c>
      <c r="AF437" s="15" t="n">
        <f aca="false">(IF(13-(INT((Parametri_v3!$C$29)/30))&lt;1,0,INDEX(Motore_Operativo!$BH$425:$BH$484,MAX(1,13-(INT((Parametri_v3!$C$29)/30)))))*(1-(MOD((Parametri_v3!$C$29),30)/30))+IF(13-(INT((Parametri_v3!$C$29)/30))-1&lt;1,0,INDEX(Motore_Operativo!$BH$425:$BH$484,MAX(1,13-(INT((Parametri_v3!$C$29)/30))-1)))*(MOD((Parametri_v3!$C$29),30)/30))*(1+Parametri_v3!$C$26)</f>
        <v>1977.68421052632</v>
      </c>
      <c r="AG437" s="15" t="n">
        <f aca="false">(AG436)+AE437-AF437</f>
        <v>4145.70892018779</v>
      </c>
      <c r="AH437" s="15" t="n">
        <f aca="false">(Motore_Operativo!CJ437)*(1+Parametri_v3!$C$27*Parametri_v3!$C$26)</f>
        <v>20418.1834806332</v>
      </c>
      <c r="AI437" s="15" t="n">
        <f aca="false">(IF(13-(INT((Ipotesi!$C$91)/30))&lt;1,0,INDEX(Motore_Startup!$AH$425:$AH$484,MAX(1,13-(INT((Ipotesi!$C$91)/30)))))*(1-(MOD((Ipotesi!$C$91),30)/30))+IF(13-(INT((Ipotesi!$C$91)/30))-1&lt;1,0,INDEX(Motore_Startup!$AH$425:$AH$484,MAX(1,13-(INT((Ipotesi!$C$91)/30))-1)))*(MOD((Ipotesi!$C$91),30)/30))</f>
        <v>11773.5805453216</v>
      </c>
      <c r="AJ437" s="15" t="n">
        <f aca="false">(AJ436)+AH437-AI437</f>
        <v>32207.1510629918</v>
      </c>
      <c r="AK437" s="15" t="n">
        <f aca="false">(F437+ Motore_Operativo!BH437-(Motore_Operativo!CJ437)*Parametri_v3!$C$27-Motore_Operativo!CE437)*Parametri_v3!$C$26</f>
        <v>2181.64121917903</v>
      </c>
      <c r="AL437" s="15" t="n">
        <f aca="false">MAX(0,(AM436))</f>
        <v>0</v>
      </c>
      <c r="AM437" s="15" t="n">
        <f aca="false">(AM436)+AK437-AL437</f>
        <v>548.490903389566</v>
      </c>
      <c r="AN437" s="15" t="n">
        <f aca="false">SUM(X425:X436)</f>
        <v>0</v>
      </c>
      <c r="AO437" s="15" t="n">
        <f aca="false">SUM(AP425:AP436)</f>
        <v>0</v>
      </c>
      <c r="AP437" s="15" t="n">
        <f aca="false">MAX(0,AN437)*IF(1=Parametri_v3!$C$43,Parametri_v3!$C$45,IF(1=Parametri_v3!$C$44,1-Parametri_v3!$C$45,0))</f>
        <v>0</v>
      </c>
      <c r="AQ437" s="15" t="n">
        <f aca="false">MAX(0,AP437+IF(1=Parametri_v3!$C$43,MAX(0,AN437-AO437),0)-MAX(0,-(AR436)))</f>
        <v>0</v>
      </c>
      <c r="AR437" s="15" t="n">
        <f aca="false">(AR436)+X437-AQ437</f>
        <v>0</v>
      </c>
      <c r="AS437" s="15" t="n">
        <f aca="false">Motore_Operativo!AB437-AT437+AU437</f>
        <v>37774.375</v>
      </c>
      <c r="AT437" s="15" t="n">
        <f aca="false">Motore_Operativo!CH437</f>
        <v>1988.125</v>
      </c>
      <c r="AU437" s="15" t="n">
        <f aca="false">MIN(MAX(0,(AV436)+AT437),Parametri_v3!$C$60/12)</f>
        <v>0</v>
      </c>
      <c r="AV437" s="15" t="n">
        <f aca="false">(AV436)+AT437-AU437</f>
        <v>12738.125</v>
      </c>
      <c r="AW437" s="15" t="n">
        <f aca="false">IF(AND(Motore_Operativo!C437=Finanziamenti!$D$6,Finanziamenti!$F$6=1),Finanziamenti!$C$6,0)</f>
        <v>0</v>
      </c>
      <c r="AX437" s="15" t="n">
        <f aca="false">IF(AND(8&lt;&gt;7,8&lt;&gt;9,Finanziamenti!$F$8=1,OR(Parametri_v3!$C$6=0,Finanziamenti!$E$8=1),Motore_Operativo!C437=EDATE(Finanziamenti!$D$8,Ipotesi!J15*12)),Finanziamenti!$C$8*1,0)+IF(AND(8&lt;&gt;7,8&lt;&gt;9,Finanziamenti!$F$9=1,OR(Parametri_v3!$C$6=0,Finanziamenti!$E$9=1),Motore_Operativo!C437=EDATE(Finanziamenti!$D$9,Ipotesi!J15*12)),Finanziamenti!$C$9*Ipotesi!J16,0)</f>
        <v>0</v>
      </c>
      <c r="AY437" s="15" t="n">
        <f aca="false">0</f>
        <v>0</v>
      </c>
      <c r="AZ437" s="15" t="n">
        <f aca="false">Motore_Advisory!AY437*(1-Ipotesi!$C$95)*Ipotesi!$C$96</f>
        <v>0</v>
      </c>
      <c r="BA437" s="15" t="n">
        <f aca="false">MAX(0,MIN(CG437*MIN(1,IF(Motore_Operativo!C437&gt;=EDATE(Finanziamenti!$D$15,Ipotesi!J14*12),Finanziamenti!$C$15,0)+IF(Motore_Operativo!C437&gt;=EDATE(Finanziamenti!$D$16,Ipotesi!J14*12),Finanziamenti!$C$16,0)+IF(Motore_Operativo!C437&gt;=EDATE(Finanziamenti!$D$17,Ipotesi!J14*12),Finanziamenti!$C$17,0)),CA437*Ipotesi!$C$102)-(CC436))</f>
        <v>15096.1111111111</v>
      </c>
      <c r="BB437" s="15" t="n">
        <f aca="false">IF(AND(CF437&gt;0,Motore_Operativo!C437&gt;=IF(CF437=0,0,EDATE(CF437,Parametri_v3!$C$37)),MOD(((D437-YEAR(IF(CF437=0,0,EDATE(CF437,Parametri_v3!$C$37))))*12+E437-MONTH(IF(CF437=0,0,EDATE(CF437,Parametri_v3!$C$37)))),Parametri_v3!$C$38)=0),MIN(MAX(0,(BC436)+BA437-N437),(CC437-CD437)/(Ipotesi!$C$108*12/Parametri_v3!$C$38)),0)</f>
        <v>0</v>
      </c>
      <c r="BC437" s="15" t="n">
        <f aca="false">(BC436)+BA437-N437-BB437</f>
        <v>49026.8333333334</v>
      </c>
      <c r="BD437" s="15" t="n">
        <f aca="false">(BH436)+AC437+AF437-AI437-AS437-K437*(1+Parametri_v3!$C$26)-AL437-AQ437-O437+AW437+AX437+AZ437+BA437-BB437</f>
        <v>-82060.2458425926</v>
      </c>
      <c r="BE437" s="15" t="n">
        <f aca="false">MAX(0,MIN(MAX(0,CH437-(BG436)),Parametri_v3!$C$30-BD437))</f>
        <v>0</v>
      </c>
      <c r="BF437" s="15" t="n">
        <f aca="false">IF(Motore_Operativo!C437&gt;=Parametri_v3!$C$63,(BG436),MIN((BG436),MAX(0,BD437-Parametri_v3!$C$30)))</f>
        <v>0</v>
      </c>
      <c r="BG437" s="15" t="n">
        <f aca="false">(BG436)+BE437-BF437</f>
        <v>0</v>
      </c>
      <c r="BH437" s="15" t="n">
        <f aca="false">BD437+BE437-BF437-AY437</f>
        <v>-82060.2458425926</v>
      </c>
      <c r="BI437" s="15" t="n">
        <f aca="false">MAX(0,Parametri_v3!$C$30-BH437)</f>
        <v>107060.245842593</v>
      </c>
      <c r="BJ437" s="15" t="n">
        <f aca="false">(BJ436)+K437</f>
        <v>22083.3333333333</v>
      </c>
      <c r="BK437" s="15" t="n">
        <f aca="false">(BK436)+L437</f>
        <v>4224.53703703704</v>
      </c>
      <c r="BL437" s="15" t="n">
        <f aca="false">BJ437-BK437</f>
        <v>17858.7962962963</v>
      </c>
      <c r="BM437" s="15" t="n">
        <f aca="false">(BM436)+Y437</f>
        <v>-236136.825452516</v>
      </c>
      <c r="BN437" s="15" t="n">
        <f aca="false">(BN436)+AW437+AX437+AZ437</f>
        <v>130000</v>
      </c>
      <c r="BO437" s="15" t="n">
        <f aca="false">(BO436)+AY437</f>
        <v>0</v>
      </c>
      <c r="BP437" s="15" t="n">
        <f aca="false">0</f>
        <v>0</v>
      </c>
      <c r="BQ437" s="15" t="n">
        <f aca="false">BN437+BM437-BO437</f>
        <v>-106136.825452516</v>
      </c>
      <c r="BR437" s="15" t="n">
        <f aca="false">BH437+AD437+BL437+MAX(0,-AM437)+MAX(0,-AR437)+AG437</f>
        <v>-11616.2251528013</v>
      </c>
      <c r="BS437" s="15" t="n">
        <f aca="false">AJ437+AV437+MAX(0,AM437)+MAX(0,AR437)+BC437+BG437+BQ437</f>
        <v>-11616.2251528013</v>
      </c>
      <c r="BT437" s="15" t="n">
        <f aca="false">BR437-BS437</f>
        <v>0</v>
      </c>
      <c r="BU437" s="15" t="n">
        <f aca="false">BH437-(BD437+BE437-BF437-AY437)</f>
        <v>0</v>
      </c>
      <c r="BV437" s="15" t="n">
        <f aca="false">MIN(Piano_SS!$C$6,(BV436)+IF(AND(Motore_Operativo!C437&gt;=EDATE(Parametri_v3!$C$24,Ipotesi!J14*12),Motore_Operativo!C437&lt;EDATE(Parametri_v3!$C$24,Parametri_v3!$C$25+Ipotesi!J14*12)),MAX(0,(Motore_Operativo!Y437+Motore_Operativo!X437*Parametri_v3!$C$14)*(1-Parametri_v3!$C$32))*Piano_SS!$D$6,0))</f>
        <v>40731.25</v>
      </c>
      <c r="BW437" s="15" t="n">
        <f aca="false">MIN(Piano_SS!$C$7,(BW436)+IF(AND(Motore_Operativo!C437&gt;=EDATE(Parametri_v3!$C$24,Ipotesi!J14*12),Motore_Operativo!C437&lt;EDATE(Parametri_v3!$C$24,Parametri_v3!$C$25+Ipotesi!J14*12)),MAX(0,(IF(13-(INT((Ipotesi!$C$91)/30))&lt;1,0,INDEX(Motore_Operativo!$BN$425:$BN$484,MAX(1,13-(INT((Ipotesi!$C$91)/30)))))*(1-(MOD((Ipotesi!$C$91),30)/30))+IF(13-(INT((Ipotesi!$C$91)/30))-1&lt;1,0,INDEX(Motore_Operativo!$BN$425:$BN$484,MAX(1,13-(INT((Ipotesi!$C$91)/30))-1)))*(MOD((Ipotesi!$C$91),30)/30)))*Piano_SS!$D$7,0))</f>
        <v>8983.33333333333</v>
      </c>
      <c r="BX437" s="15" t="n">
        <f aca="false">MIN(Piano_SS!$C$8,(BX436)+IF(AND(Motore_Operativo!C437&gt;=EDATE(Parametri_v3!$C$24,Ipotesi!J14*12),Motore_Operativo!C437&lt;EDATE(Parametri_v3!$C$24,Parametri_v3!$C$25+Ipotesi!J14*12)),MAX(0,Motore_Operativo!CE437)*Piano_SS!$D$8,0))</f>
        <v>12083.3333333333</v>
      </c>
      <c r="BY437" s="15" t="n">
        <f aca="false">MIN(Piano_SS!$C$9,(BY436)+IF(AND(Motore_Operativo!C437&gt;=EDATE(Parametri_v3!$C$24,Ipotesi!J14*12),Motore_Operativo!C437&lt;EDATE(Parametri_v3!$C$24,Parametri_v3!$C$25+Ipotesi!J14*12)),MAX(0,((IF(13-(INT((Ipotesi!$C$91)/30))&lt;1,0,INDEX(Motore_Operativo!$BQ$425:$BQ$484,MAX(1,13-(INT((Ipotesi!$C$91)/30)))))*(1-(MOD((Ipotesi!$C$91),30)/30))+IF(13-(INT((Ipotesi!$C$91)/30))-1&lt;1,0,INDEX(Motore_Operativo!$BQ$425:$BQ$484,MAX(1,13-(INT((Ipotesi!$C$91)/30))-1)))*(MOD((Ipotesi!$C$91),30)/30))+(IF(13-(INT((Ipotesi!$C$91)/30))&lt;1,0,INDEX(Motore_Operativo!$BR$425:$BR$484,MAX(1,13-(INT((Ipotesi!$C$91)/30)))))*(1-(MOD((Ipotesi!$C$91),30)/30))+IF(13-(INT((Ipotesi!$C$91)/30))-1&lt;1,0,INDEX(Motore_Operativo!$BR$425:$BR$484,MAX(1,13-(INT((Ipotesi!$C$91)/30))-1)))*(MOD((Ipotesi!$C$91),30)/30))))*Piano_SS!$D$9,0))</f>
        <v>15750</v>
      </c>
      <c r="BZ437" s="15" t="n">
        <f aca="false">MIN(Piano_SS!$C$10,(BZ436)+IF(AND(Motore_Operativo!C437&gt;=EDATE(Parametri_v3!$C$24,Ipotesi!J14*12),Motore_Operativo!C437&lt;EDATE(Parametri_v3!$C$24,Parametri_v3!$C$25+Ipotesi!J14*12)),MAX(0,(IF(13-(INT((Ipotesi!$C$91)/30))&lt;1,0,INDEX(Motore_Operativo!$BO$425:$BO$484,MAX(1,13-(INT((Ipotesi!$C$91)/30)))))*(1-(MOD((Ipotesi!$C$91),30)/30))+IF(13-(INT((Ipotesi!$C$91)/30))-1&lt;1,0,INDEX(Motore_Operativo!$BO$425:$BO$484,MAX(1,13-(INT((Ipotesi!$C$91)/30))-1)))*(MOD((Ipotesi!$C$91),30)/30)))*Piano_SS!$D$10,0))</f>
        <v>7000</v>
      </c>
      <c r="CA437" s="15" t="n">
        <f aca="false">SUM(BV437:BZ437)</f>
        <v>84547.9166666667</v>
      </c>
      <c r="CB437" s="15" t="n">
        <f aca="false">BV437*(1-Piano_SS!$E$6)+BW437*(1-Piano_SS!$E$7)+BX437*(1-Piano_SS!$E$8)+BY437*(1-Piano_SS!$E$9)+BZ437*(1-Piano_SS!$E$10)</f>
        <v>77547.9166666667</v>
      </c>
      <c r="CC437" s="15" t="n">
        <f aca="false">(CC436)+BA437</f>
        <v>67638.3333333333</v>
      </c>
      <c r="CD437" s="15" t="n">
        <f aca="false">IF(CA437=0,0,CC437*CB437/CA437*Ipotesi!$C$103*Parametri_v3!$C$64)</f>
        <v>18611.5</v>
      </c>
      <c r="CE437" s="18" t="n">
        <f aca="false">IF(BA437&gt;0,Motore_Operativo!C437,(CE436))</f>
        <v>46753</v>
      </c>
      <c r="CF437" s="18" t="n">
        <f aca="false">IF(AND(CC437&gt;0,OR(CC437&gt;=CG437-0.01,Motore_Operativo!C437&gt;=EDATE(MAX(Finanziamenti!$D$15:$D$17),Ipotesi!J14*12))),CE437,0)</f>
        <v>0</v>
      </c>
      <c r="CG437" s="15" t="n">
        <f aca="false">IF(AND(8&lt;&gt;6,8&lt;&gt;9,Finanziamenti!$F$11=1,OR(Parametri_v3!$C$6=0,Finanziamenti!$E$11=1)),MIN(Finanziamenti!$C$11,Piano_SS!$C$12*Ipotesi!$C$102),0)</f>
        <v>400000</v>
      </c>
      <c r="CH437" s="15" t="n">
        <f aca="false">IF(AND(AND(8&lt;&gt;8,8&lt;&gt;9,Finanziamenti!$F$10=1,OR(Parametri_v3!$C$6=0,Finanziamenti!$E$10=1)),Motore_Operativo!C437&gt;=Finanziamenti!$D$10,Motore_Operativo!C437&lt;Parametri_v3!$C$63),Finanziamenti!$C$10,0)</f>
        <v>0</v>
      </c>
    </row>
    <row r="438" customFormat="false" ht="18" hidden="false" customHeight="true" outlineLevel="0" collapsed="false">
      <c r="A438" s="68" t="n">
        <f aca="false">8</f>
        <v>8</v>
      </c>
      <c r="B438" s="68" t="n">
        <f aca="false">14</f>
        <v>14</v>
      </c>
      <c r="C438" s="18" t="n">
        <f aca="false">Motore_Operativo!C438</f>
        <v>46784</v>
      </c>
      <c r="D438" s="68" t="n">
        <f aca="false">Motore_Operativo!D438</f>
        <v>2028</v>
      </c>
      <c r="E438" s="68" t="n">
        <f aca="false">Motore_Operativo!E438</f>
        <v>2</v>
      </c>
      <c r="F438" s="15" t="n">
        <f aca="false">Motore_Operativo!AQ438+Motore_Operativo!BF438</f>
        <v>23584.1993716446</v>
      </c>
      <c r="G438" s="15" t="n">
        <f aca="false">Motore_Operativo!BH438</f>
        <v>3398.1220657277</v>
      </c>
      <c r="H438" s="15" t="n">
        <f aca="false">Motore_Operativo!BI438</f>
        <v>26982.3214373723</v>
      </c>
      <c r="I438" s="15" t="n">
        <f aca="false">Motore_Operativo!CA438</f>
        <v>57014.5649073354</v>
      </c>
      <c r="J438" s="15" t="n">
        <f aca="false">Motore_Operativo!CC438</f>
        <v>-30032.2434699631</v>
      </c>
      <c r="K438" s="15" t="n">
        <f aca="false">Motore_Operativo!CE438</f>
        <v>2083.33333333333</v>
      </c>
      <c r="L438" s="15" t="n">
        <f aca="false">SUM(INDEX($K$425:$K$484,MAX(1,14-Parametri_v3!$C$59+1)):K438)/Parametri_v3!$C$59</f>
        <v>671.296296296296</v>
      </c>
      <c r="M438" s="15" t="n">
        <f aca="false">J438-L438</f>
        <v>-30703.5397662594</v>
      </c>
      <c r="N438" s="15" t="n">
        <f aca="false">CD438-(CD437)</f>
        <v>3532.09061589354</v>
      </c>
      <c r="O438" s="15" t="n">
        <f aca="false">(BG437)*Ipotesi!$C$110/12+CH438*Parametri_v3!$C$39/12</f>
        <v>0</v>
      </c>
      <c r="P438" s="15" t="n">
        <f aca="false">M438+N438-O438</f>
        <v>-27171.4491503659</v>
      </c>
      <c r="Q438" s="15" t="n">
        <f aca="false">SUM(P437:P438)+Parametri_v3!$C$54*2/12</f>
        <v>-53838.8827900164</v>
      </c>
      <c r="R438" s="15" t="n">
        <f aca="false">Z436</f>
        <v>209469.391812865</v>
      </c>
      <c r="S438" s="15" t="n">
        <f aca="false">AA436</f>
        <v>0</v>
      </c>
      <c r="T438" s="15" t="n">
        <f aca="false">MIN(R438,MAX(0,Q438))</f>
        <v>0</v>
      </c>
      <c r="U438" s="15" t="n">
        <f aca="false">MIN(S438,MAX(0,Q438-T438)*Parametri_v3!$C$42)</f>
        <v>0</v>
      </c>
      <c r="V438" s="15" t="n">
        <f aca="false">MAX(0,Q438-T438-U438)*Ipotesi!$C$92</f>
        <v>0</v>
      </c>
      <c r="W438" s="15" t="n">
        <f aca="false">MAX(0,SUM(M437:M438)+Parametri_v3!$C$55*2/12)*Ipotesi!$C$93</f>
        <v>0</v>
      </c>
      <c r="X438" s="15" t="n">
        <f aca="false">V438+W438-(V437+W437)</f>
        <v>0</v>
      </c>
      <c r="Y438" s="15" t="n">
        <f aca="false">P438-X438</f>
        <v>-27171.4491503659</v>
      </c>
      <c r="Z438" s="15" t="n">
        <f aca="false">R438-T438+IF(AND(Parametri_v3!$C$40=1,D438-YEAR(Parametri_v3!$C$50)&lt;Parametri_v3!$C$41),MAX(0,-Q438),0)</f>
        <v>263308.274602882</v>
      </c>
      <c r="AA438" s="15" t="n">
        <f aca="false">S438-U438+IF(AND(Parametri_v3!$C$40=1,D438-YEAR(Parametri_v3!$C$50)&lt;Parametri_v3!$C$41),0,MAX(0,-Q438))</f>
        <v>0</v>
      </c>
      <c r="AB438" s="15" t="n">
        <f aca="false">F438*(1+Parametri_v3!$C$26)</f>
        <v>28772.7232334064</v>
      </c>
      <c r="AC438" s="15" t="n">
        <f aca="false">(IF(14-(INT((Motore_Operativo!L438)/30))&lt;1,0,INDEX(Motore_Startup!$AB$425:$AB$484,MAX(1,14-(INT((Motore_Operativo!L438)/30)))))*(1-(MOD((Motore_Operativo!L438),30)/30))+IF(14-(INT((Motore_Operativo!L438)/30))-1&lt;1,0,INDEX(Motore_Startup!$AB$425:$AB$484,MAX(1,14-(INT((Motore_Operativo!L438)/30))-1)))*(MOD((Motore_Operativo!L438),30)/30))</f>
        <v>9997.22222222222</v>
      </c>
      <c r="AD438" s="15" t="n">
        <f aca="false">(AD437)+AB438-AC438</f>
        <v>67215.0164844914</v>
      </c>
      <c r="AE438" s="15" t="n">
        <f aca="false">Motore_Operativo!BH438*(1+Parametri_v3!$C$26)</f>
        <v>4145.70892018779</v>
      </c>
      <c r="AF438" s="15" t="n">
        <f aca="false">(IF(14-(INT((Parametri_v3!$C$29)/30))&lt;1,0,INDEX(Motore_Operativo!$BH$425:$BH$484,MAX(1,14-(INT((Parametri_v3!$C$29)/30)))))*(1-(MOD((Parametri_v3!$C$29),30)/30))+IF(14-(INT((Parametri_v3!$C$29)/30))-1&lt;1,0,INDEX(Motore_Operativo!$BH$425:$BH$484,MAX(1,14-(INT((Parametri_v3!$C$29)/30))-1)))*(MOD((Parametri_v3!$C$29),30)/30))*(1+Parametri_v3!$C$26)</f>
        <v>4145.70892018779</v>
      </c>
      <c r="AG438" s="15" t="n">
        <f aca="false">(AG437)+AE438-AF438</f>
        <v>4145.70892018779</v>
      </c>
      <c r="AH438" s="15" t="n">
        <f aca="false">(Motore_Operativo!CJ438)*(1+Parametri_v3!$C$27*Parametri_v3!$C$26)</f>
        <v>20478.2010450071</v>
      </c>
      <c r="AI438" s="15" t="n">
        <f aca="false">(IF(14-(INT((Ipotesi!$C$91)/30))&lt;1,0,INDEX(Motore_Startup!$AH$425:$AH$484,MAX(1,14-(INT((Ipotesi!$C$91)/30)))))*(1-(MOD((Ipotesi!$C$91),30)/30))+IF(14-(INT((Ipotesi!$C$91)/30))-1&lt;1,0,INDEX(Motore_Startup!$AH$425:$AH$484,MAX(1,14-(INT((Ipotesi!$C$91)/30))-1)))*(MOD((Ipotesi!$C$91),30)/30))</f>
        <v>11788.9675823587</v>
      </c>
      <c r="AJ438" s="15" t="n">
        <f aca="false">(AJ437)+AH438-AI438</f>
        <v>40896.3845256403</v>
      </c>
      <c r="AK438" s="15" t="n">
        <f aca="false">(F438+ Motore_Operativo!BH438-(Motore_Operativo!CJ438)*Parametri_v3!$C$27-Motore_Operativo!CE438)*Parametri_v3!$C$26</f>
        <v>2251.64124521685</v>
      </c>
      <c r="AL438" s="15" t="n">
        <f aca="false">MAX(0,(AM437))</f>
        <v>548.490903389566</v>
      </c>
      <c r="AM438" s="15" t="n">
        <f aca="false">(AM437)+AK438-AL438</f>
        <v>2251.64124521685</v>
      </c>
      <c r="AN438" s="15" t="n">
        <f aca="false">SUM(X425:X436)</f>
        <v>0</v>
      </c>
      <c r="AO438" s="15" t="n">
        <f aca="false">SUM(AP425:AP436)</f>
        <v>0</v>
      </c>
      <c r="AP438" s="15" t="n">
        <f aca="false">MAX(0,AN438)*IF(2=Parametri_v3!$C$43,Parametri_v3!$C$45,IF(2=Parametri_v3!$C$44,1-Parametri_v3!$C$45,0))</f>
        <v>0</v>
      </c>
      <c r="AQ438" s="15" t="n">
        <f aca="false">MAX(0,AP438+IF(2=Parametri_v3!$C$43,MAX(0,AN438-AO438),0)-MAX(0,-(AR437)))</f>
        <v>0</v>
      </c>
      <c r="AR438" s="15" t="n">
        <f aca="false">(AR437)+X438-AQ438</f>
        <v>0</v>
      </c>
      <c r="AS438" s="15" t="n">
        <f aca="false">Motore_Operativo!AB438-AT438+AU438</f>
        <v>37774.375</v>
      </c>
      <c r="AT438" s="15" t="n">
        <f aca="false">Motore_Operativo!CH438</f>
        <v>1988.125</v>
      </c>
      <c r="AU438" s="15" t="n">
        <f aca="false">MIN(MAX(0,(AV437)+AT438),Parametri_v3!$C$60/12)</f>
        <v>0</v>
      </c>
      <c r="AV438" s="15" t="n">
        <f aca="false">(AV437)+AT438-AU438</f>
        <v>14726.25</v>
      </c>
      <c r="AW438" s="15" t="n">
        <f aca="false">IF(AND(Motore_Operativo!C438=Finanziamenti!$D$6,Finanziamenti!$F$6=1),Finanziamenti!$C$6,0)</f>
        <v>0</v>
      </c>
      <c r="AX438" s="15" t="n">
        <f aca="false">IF(AND(8&lt;&gt;7,8&lt;&gt;9,Finanziamenti!$F$8=1,OR(Parametri_v3!$C$6=0,Finanziamenti!$E$8=1),Motore_Operativo!C438=EDATE(Finanziamenti!$D$8,Ipotesi!J15*12)),Finanziamenti!$C$8*1,0)+IF(AND(8&lt;&gt;7,8&lt;&gt;9,Finanziamenti!$F$9=1,OR(Parametri_v3!$C$6=0,Finanziamenti!$E$9=1),Motore_Operativo!C438=EDATE(Finanziamenti!$D$9,Ipotesi!J15*12)),Finanziamenti!$C$9*Ipotesi!J16,0)</f>
        <v>0</v>
      </c>
      <c r="AY438" s="15" t="n">
        <f aca="false">0</f>
        <v>0</v>
      </c>
      <c r="AZ438" s="15" t="n">
        <f aca="false">Motore_Advisory!AY438*(1-Ipotesi!$C$95)*Ipotesi!$C$96</f>
        <v>0</v>
      </c>
      <c r="BA438" s="15" t="n">
        <f aca="false">MAX(0,MIN(CG438*MIN(1,IF(Motore_Operativo!C438&gt;=EDATE(Finanziamenti!$D$15,Ipotesi!J14*12),Finanziamenti!$C$15,0)+IF(Motore_Operativo!C438&gt;=EDATE(Finanziamenti!$D$16,Ipotesi!J14*12),Finanziamenti!$C$16,0)+IF(Motore_Operativo!C438&gt;=EDATE(Finanziamenti!$D$17,Ipotesi!J14*12),Finanziamenti!$C$17,0)),CA438*Ipotesi!$C$102)-(CC437))</f>
        <v>12361.6666666667</v>
      </c>
      <c r="BB438" s="15" t="n">
        <f aca="false">IF(AND(CF438&gt;0,Motore_Operativo!C438&gt;=IF(CF438=0,0,EDATE(CF438,Parametri_v3!$C$37)),MOD(((D438-YEAR(IF(CF438=0,0,EDATE(CF438,Parametri_v3!$C$37))))*12+E438-MONTH(IF(CF438=0,0,EDATE(CF438,Parametri_v3!$C$37)))),Parametri_v3!$C$38)=0),MIN(MAX(0,(BC437)+BA438-N438),(CC438-CD438)/(Ipotesi!$C$108*12/Parametri_v3!$C$38)),0)</f>
        <v>0</v>
      </c>
      <c r="BC438" s="15" t="n">
        <f aca="false">(BC437)+BA438-N438-BB438</f>
        <v>57856.4093841065</v>
      </c>
      <c r="BD438" s="15" t="n">
        <f aca="false">(BH437)+AC438+AF438-AI438-AS438-K438*(1+Parametri_v3!$C$26)-AL438-AQ438-O438+AW438+AX438+AZ438+BA438-BB438</f>
        <v>-108209.148185931</v>
      </c>
      <c r="BE438" s="15" t="n">
        <f aca="false">MAX(0,MIN(MAX(0,CH438-(BG437)),Parametri_v3!$C$30-BD438))</f>
        <v>0</v>
      </c>
      <c r="BF438" s="15" t="n">
        <f aca="false">IF(Motore_Operativo!C438&gt;=Parametri_v3!$C$63,(BG437),MIN((BG437),MAX(0,BD438-Parametri_v3!$C$30)))</f>
        <v>0</v>
      </c>
      <c r="BG438" s="15" t="n">
        <f aca="false">(BG437)+BE438-BF438</f>
        <v>0</v>
      </c>
      <c r="BH438" s="15" t="n">
        <f aca="false">BD438+BE438-BF438-AY438</f>
        <v>-108209.148185931</v>
      </c>
      <c r="BI438" s="15" t="n">
        <f aca="false">MAX(0,Parametri_v3!$C$30-BH438)</f>
        <v>133209.148185931</v>
      </c>
      <c r="BJ438" s="15" t="n">
        <f aca="false">(BJ437)+K438</f>
        <v>24166.6666666667</v>
      </c>
      <c r="BK438" s="15" t="n">
        <f aca="false">(BK437)+L438</f>
        <v>4895.83333333333</v>
      </c>
      <c r="BL438" s="15" t="n">
        <f aca="false">BJ438-BK438</f>
        <v>19270.8333333333</v>
      </c>
      <c r="BM438" s="15" t="n">
        <f aca="false">(BM437)+Y438</f>
        <v>-263308.274602882</v>
      </c>
      <c r="BN438" s="15" t="n">
        <f aca="false">(BN437)+AW438+AX438+AZ438</f>
        <v>130000</v>
      </c>
      <c r="BO438" s="15" t="n">
        <f aca="false">(BO437)+AY438</f>
        <v>0</v>
      </c>
      <c r="BP438" s="15" t="n">
        <f aca="false">0</f>
        <v>0</v>
      </c>
      <c r="BQ438" s="15" t="n">
        <f aca="false">BN438+BM438-BO438</f>
        <v>-133308.274602882</v>
      </c>
      <c r="BR438" s="15" t="n">
        <f aca="false">BH438+AD438+BL438+MAX(0,-AM438)+MAX(0,-AR438)+AG438</f>
        <v>-17577.5894479183</v>
      </c>
      <c r="BS438" s="15" t="n">
        <f aca="false">AJ438+AV438+MAX(0,AM438)+MAX(0,AR438)+BC438+BG438+BQ438</f>
        <v>-17577.5894479183</v>
      </c>
      <c r="BT438" s="15" t="n">
        <f aca="false">BR438-BS438</f>
        <v>0</v>
      </c>
      <c r="BU438" s="15" t="n">
        <f aca="false">BH438-(BD438+BE438-BF438-AY438)</f>
        <v>0</v>
      </c>
      <c r="BV438" s="15" t="n">
        <f aca="false">MIN(Piano_SS!$C$6,(BV437)+IF(AND(Motore_Operativo!C438&gt;=EDATE(Parametri_v3!$C$24,Ipotesi!J14*12),Motore_Operativo!C438&lt;EDATE(Parametri_v3!$C$24,Parametri_v3!$C$25+Ipotesi!J14*12)),MAX(0,(Motore_Operativo!Y438+Motore_Operativo!X438*Parametri_v3!$C$14)*(1-Parametri_v3!$C$32))*Piano_SS!$D$6,0))</f>
        <v>52962.5</v>
      </c>
      <c r="BW438" s="15" t="n">
        <f aca="false">MIN(Piano_SS!$C$7,(BW437)+IF(AND(Motore_Operativo!C438&gt;=EDATE(Parametri_v3!$C$24,Ipotesi!J14*12),Motore_Operativo!C438&lt;EDATE(Parametri_v3!$C$24,Parametri_v3!$C$25+Ipotesi!J14*12)),MAX(0,(IF(14-(INT((Ipotesi!$C$91)/30))&lt;1,0,INDEX(Motore_Operativo!$BN$425:$BN$484,MAX(1,14-(INT((Ipotesi!$C$91)/30)))))*(1-(MOD((Ipotesi!$C$91),30)/30))+IF(14-(INT((Ipotesi!$C$91)/30))-1&lt;1,0,INDEX(Motore_Operativo!$BN$425:$BN$484,MAX(1,14-(INT((Ipotesi!$C$91)/30))-1)))*(MOD((Ipotesi!$C$91),30)/30)))*Piano_SS!$D$7,0))</f>
        <v>10296.2962962963</v>
      </c>
      <c r="BX438" s="15" t="n">
        <f aca="false">MIN(Piano_SS!$C$8,(BX437)+IF(AND(Motore_Operativo!C438&gt;=EDATE(Parametri_v3!$C$24,Ipotesi!J14*12),Motore_Operativo!C438&lt;EDATE(Parametri_v3!$C$24,Parametri_v3!$C$25+Ipotesi!J14*12)),MAX(0,Motore_Operativo!CE438)*Piano_SS!$D$8,0))</f>
        <v>14166.6666666667</v>
      </c>
      <c r="BY438" s="15" t="n">
        <f aca="false">MIN(Piano_SS!$C$9,(BY437)+IF(AND(Motore_Operativo!C438&gt;=EDATE(Parametri_v3!$C$24,Ipotesi!J14*12),Motore_Operativo!C438&lt;EDATE(Parametri_v3!$C$24,Parametri_v3!$C$25+Ipotesi!J14*12)),MAX(0,((IF(14-(INT((Ipotesi!$C$91)/30))&lt;1,0,INDEX(Motore_Operativo!$BQ$425:$BQ$484,MAX(1,14-(INT((Ipotesi!$C$91)/30)))))*(1-(MOD((Ipotesi!$C$91),30)/30))+IF(14-(INT((Ipotesi!$C$91)/30))-1&lt;1,0,INDEX(Motore_Operativo!$BQ$425:$BQ$484,MAX(1,14-(INT((Ipotesi!$C$91)/30))-1)))*(MOD((Ipotesi!$C$91),30)/30))+(IF(14-(INT((Ipotesi!$C$91)/30))&lt;1,0,INDEX(Motore_Operativo!$BR$425:$BR$484,MAX(1,14-(INT((Ipotesi!$C$91)/30)))))*(1-(MOD((Ipotesi!$C$91),30)/30))+IF(14-(INT((Ipotesi!$C$91)/30))-1&lt;1,0,INDEX(Motore_Operativo!$BR$425:$BR$484,MAX(1,14-(INT((Ipotesi!$C$91)/30))-1)))*(MOD((Ipotesi!$C$91),30)/30))))*Piano_SS!$D$9,0))</f>
        <v>18000</v>
      </c>
      <c r="BZ438" s="15" t="n">
        <f aca="false">MIN(Piano_SS!$C$10,(BZ437)+IF(AND(Motore_Operativo!C438&gt;=EDATE(Parametri_v3!$C$24,Ipotesi!J14*12),Motore_Operativo!C438&lt;EDATE(Parametri_v3!$C$24,Parametri_v3!$C$25+Ipotesi!J14*12)),MAX(0,(IF(14-(INT((Ipotesi!$C$91)/30))&lt;1,0,INDEX(Motore_Operativo!$BO$425:$BO$484,MAX(1,14-(INT((Ipotesi!$C$91)/30)))))*(1-(MOD((Ipotesi!$C$91),30)/30))+IF(14-(INT((Ipotesi!$C$91)/30))-1&lt;1,0,INDEX(Motore_Operativo!$BO$425:$BO$484,MAX(1,14-(INT((Ipotesi!$C$91)/30))-1)))*(MOD((Ipotesi!$C$91),30)/30)))*Piano_SS!$D$10,0))</f>
        <v>8000</v>
      </c>
      <c r="CA438" s="15" t="n">
        <f aca="false">SUM(BV438:BZ438)</f>
        <v>103425.462962963</v>
      </c>
      <c r="CB438" s="15" t="n">
        <f aca="false">BV438*(1-Piano_SS!$E$6)+BW438*(1-Piano_SS!$E$7)+BX438*(1-Piano_SS!$E$8)+BY438*(1-Piano_SS!$E$9)+BZ438*(1-Piano_SS!$E$10)</f>
        <v>95425.462962963</v>
      </c>
      <c r="CC438" s="15" t="n">
        <f aca="false">(CC437)+BA438</f>
        <v>80000</v>
      </c>
      <c r="CD438" s="15" t="n">
        <f aca="false">IF(CA438=0,0,CC438*CB438/CA438*Ipotesi!$C$103*Parametri_v3!$C$64)</f>
        <v>22143.5906158935</v>
      </c>
      <c r="CE438" s="18" t="n">
        <f aca="false">IF(BA438&gt;0,Motore_Operativo!C438,(CE437))</f>
        <v>46784</v>
      </c>
      <c r="CF438" s="18" t="n">
        <f aca="false">IF(AND(CC438&gt;0,OR(CC438&gt;=CG438-0.01,Motore_Operativo!C438&gt;=EDATE(MAX(Finanziamenti!$D$15:$D$17),Ipotesi!J14*12))),CE438,0)</f>
        <v>0</v>
      </c>
      <c r="CG438" s="15" t="n">
        <f aca="false">IF(AND(8&lt;&gt;6,8&lt;&gt;9,Finanziamenti!$F$11=1,OR(Parametri_v3!$C$6=0,Finanziamenti!$E$11=1)),MIN(Finanziamenti!$C$11,Piano_SS!$C$12*Ipotesi!$C$102),0)</f>
        <v>400000</v>
      </c>
      <c r="CH438" s="15" t="n">
        <f aca="false">IF(AND(AND(8&lt;&gt;8,8&lt;&gt;9,Finanziamenti!$F$10=1,OR(Parametri_v3!$C$6=0,Finanziamenti!$E$10=1)),Motore_Operativo!C438&gt;=Finanziamenti!$D$10,Motore_Operativo!C438&lt;Parametri_v3!$C$63),Finanziamenti!$C$10,0)</f>
        <v>0</v>
      </c>
    </row>
    <row r="439" customFormat="false" ht="18" hidden="false" customHeight="true" outlineLevel="0" collapsed="false">
      <c r="A439" s="68" t="n">
        <f aca="false">8</f>
        <v>8</v>
      </c>
      <c r="B439" s="68" t="n">
        <f aca="false">15</f>
        <v>15</v>
      </c>
      <c r="C439" s="18" t="n">
        <f aca="false">Motore_Operativo!C439</f>
        <v>46813</v>
      </c>
      <c r="D439" s="68" t="n">
        <f aca="false">Motore_Operativo!D439</f>
        <v>2028</v>
      </c>
      <c r="E439" s="68" t="n">
        <f aca="false">Motore_Operativo!E439</f>
        <v>3</v>
      </c>
      <c r="F439" s="15" t="n">
        <f aca="false">Motore_Operativo!AQ439+Motore_Operativo!BF439</f>
        <v>23942.2022250311</v>
      </c>
      <c r="G439" s="15" t="n">
        <f aca="false">Motore_Operativo!BH439</f>
        <v>3398.1220657277</v>
      </c>
      <c r="H439" s="15" t="n">
        <f aca="false">Motore_Operativo!BI439</f>
        <v>27340.3242907588</v>
      </c>
      <c r="I439" s="15" t="n">
        <f aca="false">Motore_Operativo!CA439</f>
        <v>57064.6853068095</v>
      </c>
      <c r="J439" s="15" t="n">
        <f aca="false">Motore_Operativo!CC439</f>
        <v>-29724.3610160507</v>
      </c>
      <c r="K439" s="15" t="n">
        <f aca="false">Motore_Operativo!CE439</f>
        <v>2083.33333333333</v>
      </c>
      <c r="L439" s="15" t="n">
        <f aca="false">SUM(INDEX($K$425:$K$484,MAX(1,15-Parametri_v3!$C$59+1)):K439)/Parametri_v3!$C$59</f>
        <v>729.166666666667</v>
      </c>
      <c r="M439" s="15" t="n">
        <f aca="false">J439-L439</f>
        <v>-30453.5276827174</v>
      </c>
      <c r="N439" s="15" t="n">
        <f aca="false">CD439-(CD438)</f>
        <v>-48.5387189827779</v>
      </c>
      <c r="O439" s="15" t="n">
        <f aca="false">(BG438)*Ipotesi!$C$110/12+CH439*Parametri_v3!$C$39/12</f>
        <v>0</v>
      </c>
      <c r="P439" s="15" t="n">
        <f aca="false">M439+N439-O439</f>
        <v>-30502.0664017001</v>
      </c>
      <c r="Q439" s="15" t="n">
        <f aca="false">SUM(P437:P439)+Parametri_v3!$C$54*3/12</f>
        <v>-84340.9491917166</v>
      </c>
      <c r="R439" s="15" t="n">
        <f aca="false">Z436</f>
        <v>209469.391812865</v>
      </c>
      <c r="S439" s="15" t="n">
        <f aca="false">AA436</f>
        <v>0</v>
      </c>
      <c r="T439" s="15" t="n">
        <f aca="false">MIN(R439,MAX(0,Q439))</f>
        <v>0</v>
      </c>
      <c r="U439" s="15" t="n">
        <f aca="false">MIN(S439,MAX(0,Q439-T439)*Parametri_v3!$C$42)</f>
        <v>0</v>
      </c>
      <c r="V439" s="15" t="n">
        <f aca="false">MAX(0,Q439-T439-U439)*Ipotesi!$C$92</f>
        <v>0</v>
      </c>
      <c r="W439" s="15" t="n">
        <f aca="false">MAX(0,SUM(M437:M439)+Parametri_v3!$C$55*3/12)*Ipotesi!$C$93</f>
        <v>0</v>
      </c>
      <c r="X439" s="15" t="n">
        <f aca="false">V439+W439-(V438+W438)</f>
        <v>0</v>
      </c>
      <c r="Y439" s="15" t="n">
        <f aca="false">P439-X439</f>
        <v>-30502.0664017001</v>
      </c>
      <c r="Z439" s="15" t="n">
        <f aca="false">R439-T439+IF(AND(Parametri_v3!$C$40=1,D439-YEAR(Parametri_v3!$C$50)&lt;Parametri_v3!$C$41),MAX(0,-Q439),0)</f>
        <v>293810.341004582</v>
      </c>
      <c r="AA439" s="15" t="n">
        <f aca="false">S439-U439+IF(AND(Parametri_v3!$C$40=1,D439-YEAR(Parametri_v3!$C$50)&lt;Parametri_v3!$C$41),0,MAX(0,-Q439))</f>
        <v>0</v>
      </c>
      <c r="AB439" s="15" t="n">
        <f aca="false">F439*(1+Parametri_v3!$C$26)</f>
        <v>29209.486714538</v>
      </c>
      <c r="AC439" s="15" t="n">
        <f aca="false">(IF(15-(INT((Motore_Operativo!L439)/30))&lt;1,0,INDEX(Motore_Startup!$AB$425:$AB$484,MAX(1,15-(INT((Motore_Operativo!L439)/30)))))*(1-(MOD((Motore_Operativo!L439),30)/30))+IF(15-(INT((Motore_Operativo!L439)/30))-1&lt;1,0,INDEX(Motore_Startup!$AB$425:$AB$484,MAX(1,15-(INT((Motore_Operativo!L439)/30))-1)))*(MOD((Motore_Operativo!L439),30)/30))</f>
        <v>10110.1851851852</v>
      </c>
      <c r="AD439" s="15" t="n">
        <f aca="false">(AD438)+AB439-AC439</f>
        <v>86314.3180138442</v>
      </c>
      <c r="AE439" s="15" t="n">
        <f aca="false">Motore_Operativo!BH439*(1+Parametri_v3!$C$26)</f>
        <v>4145.70892018779</v>
      </c>
      <c r="AF439" s="15" t="n">
        <f aca="false">(IF(15-(INT((Parametri_v3!$C$29)/30))&lt;1,0,INDEX(Motore_Operativo!$BH$425:$BH$484,MAX(1,15-(INT((Parametri_v3!$C$29)/30)))))*(1-(MOD((Parametri_v3!$C$29),30)/30))+IF(15-(INT((Parametri_v3!$C$29)/30))-1&lt;1,0,INDEX(Motore_Operativo!$BH$425:$BH$484,MAX(1,15-(INT((Parametri_v3!$C$29)/30))-1)))*(MOD((Parametri_v3!$C$29),30)/30))*(1+Parametri_v3!$C$26)</f>
        <v>4145.70892018779</v>
      </c>
      <c r="AG439" s="15" t="n">
        <f aca="false">(AG438)+AE439-AF439</f>
        <v>4145.70892018779</v>
      </c>
      <c r="AH439" s="15" t="n">
        <f aca="false">(Motore_Operativo!CJ439)*(1+Parametri_v3!$C$27*Parametri_v3!$C$26)</f>
        <v>20537.6939591829</v>
      </c>
      <c r="AI439" s="15" t="n">
        <f aca="false">(IF(15-(INT((Ipotesi!$C$91)/30))&lt;1,0,INDEX(Motore_Startup!$AH$425:$AH$484,MAX(1,15-(INT((Ipotesi!$C$91)/30)))))*(1-(MOD((Ipotesi!$C$91),30)/30))+IF(15-(INT((Ipotesi!$C$91)/30))-1&lt;1,0,INDEX(Motore_Startup!$AH$425:$AH$484,MAX(1,15-(INT((Ipotesi!$C$91)/30))-1)))*(MOD((Ipotesi!$C$91),30)/30))</f>
        <v>20418.1834806332</v>
      </c>
      <c r="AJ439" s="15" t="n">
        <f aca="false">(AJ438)+AH439-AI439</f>
        <v>41015.8950041901</v>
      </c>
      <c r="AK439" s="15" t="n">
        <f aca="false">(F439+ Motore_Operativo!BH439-(Motore_Operativo!CJ439)*Parametri_v3!$C$27-Motore_Operativo!CE439)*Parametri_v3!$C$26</f>
        <v>2321.02935826023</v>
      </c>
      <c r="AL439" s="15" t="n">
        <f aca="false">MAX(0,(AM438))</f>
        <v>2251.64124521685</v>
      </c>
      <c r="AM439" s="15" t="n">
        <f aca="false">(AM438)+AK439-AL439</f>
        <v>2321.02935826023</v>
      </c>
      <c r="AN439" s="15" t="n">
        <f aca="false">SUM(X425:X436)</f>
        <v>0</v>
      </c>
      <c r="AO439" s="15" t="n">
        <f aca="false">SUM(AP425:AP436)</f>
        <v>0</v>
      </c>
      <c r="AP439" s="15" t="n">
        <f aca="false">MAX(0,AN439)*IF(3=Parametri_v3!$C$43,Parametri_v3!$C$45,IF(3=Parametri_v3!$C$44,1-Parametri_v3!$C$45,0))</f>
        <v>0</v>
      </c>
      <c r="AQ439" s="15" t="n">
        <f aca="false">MAX(0,AP439+IF(3=Parametri_v3!$C$43,MAX(0,AN439-AO439),0)-MAX(0,-(AR438)))</f>
        <v>0</v>
      </c>
      <c r="AR439" s="15" t="n">
        <f aca="false">(AR438)+X439-AQ439</f>
        <v>0</v>
      </c>
      <c r="AS439" s="15" t="n">
        <f aca="false">Motore_Operativo!AB439-AT439+AU439</f>
        <v>37774.375</v>
      </c>
      <c r="AT439" s="15" t="n">
        <f aca="false">Motore_Operativo!CH439</f>
        <v>1988.125</v>
      </c>
      <c r="AU439" s="15" t="n">
        <f aca="false">MIN(MAX(0,(AV438)+AT439),Parametri_v3!$C$60/12)</f>
        <v>0</v>
      </c>
      <c r="AV439" s="15" t="n">
        <f aca="false">(AV438)+AT439-AU439</f>
        <v>16714.375</v>
      </c>
      <c r="AW439" s="15" t="n">
        <f aca="false">IF(AND(Motore_Operativo!C439=Finanziamenti!$D$6,Finanziamenti!$F$6=1),Finanziamenti!$C$6,0)</f>
        <v>0</v>
      </c>
      <c r="AX439" s="15" t="n">
        <f aca="false">IF(AND(8&lt;&gt;7,8&lt;&gt;9,Finanziamenti!$F$8=1,OR(Parametri_v3!$C$6=0,Finanziamenti!$E$8=1),Motore_Operativo!C439=EDATE(Finanziamenti!$D$8,Ipotesi!J15*12)),Finanziamenti!$C$8*1,0)+IF(AND(8&lt;&gt;7,8&lt;&gt;9,Finanziamenti!$F$9=1,OR(Parametri_v3!$C$6=0,Finanziamenti!$E$9=1),Motore_Operativo!C439=EDATE(Finanziamenti!$D$9,Ipotesi!J15*12)),Finanziamenti!$C$9*Ipotesi!J16,0)</f>
        <v>0</v>
      </c>
      <c r="AY439" s="15" t="n">
        <f aca="false">0</f>
        <v>0</v>
      </c>
      <c r="AZ439" s="15" t="n">
        <f aca="false">Motore_Advisory!AY439*(1-Ipotesi!$C$95)*Ipotesi!$C$96</f>
        <v>0</v>
      </c>
      <c r="BA439" s="15" t="n">
        <f aca="false">MAX(0,MIN(CG439*MIN(1,IF(Motore_Operativo!C439&gt;=EDATE(Finanziamenti!$D$15,Ipotesi!J14*12),Finanziamenti!$C$15,0)+IF(Motore_Operativo!C439&gt;=EDATE(Finanziamenti!$D$16,Ipotesi!J14*12),Finanziamenti!$C$16,0)+IF(Motore_Operativo!C439&gt;=EDATE(Finanziamenti!$D$17,Ipotesi!J14*12),Finanziamenti!$C$17,0)),CA439*Ipotesi!$C$102)-(CC438))</f>
        <v>0</v>
      </c>
      <c r="BB439" s="15" t="n">
        <f aca="false">IF(AND(CF439&gt;0,Motore_Operativo!C439&gt;=IF(CF439=0,0,EDATE(CF439,Parametri_v3!$C$37)),MOD(((D439-YEAR(IF(CF439=0,0,EDATE(CF439,Parametri_v3!$C$37))))*12+E439-MONTH(IF(CF439=0,0,EDATE(CF439,Parametri_v3!$C$37)))),Parametri_v3!$C$38)=0),MIN(MAX(0,(BC438)+BA439-N439),(CC439-CD439)/(Ipotesi!$C$108*12/Parametri_v3!$C$38)),0)</f>
        <v>0</v>
      </c>
      <c r="BC439" s="15" t="n">
        <f aca="false">(BC438)+BA439-N439-BB439</f>
        <v>57904.9481030893</v>
      </c>
      <c r="BD439" s="15" t="n">
        <f aca="false">(BH438)+AC439+AF439-AI439-AS439-K439*(1+Parametri_v3!$C$26)-AL439-AQ439-O439+AW439+AX439+AZ439+BA439-BB439</f>
        <v>-156939.120473075</v>
      </c>
      <c r="BE439" s="15" t="n">
        <f aca="false">MAX(0,MIN(MAX(0,CH439-(BG438)),Parametri_v3!$C$30-BD439))</f>
        <v>0</v>
      </c>
      <c r="BF439" s="15" t="n">
        <f aca="false">IF(Motore_Operativo!C439&gt;=Parametri_v3!$C$63,(BG438),MIN((BG438),MAX(0,BD439-Parametri_v3!$C$30)))</f>
        <v>0</v>
      </c>
      <c r="BG439" s="15" t="n">
        <f aca="false">(BG438)+BE439-BF439</f>
        <v>0</v>
      </c>
      <c r="BH439" s="15" t="n">
        <f aca="false">BD439+BE439-BF439-AY439</f>
        <v>-156939.120473075</v>
      </c>
      <c r="BI439" s="15" t="n">
        <f aca="false">MAX(0,Parametri_v3!$C$30-BH439)</f>
        <v>181939.120473075</v>
      </c>
      <c r="BJ439" s="15" t="n">
        <f aca="false">(BJ438)+K439</f>
        <v>26250</v>
      </c>
      <c r="BK439" s="15" t="n">
        <f aca="false">(BK438)+L439</f>
        <v>5625</v>
      </c>
      <c r="BL439" s="15" t="n">
        <f aca="false">BJ439-BK439</f>
        <v>20625</v>
      </c>
      <c r="BM439" s="15" t="n">
        <f aca="false">(BM438)+Y439</f>
        <v>-293810.341004582</v>
      </c>
      <c r="BN439" s="15" t="n">
        <f aca="false">(BN438)+AW439+AX439+AZ439</f>
        <v>130000</v>
      </c>
      <c r="BO439" s="15" t="n">
        <f aca="false">(BO438)+AY439</f>
        <v>0</v>
      </c>
      <c r="BP439" s="15" t="n">
        <f aca="false">0</f>
        <v>0</v>
      </c>
      <c r="BQ439" s="15" t="n">
        <f aca="false">BN439+BM439-BO439</f>
        <v>-163810.341004582</v>
      </c>
      <c r="BR439" s="15" t="n">
        <f aca="false">BH439+AD439+BL439+MAX(0,-AM439)+MAX(0,-AR439)+AG439</f>
        <v>-45854.0935390425</v>
      </c>
      <c r="BS439" s="15" t="n">
        <f aca="false">AJ439+AV439+MAX(0,AM439)+MAX(0,AR439)+BC439+BG439+BQ439</f>
        <v>-45854.0935390425</v>
      </c>
      <c r="BT439" s="15" t="n">
        <f aca="false">BR439-BS439</f>
        <v>0</v>
      </c>
      <c r="BU439" s="15" t="n">
        <f aca="false">BH439-(BD439+BE439-BF439-AY439)</f>
        <v>0</v>
      </c>
      <c r="BV439" s="15" t="n">
        <f aca="false">MIN(Piano_SS!$C$6,(BV438)+IF(AND(Motore_Operativo!C439&gt;=EDATE(Parametri_v3!$C$24,Ipotesi!J14*12),Motore_Operativo!C439&lt;EDATE(Parametri_v3!$C$24,Parametri_v3!$C$25+Ipotesi!J14*12)),MAX(0,(Motore_Operativo!Y439+Motore_Operativo!X439*Parametri_v3!$C$14)*(1-Parametri_v3!$C$32))*Piano_SS!$D$6,0))</f>
        <v>65193.75</v>
      </c>
      <c r="BW439" s="15" t="n">
        <f aca="false">MIN(Piano_SS!$C$7,(BW438)+IF(AND(Motore_Operativo!C439&gt;=EDATE(Parametri_v3!$C$24,Ipotesi!J14*12),Motore_Operativo!C439&lt;EDATE(Parametri_v3!$C$24,Parametri_v3!$C$25+Ipotesi!J14*12)),MAX(0,(IF(15-(INT((Ipotesi!$C$91)/30))&lt;1,0,INDEX(Motore_Operativo!$BN$425:$BN$484,MAX(1,15-(INT((Ipotesi!$C$91)/30)))))*(1-(MOD((Ipotesi!$C$91),30)/30))+IF(15-(INT((Ipotesi!$C$91)/30))-1&lt;1,0,INDEX(Motore_Operativo!$BN$425:$BN$484,MAX(1,15-(INT((Ipotesi!$C$91)/30))-1)))*(MOD((Ipotesi!$C$91),30)/30)))*Piano_SS!$D$7,0))</f>
        <v>11694.1394481586</v>
      </c>
      <c r="BX439" s="15" t="n">
        <f aca="false">MIN(Piano_SS!$C$8,(BX438)+IF(AND(Motore_Operativo!C439&gt;=EDATE(Parametri_v3!$C$24,Ipotesi!J14*12),Motore_Operativo!C439&lt;EDATE(Parametri_v3!$C$24,Parametri_v3!$C$25+Ipotesi!J14*12)),MAX(0,Motore_Operativo!CE439)*Piano_SS!$D$8,0))</f>
        <v>16250</v>
      </c>
      <c r="BY439" s="15" t="n">
        <f aca="false">MIN(Piano_SS!$C$9,(BY438)+IF(AND(Motore_Operativo!C439&gt;=EDATE(Parametri_v3!$C$24,Ipotesi!J14*12),Motore_Operativo!C439&lt;EDATE(Parametri_v3!$C$24,Parametri_v3!$C$25+Ipotesi!J14*12)),MAX(0,((IF(15-(INT((Ipotesi!$C$91)/30))&lt;1,0,INDEX(Motore_Operativo!$BQ$425:$BQ$484,MAX(1,15-(INT((Ipotesi!$C$91)/30)))))*(1-(MOD((Ipotesi!$C$91),30)/30))+IF(15-(INT((Ipotesi!$C$91)/30))-1&lt;1,0,INDEX(Motore_Operativo!$BQ$425:$BQ$484,MAX(1,15-(INT((Ipotesi!$C$91)/30))-1)))*(MOD((Ipotesi!$C$91),30)/30))+(IF(15-(INT((Ipotesi!$C$91)/30))&lt;1,0,INDEX(Motore_Operativo!$BR$425:$BR$484,MAX(1,15-(INT((Ipotesi!$C$91)/30)))))*(1-(MOD((Ipotesi!$C$91),30)/30))+IF(15-(INT((Ipotesi!$C$91)/30))-1&lt;1,0,INDEX(Motore_Operativo!$BR$425:$BR$484,MAX(1,15-(INT((Ipotesi!$C$91)/30))-1)))*(MOD((Ipotesi!$C$91),30)/30))))*Piano_SS!$D$9,0))</f>
        <v>20916.6666666667</v>
      </c>
      <c r="BZ439" s="15" t="n">
        <f aca="false">MIN(Piano_SS!$C$10,(BZ438)+IF(AND(Motore_Operativo!C439&gt;=EDATE(Parametri_v3!$C$24,Ipotesi!J14*12),Motore_Operativo!C439&lt;EDATE(Parametri_v3!$C$24,Parametri_v3!$C$25+Ipotesi!J14*12)),MAX(0,(IF(15-(INT((Ipotesi!$C$91)/30))&lt;1,0,INDEX(Motore_Operativo!$BO$425:$BO$484,MAX(1,15-(INT((Ipotesi!$C$91)/30)))))*(1-(MOD((Ipotesi!$C$91),30)/30))+IF(15-(INT((Ipotesi!$C$91)/30))-1&lt;1,0,INDEX(Motore_Operativo!$BO$425:$BO$484,MAX(1,15-(INT((Ipotesi!$C$91)/30))-1)))*(MOD((Ipotesi!$C$91),30)/30)))*Piano_SS!$D$10,0))</f>
        <v>9833.33333333333</v>
      </c>
      <c r="CA439" s="15" t="n">
        <f aca="false">SUM(BV439:BZ439)</f>
        <v>123887.889448159</v>
      </c>
      <c r="CB439" s="15" t="n">
        <f aca="false">BV439*(1-Piano_SS!$E$6)+BW439*(1-Piano_SS!$E$7)+BX439*(1-Piano_SS!$E$8)+BY439*(1-Piano_SS!$E$9)+BZ439*(1-Piano_SS!$E$10)</f>
        <v>114054.556114825</v>
      </c>
      <c r="CC439" s="15" t="n">
        <f aca="false">(CC438)+BA439</f>
        <v>80000</v>
      </c>
      <c r="CD439" s="15" t="n">
        <f aca="false">IF(CA439=0,0,CC439*CB439/CA439*Ipotesi!$C$103*Parametri_v3!$C$64)</f>
        <v>22095.0518969108</v>
      </c>
      <c r="CE439" s="18" t="n">
        <f aca="false">IF(BA439&gt;0,Motore_Operativo!C439,(CE438))</f>
        <v>46784</v>
      </c>
      <c r="CF439" s="18" t="n">
        <f aca="false">IF(AND(CC439&gt;0,OR(CC439&gt;=CG439-0.01,Motore_Operativo!C439&gt;=EDATE(MAX(Finanziamenti!$D$15:$D$17),Ipotesi!J14*12))),CE439,0)</f>
        <v>0</v>
      </c>
      <c r="CG439" s="15" t="n">
        <f aca="false">IF(AND(8&lt;&gt;6,8&lt;&gt;9,Finanziamenti!$F$11=1,OR(Parametri_v3!$C$6=0,Finanziamenti!$E$11=1)),MIN(Finanziamenti!$C$11,Piano_SS!$C$12*Ipotesi!$C$102),0)</f>
        <v>400000</v>
      </c>
      <c r="CH439" s="15" t="n">
        <f aca="false">IF(AND(AND(8&lt;&gt;8,8&lt;&gt;9,Finanziamenti!$F$10=1,OR(Parametri_v3!$C$6=0,Finanziamenti!$E$10=1)),Motore_Operativo!C439&gt;=Finanziamenti!$D$10,Motore_Operativo!C439&lt;Parametri_v3!$C$63),Finanziamenti!$C$10,0)</f>
        <v>0</v>
      </c>
    </row>
    <row r="440" customFormat="false" ht="18" hidden="false" customHeight="true" outlineLevel="0" collapsed="false">
      <c r="A440" s="68" t="n">
        <f aca="false">8</f>
        <v>8</v>
      </c>
      <c r="B440" s="68" t="n">
        <f aca="false">16</f>
        <v>16</v>
      </c>
      <c r="C440" s="18" t="n">
        <f aca="false">Motore_Operativo!C440</f>
        <v>46844</v>
      </c>
      <c r="D440" s="68" t="n">
        <f aca="false">Motore_Operativo!D440</f>
        <v>2028</v>
      </c>
      <c r="E440" s="68" t="n">
        <f aca="false">Motore_Operativo!E440</f>
        <v>4</v>
      </c>
      <c r="F440" s="15" t="n">
        <f aca="false">Motore_Operativo!AQ440+Motore_Operativo!BF440</f>
        <v>24588.3602789749</v>
      </c>
      <c r="G440" s="15" t="n">
        <f aca="false">Motore_Operativo!BH440</f>
        <v>3398.1220657277</v>
      </c>
      <c r="H440" s="15" t="n">
        <f aca="false">Motore_Operativo!BI440</f>
        <v>27986.4823447026</v>
      </c>
      <c r="I440" s="15" t="n">
        <f aca="false">Motore_Operativo!CA440</f>
        <v>57155.1474343617</v>
      </c>
      <c r="J440" s="15" t="n">
        <f aca="false">Motore_Operativo!CC440</f>
        <v>-29168.665089659</v>
      </c>
      <c r="K440" s="15" t="n">
        <f aca="false">Motore_Operativo!CE440</f>
        <v>2083.33333333333</v>
      </c>
      <c r="L440" s="15" t="n">
        <f aca="false">SUM(INDEX($K$425:$K$484,MAX(1,16-Parametri_v3!$C$59+1)):K440)/Parametri_v3!$C$59</f>
        <v>787.037037037037</v>
      </c>
      <c r="M440" s="15" t="n">
        <f aca="false">J440-L440</f>
        <v>-29955.7021266961</v>
      </c>
      <c r="N440" s="15" t="n">
        <f aca="false">CD440-(CD439)</f>
        <v>-34.3893019331663</v>
      </c>
      <c r="O440" s="15" t="n">
        <f aca="false">(BG439)*Ipotesi!$C$110/12+CH440*Parametri_v3!$C$39/12</f>
        <v>0</v>
      </c>
      <c r="P440" s="15" t="n">
        <f aca="false">M440+N440-O440</f>
        <v>-29990.0914286292</v>
      </c>
      <c r="Q440" s="15" t="n">
        <f aca="false">SUM(P437:P440)+Parametri_v3!$C$54*4/12</f>
        <v>-114331.040620346</v>
      </c>
      <c r="R440" s="15" t="n">
        <f aca="false">Z436</f>
        <v>209469.391812865</v>
      </c>
      <c r="S440" s="15" t="n">
        <f aca="false">AA436</f>
        <v>0</v>
      </c>
      <c r="T440" s="15" t="n">
        <f aca="false">MIN(R440,MAX(0,Q440))</f>
        <v>0</v>
      </c>
      <c r="U440" s="15" t="n">
        <f aca="false">MIN(S440,MAX(0,Q440-T440)*Parametri_v3!$C$42)</f>
        <v>0</v>
      </c>
      <c r="V440" s="15" t="n">
        <f aca="false">MAX(0,Q440-T440-U440)*Ipotesi!$C$92</f>
        <v>0</v>
      </c>
      <c r="W440" s="15" t="n">
        <f aca="false">MAX(0,SUM(M437:M440)+Parametri_v3!$C$55*4/12)*Ipotesi!$C$93</f>
        <v>0</v>
      </c>
      <c r="X440" s="15" t="n">
        <f aca="false">V440+W440-(V439+W439)</f>
        <v>0</v>
      </c>
      <c r="Y440" s="15" t="n">
        <f aca="false">P440-X440</f>
        <v>-29990.0914286292</v>
      </c>
      <c r="Z440" s="15" t="n">
        <f aca="false">R440-T440+IF(AND(Parametri_v3!$C$40=1,D440-YEAR(Parametri_v3!$C$50)&lt;Parametri_v3!$C$41),MAX(0,-Q440),0)</f>
        <v>323800.432433211</v>
      </c>
      <c r="AA440" s="15" t="n">
        <f aca="false">S440-U440+IF(AND(Parametri_v3!$C$40=1,D440-YEAR(Parametri_v3!$C$50)&lt;Parametri_v3!$C$41),0,MAX(0,-Q440))</f>
        <v>0</v>
      </c>
      <c r="AB440" s="15" t="n">
        <f aca="false">F440*(1+Parametri_v3!$C$26)</f>
        <v>29997.7995403494</v>
      </c>
      <c r="AC440" s="15" t="n">
        <f aca="false">(IF(16-(INT((Motore_Operativo!L440)/30))&lt;1,0,INDEX(Motore_Startup!$AB$425:$AB$484,MAX(1,16-(INT((Motore_Operativo!L440)/30)))))*(1-(MOD((Motore_Operativo!L440),30)/30))+IF(16-(INT((Motore_Operativo!L440)/30))-1&lt;1,0,INDEX(Motore_Startup!$AB$425:$AB$484,MAX(1,16-(INT((Motore_Operativo!L440)/30))-1)))*(MOD((Motore_Operativo!L440),30)/30))</f>
        <v>28332.1080658998</v>
      </c>
      <c r="AD440" s="15" t="n">
        <f aca="false">(AD439)+AB440-AC440</f>
        <v>87980.0094882938</v>
      </c>
      <c r="AE440" s="15" t="n">
        <f aca="false">Motore_Operativo!BH440*(1+Parametri_v3!$C$26)</f>
        <v>4145.70892018779</v>
      </c>
      <c r="AF440" s="15" t="n">
        <f aca="false">(IF(16-(INT((Parametri_v3!$C$29)/30))&lt;1,0,INDEX(Motore_Operativo!$BH$425:$BH$484,MAX(1,16-(INT((Parametri_v3!$C$29)/30)))))*(1-(MOD((Parametri_v3!$C$29),30)/30))+IF(16-(INT((Parametri_v3!$C$29)/30))-1&lt;1,0,INDEX(Motore_Operativo!$BH$425:$BH$484,MAX(1,16-(INT((Parametri_v3!$C$29)/30))-1)))*(MOD((Parametri_v3!$C$29),30)/30))*(1+Parametri_v3!$C$26)</f>
        <v>4145.70892018779</v>
      </c>
      <c r="AG440" s="15" t="n">
        <f aca="false">(AG439)+AE440-AF440</f>
        <v>4145.70892018779</v>
      </c>
      <c r="AH440" s="15" t="n">
        <f aca="false">(Motore_Operativo!CJ440)*(1+Parametri_v3!$C$27*Parametri_v3!$C$26)</f>
        <v>20645.0725045873</v>
      </c>
      <c r="AI440" s="15" t="n">
        <f aca="false">(IF(16-(INT((Ipotesi!$C$91)/30))&lt;1,0,INDEX(Motore_Startup!$AH$425:$AH$484,MAX(1,16-(INT((Ipotesi!$C$91)/30)))))*(1-(MOD((Ipotesi!$C$91),30)/30))+IF(16-(INT((Ipotesi!$C$91)/30))-1&lt;1,0,INDEX(Motore_Startup!$AH$425:$AH$484,MAX(1,16-(INT((Ipotesi!$C$91)/30))-1)))*(MOD((Ipotesi!$C$91),30)/30))</f>
        <v>20478.2010450071</v>
      </c>
      <c r="AJ440" s="15" t="n">
        <f aca="false">(AJ439)+AH440-AI440</f>
        <v>41182.7664637702</v>
      </c>
      <c r="AK440" s="15" t="n">
        <f aca="false">(F440+ Motore_Operativo!BH440-(Motore_Operativo!CJ440)*Parametri_v3!$C$27-Motore_Operativo!CE440)*Parametri_v3!$C$26</f>
        <v>2446.26771227562</v>
      </c>
      <c r="AL440" s="15" t="n">
        <f aca="false">MAX(0,(AM439))</f>
        <v>2321.02935826023</v>
      </c>
      <c r="AM440" s="15" t="n">
        <f aca="false">(AM439)+AK440-AL440</f>
        <v>2446.26771227562</v>
      </c>
      <c r="AN440" s="15" t="n">
        <f aca="false">SUM(X425:X436)</f>
        <v>0</v>
      </c>
      <c r="AO440" s="15" t="n">
        <f aca="false">SUM(AP425:AP436)</f>
        <v>0</v>
      </c>
      <c r="AP440" s="15" t="n">
        <f aca="false">MAX(0,AN440)*IF(4=Parametri_v3!$C$43,Parametri_v3!$C$45,IF(4=Parametri_v3!$C$44,1-Parametri_v3!$C$45,0))</f>
        <v>0</v>
      </c>
      <c r="AQ440" s="15" t="n">
        <f aca="false">MAX(0,AP440+IF(4=Parametri_v3!$C$43,MAX(0,AN440-AO440),0)-MAX(0,-(AR439)))</f>
        <v>0</v>
      </c>
      <c r="AR440" s="15" t="n">
        <f aca="false">(AR439)+X440-AQ440</f>
        <v>0</v>
      </c>
      <c r="AS440" s="15" t="n">
        <f aca="false">Motore_Operativo!AB440-AT440+AU440</f>
        <v>37774.375</v>
      </c>
      <c r="AT440" s="15" t="n">
        <f aca="false">Motore_Operativo!CH440</f>
        <v>1988.125</v>
      </c>
      <c r="AU440" s="15" t="n">
        <f aca="false">MIN(MAX(0,(AV439)+AT440),Parametri_v3!$C$60/12)</f>
        <v>0</v>
      </c>
      <c r="AV440" s="15" t="n">
        <f aca="false">(AV439)+AT440-AU440</f>
        <v>18702.5</v>
      </c>
      <c r="AW440" s="15" t="n">
        <f aca="false">IF(AND(Motore_Operativo!C440=Finanziamenti!$D$6,Finanziamenti!$F$6=1),Finanziamenti!$C$6,0)</f>
        <v>0</v>
      </c>
      <c r="AX440" s="15" t="n">
        <f aca="false">IF(AND(8&lt;&gt;7,8&lt;&gt;9,Finanziamenti!$F$8=1,OR(Parametri_v3!$C$6=0,Finanziamenti!$E$8=1),Motore_Operativo!C440=EDATE(Finanziamenti!$D$8,Ipotesi!J15*12)),Finanziamenti!$C$8*1,0)+IF(AND(8&lt;&gt;7,8&lt;&gt;9,Finanziamenti!$F$9=1,OR(Parametri_v3!$C$6=0,Finanziamenti!$E$9=1),Motore_Operativo!C440=EDATE(Finanziamenti!$D$9,Ipotesi!J15*12)),Finanziamenti!$C$9*Ipotesi!J16,0)</f>
        <v>0</v>
      </c>
      <c r="AY440" s="15" t="n">
        <f aca="false">0</f>
        <v>0</v>
      </c>
      <c r="AZ440" s="15" t="n">
        <f aca="false">Motore_Advisory!AY440*(1-Ipotesi!$C$95)*Ipotesi!$C$96</f>
        <v>0</v>
      </c>
      <c r="BA440" s="15" t="n">
        <f aca="false">MAX(0,MIN(CG440*MIN(1,IF(Motore_Operativo!C440&gt;=EDATE(Finanziamenti!$D$15,Ipotesi!J14*12),Finanziamenti!$C$15,0)+IF(Motore_Operativo!C440&gt;=EDATE(Finanziamenti!$D$16,Ipotesi!J14*12),Finanziamenti!$C$16,0)+IF(Motore_Operativo!C440&gt;=EDATE(Finanziamenti!$D$17,Ipotesi!J14*12),Finanziamenti!$C$17,0)),CA440*Ipotesi!$C$102)-(CC439))</f>
        <v>0</v>
      </c>
      <c r="BB440" s="15" t="n">
        <f aca="false">IF(AND(CF440&gt;0,Motore_Operativo!C440&gt;=IF(CF440=0,0,EDATE(CF440,Parametri_v3!$C$37)),MOD(((D440-YEAR(IF(CF440=0,0,EDATE(CF440,Parametri_v3!$C$37))))*12+E440-MONTH(IF(CF440=0,0,EDATE(CF440,Parametri_v3!$C$37)))),Parametri_v3!$C$38)=0),MIN(MAX(0,(BC439)+BA440-N440),(CC440-CD440)/(Ipotesi!$C$108*12/Parametri_v3!$C$38)),0)</f>
        <v>0</v>
      </c>
      <c r="BC440" s="15" t="n">
        <f aca="false">(BC439)+BA440-N440-BB440</f>
        <v>57939.3374050224</v>
      </c>
      <c r="BD440" s="15" t="n">
        <f aca="false">(BH439)+AC440+AF440-AI440-AS440-K440*(1+Parametri_v3!$C$26)-AL440-AQ440-O440+AW440+AX440+AZ440+BA440-BB440</f>
        <v>-187576.575556921</v>
      </c>
      <c r="BE440" s="15" t="n">
        <f aca="false">MAX(0,MIN(MAX(0,CH440-(BG439)),Parametri_v3!$C$30-BD440))</f>
        <v>0</v>
      </c>
      <c r="BF440" s="15" t="n">
        <f aca="false">IF(Motore_Operativo!C440&gt;=Parametri_v3!$C$63,(BG439),MIN((BG439),MAX(0,BD440-Parametri_v3!$C$30)))</f>
        <v>0</v>
      </c>
      <c r="BG440" s="15" t="n">
        <f aca="false">(BG439)+BE440-BF440</f>
        <v>0</v>
      </c>
      <c r="BH440" s="15" t="n">
        <f aca="false">BD440+BE440-BF440-AY440</f>
        <v>-187576.575556921</v>
      </c>
      <c r="BI440" s="15" t="n">
        <f aca="false">MAX(0,Parametri_v3!$C$30-BH440)</f>
        <v>212576.575556921</v>
      </c>
      <c r="BJ440" s="15" t="n">
        <f aca="false">(BJ439)+K440</f>
        <v>28333.3333333333</v>
      </c>
      <c r="BK440" s="15" t="n">
        <f aca="false">(BK439)+L440</f>
        <v>6412.03703703704</v>
      </c>
      <c r="BL440" s="15" t="n">
        <f aca="false">BJ440-BK440</f>
        <v>21921.2962962963</v>
      </c>
      <c r="BM440" s="15" t="n">
        <f aca="false">(BM439)+Y440</f>
        <v>-323800.432433211</v>
      </c>
      <c r="BN440" s="15" t="n">
        <f aca="false">(BN439)+AW440+AX440+AZ440</f>
        <v>130000</v>
      </c>
      <c r="BO440" s="15" t="n">
        <f aca="false">(BO439)+AY440</f>
        <v>0</v>
      </c>
      <c r="BP440" s="15" t="n">
        <f aca="false">0</f>
        <v>0</v>
      </c>
      <c r="BQ440" s="15" t="n">
        <f aca="false">BN440+BM440-BO440</f>
        <v>-193800.432433211</v>
      </c>
      <c r="BR440" s="15" t="n">
        <f aca="false">BH440+AD440+BL440+MAX(0,-AM440)+MAX(0,-AR440)+AG440</f>
        <v>-73529.560852143</v>
      </c>
      <c r="BS440" s="15" t="n">
        <f aca="false">AJ440+AV440+MAX(0,AM440)+MAX(0,AR440)+BC440+BG440+BQ440</f>
        <v>-73529.560852143</v>
      </c>
      <c r="BT440" s="15" t="n">
        <f aca="false">BR440-BS440</f>
        <v>0</v>
      </c>
      <c r="BU440" s="15" t="n">
        <f aca="false">BH440-(BD440+BE440-BF440-AY440)</f>
        <v>0</v>
      </c>
      <c r="BV440" s="15" t="n">
        <f aca="false">MIN(Piano_SS!$C$6,(BV439)+IF(AND(Motore_Operativo!C440&gt;=EDATE(Parametri_v3!$C$24,Ipotesi!J14*12),Motore_Operativo!C440&lt;EDATE(Parametri_v3!$C$24,Parametri_v3!$C$25+Ipotesi!J14*12)),MAX(0,(Motore_Operativo!Y440+Motore_Operativo!X440*Parametri_v3!$C$14)*(1-Parametri_v3!$C$32))*Piano_SS!$D$6,0))</f>
        <v>77425</v>
      </c>
      <c r="BW440" s="15" t="n">
        <f aca="false">MIN(Piano_SS!$C$7,(BW439)+IF(AND(Motore_Operativo!C440&gt;=EDATE(Parametri_v3!$C$24,Ipotesi!J14*12),Motore_Operativo!C440&lt;EDATE(Parametri_v3!$C$24,Parametri_v3!$C$25+Ipotesi!J14*12)),MAX(0,(IF(16-(INT((Ipotesi!$C$91)/30))&lt;1,0,INDEX(Motore_Operativo!$BN$425:$BN$484,MAX(1,16-(INT((Ipotesi!$C$91)/30)))))*(1-(MOD((Ipotesi!$C$91),30)/30))+IF(16-(INT((Ipotesi!$C$91)/30))-1&lt;1,0,INDEX(Motore_Operativo!$BN$425:$BN$484,MAX(1,16-(INT((Ipotesi!$C$91)/30))-1)))*(MOD((Ipotesi!$C$91),30)/30)))*Piano_SS!$D$7,0))</f>
        <v>13120.8753978901</v>
      </c>
      <c r="BX440" s="15" t="n">
        <f aca="false">MIN(Piano_SS!$C$8,(BX439)+IF(AND(Motore_Operativo!C440&gt;=EDATE(Parametri_v3!$C$24,Ipotesi!J14*12),Motore_Operativo!C440&lt;EDATE(Parametri_v3!$C$24,Parametri_v3!$C$25+Ipotesi!J14*12)),MAX(0,Motore_Operativo!CE440)*Piano_SS!$D$8,0))</f>
        <v>18333.3333333333</v>
      </c>
      <c r="BY440" s="15" t="n">
        <f aca="false">MIN(Piano_SS!$C$9,(BY439)+IF(AND(Motore_Operativo!C440&gt;=EDATE(Parametri_v3!$C$24,Ipotesi!J14*12),Motore_Operativo!C440&lt;EDATE(Parametri_v3!$C$24,Parametri_v3!$C$25+Ipotesi!J14*12)),MAX(0,((IF(16-(INT((Ipotesi!$C$91)/30))&lt;1,0,INDEX(Motore_Operativo!$BQ$425:$BQ$484,MAX(1,16-(INT((Ipotesi!$C$91)/30)))))*(1-(MOD((Ipotesi!$C$91),30)/30))+IF(16-(INT((Ipotesi!$C$91)/30))-1&lt;1,0,INDEX(Motore_Operativo!$BQ$425:$BQ$484,MAX(1,16-(INT((Ipotesi!$C$91)/30))-1)))*(MOD((Ipotesi!$C$91),30)/30))+(IF(16-(INT((Ipotesi!$C$91)/30))&lt;1,0,INDEX(Motore_Operativo!$BR$425:$BR$484,MAX(1,16-(INT((Ipotesi!$C$91)/30)))))*(1-(MOD((Ipotesi!$C$91),30)/30))+IF(16-(INT((Ipotesi!$C$91)/30))-1&lt;1,0,INDEX(Motore_Operativo!$BR$425:$BR$484,MAX(1,16-(INT((Ipotesi!$C$91)/30))-1)))*(MOD((Ipotesi!$C$91),30)/30))))*Piano_SS!$D$9,0))</f>
        <v>23833.3333333333</v>
      </c>
      <c r="BZ440" s="15" t="n">
        <f aca="false">MIN(Piano_SS!$C$10,(BZ439)+IF(AND(Motore_Operativo!C440&gt;=EDATE(Parametri_v3!$C$24,Ipotesi!J14*12),Motore_Operativo!C440&lt;EDATE(Parametri_v3!$C$24,Parametri_v3!$C$25+Ipotesi!J14*12)),MAX(0,(IF(16-(INT((Ipotesi!$C$91)/30))&lt;1,0,INDEX(Motore_Operativo!$BO$425:$BO$484,MAX(1,16-(INT((Ipotesi!$C$91)/30)))))*(1-(MOD((Ipotesi!$C$91),30)/30))+IF(16-(INT((Ipotesi!$C$91)/30))-1&lt;1,0,INDEX(Motore_Operativo!$BO$425:$BO$484,MAX(1,16-(INT((Ipotesi!$C$91)/30))-1)))*(MOD((Ipotesi!$C$91),30)/30)))*Piano_SS!$D$10,0))</f>
        <v>11666.6666666667</v>
      </c>
      <c r="CA440" s="15" t="n">
        <f aca="false">SUM(BV440:BZ440)</f>
        <v>144379.208731223</v>
      </c>
      <c r="CB440" s="15" t="n">
        <f aca="false">BV440*(1-Piano_SS!$E$6)+BW440*(1-Piano_SS!$E$7)+BX440*(1-Piano_SS!$E$8)+BY440*(1-Piano_SS!$E$9)+BZ440*(1-Piano_SS!$E$10)</f>
        <v>132712.542064557</v>
      </c>
      <c r="CC440" s="15" t="n">
        <f aca="false">(CC439)+BA440</f>
        <v>80000</v>
      </c>
      <c r="CD440" s="15" t="n">
        <f aca="false">IF(CA440=0,0,CC440*CB440/CA440*Ipotesi!$C$103*Parametri_v3!$C$64)</f>
        <v>22060.6625949776</v>
      </c>
      <c r="CE440" s="18" t="n">
        <f aca="false">IF(BA440&gt;0,Motore_Operativo!C440,(CE439))</f>
        <v>46784</v>
      </c>
      <c r="CF440" s="18" t="n">
        <f aca="false">IF(AND(CC440&gt;0,OR(CC440&gt;=CG440-0.01,Motore_Operativo!C440&gt;=EDATE(MAX(Finanziamenti!$D$15:$D$17),Ipotesi!J14*12))),CE440,0)</f>
        <v>0</v>
      </c>
      <c r="CG440" s="15" t="n">
        <f aca="false">IF(AND(8&lt;&gt;6,8&lt;&gt;9,Finanziamenti!$F$11=1,OR(Parametri_v3!$C$6=0,Finanziamenti!$E$11=1)),MIN(Finanziamenti!$C$11,Piano_SS!$C$12*Ipotesi!$C$102),0)</f>
        <v>400000</v>
      </c>
      <c r="CH440" s="15" t="n">
        <f aca="false">IF(AND(AND(8&lt;&gt;8,8&lt;&gt;9,Finanziamenti!$F$10=1,OR(Parametri_v3!$C$6=0,Finanziamenti!$E$10=1)),Motore_Operativo!C440&gt;=Finanziamenti!$D$10,Motore_Operativo!C440&lt;Parametri_v3!$C$63),Finanziamenti!$C$10,0)</f>
        <v>0</v>
      </c>
    </row>
    <row r="441" customFormat="false" ht="18" hidden="false" customHeight="true" outlineLevel="0" collapsed="false">
      <c r="A441" s="68" t="n">
        <f aca="false">8</f>
        <v>8</v>
      </c>
      <c r="B441" s="68" t="n">
        <f aca="false">17</f>
        <v>17</v>
      </c>
      <c r="C441" s="18" t="n">
        <f aca="false">Motore_Operativo!C441</f>
        <v>46874</v>
      </c>
      <c r="D441" s="68" t="n">
        <f aca="false">Motore_Operativo!D441</f>
        <v>2028</v>
      </c>
      <c r="E441" s="68" t="n">
        <f aca="false">Motore_Operativo!E441</f>
        <v>5</v>
      </c>
      <c r="F441" s="15" t="n">
        <f aca="false">Motore_Operativo!AQ441+Motore_Operativo!BF441</f>
        <v>25520.1545928181</v>
      </c>
      <c r="G441" s="15" t="n">
        <f aca="false">Motore_Operativo!BH441</f>
        <v>3398.1220657277</v>
      </c>
      <c r="H441" s="15" t="n">
        <f aca="false">Motore_Operativo!BI441</f>
        <v>28918.2766585458</v>
      </c>
      <c r="I441" s="15" t="n">
        <f aca="false">Motore_Operativo!CA441</f>
        <v>57285.5986382997</v>
      </c>
      <c r="J441" s="15" t="n">
        <f aca="false">Motore_Operativo!CC441</f>
        <v>-28367.3219797539</v>
      </c>
      <c r="K441" s="15" t="n">
        <f aca="false">Motore_Operativo!CE441</f>
        <v>2083.33333333333</v>
      </c>
      <c r="L441" s="15" t="n">
        <f aca="false">SUM(INDEX($K$425:$K$484,MAX(1,17-Parametri_v3!$C$59+1)):K441)/Parametri_v3!$C$59</f>
        <v>844.907407407407</v>
      </c>
      <c r="M441" s="15" t="n">
        <f aca="false">J441-L441</f>
        <v>-29212.2293871613</v>
      </c>
      <c r="N441" s="15" t="n">
        <f aca="false">CD441-(CD440)</f>
        <v>-25.4996736183384</v>
      </c>
      <c r="O441" s="15" t="n">
        <f aca="false">(BG440)*Ipotesi!$C$110/12+CH441*Parametri_v3!$C$39/12</f>
        <v>0</v>
      </c>
      <c r="P441" s="15" t="n">
        <f aca="false">M441+N441-O441</f>
        <v>-29237.7290607796</v>
      </c>
      <c r="Q441" s="15" t="n">
        <f aca="false">SUM(P437:P441)+Parametri_v3!$C$54*5/12</f>
        <v>-143568.769681125</v>
      </c>
      <c r="R441" s="15" t="n">
        <f aca="false">Z436</f>
        <v>209469.391812865</v>
      </c>
      <c r="S441" s="15" t="n">
        <f aca="false">AA436</f>
        <v>0</v>
      </c>
      <c r="T441" s="15" t="n">
        <f aca="false">MIN(R441,MAX(0,Q441))</f>
        <v>0</v>
      </c>
      <c r="U441" s="15" t="n">
        <f aca="false">MIN(S441,MAX(0,Q441-T441)*Parametri_v3!$C$42)</f>
        <v>0</v>
      </c>
      <c r="V441" s="15" t="n">
        <f aca="false">MAX(0,Q441-T441-U441)*Ipotesi!$C$92</f>
        <v>0</v>
      </c>
      <c r="W441" s="15" t="n">
        <f aca="false">MAX(0,SUM(M437:M441)+Parametri_v3!$C$55*5/12)*Ipotesi!$C$93</f>
        <v>0</v>
      </c>
      <c r="X441" s="15" t="n">
        <f aca="false">V441+W441-(V440+W440)</f>
        <v>0</v>
      </c>
      <c r="Y441" s="15" t="n">
        <f aca="false">P441-X441</f>
        <v>-29237.7290607796</v>
      </c>
      <c r="Z441" s="15" t="n">
        <f aca="false">R441-T441+IF(AND(Parametri_v3!$C$40=1,D441-YEAR(Parametri_v3!$C$50)&lt;Parametri_v3!$C$41),MAX(0,-Q441),0)</f>
        <v>353038.161493991</v>
      </c>
      <c r="AA441" s="15" t="n">
        <f aca="false">S441-U441+IF(AND(Parametri_v3!$C$40=1,D441-YEAR(Parametri_v3!$C$50)&lt;Parametri_v3!$C$41),0,MAX(0,-Q441))</f>
        <v>0</v>
      </c>
      <c r="AB441" s="15" t="n">
        <f aca="false">F441*(1+Parametri_v3!$C$26)</f>
        <v>31134.5886032381</v>
      </c>
      <c r="AC441" s="15" t="n">
        <f aca="false">(IF(17-(INT((Motore_Operativo!L441)/30))&lt;1,0,INDEX(Motore_Startup!$AB$425:$AB$484,MAX(1,17-(INT((Motore_Operativo!L441)/30)))))*(1-(MOD((Motore_Operativo!L441),30)/30))+IF(17-(INT((Motore_Operativo!L441)/30))-1&lt;1,0,INDEX(Motore_Startup!$AB$425:$AB$484,MAX(1,17-(INT((Motore_Operativo!L441)/30))-1)))*(MOD((Motore_Operativo!L441),30)/30))</f>
        <v>28772.7232334064</v>
      </c>
      <c r="AD441" s="15" t="n">
        <f aca="false">(AD440)+AB441-AC441</f>
        <v>90341.8748581255</v>
      </c>
      <c r="AE441" s="15" t="n">
        <f aca="false">Motore_Operativo!BH441*(1+Parametri_v3!$C$26)</f>
        <v>4145.70892018779</v>
      </c>
      <c r="AF441" s="15" t="n">
        <f aca="false">(IF(17-(INT((Parametri_v3!$C$29)/30))&lt;1,0,INDEX(Motore_Operativo!$BH$425:$BH$484,MAX(1,17-(INT((Parametri_v3!$C$29)/30)))))*(1-(MOD((Parametri_v3!$C$29),30)/30))+IF(17-(INT((Parametri_v3!$C$29)/30))-1&lt;1,0,INDEX(Motore_Operativo!$BH$425:$BH$484,MAX(1,17-(INT((Parametri_v3!$C$29)/30))-1)))*(MOD((Parametri_v3!$C$29),30)/30))*(1+Parametri_v3!$C$26)</f>
        <v>4145.70892018779</v>
      </c>
      <c r="AG441" s="15" t="n">
        <f aca="false">(AG440)+AE441-AF441</f>
        <v>4145.70892018779</v>
      </c>
      <c r="AH441" s="15" t="n">
        <f aca="false">(Motore_Operativo!CJ441)*(1+Parametri_v3!$C$27*Parametri_v3!$C$26)</f>
        <v>20799.9180836617</v>
      </c>
      <c r="AI441" s="15" t="n">
        <f aca="false">(IF(17-(INT((Ipotesi!$C$91)/30))&lt;1,0,INDEX(Motore_Startup!$AH$425:$AH$484,MAX(1,17-(INT((Ipotesi!$C$91)/30)))))*(1-(MOD((Ipotesi!$C$91),30)/30))+IF(17-(INT((Ipotesi!$C$91)/30))-1&lt;1,0,INDEX(Motore_Startup!$AH$425:$AH$484,MAX(1,17-(INT((Ipotesi!$C$91)/30))-1)))*(MOD((Ipotesi!$C$91),30)/30))</f>
        <v>20537.6939591829</v>
      </c>
      <c r="AJ441" s="15" t="n">
        <f aca="false">(AJ440)+AH441-AI441</f>
        <v>41444.9905882491</v>
      </c>
      <c r="AK441" s="15" t="n">
        <f aca="false">(F441+ Motore_Operativo!BH441-(Motore_Operativo!CJ441)*Parametri_v3!$C$27-Motore_Operativo!CE441)*Parametri_v3!$C$26</f>
        <v>2626.8680861847</v>
      </c>
      <c r="AL441" s="15" t="n">
        <f aca="false">MAX(0,(AM440))</f>
        <v>2446.26771227562</v>
      </c>
      <c r="AM441" s="15" t="n">
        <f aca="false">(AM440)+AK441-AL441</f>
        <v>2626.8680861847</v>
      </c>
      <c r="AN441" s="15" t="n">
        <f aca="false">SUM(X425:X436)</f>
        <v>0</v>
      </c>
      <c r="AO441" s="15" t="n">
        <f aca="false">SUM(AP425:AP436)</f>
        <v>0</v>
      </c>
      <c r="AP441" s="15" t="n">
        <f aca="false">MAX(0,AN441)*IF(5=Parametri_v3!$C$43,Parametri_v3!$C$45,IF(5=Parametri_v3!$C$44,1-Parametri_v3!$C$45,0))</f>
        <v>0</v>
      </c>
      <c r="AQ441" s="15" t="n">
        <f aca="false">MAX(0,AP441+IF(5=Parametri_v3!$C$43,MAX(0,AN441-AO441),0)-MAX(0,-(AR440)))</f>
        <v>0</v>
      </c>
      <c r="AR441" s="15" t="n">
        <f aca="false">(AR440)+X441-AQ441</f>
        <v>0</v>
      </c>
      <c r="AS441" s="15" t="n">
        <f aca="false">Motore_Operativo!AB441-AT441+AU441</f>
        <v>37774.375</v>
      </c>
      <c r="AT441" s="15" t="n">
        <f aca="false">Motore_Operativo!CH441</f>
        <v>1988.125</v>
      </c>
      <c r="AU441" s="15" t="n">
        <f aca="false">MIN(MAX(0,(AV440)+AT441),Parametri_v3!$C$60/12)</f>
        <v>0</v>
      </c>
      <c r="AV441" s="15" t="n">
        <f aca="false">(AV440)+AT441-AU441</f>
        <v>20690.625</v>
      </c>
      <c r="AW441" s="15" t="n">
        <f aca="false">IF(AND(Motore_Operativo!C441=Finanziamenti!$D$6,Finanziamenti!$F$6=1),Finanziamenti!$C$6,0)</f>
        <v>0</v>
      </c>
      <c r="AX441" s="15" t="n">
        <f aca="false">IF(AND(8&lt;&gt;7,8&lt;&gt;9,Finanziamenti!$F$8=1,OR(Parametri_v3!$C$6=0,Finanziamenti!$E$8=1),Motore_Operativo!C441=EDATE(Finanziamenti!$D$8,Ipotesi!J15*12)),Finanziamenti!$C$8*1,0)+IF(AND(8&lt;&gt;7,8&lt;&gt;9,Finanziamenti!$F$9=1,OR(Parametri_v3!$C$6=0,Finanziamenti!$E$9=1),Motore_Operativo!C441=EDATE(Finanziamenti!$D$9,Ipotesi!J15*12)),Finanziamenti!$C$9*Ipotesi!J16,0)</f>
        <v>0</v>
      </c>
      <c r="AY441" s="15" t="n">
        <f aca="false">0</f>
        <v>0</v>
      </c>
      <c r="AZ441" s="15" t="n">
        <f aca="false">Motore_Advisory!AY441*(1-Ipotesi!$C$95)*Ipotesi!$C$96</f>
        <v>0</v>
      </c>
      <c r="BA441" s="15" t="n">
        <f aca="false">MAX(0,MIN(CG441*MIN(1,IF(Motore_Operativo!C441&gt;=EDATE(Finanziamenti!$D$15,Ipotesi!J14*12),Finanziamenti!$C$15,0)+IF(Motore_Operativo!C441&gt;=EDATE(Finanziamenti!$D$16,Ipotesi!J14*12),Finanziamenti!$C$16,0)+IF(Motore_Operativo!C441&gt;=EDATE(Finanziamenti!$D$17,Ipotesi!J14*12),Finanziamenti!$C$17,0)),CA441*Ipotesi!$C$102)-(CC440))</f>
        <v>0</v>
      </c>
      <c r="BB441" s="15" t="n">
        <f aca="false">IF(AND(CF441&gt;0,Motore_Operativo!C441&gt;=IF(CF441=0,0,EDATE(CF441,Parametri_v3!$C$37)),MOD(((D441-YEAR(IF(CF441=0,0,EDATE(CF441,Parametri_v3!$C$37))))*12+E441-MONTH(IF(CF441=0,0,EDATE(CF441,Parametri_v3!$C$37)))),Parametri_v3!$C$38)=0),MIN(MAX(0,(BC440)+BA441-N441),(CC441-CD441)/(Ipotesi!$C$108*12/Parametri_v3!$C$38)),0)</f>
        <v>0</v>
      </c>
      <c r="BC441" s="15" t="n">
        <f aca="false">(BC440)+BA441-N441-BB441</f>
        <v>57964.8370786408</v>
      </c>
      <c r="BD441" s="15" t="n">
        <f aca="false">(BH440)+AC441+AF441-AI441-AS441-K441*(1+Parametri_v3!$C$26)-AL441-AQ441-O441+AW441+AX441+AZ441+BA441-BB441</f>
        <v>-217958.146741452</v>
      </c>
      <c r="BE441" s="15" t="n">
        <f aca="false">MAX(0,MIN(MAX(0,CH441-(BG440)),Parametri_v3!$C$30-BD441))</f>
        <v>0</v>
      </c>
      <c r="BF441" s="15" t="n">
        <f aca="false">IF(Motore_Operativo!C441&gt;=Parametri_v3!$C$63,(BG440),MIN((BG440),MAX(0,BD441-Parametri_v3!$C$30)))</f>
        <v>0</v>
      </c>
      <c r="BG441" s="15" t="n">
        <f aca="false">(BG440)+BE441-BF441</f>
        <v>0</v>
      </c>
      <c r="BH441" s="15" t="n">
        <f aca="false">BD441+BE441-BF441-AY441</f>
        <v>-217958.146741452</v>
      </c>
      <c r="BI441" s="15" t="n">
        <f aca="false">MAX(0,Parametri_v3!$C$30-BH441)</f>
        <v>242958.146741452</v>
      </c>
      <c r="BJ441" s="15" t="n">
        <f aca="false">(BJ440)+K441</f>
        <v>30416.6666666667</v>
      </c>
      <c r="BK441" s="15" t="n">
        <f aca="false">(BK440)+L441</f>
        <v>7256.94444444445</v>
      </c>
      <c r="BL441" s="15" t="n">
        <f aca="false">BJ441-BK441</f>
        <v>23159.7222222222</v>
      </c>
      <c r="BM441" s="15" t="n">
        <f aca="false">(BM440)+Y441</f>
        <v>-353038.161493991</v>
      </c>
      <c r="BN441" s="15" t="n">
        <f aca="false">(BN440)+AW441+AX441+AZ441</f>
        <v>130000</v>
      </c>
      <c r="BO441" s="15" t="n">
        <f aca="false">(BO440)+AY441</f>
        <v>0</v>
      </c>
      <c r="BP441" s="15" t="n">
        <f aca="false">0</f>
        <v>0</v>
      </c>
      <c r="BQ441" s="15" t="n">
        <f aca="false">BN441+BM441-BO441</f>
        <v>-223038.161493991</v>
      </c>
      <c r="BR441" s="15" t="n">
        <f aca="false">BH441+AD441+BL441+MAX(0,-AM441)+MAX(0,-AR441)+AG441</f>
        <v>-100310.840740916</v>
      </c>
      <c r="BS441" s="15" t="n">
        <f aca="false">AJ441+AV441+MAX(0,AM441)+MAX(0,AR441)+BC441+BG441+BQ441</f>
        <v>-100310.840740916</v>
      </c>
      <c r="BT441" s="15" t="n">
        <f aca="false">BR441-BS441</f>
        <v>0</v>
      </c>
      <c r="BU441" s="15" t="n">
        <f aca="false">BH441-(BD441+BE441-BF441-AY441)</f>
        <v>0</v>
      </c>
      <c r="BV441" s="15" t="n">
        <f aca="false">MIN(Piano_SS!$C$6,(BV440)+IF(AND(Motore_Operativo!C441&gt;=EDATE(Parametri_v3!$C$24,Ipotesi!J14*12),Motore_Operativo!C441&lt;EDATE(Parametri_v3!$C$24,Parametri_v3!$C$25+Ipotesi!J14*12)),MAX(0,(Motore_Operativo!Y441+Motore_Operativo!X441*Parametri_v3!$C$14)*(1-Parametri_v3!$C$32))*Piano_SS!$D$6,0))</f>
        <v>89656.25</v>
      </c>
      <c r="BW441" s="15" t="n">
        <f aca="false">MIN(Piano_SS!$C$7,(BW440)+IF(AND(Motore_Operativo!C441&gt;=EDATE(Parametri_v3!$C$24,Ipotesi!J14*12),Motore_Operativo!C441&lt;EDATE(Parametri_v3!$C$24,Parametri_v3!$C$25+Ipotesi!J14*12)),MAX(0,(IF(17-(INT((Ipotesi!$C$91)/30))&lt;1,0,INDEX(Motore_Operativo!$BN$425:$BN$484,MAX(1,17-(INT((Ipotesi!$C$91)/30)))))*(1-(MOD((Ipotesi!$C$91),30)/30))+IF(17-(INT((Ipotesi!$C$91)/30))-1&lt;1,0,INDEX(Motore_Operativo!$BN$425:$BN$484,MAX(1,17-(INT((Ipotesi!$C$91)/30))-1)))*(MOD((Ipotesi!$C$91),30)/30)))*Piano_SS!$D$7,0))</f>
        <v>14576.2515758926</v>
      </c>
      <c r="BX441" s="15" t="n">
        <f aca="false">MIN(Piano_SS!$C$8,(BX440)+IF(AND(Motore_Operativo!C441&gt;=EDATE(Parametri_v3!$C$24,Ipotesi!J14*12),Motore_Operativo!C441&lt;EDATE(Parametri_v3!$C$24,Parametri_v3!$C$25+Ipotesi!J14*12)),MAX(0,Motore_Operativo!CE441)*Piano_SS!$D$8,0))</f>
        <v>20416.6666666667</v>
      </c>
      <c r="BY441" s="15" t="n">
        <f aca="false">MIN(Piano_SS!$C$9,(BY440)+IF(AND(Motore_Operativo!C441&gt;=EDATE(Parametri_v3!$C$24,Ipotesi!J14*12),Motore_Operativo!C441&lt;EDATE(Parametri_v3!$C$24,Parametri_v3!$C$25+Ipotesi!J14*12)),MAX(0,((IF(17-(INT((Ipotesi!$C$91)/30))&lt;1,0,INDEX(Motore_Operativo!$BQ$425:$BQ$484,MAX(1,17-(INT((Ipotesi!$C$91)/30)))))*(1-(MOD((Ipotesi!$C$91),30)/30))+IF(17-(INT((Ipotesi!$C$91)/30))-1&lt;1,0,INDEX(Motore_Operativo!$BQ$425:$BQ$484,MAX(1,17-(INT((Ipotesi!$C$91)/30))-1)))*(MOD((Ipotesi!$C$91),30)/30))+(IF(17-(INT((Ipotesi!$C$91)/30))&lt;1,0,INDEX(Motore_Operativo!$BR$425:$BR$484,MAX(1,17-(INT((Ipotesi!$C$91)/30)))))*(1-(MOD((Ipotesi!$C$91),30)/30))+IF(17-(INT((Ipotesi!$C$91)/30))-1&lt;1,0,INDEX(Motore_Operativo!$BR$425:$BR$484,MAX(1,17-(INT((Ipotesi!$C$91)/30))-1)))*(MOD((Ipotesi!$C$91),30)/30))))*Piano_SS!$D$9,0))</f>
        <v>26750</v>
      </c>
      <c r="BZ441" s="15" t="n">
        <f aca="false">MIN(Piano_SS!$C$10,(BZ440)+IF(AND(Motore_Operativo!C441&gt;=EDATE(Parametri_v3!$C$24,Ipotesi!J14*12),Motore_Operativo!C441&lt;EDATE(Parametri_v3!$C$24,Parametri_v3!$C$25+Ipotesi!J14*12)),MAX(0,(IF(17-(INT((Ipotesi!$C$91)/30))&lt;1,0,INDEX(Motore_Operativo!$BO$425:$BO$484,MAX(1,17-(INT((Ipotesi!$C$91)/30)))))*(1-(MOD((Ipotesi!$C$91),30)/30))+IF(17-(INT((Ipotesi!$C$91)/30))-1&lt;1,0,INDEX(Motore_Operativo!$BO$425:$BO$484,MAX(1,17-(INT((Ipotesi!$C$91)/30))-1)))*(MOD((Ipotesi!$C$91),30)/30)))*Piano_SS!$D$10,0))</f>
        <v>13500</v>
      </c>
      <c r="CA441" s="15" t="n">
        <f aca="false">SUM(BV441:BZ441)</f>
        <v>164899.168242559</v>
      </c>
      <c r="CB441" s="15" t="n">
        <f aca="false">BV441*(1-Piano_SS!$E$6)+BW441*(1-Piano_SS!$E$7)+BX441*(1-Piano_SS!$E$8)+BY441*(1-Piano_SS!$E$9)+BZ441*(1-Piano_SS!$E$10)</f>
        <v>151399.168242559</v>
      </c>
      <c r="CC441" s="15" t="n">
        <f aca="false">(CC440)+BA441</f>
        <v>80000</v>
      </c>
      <c r="CD441" s="15" t="n">
        <f aca="false">IF(CA441=0,0,CC441*CB441/CA441*Ipotesi!$C$103*Parametri_v3!$C$64)</f>
        <v>22035.1629213593</v>
      </c>
      <c r="CE441" s="18" t="n">
        <f aca="false">IF(BA441&gt;0,Motore_Operativo!C441,(CE440))</f>
        <v>46784</v>
      </c>
      <c r="CF441" s="18" t="n">
        <f aca="false">IF(AND(CC441&gt;0,OR(CC441&gt;=CG441-0.01,Motore_Operativo!C441&gt;=EDATE(MAX(Finanziamenti!$D$15:$D$17),Ipotesi!J14*12))),CE441,0)</f>
        <v>0</v>
      </c>
      <c r="CG441" s="15" t="n">
        <f aca="false">IF(AND(8&lt;&gt;6,8&lt;&gt;9,Finanziamenti!$F$11=1,OR(Parametri_v3!$C$6=0,Finanziamenti!$E$11=1)),MIN(Finanziamenti!$C$11,Piano_SS!$C$12*Ipotesi!$C$102),0)</f>
        <v>400000</v>
      </c>
      <c r="CH441" s="15" t="n">
        <f aca="false">IF(AND(AND(8&lt;&gt;8,8&lt;&gt;9,Finanziamenti!$F$10=1,OR(Parametri_v3!$C$6=0,Finanziamenti!$E$10=1)),Motore_Operativo!C441&gt;=Finanziamenti!$D$10,Motore_Operativo!C441&lt;Parametri_v3!$C$63),Finanziamenti!$C$10,0)</f>
        <v>0</v>
      </c>
    </row>
    <row r="442" customFormat="false" ht="18" hidden="false" customHeight="true" outlineLevel="0" collapsed="false">
      <c r="A442" s="68" t="n">
        <f aca="false">8</f>
        <v>8</v>
      </c>
      <c r="B442" s="68" t="n">
        <f aca="false">18</f>
        <v>18</v>
      </c>
      <c r="C442" s="18" t="n">
        <f aca="false">Motore_Operativo!C442</f>
        <v>46905</v>
      </c>
      <c r="D442" s="68" t="n">
        <f aca="false">Motore_Operativo!D442</f>
        <v>2028</v>
      </c>
      <c r="E442" s="68" t="n">
        <f aca="false">Motore_Operativo!E442</f>
        <v>6</v>
      </c>
      <c r="F442" s="15" t="n">
        <f aca="false">Motore_Operativo!AQ442+Motore_Operativo!BF442</f>
        <v>26443.8035232799</v>
      </c>
      <c r="G442" s="15" t="n">
        <f aca="false">Motore_Operativo!BH442</f>
        <v>3398.1220657277</v>
      </c>
      <c r="H442" s="15" t="n">
        <f aca="false">Motore_Operativo!BI442</f>
        <v>29841.9255890076</v>
      </c>
      <c r="I442" s="15" t="n">
        <f aca="false">Motore_Operativo!CA442</f>
        <v>57414.9094885644</v>
      </c>
      <c r="J442" s="15" t="n">
        <f aca="false">Motore_Operativo!CC442</f>
        <v>-27572.9838995568</v>
      </c>
      <c r="K442" s="15" t="n">
        <f aca="false">Motore_Operativo!CE442</f>
        <v>2083.33333333333</v>
      </c>
      <c r="L442" s="15" t="n">
        <f aca="false">SUM(INDEX($K$425:$K$484,MAX(1,18-Parametri_v3!$C$59+1)):K442)/Parametri_v3!$C$59</f>
        <v>902.777777777778</v>
      </c>
      <c r="M442" s="15" t="n">
        <f aca="false">J442-L442</f>
        <v>-28475.7616773345</v>
      </c>
      <c r="N442" s="15" t="n">
        <f aca="false">CD442-(CD441)</f>
        <v>-19.3025246127145</v>
      </c>
      <c r="O442" s="15" t="n">
        <f aca="false">(BG441)*Ipotesi!$C$110/12+CH442*Parametri_v3!$C$39/12</f>
        <v>0</v>
      </c>
      <c r="P442" s="15" t="n">
        <f aca="false">M442+N442-O442</f>
        <v>-28495.0642019473</v>
      </c>
      <c r="Q442" s="15" t="n">
        <f aca="false">SUM(P437:P442)+Parametri_v3!$C$54*6/12</f>
        <v>-172063.833883073</v>
      </c>
      <c r="R442" s="15" t="n">
        <f aca="false">Z436</f>
        <v>209469.391812865</v>
      </c>
      <c r="S442" s="15" t="n">
        <f aca="false">AA436</f>
        <v>0</v>
      </c>
      <c r="T442" s="15" t="n">
        <f aca="false">MIN(R442,MAX(0,Q442))</f>
        <v>0</v>
      </c>
      <c r="U442" s="15" t="n">
        <f aca="false">MIN(S442,MAX(0,Q442-T442)*Parametri_v3!$C$42)</f>
        <v>0</v>
      </c>
      <c r="V442" s="15" t="n">
        <f aca="false">MAX(0,Q442-T442-U442)*Ipotesi!$C$92</f>
        <v>0</v>
      </c>
      <c r="W442" s="15" t="n">
        <f aca="false">MAX(0,SUM(M437:M442)+Parametri_v3!$C$55*6/12)*Ipotesi!$C$93</f>
        <v>0</v>
      </c>
      <c r="X442" s="15" t="n">
        <f aca="false">V442+W442-(V441+W441)</f>
        <v>0</v>
      </c>
      <c r="Y442" s="15" t="n">
        <f aca="false">P442-X442</f>
        <v>-28495.0642019473</v>
      </c>
      <c r="Z442" s="15" t="n">
        <f aca="false">R442-T442+IF(AND(Parametri_v3!$C$40=1,D442-YEAR(Parametri_v3!$C$50)&lt;Parametri_v3!$C$41),MAX(0,-Q442),0)</f>
        <v>381533.225695938</v>
      </c>
      <c r="AA442" s="15" t="n">
        <f aca="false">S442-U442+IF(AND(Parametri_v3!$C$40=1,D442-YEAR(Parametri_v3!$C$50)&lt;Parametri_v3!$C$41),0,MAX(0,-Q442))</f>
        <v>0</v>
      </c>
      <c r="AB442" s="15" t="n">
        <f aca="false">F442*(1+Parametri_v3!$C$26)</f>
        <v>32261.4402984015</v>
      </c>
      <c r="AC442" s="15" t="n">
        <f aca="false">(IF(18-(INT((Motore_Operativo!L442)/30))&lt;1,0,INDEX(Motore_Startup!$AB$425:$AB$484,MAX(1,18-(INT((Motore_Operativo!L442)/30)))))*(1-(MOD((Motore_Operativo!L442),30)/30))+IF(18-(INT((Motore_Operativo!L442)/30))-1&lt;1,0,INDEX(Motore_Startup!$AB$425:$AB$484,MAX(1,18-(INT((Motore_Operativo!L442)/30))-1)))*(MOD((Motore_Operativo!L442),30)/30))</f>
        <v>29209.486714538</v>
      </c>
      <c r="AD442" s="15" t="n">
        <f aca="false">(AD441)+AB442-AC442</f>
        <v>93393.828441989</v>
      </c>
      <c r="AE442" s="15" t="n">
        <f aca="false">Motore_Operativo!BH442*(1+Parametri_v3!$C$26)</f>
        <v>4145.70892018779</v>
      </c>
      <c r="AF442" s="15" t="n">
        <f aca="false">(IF(18-(INT((Parametri_v3!$C$29)/30))&lt;1,0,INDEX(Motore_Operativo!$BH$425:$BH$484,MAX(1,18-(INT((Parametri_v3!$C$29)/30)))))*(1-(MOD((Parametri_v3!$C$29),30)/30))+IF(18-(INT((Parametri_v3!$C$29)/30))-1&lt;1,0,INDEX(Motore_Operativo!$BH$425:$BH$484,MAX(1,18-(INT((Parametri_v3!$C$29)/30))-1)))*(MOD((Parametri_v3!$C$29),30)/30))*(1+Parametri_v3!$C$26)</f>
        <v>4145.70892018779</v>
      </c>
      <c r="AG442" s="15" t="n">
        <f aca="false">(AG441)+AE442-AF442</f>
        <v>4145.70892018779</v>
      </c>
      <c r="AH442" s="15" t="n">
        <f aca="false">(Motore_Operativo!CJ442)*(1+Parametri_v3!$C$27*Parametri_v3!$C$26)</f>
        <v>20953.4100629259</v>
      </c>
      <c r="AI442" s="15" t="n">
        <f aca="false">(IF(18-(INT((Ipotesi!$C$91)/30))&lt;1,0,INDEX(Motore_Startup!$AH$425:$AH$484,MAX(1,18-(INT((Ipotesi!$C$91)/30)))))*(1-(MOD((Ipotesi!$C$91),30)/30))+IF(18-(INT((Ipotesi!$C$91)/30))-1&lt;1,0,INDEX(Motore_Startup!$AH$425:$AH$484,MAX(1,18-(INT((Ipotesi!$C$91)/30))-1)))*(MOD((Ipotesi!$C$91),30)/30))</f>
        <v>20645.0725045873</v>
      </c>
      <c r="AJ442" s="15" t="n">
        <f aca="false">(AJ441)+AH442-AI442</f>
        <v>41753.3281465876</v>
      </c>
      <c r="AK442" s="15" t="n">
        <f aca="false">(F442+ Motore_Operativo!BH442-(Motore_Operativo!CJ442)*Parametri_v3!$C$27-Motore_Operativo!CE442)*Parametri_v3!$C$26</f>
        <v>2805.8897218868</v>
      </c>
      <c r="AL442" s="15" t="n">
        <f aca="false">MAX(0,(AM441))</f>
        <v>2626.8680861847</v>
      </c>
      <c r="AM442" s="15" t="n">
        <f aca="false">(AM441)+AK442-AL442</f>
        <v>2805.8897218868</v>
      </c>
      <c r="AN442" s="15" t="n">
        <f aca="false">SUM(X425:X436)</f>
        <v>0</v>
      </c>
      <c r="AO442" s="15" t="n">
        <f aca="false">SUM(AP425:AP436)</f>
        <v>0</v>
      </c>
      <c r="AP442" s="15" t="n">
        <f aca="false">MAX(0,AN442)*IF(6=Parametri_v3!$C$43,Parametri_v3!$C$45,IF(6=Parametri_v3!$C$44,1-Parametri_v3!$C$45,0))</f>
        <v>0</v>
      </c>
      <c r="AQ442" s="15" t="n">
        <f aca="false">MAX(0,AP442+IF(6=Parametri_v3!$C$43,MAX(0,AN442-AO442),0)-MAX(0,-(AR441)))</f>
        <v>0</v>
      </c>
      <c r="AR442" s="15" t="n">
        <f aca="false">(AR441)+X442-AQ442</f>
        <v>0</v>
      </c>
      <c r="AS442" s="15" t="n">
        <f aca="false">Motore_Operativo!AB442-AT442+AU442</f>
        <v>37774.375</v>
      </c>
      <c r="AT442" s="15" t="n">
        <f aca="false">Motore_Operativo!CH442</f>
        <v>1988.125</v>
      </c>
      <c r="AU442" s="15" t="n">
        <f aca="false">MIN(MAX(0,(AV441)+AT442),Parametri_v3!$C$60/12)</f>
        <v>0</v>
      </c>
      <c r="AV442" s="15" t="n">
        <f aca="false">(AV441)+AT442-AU442</f>
        <v>22678.75</v>
      </c>
      <c r="AW442" s="15" t="n">
        <f aca="false">IF(AND(Motore_Operativo!C442=Finanziamenti!$D$6,Finanziamenti!$F$6=1),Finanziamenti!$C$6,0)</f>
        <v>0</v>
      </c>
      <c r="AX442" s="15" t="n">
        <f aca="false">IF(AND(8&lt;&gt;7,8&lt;&gt;9,Finanziamenti!$F$8=1,OR(Parametri_v3!$C$6=0,Finanziamenti!$E$8=1),Motore_Operativo!C442=EDATE(Finanziamenti!$D$8,Ipotesi!J15*12)),Finanziamenti!$C$8*1,0)+IF(AND(8&lt;&gt;7,8&lt;&gt;9,Finanziamenti!$F$9=1,OR(Parametri_v3!$C$6=0,Finanziamenti!$E$9=1),Motore_Operativo!C442=EDATE(Finanziamenti!$D$9,Ipotesi!J15*12)),Finanziamenti!$C$9*Ipotesi!J16,0)</f>
        <v>300000</v>
      </c>
      <c r="AY442" s="15" t="n">
        <f aca="false">0</f>
        <v>0</v>
      </c>
      <c r="AZ442" s="15" t="n">
        <f aca="false">Motore_Advisory!AY442*(1-Ipotesi!$C$95)*Ipotesi!$C$96</f>
        <v>0</v>
      </c>
      <c r="BA442" s="15" t="n">
        <f aca="false">MAX(0,MIN(CG442*MIN(1,IF(Motore_Operativo!C442&gt;=EDATE(Finanziamenti!$D$15,Ipotesi!J14*12),Finanziamenti!$C$15,0)+IF(Motore_Operativo!C442&gt;=EDATE(Finanziamenti!$D$16,Ipotesi!J14*12),Finanziamenti!$C$16,0)+IF(Motore_Operativo!C442&gt;=EDATE(Finanziamenti!$D$17,Ipotesi!J14*12),Finanziamenti!$C$17,0)),CA442*Ipotesi!$C$102)-(CC441))</f>
        <v>0</v>
      </c>
      <c r="BB442" s="15" t="n">
        <f aca="false">IF(AND(CF442&gt;0,Motore_Operativo!C442&gt;=IF(CF442=0,0,EDATE(CF442,Parametri_v3!$C$37)),MOD(((D442-YEAR(IF(CF442=0,0,EDATE(CF442,Parametri_v3!$C$37))))*12+E442-MONTH(IF(CF442=0,0,EDATE(CF442,Parametri_v3!$C$37)))),Parametri_v3!$C$38)=0),MIN(MAX(0,(BC441)+BA442-N442),(CC442-CD442)/(Ipotesi!$C$108*12/Parametri_v3!$C$38)),0)</f>
        <v>0</v>
      </c>
      <c r="BC442" s="15" t="n">
        <f aca="false">(BC441)+BA442-N442-BB442</f>
        <v>57984.1396032535</v>
      </c>
      <c r="BD442" s="15" t="n">
        <f aca="false">(BH441)+AC442+AF442-AI442-AS442-K442*(1+Parametri_v3!$C$26)-AL442-AQ442-O442+AW442+AX442+AZ442+BA442-BB442</f>
        <v>51809.0666358352</v>
      </c>
      <c r="BE442" s="15" t="n">
        <f aca="false">MAX(0,MIN(MAX(0,CH442-(BG441)),Parametri_v3!$C$30-BD442))</f>
        <v>0</v>
      </c>
      <c r="BF442" s="15" t="n">
        <f aca="false">IF(Motore_Operativo!C442&gt;=Parametri_v3!$C$63,(BG441),MIN((BG441),MAX(0,BD442-Parametri_v3!$C$30)))</f>
        <v>0</v>
      </c>
      <c r="BG442" s="15" t="n">
        <f aca="false">(BG441)+BE442-BF442</f>
        <v>0</v>
      </c>
      <c r="BH442" s="15" t="n">
        <f aca="false">BD442+BE442-BF442-AY442</f>
        <v>51809.0666358352</v>
      </c>
      <c r="BI442" s="15" t="n">
        <f aca="false">MAX(0,Parametri_v3!$C$30-BH442)</f>
        <v>0</v>
      </c>
      <c r="BJ442" s="15" t="n">
        <f aca="false">(BJ441)+K442</f>
        <v>32500</v>
      </c>
      <c r="BK442" s="15" t="n">
        <f aca="false">(BK441)+L442</f>
        <v>8159.72222222222</v>
      </c>
      <c r="BL442" s="15" t="n">
        <f aca="false">BJ442-BK442</f>
        <v>24340.2777777778</v>
      </c>
      <c r="BM442" s="15" t="n">
        <f aca="false">(BM441)+Y442</f>
        <v>-381533.225695938</v>
      </c>
      <c r="BN442" s="15" t="n">
        <f aca="false">(BN441)+AW442+AX442+AZ442</f>
        <v>430000</v>
      </c>
      <c r="BO442" s="15" t="n">
        <f aca="false">(BO441)+AY442</f>
        <v>0</v>
      </c>
      <c r="BP442" s="15" t="n">
        <f aca="false">0</f>
        <v>0</v>
      </c>
      <c r="BQ442" s="15" t="n">
        <f aca="false">BN442+BM442-BO442</f>
        <v>48466.7743040618</v>
      </c>
      <c r="BR442" s="15" t="n">
        <f aca="false">BH442+AD442+BL442+MAX(0,-AM442)+MAX(0,-AR442)+AG442</f>
        <v>173688.88177579</v>
      </c>
      <c r="BS442" s="15" t="n">
        <f aca="false">AJ442+AV442+MAX(0,AM442)+MAX(0,AR442)+BC442+BG442+BQ442</f>
        <v>173688.88177579</v>
      </c>
      <c r="BT442" s="15" t="n">
        <f aca="false">BR442-BS442</f>
        <v>0</v>
      </c>
      <c r="BU442" s="15" t="n">
        <f aca="false">BH442-(BD442+BE442-BF442-AY442)</f>
        <v>0</v>
      </c>
      <c r="BV442" s="15" t="n">
        <f aca="false">MIN(Piano_SS!$C$6,(BV441)+IF(AND(Motore_Operativo!C442&gt;=EDATE(Parametri_v3!$C$24,Ipotesi!J14*12),Motore_Operativo!C442&lt;EDATE(Parametri_v3!$C$24,Parametri_v3!$C$25+Ipotesi!J14*12)),MAX(0,(Motore_Operativo!Y442+Motore_Operativo!X442*Parametri_v3!$C$14)*(1-Parametri_v3!$C$32))*Piano_SS!$D$6,0))</f>
        <v>101887.5</v>
      </c>
      <c r="BW442" s="15" t="n">
        <f aca="false">MIN(Piano_SS!$C$7,(BW441)+IF(AND(Motore_Operativo!C442&gt;=EDATE(Parametri_v3!$C$24,Ipotesi!J14*12),Motore_Operativo!C442&lt;EDATE(Parametri_v3!$C$24,Parametri_v3!$C$25+Ipotesi!J14*12)),MAX(0,(IF(18-(INT((Ipotesi!$C$91)/30))&lt;1,0,INDEX(Motore_Operativo!$BN$425:$BN$484,MAX(1,18-(INT((Ipotesi!$C$91)/30)))))*(1-(MOD((Ipotesi!$C$91),30)/30))+IF(18-(INT((Ipotesi!$C$91)/30))-1&lt;1,0,INDEX(Motore_Operativo!$BN$425:$BN$484,MAX(1,18-(INT((Ipotesi!$C$91)/30))-1)))*(MOD((Ipotesi!$C$91),30)/30)))*Piano_SS!$D$7,0))</f>
        <v>16083.3203982106</v>
      </c>
      <c r="BX442" s="15" t="n">
        <f aca="false">MIN(Piano_SS!$C$8,(BX441)+IF(AND(Motore_Operativo!C442&gt;=EDATE(Parametri_v3!$C$24,Ipotesi!J14*12),Motore_Operativo!C442&lt;EDATE(Parametri_v3!$C$24,Parametri_v3!$C$25+Ipotesi!J14*12)),MAX(0,Motore_Operativo!CE442)*Piano_SS!$D$8,0))</f>
        <v>22500</v>
      </c>
      <c r="BY442" s="15" t="n">
        <f aca="false">MIN(Piano_SS!$C$9,(BY441)+IF(AND(Motore_Operativo!C442&gt;=EDATE(Parametri_v3!$C$24,Ipotesi!J14*12),Motore_Operativo!C442&lt;EDATE(Parametri_v3!$C$24,Parametri_v3!$C$25+Ipotesi!J14*12)),MAX(0,((IF(18-(INT((Ipotesi!$C$91)/30))&lt;1,0,INDEX(Motore_Operativo!$BQ$425:$BQ$484,MAX(1,18-(INT((Ipotesi!$C$91)/30)))))*(1-(MOD((Ipotesi!$C$91),30)/30))+IF(18-(INT((Ipotesi!$C$91)/30))-1&lt;1,0,INDEX(Motore_Operativo!$BQ$425:$BQ$484,MAX(1,18-(INT((Ipotesi!$C$91)/30))-1)))*(MOD((Ipotesi!$C$91),30)/30))+(IF(18-(INT((Ipotesi!$C$91)/30))&lt;1,0,INDEX(Motore_Operativo!$BR$425:$BR$484,MAX(1,18-(INT((Ipotesi!$C$91)/30)))))*(1-(MOD((Ipotesi!$C$91),30)/30))+IF(18-(INT((Ipotesi!$C$91)/30))-1&lt;1,0,INDEX(Motore_Operativo!$BR$425:$BR$484,MAX(1,18-(INT((Ipotesi!$C$91)/30))-1)))*(MOD((Ipotesi!$C$91),30)/30))))*Piano_SS!$D$9,0))</f>
        <v>29666.6666666667</v>
      </c>
      <c r="BZ442" s="15" t="n">
        <f aca="false">MIN(Piano_SS!$C$10,(BZ441)+IF(AND(Motore_Operativo!C442&gt;=EDATE(Parametri_v3!$C$24,Ipotesi!J14*12),Motore_Operativo!C442&lt;EDATE(Parametri_v3!$C$24,Parametri_v3!$C$25+Ipotesi!J14*12)),MAX(0,(IF(18-(INT((Ipotesi!$C$91)/30))&lt;1,0,INDEX(Motore_Operativo!$BO$425:$BO$484,MAX(1,18-(INT((Ipotesi!$C$91)/30)))))*(1-(MOD((Ipotesi!$C$91),30)/30))+IF(18-(INT((Ipotesi!$C$91)/30))-1&lt;1,0,INDEX(Motore_Operativo!$BO$425:$BO$484,MAX(1,18-(INT((Ipotesi!$C$91)/30))-1)))*(MOD((Ipotesi!$C$91),30)/30)))*Piano_SS!$D$10,0))</f>
        <v>15333.3333333333</v>
      </c>
      <c r="CA442" s="15" t="n">
        <f aca="false">SUM(BV442:BZ442)</f>
        <v>185470.820398211</v>
      </c>
      <c r="CB442" s="15" t="n">
        <f aca="false">BV442*(1-Piano_SS!$E$6)+BW442*(1-Piano_SS!$E$7)+BX442*(1-Piano_SS!$E$8)+BY442*(1-Piano_SS!$E$9)+BZ442*(1-Piano_SS!$E$10)</f>
        <v>170137.487064877</v>
      </c>
      <c r="CC442" s="15" t="n">
        <f aca="false">(CC441)+BA442</f>
        <v>80000</v>
      </c>
      <c r="CD442" s="15" t="n">
        <f aca="false">IF(CA442=0,0,CC442*CB442/CA442*Ipotesi!$C$103*Parametri_v3!$C$64)</f>
        <v>22015.8603967465</v>
      </c>
      <c r="CE442" s="18" t="n">
        <f aca="false">IF(BA442&gt;0,Motore_Operativo!C442,(CE441))</f>
        <v>46784</v>
      </c>
      <c r="CF442" s="18" t="n">
        <f aca="false">IF(AND(CC442&gt;0,OR(CC442&gt;=CG442-0.01,Motore_Operativo!C442&gt;=EDATE(MAX(Finanziamenti!$D$15:$D$17),Ipotesi!J14*12))),CE442,0)</f>
        <v>0</v>
      </c>
      <c r="CG442" s="15" t="n">
        <f aca="false">IF(AND(8&lt;&gt;6,8&lt;&gt;9,Finanziamenti!$F$11=1,OR(Parametri_v3!$C$6=0,Finanziamenti!$E$11=1)),MIN(Finanziamenti!$C$11,Piano_SS!$C$12*Ipotesi!$C$102),0)</f>
        <v>400000</v>
      </c>
      <c r="CH442" s="15" t="n">
        <f aca="false">IF(AND(AND(8&lt;&gt;8,8&lt;&gt;9,Finanziamenti!$F$10=1,OR(Parametri_v3!$C$6=0,Finanziamenti!$E$10=1)),Motore_Operativo!C442&gt;=Finanziamenti!$D$10,Motore_Operativo!C442&lt;Parametri_v3!$C$63),Finanziamenti!$C$10,0)</f>
        <v>0</v>
      </c>
    </row>
    <row r="443" customFormat="false" ht="18" hidden="false" customHeight="true" outlineLevel="0" collapsed="false">
      <c r="A443" s="68" t="n">
        <f aca="false">8</f>
        <v>8</v>
      </c>
      <c r="B443" s="68" t="n">
        <f aca="false">19</f>
        <v>19</v>
      </c>
      <c r="C443" s="18" t="n">
        <f aca="false">Motore_Operativo!C443</f>
        <v>46935</v>
      </c>
      <c r="D443" s="68" t="n">
        <f aca="false">Motore_Operativo!D443</f>
        <v>2028</v>
      </c>
      <c r="E443" s="68" t="n">
        <f aca="false">Motore_Operativo!E443</f>
        <v>7</v>
      </c>
      <c r="F443" s="15" t="n">
        <f aca="false">Motore_Operativo!AQ443+Motore_Operativo!BF443</f>
        <v>27359.3782741328</v>
      </c>
      <c r="G443" s="15" t="n">
        <f aca="false">Motore_Operativo!BH443</f>
        <v>3398.1220657277</v>
      </c>
      <c r="H443" s="15" t="n">
        <f aca="false">Motore_Operativo!BI443</f>
        <v>30757.5003398605</v>
      </c>
      <c r="I443" s="15" t="n">
        <f aca="false">Motore_Operativo!CA443</f>
        <v>57543.0899536838</v>
      </c>
      <c r="J443" s="15" t="n">
        <f aca="false">Motore_Operativo!CC443</f>
        <v>-26785.5896138232</v>
      </c>
      <c r="K443" s="15" t="n">
        <f aca="false">Motore_Operativo!CE443</f>
        <v>2083.33333333333</v>
      </c>
      <c r="L443" s="15" t="n">
        <f aca="false">SUM(INDEX($K$425:$K$484,MAX(1,19-Parametri_v3!$C$59+1)):K443)/Parametri_v3!$C$59</f>
        <v>960.648148148148</v>
      </c>
      <c r="M443" s="15" t="n">
        <f aca="false">J443-L443</f>
        <v>-27746.2377619714</v>
      </c>
      <c r="N443" s="15" t="n">
        <f aca="false">CD443-(CD442)</f>
        <v>-14.7249630867191</v>
      </c>
      <c r="O443" s="15" t="n">
        <f aca="false">(BG442)*Ipotesi!$C$110/12+CH443*Parametri_v3!$C$39/12</f>
        <v>0</v>
      </c>
      <c r="P443" s="15" t="n">
        <f aca="false">M443+N443-O443</f>
        <v>-27760.9627250581</v>
      </c>
      <c r="Q443" s="15" t="n">
        <f aca="false">SUM(P437:P443)+Parametri_v3!$C$54*7/12</f>
        <v>-199824.796608131</v>
      </c>
      <c r="R443" s="15" t="n">
        <f aca="false">Z436</f>
        <v>209469.391812865</v>
      </c>
      <c r="S443" s="15" t="n">
        <f aca="false">AA436</f>
        <v>0</v>
      </c>
      <c r="T443" s="15" t="n">
        <f aca="false">MIN(R443,MAX(0,Q443))</f>
        <v>0</v>
      </c>
      <c r="U443" s="15" t="n">
        <f aca="false">MIN(S443,MAX(0,Q443-T443)*Parametri_v3!$C$42)</f>
        <v>0</v>
      </c>
      <c r="V443" s="15" t="n">
        <f aca="false">MAX(0,Q443-T443-U443)*Ipotesi!$C$92</f>
        <v>0</v>
      </c>
      <c r="W443" s="15" t="n">
        <f aca="false">MAX(0,SUM(M437:M443)+Parametri_v3!$C$55*7/12)*Ipotesi!$C$93</f>
        <v>0</v>
      </c>
      <c r="X443" s="15" t="n">
        <f aca="false">V443+W443-(V442+W442)</f>
        <v>0</v>
      </c>
      <c r="Y443" s="15" t="n">
        <f aca="false">P443-X443</f>
        <v>-27760.9627250581</v>
      </c>
      <c r="Z443" s="15" t="n">
        <f aca="false">R443-T443+IF(AND(Parametri_v3!$C$40=1,D443-YEAR(Parametri_v3!$C$50)&lt;Parametri_v3!$C$41),MAX(0,-Q443),0)</f>
        <v>409294.188420996</v>
      </c>
      <c r="AA443" s="15" t="n">
        <f aca="false">S443-U443+IF(AND(Parametri_v3!$C$40=1,D443-YEAR(Parametri_v3!$C$50)&lt;Parametri_v3!$C$41),0,MAX(0,-Q443))</f>
        <v>0</v>
      </c>
      <c r="AB443" s="15" t="n">
        <f aca="false">F443*(1+Parametri_v3!$C$26)</f>
        <v>33378.4414944421</v>
      </c>
      <c r="AC443" s="15" t="n">
        <f aca="false">(IF(19-(INT((Motore_Operativo!L443)/30))&lt;1,0,INDEX(Motore_Startup!$AB$425:$AB$484,MAX(1,19-(INT((Motore_Operativo!L443)/30)))))*(1-(MOD((Motore_Operativo!L443),30)/30))+IF(19-(INT((Motore_Operativo!L443)/30))-1&lt;1,0,INDEX(Motore_Startup!$AB$425:$AB$484,MAX(1,19-(INT((Motore_Operativo!L443)/30))-1)))*(MOD((Motore_Operativo!L443),30)/30))</f>
        <v>29997.7995403494</v>
      </c>
      <c r="AD443" s="15" t="n">
        <f aca="false">(AD442)+AB443-AC443</f>
        <v>96774.4703960816</v>
      </c>
      <c r="AE443" s="15" t="n">
        <f aca="false">Motore_Operativo!BH443*(1+Parametri_v3!$C$26)</f>
        <v>4145.70892018779</v>
      </c>
      <c r="AF443" s="15" t="n">
        <f aca="false">(IF(19-(INT((Parametri_v3!$C$29)/30))&lt;1,0,INDEX(Motore_Operativo!$BH$425:$BH$484,MAX(1,19-(INT((Parametri_v3!$C$29)/30)))))*(1-(MOD((Parametri_v3!$C$29),30)/30))+IF(19-(INT((Parametri_v3!$C$29)/30))-1&lt;1,0,INDEX(Motore_Operativo!$BH$425:$BH$484,MAX(1,19-(INT((Parametri_v3!$C$29)/30))-1)))*(MOD((Parametri_v3!$C$29),30)/30))*(1+Parametri_v3!$C$26)</f>
        <v>4145.70892018779</v>
      </c>
      <c r="AG443" s="15" t="n">
        <f aca="false">(AG442)+AE443-AF443</f>
        <v>4145.70892018779</v>
      </c>
      <c r="AH443" s="15" t="n">
        <f aca="false">(Motore_Operativo!CJ443)*(1+Parametri_v3!$C$27*Parametri_v3!$C$26)</f>
        <v>21105.5602750226</v>
      </c>
      <c r="AI443" s="15" t="n">
        <f aca="false">(IF(19-(INT((Ipotesi!$C$91)/30))&lt;1,0,INDEX(Motore_Startup!$AH$425:$AH$484,MAX(1,19-(INT((Ipotesi!$C$91)/30)))))*(1-(MOD((Ipotesi!$C$91),30)/30))+IF(19-(INT((Ipotesi!$C$91)/30))-1&lt;1,0,INDEX(Motore_Startup!$AH$425:$AH$484,MAX(1,19-(INT((Ipotesi!$C$91)/30))-1)))*(MOD((Ipotesi!$C$91),30)/30))</f>
        <v>20799.9180836617</v>
      </c>
      <c r="AJ443" s="15" t="n">
        <f aca="false">(AJ442)+AH443-AI443</f>
        <v>42058.9703379485</v>
      </c>
      <c r="AK443" s="15" t="n">
        <f aca="false">(F443+ Motore_Operativo!BH443-(Motore_Operativo!CJ443)*Parametri_v3!$C$27-Motore_Operativo!CE443)*Parametri_v3!$C$26</f>
        <v>2983.34642009712</v>
      </c>
      <c r="AL443" s="15" t="n">
        <f aca="false">MAX(0,(AM442))</f>
        <v>2805.8897218868</v>
      </c>
      <c r="AM443" s="15" t="n">
        <f aca="false">(AM442)+AK443-AL443</f>
        <v>2983.34642009712</v>
      </c>
      <c r="AN443" s="15" t="n">
        <f aca="false">SUM(X425:X436)</f>
        <v>0</v>
      </c>
      <c r="AO443" s="15" t="n">
        <f aca="false">SUM(AP425:AP436)</f>
        <v>0</v>
      </c>
      <c r="AP443" s="15" t="n">
        <f aca="false">MAX(0,AN443)*IF(7=Parametri_v3!$C$43,Parametri_v3!$C$45,IF(7=Parametri_v3!$C$44,1-Parametri_v3!$C$45,0))</f>
        <v>0</v>
      </c>
      <c r="AQ443" s="15" t="n">
        <f aca="false">MAX(0,AP443+IF(7=Parametri_v3!$C$43,MAX(0,AN443-AO443),0)-MAX(0,-(AR442)))</f>
        <v>0</v>
      </c>
      <c r="AR443" s="15" t="n">
        <f aca="false">(AR442)+X443-AQ443</f>
        <v>0</v>
      </c>
      <c r="AS443" s="15" t="n">
        <f aca="false">Motore_Operativo!AB443-AT443+AU443</f>
        <v>37774.375</v>
      </c>
      <c r="AT443" s="15" t="n">
        <f aca="false">Motore_Operativo!CH443</f>
        <v>1988.125</v>
      </c>
      <c r="AU443" s="15" t="n">
        <f aca="false">MIN(MAX(0,(AV442)+AT443),Parametri_v3!$C$60/12)</f>
        <v>0</v>
      </c>
      <c r="AV443" s="15" t="n">
        <f aca="false">(AV442)+AT443-AU443</f>
        <v>24666.875</v>
      </c>
      <c r="AW443" s="15" t="n">
        <f aca="false">IF(AND(Motore_Operativo!C443=Finanziamenti!$D$6,Finanziamenti!$F$6=1),Finanziamenti!$C$6,0)</f>
        <v>0</v>
      </c>
      <c r="AX443" s="15" t="n">
        <f aca="false">IF(AND(8&lt;&gt;7,8&lt;&gt;9,Finanziamenti!$F$8=1,OR(Parametri_v3!$C$6=0,Finanziamenti!$E$8=1),Motore_Operativo!C443=EDATE(Finanziamenti!$D$8,Ipotesi!J15*12)),Finanziamenti!$C$8*1,0)+IF(AND(8&lt;&gt;7,8&lt;&gt;9,Finanziamenti!$F$9=1,OR(Parametri_v3!$C$6=0,Finanziamenti!$E$9=1),Motore_Operativo!C443=EDATE(Finanziamenti!$D$9,Ipotesi!J15*12)),Finanziamenti!$C$9*Ipotesi!J16,0)</f>
        <v>0</v>
      </c>
      <c r="AY443" s="15" t="n">
        <f aca="false">0</f>
        <v>0</v>
      </c>
      <c r="AZ443" s="15" t="n">
        <f aca="false">Motore_Advisory!AY443*(1-Ipotesi!$C$95)*Ipotesi!$C$96</f>
        <v>0</v>
      </c>
      <c r="BA443" s="15" t="n">
        <f aca="false">MAX(0,MIN(CG443*MIN(1,IF(Motore_Operativo!C443&gt;=EDATE(Finanziamenti!$D$15,Ipotesi!J14*12),Finanziamenti!$C$15,0)+IF(Motore_Operativo!C443&gt;=EDATE(Finanziamenti!$D$16,Ipotesi!J14*12),Finanziamenti!$C$16,0)+IF(Motore_Operativo!C443&gt;=EDATE(Finanziamenti!$D$17,Ipotesi!J14*12),Finanziamenti!$C$17,0)),CA443*Ipotesi!$C$102)-(CC442))</f>
        <v>0</v>
      </c>
      <c r="BB443" s="15" t="n">
        <f aca="false">IF(AND(CF443&gt;0,Motore_Operativo!C443&gt;=IF(CF443=0,0,EDATE(CF443,Parametri_v3!$C$37)),MOD(((D443-YEAR(IF(CF443=0,0,EDATE(CF443,Parametri_v3!$C$37))))*12+E443-MONTH(IF(CF443=0,0,EDATE(CF443,Parametri_v3!$C$37)))),Parametri_v3!$C$38)=0),MIN(MAX(0,(BC442)+BA443-N443),(CC443-CD443)/(Ipotesi!$C$108*12/Parametri_v3!$C$38)),0)</f>
        <v>0</v>
      </c>
      <c r="BC443" s="15" t="n">
        <f aca="false">(BC442)+BA443-N443-BB443</f>
        <v>57998.8645663402</v>
      </c>
      <c r="BD443" s="15" t="n">
        <f aca="false">(BH442)+AC443+AF443-AI443-AS443-K443*(1+Parametri_v3!$C$26)-AL443-AQ443-O443+AW443+AX443+AZ443+BA443-BB443</f>
        <v>22030.7256241572</v>
      </c>
      <c r="BE443" s="15" t="n">
        <f aca="false">MAX(0,MIN(MAX(0,CH443-(BG442)),Parametri_v3!$C$30-BD443))</f>
        <v>0</v>
      </c>
      <c r="BF443" s="15" t="n">
        <f aca="false">IF(Motore_Operativo!C443&gt;=Parametri_v3!$C$63,(BG442),MIN((BG442),MAX(0,BD443-Parametri_v3!$C$30)))</f>
        <v>0</v>
      </c>
      <c r="BG443" s="15" t="n">
        <f aca="false">(BG442)+BE443-BF443</f>
        <v>0</v>
      </c>
      <c r="BH443" s="15" t="n">
        <f aca="false">BD443+BE443-BF443-AY443</f>
        <v>22030.7256241572</v>
      </c>
      <c r="BI443" s="15" t="n">
        <f aca="false">MAX(0,Parametri_v3!$C$30-BH443)</f>
        <v>2969.27437584282</v>
      </c>
      <c r="BJ443" s="15" t="n">
        <f aca="false">(BJ442)+K443</f>
        <v>34583.3333333333</v>
      </c>
      <c r="BK443" s="15" t="n">
        <f aca="false">(BK442)+L443</f>
        <v>9120.37037037037</v>
      </c>
      <c r="BL443" s="15" t="n">
        <f aca="false">BJ443-BK443</f>
        <v>25462.962962963</v>
      </c>
      <c r="BM443" s="15" t="n">
        <f aca="false">(BM442)+Y443</f>
        <v>-409294.188420996</v>
      </c>
      <c r="BN443" s="15" t="n">
        <f aca="false">(BN442)+AW443+AX443+AZ443</f>
        <v>430000</v>
      </c>
      <c r="BO443" s="15" t="n">
        <f aca="false">(BO442)+AY443</f>
        <v>0</v>
      </c>
      <c r="BP443" s="15" t="n">
        <f aca="false">0</f>
        <v>0</v>
      </c>
      <c r="BQ443" s="15" t="n">
        <f aca="false">BN443+BM443-BO443</f>
        <v>20705.8115790038</v>
      </c>
      <c r="BR443" s="15" t="n">
        <f aca="false">BH443+AD443+BL443+MAX(0,-AM443)+MAX(0,-AR443)+AG443</f>
        <v>148413.86790339</v>
      </c>
      <c r="BS443" s="15" t="n">
        <f aca="false">AJ443+AV443+MAX(0,AM443)+MAX(0,AR443)+BC443+BG443+BQ443</f>
        <v>148413.86790339</v>
      </c>
      <c r="BT443" s="15" t="n">
        <f aca="false">BR443-BS443</f>
        <v>0</v>
      </c>
      <c r="BU443" s="15" t="n">
        <f aca="false">BH443-(BD443+BE443-BF443-AY443)</f>
        <v>0</v>
      </c>
      <c r="BV443" s="15" t="n">
        <f aca="false">MIN(Piano_SS!$C$6,(BV442)+IF(AND(Motore_Operativo!C443&gt;=EDATE(Parametri_v3!$C$24,Ipotesi!J14*12),Motore_Operativo!C443&lt;EDATE(Parametri_v3!$C$24,Parametri_v3!$C$25+Ipotesi!J14*12)),MAX(0,(Motore_Operativo!Y443+Motore_Operativo!X443*Parametri_v3!$C$14)*(1-Parametri_v3!$C$32))*Piano_SS!$D$6,0))</f>
        <v>114118.75</v>
      </c>
      <c r="BW443" s="15" t="n">
        <f aca="false">MIN(Piano_SS!$C$7,(BW442)+IF(AND(Motore_Operativo!C443&gt;=EDATE(Parametri_v3!$C$24,Ipotesi!J14*12),Motore_Operativo!C443&lt;EDATE(Parametri_v3!$C$24,Parametri_v3!$C$25+Ipotesi!J14*12)),MAX(0,(IF(19-(INT((Ipotesi!$C$91)/30))&lt;1,0,INDEX(Motore_Operativo!$BN$425:$BN$484,MAX(1,19-(INT((Ipotesi!$C$91)/30)))))*(1-(MOD((Ipotesi!$C$91),30)/30))+IF(19-(INT((Ipotesi!$C$91)/30))-1&lt;1,0,INDEX(Motore_Operativo!$BN$425:$BN$484,MAX(1,19-(INT((Ipotesi!$C$91)/30))-1)))*(MOD((Ipotesi!$C$91),30)/30)))*Piano_SS!$D$7,0))</f>
        <v>17664.9327656361</v>
      </c>
      <c r="BX443" s="15" t="n">
        <f aca="false">MIN(Piano_SS!$C$8,(BX442)+IF(AND(Motore_Operativo!C443&gt;=EDATE(Parametri_v3!$C$24,Ipotesi!J14*12),Motore_Operativo!C443&lt;EDATE(Parametri_v3!$C$24,Parametri_v3!$C$25+Ipotesi!J14*12)),MAX(0,Motore_Operativo!CE443)*Piano_SS!$D$8,0))</f>
        <v>24583.3333333333</v>
      </c>
      <c r="BY443" s="15" t="n">
        <f aca="false">MIN(Piano_SS!$C$9,(BY442)+IF(AND(Motore_Operativo!C443&gt;=EDATE(Parametri_v3!$C$24,Ipotesi!J14*12),Motore_Operativo!C443&lt;EDATE(Parametri_v3!$C$24,Parametri_v3!$C$25+Ipotesi!J14*12)),MAX(0,((IF(19-(INT((Ipotesi!$C$91)/30))&lt;1,0,INDEX(Motore_Operativo!$BQ$425:$BQ$484,MAX(1,19-(INT((Ipotesi!$C$91)/30)))))*(1-(MOD((Ipotesi!$C$91),30)/30))+IF(19-(INT((Ipotesi!$C$91)/30))-1&lt;1,0,INDEX(Motore_Operativo!$BQ$425:$BQ$484,MAX(1,19-(INT((Ipotesi!$C$91)/30))-1)))*(MOD((Ipotesi!$C$91),30)/30))+(IF(19-(INT((Ipotesi!$C$91)/30))&lt;1,0,INDEX(Motore_Operativo!$BR$425:$BR$484,MAX(1,19-(INT((Ipotesi!$C$91)/30)))))*(1-(MOD((Ipotesi!$C$91),30)/30))+IF(19-(INT((Ipotesi!$C$91)/30))-1&lt;1,0,INDEX(Motore_Operativo!$BR$425:$BR$484,MAX(1,19-(INT((Ipotesi!$C$91)/30))-1)))*(MOD((Ipotesi!$C$91),30)/30))))*Piano_SS!$D$9,0))</f>
        <v>32583.3333333333</v>
      </c>
      <c r="BZ443" s="15" t="n">
        <f aca="false">MIN(Piano_SS!$C$10,(BZ442)+IF(AND(Motore_Operativo!C443&gt;=EDATE(Parametri_v3!$C$24,Ipotesi!J14*12),Motore_Operativo!C443&lt;EDATE(Parametri_v3!$C$24,Parametri_v3!$C$25+Ipotesi!J14*12)),MAX(0,(IF(19-(INT((Ipotesi!$C$91)/30))&lt;1,0,INDEX(Motore_Operativo!$BO$425:$BO$484,MAX(1,19-(INT((Ipotesi!$C$91)/30)))))*(1-(MOD((Ipotesi!$C$91),30)/30))+IF(19-(INT((Ipotesi!$C$91)/30))-1&lt;1,0,INDEX(Motore_Operativo!$BO$425:$BO$484,MAX(1,19-(INT((Ipotesi!$C$91)/30))-1)))*(MOD((Ipotesi!$C$91),30)/30)))*Piano_SS!$D$10,0))</f>
        <v>17166.6666666667</v>
      </c>
      <c r="CA443" s="15" t="n">
        <f aca="false">SUM(BV443:BZ443)</f>
        <v>206117.016098969</v>
      </c>
      <c r="CB443" s="15" t="n">
        <f aca="false">BV443*(1-Piano_SS!$E$6)+BW443*(1-Piano_SS!$E$7)+BX443*(1-Piano_SS!$E$8)+BY443*(1-Piano_SS!$E$9)+BZ443*(1-Piano_SS!$E$10)</f>
        <v>188950.349432303</v>
      </c>
      <c r="CC443" s="15" t="n">
        <f aca="false">(CC442)+BA443</f>
        <v>80000</v>
      </c>
      <c r="CD443" s="15" t="n">
        <f aca="false">IF(CA443=0,0,CC443*CB443/CA443*Ipotesi!$C$103*Parametri_v3!$C$64)</f>
        <v>22001.1354336598</v>
      </c>
      <c r="CE443" s="18" t="n">
        <f aca="false">IF(BA443&gt;0,Motore_Operativo!C443,(CE442))</f>
        <v>46784</v>
      </c>
      <c r="CF443" s="18" t="n">
        <f aca="false">IF(AND(CC443&gt;0,OR(CC443&gt;=CG443-0.01,Motore_Operativo!C443&gt;=EDATE(MAX(Finanziamenti!$D$15:$D$17),Ipotesi!J14*12))),CE443,0)</f>
        <v>0</v>
      </c>
      <c r="CG443" s="15" t="n">
        <f aca="false">IF(AND(8&lt;&gt;6,8&lt;&gt;9,Finanziamenti!$F$11=1,OR(Parametri_v3!$C$6=0,Finanziamenti!$E$11=1)),MIN(Finanziamenti!$C$11,Piano_SS!$C$12*Ipotesi!$C$102),0)</f>
        <v>400000</v>
      </c>
      <c r="CH443" s="15" t="n">
        <f aca="false">IF(AND(AND(8&lt;&gt;8,8&lt;&gt;9,Finanziamenti!$F$10=1,OR(Parametri_v3!$C$6=0,Finanziamenti!$E$10=1)),Motore_Operativo!C443&gt;=Finanziamenti!$D$10,Motore_Operativo!C443&lt;Parametri_v3!$C$63),Finanziamenti!$C$10,0)</f>
        <v>0</v>
      </c>
    </row>
    <row r="444" customFormat="false" ht="18" hidden="false" customHeight="true" outlineLevel="0" collapsed="false">
      <c r="A444" s="68" t="n">
        <f aca="false">8</f>
        <v>8</v>
      </c>
      <c r="B444" s="68" t="n">
        <f aca="false">20</f>
        <v>20</v>
      </c>
      <c r="C444" s="18" t="n">
        <f aca="false">Motore_Operativo!C444</f>
        <v>46966</v>
      </c>
      <c r="D444" s="68" t="n">
        <f aca="false">Motore_Operativo!D444</f>
        <v>2028</v>
      </c>
      <c r="E444" s="68" t="n">
        <f aca="false">Motore_Operativo!E444</f>
        <v>8</v>
      </c>
      <c r="F444" s="15" t="n">
        <f aca="false">Motore_Operativo!AQ444+Motore_Operativo!BF444</f>
        <v>28266.9494267139</v>
      </c>
      <c r="G444" s="15" t="n">
        <f aca="false">Motore_Operativo!BH444</f>
        <v>3398.1220657277</v>
      </c>
      <c r="H444" s="15" t="n">
        <f aca="false">Motore_Operativo!BI444</f>
        <v>31665.0714924416</v>
      </c>
      <c r="I444" s="15" t="n">
        <f aca="false">Motore_Operativo!CA444</f>
        <v>57670.1499150451</v>
      </c>
      <c r="J444" s="15" t="n">
        <f aca="false">Motore_Operativo!CC444</f>
        <v>-26005.0784226035</v>
      </c>
      <c r="K444" s="15" t="n">
        <f aca="false">Motore_Operativo!CE444</f>
        <v>2083.33333333333</v>
      </c>
      <c r="L444" s="15" t="n">
        <f aca="false">SUM(INDEX($K$425:$K$484,MAX(1,20-Parametri_v3!$C$59+1)):K444)/Parametri_v3!$C$59</f>
        <v>1018.51851851852</v>
      </c>
      <c r="M444" s="15" t="n">
        <f aca="false">J444-L444</f>
        <v>-27023.5969411221</v>
      </c>
      <c r="N444" s="15" t="n">
        <f aca="false">CD444-(CD443)</f>
        <v>-11.3885736161428</v>
      </c>
      <c r="O444" s="15" t="n">
        <f aca="false">(BG443)*Ipotesi!$C$110/12+CH444*Parametri_v3!$C$39/12</f>
        <v>0</v>
      </c>
      <c r="P444" s="15" t="n">
        <f aca="false">M444+N444-O444</f>
        <v>-27034.9855147382</v>
      </c>
      <c r="Q444" s="15" t="n">
        <f aca="false">SUM(P437:P444)+Parametri_v3!$C$54*8/12</f>
        <v>-226859.782122869</v>
      </c>
      <c r="R444" s="15" t="n">
        <f aca="false">Z436</f>
        <v>209469.391812865</v>
      </c>
      <c r="S444" s="15" t="n">
        <f aca="false">AA436</f>
        <v>0</v>
      </c>
      <c r="T444" s="15" t="n">
        <f aca="false">MIN(R444,MAX(0,Q444))</f>
        <v>0</v>
      </c>
      <c r="U444" s="15" t="n">
        <f aca="false">MIN(S444,MAX(0,Q444-T444)*Parametri_v3!$C$42)</f>
        <v>0</v>
      </c>
      <c r="V444" s="15" t="n">
        <f aca="false">MAX(0,Q444-T444-U444)*Ipotesi!$C$92</f>
        <v>0</v>
      </c>
      <c r="W444" s="15" t="n">
        <f aca="false">MAX(0,SUM(M437:M444)+Parametri_v3!$C$55*8/12)*Ipotesi!$C$93</f>
        <v>0</v>
      </c>
      <c r="X444" s="15" t="n">
        <f aca="false">V444+W444-(V443+W443)</f>
        <v>0</v>
      </c>
      <c r="Y444" s="15" t="n">
        <f aca="false">P444-X444</f>
        <v>-27034.9855147382</v>
      </c>
      <c r="Z444" s="15" t="n">
        <f aca="false">R444-T444+IF(AND(Parametri_v3!$C$40=1,D444-YEAR(Parametri_v3!$C$50)&lt;Parametri_v3!$C$41),MAX(0,-Q444),0)</f>
        <v>436329.173935734</v>
      </c>
      <c r="AA444" s="15" t="n">
        <f aca="false">S444-U444+IF(AND(Parametri_v3!$C$40=1,D444-YEAR(Parametri_v3!$C$50)&lt;Parametri_v3!$C$41),0,MAX(0,-Q444))</f>
        <v>0</v>
      </c>
      <c r="AB444" s="15" t="n">
        <f aca="false">F444*(1+Parametri_v3!$C$26)</f>
        <v>34485.6783005909</v>
      </c>
      <c r="AC444" s="15" t="n">
        <f aca="false">(IF(20-(INT((Motore_Operativo!L444)/30))&lt;1,0,INDEX(Motore_Startup!$AB$425:$AB$484,MAX(1,20-(INT((Motore_Operativo!L444)/30)))))*(1-(MOD((Motore_Operativo!L444),30)/30))+IF(20-(INT((Motore_Operativo!L444)/30))-1&lt;1,0,INDEX(Motore_Startup!$AB$425:$AB$484,MAX(1,20-(INT((Motore_Operativo!L444)/30))-1)))*(MOD((Motore_Operativo!L444),30)/30))</f>
        <v>31134.5886032381</v>
      </c>
      <c r="AD444" s="15" t="n">
        <f aca="false">(AD443)+AB444-AC444</f>
        <v>100125.560093434</v>
      </c>
      <c r="AE444" s="15" t="n">
        <f aca="false">Motore_Operativo!BH444*(1+Parametri_v3!$C$26)</f>
        <v>4145.70892018779</v>
      </c>
      <c r="AF444" s="15" t="n">
        <f aca="false">(IF(20-(INT((Parametri_v3!$C$29)/30))&lt;1,0,INDEX(Motore_Operativo!$BH$425:$BH$484,MAX(1,20-(INT((Parametri_v3!$C$29)/30)))))*(1-(MOD((Parametri_v3!$C$29),30)/30))+IF(20-(INT((Parametri_v3!$C$29)/30))-1&lt;1,0,INDEX(Motore_Operativo!$BH$425:$BH$484,MAX(1,20-(INT((Parametri_v3!$C$29)/30))-1)))*(MOD((Parametri_v3!$C$29),30)/30))*(1+Parametri_v3!$C$26)</f>
        <v>4145.70892018779</v>
      </c>
      <c r="AG444" s="15" t="n">
        <f aca="false">(AG443)+AE444-AF444</f>
        <v>4145.70892018779</v>
      </c>
      <c r="AH444" s="15" t="n">
        <f aca="false">(Motore_Operativo!CJ444)*(1+Parametri_v3!$C$27*Parametri_v3!$C$26)</f>
        <v>21256.3804491586</v>
      </c>
      <c r="AI444" s="15" t="n">
        <f aca="false">(IF(20-(INT((Ipotesi!$C$91)/30))&lt;1,0,INDEX(Motore_Startup!$AH$425:$AH$484,MAX(1,20-(INT((Ipotesi!$C$91)/30)))))*(1-(MOD((Ipotesi!$C$91),30)/30))+IF(20-(INT((Ipotesi!$C$91)/30))-1&lt;1,0,INDEX(Motore_Startup!$AH$425:$AH$484,MAX(1,20-(INT((Ipotesi!$C$91)/30))-1)))*(MOD((Ipotesi!$C$91),30)/30))</f>
        <v>20953.4100629259</v>
      </c>
      <c r="AJ444" s="15" t="n">
        <f aca="false">(AJ443)+AH444-AI444</f>
        <v>42361.9407241812</v>
      </c>
      <c r="AK444" s="15" t="n">
        <f aca="false">(F444+ Motore_Operativo!BH444-(Motore_Operativo!CJ444)*Parametri_v3!$C$27-Motore_Operativo!CE444)*Parametri_v3!$C$26</f>
        <v>3159.25186089038</v>
      </c>
      <c r="AL444" s="15" t="n">
        <f aca="false">MAX(0,(AM443))</f>
        <v>2983.34642009712</v>
      </c>
      <c r="AM444" s="15" t="n">
        <f aca="false">(AM443)+AK444-AL444</f>
        <v>3159.25186089038</v>
      </c>
      <c r="AN444" s="15" t="n">
        <f aca="false">SUM(X425:X436)</f>
        <v>0</v>
      </c>
      <c r="AO444" s="15" t="n">
        <f aca="false">SUM(AP425:AP436)</f>
        <v>0</v>
      </c>
      <c r="AP444" s="15" t="n">
        <f aca="false">MAX(0,AN444)*IF(8=Parametri_v3!$C$43,Parametri_v3!$C$45,IF(8=Parametri_v3!$C$44,1-Parametri_v3!$C$45,0))</f>
        <v>0</v>
      </c>
      <c r="AQ444" s="15" t="n">
        <f aca="false">MAX(0,AP444+IF(8=Parametri_v3!$C$43,MAX(0,AN444-AO444),0)-MAX(0,-(AR443)))</f>
        <v>0</v>
      </c>
      <c r="AR444" s="15" t="n">
        <f aca="false">(AR443)+X444-AQ444</f>
        <v>0</v>
      </c>
      <c r="AS444" s="15" t="n">
        <f aca="false">Motore_Operativo!AB444-AT444+AU444</f>
        <v>37774.375</v>
      </c>
      <c r="AT444" s="15" t="n">
        <f aca="false">Motore_Operativo!CH444</f>
        <v>1988.125</v>
      </c>
      <c r="AU444" s="15" t="n">
        <f aca="false">MIN(MAX(0,(AV443)+AT444),Parametri_v3!$C$60/12)</f>
        <v>0</v>
      </c>
      <c r="AV444" s="15" t="n">
        <f aca="false">(AV443)+AT444-AU444</f>
        <v>26655</v>
      </c>
      <c r="AW444" s="15" t="n">
        <f aca="false">IF(AND(Motore_Operativo!C444=Finanziamenti!$D$6,Finanziamenti!$F$6=1),Finanziamenti!$C$6,0)</f>
        <v>0</v>
      </c>
      <c r="AX444" s="15" t="n">
        <f aca="false">IF(AND(8&lt;&gt;7,8&lt;&gt;9,Finanziamenti!$F$8=1,OR(Parametri_v3!$C$6=0,Finanziamenti!$E$8=1),Motore_Operativo!C444=EDATE(Finanziamenti!$D$8,Ipotesi!J15*12)),Finanziamenti!$C$8*1,0)+IF(AND(8&lt;&gt;7,8&lt;&gt;9,Finanziamenti!$F$9=1,OR(Parametri_v3!$C$6=0,Finanziamenti!$E$9=1),Motore_Operativo!C444=EDATE(Finanziamenti!$D$9,Ipotesi!J15*12)),Finanziamenti!$C$9*Ipotesi!J16,0)</f>
        <v>0</v>
      </c>
      <c r="AY444" s="15" t="n">
        <f aca="false">0</f>
        <v>0</v>
      </c>
      <c r="AZ444" s="15" t="n">
        <f aca="false">Motore_Advisory!AY444*(1-Ipotesi!$C$95)*Ipotesi!$C$96</f>
        <v>0</v>
      </c>
      <c r="BA444" s="15" t="n">
        <f aca="false">MAX(0,MIN(CG444*MIN(1,IF(Motore_Operativo!C444&gt;=EDATE(Finanziamenti!$D$15,Ipotesi!J14*12),Finanziamenti!$C$15,0)+IF(Motore_Operativo!C444&gt;=EDATE(Finanziamenti!$D$16,Ipotesi!J14*12),Finanziamenti!$C$16,0)+IF(Motore_Operativo!C444&gt;=EDATE(Finanziamenti!$D$17,Ipotesi!J14*12),Finanziamenti!$C$17,0)),CA444*Ipotesi!$C$102)-(CC443))</f>
        <v>0</v>
      </c>
      <c r="BB444" s="15" t="n">
        <f aca="false">IF(AND(CF444&gt;0,Motore_Operativo!C444&gt;=IF(CF444=0,0,EDATE(CF444,Parametri_v3!$C$37)),MOD(((D444-YEAR(IF(CF444=0,0,EDATE(CF444,Parametri_v3!$C$37))))*12+E444-MONTH(IF(CF444=0,0,EDATE(CF444,Parametri_v3!$C$37)))),Parametri_v3!$C$38)=0),MIN(MAX(0,(BC443)+BA444-N444),(CC444-CD444)/(Ipotesi!$C$108*12/Parametri_v3!$C$38)),0)</f>
        <v>0</v>
      </c>
      <c r="BC444" s="15" t="n">
        <f aca="false">(BC443)+BA444-N444-BB444</f>
        <v>58010.2531399563</v>
      </c>
      <c r="BD444" s="15" t="n">
        <f aca="false">(BH443)+AC444+AF444-AI444-AS444-K444*(1+Parametri_v3!$C$26)-AL444-AQ444-O444+AW444+AX444+AZ444+BA444-BB444</f>
        <v>-6941.7750021066</v>
      </c>
      <c r="BE444" s="15" t="n">
        <f aca="false">MAX(0,MIN(MAX(0,CH444-(BG443)),Parametri_v3!$C$30-BD444))</f>
        <v>0</v>
      </c>
      <c r="BF444" s="15" t="n">
        <f aca="false">IF(Motore_Operativo!C444&gt;=Parametri_v3!$C$63,(BG443),MIN((BG443),MAX(0,BD444-Parametri_v3!$C$30)))</f>
        <v>0</v>
      </c>
      <c r="BG444" s="15" t="n">
        <f aca="false">(BG443)+BE444-BF444</f>
        <v>0</v>
      </c>
      <c r="BH444" s="15" t="n">
        <f aca="false">BD444+BE444-BF444-AY444</f>
        <v>-6941.7750021066</v>
      </c>
      <c r="BI444" s="15" t="n">
        <f aca="false">MAX(0,Parametri_v3!$C$30-BH444)</f>
        <v>31941.7750021066</v>
      </c>
      <c r="BJ444" s="15" t="n">
        <f aca="false">(BJ443)+K444</f>
        <v>36666.6666666667</v>
      </c>
      <c r="BK444" s="15" t="n">
        <f aca="false">(BK443)+L444</f>
        <v>10138.8888888889</v>
      </c>
      <c r="BL444" s="15" t="n">
        <f aca="false">BJ444-BK444</f>
        <v>26527.7777777778</v>
      </c>
      <c r="BM444" s="15" t="n">
        <f aca="false">(BM443)+Y444</f>
        <v>-436329.173935734</v>
      </c>
      <c r="BN444" s="15" t="n">
        <f aca="false">(BN443)+AW444+AX444+AZ444</f>
        <v>430000</v>
      </c>
      <c r="BO444" s="15" t="n">
        <f aca="false">(BO443)+AY444</f>
        <v>0</v>
      </c>
      <c r="BP444" s="15" t="n">
        <f aca="false">0</f>
        <v>0</v>
      </c>
      <c r="BQ444" s="15" t="n">
        <f aca="false">BN444+BM444-BO444</f>
        <v>-6329.17393573443</v>
      </c>
      <c r="BR444" s="15" t="n">
        <f aca="false">BH444+AD444+BL444+MAX(0,-AM444)+MAX(0,-AR444)+AG444</f>
        <v>123857.271789293</v>
      </c>
      <c r="BS444" s="15" t="n">
        <f aca="false">AJ444+AV444+MAX(0,AM444)+MAX(0,AR444)+BC444+BG444+BQ444</f>
        <v>123857.271789293</v>
      </c>
      <c r="BT444" s="15" t="n">
        <f aca="false">BR444-BS444</f>
        <v>0</v>
      </c>
      <c r="BU444" s="15" t="n">
        <f aca="false">BH444-(BD444+BE444-BF444-AY444)</f>
        <v>0</v>
      </c>
      <c r="BV444" s="15" t="n">
        <f aca="false">MIN(Piano_SS!$C$6,(BV443)+IF(AND(Motore_Operativo!C444&gt;=EDATE(Parametri_v3!$C$24,Ipotesi!J14*12),Motore_Operativo!C444&lt;EDATE(Parametri_v3!$C$24,Parametri_v3!$C$25+Ipotesi!J14*12)),MAX(0,(Motore_Operativo!Y444+Motore_Operativo!X444*Parametri_v3!$C$14)*(1-Parametri_v3!$C$32))*Piano_SS!$D$6,0))</f>
        <v>126350</v>
      </c>
      <c r="BW444" s="15" t="n">
        <f aca="false">MIN(Piano_SS!$C$7,(BW443)+IF(AND(Motore_Operativo!C444&gt;=EDATE(Parametri_v3!$C$24,Ipotesi!J14*12),Motore_Operativo!C444&lt;EDATE(Parametri_v3!$C$24,Parametri_v3!$C$25+Ipotesi!J14*12)),MAX(0,(IF(20-(INT((Ipotesi!$C$91)/30))&lt;1,0,INDEX(Motore_Operativo!$BN$425:$BN$484,MAX(1,20-(INT((Ipotesi!$C$91)/30)))))*(1-(MOD((Ipotesi!$C$91),30)/30))+IF(20-(INT((Ipotesi!$C$91)/30))-1&lt;1,0,INDEX(Motore_Operativo!$BN$425:$BN$484,MAX(1,20-(INT((Ipotesi!$C$91)/30))-1)))*(MOD((Ipotesi!$C$91),30)/30)))*Piano_SS!$D$7,0))</f>
        <v>19320.4370474985</v>
      </c>
      <c r="BX444" s="15" t="n">
        <f aca="false">MIN(Piano_SS!$C$8,(BX443)+IF(AND(Motore_Operativo!C444&gt;=EDATE(Parametri_v3!$C$24,Ipotesi!J14*12),Motore_Operativo!C444&lt;EDATE(Parametri_v3!$C$24,Parametri_v3!$C$25+Ipotesi!J14*12)),MAX(0,Motore_Operativo!CE444)*Piano_SS!$D$8,0))</f>
        <v>26666.6666666667</v>
      </c>
      <c r="BY444" s="15" t="n">
        <f aca="false">MIN(Piano_SS!$C$9,(BY443)+IF(AND(Motore_Operativo!C444&gt;=EDATE(Parametri_v3!$C$24,Ipotesi!J14*12),Motore_Operativo!C444&lt;EDATE(Parametri_v3!$C$24,Parametri_v3!$C$25+Ipotesi!J14*12)),MAX(0,((IF(20-(INT((Ipotesi!$C$91)/30))&lt;1,0,INDEX(Motore_Operativo!$BQ$425:$BQ$484,MAX(1,20-(INT((Ipotesi!$C$91)/30)))))*(1-(MOD((Ipotesi!$C$91),30)/30))+IF(20-(INT((Ipotesi!$C$91)/30))-1&lt;1,0,INDEX(Motore_Operativo!$BQ$425:$BQ$484,MAX(1,20-(INT((Ipotesi!$C$91)/30))-1)))*(MOD((Ipotesi!$C$91),30)/30))+(IF(20-(INT((Ipotesi!$C$91)/30))&lt;1,0,INDEX(Motore_Operativo!$BR$425:$BR$484,MAX(1,20-(INT((Ipotesi!$C$91)/30)))))*(1-(MOD((Ipotesi!$C$91),30)/30))+IF(20-(INT((Ipotesi!$C$91)/30))-1&lt;1,0,INDEX(Motore_Operativo!$BR$425:$BR$484,MAX(1,20-(INT((Ipotesi!$C$91)/30))-1)))*(MOD((Ipotesi!$C$91),30)/30))))*Piano_SS!$D$9,0))</f>
        <v>35500</v>
      </c>
      <c r="BZ444" s="15" t="n">
        <f aca="false">MIN(Piano_SS!$C$10,(BZ443)+IF(AND(Motore_Operativo!C444&gt;=EDATE(Parametri_v3!$C$24,Ipotesi!J14*12),Motore_Operativo!C444&lt;EDATE(Parametri_v3!$C$24,Parametri_v3!$C$25+Ipotesi!J14*12)),MAX(0,(IF(20-(INT((Ipotesi!$C$91)/30))&lt;1,0,INDEX(Motore_Operativo!$BO$425:$BO$484,MAX(1,20-(INT((Ipotesi!$C$91)/30)))))*(1-(MOD((Ipotesi!$C$91),30)/30))+IF(20-(INT((Ipotesi!$C$91)/30))-1&lt;1,0,INDEX(Motore_Operativo!$BO$425:$BO$484,MAX(1,20-(INT((Ipotesi!$C$91)/30))-1)))*(MOD((Ipotesi!$C$91),30)/30)))*Piano_SS!$D$10,0))</f>
        <v>19000</v>
      </c>
      <c r="CA444" s="15" t="n">
        <f aca="false">SUM(BV444:BZ444)</f>
        <v>226837.103714165</v>
      </c>
      <c r="CB444" s="15" t="n">
        <f aca="false">BV444*(1-Piano_SS!$E$6)+BW444*(1-Piano_SS!$E$7)+BX444*(1-Piano_SS!$E$8)+BY444*(1-Piano_SS!$E$9)+BZ444*(1-Piano_SS!$E$10)</f>
        <v>207837.103714165</v>
      </c>
      <c r="CC444" s="15" t="n">
        <f aca="false">(CC443)+BA444</f>
        <v>80000</v>
      </c>
      <c r="CD444" s="15" t="n">
        <f aca="false">IF(CA444=0,0,CC444*CB444/CA444*Ipotesi!$C$103*Parametri_v3!$C$64)</f>
        <v>21989.7468600437</v>
      </c>
      <c r="CE444" s="18" t="n">
        <f aca="false">IF(BA444&gt;0,Motore_Operativo!C444,(CE443))</f>
        <v>46784</v>
      </c>
      <c r="CF444" s="18" t="n">
        <f aca="false">IF(AND(CC444&gt;0,OR(CC444&gt;=CG444-0.01,Motore_Operativo!C444&gt;=EDATE(MAX(Finanziamenti!$D$15:$D$17),Ipotesi!J14*12))),CE444,0)</f>
        <v>0</v>
      </c>
      <c r="CG444" s="15" t="n">
        <f aca="false">IF(AND(8&lt;&gt;6,8&lt;&gt;9,Finanziamenti!$F$11=1,OR(Parametri_v3!$C$6=0,Finanziamenti!$E$11=1)),MIN(Finanziamenti!$C$11,Piano_SS!$C$12*Ipotesi!$C$102),0)</f>
        <v>400000</v>
      </c>
      <c r="CH444" s="15" t="n">
        <f aca="false">IF(AND(AND(8&lt;&gt;8,8&lt;&gt;9,Finanziamenti!$F$10=1,OR(Parametri_v3!$C$6=0,Finanziamenti!$E$10=1)),Motore_Operativo!C444&gt;=Finanziamenti!$D$10,Motore_Operativo!C444&lt;Parametri_v3!$C$63),Finanziamenti!$C$10,0)</f>
        <v>0</v>
      </c>
    </row>
    <row r="445" customFormat="false" ht="18" hidden="false" customHeight="true" outlineLevel="0" collapsed="false">
      <c r="A445" s="68" t="n">
        <f aca="false">8</f>
        <v>8</v>
      </c>
      <c r="B445" s="68" t="n">
        <f aca="false">21</f>
        <v>21</v>
      </c>
      <c r="C445" s="18" t="n">
        <f aca="false">Motore_Operativo!C445</f>
        <v>46997</v>
      </c>
      <c r="D445" s="68" t="n">
        <f aca="false">Motore_Operativo!D445</f>
        <v>2028</v>
      </c>
      <c r="E445" s="68" t="n">
        <f aca="false">Motore_Operativo!E445</f>
        <v>9</v>
      </c>
      <c r="F445" s="15" t="n">
        <f aca="false">Motore_Operativo!AQ445+Motore_Operativo!BF445</f>
        <v>29166.5869453654</v>
      </c>
      <c r="G445" s="15" t="n">
        <f aca="false">Motore_Operativo!BH445</f>
        <v>3398.1220657277</v>
      </c>
      <c r="H445" s="15" t="n">
        <f aca="false">Motore_Operativo!BI445</f>
        <v>32564.7090110931</v>
      </c>
      <c r="I445" s="15" t="n">
        <f aca="false">Motore_Operativo!CA445</f>
        <v>57796.0991676563</v>
      </c>
      <c r="J445" s="15" t="n">
        <f aca="false">Motore_Operativo!CC445</f>
        <v>-25231.3901565633</v>
      </c>
      <c r="K445" s="15" t="n">
        <f aca="false">Motore_Operativo!CE445</f>
        <v>2083.33333333333</v>
      </c>
      <c r="L445" s="15" t="n">
        <f aca="false">SUM(INDEX($K$425:$K$484,MAX(1,21-Parametri_v3!$C$59+1)):K445)/Parametri_v3!$C$59</f>
        <v>1076.38888888889</v>
      </c>
      <c r="M445" s="15" t="n">
        <f aca="false">J445-L445</f>
        <v>-26307.7790454521</v>
      </c>
      <c r="N445" s="15" t="n">
        <f aca="false">CD445-(CD444)</f>
        <v>-8.8847553389096</v>
      </c>
      <c r="O445" s="15" t="n">
        <f aca="false">(BG444)*Ipotesi!$C$110/12+CH445*Parametri_v3!$C$39/12</f>
        <v>0</v>
      </c>
      <c r="P445" s="15" t="n">
        <f aca="false">M445+N445-O445</f>
        <v>-26316.6638007911</v>
      </c>
      <c r="Q445" s="15" t="n">
        <f aca="false">SUM(P437:P445)+Parametri_v3!$C$54*9/12</f>
        <v>-253176.44592366</v>
      </c>
      <c r="R445" s="15" t="n">
        <f aca="false">Z436</f>
        <v>209469.391812865</v>
      </c>
      <c r="S445" s="15" t="n">
        <f aca="false">AA436</f>
        <v>0</v>
      </c>
      <c r="T445" s="15" t="n">
        <f aca="false">MIN(R445,MAX(0,Q445))</f>
        <v>0</v>
      </c>
      <c r="U445" s="15" t="n">
        <f aca="false">MIN(S445,MAX(0,Q445-T445)*Parametri_v3!$C$42)</f>
        <v>0</v>
      </c>
      <c r="V445" s="15" t="n">
        <f aca="false">MAX(0,Q445-T445-U445)*Ipotesi!$C$92</f>
        <v>0</v>
      </c>
      <c r="W445" s="15" t="n">
        <f aca="false">MAX(0,SUM(M437:M445)+Parametri_v3!$C$55*9/12)*Ipotesi!$C$93</f>
        <v>0</v>
      </c>
      <c r="X445" s="15" t="n">
        <f aca="false">V445+W445-(V444+W444)</f>
        <v>0</v>
      </c>
      <c r="Y445" s="15" t="n">
        <f aca="false">P445-X445</f>
        <v>-26316.6638007911</v>
      </c>
      <c r="Z445" s="15" t="n">
        <f aca="false">R445-T445+IF(AND(Parametri_v3!$C$40=1,D445-YEAR(Parametri_v3!$C$50)&lt;Parametri_v3!$C$41),MAX(0,-Q445),0)</f>
        <v>462645.837736526</v>
      </c>
      <c r="AA445" s="15" t="n">
        <f aca="false">S445-U445+IF(AND(Parametri_v3!$C$40=1,D445-YEAR(Parametri_v3!$C$50)&lt;Parametri_v3!$C$41),0,MAX(0,-Q445))</f>
        <v>0</v>
      </c>
      <c r="AB445" s="15" t="n">
        <f aca="false">F445*(1+Parametri_v3!$C$26)</f>
        <v>35583.2360733457</v>
      </c>
      <c r="AC445" s="15" t="n">
        <f aca="false">(IF(21-(INT((Motore_Operativo!L445)/30))&lt;1,0,INDEX(Motore_Startup!$AB$425:$AB$484,MAX(1,21-(INT((Motore_Operativo!L445)/30)))))*(1-(MOD((Motore_Operativo!L445),30)/30))+IF(21-(INT((Motore_Operativo!L445)/30))-1&lt;1,0,INDEX(Motore_Startup!$AB$425:$AB$484,MAX(1,21-(INT((Motore_Operativo!L445)/30))-1)))*(MOD((Motore_Operativo!L445),30)/30))</f>
        <v>32261.4402984015</v>
      </c>
      <c r="AD445" s="15" t="n">
        <f aca="false">(AD444)+AB445-AC445</f>
        <v>103447.355868379</v>
      </c>
      <c r="AE445" s="15" t="n">
        <f aca="false">Motore_Operativo!BH445*(1+Parametri_v3!$C$26)</f>
        <v>4145.70892018779</v>
      </c>
      <c r="AF445" s="15" t="n">
        <f aca="false">(IF(21-(INT((Parametri_v3!$C$29)/30))&lt;1,0,INDEX(Motore_Operativo!$BH$425:$BH$484,MAX(1,21-(INT((Parametri_v3!$C$29)/30)))))*(1-(MOD((Parametri_v3!$C$29),30)/30))+IF(21-(INT((Parametri_v3!$C$29)/30))-1&lt;1,0,INDEX(Motore_Operativo!$BH$425:$BH$484,MAX(1,21-(INT((Parametri_v3!$C$29)/30))-1)))*(MOD((Parametri_v3!$C$29),30)/30))*(1+Parametri_v3!$C$26)</f>
        <v>4145.70892018779</v>
      </c>
      <c r="AG445" s="15" t="n">
        <f aca="false">(AG444)+AE445-AF445</f>
        <v>4145.70892018779</v>
      </c>
      <c r="AH445" s="15" t="n">
        <f aca="false">(Motore_Operativo!CJ445)*(1+Parametri_v3!$C$27*Parametri_v3!$C$26)</f>
        <v>21405.882212008</v>
      </c>
      <c r="AI445" s="15" t="n">
        <f aca="false">(IF(21-(INT((Ipotesi!$C$91)/30))&lt;1,0,INDEX(Motore_Startup!$AH$425:$AH$484,MAX(1,21-(INT((Ipotesi!$C$91)/30)))))*(1-(MOD((Ipotesi!$C$91),30)/30))+IF(21-(INT((Ipotesi!$C$91)/30))-1&lt;1,0,INDEX(Motore_Startup!$AH$425:$AH$484,MAX(1,21-(INT((Ipotesi!$C$91)/30))-1)))*(MOD((Ipotesi!$C$91),30)/30))</f>
        <v>21105.5602750226</v>
      </c>
      <c r="AJ445" s="15" t="n">
        <f aca="false">(AJ444)+AH445-AI445</f>
        <v>42662.2626611666</v>
      </c>
      <c r="AK445" s="15" t="n">
        <f aca="false">(F445+ Motore_Operativo!BH445-(Motore_Operativo!CJ445)*Parametri_v3!$C$27-Motore_Operativo!CE445)*Parametri_v3!$C$26</f>
        <v>3333.61960475541</v>
      </c>
      <c r="AL445" s="15" t="n">
        <f aca="false">MAX(0,(AM444))</f>
        <v>3159.25186089038</v>
      </c>
      <c r="AM445" s="15" t="n">
        <f aca="false">(AM444)+AK445-AL445</f>
        <v>3333.61960475541</v>
      </c>
      <c r="AN445" s="15" t="n">
        <f aca="false">SUM(X425:X436)</f>
        <v>0</v>
      </c>
      <c r="AO445" s="15" t="n">
        <f aca="false">SUM(AP425:AP436)</f>
        <v>0</v>
      </c>
      <c r="AP445" s="15" t="n">
        <f aca="false">MAX(0,AN445)*IF(9=Parametri_v3!$C$43,Parametri_v3!$C$45,IF(9=Parametri_v3!$C$44,1-Parametri_v3!$C$45,0))</f>
        <v>0</v>
      </c>
      <c r="AQ445" s="15" t="n">
        <f aca="false">MAX(0,AP445+IF(9=Parametri_v3!$C$43,MAX(0,AN445-AO445),0)-MAX(0,-(AR444)))</f>
        <v>0</v>
      </c>
      <c r="AR445" s="15" t="n">
        <f aca="false">(AR444)+X445-AQ445</f>
        <v>0</v>
      </c>
      <c r="AS445" s="15" t="n">
        <f aca="false">Motore_Operativo!AB445-AT445+AU445</f>
        <v>37774.375</v>
      </c>
      <c r="AT445" s="15" t="n">
        <f aca="false">Motore_Operativo!CH445</f>
        <v>1988.125</v>
      </c>
      <c r="AU445" s="15" t="n">
        <f aca="false">MIN(MAX(0,(AV444)+AT445),Parametri_v3!$C$60/12)</f>
        <v>0</v>
      </c>
      <c r="AV445" s="15" t="n">
        <f aca="false">(AV444)+AT445-AU445</f>
        <v>28643.125</v>
      </c>
      <c r="AW445" s="15" t="n">
        <f aca="false">IF(AND(Motore_Operativo!C445=Finanziamenti!$D$6,Finanziamenti!$F$6=1),Finanziamenti!$C$6,0)</f>
        <v>0</v>
      </c>
      <c r="AX445" s="15" t="n">
        <f aca="false">IF(AND(8&lt;&gt;7,8&lt;&gt;9,Finanziamenti!$F$8=1,OR(Parametri_v3!$C$6=0,Finanziamenti!$E$8=1),Motore_Operativo!C445=EDATE(Finanziamenti!$D$8,Ipotesi!J15*12)),Finanziamenti!$C$8*1,0)+IF(AND(8&lt;&gt;7,8&lt;&gt;9,Finanziamenti!$F$9=1,OR(Parametri_v3!$C$6=0,Finanziamenti!$E$9=1),Motore_Operativo!C445=EDATE(Finanziamenti!$D$9,Ipotesi!J15*12)),Finanziamenti!$C$9*Ipotesi!J16,0)</f>
        <v>0</v>
      </c>
      <c r="AY445" s="15" t="n">
        <f aca="false">0</f>
        <v>0</v>
      </c>
      <c r="AZ445" s="15" t="n">
        <f aca="false">Motore_Advisory!AY445*(1-Ipotesi!$C$95)*Ipotesi!$C$96</f>
        <v>0</v>
      </c>
      <c r="BA445" s="15" t="n">
        <f aca="false">MAX(0,MIN(CG445*MIN(1,IF(Motore_Operativo!C445&gt;=EDATE(Finanziamenti!$D$15,Ipotesi!J14*12),Finanziamenti!$C$15,0)+IF(Motore_Operativo!C445&gt;=EDATE(Finanziamenti!$D$16,Ipotesi!J14*12),Finanziamenti!$C$16,0)+IF(Motore_Operativo!C445&gt;=EDATE(Finanziamenti!$D$17,Ipotesi!J14*12),Finanziamenti!$C$17,0)),CA445*Ipotesi!$C$102)-(CC444))</f>
        <v>0</v>
      </c>
      <c r="BB445" s="15" t="n">
        <f aca="false">IF(AND(CF445&gt;0,Motore_Operativo!C445&gt;=IF(CF445=0,0,EDATE(CF445,Parametri_v3!$C$37)),MOD(((D445-YEAR(IF(CF445=0,0,EDATE(CF445,Parametri_v3!$C$37))))*12+E445-MONTH(IF(CF445=0,0,EDATE(CF445,Parametri_v3!$C$37)))),Parametri_v3!$C$38)=0),MIN(MAX(0,(BC444)+BA445-N445),(CC445-CD445)/(Ipotesi!$C$108*12/Parametri_v3!$C$38)),0)</f>
        <v>0</v>
      </c>
      <c r="BC445" s="15" t="n">
        <f aca="false">(BC444)+BA445-N445-BB445</f>
        <v>58019.1378952952</v>
      </c>
      <c r="BD445" s="15" t="n">
        <f aca="false">(BH444)+AC445+AF445-AI445-AS445-K445*(1+Parametri_v3!$C$26)-AL445-AQ445-O445+AW445+AX445+AZ445+BA445-BB445</f>
        <v>-35115.479586097</v>
      </c>
      <c r="BE445" s="15" t="n">
        <f aca="false">MAX(0,MIN(MAX(0,CH445-(BG444)),Parametri_v3!$C$30-BD445))</f>
        <v>0</v>
      </c>
      <c r="BF445" s="15" t="n">
        <f aca="false">IF(Motore_Operativo!C445&gt;=Parametri_v3!$C$63,(BG444),MIN((BG444),MAX(0,BD445-Parametri_v3!$C$30)))</f>
        <v>0</v>
      </c>
      <c r="BG445" s="15" t="n">
        <f aca="false">(BG444)+BE445-BF445</f>
        <v>0</v>
      </c>
      <c r="BH445" s="15" t="n">
        <f aca="false">BD445+BE445-BF445-AY445</f>
        <v>-35115.479586097</v>
      </c>
      <c r="BI445" s="15" t="n">
        <f aca="false">MAX(0,Parametri_v3!$C$30-BH445)</f>
        <v>60115.479586097</v>
      </c>
      <c r="BJ445" s="15" t="n">
        <f aca="false">(BJ444)+K445</f>
        <v>38750</v>
      </c>
      <c r="BK445" s="15" t="n">
        <f aca="false">(BK444)+L445</f>
        <v>11215.2777777778</v>
      </c>
      <c r="BL445" s="15" t="n">
        <f aca="false">BJ445-BK445</f>
        <v>27534.7222222222</v>
      </c>
      <c r="BM445" s="15" t="n">
        <f aca="false">(BM444)+Y445</f>
        <v>-462645.837736526</v>
      </c>
      <c r="BN445" s="15" t="n">
        <f aca="false">(BN444)+AW445+AX445+AZ445</f>
        <v>430000</v>
      </c>
      <c r="BO445" s="15" t="n">
        <f aca="false">(BO444)+AY445</f>
        <v>0</v>
      </c>
      <c r="BP445" s="15" t="n">
        <f aca="false">0</f>
        <v>0</v>
      </c>
      <c r="BQ445" s="15" t="n">
        <f aca="false">BN445+BM445-BO445</f>
        <v>-32645.8377365255</v>
      </c>
      <c r="BR445" s="15" t="n">
        <f aca="false">BH445+AD445+BL445+MAX(0,-AM445)+MAX(0,-AR445)+AG445</f>
        <v>100012.307424692</v>
      </c>
      <c r="BS445" s="15" t="n">
        <f aca="false">AJ445+AV445+MAX(0,AM445)+MAX(0,AR445)+BC445+BG445+BQ445</f>
        <v>100012.307424692</v>
      </c>
      <c r="BT445" s="15" t="n">
        <f aca="false">BR445-BS445</f>
        <v>0</v>
      </c>
      <c r="BU445" s="15" t="n">
        <f aca="false">BH445-(BD445+BE445-BF445-AY445)</f>
        <v>0</v>
      </c>
      <c r="BV445" s="15" t="n">
        <f aca="false">MIN(Piano_SS!$C$6,(BV444)+IF(AND(Motore_Operativo!C445&gt;=EDATE(Parametri_v3!$C$24,Ipotesi!J14*12),Motore_Operativo!C445&lt;EDATE(Parametri_v3!$C$24,Parametri_v3!$C$25+Ipotesi!J14*12)),MAX(0,(Motore_Operativo!Y445+Motore_Operativo!X445*Parametri_v3!$C$14)*(1-Parametri_v3!$C$32))*Piano_SS!$D$6,0))</f>
        <v>138581.25</v>
      </c>
      <c r="BW445" s="15" t="n">
        <f aca="false">MIN(Piano_SS!$C$7,(BW444)+IF(AND(Motore_Operativo!C445&gt;=EDATE(Parametri_v3!$C$24,Ipotesi!J14*12),Motore_Operativo!C445&lt;EDATE(Parametri_v3!$C$24,Parametri_v3!$C$25+Ipotesi!J14*12)),MAX(0,(IF(21-(INT((Ipotesi!$C$91)/30))&lt;1,0,INDEX(Motore_Operativo!$BN$425:$BN$484,MAX(1,21-(INT((Ipotesi!$C$91)/30)))))*(1-(MOD((Ipotesi!$C$91),30)/30))+IF(21-(INT((Ipotesi!$C$91)/30))-1&lt;1,0,INDEX(Motore_Operativo!$BN$425:$BN$484,MAX(1,21-(INT((Ipotesi!$C$91)/30))-1)))*(MOD((Ipotesi!$C$91),30)/30)))*Piano_SS!$D$7,0))</f>
        <v>21049.1873094291</v>
      </c>
      <c r="BX445" s="15" t="n">
        <f aca="false">MIN(Piano_SS!$C$8,(BX444)+IF(AND(Motore_Operativo!C445&gt;=EDATE(Parametri_v3!$C$24,Ipotesi!J14*12),Motore_Operativo!C445&lt;EDATE(Parametri_v3!$C$24,Parametri_v3!$C$25+Ipotesi!J14*12)),MAX(0,Motore_Operativo!CE445)*Piano_SS!$D$8,0))</f>
        <v>28750</v>
      </c>
      <c r="BY445" s="15" t="n">
        <f aca="false">MIN(Piano_SS!$C$9,(BY444)+IF(AND(Motore_Operativo!C445&gt;=EDATE(Parametri_v3!$C$24,Ipotesi!J14*12),Motore_Operativo!C445&lt;EDATE(Parametri_v3!$C$24,Parametri_v3!$C$25+Ipotesi!J14*12)),MAX(0,((IF(21-(INT((Ipotesi!$C$91)/30))&lt;1,0,INDEX(Motore_Operativo!$BQ$425:$BQ$484,MAX(1,21-(INT((Ipotesi!$C$91)/30)))))*(1-(MOD((Ipotesi!$C$91),30)/30))+IF(21-(INT((Ipotesi!$C$91)/30))-1&lt;1,0,INDEX(Motore_Operativo!$BQ$425:$BQ$484,MAX(1,21-(INT((Ipotesi!$C$91)/30))-1)))*(MOD((Ipotesi!$C$91),30)/30))+(IF(21-(INT((Ipotesi!$C$91)/30))&lt;1,0,INDEX(Motore_Operativo!$BR$425:$BR$484,MAX(1,21-(INT((Ipotesi!$C$91)/30)))))*(1-(MOD((Ipotesi!$C$91),30)/30))+IF(21-(INT((Ipotesi!$C$91)/30))-1&lt;1,0,INDEX(Motore_Operativo!$BR$425:$BR$484,MAX(1,21-(INT((Ipotesi!$C$91)/30))-1)))*(MOD((Ipotesi!$C$91),30)/30))))*Piano_SS!$D$9,0))</f>
        <v>38416.6666666667</v>
      </c>
      <c r="BZ445" s="15" t="n">
        <f aca="false">MIN(Piano_SS!$C$10,(BZ444)+IF(AND(Motore_Operativo!C445&gt;=EDATE(Parametri_v3!$C$24,Ipotesi!J14*12),Motore_Operativo!C445&lt;EDATE(Parametri_v3!$C$24,Parametri_v3!$C$25+Ipotesi!J14*12)),MAX(0,(IF(21-(INT((Ipotesi!$C$91)/30))&lt;1,0,INDEX(Motore_Operativo!$BO$425:$BO$484,MAX(1,21-(INT((Ipotesi!$C$91)/30)))))*(1-(MOD((Ipotesi!$C$91),30)/30))+IF(21-(INT((Ipotesi!$C$91)/30))-1&lt;1,0,INDEX(Motore_Operativo!$BO$425:$BO$484,MAX(1,21-(INT((Ipotesi!$C$91)/30))-1)))*(MOD((Ipotesi!$C$91),30)/30)))*Piano_SS!$D$10,0))</f>
        <v>20833.3333333333</v>
      </c>
      <c r="CA445" s="15" t="n">
        <f aca="false">SUM(BV445:BZ445)</f>
        <v>247630.437309429</v>
      </c>
      <c r="CB445" s="15" t="n">
        <f aca="false">BV445*(1-Piano_SS!$E$6)+BW445*(1-Piano_SS!$E$7)+BX445*(1-Piano_SS!$E$8)+BY445*(1-Piano_SS!$E$9)+BZ445*(1-Piano_SS!$E$10)</f>
        <v>226797.103976096</v>
      </c>
      <c r="CC445" s="15" t="n">
        <f aca="false">(CC444)+BA445</f>
        <v>80000</v>
      </c>
      <c r="CD445" s="15" t="n">
        <f aca="false">IF(CA445=0,0,CC445*CB445/CA445*Ipotesi!$C$103*Parametri_v3!$C$64)</f>
        <v>21980.8621047048</v>
      </c>
      <c r="CE445" s="18" t="n">
        <f aca="false">IF(BA445&gt;0,Motore_Operativo!C445,(CE444))</f>
        <v>46784</v>
      </c>
      <c r="CF445" s="18" t="n">
        <f aca="false">IF(AND(CC445&gt;0,OR(CC445&gt;=CG445-0.01,Motore_Operativo!C445&gt;=EDATE(MAX(Finanziamenti!$D$15:$D$17),Ipotesi!J14*12))),CE445,0)</f>
        <v>0</v>
      </c>
      <c r="CG445" s="15" t="n">
        <f aca="false">IF(AND(8&lt;&gt;6,8&lt;&gt;9,Finanziamenti!$F$11=1,OR(Parametri_v3!$C$6=0,Finanziamenti!$E$11=1)),MIN(Finanziamenti!$C$11,Piano_SS!$C$12*Ipotesi!$C$102),0)</f>
        <v>400000</v>
      </c>
      <c r="CH445" s="15" t="n">
        <f aca="false">IF(AND(AND(8&lt;&gt;8,8&lt;&gt;9,Finanziamenti!$F$10=1,OR(Parametri_v3!$C$6=0,Finanziamenti!$E$10=1)),Motore_Operativo!C445&gt;=Finanziamenti!$D$10,Motore_Operativo!C445&lt;Parametri_v3!$C$63),Finanziamenti!$C$10,0)</f>
        <v>0</v>
      </c>
    </row>
    <row r="446" customFormat="false" ht="18" hidden="false" customHeight="true" outlineLevel="0" collapsed="false">
      <c r="A446" s="68" t="n">
        <f aca="false">8</f>
        <v>8</v>
      </c>
      <c r="B446" s="68" t="n">
        <f aca="false">22</f>
        <v>22</v>
      </c>
      <c r="C446" s="18" t="n">
        <f aca="false">Motore_Operativo!C446</f>
        <v>47027</v>
      </c>
      <c r="D446" s="68" t="n">
        <f aca="false">Motore_Operativo!D446</f>
        <v>2028</v>
      </c>
      <c r="E446" s="68" t="n">
        <f aca="false">Motore_Operativo!E446</f>
        <v>10</v>
      </c>
      <c r="F446" s="15" t="n">
        <f aca="false">Motore_Operativo!AQ446+Motore_Operativo!BF446</f>
        <v>30058.3601828285</v>
      </c>
      <c r="G446" s="15" t="n">
        <f aca="false">Motore_Operativo!BH446</f>
        <v>3398.1220657277</v>
      </c>
      <c r="H446" s="15" t="n">
        <f aca="false">Motore_Operativo!BI446</f>
        <v>33456.4822485563</v>
      </c>
      <c r="I446" s="15" t="n">
        <f aca="false">Motore_Operativo!CA446</f>
        <v>57920.9474209012</v>
      </c>
      <c r="J446" s="15" t="n">
        <f aca="false">Motore_Operativo!CC446</f>
        <v>-24464.4651723449</v>
      </c>
      <c r="K446" s="15" t="n">
        <f aca="false">Motore_Operativo!CE446</f>
        <v>2083.33333333333</v>
      </c>
      <c r="L446" s="15" t="n">
        <f aca="false">SUM(INDEX($K$425:$K$484,MAX(1,22-Parametri_v3!$C$59+1)):K446)/Parametri_v3!$C$59</f>
        <v>1134.25925925926</v>
      </c>
      <c r="M446" s="15" t="n">
        <f aca="false">J446-L446</f>
        <v>-25598.7244316042</v>
      </c>
      <c r="N446" s="15" t="n">
        <f aca="false">CD446-(CD445)</f>
        <v>-17.0718789111634</v>
      </c>
      <c r="O446" s="15" t="n">
        <f aca="false">(BG445)*Ipotesi!$C$110/12+CH446*Parametri_v3!$C$39/12</f>
        <v>0</v>
      </c>
      <c r="P446" s="15" t="n">
        <f aca="false">M446+N446-O446</f>
        <v>-25615.7963105153</v>
      </c>
      <c r="Q446" s="15" t="n">
        <f aca="false">SUM(P437:P446)+Parametri_v3!$C$54*10/12</f>
        <v>-278792.242234175</v>
      </c>
      <c r="R446" s="15" t="n">
        <f aca="false">Z436</f>
        <v>209469.391812865</v>
      </c>
      <c r="S446" s="15" t="n">
        <f aca="false">AA436</f>
        <v>0</v>
      </c>
      <c r="T446" s="15" t="n">
        <f aca="false">MIN(R446,MAX(0,Q446))</f>
        <v>0</v>
      </c>
      <c r="U446" s="15" t="n">
        <f aca="false">MIN(S446,MAX(0,Q446-T446)*Parametri_v3!$C$42)</f>
        <v>0</v>
      </c>
      <c r="V446" s="15" t="n">
        <f aca="false">MAX(0,Q446-T446-U446)*Ipotesi!$C$92</f>
        <v>0</v>
      </c>
      <c r="W446" s="15" t="n">
        <f aca="false">MAX(0,SUM(M437:M446)+Parametri_v3!$C$55*10/12)*Ipotesi!$C$93</f>
        <v>0</v>
      </c>
      <c r="X446" s="15" t="n">
        <f aca="false">V446+W446-(V445+W445)</f>
        <v>0</v>
      </c>
      <c r="Y446" s="15" t="n">
        <f aca="false">P446-X446</f>
        <v>-25615.7963105153</v>
      </c>
      <c r="Z446" s="15" t="n">
        <f aca="false">R446-T446+IF(AND(Parametri_v3!$C$40=1,D446-YEAR(Parametri_v3!$C$50)&lt;Parametri_v3!$C$41),MAX(0,-Q446),0)</f>
        <v>488261.634047041</v>
      </c>
      <c r="AA446" s="15" t="n">
        <f aca="false">S446-U446+IF(AND(Parametri_v3!$C$40=1,D446-YEAR(Parametri_v3!$C$50)&lt;Parametri_v3!$C$41),0,MAX(0,-Q446))</f>
        <v>0</v>
      </c>
      <c r="AB446" s="15" t="n">
        <f aca="false">F446*(1+Parametri_v3!$C$26)</f>
        <v>36671.1994230508</v>
      </c>
      <c r="AC446" s="15" t="n">
        <f aca="false">(IF(22-(INT((Motore_Operativo!L446)/30))&lt;1,0,INDEX(Motore_Startup!$AB$425:$AB$484,MAX(1,22-(INT((Motore_Operativo!L446)/30)))))*(1-(MOD((Motore_Operativo!L446),30)/30))+IF(22-(INT((Motore_Operativo!L446)/30))-1&lt;1,0,INDEX(Motore_Startup!$AB$425:$AB$484,MAX(1,22-(INT((Motore_Operativo!L446)/30))-1)))*(MOD((Motore_Operativo!L446),30)/30))</f>
        <v>33378.4414944421</v>
      </c>
      <c r="AD446" s="15" t="n">
        <f aca="false">(AD445)+AB446-AC446</f>
        <v>106740.113796988</v>
      </c>
      <c r="AE446" s="15" t="n">
        <f aca="false">Motore_Operativo!BH446*(1+Parametri_v3!$C$26)</f>
        <v>4145.70892018779</v>
      </c>
      <c r="AF446" s="15" t="n">
        <f aca="false">(IF(22-(INT((Parametri_v3!$C$29)/30))&lt;1,0,INDEX(Motore_Operativo!$BH$425:$BH$484,MAX(1,22-(INT((Parametri_v3!$C$29)/30)))))*(1-(MOD((Parametri_v3!$C$29),30)/30))+IF(22-(INT((Parametri_v3!$C$29)/30))-1&lt;1,0,INDEX(Motore_Operativo!$BH$425:$BH$484,MAX(1,22-(INT((Parametri_v3!$C$29)/30))-1)))*(MOD((Parametri_v3!$C$29),30)/30))*(1+Parametri_v3!$C$26)</f>
        <v>4145.70892018779</v>
      </c>
      <c r="AG446" s="15" t="n">
        <f aca="false">(AG445)+AE446-AF446</f>
        <v>4145.70892018779</v>
      </c>
      <c r="AH446" s="15" t="n">
        <f aca="false">(Motore_Operativo!CJ446)*(1+Parametri_v3!$C$27*Parametri_v3!$C$26)</f>
        <v>21554.0770886097</v>
      </c>
      <c r="AI446" s="15" t="n">
        <f aca="false">(IF(22-(INT((Ipotesi!$C$91)/30))&lt;1,0,INDEX(Motore_Startup!$AH$425:$AH$484,MAX(1,22-(INT((Ipotesi!$C$91)/30)))))*(1-(MOD((Ipotesi!$C$91),30)/30))+IF(22-(INT((Ipotesi!$C$91)/30))-1&lt;1,0,INDEX(Motore_Startup!$AH$425:$AH$484,MAX(1,22-(INT((Ipotesi!$C$91)/30))-1)))*(MOD((Ipotesi!$C$91),30)/30))</f>
        <v>21256.3804491586</v>
      </c>
      <c r="AJ446" s="15" t="n">
        <f aca="false">(AJ445)+AH446-AI446</f>
        <v>42959.9593006177</v>
      </c>
      <c r="AK446" s="15" t="n">
        <f aca="false">(F446+ Motore_Operativo!BH446-(Motore_Operativo!CJ446)*Parametri_v3!$C$27-Motore_Operativo!CE446)*Parametri_v3!$C$26</f>
        <v>3506.46309364052</v>
      </c>
      <c r="AL446" s="15" t="n">
        <f aca="false">MAX(0,(AM445))</f>
        <v>3333.61960475541</v>
      </c>
      <c r="AM446" s="15" t="n">
        <f aca="false">(AM445)+AK446-AL446</f>
        <v>3506.46309364052</v>
      </c>
      <c r="AN446" s="15" t="n">
        <f aca="false">SUM(X425:X436)</f>
        <v>0</v>
      </c>
      <c r="AO446" s="15" t="n">
        <f aca="false">SUM(AP425:AP436)</f>
        <v>0</v>
      </c>
      <c r="AP446" s="15" t="n">
        <f aca="false">MAX(0,AN446)*IF(10=Parametri_v3!$C$43,Parametri_v3!$C$45,IF(10=Parametri_v3!$C$44,1-Parametri_v3!$C$45,0))</f>
        <v>0</v>
      </c>
      <c r="AQ446" s="15" t="n">
        <f aca="false">MAX(0,AP446+IF(10=Parametri_v3!$C$43,MAX(0,AN446-AO446),0)-MAX(0,-(AR445)))</f>
        <v>0</v>
      </c>
      <c r="AR446" s="15" t="n">
        <f aca="false">(AR445)+X446-AQ446</f>
        <v>0</v>
      </c>
      <c r="AS446" s="15" t="n">
        <f aca="false">Motore_Operativo!AB446-AT446+AU446</f>
        <v>37774.375</v>
      </c>
      <c r="AT446" s="15" t="n">
        <f aca="false">Motore_Operativo!CH446</f>
        <v>1988.125</v>
      </c>
      <c r="AU446" s="15" t="n">
        <f aca="false">MIN(MAX(0,(AV445)+AT446),Parametri_v3!$C$60/12)</f>
        <v>0</v>
      </c>
      <c r="AV446" s="15" t="n">
        <f aca="false">(AV445)+AT446-AU446</f>
        <v>30631.25</v>
      </c>
      <c r="AW446" s="15" t="n">
        <f aca="false">IF(AND(Motore_Operativo!C446=Finanziamenti!$D$6,Finanziamenti!$F$6=1),Finanziamenti!$C$6,0)</f>
        <v>0</v>
      </c>
      <c r="AX446" s="15" t="n">
        <f aca="false">IF(AND(8&lt;&gt;7,8&lt;&gt;9,Finanziamenti!$F$8=1,OR(Parametri_v3!$C$6=0,Finanziamenti!$E$8=1),Motore_Operativo!C446=EDATE(Finanziamenti!$D$8,Ipotesi!J15*12)),Finanziamenti!$C$8*1,0)+IF(AND(8&lt;&gt;7,8&lt;&gt;9,Finanziamenti!$F$9=1,OR(Parametri_v3!$C$6=0,Finanziamenti!$E$9=1),Motore_Operativo!C446=EDATE(Finanziamenti!$D$9,Ipotesi!J15*12)),Finanziamenti!$C$9*Ipotesi!J16,0)</f>
        <v>0</v>
      </c>
      <c r="AY446" s="15" t="n">
        <f aca="false">0</f>
        <v>0</v>
      </c>
      <c r="AZ446" s="15" t="n">
        <f aca="false">Motore_Advisory!AY446*(1-Ipotesi!$C$95)*Ipotesi!$C$96</f>
        <v>0</v>
      </c>
      <c r="BA446" s="15" t="n">
        <f aca="false">MAX(0,MIN(CG446*MIN(1,IF(Motore_Operativo!C446&gt;=EDATE(Finanziamenti!$D$15,Ipotesi!J14*12),Finanziamenti!$C$15,0)+IF(Motore_Operativo!C446&gt;=EDATE(Finanziamenti!$D$16,Ipotesi!J14*12),Finanziamenti!$C$16,0)+IF(Motore_Operativo!C446&gt;=EDATE(Finanziamenti!$D$17,Ipotesi!J14*12),Finanziamenti!$C$17,0)),CA446*Ipotesi!$C$102)-(CC445))</f>
        <v>0</v>
      </c>
      <c r="BB446" s="15" t="n">
        <f aca="false">IF(AND(CF446&gt;0,Motore_Operativo!C446&gt;=IF(CF446=0,0,EDATE(CF446,Parametri_v3!$C$37)),MOD(((D446-YEAR(IF(CF446=0,0,EDATE(CF446,Parametri_v3!$C$37))))*12+E446-MONTH(IF(CF446=0,0,EDATE(CF446,Parametri_v3!$C$37)))),Parametri_v3!$C$38)=0),MIN(MAX(0,(BC445)+BA446-N446),(CC446-CD446)/(Ipotesi!$C$108*12/Parametri_v3!$C$38)),0)</f>
        <v>0</v>
      </c>
      <c r="BC446" s="15" t="n">
        <f aca="false">(BC445)+BA446-N446-BB446</f>
        <v>58036.2097742064</v>
      </c>
      <c r="BD446" s="15" t="n">
        <f aca="false">(BH445)+AC446+AF446-AI446-AS446-K446*(1+Parametri_v3!$C$26)-AL446-AQ446-O446+AW446+AX446+AZ446+BA446-BB446</f>
        <v>-62497.3708920478</v>
      </c>
      <c r="BE446" s="15" t="n">
        <f aca="false">MAX(0,MIN(MAX(0,CH446-(BG445)),Parametri_v3!$C$30-BD446))</f>
        <v>0</v>
      </c>
      <c r="BF446" s="15" t="n">
        <f aca="false">IF(Motore_Operativo!C446&gt;=Parametri_v3!$C$63,(BG445),MIN((BG445),MAX(0,BD446-Parametri_v3!$C$30)))</f>
        <v>0</v>
      </c>
      <c r="BG446" s="15" t="n">
        <f aca="false">(BG445)+BE446-BF446</f>
        <v>0</v>
      </c>
      <c r="BH446" s="15" t="n">
        <f aca="false">BD446+BE446-BF446-AY446</f>
        <v>-62497.3708920478</v>
      </c>
      <c r="BI446" s="15" t="n">
        <f aca="false">MAX(0,Parametri_v3!$C$30-BH446)</f>
        <v>87497.3708920478</v>
      </c>
      <c r="BJ446" s="15" t="n">
        <f aca="false">(BJ445)+K446</f>
        <v>40833.3333333333</v>
      </c>
      <c r="BK446" s="15" t="n">
        <f aca="false">(BK445)+L446</f>
        <v>12349.537037037</v>
      </c>
      <c r="BL446" s="15" t="n">
        <f aca="false">BJ446-BK446</f>
        <v>28483.7962962963</v>
      </c>
      <c r="BM446" s="15" t="n">
        <f aca="false">(BM445)+Y446</f>
        <v>-488261.634047041</v>
      </c>
      <c r="BN446" s="15" t="n">
        <f aca="false">(BN445)+AW446+AX446+AZ446</f>
        <v>430000</v>
      </c>
      <c r="BO446" s="15" t="n">
        <f aca="false">(BO445)+AY446</f>
        <v>0</v>
      </c>
      <c r="BP446" s="15" t="n">
        <f aca="false">0</f>
        <v>0</v>
      </c>
      <c r="BQ446" s="15" t="n">
        <f aca="false">BN446+BM446-BO446</f>
        <v>-58261.6340470408</v>
      </c>
      <c r="BR446" s="15" t="n">
        <f aca="false">BH446+AD446+BL446+MAX(0,-AM446)+MAX(0,-AR446)+AG446</f>
        <v>76872.2481214238</v>
      </c>
      <c r="BS446" s="15" t="n">
        <f aca="false">AJ446+AV446+MAX(0,AM446)+MAX(0,AR446)+BC446+BG446+BQ446</f>
        <v>76872.2481214239</v>
      </c>
      <c r="BT446" s="15" t="n">
        <f aca="false">BR446-BS446</f>
        <v>0</v>
      </c>
      <c r="BU446" s="15" t="n">
        <f aca="false">BH446-(BD446+BE446-BF446-AY446)</f>
        <v>0</v>
      </c>
      <c r="BV446" s="15" t="n">
        <f aca="false">MIN(Piano_SS!$C$6,(BV445)+IF(AND(Motore_Operativo!C446&gt;=EDATE(Parametri_v3!$C$24,Ipotesi!J14*12),Motore_Operativo!C446&lt;EDATE(Parametri_v3!$C$24,Parametri_v3!$C$25+Ipotesi!J14*12)),MAX(0,(Motore_Operativo!Y446+Motore_Operativo!X446*Parametri_v3!$C$14)*(1-Parametri_v3!$C$32))*Piano_SS!$D$6,0))</f>
        <v>150812.5</v>
      </c>
      <c r="BW446" s="15" t="n">
        <f aca="false">MIN(Piano_SS!$C$7,(BW445)+IF(AND(Motore_Operativo!C446&gt;=EDATE(Parametri_v3!$C$24,Ipotesi!J14*12),Motore_Operativo!C446&lt;EDATE(Parametri_v3!$C$24,Parametri_v3!$C$25+Ipotesi!J14*12)),MAX(0,(IF(22-(INT((Ipotesi!$C$91)/30))&lt;1,0,INDEX(Motore_Operativo!$BN$425:$BN$484,MAX(1,22-(INT((Ipotesi!$C$91)/30)))))*(1-(MOD((Ipotesi!$C$91),30)/30))+IF(22-(INT((Ipotesi!$C$91)/30))-1&lt;1,0,INDEX(Motore_Operativo!$BN$425:$BN$484,MAX(1,22-(INT((Ipotesi!$C$91)/30))-1)))*(MOD((Ipotesi!$C$91),30)/30)))*Piano_SS!$D$7,0))</f>
        <v>22850.5432635662</v>
      </c>
      <c r="BX446" s="15" t="n">
        <f aca="false">MIN(Piano_SS!$C$8,(BX445)+IF(AND(Motore_Operativo!C446&gt;=EDATE(Parametri_v3!$C$24,Ipotesi!J14*12),Motore_Operativo!C446&lt;EDATE(Parametri_v3!$C$24,Parametri_v3!$C$25+Ipotesi!J14*12)),MAX(0,Motore_Operativo!CE446)*Piano_SS!$D$8,0))</f>
        <v>30833.3333333333</v>
      </c>
      <c r="BY446" s="15" t="n">
        <f aca="false">MIN(Piano_SS!$C$9,(BY445)+IF(AND(Motore_Operativo!C446&gt;=EDATE(Parametri_v3!$C$24,Ipotesi!J14*12),Motore_Operativo!C446&lt;EDATE(Parametri_v3!$C$24,Parametri_v3!$C$25+Ipotesi!J14*12)),MAX(0,((IF(22-(INT((Ipotesi!$C$91)/30))&lt;1,0,INDEX(Motore_Operativo!$BQ$425:$BQ$484,MAX(1,22-(INT((Ipotesi!$C$91)/30)))))*(1-(MOD((Ipotesi!$C$91),30)/30))+IF(22-(INT((Ipotesi!$C$91)/30))-1&lt;1,0,INDEX(Motore_Operativo!$BQ$425:$BQ$484,MAX(1,22-(INT((Ipotesi!$C$91)/30))-1)))*(MOD((Ipotesi!$C$91),30)/30))+(IF(22-(INT((Ipotesi!$C$91)/30))&lt;1,0,INDEX(Motore_Operativo!$BR$425:$BR$484,MAX(1,22-(INT((Ipotesi!$C$91)/30)))))*(1-(MOD((Ipotesi!$C$91),30)/30))+IF(22-(INT((Ipotesi!$C$91)/30))-1&lt;1,0,INDEX(Motore_Operativo!$BR$425:$BR$484,MAX(1,22-(INT((Ipotesi!$C$91)/30))-1)))*(MOD((Ipotesi!$C$91),30)/30))))*Piano_SS!$D$9,0))</f>
        <v>40000</v>
      </c>
      <c r="BZ446" s="15" t="n">
        <f aca="false">MIN(Piano_SS!$C$10,(BZ445)+IF(AND(Motore_Operativo!C446&gt;=EDATE(Parametri_v3!$C$24,Ipotesi!J14*12),Motore_Operativo!C446&lt;EDATE(Parametri_v3!$C$24,Parametri_v3!$C$25+Ipotesi!J14*12)),MAX(0,(IF(22-(INT((Ipotesi!$C$91)/30))&lt;1,0,INDEX(Motore_Operativo!$BO$425:$BO$484,MAX(1,22-(INT((Ipotesi!$C$91)/30)))))*(1-(MOD((Ipotesi!$C$91),30)/30))+IF(22-(INT((Ipotesi!$C$91)/30))-1&lt;1,0,INDEX(Motore_Operativo!$BO$425:$BO$484,MAX(1,22-(INT((Ipotesi!$C$91)/30))-1)))*(MOD((Ipotesi!$C$91),30)/30)))*Piano_SS!$D$10,0))</f>
        <v>22666.6666666667</v>
      </c>
      <c r="CA446" s="15" t="n">
        <f aca="false">SUM(BV446:BZ446)</f>
        <v>267163.043263566</v>
      </c>
      <c r="CB446" s="15" t="n">
        <f aca="false">BV446*(1-Piano_SS!$E$6)+BW446*(1-Piano_SS!$E$7)+BX446*(1-Piano_SS!$E$8)+BY446*(1-Piano_SS!$E$9)+BZ446*(1-Piano_SS!$E$10)</f>
        <v>244496.3765969</v>
      </c>
      <c r="CC446" s="15" t="n">
        <f aca="false">(CC445)+BA446</f>
        <v>80000</v>
      </c>
      <c r="CD446" s="15" t="n">
        <f aca="false">IF(CA446=0,0,CC446*CB446/CA446*Ipotesi!$C$103*Parametri_v3!$C$64)</f>
        <v>21963.7902257936</v>
      </c>
      <c r="CE446" s="18" t="n">
        <f aca="false">IF(BA446&gt;0,Motore_Operativo!C446,(CE445))</f>
        <v>46784</v>
      </c>
      <c r="CF446" s="18" t="n">
        <f aca="false">IF(AND(CC446&gt;0,OR(CC446&gt;=CG446-0.01,Motore_Operativo!C446&gt;=EDATE(MAX(Finanziamenti!$D$15:$D$17),Ipotesi!J14*12))),CE446,0)</f>
        <v>0</v>
      </c>
      <c r="CG446" s="15" t="n">
        <f aca="false">IF(AND(8&lt;&gt;6,8&lt;&gt;9,Finanziamenti!$F$11=1,OR(Parametri_v3!$C$6=0,Finanziamenti!$E$11=1)),MIN(Finanziamenti!$C$11,Piano_SS!$C$12*Ipotesi!$C$102),0)</f>
        <v>400000</v>
      </c>
      <c r="CH446" s="15" t="n">
        <f aca="false">IF(AND(AND(8&lt;&gt;8,8&lt;&gt;9,Finanziamenti!$F$10=1,OR(Parametri_v3!$C$6=0,Finanziamenti!$E$10=1)),Motore_Operativo!C446&gt;=Finanziamenti!$D$10,Motore_Operativo!C446&lt;Parametri_v3!$C$63),Finanziamenti!$C$10,0)</f>
        <v>0</v>
      </c>
    </row>
    <row r="447" customFormat="false" ht="18" hidden="false" customHeight="true" outlineLevel="0" collapsed="false">
      <c r="A447" s="68" t="n">
        <f aca="false">8</f>
        <v>8</v>
      </c>
      <c r="B447" s="68" t="n">
        <f aca="false">23</f>
        <v>23</v>
      </c>
      <c r="C447" s="18" t="n">
        <f aca="false">Motore_Operativo!C447</f>
        <v>47058</v>
      </c>
      <c r="D447" s="68" t="n">
        <f aca="false">Motore_Operativo!D447</f>
        <v>2028</v>
      </c>
      <c r="E447" s="68" t="n">
        <f aca="false">Motore_Operativo!E447</f>
        <v>11</v>
      </c>
      <c r="F447" s="15" t="n">
        <f aca="false">Motore_Operativo!AQ447+Motore_Operativo!BF447</f>
        <v>30942.33788559</v>
      </c>
      <c r="G447" s="15" t="n">
        <f aca="false">Motore_Operativo!BH447</f>
        <v>3398.1220657277</v>
      </c>
      <c r="H447" s="15" t="n">
        <f aca="false">Motore_Operativo!BI447</f>
        <v>34340.4599513177</v>
      </c>
      <c r="I447" s="15" t="n">
        <f aca="false">Motore_Operativo!CA447</f>
        <v>58044.7042992878</v>
      </c>
      <c r="J447" s="15" t="n">
        <f aca="false">Motore_Operativo!CC447</f>
        <v>-23704.2443479701</v>
      </c>
      <c r="K447" s="15" t="n">
        <f aca="false">Motore_Operativo!CE447</f>
        <v>2083.33333333333</v>
      </c>
      <c r="L447" s="15" t="n">
        <f aca="false">SUM(INDEX($K$425:$K$484,MAX(1,23-Parametri_v3!$C$59+1)):K447)/Parametri_v3!$C$59</f>
        <v>1192.12962962963</v>
      </c>
      <c r="M447" s="15" t="n">
        <f aca="false">J447-L447</f>
        <v>-24896.3739775997</v>
      </c>
      <c r="N447" s="15" t="n">
        <f aca="false">CD447-(CD446)</f>
        <v>-25.6149021136225</v>
      </c>
      <c r="O447" s="15" t="n">
        <f aca="false">(BG446)*Ipotesi!$C$110/12+CH447*Parametri_v3!$C$39/12</f>
        <v>0</v>
      </c>
      <c r="P447" s="15" t="n">
        <f aca="false">M447+N447-O447</f>
        <v>-24921.9888797133</v>
      </c>
      <c r="Q447" s="15" t="n">
        <f aca="false">SUM(P437:P447)+Parametri_v3!$C$54*11/12</f>
        <v>-303714.231113889</v>
      </c>
      <c r="R447" s="15" t="n">
        <f aca="false">Z436</f>
        <v>209469.391812865</v>
      </c>
      <c r="S447" s="15" t="n">
        <f aca="false">AA436</f>
        <v>0</v>
      </c>
      <c r="T447" s="15" t="n">
        <f aca="false">MIN(R447,MAX(0,Q447))</f>
        <v>0</v>
      </c>
      <c r="U447" s="15" t="n">
        <f aca="false">MIN(S447,MAX(0,Q447-T447)*Parametri_v3!$C$42)</f>
        <v>0</v>
      </c>
      <c r="V447" s="15" t="n">
        <f aca="false">MAX(0,Q447-T447-U447)*Ipotesi!$C$92</f>
        <v>0</v>
      </c>
      <c r="W447" s="15" t="n">
        <f aca="false">MAX(0,SUM(M437:M447)+Parametri_v3!$C$55*11/12)*Ipotesi!$C$93</f>
        <v>0</v>
      </c>
      <c r="X447" s="15" t="n">
        <f aca="false">V447+W447-(V446+W446)</f>
        <v>0</v>
      </c>
      <c r="Y447" s="15" t="n">
        <f aca="false">P447-X447</f>
        <v>-24921.9888797133</v>
      </c>
      <c r="Z447" s="15" t="n">
        <f aca="false">R447-T447+IF(AND(Parametri_v3!$C$40=1,D447-YEAR(Parametri_v3!$C$50)&lt;Parametri_v3!$C$41),MAX(0,-Q447),0)</f>
        <v>513183.622926754</v>
      </c>
      <c r="AA447" s="15" t="n">
        <f aca="false">S447-U447+IF(AND(Parametri_v3!$C$40=1,D447-YEAR(Parametri_v3!$C$50)&lt;Parametri_v3!$C$41),0,MAX(0,-Q447))</f>
        <v>0</v>
      </c>
      <c r="AB447" s="15" t="n">
        <f aca="false">F447*(1+Parametri_v3!$C$26)</f>
        <v>37749.6522204198</v>
      </c>
      <c r="AC447" s="15" t="n">
        <f aca="false">(IF(23-(INT((Motore_Operativo!L447)/30))&lt;1,0,INDEX(Motore_Startup!$AB$425:$AB$484,MAX(1,23-(INT((Motore_Operativo!L447)/30)))))*(1-(MOD((Motore_Operativo!L447),30)/30))+IF(23-(INT((Motore_Operativo!L447)/30))-1&lt;1,0,INDEX(Motore_Startup!$AB$425:$AB$484,MAX(1,23-(INT((Motore_Operativo!L447)/30))-1)))*(MOD((Motore_Operativo!L447),30)/30))</f>
        <v>34485.6783005909</v>
      </c>
      <c r="AD447" s="15" t="n">
        <f aca="false">(AD446)+AB447-AC447</f>
        <v>110004.087716816</v>
      </c>
      <c r="AE447" s="15" t="n">
        <f aca="false">Motore_Operativo!BH447*(1+Parametri_v3!$C$26)</f>
        <v>4145.70892018779</v>
      </c>
      <c r="AF447" s="15" t="n">
        <f aca="false">(IF(23-(INT((Parametri_v3!$C$29)/30))&lt;1,0,INDEX(Motore_Operativo!$BH$425:$BH$484,MAX(1,23-(INT((Parametri_v3!$C$29)/30)))))*(1-(MOD((Parametri_v3!$C$29),30)/30))+IF(23-(INT((Parametri_v3!$C$29)/30))-1&lt;1,0,INDEX(Motore_Operativo!$BH$425:$BH$484,MAX(1,23-(INT((Parametri_v3!$C$29)/30))-1)))*(MOD((Parametri_v3!$C$29),30)/30))*(1+Parametri_v3!$C$26)</f>
        <v>4145.70892018779</v>
      </c>
      <c r="AG447" s="15" t="n">
        <f aca="false">(AG446)+AE447-AF447</f>
        <v>4145.70892018779</v>
      </c>
      <c r="AH447" s="15" t="n">
        <f aca="false">(Motore_Operativo!CJ447)*(1+Parametri_v3!$C$27*Parametri_v3!$C$26)</f>
        <v>21700.9765032546</v>
      </c>
      <c r="AI447" s="15" t="n">
        <f aca="false">(IF(23-(INT((Ipotesi!$C$91)/30))&lt;1,0,INDEX(Motore_Startup!$AH$425:$AH$484,MAX(1,23-(INT((Ipotesi!$C$91)/30)))))*(1-(MOD((Ipotesi!$C$91),30)/30))+IF(23-(INT((Ipotesi!$C$91)/30))-1&lt;1,0,INDEX(Motore_Startup!$AH$425:$AH$484,MAX(1,23-(INT((Ipotesi!$C$91)/30))-1)))*(MOD((Ipotesi!$C$91),30)/30))</f>
        <v>21405.882212008</v>
      </c>
      <c r="AJ447" s="15" t="n">
        <f aca="false">(AJ446)+AH447-AI447</f>
        <v>43255.0535918643</v>
      </c>
      <c r="AK447" s="15" t="n">
        <f aca="false">(F447+ Motore_Operativo!BH447-(Motore_Operativo!CJ447)*Parametri_v3!$C$27-Motore_Operativo!CE447)*Parametri_v3!$C$26</f>
        <v>3677.79565198975</v>
      </c>
      <c r="AL447" s="15" t="n">
        <f aca="false">MAX(0,(AM446))</f>
        <v>3506.46309364052</v>
      </c>
      <c r="AM447" s="15" t="n">
        <f aca="false">(AM446)+AK447-AL447</f>
        <v>3677.79565198975</v>
      </c>
      <c r="AN447" s="15" t="n">
        <f aca="false">SUM(X425:X436)</f>
        <v>0</v>
      </c>
      <c r="AO447" s="15" t="n">
        <f aca="false">SUM(AP425:AP436)</f>
        <v>0</v>
      </c>
      <c r="AP447" s="15" t="n">
        <f aca="false">MAX(0,AN447)*IF(11=Parametri_v3!$C$43,Parametri_v3!$C$45,IF(11=Parametri_v3!$C$44,1-Parametri_v3!$C$45,0))</f>
        <v>0</v>
      </c>
      <c r="AQ447" s="15" t="n">
        <f aca="false">MAX(0,AP447+IF(11=Parametri_v3!$C$43,MAX(0,AN447-AO447),0)-MAX(0,-(AR446)))</f>
        <v>0</v>
      </c>
      <c r="AR447" s="15" t="n">
        <f aca="false">(AR446)+X447-AQ447</f>
        <v>0</v>
      </c>
      <c r="AS447" s="15" t="n">
        <f aca="false">Motore_Operativo!AB447-AT447+AU447</f>
        <v>37774.375</v>
      </c>
      <c r="AT447" s="15" t="n">
        <f aca="false">Motore_Operativo!CH447</f>
        <v>1988.125</v>
      </c>
      <c r="AU447" s="15" t="n">
        <f aca="false">MIN(MAX(0,(AV446)+AT447),Parametri_v3!$C$60/12)</f>
        <v>0</v>
      </c>
      <c r="AV447" s="15" t="n">
        <f aca="false">(AV446)+AT447-AU447</f>
        <v>32619.375</v>
      </c>
      <c r="AW447" s="15" t="n">
        <f aca="false">IF(AND(Motore_Operativo!C447=Finanziamenti!$D$6,Finanziamenti!$F$6=1),Finanziamenti!$C$6,0)</f>
        <v>0</v>
      </c>
      <c r="AX447" s="15" t="n">
        <f aca="false">IF(AND(8&lt;&gt;7,8&lt;&gt;9,Finanziamenti!$F$8=1,OR(Parametri_v3!$C$6=0,Finanziamenti!$E$8=1),Motore_Operativo!C447=EDATE(Finanziamenti!$D$8,Ipotesi!J15*12)),Finanziamenti!$C$8*1,0)+IF(AND(8&lt;&gt;7,8&lt;&gt;9,Finanziamenti!$F$9=1,OR(Parametri_v3!$C$6=0,Finanziamenti!$E$9=1),Motore_Operativo!C447=EDATE(Finanziamenti!$D$9,Ipotesi!J15*12)),Finanziamenti!$C$9*Ipotesi!J16,0)</f>
        <v>0</v>
      </c>
      <c r="AY447" s="15" t="n">
        <f aca="false">0</f>
        <v>0</v>
      </c>
      <c r="AZ447" s="15" t="n">
        <f aca="false">Motore_Advisory!AY447*(1-Ipotesi!$C$95)*Ipotesi!$C$96</f>
        <v>0</v>
      </c>
      <c r="BA447" s="15" t="n">
        <f aca="false">MAX(0,MIN(CG447*MIN(1,IF(Motore_Operativo!C447&gt;=EDATE(Finanziamenti!$D$15,Ipotesi!J14*12),Finanziamenti!$C$15,0)+IF(Motore_Operativo!C447&gt;=EDATE(Finanziamenti!$D$16,Ipotesi!J14*12),Finanziamenti!$C$16,0)+IF(Motore_Operativo!C447&gt;=EDATE(Finanziamenti!$D$17,Ipotesi!J14*12),Finanziamenti!$C$17,0)),CA447*Ipotesi!$C$102)-(CC446))</f>
        <v>0</v>
      </c>
      <c r="BB447" s="15" t="n">
        <f aca="false">IF(AND(CF447&gt;0,Motore_Operativo!C447&gt;=IF(CF447=0,0,EDATE(CF447,Parametri_v3!$C$37)),MOD(((D447-YEAR(IF(CF447=0,0,EDATE(CF447,Parametri_v3!$C$37))))*12+E447-MONTH(IF(CF447=0,0,EDATE(CF447,Parametri_v3!$C$37)))),Parametri_v3!$C$38)=0),MIN(MAX(0,(BC446)+BA447-N447),(CC447-CD447)/(Ipotesi!$C$108*12/Parametri_v3!$C$38)),0)</f>
        <v>0</v>
      </c>
      <c r="BC447" s="15" t="n">
        <f aca="false">(BC446)+BA447-N447-BB447</f>
        <v>58061.82467632</v>
      </c>
      <c r="BD447" s="15" t="n">
        <f aca="false">(BH446)+AC447+AF447-AI447-AS447-K447*(1+Parametri_v3!$C$26)-AL447-AQ447-O447+AW447+AX447+AZ447+BA447-BB447</f>
        <v>-89094.3706435843</v>
      </c>
      <c r="BE447" s="15" t="n">
        <f aca="false">MAX(0,MIN(MAX(0,CH447-(BG446)),Parametri_v3!$C$30-BD447))</f>
        <v>0</v>
      </c>
      <c r="BF447" s="15" t="n">
        <f aca="false">IF(Motore_Operativo!C447&gt;=Parametri_v3!$C$63,(BG446),MIN((BG446),MAX(0,BD447-Parametri_v3!$C$30)))</f>
        <v>0</v>
      </c>
      <c r="BG447" s="15" t="n">
        <f aca="false">(BG446)+BE447-BF447</f>
        <v>0</v>
      </c>
      <c r="BH447" s="15" t="n">
        <f aca="false">BD447+BE447-BF447-AY447</f>
        <v>-89094.3706435843</v>
      </c>
      <c r="BI447" s="15" t="n">
        <f aca="false">MAX(0,Parametri_v3!$C$30-BH447)</f>
        <v>114094.370643584</v>
      </c>
      <c r="BJ447" s="15" t="n">
        <f aca="false">(BJ446)+K447</f>
        <v>42916.6666666667</v>
      </c>
      <c r="BK447" s="15" t="n">
        <f aca="false">(BK446)+L447</f>
        <v>13541.6666666667</v>
      </c>
      <c r="BL447" s="15" t="n">
        <f aca="false">BJ447-BK447</f>
        <v>29375</v>
      </c>
      <c r="BM447" s="15" t="n">
        <f aca="false">(BM446)+Y447</f>
        <v>-513183.622926754</v>
      </c>
      <c r="BN447" s="15" t="n">
        <f aca="false">(BN446)+AW447+AX447+AZ447</f>
        <v>430000</v>
      </c>
      <c r="BO447" s="15" t="n">
        <f aca="false">(BO446)+AY447</f>
        <v>0</v>
      </c>
      <c r="BP447" s="15" t="n">
        <f aca="false">0</f>
        <v>0</v>
      </c>
      <c r="BQ447" s="15" t="n">
        <f aca="false">BN447+BM447-BO447</f>
        <v>-83183.6229267541</v>
      </c>
      <c r="BR447" s="15" t="n">
        <f aca="false">BH447+AD447+BL447+MAX(0,-AM447)+MAX(0,-AR447)+AG447</f>
        <v>54430.4259934199</v>
      </c>
      <c r="BS447" s="15" t="n">
        <f aca="false">AJ447+AV447+MAX(0,AM447)+MAX(0,AR447)+BC447+BG447+BQ447</f>
        <v>54430.42599342</v>
      </c>
      <c r="BT447" s="15" t="n">
        <f aca="false">BR447-BS447</f>
        <v>0</v>
      </c>
      <c r="BU447" s="15" t="n">
        <f aca="false">BH447-(BD447+BE447-BF447-AY447)</f>
        <v>0</v>
      </c>
      <c r="BV447" s="15" t="n">
        <f aca="false">MIN(Piano_SS!$C$6,(BV446)+IF(AND(Motore_Operativo!C447&gt;=EDATE(Parametri_v3!$C$24,Ipotesi!J14*12),Motore_Operativo!C447&lt;EDATE(Parametri_v3!$C$24,Parametri_v3!$C$25+Ipotesi!J14*12)),MAX(0,(Motore_Operativo!Y447+Motore_Operativo!X447*Parametri_v3!$C$14)*(1-Parametri_v3!$C$32))*Piano_SS!$D$6,0))</f>
        <v>163043.75</v>
      </c>
      <c r="BW447" s="15" t="n">
        <f aca="false">MIN(Piano_SS!$C$7,(BW446)+IF(AND(Motore_Operativo!C447&gt;=EDATE(Parametri_v3!$C$24,Ipotesi!J14*12),Motore_Operativo!C447&lt;EDATE(Parametri_v3!$C$24,Parametri_v3!$C$25+Ipotesi!J14*12)),MAX(0,(IF(23-(INT((Ipotesi!$C$91)/30))&lt;1,0,INDEX(Motore_Operativo!$BN$425:$BN$484,MAX(1,23-(INT((Ipotesi!$C$91)/30)))))*(1-(MOD((Ipotesi!$C$91),30)/30))+IF(23-(INT((Ipotesi!$C$91)/30))-1&lt;1,0,INDEX(Motore_Operativo!$BN$425:$BN$484,MAX(1,23-(INT((Ipotesi!$C$91)/30))-1)))*(MOD((Ipotesi!$C$91),30)/30)))*Piano_SS!$D$7,0))</f>
        <v>24723.8702191954</v>
      </c>
      <c r="BX447" s="15" t="n">
        <f aca="false">MIN(Piano_SS!$C$8,(BX446)+IF(AND(Motore_Operativo!C447&gt;=EDATE(Parametri_v3!$C$24,Ipotesi!J14*12),Motore_Operativo!C447&lt;EDATE(Parametri_v3!$C$24,Parametri_v3!$C$25+Ipotesi!J14*12)),MAX(0,Motore_Operativo!CE447)*Piano_SS!$D$8,0))</f>
        <v>32916.6666666667</v>
      </c>
      <c r="BY447" s="15" t="n">
        <f aca="false">MIN(Piano_SS!$C$9,(BY446)+IF(AND(Motore_Operativo!C447&gt;=EDATE(Parametri_v3!$C$24,Ipotesi!J14*12),Motore_Operativo!C447&lt;EDATE(Parametri_v3!$C$24,Parametri_v3!$C$25+Ipotesi!J14*12)),MAX(0,((IF(23-(INT((Ipotesi!$C$91)/30))&lt;1,0,INDEX(Motore_Operativo!$BQ$425:$BQ$484,MAX(1,23-(INT((Ipotesi!$C$91)/30)))))*(1-(MOD((Ipotesi!$C$91),30)/30))+IF(23-(INT((Ipotesi!$C$91)/30))-1&lt;1,0,INDEX(Motore_Operativo!$BQ$425:$BQ$484,MAX(1,23-(INT((Ipotesi!$C$91)/30))-1)))*(MOD((Ipotesi!$C$91),30)/30))+(IF(23-(INT((Ipotesi!$C$91)/30))&lt;1,0,INDEX(Motore_Operativo!$BR$425:$BR$484,MAX(1,23-(INT((Ipotesi!$C$91)/30)))))*(1-(MOD((Ipotesi!$C$91),30)/30))+IF(23-(INT((Ipotesi!$C$91)/30))-1&lt;1,0,INDEX(Motore_Operativo!$BR$425:$BR$484,MAX(1,23-(INT((Ipotesi!$C$91)/30))-1)))*(MOD((Ipotesi!$C$91),30)/30))))*Piano_SS!$D$9,0))</f>
        <v>40000</v>
      </c>
      <c r="BZ447" s="15" t="n">
        <f aca="false">MIN(Piano_SS!$C$10,(BZ446)+IF(AND(Motore_Operativo!C447&gt;=EDATE(Parametri_v3!$C$24,Ipotesi!J14*12),Motore_Operativo!C447&lt;EDATE(Parametri_v3!$C$24,Parametri_v3!$C$25+Ipotesi!J14*12)),MAX(0,(IF(23-(INT((Ipotesi!$C$91)/30))&lt;1,0,INDEX(Motore_Operativo!$BO$425:$BO$484,MAX(1,23-(INT((Ipotesi!$C$91)/30)))))*(1-(MOD((Ipotesi!$C$91),30)/30))+IF(23-(INT((Ipotesi!$C$91)/30))-1&lt;1,0,INDEX(Motore_Operativo!$BO$425:$BO$484,MAX(1,23-(INT((Ipotesi!$C$91)/30))-1)))*(MOD((Ipotesi!$C$91),30)/30)))*Piano_SS!$D$10,0))</f>
        <v>24500</v>
      </c>
      <c r="CA447" s="15" t="n">
        <f aca="false">SUM(BV447:BZ447)</f>
        <v>285184.286885862</v>
      </c>
      <c r="CB447" s="15" t="n">
        <f aca="false">BV447*(1-Piano_SS!$E$6)+BW447*(1-Piano_SS!$E$7)+BX447*(1-Piano_SS!$E$8)+BY447*(1-Piano_SS!$E$9)+BZ447*(1-Piano_SS!$E$10)</f>
        <v>260684.286885862</v>
      </c>
      <c r="CC447" s="15" t="n">
        <f aca="false">(CC446)+BA447</f>
        <v>80000</v>
      </c>
      <c r="CD447" s="15" t="n">
        <f aca="false">IF(CA447=0,0,CC447*CB447/CA447*Ipotesi!$C$103*Parametri_v3!$C$64)</f>
        <v>21938.17532368</v>
      </c>
      <c r="CE447" s="18" t="n">
        <f aca="false">IF(BA447&gt;0,Motore_Operativo!C447,(CE446))</f>
        <v>46784</v>
      </c>
      <c r="CF447" s="18" t="n">
        <f aca="false">IF(AND(CC447&gt;0,OR(CC447&gt;=CG447-0.01,Motore_Operativo!C447&gt;=EDATE(MAX(Finanziamenti!$D$15:$D$17),Ipotesi!J14*12))),CE447,0)</f>
        <v>0</v>
      </c>
      <c r="CG447" s="15" t="n">
        <f aca="false">IF(AND(8&lt;&gt;6,8&lt;&gt;9,Finanziamenti!$F$11=1,OR(Parametri_v3!$C$6=0,Finanziamenti!$E$11=1)),MIN(Finanziamenti!$C$11,Piano_SS!$C$12*Ipotesi!$C$102),0)</f>
        <v>400000</v>
      </c>
      <c r="CH447" s="15" t="n">
        <f aca="false">IF(AND(AND(8&lt;&gt;8,8&lt;&gt;9,Finanziamenti!$F$10=1,OR(Parametri_v3!$C$6=0,Finanziamenti!$E$10=1)),Motore_Operativo!C447&gt;=Finanziamenti!$D$10,Motore_Operativo!C447&lt;Parametri_v3!$C$63),Finanziamenti!$C$10,0)</f>
        <v>0</v>
      </c>
    </row>
    <row r="448" customFormat="false" ht="18" hidden="false" customHeight="true" outlineLevel="0" collapsed="false">
      <c r="A448" s="68" t="n">
        <f aca="false">8</f>
        <v>8</v>
      </c>
      <c r="B448" s="68" t="n">
        <f aca="false">24</f>
        <v>24</v>
      </c>
      <c r="C448" s="18" t="n">
        <f aca="false">Motore_Operativo!C448</f>
        <v>47088</v>
      </c>
      <c r="D448" s="68" t="n">
        <f aca="false">Motore_Operativo!D448</f>
        <v>2028</v>
      </c>
      <c r="E448" s="68" t="n">
        <f aca="false">Motore_Operativo!E448</f>
        <v>12</v>
      </c>
      <c r="F448" s="15" t="n">
        <f aca="false">Motore_Operativo!AQ448+Motore_Operativo!BF448</f>
        <v>31818.5881991813</v>
      </c>
      <c r="G448" s="15" t="n">
        <f aca="false">Motore_Operativo!BH448</f>
        <v>3398.1220657277</v>
      </c>
      <c r="H448" s="15" t="n">
        <f aca="false">Motore_Operativo!BI448</f>
        <v>35216.710264909</v>
      </c>
      <c r="I448" s="15" t="n">
        <f aca="false">Motore_Operativo!CA448</f>
        <v>58167.3793431906</v>
      </c>
      <c r="J448" s="15" t="n">
        <f aca="false">Motore_Operativo!CC448</f>
        <v>-22950.6690782815</v>
      </c>
      <c r="K448" s="15" t="n">
        <f aca="false">Motore_Operativo!CE448</f>
        <v>2083.33333333333</v>
      </c>
      <c r="L448" s="15" t="n">
        <f aca="false">SUM(INDEX($K$425:$K$484,MAX(1,24-Parametri_v3!$C$59+1)):K448)/Parametri_v3!$C$59</f>
        <v>1250</v>
      </c>
      <c r="M448" s="15" t="n">
        <f aca="false">J448-L448</f>
        <v>-24200.6690782815</v>
      </c>
      <c r="N448" s="15" t="n">
        <f aca="false">CD448-(CD447)</f>
        <v>44528.2740444372</v>
      </c>
      <c r="O448" s="15" t="n">
        <f aca="false">(BG447)*Ipotesi!$C$110/12+CH448*Parametri_v3!$C$39/12</f>
        <v>0</v>
      </c>
      <c r="P448" s="15" t="n">
        <f aca="false">M448+N448-O448</f>
        <v>20327.6049661557</v>
      </c>
      <c r="Q448" s="15" t="n">
        <f aca="false">SUM(P437:P448)+Parametri_v3!$C$54*12/12</f>
        <v>-283386.626147733</v>
      </c>
      <c r="R448" s="15" t="n">
        <f aca="false">Z436</f>
        <v>209469.391812865</v>
      </c>
      <c r="S448" s="15" t="n">
        <f aca="false">AA436</f>
        <v>0</v>
      </c>
      <c r="T448" s="15" t="n">
        <f aca="false">MIN(R448,MAX(0,Q448))</f>
        <v>0</v>
      </c>
      <c r="U448" s="15" t="n">
        <f aca="false">MIN(S448,MAX(0,Q448-T448)*Parametri_v3!$C$42)</f>
        <v>0</v>
      </c>
      <c r="V448" s="15" t="n">
        <f aca="false">MAX(0,Q448-T448-U448)*Ipotesi!$C$92</f>
        <v>0</v>
      </c>
      <c r="W448" s="15" t="n">
        <f aca="false">MAX(0,SUM(M437:M448)+Parametri_v3!$C$55*12/12)*Ipotesi!$C$93</f>
        <v>0</v>
      </c>
      <c r="X448" s="15" t="n">
        <f aca="false">V448+W448-(V447+W447)</f>
        <v>0</v>
      </c>
      <c r="Y448" s="15" t="n">
        <f aca="false">P448-X448</f>
        <v>20327.6049661557</v>
      </c>
      <c r="Z448" s="15" t="n">
        <f aca="false">R448-T448+IF(AND(Parametri_v3!$C$40=1,D448-YEAR(Parametri_v3!$C$50)&lt;Parametri_v3!$C$41),MAX(0,-Q448),0)</f>
        <v>492856.017960598</v>
      </c>
      <c r="AA448" s="15" t="n">
        <f aca="false">S448-U448+IF(AND(Parametri_v3!$C$40=1,D448-YEAR(Parametri_v3!$C$50)&lt;Parametri_v3!$C$41),0,MAX(0,-Q448))</f>
        <v>0</v>
      </c>
      <c r="AB448" s="15" t="n">
        <f aca="false">F448*(1+Parametri_v3!$C$26)</f>
        <v>38818.6776030012</v>
      </c>
      <c r="AC448" s="15" t="n">
        <f aca="false">(IF(24-(INT((Motore_Operativo!L448)/30))&lt;1,0,INDEX(Motore_Startup!$AB$425:$AB$484,MAX(1,24-(INT((Motore_Operativo!L448)/30)))))*(1-(MOD((Motore_Operativo!L448),30)/30))+IF(24-(INT((Motore_Operativo!L448)/30))-1&lt;1,0,INDEX(Motore_Startup!$AB$425:$AB$484,MAX(1,24-(INT((Motore_Operativo!L448)/30))-1)))*(MOD((Motore_Operativo!L448),30)/30))</f>
        <v>35583.2360733457</v>
      </c>
      <c r="AD448" s="15" t="n">
        <f aca="false">(AD447)+AB448-AC448</f>
        <v>113239.529246472</v>
      </c>
      <c r="AE448" s="15" t="n">
        <f aca="false">Motore_Operativo!BH448*(1+Parametri_v3!$C$26)</f>
        <v>4145.70892018779</v>
      </c>
      <c r="AF448" s="15" t="n">
        <f aca="false">(IF(24-(INT((Parametri_v3!$C$29)/30))&lt;1,0,INDEX(Motore_Operativo!$BH$425:$BH$484,MAX(1,24-(INT((Parametri_v3!$C$29)/30)))))*(1-(MOD((Parametri_v3!$C$29),30)/30))+IF(24-(INT((Parametri_v3!$C$29)/30))-1&lt;1,0,INDEX(Motore_Operativo!$BH$425:$BH$484,MAX(1,24-(INT((Parametri_v3!$C$29)/30))-1)))*(MOD((Parametri_v3!$C$29),30)/30))*(1+Parametri_v3!$C$26)</f>
        <v>4145.70892018779</v>
      </c>
      <c r="AG448" s="15" t="n">
        <f aca="false">(AG447)+AE448-AF448</f>
        <v>4145.70892018779</v>
      </c>
      <c r="AH448" s="15" t="n">
        <f aca="false">(Motore_Operativo!CJ448)*(1+Parametri_v3!$C$27*Parametri_v3!$C$26)</f>
        <v>21846.5917803672</v>
      </c>
      <c r="AI448" s="15" t="n">
        <f aca="false">(IF(24-(INT((Ipotesi!$C$91)/30))&lt;1,0,INDEX(Motore_Startup!$AH$425:$AH$484,MAX(1,24-(INT((Ipotesi!$C$91)/30)))))*(1-(MOD((Ipotesi!$C$91),30)/30))+IF(24-(INT((Ipotesi!$C$91)/30))-1&lt;1,0,INDEX(Motore_Startup!$AH$425:$AH$484,MAX(1,24-(INT((Ipotesi!$C$91)/30))-1)))*(MOD((Ipotesi!$C$91),30)/30))</f>
        <v>21554.0770886097</v>
      </c>
      <c r="AJ448" s="15" t="n">
        <f aca="false">(AJ447)+AH448-AI448</f>
        <v>43547.5682836218</v>
      </c>
      <c r="AK448" s="15" t="n">
        <f aca="false">(F448+ Motore_Operativo!BH448-(Motore_Operativo!CJ448)*Parametri_v3!$C$27-Motore_Operativo!CE448)*Parametri_v3!$C$26</f>
        <v>3847.63048777002</v>
      </c>
      <c r="AL448" s="15" t="n">
        <f aca="false">MAX(0,(AM447))</f>
        <v>3677.79565198975</v>
      </c>
      <c r="AM448" s="15" t="n">
        <f aca="false">(AM447)+AK448-AL448</f>
        <v>3847.63048777002</v>
      </c>
      <c r="AN448" s="15" t="n">
        <f aca="false">SUM(X425:X436)</f>
        <v>0</v>
      </c>
      <c r="AO448" s="15" t="n">
        <f aca="false">SUM(AP425:AP436)</f>
        <v>0</v>
      </c>
      <c r="AP448" s="15" t="n">
        <f aca="false">MAX(0,AN448)*IF(12=Parametri_v3!$C$43,Parametri_v3!$C$45,IF(12=Parametri_v3!$C$44,1-Parametri_v3!$C$45,0))</f>
        <v>0</v>
      </c>
      <c r="AQ448" s="15" t="n">
        <f aca="false">MAX(0,AP448+IF(12=Parametri_v3!$C$43,MAX(0,AN448-AO448),0)-MAX(0,-(AR447)))</f>
        <v>0</v>
      </c>
      <c r="AR448" s="15" t="n">
        <f aca="false">(AR447)+X448-AQ448</f>
        <v>0</v>
      </c>
      <c r="AS448" s="15" t="n">
        <f aca="false">Motore_Operativo!AB448-AT448+AU448</f>
        <v>37774.375</v>
      </c>
      <c r="AT448" s="15" t="n">
        <f aca="false">Motore_Operativo!CH448</f>
        <v>1988.125</v>
      </c>
      <c r="AU448" s="15" t="n">
        <f aca="false">MIN(MAX(0,(AV447)+AT448),Parametri_v3!$C$60/12)</f>
        <v>0</v>
      </c>
      <c r="AV448" s="15" t="n">
        <f aca="false">(AV447)+AT448-AU448</f>
        <v>34607.5</v>
      </c>
      <c r="AW448" s="15" t="n">
        <f aca="false">IF(AND(Motore_Operativo!C448=Finanziamenti!$D$6,Finanziamenti!$F$6=1),Finanziamenti!$C$6,0)</f>
        <v>0</v>
      </c>
      <c r="AX448" s="15" t="n">
        <f aca="false">IF(AND(8&lt;&gt;7,8&lt;&gt;9,Finanziamenti!$F$8=1,OR(Parametri_v3!$C$6=0,Finanziamenti!$E$8=1),Motore_Operativo!C448=EDATE(Finanziamenti!$D$8,Ipotesi!J15*12)),Finanziamenti!$C$8*1,0)+IF(AND(8&lt;&gt;7,8&lt;&gt;9,Finanziamenti!$F$9=1,OR(Parametri_v3!$C$6=0,Finanziamenti!$E$9=1),Motore_Operativo!C448=EDATE(Finanziamenti!$D$9,Ipotesi!J15*12)),Finanziamenti!$C$9*Ipotesi!J16,0)</f>
        <v>0</v>
      </c>
      <c r="AY448" s="15" t="n">
        <f aca="false">0</f>
        <v>0</v>
      </c>
      <c r="AZ448" s="15" t="n">
        <f aca="false">Motore_Advisory!AY448*(1-Ipotesi!$C$95)*Ipotesi!$C$96</f>
        <v>0</v>
      </c>
      <c r="BA448" s="15" t="n">
        <f aca="false">MAX(0,MIN(CG448*MIN(1,IF(Motore_Operativo!C448&gt;=EDATE(Finanziamenti!$D$15,Ipotesi!J14*12),Finanziamenti!$C$15,0)+IF(Motore_Operativo!C448&gt;=EDATE(Finanziamenti!$D$16,Ipotesi!J14*12),Finanziamenti!$C$16,0)+IF(Motore_Operativo!C448&gt;=EDATE(Finanziamenti!$D$17,Ipotesi!J14*12),Finanziamenti!$C$17,0)),CA448*Ipotesi!$C$102)-(CC447))</f>
        <v>162621.497893724</v>
      </c>
      <c r="BB448" s="15" t="n">
        <f aca="false">IF(AND(CF448&gt;0,Motore_Operativo!C448&gt;=IF(CF448=0,0,EDATE(CF448,Parametri_v3!$C$37)),MOD(((D448-YEAR(IF(CF448=0,0,EDATE(CF448,Parametri_v3!$C$37))))*12+E448-MONTH(IF(CF448=0,0,EDATE(CF448,Parametri_v3!$C$37)))),Parametri_v3!$C$38)=0),MIN(MAX(0,(BC447)+BA448-N448),(CC448-CD448)/(Ipotesi!$C$108*12/Parametri_v3!$C$38)),0)</f>
        <v>0</v>
      </c>
      <c r="BC448" s="15" t="n">
        <f aca="false">(BC447)+BA448-N448-BB448</f>
        <v>176155.048525607</v>
      </c>
      <c r="BD448" s="15" t="n">
        <f aca="false">(BH447)+AC448+AF448-AI448-AS448-K448*(1+Parametri_v3!$C$26)-AL448-AQ448-O448+AW448+AX448+AZ448+BA448-BB448</f>
        <v>47708.1578364072</v>
      </c>
      <c r="BE448" s="15" t="n">
        <f aca="false">MAX(0,MIN(MAX(0,CH448-(BG447)),Parametri_v3!$C$30-BD448))</f>
        <v>0</v>
      </c>
      <c r="BF448" s="15" t="n">
        <f aca="false">IF(Motore_Operativo!C448&gt;=Parametri_v3!$C$63,(BG447),MIN((BG447),MAX(0,BD448-Parametri_v3!$C$30)))</f>
        <v>0</v>
      </c>
      <c r="BG448" s="15" t="n">
        <f aca="false">(BG447)+BE448-BF448</f>
        <v>0</v>
      </c>
      <c r="BH448" s="15" t="n">
        <f aca="false">BD448+BE448-BF448-AY448</f>
        <v>47708.1578364072</v>
      </c>
      <c r="BI448" s="15" t="n">
        <f aca="false">MAX(0,Parametri_v3!$C$30-BH448)</f>
        <v>0</v>
      </c>
      <c r="BJ448" s="15" t="n">
        <f aca="false">(BJ447)+K448</f>
        <v>45000</v>
      </c>
      <c r="BK448" s="15" t="n">
        <f aca="false">(BK447)+L448</f>
        <v>14791.6666666667</v>
      </c>
      <c r="BL448" s="15" t="n">
        <f aca="false">BJ448-BK448</f>
        <v>30208.3333333333</v>
      </c>
      <c r="BM448" s="15" t="n">
        <f aca="false">(BM447)+Y448</f>
        <v>-492856.017960598</v>
      </c>
      <c r="BN448" s="15" t="n">
        <f aca="false">(BN447)+AW448+AX448+AZ448</f>
        <v>430000</v>
      </c>
      <c r="BO448" s="15" t="n">
        <f aca="false">(BO447)+AY448</f>
        <v>0</v>
      </c>
      <c r="BP448" s="15" t="n">
        <f aca="false">0</f>
        <v>0</v>
      </c>
      <c r="BQ448" s="15" t="n">
        <f aca="false">BN448+BM448-BO448</f>
        <v>-62856.0179605984</v>
      </c>
      <c r="BR448" s="15" t="n">
        <f aca="false">BH448+AD448+BL448+MAX(0,-AM448)+MAX(0,-AR448)+AG448</f>
        <v>195301.7293364</v>
      </c>
      <c r="BS448" s="15" t="n">
        <f aca="false">AJ448+AV448+MAX(0,AM448)+MAX(0,AR448)+BC448+BG448+BQ448</f>
        <v>195301.7293364</v>
      </c>
      <c r="BT448" s="15" t="n">
        <f aca="false">BR448-BS448</f>
        <v>0</v>
      </c>
      <c r="BU448" s="15" t="n">
        <f aca="false">BH448-(BD448+BE448-BF448-AY448)</f>
        <v>0</v>
      </c>
      <c r="BV448" s="15" t="n">
        <f aca="false">MIN(Piano_SS!$C$6,(BV447)+IF(AND(Motore_Operativo!C448&gt;=EDATE(Parametri_v3!$C$24,Ipotesi!J14*12),Motore_Operativo!C448&lt;EDATE(Parametri_v3!$C$24,Parametri_v3!$C$25+Ipotesi!J14*12)),MAX(0,(Motore_Operativo!Y448+Motore_Operativo!X448*Parametri_v3!$C$14)*(1-Parametri_v3!$C$32))*Piano_SS!$D$6,0))</f>
        <v>175275</v>
      </c>
      <c r="BW448" s="15" t="n">
        <f aca="false">MIN(Piano_SS!$C$7,(BW447)+IF(AND(Motore_Operativo!C448&gt;=EDATE(Parametri_v3!$C$24,Ipotesi!J14*12),Motore_Operativo!C448&lt;EDATE(Parametri_v3!$C$24,Parametri_v3!$C$25+Ipotesi!J14*12)),MAX(0,(IF(24-(INT((Ipotesi!$C$91)/30))&lt;1,0,INDEX(Motore_Operativo!$BN$425:$BN$484,MAX(1,24-(INT((Ipotesi!$C$91)/30)))))*(1-(MOD((Ipotesi!$C$91),30)/30))+IF(24-(INT((Ipotesi!$C$91)/30))-1&lt;1,0,INDEX(Motore_Operativo!$BN$425:$BN$484,MAX(1,24-(INT((Ipotesi!$C$91)/30))-1)))*(MOD((Ipotesi!$C$91),30)/30)))*Piano_SS!$D$7,0))</f>
        <v>26668.5390338217</v>
      </c>
      <c r="BX448" s="15" t="n">
        <f aca="false">MIN(Piano_SS!$C$8,(BX447)+IF(AND(Motore_Operativo!C448&gt;=EDATE(Parametri_v3!$C$24,Ipotesi!J14*12),Motore_Operativo!C448&lt;EDATE(Parametri_v3!$C$24,Parametri_v3!$C$25+Ipotesi!J14*12)),MAX(0,Motore_Operativo!CE448)*Piano_SS!$D$8,0))</f>
        <v>35000</v>
      </c>
      <c r="BY448" s="15" t="n">
        <f aca="false">MIN(Piano_SS!$C$9,(BY447)+IF(AND(Motore_Operativo!C448&gt;=EDATE(Parametri_v3!$C$24,Ipotesi!J14*12),Motore_Operativo!C448&lt;EDATE(Parametri_v3!$C$24,Parametri_v3!$C$25+Ipotesi!J14*12)),MAX(0,((IF(24-(INT((Ipotesi!$C$91)/30))&lt;1,0,INDEX(Motore_Operativo!$BQ$425:$BQ$484,MAX(1,24-(INT((Ipotesi!$C$91)/30)))))*(1-(MOD((Ipotesi!$C$91),30)/30))+IF(24-(INT((Ipotesi!$C$91)/30))-1&lt;1,0,INDEX(Motore_Operativo!$BQ$425:$BQ$484,MAX(1,24-(INT((Ipotesi!$C$91)/30))-1)))*(MOD((Ipotesi!$C$91),30)/30))+(IF(24-(INT((Ipotesi!$C$91)/30))&lt;1,0,INDEX(Motore_Operativo!$BR$425:$BR$484,MAX(1,24-(INT((Ipotesi!$C$91)/30)))))*(1-(MOD((Ipotesi!$C$91),30)/30))+IF(24-(INT((Ipotesi!$C$91)/30))-1&lt;1,0,INDEX(Motore_Operativo!$BR$425:$BR$484,MAX(1,24-(INT((Ipotesi!$C$91)/30))-1)))*(MOD((Ipotesi!$C$91),30)/30))))*Piano_SS!$D$9,0))</f>
        <v>40000</v>
      </c>
      <c r="BZ448" s="15" t="n">
        <f aca="false">MIN(Piano_SS!$C$10,(BZ447)+IF(AND(Motore_Operativo!C448&gt;=EDATE(Parametri_v3!$C$24,Ipotesi!J14*12),Motore_Operativo!C448&lt;EDATE(Parametri_v3!$C$24,Parametri_v3!$C$25+Ipotesi!J14*12)),MAX(0,(IF(24-(INT((Ipotesi!$C$91)/30))&lt;1,0,INDEX(Motore_Operativo!$BO$425:$BO$484,MAX(1,24-(INT((Ipotesi!$C$91)/30)))))*(1-(MOD((Ipotesi!$C$91),30)/30))+IF(24-(INT((Ipotesi!$C$91)/30))-1&lt;1,0,INDEX(Motore_Operativo!$BO$425:$BO$484,MAX(1,24-(INT((Ipotesi!$C$91)/30))-1)))*(MOD((Ipotesi!$C$91),30)/30)))*Piano_SS!$D$10,0))</f>
        <v>26333.3333333333</v>
      </c>
      <c r="CA448" s="15" t="n">
        <f aca="false">SUM(BV448:BZ448)</f>
        <v>303276.872367155</v>
      </c>
      <c r="CB448" s="15" t="n">
        <f aca="false">BV448*(1-Piano_SS!$E$6)+BW448*(1-Piano_SS!$E$7)+BX448*(1-Piano_SS!$E$8)+BY448*(1-Piano_SS!$E$9)+BZ448*(1-Piano_SS!$E$10)</f>
        <v>276943.539033822</v>
      </c>
      <c r="CC448" s="15" t="n">
        <f aca="false">(CC447)+BA448</f>
        <v>242621.497893724</v>
      </c>
      <c r="CD448" s="15" t="n">
        <f aca="false">IF(CA448=0,0,CC448*CB448/CA448*Ipotesi!$C$103*Parametri_v3!$C$64)</f>
        <v>66466.4493681172</v>
      </c>
      <c r="CE448" s="18" t="n">
        <f aca="false">IF(BA448&gt;0,Motore_Operativo!C448,(CE447))</f>
        <v>47088</v>
      </c>
      <c r="CF448" s="18" t="n">
        <f aca="false">IF(AND(CC448&gt;0,OR(CC448&gt;=CG448-0.01,Motore_Operativo!C448&gt;=EDATE(MAX(Finanziamenti!$D$15:$D$17),Ipotesi!J14*12))),CE448,0)</f>
        <v>0</v>
      </c>
      <c r="CG448" s="15" t="n">
        <f aca="false">IF(AND(8&lt;&gt;6,8&lt;&gt;9,Finanziamenti!$F$11=1,OR(Parametri_v3!$C$6=0,Finanziamenti!$E$11=1)),MIN(Finanziamenti!$C$11,Piano_SS!$C$12*Ipotesi!$C$102),0)</f>
        <v>400000</v>
      </c>
      <c r="CH448" s="15" t="n">
        <f aca="false">IF(AND(AND(8&lt;&gt;8,8&lt;&gt;9,Finanziamenti!$F$10=1,OR(Parametri_v3!$C$6=0,Finanziamenti!$E$10=1)),Motore_Operativo!C448&gt;=Finanziamenti!$D$10,Motore_Operativo!C448&lt;Parametri_v3!$C$63),Finanziamenti!$C$10,0)</f>
        <v>0</v>
      </c>
    </row>
    <row r="449" customFormat="false" ht="18" hidden="false" customHeight="true" outlineLevel="0" collapsed="false">
      <c r="A449" s="68" t="n">
        <f aca="false">8</f>
        <v>8</v>
      </c>
      <c r="B449" s="68" t="n">
        <f aca="false">25</f>
        <v>25</v>
      </c>
      <c r="C449" s="18" t="n">
        <f aca="false">Motore_Operativo!C449</f>
        <v>47119</v>
      </c>
      <c r="D449" s="68" t="n">
        <f aca="false">Motore_Operativo!D449</f>
        <v>2029</v>
      </c>
      <c r="E449" s="68" t="n">
        <f aca="false">Motore_Operativo!E449</f>
        <v>1</v>
      </c>
      <c r="F449" s="15" t="n">
        <f aca="false">Motore_Operativo!AQ449+Motore_Operativo!BF449</f>
        <v>56956.9441713397</v>
      </c>
      <c r="G449" s="15" t="n">
        <f aca="false">Motore_Operativo!BH449</f>
        <v>6050</v>
      </c>
      <c r="H449" s="15" t="n">
        <f aca="false">Motore_Operativo!BI449</f>
        <v>63006.9441713397</v>
      </c>
      <c r="I449" s="15" t="n">
        <f aca="false">Motore_Operativo!CA449</f>
        <v>115308.305517321</v>
      </c>
      <c r="J449" s="15" t="n">
        <f aca="false">Motore_Operativo!CC449</f>
        <v>-52301.3613459812</v>
      </c>
      <c r="K449" s="15" t="n">
        <f aca="false">Motore_Operativo!CE449</f>
        <v>2500</v>
      </c>
      <c r="L449" s="15" t="n">
        <f aca="false">SUM(INDEX($K$425:$K$484,MAX(1,25-Parametri_v3!$C$59+1)):K449)/Parametri_v3!$C$59</f>
        <v>1319.44444444444</v>
      </c>
      <c r="M449" s="15" t="n">
        <f aca="false">J449-L449</f>
        <v>-53620.8057904256</v>
      </c>
      <c r="N449" s="15" t="n">
        <f aca="false">CD449-(CD448)</f>
        <v>7030.03738740331</v>
      </c>
      <c r="O449" s="15" t="n">
        <f aca="false">(BG448)*Ipotesi!$C$110/12+CH449*Parametri_v3!$C$39/12</f>
        <v>0</v>
      </c>
      <c r="P449" s="15" t="n">
        <f aca="false">M449+N449-O449</f>
        <v>-46590.7684030223</v>
      </c>
      <c r="Q449" s="15" t="n">
        <f aca="false">SUM(P449)+Parametri_v3!$C$54*1/12</f>
        <v>-46590.7684030223</v>
      </c>
      <c r="R449" s="15" t="n">
        <f aca="false">Z448</f>
        <v>492856.017960598</v>
      </c>
      <c r="S449" s="15" t="n">
        <f aca="false">AA448</f>
        <v>0</v>
      </c>
      <c r="T449" s="15" t="n">
        <f aca="false">MIN(R449,MAX(0,Q449))</f>
        <v>0</v>
      </c>
      <c r="U449" s="15" t="n">
        <f aca="false">MIN(S449,MAX(0,Q449-T449)*Parametri_v3!$C$42)</f>
        <v>0</v>
      </c>
      <c r="V449" s="15" t="n">
        <f aca="false">MAX(0,Q449-T449-U449)*Ipotesi!$C$92</f>
        <v>0</v>
      </c>
      <c r="W449" s="15" t="n">
        <f aca="false">MAX(0,SUM(M449)+Parametri_v3!$C$55*1/12)*Ipotesi!$C$93</f>
        <v>0</v>
      </c>
      <c r="X449" s="15" t="n">
        <f aca="false">V449+W449-(0)</f>
        <v>0</v>
      </c>
      <c r="Y449" s="15" t="n">
        <f aca="false">P449-X449</f>
        <v>-46590.7684030223</v>
      </c>
      <c r="Z449" s="15" t="n">
        <f aca="false">R449-T449+IF(AND(Parametri_v3!$C$40=1,D449-YEAR(Parametri_v3!$C$50)&lt;Parametri_v3!$C$41),MAX(0,-Q449),0)</f>
        <v>539446.786363621</v>
      </c>
      <c r="AA449" s="15" t="n">
        <f aca="false">S449-U449+IF(AND(Parametri_v3!$C$40=1,D449-YEAR(Parametri_v3!$C$50)&lt;Parametri_v3!$C$41),0,MAX(0,-Q449))</f>
        <v>0</v>
      </c>
      <c r="AB449" s="15" t="n">
        <f aca="false">F449*(1+Parametri_v3!$C$26)</f>
        <v>69487.4718890345</v>
      </c>
      <c r="AC449" s="15" t="n">
        <f aca="false">(IF(25-(INT((Motore_Operativo!L449)/30))&lt;1,0,INDEX(Motore_Startup!$AB$425:$AB$484,MAX(1,25-(INT((Motore_Operativo!L449)/30)))))*(1-(MOD((Motore_Operativo!L449),30)/30))+IF(25-(INT((Motore_Operativo!L449)/30))-1&lt;1,0,INDEX(Motore_Startup!$AB$425:$AB$484,MAX(1,25-(INT((Motore_Operativo!L449)/30))-1)))*(MOD((Motore_Operativo!L449),30)/30))</f>
        <v>36671.1994230508</v>
      </c>
      <c r="AD449" s="15" t="n">
        <f aca="false">(AD448)+AB449-AC449</f>
        <v>146055.801712456</v>
      </c>
      <c r="AE449" s="15" t="n">
        <f aca="false">Motore_Operativo!BH449*(1+Parametri_v3!$C$26)</f>
        <v>7381</v>
      </c>
      <c r="AF449" s="15" t="n">
        <f aca="false">(IF(25-(INT((Parametri_v3!$C$29)/30))&lt;1,0,INDEX(Motore_Operativo!$BH$425:$BH$484,MAX(1,25-(INT((Parametri_v3!$C$29)/30)))))*(1-(MOD((Parametri_v3!$C$29),30)/30))+IF(25-(INT((Parametri_v3!$C$29)/30))-1&lt;1,0,INDEX(Motore_Operativo!$BH$425:$BH$484,MAX(1,25-(INT((Parametri_v3!$C$29)/30))-1)))*(MOD((Parametri_v3!$C$29),30)/30))*(1+Parametri_v3!$C$26)</f>
        <v>4145.70892018779</v>
      </c>
      <c r="AG449" s="15" t="n">
        <f aca="false">(AG448)+AE449-AF449</f>
        <v>7381</v>
      </c>
      <c r="AH449" s="15" t="n">
        <f aca="false">(Motore_Operativo!CJ449)*(1+Parametri_v3!$C$27*Parametri_v3!$C$26)</f>
        <v>48708.1163157266</v>
      </c>
      <c r="AI449" s="15" t="n">
        <f aca="false">(IF(25-(INT((Ipotesi!$C$91)/30))&lt;1,0,INDEX(Motore_Startup!$AH$425:$AH$484,MAX(1,25-(INT((Ipotesi!$C$91)/30)))))*(1-(MOD((Ipotesi!$C$91),30)/30))+IF(25-(INT((Ipotesi!$C$91)/30))-1&lt;1,0,INDEX(Motore_Startup!$AH$425:$AH$484,MAX(1,25-(INT((Ipotesi!$C$91)/30))-1)))*(MOD((Ipotesi!$C$91),30)/30))</f>
        <v>21700.9765032546</v>
      </c>
      <c r="AJ449" s="15" t="n">
        <f aca="false">(AJ448)+AH449-AI449</f>
        <v>70554.7080960938</v>
      </c>
      <c r="AK449" s="15" t="n">
        <f aca="false">(F449+ Motore_Operativo!BH449-(Motore_Operativo!CJ449)*Parametri_v3!$C$27-Motore_Operativo!CE449)*Parametri_v3!$C$26</f>
        <v>5638.0502526224</v>
      </c>
      <c r="AL449" s="15" t="n">
        <f aca="false">MAX(0,(AM448))</f>
        <v>3847.63048777002</v>
      </c>
      <c r="AM449" s="15" t="n">
        <f aca="false">(AM448)+AK449-AL449</f>
        <v>5638.0502526224</v>
      </c>
      <c r="AN449" s="15" t="n">
        <f aca="false">SUM(X437:X448)</f>
        <v>0</v>
      </c>
      <c r="AO449" s="15" t="n">
        <f aca="false">SUM(AP437:AP448)</f>
        <v>0</v>
      </c>
      <c r="AP449" s="15" t="n">
        <f aca="false">MAX(0,AN449)*IF(1=Parametri_v3!$C$43,Parametri_v3!$C$45,IF(1=Parametri_v3!$C$44,1-Parametri_v3!$C$45,0))</f>
        <v>0</v>
      </c>
      <c r="AQ449" s="15" t="n">
        <f aca="false">MAX(0,AP449+IF(1=Parametri_v3!$C$43,MAX(0,AN449-AO449),0)-MAX(0,-(AR448)))</f>
        <v>0</v>
      </c>
      <c r="AR449" s="15" t="n">
        <f aca="false">(AR448)+X449-AQ449</f>
        <v>0</v>
      </c>
      <c r="AS449" s="15" t="n">
        <f aca="false">Motore_Operativo!AB449-AT449+AU449</f>
        <v>70559.9833333333</v>
      </c>
      <c r="AT449" s="15" t="n">
        <f aca="false">Motore_Operativo!CH449</f>
        <v>3713.68333333333</v>
      </c>
      <c r="AU449" s="15" t="n">
        <f aca="false">MIN(MAX(0,(AV448)+AT449),Parametri_v3!$C$60/12)</f>
        <v>0</v>
      </c>
      <c r="AV449" s="15" t="n">
        <f aca="false">(AV448)+AT449-AU449</f>
        <v>38321.1833333333</v>
      </c>
      <c r="AW449" s="15" t="n">
        <f aca="false">IF(AND(Motore_Operativo!C449=Finanziamenti!$D$6,Finanziamenti!$F$6=1),Finanziamenti!$C$6,0)</f>
        <v>0</v>
      </c>
      <c r="AX449" s="15" t="n">
        <f aca="false">IF(AND(8&lt;&gt;7,8&lt;&gt;9,Finanziamenti!$F$8=1,OR(Parametri_v3!$C$6=0,Finanziamenti!$E$8=1),Motore_Operativo!C449=EDATE(Finanziamenti!$D$8,Ipotesi!J15*12)),Finanziamenti!$C$8*1,0)+IF(AND(8&lt;&gt;7,8&lt;&gt;9,Finanziamenti!$F$9=1,OR(Parametri_v3!$C$6=0,Finanziamenti!$E$9=1),Motore_Operativo!C449=EDATE(Finanziamenti!$D$9,Ipotesi!J15*12)),Finanziamenti!$C$9*Ipotesi!J16,0)</f>
        <v>0</v>
      </c>
      <c r="AY449" s="15" t="n">
        <f aca="false">0</f>
        <v>0</v>
      </c>
      <c r="AZ449" s="15" t="n">
        <f aca="false">Motore_Advisory!AY449*(1-Ipotesi!$C$95)*Ipotesi!$C$96</f>
        <v>0</v>
      </c>
      <c r="BA449" s="15" t="n">
        <f aca="false">MAX(0,MIN(CG449*MIN(1,IF(Motore_Operativo!C449&gt;=EDATE(Finanziamenti!$D$15,Ipotesi!J14*12),Finanziamenti!$C$15,0)+IF(Motore_Operativo!C449&gt;=EDATE(Finanziamenti!$D$16,Ipotesi!J14*12),Finanziamenti!$C$16,0)+IF(Motore_Operativo!C449&gt;=EDATE(Finanziamenti!$D$17,Ipotesi!J14*12),Finanziamenti!$C$17,0)),CA449*Ipotesi!$C$102)-(CC448))</f>
        <v>24900.1246246778</v>
      </c>
      <c r="BB449" s="15" t="n">
        <f aca="false">IF(AND(CF449&gt;0,Motore_Operativo!C449&gt;=IF(CF449=0,0,EDATE(CF449,Parametri_v3!$C$37)),MOD(((D449-YEAR(IF(CF449=0,0,EDATE(CF449,Parametri_v3!$C$37))))*12+E449-MONTH(IF(CF449=0,0,EDATE(CF449,Parametri_v3!$C$37)))),Parametri_v3!$C$38)=0),MIN(MAX(0,(BC448)+BA449-N449),(CC449-CD449)/(Ipotesi!$C$108*12/Parametri_v3!$C$38)),0)</f>
        <v>0</v>
      </c>
      <c r="BC449" s="15" t="n">
        <f aca="false">(BC448)+BA449-N449-BB449</f>
        <v>194025.135762881</v>
      </c>
      <c r="BD449" s="15" t="n">
        <f aca="false">(BH448)+AC449+AF449-AI449-AS449-K449*(1+Parametri_v3!$C$26)-AL449-AQ449-O449+AW449+AX449+AZ449+BA449-BB449</f>
        <v>14266.6004799656</v>
      </c>
      <c r="BE449" s="15" t="n">
        <f aca="false">MAX(0,MIN(MAX(0,CH449-(BG448)),Parametri_v3!$C$30-BD449))</f>
        <v>0</v>
      </c>
      <c r="BF449" s="15" t="n">
        <f aca="false">IF(Motore_Operativo!C449&gt;=Parametri_v3!$C$63,(BG448),MIN((BG448),MAX(0,BD449-Parametri_v3!$C$30)))</f>
        <v>0</v>
      </c>
      <c r="BG449" s="15" t="n">
        <f aca="false">(BG448)+BE449-BF449</f>
        <v>0</v>
      </c>
      <c r="BH449" s="15" t="n">
        <f aca="false">BD449+BE449-BF449-AY449</f>
        <v>14266.6004799656</v>
      </c>
      <c r="BI449" s="15" t="n">
        <f aca="false">MAX(0,Parametri_v3!$C$30-BH449)</f>
        <v>10733.3995200344</v>
      </c>
      <c r="BJ449" s="15" t="n">
        <f aca="false">(BJ448)+K449</f>
        <v>47500</v>
      </c>
      <c r="BK449" s="15" t="n">
        <f aca="false">(BK448)+L449</f>
        <v>16111.1111111111</v>
      </c>
      <c r="BL449" s="15" t="n">
        <f aca="false">BJ449-BK449</f>
        <v>31388.8888888889</v>
      </c>
      <c r="BM449" s="15" t="n">
        <f aca="false">(BM448)+Y449</f>
        <v>-539446.786363621</v>
      </c>
      <c r="BN449" s="15" t="n">
        <f aca="false">(BN448)+AW449+AX449+AZ449</f>
        <v>430000</v>
      </c>
      <c r="BO449" s="15" t="n">
        <f aca="false">(BO448)+AY449</f>
        <v>0</v>
      </c>
      <c r="BP449" s="15" t="n">
        <f aca="false">0</f>
        <v>0</v>
      </c>
      <c r="BQ449" s="15" t="n">
        <f aca="false">BN449+BM449-BO449</f>
        <v>-109446.786363621</v>
      </c>
      <c r="BR449" s="15" t="n">
        <f aca="false">BH449+AD449+BL449+MAX(0,-AM449)+MAX(0,-AR449)+AG449</f>
        <v>199092.29108131</v>
      </c>
      <c r="BS449" s="15" t="n">
        <f aca="false">AJ449+AV449+MAX(0,AM449)+MAX(0,AR449)+BC449+BG449+BQ449</f>
        <v>199092.29108131</v>
      </c>
      <c r="BT449" s="15" t="n">
        <f aca="false">BR449-BS449</f>
        <v>0</v>
      </c>
      <c r="BU449" s="15" t="n">
        <f aca="false">BH449-(BD449+BE449-BF449-AY449)</f>
        <v>0</v>
      </c>
      <c r="BV449" s="15" t="n">
        <f aca="false">MIN(Piano_SS!$C$6,(BV448)+IF(AND(Motore_Operativo!C449&gt;=EDATE(Parametri_v3!$C$24,Ipotesi!J14*12),Motore_Operativo!C449&lt;EDATE(Parametri_v3!$C$24,Parametri_v3!$C$25+Ipotesi!J14*12)),MAX(0,(Motore_Operativo!Y449+Motore_Operativo!X449*Parametri_v3!$C$14)*(1-Parametri_v3!$C$32))*Piano_SS!$D$6,0))</f>
        <v>200051.435416667</v>
      </c>
      <c r="BW449" s="15" t="n">
        <f aca="false">MIN(Piano_SS!$C$7,(BW448)+IF(AND(Motore_Operativo!C449&gt;=EDATE(Parametri_v3!$C$24,Ipotesi!J14*12),Motore_Operativo!C449&lt;EDATE(Parametri_v3!$C$24,Parametri_v3!$C$25+Ipotesi!J14*12)),MAX(0,(IF(25-(INT((Ipotesi!$C$91)/30))&lt;1,0,INDEX(Motore_Operativo!$BN$425:$BN$484,MAX(1,25-(INT((Ipotesi!$C$91)/30)))))*(1-(MOD((Ipotesi!$C$91),30)/30))+IF(25-(INT((Ipotesi!$C$91)/30))-1&lt;1,0,INDEX(Motore_Operativo!$BN$425:$BN$484,MAX(1,25-(INT((Ipotesi!$C$91)/30))-1)))*(MOD((Ipotesi!$C$91),30)/30)))*Piano_SS!$D$7,0))</f>
        <v>28683.9260646689</v>
      </c>
      <c r="BX449" s="15" t="n">
        <f aca="false">MIN(Piano_SS!$C$8,(BX448)+IF(AND(Motore_Operativo!C449&gt;=EDATE(Parametri_v3!$C$24,Ipotesi!J14*12),Motore_Operativo!C449&lt;EDATE(Parametri_v3!$C$24,Parametri_v3!$C$25+Ipotesi!J14*12)),MAX(0,Motore_Operativo!CE449)*Piano_SS!$D$8,0))</f>
        <v>37500</v>
      </c>
      <c r="BY449" s="15" t="n">
        <f aca="false">MIN(Piano_SS!$C$9,(BY448)+IF(AND(Motore_Operativo!C449&gt;=EDATE(Parametri_v3!$C$24,Ipotesi!J14*12),Motore_Operativo!C449&lt;EDATE(Parametri_v3!$C$24,Parametri_v3!$C$25+Ipotesi!J14*12)),MAX(0,((IF(25-(INT((Ipotesi!$C$91)/30))&lt;1,0,INDEX(Motore_Operativo!$BQ$425:$BQ$484,MAX(1,25-(INT((Ipotesi!$C$91)/30)))))*(1-(MOD((Ipotesi!$C$91),30)/30))+IF(25-(INT((Ipotesi!$C$91)/30))-1&lt;1,0,INDEX(Motore_Operativo!$BQ$425:$BQ$484,MAX(1,25-(INT((Ipotesi!$C$91)/30))-1)))*(MOD((Ipotesi!$C$91),30)/30))+(IF(25-(INT((Ipotesi!$C$91)/30))&lt;1,0,INDEX(Motore_Operativo!$BR$425:$BR$484,MAX(1,25-(INT((Ipotesi!$C$91)/30)))))*(1-(MOD((Ipotesi!$C$91),30)/30))+IF(25-(INT((Ipotesi!$C$91)/30))-1&lt;1,0,INDEX(Motore_Operativo!$BR$425:$BR$484,MAX(1,25-(INT((Ipotesi!$C$91)/30))-1)))*(MOD((Ipotesi!$C$91),30)/30))))*Piano_SS!$D$9,0))</f>
        <v>40000</v>
      </c>
      <c r="BZ449" s="15" t="n">
        <f aca="false">MIN(Piano_SS!$C$10,(BZ448)+IF(AND(Motore_Operativo!C449&gt;=EDATE(Parametri_v3!$C$24,Ipotesi!J14*12),Motore_Operativo!C449&lt;EDATE(Parametri_v3!$C$24,Parametri_v3!$C$25+Ipotesi!J14*12)),MAX(0,(IF(25-(INT((Ipotesi!$C$91)/30))&lt;1,0,INDEX(Motore_Operativo!$BO$425:$BO$484,MAX(1,25-(INT((Ipotesi!$C$91)/30)))))*(1-(MOD((Ipotesi!$C$91),30)/30))+IF(25-(INT((Ipotesi!$C$91)/30))-1&lt;1,0,INDEX(Motore_Operativo!$BO$425:$BO$484,MAX(1,25-(INT((Ipotesi!$C$91)/30))-1)))*(MOD((Ipotesi!$C$91),30)/30)))*Piano_SS!$D$10,0))</f>
        <v>28166.6666666667</v>
      </c>
      <c r="CA449" s="15" t="n">
        <f aca="false">SUM(BV449:BZ449)</f>
        <v>334402.028148002</v>
      </c>
      <c r="CB449" s="15" t="n">
        <f aca="false">BV449*(1-Piano_SS!$E$6)+BW449*(1-Piano_SS!$E$7)+BX449*(1-Piano_SS!$E$8)+BY449*(1-Piano_SS!$E$9)+BZ449*(1-Piano_SS!$E$10)</f>
        <v>306235.361481336</v>
      </c>
      <c r="CC449" s="15" t="n">
        <f aca="false">(CC448)+BA449</f>
        <v>267521.622518402</v>
      </c>
      <c r="CD449" s="15" t="n">
        <f aca="false">IF(CA449=0,0,CC449*CB449/CA449*Ipotesi!$C$103*Parametri_v3!$C$64)</f>
        <v>73496.4867555205</v>
      </c>
      <c r="CE449" s="18" t="n">
        <f aca="false">IF(BA449&gt;0,Motore_Operativo!C449,(CE448))</f>
        <v>47119</v>
      </c>
      <c r="CF449" s="18" t="n">
        <f aca="false">IF(AND(CC449&gt;0,OR(CC449&gt;=CG449-0.01,Motore_Operativo!C449&gt;=EDATE(MAX(Finanziamenti!$D$15:$D$17),Ipotesi!J14*12))),CE449,0)</f>
        <v>0</v>
      </c>
      <c r="CG449" s="15" t="n">
        <f aca="false">IF(AND(8&lt;&gt;6,8&lt;&gt;9,Finanziamenti!$F$11=1,OR(Parametri_v3!$C$6=0,Finanziamenti!$E$11=1)),MIN(Finanziamenti!$C$11,Piano_SS!$C$12*Ipotesi!$C$102),0)</f>
        <v>400000</v>
      </c>
      <c r="CH449" s="15" t="n">
        <f aca="false">IF(AND(AND(8&lt;&gt;8,8&lt;&gt;9,Finanziamenti!$F$10=1,OR(Parametri_v3!$C$6=0,Finanziamenti!$E$10=1)),Motore_Operativo!C449&gt;=Finanziamenti!$D$10,Motore_Operativo!C449&lt;Parametri_v3!$C$63),Finanziamenti!$C$10,0)</f>
        <v>0</v>
      </c>
    </row>
    <row r="450" customFormat="false" ht="18" hidden="false" customHeight="true" outlineLevel="0" collapsed="false">
      <c r="A450" s="68" t="n">
        <f aca="false">8</f>
        <v>8</v>
      </c>
      <c r="B450" s="68" t="n">
        <f aca="false">26</f>
        <v>26</v>
      </c>
      <c r="C450" s="18" t="n">
        <f aca="false">Motore_Operativo!C450</f>
        <v>47150</v>
      </c>
      <c r="D450" s="68" t="n">
        <f aca="false">Motore_Operativo!D450</f>
        <v>2029</v>
      </c>
      <c r="E450" s="68" t="n">
        <f aca="false">Motore_Operativo!E450</f>
        <v>2</v>
      </c>
      <c r="F450" s="15" t="n">
        <f aca="false">Motore_Operativo!AQ450+Motore_Operativo!BF450</f>
        <v>57615.1870278934</v>
      </c>
      <c r="G450" s="15" t="n">
        <f aca="false">Motore_Operativo!BH450</f>
        <v>6050</v>
      </c>
      <c r="H450" s="15" t="n">
        <f aca="false">Motore_Operativo!BI450</f>
        <v>63665.1870278934</v>
      </c>
      <c r="I450" s="15" t="n">
        <f aca="false">Motore_Operativo!CA450</f>
        <v>115400.459517238</v>
      </c>
      <c r="J450" s="15" t="n">
        <f aca="false">Motore_Operativo!CC450</f>
        <v>-51735.272489345</v>
      </c>
      <c r="K450" s="15" t="n">
        <f aca="false">Motore_Operativo!CE450</f>
        <v>2500</v>
      </c>
      <c r="L450" s="15" t="n">
        <f aca="false">SUM(INDEX($K$425:$K$484,MAX(1,26-Parametri_v3!$C$59+1)):K450)/Parametri_v3!$C$59</f>
        <v>1388.88888888889</v>
      </c>
      <c r="M450" s="15" t="n">
        <f aca="false">J450-L450</f>
        <v>-53124.1613782339</v>
      </c>
      <c r="N450" s="15" t="n">
        <f aca="false">CD450-(CD449)</f>
        <v>3610.6830441394</v>
      </c>
      <c r="O450" s="15" t="n">
        <f aca="false">(BG449)*Ipotesi!$C$110/12+CH450*Parametri_v3!$C$39/12</f>
        <v>0</v>
      </c>
      <c r="P450" s="15" t="n">
        <f aca="false">M450+N450-O450</f>
        <v>-49513.4783340945</v>
      </c>
      <c r="Q450" s="15" t="n">
        <f aca="false">SUM(P449:P450)+Parametri_v3!$C$54*2/12</f>
        <v>-96104.2467371168</v>
      </c>
      <c r="R450" s="15" t="n">
        <f aca="false">Z448</f>
        <v>492856.017960598</v>
      </c>
      <c r="S450" s="15" t="n">
        <f aca="false">AA448</f>
        <v>0</v>
      </c>
      <c r="T450" s="15" t="n">
        <f aca="false">MIN(R450,MAX(0,Q450))</f>
        <v>0</v>
      </c>
      <c r="U450" s="15" t="n">
        <f aca="false">MIN(S450,MAX(0,Q450-T450)*Parametri_v3!$C$42)</f>
        <v>0</v>
      </c>
      <c r="V450" s="15" t="n">
        <f aca="false">MAX(0,Q450-T450-U450)*Ipotesi!$C$92</f>
        <v>0</v>
      </c>
      <c r="W450" s="15" t="n">
        <f aca="false">MAX(0,SUM(M449:M450)+Parametri_v3!$C$55*2/12)*Ipotesi!$C$93</f>
        <v>0</v>
      </c>
      <c r="X450" s="15" t="n">
        <f aca="false">V450+W450-(V449+W449)</f>
        <v>0</v>
      </c>
      <c r="Y450" s="15" t="n">
        <f aca="false">P450-X450</f>
        <v>-49513.4783340945</v>
      </c>
      <c r="Z450" s="15" t="n">
        <f aca="false">R450-T450+IF(AND(Parametri_v3!$C$40=1,D450-YEAR(Parametri_v3!$C$50)&lt;Parametri_v3!$C$41),MAX(0,-Q450),0)</f>
        <v>588960.264697715</v>
      </c>
      <c r="AA450" s="15" t="n">
        <f aca="false">S450-U450+IF(AND(Parametri_v3!$C$40=1,D450-YEAR(Parametri_v3!$C$50)&lt;Parametri_v3!$C$41),0,MAX(0,-Q450))</f>
        <v>0</v>
      </c>
      <c r="AB450" s="15" t="n">
        <f aca="false">F450*(1+Parametri_v3!$C$26)</f>
        <v>70290.52817403</v>
      </c>
      <c r="AC450" s="15" t="n">
        <f aca="false">(IF(26-(INT((Motore_Operativo!L450)/30))&lt;1,0,INDEX(Motore_Startup!$AB$425:$AB$484,MAX(1,26-(INT((Motore_Operativo!L450)/30)))))*(1-(MOD((Motore_Operativo!L450),30)/30))+IF(26-(INT((Motore_Operativo!L450)/30))-1&lt;1,0,INDEX(Motore_Startup!$AB$425:$AB$484,MAX(1,26-(INT((Motore_Operativo!L450)/30))-1)))*(MOD((Motore_Operativo!L450),30)/30))</f>
        <v>37749.6522204198</v>
      </c>
      <c r="AD450" s="15" t="n">
        <f aca="false">(AD449)+AB450-AC450</f>
        <v>178596.677666066</v>
      </c>
      <c r="AE450" s="15" t="n">
        <f aca="false">Motore_Operativo!BH450*(1+Parametri_v3!$C$26)</f>
        <v>7381</v>
      </c>
      <c r="AF450" s="15" t="n">
        <f aca="false">(IF(26-(INT((Parametri_v3!$C$29)/30))&lt;1,0,INDEX(Motore_Operativo!$BH$425:$BH$484,MAX(1,26-(INT((Parametri_v3!$C$29)/30)))))*(1-(MOD((Parametri_v3!$C$29),30)/30))+IF(26-(INT((Parametri_v3!$C$29)/30))-1&lt;1,0,INDEX(Motore_Operativo!$BH$425:$BH$484,MAX(1,26-(INT((Parametri_v3!$C$29)/30))-1)))*(MOD((Parametri_v3!$C$29),30)/30))*(1+Parametri_v3!$C$26)</f>
        <v>7381</v>
      </c>
      <c r="AG450" s="15" t="n">
        <f aca="false">(AG449)+AE450-AF450</f>
        <v>7381</v>
      </c>
      <c r="AH450" s="15" t="n">
        <f aca="false">(Motore_Operativo!CJ450)*(1+Parametri_v3!$C$27*Parametri_v3!$C$26)</f>
        <v>48817.5031136287</v>
      </c>
      <c r="AI450" s="15" t="n">
        <f aca="false">(IF(26-(INT((Ipotesi!$C$91)/30))&lt;1,0,INDEX(Motore_Startup!$AH$425:$AH$484,MAX(1,26-(INT((Ipotesi!$C$91)/30)))))*(1-(MOD((Ipotesi!$C$91),30)/30))+IF(26-(INT((Ipotesi!$C$91)/30))-1&lt;1,0,INDEX(Motore_Startup!$AH$425:$AH$484,MAX(1,26-(INT((Ipotesi!$C$91)/30))-1)))*(MOD((Ipotesi!$C$91),30)/30))</f>
        <v>21846.5917803672</v>
      </c>
      <c r="AJ450" s="15" t="n">
        <f aca="false">(AJ449)+AH450-AI450</f>
        <v>97525.6194293553</v>
      </c>
      <c r="AK450" s="15" t="n">
        <f aca="false">(F450+ Motore_Operativo!BH450-(Motore_Operativo!CJ450)*Parametri_v3!$C$27-Motore_Operativo!CE450)*Parametri_v3!$C$26</f>
        <v>5765.63088307964</v>
      </c>
      <c r="AL450" s="15" t="n">
        <f aca="false">MAX(0,(AM449))</f>
        <v>5638.0502526224</v>
      </c>
      <c r="AM450" s="15" t="n">
        <f aca="false">(AM449)+AK450-AL450</f>
        <v>5765.63088307964</v>
      </c>
      <c r="AN450" s="15" t="n">
        <f aca="false">SUM(X437:X448)</f>
        <v>0</v>
      </c>
      <c r="AO450" s="15" t="n">
        <f aca="false">SUM(AP437:AP448)</f>
        <v>0</v>
      </c>
      <c r="AP450" s="15" t="n">
        <f aca="false">MAX(0,AN450)*IF(2=Parametri_v3!$C$43,Parametri_v3!$C$45,IF(2=Parametri_v3!$C$44,1-Parametri_v3!$C$45,0))</f>
        <v>0</v>
      </c>
      <c r="AQ450" s="15" t="n">
        <f aca="false">MAX(0,AP450+IF(2=Parametri_v3!$C$43,MAX(0,AN450-AO450),0)-MAX(0,-(AR449)))</f>
        <v>0</v>
      </c>
      <c r="AR450" s="15" t="n">
        <f aca="false">(AR449)+X450-AQ450</f>
        <v>0</v>
      </c>
      <c r="AS450" s="15" t="n">
        <f aca="false">Motore_Operativo!AB450-AT450+AU450</f>
        <v>70559.9833333333</v>
      </c>
      <c r="AT450" s="15" t="n">
        <f aca="false">Motore_Operativo!CH450</f>
        <v>3713.68333333333</v>
      </c>
      <c r="AU450" s="15" t="n">
        <f aca="false">MIN(MAX(0,(AV449)+AT450),Parametri_v3!$C$60/12)</f>
        <v>0</v>
      </c>
      <c r="AV450" s="15" t="n">
        <f aca="false">(AV449)+AT450-AU450</f>
        <v>42034.8666666667</v>
      </c>
      <c r="AW450" s="15" t="n">
        <f aca="false">IF(AND(Motore_Operativo!C450=Finanziamenti!$D$6,Finanziamenti!$F$6=1),Finanziamenti!$C$6,0)</f>
        <v>0</v>
      </c>
      <c r="AX450" s="15" t="n">
        <f aca="false">IF(AND(8&lt;&gt;7,8&lt;&gt;9,Finanziamenti!$F$8=1,OR(Parametri_v3!$C$6=0,Finanziamenti!$E$8=1),Motore_Operativo!C450=EDATE(Finanziamenti!$D$8,Ipotesi!J15*12)),Finanziamenti!$C$8*1,0)+IF(AND(8&lt;&gt;7,8&lt;&gt;9,Finanziamenti!$F$9=1,OR(Parametri_v3!$C$6=0,Finanziamenti!$E$9=1),Motore_Operativo!C450=EDATE(Finanziamenti!$D$9,Ipotesi!J15*12)),Finanziamenti!$C$9*Ipotesi!J16,0)</f>
        <v>0</v>
      </c>
      <c r="AY450" s="15" t="n">
        <f aca="false">0</f>
        <v>0</v>
      </c>
      <c r="AZ450" s="15" t="n">
        <f aca="false">Motore_Advisory!AY450*(1-Ipotesi!$C$95)*Ipotesi!$C$96</f>
        <v>0</v>
      </c>
      <c r="BA450" s="15" t="n">
        <f aca="false">MAX(0,MIN(CG450*MIN(1,IF(Motore_Operativo!C450&gt;=EDATE(Finanziamenti!$D$15,Ipotesi!J14*12),Finanziamenti!$C$15,0)+IF(Motore_Operativo!C450&gt;=EDATE(Finanziamenti!$D$16,Ipotesi!J14*12),Finanziamenti!$C$16,0)+IF(Motore_Operativo!C450&gt;=EDATE(Finanziamenti!$D$17,Ipotesi!J14*12),Finanziamenti!$C$17,0)),CA450*Ipotesi!$C$102)-(CC449))</f>
        <v>12478.3774815982</v>
      </c>
      <c r="BB450" s="15" t="n">
        <f aca="false">IF(AND(CF450&gt;0,Motore_Operativo!C450&gt;=IF(CF450=0,0,EDATE(CF450,Parametri_v3!$C$37)),MOD(((D450-YEAR(IF(CF450=0,0,EDATE(CF450,Parametri_v3!$C$37))))*12+E450-MONTH(IF(CF450=0,0,EDATE(CF450,Parametri_v3!$C$37)))),Parametri_v3!$C$38)=0),MIN(MAX(0,(BC449)+BA450-N450),(CC450-CD450)/(Ipotesi!$C$108*12/Parametri_v3!$C$38)),0)</f>
        <v>0</v>
      </c>
      <c r="BC450" s="15" t="n">
        <f aca="false">(BC449)+BA450-N450-BB450</f>
        <v>202892.83020034</v>
      </c>
      <c r="BD450" s="15" t="n">
        <f aca="false">(BH449)+AC450+AF450-AI450-AS450-K450*(1+Parametri_v3!$C$26)-AL450-AQ450-O450+AW450+AX450+AZ450+BA450-BB450</f>
        <v>-29218.9951843393</v>
      </c>
      <c r="BE450" s="15" t="n">
        <f aca="false">MAX(0,MIN(MAX(0,CH450-(BG449)),Parametri_v3!$C$30-BD450))</f>
        <v>0</v>
      </c>
      <c r="BF450" s="15" t="n">
        <f aca="false">IF(Motore_Operativo!C450&gt;=Parametri_v3!$C$63,(BG449),MIN((BG449),MAX(0,BD450-Parametri_v3!$C$30)))</f>
        <v>0</v>
      </c>
      <c r="BG450" s="15" t="n">
        <f aca="false">(BG449)+BE450-BF450</f>
        <v>0</v>
      </c>
      <c r="BH450" s="15" t="n">
        <f aca="false">BD450+BE450-BF450-AY450</f>
        <v>-29218.9951843393</v>
      </c>
      <c r="BI450" s="15" t="n">
        <f aca="false">MAX(0,Parametri_v3!$C$30-BH450)</f>
        <v>54218.9951843393</v>
      </c>
      <c r="BJ450" s="15" t="n">
        <f aca="false">(BJ449)+K450</f>
        <v>50000</v>
      </c>
      <c r="BK450" s="15" t="n">
        <f aca="false">(BK449)+L450</f>
        <v>17500</v>
      </c>
      <c r="BL450" s="15" t="n">
        <f aca="false">BJ450-BK450</f>
        <v>32500</v>
      </c>
      <c r="BM450" s="15" t="n">
        <f aca="false">(BM449)+Y450</f>
        <v>-588960.264697715</v>
      </c>
      <c r="BN450" s="15" t="n">
        <f aca="false">(BN449)+AW450+AX450+AZ450</f>
        <v>430000</v>
      </c>
      <c r="BO450" s="15" t="n">
        <f aca="false">(BO449)+AY450</f>
        <v>0</v>
      </c>
      <c r="BP450" s="15" t="n">
        <f aca="false">0</f>
        <v>0</v>
      </c>
      <c r="BQ450" s="15" t="n">
        <f aca="false">BN450+BM450-BO450</f>
        <v>-158960.264697715</v>
      </c>
      <c r="BR450" s="15" t="n">
        <f aca="false">BH450+AD450+BL450+MAX(0,-AM450)+MAX(0,-AR450)+AG450</f>
        <v>189258.682481726</v>
      </c>
      <c r="BS450" s="15" t="n">
        <f aca="false">AJ450+AV450+MAX(0,AM450)+MAX(0,AR450)+BC450+BG450+BQ450</f>
        <v>189258.682481726</v>
      </c>
      <c r="BT450" s="15" t="n">
        <f aca="false">BR450-BS450</f>
        <v>0</v>
      </c>
      <c r="BU450" s="15" t="n">
        <f aca="false">BH450-(BD450+BE450-BF450-AY450)</f>
        <v>0</v>
      </c>
      <c r="BV450" s="15" t="n">
        <f aca="false">MIN(Piano_SS!$C$6,(BV449)+IF(AND(Motore_Operativo!C450&gt;=EDATE(Parametri_v3!$C$24,Ipotesi!J14*12),Motore_Operativo!C450&lt;EDATE(Parametri_v3!$C$24,Parametri_v3!$C$25+Ipotesi!J14*12)),MAX(0,(Motore_Operativo!Y450+Motore_Operativo!X450*Parametri_v3!$C$14)*(1-Parametri_v3!$C$32))*Piano_SS!$D$6,0))</f>
        <v>224827.870833333</v>
      </c>
      <c r="BW450" s="15" t="n">
        <f aca="false">MIN(Piano_SS!$C$7,(BW449)+IF(AND(Motore_Operativo!C450&gt;=EDATE(Parametri_v3!$C$24,Ipotesi!J14*12),Motore_Operativo!C450&lt;EDATE(Parametri_v3!$C$24,Parametri_v3!$C$25+Ipotesi!J14*12)),MAX(0,(IF(26-(INT((Ipotesi!$C$91)/30))&lt;1,0,INDEX(Motore_Operativo!$BN$425:$BN$484,MAX(1,26-(INT((Ipotesi!$C$91)/30)))))*(1-(MOD((Ipotesi!$C$91),30)/30))+IF(26-(INT((Ipotesi!$C$91)/30))-1&lt;1,0,INDEX(Motore_Operativo!$BN$425:$BN$484,MAX(1,26-(INT((Ipotesi!$C$91)/30))-1)))*(MOD((Ipotesi!$C$91),30)/30)))*Piano_SS!$D$7,0))</f>
        <v>30769.4131206034</v>
      </c>
      <c r="BX450" s="15" t="n">
        <f aca="false">MIN(Piano_SS!$C$8,(BX449)+IF(AND(Motore_Operativo!C450&gt;=EDATE(Parametri_v3!$C$24,Ipotesi!J14*12),Motore_Operativo!C450&lt;EDATE(Parametri_v3!$C$24,Parametri_v3!$C$25+Ipotesi!J14*12)),MAX(0,Motore_Operativo!CE450)*Piano_SS!$D$8,0))</f>
        <v>40000</v>
      </c>
      <c r="BY450" s="15" t="n">
        <f aca="false">MIN(Piano_SS!$C$9,(BY449)+IF(AND(Motore_Operativo!C450&gt;=EDATE(Parametri_v3!$C$24,Ipotesi!J14*12),Motore_Operativo!C450&lt;EDATE(Parametri_v3!$C$24,Parametri_v3!$C$25+Ipotesi!J14*12)),MAX(0,((IF(26-(INT((Ipotesi!$C$91)/30))&lt;1,0,INDEX(Motore_Operativo!$BQ$425:$BQ$484,MAX(1,26-(INT((Ipotesi!$C$91)/30)))))*(1-(MOD((Ipotesi!$C$91),30)/30))+IF(26-(INT((Ipotesi!$C$91)/30))-1&lt;1,0,INDEX(Motore_Operativo!$BQ$425:$BQ$484,MAX(1,26-(INT((Ipotesi!$C$91)/30))-1)))*(MOD((Ipotesi!$C$91),30)/30))+(IF(26-(INT((Ipotesi!$C$91)/30))&lt;1,0,INDEX(Motore_Operativo!$BR$425:$BR$484,MAX(1,26-(INT((Ipotesi!$C$91)/30)))))*(1-(MOD((Ipotesi!$C$91),30)/30))+IF(26-(INT((Ipotesi!$C$91)/30))-1&lt;1,0,INDEX(Motore_Operativo!$BR$425:$BR$484,MAX(1,26-(INT((Ipotesi!$C$91)/30))-1)))*(MOD((Ipotesi!$C$91),30)/30))))*Piano_SS!$D$9,0))</f>
        <v>40000</v>
      </c>
      <c r="BZ450" s="15" t="n">
        <f aca="false">MIN(Piano_SS!$C$10,(BZ449)+IF(AND(Motore_Operativo!C450&gt;=EDATE(Parametri_v3!$C$24,Ipotesi!J14*12),Motore_Operativo!C450&lt;EDATE(Parametri_v3!$C$24,Parametri_v3!$C$25+Ipotesi!J14*12)),MAX(0,(IF(26-(INT((Ipotesi!$C$91)/30))&lt;1,0,INDEX(Motore_Operativo!$BO$425:$BO$484,MAX(1,26-(INT((Ipotesi!$C$91)/30)))))*(1-(MOD((Ipotesi!$C$91),30)/30))+IF(26-(INT((Ipotesi!$C$91)/30))-1&lt;1,0,INDEX(Motore_Operativo!$BO$425:$BO$484,MAX(1,26-(INT((Ipotesi!$C$91)/30))-1)))*(MOD((Ipotesi!$C$91),30)/30)))*Piano_SS!$D$10,0))</f>
        <v>30000</v>
      </c>
      <c r="CA450" s="15" t="n">
        <f aca="false">SUM(BV450:BZ450)</f>
        <v>365597.283953937</v>
      </c>
      <c r="CB450" s="15" t="n">
        <f aca="false">BV450*(1-Piano_SS!$E$6)+BW450*(1-Piano_SS!$E$7)+BX450*(1-Piano_SS!$E$8)+BY450*(1-Piano_SS!$E$9)+BZ450*(1-Piano_SS!$E$10)</f>
        <v>335597.283953937</v>
      </c>
      <c r="CC450" s="15" t="n">
        <f aca="false">(CC449)+BA450</f>
        <v>280000</v>
      </c>
      <c r="CD450" s="15" t="n">
        <f aca="false">IF(CA450=0,0,CC450*CB450/CA450*Ipotesi!$C$103*Parametri_v3!$C$64)</f>
        <v>77107.1697996599</v>
      </c>
      <c r="CE450" s="18" t="n">
        <f aca="false">IF(BA450&gt;0,Motore_Operativo!C450,(CE449))</f>
        <v>47150</v>
      </c>
      <c r="CF450" s="18" t="n">
        <f aca="false">IF(AND(CC450&gt;0,OR(CC450&gt;=CG450-0.01,Motore_Operativo!C450&gt;=EDATE(MAX(Finanziamenti!$D$15:$D$17),Ipotesi!J14*12))),CE450,0)</f>
        <v>0</v>
      </c>
      <c r="CG450" s="15" t="n">
        <f aca="false">IF(AND(8&lt;&gt;6,8&lt;&gt;9,Finanziamenti!$F$11=1,OR(Parametri_v3!$C$6=0,Finanziamenti!$E$11=1)),MIN(Finanziamenti!$C$11,Piano_SS!$C$12*Ipotesi!$C$102),0)</f>
        <v>400000</v>
      </c>
      <c r="CH450" s="15" t="n">
        <f aca="false">IF(AND(AND(8&lt;&gt;8,8&lt;&gt;9,Finanziamenti!$F$10=1,OR(Parametri_v3!$C$6=0,Finanziamenti!$E$10=1)),Motore_Operativo!C450&gt;=Finanziamenti!$D$10,Motore_Operativo!C450&lt;Parametri_v3!$C$63),Finanziamenti!$C$10,0)</f>
        <v>0</v>
      </c>
    </row>
    <row r="451" customFormat="false" ht="18" hidden="false" customHeight="true" outlineLevel="0" collapsed="false">
      <c r="A451" s="68" t="n">
        <f aca="false">8</f>
        <v>8</v>
      </c>
      <c r="B451" s="68" t="n">
        <f aca="false">27</f>
        <v>27</v>
      </c>
      <c r="C451" s="18" t="n">
        <f aca="false">Motore_Operativo!C451</f>
        <v>47178</v>
      </c>
      <c r="D451" s="68" t="n">
        <f aca="false">Motore_Operativo!D451</f>
        <v>2029</v>
      </c>
      <c r="E451" s="68" t="n">
        <f aca="false">Motore_Operativo!E451</f>
        <v>3</v>
      </c>
      <c r="F451" s="15" t="n">
        <f aca="false">Motore_Operativo!AQ451+Motore_Operativo!BF451</f>
        <v>58267.6757814814</v>
      </c>
      <c r="G451" s="15" t="n">
        <f aca="false">Motore_Operativo!BH451</f>
        <v>6050</v>
      </c>
      <c r="H451" s="15" t="n">
        <f aca="false">Motore_Operativo!BI451</f>
        <v>64317.6757814814</v>
      </c>
      <c r="I451" s="15" t="n">
        <f aca="false">Motore_Operativo!CA451</f>
        <v>115491.807942741</v>
      </c>
      <c r="J451" s="15" t="n">
        <f aca="false">Motore_Operativo!CC451</f>
        <v>-51174.1321612593</v>
      </c>
      <c r="K451" s="15" t="n">
        <f aca="false">Motore_Operativo!CE451</f>
        <v>2500</v>
      </c>
      <c r="L451" s="15" t="n">
        <f aca="false">SUM(INDEX($K$425:$K$484,MAX(1,27-Parametri_v3!$C$59+1)):K451)/Parametri_v3!$C$59</f>
        <v>1458.33333333333</v>
      </c>
      <c r="M451" s="15" t="n">
        <f aca="false">J451-L451</f>
        <v>-52632.4654945927</v>
      </c>
      <c r="N451" s="15" t="n">
        <f aca="false">CD451-(CD450)</f>
        <v>518.681990197467</v>
      </c>
      <c r="O451" s="15" t="n">
        <f aca="false">(BG450)*Ipotesi!$C$110/12+CH451*Parametri_v3!$C$39/12</f>
        <v>0</v>
      </c>
      <c r="P451" s="15" t="n">
        <f aca="false">M451+N451-O451</f>
        <v>-52113.7835043952</v>
      </c>
      <c r="Q451" s="15" t="n">
        <f aca="false">SUM(P449:P451)+Parametri_v3!$C$54*3/12</f>
        <v>-148218.030241512</v>
      </c>
      <c r="R451" s="15" t="n">
        <f aca="false">Z448</f>
        <v>492856.017960598</v>
      </c>
      <c r="S451" s="15" t="n">
        <f aca="false">AA448</f>
        <v>0</v>
      </c>
      <c r="T451" s="15" t="n">
        <f aca="false">MIN(R451,MAX(0,Q451))</f>
        <v>0</v>
      </c>
      <c r="U451" s="15" t="n">
        <f aca="false">MIN(S451,MAX(0,Q451-T451)*Parametri_v3!$C$42)</f>
        <v>0</v>
      </c>
      <c r="V451" s="15" t="n">
        <f aca="false">MAX(0,Q451-T451-U451)*Ipotesi!$C$92</f>
        <v>0</v>
      </c>
      <c r="W451" s="15" t="n">
        <f aca="false">MAX(0,SUM(M449:M451)+Parametri_v3!$C$55*3/12)*Ipotesi!$C$93</f>
        <v>0</v>
      </c>
      <c r="X451" s="15" t="n">
        <f aca="false">V451+W451-(V450+W450)</f>
        <v>0</v>
      </c>
      <c r="Y451" s="15" t="n">
        <f aca="false">P451-X451</f>
        <v>-52113.7835043952</v>
      </c>
      <c r="Z451" s="15" t="n">
        <f aca="false">R451-T451+IF(AND(Parametri_v3!$C$40=1,D451-YEAR(Parametri_v3!$C$50)&lt;Parametri_v3!$C$41),MAX(0,-Q451),0)</f>
        <v>641074.048202111</v>
      </c>
      <c r="AA451" s="15" t="n">
        <f aca="false">S451-U451+IF(AND(Parametri_v3!$C$40=1,D451-YEAR(Parametri_v3!$C$50)&lt;Parametri_v3!$C$41),0,MAX(0,-Q451))</f>
        <v>0</v>
      </c>
      <c r="AB451" s="15" t="n">
        <f aca="false">F451*(1+Parametri_v3!$C$26)</f>
        <v>71086.5644534073</v>
      </c>
      <c r="AC451" s="15" t="n">
        <f aca="false">(IF(27-(INT((Motore_Operativo!L451)/30))&lt;1,0,INDEX(Motore_Startup!$AB$425:$AB$484,MAX(1,27-(INT((Motore_Operativo!L451)/30)))))*(1-(MOD((Motore_Operativo!L451),30)/30))+IF(27-(INT((Motore_Operativo!L451)/30))-1&lt;1,0,INDEX(Motore_Startup!$AB$425:$AB$484,MAX(1,27-(INT((Motore_Operativo!L451)/30))-1)))*(MOD((Motore_Operativo!L451),30)/30))</f>
        <v>38818.6776030012</v>
      </c>
      <c r="AD451" s="15" t="n">
        <f aca="false">(AD450)+AB451-AC451</f>
        <v>210864.564516472</v>
      </c>
      <c r="AE451" s="15" t="n">
        <f aca="false">Motore_Operativo!BH451*(1+Parametri_v3!$C$26)</f>
        <v>7381</v>
      </c>
      <c r="AF451" s="15" t="n">
        <f aca="false">(IF(27-(INT((Parametri_v3!$C$29)/30))&lt;1,0,INDEX(Motore_Operativo!$BH$425:$BH$484,MAX(1,27-(INT((Parametri_v3!$C$29)/30)))))*(1-(MOD((Parametri_v3!$C$29),30)/30))+IF(27-(INT((Parametri_v3!$C$29)/30))-1&lt;1,0,INDEX(Motore_Operativo!$BH$425:$BH$484,MAX(1,27-(INT((Parametri_v3!$C$29)/30))-1)))*(MOD((Parametri_v3!$C$29),30)/30))*(1+Parametri_v3!$C$26)</f>
        <v>7381</v>
      </c>
      <c r="AG451" s="15" t="n">
        <f aca="false">(AG450)+AE451-AF451</f>
        <v>7381</v>
      </c>
      <c r="AH451" s="15" t="n">
        <f aca="false">(Motore_Operativo!CJ451)*(1+Parametri_v3!$C$27*Parametri_v3!$C$26)</f>
        <v>48925.9336946999</v>
      </c>
      <c r="AI451" s="15" t="n">
        <f aca="false">(IF(27-(INT((Ipotesi!$C$91)/30))&lt;1,0,INDEX(Motore_Startup!$AH$425:$AH$484,MAX(1,27-(INT((Ipotesi!$C$91)/30)))))*(1-(MOD((Ipotesi!$C$91),30)/30))+IF(27-(INT((Ipotesi!$C$91)/30))-1&lt;1,0,INDEX(Motore_Startup!$AH$425:$AH$484,MAX(1,27-(INT((Ipotesi!$C$91)/30))-1)))*(MOD((Ipotesi!$C$91),30)/30))</f>
        <v>48708.1163157266</v>
      </c>
      <c r="AJ451" s="15" t="n">
        <f aca="false">(AJ450)+AH451-AI451</f>
        <v>97743.4368083286</v>
      </c>
      <c r="AK451" s="15" t="n">
        <f aca="false">(F451+ Motore_Operativo!BH451-(Motore_Operativo!CJ451)*Parametri_v3!$C$27-Motore_Operativo!CE451)*Parametri_v3!$C$26</f>
        <v>5892.09625330006</v>
      </c>
      <c r="AL451" s="15" t="n">
        <f aca="false">MAX(0,(AM450))</f>
        <v>5765.63088307964</v>
      </c>
      <c r="AM451" s="15" t="n">
        <f aca="false">(AM450)+AK451-AL451</f>
        <v>5892.09625330006</v>
      </c>
      <c r="AN451" s="15" t="n">
        <f aca="false">SUM(X437:X448)</f>
        <v>0</v>
      </c>
      <c r="AO451" s="15" t="n">
        <f aca="false">SUM(AP437:AP448)</f>
        <v>0</v>
      </c>
      <c r="AP451" s="15" t="n">
        <f aca="false">MAX(0,AN451)*IF(3=Parametri_v3!$C$43,Parametri_v3!$C$45,IF(3=Parametri_v3!$C$44,1-Parametri_v3!$C$45,0))</f>
        <v>0</v>
      </c>
      <c r="AQ451" s="15" t="n">
        <f aca="false">MAX(0,AP451+IF(3=Parametri_v3!$C$43,MAX(0,AN451-AO451),0)-MAX(0,-(AR450)))</f>
        <v>0</v>
      </c>
      <c r="AR451" s="15" t="n">
        <f aca="false">(AR450)+X451-AQ451</f>
        <v>0</v>
      </c>
      <c r="AS451" s="15" t="n">
        <f aca="false">Motore_Operativo!AB451-AT451+AU451</f>
        <v>70559.9833333333</v>
      </c>
      <c r="AT451" s="15" t="n">
        <f aca="false">Motore_Operativo!CH451</f>
        <v>3713.68333333333</v>
      </c>
      <c r="AU451" s="15" t="n">
        <f aca="false">MIN(MAX(0,(AV450)+AT451),Parametri_v3!$C$60/12)</f>
        <v>0</v>
      </c>
      <c r="AV451" s="15" t="n">
        <f aca="false">(AV450)+AT451-AU451</f>
        <v>45748.55</v>
      </c>
      <c r="AW451" s="15" t="n">
        <f aca="false">IF(AND(Motore_Operativo!C451=Finanziamenti!$D$6,Finanziamenti!$F$6=1),Finanziamenti!$C$6,0)</f>
        <v>0</v>
      </c>
      <c r="AX451" s="15" t="n">
        <f aca="false">IF(AND(8&lt;&gt;7,8&lt;&gt;9,Finanziamenti!$F$8=1,OR(Parametri_v3!$C$6=0,Finanziamenti!$E$8=1),Motore_Operativo!C451=EDATE(Finanziamenti!$D$8,Ipotesi!J15*12)),Finanziamenti!$C$8*1,0)+IF(AND(8&lt;&gt;7,8&lt;&gt;9,Finanziamenti!$F$9=1,OR(Parametri_v3!$C$6=0,Finanziamenti!$E$9=1),Motore_Operativo!C451=EDATE(Finanziamenti!$D$9,Ipotesi!J15*12)),Finanziamenti!$C$9*Ipotesi!J16,0)</f>
        <v>0</v>
      </c>
      <c r="AY451" s="15" t="n">
        <f aca="false">0</f>
        <v>0</v>
      </c>
      <c r="AZ451" s="15" t="n">
        <f aca="false">Motore_Advisory!AY451*(1-Ipotesi!$C$95)*Ipotesi!$C$96</f>
        <v>0</v>
      </c>
      <c r="BA451" s="15" t="n">
        <f aca="false">MAX(0,MIN(CG451*MIN(1,IF(Motore_Operativo!C451&gt;=EDATE(Finanziamenti!$D$15,Ipotesi!J14*12),Finanziamenti!$C$15,0)+IF(Motore_Operativo!C451&gt;=EDATE(Finanziamenti!$D$16,Ipotesi!J14*12),Finanziamenti!$C$16,0)+IF(Motore_Operativo!C451&gt;=EDATE(Finanziamenti!$D$17,Ipotesi!J14*12),Finanziamenti!$C$17,0)),CA451*Ipotesi!$C$102)-(CC450))</f>
        <v>0</v>
      </c>
      <c r="BB451" s="15" t="n">
        <f aca="false">IF(AND(CF451&gt;0,Motore_Operativo!C451&gt;=IF(CF451=0,0,EDATE(CF451,Parametri_v3!$C$37)),MOD(((D451-YEAR(IF(CF451=0,0,EDATE(CF451,Parametri_v3!$C$37))))*12+E451-MONTH(IF(CF451=0,0,EDATE(CF451,Parametri_v3!$C$37)))),Parametri_v3!$C$38)=0),MIN(MAX(0,(BC450)+BA451-N451),(CC451-CD451)/(Ipotesi!$C$108*12/Parametri_v3!$C$38)),0)</f>
        <v>0</v>
      </c>
      <c r="BC451" s="15" t="n">
        <f aca="false">(BC450)+BA451-N451-BB451</f>
        <v>202374.148210143</v>
      </c>
      <c r="BD451" s="15" t="n">
        <f aca="false">(BH450)+AC451+AF451-AI451-AS451-K451*(1+Parametri_v3!$C$26)-AL451-AQ451-O451+AW451+AX451+AZ451+BA451-BB451</f>
        <v>-111103.048113478</v>
      </c>
      <c r="BE451" s="15" t="n">
        <f aca="false">MAX(0,MIN(MAX(0,CH451-(BG450)),Parametri_v3!$C$30-BD451))</f>
        <v>0</v>
      </c>
      <c r="BF451" s="15" t="n">
        <f aca="false">IF(Motore_Operativo!C451&gt;=Parametri_v3!$C$63,(BG450),MIN((BG450),MAX(0,BD451-Parametri_v3!$C$30)))</f>
        <v>0</v>
      </c>
      <c r="BG451" s="15" t="n">
        <f aca="false">(BG450)+BE451-BF451</f>
        <v>0</v>
      </c>
      <c r="BH451" s="15" t="n">
        <f aca="false">BD451+BE451-BF451-AY451</f>
        <v>-111103.048113478</v>
      </c>
      <c r="BI451" s="15" t="n">
        <f aca="false">MAX(0,Parametri_v3!$C$30-BH451)</f>
        <v>136103.048113478</v>
      </c>
      <c r="BJ451" s="15" t="n">
        <f aca="false">(BJ450)+K451</f>
        <v>52500</v>
      </c>
      <c r="BK451" s="15" t="n">
        <f aca="false">(BK450)+L451</f>
        <v>18958.3333333333</v>
      </c>
      <c r="BL451" s="15" t="n">
        <f aca="false">BJ451-BK451</f>
        <v>33541.6666666667</v>
      </c>
      <c r="BM451" s="15" t="n">
        <f aca="false">(BM450)+Y451</f>
        <v>-641074.04820211</v>
      </c>
      <c r="BN451" s="15" t="n">
        <f aca="false">(BN450)+AW451+AX451+AZ451</f>
        <v>430000</v>
      </c>
      <c r="BO451" s="15" t="n">
        <f aca="false">(BO450)+AY451</f>
        <v>0</v>
      </c>
      <c r="BP451" s="15" t="n">
        <f aca="false">0</f>
        <v>0</v>
      </c>
      <c r="BQ451" s="15" t="n">
        <f aca="false">BN451+BM451-BO451</f>
        <v>-211074.04820211</v>
      </c>
      <c r="BR451" s="15" t="n">
        <f aca="false">BH451+AD451+BL451+MAX(0,-AM451)+MAX(0,-AR451)+AG451</f>
        <v>140684.183069661</v>
      </c>
      <c r="BS451" s="15" t="n">
        <f aca="false">AJ451+AV451+MAX(0,AM451)+MAX(0,AR451)+BC451+BG451+BQ451</f>
        <v>140684.183069661</v>
      </c>
      <c r="BT451" s="15" t="n">
        <f aca="false">BR451-BS451</f>
        <v>0</v>
      </c>
      <c r="BU451" s="15" t="n">
        <f aca="false">BH451-(BD451+BE451-BF451-AY451)</f>
        <v>0</v>
      </c>
      <c r="BV451" s="15" t="n">
        <f aca="false">MIN(Piano_SS!$C$6,(BV450)+IF(AND(Motore_Operativo!C451&gt;=EDATE(Parametri_v3!$C$24,Ipotesi!J14*12),Motore_Operativo!C451&lt;EDATE(Parametri_v3!$C$24,Parametri_v3!$C$25+Ipotesi!J14*12)),MAX(0,(Motore_Operativo!Y451+Motore_Operativo!X451*Parametri_v3!$C$14)*(1-Parametri_v3!$C$32))*Piano_SS!$D$6,0))</f>
        <v>249604.30625</v>
      </c>
      <c r="BW451" s="15" t="n">
        <f aca="false">MIN(Piano_SS!$C$7,(BW450)+IF(AND(Motore_Operativo!C451&gt;=EDATE(Parametri_v3!$C$24,Ipotesi!J14*12),Motore_Operativo!C451&lt;EDATE(Parametri_v3!$C$24,Parametri_v3!$C$25+Ipotesi!J14*12)),MAX(0,(IF(27-(INT((Ipotesi!$C$91)/30))&lt;1,0,INDEX(Motore_Operativo!$BN$425:$BN$484,MAX(1,27-(INT((Ipotesi!$C$91)/30)))))*(1-(MOD((Ipotesi!$C$91),30)/30))+IF(27-(INT((Ipotesi!$C$91)/30))-1&lt;1,0,INDEX(Motore_Operativo!$BN$425:$BN$484,MAX(1,27-(INT((Ipotesi!$C$91)/30))-1)))*(MOD((Ipotesi!$C$91),30)/30)))*Piano_SS!$D$7,0))</f>
        <v>33242.6353209773</v>
      </c>
      <c r="BX451" s="15" t="n">
        <f aca="false">MIN(Piano_SS!$C$8,(BX450)+IF(AND(Motore_Operativo!C451&gt;=EDATE(Parametri_v3!$C$24,Ipotesi!J14*12),Motore_Operativo!C451&lt;EDATE(Parametri_v3!$C$24,Parametri_v3!$C$25+Ipotesi!J14*12)),MAX(0,Motore_Operativo!CE451)*Piano_SS!$D$8,0))</f>
        <v>42500</v>
      </c>
      <c r="BY451" s="15" t="n">
        <f aca="false">MIN(Piano_SS!$C$9,(BY450)+IF(AND(Motore_Operativo!C451&gt;=EDATE(Parametri_v3!$C$24,Ipotesi!J14*12),Motore_Operativo!C451&lt;EDATE(Parametri_v3!$C$24,Parametri_v3!$C$25+Ipotesi!J14*12)),MAX(0,((IF(27-(INT((Ipotesi!$C$91)/30))&lt;1,0,INDEX(Motore_Operativo!$BQ$425:$BQ$484,MAX(1,27-(INT((Ipotesi!$C$91)/30)))))*(1-(MOD((Ipotesi!$C$91),30)/30))+IF(27-(INT((Ipotesi!$C$91)/30))-1&lt;1,0,INDEX(Motore_Operativo!$BQ$425:$BQ$484,MAX(1,27-(INT((Ipotesi!$C$91)/30))-1)))*(MOD((Ipotesi!$C$91),30)/30))+(IF(27-(INT((Ipotesi!$C$91)/30))&lt;1,0,INDEX(Motore_Operativo!$BR$425:$BR$484,MAX(1,27-(INT((Ipotesi!$C$91)/30)))))*(1-(MOD((Ipotesi!$C$91),30)/30))+IF(27-(INT((Ipotesi!$C$91)/30))-1&lt;1,0,INDEX(Motore_Operativo!$BR$425:$BR$484,MAX(1,27-(INT((Ipotesi!$C$91)/30))-1)))*(MOD((Ipotesi!$C$91),30)/30))))*Piano_SS!$D$9,0))</f>
        <v>40000</v>
      </c>
      <c r="BZ451" s="15" t="n">
        <f aca="false">MIN(Piano_SS!$C$10,(BZ450)+IF(AND(Motore_Operativo!C451&gt;=EDATE(Parametri_v3!$C$24,Ipotesi!J14*12),Motore_Operativo!C451&lt;EDATE(Parametri_v3!$C$24,Parametri_v3!$C$25+Ipotesi!J14*12)),MAX(0,(IF(27-(INT((Ipotesi!$C$91)/30))&lt;1,0,INDEX(Motore_Operativo!$BO$425:$BO$484,MAX(1,27-(INT((Ipotesi!$C$91)/30)))))*(1-(MOD((Ipotesi!$C$91),30)/30))+IF(27-(INT((Ipotesi!$C$91)/30))-1&lt;1,0,INDEX(Motore_Operativo!$BO$425:$BO$484,MAX(1,27-(INT((Ipotesi!$C$91)/30))-1)))*(MOD((Ipotesi!$C$91),30)/30)))*Piano_SS!$D$10,0))</f>
        <v>30000</v>
      </c>
      <c r="CA451" s="15" t="n">
        <f aca="false">SUM(BV451:BZ451)</f>
        <v>395346.941570977</v>
      </c>
      <c r="CB451" s="15" t="n">
        <f aca="false">BV451*(1-Piano_SS!$E$6)+BW451*(1-Piano_SS!$E$7)+BX451*(1-Piano_SS!$E$8)+BY451*(1-Piano_SS!$E$9)+BZ451*(1-Piano_SS!$E$10)</f>
        <v>365346.941570977</v>
      </c>
      <c r="CC451" s="15" t="n">
        <f aca="false">(CC450)+BA451</f>
        <v>280000</v>
      </c>
      <c r="CD451" s="15" t="n">
        <f aca="false">IF(CA451=0,0,CC451*CB451/CA451*Ipotesi!$C$103*Parametri_v3!$C$64)</f>
        <v>77625.8517898574</v>
      </c>
      <c r="CE451" s="18" t="n">
        <f aca="false">IF(BA451&gt;0,Motore_Operativo!C451,(CE450))</f>
        <v>47150</v>
      </c>
      <c r="CF451" s="18" t="n">
        <f aca="false">IF(AND(CC451&gt;0,OR(CC451&gt;=CG451-0.01,Motore_Operativo!C451&gt;=EDATE(MAX(Finanziamenti!$D$15:$D$17),Ipotesi!J14*12))),CE451,0)</f>
        <v>0</v>
      </c>
      <c r="CG451" s="15" t="n">
        <f aca="false">IF(AND(8&lt;&gt;6,8&lt;&gt;9,Finanziamenti!$F$11=1,OR(Parametri_v3!$C$6=0,Finanziamenti!$E$11=1)),MIN(Finanziamenti!$C$11,Piano_SS!$C$12*Ipotesi!$C$102),0)</f>
        <v>400000</v>
      </c>
      <c r="CH451" s="15" t="n">
        <f aca="false">IF(AND(AND(8&lt;&gt;8,8&lt;&gt;9,Finanziamenti!$F$10=1,OR(Parametri_v3!$C$6=0,Finanziamenti!$E$10=1)),Motore_Operativo!C451&gt;=Finanziamenti!$D$10,Motore_Operativo!C451&lt;Parametri_v3!$C$63),Finanziamenti!$C$10,0)</f>
        <v>0</v>
      </c>
    </row>
    <row r="452" customFormat="false" ht="18" hidden="false" customHeight="true" outlineLevel="0" collapsed="false">
      <c r="A452" s="68" t="n">
        <f aca="false">8</f>
        <v>8</v>
      </c>
      <c r="B452" s="68" t="n">
        <f aca="false">28</f>
        <v>28</v>
      </c>
      <c r="C452" s="18" t="n">
        <f aca="false">Motore_Operativo!C452</f>
        <v>47209</v>
      </c>
      <c r="D452" s="68" t="n">
        <f aca="false">Motore_Operativo!D452</f>
        <v>2029</v>
      </c>
      <c r="E452" s="68" t="n">
        <f aca="false">Motore_Operativo!E452</f>
        <v>4</v>
      </c>
      <c r="F452" s="15" t="n">
        <f aca="false">Motore_Operativo!AQ452+Motore_Operativo!BF452</f>
        <v>59945.7332669554</v>
      </c>
      <c r="G452" s="15" t="n">
        <f aca="false">Motore_Operativo!BH452</f>
        <v>6050</v>
      </c>
      <c r="H452" s="15" t="n">
        <f aca="false">Motore_Operativo!BI452</f>
        <v>65995.7332669555</v>
      </c>
      <c r="I452" s="15" t="n">
        <f aca="false">Motore_Operativo!CA452</f>
        <v>115726.735990707</v>
      </c>
      <c r="J452" s="15" t="n">
        <f aca="false">Motore_Operativo!CC452</f>
        <v>-49731.0027237517</v>
      </c>
      <c r="K452" s="15" t="n">
        <f aca="false">Motore_Operativo!CE452</f>
        <v>2500</v>
      </c>
      <c r="L452" s="15" t="n">
        <f aca="false">SUM(INDEX($K$425:$K$484,MAX(1,28-Parametri_v3!$C$59+1)):K452)/Parametri_v3!$C$59</f>
        <v>1527.77777777778</v>
      </c>
      <c r="M452" s="15" t="n">
        <f aca="false">J452-L452</f>
        <v>-51258.7805015294</v>
      </c>
      <c r="N452" s="15" t="n">
        <f aca="false">CD452-(CD451)</f>
        <v>446.818104475213</v>
      </c>
      <c r="O452" s="15" t="n">
        <f aca="false">(BG451)*Ipotesi!$C$110/12+CH452*Parametri_v3!$C$39/12</f>
        <v>0</v>
      </c>
      <c r="P452" s="15" t="n">
        <f aca="false">M452+N452-O452</f>
        <v>-50811.9623970542</v>
      </c>
      <c r="Q452" s="15" t="n">
        <f aca="false">SUM(P449:P452)+Parametri_v3!$C$54*4/12</f>
        <v>-199029.992638566</v>
      </c>
      <c r="R452" s="15" t="n">
        <f aca="false">Z448</f>
        <v>492856.017960598</v>
      </c>
      <c r="S452" s="15" t="n">
        <f aca="false">AA448</f>
        <v>0</v>
      </c>
      <c r="T452" s="15" t="n">
        <f aca="false">MIN(R452,MAX(0,Q452))</f>
        <v>0</v>
      </c>
      <c r="U452" s="15" t="n">
        <f aca="false">MIN(S452,MAX(0,Q452-T452)*Parametri_v3!$C$42)</f>
        <v>0</v>
      </c>
      <c r="V452" s="15" t="n">
        <f aca="false">MAX(0,Q452-T452-U452)*Ipotesi!$C$92</f>
        <v>0</v>
      </c>
      <c r="W452" s="15" t="n">
        <f aca="false">MAX(0,SUM(M449:M452)+Parametri_v3!$C$55*4/12)*Ipotesi!$C$93</f>
        <v>0</v>
      </c>
      <c r="X452" s="15" t="n">
        <f aca="false">V452+W452-(V451+W451)</f>
        <v>0</v>
      </c>
      <c r="Y452" s="15" t="n">
        <f aca="false">P452-X452</f>
        <v>-50811.9623970542</v>
      </c>
      <c r="Z452" s="15" t="n">
        <f aca="false">R452-T452+IF(AND(Parametri_v3!$C$40=1,D452-YEAR(Parametri_v3!$C$50)&lt;Parametri_v3!$C$41),MAX(0,-Q452),0)</f>
        <v>691886.010599165</v>
      </c>
      <c r="AA452" s="15" t="n">
        <f aca="false">S452-U452+IF(AND(Parametri_v3!$C$40=1,D452-YEAR(Parametri_v3!$C$50)&lt;Parametri_v3!$C$41),0,MAX(0,-Q452))</f>
        <v>0</v>
      </c>
      <c r="AB452" s="15" t="n">
        <f aca="false">F452*(1+Parametri_v3!$C$26)</f>
        <v>73133.7945856856</v>
      </c>
      <c r="AC452" s="15" t="n">
        <f aca="false">(IF(28-(INT((Motore_Operativo!L452)/30))&lt;1,0,INDEX(Motore_Startup!$AB$425:$AB$484,MAX(1,28-(INT((Motore_Operativo!L452)/30)))))*(1-(MOD((Motore_Operativo!L452),30)/30))+IF(28-(INT((Motore_Operativo!L452)/30))-1&lt;1,0,INDEX(Motore_Startup!$AB$425:$AB$484,MAX(1,28-(INT((Motore_Operativo!L452)/30))-1)))*(MOD((Motore_Operativo!L452),30)/30))</f>
        <v>69487.4718890345</v>
      </c>
      <c r="AD452" s="15" t="n">
        <f aca="false">(AD451)+AB452-AC452</f>
        <v>214510.887213123</v>
      </c>
      <c r="AE452" s="15" t="n">
        <f aca="false">Motore_Operativo!BH452*(1+Parametri_v3!$C$26)</f>
        <v>7381</v>
      </c>
      <c r="AF452" s="15" t="n">
        <f aca="false">(IF(28-(INT((Parametri_v3!$C$29)/30))&lt;1,0,INDEX(Motore_Operativo!$BH$425:$BH$484,MAX(1,28-(INT((Parametri_v3!$C$29)/30)))))*(1-(MOD((Parametri_v3!$C$29),30)/30))+IF(28-(INT((Parametri_v3!$C$29)/30))-1&lt;1,0,INDEX(Motore_Operativo!$BH$425:$BH$484,MAX(1,28-(INT((Parametri_v3!$C$29)/30))-1)))*(MOD((Parametri_v3!$C$29),30)/30))*(1+Parametri_v3!$C$26)</f>
        <v>7381</v>
      </c>
      <c r="AG452" s="15" t="n">
        <f aca="false">(AG451)+AE452-AF452</f>
        <v>7381</v>
      </c>
      <c r="AH452" s="15" t="n">
        <f aca="false">(Motore_Operativo!CJ452)*(1+Parametri_v3!$C$27*Parametri_v3!$C$26)</f>
        <v>49204.793287636</v>
      </c>
      <c r="AI452" s="15" t="n">
        <f aca="false">(IF(28-(INT((Ipotesi!$C$91)/30))&lt;1,0,INDEX(Motore_Startup!$AH$425:$AH$484,MAX(1,28-(INT((Ipotesi!$C$91)/30)))))*(1-(MOD((Ipotesi!$C$91),30)/30))+IF(28-(INT((Ipotesi!$C$91)/30))-1&lt;1,0,INDEX(Motore_Startup!$AH$425:$AH$484,MAX(1,28-(INT((Ipotesi!$C$91)/30))-1)))*(MOD((Ipotesi!$C$91),30)/30))</f>
        <v>48817.5031136287</v>
      </c>
      <c r="AJ452" s="15" t="n">
        <f aca="false">(AJ451)+AH452-AI452</f>
        <v>98130.7269823359</v>
      </c>
      <c r="AK452" s="15" t="n">
        <f aca="false">(F452+ Motore_Operativo!BH452-(Motore_Operativo!CJ452)*Parametri_v3!$C$27-Motore_Operativo!CE452)*Parametri_v3!$C$26</f>
        <v>6217.33735513464</v>
      </c>
      <c r="AL452" s="15" t="n">
        <f aca="false">MAX(0,(AM451))</f>
        <v>5892.09625330006</v>
      </c>
      <c r="AM452" s="15" t="n">
        <f aca="false">(AM451)+AK452-AL452</f>
        <v>6217.33735513464</v>
      </c>
      <c r="AN452" s="15" t="n">
        <f aca="false">SUM(X437:X448)</f>
        <v>0</v>
      </c>
      <c r="AO452" s="15" t="n">
        <f aca="false">SUM(AP437:AP448)</f>
        <v>0</v>
      </c>
      <c r="AP452" s="15" t="n">
        <f aca="false">MAX(0,AN452)*IF(4=Parametri_v3!$C$43,Parametri_v3!$C$45,IF(4=Parametri_v3!$C$44,1-Parametri_v3!$C$45,0))</f>
        <v>0</v>
      </c>
      <c r="AQ452" s="15" t="n">
        <f aca="false">MAX(0,AP452+IF(4=Parametri_v3!$C$43,MAX(0,AN452-AO452),0)-MAX(0,-(AR451)))</f>
        <v>0</v>
      </c>
      <c r="AR452" s="15" t="n">
        <f aca="false">(AR451)+X452-AQ452</f>
        <v>0</v>
      </c>
      <c r="AS452" s="15" t="n">
        <f aca="false">Motore_Operativo!AB452-AT452+AU452</f>
        <v>70559.9833333333</v>
      </c>
      <c r="AT452" s="15" t="n">
        <f aca="false">Motore_Operativo!CH452</f>
        <v>3713.68333333333</v>
      </c>
      <c r="AU452" s="15" t="n">
        <f aca="false">MIN(MAX(0,(AV451)+AT452),Parametri_v3!$C$60/12)</f>
        <v>0</v>
      </c>
      <c r="AV452" s="15" t="n">
        <f aca="false">(AV451)+AT452-AU452</f>
        <v>49462.2333333333</v>
      </c>
      <c r="AW452" s="15" t="n">
        <f aca="false">IF(AND(Motore_Operativo!C452=Finanziamenti!$D$6,Finanziamenti!$F$6=1),Finanziamenti!$C$6,0)</f>
        <v>0</v>
      </c>
      <c r="AX452" s="15" t="n">
        <f aca="false">IF(AND(8&lt;&gt;7,8&lt;&gt;9,Finanziamenti!$F$8=1,OR(Parametri_v3!$C$6=0,Finanziamenti!$E$8=1),Motore_Operativo!C452=EDATE(Finanziamenti!$D$8,Ipotesi!J15*12)),Finanziamenti!$C$8*1,0)+IF(AND(8&lt;&gt;7,8&lt;&gt;9,Finanziamenti!$F$9=1,OR(Parametri_v3!$C$6=0,Finanziamenti!$E$9=1),Motore_Operativo!C452=EDATE(Finanziamenti!$D$9,Ipotesi!J15*12)),Finanziamenti!$C$9*Ipotesi!J16,0)</f>
        <v>0</v>
      </c>
      <c r="AY452" s="15" t="n">
        <f aca="false">0</f>
        <v>0</v>
      </c>
      <c r="AZ452" s="15" t="n">
        <f aca="false">Motore_Advisory!AY452*(1-Ipotesi!$C$95)*Ipotesi!$C$96</f>
        <v>0</v>
      </c>
      <c r="BA452" s="15" t="n">
        <f aca="false">MAX(0,MIN(CG452*MIN(1,IF(Motore_Operativo!C452&gt;=EDATE(Finanziamenti!$D$15,Ipotesi!J14*12),Finanziamenti!$C$15,0)+IF(Motore_Operativo!C452&gt;=EDATE(Finanziamenti!$D$16,Ipotesi!J14*12),Finanziamenti!$C$16,0)+IF(Motore_Operativo!C452&gt;=EDATE(Finanziamenti!$D$17,Ipotesi!J14*12),Finanziamenti!$C$17,0)),CA452*Ipotesi!$C$102)-(CC451))</f>
        <v>0</v>
      </c>
      <c r="BB452" s="15" t="n">
        <f aca="false">IF(AND(CF452&gt;0,Motore_Operativo!C452&gt;=IF(CF452=0,0,EDATE(CF452,Parametri_v3!$C$37)),MOD(((D452-YEAR(IF(CF452=0,0,EDATE(CF452,Parametri_v3!$C$37))))*12+E452-MONTH(IF(CF452=0,0,EDATE(CF452,Parametri_v3!$C$37)))),Parametri_v3!$C$38)=0),MIN(MAX(0,(BC451)+BA452-N452),(CC452-CD452)/(Ipotesi!$C$108*12/Parametri_v3!$C$38)),0)</f>
        <v>0</v>
      </c>
      <c r="BC452" s="15" t="n">
        <f aca="false">(BC451)+BA452-N452-BB452</f>
        <v>201927.330105667</v>
      </c>
      <c r="BD452" s="15" t="n">
        <f aca="false">(BH451)+AC452+AF452-AI452-AS452-K452*(1+Parametri_v3!$C$26)-AL452-AQ452-O452+AW452+AX452+AZ452+BA452-BB452</f>
        <v>-162554.158924705</v>
      </c>
      <c r="BE452" s="15" t="n">
        <f aca="false">MAX(0,MIN(MAX(0,CH452-(BG451)),Parametri_v3!$C$30-BD452))</f>
        <v>0</v>
      </c>
      <c r="BF452" s="15" t="n">
        <f aca="false">IF(Motore_Operativo!C452&gt;=Parametri_v3!$C$63,(BG451),MIN((BG451),MAX(0,BD452-Parametri_v3!$C$30)))</f>
        <v>0</v>
      </c>
      <c r="BG452" s="15" t="n">
        <f aca="false">(BG451)+BE452-BF452</f>
        <v>0</v>
      </c>
      <c r="BH452" s="15" t="n">
        <f aca="false">BD452+BE452-BF452-AY452</f>
        <v>-162554.158924705</v>
      </c>
      <c r="BI452" s="15" t="n">
        <f aca="false">MAX(0,Parametri_v3!$C$30-BH452)</f>
        <v>187554.158924705</v>
      </c>
      <c r="BJ452" s="15" t="n">
        <f aca="false">(BJ451)+K452</f>
        <v>55000</v>
      </c>
      <c r="BK452" s="15" t="n">
        <f aca="false">(BK451)+L452</f>
        <v>20486.1111111111</v>
      </c>
      <c r="BL452" s="15" t="n">
        <f aca="false">BJ452-BK452</f>
        <v>34513.8888888889</v>
      </c>
      <c r="BM452" s="15" t="n">
        <f aca="false">(BM451)+Y452</f>
        <v>-691886.010599165</v>
      </c>
      <c r="BN452" s="15" t="n">
        <f aca="false">(BN451)+AW452+AX452+AZ452</f>
        <v>430000</v>
      </c>
      <c r="BO452" s="15" t="n">
        <f aca="false">(BO451)+AY452</f>
        <v>0</v>
      </c>
      <c r="BP452" s="15" t="n">
        <f aca="false">0</f>
        <v>0</v>
      </c>
      <c r="BQ452" s="15" t="n">
        <f aca="false">BN452+BM452-BO452</f>
        <v>-261886.010599165</v>
      </c>
      <c r="BR452" s="15" t="n">
        <f aca="false">BH452+AD452+BL452+MAX(0,-AM452)+MAX(0,-AR452)+AG452</f>
        <v>93851.6171773067</v>
      </c>
      <c r="BS452" s="15" t="n">
        <f aca="false">AJ452+AV452+MAX(0,AM452)+MAX(0,AR452)+BC452+BG452+BQ452</f>
        <v>93851.6171773068</v>
      </c>
      <c r="BT452" s="15" t="n">
        <f aca="false">BR452-BS452</f>
        <v>0</v>
      </c>
      <c r="BU452" s="15" t="n">
        <f aca="false">BH452-(BD452+BE452-BF452-AY452)</f>
        <v>0</v>
      </c>
      <c r="BV452" s="15" t="n">
        <f aca="false">MIN(Piano_SS!$C$6,(BV451)+IF(AND(Motore_Operativo!C452&gt;=EDATE(Parametri_v3!$C$24,Ipotesi!J14*12),Motore_Operativo!C452&lt;EDATE(Parametri_v3!$C$24,Parametri_v3!$C$25+Ipotesi!J14*12)),MAX(0,(Motore_Operativo!Y452+Motore_Operativo!X452*Parametri_v3!$C$14)*(1-Parametri_v3!$C$32))*Piano_SS!$D$6,0))</f>
        <v>274380.741666667</v>
      </c>
      <c r="BW452" s="15" t="n">
        <f aca="false">MIN(Piano_SS!$C$7,(BW451)+IF(AND(Motore_Operativo!C452&gt;=EDATE(Parametri_v3!$C$24,Ipotesi!J14*12),Motore_Operativo!C452&lt;EDATE(Parametri_v3!$C$24,Parametri_v3!$C$25+Ipotesi!J14*12)),MAX(0,(IF(28-(INT((Ipotesi!$C$91)/30))&lt;1,0,INDEX(Motore_Operativo!$BN$425:$BN$484,MAX(1,28-(INT((Ipotesi!$C$91)/30)))))*(1-(MOD((Ipotesi!$C$91),30)/30))+IF(28-(INT((Ipotesi!$C$91)/30))-1&lt;1,0,INDEX(Motore_Operativo!$BN$425:$BN$484,MAX(1,28-(INT((Ipotesi!$C$91)/30))-1)))*(MOD((Ipotesi!$C$91),30)/30)))*Piano_SS!$D$7,0))</f>
        <v>35768.5169498754</v>
      </c>
      <c r="BX452" s="15" t="n">
        <f aca="false">MIN(Piano_SS!$C$8,(BX451)+IF(AND(Motore_Operativo!C452&gt;=EDATE(Parametri_v3!$C$24,Ipotesi!J14*12),Motore_Operativo!C452&lt;EDATE(Parametri_v3!$C$24,Parametri_v3!$C$25+Ipotesi!J14*12)),MAX(0,Motore_Operativo!CE452)*Piano_SS!$D$8,0))</f>
        <v>45000</v>
      </c>
      <c r="BY452" s="15" t="n">
        <f aca="false">MIN(Piano_SS!$C$9,(BY451)+IF(AND(Motore_Operativo!C452&gt;=EDATE(Parametri_v3!$C$24,Ipotesi!J14*12),Motore_Operativo!C452&lt;EDATE(Parametri_v3!$C$24,Parametri_v3!$C$25+Ipotesi!J14*12)),MAX(0,((IF(28-(INT((Ipotesi!$C$91)/30))&lt;1,0,INDEX(Motore_Operativo!$BQ$425:$BQ$484,MAX(1,28-(INT((Ipotesi!$C$91)/30)))))*(1-(MOD((Ipotesi!$C$91),30)/30))+IF(28-(INT((Ipotesi!$C$91)/30))-1&lt;1,0,INDEX(Motore_Operativo!$BQ$425:$BQ$484,MAX(1,28-(INT((Ipotesi!$C$91)/30))-1)))*(MOD((Ipotesi!$C$91),30)/30))+(IF(28-(INT((Ipotesi!$C$91)/30))&lt;1,0,INDEX(Motore_Operativo!$BR$425:$BR$484,MAX(1,28-(INT((Ipotesi!$C$91)/30)))))*(1-(MOD((Ipotesi!$C$91),30)/30))+IF(28-(INT((Ipotesi!$C$91)/30))-1&lt;1,0,INDEX(Motore_Operativo!$BR$425:$BR$484,MAX(1,28-(INT((Ipotesi!$C$91)/30))-1)))*(MOD((Ipotesi!$C$91),30)/30))))*Piano_SS!$D$9,0))</f>
        <v>40000</v>
      </c>
      <c r="BZ452" s="15" t="n">
        <f aca="false">MIN(Piano_SS!$C$10,(BZ451)+IF(AND(Motore_Operativo!C452&gt;=EDATE(Parametri_v3!$C$24,Ipotesi!J14*12),Motore_Operativo!C452&lt;EDATE(Parametri_v3!$C$24,Parametri_v3!$C$25+Ipotesi!J14*12)),MAX(0,(IF(28-(INT((Ipotesi!$C$91)/30))&lt;1,0,INDEX(Motore_Operativo!$BO$425:$BO$484,MAX(1,28-(INT((Ipotesi!$C$91)/30)))))*(1-(MOD((Ipotesi!$C$91),30)/30))+IF(28-(INT((Ipotesi!$C$91)/30))-1&lt;1,0,INDEX(Motore_Operativo!$BO$425:$BO$484,MAX(1,28-(INT((Ipotesi!$C$91)/30))-1)))*(MOD((Ipotesi!$C$91),30)/30)))*Piano_SS!$D$10,0))</f>
        <v>30000</v>
      </c>
      <c r="CA452" s="15" t="n">
        <f aca="false">SUM(BV452:BZ452)</f>
        <v>425149.258616542</v>
      </c>
      <c r="CB452" s="15" t="n">
        <f aca="false">BV452*(1-Piano_SS!$E$6)+BW452*(1-Piano_SS!$E$7)+BX452*(1-Piano_SS!$E$8)+BY452*(1-Piano_SS!$E$9)+BZ452*(1-Piano_SS!$E$10)</f>
        <v>395149.258616542</v>
      </c>
      <c r="CC452" s="15" t="n">
        <f aca="false">(CC451)+BA452</f>
        <v>280000</v>
      </c>
      <c r="CD452" s="15" t="n">
        <f aca="false">IF(CA452=0,0,CC452*CB452/CA452*Ipotesi!$C$103*Parametri_v3!$C$64)</f>
        <v>78072.6698943326</v>
      </c>
      <c r="CE452" s="18" t="n">
        <f aca="false">IF(BA452&gt;0,Motore_Operativo!C452,(CE451))</f>
        <v>47150</v>
      </c>
      <c r="CF452" s="18" t="n">
        <f aca="false">IF(AND(CC452&gt;0,OR(CC452&gt;=CG452-0.01,Motore_Operativo!C452&gt;=EDATE(MAX(Finanziamenti!$D$15:$D$17),Ipotesi!J14*12))),CE452,0)</f>
        <v>0</v>
      </c>
      <c r="CG452" s="15" t="n">
        <f aca="false">IF(AND(8&lt;&gt;6,8&lt;&gt;9,Finanziamenti!$F$11=1,OR(Parametri_v3!$C$6=0,Finanziamenti!$E$11=1)),MIN(Finanziamenti!$C$11,Piano_SS!$C$12*Ipotesi!$C$102),0)</f>
        <v>400000</v>
      </c>
      <c r="CH452" s="15" t="n">
        <f aca="false">IF(AND(AND(8&lt;&gt;8,8&lt;&gt;9,Finanziamenti!$F$10=1,OR(Parametri_v3!$C$6=0,Finanziamenti!$E$10=1)),Motore_Operativo!C452&gt;=Finanziamenti!$D$10,Motore_Operativo!C452&lt;Parametri_v3!$C$63),Finanziamenti!$C$10,0)</f>
        <v>0</v>
      </c>
    </row>
    <row r="453" customFormat="false" ht="18" hidden="false" customHeight="true" outlineLevel="0" collapsed="false">
      <c r="A453" s="68" t="n">
        <f aca="false">8</f>
        <v>8</v>
      </c>
      <c r="B453" s="68" t="n">
        <f aca="false">29</f>
        <v>29</v>
      </c>
      <c r="C453" s="18" t="n">
        <f aca="false">Motore_Operativo!C453</f>
        <v>47239</v>
      </c>
      <c r="D453" s="68" t="n">
        <f aca="false">Motore_Operativo!D453</f>
        <v>2029</v>
      </c>
      <c r="E453" s="68" t="n">
        <f aca="false">Motore_Operativo!E453</f>
        <v>5</v>
      </c>
      <c r="F453" s="15" t="n">
        <f aca="false">Motore_Operativo!AQ453+Motore_Operativo!BF453</f>
        <v>62640.3943614541</v>
      </c>
      <c r="G453" s="15" t="n">
        <f aca="false">Motore_Operativo!BH453</f>
        <v>6050</v>
      </c>
      <c r="H453" s="15" t="n">
        <f aca="false">Motore_Operativo!BI453</f>
        <v>68690.3943614541</v>
      </c>
      <c r="I453" s="15" t="n">
        <f aca="false">Motore_Operativo!CA453</f>
        <v>116103.988543937</v>
      </c>
      <c r="J453" s="15" t="n">
        <f aca="false">Motore_Operativo!CC453</f>
        <v>-47413.5941824828</v>
      </c>
      <c r="K453" s="15" t="n">
        <f aca="false">Motore_Operativo!CE453</f>
        <v>2500</v>
      </c>
      <c r="L453" s="15" t="n">
        <f aca="false">SUM(INDEX($K$425:$K$484,MAX(1,29-Parametri_v3!$C$59+1)):K453)/Parametri_v3!$C$59</f>
        <v>1597.22222222222</v>
      </c>
      <c r="M453" s="15" t="n">
        <f aca="false">J453-L453</f>
        <v>-49010.8164047051</v>
      </c>
      <c r="N453" s="15" t="n">
        <f aca="false">CD453-(CD452)</f>
        <v>388.914514904522</v>
      </c>
      <c r="O453" s="15" t="n">
        <f aca="false">(BG452)*Ipotesi!$C$110/12+CH453*Parametri_v3!$C$39/12</f>
        <v>0</v>
      </c>
      <c r="P453" s="15" t="n">
        <f aca="false">M453+N453-O453</f>
        <v>-48621.9018898005</v>
      </c>
      <c r="Q453" s="15" t="n">
        <f aca="false">SUM(P449:P453)+Parametri_v3!$C$54*5/12</f>
        <v>-247651.894528367</v>
      </c>
      <c r="R453" s="15" t="n">
        <f aca="false">Z448</f>
        <v>492856.017960598</v>
      </c>
      <c r="S453" s="15" t="n">
        <f aca="false">AA448</f>
        <v>0</v>
      </c>
      <c r="T453" s="15" t="n">
        <f aca="false">MIN(R453,MAX(0,Q453))</f>
        <v>0</v>
      </c>
      <c r="U453" s="15" t="n">
        <f aca="false">MIN(S453,MAX(0,Q453-T453)*Parametri_v3!$C$42)</f>
        <v>0</v>
      </c>
      <c r="V453" s="15" t="n">
        <f aca="false">MAX(0,Q453-T453-U453)*Ipotesi!$C$92</f>
        <v>0</v>
      </c>
      <c r="W453" s="15" t="n">
        <f aca="false">MAX(0,SUM(M449:M453)+Parametri_v3!$C$55*5/12)*Ipotesi!$C$93</f>
        <v>0</v>
      </c>
      <c r="X453" s="15" t="n">
        <f aca="false">V453+W453-(V452+W452)</f>
        <v>0</v>
      </c>
      <c r="Y453" s="15" t="n">
        <f aca="false">P453-X453</f>
        <v>-48621.9018898005</v>
      </c>
      <c r="Z453" s="15" t="n">
        <f aca="false">R453-T453+IF(AND(Parametri_v3!$C$40=1,D453-YEAR(Parametri_v3!$C$50)&lt;Parametri_v3!$C$41),MAX(0,-Q453),0)</f>
        <v>740507.912488965</v>
      </c>
      <c r="AA453" s="15" t="n">
        <f aca="false">S453-U453+IF(AND(Parametri_v3!$C$40=1,D453-YEAR(Parametri_v3!$C$50)&lt;Parametri_v3!$C$41),0,MAX(0,-Q453))</f>
        <v>0</v>
      </c>
      <c r="AB453" s="15" t="n">
        <f aca="false">F453*(1+Parametri_v3!$C$26)</f>
        <v>76421.281120974</v>
      </c>
      <c r="AC453" s="15" t="n">
        <f aca="false">(IF(29-(INT((Motore_Operativo!L453)/30))&lt;1,0,INDEX(Motore_Startup!$AB$425:$AB$484,MAX(1,29-(INT((Motore_Operativo!L453)/30)))))*(1-(MOD((Motore_Operativo!L453),30)/30))+IF(29-(INT((Motore_Operativo!L453)/30))-1&lt;1,0,INDEX(Motore_Startup!$AB$425:$AB$484,MAX(1,29-(INT((Motore_Operativo!L453)/30))-1)))*(MOD((Motore_Operativo!L453),30)/30))</f>
        <v>70290.52817403</v>
      </c>
      <c r="AD453" s="15" t="n">
        <f aca="false">(AD452)+AB453-AC453</f>
        <v>220641.640160067</v>
      </c>
      <c r="AE453" s="15" t="n">
        <f aca="false">Motore_Operativo!BH453*(1+Parametri_v3!$C$26)</f>
        <v>7381</v>
      </c>
      <c r="AF453" s="15" t="n">
        <f aca="false">(IF(29-(INT((Parametri_v3!$C$29)/30))&lt;1,0,INDEX(Motore_Operativo!$BH$425:$BH$484,MAX(1,29-(INT((Parametri_v3!$C$29)/30)))))*(1-(MOD((Parametri_v3!$C$29),30)/30))+IF(29-(INT((Parametri_v3!$C$29)/30))-1&lt;1,0,INDEX(Motore_Operativo!$BH$425:$BH$484,MAX(1,29-(INT((Parametri_v3!$C$29)/30))-1)))*(MOD((Parametri_v3!$C$29),30)/30))*(1+Parametri_v3!$C$26)</f>
        <v>7381</v>
      </c>
      <c r="AG453" s="15" t="n">
        <f aca="false">(AG452)+AE453-AF453</f>
        <v>7381</v>
      </c>
      <c r="AH453" s="15" t="n">
        <f aca="false">(Motore_Operativo!CJ453)*(1+Parametri_v3!$C$27*Parametri_v3!$C$26)</f>
        <v>49652.5920683198</v>
      </c>
      <c r="AI453" s="15" t="n">
        <f aca="false">(IF(29-(INT((Ipotesi!$C$91)/30))&lt;1,0,INDEX(Motore_Startup!$AH$425:$AH$484,MAX(1,29-(INT((Ipotesi!$C$91)/30)))))*(1-(MOD((Ipotesi!$C$91),30)/30))+IF(29-(INT((Ipotesi!$C$91)/30))-1&lt;1,0,INDEX(Motore_Startup!$AH$425:$AH$484,MAX(1,29-(INT((Ipotesi!$C$91)/30))-1)))*(MOD((Ipotesi!$C$91),30)/30))</f>
        <v>48925.9336946999</v>
      </c>
      <c r="AJ453" s="15" t="n">
        <f aca="false">(AJ452)+AH453-AI453</f>
        <v>98857.3853559558</v>
      </c>
      <c r="AK453" s="15" t="n">
        <f aca="false">(F453+ Motore_Operativo!BH453-(Motore_Operativo!CJ453)*Parametri_v3!$C$27-Motore_Operativo!CE453)*Parametri_v3!$C$26</f>
        <v>6739.61656847036</v>
      </c>
      <c r="AL453" s="15" t="n">
        <f aca="false">MAX(0,(AM452))</f>
        <v>6217.33735513464</v>
      </c>
      <c r="AM453" s="15" t="n">
        <f aca="false">(AM452)+AK453-AL453</f>
        <v>6739.61656847036</v>
      </c>
      <c r="AN453" s="15" t="n">
        <f aca="false">SUM(X437:X448)</f>
        <v>0</v>
      </c>
      <c r="AO453" s="15" t="n">
        <f aca="false">SUM(AP437:AP448)</f>
        <v>0</v>
      </c>
      <c r="AP453" s="15" t="n">
        <f aca="false">MAX(0,AN453)*IF(5=Parametri_v3!$C$43,Parametri_v3!$C$45,IF(5=Parametri_v3!$C$44,1-Parametri_v3!$C$45,0))</f>
        <v>0</v>
      </c>
      <c r="AQ453" s="15" t="n">
        <f aca="false">MAX(0,AP453+IF(5=Parametri_v3!$C$43,MAX(0,AN453-AO453),0)-MAX(0,-(AR452)))</f>
        <v>0</v>
      </c>
      <c r="AR453" s="15" t="n">
        <f aca="false">(AR452)+X453-AQ453</f>
        <v>0</v>
      </c>
      <c r="AS453" s="15" t="n">
        <f aca="false">Motore_Operativo!AB453-AT453+AU453</f>
        <v>70559.9833333333</v>
      </c>
      <c r="AT453" s="15" t="n">
        <f aca="false">Motore_Operativo!CH453</f>
        <v>3713.68333333333</v>
      </c>
      <c r="AU453" s="15" t="n">
        <f aca="false">MIN(MAX(0,(AV452)+AT453),Parametri_v3!$C$60/12)</f>
        <v>0</v>
      </c>
      <c r="AV453" s="15" t="n">
        <f aca="false">(AV452)+AT453-AU453</f>
        <v>53175.9166666667</v>
      </c>
      <c r="AW453" s="15" t="n">
        <f aca="false">IF(AND(Motore_Operativo!C453=Finanziamenti!$D$6,Finanziamenti!$F$6=1),Finanziamenti!$C$6,0)</f>
        <v>0</v>
      </c>
      <c r="AX453" s="15" t="n">
        <f aca="false">IF(AND(8&lt;&gt;7,8&lt;&gt;9,Finanziamenti!$F$8=1,OR(Parametri_v3!$C$6=0,Finanziamenti!$E$8=1),Motore_Operativo!C453=EDATE(Finanziamenti!$D$8,Ipotesi!J15*12)),Finanziamenti!$C$8*1,0)+IF(AND(8&lt;&gt;7,8&lt;&gt;9,Finanziamenti!$F$9=1,OR(Parametri_v3!$C$6=0,Finanziamenti!$E$9=1),Motore_Operativo!C453=EDATE(Finanziamenti!$D$9,Ipotesi!J15*12)),Finanziamenti!$C$9*Ipotesi!J16,0)</f>
        <v>0</v>
      </c>
      <c r="AY453" s="15" t="n">
        <f aca="false">0</f>
        <v>0</v>
      </c>
      <c r="AZ453" s="15" t="n">
        <f aca="false">Motore_Advisory!AY453*(1-Ipotesi!$C$95)*Ipotesi!$C$96</f>
        <v>0</v>
      </c>
      <c r="BA453" s="15" t="n">
        <f aca="false">MAX(0,MIN(CG453*MIN(1,IF(Motore_Operativo!C453&gt;=EDATE(Finanziamenti!$D$15,Ipotesi!J14*12),Finanziamenti!$C$15,0)+IF(Motore_Operativo!C453&gt;=EDATE(Finanziamenti!$D$16,Ipotesi!J14*12),Finanziamenti!$C$16,0)+IF(Motore_Operativo!C453&gt;=EDATE(Finanziamenti!$D$17,Ipotesi!J14*12),Finanziamenti!$C$17,0)),CA453*Ipotesi!$C$102)-(CC452))</f>
        <v>0</v>
      </c>
      <c r="BB453" s="15" t="n">
        <f aca="false">IF(AND(CF453&gt;0,Motore_Operativo!C453&gt;=IF(CF453=0,0,EDATE(CF453,Parametri_v3!$C$37)),MOD(((D453-YEAR(IF(CF453=0,0,EDATE(CF453,Parametri_v3!$C$37))))*12+E453-MONTH(IF(CF453=0,0,EDATE(CF453,Parametri_v3!$C$37)))),Parametri_v3!$C$38)=0),MIN(MAX(0,(BC452)+BA453-N453),(CC453-CD453)/(Ipotesi!$C$108*12/Parametri_v3!$C$38)),0)</f>
        <v>0</v>
      </c>
      <c r="BC453" s="15" t="n">
        <f aca="false">(BC452)+BA453-N453-BB453</f>
        <v>201538.415590763</v>
      </c>
      <c r="BD453" s="15" t="n">
        <f aca="false">(BH452)+AC453+AF453-AI453-AS453-K453*(1+Parametri_v3!$C$26)-AL453-AQ453-O453+AW453+AX453+AZ453+BA453-BB453</f>
        <v>-213635.885133843</v>
      </c>
      <c r="BE453" s="15" t="n">
        <f aca="false">MAX(0,MIN(MAX(0,CH453-(BG452)),Parametri_v3!$C$30-BD453))</f>
        <v>0</v>
      </c>
      <c r="BF453" s="15" t="n">
        <f aca="false">IF(Motore_Operativo!C453&gt;=Parametri_v3!$C$63,(BG452),MIN((BG452),MAX(0,BD453-Parametri_v3!$C$30)))</f>
        <v>0</v>
      </c>
      <c r="BG453" s="15" t="n">
        <f aca="false">(BG452)+BE453-BF453</f>
        <v>0</v>
      </c>
      <c r="BH453" s="15" t="n">
        <f aca="false">BD453+BE453-BF453-AY453</f>
        <v>-213635.885133843</v>
      </c>
      <c r="BI453" s="15" t="n">
        <f aca="false">MAX(0,Parametri_v3!$C$30-BH453)</f>
        <v>238635.885133843</v>
      </c>
      <c r="BJ453" s="15" t="n">
        <f aca="false">(BJ452)+K453</f>
        <v>57500</v>
      </c>
      <c r="BK453" s="15" t="n">
        <f aca="false">(BK452)+L453</f>
        <v>22083.3333333333</v>
      </c>
      <c r="BL453" s="15" t="n">
        <f aca="false">BJ453-BK453</f>
        <v>35416.6666666667</v>
      </c>
      <c r="BM453" s="15" t="n">
        <f aca="false">(BM452)+Y453</f>
        <v>-740507.912488965</v>
      </c>
      <c r="BN453" s="15" t="n">
        <f aca="false">(BN452)+AW453+AX453+AZ453</f>
        <v>430000</v>
      </c>
      <c r="BO453" s="15" t="n">
        <f aca="false">(BO452)+AY453</f>
        <v>0</v>
      </c>
      <c r="BP453" s="15" t="n">
        <f aca="false">0</f>
        <v>0</v>
      </c>
      <c r="BQ453" s="15" t="n">
        <f aca="false">BN453+BM453-BO453</f>
        <v>-310507.912488965</v>
      </c>
      <c r="BR453" s="15" t="n">
        <f aca="false">BH453+AD453+BL453+MAX(0,-AM453)+MAX(0,-AR453)+AG453</f>
        <v>49803.4216928905</v>
      </c>
      <c r="BS453" s="15" t="n">
        <f aca="false">AJ453+AV453+MAX(0,AM453)+MAX(0,AR453)+BC453+BG453+BQ453</f>
        <v>49803.4216928906</v>
      </c>
      <c r="BT453" s="15" t="n">
        <f aca="false">BR453-BS453</f>
        <v>0</v>
      </c>
      <c r="BU453" s="15" t="n">
        <f aca="false">BH453-(BD453+BE453-BF453-AY453)</f>
        <v>0</v>
      </c>
      <c r="BV453" s="15" t="n">
        <f aca="false">MIN(Piano_SS!$C$6,(BV452)+IF(AND(Motore_Operativo!C453&gt;=EDATE(Parametri_v3!$C$24,Ipotesi!J14*12),Motore_Operativo!C453&lt;EDATE(Parametri_v3!$C$24,Parametri_v3!$C$25+Ipotesi!J14*12)),MAX(0,(Motore_Operativo!Y453+Motore_Operativo!X453*Parametri_v3!$C$14)*(1-Parametri_v3!$C$32))*Piano_SS!$D$6,0))</f>
        <v>299157.177083333</v>
      </c>
      <c r="BW453" s="15" t="n">
        <f aca="false">MIN(Piano_SS!$C$7,(BW452)+IF(AND(Motore_Operativo!C453&gt;=EDATE(Parametri_v3!$C$24,Ipotesi!J14*12),Motore_Operativo!C453&lt;EDATE(Parametri_v3!$C$24,Parametri_v3!$C$25+Ipotesi!J14*12)),MAX(0,(IF(29-(INT((Ipotesi!$C$91)/30))&lt;1,0,INDEX(Motore_Operativo!$BN$425:$BN$484,MAX(1,29-(INT((Ipotesi!$C$91)/30)))))*(1-(MOD((Ipotesi!$C$91),30)/30))+IF(29-(INT((Ipotesi!$C$91)/30))-1&lt;1,0,INDEX(Motore_Operativo!$BN$425:$BN$484,MAX(1,29-(INT((Ipotesi!$C$91)/30))-1)))*(MOD((Ipotesi!$C$91),30)/30)))*Piano_SS!$D$7,0))</f>
        <v>38346.5976790606</v>
      </c>
      <c r="BX453" s="15" t="n">
        <f aca="false">MIN(Piano_SS!$C$8,(BX452)+IF(AND(Motore_Operativo!C453&gt;=EDATE(Parametri_v3!$C$24,Ipotesi!J14*12),Motore_Operativo!C453&lt;EDATE(Parametri_v3!$C$24,Parametri_v3!$C$25+Ipotesi!J14*12)),MAX(0,Motore_Operativo!CE453)*Piano_SS!$D$8,0))</f>
        <v>47500</v>
      </c>
      <c r="BY453" s="15" t="n">
        <f aca="false">MIN(Piano_SS!$C$9,(BY452)+IF(AND(Motore_Operativo!C453&gt;=EDATE(Parametri_v3!$C$24,Ipotesi!J14*12),Motore_Operativo!C453&lt;EDATE(Parametri_v3!$C$24,Parametri_v3!$C$25+Ipotesi!J14*12)),MAX(0,((IF(29-(INT((Ipotesi!$C$91)/30))&lt;1,0,INDEX(Motore_Operativo!$BQ$425:$BQ$484,MAX(1,29-(INT((Ipotesi!$C$91)/30)))))*(1-(MOD((Ipotesi!$C$91),30)/30))+IF(29-(INT((Ipotesi!$C$91)/30))-1&lt;1,0,INDEX(Motore_Operativo!$BQ$425:$BQ$484,MAX(1,29-(INT((Ipotesi!$C$91)/30))-1)))*(MOD((Ipotesi!$C$91),30)/30))+(IF(29-(INT((Ipotesi!$C$91)/30))&lt;1,0,INDEX(Motore_Operativo!$BR$425:$BR$484,MAX(1,29-(INT((Ipotesi!$C$91)/30)))))*(1-(MOD((Ipotesi!$C$91),30)/30))+IF(29-(INT((Ipotesi!$C$91)/30))-1&lt;1,0,INDEX(Motore_Operativo!$BR$425:$BR$484,MAX(1,29-(INT((Ipotesi!$C$91)/30))-1)))*(MOD((Ipotesi!$C$91),30)/30))))*Piano_SS!$D$9,0))</f>
        <v>40000</v>
      </c>
      <c r="BZ453" s="15" t="n">
        <f aca="false">MIN(Piano_SS!$C$10,(BZ452)+IF(AND(Motore_Operativo!C453&gt;=EDATE(Parametri_v3!$C$24,Ipotesi!J14*12),Motore_Operativo!C453&lt;EDATE(Parametri_v3!$C$24,Parametri_v3!$C$25+Ipotesi!J14*12)),MAX(0,(IF(29-(INT((Ipotesi!$C$91)/30))&lt;1,0,INDEX(Motore_Operativo!$BO$425:$BO$484,MAX(1,29-(INT((Ipotesi!$C$91)/30)))))*(1-(MOD((Ipotesi!$C$91),30)/30))+IF(29-(INT((Ipotesi!$C$91)/30))-1&lt;1,0,INDEX(Motore_Operativo!$BO$425:$BO$484,MAX(1,29-(INT((Ipotesi!$C$91)/30))-1)))*(MOD((Ipotesi!$C$91),30)/30)))*Piano_SS!$D$10,0))</f>
        <v>30000</v>
      </c>
      <c r="CA453" s="15" t="n">
        <f aca="false">SUM(BV453:BZ453)</f>
        <v>455003.774762394</v>
      </c>
      <c r="CB453" s="15" t="n">
        <f aca="false">BV453*(1-Piano_SS!$E$6)+BW453*(1-Piano_SS!$E$7)+BX453*(1-Piano_SS!$E$8)+BY453*(1-Piano_SS!$E$9)+BZ453*(1-Piano_SS!$E$10)</f>
        <v>425003.774762394</v>
      </c>
      <c r="CC453" s="15" t="n">
        <f aca="false">(CC452)+BA453</f>
        <v>280000</v>
      </c>
      <c r="CD453" s="15" t="n">
        <f aca="false">IF(CA453=0,0,CC453*CB453/CA453*Ipotesi!$C$103*Parametri_v3!$C$64)</f>
        <v>78461.5844092371</v>
      </c>
      <c r="CE453" s="18" t="n">
        <f aca="false">IF(BA453&gt;0,Motore_Operativo!C453,(CE452))</f>
        <v>47150</v>
      </c>
      <c r="CF453" s="18" t="n">
        <f aca="false">IF(AND(CC453&gt;0,OR(CC453&gt;=CG453-0.01,Motore_Operativo!C453&gt;=EDATE(MAX(Finanziamenti!$D$15:$D$17),Ipotesi!J14*12))),CE453,0)</f>
        <v>0</v>
      </c>
      <c r="CG453" s="15" t="n">
        <f aca="false">IF(AND(8&lt;&gt;6,8&lt;&gt;9,Finanziamenti!$F$11=1,OR(Parametri_v3!$C$6=0,Finanziamenti!$E$11=1)),MIN(Finanziamenti!$C$11,Piano_SS!$C$12*Ipotesi!$C$102),0)</f>
        <v>400000</v>
      </c>
      <c r="CH453" s="15" t="n">
        <f aca="false">IF(AND(AND(8&lt;&gt;8,8&lt;&gt;9,Finanziamenti!$F$10=1,OR(Parametri_v3!$C$6=0,Finanziamenti!$E$10=1)),Motore_Operativo!C453&gt;=Finanziamenti!$D$10,Motore_Operativo!C453&lt;Parametri_v3!$C$63),Finanziamenti!$C$10,0)</f>
        <v>0</v>
      </c>
    </row>
    <row r="454" customFormat="false" ht="18" hidden="false" customHeight="true" outlineLevel="0" collapsed="false">
      <c r="A454" s="68" t="n">
        <f aca="false">8</f>
        <v>8</v>
      </c>
      <c r="B454" s="68" t="n">
        <f aca="false">30</f>
        <v>30</v>
      </c>
      <c r="C454" s="18" t="n">
        <f aca="false">Motore_Operativo!C454</f>
        <v>47270</v>
      </c>
      <c r="D454" s="68" t="n">
        <f aca="false">Motore_Operativo!D454</f>
        <v>2029</v>
      </c>
      <c r="E454" s="68" t="n">
        <f aca="false">Motore_Operativo!E454</f>
        <v>6</v>
      </c>
      <c r="F454" s="15" t="n">
        <f aca="false">Motore_Operativo!AQ454+Motore_Operativo!BF454</f>
        <v>65311.4997770098</v>
      </c>
      <c r="G454" s="15" t="n">
        <f aca="false">Motore_Operativo!BH454</f>
        <v>6050</v>
      </c>
      <c r="H454" s="15" t="n">
        <f aca="false">Motore_Operativo!BI454</f>
        <v>71361.4997770098</v>
      </c>
      <c r="I454" s="15" t="n">
        <f aca="false">Motore_Operativo!CA454</f>
        <v>116477.943302115</v>
      </c>
      <c r="J454" s="15" t="n">
        <f aca="false">Motore_Operativo!CC454</f>
        <v>-45116.4435251049</v>
      </c>
      <c r="K454" s="15" t="n">
        <f aca="false">Motore_Operativo!CE454</f>
        <v>2500</v>
      </c>
      <c r="L454" s="15" t="n">
        <f aca="false">SUM(INDEX($K$425:$K$484,MAX(1,30-Parametri_v3!$C$59+1)):K454)/Parametri_v3!$C$59</f>
        <v>1666.66666666667</v>
      </c>
      <c r="M454" s="15" t="n">
        <f aca="false">J454-L454</f>
        <v>-46783.1101917716</v>
      </c>
      <c r="N454" s="15" t="n">
        <f aca="false">CD454-(CD453)</f>
        <v>24992.557112463</v>
      </c>
      <c r="O454" s="15" t="n">
        <f aca="false">(BG453)*Ipotesi!$C$110/12+CH454*Parametri_v3!$C$39/12</f>
        <v>0</v>
      </c>
      <c r="P454" s="15" t="n">
        <f aca="false">M454+N454-O454</f>
        <v>-21790.5530793086</v>
      </c>
      <c r="Q454" s="15" t="n">
        <f aca="false">SUM(P449:P454)+Parametri_v3!$C$54*6/12</f>
        <v>-269442.447607675</v>
      </c>
      <c r="R454" s="15" t="n">
        <f aca="false">Z448</f>
        <v>492856.017960598</v>
      </c>
      <c r="S454" s="15" t="n">
        <f aca="false">AA448</f>
        <v>0</v>
      </c>
      <c r="T454" s="15" t="n">
        <f aca="false">MIN(R454,MAX(0,Q454))</f>
        <v>0</v>
      </c>
      <c r="U454" s="15" t="n">
        <f aca="false">MIN(S454,MAX(0,Q454-T454)*Parametri_v3!$C$42)</f>
        <v>0</v>
      </c>
      <c r="V454" s="15" t="n">
        <f aca="false">MAX(0,Q454-T454-U454)*Ipotesi!$C$92</f>
        <v>0</v>
      </c>
      <c r="W454" s="15" t="n">
        <f aca="false">MAX(0,SUM(M449:M454)+Parametri_v3!$C$55*6/12)*Ipotesi!$C$93</f>
        <v>0</v>
      </c>
      <c r="X454" s="15" t="n">
        <f aca="false">V454+W454-(V453+W453)</f>
        <v>0</v>
      </c>
      <c r="Y454" s="15" t="n">
        <f aca="false">P454-X454</f>
        <v>-21790.5530793086</v>
      </c>
      <c r="Z454" s="15" t="n">
        <f aca="false">R454-T454+IF(AND(Parametri_v3!$C$40=1,D454-YEAR(Parametri_v3!$C$50)&lt;Parametri_v3!$C$41),MAX(0,-Q454),0)</f>
        <v>762298.465568274</v>
      </c>
      <c r="AA454" s="15" t="n">
        <f aca="false">S454-U454+IF(AND(Parametri_v3!$C$40=1,D454-YEAR(Parametri_v3!$C$50)&lt;Parametri_v3!$C$41),0,MAX(0,-Q454))</f>
        <v>0</v>
      </c>
      <c r="AB454" s="15" t="n">
        <f aca="false">F454*(1+Parametri_v3!$C$26)</f>
        <v>79680.029727952</v>
      </c>
      <c r="AC454" s="15" t="n">
        <f aca="false">(IF(30-(INT((Motore_Operativo!L454)/30))&lt;1,0,INDEX(Motore_Startup!$AB$425:$AB$484,MAX(1,30-(INT((Motore_Operativo!L454)/30)))))*(1-(MOD((Motore_Operativo!L454),30)/30))+IF(30-(INT((Motore_Operativo!L454)/30))-1&lt;1,0,INDEX(Motore_Startup!$AB$425:$AB$484,MAX(1,30-(INT((Motore_Operativo!L454)/30))-1)))*(MOD((Motore_Operativo!L454),30)/30))</f>
        <v>71086.5644534073</v>
      </c>
      <c r="AD454" s="15" t="n">
        <f aca="false">(AD453)+AB454-AC454</f>
        <v>229235.105434612</v>
      </c>
      <c r="AE454" s="15" t="n">
        <f aca="false">Motore_Operativo!BH454*(1+Parametri_v3!$C$26)</f>
        <v>7381</v>
      </c>
      <c r="AF454" s="15" t="n">
        <f aca="false">(IF(30-(INT((Parametri_v3!$C$29)/30))&lt;1,0,INDEX(Motore_Operativo!$BH$425:$BH$484,MAX(1,30-(INT((Parametri_v3!$C$29)/30)))))*(1-(MOD((Parametri_v3!$C$29),30)/30))+IF(30-(INT((Parametri_v3!$C$29)/30))-1&lt;1,0,INDEX(Motore_Operativo!$BH$425:$BH$484,MAX(1,30-(INT((Parametri_v3!$C$29)/30))-1)))*(MOD((Parametri_v3!$C$29),30)/30))*(1+Parametri_v3!$C$26)</f>
        <v>7381</v>
      </c>
      <c r="AG454" s="15" t="n">
        <f aca="false">(AG453)+AE454-AF454</f>
        <v>7381</v>
      </c>
      <c r="AH454" s="15" t="n">
        <f aca="false">(Motore_Operativo!CJ454)*(1+Parametri_v3!$C$27*Parametri_v3!$C$26)</f>
        <v>50096.4763662768</v>
      </c>
      <c r="AI454" s="15" t="n">
        <f aca="false">(IF(30-(INT((Ipotesi!$C$91)/30))&lt;1,0,INDEX(Motore_Startup!$AH$425:$AH$484,MAX(1,30-(INT((Ipotesi!$C$91)/30)))))*(1-(MOD((Ipotesi!$C$91),30)/30))+IF(30-(INT((Ipotesi!$C$91)/30))-1&lt;1,0,INDEX(Motore_Startup!$AH$425:$AH$484,MAX(1,30-(INT((Ipotesi!$C$91)/30))-1)))*(MOD((Ipotesi!$C$91),30)/30))</f>
        <v>49204.793287636</v>
      </c>
      <c r="AJ454" s="15" t="n">
        <f aca="false">(AJ453)+AH454-AI454</f>
        <v>99749.0684345966</v>
      </c>
      <c r="AK454" s="15" t="n">
        <f aca="false">(F454+ Motore_Operativo!BH454-(Motore_Operativo!CJ454)*Parametri_v3!$C$27-Motore_Operativo!CE454)*Parametri_v3!$C$26</f>
        <v>7257.33022011338</v>
      </c>
      <c r="AL454" s="15" t="n">
        <f aca="false">MAX(0,(AM453))</f>
        <v>6739.61656847036</v>
      </c>
      <c r="AM454" s="15" t="n">
        <f aca="false">(AM453)+AK454-AL454</f>
        <v>7257.33022011338</v>
      </c>
      <c r="AN454" s="15" t="n">
        <f aca="false">SUM(X437:X448)</f>
        <v>0</v>
      </c>
      <c r="AO454" s="15" t="n">
        <f aca="false">SUM(AP437:AP448)</f>
        <v>0</v>
      </c>
      <c r="AP454" s="15" t="n">
        <f aca="false">MAX(0,AN454)*IF(6=Parametri_v3!$C$43,Parametri_v3!$C$45,IF(6=Parametri_v3!$C$44,1-Parametri_v3!$C$45,0))</f>
        <v>0</v>
      </c>
      <c r="AQ454" s="15" t="n">
        <f aca="false">MAX(0,AP454+IF(6=Parametri_v3!$C$43,MAX(0,AN454-AO454),0)-MAX(0,-(AR453)))</f>
        <v>0</v>
      </c>
      <c r="AR454" s="15" t="n">
        <f aca="false">(AR453)+X454-AQ454</f>
        <v>0</v>
      </c>
      <c r="AS454" s="15" t="n">
        <f aca="false">Motore_Operativo!AB454-AT454+AU454</f>
        <v>70559.9833333333</v>
      </c>
      <c r="AT454" s="15" t="n">
        <f aca="false">Motore_Operativo!CH454</f>
        <v>3713.68333333333</v>
      </c>
      <c r="AU454" s="15" t="n">
        <f aca="false">MIN(MAX(0,(AV453)+AT454),Parametri_v3!$C$60/12)</f>
        <v>0</v>
      </c>
      <c r="AV454" s="15" t="n">
        <f aca="false">(AV453)+AT454-AU454</f>
        <v>56889.6</v>
      </c>
      <c r="AW454" s="15" t="n">
        <f aca="false">IF(AND(Motore_Operativo!C454=Finanziamenti!$D$6,Finanziamenti!$F$6=1),Finanziamenti!$C$6,0)</f>
        <v>0</v>
      </c>
      <c r="AX454" s="15" t="n">
        <f aca="false">IF(AND(8&lt;&gt;7,8&lt;&gt;9,Finanziamenti!$F$8=1,OR(Parametri_v3!$C$6=0,Finanziamenti!$E$8=1),Motore_Operativo!C454=EDATE(Finanziamenti!$D$8,Ipotesi!J15*12)),Finanziamenti!$C$8*1,0)+IF(AND(8&lt;&gt;7,8&lt;&gt;9,Finanziamenti!$F$9=1,OR(Parametri_v3!$C$6=0,Finanziamenti!$E$9=1),Motore_Operativo!C454=EDATE(Finanziamenti!$D$9,Ipotesi!J15*12)),Finanziamenti!$C$9*Ipotesi!J16,0)</f>
        <v>900000</v>
      </c>
      <c r="AY454" s="15" t="n">
        <f aca="false">0</f>
        <v>0</v>
      </c>
      <c r="AZ454" s="15" t="n">
        <f aca="false">Motore_Advisory!AY454*(1-Ipotesi!$C$95)*Ipotesi!$C$96</f>
        <v>0</v>
      </c>
      <c r="BA454" s="15" t="n">
        <f aca="false">MAX(0,MIN(CG454*MIN(1,IF(Motore_Operativo!C454&gt;=EDATE(Finanziamenti!$D$15,Ipotesi!J14*12),Finanziamenti!$C$15,0)+IF(Motore_Operativo!C454&gt;=EDATE(Finanziamenti!$D$16,Ipotesi!J14*12),Finanziamenti!$C$16,0)+IF(Motore_Operativo!C454&gt;=EDATE(Finanziamenti!$D$17,Ipotesi!J14*12),Finanziamenti!$C$17,0)),CA454*Ipotesi!$C$102)-(CC453))</f>
        <v>88847.138405667</v>
      </c>
      <c r="BB454" s="15" t="n">
        <f aca="false">IF(AND(CF454&gt;0,Motore_Operativo!C454&gt;=IF(CF454=0,0,EDATE(CF454,Parametri_v3!$C$37)),MOD(((D454-YEAR(IF(CF454=0,0,EDATE(CF454,Parametri_v3!$C$37))))*12+E454-MONTH(IF(CF454=0,0,EDATE(CF454,Parametri_v3!$C$37)))),Parametri_v3!$C$38)=0),MIN(MAX(0,(BC453)+BA454-N454),(CC454-CD454)/(Ipotesi!$C$108*12/Parametri_v3!$C$38)),0)</f>
        <v>0</v>
      </c>
      <c r="BC454" s="15" t="n">
        <f aca="false">(BC453)+BA454-N454-BB454</f>
        <v>265392.996883967</v>
      </c>
      <c r="BD454" s="15" t="n">
        <f aca="false">(BH453)+AC454+AF454-AI454-AS454-K454*(1+Parametri_v3!$C$26)-AL454-AQ454-O454+AW454+AX454+AZ454+BA454-BB454</f>
        <v>724124.424535791</v>
      </c>
      <c r="BE454" s="15" t="n">
        <f aca="false">MAX(0,MIN(MAX(0,CH454-(BG453)),Parametri_v3!$C$30-BD454))</f>
        <v>0</v>
      </c>
      <c r="BF454" s="15" t="n">
        <f aca="false">IF(Motore_Operativo!C454&gt;=Parametri_v3!$C$63,(BG453),MIN((BG453),MAX(0,BD454-Parametri_v3!$C$30)))</f>
        <v>0</v>
      </c>
      <c r="BG454" s="15" t="n">
        <f aca="false">(BG453)+BE454-BF454</f>
        <v>0</v>
      </c>
      <c r="BH454" s="15" t="n">
        <f aca="false">BD454+BE454-BF454-AY454</f>
        <v>724124.424535791</v>
      </c>
      <c r="BI454" s="15" t="n">
        <f aca="false">MAX(0,Parametri_v3!$C$30-BH454)</f>
        <v>0</v>
      </c>
      <c r="BJ454" s="15" t="n">
        <f aca="false">(BJ453)+K454</f>
        <v>60000</v>
      </c>
      <c r="BK454" s="15" t="n">
        <f aca="false">(BK453)+L454</f>
        <v>23750</v>
      </c>
      <c r="BL454" s="15" t="n">
        <f aca="false">BJ454-BK454</f>
        <v>36250</v>
      </c>
      <c r="BM454" s="15" t="n">
        <f aca="false">(BM453)+Y454</f>
        <v>-762298.465568274</v>
      </c>
      <c r="BN454" s="15" t="n">
        <f aca="false">(BN453)+AW454+AX454+AZ454</f>
        <v>1330000</v>
      </c>
      <c r="BO454" s="15" t="n">
        <f aca="false">(BO453)+AY454</f>
        <v>0</v>
      </c>
      <c r="BP454" s="15" t="n">
        <f aca="false">0</f>
        <v>0</v>
      </c>
      <c r="BQ454" s="15" t="n">
        <f aca="false">BN454+BM454-BO454</f>
        <v>567701.534431726</v>
      </c>
      <c r="BR454" s="15" t="n">
        <f aca="false">BH454+AD454+BL454+MAX(0,-AM454)+MAX(0,-AR454)+AG454</f>
        <v>996990.529970403</v>
      </c>
      <c r="BS454" s="15" t="n">
        <f aca="false">AJ454+AV454+MAX(0,AM454)+MAX(0,AR454)+BC454+BG454+BQ454</f>
        <v>996990.529970403</v>
      </c>
      <c r="BT454" s="15" t="n">
        <f aca="false">BR454-BS454</f>
        <v>0</v>
      </c>
      <c r="BU454" s="15" t="n">
        <f aca="false">BH454-(BD454+BE454-BF454-AY454)</f>
        <v>0</v>
      </c>
      <c r="BV454" s="15" t="n">
        <f aca="false">MIN(Piano_SS!$C$6,(BV453)+IF(AND(Motore_Operativo!C454&gt;=EDATE(Parametri_v3!$C$24,Ipotesi!J14*12),Motore_Operativo!C454&lt;EDATE(Parametri_v3!$C$24,Parametri_v3!$C$25+Ipotesi!J14*12)),MAX(0,(Motore_Operativo!Y454+Motore_Operativo!X454*Parametri_v3!$C$14)*(1-Parametri_v3!$C$32))*Piano_SS!$D$6,0))</f>
        <v>300000</v>
      </c>
      <c r="BW454" s="15" t="n">
        <f aca="false">MIN(Piano_SS!$C$7,(BW453)+IF(AND(Motore_Operativo!C454&gt;=EDATE(Parametri_v3!$C$24,Ipotesi!J14*12),Motore_Operativo!C454&lt;EDATE(Parametri_v3!$C$24,Parametri_v3!$C$25+Ipotesi!J14*12)),MAX(0,(IF(30-(INT((Ipotesi!$C$91)/30))&lt;1,0,INDEX(Motore_Operativo!$BN$425:$BN$484,MAX(1,30-(INT((Ipotesi!$C$91)/30)))))*(1-(MOD((Ipotesi!$C$91),30)/30))+IF(30-(INT((Ipotesi!$C$91)/30))-1&lt;1,0,INDEX(Motore_Operativo!$BN$425:$BN$484,MAX(1,30-(INT((Ipotesi!$C$91)/30))-1)))*(MOD((Ipotesi!$C$91),30)/30)))*Piano_SS!$D$7,0))</f>
        <v>41058.9230070837</v>
      </c>
      <c r="BX454" s="15" t="n">
        <f aca="false">MIN(Piano_SS!$C$8,(BX453)+IF(AND(Motore_Operativo!C454&gt;=EDATE(Parametri_v3!$C$24,Ipotesi!J14*12),Motore_Operativo!C454&lt;EDATE(Parametri_v3!$C$24,Parametri_v3!$C$25+Ipotesi!J14*12)),MAX(0,Motore_Operativo!CE454)*Piano_SS!$D$8,0))</f>
        <v>50000</v>
      </c>
      <c r="BY454" s="15" t="n">
        <f aca="false">MIN(Piano_SS!$C$9,(BY453)+IF(AND(Motore_Operativo!C454&gt;=EDATE(Parametri_v3!$C$24,Ipotesi!J14*12),Motore_Operativo!C454&lt;EDATE(Parametri_v3!$C$24,Parametri_v3!$C$25+Ipotesi!J14*12)),MAX(0,((IF(30-(INT((Ipotesi!$C$91)/30))&lt;1,0,INDEX(Motore_Operativo!$BQ$425:$BQ$484,MAX(1,30-(INT((Ipotesi!$C$91)/30)))))*(1-(MOD((Ipotesi!$C$91),30)/30))+IF(30-(INT((Ipotesi!$C$91)/30))-1&lt;1,0,INDEX(Motore_Operativo!$BQ$425:$BQ$484,MAX(1,30-(INT((Ipotesi!$C$91)/30))-1)))*(MOD((Ipotesi!$C$91),30)/30))+(IF(30-(INT((Ipotesi!$C$91)/30))&lt;1,0,INDEX(Motore_Operativo!$BR$425:$BR$484,MAX(1,30-(INT((Ipotesi!$C$91)/30)))))*(1-(MOD((Ipotesi!$C$91),30)/30))+IF(30-(INT((Ipotesi!$C$91)/30))-1&lt;1,0,INDEX(Motore_Operativo!$BR$425:$BR$484,MAX(1,30-(INT((Ipotesi!$C$91)/30))-1)))*(MOD((Ipotesi!$C$91),30)/30))))*Piano_SS!$D$9,0))</f>
        <v>40000</v>
      </c>
      <c r="BZ454" s="15" t="n">
        <f aca="false">MIN(Piano_SS!$C$10,(BZ453)+IF(AND(Motore_Operativo!C454&gt;=EDATE(Parametri_v3!$C$24,Ipotesi!J14*12),Motore_Operativo!C454&lt;EDATE(Parametri_v3!$C$24,Parametri_v3!$C$25+Ipotesi!J14*12)),MAX(0,(IF(30-(INT((Ipotesi!$C$91)/30))&lt;1,0,INDEX(Motore_Operativo!$BO$425:$BO$484,MAX(1,30-(INT((Ipotesi!$C$91)/30)))))*(1-(MOD((Ipotesi!$C$91),30)/30))+IF(30-(INT((Ipotesi!$C$91)/30))-1&lt;1,0,INDEX(Motore_Operativo!$BO$425:$BO$484,MAX(1,30-(INT((Ipotesi!$C$91)/30))-1)))*(MOD((Ipotesi!$C$91),30)/30)))*Piano_SS!$D$10,0))</f>
        <v>30000</v>
      </c>
      <c r="CA454" s="15" t="n">
        <f aca="false">SUM(BV454:BZ454)</f>
        <v>461058.923007084</v>
      </c>
      <c r="CB454" s="15" t="n">
        <f aca="false">BV454*(1-Piano_SS!$E$6)+BW454*(1-Piano_SS!$E$7)+BX454*(1-Piano_SS!$E$8)+BY454*(1-Piano_SS!$E$9)+BZ454*(1-Piano_SS!$E$10)</f>
        <v>431058.923007084</v>
      </c>
      <c r="CC454" s="15" t="n">
        <f aca="false">(CC453)+BA454</f>
        <v>368847.138405667</v>
      </c>
      <c r="CD454" s="15" t="n">
        <f aca="false">IF(CA454=0,0,CC454*CB454/CA454*Ipotesi!$C$103*Parametri_v3!$C$64)</f>
        <v>103454.1415217</v>
      </c>
      <c r="CE454" s="18" t="n">
        <f aca="false">IF(BA454&gt;0,Motore_Operativo!C454,(CE453))</f>
        <v>47270</v>
      </c>
      <c r="CF454" s="18" t="n">
        <f aca="false">IF(AND(CC454&gt;0,OR(CC454&gt;=CG454-0.01,Motore_Operativo!C454&gt;=EDATE(MAX(Finanziamenti!$D$15:$D$17),Ipotesi!J14*12))),CE454,0)</f>
        <v>47270</v>
      </c>
      <c r="CG454" s="15" t="n">
        <f aca="false">IF(AND(8&lt;&gt;6,8&lt;&gt;9,Finanziamenti!$F$11=1,OR(Parametri_v3!$C$6=0,Finanziamenti!$E$11=1)),MIN(Finanziamenti!$C$11,Piano_SS!$C$12*Ipotesi!$C$102),0)</f>
        <v>400000</v>
      </c>
      <c r="CH454" s="15" t="n">
        <f aca="false">IF(AND(AND(8&lt;&gt;8,8&lt;&gt;9,Finanziamenti!$F$10=1,OR(Parametri_v3!$C$6=0,Finanziamenti!$E$10=1)),Motore_Operativo!C454&gt;=Finanziamenti!$D$10,Motore_Operativo!C454&lt;Parametri_v3!$C$63),Finanziamenti!$C$10,0)</f>
        <v>0</v>
      </c>
    </row>
    <row r="455" customFormat="false" ht="18" hidden="false" customHeight="true" outlineLevel="0" collapsed="false">
      <c r="A455" s="68" t="n">
        <f aca="false">8</f>
        <v>8</v>
      </c>
      <c r="B455" s="68" t="n">
        <f aca="false">31</f>
        <v>31</v>
      </c>
      <c r="C455" s="18" t="n">
        <f aca="false">Motore_Operativo!C455</f>
        <v>47300</v>
      </c>
      <c r="D455" s="68" t="n">
        <f aca="false">Motore_Operativo!D455</f>
        <v>2029</v>
      </c>
      <c r="E455" s="68" t="n">
        <f aca="false">Motore_Operativo!E455</f>
        <v>7</v>
      </c>
      <c r="F455" s="15" t="n">
        <f aca="false">Motore_Operativo!AQ455+Motore_Operativo!BF455</f>
        <v>67959.2554282038</v>
      </c>
      <c r="G455" s="15" t="n">
        <f aca="false">Motore_Operativo!BH455</f>
        <v>6050</v>
      </c>
      <c r="H455" s="15" t="n">
        <f aca="false">Motore_Operativo!BI455</f>
        <v>74009.2554282038</v>
      </c>
      <c r="I455" s="15" t="n">
        <f aca="false">Motore_Operativo!CA455</f>
        <v>116848.629093282</v>
      </c>
      <c r="J455" s="15" t="n">
        <f aca="false">Motore_Operativo!CC455</f>
        <v>-42839.3736650781</v>
      </c>
      <c r="K455" s="15" t="n">
        <f aca="false">Motore_Operativo!CE455</f>
        <v>2500</v>
      </c>
      <c r="L455" s="15" t="n">
        <f aca="false">SUM(INDEX($K$425:$K$484,MAX(1,31-Parametri_v3!$C$59+1)):K455)/Parametri_v3!$C$59</f>
        <v>1736.11111111111</v>
      </c>
      <c r="M455" s="15" t="n">
        <f aca="false">J455-L455</f>
        <v>-44575.4847761892</v>
      </c>
      <c r="N455" s="15" t="n">
        <f aca="false">CD455-(CD454)</f>
        <v>0</v>
      </c>
      <c r="O455" s="15" t="n">
        <f aca="false">(BG454)*Ipotesi!$C$110/12+CH455*Parametri_v3!$C$39/12</f>
        <v>0</v>
      </c>
      <c r="P455" s="15" t="n">
        <f aca="false">M455+N455-O455</f>
        <v>-44575.4847761892</v>
      </c>
      <c r="Q455" s="15" t="n">
        <f aca="false">SUM(P449:P455)+Parametri_v3!$C$54*7/12</f>
        <v>-314017.932383865</v>
      </c>
      <c r="R455" s="15" t="n">
        <f aca="false">Z448</f>
        <v>492856.017960598</v>
      </c>
      <c r="S455" s="15" t="n">
        <f aca="false">AA448</f>
        <v>0</v>
      </c>
      <c r="T455" s="15" t="n">
        <f aca="false">MIN(R455,MAX(0,Q455))</f>
        <v>0</v>
      </c>
      <c r="U455" s="15" t="n">
        <f aca="false">MIN(S455,MAX(0,Q455-T455)*Parametri_v3!$C$42)</f>
        <v>0</v>
      </c>
      <c r="V455" s="15" t="n">
        <f aca="false">MAX(0,Q455-T455-U455)*Ipotesi!$C$92</f>
        <v>0</v>
      </c>
      <c r="W455" s="15" t="n">
        <f aca="false">MAX(0,SUM(M449:M455)+Parametri_v3!$C$55*7/12)*Ipotesi!$C$93</f>
        <v>0</v>
      </c>
      <c r="X455" s="15" t="n">
        <f aca="false">V455+W455-(V454+W454)</f>
        <v>0</v>
      </c>
      <c r="Y455" s="15" t="n">
        <f aca="false">P455-X455</f>
        <v>-44575.4847761892</v>
      </c>
      <c r="Z455" s="15" t="n">
        <f aca="false">R455-T455+IF(AND(Parametri_v3!$C$40=1,D455-YEAR(Parametri_v3!$C$50)&lt;Parametri_v3!$C$41),MAX(0,-Q455),0)</f>
        <v>806873.950344463</v>
      </c>
      <c r="AA455" s="15" t="n">
        <f aca="false">S455-U455+IF(AND(Parametri_v3!$C$40=1,D455-YEAR(Parametri_v3!$C$50)&lt;Parametri_v3!$C$41),0,MAX(0,-Q455))</f>
        <v>0</v>
      </c>
      <c r="AB455" s="15" t="n">
        <f aca="false">F455*(1+Parametri_v3!$C$26)</f>
        <v>82910.2916224086</v>
      </c>
      <c r="AC455" s="15" t="n">
        <f aca="false">(IF(31-(INT((Motore_Operativo!L455)/30))&lt;1,0,INDEX(Motore_Startup!$AB$425:$AB$484,MAX(1,31-(INT((Motore_Operativo!L455)/30)))))*(1-(MOD((Motore_Operativo!L455),30)/30))+IF(31-(INT((Motore_Operativo!L455)/30))-1&lt;1,0,INDEX(Motore_Startup!$AB$425:$AB$484,MAX(1,31-(INT((Motore_Operativo!L455)/30))-1)))*(MOD((Motore_Operativo!L455),30)/30))</f>
        <v>73133.7945856856</v>
      </c>
      <c r="AD455" s="15" t="n">
        <f aca="false">(AD454)+AB455-AC455</f>
        <v>239011.602471335</v>
      </c>
      <c r="AE455" s="15" t="n">
        <f aca="false">Motore_Operativo!BH455*(1+Parametri_v3!$C$26)</f>
        <v>7381</v>
      </c>
      <c r="AF455" s="15" t="n">
        <f aca="false">(IF(31-(INT((Parametri_v3!$C$29)/30))&lt;1,0,INDEX(Motore_Operativo!$BH$425:$BH$484,MAX(1,31-(INT((Parametri_v3!$C$29)/30)))))*(1-(MOD((Parametri_v3!$C$29),30)/30))+IF(31-(INT((Parametri_v3!$C$29)/30))-1&lt;1,0,INDEX(Motore_Operativo!$BH$425:$BH$484,MAX(1,31-(INT((Parametri_v3!$C$29)/30))-1)))*(MOD((Parametri_v3!$C$29),30)/30))*(1+Parametri_v3!$C$26)</f>
        <v>7381</v>
      </c>
      <c r="AG455" s="15" t="n">
        <f aca="false">(AG454)+AE455-AF455</f>
        <v>7381</v>
      </c>
      <c r="AH455" s="15" t="n">
        <f aca="false">(Motore_Operativo!CJ455)*(1+Parametri_v3!$C$27*Parametri_v3!$C$26)</f>
        <v>50536.4804003922</v>
      </c>
      <c r="AI455" s="15" t="n">
        <f aca="false">(IF(31-(INT((Ipotesi!$C$91)/30))&lt;1,0,INDEX(Motore_Startup!$AH$425:$AH$484,MAX(1,31-(INT((Ipotesi!$C$91)/30)))))*(1-(MOD((Ipotesi!$C$91),30)/30))+IF(31-(INT((Ipotesi!$C$91)/30))-1&lt;1,0,INDEX(Motore_Startup!$AH$425:$AH$484,MAX(1,31-(INT((Ipotesi!$C$91)/30))-1)))*(MOD((Ipotesi!$C$91),30)/30))</f>
        <v>49652.5920683198</v>
      </c>
      <c r="AJ455" s="15" t="n">
        <f aca="false">(AJ454)+AH455-AI455</f>
        <v>100632.956766669</v>
      </c>
      <c r="AK455" s="15" t="n">
        <f aca="false">(F455+ Motore_Operativo!BH455-(Motore_Operativo!CJ455)*Parametri_v3!$C$27-Motore_Operativo!CE455)*Parametri_v3!$C$26</f>
        <v>7770.51822042779</v>
      </c>
      <c r="AL455" s="15" t="n">
        <f aca="false">MAX(0,(AM454))</f>
        <v>7257.33022011338</v>
      </c>
      <c r="AM455" s="15" t="n">
        <f aca="false">(AM454)+AK455-AL455</f>
        <v>7770.51822042779</v>
      </c>
      <c r="AN455" s="15" t="n">
        <f aca="false">SUM(X437:X448)</f>
        <v>0</v>
      </c>
      <c r="AO455" s="15" t="n">
        <f aca="false">SUM(AP437:AP448)</f>
        <v>0</v>
      </c>
      <c r="AP455" s="15" t="n">
        <f aca="false">MAX(0,AN455)*IF(7=Parametri_v3!$C$43,Parametri_v3!$C$45,IF(7=Parametri_v3!$C$44,1-Parametri_v3!$C$45,0))</f>
        <v>0</v>
      </c>
      <c r="AQ455" s="15" t="n">
        <f aca="false">MAX(0,AP455+IF(7=Parametri_v3!$C$43,MAX(0,AN455-AO455),0)-MAX(0,-(AR454)))</f>
        <v>0</v>
      </c>
      <c r="AR455" s="15" t="n">
        <f aca="false">(AR454)+X455-AQ455</f>
        <v>0</v>
      </c>
      <c r="AS455" s="15" t="n">
        <f aca="false">Motore_Operativo!AB455-AT455+AU455</f>
        <v>70559.9833333333</v>
      </c>
      <c r="AT455" s="15" t="n">
        <f aca="false">Motore_Operativo!CH455</f>
        <v>3713.68333333333</v>
      </c>
      <c r="AU455" s="15" t="n">
        <f aca="false">MIN(MAX(0,(AV454)+AT455),Parametri_v3!$C$60/12)</f>
        <v>0</v>
      </c>
      <c r="AV455" s="15" t="n">
        <f aca="false">(AV454)+AT455-AU455</f>
        <v>60603.2833333334</v>
      </c>
      <c r="AW455" s="15" t="n">
        <f aca="false">IF(AND(Motore_Operativo!C455=Finanziamenti!$D$6,Finanziamenti!$F$6=1),Finanziamenti!$C$6,0)</f>
        <v>0</v>
      </c>
      <c r="AX455" s="15" t="n">
        <f aca="false">IF(AND(8&lt;&gt;7,8&lt;&gt;9,Finanziamenti!$F$8=1,OR(Parametri_v3!$C$6=0,Finanziamenti!$E$8=1),Motore_Operativo!C455=EDATE(Finanziamenti!$D$8,Ipotesi!J15*12)),Finanziamenti!$C$8*1,0)+IF(AND(8&lt;&gt;7,8&lt;&gt;9,Finanziamenti!$F$9=1,OR(Parametri_v3!$C$6=0,Finanziamenti!$E$9=1),Motore_Operativo!C455=EDATE(Finanziamenti!$D$9,Ipotesi!J15*12)),Finanziamenti!$C$9*Ipotesi!J16,0)</f>
        <v>0</v>
      </c>
      <c r="AY455" s="15" t="n">
        <f aca="false">0</f>
        <v>0</v>
      </c>
      <c r="AZ455" s="15" t="n">
        <f aca="false">Motore_Advisory!AY455*(1-Ipotesi!$C$95)*Ipotesi!$C$96</f>
        <v>0</v>
      </c>
      <c r="BA455" s="15" t="n">
        <f aca="false">MAX(0,MIN(CG455*MIN(1,IF(Motore_Operativo!C455&gt;=EDATE(Finanziamenti!$D$15,Ipotesi!J14*12),Finanziamenti!$C$15,0)+IF(Motore_Operativo!C455&gt;=EDATE(Finanziamenti!$D$16,Ipotesi!J14*12),Finanziamenti!$C$16,0)+IF(Motore_Operativo!C455&gt;=EDATE(Finanziamenti!$D$17,Ipotesi!J14*12),Finanziamenti!$C$17,0)),CA455*Ipotesi!$C$102)-(CC454))</f>
        <v>0</v>
      </c>
      <c r="BB455" s="15" t="n">
        <f aca="false">IF(AND(CF455&gt;0,Motore_Operativo!C455&gt;=IF(CF455=0,0,EDATE(CF455,Parametri_v3!$C$37)),MOD(((D455-YEAR(IF(CF455=0,0,EDATE(CF455,Parametri_v3!$C$37))))*12+E455-MONTH(IF(CF455=0,0,EDATE(CF455,Parametri_v3!$C$37)))),Parametri_v3!$C$38)=0),MIN(MAX(0,(BC454)+BA455-N455),(CC455-CD455)/(Ipotesi!$C$108*12/Parametri_v3!$C$38)),0)</f>
        <v>0</v>
      </c>
      <c r="BC455" s="15" t="n">
        <f aca="false">(BC454)+BA455-N455-BB455</f>
        <v>265392.996883967</v>
      </c>
      <c r="BD455" s="15" t="n">
        <f aca="false">(BH454)+AC455+AF455-AI455-AS455-K455*(1+Parametri_v3!$C$26)-AL455-AQ455-O455+AW455+AX455+AZ455+BA455-BB455</f>
        <v>674119.31349971</v>
      </c>
      <c r="BE455" s="15" t="n">
        <f aca="false">MAX(0,MIN(MAX(0,CH455-(BG454)),Parametri_v3!$C$30-BD455))</f>
        <v>0</v>
      </c>
      <c r="BF455" s="15" t="n">
        <f aca="false">IF(Motore_Operativo!C455&gt;=Parametri_v3!$C$63,(BG454),MIN((BG454),MAX(0,BD455-Parametri_v3!$C$30)))</f>
        <v>0</v>
      </c>
      <c r="BG455" s="15" t="n">
        <f aca="false">(BG454)+BE455-BF455</f>
        <v>0</v>
      </c>
      <c r="BH455" s="15" t="n">
        <f aca="false">BD455+BE455-BF455-AY455</f>
        <v>674119.31349971</v>
      </c>
      <c r="BI455" s="15" t="n">
        <f aca="false">MAX(0,Parametri_v3!$C$30-BH455)</f>
        <v>0</v>
      </c>
      <c r="BJ455" s="15" t="n">
        <f aca="false">(BJ454)+K455</f>
        <v>62500</v>
      </c>
      <c r="BK455" s="15" t="n">
        <f aca="false">(BK454)+L455</f>
        <v>25486.1111111111</v>
      </c>
      <c r="BL455" s="15" t="n">
        <f aca="false">BJ455-BK455</f>
        <v>37013.8888888889</v>
      </c>
      <c r="BM455" s="15" t="n">
        <f aca="false">(BM454)+Y455</f>
        <v>-806873.950344463</v>
      </c>
      <c r="BN455" s="15" t="n">
        <f aca="false">(BN454)+AW455+AX455+AZ455</f>
        <v>1330000</v>
      </c>
      <c r="BO455" s="15" t="n">
        <f aca="false">(BO454)+AY455</f>
        <v>0</v>
      </c>
      <c r="BP455" s="15" t="n">
        <f aca="false">0</f>
        <v>0</v>
      </c>
      <c r="BQ455" s="15" t="n">
        <f aca="false">BN455+BM455-BO455</f>
        <v>523126.049655537</v>
      </c>
      <c r="BR455" s="15" t="n">
        <f aca="false">BH455+AD455+BL455+MAX(0,-AM455)+MAX(0,-AR455)+AG455</f>
        <v>957525.804859934</v>
      </c>
      <c r="BS455" s="15" t="n">
        <f aca="false">AJ455+AV455+MAX(0,AM455)+MAX(0,AR455)+BC455+BG455+BQ455</f>
        <v>957525.804859934</v>
      </c>
      <c r="BT455" s="15" t="n">
        <f aca="false">BR455-BS455</f>
        <v>0</v>
      </c>
      <c r="BU455" s="15" t="n">
        <f aca="false">BH455-(BD455+BE455-BF455-AY455)</f>
        <v>0</v>
      </c>
      <c r="BV455" s="15" t="n">
        <f aca="false">MIN(Piano_SS!$C$6,(BV454)+IF(AND(Motore_Operativo!C455&gt;=EDATE(Parametri_v3!$C$24,Ipotesi!J14*12),Motore_Operativo!C455&lt;EDATE(Parametri_v3!$C$24,Parametri_v3!$C$25+Ipotesi!J14*12)),MAX(0,(Motore_Operativo!Y455+Motore_Operativo!X455*Parametri_v3!$C$14)*(1-Parametri_v3!$C$32))*Piano_SS!$D$6,0))</f>
        <v>300000</v>
      </c>
      <c r="BW455" s="15" t="n">
        <f aca="false">MIN(Piano_SS!$C$7,(BW454)+IF(AND(Motore_Operativo!C455&gt;=EDATE(Parametri_v3!$C$24,Ipotesi!J14*12),Motore_Operativo!C455&lt;EDATE(Parametri_v3!$C$24,Parametri_v3!$C$25+Ipotesi!J14*12)),MAX(0,(IF(31-(INT((Ipotesi!$C$91)/30))&lt;1,0,INDEX(Motore_Operativo!$BN$425:$BN$484,MAX(1,31-(INT((Ipotesi!$C$91)/30)))))*(1-(MOD((Ipotesi!$C$91),30)/30))+IF(31-(INT((Ipotesi!$C$91)/30))-1&lt;1,0,INDEX(Motore_Operativo!$BN$425:$BN$484,MAX(1,31-(INT((Ipotesi!$C$91)/30))-1)))*(MOD((Ipotesi!$C$91),30)/30)))*Piano_SS!$D$7,0))</f>
        <v>41058.9230070837</v>
      </c>
      <c r="BX455" s="15" t="n">
        <f aca="false">MIN(Piano_SS!$C$8,(BX454)+IF(AND(Motore_Operativo!C455&gt;=EDATE(Parametri_v3!$C$24,Ipotesi!J14*12),Motore_Operativo!C455&lt;EDATE(Parametri_v3!$C$24,Parametri_v3!$C$25+Ipotesi!J14*12)),MAX(0,Motore_Operativo!CE455)*Piano_SS!$D$8,0))</f>
        <v>50000</v>
      </c>
      <c r="BY455" s="15" t="n">
        <f aca="false">MIN(Piano_SS!$C$9,(BY454)+IF(AND(Motore_Operativo!C455&gt;=EDATE(Parametri_v3!$C$24,Ipotesi!J14*12),Motore_Operativo!C455&lt;EDATE(Parametri_v3!$C$24,Parametri_v3!$C$25+Ipotesi!J14*12)),MAX(0,((IF(31-(INT((Ipotesi!$C$91)/30))&lt;1,0,INDEX(Motore_Operativo!$BQ$425:$BQ$484,MAX(1,31-(INT((Ipotesi!$C$91)/30)))))*(1-(MOD((Ipotesi!$C$91),30)/30))+IF(31-(INT((Ipotesi!$C$91)/30))-1&lt;1,0,INDEX(Motore_Operativo!$BQ$425:$BQ$484,MAX(1,31-(INT((Ipotesi!$C$91)/30))-1)))*(MOD((Ipotesi!$C$91),30)/30))+(IF(31-(INT((Ipotesi!$C$91)/30))&lt;1,0,INDEX(Motore_Operativo!$BR$425:$BR$484,MAX(1,31-(INT((Ipotesi!$C$91)/30)))))*(1-(MOD((Ipotesi!$C$91),30)/30))+IF(31-(INT((Ipotesi!$C$91)/30))-1&lt;1,0,INDEX(Motore_Operativo!$BR$425:$BR$484,MAX(1,31-(INT((Ipotesi!$C$91)/30))-1)))*(MOD((Ipotesi!$C$91),30)/30))))*Piano_SS!$D$9,0))</f>
        <v>40000</v>
      </c>
      <c r="BZ455" s="15" t="n">
        <f aca="false">MIN(Piano_SS!$C$10,(BZ454)+IF(AND(Motore_Operativo!C455&gt;=EDATE(Parametri_v3!$C$24,Ipotesi!J14*12),Motore_Operativo!C455&lt;EDATE(Parametri_v3!$C$24,Parametri_v3!$C$25+Ipotesi!J14*12)),MAX(0,(IF(31-(INT((Ipotesi!$C$91)/30))&lt;1,0,INDEX(Motore_Operativo!$BO$425:$BO$484,MAX(1,31-(INT((Ipotesi!$C$91)/30)))))*(1-(MOD((Ipotesi!$C$91),30)/30))+IF(31-(INT((Ipotesi!$C$91)/30))-1&lt;1,0,INDEX(Motore_Operativo!$BO$425:$BO$484,MAX(1,31-(INT((Ipotesi!$C$91)/30))-1)))*(MOD((Ipotesi!$C$91),30)/30)))*Piano_SS!$D$10,0))</f>
        <v>30000</v>
      </c>
      <c r="CA455" s="15" t="n">
        <f aca="false">SUM(BV455:BZ455)</f>
        <v>461058.923007084</v>
      </c>
      <c r="CB455" s="15" t="n">
        <f aca="false">BV455*(1-Piano_SS!$E$6)+BW455*(1-Piano_SS!$E$7)+BX455*(1-Piano_SS!$E$8)+BY455*(1-Piano_SS!$E$9)+BZ455*(1-Piano_SS!$E$10)</f>
        <v>431058.923007084</v>
      </c>
      <c r="CC455" s="15" t="n">
        <f aca="false">(CC454)+BA455</f>
        <v>368847.138405667</v>
      </c>
      <c r="CD455" s="15" t="n">
        <f aca="false">IF(CA455=0,0,CC455*CB455/CA455*Ipotesi!$C$103*Parametri_v3!$C$64)</f>
        <v>103454.1415217</v>
      </c>
      <c r="CE455" s="18" t="n">
        <f aca="false">IF(BA455&gt;0,Motore_Operativo!C455,(CE454))</f>
        <v>47270</v>
      </c>
      <c r="CF455" s="18" t="n">
        <f aca="false">IF(AND(CC455&gt;0,OR(CC455&gt;=CG455-0.01,Motore_Operativo!C455&gt;=EDATE(MAX(Finanziamenti!$D$15:$D$17),Ipotesi!J14*12))),CE455,0)</f>
        <v>47270</v>
      </c>
      <c r="CG455" s="15" t="n">
        <f aca="false">IF(AND(8&lt;&gt;6,8&lt;&gt;9,Finanziamenti!$F$11=1,OR(Parametri_v3!$C$6=0,Finanziamenti!$E$11=1)),MIN(Finanziamenti!$C$11,Piano_SS!$C$12*Ipotesi!$C$102),0)</f>
        <v>400000</v>
      </c>
      <c r="CH455" s="15" t="n">
        <f aca="false">IF(AND(AND(8&lt;&gt;8,8&lt;&gt;9,Finanziamenti!$F$10=1,OR(Parametri_v3!$C$6=0,Finanziamenti!$E$10=1)),Motore_Operativo!C455&gt;=Finanziamenti!$D$10,Motore_Operativo!C455&lt;Parametri_v3!$C$63),Finanziamenti!$C$10,0)</f>
        <v>0</v>
      </c>
    </row>
    <row r="456" customFormat="false" ht="18" hidden="false" customHeight="true" outlineLevel="0" collapsed="false">
      <c r="A456" s="68" t="n">
        <f aca="false">8</f>
        <v>8</v>
      </c>
      <c r="B456" s="68" t="n">
        <f aca="false">32</f>
        <v>32</v>
      </c>
      <c r="C456" s="18" t="n">
        <f aca="false">Motore_Operativo!C456</f>
        <v>47331</v>
      </c>
      <c r="D456" s="68" t="n">
        <f aca="false">Motore_Operativo!D456</f>
        <v>2029</v>
      </c>
      <c r="E456" s="68" t="n">
        <f aca="false">Motore_Operativo!E456</f>
        <v>8</v>
      </c>
      <c r="F456" s="15" t="n">
        <f aca="false">Motore_Operativo!AQ456+Motore_Operativo!BF456</f>
        <v>70583.8654295919</v>
      </c>
      <c r="G456" s="15" t="n">
        <f aca="false">Motore_Operativo!BH456</f>
        <v>6050</v>
      </c>
      <c r="H456" s="15" t="n">
        <f aca="false">Motore_Operativo!BI456</f>
        <v>76633.8654295919</v>
      </c>
      <c r="I456" s="15" t="n">
        <f aca="false">Motore_Operativo!CA456</f>
        <v>117216.074493476</v>
      </c>
      <c r="J456" s="15" t="n">
        <f aca="false">Motore_Operativo!CC456</f>
        <v>-40582.2090638843</v>
      </c>
      <c r="K456" s="15" t="n">
        <f aca="false">Motore_Operativo!CE456</f>
        <v>2500</v>
      </c>
      <c r="L456" s="15" t="n">
        <f aca="false">SUM(INDEX($K$425:$K$484,MAX(1,32-Parametri_v3!$C$59+1)):K456)/Parametri_v3!$C$59</f>
        <v>1805.55555555556</v>
      </c>
      <c r="M456" s="15" t="n">
        <f aca="false">J456-L456</f>
        <v>-42387.7646194398</v>
      </c>
      <c r="N456" s="15" t="n">
        <f aca="false">CD456-(CD455)</f>
        <v>0</v>
      </c>
      <c r="O456" s="15" t="n">
        <f aca="false">(BG455)*Ipotesi!$C$110/12+CH456*Parametri_v3!$C$39/12</f>
        <v>0</v>
      </c>
      <c r="P456" s="15" t="n">
        <f aca="false">M456+N456-O456</f>
        <v>-42387.7646194398</v>
      </c>
      <c r="Q456" s="15" t="n">
        <f aca="false">SUM(P449:P456)+Parametri_v3!$C$54*8/12</f>
        <v>-356405.697003304</v>
      </c>
      <c r="R456" s="15" t="n">
        <f aca="false">Z448</f>
        <v>492856.017960598</v>
      </c>
      <c r="S456" s="15" t="n">
        <f aca="false">AA448</f>
        <v>0</v>
      </c>
      <c r="T456" s="15" t="n">
        <f aca="false">MIN(R456,MAX(0,Q456))</f>
        <v>0</v>
      </c>
      <c r="U456" s="15" t="n">
        <f aca="false">MIN(S456,MAX(0,Q456-T456)*Parametri_v3!$C$42)</f>
        <v>0</v>
      </c>
      <c r="V456" s="15" t="n">
        <f aca="false">MAX(0,Q456-T456-U456)*Ipotesi!$C$92</f>
        <v>0</v>
      </c>
      <c r="W456" s="15" t="n">
        <f aca="false">MAX(0,SUM(M449:M456)+Parametri_v3!$C$55*8/12)*Ipotesi!$C$93</f>
        <v>0</v>
      </c>
      <c r="X456" s="15" t="n">
        <f aca="false">V456+W456-(V455+W455)</f>
        <v>0</v>
      </c>
      <c r="Y456" s="15" t="n">
        <f aca="false">P456-X456</f>
        <v>-42387.7646194398</v>
      </c>
      <c r="Z456" s="15" t="n">
        <f aca="false">R456-T456+IF(AND(Parametri_v3!$C$40=1,D456-YEAR(Parametri_v3!$C$50)&lt;Parametri_v3!$C$41),MAX(0,-Q456),0)</f>
        <v>849261.714963903</v>
      </c>
      <c r="AA456" s="15" t="n">
        <f aca="false">S456-U456+IF(AND(Parametri_v3!$C$40=1,D456-YEAR(Parametri_v3!$C$50)&lt;Parametri_v3!$C$41),0,MAX(0,-Q456))</f>
        <v>0</v>
      </c>
      <c r="AB456" s="15" t="n">
        <f aca="false">F456*(1+Parametri_v3!$C$26)</f>
        <v>86112.3158241022</v>
      </c>
      <c r="AC456" s="15" t="n">
        <f aca="false">(IF(32-(INT((Motore_Operativo!L456)/30))&lt;1,0,INDEX(Motore_Startup!$AB$425:$AB$484,MAX(1,32-(INT((Motore_Operativo!L456)/30)))))*(1-(MOD((Motore_Operativo!L456),30)/30))+IF(32-(INT((Motore_Operativo!L456)/30))-1&lt;1,0,INDEX(Motore_Startup!$AB$425:$AB$484,MAX(1,32-(INT((Motore_Operativo!L456)/30))-1)))*(MOD((Motore_Operativo!L456),30)/30))</f>
        <v>76421.281120974</v>
      </c>
      <c r="AD456" s="15" t="n">
        <f aca="false">(AD455)+AB456-AC456</f>
        <v>248702.637174463</v>
      </c>
      <c r="AE456" s="15" t="n">
        <f aca="false">Motore_Operativo!BH456*(1+Parametri_v3!$C$26)</f>
        <v>7381</v>
      </c>
      <c r="AF456" s="15" t="n">
        <f aca="false">(IF(32-(INT((Parametri_v3!$C$29)/30))&lt;1,0,INDEX(Motore_Operativo!$BH$425:$BH$484,MAX(1,32-(INT((Parametri_v3!$C$29)/30)))))*(1-(MOD((Parametri_v3!$C$29),30)/30))+IF(32-(INT((Parametri_v3!$C$29)/30))-1&lt;1,0,INDEX(Motore_Operativo!$BH$425:$BH$484,MAX(1,32-(INT((Parametri_v3!$C$29)/30))-1)))*(MOD((Parametri_v3!$C$29),30)/30))*(1+Parametri_v3!$C$26)</f>
        <v>7381</v>
      </c>
      <c r="AG456" s="15" t="n">
        <f aca="false">(AG455)+AE456-AF456</f>
        <v>7381</v>
      </c>
      <c r="AH456" s="15" t="n">
        <f aca="false">(Motore_Operativo!CJ456)*(1+Parametri_v3!$C$27*Parametri_v3!$C$26)</f>
        <v>50972.6380904229</v>
      </c>
      <c r="AI456" s="15" t="n">
        <f aca="false">(IF(32-(INT((Ipotesi!$C$91)/30))&lt;1,0,INDEX(Motore_Startup!$AH$425:$AH$484,MAX(1,32-(INT((Ipotesi!$C$91)/30)))))*(1-(MOD((Ipotesi!$C$91),30)/30))+IF(32-(INT((Ipotesi!$C$91)/30))-1&lt;1,0,INDEX(Motore_Startup!$AH$425:$AH$484,MAX(1,32-(INT((Ipotesi!$C$91)/30))-1)))*(MOD((Ipotesi!$C$91),30)/30))</f>
        <v>50096.4763662768</v>
      </c>
      <c r="AJ456" s="15" t="n">
        <f aca="false">(AJ455)+AH456-AI456</f>
        <v>101509.118490815</v>
      </c>
      <c r="AK456" s="15" t="n">
        <f aca="false">(F456+ Motore_Operativo!BH456-(Motore_Operativo!CJ456)*Parametri_v3!$C$27-Motore_Operativo!CE456)*Parametri_v3!$C$26</f>
        <v>8279.22013089684</v>
      </c>
      <c r="AL456" s="15" t="n">
        <f aca="false">MAX(0,(AM455))</f>
        <v>7770.51822042779</v>
      </c>
      <c r="AM456" s="15" t="n">
        <f aca="false">(AM455)+AK456-AL456</f>
        <v>8279.22013089684</v>
      </c>
      <c r="AN456" s="15" t="n">
        <f aca="false">SUM(X437:X448)</f>
        <v>0</v>
      </c>
      <c r="AO456" s="15" t="n">
        <f aca="false">SUM(AP437:AP448)</f>
        <v>0</v>
      </c>
      <c r="AP456" s="15" t="n">
        <f aca="false">MAX(0,AN456)*IF(8=Parametri_v3!$C$43,Parametri_v3!$C$45,IF(8=Parametri_v3!$C$44,1-Parametri_v3!$C$45,0))</f>
        <v>0</v>
      </c>
      <c r="AQ456" s="15" t="n">
        <f aca="false">MAX(0,AP456+IF(8=Parametri_v3!$C$43,MAX(0,AN456-AO456),0)-MAX(0,-(AR455)))</f>
        <v>0</v>
      </c>
      <c r="AR456" s="15" t="n">
        <f aca="false">(AR455)+X456-AQ456</f>
        <v>0</v>
      </c>
      <c r="AS456" s="15" t="n">
        <f aca="false">Motore_Operativo!AB456-AT456+AU456</f>
        <v>70559.9833333333</v>
      </c>
      <c r="AT456" s="15" t="n">
        <f aca="false">Motore_Operativo!CH456</f>
        <v>3713.68333333333</v>
      </c>
      <c r="AU456" s="15" t="n">
        <f aca="false">MIN(MAX(0,(AV455)+AT456),Parametri_v3!$C$60/12)</f>
        <v>0</v>
      </c>
      <c r="AV456" s="15" t="n">
        <f aca="false">(AV455)+AT456-AU456</f>
        <v>64316.9666666667</v>
      </c>
      <c r="AW456" s="15" t="n">
        <f aca="false">IF(AND(Motore_Operativo!C456=Finanziamenti!$D$6,Finanziamenti!$F$6=1),Finanziamenti!$C$6,0)</f>
        <v>0</v>
      </c>
      <c r="AX456" s="15" t="n">
        <f aca="false">IF(AND(8&lt;&gt;7,8&lt;&gt;9,Finanziamenti!$F$8=1,OR(Parametri_v3!$C$6=0,Finanziamenti!$E$8=1),Motore_Operativo!C456=EDATE(Finanziamenti!$D$8,Ipotesi!J15*12)),Finanziamenti!$C$8*1,0)+IF(AND(8&lt;&gt;7,8&lt;&gt;9,Finanziamenti!$F$9=1,OR(Parametri_v3!$C$6=0,Finanziamenti!$E$9=1),Motore_Operativo!C456=EDATE(Finanziamenti!$D$9,Ipotesi!J15*12)),Finanziamenti!$C$9*Ipotesi!J16,0)</f>
        <v>0</v>
      </c>
      <c r="AY456" s="15" t="n">
        <f aca="false">0</f>
        <v>0</v>
      </c>
      <c r="AZ456" s="15" t="n">
        <f aca="false">Motore_Advisory!AY456*(1-Ipotesi!$C$95)*Ipotesi!$C$96</f>
        <v>0</v>
      </c>
      <c r="BA456" s="15" t="n">
        <f aca="false">MAX(0,MIN(CG456*MIN(1,IF(Motore_Operativo!C456&gt;=EDATE(Finanziamenti!$D$15,Ipotesi!J14*12),Finanziamenti!$C$15,0)+IF(Motore_Operativo!C456&gt;=EDATE(Finanziamenti!$D$16,Ipotesi!J14*12),Finanziamenti!$C$16,0)+IF(Motore_Operativo!C456&gt;=EDATE(Finanziamenti!$D$17,Ipotesi!J14*12),Finanziamenti!$C$17,0)),CA456*Ipotesi!$C$102)-(CC455))</f>
        <v>0</v>
      </c>
      <c r="BB456" s="15" t="n">
        <f aca="false">IF(AND(CF456&gt;0,Motore_Operativo!C456&gt;=IF(CF456=0,0,EDATE(CF456,Parametri_v3!$C$37)),MOD(((D456-YEAR(IF(CF456=0,0,EDATE(CF456,Parametri_v3!$C$37))))*12+E456-MONTH(IF(CF456=0,0,EDATE(CF456,Parametri_v3!$C$37)))),Parametri_v3!$C$38)=0),MIN(MAX(0,(BC455)+BA456-N456),(CC456-CD456)/(Ipotesi!$C$108*12/Parametri_v3!$C$38)),0)</f>
        <v>0</v>
      </c>
      <c r="BC456" s="15" t="n">
        <f aca="false">(BC455)+BA456-N456-BB456</f>
        <v>265392.996883967</v>
      </c>
      <c r="BD456" s="15" t="n">
        <f aca="false">(BH455)+AC456+AF456-AI456-AS456-K456*(1+Parametri_v3!$C$26)-AL456-AQ456-O456+AW456+AX456+AZ456+BA456-BB456</f>
        <v>626444.616700646</v>
      </c>
      <c r="BE456" s="15" t="n">
        <f aca="false">MAX(0,MIN(MAX(0,CH456-(BG455)),Parametri_v3!$C$30-BD456))</f>
        <v>0</v>
      </c>
      <c r="BF456" s="15" t="n">
        <f aca="false">IF(Motore_Operativo!C456&gt;=Parametri_v3!$C$63,(BG455),MIN((BG455),MAX(0,BD456-Parametri_v3!$C$30)))</f>
        <v>0</v>
      </c>
      <c r="BG456" s="15" t="n">
        <f aca="false">(BG455)+BE456-BF456</f>
        <v>0</v>
      </c>
      <c r="BH456" s="15" t="n">
        <f aca="false">BD456+BE456-BF456-AY456</f>
        <v>626444.616700646</v>
      </c>
      <c r="BI456" s="15" t="n">
        <f aca="false">MAX(0,Parametri_v3!$C$30-BH456)</f>
        <v>0</v>
      </c>
      <c r="BJ456" s="15" t="n">
        <f aca="false">(BJ455)+K456</f>
        <v>65000</v>
      </c>
      <c r="BK456" s="15" t="n">
        <f aca="false">(BK455)+L456</f>
        <v>27291.6666666667</v>
      </c>
      <c r="BL456" s="15" t="n">
        <f aca="false">BJ456-BK456</f>
        <v>37708.3333333333</v>
      </c>
      <c r="BM456" s="15" t="n">
        <f aca="false">(BM455)+Y456</f>
        <v>-849261.714963903</v>
      </c>
      <c r="BN456" s="15" t="n">
        <f aca="false">(BN455)+AW456+AX456+AZ456</f>
        <v>1330000</v>
      </c>
      <c r="BO456" s="15" t="n">
        <f aca="false">(BO455)+AY456</f>
        <v>0</v>
      </c>
      <c r="BP456" s="15" t="n">
        <f aca="false">0</f>
        <v>0</v>
      </c>
      <c r="BQ456" s="15" t="n">
        <f aca="false">BN456+BM456-BO456</f>
        <v>480738.285036097</v>
      </c>
      <c r="BR456" s="15" t="n">
        <f aca="false">BH456+AD456+BL456+MAX(0,-AM456)+MAX(0,-AR456)+AG456</f>
        <v>920236.587208443</v>
      </c>
      <c r="BS456" s="15" t="n">
        <f aca="false">AJ456+AV456+MAX(0,AM456)+MAX(0,AR456)+BC456+BG456+BQ456</f>
        <v>920236.587208443</v>
      </c>
      <c r="BT456" s="15" t="n">
        <f aca="false">BR456-BS456</f>
        <v>0</v>
      </c>
      <c r="BU456" s="15" t="n">
        <f aca="false">BH456-(BD456+BE456-BF456-AY456)</f>
        <v>0</v>
      </c>
      <c r="BV456" s="15" t="n">
        <f aca="false">MIN(Piano_SS!$C$6,(BV455)+IF(AND(Motore_Operativo!C456&gt;=EDATE(Parametri_v3!$C$24,Ipotesi!J14*12),Motore_Operativo!C456&lt;EDATE(Parametri_v3!$C$24,Parametri_v3!$C$25+Ipotesi!J14*12)),MAX(0,(Motore_Operativo!Y456+Motore_Operativo!X456*Parametri_v3!$C$14)*(1-Parametri_v3!$C$32))*Piano_SS!$D$6,0))</f>
        <v>300000</v>
      </c>
      <c r="BW456" s="15" t="n">
        <f aca="false">MIN(Piano_SS!$C$7,(BW455)+IF(AND(Motore_Operativo!C456&gt;=EDATE(Parametri_v3!$C$24,Ipotesi!J14*12),Motore_Operativo!C456&lt;EDATE(Parametri_v3!$C$24,Parametri_v3!$C$25+Ipotesi!J14*12)),MAX(0,(IF(32-(INT((Ipotesi!$C$91)/30))&lt;1,0,INDEX(Motore_Operativo!$BN$425:$BN$484,MAX(1,32-(INT((Ipotesi!$C$91)/30)))))*(1-(MOD((Ipotesi!$C$91),30)/30))+IF(32-(INT((Ipotesi!$C$91)/30))-1&lt;1,0,INDEX(Motore_Operativo!$BN$425:$BN$484,MAX(1,32-(INT((Ipotesi!$C$91)/30))-1)))*(MOD((Ipotesi!$C$91),30)/30)))*Piano_SS!$D$7,0))</f>
        <v>41058.9230070837</v>
      </c>
      <c r="BX456" s="15" t="n">
        <f aca="false">MIN(Piano_SS!$C$8,(BX455)+IF(AND(Motore_Operativo!C456&gt;=EDATE(Parametri_v3!$C$24,Ipotesi!J14*12),Motore_Operativo!C456&lt;EDATE(Parametri_v3!$C$24,Parametri_v3!$C$25+Ipotesi!J14*12)),MAX(0,Motore_Operativo!CE456)*Piano_SS!$D$8,0))</f>
        <v>50000</v>
      </c>
      <c r="BY456" s="15" t="n">
        <f aca="false">MIN(Piano_SS!$C$9,(BY455)+IF(AND(Motore_Operativo!C456&gt;=EDATE(Parametri_v3!$C$24,Ipotesi!J14*12),Motore_Operativo!C456&lt;EDATE(Parametri_v3!$C$24,Parametri_v3!$C$25+Ipotesi!J14*12)),MAX(0,((IF(32-(INT((Ipotesi!$C$91)/30))&lt;1,0,INDEX(Motore_Operativo!$BQ$425:$BQ$484,MAX(1,32-(INT((Ipotesi!$C$91)/30)))))*(1-(MOD((Ipotesi!$C$91),30)/30))+IF(32-(INT((Ipotesi!$C$91)/30))-1&lt;1,0,INDEX(Motore_Operativo!$BQ$425:$BQ$484,MAX(1,32-(INT((Ipotesi!$C$91)/30))-1)))*(MOD((Ipotesi!$C$91),30)/30))+(IF(32-(INT((Ipotesi!$C$91)/30))&lt;1,0,INDEX(Motore_Operativo!$BR$425:$BR$484,MAX(1,32-(INT((Ipotesi!$C$91)/30)))))*(1-(MOD((Ipotesi!$C$91),30)/30))+IF(32-(INT((Ipotesi!$C$91)/30))-1&lt;1,0,INDEX(Motore_Operativo!$BR$425:$BR$484,MAX(1,32-(INT((Ipotesi!$C$91)/30))-1)))*(MOD((Ipotesi!$C$91),30)/30))))*Piano_SS!$D$9,0))</f>
        <v>40000</v>
      </c>
      <c r="BZ456" s="15" t="n">
        <f aca="false">MIN(Piano_SS!$C$10,(BZ455)+IF(AND(Motore_Operativo!C456&gt;=EDATE(Parametri_v3!$C$24,Ipotesi!J14*12),Motore_Operativo!C456&lt;EDATE(Parametri_v3!$C$24,Parametri_v3!$C$25+Ipotesi!J14*12)),MAX(0,(IF(32-(INT((Ipotesi!$C$91)/30))&lt;1,0,INDEX(Motore_Operativo!$BO$425:$BO$484,MAX(1,32-(INT((Ipotesi!$C$91)/30)))))*(1-(MOD((Ipotesi!$C$91),30)/30))+IF(32-(INT((Ipotesi!$C$91)/30))-1&lt;1,0,INDEX(Motore_Operativo!$BO$425:$BO$484,MAX(1,32-(INT((Ipotesi!$C$91)/30))-1)))*(MOD((Ipotesi!$C$91),30)/30)))*Piano_SS!$D$10,0))</f>
        <v>30000</v>
      </c>
      <c r="CA456" s="15" t="n">
        <f aca="false">SUM(BV456:BZ456)</f>
        <v>461058.923007084</v>
      </c>
      <c r="CB456" s="15" t="n">
        <f aca="false">BV456*(1-Piano_SS!$E$6)+BW456*(1-Piano_SS!$E$7)+BX456*(1-Piano_SS!$E$8)+BY456*(1-Piano_SS!$E$9)+BZ456*(1-Piano_SS!$E$10)</f>
        <v>431058.923007084</v>
      </c>
      <c r="CC456" s="15" t="n">
        <f aca="false">(CC455)+BA456</f>
        <v>368847.138405667</v>
      </c>
      <c r="CD456" s="15" t="n">
        <f aca="false">IF(CA456=0,0,CC456*CB456/CA456*Ipotesi!$C$103*Parametri_v3!$C$64)</f>
        <v>103454.1415217</v>
      </c>
      <c r="CE456" s="18" t="n">
        <f aca="false">IF(BA456&gt;0,Motore_Operativo!C456,(CE455))</f>
        <v>47270</v>
      </c>
      <c r="CF456" s="18" t="n">
        <f aca="false">IF(AND(CC456&gt;0,OR(CC456&gt;=CG456-0.01,Motore_Operativo!C456&gt;=EDATE(MAX(Finanziamenti!$D$15:$D$17),Ipotesi!J14*12))),CE456,0)</f>
        <v>47270</v>
      </c>
      <c r="CG456" s="15" t="n">
        <f aca="false">IF(AND(8&lt;&gt;6,8&lt;&gt;9,Finanziamenti!$F$11=1,OR(Parametri_v3!$C$6=0,Finanziamenti!$E$11=1)),MIN(Finanziamenti!$C$11,Piano_SS!$C$12*Ipotesi!$C$102),0)</f>
        <v>400000</v>
      </c>
      <c r="CH456" s="15" t="n">
        <f aca="false">IF(AND(AND(8&lt;&gt;8,8&lt;&gt;9,Finanziamenti!$F$10=1,OR(Parametri_v3!$C$6=0,Finanziamenti!$E$10=1)),Motore_Operativo!C456&gt;=Finanziamenti!$D$10,Motore_Operativo!C456&lt;Parametri_v3!$C$63),Finanziamenti!$C$10,0)</f>
        <v>0</v>
      </c>
    </row>
    <row r="457" customFormat="false" ht="18" hidden="false" customHeight="true" outlineLevel="0" collapsed="false">
      <c r="A457" s="68" t="n">
        <f aca="false">8</f>
        <v>8</v>
      </c>
      <c r="B457" s="68" t="n">
        <f aca="false">33</f>
        <v>33</v>
      </c>
      <c r="C457" s="18" t="n">
        <f aca="false">Motore_Operativo!C457</f>
        <v>47362</v>
      </c>
      <c r="D457" s="68" t="n">
        <f aca="false">Motore_Operativo!D457</f>
        <v>2029</v>
      </c>
      <c r="E457" s="68" t="n">
        <f aca="false">Motore_Operativo!E457</f>
        <v>9</v>
      </c>
      <c r="F457" s="15" t="n">
        <f aca="false">Motore_Operativo!AQ457+Motore_Operativo!BF457</f>
        <v>73185.5321114401</v>
      </c>
      <c r="G457" s="15" t="n">
        <f aca="false">Motore_Operativo!BH457</f>
        <v>6050</v>
      </c>
      <c r="H457" s="15" t="n">
        <f aca="false">Motore_Operativo!BI457</f>
        <v>79235.5321114401</v>
      </c>
      <c r="I457" s="15" t="n">
        <f aca="false">Motore_Operativo!CA457</f>
        <v>117580.307828935</v>
      </c>
      <c r="J457" s="15" t="n">
        <f aca="false">Motore_Operativo!CC457</f>
        <v>-38344.7757174948</v>
      </c>
      <c r="K457" s="15" t="n">
        <f aca="false">Motore_Operativo!CE457</f>
        <v>2500</v>
      </c>
      <c r="L457" s="15" t="n">
        <f aca="false">SUM(INDEX($K$425:$K$484,MAX(1,33-Parametri_v3!$C$59+1)):K457)/Parametri_v3!$C$59</f>
        <v>1875</v>
      </c>
      <c r="M457" s="15" t="n">
        <f aca="false">J457-L457</f>
        <v>-40219.7757174948</v>
      </c>
      <c r="N457" s="15" t="n">
        <f aca="false">CD457-(CD456)</f>
        <v>0</v>
      </c>
      <c r="O457" s="15" t="n">
        <f aca="false">(BG456)*Ipotesi!$C$110/12+CH457*Parametri_v3!$C$39/12</f>
        <v>0</v>
      </c>
      <c r="P457" s="15" t="n">
        <f aca="false">M457+N457-O457</f>
        <v>-40219.7757174948</v>
      </c>
      <c r="Q457" s="15" t="n">
        <f aca="false">SUM(P449:P457)+Parametri_v3!$C$54*9/12</f>
        <v>-396625.472720799</v>
      </c>
      <c r="R457" s="15" t="n">
        <f aca="false">Z448</f>
        <v>492856.017960598</v>
      </c>
      <c r="S457" s="15" t="n">
        <f aca="false">AA448</f>
        <v>0</v>
      </c>
      <c r="T457" s="15" t="n">
        <f aca="false">MIN(R457,MAX(0,Q457))</f>
        <v>0</v>
      </c>
      <c r="U457" s="15" t="n">
        <f aca="false">MIN(S457,MAX(0,Q457-T457)*Parametri_v3!$C$42)</f>
        <v>0</v>
      </c>
      <c r="V457" s="15" t="n">
        <f aca="false">MAX(0,Q457-T457-U457)*Ipotesi!$C$92</f>
        <v>0</v>
      </c>
      <c r="W457" s="15" t="n">
        <f aca="false">MAX(0,SUM(M449:M457)+Parametri_v3!$C$55*9/12)*Ipotesi!$C$93</f>
        <v>0</v>
      </c>
      <c r="X457" s="15" t="n">
        <f aca="false">V457+W457-(V456+W456)</f>
        <v>0</v>
      </c>
      <c r="Y457" s="15" t="n">
        <f aca="false">P457-X457</f>
        <v>-40219.7757174948</v>
      </c>
      <c r="Z457" s="15" t="n">
        <f aca="false">R457-T457+IF(AND(Parametri_v3!$C$40=1,D457-YEAR(Parametri_v3!$C$50)&lt;Parametri_v3!$C$41),MAX(0,-Q457),0)</f>
        <v>889481.490681398</v>
      </c>
      <c r="AA457" s="15" t="n">
        <f aca="false">S457-U457+IF(AND(Parametri_v3!$C$40=1,D457-YEAR(Parametri_v3!$C$50)&lt;Parametri_v3!$C$41),0,MAX(0,-Q457))</f>
        <v>0</v>
      </c>
      <c r="AB457" s="15" t="n">
        <f aca="false">F457*(1+Parametri_v3!$C$26)</f>
        <v>89286.349175957</v>
      </c>
      <c r="AC457" s="15" t="n">
        <f aca="false">(IF(33-(INT((Motore_Operativo!L457)/30))&lt;1,0,INDEX(Motore_Startup!$AB$425:$AB$484,MAX(1,33-(INT((Motore_Operativo!L457)/30)))))*(1-(MOD((Motore_Operativo!L457),30)/30))+IF(33-(INT((Motore_Operativo!L457)/30))-1&lt;1,0,INDEX(Motore_Startup!$AB$425:$AB$484,MAX(1,33-(INT((Motore_Operativo!L457)/30))-1)))*(MOD((Motore_Operativo!L457),30)/30))</f>
        <v>79680.029727952</v>
      </c>
      <c r="AD457" s="15" t="n">
        <f aca="false">(AD456)+AB457-AC457</f>
        <v>258308.956622468</v>
      </c>
      <c r="AE457" s="15" t="n">
        <f aca="false">Motore_Operativo!BH457*(1+Parametri_v3!$C$26)</f>
        <v>7381</v>
      </c>
      <c r="AF457" s="15" t="n">
        <f aca="false">(IF(33-(INT((Parametri_v3!$C$29)/30))&lt;1,0,INDEX(Motore_Operativo!$BH$425:$BH$484,MAX(1,33-(INT((Parametri_v3!$C$29)/30)))))*(1-(MOD((Parametri_v3!$C$29),30)/30))+IF(33-(INT((Parametri_v3!$C$29)/30))-1&lt;1,0,INDEX(Motore_Operativo!$BH$425:$BH$484,MAX(1,33-(INT((Parametri_v3!$C$29)/30))-1)))*(MOD((Parametri_v3!$C$29),30)/30))*(1+Parametri_v3!$C$26)</f>
        <v>7381</v>
      </c>
      <c r="AG457" s="15" t="n">
        <f aca="false">(AG456)+AE457-AF457</f>
        <v>7381</v>
      </c>
      <c r="AH457" s="15" t="n">
        <f aca="false">(Motore_Operativo!CJ457)*(1+Parametri_v3!$C$27*Parametri_v3!$C$26)</f>
        <v>51404.9830596125</v>
      </c>
      <c r="AI457" s="15" t="n">
        <f aca="false">(IF(33-(INT((Ipotesi!$C$91)/30))&lt;1,0,INDEX(Motore_Startup!$AH$425:$AH$484,MAX(1,33-(INT((Ipotesi!$C$91)/30)))))*(1-(MOD((Ipotesi!$C$91),30)/30))+IF(33-(INT((Ipotesi!$C$91)/30))-1&lt;1,0,INDEX(Motore_Startup!$AH$425:$AH$484,MAX(1,33-(INT((Ipotesi!$C$91)/30))-1)))*(MOD((Ipotesi!$C$91),30)/30))</f>
        <v>50536.4804003922</v>
      </c>
      <c r="AJ457" s="15" t="n">
        <f aca="false">(AJ456)+AH457-AI457</f>
        <v>102377.621150035</v>
      </c>
      <c r="AK457" s="15" t="n">
        <f aca="false">(F457+ Motore_Operativo!BH457-(Motore_Operativo!CJ457)*Parametri_v3!$C$27-Motore_Operativo!CE457)*Parametri_v3!$C$26</f>
        <v>8783.47516717266</v>
      </c>
      <c r="AL457" s="15" t="n">
        <f aca="false">MAX(0,(AM456))</f>
        <v>8279.22013089684</v>
      </c>
      <c r="AM457" s="15" t="n">
        <f aca="false">(AM456)+AK457-AL457</f>
        <v>8783.47516717266</v>
      </c>
      <c r="AN457" s="15" t="n">
        <f aca="false">SUM(X437:X448)</f>
        <v>0</v>
      </c>
      <c r="AO457" s="15" t="n">
        <f aca="false">SUM(AP437:AP448)</f>
        <v>0</v>
      </c>
      <c r="AP457" s="15" t="n">
        <f aca="false">MAX(0,AN457)*IF(9=Parametri_v3!$C$43,Parametri_v3!$C$45,IF(9=Parametri_v3!$C$44,1-Parametri_v3!$C$45,0))</f>
        <v>0</v>
      </c>
      <c r="AQ457" s="15" t="n">
        <f aca="false">MAX(0,AP457+IF(9=Parametri_v3!$C$43,MAX(0,AN457-AO457),0)-MAX(0,-(AR456)))</f>
        <v>0</v>
      </c>
      <c r="AR457" s="15" t="n">
        <f aca="false">(AR456)+X457-AQ457</f>
        <v>0</v>
      </c>
      <c r="AS457" s="15" t="n">
        <f aca="false">Motore_Operativo!AB457-AT457+AU457</f>
        <v>70559.9833333333</v>
      </c>
      <c r="AT457" s="15" t="n">
        <f aca="false">Motore_Operativo!CH457</f>
        <v>3713.68333333333</v>
      </c>
      <c r="AU457" s="15" t="n">
        <f aca="false">MIN(MAX(0,(AV456)+AT457),Parametri_v3!$C$60/12)</f>
        <v>0</v>
      </c>
      <c r="AV457" s="15" t="n">
        <f aca="false">(AV456)+AT457-AU457</f>
        <v>68030.65</v>
      </c>
      <c r="AW457" s="15" t="n">
        <f aca="false">IF(AND(Motore_Operativo!C457=Finanziamenti!$D$6,Finanziamenti!$F$6=1),Finanziamenti!$C$6,0)</f>
        <v>0</v>
      </c>
      <c r="AX457" s="15" t="n">
        <f aca="false">IF(AND(8&lt;&gt;7,8&lt;&gt;9,Finanziamenti!$F$8=1,OR(Parametri_v3!$C$6=0,Finanziamenti!$E$8=1),Motore_Operativo!C457=EDATE(Finanziamenti!$D$8,Ipotesi!J15*12)),Finanziamenti!$C$8*1,0)+IF(AND(8&lt;&gt;7,8&lt;&gt;9,Finanziamenti!$F$9=1,OR(Parametri_v3!$C$6=0,Finanziamenti!$E$9=1),Motore_Operativo!C457=EDATE(Finanziamenti!$D$9,Ipotesi!J15*12)),Finanziamenti!$C$9*Ipotesi!J16,0)</f>
        <v>0</v>
      </c>
      <c r="AY457" s="15" t="n">
        <f aca="false">0</f>
        <v>0</v>
      </c>
      <c r="AZ457" s="15" t="n">
        <f aca="false">Motore_Advisory!AY457*(1-Ipotesi!$C$95)*Ipotesi!$C$96</f>
        <v>0</v>
      </c>
      <c r="BA457" s="15" t="n">
        <f aca="false">MAX(0,MIN(CG457*MIN(1,IF(Motore_Operativo!C457&gt;=EDATE(Finanziamenti!$D$15,Ipotesi!J14*12),Finanziamenti!$C$15,0)+IF(Motore_Operativo!C457&gt;=EDATE(Finanziamenti!$D$16,Ipotesi!J14*12),Finanziamenti!$C$16,0)+IF(Motore_Operativo!C457&gt;=EDATE(Finanziamenti!$D$17,Ipotesi!J14*12),Finanziamenti!$C$17,0)),CA457*Ipotesi!$C$102)-(CC456))</f>
        <v>0</v>
      </c>
      <c r="BB457" s="15" t="n">
        <f aca="false">IF(AND(CF457&gt;0,Motore_Operativo!C457&gt;=IF(CF457=0,0,EDATE(CF457,Parametri_v3!$C$37)),MOD(((D457-YEAR(IF(CF457=0,0,EDATE(CF457,Parametri_v3!$C$37))))*12+E457-MONTH(IF(CF457=0,0,EDATE(CF457,Parametri_v3!$C$37)))),Parametri_v3!$C$38)=0),MIN(MAX(0,(BC456)+BA457-N457),(CC457-CD457)/(Ipotesi!$C$108*12/Parametri_v3!$C$38)),0)</f>
        <v>0</v>
      </c>
      <c r="BC457" s="15" t="n">
        <f aca="false">(BC456)+BA457-N457-BB457</f>
        <v>265392.996883967</v>
      </c>
      <c r="BD457" s="15" t="n">
        <f aca="false">(BH456)+AC457+AF457-AI457-AS457-K457*(1+Parametri_v3!$C$26)-AL457-AQ457-O457+AW457+AX457+AZ457+BA457-BB457</f>
        <v>581079.962563976</v>
      </c>
      <c r="BE457" s="15" t="n">
        <f aca="false">MAX(0,MIN(MAX(0,CH457-(BG456)),Parametri_v3!$C$30-BD457))</f>
        <v>0</v>
      </c>
      <c r="BF457" s="15" t="n">
        <f aca="false">IF(Motore_Operativo!C457&gt;=Parametri_v3!$C$63,(BG456),MIN((BG456),MAX(0,BD457-Parametri_v3!$C$30)))</f>
        <v>0</v>
      </c>
      <c r="BG457" s="15" t="n">
        <f aca="false">(BG456)+BE457-BF457</f>
        <v>0</v>
      </c>
      <c r="BH457" s="15" t="n">
        <f aca="false">BD457+BE457-BF457-AY457</f>
        <v>581079.962563976</v>
      </c>
      <c r="BI457" s="15" t="n">
        <f aca="false">MAX(0,Parametri_v3!$C$30-BH457)</f>
        <v>0</v>
      </c>
      <c r="BJ457" s="15" t="n">
        <f aca="false">(BJ456)+K457</f>
        <v>67500</v>
      </c>
      <c r="BK457" s="15" t="n">
        <f aca="false">(BK456)+L457</f>
        <v>29166.6666666667</v>
      </c>
      <c r="BL457" s="15" t="n">
        <f aca="false">BJ457-BK457</f>
        <v>38333.3333333333</v>
      </c>
      <c r="BM457" s="15" t="n">
        <f aca="false">(BM456)+Y457</f>
        <v>-889481.490681398</v>
      </c>
      <c r="BN457" s="15" t="n">
        <f aca="false">(BN456)+AW457+AX457+AZ457</f>
        <v>1330000</v>
      </c>
      <c r="BO457" s="15" t="n">
        <f aca="false">(BO456)+AY457</f>
        <v>0</v>
      </c>
      <c r="BP457" s="15" t="n">
        <f aca="false">0</f>
        <v>0</v>
      </c>
      <c r="BQ457" s="15" t="n">
        <f aca="false">BN457+BM457-BO457</f>
        <v>440518.509318603</v>
      </c>
      <c r="BR457" s="15" t="n">
        <f aca="false">BH457+AD457+BL457+MAX(0,-AM457)+MAX(0,-AR457)+AG457</f>
        <v>885103.252519777</v>
      </c>
      <c r="BS457" s="15" t="n">
        <f aca="false">AJ457+AV457+MAX(0,AM457)+MAX(0,AR457)+BC457+BG457+BQ457</f>
        <v>885103.252519778</v>
      </c>
      <c r="BT457" s="15" t="n">
        <f aca="false">BR457-BS457</f>
        <v>0</v>
      </c>
      <c r="BU457" s="15" t="n">
        <f aca="false">BH457-(BD457+BE457-BF457-AY457)</f>
        <v>0</v>
      </c>
      <c r="BV457" s="15" t="n">
        <f aca="false">MIN(Piano_SS!$C$6,(BV456)+IF(AND(Motore_Operativo!C457&gt;=EDATE(Parametri_v3!$C$24,Ipotesi!J14*12),Motore_Operativo!C457&lt;EDATE(Parametri_v3!$C$24,Parametri_v3!$C$25+Ipotesi!J14*12)),MAX(0,(Motore_Operativo!Y457+Motore_Operativo!X457*Parametri_v3!$C$14)*(1-Parametri_v3!$C$32))*Piano_SS!$D$6,0))</f>
        <v>300000</v>
      </c>
      <c r="BW457" s="15" t="n">
        <f aca="false">MIN(Piano_SS!$C$7,(BW456)+IF(AND(Motore_Operativo!C457&gt;=EDATE(Parametri_v3!$C$24,Ipotesi!J14*12),Motore_Operativo!C457&lt;EDATE(Parametri_v3!$C$24,Parametri_v3!$C$25+Ipotesi!J14*12)),MAX(0,(IF(33-(INT((Ipotesi!$C$91)/30))&lt;1,0,INDEX(Motore_Operativo!$BN$425:$BN$484,MAX(1,33-(INT((Ipotesi!$C$91)/30)))))*(1-(MOD((Ipotesi!$C$91),30)/30))+IF(33-(INT((Ipotesi!$C$91)/30))-1&lt;1,0,INDEX(Motore_Operativo!$BN$425:$BN$484,MAX(1,33-(INT((Ipotesi!$C$91)/30))-1)))*(MOD((Ipotesi!$C$91),30)/30)))*Piano_SS!$D$7,0))</f>
        <v>41058.9230070837</v>
      </c>
      <c r="BX457" s="15" t="n">
        <f aca="false">MIN(Piano_SS!$C$8,(BX456)+IF(AND(Motore_Operativo!C457&gt;=EDATE(Parametri_v3!$C$24,Ipotesi!J14*12),Motore_Operativo!C457&lt;EDATE(Parametri_v3!$C$24,Parametri_v3!$C$25+Ipotesi!J14*12)),MAX(0,Motore_Operativo!CE457)*Piano_SS!$D$8,0))</f>
        <v>50000</v>
      </c>
      <c r="BY457" s="15" t="n">
        <f aca="false">MIN(Piano_SS!$C$9,(BY456)+IF(AND(Motore_Operativo!C457&gt;=EDATE(Parametri_v3!$C$24,Ipotesi!J14*12),Motore_Operativo!C457&lt;EDATE(Parametri_v3!$C$24,Parametri_v3!$C$25+Ipotesi!J14*12)),MAX(0,((IF(33-(INT((Ipotesi!$C$91)/30))&lt;1,0,INDEX(Motore_Operativo!$BQ$425:$BQ$484,MAX(1,33-(INT((Ipotesi!$C$91)/30)))))*(1-(MOD((Ipotesi!$C$91),30)/30))+IF(33-(INT((Ipotesi!$C$91)/30))-1&lt;1,0,INDEX(Motore_Operativo!$BQ$425:$BQ$484,MAX(1,33-(INT((Ipotesi!$C$91)/30))-1)))*(MOD((Ipotesi!$C$91),30)/30))+(IF(33-(INT((Ipotesi!$C$91)/30))&lt;1,0,INDEX(Motore_Operativo!$BR$425:$BR$484,MAX(1,33-(INT((Ipotesi!$C$91)/30)))))*(1-(MOD((Ipotesi!$C$91),30)/30))+IF(33-(INT((Ipotesi!$C$91)/30))-1&lt;1,0,INDEX(Motore_Operativo!$BR$425:$BR$484,MAX(1,33-(INT((Ipotesi!$C$91)/30))-1)))*(MOD((Ipotesi!$C$91),30)/30))))*Piano_SS!$D$9,0))</f>
        <v>40000</v>
      </c>
      <c r="BZ457" s="15" t="n">
        <f aca="false">MIN(Piano_SS!$C$10,(BZ456)+IF(AND(Motore_Operativo!C457&gt;=EDATE(Parametri_v3!$C$24,Ipotesi!J14*12),Motore_Operativo!C457&lt;EDATE(Parametri_v3!$C$24,Parametri_v3!$C$25+Ipotesi!J14*12)),MAX(0,(IF(33-(INT((Ipotesi!$C$91)/30))&lt;1,0,INDEX(Motore_Operativo!$BO$425:$BO$484,MAX(1,33-(INT((Ipotesi!$C$91)/30)))))*(1-(MOD((Ipotesi!$C$91),30)/30))+IF(33-(INT((Ipotesi!$C$91)/30))-1&lt;1,0,INDEX(Motore_Operativo!$BO$425:$BO$484,MAX(1,33-(INT((Ipotesi!$C$91)/30))-1)))*(MOD((Ipotesi!$C$91),30)/30)))*Piano_SS!$D$10,0))</f>
        <v>30000</v>
      </c>
      <c r="CA457" s="15" t="n">
        <f aca="false">SUM(BV457:BZ457)</f>
        <v>461058.923007084</v>
      </c>
      <c r="CB457" s="15" t="n">
        <f aca="false">BV457*(1-Piano_SS!$E$6)+BW457*(1-Piano_SS!$E$7)+BX457*(1-Piano_SS!$E$8)+BY457*(1-Piano_SS!$E$9)+BZ457*(1-Piano_SS!$E$10)</f>
        <v>431058.923007084</v>
      </c>
      <c r="CC457" s="15" t="n">
        <f aca="false">(CC456)+BA457</f>
        <v>368847.138405667</v>
      </c>
      <c r="CD457" s="15" t="n">
        <f aca="false">IF(CA457=0,0,CC457*CB457/CA457*Ipotesi!$C$103*Parametri_v3!$C$64)</f>
        <v>103454.1415217</v>
      </c>
      <c r="CE457" s="18" t="n">
        <f aca="false">IF(BA457&gt;0,Motore_Operativo!C457,(CE456))</f>
        <v>47270</v>
      </c>
      <c r="CF457" s="18" t="n">
        <f aca="false">IF(AND(CC457&gt;0,OR(CC457&gt;=CG457-0.01,Motore_Operativo!C457&gt;=EDATE(MAX(Finanziamenti!$D$15:$D$17),Ipotesi!J14*12))),CE457,0)</f>
        <v>47270</v>
      </c>
      <c r="CG457" s="15" t="n">
        <f aca="false">IF(AND(8&lt;&gt;6,8&lt;&gt;9,Finanziamenti!$F$11=1,OR(Parametri_v3!$C$6=0,Finanziamenti!$E$11=1)),MIN(Finanziamenti!$C$11,Piano_SS!$C$12*Ipotesi!$C$102),0)</f>
        <v>400000</v>
      </c>
      <c r="CH457" s="15" t="n">
        <f aca="false">IF(AND(AND(8&lt;&gt;8,8&lt;&gt;9,Finanziamenti!$F$10=1,OR(Parametri_v3!$C$6=0,Finanziamenti!$E$10=1)),Motore_Operativo!C457&gt;=Finanziamenti!$D$10,Motore_Operativo!C457&lt;Parametri_v3!$C$63),Finanziamenti!$C$10,0)</f>
        <v>0</v>
      </c>
    </row>
    <row r="458" customFormat="false" ht="18" hidden="false" customHeight="true" outlineLevel="0" collapsed="false">
      <c r="A458" s="68" t="n">
        <f aca="false">8</f>
        <v>8</v>
      </c>
      <c r="B458" s="68" t="n">
        <f aca="false">34</f>
        <v>34</v>
      </c>
      <c r="C458" s="18" t="n">
        <f aca="false">Motore_Operativo!C458</f>
        <v>47392</v>
      </c>
      <c r="D458" s="68" t="n">
        <f aca="false">Motore_Operativo!D458</f>
        <v>2029</v>
      </c>
      <c r="E458" s="68" t="n">
        <f aca="false">Motore_Operativo!E458</f>
        <v>10</v>
      </c>
      <c r="F458" s="15" t="n">
        <f aca="false">Motore_Operativo!AQ458+Motore_Operativo!BF458</f>
        <v>75764.4560353218</v>
      </c>
      <c r="G458" s="15" t="n">
        <f aca="false">Motore_Operativo!BH458</f>
        <v>6050</v>
      </c>
      <c r="H458" s="15" t="n">
        <f aca="false">Motore_Operativo!BI458</f>
        <v>81814.4560353218</v>
      </c>
      <c r="I458" s="15" t="n">
        <f aca="false">Motore_Operativo!CA458</f>
        <v>117941.357178278</v>
      </c>
      <c r="J458" s="15" t="n">
        <f aca="false">Motore_Operativo!CC458</f>
        <v>-36126.9011429566</v>
      </c>
      <c r="K458" s="15" t="n">
        <f aca="false">Motore_Operativo!CE458</f>
        <v>2500</v>
      </c>
      <c r="L458" s="15" t="n">
        <f aca="false">SUM(INDEX($K$425:$K$484,MAX(1,34-Parametri_v3!$C$59+1)):K458)/Parametri_v3!$C$59</f>
        <v>1944.44444444444</v>
      </c>
      <c r="M458" s="15" t="n">
        <f aca="false">J458-L458</f>
        <v>-38071.345587401</v>
      </c>
      <c r="N458" s="15" t="n">
        <f aca="false">CD458-(CD457)</f>
        <v>0</v>
      </c>
      <c r="O458" s="15" t="n">
        <f aca="false">(BG457)*Ipotesi!$C$110/12+CH458*Parametri_v3!$C$39/12</f>
        <v>0</v>
      </c>
      <c r="P458" s="15" t="n">
        <f aca="false">M458+N458-O458</f>
        <v>-38071.345587401</v>
      </c>
      <c r="Q458" s="15" t="n">
        <f aca="false">SUM(P449:P458)+Parametri_v3!$C$54*10/12</f>
        <v>-434696.8183082</v>
      </c>
      <c r="R458" s="15" t="n">
        <f aca="false">Z448</f>
        <v>492856.017960598</v>
      </c>
      <c r="S458" s="15" t="n">
        <f aca="false">AA448</f>
        <v>0</v>
      </c>
      <c r="T458" s="15" t="n">
        <f aca="false">MIN(R458,MAX(0,Q458))</f>
        <v>0</v>
      </c>
      <c r="U458" s="15" t="n">
        <f aca="false">MIN(S458,MAX(0,Q458-T458)*Parametri_v3!$C$42)</f>
        <v>0</v>
      </c>
      <c r="V458" s="15" t="n">
        <f aca="false">MAX(0,Q458-T458-U458)*Ipotesi!$C$92</f>
        <v>0</v>
      </c>
      <c r="W458" s="15" t="n">
        <f aca="false">MAX(0,SUM(M449:M458)+Parametri_v3!$C$55*10/12)*Ipotesi!$C$93</f>
        <v>0</v>
      </c>
      <c r="X458" s="15" t="n">
        <f aca="false">V458+W458-(V457+W457)</f>
        <v>0</v>
      </c>
      <c r="Y458" s="15" t="n">
        <f aca="false">P458-X458</f>
        <v>-38071.345587401</v>
      </c>
      <c r="Z458" s="15" t="n">
        <f aca="false">R458-T458+IF(AND(Parametri_v3!$C$40=1,D458-YEAR(Parametri_v3!$C$50)&lt;Parametri_v3!$C$41),MAX(0,-Q458),0)</f>
        <v>927552.836268799</v>
      </c>
      <c r="AA458" s="15" t="n">
        <f aca="false">S458-U458+IF(AND(Parametri_v3!$C$40=1,D458-YEAR(Parametri_v3!$C$50)&lt;Parametri_v3!$C$41),0,MAX(0,-Q458))</f>
        <v>0</v>
      </c>
      <c r="AB458" s="15" t="n">
        <f aca="false">F458*(1+Parametri_v3!$C$26)</f>
        <v>92432.6363630927</v>
      </c>
      <c r="AC458" s="15" t="n">
        <f aca="false">(IF(34-(INT((Motore_Operativo!L458)/30))&lt;1,0,INDEX(Motore_Startup!$AB$425:$AB$484,MAX(1,34-(INT((Motore_Operativo!L458)/30)))))*(1-(MOD((Motore_Operativo!L458),30)/30))+IF(34-(INT((Motore_Operativo!L458)/30))-1&lt;1,0,INDEX(Motore_Startup!$AB$425:$AB$484,MAX(1,34-(INT((Motore_Operativo!L458)/30))-1)))*(MOD((Motore_Operativo!L458),30)/30))</f>
        <v>82910.2916224086</v>
      </c>
      <c r="AD458" s="15" t="n">
        <f aca="false">(AD457)+AB458-AC458</f>
        <v>267831.301363152</v>
      </c>
      <c r="AE458" s="15" t="n">
        <f aca="false">Motore_Operativo!BH458*(1+Parametri_v3!$C$26)</f>
        <v>7381</v>
      </c>
      <c r="AF458" s="15" t="n">
        <f aca="false">(IF(34-(INT((Parametri_v3!$C$29)/30))&lt;1,0,INDEX(Motore_Operativo!$BH$425:$BH$484,MAX(1,34-(INT((Parametri_v3!$C$29)/30)))))*(1-(MOD((Parametri_v3!$C$29),30)/30))+IF(34-(INT((Parametri_v3!$C$29)/30))-1&lt;1,0,INDEX(Motore_Operativo!$BH$425:$BH$484,MAX(1,34-(INT((Parametri_v3!$C$29)/30))-1)))*(MOD((Parametri_v3!$C$29),30)/30))*(1+Parametri_v3!$C$26)</f>
        <v>7381</v>
      </c>
      <c r="AG458" s="15" t="n">
        <f aca="false">(AG457)+AE458-AF458</f>
        <v>7381</v>
      </c>
      <c r="AH458" s="15" t="n">
        <f aca="false">(Motore_Operativo!CJ458)*(1+Parametri_v3!$C$27*Parametri_v3!$C$26)</f>
        <v>51833.5486372831</v>
      </c>
      <c r="AI458" s="15" t="n">
        <f aca="false">(IF(34-(INT((Ipotesi!$C$91)/30))&lt;1,0,INDEX(Motore_Startup!$AH$425:$AH$484,MAX(1,34-(INT((Ipotesi!$C$91)/30)))))*(1-(MOD((Ipotesi!$C$91),30)/30))+IF(34-(INT((Ipotesi!$C$91)/30))-1&lt;1,0,INDEX(Motore_Startup!$AH$425:$AH$484,MAX(1,34-(INT((Ipotesi!$C$91)/30))-1)))*(MOD((Ipotesi!$C$91),30)/30))</f>
        <v>50972.6380904229</v>
      </c>
      <c r="AJ458" s="15" t="n">
        <f aca="false">(AJ457)+AH458-AI458</f>
        <v>103238.531696896</v>
      </c>
      <c r="AK458" s="15" t="n">
        <f aca="false">(F458+ Motore_Operativo!BH458-(Motore_Operativo!CJ458)*Parametri_v3!$C$27-Motore_Operativo!CE458)*Parametri_v3!$C$26</f>
        <v>9283.32220209941</v>
      </c>
      <c r="AL458" s="15" t="n">
        <f aca="false">MAX(0,(AM457))</f>
        <v>8783.47516717266</v>
      </c>
      <c r="AM458" s="15" t="n">
        <f aca="false">(AM457)+AK458-AL458</f>
        <v>9283.32220209941</v>
      </c>
      <c r="AN458" s="15" t="n">
        <f aca="false">SUM(X437:X448)</f>
        <v>0</v>
      </c>
      <c r="AO458" s="15" t="n">
        <f aca="false">SUM(AP437:AP448)</f>
        <v>0</v>
      </c>
      <c r="AP458" s="15" t="n">
        <f aca="false">MAX(0,AN458)*IF(10=Parametri_v3!$C$43,Parametri_v3!$C$45,IF(10=Parametri_v3!$C$44,1-Parametri_v3!$C$45,0))</f>
        <v>0</v>
      </c>
      <c r="AQ458" s="15" t="n">
        <f aca="false">MAX(0,AP458+IF(10=Parametri_v3!$C$43,MAX(0,AN458-AO458),0)-MAX(0,-(AR457)))</f>
        <v>0</v>
      </c>
      <c r="AR458" s="15" t="n">
        <f aca="false">(AR457)+X458-AQ458</f>
        <v>0</v>
      </c>
      <c r="AS458" s="15" t="n">
        <f aca="false">Motore_Operativo!AB458-AT458+AU458</f>
        <v>70559.9833333333</v>
      </c>
      <c r="AT458" s="15" t="n">
        <f aca="false">Motore_Operativo!CH458</f>
        <v>3713.68333333333</v>
      </c>
      <c r="AU458" s="15" t="n">
        <f aca="false">MIN(MAX(0,(AV457)+AT458),Parametri_v3!$C$60/12)</f>
        <v>0</v>
      </c>
      <c r="AV458" s="15" t="n">
        <f aca="false">(AV457)+AT458-AU458</f>
        <v>71744.3333333333</v>
      </c>
      <c r="AW458" s="15" t="n">
        <f aca="false">IF(AND(Motore_Operativo!C458=Finanziamenti!$D$6,Finanziamenti!$F$6=1),Finanziamenti!$C$6,0)</f>
        <v>0</v>
      </c>
      <c r="AX458" s="15" t="n">
        <f aca="false">IF(AND(8&lt;&gt;7,8&lt;&gt;9,Finanziamenti!$F$8=1,OR(Parametri_v3!$C$6=0,Finanziamenti!$E$8=1),Motore_Operativo!C458=EDATE(Finanziamenti!$D$8,Ipotesi!J15*12)),Finanziamenti!$C$8*1,0)+IF(AND(8&lt;&gt;7,8&lt;&gt;9,Finanziamenti!$F$9=1,OR(Parametri_v3!$C$6=0,Finanziamenti!$E$9=1),Motore_Operativo!C458=EDATE(Finanziamenti!$D$9,Ipotesi!J15*12)),Finanziamenti!$C$9*Ipotesi!J16,0)</f>
        <v>0</v>
      </c>
      <c r="AY458" s="15" t="n">
        <f aca="false">0</f>
        <v>0</v>
      </c>
      <c r="AZ458" s="15" t="n">
        <f aca="false">Motore_Advisory!AY458*(1-Ipotesi!$C$95)*Ipotesi!$C$96</f>
        <v>0</v>
      </c>
      <c r="BA458" s="15" t="n">
        <f aca="false">MAX(0,MIN(CG458*MIN(1,IF(Motore_Operativo!C458&gt;=EDATE(Finanziamenti!$D$15,Ipotesi!J14*12),Finanziamenti!$C$15,0)+IF(Motore_Operativo!C458&gt;=EDATE(Finanziamenti!$D$16,Ipotesi!J14*12),Finanziamenti!$C$16,0)+IF(Motore_Operativo!C458&gt;=EDATE(Finanziamenti!$D$17,Ipotesi!J14*12),Finanziamenti!$C$17,0)),CA458*Ipotesi!$C$102)-(CC457))</f>
        <v>0</v>
      </c>
      <c r="BB458" s="15" t="n">
        <f aca="false">IF(AND(CF458&gt;0,Motore_Operativo!C458&gt;=IF(CF458=0,0,EDATE(CF458,Parametri_v3!$C$37)),MOD(((D458-YEAR(IF(CF458=0,0,EDATE(CF458,Parametri_v3!$C$37))))*12+E458-MONTH(IF(CF458=0,0,EDATE(CF458,Parametri_v3!$C$37)))),Parametri_v3!$C$38)=0),MIN(MAX(0,(BC457)+BA458-N458),(CC458-CD458)/(Ipotesi!$C$108*12/Parametri_v3!$C$38)),0)</f>
        <v>0</v>
      </c>
      <c r="BC458" s="15" t="n">
        <f aca="false">(BC457)+BA458-N458-BB458</f>
        <v>265392.996883967</v>
      </c>
      <c r="BD458" s="15" t="n">
        <f aca="false">(BH457)+AC458+AF458-AI458-AS458-K458*(1+Parametri_v3!$C$26)-AL458-AQ458-O458+AW458+AX458+AZ458+BA458-BB458</f>
        <v>538005.157595456</v>
      </c>
      <c r="BE458" s="15" t="n">
        <f aca="false">MAX(0,MIN(MAX(0,CH458-(BG457)),Parametri_v3!$C$30-BD458))</f>
        <v>0</v>
      </c>
      <c r="BF458" s="15" t="n">
        <f aca="false">IF(Motore_Operativo!C458&gt;=Parametri_v3!$C$63,(BG457),MIN((BG457),MAX(0,BD458-Parametri_v3!$C$30)))</f>
        <v>0</v>
      </c>
      <c r="BG458" s="15" t="n">
        <f aca="false">(BG457)+BE458-BF458</f>
        <v>0</v>
      </c>
      <c r="BH458" s="15" t="n">
        <f aca="false">BD458+BE458-BF458-AY458</f>
        <v>538005.157595456</v>
      </c>
      <c r="BI458" s="15" t="n">
        <f aca="false">MAX(0,Parametri_v3!$C$30-BH458)</f>
        <v>0</v>
      </c>
      <c r="BJ458" s="15" t="n">
        <f aca="false">(BJ457)+K458</f>
        <v>70000</v>
      </c>
      <c r="BK458" s="15" t="n">
        <f aca="false">(BK457)+L458</f>
        <v>31111.1111111111</v>
      </c>
      <c r="BL458" s="15" t="n">
        <f aca="false">BJ458-BK458</f>
        <v>38888.8888888889</v>
      </c>
      <c r="BM458" s="15" t="n">
        <f aca="false">(BM457)+Y458</f>
        <v>-927552.836268798</v>
      </c>
      <c r="BN458" s="15" t="n">
        <f aca="false">(BN457)+AW458+AX458+AZ458</f>
        <v>1330000</v>
      </c>
      <c r="BO458" s="15" t="n">
        <f aca="false">(BO457)+AY458</f>
        <v>0</v>
      </c>
      <c r="BP458" s="15" t="n">
        <f aca="false">0</f>
        <v>0</v>
      </c>
      <c r="BQ458" s="15" t="n">
        <f aca="false">BN458+BM458-BO458</f>
        <v>402447.163731202</v>
      </c>
      <c r="BR458" s="15" t="n">
        <f aca="false">BH458+AD458+BL458+MAX(0,-AM458)+MAX(0,-AR458)+AG458</f>
        <v>852106.347847496</v>
      </c>
      <c r="BS458" s="15" t="n">
        <f aca="false">AJ458+AV458+MAX(0,AM458)+MAX(0,AR458)+BC458+BG458+BQ458</f>
        <v>852106.347847497</v>
      </c>
      <c r="BT458" s="15" t="n">
        <f aca="false">BR458-BS458</f>
        <v>0</v>
      </c>
      <c r="BU458" s="15" t="n">
        <f aca="false">BH458-(BD458+BE458-BF458-AY458)</f>
        <v>0</v>
      </c>
      <c r="BV458" s="15" t="n">
        <f aca="false">MIN(Piano_SS!$C$6,(BV457)+IF(AND(Motore_Operativo!C458&gt;=EDATE(Parametri_v3!$C$24,Ipotesi!J14*12),Motore_Operativo!C458&lt;EDATE(Parametri_v3!$C$24,Parametri_v3!$C$25+Ipotesi!J14*12)),MAX(0,(Motore_Operativo!Y458+Motore_Operativo!X458*Parametri_v3!$C$14)*(1-Parametri_v3!$C$32))*Piano_SS!$D$6,0))</f>
        <v>300000</v>
      </c>
      <c r="BW458" s="15" t="n">
        <f aca="false">MIN(Piano_SS!$C$7,(BW457)+IF(AND(Motore_Operativo!C458&gt;=EDATE(Parametri_v3!$C$24,Ipotesi!J14*12),Motore_Operativo!C458&lt;EDATE(Parametri_v3!$C$24,Parametri_v3!$C$25+Ipotesi!J14*12)),MAX(0,(IF(34-(INT((Ipotesi!$C$91)/30))&lt;1,0,INDEX(Motore_Operativo!$BN$425:$BN$484,MAX(1,34-(INT((Ipotesi!$C$91)/30)))))*(1-(MOD((Ipotesi!$C$91),30)/30))+IF(34-(INT((Ipotesi!$C$91)/30))-1&lt;1,0,INDEX(Motore_Operativo!$BN$425:$BN$484,MAX(1,34-(INT((Ipotesi!$C$91)/30))-1)))*(MOD((Ipotesi!$C$91),30)/30)))*Piano_SS!$D$7,0))</f>
        <v>41058.9230070837</v>
      </c>
      <c r="BX458" s="15" t="n">
        <f aca="false">MIN(Piano_SS!$C$8,(BX457)+IF(AND(Motore_Operativo!C458&gt;=EDATE(Parametri_v3!$C$24,Ipotesi!J14*12),Motore_Operativo!C458&lt;EDATE(Parametri_v3!$C$24,Parametri_v3!$C$25+Ipotesi!J14*12)),MAX(0,Motore_Operativo!CE458)*Piano_SS!$D$8,0))</f>
        <v>50000</v>
      </c>
      <c r="BY458" s="15" t="n">
        <f aca="false">MIN(Piano_SS!$C$9,(BY457)+IF(AND(Motore_Operativo!C458&gt;=EDATE(Parametri_v3!$C$24,Ipotesi!J14*12),Motore_Operativo!C458&lt;EDATE(Parametri_v3!$C$24,Parametri_v3!$C$25+Ipotesi!J14*12)),MAX(0,((IF(34-(INT((Ipotesi!$C$91)/30))&lt;1,0,INDEX(Motore_Operativo!$BQ$425:$BQ$484,MAX(1,34-(INT((Ipotesi!$C$91)/30)))))*(1-(MOD((Ipotesi!$C$91),30)/30))+IF(34-(INT((Ipotesi!$C$91)/30))-1&lt;1,0,INDEX(Motore_Operativo!$BQ$425:$BQ$484,MAX(1,34-(INT((Ipotesi!$C$91)/30))-1)))*(MOD((Ipotesi!$C$91),30)/30))+(IF(34-(INT((Ipotesi!$C$91)/30))&lt;1,0,INDEX(Motore_Operativo!$BR$425:$BR$484,MAX(1,34-(INT((Ipotesi!$C$91)/30)))))*(1-(MOD((Ipotesi!$C$91),30)/30))+IF(34-(INT((Ipotesi!$C$91)/30))-1&lt;1,0,INDEX(Motore_Operativo!$BR$425:$BR$484,MAX(1,34-(INT((Ipotesi!$C$91)/30))-1)))*(MOD((Ipotesi!$C$91),30)/30))))*Piano_SS!$D$9,0))</f>
        <v>40000</v>
      </c>
      <c r="BZ458" s="15" t="n">
        <f aca="false">MIN(Piano_SS!$C$10,(BZ457)+IF(AND(Motore_Operativo!C458&gt;=EDATE(Parametri_v3!$C$24,Ipotesi!J14*12),Motore_Operativo!C458&lt;EDATE(Parametri_v3!$C$24,Parametri_v3!$C$25+Ipotesi!J14*12)),MAX(0,(IF(34-(INT((Ipotesi!$C$91)/30))&lt;1,0,INDEX(Motore_Operativo!$BO$425:$BO$484,MAX(1,34-(INT((Ipotesi!$C$91)/30)))))*(1-(MOD((Ipotesi!$C$91),30)/30))+IF(34-(INT((Ipotesi!$C$91)/30))-1&lt;1,0,INDEX(Motore_Operativo!$BO$425:$BO$484,MAX(1,34-(INT((Ipotesi!$C$91)/30))-1)))*(MOD((Ipotesi!$C$91),30)/30)))*Piano_SS!$D$10,0))</f>
        <v>30000</v>
      </c>
      <c r="CA458" s="15" t="n">
        <f aca="false">SUM(BV458:BZ458)</f>
        <v>461058.923007084</v>
      </c>
      <c r="CB458" s="15" t="n">
        <f aca="false">BV458*(1-Piano_SS!$E$6)+BW458*(1-Piano_SS!$E$7)+BX458*(1-Piano_SS!$E$8)+BY458*(1-Piano_SS!$E$9)+BZ458*(1-Piano_SS!$E$10)</f>
        <v>431058.923007084</v>
      </c>
      <c r="CC458" s="15" t="n">
        <f aca="false">(CC457)+BA458</f>
        <v>368847.138405667</v>
      </c>
      <c r="CD458" s="15" t="n">
        <f aca="false">IF(CA458=0,0,CC458*CB458/CA458*Ipotesi!$C$103*Parametri_v3!$C$64)</f>
        <v>103454.1415217</v>
      </c>
      <c r="CE458" s="18" t="n">
        <f aca="false">IF(BA458&gt;0,Motore_Operativo!C458,(CE457))</f>
        <v>47270</v>
      </c>
      <c r="CF458" s="18" t="n">
        <f aca="false">IF(AND(CC458&gt;0,OR(CC458&gt;=CG458-0.01,Motore_Operativo!C458&gt;=EDATE(MAX(Finanziamenti!$D$15:$D$17),Ipotesi!J14*12))),CE458,0)</f>
        <v>47270</v>
      </c>
      <c r="CG458" s="15" t="n">
        <f aca="false">IF(AND(8&lt;&gt;6,8&lt;&gt;9,Finanziamenti!$F$11=1,OR(Parametri_v3!$C$6=0,Finanziamenti!$E$11=1)),MIN(Finanziamenti!$C$11,Piano_SS!$C$12*Ipotesi!$C$102),0)</f>
        <v>400000</v>
      </c>
      <c r="CH458" s="15" t="n">
        <f aca="false">IF(AND(AND(8&lt;&gt;8,8&lt;&gt;9,Finanziamenti!$F$10=1,OR(Parametri_v3!$C$6=0,Finanziamenti!$E$10=1)),Motore_Operativo!C458&gt;=Finanziamenti!$D$10,Motore_Operativo!C458&lt;Parametri_v3!$C$63),Finanziamenti!$C$10,0)</f>
        <v>0</v>
      </c>
    </row>
    <row r="459" customFormat="false" ht="18" hidden="false" customHeight="true" outlineLevel="0" collapsed="false">
      <c r="A459" s="68" t="n">
        <f aca="false">8</f>
        <v>8</v>
      </c>
      <c r="B459" s="68" t="n">
        <f aca="false">35</f>
        <v>35</v>
      </c>
      <c r="C459" s="18" t="n">
        <f aca="false">Motore_Operativo!C459</f>
        <v>47423</v>
      </c>
      <c r="D459" s="68" t="n">
        <f aca="false">Motore_Operativo!D459</f>
        <v>2029</v>
      </c>
      <c r="E459" s="68" t="n">
        <f aca="false">Motore_Operativo!E459</f>
        <v>11</v>
      </c>
      <c r="F459" s="15" t="n">
        <f aca="false">Motore_Operativo!AQ459+Motore_Operativo!BF459</f>
        <v>78320.8360095792</v>
      </c>
      <c r="G459" s="15" t="n">
        <f aca="false">Motore_Operativo!BH459</f>
        <v>6050</v>
      </c>
      <c r="H459" s="15" t="n">
        <f aca="false">Motore_Operativo!BI459</f>
        <v>84370.8360095792</v>
      </c>
      <c r="I459" s="15" t="n">
        <f aca="false">Motore_Operativo!CA459</f>
        <v>118299.250374674</v>
      </c>
      <c r="J459" s="15" t="n">
        <f aca="false">Motore_Operativo!CC459</f>
        <v>-33928.4143650952</v>
      </c>
      <c r="K459" s="15" t="n">
        <f aca="false">Motore_Operativo!CE459</f>
        <v>2500</v>
      </c>
      <c r="L459" s="15" t="n">
        <f aca="false">SUM(INDEX($K$425:$K$484,MAX(1,35-Parametri_v3!$C$59+1)):K459)/Parametri_v3!$C$59</f>
        <v>2013.88888888889</v>
      </c>
      <c r="M459" s="15" t="n">
        <f aca="false">J459-L459</f>
        <v>-35942.3032539841</v>
      </c>
      <c r="N459" s="15" t="n">
        <f aca="false">CD459-(CD458)</f>
        <v>0</v>
      </c>
      <c r="O459" s="15" t="n">
        <f aca="false">(BG458)*Ipotesi!$C$110/12+CH459*Parametri_v3!$C$39/12</f>
        <v>0</v>
      </c>
      <c r="P459" s="15" t="n">
        <f aca="false">M459+N459-O459</f>
        <v>-35942.3032539841</v>
      </c>
      <c r="Q459" s="15" t="n">
        <f aca="false">SUM(P449:P459)+Parametri_v3!$C$54*11/12</f>
        <v>-470639.121562184</v>
      </c>
      <c r="R459" s="15" t="n">
        <f aca="false">Z448</f>
        <v>492856.017960598</v>
      </c>
      <c r="S459" s="15" t="n">
        <f aca="false">AA448</f>
        <v>0</v>
      </c>
      <c r="T459" s="15" t="n">
        <f aca="false">MIN(R459,MAX(0,Q459))</f>
        <v>0</v>
      </c>
      <c r="U459" s="15" t="n">
        <f aca="false">MIN(S459,MAX(0,Q459-T459)*Parametri_v3!$C$42)</f>
        <v>0</v>
      </c>
      <c r="V459" s="15" t="n">
        <f aca="false">MAX(0,Q459-T459-U459)*Ipotesi!$C$92</f>
        <v>0</v>
      </c>
      <c r="W459" s="15" t="n">
        <f aca="false">MAX(0,SUM(M449:M459)+Parametri_v3!$C$55*11/12)*Ipotesi!$C$93</f>
        <v>0</v>
      </c>
      <c r="X459" s="15" t="n">
        <f aca="false">V459+W459-(V458+W458)</f>
        <v>0</v>
      </c>
      <c r="Y459" s="15" t="n">
        <f aca="false">P459-X459</f>
        <v>-35942.3032539841</v>
      </c>
      <c r="Z459" s="15" t="n">
        <f aca="false">R459-T459+IF(AND(Parametri_v3!$C$40=1,D459-YEAR(Parametri_v3!$C$50)&lt;Parametri_v3!$C$41),MAX(0,-Q459),0)</f>
        <v>963495.139522783</v>
      </c>
      <c r="AA459" s="15" t="n">
        <f aca="false">S459-U459+IF(AND(Parametri_v3!$C$40=1,D459-YEAR(Parametri_v3!$C$50)&lt;Parametri_v3!$C$41),0,MAX(0,-Q459))</f>
        <v>0</v>
      </c>
      <c r="AB459" s="15" t="n">
        <f aca="false">F459*(1+Parametri_v3!$C$26)</f>
        <v>95551.4199316866</v>
      </c>
      <c r="AC459" s="15" t="n">
        <f aca="false">(IF(35-(INT((Motore_Operativo!L459)/30))&lt;1,0,INDEX(Motore_Startup!$AB$425:$AB$484,MAX(1,35-(INT((Motore_Operativo!L459)/30)))))*(1-(MOD((Motore_Operativo!L459),30)/30))+IF(35-(INT((Motore_Operativo!L459)/30))-1&lt;1,0,INDEX(Motore_Startup!$AB$425:$AB$484,MAX(1,35-(INT((Motore_Operativo!L459)/30))-1)))*(MOD((Motore_Operativo!L459),30)/30))</f>
        <v>86112.3158241022</v>
      </c>
      <c r="AD459" s="15" t="n">
        <f aca="false">(AD458)+AB459-AC459</f>
        <v>277270.405470736</v>
      </c>
      <c r="AE459" s="15" t="n">
        <f aca="false">Motore_Operativo!BH459*(1+Parametri_v3!$C$26)</f>
        <v>7381</v>
      </c>
      <c r="AF459" s="15" t="n">
        <f aca="false">(IF(35-(INT((Parametri_v3!$C$29)/30))&lt;1,0,INDEX(Motore_Operativo!$BH$425:$BH$484,MAX(1,35-(INT((Parametri_v3!$C$29)/30)))))*(1-(MOD((Parametri_v3!$C$29),30)/30))+IF(35-(INT((Parametri_v3!$C$29)/30))-1&lt;1,0,INDEX(Motore_Operativo!$BH$425:$BH$484,MAX(1,35-(INT((Parametri_v3!$C$29)/30))-1)))*(MOD((Parametri_v3!$C$29),30)/30))*(1+Parametri_v3!$C$26)</f>
        <v>7381</v>
      </c>
      <c r="AG459" s="15" t="n">
        <f aca="false">(AG458)+AE459-AF459</f>
        <v>7381</v>
      </c>
      <c r="AH459" s="15" t="n">
        <f aca="false">(Motore_Operativo!CJ459)*(1+Parametri_v3!$C$27*Parametri_v3!$C$26)</f>
        <v>52258.3678614052</v>
      </c>
      <c r="AI459" s="15" t="n">
        <f aca="false">(IF(35-(INT((Ipotesi!$C$91)/30))&lt;1,0,INDEX(Motore_Startup!$AH$425:$AH$484,MAX(1,35-(INT((Ipotesi!$C$91)/30)))))*(1-(MOD((Ipotesi!$C$91),30)/30))+IF(35-(INT((Ipotesi!$C$91)/30))-1&lt;1,0,INDEX(Motore_Startup!$AH$425:$AH$484,MAX(1,35-(INT((Ipotesi!$C$91)/30))-1)))*(MOD((Ipotesi!$C$91),30)/30))</f>
        <v>51404.9830596125</v>
      </c>
      <c r="AJ459" s="15" t="n">
        <f aca="false">(AJ458)+AH459-AI459</f>
        <v>104091.916498688</v>
      </c>
      <c r="AK459" s="15" t="n">
        <f aca="false">(F459+ Motore_Operativo!BH459-(Motore_Operativo!CJ459)*Parametri_v3!$C$27-Motore_Operativo!CE459)*Parametri_v3!$C$26</f>
        <v>9778.79976870998</v>
      </c>
      <c r="AL459" s="15" t="n">
        <f aca="false">MAX(0,(AM458))</f>
        <v>9283.32220209941</v>
      </c>
      <c r="AM459" s="15" t="n">
        <f aca="false">(AM458)+AK459-AL459</f>
        <v>9778.79976870997</v>
      </c>
      <c r="AN459" s="15" t="n">
        <f aca="false">SUM(X437:X448)</f>
        <v>0</v>
      </c>
      <c r="AO459" s="15" t="n">
        <f aca="false">SUM(AP437:AP448)</f>
        <v>0</v>
      </c>
      <c r="AP459" s="15" t="n">
        <f aca="false">MAX(0,AN459)*IF(11=Parametri_v3!$C$43,Parametri_v3!$C$45,IF(11=Parametri_v3!$C$44,1-Parametri_v3!$C$45,0))</f>
        <v>0</v>
      </c>
      <c r="AQ459" s="15" t="n">
        <f aca="false">MAX(0,AP459+IF(11=Parametri_v3!$C$43,MAX(0,AN459-AO459),0)-MAX(0,-(AR458)))</f>
        <v>0</v>
      </c>
      <c r="AR459" s="15" t="n">
        <f aca="false">(AR458)+X459-AQ459</f>
        <v>0</v>
      </c>
      <c r="AS459" s="15" t="n">
        <f aca="false">Motore_Operativo!AB459-AT459+AU459</f>
        <v>70559.9833333333</v>
      </c>
      <c r="AT459" s="15" t="n">
        <f aca="false">Motore_Operativo!CH459</f>
        <v>3713.68333333333</v>
      </c>
      <c r="AU459" s="15" t="n">
        <f aca="false">MIN(MAX(0,(AV458)+AT459),Parametri_v3!$C$60/12)</f>
        <v>0</v>
      </c>
      <c r="AV459" s="15" t="n">
        <f aca="false">(AV458)+AT459-AU459</f>
        <v>75458.0166666667</v>
      </c>
      <c r="AW459" s="15" t="n">
        <f aca="false">IF(AND(Motore_Operativo!C459=Finanziamenti!$D$6,Finanziamenti!$F$6=1),Finanziamenti!$C$6,0)</f>
        <v>0</v>
      </c>
      <c r="AX459" s="15" t="n">
        <f aca="false">IF(AND(8&lt;&gt;7,8&lt;&gt;9,Finanziamenti!$F$8=1,OR(Parametri_v3!$C$6=0,Finanziamenti!$E$8=1),Motore_Operativo!C459=EDATE(Finanziamenti!$D$8,Ipotesi!J15*12)),Finanziamenti!$C$8*1,0)+IF(AND(8&lt;&gt;7,8&lt;&gt;9,Finanziamenti!$F$9=1,OR(Parametri_v3!$C$6=0,Finanziamenti!$E$9=1),Motore_Operativo!C459=EDATE(Finanziamenti!$D$9,Ipotesi!J15*12)),Finanziamenti!$C$9*Ipotesi!J16,0)</f>
        <v>0</v>
      </c>
      <c r="AY459" s="15" t="n">
        <f aca="false">0</f>
        <v>0</v>
      </c>
      <c r="AZ459" s="15" t="n">
        <f aca="false">Motore_Advisory!AY459*(1-Ipotesi!$C$95)*Ipotesi!$C$96</f>
        <v>0</v>
      </c>
      <c r="BA459" s="15" t="n">
        <f aca="false">MAX(0,MIN(CG459*MIN(1,IF(Motore_Operativo!C459&gt;=EDATE(Finanziamenti!$D$15,Ipotesi!J14*12),Finanziamenti!$C$15,0)+IF(Motore_Operativo!C459&gt;=EDATE(Finanziamenti!$D$16,Ipotesi!J14*12),Finanziamenti!$C$16,0)+IF(Motore_Operativo!C459&gt;=EDATE(Finanziamenti!$D$17,Ipotesi!J14*12),Finanziamenti!$C$17,0)),CA459*Ipotesi!$C$102)-(CC458))</f>
        <v>0</v>
      </c>
      <c r="BB459" s="15" t="n">
        <f aca="false">IF(AND(CF459&gt;0,Motore_Operativo!C459&gt;=IF(CF459=0,0,EDATE(CF459,Parametri_v3!$C$37)),MOD(((D459-YEAR(IF(CF459=0,0,EDATE(CF459,Parametri_v3!$C$37))))*12+E459-MONTH(IF(CF459=0,0,EDATE(CF459,Parametri_v3!$C$37)))),Parametri_v3!$C$38)=0),MIN(MAX(0,(BC458)+BA459-N459),(CC459-CD459)/(Ipotesi!$C$108*12/Parametri_v3!$C$38)),0)</f>
        <v>0</v>
      </c>
      <c r="BC459" s="15" t="n">
        <f aca="false">(BC458)+BA459-N459-BB459</f>
        <v>265392.996883967</v>
      </c>
      <c r="BD459" s="15" t="n">
        <f aca="false">(BH458)+AC459+AF459-AI459-AS459-K459*(1+Parametri_v3!$C$26)-AL459-AQ459-O459+AW459+AX459+AZ459+BA459-BB459</f>
        <v>497200.184824513</v>
      </c>
      <c r="BE459" s="15" t="n">
        <f aca="false">MAX(0,MIN(MAX(0,CH459-(BG458)),Parametri_v3!$C$30-BD459))</f>
        <v>0</v>
      </c>
      <c r="BF459" s="15" t="n">
        <f aca="false">IF(Motore_Operativo!C459&gt;=Parametri_v3!$C$63,(BG458),MIN((BG458),MAX(0,BD459-Parametri_v3!$C$30)))</f>
        <v>0</v>
      </c>
      <c r="BG459" s="15" t="n">
        <f aca="false">(BG458)+BE459-BF459</f>
        <v>0</v>
      </c>
      <c r="BH459" s="15" t="n">
        <f aca="false">BD459+BE459-BF459-AY459</f>
        <v>497200.184824513</v>
      </c>
      <c r="BI459" s="15" t="n">
        <f aca="false">MAX(0,Parametri_v3!$C$30-BH459)</f>
        <v>0</v>
      </c>
      <c r="BJ459" s="15" t="n">
        <f aca="false">(BJ458)+K459</f>
        <v>72500</v>
      </c>
      <c r="BK459" s="15" t="n">
        <f aca="false">(BK458)+L459</f>
        <v>33125</v>
      </c>
      <c r="BL459" s="15" t="n">
        <f aca="false">BJ459-BK459</f>
        <v>39375</v>
      </c>
      <c r="BM459" s="15" t="n">
        <f aca="false">(BM458)+Y459</f>
        <v>-963495.139522783</v>
      </c>
      <c r="BN459" s="15" t="n">
        <f aca="false">(BN458)+AW459+AX459+AZ459</f>
        <v>1330000</v>
      </c>
      <c r="BO459" s="15" t="n">
        <f aca="false">(BO458)+AY459</f>
        <v>0</v>
      </c>
      <c r="BP459" s="15" t="n">
        <f aca="false">0</f>
        <v>0</v>
      </c>
      <c r="BQ459" s="15" t="n">
        <f aca="false">BN459+BM459-BO459</f>
        <v>366504.860477218</v>
      </c>
      <c r="BR459" s="15" t="n">
        <f aca="false">BH459+AD459+BL459+MAX(0,-AM459)+MAX(0,-AR459)+AG459</f>
        <v>821226.590295249</v>
      </c>
      <c r="BS459" s="15" t="n">
        <f aca="false">AJ459+AV459+MAX(0,AM459)+MAX(0,AR459)+BC459+BG459+BQ459</f>
        <v>821226.59029525</v>
      </c>
      <c r="BT459" s="15" t="n">
        <f aca="false">BR459-BS459</f>
        <v>0</v>
      </c>
      <c r="BU459" s="15" t="n">
        <f aca="false">BH459-(BD459+BE459-BF459-AY459)</f>
        <v>0</v>
      </c>
      <c r="BV459" s="15" t="n">
        <f aca="false">MIN(Piano_SS!$C$6,(BV458)+IF(AND(Motore_Operativo!C459&gt;=EDATE(Parametri_v3!$C$24,Ipotesi!J14*12),Motore_Operativo!C459&lt;EDATE(Parametri_v3!$C$24,Parametri_v3!$C$25+Ipotesi!J14*12)),MAX(0,(Motore_Operativo!Y459+Motore_Operativo!X459*Parametri_v3!$C$14)*(1-Parametri_v3!$C$32))*Piano_SS!$D$6,0))</f>
        <v>300000</v>
      </c>
      <c r="BW459" s="15" t="n">
        <f aca="false">MIN(Piano_SS!$C$7,(BW458)+IF(AND(Motore_Operativo!C459&gt;=EDATE(Parametri_v3!$C$24,Ipotesi!J14*12),Motore_Operativo!C459&lt;EDATE(Parametri_v3!$C$24,Parametri_v3!$C$25+Ipotesi!J14*12)),MAX(0,(IF(35-(INT((Ipotesi!$C$91)/30))&lt;1,0,INDEX(Motore_Operativo!$BN$425:$BN$484,MAX(1,35-(INT((Ipotesi!$C$91)/30)))))*(1-(MOD((Ipotesi!$C$91),30)/30))+IF(35-(INT((Ipotesi!$C$91)/30))-1&lt;1,0,INDEX(Motore_Operativo!$BN$425:$BN$484,MAX(1,35-(INT((Ipotesi!$C$91)/30))-1)))*(MOD((Ipotesi!$C$91),30)/30)))*Piano_SS!$D$7,0))</f>
        <v>41058.9230070837</v>
      </c>
      <c r="BX459" s="15" t="n">
        <f aca="false">MIN(Piano_SS!$C$8,(BX458)+IF(AND(Motore_Operativo!C459&gt;=EDATE(Parametri_v3!$C$24,Ipotesi!J14*12),Motore_Operativo!C459&lt;EDATE(Parametri_v3!$C$24,Parametri_v3!$C$25+Ipotesi!J14*12)),MAX(0,Motore_Operativo!CE459)*Piano_SS!$D$8,0))</f>
        <v>50000</v>
      </c>
      <c r="BY459" s="15" t="n">
        <f aca="false">MIN(Piano_SS!$C$9,(BY458)+IF(AND(Motore_Operativo!C459&gt;=EDATE(Parametri_v3!$C$24,Ipotesi!J14*12),Motore_Operativo!C459&lt;EDATE(Parametri_v3!$C$24,Parametri_v3!$C$25+Ipotesi!J14*12)),MAX(0,((IF(35-(INT((Ipotesi!$C$91)/30))&lt;1,0,INDEX(Motore_Operativo!$BQ$425:$BQ$484,MAX(1,35-(INT((Ipotesi!$C$91)/30)))))*(1-(MOD((Ipotesi!$C$91),30)/30))+IF(35-(INT((Ipotesi!$C$91)/30))-1&lt;1,0,INDEX(Motore_Operativo!$BQ$425:$BQ$484,MAX(1,35-(INT((Ipotesi!$C$91)/30))-1)))*(MOD((Ipotesi!$C$91),30)/30))+(IF(35-(INT((Ipotesi!$C$91)/30))&lt;1,0,INDEX(Motore_Operativo!$BR$425:$BR$484,MAX(1,35-(INT((Ipotesi!$C$91)/30)))))*(1-(MOD((Ipotesi!$C$91),30)/30))+IF(35-(INT((Ipotesi!$C$91)/30))-1&lt;1,0,INDEX(Motore_Operativo!$BR$425:$BR$484,MAX(1,35-(INT((Ipotesi!$C$91)/30))-1)))*(MOD((Ipotesi!$C$91),30)/30))))*Piano_SS!$D$9,0))</f>
        <v>40000</v>
      </c>
      <c r="BZ459" s="15" t="n">
        <f aca="false">MIN(Piano_SS!$C$10,(BZ458)+IF(AND(Motore_Operativo!C459&gt;=EDATE(Parametri_v3!$C$24,Ipotesi!J14*12),Motore_Operativo!C459&lt;EDATE(Parametri_v3!$C$24,Parametri_v3!$C$25+Ipotesi!J14*12)),MAX(0,(IF(35-(INT((Ipotesi!$C$91)/30))&lt;1,0,INDEX(Motore_Operativo!$BO$425:$BO$484,MAX(1,35-(INT((Ipotesi!$C$91)/30)))))*(1-(MOD((Ipotesi!$C$91),30)/30))+IF(35-(INT((Ipotesi!$C$91)/30))-1&lt;1,0,INDEX(Motore_Operativo!$BO$425:$BO$484,MAX(1,35-(INT((Ipotesi!$C$91)/30))-1)))*(MOD((Ipotesi!$C$91),30)/30)))*Piano_SS!$D$10,0))</f>
        <v>30000</v>
      </c>
      <c r="CA459" s="15" t="n">
        <f aca="false">SUM(BV459:BZ459)</f>
        <v>461058.923007084</v>
      </c>
      <c r="CB459" s="15" t="n">
        <f aca="false">BV459*(1-Piano_SS!$E$6)+BW459*(1-Piano_SS!$E$7)+BX459*(1-Piano_SS!$E$8)+BY459*(1-Piano_SS!$E$9)+BZ459*(1-Piano_SS!$E$10)</f>
        <v>431058.923007084</v>
      </c>
      <c r="CC459" s="15" t="n">
        <f aca="false">(CC458)+BA459</f>
        <v>368847.138405667</v>
      </c>
      <c r="CD459" s="15" t="n">
        <f aca="false">IF(CA459=0,0,CC459*CB459/CA459*Ipotesi!$C$103*Parametri_v3!$C$64)</f>
        <v>103454.1415217</v>
      </c>
      <c r="CE459" s="18" t="n">
        <f aca="false">IF(BA459&gt;0,Motore_Operativo!C459,(CE458))</f>
        <v>47270</v>
      </c>
      <c r="CF459" s="18" t="n">
        <f aca="false">IF(AND(CC459&gt;0,OR(CC459&gt;=CG459-0.01,Motore_Operativo!C459&gt;=EDATE(MAX(Finanziamenti!$D$15:$D$17),Ipotesi!J14*12))),CE459,0)</f>
        <v>47270</v>
      </c>
      <c r="CG459" s="15" t="n">
        <f aca="false">IF(AND(8&lt;&gt;6,8&lt;&gt;9,Finanziamenti!$F$11=1,OR(Parametri_v3!$C$6=0,Finanziamenti!$E$11=1)),MIN(Finanziamenti!$C$11,Piano_SS!$C$12*Ipotesi!$C$102),0)</f>
        <v>400000</v>
      </c>
      <c r="CH459" s="15" t="n">
        <f aca="false">IF(AND(AND(8&lt;&gt;8,8&lt;&gt;9,Finanziamenti!$F$10=1,OR(Parametri_v3!$C$6=0,Finanziamenti!$E$10=1)),Motore_Operativo!C459&gt;=Finanziamenti!$D$10,Motore_Operativo!C459&lt;Parametri_v3!$C$63),Finanziamenti!$C$10,0)</f>
        <v>0</v>
      </c>
    </row>
    <row r="460" customFormat="false" ht="18" hidden="false" customHeight="true" outlineLevel="0" collapsed="false">
      <c r="A460" s="68" t="n">
        <f aca="false">8</f>
        <v>8</v>
      </c>
      <c r="B460" s="68" t="n">
        <f aca="false">36</f>
        <v>36</v>
      </c>
      <c r="C460" s="18" t="n">
        <f aca="false">Motore_Operativo!C460</f>
        <v>47453</v>
      </c>
      <c r="D460" s="68" t="n">
        <f aca="false">Motore_Operativo!D460</f>
        <v>2029</v>
      </c>
      <c r="E460" s="68" t="n">
        <f aca="false">Motore_Operativo!E460</f>
        <v>12</v>
      </c>
      <c r="F460" s="15" t="n">
        <f aca="false">Motore_Operativo!AQ460+Motore_Operativo!BF460</f>
        <v>80854.8691046492</v>
      </c>
      <c r="G460" s="15" t="n">
        <f aca="false">Motore_Operativo!BH460</f>
        <v>6050</v>
      </c>
      <c r="H460" s="15" t="n">
        <f aca="false">Motore_Operativo!BI460</f>
        <v>86904.8691046492</v>
      </c>
      <c r="I460" s="15" t="n">
        <f aca="false">Motore_Operativo!CA460</f>
        <v>118654.015007984</v>
      </c>
      <c r="J460" s="15" t="n">
        <f aca="false">Motore_Operativo!CC460</f>
        <v>-31749.145903335</v>
      </c>
      <c r="K460" s="15" t="n">
        <f aca="false">Motore_Operativo!CE460</f>
        <v>2500</v>
      </c>
      <c r="L460" s="15" t="n">
        <f aca="false">SUM(INDEX($K$425:$K$484,MAX(1,36-Parametri_v3!$C$59+1)):K460)/Parametri_v3!$C$59</f>
        <v>2083.33333333333</v>
      </c>
      <c r="M460" s="15" t="n">
        <f aca="false">J460-L460</f>
        <v>-33832.4792366684</v>
      </c>
      <c r="N460" s="15" t="n">
        <f aca="false">CD460-(CD459)</f>
        <v>0</v>
      </c>
      <c r="O460" s="15" t="n">
        <f aca="false">(BG459)*Ipotesi!$C$110/12+CH460*Parametri_v3!$C$39/12</f>
        <v>0</v>
      </c>
      <c r="P460" s="15" t="n">
        <f aca="false">M460+N460-O460</f>
        <v>-33832.4792366684</v>
      </c>
      <c r="Q460" s="15" t="n">
        <f aca="false">SUM(P449:P460)+Parametri_v3!$C$54*12/12</f>
        <v>-504471.600798853</v>
      </c>
      <c r="R460" s="15" t="n">
        <f aca="false">Z448</f>
        <v>492856.017960598</v>
      </c>
      <c r="S460" s="15" t="n">
        <f aca="false">AA448</f>
        <v>0</v>
      </c>
      <c r="T460" s="15" t="n">
        <f aca="false">MIN(R460,MAX(0,Q460))</f>
        <v>0</v>
      </c>
      <c r="U460" s="15" t="n">
        <f aca="false">MIN(S460,MAX(0,Q460-T460)*Parametri_v3!$C$42)</f>
        <v>0</v>
      </c>
      <c r="V460" s="15" t="n">
        <f aca="false">MAX(0,Q460-T460-U460)*Ipotesi!$C$92</f>
        <v>0</v>
      </c>
      <c r="W460" s="15" t="n">
        <f aca="false">MAX(0,SUM(M449:M460)+Parametri_v3!$C$55*12/12)*Ipotesi!$C$93</f>
        <v>0</v>
      </c>
      <c r="X460" s="15" t="n">
        <f aca="false">V460+W460-(V459+W459)</f>
        <v>0</v>
      </c>
      <c r="Y460" s="15" t="n">
        <f aca="false">P460-X460</f>
        <v>-33832.4792366684</v>
      </c>
      <c r="Z460" s="15" t="n">
        <f aca="false">R460-T460+IF(AND(Parametri_v3!$C$40=1,D460-YEAR(Parametri_v3!$C$50)&lt;Parametri_v3!$C$41),MAX(0,-Q460),0)</f>
        <v>997327.618759451</v>
      </c>
      <c r="AA460" s="15" t="n">
        <f aca="false">S460-U460+IF(AND(Parametri_v3!$C$40=1,D460-YEAR(Parametri_v3!$C$50)&lt;Parametri_v3!$C$41),0,MAX(0,-Q460))</f>
        <v>0</v>
      </c>
      <c r="AB460" s="15" t="n">
        <f aca="false">F460*(1+Parametri_v3!$C$26)</f>
        <v>98642.9403076721</v>
      </c>
      <c r="AC460" s="15" t="n">
        <f aca="false">(IF(36-(INT((Motore_Operativo!L460)/30))&lt;1,0,INDEX(Motore_Startup!$AB$425:$AB$484,MAX(1,36-(INT((Motore_Operativo!L460)/30)))))*(1-(MOD((Motore_Operativo!L460),30)/30))+IF(36-(INT((Motore_Operativo!L460)/30))-1&lt;1,0,INDEX(Motore_Startup!$AB$425:$AB$484,MAX(1,36-(INT((Motore_Operativo!L460)/30))-1)))*(MOD((Motore_Operativo!L460),30)/30))</f>
        <v>89286.349175957</v>
      </c>
      <c r="AD460" s="15" t="n">
        <f aca="false">(AD459)+AB460-AC460</f>
        <v>286626.996602451</v>
      </c>
      <c r="AE460" s="15" t="n">
        <f aca="false">Motore_Operativo!BH460*(1+Parametri_v3!$C$26)</f>
        <v>7381</v>
      </c>
      <c r="AF460" s="15" t="n">
        <f aca="false">(IF(36-(INT((Parametri_v3!$C$29)/30))&lt;1,0,INDEX(Motore_Operativo!$BH$425:$BH$484,MAX(1,36-(INT((Parametri_v3!$C$29)/30)))))*(1-(MOD((Parametri_v3!$C$29),30)/30))+IF(36-(INT((Parametri_v3!$C$29)/30))-1&lt;1,0,INDEX(Motore_Operativo!$BH$425:$BH$484,MAX(1,36-(INT((Parametri_v3!$C$29)/30))-1)))*(MOD((Parametri_v3!$C$29),30)/30))*(1+Parametri_v3!$C$26)</f>
        <v>7381</v>
      </c>
      <c r="AG460" s="15" t="n">
        <f aca="false">(AG459)+AE460-AF460</f>
        <v>7381</v>
      </c>
      <c r="AH460" s="15" t="n">
        <f aca="false">(Motore_Operativo!CJ460)*(1+Parametri_v3!$C$27*Parametri_v3!$C$26)</f>
        <v>52679.4734811439</v>
      </c>
      <c r="AI460" s="15" t="n">
        <f aca="false">(IF(36-(INT((Ipotesi!$C$91)/30))&lt;1,0,INDEX(Motore_Startup!$AH$425:$AH$484,MAX(1,36-(INT((Ipotesi!$C$91)/30)))))*(1-(MOD((Ipotesi!$C$91),30)/30))+IF(36-(INT((Ipotesi!$C$91)/30))-1&lt;1,0,INDEX(Motore_Startup!$AH$425:$AH$484,MAX(1,36-(INT((Ipotesi!$C$91)/30))-1)))*(MOD((Ipotesi!$C$91),30)/30))</f>
        <v>51833.5486372831</v>
      </c>
      <c r="AJ460" s="15" t="n">
        <f aca="false">(AJ459)+AH460-AI460</f>
        <v>104937.841342549</v>
      </c>
      <c r="AK460" s="15" t="n">
        <f aca="false">(F460+ Motore_Operativo!BH460-(Motore_Operativo!CJ460)*Parametri_v3!$C$27-Motore_Operativo!CE460)*Parametri_v3!$C$26</f>
        <v>10269.9460631964</v>
      </c>
      <c r="AL460" s="15" t="n">
        <f aca="false">MAX(0,(AM459))</f>
        <v>9778.79976870997</v>
      </c>
      <c r="AM460" s="15" t="n">
        <f aca="false">(AM459)+AK460-AL460</f>
        <v>10269.9460631964</v>
      </c>
      <c r="AN460" s="15" t="n">
        <f aca="false">SUM(X437:X448)</f>
        <v>0</v>
      </c>
      <c r="AO460" s="15" t="n">
        <f aca="false">SUM(AP437:AP448)</f>
        <v>0</v>
      </c>
      <c r="AP460" s="15" t="n">
        <f aca="false">MAX(0,AN460)*IF(12=Parametri_v3!$C$43,Parametri_v3!$C$45,IF(12=Parametri_v3!$C$44,1-Parametri_v3!$C$45,0))</f>
        <v>0</v>
      </c>
      <c r="AQ460" s="15" t="n">
        <f aca="false">MAX(0,AP460+IF(12=Parametri_v3!$C$43,MAX(0,AN460-AO460),0)-MAX(0,-(AR459)))</f>
        <v>0</v>
      </c>
      <c r="AR460" s="15" t="n">
        <f aca="false">(AR459)+X460-AQ460</f>
        <v>0</v>
      </c>
      <c r="AS460" s="15" t="n">
        <f aca="false">Motore_Operativo!AB460-AT460+AU460</f>
        <v>70559.9833333333</v>
      </c>
      <c r="AT460" s="15" t="n">
        <f aca="false">Motore_Operativo!CH460</f>
        <v>3713.68333333333</v>
      </c>
      <c r="AU460" s="15" t="n">
        <f aca="false">MIN(MAX(0,(AV459)+AT460),Parametri_v3!$C$60/12)</f>
        <v>0</v>
      </c>
      <c r="AV460" s="15" t="n">
        <f aca="false">(AV459)+AT460-AU460</f>
        <v>79171.7</v>
      </c>
      <c r="AW460" s="15" t="n">
        <f aca="false">IF(AND(Motore_Operativo!C460=Finanziamenti!$D$6,Finanziamenti!$F$6=1),Finanziamenti!$C$6,0)</f>
        <v>0</v>
      </c>
      <c r="AX460" s="15" t="n">
        <f aca="false">IF(AND(8&lt;&gt;7,8&lt;&gt;9,Finanziamenti!$F$8=1,OR(Parametri_v3!$C$6=0,Finanziamenti!$E$8=1),Motore_Operativo!C460=EDATE(Finanziamenti!$D$8,Ipotesi!J15*12)),Finanziamenti!$C$8*1,0)+IF(AND(8&lt;&gt;7,8&lt;&gt;9,Finanziamenti!$F$9=1,OR(Parametri_v3!$C$6=0,Finanziamenti!$E$9=1),Motore_Operativo!C460=EDATE(Finanziamenti!$D$9,Ipotesi!J15*12)),Finanziamenti!$C$9*Ipotesi!J16,0)</f>
        <v>0</v>
      </c>
      <c r="AY460" s="15" t="n">
        <f aca="false">0</f>
        <v>0</v>
      </c>
      <c r="AZ460" s="15" t="n">
        <f aca="false">Motore_Advisory!AY460*(1-Ipotesi!$C$95)*Ipotesi!$C$96</f>
        <v>0</v>
      </c>
      <c r="BA460" s="15" t="n">
        <f aca="false">MAX(0,MIN(CG460*MIN(1,IF(Motore_Operativo!C460&gt;=EDATE(Finanziamenti!$D$15,Ipotesi!J14*12),Finanziamenti!$C$15,0)+IF(Motore_Operativo!C460&gt;=EDATE(Finanziamenti!$D$16,Ipotesi!J14*12),Finanziamenti!$C$16,0)+IF(Motore_Operativo!C460&gt;=EDATE(Finanziamenti!$D$17,Ipotesi!J14*12),Finanziamenti!$C$17,0)),CA460*Ipotesi!$C$102)-(CC459))</f>
        <v>0</v>
      </c>
      <c r="BB460" s="15" t="n">
        <f aca="false">IF(AND(CF460&gt;0,Motore_Operativo!C460&gt;=IF(CF460=0,0,EDATE(CF460,Parametri_v3!$C$37)),MOD(((D460-YEAR(IF(CF460=0,0,EDATE(CF460,Parametri_v3!$C$37))))*12+E460-MONTH(IF(CF460=0,0,EDATE(CF460,Parametri_v3!$C$37)))),Parametri_v3!$C$38)=0),MIN(MAX(0,(BC459)+BA460-N460),(CC460-CD460)/(Ipotesi!$C$108*12/Parametri_v3!$C$38)),0)</f>
        <v>0</v>
      </c>
      <c r="BC460" s="15" t="n">
        <f aca="false">(BC459)+BA460-N460-BB460</f>
        <v>265392.996883967</v>
      </c>
      <c r="BD460" s="15" t="n">
        <f aca="false">(BH459)+AC460+AF460-AI460-AS460-K460*(1+Parametri_v3!$C$26)-AL460-AQ460-O460+AW460+AX460+AZ460+BA460-BB460</f>
        <v>458645.202261143</v>
      </c>
      <c r="BE460" s="15" t="n">
        <f aca="false">MAX(0,MIN(MAX(0,CH460-(BG459)),Parametri_v3!$C$30-BD460))</f>
        <v>0</v>
      </c>
      <c r="BF460" s="15" t="n">
        <f aca="false">IF(Motore_Operativo!C460&gt;=Parametri_v3!$C$63,(BG459),MIN((BG459),MAX(0,BD460-Parametri_v3!$C$30)))</f>
        <v>0</v>
      </c>
      <c r="BG460" s="15" t="n">
        <f aca="false">(BG459)+BE460-BF460</f>
        <v>0</v>
      </c>
      <c r="BH460" s="15" t="n">
        <f aca="false">BD460+BE460-BF460-AY460</f>
        <v>458645.202261143</v>
      </c>
      <c r="BI460" s="15" t="n">
        <f aca="false">MAX(0,Parametri_v3!$C$30-BH460)</f>
        <v>0</v>
      </c>
      <c r="BJ460" s="15" t="n">
        <f aca="false">(BJ459)+K460</f>
        <v>75000</v>
      </c>
      <c r="BK460" s="15" t="n">
        <f aca="false">(BK459)+L460</f>
        <v>35208.3333333333</v>
      </c>
      <c r="BL460" s="15" t="n">
        <f aca="false">BJ460-BK460</f>
        <v>39791.6666666667</v>
      </c>
      <c r="BM460" s="15" t="n">
        <f aca="false">(BM459)+Y460</f>
        <v>-997327.618759451</v>
      </c>
      <c r="BN460" s="15" t="n">
        <f aca="false">(BN459)+AW460+AX460+AZ460</f>
        <v>1330000</v>
      </c>
      <c r="BO460" s="15" t="n">
        <f aca="false">(BO459)+AY460</f>
        <v>0</v>
      </c>
      <c r="BP460" s="15" t="n">
        <f aca="false">0</f>
        <v>0</v>
      </c>
      <c r="BQ460" s="15" t="n">
        <f aca="false">BN460+BM460-BO460</f>
        <v>332672.381240549</v>
      </c>
      <c r="BR460" s="15" t="n">
        <f aca="false">BH460+AD460+BL460+MAX(0,-AM460)+MAX(0,-AR460)+AG460</f>
        <v>792444.865530261</v>
      </c>
      <c r="BS460" s="15" t="n">
        <f aca="false">AJ460+AV460+MAX(0,AM460)+MAX(0,AR460)+BC460+BG460+BQ460</f>
        <v>792444.865530262</v>
      </c>
      <c r="BT460" s="15" t="n">
        <f aca="false">BR460-BS460</f>
        <v>0</v>
      </c>
      <c r="BU460" s="15" t="n">
        <f aca="false">BH460-(BD460+BE460-BF460-AY460)</f>
        <v>0</v>
      </c>
      <c r="BV460" s="15" t="n">
        <f aca="false">MIN(Piano_SS!$C$6,(BV459)+IF(AND(Motore_Operativo!C460&gt;=EDATE(Parametri_v3!$C$24,Ipotesi!J14*12),Motore_Operativo!C460&lt;EDATE(Parametri_v3!$C$24,Parametri_v3!$C$25+Ipotesi!J14*12)),MAX(0,(Motore_Operativo!Y460+Motore_Operativo!X460*Parametri_v3!$C$14)*(1-Parametri_v3!$C$32))*Piano_SS!$D$6,0))</f>
        <v>300000</v>
      </c>
      <c r="BW460" s="15" t="n">
        <f aca="false">MIN(Piano_SS!$C$7,(BW459)+IF(AND(Motore_Operativo!C460&gt;=EDATE(Parametri_v3!$C$24,Ipotesi!J14*12),Motore_Operativo!C460&lt;EDATE(Parametri_v3!$C$24,Parametri_v3!$C$25+Ipotesi!J14*12)),MAX(0,(IF(36-(INT((Ipotesi!$C$91)/30))&lt;1,0,INDEX(Motore_Operativo!$BN$425:$BN$484,MAX(1,36-(INT((Ipotesi!$C$91)/30)))))*(1-(MOD((Ipotesi!$C$91),30)/30))+IF(36-(INT((Ipotesi!$C$91)/30))-1&lt;1,0,INDEX(Motore_Operativo!$BN$425:$BN$484,MAX(1,36-(INT((Ipotesi!$C$91)/30))-1)))*(MOD((Ipotesi!$C$91),30)/30)))*Piano_SS!$D$7,0))</f>
        <v>41058.9230070837</v>
      </c>
      <c r="BX460" s="15" t="n">
        <f aca="false">MIN(Piano_SS!$C$8,(BX459)+IF(AND(Motore_Operativo!C460&gt;=EDATE(Parametri_v3!$C$24,Ipotesi!J14*12),Motore_Operativo!C460&lt;EDATE(Parametri_v3!$C$24,Parametri_v3!$C$25+Ipotesi!J14*12)),MAX(0,Motore_Operativo!CE460)*Piano_SS!$D$8,0))</f>
        <v>50000</v>
      </c>
      <c r="BY460" s="15" t="n">
        <f aca="false">MIN(Piano_SS!$C$9,(BY459)+IF(AND(Motore_Operativo!C460&gt;=EDATE(Parametri_v3!$C$24,Ipotesi!J14*12),Motore_Operativo!C460&lt;EDATE(Parametri_v3!$C$24,Parametri_v3!$C$25+Ipotesi!J14*12)),MAX(0,((IF(36-(INT((Ipotesi!$C$91)/30))&lt;1,0,INDEX(Motore_Operativo!$BQ$425:$BQ$484,MAX(1,36-(INT((Ipotesi!$C$91)/30)))))*(1-(MOD((Ipotesi!$C$91),30)/30))+IF(36-(INT((Ipotesi!$C$91)/30))-1&lt;1,0,INDEX(Motore_Operativo!$BQ$425:$BQ$484,MAX(1,36-(INT((Ipotesi!$C$91)/30))-1)))*(MOD((Ipotesi!$C$91),30)/30))+(IF(36-(INT((Ipotesi!$C$91)/30))&lt;1,0,INDEX(Motore_Operativo!$BR$425:$BR$484,MAX(1,36-(INT((Ipotesi!$C$91)/30)))))*(1-(MOD((Ipotesi!$C$91),30)/30))+IF(36-(INT((Ipotesi!$C$91)/30))-1&lt;1,0,INDEX(Motore_Operativo!$BR$425:$BR$484,MAX(1,36-(INT((Ipotesi!$C$91)/30))-1)))*(MOD((Ipotesi!$C$91),30)/30))))*Piano_SS!$D$9,0))</f>
        <v>40000</v>
      </c>
      <c r="BZ460" s="15" t="n">
        <f aca="false">MIN(Piano_SS!$C$10,(BZ459)+IF(AND(Motore_Operativo!C460&gt;=EDATE(Parametri_v3!$C$24,Ipotesi!J14*12),Motore_Operativo!C460&lt;EDATE(Parametri_v3!$C$24,Parametri_v3!$C$25+Ipotesi!J14*12)),MAX(0,(IF(36-(INT((Ipotesi!$C$91)/30))&lt;1,0,INDEX(Motore_Operativo!$BO$425:$BO$484,MAX(1,36-(INT((Ipotesi!$C$91)/30)))))*(1-(MOD((Ipotesi!$C$91),30)/30))+IF(36-(INT((Ipotesi!$C$91)/30))-1&lt;1,0,INDEX(Motore_Operativo!$BO$425:$BO$484,MAX(1,36-(INT((Ipotesi!$C$91)/30))-1)))*(MOD((Ipotesi!$C$91),30)/30)))*Piano_SS!$D$10,0))</f>
        <v>30000</v>
      </c>
      <c r="CA460" s="15" t="n">
        <f aca="false">SUM(BV460:BZ460)</f>
        <v>461058.923007084</v>
      </c>
      <c r="CB460" s="15" t="n">
        <f aca="false">BV460*(1-Piano_SS!$E$6)+BW460*(1-Piano_SS!$E$7)+BX460*(1-Piano_SS!$E$8)+BY460*(1-Piano_SS!$E$9)+BZ460*(1-Piano_SS!$E$10)</f>
        <v>431058.923007084</v>
      </c>
      <c r="CC460" s="15" t="n">
        <f aca="false">(CC459)+BA460</f>
        <v>368847.138405667</v>
      </c>
      <c r="CD460" s="15" t="n">
        <f aca="false">IF(CA460=0,0,CC460*CB460/CA460*Ipotesi!$C$103*Parametri_v3!$C$64)</f>
        <v>103454.1415217</v>
      </c>
      <c r="CE460" s="18" t="n">
        <f aca="false">IF(BA460&gt;0,Motore_Operativo!C460,(CE459))</f>
        <v>47270</v>
      </c>
      <c r="CF460" s="18" t="n">
        <f aca="false">IF(AND(CC460&gt;0,OR(CC460&gt;=CG460-0.01,Motore_Operativo!C460&gt;=EDATE(MAX(Finanziamenti!$D$15:$D$17),Ipotesi!J14*12))),CE460,0)</f>
        <v>47270</v>
      </c>
      <c r="CG460" s="15" t="n">
        <f aca="false">IF(AND(8&lt;&gt;6,8&lt;&gt;9,Finanziamenti!$F$11=1,OR(Parametri_v3!$C$6=0,Finanziamenti!$E$11=1)),MIN(Finanziamenti!$C$11,Piano_SS!$C$12*Ipotesi!$C$102),0)</f>
        <v>400000</v>
      </c>
      <c r="CH460" s="15" t="n">
        <f aca="false">IF(AND(AND(8&lt;&gt;8,8&lt;&gt;9,Finanziamenti!$F$10=1,OR(Parametri_v3!$C$6=0,Finanziamenti!$E$10=1)),Motore_Operativo!C460&gt;=Finanziamenti!$D$10,Motore_Operativo!C460&lt;Parametri_v3!$C$63),Finanziamenti!$C$10,0)</f>
        <v>0</v>
      </c>
    </row>
    <row r="461" customFormat="false" ht="18" hidden="false" customHeight="true" outlineLevel="0" collapsed="false">
      <c r="A461" s="68" t="n">
        <f aca="false">8</f>
        <v>8</v>
      </c>
      <c r="B461" s="68" t="n">
        <f aca="false">37</f>
        <v>37</v>
      </c>
      <c r="C461" s="18" t="n">
        <f aca="false">Motore_Operativo!C461</f>
        <v>47484</v>
      </c>
      <c r="D461" s="68" t="n">
        <f aca="false">Motore_Operativo!D461</f>
        <v>2030</v>
      </c>
      <c r="E461" s="68" t="n">
        <f aca="false">Motore_Operativo!E461</f>
        <v>1</v>
      </c>
      <c r="F461" s="15" t="n">
        <f aca="false">Motore_Operativo!AQ461+Motore_Operativo!BF461</f>
        <v>109981.50531234</v>
      </c>
      <c r="G461" s="15" t="n">
        <f aca="false">Motore_Operativo!BH461</f>
        <v>9024.16666666667</v>
      </c>
      <c r="H461" s="15" t="n">
        <f aca="false">Motore_Operativo!BI461</f>
        <v>119005.671979006</v>
      </c>
      <c r="I461" s="15" t="n">
        <f aca="false">Motore_Operativo!CA461</f>
        <v>155002.886368728</v>
      </c>
      <c r="J461" s="15" t="n">
        <f aca="false">Motore_Operativo!CC461</f>
        <v>-35997.2143897212</v>
      </c>
      <c r="K461" s="15" t="n">
        <f aca="false">Motore_Operativo!CE461</f>
        <v>3333.33333333333</v>
      </c>
      <c r="L461" s="15" t="n">
        <f aca="false">SUM(INDEX($K$425:$K$484,MAX(1,37-Parametri_v3!$C$59+1)):K461)/Parametri_v3!$C$59</f>
        <v>2129.62962962963</v>
      </c>
      <c r="M461" s="15" t="n">
        <f aca="false">J461-L461</f>
        <v>-38126.8440193509</v>
      </c>
      <c r="N461" s="15" t="n">
        <f aca="false">CD461-(CD460)</f>
        <v>0</v>
      </c>
      <c r="O461" s="15" t="n">
        <f aca="false">(BG460)*Ipotesi!$C$110/12+CH461*Parametri_v3!$C$39/12</f>
        <v>0</v>
      </c>
      <c r="P461" s="15" t="n">
        <f aca="false">M461+N461-O461</f>
        <v>-38126.8440193509</v>
      </c>
      <c r="Q461" s="15" t="n">
        <f aca="false">SUM(P461)+Parametri_v3!$C$54*1/12</f>
        <v>-38126.8440193509</v>
      </c>
      <c r="R461" s="15" t="n">
        <f aca="false">Z460</f>
        <v>997327.618759451</v>
      </c>
      <c r="S461" s="15" t="n">
        <f aca="false">AA460</f>
        <v>0</v>
      </c>
      <c r="T461" s="15" t="n">
        <f aca="false">MIN(R461,MAX(0,Q461))</f>
        <v>0</v>
      </c>
      <c r="U461" s="15" t="n">
        <f aca="false">MIN(S461,MAX(0,Q461-T461)*Parametri_v3!$C$42)</f>
        <v>0</v>
      </c>
      <c r="V461" s="15" t="n">
        <f aca="false">MAX(0,Q461-T461-U461)*Ipotesi!$C$92</f>
        <v>0</v>
      </c>
      <c r="W461" s="15" t="n">
        <f aca="false">MAX(0,SUM(M461)+Parametri_v3!$C$55*1/12)*Ipotesi!$C$93</f>
        <v>0</v>
      </c>
      <c r="X461" s="15" t="n">
        <f aca="false">V461+W461-(0)</f>
        <v>0</v>
      </c>
      <c r="Y461" s="15" t="n">
        <f aca="false">P461-X461</f>
        <v>-38126.8440193509</v>
      </c>
      <c r="Z461" s="15" t="n">
        <f aca="false">R461-T461+IF(AND(Parametri_v3!$C$40=1,D461-YEAR(Parametri_v3!$C$50)&lt;Parametri_v3!$C$41),MAX(0,-Q461),0)</f>
        <v>997327.618759451</v>
      </c>
      <c r="AA461" s="15" t="n">
        <f aca="false">S461-U461+IF(AND(Parametri_v3!$C$40=1,D461-YEAR(Parametri_v3!$C$50)&lt;Parametri_v3!$C$41),0,MAX(0,-Q461))</f>
        <v>38126.8440193509</v>
      </c>
      <c r="AB461" s="15" t="n">
        <f aca="false">F461*(1+Parametri_v3!$C$26)</f>
        <v>134177.436481054</v>
      </c>
      <c r="AC461" s="15" t="n">
        <f aca="false">(IF(37-(INT((Motore_Operativo!L461)/30))&lt;1,0,INDEX(Motore_Startup!$AB$425:$AB$484,MAX(1,37-(INT((Motore_Operativo!L461)/30)))))*(1-(MOD((Motore_Operativo!L461),30)/30))+IF(37-(INT((Motore_Operativo!L461)/30))-1&lt;1,0,INDEX(Motore_Startup!$AB$425:$AB$484,MAX(1,37-(INT((Motore_Operativo!L461)/30))-1)))*(MOD((Motore_Operativo!L461),30)/30))</f>
        <v>92432.6363630927</v>
      </c>
      <c r="AD461" s="15" t="n">
        <f aca="false">(AD460)+AB461-AC461</f>
        <v>328371.796720413</v>
      </c>
      <c r="AE461" s="15" t="n">
        <f aca="false">Motore_Operativo!BH461*(1+Parametri_v3!$C$26)</f>
        <v>11009.4833333333</v>
      </c>
      <c r="AF461" s="15" t="n">
        <f aca="false">(IF(37-(INT((Parametri_v3!$C$29)/30))&lt;1,0,INDEX(Motore_Operativo!$BH$425:$BH$484,MAX(1,37-(INT((Parametri_v3!$C$29)/30)))))*(1-(MOD((Parametri_v3!$C$29),30)/30))+IF(37-(INT((Parametri_v3!$C$29)/30))-1&lt;1,0,INDEX(Motore_Operativo!$BH$425:$BH$484,MAX(1,37-(INT((Parametri_v3!$C$29)/30))-1)))*(MOD((Parametri_v3!$C$29),30)/30))*(1+Parametri_v3!$C$26)</f>
        <v>7381</v>
      </c>
      <c r="AG461" s="15" t="n">
        <f aca="false">(AG460)+AE461-AF461</f>
        <v>11009.4833333333</v>
      </c>
      <c r="AH461" s="15" t="n">
        <f aca="false">(Motore_Operativo!CJ461)*(1+Parametri_v3!$C$27*Parametri_v3!$C$26)</f>
        <v>69474.875461138</v>
      </c>
      <c r="AI461" s="15" t="n">
        <f aca="false">(IF(37-(INT((Ipotesi!$C$91)/30))&lt;1,0,INDEX(Motore_Startup!$AH$425:$AH$484,MAX(1,37-(INT((Ipotesi!$C$91)/30)))))*(1-(MOD((Ipotesi!$C$91),30)/30))+IF(37-(INT((Ipotesi!$C$91)/30))-1&lt;1,0,INDEX(Motore_Startup!$AH$425:$AH$484,MAX(1,37-(INT((Ipotesi!$C$91)/30))-1)))*(MOD((Ipotesi!$C$91),30)/30))</f>
        <v>52258.3678614052</v>
      </c>
      <c r="AJ461" s="15" t="n">
        <f aca="false">(AJ460)+AH461-AI461</f>
        <v>122154.348942282</v>
      </c>
      <c r="AK461" s="15" t="n">
        <f aca="false">(F461+ Motore_Operativo!BH461-(Motore_Operativo!CJ461)*Parametri_v3!$C$27-Motore_Operativo!CE461)*Parametri_v3!$C$26</f>
        <v>14502.8414513043</v>
      </c>
      <c r="AL461" s="15" t="n">
        <f aca="false">MAX(0,(AM460))</f>
        <v>10269.9460631964</v>
      </c>
      <c r="AM461" s="15" t="n">
        <f aca="false">(AM460)+AK461-AL461</f>
        <v>14502.8414513043</v>
      </c>
      <c r="AN461" s="15" t="n">
        <f aca="false">SUM(X449:X460)</f>
        <v>0</v>
      </c>
      <c r="AO461" s="15" t="n">
        <f aca="false">SUM(AP449:AP460)</f>
        <v>0</v>
      </c>
      <c r="AP461" s="15" t="n">
        <f aca="false">MAX(0,AN461)*IF(1=Parametri_v3!$C$43,Parametri_v3!$C$45,IF(1=Parametri_v3!$C$44,1-Parametri_v3!$C$45,0))</f>
        <v>0</v>
      </c>
      <c r="AQ461" s="15" t="n">
        <f aca="false">MAX(0,AP461+IF(1=Parametri_v3!$C$43,MAX(0,AN461-AO461),0)-MAX(0,-(AR460)))</f>
        <v>0</v>
      </c>
      <c r="AR461" s="15" t="n">
        <f aca="false">(AR460)+X461-AQ461</f>
        <v>0</v>
      </c>
      <c r="AS461" s="15" t="n">
        <f aca="false">Motore_Operativo!AB461-AT461+AU461</f>
        <v>91649.4297604167</v>
      </c>
      <c r="AT461" s="15" t="n">
        <f aca="false">Motore_Operativo!CH461</f>
        <v>4823.65419791667</v>
      </c>
      <c r="AU461" s="15" t="n">
        <f aca="false">MIN(MAX(0,(AV460)+AT461),Parametri_v3!$C$60/12)</f>
        <v>0</v>
      </c>
      <c r="AV461" s="15" t="n">
        <f aca="false">(AV460)+AT461-AU461</f>
        <v>83995.3541979167</v>
      </c>
      <c r="AW461" s="15" t="n">
        <f aca="false">IF(AND(Motore_Operativo!C461=Finanziamenti!$D$6,Finanziamenti!$F$6=1),Finanziamenti!$C$6,0)</f>
        <v>0</v>
      </c>
      <c r="AX461" s="15" t="n">
        <f aca="false">IF(AND(8&lt;&gt;7,8&lt;&gt;9,Finanziamenti!$F$8=1,OR(Parametri_v3!$C$6=0,Finanziamenti!$E$8=1),Motore_Operativo!C461=EDATE(Finanziamenti!$D$8,Ipotesi!J15*12)),Finanziamenti!$C$8*1,0)+IF(AND(8&lt;&gt;7,8&lt;&gt;9,Finanziamenti!$F$9=1,OR(Parametri_v3!$C$6=0,Finanziamenti!$E$9=1),Motore_Operativo!C461=EDATE(Finanziamenti!$D$9,Ipotesi!J15*12)),Finanziamenti!$C$9*Ipotesi!J16,0)</f>
        <v>0</v>
      </c>
      <c r="AY461" s="15" t="n">
        <f aca="false">0</f>
        <v>0</v>
      </c>
      <c r="AZ461" s="15" t="n">
        <f aca="false">Motore_Advisory!AY461*(1-Ipotesi!$C$95)*Ipotesi!$C$96</f>
        <v>0</v>
      </c>
      <c r="BA461" s="15" t="n">
        <f aca="false">MAX(0,MIN(CG461*MIN(1,IF(Motore_Operativo!C461&gt;=EDATE(Finanziamenti!$D$15,Ipotesi!J14*12),Finanziamenti!$C$15,0)+IF(Motore_Operativo!C461&gt;=EDATE(Finanziamenti!$D$16,Ipotesi!J14*12),Finanziamenti!$C$16,0)+IF(Motore_Operativo!C461&gt;=EDATE(Finanziamenti!$D$17,Ipotesi!J14*12),Finanziamenti!$C$17,0)),CA461*Ipotesi!$C$102)-(CC460))</f>
        <v>0</v>
      </c>
      <c r="BB461" s="15" t="n">
        <f aca="false">IF(AND(CF461&gt;0,Motore_Operativo!C461&gt;=IF(CF461=0,0,EDATE(CF461,Parametri_v3!$C$37)),MOD(((D461-YEAR(IF(CF461=0,0,EDATE(CF461,Parametri_v3!$C$37))))*12+E461-MONTH(IF(CF461=0,0,EDATE(CF461,Parametri_v3!$C$37)))),Parametri_v3!$C$38)=0),MIN(MAX(0,(BC460)+BA461-N461),(CC461-CD461)/(Ipotesi!$C$108*12/Parametri_v3!$C$38)),0)</f>
        <v>0</v>
      </c>
      <c r="BC461" s="15" t="n">
        <f aca="false">(BC460)+BA461-N461-BB461</f>
        <v>265392.996883967</v>
      </c>
      <c r="BD461" s="15" t="n">
        <f aca="false">(BH460)+AC461+AF461-AI461-AS461-K461*(1+Parametri_v3!$C$26)-AL461-AQ461-O461+AW461+AX461+AZ461+BA461-BB461</f>
        <v>400214.428272551</v>
      </c>
      <c r="BE461" s="15" t="n">
        <f aca="false">MAX(0,MIN(MAX(0,CH461-(BG460)),Parametri_v3!$C$30-BD461))</f>
        <v>0</v>
      </c>
      <c r="BF461" s="15" t="n">
        <f aca="false">IF(Motore_Operativo!C461&gt;=Parametri_v3!$C$63,(BG460),MIN((BG460),MAX(0,BD461-Parametri_v3!$C$30)))</f>
        <v>0</v>
      </c>
      <c r="BG461" s="15" t="n">
        <f aca="false">(BG460)+BE461-BF461</f>
        <v>0</v>
      </c>
      <c r="BH461" s="15" t="n">
        <f aca="false">BD461+BE461-BF461-AY461</f>
        <v>400214.428272551</v>
      </c>
      <c r="BI461" s="15" t="n">
        <f aca="false">MAX(0,Parametri_v3!$C$30-BH461)</f>
        <v>0</v>
      </c>
      <c r="BJ461" s="15" t="n">
        <f aca="false">(BJ460)+K461</f>
        <v>78333.3333333333</v>
      </c>
      <c r="BK461" s="15" t="n">
        <f aca="false">(BK460)+L461</f>
        <v>37337.962962963</v>
      </c>
      <c r="BL461" s="15" t="n">
        <f aca="false">BJ461-BK461</f>
        <v>40995.3703703704</v>
      </c>
      <c r="BM461" s="15" t="n">
        <f aca="false">(BM460)+Y461</f>
        <v>-1035454.4627788</v>
      </c>
      <c r="BN461" s="15" t="n">
        <f aca="false">(BN460)+AW461+AX461+AZ461</f>
        <v>1330000</v>
      </c>
      <c r="BO461" s="15" t="n">
        <f aca="false">(BO460)+AY461</f>
        <v>0</v>
      </c>
      <c r="BP461" s="15" t="n">
        <f aca="false">0</f>
        <v>0</v>
      </c>
      <c r="BQ461" s="15" t="n">
        <f aca="false">BN461+BM461-BO461</f>
        <v>294545.537221198</v>
      </c>
      <c r="BR461" s="15" t="n">
        <f aca="false">BH461+AD461+BL461+MAX(0,-AM461)+MAX(0,-AR461)+AG461</f>
        <v>780591.078696667</v>
      </c>
      <c r="BS461" s="15" t="n">
        <f aca="false">AJ461+AV461+MAX(0,AM461)+MAX(0,AR461)+BC461+BG461+BQ461</f>
        <v>780591.078696668</v>
      </c>
      <c r="BT461" s="15" t="n">
        <f aca="false">BR461-BS461</f>
        <v>0</v>
      </c>
      <c r="BU461" s="15" t="n">
        <f aca="false">BH461-(BD461+BE461-BF461-AY461)</f>
        <v>0</v>
      </c>
      <c r="BV461" s="15" t="n">
        <f aca="false">MIN(Piano_SS!$C$6,(BV460)+IF(AND(Motore_Operativo!C461&gt;=EDATE(Parametri_v3!$C$24,Ipotesi!J14*12),Motore_Operativo!C461&lt;EDATE(Parametri_v3!$C$24,Parametri_v3!$C$25+Ipotesi!J14*12)),MAX(0,(Motore_Operativo!Y461+Motore_Operativo!X461*Parametri_v3!$C$14)*(1-Parametri_v3!$C$32))*Piano_SS!$D$6,0))</f>
        <v>300000</v>
      </c>
      <c r="BW461" s="15" t="n">
        <f aca="false">MIN(Piano_SS!$C$7,(BW460)+IF(AND(Motore_Operativo!C461&gt;=EDATE(Parametri_v3!$C$24,Ipotesi!J14*12),Motore_Operativo!C461&lt;EDATE(Parametri_v3!$C$24,Parametri_v3!$C$25+Ipotesi!J14*12)),MAX(0,(IF(37-(INT((Ipotesi!$C$91)/30))&lt;1,0,INDEX(Motore_Operativo!$BN$425:$BN$484,MAX(1,37-(INT((Ipotesi!$C$91)/30)))))*(1-(MOD((Ipotesi!$C$91),30)/30))+IF(37-(INT((Ipotesi!$C$91)/30))-1&lt;1,0,INDEX(Motore_Operativo!$BN$425:$BN$484,MAX(1,37-(INT((Ipotesi!$C$91)/30))-1)))*(MOD((Ipotesi!$C$91),30)/30)))*Piano_SS!$D$7,0))</f>
        <v>41058.9230070837</v>
      </c>
      <c r="BX461" s="15" t="n">
        <f aca="false">MIN(Piano_SS!$C$8,(BX460)+IF(AND(Motore_Operativo!C461&gt;=EDATE(Parametri_v3!$C$24,Ipotesi!J14*12),Motore_Operativo!C461&lt;EDATE(Parametri_v3!$C$24,Parametri_v3!$C$25+Ipotesi!J14*12)),MAX(0,Motore_Operativo!CE461)*Piano_SS!$D$8,0))</f>
        <v>50000</v>
      </c>
      <c r="BY461" s="15" t="n">
        <f aca="false">MIN(Piano_SS!$C$9,(BY460)+IF(AND(Motore_Operativo!C461&gt;=EDATE(Parametri_v3!$C$24,Ipotesi!J14*12),Motore_Operativo!C461&lt;EDATE(Parametri_v3!$C$24,Parametri_v3!$C$25+Ipotesi!J14*12)),MAX(0,((IF(37-(INT((Ipotesi!$C$91)/30))&lt;1,0,INDEX(Motore_Operativo!$BQ$425:$BQ$484,MAX(1,37-(INT((Ipotesi!$C$91)/30)))))*(1-(MOD((Ipotesi!$C$91),30)/30))+IF(37-(INT((Ipotesi!$C$91)/30))-1&lt;1,0,INDEX(Motore_Operativo!$BQ$425:$BQ$484,MAX(1,37-(INT((Ipotesi!$C$91)/30))-1)))*(MOD((Ipotesi!$C$91),30)/30))+(IF(37-(INT((Ipotesi!$C$91)/30))&lt;1,0,INDEX(Motore_Operativo!$BR$425:$BR$484,MAX(1,37-(INT((Ipotesi!$C$91)/30)))))*(1-(MOD((Ipotesi!$C$91),30)/30))+IF(37-(INT((Ipotesi!$C$91)/30))-1&lt;1,0,INDEX(Motore_Operativo!$BR$425:$BR$484,MAX(1,37-(INT((Ipotesi!$C$91)/30))-1)))*(MOD((Ipotesi!$C$91),30)/30))))*Piano_SS!$D$9,0))</f>
        <v>40000</v>
      </c>
      <c r="BZ461" s="15" t="n">
        <f aca="false">MIN(Piano_SS!$C$10,(BZ460)+IF(AND(Motore_Operativo!C461&gt;=EDATE(Parametri_v3!$C$24,Ipotesi!J14*12),Motore_Operativo!C461&lt;EDATE(Parametri_v3!$C$24,Parametri_v3!$C$25+Ipotesi!J14*12)),MAX(0,(IF(37-(INT((Ipotesi!$C$91)/30))&lt;1,0,INDEX(Motore_Operativo!$BO$425:$BO$484,MAX(1,37-(INT((Ipotesi!$C$91)/30)))))*(1-(MOD((Ipotesi!$C$91),30)/30))+IF(37-(INT((Ipotesi!$C$91)/30))-1&lt;1,0,INDEX(Motore_Operativo!$BO$425:$BO$484,MAX(1,37-(INT((Ipotesi!$C$91)/30))-1)))*(MOD((Ipotesi!$C$91),30)/30)))*Piano_SS!$D$10,0))</f>
        <v>30000</v>
      </c>
      <c r="CA461" s="15" t="n">
        <f aca="false">SUM(BV461:BZ461)</f>
        <v>461058.923007084</v>
      </c>
      <c r="CB461" s="15" t="n">
        <f aca="false">BV461*(1-Piano_SS!$E$6)+BW461*(1-Piano_SS!$E$7)+BX461*(1-Piano_SS!$E$8)+BY461*(1-Piano_SS!$E$9)+BZ461*(1-Piano_SS!$E$10)</f>
        <v>431058.923007084</v>
      </c>
      <c r="CC461" s="15" t="n">
        <f aca="false">(CC460)+BA461</f>
        <v>368847.138405667</v>
      </c>
      <c r="CD461" s="15" t="n">
        <f aca="false">IF(CA461=0,0,CC461*CB461/CA461*Ipotesi!$C$103*Parametri_v3!$C$64)</f>
        <v>103454.1415217</v>
      </c>
      <c r="CE461" s="18" t="n">
        <f aca="false">IF(BA461&gt;0,Motore_Operativo!C461,(CE460))</f>
        <v>47270</v>
      </c>
      <c r="CF461" s="18" t="n">
        <f aca="false">IF(AND(CC461&gt;0,OR(CC461&gt;=CG461-0.01,Motore_Operativo!C461&gt;=EDATE(MAX(Finanziamenti!$D$15:$D$17),Ipotesi!J14*12))),CE461,0)</f>
        <v>47270</v>
      </c>
      <c r="CG461" s="15" t="n">
        <f aca="false">IF(AND(8&lt;&gt;6,8&lt;&gt;9,Finanziamenti!$F$11=1,OR(Parametri_v3!$C$6=0,Finanziamenti!$E$11=1)),MIN(Finanziamenti!$C$11,Piano_SS!$C$12*Ipotesi!$C$102),0)</f>
        <v>400000</v>
      </c>
      <c r="CH461" s="15" t="n">
        <f aca="false">IF(AND(AND(8&lt;&gt;8,8&lt;&gt;9,Finanziamenti!$F$10=1,OR(Parametri_v3!$C$6=0,Finanziamenti!$E$10=1)),Motore_Operativo!C461&gt;=Finanziamenti!$D$10,Motore_Operativo!C461&lt;Parametri_v3!$C$63),Finanziamenti!$C$10,0)</f>
        <v>0</v>
      </c>
    </row>
    <row r="462" customFormat="false" ht="18" hidden="false" customHeight="true" outlineLevel="0" collapsed="false">
      <c r="A462" s="68" t="n">
        <f aca="false">8</f>
        <v>8</v>
      </c>
      <c r="B462" s="68" t="n">
        <f aca="false">38</f>
        <v>38</v>
      </c>
      <c r="C462" s="18" t="n">
        <f aca="false">Motore_Operativo!C462</f>
        <v>47515</v>
      </c>
      <c r="D462" s="68" t="n">
        <f aca="false">Motore_Operativo!D462</f>
        <v>2030</v>
      </c>
      <c r="E462" s="68" t="n">
        <f aca="false">Motore_Operativo!E462</f>
        <v>2</v>
      </c>
      <c r="F462" s="15" t="n">
        <f aca="false">Motore_Operativo!AQ462+Motore_Operativo!BF462</f>
        <v>112181.063256671</v>
      </c>
      <c r="G462" s="15" t="n">
        <f aca="false">Motore_Operativo!BH462</f>
        <v>9024.16666666667</v>
      </c>
      <c r="H462" s="15" t="n">
        <f aca="false">Motore_Operativo!BI462</f>
        <v>121205.229923337</v>
      </c>
      <c r="I462" s="15" t="n">
        <f aca="false">Motore_Operativo!CA462</f>
        <v>155310.824480934</v>
      </c>
      <c r="J462" s="15" t="n">
        <f aca="false">Motore_Operativo!CC462</f>
        <v>-34105.5945575967</v>
      </c>
      <c r="K462" s="15" t="n">
        <f aca="false">Motore_Operativo!CE462</f>
        <v>3333.33333333333</v>
      </c>
      <c r="L462" s="15" t="n">
        <f aca="false">SUM(INDEX($K$425:$K$484,MAX(1,38-Parametri_v3!$C$59+1)):K462)/Parametri_v3!$C$59</f>
        <v>2175.92592592593</v>
      </c>
      <c r="M462" s="15" t="n">
        <f aca="false">J462-L462</f>
        <v>-36281.5204835226</v>
      </c>
      <c r="N462" s="15" t="n">
        <f aca="false">CD462-(CD461)</f>
        <v>0</v>
      </c>
      <c r="O462" s="15" t="n">
        <f aca="false">(BG461)*Ipotesi!$C$110/12+CH462*Parametri_v3!$C$39/12</f>
        <v>0</v>
      </c>
      <c r="P462" s="15" t="n">
        <f aca="false">M462+N462-O462</f>
        <v>-36281.5204835226</v>
      </c>
      <c r="Q462" s="15" t="n">
        <f aca="false">SUM(P461:P462)+Parametri_v3!$C$54*2/12</f>
        <v>-74408.3645028735</v>
      </c>
      <c r="R462" s="15" t="n">
        <f aca="false">Z460</f>
        <v>997327.618759451</v>
      </c>
      <c r="S462" s="15" t="n">
        <f aca="false">AA460</f>
        <v>0</v>
      </c>
      <c r="T462" s="15" t="n">
        <f aca="false">MIN(R462,MAX(0,Q462))</f>
        <v>0</v>
      </c>
      <c r="U462" s="15" t="n">
        <f aca="false">MIN(S462,MAX(0,Q462-T462)*Parametri_v3!$C$42)</f>
        <v>0</v>
      </c>
      <c r="V462" s="15" t="n">
        <f aca="false">MAX(0,Q462-T462-U462)*Ipotesi!$C$92</f>
        <v>0</v>
      </c>
      <c r="W462" s="15" t="n">
        <f aca="false">MAX(0,SUM(M461:M462)+Parametri_v3!$C$55*2/12)*Ipotesi!$C$93</f>
        <v>0</v>
      </c>
      <c r="X462" s="15" t="n">
        <f aca="false">V462+W462-(V461+W461)</f>
        <v>0</v>
      </c>
      <c r="Y462" s="15" t="n">
        <f aca="false">P462-X462</f>
        <v>-36281.5204835226</v>
      </c>
      <c r="Z462" s="15" t="n">
        <f aca="false">R462-T462+IF(AND(Parametri_v3!$C$40=1,D462-YEAR(Parametri_v3!$C$50)&lt;Parametri_v3!$C$41),MAX(0,-Q462),0)</f>
        <v>997327.618759451</v>
      </c>
      <c r="AA462" s="15" t="n">
        <f aca="false">S462-U462+IF(AND(Parametri_v3!$C$40=1,D462-YEAR(Parametri_v3!$C$50)&lt;Parametri_v3!$C$41),0,MAX(0,-Q462))</f>
        <v>74408.3645028735</v>
      </c>
      <c r="AB462" s="15" t="n">
        <f aca="false">F462*(1+Parametri_v3!$C$26)</f>
        <v>136860.897173138</v>
      </c>
      <c r="AC462" s="15" t="n">
        <f aca="false">(IF(38-(INT((Motore_Operativo!L462)/30))&lt;1,0,INDEX(Motore_Startup!$AB$425:$AB$484,MAX(1,38-(INT((Motore_Operativo!L462)/30)))))*(1-(MOD((Motore_Operativo!L462),30)/30))+IF(38-(INT((Motore_Operativo!L462)/30))-1&lt;1,0,INDEX(Motore_Startup!$AB$425:$AB$484,MAX(1,38-(INT((Motore_Operativo!L462)/30))-1)))*(MOD((Motore_Operativo!L462),30)/30))</f>
        <v>95551.4199316866</v>
      </c>
      <c r="AD462" s="15" t="n">
        <f aca="false">(AD461)+AB462-AC462</f>
        <v>369681.273961864</v>
      </c>
      <c r="AE462" s="15" t="n">
        <f aca="false">Motore_Operativo!BH462*(1+Parametri_v3!$C$26)</f>
        <v>11009.4833333333</v>
      </c>
      <c r="AF462" s="15" t="n">
        <f aca="false">(IF(38-(INT((Parametri_v3!$C$29)/30))&lt;1,0,INDEX(Motore_Operativo!$BH$425:$BH$484,MAX(1,38-(INT((Parametri_v3!$C$29)/30)))))*(1-(MOD((Parametri_v3!$C$29),30)/30))+IF(38-(INT((Parametri_v3!$C$29)/30))-1&lt;1,0,INDEX(Motore_Operativo!$BH$425:$BH$484,MAX(1,38-(INT((Parametri_v3!$C$29)/30))-1)))*(MOD((Parametri_v3!$C$29),30)/30))*(1+Parametri_v3!$C$26)</f>
        <v>11009.4833333333</v>
      </c>
      <c r="AG462" s="15" t="n">
        <f aca="false">(AG461)+AE462-AF462</f>
        <v>11009.4833333333</v>
      </c>
      <c r="AH462" s="15" t="n">
        <f aca="false">(Motore_Operativo!CJ462)*(1+Parametri_v3!$C$27*Parametri_v3!$C$26)</f>
        <v>69840.3980003269</v>
      </c>
      <c r="AI462" s="15" t="n">
        <f aca="false">(IF(38-(INT((Ipotesi!$C$91)/30))&lt;1,0,INDEX(Motore_Startup!$AH$425:$AH$484,MAX(1,38-(INT((Ipotesi!$C$91)/30)))))*(1-(MOD((Ipotesi!$C$91),30)/30))+IF(38-(INT((Ipotesi!$C$91)/30))-1&lt;1,0,INDEX(Motore_Startup!$AH$425:$AH$484,MAX(1,38-(INT((Ipotesi!$C$91)/30))-1)))*(MOD((Ipotesi!$C$91),30)/30))</f>
        <v>52679.4734811439</v>
      </c>
      <c r="AJ462" s="15" t="n">
        <f aca="false">(AJ461)+AH462-AI462</f>
        <v>139315.273461465</v>
      </c>
      <c r="AK462" s="15" t="n">
        <f aca="false">(F462+ Motore_Operativo!BH462-(Motore_Operativo!CJ462)*Parametri_v3!$C$27-Motore_Operativo!CE462)*Parametri_v3!$C$26</f>
        <v>14929.1597720746</v>
      </c>
      <c r="AL462" s="15" t="n">
        <f aca="false">MAX(0,(AM461))</f>
        <v>14502.8414513043</v>
      </c>
      <c r="AM462" s="15" t="n">
        <f aca="false">(AM461)+AK462-AL462</f>
        <v>14929.1597720746</v>
      </c>
      <c r="AN462" s="15" t="n">
        <f aca="false">SUM(X449:X460)</f>
        <v>0</v>
      </c>
      <c r="AO462" s="15" t="n">
        <f aca="false">SUM(AP449:AP460)</f>
        <v>0</v>
      </c>
      <c r="AP462" s="15" t="n">
        <f aca="false">MAX(0,AN462)*IF(2=Parametri_v3!$C$43,Parametri_v3!$C$45,IF(2=Parametri_v3!$C$44,1-Parametri_v3!$C$45,0))</f>
        <v>0</v>
      </c>
      <c r="AQ462" s="15" t="n">
        <f aca="false">MAX(0,AP462+IF(2=Parametri_v3!$C$43,MAX(0,AN462-AO462),0)-MAX(0,-(AR461)))</f>
        <v>0</v>
      </c>
      <c r="AR462" s="15" t="n">
        <f aca="false">(AR461)+X462-AQ462</f>
        <v>0</v>
      </c>
      <c r="AS462" s="15" t="n">
        <f aca="false">Motore_Operativo!AB462-AT462+AU462</f>
        <v>91649.4297604167</v>
      </c>
      <c r="AT462" s="15" t="n">
        <f aca="false">Motore_Operativo!CH462</f>
        <v>4823.65419791667</v>
      </c>
      <c r="AU462" s="15" t="n">
        <f aca="false">MIN(MAX(0,(AV461)+AT462),Parametri_v3!$C$60/12)</f>
        <v>0</v>
      </c>
      <c r="AV462" s="15" t="n">
        <f aca="false">(AV461)+AT462-AU462</f>
        <v>88819.0083958333</v>
      </c>
      <c r="AW462" s="15" t="n">
        <f aca="false">IF(AND(Motore_Operativo!C462=Finanziamenti!$D$6,Finanziamenti!$F$6=1),Finanziamenti!$C$6,0)</f>
        <v>0</v>
      </c>
      <c r="AX462" s="15" t="n">
        <f aca="false">IF(AND(8&lt;&gt;7,8&lt;&gt;9,Finanziamenti!$F$8=1,OR(Parametri_v3!$C$6=0,Finanziamenti!$E$8=1),Motore_Operativo!C462=EDATE(Finanziamenti!$D$8,Ipotesi!J15*12)),Finanziamenti!$C$8*1,0)+IF(AND(8&lt;&gt;7,8&lt;&gt;9,Finanziamenti!$F$9=1,OR(Parametri_v3!$C$6=0,Finanziamenti!$E$9=1),Motore_Operativo!C462=EDATE(Finanziamenti!$D$9,Ipotesi!J15*12)),Finanziamenti!$C$9*Ipotesi!J16,0)</f>
        <v>0</v>
      </c>
      <c r="AY462" s="15" t="n">
        <f aca="false">0</f>
        <v>0</v>
      </c>
      <c r="AZ462" s="15" t="n">
        <f aca="false">Motore_Advisory!AY462*(1-Ipotesi!$C$95)*Ipotesi!$C$96</f>
        <v>0</v>
      </c>
      <c r="BA462" s="15" t="n">
        <f aca="false">MAX(0,MIN(CG462*MIN(1,IF(Motore_Operativo!C462&gt;=EDATE(Finanziamenti!$D$15,Ipotesi!J14*12),Finanziamenti!$C$15,0)+IF(Motore_Operativo!C462&gt;=EDATE(Finanziamenti!$D$16,Ipotesi!J14*12),Finanziamenti!$C$16,0)+IF(Motore_Operativo!C462&gt;=EDATE(Finanziamenti!$D$17,Ipotesi!J14*12),Finanziamenti!$C$17,0)),CA462*Ipotesi!$C$102)-(CC461))</f>
        <v>0</v>
      </c>
      <c r="BB462" s="15" t="n">
        <f aca="false">IF(AND(CF462&gt;0,Motore_Operativo!C462&gt;=IF(CF462=0,0,EDATE(CF462,Parametri_v3!$C$37)),MOD(((D462-YEAR(IF(CF462=0,0,EDATE(CF462,Parametri_v3!$C$37))))*12+E462-MONTH(IF(CF462=0,0,EDATE(CF462,Parametri_v3!$C$37)))),Parametri_v3!$C$38)=0),MIN(MAX(0,(BC461)+BA462-N462),(CC462-CD462)/(Ipotesi!$C$108*12/Parametri_v3!$C$38)),0)</f>
        <v>0</v>
      </c>
      <c r="BC462" s="15" t="n">
        <f aca="false">(BC461)+BA462-N462-BB462</f>
        <v>265392.996883967</v>
      </c>
      <c r="BD462" s="15" t="n">
        <f aca="false">(BH461)+AC462+AF462-AI462-AS462-K462*(1+Parametri_v3!$C$26)-AL462-AQ462-O462+AW462+AX462+AZ462+BA462-BB462</f>
        <v>343876.920178039</v>
      </c>
      <c r="BE462" s="15" t="n">
        <f aca="false">MAX(0,MIN(MAX(0,CH462-(BG461)),Parametri_v3!$C$30-BD462))</f>
        <v>0</v>
      </c>
      <c r="BF462" s="15" t="n">
        <f aca="false">IF(Motore_Operativo!C462&gt;=Parametri_v3!$C$63,(BG461),MIN((BG461),MAX(0,BD462-Parametri_v3!$C$30)))</f>
        <v>0</v>
      </c>
      <c r="BG462" s="15" t="n">
        <f aca="false">(BG461)+BE462-BF462</f>
        <v>0</v>
      </c>
      <c r="BH462" s="15" t="n">
        <f aca="false">BD462+BE462-BF462-AY462</f>
        <v>343876.920178039</v>
      </c>
      <c r="BI462" s="15" t="n">
        <f aca="false">MAX(0,Parametri_v3!$C$30-BH462)</f>
        <v>0</v>
      </c>
      <c r="BJ462" s="15" t="n">
        <f aca="false">(BJ461)+K462</f>
        <v>81666.6666666667</v>
      </c>
      <c r="BK462" s="15" t="n">
        <f aca="false">(BK461)+L462</f>
        <v>39513.8888888889</v>
      </c>
      <c r="BL462" s="15" t="n">
        <f aca="false">BJ462-BK462</f>
        <v>42152.7777777778</v>
      </c>
      <c r="BM462" s="15" t="n">
        <f aca="false">(BM461)+Y462</f>
        <v>-1071735.98326232</v>
      </c>
      <c r="BN462" s="15" t="n">
        <f aca="false">(BN461)+AW462+AX462+AZ462</f>
        <v>1330000</v>
      </c>
      <c r="BO462" s="15" t="n">
        <f aca="false">(BO461)+AY462</f>
        <v>0</v>
      </c>
      <c r="BP462" s="15" t="n">
        <f aca="false">0</f>
        <v>0</v>
      </c>
      <c r="BQ462" s="15" t="n">
        <f aca="false">BN462+BM462-BO462</f>
        <v>258264.016737676</v>
      </c>
      <c r="BR462" s="15" t="n">
        <f aca="false">BH462+AD462+BL462+MAX(0,-AM462)+MAX(0,-AR462)+AG462</f>
        <v>766720.455251015</v>
      </c>
      <c r="BS462" s="15" t="n">
        <f aca="false">AJ462+AV462+MAX(0,AM462)+MAX(0,AR462)+BC462+BG462+BQ462</f>
        <v>766720.455251016</v>
      </c>
      <c r="BT462" s="15" t="n">
        <f aca="false">BR462-BS462</f>
        <v>0</v>
      </c>
      <c r="BU462" s="15" t="n">
        <f aca="false">BH462-(BD462+BE462-BF462-AY462)</f>
        <v>0</v>
      </c>
      <c r="BV462" s="15" t="n">
        <f aca="false">MIN(Piano_SS!$C$6,(BV461)+IF(AND(Motore_Operativo!C462&gt;=EDATE(Parametri_v3!$C$24,Ipotesi!J14*12),Motore_Operativo!C462&lt;EDATE(Parametri_v3!$C$24,Parametri_v3!$C$25+Ipotesi!J14*12)),MAX(0,(Motore_Operativo!Y462+Motore_Operativo!X462*Parametri_v3!$C$14)*(1-Parametri_v3!$C$32))*Piano_SS!$D$6,0))</f>
        <v>300000</v>
      </c>
      <c r="BW462" s="15" t="n">
        <f aca="false">MIN(Piano_SS!$C$7,(BW461)+IF(AND(Motore_Operativo!C462&gt;=EDATE(Parametri_v3!$C$24,Ipotesi!J14*12),Motore_Operativo!C462&lt;EDATE(Parametri_v3!$C$24,Parametri_v3!$C$25+Ipotesi!J14*12)),MAX(0,(IF(38-(INT((Ipotesi!$C$91)/30))&lt;1,0,INDEX(Motore_Operativo!$BN$425:$BN$484,MAX(1,38-(INT((Ipotesi!$C$91)/30)))))*(1-(MOD((Ipotesi!$C$91),30)/30))+IF(38-(INT((Ipotesi!$C$91)/30))-1&lt;1,0,INDEX(Motore_Operativo!$BN$425:$BN$484,MAX(1,38-(INT((Ipotesi!$C$91)/30))-1)))*(MOD((Ipotesi!$C$91),30)/30)))*Piano_SS!$D$7,0))</f>
        <v>41058.9230070837</v>
      </c>
      <c r="BX462" s="15" t="n">
        <f aca="false">MIN(Piano_SS!$C$8,(BX461)+IF(AND(Motore_Operativo!C462&gt;=EDATE(Parametri_v3!$C$24,Ipotesi!J14*12),Motore_Operativo!C462&lt;EDATE(Parametri_v3!$C$24,Parametri_v3!$C$25+Ipotesi!J14*12)),MAX(0,Motore_Operativo!CE462)*Piano_SS!$D$8,0))</f>
        <v>50000</v>
      </c>
      <c r="BY462" s="15" t="n">
        <f aca="false">MIN(Piano_SS!$C$9,(BY461)+IF(AND(Motore_Operativo!C462&gt;=EDATE(Parametri_v3!$C$24,Ipotesi!J14*12),Motore_Operativo!C462&lt;EDATE(Parametri_v3!$C$24,Parametri_v3!$C$25+Ipotesi!J14*12)),MAX(0,((IF(38-(INT((Ipotesi!$C$91)/30))&lt;1,0,INDEX(Motore_Operativo!$BQ$425:$BQ$484,MAX(1,38-(INT((Ipotesi!$C$91)/30)))))*(1-(MOD((Ipotesi!$C$91),30)/30))+IF(38-(INT((Ipotesi!$C$91)/30))-1&lt;1,0,INDEX(Motore_Operativo!$BQ$425:$BQ$484,MAX(1,38-(INT((Ipotesi!$C$91)/30))-1)))*(MOD((Ipotesi!$C$91),30)/30))+(IF(38-(INT((Ipotesi!$C$91)/30))&lt;1,0,INDEX(Motore_Operativo!$BR$425:$BR$484,MAX(1,38-(INT((Ipotesi!$C$91)/30)))))*(1-(MOD((Ipotesi!$C$91),30)/30))+IF(38-(INT((Ipotesi!$C$91)/30))-1&lt;1,0,INDEX(Motore_Operativo!$BR$425:$BR$484,MAX(1,38-(INT((Ipotesi!$C$91)/30))-1)))*(MOD((Ipotesi!$C$91),30)/30))))*Piano_SS!$D$9,0))</f>
        <v>40000</v>
      </c>
      <c r="BZ462" s="15" t="n">
        <f aca="false">MIN(Piano_SS!$C$10,(BZ461)+IF(AND(Motore_Operativo!C462&gt;=EDATE(Parametri_v3!$C$24,Ipotesi!J14*12),Motore_Operativo!C462&lt;EDATE(Parametri_v3!$C$24,Parametri_v3!$C$25+Ipotesi!J14*12)),MAX(0,(IF(38-(INT((Ipotesi!$C$91)/30))&lt;1,0,INDEX(Motore_Operativo!$BO$425:$BO$484,MAX(1,38-(INT((Ipotesi!$C$91)/30)))))*(1-(MOD((Ipotesi!$C$91),30)/30))+IF(38-(INT((Ipotesi!$C$91)/30))-1&lt;1,0,INDEX(Motore_Operativo!$BO$425:$BO$484,MAX(1,38-(INT((Ipotesi!$C$91)/30))-1)))*(MOD((Ipotesi!$C$91),30)/30)))*Piano_SS!$D$10,0))</f>
        <v>30000</v>
      </c>
      <c r="CA462" s="15" t="n">
        <f aca="false">SUM(BV462:BZ462)</f>
        <v>461058.923007084</v>
      </c>
      <c r="CB462" s="15" t="n">
        <f aca="false">BV462*(1-Piano_SS!$E$6)+BW462*(1-Piano_SS!$E$7)+BX462*(1-Piano_SS!$E$8)+BY462*(1-Piano_SS!$E$9)+BZ462*(1-Piano_SS!$E$10)</f>
        <v>431058.923007084</v>
      </c>
      <c r="CC462" s="15" t="n">
        <f aca="false">(CC461)+BA462</f>
        <v>368847.138405667</v>
      </c>
      <c r="CD462" s="15" t="n">
        <f aca="false">IF(CA462=0,0,CC462*CB462/CA462*Ipotesi!$C$103*Parametri_v3!$C$64)</f>
        <v>103454.1415217</v>
      </c>
      <c r="CE462" s="18" t="n">
        <f aca="false">IF(BA462&gt;0,Motore_Operativo!C462,(CE461))</f>
        <v>47270</v>
      </c>
      <c r="CF462" s="18" t="n">
        <f aca="false">IF(AND(CC462&gt;0,OR(CC462&gt;=CG462-0.01,Motore_Operativo!C462&gt;=EDATE(MAX(Finanziamenti!$D$15:$D$17),Ipotesi!J14*12))),CE462,0)</f>
        <v>47270</v>
      </c>
      <c r="CG462" s="15" t="n">
        <f aca="false">IF(AND(8&lt;&gt;6,8&lt;&gt;9,Finanziamenti!$F$11=1,OR(Parametri_v3!$C$6=0,Finanziamenti!$E$11=1)),MIN(Finanziamenti!$C$11,Piano_SS!$C$12*Ipotesi!$C$102),0)</f>
        <v>400000</v>
      </c>
      <c r="CH462" s="15" t="n">
        <f aca="false">IF(AND(AND(8&lt;&gt;8,8&lt;&gt;9,Finanziamenti!$F$10=1,OR(Parametri_v3!$C$6=0,Finanziamenti!$E$10=1)),Motore_Operativo!C462&gt;=Finanziamenti!$D$10,Motore_Operativo!C462&lt;Parametri_v3!$C$63),Finanziamenti!$C$10,0)</f>
        <v>0</v>
      </c>
    </row>
    <row r="463" customFormat="false" ht="18" hidden="false" customHeight="true" outlineLevel="0" collapsed="false">
      <c r="A463" s="68" t="n">
        <f aca="false">8</f>
        <v>8</v>
      </c>
      <c r="B463" s="68" t="n">
        <f aca="false">39</f>
        <v>39</v>
      </c>
      <c r="C463" s="18" t="n">
        <f aca="false">Motore_Operativo!C463</f>
        <v>47543</v>
      </c>
      <c r="D463" s="68" t="n">
        <f aca="false">Motore_Operativo!D463</f>
        <v>2030</v>
      </c>
      <c r="E463" s="68" t="n">
        <f aca="false">Motore_Operativo!E463</f>
        <v>3</v>
      </c>
      <c r="F463" s="15" t="n">
        <f aca="false">Motore_Operativo!AQ463+Motore_Operativo!BF463</f>
        <v>114361.39352118</v>
      </c>
      <c r="G463" s="15" t="n">
        <f aca="false">Motore_Operativo!BH463</f>
        <v>9024.16666666667</v>
      </c>
      <c r="H463" s="15" t="n">
        <f aca="false">Motore_Operativo!BI463</f>
        <v>123385.560187847</v>
      </c>
      <c r="I463" s="15" t="n">
        <f aca="false">Motore_Operativo!CA463</f>
        <v>155616.070717965</v>
      </c>
      <c r="J463" s="15" t="n">
        <f aca="false">Motore_Operativo!CC463</f>
        <v>-32230.5105301187</v>
      </c>
      <c r="K463" s="15" t="n">
        <f aca="false">Motore_Operativo!CE463</f>
        <v>3333.33333333333</v>
      </c>
      <c r="L463" s="15" t="n">
        <f aca="false">SUM(INDEX($K$425:$K$484,MAX(1,39-Parametri_v3!$C$59+1)):K463)/Parametri_v3!$C$59</f>
        <v>2222.22222222222</v>
      </c>
      <c r="M463" s="15" t="n">
        <f aca="false">J463-L463</f>
        <v>-34452.7327523409</v>
      </c>
      <c r="N463" s="15" t="n">
        <f aca="false">CD463-(CD462)</f>
        <v>0</v>
      </c>
      <c r="O463" s="15" t="n">
        <f aca="false">(BG462)*Ipotesi!$C$110/12+CH463*Parametri_v3!$C$39/12</f>
        <v>0</v>
      </c>
      <c r="P463" s="15" t="n">
        <f aca="false">M463+N463-O463</f>
        <v>-34452.7327523409</v>
      </c>
      <c r="Q463" s="15" t="n">
        <f aca="false">SUM(P461:P463)+Parametri_v3!$C$54*3/12</f>
        <v>-108861.097255214</v>
      </c>
      <c r="R463" s="15" t="n">
        <f aca="false">Z460</f>
        <v>997327.618759451</v>
      </c>
      <c r="S463" s="15" t="n">
        <f aca="false">AA460</f>
        <v>0</v>
      </c>
      <c r="T463" s="15" t="n">
        <f aca="false">MIN(R463,MAX(0,Q463))</f>
        <v>0</v>
      </c>
      <c r="U463" s="15" t="n">
        <f aca="false">MIN(S463,MAX(0,Q463-T463)*Parametri_v3!$C$42)</f>
        <v>0</v>
      </c>
      <c r="V463" s="15" t="n">
        <f aca="false">MAX(0,Q463-T463-U463)*Ipotesi!$C$92</f>
        <v>0</v>
      </c>
      <c r="W463" s="15" t="n">
        <f aca="false">MAX(0,SUM(M461:M463)+Parametri_v3!$C$55*3/12)*Ipotesi!$C$93</f>
        <v>0</v>
      </c>
      <c r="X463" s="15" t="n">
        <f aca="false">V463+W463-(V462+W462)</f>
        <v>0</v>
      </c>
      <c r="Y463" s="15" t="n">
        <f aca="false">P463-X463</f>
        <v>-34452.7327523409</v>
      </c>
      <c r="Z463" s="15" t="n">
        <f aca="false">R463-T463+IF(AND(Parametri_v3!$C$40=1,D463-YEAR(Parametri_v3!$C$50)&lt;Parametri_v3!$C$41),MAX(0,-Q463),0)</f>
        <v>997327.618759451</v>
      </c>
      <c r="AA463" s="15" t="n">
        <f aca="false">S463-U463+IF(AND(Parametri_v3!$C$40=1,D463-YEAR(Parametri_v3!$C$50)&lt;Parametri_v3!$C$41),0,MAX(0,-Q463))</f>
        <v>108861.097255214</v>
      </c>
      <c r="AB463" s="15" t="n">
        <f aca="false">F463*(1+Parametri_v3!$C$26)</f>
        <v>139520.900095839</v>
      </c>
      <c r="AC463" s="15" t="n">
        <f aca="false">(IF(39-(INT((Motore_Operativo!L463)/30))&lt;1,0,INDEX(Motore_Startup!$AB$425:$AB$484,MAX(1,39-(INT((Motore_Operativo!L463)/30)))))*(1-(MOD((Motore_Operativo!L463),30)/30))+IF(39-(INT((Motore_Operativo!L463)/30))-1&lt;1,0,INDEX(Motore_Startup!$AB$425:$AB$484,MAX(1,39-(INT((Motore_Operativo!L463)/30))-1)))*(MOD((Motore_Operativo!L463),30)/30))</f>
        <v>98642.9403076721</v>
      </c>
      <c r="AD463" s="15" t="n">
        <f aca="false">(AD462)+AB463-AC463</f>
        <v>410559.233750032</v>
      </c>
      <c r="AE463" s="15" t="n">
        <f aca="false">Motore_Operativo!BH463*(1+Parametri_v3!$C$26)</f>
        <v>11009.4833333333</v>
      </c>
      <c r="AF463" s="15" t="n">
        <f aca="false">(IF(39-(INT((Parametri_v3!$C$29)/30))&lt;1,0,INDEX(Motore_Operativo!$BH$425:$BH$484,MAX(1,39-(INT((Parametri_v3!$C$29)/30)))))*(1-(MOD((Parametri_v3!$C$29),30)/30))+IF(39-(INT((Parametri_v3!$C$29)/30))-1&lt;1,0,INDEX(Motore_Operativo!$BH$425:$BH$484,MAX(1,39-(INT((Parametri_v3!$C$29)/30))-1)))*(MOD((Parametri_v3!$C$29),30)/30))*(1+Parametri_v3!$C$26)</f>
        <v>11009.4833333333</v>
      </c>
      <c r="AG463" s="15" t="n">
        <f aca="false">(AG462)+AE463-AF463</f>
        <v>11009.4833333333</v>
      </c>
      <c r="AH463" s="15" t="n">
        <f aca="false">(Motore_Operativo!CJ463)*(1+Parametri_v3!$C$27*Parametri_v3!$C$26)</f>
        <v>70202.725283683</v>
      </c>
      <c r="AI463" s="15" t="n">
        <f aca="false">(IF(39-(INT((Ipotesi!$C$91)/30))&lt;1,0,INDEX(Motore_Startup!$AH$425:$AH$484,MAX(1,39-(INT((Ipotesi!$C$91)/30)))))*(1-(MOD((Ipotesi!$C$91),30)/30))+IF(39-(INT((Ipotesi!$C$91)/30))-1&lt;1,0,INDEX(Motore_Startup!$AH$425:$AH$484,MAX(1,39-(INT((Ipotesi!$C$91)/30))-1)))*(MOD((Ipotesi!$C$91),30)/30))</f>
        <v>69474.875461138</v>
      </c>
      <c r="AJ463" s="15" t="n">
        <f aca="false">(AJ462)+AH463-AI463</f>
        <v>140043.12328401</v>
      </c>
      <c r="AK463" s="15" t="n">
        <f aca="false">(F463+ Motore_Operativo!BH463-(Motore_Operativo!CJ463)*Parametri_v3!$C$27-Motore_Operativo!CE463)*Parametri_v3!$C$26</f>
        <v>15351.7513839417</v>
      </c>
      <c r="AL463" s="15" t="n">
        <f aca="false">MAX(0,(AM462))</f>
        <v>14929.1597720746</v>
      </c>
      <c r="AM463" s="15" t="n">
        <f aca="false">(AM462)+AK463-AL463</f>
        <v>15351.7513839417</v>
      </c>
      <c r="AN463" s="15" t="n">
        <f aca="false">SUM(X449:X460)</f>
        <v>0</v>
      </c>
      <c r="AO463" s="15" t="n">
        <f aca="false">SUM(AP449:AP460)</f>
        <v>0</v>
      </c>
      <c r="AP463" s="15" t="n">
        <f aca="false">MAX(0,AN463)*IF(3=Parametri_v3!$C$43,Parametri_v3!$C$45,IF(3=Parametri_v3!$C$44,1-Parametri_v3!$C$45,0))</f>
        <v>0</v>
      </c>
      <c r="AQ463" s="15" t="n">
        <f aca="false">MAX(0,AP463+IF(3=Parametri_v3!$C$43,MAX(0,AN463-AO463),0)-MAX(0,-(AR462)))</f>
        <v>0</v>
      </c>
      <c r="AR463" s="15" t="n">
        <f aca="false">(AR462)+X463-AQ463</f>
        <v>0</v>
      </c>
      <c r="AS463" s="15" t="n">
        <f aca="false">Motore_Operativo!AB463-AT463+AU463</f>
        <v>91649.4297604167</v>
      </c>
      <c r="AT463" s="15" t="n">
        <f aca="false">Motore_Operativo!CH463</f>
        <v>4823.65419791667</v>
      </c>
      <c r="AU463" s="15" t="n">
        <f aca="false">MIN(MAX(0,(AV462)+AT463),Parametri_v3!$C$60/12)</f>
        <v>0</v>
      </c>
      <c r="AV463" s="15" t="n">
        <f aca="false">(AV462)+AT463-AU463</f>
        <v>93642.66259375</v>
      </c>
      <c r="AW463" s="15" t="n">
        <f aca="false">IF(AND(Motore_Operativo!C463=Finanziamenti!$D$6,Finanziamenti!$F$6=1),Finanziamenti!$C$6,0)</f>
        <v>0</v>
      </c>
      <c r="AX463" s="15" t="n">
        <f aca="false">IF(AND(8&lt;&gt;7,8&lt;&gt;9,Finanziamenti!$F$8=1,OR(Parametri_v3!$C$6=0,Finanziamenti!$E$8=1),Motore_Operativo!C463=EDATE(Finanziamenti!$D$8,Ipotesi!J15*12)),Finanziamenti!$C$8*1,0)+IF(AND(8&lt;&gt;7,8&lt;&gt;9,Finanziamenti!$F$9=1,OR(Parametri_v3!$C$6=0,Finanziamenti!$E$9=1),Motore_Operativo!C463=EDATE(Finanziamenti!$D$9,Ipotesi!J15*12)),Finanziamenti!$C$9*Ipotesi!J16,0)</f>
        <v>0</v>
      </c>
      <c r="AY463" s="15" t="n">
        <f aca="false">0</f>
        <v>0</v>
      </c>
      <c r="AZ463" s="15" t="n">
        <f aca="false">Motore_Advisory!AY463*(1-Ipotesi!$C$95)*Ipotesi!$C$96</f>
        <v>0</v>
      </c>
      <c r="BA463" s="15" t="n">
        <f aca="false">MAX(0,MIN(CG463*MIN(1,IF(Motore_Operativo!C463&gt;=EDATE(Finanziamenti!$D$15,Ipotesi!J14*12),Finanziamenti!$C$15,0)+IF(Motore_Operativo!C463&gt;=EDATE(Finanziamenti!$D$16,Ipotesi!J14*12),Finanziamenti!$C$16,0)+IF(Motore_Operativo!C463&gt;=EDATE(Finanziamenti!$D$17,Ipotesi!J14*12),Finanziamenti!$C$17,0)),CA463*Ipotesi!$C$102)-(CC462))</f>
        <v>0</v>
      </c>
      <c r="BB463" s="15" t="n">
        <f aca="false">IF(AND(CF463&gt;0,Motore_Operativo!C463&gt;=IF(CF463=0,0,EDATE(CF463,Parametri_v3!$C$37)),MOD(((D463-YEAR(IF(CF463=0,0,EDATE(CF463,Parametri_v3!$C$37))))*12+E463-MONTH(IF(CF463=0,0,EDATE(CF463,Parametri_v3!$C$37)))),Parametri_v3!$C$38)=0),MIN(MAX(0,(BC462)+BA463-N463),(CC463-CD463)/(Ipotesi!$C$108*12/Parametri_v3!$C$38)),0)</f>
        <v>0</v>
      </c>
      <c r="BC463" s="15" t="n">
        <f aca="false">(BC462)+BA463-N463-BB463</f>
        <v>265392.996883967</v>
      </c>
      <c r="BD463" s="15" t="n">
        <f aca="false">(BH462)+AC463+AF463-AI463-AS463-K463*(1+Parametri_v3!$C$26)-AL463-AQ463-O463+AW463+AX463+AZ463+BA463-BB463</f>
        <v>273409.212158749</v>
      </c>
      <c r="BE463" s="15" t="n">
        <f aca="false">MAX(0,MIN(MAX(0,CH463-(BG462)),Parametri_v3!$C$30-BD463))</f>
        <v>0</v>
      </c>
      <c r="BF463" s="15" t="n">
        <f aca="false">IF(Motore_Operativo!C463&gt;=Parametri_v3!$C$63,(BG462),MIN((BG462),MAX(0,BD463-Parametri_v3!$C$30)))</f>
        <v>0</v>
      </c>
      <c r="BG463" s="15" t="n">
        <f aca="false">(BG462)+BE463-BF463</f>
        <v>0</v>
      </c>
      <c r="BH463" s="15" t="n">
        <f aca="false">BD463+BE463-BF463-AY463</f>
        <v>273409.212158749</v>
      </c>
      <c r="BI463" s="15" t="n">
        <f aca="false">MAX(0,Parametri_v3!$C$30-BH463)</f>
        <v>0</v>
      </c>
      <c r="BJ463" s="15" t="n">
        <f aca="false">(BJ462)+K463</f>
        <v>85000</v>
      </c>
      <c r="BK463" s="15" t="n">
        <f aca="false">(BK462)+L463</f>
        <v>41736.1111111111</v>
      </c>
      <c r="BL463" s="15" t="n">
        <f aca="false">BJ463-BK463</f>
        <v>43263.8888888889</v>
      </c>
      <c r="BM463" s="15" t="n">
        <f aca="false">(BM462)+Y463</f>
        <v>-1106188.71601467</v>
      </c>
      <c r="BN463" s="15" t="n">
        <f aca="false">(BN462)+AW463+AX463+AZ463</f>
        <v>1330000</v>
      </c>
      <c r="BO463" s="15" t="n">
        <f aca="false">(BO462)+AY463</f>
        <v>0</v>
      </c>
      <c r="BP463" s="15" t="n">
        <f aca="false">0</f>
        <v>0</v>
      </c>
      <c r="BQ463" s="15" t="n">
        <f aca="false">BN463+BM463-BO463</f>
        <v>223811.283985335</v>
      </c>
      <c r="BR463" s="15" t="n">
        <f aca="false">BH463+AD463+BL463+MAX(0,-AM463)+MAX(0,-AR463)+AG463</f>
        <v>738241.818131003</v>
      </c>
      <c r="BS463" s="15" t="n">
        <f aca="false">AJ463+AV463+MAX(0,AM463)+MAX(0,AR463)+BC463+BG463+BQ463</f>
        <v>738241.818131004</v>
      </c>
      <c r="BT463" s="15" t="n">
        <f aca="false">BR463-BS463</f>
        <v>0</v>
      </c>
      <c r="BU463" s="15" t="n">
        <f aca="false">BH463-(BD463+BE463-BF463-AY463)</f>
        <v>0</v>
      </c>
      <c r="BV463" s="15" t="n">
        <f aca="false">MIN(Piano_SS!$C$6,(BV462)+IF(AND(Motore_Operativo!C463&gt;=EDATE(Parametri_v3!$C$24,Ipotesi!J14*12),Motore_Operativo!C463&lt;EDATE(Parametri_v3!$C$24,Parametri_v3!$C$25+Ipotesi!J14*12)),MAX(0,(Motore_Operativo!Y463+Motore_Operativo!X463*Parametri_v3!$C$14)*(1-Parametri_v3!$C$32))*Piano_SS!$D$6,0))</f>
        <v>300000</v>
      </c>
      <c r="BW463" s="15" t="n">
        <f aca="false">MIN(Piano_SS!$C$7,(BW462)+IF(AND(Motore_Operativo!C463&gt;=EDATE(Parametri_v3!$C$24,Ipotesi!J14*12),Motore_Operativo!C463&lt;EDATE(Parametri_v3!$C$24,Parametri_v3!$C$25+Ipotesi!J14*12)),MAX(0,(IF(39-(INT((Ipotesi!$C$91)/30))&lt;1,0,INDEX(Motore_Operativo!$BN$425:$BN$484,MAX(1,39-(INT((Ipotesi!$C$91)/30)))))*(1-(MOD((Ipotesi!$C$91),30)/30))+IF(39-(INT((Ipotesi!$C$91)/30))-1&lt;1,0,INDEX(Motore_Operativo!$BN$425:$BN$484,MAX(1,39-(INT((Ipotesi!$C$91)/30))-1)))*(MOD((Ipotesi!$C$91),30)/30)))*Piano_SS!$D$7,0))</f>
        <v>41058.9230070837</v>
      </c>
      <c r="BX463" s="15" t="n">
        <f aca="false">MIN(Piano_SS!$C$8,(BX462)+IF(AND(Motore_Operativo!C463&gt;=EDATE(Parametri_v3!$C$24,Ipotesi!J14*12),Motore_Operativo!C463&lt;EDATE(Parametri_v3!$C$24,Parametri_v3!$C$25+Ipotesi!J14*12)),MAX(0,Motore_Operativo!CE463)*Piano_SS!$D$8,0))</f>
        <v>50000</v>
      </c>
      <c r="BY463" s="15" t="n">
        <f aca="false">MIN(Piano_SS!$C$9,(BY462)+IF(AND(Motore_Operativo!C463&gt;=EDATE(Parametri_v3!$C$24,Ipotesi!J14*12),Motore_Operativo!C463&lt;EDATE(Parametri_v3!$C$24,Parametri_v3!$C$25+Ipotesi!J14*12)),MAX(0,((IF(39-(INT((Ipotesi!$C$91)/30))&lt;1,0,INDEX(Motore_Operativo!$BQ$425:$BQ$484,MAX(1,39-(INT((Ipotesi!$C$91)/30)))))*(1-(MOD((Ipotesi!$C$91),30)/30))+IF(39-(INT((Ipotesi!$C$91)/30))-1&lt;1,0,INDEX(Motore_Operativo!$BQ$425:$BQ$484,MAX(1,39-(INT((Ipotesi!$C$91)/30))-1)))*(MOD((Ipotesi!$C$91),30)/30))+(IF(39-(INT((Ipotesi!$C$91)/30))&lt;1,0,INDEX(Motore_Operativo!$BR$425:$BR$484,MAX(1,39-(INT((Ipotesi!$C$91)/30)))))*(1-(MOD((Ipotesi!$C$91),30)/30))+IF(39-(INT((Ipotesi!$C$91)/30))-1&lt;1,0,INDEX(Motore_Operativo!$BR$425:$BR$484,MAX(1,39-(INT((Ipotesi!$C$91)/30))-1)))*(MOD((Ipotesi!$C$91),30)/30))))*Piano_SS!$D$9,0))</f>
        <v>40000</v>
      </c>
      <c r="BZ463" s="15" t="n">
        <f aca="false">MIN(Piano_SS!$C$10,(BZ462)+IF(AND(Motore_Operativo!C463&gt;=EDATE(Parametri_v3!$C$24,Ipotesi!J14*12),Motore_Operativo!C463&lt;EDATE(Parametri_v3!$C$24,Parametri_v3!$C$25+Ipotesi!J14*12)),MAX(0,(IF(39-(INT((Ipotesi!$C$91)/30))&lt;1,0,INDEX(Motore_Operativo!$BO$425:$BO$484,MAX(1,39-(INT((Ipotesi!$C$91)/30)))))*(1-(MOD((Ipotesi!$C$91),30)/30))+IF(39-(INT((Ipotesi!$C$91)/30))-1&lt;1,0,INDEX(Motore_Operativo!$BO$425:$BO$484,MAX(1,39-(INT((Ipotesi!$C$91)/30))-1)))*(MOD((Ipotesi!$C$91),30)/30)))*Piano_SS!$D$10,0))</f>
        <v>30000</v>
      </c>
      <c r="CA463" s="15" t="n">
        <f aca="false">SUM(BV463:BZ463)</f>
        <v>461058.923007084</v>
      </c>
      <c r="CB463" s="15" t="n">
        <f aca="false">BV463*(1-Piano_SS!$E$6)+BW463*(1-Piano_SS!$E$7)+BX463*(1-Piano_SS!$E$8)+BY463*(1-Piano_SS!$E$9)+BZ463*(1-Piano_SS!$E$10)</f>
        <v>431058.923007084</v>
      </c>
      <c r="CC463" s="15" t="n">
        <f aca="false">(CC462)+BA463</f>
        <v>368847.138405667</v>
      </c>
      <c r="CD463" s="15" t="n">
        <f aca="false">IF(CA463=0,0,CC463*CB463/CA463*Ipotesi!$C$103*Parametri_v3!$C$64)</f>
        <v>103454.1415217</v>
      </c>
      <c r="CE463" s="18" t="n">
        <f aca="false">IF(BA463&gt;0,Motore_Operativo!C463,(CE462))</f>
        <v>47270</v>
      </c>
      <c r="CF463" s="18" t="n">
        <f aca="false">IF(AND(CC463&gt;0,OR(CC463&gt;=CG463-0.01,Motore_Operativo!C463&gt;=EDATE(MAX(Finanziamenti!$D$15:$D$17),Ipotesi!J14*12))),CE463,0)</f>
        <v>47270</v>
      </c>
      <c r="CG463" s="15" t="n">
        <f aca="false">IF(AND(8&lt;&gt;6,8&lt;&gt;9,Finanziamenti!$F$11=1,OR(Parametri_v3!$C$6=0,Finanziamenti!$E$11=1)),MIN(Finanziamenti!$C$11,Piano_SS!$C$12*Ipotesi!$C$102),0)</f>
        <v>400000</v>
      </c>
      <c r="CH463" s="15" t="n">
        <f aca="false">IF(AND(AND(8&lt;&gt;8,8&lt;&gt;9,Finanziamenti!$F$10=1,OR(Parametri_v3!$C$6=0,Finanziamenti!$E$10=1)),Motore_Operativo!C463&gt;=Finanziamenti!$D$10,Motore_Operativo!C463&lt;Parametri_v3!$C$63),Finanziamenti!$C$10,0)</f>
        <v>0</v>
      </c>
    </row>
    <row r="464" customFormat="false" ht="18" hidden="false" customHeight="true" outlineLevel="0" collapsed="false">
      <c r="A464" s="68" t="n">
        <f aca="false">8</f>
        <v>8</v>
      </c>
      <c r="B464" s="68" t="n">
        <f aca="false">40</f>
        <v>40</v>
      </c>
      <c r="C464" s="18" t="n">
        <f aca="false">Motore_Operativo!C464</f>
        <v>47574</v>
      </c>
      <c r="D464" s="68" t="n">
        <f aca="false">Motore_Operativo!D464</f>
        <v>2030</v>
      </c>
      <c r="E464" s="68" t="n">
        <f aca="false">Motore_Operativo!E464</f>
        <v>4</v>
      </c>
      <c r="F464" s="15" t="n">
        <f aca="false">Motore_Operativo!AQ464+Motore_Operativo!BF464</f>
        <v>116985.966626</v>
      </c>
      <c r="G464" s="15" t="n">
        <f aca="false">Motore_Operativo!BH464</f>
        <v>9024.16666666667</v>
      </c>
      <c r="H464" s="15" t="n">
        <f aca="false">Motore_Operativo!BI464</f>
        <v>126010.133292667</v>
      </c>
      <c r="I464" s="15" t="n">
        <f aca="false">Motore_Operativo!CA464</f>
        <v>155983.51095264</v>
      </c>
      <c r="J464" s="15" t="n">
        <f aca="false">Motore_Operativo!CC464</f>
        <v>-29973.3776599733</v>
      </c>
      <c r="K464" s="15" t="n">
        <f aca="false">Motore_Operativo!CE464</f>
        <v>3333.33333333333</v>
      </c>
      <c r="L464" s="15" t="n">
        <f aca="false">SUM(INDEX($K$425:$K$484,MAX(1,40-Parametri_v3!$C$59+1)):K464)/Parametri_v3!$C$59</f>
        <v>2268.51851851852</v>
      </c>
      <c r="M464" s="15" t="n">
        <f aca="false">J464-L464</f>
        <v>-32241.8961784918</v>
      </c>
      <c r="N464" s="15" t="n">
        <f aca="false">CD464-(CD463)</f>
        <v>0</v>
      </c>
      <c r="O464" s="15" t="n">
        <f aca="false">(BG463)*Ipotesi!$C$110/12+CH464*Parametri_v3!$C$39/12</f>
        <v>0</v>
      </c>
      <c r="P464" s="15" t="n">
        <f aca="false">M464+N464-O464</f>
        <v>-32241.8961784918</v>
      </c>
      <c r="Q464" s="15" t="n">
        <f aca="false">SUM(P461:P464)+Parametri_v3!$C$54*4/12</f>
        <v>-141102.993433706</v>
      </c>
      <c r="R464" s="15" t="n">
        <f aca="false">Z460</f>
        <v>997327.618759451</v>
      </c>
      <c r="S464" s="15" t="n">
        <f aca="false">AA460</f>
        <v>0</v>
      </c>
      <c r="T464" s="15" t="n">
        <f aca="false">MIN(R464,MAX(0,Q464))</f>
        <v>0</v>
      </c>
      <c r="U464" s="15" t="n">
        <f aca="false">MIN(S464,MAX(0,Q464-T464)*Parametri_v3!$C$42)</f>
        <v>0</v>
      </c>
      <c r="V464" s="15" t="n">
        <f aca="false">MAX(0,Q464-T464-U464)*Ipotesi!$C$92</f>
        <v>0</v>
      </c>
      <c r="W464" s="15" t="n">
        <f aca="false">MAX(0,SUM(M461:M464)+Parametri_v3!$C$55*4/12)*Ipotesi!$C$93</f>
        <v>0</v>
      </c>
      <c r="X464" s="15" t="n">
        <f aca="false">V464+W464-(V463+W463)</f>
        <v>0</v>
      </c>
      <c r="Y464" s="15" t="n">
        <f aca="false">P464-X464</f>
        <v>-32241.8961784918</v>
      </c>
      <c r="Z464" s="15" t="n">
        <f aca="false">R464-T464+IF(AND(Parametri_v3!$C$40=1,D464-YEAR(Parametri_v3!$C$50)&lt;Parametri_v3!$C$41),MAX(0,-Q464),0)</f>
        <v>997327.618759451</v>
      </c>
      <c r="AA464" s="15" t="n">
        <f aca="false">S464-U464+IF(AND(Parametri_v3!$C$40=1,D464-YEAR(Parametri_v3!$C$50)&lt;Parametri_v3!$C$41),0,MAX(0,-Q464))</f>
        <v>141102.993433706</v>
      </c>
      <c r="AB464" s="15" t="n">
        <f aca="false">F464*(1+Parametri_v3!$C$26)</f>
        <v>142722.87928372</v>
      </c>
      <c r="AC464" s="15" t="n">
        <f aca="false">(IF(40-(INT((Motore_Operativo!L464)/30))&lt;1,0,INDEX(Motore_Startup!$AB$425:$AB$484,MAX(1,40-(INT((Motore_Operativo!L464)/30)))))*(1-(MOD((Motore_Operativo!L464),30)/30))+IF(40-(INT((Motore_Operativo!L464)/30))-1&lt;1,0,INDEX(Motore_Startup!$AB$425:$AB$484,MAX(1,40-(INT((Motore_Operativo!L464)/30))-1)))*(MOD((Motore_Operativo!L464),30)/30))</f>
        <v>134177.436481054</v>
      </c>
      <c r="AD464" s="15" t="n">
        <f aca="false">(AD463)+AB464-AC464</f>
        <v>419104.676552697</v>
      </c>
      <c r="AE464" s="15" t="n">
        <f aca="false">Motore_Operativo!BH464*(1+Parametri_v3!$C$26)</f>
        <v>11009.4833333333</v>
      </c>
      <c r="AF464" s="15" t="n">
        <f aca="false">(IF(40-(INT((Parametri_v3!$C$29)/30))&lt;1,0,INDEX(Motore_Operativo!$BH$425:$BH$484,MAX(1,40-(INT((Parametri_v3!$C$29)/30)))))*(1-(MOD((Parametri_v3!$C$29),30)/30))+IF(40-(INT((Parametri_v3!$C$29)/30))-1&lt;1,0,INDEX(Motore_Operativo!$BH$425:$BH$484,MAX(1,40-(INT((Parametri_v3!$C$29)/30))-1)))*(MOD((Parametri_v3!$C$29),30)/30))*(1+Parametri_v3!$C$26)</f>
        <v>11009.4833333333</v>
      </c>
      <c r="AG464" s="15" t="n">
        <f aca="false">(AG463)+AE464-AF464</f>
        <v>11009.4833333333</v>
      </c>
      <c r="AH464" s="15" t="n">
        <f aca="false">(Motore_Operativo!CJ464)*(1+Parametri_v3!$C$27*Parametri_v3!$C$26)</f>
        <v>70638.876842242</v>
      </c>
      <c r="AI464" s="15" t="n">
        <f aca="false">(IF(40-(INT((Ipotesi!$C$91)/30))&lt;1,0,INDEX(Motore_Startup!$AH$425:$AH$484,MAX(1,40-(INT((Ipotesi!$C$91)/30)))))*(1-(MOD((Ipotesi!$C$91),30)/30))+IF(40-(INT((Ipotesi!$C$91)/30))-1&lt;1,0,INDEX(Motore_Startup!$AH$425:$AH$484,MAX(1,40-(INT((Ipotesi!$C$91)/30))-1)))*(MOD((Ipotesi!$C$91),30)/30))</f>
        <v>69840.3980003269</v>
      </c>
      <c r="AJ464" s="15" t="n">
        <f aca="false">(AJ463)+AH464-AI464</f>
        <v>140841.602125925</v>
      </c>
      <c r="AK464" s="15" t="n">
        <f aca="false">(F464+ Motore_Operativo!BH464-(Motore_Operativo!CJ464)*Parametri_v3!$C$27-Motore_Operativo!CE464)*Parametri_v3!$C$26</f>
        <v>15860.446143118</v>
      </c>
      <c r="AL464" s="15" t="n">
        <f aca="false">MAX(0,(AM463))</f>
        <v>15351.7513839417</v>
      </c>
      <c r="AM464" s="15" t="n">
        <f aca="false">(AM463)+AK464-AL464</f>
        <v>15860.446143118</v>
      </c>
      <c r="AN464" s="15" t="n">
        <f aca="false">SUM(X449:X460)</f>
        <v>0</v>
      </c>
      <c r="AO464" s="15" t="n">
        <f aca="false">SUM(AP449:AP460)</f>
        <v>0</v>
      </c>
      <c r="AP464" s="15" t="n">
        <f aca="false">MAX(0,AN464)*IF(4=Parametri_v3!$C$43,Parametri_v3!$C$45,IF(4=Parametri_v3!$C$44,1-Parametri_v3!$C$45,0))</f>
        <v>0</v>
      </c>
      <c r="AQ464" s="15" t="n">
        <f aca="false">MAX(0,AP464+IF(4=Parametri_v3!$C$43,MAX(0,AN464-AO464),0)-MAX(0,-(AR463)))</f>
        <v>0</v>
      </c>
      <c r="AR464" s="15" t="n">
        <f aca="false">(AR463)+X464-AQ464</f>
        <v>0</v>
      </c>
      <c r="AS464" s="15" t="n">
        <f aca="false">Motore_Operativo!AB464-AT464+AU464</f>
        <v>91649.4297604167</v>
      </c>
      <c r="AT464" s="15" t="n">
        <f aca="false">Motore_Operativo!CH464</f>
        <v>4823.65419791667</v>
      </c>
      <c r="AU464" s="15" t="n">
        <f aca="false">MIN(MAX(0,(AV463)+AT464),Parametri_v3!$C$60/12)</f>
        <v>0</v>
      </c>
      <c r="AV464" s="15" t="n">
        <f aca="false">(AV463)+AT464-AU464</f>
        <v>98466.3167916667</v>
      </c>
      <c r="AW464" s="15" t="n">
        <f aca="false">IF(AND(Motore_Operativo!C464=Finanziamenti!$D$6,Finanziamenti!$F$6=1),Finanziamenti!$C$6,0)</f>
        <v>0</v>
      </c>
      <c r="AX464" s="15" t="n">
        <f aca="false">IF(AND(8&lt;&gt;7,8&lt;&gt;9,Finanziamenti!$F$8=1,OR(Parametri_v3!$C$6=0,Finanziamenti!$E$8=1),Motore_Operativo!C464=EDATE(Finanziamenti!$D$8,Ipotesi!J15*12)),Finanziamenti!$C$8*1,0)+IF(AND(8&lt;&gt;7,8&lt;&gt;9,Finanziamenti!$F$9=1,OR(Parametri_v3!$C$6=0,Finanziamenti!$E$9=1),Motore_Operativo!C464=EDATE(Finanziamenti!$D$9,Ipotesi!J15*12)),Finanziamenti!$C$9*Ipotesi!J16,0)</f>
        <v>0</v>
      </c>
      <c r="AY464" s="15" t="n">
        <f aca="false">0</f>
        <v>0</v>
      </c>
      <c r="AZ464" s="15" t="n">
        <f aca="false">Motore_Advisory!AY464*(1-Ipotesi!$C$95)*Ipotesi!$C$96</f>
        <v>0</v>
      </c>
      <c r="BA464" s="15" t="n">
        <f aca="false">MAX(0,MIN(CG464*MIN(1,IF(Motore_Operativo!C464&gt;=EDATE(Finanziamenti!$D$15,Ipotesi!J14*12),Finanziamenti!$C$15,0)+IF(Motore_Operativo!C464&gt;=EDATE(Finanziamenti!$D$16,Ipotesi!J14*12),Finanziamenti!$C$16,0)+IF(Motore_Operativo!C464&gt;=EDATE(Finanziamenti!$D$17,Ipotesi!J14*12),Finanziamenti!$C$17,0)),CA464*Ipotesi!$C$102)-(CC463))</f>
        <v>0</v>
      </c>
      <c r="BB464" s="15" t="n">
        <f aca="false">IF(AND(CF464&gt;0,Motore_Operativo!C464&gt;=IF(CF464=0,0,EDATE(CF464,Parametri_v3!$C$37)),MOD(((D464-YEAR(IF(CF464=0,0,EDATE(CF464,Parametri_v3!$C$37))))*12+E464-MONTH(IF(CF464=0,0,EDATE(CF464,Parametri_v3!$C$37)))),Parametri_v3!$C$38)=0),MIN(MAX(0,(BC463)+BA464-N464),(CC464-CD464)/(Ipotesi!$C$108*12/Parametri_v3!$C$38)),0)</f>
        <v>0</v>
      </c>
      <c r="BC464" s="15" t="n">
        <f aca="false">(BC463)+BA464-N464-BB464</f>
        <v>265392.996883967</v>
      </c>
      <c r="BD464" s="15" t="n">
        <f aca="false">(BH463)+AC464+AF464-AI464-AS464-K464*(1+Parametri_v3!$C$26)-AL464-AQ464-O464+AW464+AX464+AZ464+BA464-BB464</f>
        <v>237687.886161784</v>
      </c>
      <c r="BE464" s="15" t="n">
        <f aca="false">MAX(0,MIN(MAX(0,CH464-(BG463)),Parametri_v3!$C$30-BD464))</f>
        <v>0</v>
      </c>
      <c r="BF464" s="15" t="n">
        <f aca="false">IF(Motore_Operativo!C464&gt;=Parametri_v3!$C$63,(BG463),MIN((BG463),MAX(0,BD464-Parametri_v3!$C$30)))</f>
        <v>0</v>
      </c>
      <c r="BG464" s="15" t="n">
        <f aca="false">(BG463)+BE464-BF464</f>
        <v>0</v>
      </c>
      <c r="BH464" s="15" t="n">
        <f aca="false">BD464+BE464-BF464-AY464</f>
        <v>237687.886161784</v>
      </c>
      <c r="BI464" s="15" t="n">
        <f aca="false">MAX(0,Parametri_v3!$C$30-BH464)</f>
        <v>0</v>
      </c>
      <c r="BJ464" s="15" t="n">
        <f aca="false">(BJ463)+K464</f>
        <v>88333.3333333333</v>
      </c>
      <c r="BK464" s="15" t="n">
        <f aca="false">(BK463)+L464</f>
        <v>44004.6296296296</v>
      </c>
      <c r="BL464" s="15" t="n">
        <f aca="false">BJ464-BK464</f>
        <v>44328.7037037037</v>
      </c>
      <c r="BM464" s="15" t="n">
        <f aca="false">(BM463)+Y464</f>
        <v>-1138430.61219316</v>
      </c>
      <c r="BN464" s="15" t="n">
        <f aca="false">(BN463)+AW464+AX464+AZ464</f>
        <v>1330000</v>
      </c>
      <c r="BO464" s="15" t="n">
        <f aca="false">(BO463)+AY464</f>
        <v>0</v>
      </c>
      <c r="BP464" s="15" t="n">
        <f aca="false">0</f>
        <v>0</v>
      </c>
      <c r="BQ464" s="15" t="n">
        <f aca="false">BN464+BM464-BO464</f>
        <v>191569.387806843</v>
      </c>
      <c r="BR464" s="15" t="n">
        <f aca="false">BH464+AD464+BL464+MAX(0,-AM464)+MAX(0,-AR464)+AG464</f>
        <v>712130.749751519</v>
      </c>
      <c r="BS464" s="15" t="n">
        <f aca="false">AJ464+AV464+MAX(0,AM464)+MAX(0,AR464)+BC464+BG464+BQ464</f>
        <v>712130.74975152</v>
      </c>
      <c r="BT464" s="15" t="n">
        <f aca="false">BR464-BS464</f>
        <v>0</v>
      </c>
      <c r="BU464" s="15" t="n">
        <f aca="false">BH464-(BD464+BE464-BF464-AY464)</f>
        <v>0</v>
      </c>
      <c r="BV464" s="15" t="n">
        <f aca="false">MIN(Piano_SS!$C$6,(BV463)+IF(AND(Motore_Operativo!C464&gt;=EDATE(Parametri_v3!$C$24,Ipotesi!J14*12),Motore_Operativo!C464&lt;EDATE(Parametri_v3!$C$24,Parametri_v3!$C$25+Ipotesi!J14*12)),MAX(0,(Motore_Operativo!Y464+Motore_Operativo!X464*Parametri_v3!$C$14)*(1-Parametri_v3!$C$32))*Piano_SS!$D$6,0))</f>
        <v>300000</v>
      </c>
      <c r="BW464" s="15" t="n">
        <f aca="false">MIN(Piano_SS!$C$7,(BW463)+IF(AND(Motore_Operativo!C464&gt;=EDATE(Parametri_v3!$C$24,Ipotesi!J14*12),Motore_Operativo!C464&lt;EDATE(Parametri_v3!$C$24,Parametri_v3!$C$25+Ipotesi!J14*12)),MAX(0,(IF(40-(INT((Ipotesi!$C$91)/30))&lt;1,0,INDEX(Motore_Operativo!$BN$425:$BN$484,MAX(1,40-(INT((Ipotesi!$C$91)/30)))))*(1-(MOD((Ipotesi!$C$91),30)/30))+IF(40-(INT((Ipotesi!$C$91)/30))-1&lt;1,0,INDEX(Motore_Operativo!$BN$425:$BN$484,MAX(1,40-(INT((Ipotesi!$C$91)/30))-1)))*(MOD((Ipotesi!$C$91),30)/30)))*Piano_SS!$D$7,0))</f>
        <v>41058.9230070837</v>
      </c>
      <c r="BX464" s="15" t="n">
        <f aca="false">MIN(Piano_SS!$C$8,(BX463)+IF(AND(Motore_Operativo!C464&gt;=EDATE(Parametri_v3!$C$24,Ipotesi!J14*12),Motore_Operativo!C464&lt;EDATE(Parametri_v3!$C$24,Parametri_v3!$C$25+Ipotesi!J14*12)),MAX(0,Motore_Operativo!CE464)*Piano_SS!$D$8,0))</f>
        <v>50000</v>
      </c>
      <c r="BY464" s="15" t="n">
        <f aca="false">MIN(Piano_SS!$C$9,(BY463)+IF(AND(Motore_Operativo!C464&gt;=EDATE(Parametri_v3!$C$24,Ipotesi!J14*12),Motore_Operativo!C464&lt;EDATE(Parametri_v3!$C$24,Parametri_v3!$C$25+Ipotesi!J14*12)),MAX(0,((IF(40-(INT((Ipotesi!$C$91)/30))&lt;1,0,INDEX(Motore_Operativo!$BQ$425:$BQ$484,MAX(1,40-(INT((Ipotesi!$C$91)/30)))))*(1-(MOD((Ipotesi!$C$91),30)/30))+IF(40-(INT((Ipotesi!$C$91)/30))-1&lt;1,0,INDEX(Motore_Operativo!$BQ$425:$BQ$484,MAX(1,40-(INT((Ipotesi!$C$91)/30))-1)))*(MOD((Ipotesi!$C$91),30)/30))+(IF(40-(INT((Ipotesi!$C$91)/30))&lt;1,0,INDEX(Motore_Operativo!$BR$425:$BR$484,MAX(1,40-(INT((Ipotesi!$C$91)/30)))))*(1-(MOD((Ipotesi!$C$91),30)/30))+IF(40-(INT((Ipotesi!$C$91)/30))-1&lt;1,0,INDEX(Motore_Operativo!$BR$425:$BR$484,MAX(1,40-(INT((Ipotesi!$C$91)/30))-1)))*(MOD((Ipotesi!$C$91),30)/30))))*Piano_SS!$D$9,0))</f>
        <v>40000</v>
      </c>
      <c r="BZ464" s="15" t="n">
        <f aca="false">MIN(Piano_SS!$C$10,(BZ463)+IF(AND(Motore_Operativo!C464&gt;=EDATE(Parametri_v3!$C$24,Ipotesi!J14*12),Motore_Operativo!C464&lt;EDATE(Parametri_v3!$C$24,Parametri_v3!$C$25+Ipotesi!J14*12)),MAX(0,(IF(40-(INT((Ipotesi!$C$91)/30))&lt;1,0,INDEX(Motore_Operativo!$BO$425:$BO$484,MAX(1,40-(INT((Ipotesi!$C$91)/30)))))*(1-(MOD((Ipotesi!$C$91),30)/30))+IF(40-(INT((Ipotesi!$C$91)/30))-1&lt;1,0,INDEX(Motore_Operativo!$BO$425:$BO$484,MAX(1,40-(INT((Ipotesi!$C$91)/30))-1)))*(MOD((Ipotesi!$C$91),30)/30)))*Piano_SS!$D$10,0))</f>
        <v>30000</v>
      </c>
      <c r="CA464" s="15" t="n">
        <f aca="false">SUM(BV464:BZ464)</f>
        <v>461058.923007084</v>
      </c>
      <c r="CB464" s="15" t="n">
        <f aca="false">BV464*(1-Piano_SS!$E$6)+BW464*(1-Piano_SS!$E$7)+BX464*(1-Piano_SS!$E$8)+BY464*(1-Piano_SS!$E$9)+BZ464*(1-Piano_SS!$E$10)</f>
        <v>431058.923007084</v>
      </c>
      <c r="CC464" s="15" t="n">
        <f aca="false">(CC463)+BA464</f>
        <v>368847.138405667</v>
      </c>
      <c r="CD464" s="15" t="n">
        <f aca="false">IF(CA464=0,0,CC464*CB464/CA464*Ipotesi!$C$103*Parametri_v3!$C$64)</f>
        <v>103454.1415217</v>
      </c>
      <c r="CE464" s="18" t="n">
        <f aca="false">IF(BA464&gt;0,Motore_Operativo!C464,(CE463))</f>
        <v>47270</v>
      </c>
      <c r="CF464" s="18" t="n">
        <f aca="false">IF(AND(CC464&gt;0,OR(CC464&gt;=CG464-0.01,Motore_Operativo!C464&gt;=EDATE(MAX(Finanziamenti!$D$15:$D$17),Ipotesi!J14*12))),CE464,0)</f>
        <v>47270</v>
      </c>
      <c r="CG464" s="15" t="n">
        <f aca="false">IF(AND(8&lt;&gt;6,8&lt;&gt;9,Finanziamenti!$F$11=1,OR(Parametri_v3!$C$6=0,Finanziamenti!$E$11=1)),MIN(Finanziamenti!$C$11,Piano_SS!$C$12*Ipotesi!$C$102),0)</f>
        <v>400000</v>
      </c>
      <c r="CH464" s="15" t="n">
        <f aca="false">IF(AND(AND(8&lt;&gt;8,8&lt;&gt;9,Finanziamenti!$F$10=1,OR(Parametri_v3!$C$6=0,Finanziamenti!$E$10=1)),Motore_Operativo!C464&gt;=Finanziamenti!$D$10,Motore_Operativo!C464&lt;Parametri_v3!$C$63),Finanziamenti!$C$10,0)</f>
        <v>0</v>
      </c>
    </row>
    <row r="465" customFormat="false" ht="18" hidden="false" customHeight="true" outlineLevel="0" collapsed="false">
      <c r="A465" s="68" t="n">
        <f aca="false">8</f>
        <v>8</v>
      </c>
      <c r="B465" s="68" t="n">
        <f aca="false">41</f>
        <v>41</v>
      </c>
      <c r="C465" s="18" t="n">
        <f aca="false">Motore_Operativo!C465</f>
        <v>47604</v>
      </c>
      <c r="D465" s="68" t="n">
        <f aca="false">Motore_Operativo!D465</f>
        <v>2030</v>
      </c>
      <c r="E465" s="68" t="n">
        <f aca="false">Motore_Operativo!E465</f>
        <v>5</v>
      </c>
      <c r="F465" s="15" t="n">
        <f aca="false">Motore_Operativo!AQ465+Motore_Operativo!BF465</f>
        <v>120050.899173052</v>
      </c>
      <c r="G465" s="15" t="n">
        <f aca="false">Motore_Operativo!BH465</f>
        <v>9024.16666666667</v>
      </c>
      <c r="H465" s="15" t="n">
        <f aca="false">Motore_Operativo!BI465</f>
        <v>129075.065839719</v>
      </c>
      <c r="I465" s="15" t="n">
        <f aca="false">Motore_Operativo!CA465</f>
        <v>156412.601509227</v>
      </c>
      <c r="J465" s="15" t="n">
        <f aca="false">Motore_Operativo!CC465</f>
        <v>-27337.5356695087</v>
      </c>
      <c r="K465" s="15" t="n">
        <f aca="false">Motore_Operativo!CE465</f>
        <v>3333.33333333333</v>
      </c>
      <c r="L465" s="15" t="n">
        <f aca="false">SUM(INDEX($K$425:$K$484,MAX(1,41-Parametri_v3!$C$59+1)):K465)/Parametri_v3!$C$59</f>
        <v>2314.81481481482</v>
      </c>
      <c r="M465" s="15" t="n">
        <f aca="false">J465-L465</f>
        <v>-29652.3504843235</v>
      </c>
      <c r="N465" s="15" t="n">
        <f aca="false">CD465-(CD464)</f>
        <v>0</v>
      </c>
      <c r="O465" s="15" t="n">
        <f aca="false">(BG464)*Ipotesi!$C$110/12+CH465*Parametri_v3!$C$39/12</f>
        <v>0</v>
      </c>
      <c r="P465" s="15" t="n">
        <f aca="false">M465+N465-O465</f>
        <v>-29652.3504843235</v>
      </c>
      <c r="Q465" s="15" t="n">
        <f aca="false">SUM(P461:P465)+Parametri_v3!$C$54*5/12</f>
        <v>-170755.34391803</v>
      </c>
      <c r="R465" s="15" t="n">
        <f aca="false">Z460</f>
        <v>997327.618759451</v>
      </c>
      <c r="S465" s="15" t="n">
        <f aca="false">AA460</f>
        <v>0</v>
      </c>
      <c r="T465" s="15" t="n">
        <f aca="false">MIN(R465,MAX(0,Q465))</f>
        <v>0</v>
      </c>
      <c r="U465" s="15" t="n">
        <f aca="false">MIN(S465,MAX(0,Q465-T465)*Parametri_v3!$C$42)</f>
        <v>0</v>
      </c>
      <c r="V465" s="15" t="n">
        <f aca="false">MAX(0,Q465-T465-U465)*Ipotesi!$C$92</f>
        <v>0</v>
      </c>
      <c r="W465" s="15" t="n">
        <f aca="false">MAX(0,SUM(M461:M465)+Parametri_v3!$C$55*5/12)*Ipotesi!$C$93</f>
        <v>0</v>
      </c>
      <c r="X465" s="15" t="n">
        <f aca="false">V465+W465-(V464+W464)</f>
        <v>0</v>
      </c>
      <c r="Y465" s="15" t="n">
        <f aca="false">P465-X465</f>
        <v>-29652.3504843235</v>
      </c>
      <c r="Z465" s="15" t="n">
        <f aca="false">R465-T465+IF(AND(Parametri_v3!$C$40=1,D465-YEAR(Parametri_v3!$C$50)&lt;Parametri_v3!$C$41),MAX(0,-Q465),0)</f>
        <v>997327.618759451</v>
      </c>
      <c r="AA465" s="15" t="n">
        <f aca="false">S465-U465+IF(AND(Parametri_v3!$C$40=1,D465-YEAR(Parametri_v3!$C$50)&lt;Parametri_v3!$C$41),0,MAX(0,-Q465))</f>
        <v>170755.34391803</v>
      </c>
      <c r="AB465" s="15" t="n">
        <f aca="false">F465*(1+Parametri_v3!$C$26)</f>
        <v>146462.096991123</v>
      </c>
      <c r="AC465" s="15" t="n">
        <f aca="false">(IF(41-(INT((Motore_Operativo!L465)/30))&lt;1,0,INDEX(Motore_Startup!$AB$425:$AB$484,MAX(1,41-(INT((Motore_Operativo!L465)/30)))))*(1-(MOD((Motore_Operativo!L465),30)/30))+IF(41-(INT((Motore_Operativo!L465)/30))-1&lt;1,0,INDEX(Motore_Startup!$AB$425:$AB$484,MAX(1,41-(INT((Motore_Operativo!L465)/30))-1)))*(MOD((Motore_Operativo!L465),30)/30))</f>
        <v>136860.897173138</v>
      </c>
      <c r="AD465" s="15" t="n">
        <f aca="false">(AD464)+AB465-AC465</f>
        <v>428705.876370683</v>
      </c>
      <c r="AE465" s="15" t="n">
        <f aca="false">Motore_Operativo!BH465*(1+Parametri_v3!$C$26)</f>
        <v>11009.4833333333</v>
      </c>
      <c r="AF465" s="15" t="n">
        <f aca="false">(IF(41-(INT((Parametri_v3!$C$29)/30))&lt;1,0,INDEX(Motore_Operativo!$BH$425:$BH$484,MAX(1,41-(INT((Parametri_v3!$C$29)/30)))))*(1-(MOD((Parametri_v3!$C$29),30)/30))+IF(41-(INT((Parametri_v3!$C$29)/30))-1&lt;1,0,INDEX(Motore_Operativo!$BH$425:$BH$484,MAX(1,41-(INT((Parametri_v3!$C$29)/30))-1)))*(MOD((Parametri_v3!$C$29),30)/30))*(1+Parametri_v3!$C$26)</f>
        <v>11009.4833333333</v>
      </c>
      <c r="AG465" s="15" t="n">
        <f aca="false">(AG464)+AE465-AF465</f>
        <v>11009.4833333333</v>
      </c>
      <c r="AH465" s="15" t="n">
        <f aca="false">(Motore_Operativo!CJ465)*(1+Parametri_v3!$C$27*Parametri_v3!$C$26)</f>
        <v>71148.2073329111</v>
      </c>
      <c r="AI465" s="15" t="n">
        <f aca="false">(IF(41-(INT((Ipotesi!$C$91)/30))&lt;1,0,INDEX(Motore_Startup!$AH$425:$AH$484,MAX(1,41-(INT((Ipotesi!$C$91)/30)))))*(1-(MOD((Ipotesi!$C$91),30)/30))+IF(41-(INT((Ipotesi!$C$91)/30))-1&lt;1,0,INDEX(Motore_Startup!$AH$425:$AH$484,MAX(1,41-(INT((Ipotesi!$C$91)/30))-1)))*(MOD((Ipotesi!$C$91),30)/30))</f>
        <v>70202.725283683</v>
      </c>
      <c r="AJ465" s="15" t="n">
        <f aca="false">(AJ464)+AH465-AI465</f>
        <v>141787.084175153</v>
      </c>
      <c r="AK465" s="15" t="n">
        <f aca="false">(F465+ Motore_Operativo!BH465-(Motore_Operativo!CJ465)*Parametri_v3!$C$27-Motore_Operativo!CE465)*Parametri_v3!$C$26</f>
        <v>16454.4913693876</v>
      </c>
      <c r="AL465" s="15" t="n">
        <f aca="false">MAX(0,(AM464))</f>
        <v>15860.446143118</v>
      </c>
      <c r="AM465" s="15" t="n">
        <f aca="false">(AM464)+AK465-AL465</f>
        <v>16454.4913693876</v>
      </c>
      <c r="AN465" s="15" t="n">
        <f aca="false">SUM(X449:X460)</f>
        <v>0</v>
      </c>
      <c r="AO465" s="15" t="n">
        <f aca="false">SUM(AP449:AP460)</f>
        <v>0</v>
      </c>
      <c r="AP465" s="15" t="n">
        <f aca="false">MAX(0,AN465)*IF(5=Parametri_v3!$C$43,Parametri_v3!$C$45,IF(5=Parametri_v3!$C$44,1-Parametri_v3!$C$45,0))</f>
        <v>0</v>
      </c>
      <c r="AQ465" s="15" t="n">
        <f aca="false">MAX(0,AP465+IF(5=Parametri_v3!$C$43,MAX(0,AN465-AO465),0)-MAX(0,-(AR464)))</f>
        <v>0</v>
      </c>
      <c r="AR465" s="15" t="n">
        <f aca="false">(AR464)+X465-AQ465</f>
        <v>0</v>
      </c>
      <c r="AS465" s="15" t="n">
        <f aca="false">Motore_Operativo!AB465-AT465+AU465</f>
        <v>91649.4297604167</v>
      </c>
      <c r="AT465" s="15" t="n">
        <f aca="false">Motore_Operativo!CH465</f>
        <v>4823.65419791667</v>
      </c>
      <c r="AU465" s="15" t="n">
        <f aca="false">MIN(MAX(0,(AV464)+AT465),Parametri_v3!$C$60/12)</f>
        <v>0</v>
      </c>
      <c r="AV465" s="15" t="n">
        <f aca="false">(AV464)+AT465-AU465</f>
        <v>103289.970989583</v>
      </c>
      <c r="AW465" s="15" t="n">
        <f aca="false">IF(AND(Motore_Operativo!C465=Finanziamenti!$D$6,Finanziamenti!$F$6=1),Finanziamenti!$C$6,0)</f>
        <v>0</v>
      </c>
      <c r="AX465" s="15" t="n">
        <f aca="false">IF(AND(8&lt;&gt;7,8&lt;&gt;9,Finanziamenti!$F$8=1,OR(Parametri_v3!$C$6=0,Finanziamenti!$E$8=1),Motore_Operativo!C465=EDATE(Finanziamenti!$D$8,Ipotesi!J15*12)),Finanziamenti!$C$8*1,0)+IF(AND(8&lt;&gt;7,8&lt;&gt;9,Finanziamenti!$F$9=1,OR(Parametri_v3!$C$6=0,Finanziamenti!$E$9=1),Motore_Operativo!C465=EDATE(Finanziamenti!$D$9,Ipotesi!J15*12)),Finanziamenti!$C$9*Ipotesi!J16,0)</f>
        <v>0</v>
      </c>
      <c r="AY465" s="15" t="n">
        <f aca="false">0</f>
        <v>0</v>
      </c>
      <c r="AZ465" s="15" t="n">
        <f aca="false">Motore_Advisory!AY465*(1-Ipotesi!$C$95)*Ipotesi!$C$96</f>
        <v>0</v>
      </c>
      <c r="BA465" s="15" t="n">
        <f aca="false">MAX(0,MIN(CG465*MIN(1,IF(Motore_Operativo!C465&gt;=EDATE(Finanziamenti!$D$15,Ipotesi!J14*12),Finanziamenti!$C$15,0)+IF(Motore_Operativo!C465&gt;=EDATE(Finanziamenti!$D$16,Ipotesi!J14*12),Finanziamenti!$C$16,0)+IF(Motore_Operativo!C465&gt;=EDATE(Finanziamenti!$D$17,Ipotesi!J14*12),Finanziamenti!$C$17,0)),CA465*Ipotesi!$C$102)-(CC464))</f>
        <v>0</v>
      </c>
      <c r="BB465" s="15" t="n">
        <f aca="false">IF(AND(CF465&gt;0,Motore_Operativo!C465&gt;=IF(CF465=0,0,EDATE(CF465,Parametri_v3!$C$37)),MOD(((D465-YEAR(IF(CF465=0,0,EDATE(CF465,Parametri_v3!$C$37))))*12+E465-MONTH(IF(CF465=0,0,EDATE(CF465,Parametri_v3!$C$37)))),Parametri_v3!$C$38)=0),MIN(MAX(0,(BC464)+BA465-N465),(CC465-CD465)/(Ipotesi!$C$108*12/Parametri_v3!$C$38)),0)</f>
        <v>0</v>
      </c>
      <c r="BC465" s="15" t="n">
        <f aca="false">(BC464)+BA465-N465-BB465</f>
        <v>265392.996883967</v>
      </c>
      <c r="BD465" s="15" t="n">
        <f aca="false">(BH464)+AC465+AF465-AI465-AS465-K465*(1+Parametri_v3!$C$26)-AL465-AQ465-O465+AW465+AX465+AZ465+BA465-BB465</f>
        <v>203778.998814371</v>
      </c>
      <c r="BE465" s="15" t="n">
        <f aca="false">MAX(0,MIN(MAX(0,CH465-(BG464)),Parametri_v3!$C$30-BD465))</f>
        <v>0</v>
      </c>
      <c r="BF465" s="15" t="n">
        <f aca="false">IF(Motore_Operativo!C465&gt;=Parametri_v3!$C$63,(BG464),MIN((BG464),MAX(0,BD465-Parametri_v3!$C$30)))</f>
        <v>0</v>
      </c>
      <c r="BG465" s="15" t="n">
        <f aca="false">(BG464)+BE465-BF465</f>
        <v>0</v>
      </c>
      <c r="BH465" s="15" t="n">
        <f aca="false">BD465+BE465-BF465-AY465</f>
        <v>203778.998814371</v>
      </c>
      <c r="BI465" s="15" t="n">
        <f aca="false">MAX(0,Parametri_v3!$C$30-BH465)</f>
        <v>0</v>
      </c>
      <c r="BJ465" s="15" t="n">
        <f aca="false">(BJ464)+K465</f>
        <v>91666.6666666666</v>
      </c>
      <c r="BK465" s="15" t="n">
        <f aca="false">(BK464)+L465</f>
        <v>46319.4444444444</v>
      </c>
      <c r="BL465" s="15" t="n">
        <f aca="false">BJ465-BK465</f>
        <v>45347.2222222222</v>
      </c>
      <c r="BM465" s="15" t="n">
        <f aca="false">(BM464)+Y465</f>
        <v>-1168082.96267748</v>
      </c>
      <c r="BN465" s="15" t="n">
        <f aca="false">(BN464)+AW465+AX465+AZ465</f>
        <v>1330000</v>
      </c>
      <c r="BO465" s="15" t="n">
        <f aca="false">(BO464)+AY465</f>
        <v>0</v>
      </c>
      <c r="BP465" s="15" t="n">
        <f aca="false">0</f>
        <v>0</v>
      </c>
      <c r="BQ465" s="15" t="n">
        <f aca="false">BN465+BM465-BO465</f>
        <v>161917.03732252</v>
      </c>
      <c r="BR465" s="15" t="n">
        <f aca="false">BH465+AD465+BL465+MAX(0,-AM465)+MAX(0,-AR465)+AG465</f>
        <v>688841.58074061</v>
      </c>
      <c r="BS465" s="15" t="n">
        <f aca="false">AJ465+AV465+MAX(0,AM465)+MAX(0,AR465)+BC465+BG465+BQ465</f>
        <v>688841.580740611</v>
      </c>
      <c r="BT465" s="15" t="n">
        <f aca="false">BR465-BS465</f>
        <v>0</v>
      </c>
      <c r="BU465" s="15" t="n">
        <f aca="false">BH465-(BD465+BE465-BF465-AY465)</f>
        <v>0</v>
      </c>
      <c r="BV465" s="15" t="n">
        <f aca="false">MIN(Piano_SS!$C$6,(BV464)+IF(AND(Motore_Operativo!C465&gt;=EDATE(Parametri_v3!$C$24,Ipotesi!J14*12),Motore_Operativo!C465&lt;EDATE(Parametri_v3!$C$24,Parametri_v3!$C$25+Ipotesi!J14*12)),MAX(0,(Motore_Operativo!Y465+Motore_Operativo!X465*Parametri_v3!$C$14)*(1-Parametri_v3!$C$32))*Piano_SS!$D$6,0))</f>
        <v>300000</v>
      </c>
      <c r="BW465" s="15" t="n">
        <f aca="false">MIN(Piano_SS!$C$7,(BW464)+IF(AND(Motore_Operativo!C465&gt;=EDATE(Parametri_v3!$C$24,Ipotesi!J14*12),Motore_Operativo!C465&lt;EDATE(Parametri_v3!$C$24,Parametri_v3!$C$25+Ipotesi!J14*12)),MAX(0,(IF(41-(INT((Ipotesi!$C$91)/30))&lt;1,0,INDEX(Motore_Operativo!$BN$425:$BN$484,MAX(1,41-(INT((Ipotesi!$C$91)/30)))))*(1-(MOD((Ipotesi!$C$91),30)/30))+IF(41-(INT((Ipotesi!$C$91)/30))-1&lt;1,0,INDEX(Motore_Operativo!$BN$425:$BN$484,MAX(1,41-(INT((Ipotesi!$C$91)/30))-1)))*(MOD((Ipotesi!$C$91),30)/30)))*Piano_SS!$D$7,0))</f>
        <v>41058.9230070837</v>
      </c>
      <c r="BX465" s="15" t="n">
        <f aca="false">MIN(Piano_SS!$C$8,(BX464)+IF(AND(Motore_Operativo!C465&gt;=EDATE(Parametri_v3!$C$24,Ipotesi!J14*12),Motore_Operativo!C465&lt;EDATE(Parametri_v3!$C$24,Parametri_v3!$C$25+Ipotesi!J14*12)),MAX(0,Motore_Operativo!CE465)*Piano_SS!$D$8,0))</f>
        <v>50000</v>
      </c>
      <c r="BY465" s="15" t="n">
        <f aca="false">MIN(Piano_SS!$C$9,(BY464)+IF(AND(Motore_Operativo!C465&gt;=EDATE(Parametri_v3!$C$24,Ipotesi!J14*12),Motore_Operativo!C465&lt;EDATE(Parametri_v3!$C$24,Parametri_v3!$C$25+Ipotesi!J14*12)),MAX(0,((IF(41-(INT((Ipotesi!$C$91)/30))&lt;1,0,INDEX(Motore_Operativo!$BQ$425:$BQ$484,MAX(1,41-(INT((Ipotesi!$C$91)/30)))))*(1-(MOD((Ipotesi!$C$91),30)/30))+IF(41-(INT((Ipotesi!$C$91)/30))-1&lt;1,0,INDEX(Motore_Operativo!$BQ$425:$BQ$484,MAX(1,41-(INT((Ipotesi!$C$91)/30))-1)))*(MOD((Ipotesi!$C$91),30)/30))+(IF(41-(INT((Ipotesi!$C$91)/30))&lt;1,0,INDEX(Motore_Operativo!$BR$425:$BR$484,MAX(1,41-(INT((Ipotesi!$C$91)/30)))))*(1-(MOD((Ipotesi!$C$91),30)/30))+IF(41-(INT((Ipotesi!$C$91)/30))-1&lt;1,0,INDEX(Motore_Operativo!$BR$425:$BR$484,MAX(1,41-(INT((Ipotesi!$C$91)/30))-1)))*(MOD((Ipotesi!$C$91),30)/30))))*Piano_SS!$D$9,0))</f>
        <v>40000</v>
      </c>
      <c r="BZ465" s="15" t="n">
        <f aca="false">MIN(Piano_SS!$C$10,(BZ464)+IF(AND(Motore_Operativo!C465&gt;=EDATE(Parametri_v3!$C$24,Ipotesi!J14*12),Motore_Operativo!C465&lt;EDATE(Parametri_v3!$C$24,Parametri_v3!$C$25+Ipotesi!J14*12)),MAX(0,(IF(41-(INT((Ipotesi!$C$91)/30))&lt;1,0,INDEX(Motore_Operativo!$BO$425:$BO$484,MAX(1,41-(INT((Ipotesi!$C$91)/30)))))*(1-(MOD((Ipotesi!$C$91),30)/30))+IF(41-(INT((Ipotesi!$C$91)/30))-1&lt;1,0,INDEX(Motore_Operativo!$BO$425:$BO$484,MAX(1,41-(INT((Ipotesi!$C$91)/30))-1)))*(MOD((Ipotesi!$C$91),30)/30)))*Piano_SS!$D$10,0))</f>
        <v>30000</v>
      </c>
      <c r="CA465" s="15" t="n">
        <f aca="false">SUM(BV465:BZ465)</f>
        <v>461058.923007084</v>
      </c>
      <c r="CB465" s="15" t="n">
        <f aca="false">BV465*(1-Piano_SS!$E$6)+BW465*(1-Piano_SS!$E$7)+BX465*(1-Piano_SS!$E$8)+BY465*(1-Piano_SS!$E$9)+BZ465*(1-Piano_SS!$E$10)</f>
        <v>431058.923007084</v>
      </c>
      <c r="CC465" s="15" t="n">
        <f aca="false">(CC464)+BA465</f>
        <v>368847.138405667</v>
      </c>
      <c r="CD465" s="15" t="n">
        <f aca="false">IF(CA465=0,0,CC465*CB465/CA465*Ipotesi!$C$103*Parametri_v3!$C$64)</f>
        <v>103454.1415217</v>
      </c>
      <c r="CE465" s="18" t="n">
        <f aca="false">IF(BA465&gt;0,Motore_Operativo!C465,(CE464))</f>
        <v>47270</v>
      </c>
      <c r="CF465" s="18" t="n">
        <f aca="false">IF(AND(CC465&gt;0,OR(CC465&gt;=CG465-0.01,Motore_Operativo!C465&gt;=EDATE(MAX(Finanziamenti!$D$15:$D$17),Ipotesi!J14*12))),CE465,0)</f>
        <v>47270</v>
      </c>
      <c r="CG465" s="15" t="n">
        <f aca="false">IF(AND(8&lt;&gt;6,8&lt;&gt;9,Finanziamenti!$F$11=1,OR(Parametri_v3!$C$6=0,Finanziamenti!$E$11=1)),MIN(Finanziamenti!$C$11,Piano_SS!$C$12*Ipotesi!$C$102),0)</f>
        <v>400000</v>
      </c>
      <c r="CH465" s="15" t="n">
        <f aca="false">IF(AND(AND(8&lt;&gt;8,8&lt;&gt;9,Finanziamenti!$F$10=1,OR(Parametri_v3!$C$6=0,Finanziamenti!$E$10=1)),Motore_Operativo!C465&gt;=Finanziamenti!$D$10,Motore_Operativo!C465&lt;Parametri_v3!$C$63),Finanziamenti!$C$10,0)</f>
        <v>0</v>
      </c>
    </row>
    <row r="466" customFormat="false" ht="18" hidden="false" customHeight="true" outlineLevel="0" collapsed="false">
      <c r="A466" s="68" t="n">
        <f aca="false">8</f>
        <v>8</v>
      </c>
      <c r="B466" s="68" t="n">
        <f aca="false">42</f>
        <v>42</v>
      </c>
      <c r="C466" s="18" t="n">
        <f aca="false">Motore_Operativo!C466</f>
        <v>47635</v>
      </c>
      <c r="D466" s="68" t="n">
        <f aca="false">Motore_Operativo!D466</f>
        <v>2030</v>
      </c>
      <c r="E466" s="68" t="n">
        <f aca="false">Motore_Operativo!E466</f>
        <v>6</v>
      </c>
      <c r="F466" s="15" t="n">
        <f aca="false">Motore_Operativo!AQ466+Motore_Operativo!BF466</f>
        <v>123089.039272175</v>
      </c>
      <c r="G466" s="15" t="n">
        <f aca="false">Motore_Operativo!BH466</f>
        <v>9024.16666666667</v>
      </c>
      <c r="H466" s="15" t="n">
        <f aca="false">Motore_Operativo!BI466</f>
        <v>132113.205938842</v>
      </c>
      <c r="I466" s="15" t="n">
        <f aca="false">Motore_Operativo!CA466</f>
        <v>156837.941123105</v>
      </c>
      <c r="J466" s="15" t="n">
        <f aca="false">Motore_Operativo!CC466</f>
        <v>-24724.7351842627</v>
      </c>
      <c r="K466" s="15" t="n">
        <f aca="false">Motore_Operativo!CE466</f>
        <v>3333.33333333333</v>
      </c>
      <c r="L466" s="15" t="n">
        <f aca="false">SUM(INDEX($K$425:$K$484,MAX(1,42-Parametri_v3!$C$59+1)):K466)/Parametri_v3!$C$59</f>
        <v>2361.11111111111</v>
      </c>
      <c r="M466" s="15" t="n">
        <f aca="false">J466-L466</f>
        <v>-27085.8462953739</v>
      </c>
      <c r="N466" s="15" t="n">
        <f aca="false">CD466-(CD465)</f>
        <v>0</v>
      </c>
      <c r="O466" s="15" t="n">
        <f aca="false">(BG465)*Ipotesi!$C$110/12+CH466*Parametri_v3!$C$39/12</f>
        <v>0</v>
      </c>
      <c r="P466" s="15" t="n">
        <f aca="false">M466+N466-O466</f>
        <v>-27085.8462953739</v>
      </c>
      <c r="Q466" s="15" t="n">
        <f aca="false">SUM(P461:P466)+Parametri_v3!$C$54*6/12</f>
        <v>-197841.190213404</v>
      </c>
      <c r="R466" s="15" t="n">
        <f aca="false">Z460</f>
        <v>997327.618759451</v>
      </c>
      <c r="S466" s="15" t="n">
        <f aca="false">AA460</f>
        <v>0</v>
      </c>
      <c r="T466" s="15" t="n">
        <f aca="false">MIN(R466,MAX(0,Q466))</f>
        <v>0</v>
      </c>
      <c r="U466" s="15" t="n">
        <f aca="false">MIN(S466,MAX(0,Q466-T466)*Parametri_v3!$C$42)</f>
        <v>0</v>
      </c>
      <c r="V466" s="15" t="n">
        <f aca="false">MAX(0,Q466-T466-U466)*Ipotesi!$C$92</f>
        <v>0</v>
      </c>
      <c r="W466" s="15" t="n">
        <f aca="false">MAX(0,SUM(M461:M466)+Parametri_v3!$C$55*6/12)*Ipotesi!$C$93</f>
        <v>0</v>
      </c>
      <c r="X466" s="15" t="n">
        <f aca="false">V466+W466-(V465+W465)</f>
        <v>0</v>
      </c>
      <c r="Y466" s="15" t="n">
        <f aca="false">P466-X466</f>
        <v>-27085.8462953739</v>
      </c>
      <c r="Z466" s="15" t="n">
        <f aca="false">R466-T466+IF(AND(Parametri_v3!$C$40=1,D466-YEAR(Parametri_v3!$C$50)&lt;Parametri_v3!$C$41),MAX(0,-Q466),0)</f>
        <v>997327.618759451</v>
      </c>
      <c r="AA466" s="15" t="n">
        <f aca="false">S466-U466+IF(AND(Parametri_v3!$C$40=1,D466-YEAR(Parametri_v3!$C$50)&lt;Parametri_v3!$C$41),0,MAX(0,-Q466))</f>
        <v>197841.190213404</v>
      </c>
      <c r="AB466" s="15" t="n">
        <f aca="false">F466*(1+Parametri_v3!$C$26)</f>
        <v>150168.627912054</v>
      </c>
      <c r="AC466" s="15" t="n">
        <f aca="false">(IF(42-(INT((Motore_Operativo!L466)/30))&lt;1,0,INDEX(Motore_Startup!$AB$425:$AB$484,MAX(1,42-(INT((Motore_Operativo!L466)/30)))))*(1-(MOD((Motore_Operativo!L466),30)/30))+IF(42-(INT((Motore_Operativo!L466)/30))-1&lt;1,0,INDEX(Motore_Startup!$AB$425:$AB$484,MAX(1,42-(INT((Motore_Operativo!L466)/30))-1)))*(MOD((Motore_Operativo!L466),30)/30))</f>
        <v>139520.900095839</v>
      </c>
      <c r="AD466" s="15" t="n">
        <f aca="false">(AD465)+AB466-AC466</f>
        <v>439353.604186897</v>
      </c>
      <c r="AE466" s="15" t="n">
        <f aca="false">Motore_Operativo!BH466*(1+Parametri_v3!$C$26)</f>
        <v>11009.4833333333</v>
      </c>
      <c r="AF466" s="15" t="n">
        <f aca="false">(IF(42-(INT((Parametri_v3!$C$29)/30))&lt;1,0,INDEX(Motore_Operativo!$BH$425:$BH$484,MAX(1,42-(INT((Parametri_v3!$C$29)/30)))))*(1-(MOD((Parametri_v3!$C$29),30)/30))+IF(42-(INT((Parametri_v3!$C$29)/30))-1&lt;1,0,INDEX(Motore_Operativo!$BH$425:$BH$484,MAX(1,42-(INT((Parametri_v3!$C$29)/30))-1)))*(MOD((Parametri_v3!$C$29),30)/30))*(1+Parametri_v3!$C$26)</f>
        <v>11009.4833333333</v>
      </c>
      <c r="AG466" s="15" t="n">
        <f aca="false">(AG465)+AE466-AF466</f>
        <v>11009.4833333333</v>
      </c>
      <c r="AH466" s="15" t="n">
        <f aca="false">(Motore_Operativo!CJ466)*(1+Parametri_v3!$C$27*Parametri_v3!$C$26)</f>
        <v>71653.0854545834</v>
      </c>
      <c r="AI466" s="15" t="n">
        <f aca="false">(IF(42-(INT((Ipotesi!$C$91)/30))&lt;1,0,INDEX(Motore_Startup!$AH$425:$AH$484,MAX(1,42-(INT((Ipotesi!$C$91)/30)))))*(1-(MOD((Ipotesi!$C$91),30)/30))+IF(42-(INT((Ipotesi!$C$91)/30))-1&lt;1,0,INDEX(Motore_Startup!$AH$425:$AH$484,MAX(1,42-(INT((Ipotesi!$C$91)/30))-1)))*(MOD((Ipotesi!$C$91),30)/30))</f>
        <v>70638.876842242</v>
      </c>
      <c r="AJ466" s="15" t="n">
        <f aca="false">(AJ465)+AH466-AI466</f>
        <v>142801.292787495</v>
      </c>
      <c r="AK466" s="15" t="n">
        <f aca="false">(F466+ Motore_Operativo!BH466-(Motore_Operativo!CJ466)*Parametri_v3!$C$27-Motore_Operativo!CE466)*Parametri_v3!$C$26</f>
        <v>17043.3436833996</v>
      </c>
      <c r="AL466" s="15" t="n">
        <f aca="false">MAX(0,(AM465))</f>
        <v>16454.4913693876</v>
      </c>
      <c r="AM466" s="15" t="n">
        <f aca="false">(AM465)+AK466-AL466</f>
        <v>17043.3436833996</v>
      </c>
      <c r="AN466" s="15" t="n">
        <f aca="false">SUM(X449:X460)</f>
        <v>0</v>
      </c>
      <c r="AO466" s="15" t="n">
        <f aca="false">SUM(AP449:AP460)</f>
        <v>0</v>
      </c>
      <c r="AP466" s="15" t="n">
        <f aca="false">MAX(0,AN466)*IF(6=Parametri_v3!$C$43,Parametri_v3!$C$45,IF(6=Parametri_v3!$C$44,1-Parametri_v3!$C$45,0))</f>
        <v>0</v>
      </c>
      <c r="AQ466" s="15" t="n">
        <f aca="false">MAX(0,AP466+IF(6=Parametri_v3!$C$43,MAX(0,AN466-AO466),0)-MAX(0,-(AR465)))</f>
        <v>0</v>
      </c>
      <c r="AR466" s="15" t="n">
        <f aca="false">(AR465)+X466-AQ466</f>
        <v>0</v>
      </c>
      <c r="AS466" s="15" t="n">
        <f aca="false">Motore_Operativo!AB466-AT466+AU466</f>
        <v>91649.4297604167</v>
      </c>
      <c r="AT466" s="15" t="n">
        <f aca="false">Motore_Operativo!CH466</f>
        <v>4823.65419791667</v>
      </c>
      <c r="AU466" s="15" t="n">
        <f aca="false">MIN(MAX(0,(AV465)+AT466),Parametri_v3!$C$60/12)</f>
        <v>0</v>
      </c>
      <c r="AV466" s="15" t="n">
        <f aca="false">(AV465)+AT466-AU466</f>
        <v>108113.6251875</v>
      </c>
      <c r="AW466" s="15" t="n">
        <f aca="false">IF(AND(Motore_Operativo!C466=Finanziamenti!$D$6,Finanziamenti!$F$6=1),Finanziamenti!$C$6,0)</f>
        <v>0</v>
      </c>
      <c r="AX466" s="15" t="n">
        <f aca="false">IF(AND(8&lt;&gt;7,8&lt;&gt;9,Finanziamenti!$F$8=1,OR(Parametri_v3!$C$6=0,Finanziamenti!$E$8=1),Motore_Operativo!C466=EDATE(Finanziamenti!$D$8,Ipotesi!J15*12)),Finanziamenti!$C$8*1,0)+IF(AND(8&lt;&gt;7,8&lt;&gt;9,Finanziamenti!$F$9=1,OR(Parametri_v3!$C$6=0,Finanziamenti!$E$9=1),Motore_Operativo!C466=EDATE(Finanziamenti!$D$9,Ipotesi!J15*12)),Finanziamenti!$C$9*Ipotesi!J16,0)</f>
        <v>0</v>
      </c>
      <c r="AY466" s="15" t="n">
        <f aca="false">0</f>
        <v>0</v>
      </c>
      <c r="AZ466" s="15" t="n">
        <f aca="false">Motore_Advisory!AY466*(1-Ipotesi!$C$95)*Ipotesi!$C$96</f>
        <v>35707.0162944445</v>
      </c>
      <c r="BA466" s="15" t="n">
        <f aca="false">MAX(0,MIN(CG466*MIN(1,IF(Motore_Operativo!C466&gt;=EDATE(Finanziamenti!$D$15,Ipotesi!J14*12),Finanziamenti!$C$15,0)+IF(Motore_Operativo!C466&gt;=EDATE(Finanziamenti!$D$16,Ipotesi!J14*12),Finanziamenti!$C$16,0)+IF(Motore_Operativo!C466&gt;=EDATE(Finanziamenti!$D$17,Ipotesi!J14*12),Finanziamenti!$C$17,0)),CA466*Ipotesi!$C$102)-(CC465))</f>
        <v>0</v>
      </c>
      <c r="BB466" s="15" t="n">
        <f aca="false">IF(AND(CF466&gt;0,Motore_Operativo!C466&gt;=IF(CF466=0,0,EDATE(CF466,Parametri_v3!$C$37)),MOD(((D466-YEAR(IF(CF466=0,0,EDATE(CF466,Parametri_v3!$C$37))))*12+E466-MONTH(IF(CF466=0,0,EDATE(CF466,Parametri_v3!$C$37)))),Parametri_v3!$C$38)=0),MIN(MAX(0,(BC465)+BA466-N466),(CC466-CD466)/(Ipotesi!$C$108*12/Parametri_v3!$C$38)),0)</f>
        <v>13269.6498441983</v>
      </c>
      <c r="BC466" s="15" t="n">
        <f aca="false">(BC465)+BA466-N466-BB466</f>
        <v>252123.347039769</v>
      </c>
      <c r="BD466" s="15" t="n">
        <f aca="false">(BH465)+AC466+AF466-AI466-AS466-K466*(1+Parametri_v3!$C$26)-AL466-AQ466-O466+AW466+AX466+AZ466+BA466-BB466</f>
        <v>193937.284055077</v>
      </c>
      <c r="BE466" s="15" t="n">
        <f aca="false">MAX(0,MIN(MAX(0,CH466-(BG465)),Parametri_v3!$C$30-BD466))</f>
        <v>0</v>
      </c>
      <c r="BF466" s="15" t="n">
        <f aca="false">IF(Motore_Operativo!C466&gt;=Parametri_v3!$C$63,(BG465),MIN((BG465),MAX(0,BD466-Parametri_v3!$C$30)))</f>
        <v>0</v>
      </c>
      <c r="BG466" s="15" t="n">
        <f aca="false">(BG465)+BE466-BF466</f>
        <v>0</v>
      </c>
      <c r="BH466" s="15" t="n">
        <f aca="false">BD466+BE466-BF466-AY466</f>
        <v>193937.284055077</v>
      </c>
      <c r="BI466" s="15" t="n">
        <f aca="false">MAX(0,Parametri_v3!$C$30-BH466)</f>
        <v>0</v>
      </c>
      <c r="BJ466" s="15" t="n">
        <f aca="false">(BJ465)+K466</f>
        <v>95000</v>
      </c>
      <c r="BK466" s="15" t="n">
        <f aca="false">(BK465)+L466</f>
        <v>48680.5555555556</v>
      </c>
      <c r="BL466" s="15" t="n">
        <f aca="false">BJ466-BK466</f>
        <v>46319.4444444444</v>
      </c>
      <c r="BM466" s="15" t="n">
        <f aca="false">(BM465)+Y466</f>
        <v>-1195168.80897285</v>
      </c>
      <c r="BN466" s="15" t="n">
        <f aca="false">(BN465)+AW466+AX466+AZ466</f>
        <v>1365707.01629444</v>
      </c>
      <c r="BO466" s="15" t="n">
        <f aca="false">(BO465)+AY466</f>
        <v>0</v>
      </c>
      <c r="BP466" s="15" t="n">
        <f aca="false">0</f>
        <v>0</v>
      </c>
      <c r="BQ466" s="15" t="n">
        <f aca="false">BN466+BM466-BO466</f>
        <v>170538.20732159</v>
      </c>
      <c r="BR466" s="15" t="n">
        <f aca="false">BH466+AD466+BL466+MAX(0,-AM466)+MAX(0,-AR466)+AG466</f>
        <v>690619.816019752</v>
      </c>
      <c r="BS466" s="15" t="n">
        <f aca="false">AJ466+AV466+MAX(0,AM466)+MAX(0,AR466)+BC466+BG466+BQ466</f>
        <v>690619.816019753</v>
      </c>
      <c r="BT466" s="15" t="n">
        <f aca="false">BR466-BS466</f>
        <v>0</v>
      </c>
      <c r="BU466" s="15" t="n">
        <f aca="false">BH466-(BD466+BE466-BF466-AY466)</f>
        <v>0</v>
      </c>
      <c r="BV466" s="15" t="n">
        <f aca="false">MIN(Piano_SS!$C$6,(BV465)+IF(AND(Motore_Operativo!C466&gt;=EDATE(Parametri_v3!$C$24,Ipotesi!J14*12),Motore_Operativo!C466&lt;EDATE(Parametri_v3!$C$24,Parametri_v3!$C$25+Ipotesi!J14*12)),MAX(0,(Motore_Operativo!Y466+Motore_Operativo!X466*Parametri_v3!$C$14)*(1-Parametri_v3!$C$32))*Piano_SS!$D$6,0))</f>
        <v>300000</v>
      </c>
      <c r="BW466" s="15" t="n">
        <f aca="false">MIN(Piano_SS!$C$7,(BW465)+IF(AND(Motore_Operativo!C466&gt;=EDATE(Parametri_v3!$C$24,Ipotesi!J14*12),Motore_Operativo!C466&lt;EDATE(Parametri_v3!$C$24,Parametri_v3!$C$25+Ipotesi!J14*12)),MAX(0,(IF(42-(INT((Ipotesi!$C$91)/30))&lt;1,0,INDEX(Motore_Operativo!$BN$425:$BN$484,MAX(1,42-(INT((Ipotesi!$C$91)/30)))))*(1-(MOD((Ipotesi!$C$91),30)/30))+IF(42-(INT((Ipotesi!$C$91)/30))-1&lt;1,0,INDEX(Motore_Operativo!$BN$425:$BN$484,MAX(1,42-(INT((Ipotesi!$C$91)/30))-1)))*(MOD((Ipotesi!$C$91),30)/30)))*Piano_SS!$D$7,0))</f>
        <v>41058.9230070837</v>
      </c>
      <c r="BX466" s="15" t="n">
        <f aca="false">MIN(Piano_SS!$C$8,(BX465)+IF(AND(Motore_Operativo!C466&gt;=EDATE(Parametri_v3!$C$24,Ipotesi!J14*12),Motore_Operativo!C466&lt;EDATE(Parametri_v3!$C$24,Parametri_v3!$C$25+Ipotesi!J14*12)),MAX(0,Motore_Operativo!CE466)*Piano_SS!$D$8,0))</f>
        <v>50000</v>
      </c>
      <c r="BY466" s="15" t="n">
        <f aca="false">MIN(Piano_SS!$C$9,(BY465)+IF(AND(Motore_Operativo!C466&gt;=EDATE(Parametri_v3!$C$24,Ipotesi!J14*12),Motore_Operativo!C466&lt;EDATE(Parametri_v3!$C$24,Parametri_v3!$C$25+Ipotesi!J14*12)),MAX(0,((IF(42-(INT((Ipotesi!$C$91)/30))&lt;1,0,INDEX(Motore_Operativo!$BQ$425:$BQ$484,MAX(1,42-(INT((Ipotesi!$C$91)/30)))))*(1-(MOD((Ipotesi!$C$91),30)/30))+IF(42-(INT((Ipotesi!$C$91)/30))-1&lt;1,0,INDEX(Motore_Operativo!$BQ$425:$BQ$484,MAX(1,42-(INT((Ipotesi!$C$91)/30))-1)))*(MOD((Ipotesi!$C$91),30)/30))+(IF(42-(INT((Ipotesi!$C$91)/30))&lt;1,0,INDEX(Motore_Operativo!$BR$425:$BR$484,MAX(1,42-(INT((Ipotesi!$C$91)/30)))))*(1-(MOD((Ipotesi!$C$91),30)/30))+IF(42-(INT((Ipotesi!$C$91)/30))-1&lt;1,0,INDEX(Motore_Operativo!$BR$425:$BR$484,MAX(1,42-(INT((Ipotesi!$C$91)/30))-1)))*(MOD((Ipotesi!$C$91),30)/30))))*Piano_SS!$D$9,0))</f>
        <v>40000</v>
      </c>
      <c r="BZ466" s="15" t="n">
        <f aca="false">MIN(Piano_SS!$C$10,(BZ465)+IF(AND(Motore_Operativo!C466&gt;=EDATE(Parametri_v3!$C$24,Ipotesi!J14*12),Motore_Operativo!C466&lt;EDATE(Parametri_v3!$C$24,Parametri_v3!$C$25+Ipotesi!J14*12)),MAX(0,(IF(42-(INT((Ipotesi!$C$91)/30))&lt;1,0,INDEX(Motore_Operativo!$BO$425:$BO$484,MAX(1,42-(INT((Ipotesi!$C$91)/30)))))*(1-(MOD((Ipotesi!$C$91),30)/30))+IF(42-(INT((Ipotesi!$C$91)/30))-1&lt;1,0,INDEX(Motore_Operativo!$BO$425:$BO$484,MAX(1,42-(INT((Ipotesi!$C$91)/30))-1)))*(MOD((Ipotesi!$C$91),30)/30)))*Piano_SS!$D$10,0))</f>
        <v>30000</v>
      </c>
      <c r="CA466" s="15" t="n">
        <f aca="false">SUM(BV466:BZ466)</f>
        <v>461058.923007084</v>
      </c>
      <c r="CB466" s="15" t="n">
        <f aca="false">BV466*(1-Piano_SS!$E$6)+BW466*(1-Piano_SS!$E$7)+BX466*(1-Piano_SS!$E$8)+BY466*(1-Piano_SS!$E$9)+BZ466*(1-Piano_SS!$E$10)</f>
        <v>431058.923007084</v>
      </c>
      <c r="CC466" s="15" t="n">
        <f aca="false">(CC465)+BA466</f>
        <v>368847.138405667</v>
      </c>
      <c r="CD466" s="15" t="n">
        <f aca="false">IF(CA466=0,0,CC466*CB466/CA466*Ipotesi!$C$103*Parametri_v3!$C$64)</f>
        <v>103454.1415217</v>
      </c>
      <c r="CE466" s="18" t="n">
        <f aca="false">IF(BA466&gt;0,Motore_Operativo!C466,(CE465))</f>
        <v>47270</v>
      </c>
      <c r="CF466" s="18" t="n">
        <f aca="false">IF(AND(CC466&gt;0,OR(CC466&gt;=CG466-0.01,Motore_Operativo!C466&gt;=EDATE(MAX(Finanziamenti!$D$15:$D$17),Ipotesi!J14*12))),CE466,0)</f>
        <v>47270</v>
      </c>
      <c r="CG466" s="15" t="n">
        <f aca="false">IF(AND(8&lt;&gt;6,8&lt;&gt;9,Finanziamenti!$F$11=1,OR(Parametri_v3!$C$6=0,Finanziamenti!$E$11=1)),MIN(Finanziamenti!$C$11,Piano_SS!$C$12*Ipotesi!$C$102),0)</f>
        <v>400000</v>
      </c>
      <c r="CH466" s="15" t="n">
        <f aca="false">IF(AND(AND(8&lt;&gt;8,8&lt;&gt;9,Finanziamenti!$F$10=1,OR(Parametri_v3!$C$6=0,Finanziamenti!$E$10=1)),Motore_Operativo!C466&gt;=Finanziamenti!$D$10,Motore_Operativo!C466&lt;Parametri_v3!$C$63),Finanziamenti!$C$10,0)</f>
        <v>0</v>
      </c>
    </row>
    <row r="467" customFormat="false" ht="18" hidden="false" customHeight="true" outlineLevel="0" collapsed="false">
      <c r="A467" s="68" t="n">
        <f aca="false">8</f>
        <v>8</v>
      </c>
      <c r="B467" s="68" t="n">
        <f aca="false">43</f>
        <v>43</v>
      </c>
      <c r="C467" s="18" t="n">
        <f aca="false">Motore_Operativo!C467</f>
        <v>47665</v>
      </c>
      <c r="D467" s="68" t="n">
        <f aca="false">Motore_Operativo!D467</f>
        <v>2030</v>
      </c>
      <c r="E467" s="68" t="n">
        <f aca="false">Motore_Operativo!E467</f>
        <v>7</v>
      </c>
      <c r="F467" s="15" t="n">
        <f aca="false">Motore_Operativo!AQ467+Motore_Operativo!BF467</f>
        <v>126100.621132526</v>
      </c>
      <c r="G467" s="15" t="n">
        <f aca="false">Motore_Operativo!BH467</f>
        <v>9024.16666666667</v>
      </c>
      <c r="H467" s="15" t="n">
        <f aca="false">Motore_Operativo!BI467</f>
        <v>135124.787799193</v>
      </c>
      <c r="I467" s="15" t="n">
        <f aca="false">Motore_Operativo!CA467</f>
        <v>157259.562583554</v>
      </c>
      <c r="J467" s="15" t="n">
        <f aca="false">Motore_Operativo!CC467</f>
        <v>-22134.7747843611</v>
      </c>
      <c r="K467" s="15" t="n">
        <f aca="false">Motore_Operativo!CE467</f>
        <v>3333.33333333333</v>
      </c>
      <c r="L467" s="15" t="n">
        <f aca="false">SUM(INDEX($K$425:$K$484,MAX(1,43-Parametri_v3!$C$59+1)):K467)/Parametri_v3!$C$59</f>
        <v>2407.40740740741</v>
      </c>
      <c r="M467" s="15" t="n">
        <f aca="false">J467-L467</f>
        <v>-24542.1821917685</v>
      </c>
      <c r="N467" s="15" t="n">
        <f aca="false">CD467-(CD466)</f>
        <v>0</v>
      </c>
      <c r="O467" s="15" t="n">
        <f aca="false">(BG466)*Ipotesi!$C$110/12+CH467*Parametri_v3!$C$39/12</f>
        <v>0</v>
      </c>
      <c r="P467" s="15" t="n">
        <f aca="false">M467+N467-O467</f>
        <v>-24542.1821917685</v>
      </c>
      <c r="Q467" s="15" t="n">
        <f aca="false">SUM(P461:P467)+Parametri_v3!$C$54*7/12</f>
        <v>-222383.372405172</v>
      </c>
      <c r="R467" s="15" t="n">
        <f aca="false">Z460</f>
        <v>997327.618759451</v>
      </c>
      <c r="S467" s="15" t="n">
        <f aca="false">AA460</f>
        <v>0</v>
      </c>
      <c r="T467" s="15" t="n">
        <f aca="false">MIN(R467,MAX(0,Q467))</f>
        <v>0</v>
      </c>
      <c r="U467" s="15" t="n">
        <f aca="false">MIN(S467,MAX(0,Q467-T467)*Parametri_v3!$C$42)</f>
        <v>0</v>
      </c>
      <c r="V467" s="15" t="n">
        <f aca="false">MAX(0,Q467-T467-U467)*Ipotesi!$C$92</f>
        <v>0</v>
      </c>
      <c r="W467" s="15" t="n">
        <f aca="false">MAX(0,SUM(M461:M467)+Parametri_v3!$C$55*7/12)*Ipotesi!$C$93</f>
        <v>0</v>
      </c>
      <c r="X467" s="15" t="n">
        <f aca="false">V467+W467-(V466+W466)</f>
        <v>0</v>
      </c>
      <c r="Y467" s="15" t="n">
        <f aca="false">P467-X467</f>
        <v>-24542.1821917685</v>
      </c>
      <c r="Z467" s="15" t="n">
        <f aca="false">R467-T467+IF(AND(Parametri_v3!$C$40=1,D467-YEAR(Parametri_v3!$C$50)&lt;Parametri_v3!$C$41),MAX(0,-Q467),0)</f>
        <v>997327.618759451</v>
      </c>
      <c r="AA467" s="15" t="n">
        <f aca="false">S467-U467+IF(AND(Parametri_v3!$C$40=1,D467-YEAR(Parametri_v3!$C$50)&lt;Parametri_v3!$C$41),0,MAX(0,-Q467))</f>
        <v>222383.372405172</v>
      </c>
      <c r="AB467" s="15" t="n">
        <f aca="false">F467*(1+Parametri_v3!$C$26)</f>
        <v>153842.757781682</v>
      </c>
      <c r="AC467" s="15" t="n">
        <f aca="false">(IF(43-(INT((Motore_Operativo!L467)/30))&lt;1,0,INDEX(Motore_Startup!$AB$425:$AB$484,MAX(1,43-(INT((Motore_Operativo!L467)/30)))))*(1-(MOD((Motore_Operativo!L467),30)/30))+IF(43-(INT((Motore_Operativo!L467)/30))-1&lt;1,0,INDEX(Motore_Startup!$AB$425:$AB$484,MAX(1,43-(INT((Motore_Operativo!L467)/30))-1)))*(MOD((Motore_Operativo!L467),30)/30))</f>
        <v>142722.87928372</v>
      </c>
      <c r="AD467" s="15" t="n">
        <f aca="false">(AD466)+AB467-AC467</f>
        <v>450473.482684858</v>
      </c>
      <c r="AE467" s="15" t="n">
        <f aca="false">Motore_Operativo!BH467*(1+Parametri_v3!$C$26)</f>
        <v>11009.4833333333</v>
      </c>
      <c r="AF467" s="15" t="n">
        <f aca="false">(IF(43-(INT((Parametri_v3!$C$29)/30))&lt;1,0,INDEX(Motore_Operativo!$BH$425:$BH$484,MAX(1,43-(INT((Parametri_v3!$C$29)/30)))))*(1-(MOD((Parametri_v3!$C$29),30)/30))+IF(43-(INT((Parametri_v3!$C$29)/30))-1&lt;1,0,INDEX(Motore_Operativo!$BH$425:$BH$484,MAX(1,43-(INT((Parametri_v3!$C$29)/30))-1)))*(MOD((Parametri_v3!$C$29),30)/30))*(1+Parametri_v3!$C$26)</f>
        <v>11009.4833333333</v>
      </c>
      <c r="AG467" s="15" t="n">
        <f aca="false">(AG466)+AE467-AF467</f>
        <v>11009.4833333333</v>
      </c>
      <c r="AH467" s="15" t="n">
        <f aca="false">(Motore_Operativo!CJ467)*(1+Parametri_v3!$C$27*Parametri_v3!$C$26)</f>
        <v>72153.5501281365</v>
      </c>
      <c r="AI467" s="15" t="n">
        <f aca="false">(IF(43-(INT((Ipotesi!$C$91)/30))&lt;1,0,INDEX(Motore_Startup!$AH$425:$AH$484,MAX(1,43-(INT((Ipotesi!$C$91)/30)))))*(1-(MOD((Ipotesi!$C$91),30)/30))+IF(43-(INT((Ipotesi!$C$91)/30))-1&lt;1,0,INDEX(Motore_Startup!$AH$425:$AH$484,MAX(1,43-(INT((Ipotesi!$C$91)/30))-1)))*(MOD((Ipotesi!$C$91),30)/30))</f>
        <v>71148.2073329111</v>
      </c>
      <c r="AJ467" s="15" t="n">
        <f aca="false">(AJ466)+AH467-AI467</f>
        <v>143806.63558272</v>
      </c>
      <c r="AK467" s="15" t="n">
        <f aca="false">(F467+ Motore_Operativo!BH467-(Motore_Operativo!CJ467)*Parametri_v3!$C$27-Motore_Operativo!CE467)*Parametri_v3!$C$26</f>
        <v>17627.0484795728</v>
      </c>
      <c r="AL467" s="15" t="n">
        <f aca="false">MAX(0,(AM466))</f>
        <v>17043.3436833996</v>
      </c>
      <c r="AM467" s="15" t="n">
        <f aca="false">(AM466)+AK467-AL467</f>
        <v>17627.0484795728</v>
      </c>
      <c r="AN467" s="15" t="n">
        <f aca="false">SUM(X449:X460)</f>
        <v>0</v>
      </c>
      <c r="AO467" s="15" t="n">
        <f aca="false">SUM(AP449:AP460)</f>
        <v>0</v>
      </c>
      <c r="AP467" s="15" t="n">
        <f aca="false">MAX(0,AN467)*IF(7=Parametri_v3!$C$43,Parametri_v3!$C$45,IF(7=Parametri_v3!$C$44,1-Parametri_v3!$C$45,0))</f>
        <v>0</v>
      </c>
      <c r="AQ467" s="15" t="n">
        <f aca="false">MAX(0,AP467+IF(7=Parametri_v3!$C$43,MAX(0,AN467-AO467),0)-MAX(0,-(AR466)))</f>
        <v>0</v>
      </c>
      <c r="AR467" s="15" t="n">
        <f aca="false">(AR466)+X467-AQ467</f>
        <v>0</v>
      </c>
      <c r="AS467" s="15" t="n">
        <f aca="false">Motore_Operativo!AB467-AT467+AU467</f>
        <v>91649.4297604167</v>
      </c>
      <c r="AT467" s="15" t="n">
        <f aca="false">Motore_Operativo!CH467</f>
        <v>4823.65419791667</v>
      </c>
      <c r="AU467" s="15" t="n">
        <f aca="false">MIN(MAX(0,(AV466)+AT467),Parametri_v3!$C$60/12)</f>
        <v>0</v>
      </c>
      <c r="AV467" s="15" t="n">
        <f aca="false">(AV466)+AT467-AU467</f>
        <v>112937.279385417</v>
      </c>
      <c r="AW467" s="15" t="n">
        <f aca="false">IF(AND(Motore_Operativo!C467=Finanziamenti!$D$6,Finanziamenti!$F$6=1),Finanziamenti!$C$6,0)</f>
        <v>0</v>
      </c>
      <c r="AX467" s="15" t="n">
        <f aca="false">IF(AND(8&lt;&gt;7,8&lt;&gt;9,Finanziamenti!$F$8=1,OR(Parametri_v3!$C$6=0,Finanziamenti!$E$8=1),Motore_Operativo!C467=EDATE(Finanziamenti!$D$8,Ipotesi!J15*12)),Finanziamenti!$C$8*1,0)+IF(AND(8&lt;&gt;7,8&lt;&gt;9,Finanziamenti!$F$9=1,OR(Parametri_v3!$C$6=0,Finanziamenti!$E$9=1),Motore_Operativo!C467=EDATE(Finanziamenti!$D$9,Ipotesi!J15*12)),Finanziamenti!$C$9*Ipotesi!J16,0)</f>
        <v>0</v>
      </c>
      <c r="AY467" s="15" t="n">
        <f aca="false">0</f>
        <v>0</v>
      </c>
      <c r="AZ467" s="15" t="n">
        <f aca="false">Motore_Advisory!AY467*(1-Ipotesi!$C$95)*Ipotesi!$C$96</f>
        <v>0</v>
      </c>
      <c r="BA467" s="15" t="n">
        <f aca="false">MAX(0,MIN(CG467*MIN(1,IF(Motore_Operativo!C467&gt;=EDATE(Finanziamenti!$D$15,Ipotesi!J14*12),Finanziamenti!$C$15,0)+IF(Motore_Operativo!C467&gt;=EDATE(Finanziamenti!$D$16,Ipotesi!J14*12),Finanziamenti!$C$16,0)+IF(Motore_Operativo!C467&gt;=EDATE(Finanziamenti!$D$17,Ipotesi!J14*12),Finanziamenti!$C$17,0)),CA467*Ipotesi!$C$102)-(CC466))</f>
        <v>0</v>
      </c>
      <c r="BB467" s="15" t="n">
        <f aca="false">IF(AND(CF467&gt;0,Motore_Operativo!C467&gt;=IF(CF467=0,0,EDATE(CF467,Parametri_v3!$C$37)),MOD(((D467-YEAR(IF(CF467=0,0,EDATE(CF467,Parametri_v3!$C$37))))*12+E467-MONTH(IF(CF467=0,0,EDATE(CF467,Parametri_v3!$C$37)))),Parametri_v3!$C$38)=0),MIN(MAX(0,(BC466)+BA467-N467),(CC467-CD467)/(Ipotesi!$C$108*12/Parametri_v3!$C$38)),0)</f>
        <v>0</v>
      </c>
      <c r="BC467" s="15" t="n">
        <f aca="false">(BC466)+BA467-N467-BB467</f>
        <v>252123.347039769</v>
      </c>
      <c r="BD467" s="15" t="n">
        <f aca="false">(BH466)+AC467+AF467-AI467-AS467-K467*(1+Parametri_v3!$C$26)-AL467-AQ467-O467+AW467+AX467+AZ467+BA467-BB467</f>
        <v>163761.999228737</v>
      </c>
      <c r="BE467" s="15" t="n">
        <f aca="false">MAX(0,MIN(MAX(0,CH467-(BG466)),Parametri_v3!$C$30-BD467))</f>
        <v>0</v>
      </c>
      <c r="BF467" s="15" t="n">
        <f aca="false">IF(Motore_Operativo!C467&gt;=Parametri_v3!$C$63,(BG466),MIN((BG466),MAX(0,BD467-Parametri_v3!$C$30)))</f>
        <v>0</v>
      </c>
      <c r="BG467" s="15" t="n">
        <f aca="false">(BG466)+BE467-BF467</f>
        <v>0</v>
      </c>
      <c r="BH467" s="15" t="n">
        <f aca="false">BD467+BE467-BF467-AY467</f>
        <v>163761.999228737</v>
      </c>
      <c r="BI467" s="15" t="n">
        <f aca="false">MAX(0,Parametri_v3!$C$30-BH467)</f>
        <v>0</v>
      </c>
      <c r="BJ467" s="15" t="n">
        <f aca="false">(BJ466)+K467</f>
        <v>98333.3333333333</v>
      </c>
      <c r="BK467" s="15" t="n">
        <f aca="false">(BK466)+L467</f>
        <v>51087.962962963</v>
      </c>
      <c r="BL467" s="15" t="n">
        <f aca="false">BJ467-BK467</f>
        <v>47245.3703703703</v>
      </c>
      <c r="BM467" s="15" t="n">
        <f aca="false">(BM466)+Y467</f>
        <v>-1219710.99116462</v>
      </c>
      <c r="BN467" s="15" t="n">
        <f aca="false">(BN466)+AW467+AX467+AZ467</f>
        <v>1365707.01629444</v>
      </c>
      <c r="BO467" s="15" t="n">
        <f aca="false">(BO466)+AY467</f>
        <v>0</v>
      </c>
      <c r="BP467" s="15" t="n">
        <f aca="false">0</f>
        <v>0</v>
      </c>
      <c r="BQ467" s="15" t="n">
        <f aca="false">BN467+BM467-BO467</f>
        <v>145996.025129822</v>
      </c>
      <c r="BR467" s="15" t="n">
        <f aca="false">BH467+AD467+BL467+MAX(0,-AM467)+MAX(0,-AR467)+AG467</f>
        <v>672490.335617299</v>
      </c>
      <c r="BS467" s="15" t="n">
        <f aca="false">AJ467+AV467+MAX(0,AM467)+MAX(0,AR467)+BC467+BG467+BQ467</f>
        <v>672490.3356173</v>
      </c>
      <c r="BT467" s="15" t="n">
        <f aca="false">BR467-BS467</f>
        <v>0</v>
      </c>
      <c r="BU467" s="15" t="n">
        <f aca="false">BH467-(BD467+BE467-BF467-AY467)</f>
        <v>0</v>
      </c>
      <c r="BV467" s="15" t="n">
        <f aca="false">MIN(Piano_SS!$C$6,(BV466)+IF(AND(Motore_Operativo!C467&gt;=EDATE(Parametri_v3!$C$24,Ipotesi!J14*12),Motore_Operativo!C467&lt;EDATE(Parametri_v3!$C$24,Parametri_v3!$C$25+Ipotesi!J14*12)),MAX(0,(Motore_Operativo!Y467+Motore_Operativo!X467*Parametri_v3!$C$14)*(1-Parametri_v3!$C$32))*Piano_SS!$D$6,0))</f>
        <v>300000</v>
      </c>
      <c r="BW467" s="15" t="n">
        <f aca="false">MIN(Piano_SS!$C$7,(BW466)+IF(AND(Motore_Operativo!C467&gt;=EDATE(Parametri_v3!$C$24,Ipotesi!J14*12),Motore_Operativo!C467&lt;EDATE(Parametri_v3!$C$24,Parametri_v3!$C$25+Ipotesi!J14*12)),MAX(0,(IF(43-(INT((Ipotesi!$C$91)/30))&lt;1,0,INDEX(Motore_Operativo!$BN$425:$BN$484,MAX(1,43-(INT((Ipotesi!$C$91)/30)))))*(1-(MOD((Ipotesi!$C$91),30)/30))+IF(43-(INT((Ipotesi!$C$91)/30))-1&lt;1,0,INDEX(Motore_Operativo!$BN$425:$BN$484,MAX(1,43-(INT((Ipotesi!$C$91)/30))-1)))*(MOD((Ipotesi!$C$91),30)/30)))*Piano_SS!$D$7,0))</f>
        <v>41058.9230070837</v>
      </c>
      <c r="BX467" s="15" t="n">
        <f aca="false">MIN(Piano_SS!$C$8,(BX466)+IF(AND(Motore_Operativo!C467&gt;=EDATE(Parametri_v3!$C$24,Ipotesi!J14*12),Motore_Operativo!C467&lt;EDATE(Parametri_v3!$C$24,Parametri_v3!$C$25+Ipotesi!J14*12)),MAX(0,Motore_Operativo!CE467)*Piano_SS!$D$8,0))</f>
        <v>50000</v>
      </c>
      <c r="BY467" s="15" t="n">
        <f aca="false">MIN(Piano_SS!$C$9,(BY466)+IF(AND(Motore_Operativo!C467&gt;=EDATE(Parametri_v3!$C$24,Ipotesi!J14*12),Motore_Operativo!C467&lt;EDATE(Parametri_v3!$C$24,Parametri_v3!$C$25+Ipotesi!J14*12)),MAX(0,((IF(43-(INT((Ipotesi!$C$91)/30))&lt;1,0,INDEX(Motore_Operativo!$BQ$425:$BQ$484,MAX(1,43-(INT((Ipotesi!$C$91)/30)))))*(1-(MOD((Ipotesi!$C$91),30)/30))+IF(43-(INT((Ipotesi!$C$91)/30))-1&lt;1,0,INDEX(Motore_Operativo!$BQ$425:$BQ$484,MAX(1,43-(INT((Ipotesi!$C$91)/30))-1)))*(MOD((Ipotesi!$C$91),30)/30))+(IF(43-(INT((Ipotesi!$C$91)/30))&lt;1,0,INDEX(Motore_Operativo!$BR$425:$BR$484,MAX(1,43-(INT((Ipotesi!$C$91)/30)))))*(1-(MOD((Ipotesi!$C$91),30)/30))+IF(43-(INT((Ipotesi!$C$91)/30))-1&lt;1,0,INDEX(Motore_Operativo!$BR$425:$BR$484,MAX(1,43-(INT((Ipotesi!$C$91)/30))-1)))*(MOD((Ipotesi!$C$91),30)/30))))*Piano_SS!$D$9,0))</f>
        <v>40000</v>
      </c>
      <c r="BZ467" s="15" t="n">
        <f aca="false">MIN(Piano_SS!$C$10,(BZ466)+IF(AND(Motore_Operativo!C467&gt;=EDATE(Parametri_v3!$C$24,Ipotesi!J14*12),Motore_Operativo!C467&lt;EDATE(Parametri_v3!$C$24,Parametri_v3!$C$25+Ipotesi!J14*12)),MAX(0,(IF(43-(INT((Ipotesi!$C$91)/30))&lt;1,0,INDEX(Motore_Operativo!$BO$425:$BO$484,MAX(1,43-(INT((Ipotesi!$C$91)/30)))))*(1-(MOD((Ipotesi!$C$91),30)/30))+IF(43-(INT((Ipotesi!$C$91)/30))-1&lt;1,0,INDEX(Motore_Operativo!$BO$425:$BO$484,MAX(1,43-(INT((Ipotesi!$C$91)/30))-1)))*(MOD((Ipotesi!$C$91),30)/30)))*Piano_SS!$D$10,0))</f>
        <v>30000</v>
      </c>
      <c r="CA467" s="15" t="n">
        <f aca="false">SUM(BV467:BZ467)</f>
        <v>461058.923007084</v>
      </c>
      <c r="CB467" s="15" t="n">
        <f aca="false">BV467*(1-Piano_SS!$E$6)+BW467*(1-Piano_SS!$E$7)+BX467*(1-Piano_SS!$E$8)+BY467*(1-Piano_SS!$E$9)+BZ467*(1-Piano_SS!$E$10)</f>
        <v>431058.923007084</v>
      </c>
      <c r="CC467" s="15" t="n">
        <f aca="false">(CC466)+BA467</f>
        <v>368847.138405667</v>
      </c>
      <c r="CD467" s="15" t="n">
        <f aca="false">IF(CA467=0,0,CC467*CB467/CA467*Ipotesi!$C$103*Parametri_v3!$C$64)</f>
        <v>103454.1415217</v>
      </c>
      <c r="CE467" s="18" t="n">
        <f aca="false">IF(BA467&gt;0,Motore_Operativo!C467,(CE466))</f>
        <v>47270</v>
      </c>
      <c r="CF467" s="18" t="n">
        <f aca="false">IF(AND(CC467&gt;0,OR(CC467&gt;=CG467-0.01,Motore_Operativo!C467&gt;=EDATE(MAX(Finanziamenti!$D$15:$D$17),Ipotesi!J14*12))),CE467,0)</f>
        <v>47270</v>
      </c>
      <c r="CG467" s="15" t="n">
        <f aca="false">IF(AND(8&lt;&gt;6,8&lt;&gt;9,Finanziamenti!$F$11=1,OR(Parametri_v3!$C$6=0,Finanziamenti!$E$11=1)),MIN(Finanziamenti!$C$11,Piano_SS!$C$12*Ipotesi!$C$102),0)</f>
        <v>400000</v>
      </c>
      <c r="CH467" s="15" t="n">
        <f aca="false">IF(AND(AND(8&lt;&gt;8,8&lt;&gt;9,Finanziamenti!$F$10=1,OR(Parametri_v3!$C$6=0,Finanziamenti!$E$10=1)),Motore_Operativo!C467&gt;=Finanziamenti!$D$10,Motore_Operativo!C467&lt;Parametri_v3!$C$63),Finanziamenti!$C$10,0)</f>
        <v>0</v>
      </c>
    </row>
    <row r="468" customFormat="false" ht="18" hidden="false" customHeight="true" outlineLevel="0" collapsed="false">
      <c r="A468" s="68" t="n">
        <f aca="false">8</f>
        <v>8</v>
      </c>
      <c r="B468" s="68" t="n">
        <f aca="false">44</f>
        <v>44</v>
      </c>
      <c r="C468" s="18" t="n">
        <f aca="false">Motore_Operativo!C468</f>
        <v>47696</v>
      </c>
      <c r="D468" s="68" t="n">
        <f aca="false">Motore_Operativo!D468</f>
        <v>2030</v>
      </c>
      <c r="E468" s="68" t="n">
        <f aca="false">Motore_Operativo!E468</f>
        <v>8</v>
      </c>
      <c r="F468" s="15" t="n">
        <f aca="false">Motore_Operativo!AQ468+Motore_Operativo!BF468</f>
        <v>129085.876915895</v>
      </c>
      <c r="G468" s="15" t="n">
        <f aca="false">Motore_Operativo!BH468</f>
        <v>9024.16666666667</v>
      </c>
      <c r="H468" s="15" t="n">
        <f aca="false">Motore_Operativo!BI468</f>
        <v>138110.043582562</v>
      </c>
      <c r="I468" s="15" t="n">
        <f aca="false">Motore_Operativo!CA468</f>
        <v>157677.498393225</v>
      </c>
      <c r="J468" s="15" t="n">
        <f aca="false">Motore_Operativo!CC468</f>
        <v>-19567.4548106635</v>
      </c>
      <c r="K468" s="15" t="n">
        <f aca="false">Motore_Operativo!CE468</f>
        <v>3333.33333333333</v>
      </c>
      <c r="L468" s="15" t="n">
        <f aca="false">SUM(INDEX($K$425:$K$484,MAX(1,44-Parametri_v3!$C$59+1)):K468)/Parametri_v3!$C$59</f>
        <v>2453.7037037037</v>
      </c>
      <c r="M468" s="15" t="n">
        <f aca="false">J468-L468</f>
        <v>-22021.1585143672</v>
      </c>
      <c r="N468" s="15" t="n">
        <f aca="false">CD468-(CD467)</f>
        <v>0</v>
      </c>
      <c r="O468" s="15" t="n">
        <f aca="false">(BG467)*Ipotesi!$C$110/12+CH468*Parametri_v3!$C$39/12</f>
        <v>0</v>
      </c>
      <c r="P468" s="15" t="n">
        <f aca="false">M468+N468-O468</f>
        <v>-22021.1585143672</v>
      </c>
      <c r="Q468" s="15" t="n">
        <f aca="false">SUM(P461:P468)+Parametri_v3!$C$54*8/12</f>
        <v>-244404.530919539</v>
      </c>
      <c r="R468" s="15" t="n">
        <f aca="false">Z460</f>
        <v>997327.618759451</v>
      </c>
      <c r="S468" s="15" t="n">
        <f aca="false">AA460</f>
        <v>0</v>
      </c>
      <c r="T468" s="15" t="n">
        <f aca="false">MIN(R468,MAX(0,Q468))</f>
        <v>0</v>
      </c>
      <c r="U468" s="15" t="n">
        <f aca="false">MIN(S468,MAX(0,Q468-T468)*Parametri_v3!$C$42)</f>
        <v>0</v>
      </c>
      <c r="V468" s="15" t="n">
        <f aca="false">MAX(0,Q468-T468-U468)*Ipotesi!$C$92</f>
        <v>0</v>
      </c>
      <c r="W468" s="15" t="n">
        <f aca="false">MAX(0,SUM(M461:M468)+Parametri_v3!$C$55*8/12)*Ipotesi!$C$93</f>
        <v>0</v>
      </c>
      <c r="X468" s="15" t="n">
        <f aca="false">V468+W468-(V467+W467)</f>
        <v>0</v>
      </c>
      <c r="Y468" s="15" t="n">
        <f aca="false">P468-X468</f>
        <v>-22021.1585143672</v>
      </c>
      <c r="Z468" s="15" t="n">
        <f aca="false">R468-T468+IF(AND(Parametri_v3!$C$40=1,D468-YEAR(Parametri_v3!$C$50)&lt;Parametri_v3!$C$41),MAX(0,-Q468),0)</f>
        <v>997327.618759451</v>
      </c>
      <c r="AA468" s="15" t="n">
        <f aca="false">S468-U468+IF(AND(Parametri_v3!$C$40=1,D468-YEAR(Parametri_v3!$C$50)&lt;Parametri_v3!$C$41),0,MAX(0,-Q468))</f>
        <v>244404.530919539</v>
      </c>
      <c r="AB468" s="15" t="n">
        <f aca="false">F468*(1+Parametri_v3!$C$26)</f>
        <v>157484.769837392</v>
      </c>
      <c r="AC468" s="15" t="n">
        <f aca="false">(IF(44-(INT((Motore_Operativo!L468)/30))&lt;1,0,INDEX(Motore_Startup!$AB$425:$AB$484,MAX(1,44-(INT((Motore_Operativo!L468)/30)))))*(1-(MOD((Motore_Operativo!L468),30)/30))+IF(44-(INT((Motore_Operativo!L468)/30))-1&lt;1,0,INDEX(Motore_Startup!$AB$425:$AB$484,MAX(1,44-(INT((Motore_Operativo!L468)/30))-1)))*(MOD((Motore_Operativo!L468),30)/30))</f>
        <v>146462.096991123</v>
      </c>
      <c r="AD468" s="15" t="n">
        <f aca="false">(AD467)+AB468-AC468</f>
        <v>461496.155531127</v>
      </c>
      <c r="AE468" s="15" t="n">
        <f aca="false">Motore_Operativo!BH468*(1+Parametri_v3!$C$26)</f>
        <v>11009.4833333333</v>
      </c>
      <c r="AF468" s="15" t="n">
        <f aca="false">(IF(44-(INT((Parametri_v3!$C$29)/30))&lt;1,0,INDEX(Motore_Operativo!$BH$425:$BH$484,MAX(1,44-(INT((Parametri_v3!$C$29)/30)))))*(1-(MOD((Parametri_v3!$C$29),30)/30))+IF(44-(INT((Parametri_v3!$C$29)/30))-1&lt;1,0,INDEX(Motore_Operativo!$BH$425:$BH$484,MAX(1,44-(INT((Parametri_v3!$C$29)/30))-1)))*(MOD((Parametri_v3!$C$29),30)/30))*(1+Parametri_v3!$C$26)</f>
        <v>11009.4833333333</v>
      </c>
      <c r="AG468" s="15" t="n">
        <f aca="false">(AG467)+AE468-AF468</f>
        <v>11009.4833333333</v>
      </c>
      <c r="AH468" s="15" t="n">
        <f aca="false">(Motore_Operativo!CJ468)*(1+Parametri_v3!$C$27*Parametri_v3!$C$26)</f>
        <v>72649.6399342168</v>
      </c>
      <c r="AI468" s="15" t="n">
        <f aca="false">(IF(44-(INT((Ipotesi!$C$91)/30))&lt;1,0,INDEX(Motore_Startup!$AH$425:$AH$484,MAX(1,44-(INT((Ipotesi!$C$91)/30)))))*(1-(MOD((Ipotesi!$C$91),30)/30))+IF(44-(INT((Ipotesi!$C$91)/30))-1&lt;1,0,INDEX(Motore_Startup!$AH$425:$AH$484,MAX(1,44-(INT((Ipotesi!$C$91)/30))-1)))*(MOD((Ipotesi!$C$91),30)/30))</f>
        <v>71653.0854545834</v>
      </c>
      <c r="AJ468" s="15" t="n">
        <f aca="false">(AJ467)+AH468-AI468</f>
        <v>144803.190062353</v>
      </c>
      <c r="AK468" s="15" t="n">
        <f aca="false">(F468+ Motore_Operativo!BH468-(Motore_Operativo!CJ468)*Parametri_v3!$C$27-Motore_Operativo!CE468)*Parametri_v3!$C$26</f>
        <v>18205.6507555055</v>
      </c>
      <c r="AL468" s="15" t="n">
        <f aca="false">MAX(0,(AM467))</f>
        <v>17627.0484795728</v>
      </c>
      <c r="AM468" s="15" t="n">
        <f aca="false">(AM467)+AK468-AL468</f>
        <v>18205.6507555055</v>
      </c>
      <c r="AN468" s="15" t="n">
        <f aca="false">SUM(X449:X460)</f>
        <v>0</v>
      </c>
      <c r="AO468" s="15" t="n">
        <f aca="false">SUM(AP449:AP460)</f>
        <v>0</v>
      </c>
      <c r="AP468" s="15" t="n">
        <f aca="false">MAX(0,AN468)*IF(8=Parametri_v3!$C$43,Parametri_v3!$C$45,IF(8=Parametri_v3!$C$44,1-Parametri_v3!$C$45,0))</f>
        <v>0</v>
      </c>
      <c r="AQ468" s="15" t="n">
        <f aca="false">MAX(0,AP468+IF(8=Parametri_v3!$C$43,MAX(0,AN468-AO468),0)-MAX(0,-(AR467)))</f>
        <v>0</v>
      </c>
      <c r="AR468" s="15" t="n">
        <f aca="false">(AR467)+X468-AQ468</f>
        <v>0</v>
      </c>
      <c r="AS468" s="15" t="n">
        <f aca="false">Motore_Operativo!AB468-AT468+AU468</f>
        <v>91649.4297604167</v>
      </c>
      <c r="AT468" s="15" t="n">
        <f aca="false">Motore_Operativo!CH468</f>
        <v>4823.65419791667</v>
      </c>
      <c r="AU468" s="15" t="n">
        <f aca="false">MIN(MAX(0,(AV467)+AT468),Parametri_v3!$C$60/12)</f>
        <v>0</v>
      </c>
      <c r="AV468" s="15" t="n">
        <f aca="false">(AV467)+AT468-AU468</f>
        <v>117760.933583333</v>
      </c>
      <c r="AW468" s="15" t="n">
        <f aca="false">IF(AND(Motore_Operativo!C468=Finanziamenti!$D$6,Finanziamenti!$F$6=1),Finanziamenti!$C$6,0)</f>
        <v>0</v>
      </c>
      <c r="AX468" s="15" t="n">
        <f aca="false">IF(AND(8&lt;&gt;7,8&lt;&gt;9,Finanziamenti!$F$8=1,OR(Parametri_v3!$C$6=0,Finanziamenti!$E$8=1),Motore_Operativo!C468=EDATE(Finanziamenti!$D$8,Ipotesi!J15*12)),Finanziamenti!$C$8*1,0)+IF(AND(8&lt;&gt;7,8&lt;&gt;9,Finanziamenti!$F$9=1,OR(Parametri_v3!$C$6=0,Finanziamenti!$E$9=1),Motore_Operativo!C468=EDATE(Finanziamenti!$D$9,Ipotesi!J15*12)),Finanziamenti!$C$9*Ipotesi!J16,0)</f>
        <v>0</v>
      </c>
      <c r="AY468" s="15" t="n">
        <f aca="false">0</f>
        <v>0</v>
      </c>
      <c r="AZ468" s="15" t="n">
        <f aca="false">Motore_Advisory!AY468*(1-Ipotesi!$C$95)*Ipotesi!$C$96</f>
        <v>0</v>
      </c>
      <c r="BA468" s="15" t="n">
        <f aca="false">MAX(0,MIN(CG468*MIN(1,IF(Motore_Operativo!C468&gt;=EDATE(Finanziamenti!$D$15,Ipotesi!J14*12),Finanziamenti!$C$15,0)+IF(Motore_Operativo!C468&gt;=EDATE(Finanziamenti!$D$16,Ipotesi!J14*12),Finanziamenti!$C$16,0)+IF(Motore_Operativo!C468&gt;=EDATE(Finanziamenti!$D$17,Ipotesi!J14*12),Finanziamenti!$C$17,0)),CA468*Ipotesi!$C$102)-(CC467))</f>
        <v>0</v>
      </c>
      <c r="BB468" s="15" t="n">
        <f aca="false">IF(AND(CF468&gt;0,Motore_Operativo!C468&gt;=IF(CF468=0,0,EDATE(CF468,Parametri_v3!$C$37)),MOD(((D468-YEAR(IF(CF468=0,0,EDATE(CF468,Parametri_v3!$C$37))))*12+E468-MONTH(IF(CF468=0,0,EDATE(CF468,Parametri_v3!$C$37)))),Parametri_v3!$C$38)=0),MIN(MAX(0,(BC467)+BA468-N468),(CC468-CD468)/(Ipotesi!$C$108*12/Parametri_v3!$C$38)),0)</f>
        <v>0</v>
      </c>
      <c r="BC468" s="15" t="n">
        <f aca="false">(BC467)+BA468-N468-BB468</f>
        <v>252123.347039769</v>
      </c>
      <c r="BD468" s="15" t="n">
        <f aca="false">(BH467)+AC468+AF468-AI468-AS468-K468*(1+Parametri_v3!$C$26)-AL468-AQ468-O468+AW468+AX468+AZ468+BA468-BB468</f>
        <v>136237.349191954</v>
      </c>
      <c r="BE468" s="15" t="n">
        <f aca="false">MAX(0,MIN(MAX(0,CH468-(BG467)),Parametri_v3!$C$30-BD468))</f>
        <v>0</v>
      </c>
      <c r="BF468" s="15" t="n">
        <f aca="false">IF(Motore_Operativo!C468&gt;=Parametri_v3!$C$63,(BG467),MIN((BG467),MAX(0,BD468-Parametri_v3!$C$30)))</f>
        <v>0</v>
      </c>
      <c r="BG468" s="15" t="n">
        <f aca="false">(BG467)+BE468-BF468</f>
        <v>0</v>
      </c>
      <c r="BH468" s="15" t="n">
        <f aca="false">BD468+BE468-BF468-AY468</f>
        <v>136237.349191954</v>
      </c>
      <c r="BI468" s="15" t="n">
        <f aca="false">MAX(0,Parametri_v3!$C$30-BH468)</f>
        <v>0</v>
      </c>
      <c r="BJ468" s="15" t="n">
        <f aca="false">(BJ467)+K468</f>
        <v>101666.666666667</v>
      </c>
      <c r="BK468" s="15" t="n">
        <f aca="false">(BK467)+L468</f>
        <v>53541.6666666667</v>
      </c>
      <c r="BL468" s="15" t="n">
        <f aca="false">BJ468-BK468</f>
        <v>48125</v>
      </c>
      <c r="BM468" s="15" t="n">
        <f aca="false">(BM467)+Y468</f>
        <v>-1241732.14967899</v>
      </c>
      <c r="BN468" s="15" t="n">
        <f aca="false">(BN467)+AW468+AX468+AZ468</f>
        <v>1365707.01629444</v>
      </c>
      <c r="BO468" s="15" t="n">
        <f aca="false">(BO467)+AY468</f>
        <v>0</v>
      </c>
      <c r="BP468" s="15" t="n">
        <f aca="false">0</f>
        <v>0</v>
      </c>
      <c r="BQ468" s="15" t="n">
        <f aca="false">BN468+BM468-BO468</f>
        <v>123974.866615455</v>
      </c>
      <c r="BR468" s="15" t="n">
        <f aca="false">BH468+AD468+BL468+MAX(0,-AM468)+MAX(0,-AR468)+AG468</f>
        <v>656867.988056414</v>
      </c>
      <c r="BS468" s="15" t="n">
        <f aca="false">AJ468+AV468+MAX(0,AM468)+MAX(0,AR468)+BC468+BG468+BQ468</f>
        <v>656867.988056416</v>
      </c>
      <c r="BT468" s="15" t="n">
        <f aca="false">BR468-BS468</f>
        <v>0</v>
      </c>
      <c r="BU468" s="15" t="n">
        <f aca="false">BH468-(BD468+BE468-BF468-AY468)</f>
        <v>0</v>
      </c>
      <c r="BV468" s="15" t="n">
        <f aca="false">MIN(Piano_SS!$C$6,(BV467)+IF(AND(Motore_Operativo!C468&gt;=EDATE(Parametri_v3!$C$24,Ipotesi!J14*12),Motore_Operativo!C468&lt;EDATE(Parametri_v3!$C$24,Parametri_v3!$C$25+Ipotesi!J14*12)),MAX(0,(Motore_Operativo!Y468+Motore_Operativo!X468*Parametri_v3!$C$14)*(1-Parametri_v3!$C$32))*Piano_SS!$D$6,0))</f>
        <v>300000</v>
      </c>
      <c r="BW468" s="15" t="n">
        <f aca="false">MIN(Piano_SS!$C$7,(BW467)+IF(AND(Motore_Operativo!C468&gt;=EDATE(Parametri_v3!$C$24,Ipotesi!J14*12),Motore_Operativo!C468&lt;EDATE(Parametri_v3!$C$24,Parametri_v3!$C$25+Ipotesi!J14*12)),MAX(0,(IF(44-(INT((Ipotesi!$C$91)/30))&lt;1,0,INDEX(Motore_Operativo!$BN$425:$BN$484,MAX(1,44-(INT((Ipotesi!$C$91)/30)))))*(1-(MOD((Ipotesi!$C$91),30)/30))+IF(44-(INT((Ipotesi!$C$91)/30))-1&lt;1,0,INDEX(Motore_Operativo!$BN$425:$BN$484,MAX(1,44-(INT((Ipotesi!$C$91)/30))-1)))*(MOD((Ipotesi!$C$91),30)/30)))*Piano_SS!$D$7,0))</f>
        <v>41058.9230070837</v>
      </c>
      <c r="BX468" s="15" t="n">
        <f aca="false">MIN(Piano_SS!$C$8,(BX467)+IF(AND(Motore_Operativo!C468&gt;=EDATE(Parametri_v3!$C$24,Ipotesi!J14*12),Motore_Operativo!C468&lt;EDATE(Parametri_v3!$C$24,Parametri_v3!$C$25+Ipotesi!J14*12)),MAX(0,Motore_Operativo!CE468)*Piano_SS!$D$8,0))</f>
        <v>50000</v>
      </c>
      <c r="BY468" s="15" t="n">
        <f aca="false">MIN(Piano_SS!$C$9,(BY467)+IF(AND(Motore_Operativo!C468&gt;=EDATE(Parametri_v3!$C$24,Ipotesi!J14*12),Motore_Operativo!C468&lt;EDATE(Parametri_v3!$C$24,Parametri_v3!$C$25+Ipotesi!J14*12)),MAX(0,((IF(44-(INT((Ipotesi!$C$91)/30))&lt;1,0,INDEX(Motore_Operativo!$BQ$425:$BQ$484,MAX(1,44-(INT((Ipotesi!$C$91)/30)))))*(1-(MOD((Ipotesi!$C$91),30)/30))+IF(44-(INT((Ipotesi!$C$91)/30))-1&lt;1,0,INDEX(Motore_Operativo!$BQ$425:$BQ$484,MAX(1,44-(INT((Ipotesi!$C$91)/30))-1)))*(MOD((Ipotesi!$C$91),30)/30))+(IF(44-(INT((Ipotesi!$C$91)/30))&lt;1,0,INDEX(Motore_Operativo!$BR$425:$BR$484,MAX(1,44-(INT((Ipotesi!$C$91)/30)))))*(1-(MOD((Ipotesi!$C$91),30)/30))+IF(44-(INT((Ipotesi!$C$91)/30))-1&lt;1,0,INDEX(Motore_Operativo!$BR$425:$BR$484,MAX(1,44-(INT((Ipotesi!$C$91)/30))-1)))*(MOD((Ipotesi!$C$91),30)/30))))*Piano_SS!$D$9,0))</f>
        <v>40000</v>
      </c>
      <c r="BZ468" s="15" t="n">
        <f aca="false">MIN(Piano_SS!$C$10,(BZ467)+IF(AND(Motore_Operativo!C468&gt;=EDATE(Parametri_v3!$C$24,Ipotesi!J14*12),Motore_Operativo!C468&lt;EDATE(Parametri_v3!$C$24,Parametri_v3!$C$25+Ipotesi!J14*12)),MAX(0,(IF(44-(INT((Ipotesi!$C$91)/30))&lt;1,0,INDEX(Motore_Operativo!$BO$425:$BO$484,MAX(1,44-(INT((Ipotesi!$C$91)/30)))))*(1-(MOD((Ipotesi!$C$91),30)/30))+IF(44-(INT((Ipotesi!$C$91)/30))-1&lt;1,0,INDEX(Motore_Operativo!$BO$425:$BO$484,MAX(1,44-(INT((Ipotesi!$C$91)/30))-1)))*(MOD((Ipotesi!$C$91),30)/30)))*Piano_SS!$D$10,0))</f>
        <v>30000</v>
      </c>
      <c r="CA468" s="15" t="n">
        <f aca="false">SUM(BV468:BZ468)</f>
        <v>461058.923007084</v>
      </c>
      <c r="CB468" s="15" t="n">
        <f aca="false">BV468*(1-Piano_SS!$E$6)+BW468*(1-Piano_SS!$E$7)+BX468*(1-Piano_SS!$E$8)+BY468*(1-Piano_SS!$E$9)+BZ468*(1-Piano_SS!$E$10)</f>
        <v>431058.923007084</v>
      </c>
      <c r="CC468" s="15" t="n">
        <f aca="false">(CC467)+BA468</f>
        <v>368847.138405667</v>
      </c>
      <c r="CD468" s="15" t="n">
        <f aca="false">IF(CA468=0,0,CC468*CB468/CA468*Ipotesi!$C$103*Parametri_v3!$C$64)</f>
        <v>103454.1415217</v>
      </c>
      <c r="CE468" s="18" t="n">
        <f aca="false">IF(BA468&gt;0,Motore_Operativo!C468,(CE467))</f>
        <v>47270</v>
      </c>
      <c r="CF468" s="18" t="n">
        <f aca="false">IF(AND(CC468&gt;0,OR(CC468&gt;=CG468-0.01,Motore_Operativo!C468&gt;=EDATE(MAX(Finanziamenti!$D$15:$D$17),Ipotesi!J14*12))),CE468,0)</f>
        <v>47270</v>
      </c>
      <c r="CG468" s="15" t="n">
        <f aca="false">IF(AND(8&lt;&gt;6,8&lt;&gt;9,Finanziamenti!$F$11=1,OR(Parametri_v3!$C$6=0,Finanziamenti!$E$11=1)),MIN(Finanziamenti!$C$11,Piano_SS!$C$12*Ipotesi!$C$102),0)</f>
        <v>400000</v>
      </c>
      <c r="CH468" s="15" t="n">
        <f aca="false">IF(AND(AND(8&lt;&gt;8,8&lt;&gt;9,Finanziamenti!$F$10=1,OR(Parametri_v3!$C$6=0,Finanziamenti!$E$10=1)),Motore_Operativo!C468&gt;=Finanziamenti!$D$10,Motore_Operativo!C468&lt;Parametri_v3!$C$63),Finanziamenti!$C$10,0)</f>
        <v>0</v>
      </c>
    </row>
    <row r="469" customFormat="false" ht="18" hidden="false" customHeight="true" outlineLevel="0" collapsed="false">
      <c r="A469" s="68" t="n">
        <f aca="false">8</f>
        <v>8</v>
      </c>
      <c r="B469" s="68" t="n">
        <f aca="false">45</f>
        <v>45</v>
      </c>
      <c r="C469" s="18" t="n">
        <f aca="false">Motore_Operativo!C469</f>
        <v>47727</v>
      </c>
      <c r="D469" s="68" t="n">
        <f aca="false">Motore_Operativo!D469</f>
        <v>2030</v>
      </c>
      <c r="E469" s="68" t="n">
        <f aca="false">Motore_Operativo!E469</f>
        <v>9</v>
      </c>
      <c r="F469" s="15" t="n">
        <f aca="false">Motore_Operativo!AQ469+Motore_Operativo!BF469</f>
        <v>132045.036754606</v>
      </c>
      <c r="G469" s="15" t="n">
        <f aca="false">Motore_Operativo!BH469</f>
        <v>9024.16666666667</v>
      </c>
      <c r="H469" s="15" t="n">
        <f aca="false">Motore_Operativo!BI469</f>
        <v>141069.203421273</v>
      </c>
      <c r="I469" s="15" t="n">
        <f aca="false">Motore_Operativo!CA469</f>
        <v>158091.780770645</v>
      </c>
      <c r="J469" s="15" t="n">
        <f aca="false">Motore_Operativo!CC469</f>
        <v>-17022.5773493721</v>
      </c>
      <c r="K469" s="15" t="n">
        <f aca="false">Motore_Operativo!CE469</f>
        <v>3333.33333333333</v>
      </c>
      <c r="L469" s="15" t="n">
        <f aca="false">SUM(INDEX($K$425:$K$484,MAX(1,45-Parametri_v3!$C$59+1)):K469)/Parametri_v3!$C$59</f>
        <v>2500</v>
      </c>
      <c r="M469" s="15" t="n">
        <f aca="false">J469-L469</f>
        <v>-19522.5773493721</v>
      </c>
      <c r="N469" s="15" t="n">
        <f aca="false">CD469-(CD468)</f>
        <v>0</v>
      </c>
      <c r="O469" s="15" t="n">
        <f aca="false">(BG468)*Ipotesi!$C$110/12+CH469*Parametri_v3!$C$39/12</f>
        <v>0</v>
      </c>
      <c r="P469" s="15" t="n">
        <f aca="false">M469+N469-O469</f>
        <v>-19522.5773493721</v>
      </c>
      <c r="Q469" s="15" t="n">
        <f aca="false">SUM(P461:P469)+Parametri_v3!$C$54*9/12</f>
        <v>-263927.108268911</v>
      </c>
      <c r="R469" s="15" t="n">
        <f aca="false">Z460</f>
        <v>997327.618759451</v>
      </c>
      <c r="S469" s="15" t="n">
        <f aca="false">AA460</f>
        <v>0</v>
      </c>
      <c r="T469" s="15" t="n">
        <f aca="false">MIN(R469,MAX(0,Q469))</f>
        <v>0</v>
      </c>
      <c r="U469" s="15" t="n">
        <f aca="false">MIN(S469,MAX(0,Q469-T469)*Parametri_v3!$C$42)</f>
        <v>0</v>
      </c>
      <c r="V469" s="15" t="n">
        <f aca="false">MAX(0,Q469-T469-U469)*Ipotesi!$C$92</f>
        <v>0</v>
      </c>
      <c r="W469" s="15" t="n">
        <f aca="false">MAX(0,SUM(M461:M469)+Parametri_v3!$C$55*9/12)*Ipotesi!$C$93</f>
        <v>0</v>
      </c>
      <c r="X469" s="15" t="n">
        <f aca="false">V469+W469-(V468+W468)</f>
        <v>0</v>
      </c>
      <c r="Y469" s="15" t="n">
        <f aca="false">P469-X469</f>
        <v>-19522.5773493721</v>
      </c>
      <c r="Z469" s="15" t="n">
        <f aca="false">R469-T469+IF(AND(Parametri_v3!$C$40=1,D469-YEAR(Parametri_v3!$C$50)&lt;Parametri_v3!$C$41),MAX(0,-Q469),0)</f>
        <v>997327.618759451</v>
      </c>
      <c r="AA469" s="15" t="n">
        <f aca="false">S469-U469+IF(AND(Parametri_v3!$C$40=1,D469-YEAR(Parametri_v3!$C$50)&lt;Parametri_v3!$C$41),0,MAX(0,-Q469))</f>
        <v>263927.108268911</v>
      </c>
      <c r="AB469" s="15" t="n">
        <f aca="false">F469*(1+Parametri_v3!$C$26)</f>
        <v>161094.944840619</v>
      </c>
      <c r="AC469" s="15" t="n">
        <f aca="false">(IF(45-(INT((Motore_Operativo!L469)/30))&lt;1,0,INDEX(Motore_Startup!$AB$425:$AB$484,MAX(1,45-(INT((Motore_Operativo!L469)/30)))))*(1-(MOD((Motore_Operativo!L469),30)/30))+IF(45-(INT((Motore_Operativo!L469)/30))-1&lt;1,0,INDEX(Motore_Startup!$AB$425:$AB$484,MAX(1,45-(INT((Motore_Operativo!L469)/30))-1)))*(MOD((Motore_Operativo!L469),30)/30))</f>
        <v>150168.627912054</v>
      </c>
      <c r="AD469" s="15" t="n">
        <f aca="false">(AD468)+AB469-AC469</f>
        <v>472422.472459693</v>
      </c>
      <c r="AE469" s="15" t="n">
        <f aca="false">Motore_Operativo!BH469*(1+Parametri_v3!$C$26)</f>
        <v>11009.4833333333</v>
      </c>
      <c r="AF469" s="15" t="n">
        <f aca="false">(IF(45-(INT((Parametri_v3!$C$29)/30))&lt;1,0,INDEX(Motore_Operativo!$BH$425:$BH$484,MAX(1,45-(INT((Parametri_v3!$C$29)/30)))))*(1-(MOD((Parametri_v3!$C$29),30)/30))+IF(45-(INT((Parametri_v3!$C$29)/30))-1&lt;1,0,INDEX(Motore_Operativo!$BH$425:$BH$484,MAX(1,45-(INT((Parametri_v3!$C$29)/30))-1)))*(MOD((Parametri_v3!$C$29),30)/30))*(1+Parametri_v3!$C$26)</f>
        <v>11009.4833333333</v>
      </c>
      <c r="AG469" s="15" t="n">
        <f aca="false">(AG468)+AE469-AF469</f>
        <v>11009.4833333333</v>
      </c>
      <c r="AH469" s="15" t="n">
        <f aca="false">(Motore_Operativo!CJ469)*(1+Parametri_v3!$C$27*Parametri_v3!$C$26)</f>
        <v>73141.3931162138</v>
      </c>
      <c r="AI469" s="15" t="n">
        <f aca="false">(IF(45-(INT((Ipotesi!$C$91)/30))&lt;1,0,INDEX(Motore_Startup!$AH$425:$AH$484,MAX(1,45-(INT((Ipotesi!$C$91)/30)))))*(1-(MOD((Ipotesi!$C$91),30)/30))+IF(45-(INT((Ipotesi!$C$91)/30))-1&lt;1,0,INDEX(Motore_Startup!$AH$425:$AH$484,MAX(1,45-(INT((Ipotesi!$C$91)/30))-1)))*(MOD((Ipotesi!$C$91),30)/30))</f>
        <v>72153.5501281365</v>
      </c>
      <c r="AJ469" s="15" t="n">
        <f aca="false">(AJ468)+AH469-AI469</f>
        <v>145791.033050431</v>
      </c>
      <c r="AK469" s="15" t="n">
        <f aca="false">(F469+ Motore_Operativo!BH469-(Motore_Operativo!CJ469)*Parametri_v3!$C$27-Motore_Operativo!CE469)*Parametri_v3!$C$26</f>
        <v>18779.1951154444</v>
      </c>
      <c r="AL469" s="15" t="n">
        <f aca="false">MAX(0,(AM468))</f>
        <v>18205.6507555055</v>
      </c>
      <c r="AM469" s="15" t="n">
        <f aca="false">(AM468)+AK469-AL469</f>
        <v>18779.1951154444</v>
      </c>
      <c r="AN469" s="15" t="n">
        <f aca="false">SUM(X449:X460)</f>
        <v>0</v>
      </c>
      <c r="AO469" s="15" t="n">
        <f aca="false">SUM(AP449:AP460)</f>
        <v>0</v>
      </c>
      <c r="AP469" s="15" t="n">
        <f aca="false">MAX(0,AN469)*IF(9=Parametri_v3!$C$43,Parametri_v3!$C$45,IF(9=Parametri_v3!$C$44,1-Parametri_v3!$C$45,0))</f>
        <v>0</v>
      </c>
      <c r="AQ469" s="15" t="n">
        <f aca="false">MAX(0,AP469+IF(9=Parametri_v3!$C$43,MAX(0,AN469-AO469),0)-MAX(0,-(AR468)))</f>
        <v>0</v>
      </c>
      <c r="AR469" s="15" t="n">
        <f aca="false">(AR468)+X469-AQ469</f>
        <v>0</v>
      </c>
      <c r="AS469" s="15" t="n">
        <f aca="false">Motore_Operativo!AB469-AT469+AU469</f>
        <v>91649.4297604167</v>
      </c>
      <c r="AT469" s="15" t="n">
        <f aca="false">Motore_Operativo!CH469</f>
        <v>4823.65419791667</v>
      </c>
      <c r="AU469" s="15" t="n">
        <f aca="false">MIN(MAX(0,(AV468)+AT469),Parametri_v3!$C$60/12)</f>
        <v>0</v>
      </c>
      <c r="AV469" s="15" t="n">
        <f aca="false">(AV468)+AT469-AU469</f>
        <v>122584.58778125</v>
      </c>
      <c r="AW469" s="15" t="n">
        <f aca="false">IF(AND(Motore_Operativo!C469=Finanziamenti!$D$6,Finanziamenti!$F$6=1),Finanziamenti!$C$6,0)</f>
        <v>0</v>
      </c>
      <c r="AX469" s="15" t="n">
        <f aca="false">IF(AND(8&lt;&gt;7,8&lt;&gt;9,Finanziamenti!$F$8=1,OR(Parametri_v3!$C$6=0,Finanziamenti!$E$8=1),Motore_Operativo!C469=EDATE(Finanziamenti!$D$8,Ipotesi!J15*12)),Finanziamenti!$C$8*1,0)+IF(AND(8&lt;&gt;7,8&lt;&gt;9,Finanziamenti!$F$9=1,OR(Parametri_v3!$C$6=0,Finanziamenti!$E$9=1),Motore_Operativo!C469=EDATE(Finanziamenti!$D$9,Ipotesi!J15*12)),Finanziamenti!$C$9*Ipotesi!J16,0)</f>
        <v>0</v>
      </c>
      <c r="AY469" s="15" t="n">
        <f aca="false">0</f>
        <v>0</v>
      </c>
      <c r="AZ469" s="15" t="n">
        <f aca="false">Motore_Advisory!AY469*(1-Ipotesi!$C$95)*Ipotesi!$C$96</f>
        <v>0</v>
      </c>
      <c r="BA469" s="15" t="n">
        <f aca="false">MAX(0,MIN(CG469*MIN(1,IF(Motore_Operativo!C469&gt;=EDATE(Finanziamenti!$D$15,Ipotesi!J14*12),Finanziamenti!$C$15,0)+IF(Motore_Operativo!C469&gt;=EDATE(Finanziamenti!$D$16,Ipotesi!J14*12),Finanziamenti!$C$16,0)+IF(Motore_Operativo!C469&gt;=EDATE(Finanziamenti!$D$17,Ipotesi!J14*12),Finanziamenti!$C$17,0)),CA469*Ipotesi!$C$102)-(CC468))</f>
        <v>0</v>
      </c>
      <c r="BB469" s="15" t="n">
        <f aca="false">IF(AND(CF469&gt;0,Motore_Operativo!C469&gt;=IF(CF469=0,0,EDATE(CF469,Parametri_v3!$C$37)),MOD(((D469-YEAR(IF(CF469=0,0,EDATE(CF469,Parametri_v3!$C$37))))*12+E469-MONTH(IF(CF469=0,0,EDATE(CF469,Parametri_v3!$C$37)))),Parametri_v3!$C$38)=0),MIN(MAX(0,(BC468)+BA469-N469),(CC469-CD469)/(Ipotesi!$C$108*12/Parametri_v3!$C$38)),0)</f>
        <v>0</v>
      </c>
      <c r="BC469" s="15" t="n">
        <f aca="false">(BC468)+BA469-N469-BB469</f>
        <v>252123.347039769</v>
      </c>
      <c r="BD469" s="15" t="n">
        <f aca="false">(BH468)+AC469+AF469-AI469-AS469-K469*(1+Parametri_v3!$C$26)-AL469-AQ469-O469+AW469+AX469+AZ469+BA469-BB469</f>
        <v>111340.163126615</v>
      </c>
      <c r="BE469" s="15" t="n">
        <f aca="false">MAX(0,MIN(MAX(0,CH469-(BG468)),Parametri_v3!$C$30-BD469))</f>
        <v>0</v>
      </c>
      <c r="BF469" s="15" t="n">
        <f aca="false">IF(Motore_Operativo!C469&gt;=Parametri_v3!$C$63,(BG468),MIN((BG468),MAX(0,BD469-Parametri_v3!$C$30)))</f>
        <v>0</v>
      </c>
      <c r="BG469" s="15" t="n">
        <f aca="false">(BG468)+BE469-BF469</f>
        <v>0</v>
      </c>
      <c r="BH469" s="15" t="n">
        <f aca="false">BD469+BE469-BF469-AY469</f>
        <v>111340.163126615</v>
      </c>
      <c r="BI469" s="15" t="n">
        <f aca="false">MAX(0,Parametri_v3!$C$30-BH469)</f>
        <v>0</v>
      </c>
      <c r="BJ469" s="15" t="n">
        <f aca="false">(BJ468)+K469</f>
        <v>105000</v>
      </c>
      <c r="BK469" s="15" t="n">
        <f aca="false">(BK468)+L469</f>
        <v>56041.6666666667</v>
      </c>
      <c r="BL469" s="15" t="n">
        <f aca="false">BJ469-BK469</f>
        <v>48958.3333333333</v>
      </c>
      <c r="BM469" s="15" t="n">
        <f aca="false">(BM468)+Y469</f>
        <v>-1261254.72702836</v>
      </c>
      <c r="BN469" s="15" t="n">
        <f aca="false">(BN468)+AW469+AX469+AZ469</f>
        <v>1365707.01629444</v>
      </c>
      <c r="BO469" s="15" t="n">
        <f aca="false">(BO468)+AY469</f>
        <v>0</v>
      </c>
      <c r="BP469" s="15" t="n">
        <f aca="false">0</f>
        <v>0</v>
      </c>
      <c r="BQ469" s="15" t="n">
        <f aca="false">BN469+BM469-BO469</f>
        <v>104452.289266082</v>
      </c>
      <c r="BR469" s="15" t="n">
        <f aca="false">BH469+AD469+BL469+MAX(0,-AM469)+MAX(0,-AR469)+AG469</f>
        <v>643730.452252975</v>
      </c>
      <c r="BS469" s="15" t="n">
        <f aca="false">AJ469+AV469+MAX(0,AM469)+MAX(0,AR469)+BC469+BG469+BQ469</f>
        <v>643730.452252976</v>
      </c>
      <c r="BT469" s="15" t="n">
        <f aca="false">BR469-BS469</f>
        <v>0</v>
      </c>
      <c r="BU469" s="15" t="n">
        <f aca="false">BH469-(BD469+BE469-BF469-AY469)</f>
        <v>0</v>
      </c>
      <c r="BV469" s="15" t="n">
        <f aca="false">MIN(Piano_SS!$C$6,(BV468)+IF(AND(Motore_Operativo!C469&gt;=EDATE(Parametri_v3!$C$24,Ipotesi!J14*12),Motore_Operativo!C469&lt;EDATE(Parametri_v3!$C$24,Parametri_v3!$C$25+Ipotesi!J14*12)),MAX(0,(Motore_Operativo!Y469+Motore_Operativo!X469*Parametri_v3!$C$14)*(1-Parametri_v3!$C$32))*Piano_SS!$D$6,0))</f>
        <v>300000</v>
      </c>
      <c r="BW469" s="15" t="n">
        <f aca="false">MIN(Piano_SS!$C$7,(BW468)+IF(AND(Motore_Operativo!C469&gt;=EDATE(Parametri_v3!$C$24,Ipotesi!J14*12),Motore_Operativo!C469&lt;EDATE(Parametri_v3!$C$24,Parametri_v3!$C$25+Ipotesi!J14*12)),MAX(0,(IF(45-(INT((Ipotesi!$C$91)/30))&lt;1,0,INDEX(Motore_Operativo!$BN$425:$BN$484,MAX(1,45-(INT((Ipotesi!$C$91)/30)))))*(1-(MOD((Ipotesi!$C$91),30)/30))+IF(45-(INT((Ipotesi!$C$91)/30))-1&lt;1,0,INDEX(Motore_Operativo!$BN$425:$BN$484,MAX(1,45-(INT((Ipotesi!$C$91)/30))-1)))*(MOD((Ipotesi!$C$91),30)/30)))*Piano_SS!$D$7,0))</f>
        <v>41058.9230070837</v>
      </c>
      <c r="BX469" s="15" t="n">
        <f aca="false">MIN(Piano_SS!$C$8,(BX468)+IF(AND(Motore_Operativo!C469&gt;=EDATE(Parametri_v3!$C$24,Ipotesi!J14*12),Motore_Operativo!C469&lt;EDATE(Parametri_v3!$C$24,Parametri_v3!$C$25+Ipotesi!J14*12)),MAX(0,Motore_Operativo!CE469)*Piano_SS!$D$8,0))</f>
        <v>50000</v>
      </c>
      <c r="BY469" s="15" t="n">
        <f aca="false">MIN(Piano_SS!$C$9,(BY468)+IF(AND(Motore_Operativo!C469&gt;=EDATE(Parametri_v3!$C$24,Ipotesi!J14*12),Motore_Operativo!C469&lt;EDATE(Parametri_v3!$C$24,Parametri_v3!$C$25+Ipotesi!J14*12)),MAX(0,((IF(45-(INT((Ipotesi!$C$91)/30))&lt;1,0,INDEX(Motore_Operativo!$BQ$425:$BQ$484,MAX(1,45-(INT((Ipotesi!$C$91)/30)))))*(1-(MOD((Ipotesi!$C$91),30)/30))+IF(45-(INT((Ipotesi!$C$91)/30))-1&lt;1,0,INDEX(Motore_Operativo!$BQ$425:$BQ$484,MAX(1,45-(INT((Ipotesi!$C$91)/30))-1)))*(MOD((Ipotesi!$C$91),30)/30))+(IF(45-(INT((Ipotesi!$C$91)/30))&lt;1,0,INDEX(Motore_Operativo!$BR$425:$BR$484,MAX(1,45-(INT((Ipotesi!$C$91)/30)))))*(1-(MOD((Ipotesi!$C$91),30)/30))+IF(45-(INT((Ipotesi!$C$91)/30))-1&lt;1,0,INDEX(Motore_Operativo!$BR$425:$BR$484,MAX(1,45-(INT((Ipotesi!$C$91)/30))-1)))*(MOD((Ipotesi!$C$91),30)/30))))*Piano_SS!$D$9,0))</f>
        <v>40000</v>
      </c>
      <c r="BZ469" s="15" t="n">
        <f aca="false">MIN(Piano_SS!$C$10,(BZ468)+IF(AND(Motore_Operativo!C469&gt;=EDATE(Parametri_v3!$C$24,Ipotesi!J14*12),Motore_Operativo!C469&lt;EDATE(Parametri_v3!$C$24,Parametri_v3!$C$25+Ipotesi!J14*12)),MAX(0,(IF(45-(INT((Ipotesi!$C$91)/30))&lt;1,0,INDEX(Motore_Operativo!$BO$425:$BO$484,MAX(1,45-(INT((Ipotesi!$C$91)/30)))))*(1-(MOD((Ipotesi!$C$91),30)/30))+IF(45-(INT((Ipotesi!$C$91)/30))-1&lt;1,0,INDEX(Motore_Operativo!$BO$425:$BO$484,MAX(1,45-(INT((Ipotesi!$C$91)/30))-1)))*(MOD((Ipotesi!$C$91),30)/30)))*Piano_SS!$D$10,0))</f>
        <v>30000</v>
      </c>
      <c r="CA469" s="15" t="n">
        <f aca="false">SUM(BV469:BZ469)</f>
        <v>461058.923007084</v>
      </c>
      <c r="CB469" s="15" t="n">
        <f aca="false">BV469*(1-Piano_SS!$E$6)+BW469*(1-Piano_SS!$E$7)+BX469*(1-Piano_SS!$E$8)+BY469*(1-Piano_SS!$E$9)+BZ469*(1-Piano_SS!$E$10)</f>
        <v>431058.923007084</v>
      </c>
      <c r="CC469" s="15" t="n">
        <f aca="false">(CC468)+BA469</f>
        <v>368847.138405667</v>
      </c>
      <c r="CD469" s="15" t="n">
        <f aca="false">IF(CA469=0,0,CC469*CB469/CA469*Ipotesi!$C$103*Parametri_v3!$C$64)</f>
        <v>103454.1415217</v>
      </c>
      <c r="CE469" s="18" t="n">
        <f aca="false">IF(BA469&gt;0,Motore_Operativo!C469,(CE468))</f>
        <v>47270</v>
      </c>
      <c r="CF469" s="18" t="n">
        <f aca="false">IF(AND(CC469&gt;0,OR(CC469&gt;=CG469-0.01,Motore_Operativo!C469&gt;=EDATE(MAX(Finanziamenti!$D$15:$D$17),Ipotesi!J14*12))),CE469,0)</f>
        <v>47270</v>
      </c>
      <c r="CG469" s="15" t="n">
        <f aca="false">IF(AND(8&lt;&gt;6,8&lt;&gt;9,Finanziamenti!$F$11=1,OR(Parametri_v3!$C$6=0,Finanziamenti!$E$11=1)),MIN(Finanziamenti!$C$11,Piano_SS!$C$12*Ipotesi!$C$102),0)</f>
        <v>400000</v>
      </c>
      <c r="CH469" s="15" t="n">
        <f aca="false">IF(AND(AND(8&lt;&gt;8,8&lt;&gt;9,Finanziamenti!$F$10=1,OR(Parametri_v3!$C$6=0,Finanziamenti!$E$10=1)),Motore_Operativo!C469&gt;=Finanziamenti!$D$10,Motore_Operativo!C469&lt;Parametri_v3!$C$63),Finanziamenti!$C$10,0)</f>
        <v>0</v>
      </c>
    </row>
    <row r="470" customFormat="false" ht="18" hidden="false" customHeight="true" outlineLevel="0" collapsed="false">
      <c r="A470" s="68" t="n">
        <f aca="false">8</f>
        <v>8</v>
      </c>
      <c r="B470" s="68" t="n">
        <f aca="false">46</f>
        <v>46</v>
      </c>
      <c r="C470" s="18" t="n">
        <f aca="false">Motore_Operativo!C470</f>
        <v>47757</v>
      </c>
      <c r="D470" s="68" t="n">
        <f aca="false">Motore_Operativo!D470</f>
        <v>2030</v>
      </c>
      <c r="E470" s="68" t="n">
        <f aca="false">Motore_Operativo!E470</f>
        <v>10</v>
      </c>
      <c r="F470" s="15" t="n">
        <f aca="false">Motore_Operativo!AQ470+Motore_Operativo!BF470</f>
        <v>134978.328769254</v>
      </c>
      <c r="G470" s="15" t="n">
        <f aca="false">Motore_Operativo!BH470</f>
        <v>9024.16666666667</v>
      </c>
      <c r="H470" s="15" t="n">
        <f aca="false">Motore_Operativo!BI470</f>
        <v>144002.495435921</v>
      </c>
      <c r="I470" s="15" t="n">
        <f aca="false">Motore_Operativo!CA470</f>
        <v>158502.441652696</v>
      </c>
      <c r="J470" s="15" t="n">
        <f aca="false">Motore_Operativo!CC470</f>
        <v>-14499.9462167748</v>
      </c>
      <c r="K470" s="15" t="n">
        <f aca="false">Motore_Operativo!CE470</f>
        <v>3333.33333333333</v>
      </c>
      <c r="L470" s="15" t="n">
        <f aca="false">SUM(INDEX($K$425:$K$484,MAX(1,46-Parametri_v3!$C$59+1)):K470)/Parametri_v3!$C$59</f>
        <v>2546.2962962963</v>
      </c>
      <c r="M470" s="15" t="n">
        <f aca="false">J470-L470</f>
        <v>-17046.2425130711</v>
      </c>
      <c r="N470" s="15" t="n">
        <f aca="false">CD470-(CD469)</f>
        <v>0</v>
      </c>
      <c r="O470" s="15" t="n">
        <f aca="false">(BG469)*Ipotesi!$C$110/12+CH470*Parametri_v3!$C$39/12</f>
        <v>0</v>
      </c>
      <c r="P470" s="15" t="n">
        <f aca="false">M470+N470-O470</f>
        <v>-17046.2425130711</v>
      </c>
      <c r="Q470" s="15" t="n">
        <f aca="false">SUM(P461:P470)+Parametri_v3!$C$54*10/12</f>
        <v>-280973.350781982</v>
      </c>
      <c r="R470" s="15" t="n">
        <f aca="false">Z460</f>
        <v>997327.618759451</v>
      </c>
      <c r="S470" s="15" t="n">
        <f aca="false">AA460</f>
        <v>0</v>
      </c>
      <c r="T470" s="15" t="n">
        <f aca="false">MIN(R470,MAX(0,Q470))</f>
        <v>0</v>
      </c>
      <c r="U470" s="15" t="n">
        <f aca="false">MIN(S470,MAX(0,Q470-T470)*Parametri_v3!$C$42)</f>
        <v>0</v>
      </c>
      <c r="V470" s="15" t="n">
        <f aca="false">MAX(0,Q470-T470-U470)*Ipotesi!$C$92</f>
        <v>0</v>
      </c>
      <c r="W470" s="15" t="n">
        <f aca="false">MAX(0,SUM(M461:M470)+Parametri_v3!$C$55*10/12)*Ipotesi!$C$93</f>
        <v>0</v>
      </c>
      <c r="X470" s="15" t="n">
        <f aca="false">V470+W470-(V469+W469)</f>
        <v>0</v>
      </c>
      <c r="Y470" s="15" t="n">
        <f aca="false">P470-X470</f>
        <v>-17046.2425130711</v>
      </c>
      <c r="Z470" s="15" t="n">
        <f aca="false">R470-T470+IF(AND(Parametri_v3!$C$40=1,D470-YEAR(Parametri_v3!$C$50)&lt;Parametri_v3!$C$41),MAX(0,-Q470),0)</f>
        <v>997327.618759451</v>
      </c>
      <c r="AA470" s="15" t="n">
        <f aca="false">S470-U470+IF(AND(Parametri_v3!$C$40=1,D470-YEAR(Parametri_v3!$C$50)&lt;Parametri_v3!$C$41),0,MAX(0,-Q470))</f>
        <v>280973.350781982</v>
      </c>
      <c r="AB470" s="15" t="n">
        <f aca="false">F470*(1+Parametri_v3!$C$26)</f>
        <v>164673.56109849</v>
      </c>
      <c r="AC470" s="15" t="n">
        <f aca="false">(IF(46-(INT((Motore_Operativo!L470)/30))&lt;1,0,INDEX(Motore_Startup!$AB$425:$AB$484,MAX(1,46-(INT((Motore_Operativo!L470)/30)))))*(1-(MOD((Motore_Operativo!L470),30)/30))+IF(46-(INT((Motore_Operativo!L470)/30))-1&lt;1,0,INDEX(Motore_Startup!$AB$425:$AB$484,MAX(1,46-(INT((Motore_Operativo!L470)/30))-1)))*(MOD((Motore_Operativo!L470),30)/30))</f>
        <v>153842.757781682</v>
      </c>
      <c r="AD470" s="15" t="n">
        <f aca="false">(AD469)+AB470-AC470</f>
        <v>483253.275776502</v>
      </c>
      <c r="AE470" s="15" t="n">
        <f aca="false">Motore_Operativo!BH470*(1+Parametri_v3!$C$26)</f>
        <v>11009.4833333333</v>
      </c>
      <c r="AF470" s="15" t="n">
        <f aca="false">(IF(46-(INT((Parametri_v3!$C$29)/30))&lt;1,0,INDEX(Motore_Operativo!$BH$425:$BH$484,MAX(1,46-(INT((Parametri_v3!$C$29)/30)))))*(1-(MOD((Parametri_v3!$C$29),30)/30))+IF(46-(INT((Parametri_v3!$C$29)/30))-1&lt;1,0,INDEX(Motore_Operativo!$BH$425:$BH$484,MAX(1,46-(INT((Parametri_v3!$C$29)/30))-1)))*(MOD((Parametri_v3!$C$29),30)/30))*(1+Parametri_v3!$C$26)</f>
        <v>11009.4833333333</v>
      </c>
      <c r="AG470" s="15" t="n">
        <f aca="false">(AG469)+AE470-AF470</f>
        <v>11009.4833333333</v>
      </c>
      <c r="AH470" s="15" t="n">
        <f aca="false">(Motore_Operativo!CJ470)*(1+Parametri_v3!$C$27*Parametri_v3!$C$26)</f>
        <v>73628.847583208</v>
      </c>
      <c r="AI470" s="15" t="n">
        <f aca="false">(IF(46-(INT((Ipotesi!$C$91)/30))&lt;1,0,INDEX(Motore_Startup!$AH$425:$AH$484,MAX(1,46-(INT((Ipotesi!$C$91)/30)))))*(1-(MOD((Ipotesi!$C$91),30)/30))+IF(46-(INT((Ipotesi!$C$91)/30))-1&lt;1,0,INDEX(Motore_Startup!$AH$425:$AH$484,MAX(1,46-(INT((Ipotesi!$C$91)/30))-1)))*(MOD((Ipotesi!$C$91),30)/30))</f>
        <v>72649.6399342168</v>
      </c>
      <c r="AJ470" s="15" t="n">
        <f aca="false">(AJ469)+AH470-AI470</f>
        <v>146770.240699422</v>
      </c>
      <c r="AK470" s="15" t="n">
        <f aca="false">(F470+ Motore_Operativo!BH470-(Motore_Operativo!CJ470)*Parametri_v3!$C$27-Motore_Operativo!CE470)*Parametri_v3!$C$26</f>
        <v>19347.7257737235</v>
      </c>
      <c r="AL470" s="15" t="n">
        <f aca="false">MAX(0,(AM469))</f>
        <v>18779.1951154444</v>
      </c>
      <c r="AM470" s="15" t="n">
        <f aca="false">(AM469)+AK470-AL470</f>
        <v>19347.7257737235</v>
      </c>
      <c r="AN470" s="15" t="n">
        <f aca="false">SUM(X449:X460)</f>
        <v>0</v>
      </c>
      <c r="AO470" s="15" t="n">
        <f aca="false">SUM(AP449:AP460)</f>
        <v>0</v>
      </c>
      <c r="AP470" s="15" t="n">
        <f aca="false">MAX(0,AN470)*IF(10=Parametri_v3!$C$43,Parametri_v3!$C$45,IF(10=Parametri_v3!$C$44,1-Parametri_v3!$C$45,0))</f>
        <v>0</v>
      </c>
      <c r="AQ470" s="15" t="n">
        <f aca="false">MAX(0,AP470+IF(10=Parametri_v3!$C$43,MAX(0,AN470-AO470),0)-MAX(0,-(AR469)))</f>
        <v>0</v>
      </c>
      <c r="AR470" s="15" t="n">
        <f aca="false">(AR469)+X470-AQ470</f>
        <v>0</v>
      </c>
      <c r="AS470" s="15" t="n">
        <f aca="false">Motore_Operativo!AB470-AT470+AU470</f>
        <v>91649.4297604167</v>
      </c>
      <c r="AT470" s="15" t="n">
        <f aca="false">Motore_Operativo!CH470</f>
        <v>4823.65419791667</v>
      </c>
      <c r="AU470" s="15" t="n">
        <f aca="false">MIN(MAX(0,(AV469)+AT470),Parametri_v3!$C$60/12)</f>
        <v>0</v>
      </c>
      <c r="AV470" s="15" t="n">
        <f aca="false">(AV469)+AT470-AU470</f>
        <v>127408.241979167</v>
      </c>
      <c r="AW470" s="15" t="n">
        <f aca="false">IF(AND(Motore_Operativo!C470=Finanziamenti!$D$6,Finanziamenti!$F$6=1),Finanziamenti!$C$6,0)</f>
        <v>0</v>
      </c>
      <c r="AX470" s="15" t="n">
        <f aca="false">IF(AND(8&lt;&gt;7,8&lt;&gt;9,Finanziamenti!$F$8=1,OR(Parametri_v3!$C$6=0,Finanziamenti!$E$8=1),Motore_Operativo!C470=EDATE(Finanziamenti!$D$8,Ipotesi!J15*12)),Finanziamenti!$C$8*1,0)+IF(AND(8&lt;&gt;7,8&lt;&gt;9,Finanziamenti!$F$9=1,OR(Parametri_v3!$C$6=0,Finanziamenti!$E$9=1),Motore_Operativo!C470=EDATE(Finanziamenti!$D$9,Ipotesi!J15*12)),Finanziamenti!$C$9*Ipotesi!J16,0)</f>
        <v>0</v>
      </c>
      <c r="AY470" s="15" t="n">
        <f aca="false">0</f>
        <v>0</v>
      </c>
      <c r="AZ470" s="15" t="n">
        <f aca="false">Motore_Advisory!AY470*(1-Ipotesi!$C$95)*Ipotesi!$C$96</f>
        <v>0</v>
      </c>
      <c r="BA470" s="15" t="n">
        <f aca="false">MAX(0,MIN(CG470*MIN(1,IF(Motore_Operativo!C470&gt;=EDATE(Finanziamenti!$D$15,Ipotesi!J14*12),Finanziamenti!$C$15,0)+IF(Motore_Operativo!C470&gt;=EDATE(Finanziamenti!$D$16,Ipotesi!J14*12),Finanziamenti!$C$16,0)+IF(Motore_Operativo!C470&gt;=EDATE(Finanziamenti!$D$17,Ipotesi!J14*12),Finanziamenti!$C$17,0)),CA470*Ipotesi!$C$102)-(CC469))</f>
        <v>0</v>
      </c>
      <c r="BB470" s="15" t="n">
        <f aca="false">IF(AND(CF470&gt;0,Motore_Operativo!C470&gt;=IF(CF470=0,0,EDATE(CF470,Parametri_v3!$C$37)),MOD(((D470-YEAR(IF(CF470=0,0,EDATE(CF470,Parametri_v3!$C$37))))*12+E470-MONTH(IF(CF470=0,0,EDATE(CF470,Parametri_v3!$C$37)))),Parametri_v3!$C$38)=0),MIN(MAX(0,(BC469)+BA470-N470),(CC470-CD470)/(Ipotesi!$C$108*12/Parametri_v3!$C$38)),0)</f>
        <v>0</v>
      </c>
      <c r="BC470" s="15" t="n">
        <f aca="false">(BC469)+BA470-N470-BB470</f>
        <v>252123.347039769</v>
      </c>
      <c r="BD470" s="15" t="n">
        <f aca="false">(BH469)+AC470+AF470-AI470-AS470-K470*(1+Parametri_v3!$C$26)-AL470-AQ470-O470+AW470+AX470+AZ470+BA470-BB470</f>
        <v>89047.4727648857</v>
      </c>
      <c r="BE470" s="15" t="n">
        <f aca="false">MAX(0,MIN(MAX(0,CH470-(BG469)),Parametri_v3!$C$30-BD470))</f>
        <v>0</v>
      </c>
      <c r="BF470" s="15" t="n">
        <f aca="false">IF(Motore_Operativo!C470&gt;=Parametri_v3!$C$63,(BG469),MIN((BG469),MAX(0,BD470-Parametri_v3!$C$30)))</f>
        <v>0</v>
      </c>
      <c r="BG470" s="15" t="n">
        <f aca="false">(BG469)+BE470-BF470</f>
        <v>0</v>
      </c>
      <c r="BH470" s="15" t="n">
        <f aca="false">BD470+BE470-BF470-AY470</f>
        <v>89047.4727648857</v>
      </c>
      <c r="BI470" s="15" t="n">
        <f aca="false">MAX(0,Parametri_v3!$C$30-BH470)</f>
        <v>0</v>
      </c>
      <c r="BJ470" s="15" t="n">
        <f aca="false">(BJ469)+K470</f>
        <v>108333.333333333</v>
      </c>
      <c r="BK470" s="15" t="n">
        <f aca="false">(BK469)+L470</f>
        <v>58587.962962963</v>
      </c>
      <c r="BL470" s="15" t="n">
        <f aca="false">BJ470-BK470</f>
        <v>49745.3703703703</v>
      </c>
      <c r="BM470" s="15" t="n">
        <f aca="false">(BM469)+Y470</f>
        <v>-1278300.96954143</v>
      </c>
      <c r="BN470" s="15" t="n">
        <f aca="false">(BN469)+AW470+AX470+AZ470</f>
        <v>1365707.01629444</v>
      </c>
      <c r="BO470" s="15" t="n">
        <f aca="false">(BO469)+AY470</f>
        <v>0</v>
      </c>
      <c r="BP470" s="15" t="n">
        <f aca="false">0</f>
        <v>0</v>
      </c>
      <c r="BQ470" s="15" t="n">
        <f aca="false">BN470+BM470-BO470</f>
        <v>87406.0467530114</v>
      </c>
      <c r="BR470" s="15" t="n">
        <f aca="false">BH470+AD470+BL470+MAX(0,-AM470)+MAX(0,-AR470)+AG470</f>
        <v>633055.602245091</v>
      </c>
      <c r="BS470" s="15" t="n">
        <f aca="false">AJ470+AV470+MAX(0,AM470)+MAX(0,AR470)+BC470+BG470+BQ470</f>
        <v>633055.602245092</v>
      </c>
      <c r="BT470" s="15" t="n">
        <f aca="false">BR470-BS470</f>
        <v>0</v>
      </c>
      <c r="BU470" s="15" t="n">
        <f aca="false">BH470-(BD470+BE470-BF470-AY470)</f>
        <v>0</v>
      </c>
      <c r="BV470" s="15" t="n">
        <f aca="false">MIN(Piano_SS!$C$6,(BV469)+IF(AND(Motore_Operativo!C470&gt;=EDATE(Parametri_v3!$C$24,Ipotesi!J14*12),Motore_Operativo!C470&lt;EDATE(Parametri_v3!$C$24,Parametri_v3!$C$25+Ipotesi!J14*12)),MAX(0,(Motore_Operativo!Y470+Motore_Operativo!X470*Parametri_v3!$C$14)*(1-Parametri_v3!$C$32))*Piano_SS!$D$6,0))</f>
        <v>300000</v>
      </c>
      <c r="BW470" s="15" t="n">
        <f aca="false">MIN(Piano_SS!$C$7,(BW469)+IF(AND(Motore_Operativo!C470&gt;=EDATE(Parametri_v3!$C$24,Ipotesi!J14*12),Motore_Operativo!C470&lt;EDATE(Parametri_v3!$C$24,Parametri_v3!$C$25+Ipotesi!J14*12)),MAX(0,(IF(46-(INT((Ipotesi!$C$91)/30))&lt;1,0,INDEX(Motore_Operativo!$BN$425:$BN$484,MAX(1,46-(INT((Ipotesi!$C$91)/30)))))*(1-(MOD((Ipotesi!$C$91),30)/30))+IF(46-(INT((Ipotesi!$C$91)/30))-1&lt;1,0,INDEX(Motore_Operativo!$BN$425:$BN$484,MAX(1,46-(INT((Ipotesi!$C$91)/30))-1)))*(MOD((Ipotesi!$C$91),30)/30)))*Piano_SS!$D$7,0))</f>
        <v>41058.9230070837</v>
      </c>
      <c r="BX470" s="15" t="n">
        <f aca="false">MIN(Piano_SS!$C$8,(BX469)+IF(AND(Motore_Operativo!C470&gt;=EDATE(Parametri_v3!$C$24,Ipotesi!J14*12),Motore_Operativo!C470&lt;EDATE(Parametri_v3!$C$24,Parametri_v3!$C$25+Ipotesi!J14*12)),MAX(0,Motore_Operativo!CE470)*Piano_SS!$D$8,0))</f>
        <v>50000</v>
      </c>
      <c r="BY470" s="15" t="n">
        <f aca="false">MIN(Piano_SS!$C$9,(BY469)+IF(AND(Motore_Operativo!C470&gt;=EDATE(Parametri_v3!$C$24,Ipotesi!J14*12),Motore_Operativo!C470&lt;EDATE(Parametri_v3!$C$24,Parametri_v3!$C$25+Ipotesi!J14*12)),MAX(0,((IF(46-(INT((Ipotesi!$C$91)/30))&lt;1,0,INDEX(Motore_Operativo!$BQ$425:$BQ$484,MAX(1,46-(INT((Ipotesi!$C$91)/30)))))*(1-(MOD((Ipotesi!$C$91),30)/30))+IF(46-(INT((Ipotesi!$C$91)/30))-1&lt;1,0,INDEX(Motore_Operativo!$BQ$425:$BQ$484,MAX(1,46-(INT((Ipotesi!$C$91)/30))-1)))*(MOD((Ipotesi!$C$91),30)/30))+(IF(46-(INT((Ipotesi!$C$91)/30))&lt;1,0,INDEX(Motore_Operativo!$BR$425:$BR$484,MAX(1,46-(INT((Ipotesi!$C$91)/30)))))*(1-(MOD((Ipotesi!$C$91),30)/30))+IF(46-(INT((Ipotesi!$C$91)/30))-1&lt;1,0,INDEX(Motore_Operativo!$BR$425:$BR$484,MAX(1,46-(INT((Ipotesi!$C$91)/30))-1)))*(MOD((Ipotesi!$C$91),30)/30))))*Piano_SS!$D$9,0))</f>
        <v>40000</v>
      </c>
      <c r="BZ470" s="15" t="n">
        <f aca="false">MIN(Piano_SS!$C$10,(BZ469)+IF(AND(Motore_Operativo!C470&gt;=EDATE(Parametri_v3!$C$24,Ipotesi!J14*12),Motore_Operativo!C470&lt;EDATE(Parametri_v3!$C$24,Parametri_v3!$C$25+Ipotesi!J14*12)),MAX(0,(IF(46-(INT((Ipotesi!$C$91)/30))&lt;1,0,INDEX(Motore_Operativo!$BO$425:$BO$484,MAX(1,46-(INT((Ipotesi!$C$91)/30)))))*(1-(MOD((Ipotesi!$C$91),30)/30))+IF(46-(INT((Ipotesi!$C$91)/30))-1&lt;1,0,INDEX(Motore_Operativo!$BO$425:$BO$484,MAX(1,46-(INT((Ipotesi!$C$91)/30))-1)))*(MOD((Ipotesi!$C$91),30)/30)))*Piano_SS!$D$10,0))</f>
        <v>30000</v>
      </c>
      <c r="CA470" s="15" t="n">
        <f aca="false">SUM(BV470:BZ470)</f>
        <v>461058.923007084</v>
      </c>
      <c r="CB470" s="15" t="n">
        <f aca="false">BV470*(1-Piano_SS!$E$6)+BW470*(1-Piano_SS!$E$7)+BX470*(1-Piano_SS!$E$8)+BY470*(1-Piano_SS!$E$9)+BZ470*(1-Piano_SS!$E$10)</f>
        <v>431058.923007084</v>
      </c>
      <c r="CC470" s="15" t="n">
        <f aca="false">(CC469)+BA470</f>
        <v>368847.138405667</v>
      </c>
      <c r="CD470" s="15" t="n">
        <f aca="false">IF(CA470=0,0,CC470*CB470/CA470*Ipotesi!$C$103*Parametri_v3!$C$64)</f>
        <v>103454.1415217</v>
      </c>
      <c r="CE470" s="18" t="n">
        <f aca="false">IF(BA470&gt;0,Motore_Operativo!C470,(CE469))</f>
        <v>47270</v>
      </c>
      <c r="CF470" s="18" t="n">
        <f aca="false">IF(AND(CC470&gt;0,OR(CC470&gt;=CG470-0.01,Motore_Operativo!C470&gt;=EDATE(MAX(Finanziamenti!$D$15:$D$17),Ipotesi!J14*12))),CE470,0)</f>
        <v>47270</v>
      </c>
      <c r="CG470" s="15" t="n">
        <f aca="false">IF(AND(8&lt;&gt;6,8&lt;&gt;9,Finanziamenti!$F$11=1,OR(Parametri_v3!$C$6=0,Finanziamenti!$E$11=1)),MIN(Finanziamenti!$C$11,Piano_SS!$C$12*Ipotesi!$C$102),0)</f>
        <v>400000</v>
      </c>
      <c r="CH470" s="15" t="n">
        <f aca="false">IF(AND(AND(8&lt;&gt;8,8&lt;&gt;9,Finanziamenti!$F$10=1,OR(Parametri_v3!$C$6=0,Finanziamenti!$E$10=1)),Motore_Operativo!C470&gt;=Finanziamenti!$D$10,Motore_Operativo!C470&lt;Parametri_v3!$C$63),Finanziamenti!$C$10,0)</f>
        <v>0</v>
      </c>
    </row>
    <row r="471" customFormat="false" ht="18" hidden="false" customHeight="true" outlineLevel="0" collapsed="false">
      <c r="A471" s="68" t="n">
        <f aca="false">8</f>
        <v>8</v>
      </c>
      <c r="B471" s="68" t="n">
        <f aca="false">47</f>
        <v>47</v>
      </c>
      <c r="C471" s="18" t="n">
        <f aca="false">Motore_Operativo!C471</f>
        <v>47788</v>
      </c>
      <c r="D471" s="68" t="n">
        <f aca="false">Motore_Operativo!D471</f>
        <v>2030</v>
      </c>
      <c r="E471" s="68" t="n">
        <f aca="false">Motore_Operativo!E471</f>
        <v>11</v>
      </c>
      <c r="F471" s="15" t="n">
        <f aca="false">Motore_Operativo!AQ471+Motore_Operativo!BF471</f>
        <v>137885.979086294</v>
      </c>
      <c r="G471" s="15" t="n">
        <f aca="false">Motore_Operativo!BH471</f>
        <v>9024.16666666667</v>
      </c>
      <c r="H471" s="15" t="n">
        <f aca="false">Motore_Operativo!BI471</f>
        <v>146910.14575296</v>
      </c>
      <c r="I471" s="15" t="n">
        <f aca="false">Motore_Operativo!CA471</f>
        <v>158909.512697081</v>
      </c>
      <c r="J471" s="15" t="n">
        <f aca="false">Motore_Operativo!CC471</f>
        <v>-11999.3669441208</v>
      </c>
      <c r="K471" s="15" t="n">
        <f aca="false">Motore_Operativo!CE471</f>
        <v>3333.33333333333</v>
      </c>
      <c r="L471" s="15" t="n">
        <f aca="false">SUM(INDEX($K$425:$K$484,MAX(1,47-Parametri_v3!$C$59+1)):K471)/Parametri_v3!$C$59</f>
        <v>2592.59259259259</v>
      </c>
      <c r="M471" s="15" t="n">
        <f aca="false">J471-L471</f>
        <v>-14591.9595367134</v>
      </c>
      <c r="N471" s="15" t="n">
        <f aca="false">CD471-(CD470)</f>
        <v>0</v>
      </c>
      <c r="O471" s="15" t="n">
        <f aca="false">(BG470)*Ipotesi!$C$110/12+CH471*Parametri_v3!$C$39/12</f>
        <v>0</v>
      </c>
      <c r="P471" s="15" t="n">
        <f aca="false">M471+N471-O471</f>
        <v>-14591.9595367134</v>
      </c>
      <c r="Q471" s="15" t="n">
        <f aca="false">SUM(P461:P471)+Parametri_v3!$C$54*11/12</f>
        <v>-295565.310318696</v>
      </c>
      <c r="R471" s="15" t="n">
        <f aca="false">Z460</f>
        <v>997327.618759451</v>
      </c>
      <c r="S471" s="15" t="n">
        <f aca="false">AA460</f>
        <v>0</v>
      </c>
      <c r="T471" s="15" t="n">
        <f aca="false">MIN(R471,MAX(0,Q471))</f>
        <v>0</v>
      </c>
      <c r="U471" s="15" t="n">
        <f aca="false">MIN(S471,MAX(0,Q471-T471)*Parametri_v3!$C$42)</f>
        <v>0</v>
      </c>
      <c r="V471" s="15" t="n">
        <f aca="false">MAX(0,Q471-T471-U471)*Ipotesi!$C$92</f>
        <v>0</v>
      </c>
      <c r="W471" s="15" t="n">
        <f aca="false">MAX(0,SUM(M461:M471)+Parametri_v3!$C$55*11/12)*Ipotesi!$C$93</f>
        <v>0</v>
      </c>
      <c r="X471" s="15" t="n">
        <f aca="false">V471+W471-(V470+W470)</f>
        <v>0</v>
      </c>
      <c r="Y471" s="15" t="n">
        <f aca="false">P471-X471</f>
        <v>-14591.9595367134</v>
      </c>
      <c r="Z471" s="15" t="n">
        <f aca="false">R471-T471+IF(AND(Parametri_v3!$C$40=1,D471-YEAR(Parametri_v3!$C$50)&lt;Parametri_v3!$C$41),MAX(0,-Q471),0)</f>
        <v>997327.618759451</v>
      </c>
      <c r="AA471" s="15" t="n">
        <f aca="false">S471-U471+IF(AND(Parametri_v3!$C$40=1,D471-YEAR(Parametri_v3!$C$50)&lt;Parametri_v3!$C$41),0,MAX(0,-Q471))</f>
        <v>295565.310318696</v>
      </c>
      <c r="AB471" s="15" t="n">
        <f aca="false">F471*(1+Parametri_v3!$C$26)</f>
        <v>168220.894485278</v>
      </c>
      <c r="AC471" s="15" t="n">
        <f aca="false">(IF(47-(INT((Motore_Operativo!L471)/30))&lt;1,0,INDEX(Motore_Startup!$AB$425:$AB$484,MAX(1,47-(INT((Motore_Operativo!L471)/30)))))*(1-(MOD((Motore_Operativo!L471),30)/30))+IF(47-(INT((Motore_Operativo!L471)/30))-1&lt;1,0,INDEX(Motore_Startup!$AB$425:$AB$484,MAX(1,47-(INT((Motore_Operativo!L471)/30))-1)))*(MOD((Motore_Operativo!L471),30)/30))</f>
        <v>157484.769837392</v>
      </c>
      <c r="AD471" s="15" t="n">
        <f aca="false">(AD470)+AB471-AC471</f>
        <v>493989.400424388</v>
      </c>
      <c r="AE471" s="15" t="n">
        <f aca="false">Motore_Operativo!BH471*(1+Parametri_v3!$C$26)</f>
        <v>11009.4833333333</v>
      </c>
      <c r="AF471" s="15" t="n">
        <f aca="false">(IF(47-(INT((Parametri_v3!$C$29)/30))&lt;1,0,INDEX(Motore_Operativo!$BH$425:$BH$484,MAX(1,47-(INT((Parametri_v3!$C$29)/30)))))*(1-(MOD((Parametri_v3!$C$29),30)/30))+IF(47-(INT((Parametri_v3!$C$29)/30))-1&lt;1,0,INDEX(Motore_Operativo!$BH$425:$BH$484,MAX(1,47-(INT((Parametri_v3!$C$29)/30))-1)))*(MOD((Parametri_v3!$C$29),30)/30))*(1+Parametri_v3!$C$26)</f>
        <v>11009.4833333333</v>
      </c>
      <c r="AG471" s="15" t="n">
        <f aca="false">(AG470)+AE471-AF471</f>
        <v>11009.4833333333</v>
      </c>
      <c r="AH471" s="15" t="n">
        <f aca="false">(Motore_Operativo!CJ471)*(1+Parametri_v3!$C$27*Parametri_v3!$C$26)</f>
        <v>74112.0409128937</v>
      </c>
      <c r="AI471" s="15" t="n">
        <f aca="false">(IF(47-(INT((Ipotesi!$C$91)/30))&lt;1,0,INDEX(Motore_Startup!$AH$425:$AH$484,MAX(1,47-(INT((Ipotesi!$C$91)/30)))))*(1-(MOD((Ipotesi!$C$91),30)/30))+IF(47-(INT((Ipotesi!$C$91)/30))-1&lt;1,0,INDEX(Motore_Startup!$AH$425:$AH$484,MAX(1,47-(INT((Ipotesi!$C$91)/30))-1)))*(MOD((Ipotesi!$C$91),30)/30))</f>
        <v>73141.3931162138</v>
      </c>
      <c r="AJ471" s="15" t="n">
        <f aca="false">(AJ470)+AH471-AI471</f>
        <v>147740.888496102</v>
      </c>
      <c r="AK471" s="15" t="n">
        <f aca="false">(F471+ Motore_Operativo!BH471-(Motore_Operativo!CJ471)*Parametri_v3!$C$27-Motore_Operativo!CE471)*Parametri_v3!$C$26</f>
        <v>19911.2865581721</v>
      </c>
      <c r="AL471" s="15" t="n">
        <f aca="false">MAX(0,(AM470))</f>
        <v>19347.7257737235</v>
      </c>
      <c r="AM471" s="15" t="n">
        <f aca="false">(AM470)+AK471-AL471</f>
        <v>19911.2865581721</v>
      </c>
      <c r="AN471" s="15" t="n">
        <f aca="false">SUM(X449:X460)</f>
        <v>0</v>
      </c>
      <c r="AO471" s="15" t="n">
        <f aca="false">SUM(AP449:AP460)</f>
        <v>0</v>
      </c>
      <c r="AP471" s="15" t="n">
        <f aca="false">MAX(0,AN471)*IF(11=Parametri_v3!$C$43,Parametri_v3!$C$45,IF(11=Parametri_v3!$C$44,1-Parametri_v3!$C$45,0))</f>
        <v>0</v>
      </c>
      <c r="AQ471" s="15" t="n">
        <f aca="false">MAX(0,AP471+IF(11=Parametri_v3!$C$43,MAX(0,AN471-AO471),0)-MAX(0,-(AR470)))</f>
        <v>0</v>
      </c>
      <c r="AR471" s="15" t="n">
        <f aca="false">(AR470)+X471-AQ471</f>
        <v>0</v>
      </c>
      <c r="AS471" s="15" t="n">
        <f aca="false">Motore_Operativo!AB471-AT471+AU471</f>
        <v>91649.4297604167</v>
      </c>
      <c r="AT471" s="15" t="n">
        <f aca="false">Motore_Operativo!CH471</f>
        <v>4823.65419791667</v>
      </c>
      <c r="AU471" s="15" t="n">
        <f aca="false">MIN(MAX(0,(AV470)+AT471),Parametri_v3!$C$60/12)</f>
        <v>0</v>
      </c>
      <c r="AV471" s="15" t="n">
        <f aca="false">(AV470)+AT471-AU471</f>
        <v>132231.896177083</v>
      </c>
      <c r="AW471" s="15" t="n">
        <f aca="false">IF(AND(Motore_Operativo!C471=Finanziamenti!$D$6,Finanziamenti!$F$6=1),Finanziamenti!$C$6,0)</f>
        <v>0</v>
      </c>
      <c r="AX471" s="15" t="n">
        <f aca="false">IF(AND(8&lt;&gt;7,8&lt;&gt;9,Finanziamenti!$F$8=1,OR(Parametri_v3!$C$6=0,Finanziamenti!$E$8=1),Motore_Operativo!C471=EDATE(Finanziamenti!$D$8,Ipotesi!J15*12)),Finanziamenti!$C$8*1,0)+IF(AND(8&lt;&gt;7,8&lt;&gt;9,Finanziamenti!$F$9=1,OR(Parametri_v3!$C$6=0,Finanziamenti!$E$9=1),Motore_Operativo!C471=EDATE(Finanziamenti!$D$9,Ipotesi!J15*12)),Finanziamenti!$C$9*Ipotesi!J16,0)</f>
        <v>0</v>
      </c>
      <c r="AY471" s="15" t="n">
        <f aca="false">0</f>
        <v>0</v>
      </c>
      <c r="AZ471" s="15" t="n">
        <f aca="false">Motore_Advisory!AY471*(1-Ipotesi!$C$95)*Ipotesi!$C$96</f>
        <v>0</v>
      </c>
      <c r="BA471" s="15" t="n">
        <f aca="false">MAX(0,MIN(CG471*MIN(1,IF(Motore_Operativo!C471&gt;=EDATE(Finanziamenti!$D$15,Ipotesi!J14*12),Finanziamenti!$C$15,0)+IF(Motore_Operativo!C471&gt;=EDATE(Finanziamenti!$D$16,Ipotesi!J14*12),Finanziamenti!$C$16,0)+IF(Motore_Operativo!C471&gt;=EDATE(Finanziamenti!$D$17,Ipotesi!J14*12),Finanziamenti!$C$17,0)),CA471*Ipotesi!$C$102)-(CC470))</f>
        <v>0</v>
      </c>
      <c r="BB471" s="15" t="n">
        <f aca="false">IF(AND(CF471&gt;0,Motore_Operativo!C471&gt;=IF(CF471=0,0,EDATE(CF471,Parametri_v3!$C$37)),MOD(((D471-YEAR(IF(CF471=0,0,EDATE(CF471,Parametri_v3!$C$37))))*12+E471-MONTH(IF(CF471=0,0,EDATE(CF471,Parametri_v3!$C$37)))),Parametri_v3!$C$38)=0),MIN(MAX(0,(BC470)+BA471-N471),(CC471-CD471)/(Ipotesi!$C$108*12/Parametri_v3!$C$38)),0)</f>
        <v>0</v>
      </c>
      <c r="BC471" s="15" t="n">
        <f aca="false">(BC470)+BA471-N471-BB471</f>
        <v>252123.347039769</v>
      </c>
      <c r="BD471" s="15" t="n">
        <f aca="false">(BH470)+AC471+AF471-AI471-AS471-K471*(1+Parametri_v3!$C$26)-AL471-AQ471-O471+AW471+AX471+AZ471+BA471-BB471</f>
        <v>69336.5106185905</v>
      </c>
      <c r="BE471" s="15" t="n">
        <f aca="false">MAX(0,MIN(MAX(0,CH471-(BG470)),Parametri_v3!$C$30-BD471))</f>
        <v>0</v>
      </c>
      <c r="BF471" s="15" t="n">
        <f aca="false">IF(Motore_Operativo!C471&gt;=Parametri_v3!$C$63,(BG470),MIN((BG470),MAX(0,BD471-Parametri_v3!$C$30)))</f>
        <v>0</v>
      </c>
      <c r="BG471" s="15" t="n">
        <f aca="false">(BG470)+BE471-BF471</f>
        <v>0</v>
      </c>
      <c r="BH471" s="15" t="n">
        <f aca="false">BD471+BE471-BF471-AY471</f>
        <v>69336.5106185905</v>
      </c>
      <c r="BI471" s="15" t="n">
        <f aca="false">MAX(0,Parametri_v3!$C$30-BH471)</f>
        <v>0</v>
      </c>
      <c r="BJ471" s="15" t="n">
        <f aca="false">(BJ470)+K471</f>
        <v>111666.666666667</v>
      </c>
      <c r="BK471" s="15" t="n">
        <f aca="false">(BK470)+L471</f>
        <v>61180.5555555556</v>
      </c>
      <c r="BL471" s="15" t="n">
        <f aca="false">BJ471-BK471</f>
        <v>50486.1111111111</v>
      </c>
      <c r="BM471" s="15" t="n">
        <f aca="false">(BM470)+Y471</f>
        <v>-1292892.92907815</v>
      </c>
      <c r="BN471" s="15" t="n">
        <f aca="false">(BN470)+AW471+AX471+AZ471</f>
        <v>1365707.01629444</v>
      </c>
      <c r="BO471" s="15" t="n">
        <f aca="false">(BO470)+AY471</f>
        <v>0</v>
      </c>
      <c r="BP471" s="15" t="n">
        <f aca="false">0</f>
        <v>0</v>
      </c>
      <c r="BQ471" s="15" t="n">
        <f aca="false">BN471+BM471-BO471</f>
        <v>72814.0872162981</v>
      </c>
      <c r="BR471" s="15" t="n">
        <f aca="false">BH471+AD471+BL471+MAX(0,-AM471)+MAX(0,-AR471)+AG471</f>
        <v>624821.505487423</v>
      </c>
      <c r="BS471" s="15" t="n">
        <f aca="false">AJ471+AV471+MAX(0,AM471)+MAX(0,AR471)+BC471+BG471+BQ471</f>
        <v>624821.505487424</v>
      </c>
      <c r="BT471" s="15" t="n">
        <f aca="false">BR471-BS471</f>
        <v>0</v>
      </c>
      <c r="BU471" s="15" t="n">
        <f aca="false">BH471-(BD471+BE471-BF471-AY471)</f>
        <v>0</v>
      </c>
      <c r="BV471" s="15" t="n">
        <f aca="false">MIN(Piano_SS!$C$6,(BV470)+IF(AND(Motore_Operativo!C471&gt;=EDATE(Parametri_v3!$C$24,Ipotesi!J14*12),Motore_Operativo!C471&lt;EDATE(Parametri_v3!$C$24,Parametri_v3!$C$25+Ipotesi!J14*12)),MAX(0,(Motore_Operativo!Y471+Motore_Operativo!X471*Parametri_v3!$C$14)*(1-Parametri_v3!$C$32))*Piano_SS!$D$6,0))</f>
        <v>300000</v>
      </c>
      <c r="BW471" s="15" t="n">
        <f aca="false">MIN(Piano_SS!$C$7,(BW470)+IF(AND(Motore_Operativo!C471&gt;=EDATE(Parametri_v3!$C$24,Ipotesi!J14*12),Motore_Operativo!C471&lt;EDATE(Parametri_v3!$C$24,Parametri_v3!$C$25+Ipotesi!J14*12)),MAX(0,(IF(47-(INT((Ipotesi!$C$91)/30))&lt;1,0,INDEX(Motore_Operativo!$BN$425:$BN$484,MAX(1,47-(INT((Ipotesi!$C$91)/30)))))*(1-(MOD((Ipotesi!$C$91),30)/30))+IF(47-(INT((Ipotesi!$C$91)/30))-1&lt;1,0,INDEX(Motore_Operativo!$BN$425:$BN$484,MAX(1,47-(INT((Ipotesi!$C$91)/30))-1)))*(MOD((Ipotesi!$C$91),30)/30)))*Piano_SS!$D$7,0))</f>
        <v>41058.9230070837</v>
      </c>
      <c r="BX471" s="15" t="n">
        <f aca="false">MIN(Piano_SS!$C$8,(BX470)+IF(AND(Motore_Operativo!C471&gt;=EDATE(Parametri_v3!$C$24,Ipotesi!J14*12),Motore_Operativo!C471&lt;EDATE(Parametri_v3!$C$24,Parametri_v3!$C$25+Ipotesi!J14*12)),MAX(0,Motore_Operativo!CE471)*Piano_SS!$D$8,0))</f>
        <v>50000</v>
      </c>
      <c r="BY471" s="15" t="n">
        <f aca="false">MIN(Piano_SS!$C$9,(BY470)+IF(AND(Motore_Operativo!C471&gt;=EDATE(Parametri_v3!$C$24,Ipotesi!J14*12),Motore_Operativo!C471&lt;EDATE(Parametri_v3!$C$24,Parametri_v3!$C$25+Ipotesi!J14*12)),MAX(0,((IF(47-(INT((Ipotesi!$C$91)/30))&lt;1,0,INDEX(Motore_Operativo!$BQ$425:$BQ$484,MAX(1,47-(INT((Ipotesi!$C$91)/30)))))*(1-(MOD((Ipotesi!$C$91),30)/30))+IF(47-(INT((Ipotesi!$C$91)/30))-1&lt;1,0,INDEX(Motore_Operativo!$BQ$425:$BQ$484,MAX(1,47-(INT((Ipotesi!$C$91)/30))-1)))*(MOD((Ipotesi!$C$91),30)/30))+(IF(47-(INT((Ipotesi!$C$91)/30))&lt;1,0,INDEX(Motore_Operativo!$BR$425:$BR$484,MAX(1,47-(INT((Ipotesi!$C$91)/30)))))*(1-(MOD((Ipotesi!$C$91),30)/30))+IF(47-(INT((Ipotesi!$C$91)/30))-1&lt;1,0,INDEX(Motore_Operativo!$BR$425:$BR$484,MAX(1,47-(INT((Ipotesi!$C$91)/30))-1)))*(MOD((Ipotesi!$C$91),30)/30))))*Piano_SS!$D$9,0))</f>
        <v>40000</v>
      </c>
      <c r="BZ471" s="15" t="n">
        <f aca="false">MIN(Piano_SS!$C$10,(BZ470)+IF(AND(Motore_Operativo!C471&gt;=EDATE(Parametri_v3!$C$24,Ipotesi!J14*12),Motore_Operativo!C471&lt;EDATE(Parametri_v3!$C$24,Parametri_v3!$C$25+Ipotesi!J14*12)),MAX(0,(IF(47-(INT((Ipotesi!$C$91)/30))&lt;1,0,INDEX(Motore_Operativo!$BO$425:$BO$484,MAX(1,47-(INT((Ipotesi!$C$91)/30)))))*(1-(MOD((Ipotesi!$C$91),30)/30))+IF(47-(INT((Ipotesi!$C$91)/30))-1&lt;1,0,INDEX(Motore_Operativo!$BO$425:$BO$484,MAX(1,47-(INT((Ipotesi!$C$91)/30))-1)))*(MOD((Ipotesi!$C$91),30)/30)))*Piano_SS!$D$10,0))</f>
        <v>30000</v>
      </c>
      <c r="CA471" s="15" t="n">
        <f aca="false">SUM(BV471:BZ471)</f>
        <v>461058.923007084</v>
      </c>
      <c r="CB471" s="15" t="n">
        <f aca="false">BV471*(1-Piano_SS!$E$6)+BW471*(1-Piano_SS!$E$7)+BX471*(1-Piano_SS!$E$8)+BY471*(1-Piano_SS!$E$9)+BZ471*(1-Piano_SS!$E$10)</f>
        <v>431058.923007084</v>
      </c>
      <c r="CC471" s="15" t="n">
        <f aca="false">(CC470)+BA471</f>
        <v>368847.138405667</v>
      </c>
      <c r="CD471" s="15" t="n">
        <f aca="false">IF(CA471=0,0,CC471*CB471/CA471*Ipotesi!$C$103*Parametri_v3!$C$64)</f>
        <v>103454.1415217</v>
      </c>
      <c r="CE471" s="18" t="n">
        <f aca="false">IF(BA471&gt;0,Motore_Operativo!C471,(CE470))</f>
        <v>47270</v>
      </c>
      <c r="CF471" s="18" t="n">
        <f aca="false">IF(AND(CC471&gt;0,OR(CC471&gt;=CG471-0.01,Motore_Operativo!C471&gt;=EDATE(MAX(Finanziamenti!$D$15:$D$17),Ipotesi!J14*12))),CE471,0)</f>
        <v>47270</v>
      </c>
      <c r="CG471" s="15" t="n">
        <f aca="false">IF(AND(8&lt;&gt;6,8&lt;&gt;9,Finanziamenti!$F$11=1,OR(Parametri_v3!$C$6=0,Finanziamenti!$E$11=1)),MIN(Finanziamenti!$C$11,Piano_SS!$C$12*Ipotesi!$C$102),0)</f>
        <v>400000</v>
      </c>
      <c r="CH471" s="15" t="n">
        <f aca="false">IF(AND(AND(8&lt;&gt;8,8&lt;&gt;9,Finanziamenti!$F$10=1,OR(Parametri_v3!$C$6=0,Finanziamenti!$E$10=1)),Motore_Operativo!C471&gt;=Finanziamenti!$D$10,Motore_Operativo!C471&lt;Parametri_v3!$C$63),Finanziamenti!$C$10,0)</f>
        <v>0</v>
      </c>
    </row>
    <row r="472" customFormat="false" ht="18" hidden="false" customHeight="true" outlineLevel="0" collapsed="false">
      <c r="A472" s="68" t="n">
        <f aca="false">8</f>
        <v>8</v>
      </c>
      <c r="B472" s="68" t="n">
        <f aca="false">48</f>
        <v>48</v>
      </c>
      <c r="C472" s="18" t="n">
        <f aca="false">Motore_Operativo!C472</f>
        <v>47818</v>
      </c>
      <c r="D472" s="68" t="n">
        <f aca="false">Motore_Operativo!D472</f>
        <v>2030</v>
      </c>
      <c r="E472" s="68" t="n">
        <f aca="false">Motore_Operativo!E472</f>
        <v>12</v>
      </c>
      <c r="F472" s="15" t="n">
        <f aca="false">Motore_Operativo!AQ472+Motore_Operativo!BF472</f>
        <v>140768.211855469</v>
      </c>
      <c r="G472" s="15" t="n">
        <f aca="false">Motore_Operativo!BH472</f>
        <v>9024.16666666667</v>
      </c>
      <c r="H472" s="15" t="n">
        <f aca="false">Motore_Operativo!BI472</f>
        <v>149792.378522136</v>
      </c>
      <c r="I472" s="15" t="n">
        <f aca="false">Motore_Operativo!CA472</f>
        <v>159313.025284766</v>
      </c>
      <c r="J472" s="15" t="n">
        <f aca="false">Motore_Operativo!CC472</f>
        <v>-9520.64676262965</v>
      </c>
      <c r="K472" s="15" t="n">
        <f aca="false">Motore_Operativo!CE472</f>
        <v>3333.33333333333</v>
      </c>
      <c r="L472" s="15" t="n">
        <f aca="false">SUM(INDEX($K$425:$K$484,MAX(1,48-Parametri_v3!$C$59+1)):K472)/Parametri_v3!$C$59</f>
        <v>2638.88888888889</v>
      </c>
      <c r="M472" s="15" t="n">
        <f aca="false">J472-L472</f>
        <v>-12159.5356515185</v>
      </c>
      <c r="N472" s="15" t="n">
        <f aca="false">CD472-(CD471)</f>
        <v>0</v>
      </c>
      <c r="O472" s="15" t="n">
        <f aca="false">(BG471)*Ipotesi!$C$110/12+CH472*Parametri_v3!$C$39/12</f>
        <v>0</v>
      </c>
      <c r="P472" s="15" t="n">
        <f aca="false">M472+N472-O472</f>
        <v>-12159.5356515185</v>
      </c>
      <c r="Q472" s="15" t="n">
        <f aca="false">SUM(P461:P472)+Parametri_v3!$C$54*12/12</f>
        <v>-307724.845970214</v>
      </c>
      <c r="R472" s="15" t="n">
        <f aca="false">Z460</f>
        <v>997327.618759451</v>
      </c>
      <c r="S472" s="15" t="n">
        <f aca="false">AA460</f>
        <v>0</v>
      </c>
      <c r="T472" s="15" t="n">
        <f aca="false">MIN(R472,MAX(0,Q472))</f>
        <v>0</v>
      </c>
      <c r="U472" s="15" t="n">
        <f aca="false">MIN(S472,MAX(0,Q472-T472)*Parametri_v3!$C$42)</f>
        <v>0</v>
      </c>
      <c r="V472" s="15" t="n">
        <f aca="false">MAX(0,Q472-T472-U472)*Ipotesi!$C$92</f>
        <v>0</v>
      </c>
      <c r="W472" s="15" t="n">
        <f aca="false">MAX(0,SUM(M461:M472)+Parametri_v3!$C$55*12/12)*Ipotesi!$C$93</f>
        <v>0</v>
      </c>
      <c r="X472" s="15" t="n">
        <f aca="false">V472+W472-(V471+W471)</f>
        <v>0</v>
      </c>
      <c r="Y472" s="15" t="n">
        <f aca="false">P472-X472</f>
        <v>-12159.5356515185</v>
      </c>
      <c r="Z472" s="15" t="n">
        <f aca="false">R472-T472+IF(AND(Parametri_v3!$C$40=1,D472-YEAR(Parametri_v3!$C$50)&lt;Parametri_v3!$C$41),MAX(0,-Q472),0)</f>
        <v>997327.618759451</v>
      </c>
      <c r="AA472" s="15" t="n">
        <f aca="false">S472-U472+IF(AND(Parametri_v3!$C$40=1,D472-YEAR(Parametri_v3!$C$50)&lt;Parametri_v3!$C$41),0,MAX(0,-Q472))</f>
        <v>307724.845970214</v>
      </c>
      <c r="AB472" s="15" t="n">
        <f aca="false">F472*(1+Parametri_v3!$C$26)</f>
        <v>171737.218463673</v>
      </c>
      <c r="AC472" s="15" t="n">
        <f aca="false">(IF(48-(INT((Motore_Operativo!L472)/30))&lt;1,0,INDEX(Motore_Startup!$AB$425:$AB$484,MAX(1,48-(INT((Motore_Operativo!L472)/30)))))*(1-(MOD((Motore_Operativo!L472),30)/30))+IF(48-(INT((Motore_Operativo!L472)/30))-1&lt;1,0,INDEX(Motore_Startup!$AB$425:$AB$484,MAX(1,48-(INT((Motore_Operativo!L472)/30))-1)))*(MOD((Motore_Operativo!L472),30)/30))</f>
        <v>161094.944840619</v>
      </c>
      <c r="AD472" s="15" t="n">
        <f aca="false">(AD471)+AB472-AC472</f>
        <v>504631.674047441</v>
      </c>
      <c r="AE472" s="15" t="n">
        <f aca="false">Motore_Operativo!BH472*(1+Parametri_v3!$C$26)</f>
        <v>11009.4833333333</v>
      </c>
      <c r="AF472" s="15" t="n">
        <f aca="false">(IF(48-(INT((Parametri_v3!$C$29)/30))&lt;1,0,INDEX(Motore_Operativo!$BH$425:$BH$484,MAX(1,48-(INT((Parametri_v3!$C$29)/30)))))*(1-(MOD((Parametri_v3!$C$29),30)/30))+IF(48-(INT((Parametri_v3!$C$29)/30))-1&lt;1,0,INDEX(Motore_Operativo!$BH$425:$BH$484,MAX(1,48-(INT((Parametri_v3!$C$29)/30))-1)))*(MOD((Parametri_v3!$C$29),30)/30))*(1+Parametri_v3!$C$26)</f>
        <v>11009.4833333333</v>
      </c>
      <c r="AG472" s="15" t="n">
        <f aca="false">(AG471)+AE472-AF472</f>
        <v>11009.4833333333</v>
      </c>
      <c r="AH472" s="15" t="n">
        <f aca="false">(Motore_Operativo!CJ472)*(1+Parametri_v3!$C$27*Parametri_v3!$C$26)</f>
        <v>74591.0103544752</v>
      </c>
      <c r="AI472" s="15" t="n">
        <f aca="false">(IF(48-(INT((Ipotesi!$C$91)/30))&lt;1,0,INDEX(Motore_Startup!$AH$425:$AH$484,MAX(1,48-(INT((Ipotesi!$C$91)/30)))))*(1-(MOD((Ipotesi!$C$91),30)/30))+IF(48-(INT((Ipotesi!$C$91)/30))-1&lt;1,0,INDEX(Motore_Startup!$AH$425:$AH$484,MAX(1,48-(INT((Ipotesi!$C$91)/30))-1)))*(MOD((Ipotesi!$C$91),30)/30))</f>
        <v>73628.847583208</v>
      </c>
      <c r="AJ472" s="15" t="n">
        <f aca="false">(AJ471)+AH472-AI472</f>
        <v>148703.051267369</v>
      </c>
      <c r="AK472" s="15" t="n">
        <f aca="false">(F472+ Motore_Operativo!BH472-(Motore_Operativo!CJ472)*Parametri_v3!$C$27-Motore_Operativo!CE472)*Parametri_v3!$C$26</f>
        <v>20469.9209134937</v>
      </c>
      <c r="AL472" s="15" t="n">
        <f aca="false">MAX(0,(AM471))</f>
        <v>19911.2865581721</v>
      </c>
      <c r="AM472" s="15" t="n">
        <f aca="false">(AM471)+AK472-AL472</f>
        <v>20469.9209134937</v>
      </c>
      <c r="AN472" s="15" t="n">
        <f aca="false">SUM(X449:X460)</f>
        <v>0</v>
      </c>
      <c r="AO472" s="15" t="n">
        <f aca="false">SUM(AP449:AP460)</f>
        <v>0</v>
      </c>
      <c r="AP472" s="15" t="n">
        <f aca="false">MAX(0,AN472)*IF(12=Parametri_v3!$C$43,Parametri_v3!$C$45,IF(12=Parametri_v3!$C$44,1-Parametri_v3!$C$45,0))</f>
        <v>0</v>
      </c>
      <c r="AQ472" s="15" t="n">
        <f aca="false">MAX(0,AP472+IF(12=Parametri_v3!$C$43,MAX(0,AN472-AO472),0)-MAX(0,-(AR471)))</f>
        <v>0</v>
      </c>
      <c r="AR472" s="15" t="n">
        <f aca="false">(AR471)+X472-AQ472</f>
        <v>0</v>
      </c>
      <c r="AS472" s="15" t="n">
        <f aca="false">Motore_Operativo!AB472-AT472+AU472</f>
        <v>91649.4297604167</v>
      </c>
      <c r="AT472" s="15" t="n">
        <f aca="false">Motore_Operativo!CH472</f>
        <v>4823.65419791667</v>
      </c>
      <c r="AU472" s="15" t="n">
        <f aca="false">MIN(MAX(0,(AV471)+AT472),Parametri_v3!$C$60/12)</f>
        <v>0</v>
      </c>
      <c r="AV472" s="15" t="n">
        <f aca="false">(AV471)+AT472-AU472</f>
        <v>137055.550375</v>
      </c>
      <c r="AW472" s="15" t="n">
        <f aca="false">IF(AND(Motore_Operativo!C472=Finanziamenti!$D$6,Finanziamenti!$F$6=1),Finanziamenti!$C$6,0)</f>
        <v>0</v>
      </c>
      <c r="AX472" s="15" t="n">
        <f aca="false">IF(AND(8&lt;&gt;7,8&lt;&gt;9,Finanziamenti!$F$8=1,OR(Parametri_v3!$C$6=0,Finanziamenti!$E$8=1),Motore_Operativo!C472=EDATE(Finanziamenti!$D$8,Ipotesi!J15*12)),Finanziamenti!$C$8*1,0)+IF(AND(8&lt;&gt;7,8&lt;&gt;9,Finanziamenti!$F$9=1,OR(Parametri_v3!$C$6=0,Finanziamenti!$E$9=1),Motore_Operativo!C472=EDATE(Finanziamenti!$D$9,Ipotesi!J15*12)),Finanziamenti!$C$9*Ipotesi!J16,0)</f>
        <v>0</v>
      </c>
      <c r="AY472" s="15" t="n">
        <f aca="false">0</f>
        <v>0</v>
      </c>
      <c r="AZ472" s="15" t="n">
        <f aca="false">Motore_Advisory!AY472*(1-Ipotesi!$C$95)*Ipotesi!$C$96</f>
        <v>0</v>
      </c>
      <c r="BA472" s="15" t="n">
        <f aca="false">MAX(0,MIN(CG472*MIN(1,IF(Motore_Operativo!C472&gt;=EDATE(Finanziamenti!$D$15,Ipotesi!J14*12),Finanziamenti!$C$15,0)+IF(Motore_Operativo!C472&gt;=EDATE(Finanziamenti!$D$16,Ipotesi!J14*12),Finanziamenti!$C$16,0)+IF(Motore_Operativo!C472&gt;=EDATE(Finanziamenti!$D$17,Ipotesi!J14*12),Finanziamenti!$C$17,0)),CA472*Ipotesi!$C$102)-(CC471))</f>
        <v>0</v>
      </c>
      <c r="BB472" s="15" t="n">
        <f aca="false">IF(AND(CF472&gt;0,Motore_Operativo!C472&gt;=IF(CF472=0,0,EDATE(CF472,Parametri_v3!$C$37)),MOD(((D472-YEAR(IF(CF472=0,0,EDATE(CF472,Parametri_v3!$C$37))))*12+E472-MONTH(IF(CF472=0,0,EDATE(CF472,Parametri_v3!$C$37)))),Parametri_v3!$C$38)=0),MIN(MAX(0,(BC471)+BA472-N472),(CC472-CD472)/(Ipotesi!$C$108*12/Parametri_v3!$C$38)),0)</f>
        <v>13269.6498441983</v>
      </c>
      <c r="BC472" s="15" t="n">
        <f aca="false">(BC471)+BA472-N472-BB472</f>
        <v>238853.69719557</v>
      </c>
      <c r="BD472" s="15" t="n">
        <f aca="false">(BH471)+AC472+AF472-AI472-AS472-K472*(1+Parametri_v3!$C$26)-AL472-AQ472-O472+AW472+AX472+AZ472+BA472-BB472</f>
        <v>38915.0583798814</v>
      </c>
      <c r="BE472" s="15" t="n">
        <f aca="false">MAX(0,MIN(MAX(0,CH472-(BG471)),Parametri_v3!$C$30-BD472))</f>
        <v>0</v>
      </c>
      <c r="BF472" s="15" t="n">
        <f aca="false">IF(Motore_Operativo!C472&gt;=Parametri_v3!$C$63,(BG471),MIN((BG471),MAX(0,BD472-Parametri_v3!$C$30)))</f>
        <v>0</v>
      </c>
      <c r="BG472" s="15" t="n">
        <f aca="false">(BG471)+BE472-BF472</f>
        <v>0</v>
      </c>
      <c r="BH472" s="15" t="n">
        <f aca="false">BD472+BE472-BF472-AY472</f>
        <v>38915.0583798814</v>
      </c>
      <c r="BI472" s="15" t="n">
        <f aca="false">MAX(0,Parametri_v3!$C$30-BH472)</f>
        <v>0</v>
      </c>
      <c r="BJ472" s="15" t="n">
        <f aca="false">(BJ471)+K472</f>
        <v>115000</v>
      </c>
      <c r="BK472" s="15" t="n">
        <f aca="false">(BK471)+L472</f>
        <v>63819.4444444444</v>
      </c>
      <c r="BL472" s="15" t="n">
        <f aca="false">BJ472-BK472</f>
        <v>51180.5555555555</v>
      </c>
      <c r="BM472" s="15" t="n">
        <f aca="false">(BM471)+Y472</f>
        <v>-1305052.46472966</v>
      </c>
      <c r="BN472" s="15" t="n">
        <f aca="false">(BN471)+AW472+AX472+AZ472</f>
        <v>1365707.01629444</v>
      </c>
      <c r="BO472" s="15" t="n">
        <f aca="false">(BO471)+AY472</f>
        <v>0</v>
      </c>
      <c r="BP472" s="15" t="n">
        <f aca="false">0</f>
        <v>0</v>
      </c>
      <c r="BQ472" s="15" t="n">
        <f aca="false">BN472+BM472-BO472</f>
        <v>60654.5515647796</v>
      </c>
      <c r="BR472" s="15" t="n">
        <f aca="false">BH472+AD472+BL472+MAX(0,-AM472)+MAX(0,-AR472)+AG472</f>
        <v>605736.771316211</v>
      </c>
      <c r="BS472" s="15" t="n">
        <f aca="false">AJ472+AV472+MAX(0,AM472)+MAX(0,AR472)+BC472+BG472+BQ472</f>
        <v>605736.771316213</v>
      </c>
      <c r="BT472" s="15" t="n">
        <f aca="false">BR472-BS472</f>
        <v>0</v>
      </c>
      <c r="BU472" s="15" t="n">
        <f aca="false">BH472-(BD472+BE472-BF472-AY472)</f>
        <v>0</v>
      </c>
      <c r="BV472" s="15" t="n">
        <f aca="false">MIN(Piano_SS!$C$6,(BV471)+IF(AND(Motore_Operativo!C472&gt;=EDATE(Parametri_v3!$C$24,Ipotesi!J14*12),Motore_Operativo!C472&lt;EDATE(Parametri_v3!$C$24,Parametri_v3!$C$25+Ipotesi!J14*12)),MAX(0,(Motore_Operativo!Y472+Motore_Operativo!X472*Parametri_v3!$C$14)*(1-Parametri_v3!$C$32))*Piano_SS!$D$6,0))</f>
        <v>300000</v>
      </c>
      <c r="BW472" s="15" t="n">
        <f aca="false">MIN(Piano_SS!$C$7,(BW471)+IF(AND(Motore_Operativo!C472&gt;=EDATE(Parametri_v3!$C$24,Ipotesi!J14*12),Motore_Operativo!C472&lt;EDATE(Parametri_v3!$C$24,Parametri_v3!$C$25+Ipotesi!J14*12)),MAX(0,(IF(48-(INT((Ipotesi!$C$91)/30))&lt;1,0,INDEX(Motore_Operativo!$BN$425:$BN$484,MAX(1,48-(INT((Ipotesi!$C$91)/30)))))*(1-(MOD((Ipotesi!$C$91),30)/30))+IF(48-(INT((Ipotesi!$C$91)/30))-1&lt;1,0,INDEX(Motore_Operativo!$BN$425:$BN$484,MAX(1,48-(INT((Ipotesi!$C$91)/30))-1)))*(MOD((Ipotesi!$C$91),30)/30)))*Piano_SS!$D$7,0))</f>
        <v>41058.9230070837</v>
      </c>
      <c r="BX472" s="15" t="n">
        <f aca="false">MIN(Piano_SS!$C$8,(BX471)+IF(AND(Motore_Operativo!C472&gt;=EDATE(Parametri_v3!$C$24,Ipotesi!J14*12),Motore_Operativo!C472&lt;EDATE(Parametri_v3!$C$24,Parametri_v3!$C$25+Ipotesi!J14*12)),MAX(0,Motore_Operativo!CE472)*Piano_SS!$D$8,0))</f>
        <v>50000</v>
      </c>
      <c r="BY472" s="15" t="n">
        <f aca="false">MIN(Piano_SS!$C$9,(BY471)+IF(AND(Motore_Operativo!C472&gt;=EDATE(Parametri_v3!$C$24,Ipotesi!J14*12),Motore_Operativo!C472&lt;EDATE(Parametri_v3!$C$24,Parametri_v3!$C$25+Ipotesi!J14*12)),MAX(0,((IF(48-(INT((Ipotesi!$C$91)/30))&lt;1,0,INDEX(Motore_Operativo!$BQ$425:$BQ$484,MAX(1,48-(INT((Ipotesi!$C$91)/30)))))*(1-(MOD((Ipotesi!$C$91),30)/30))+IF(48-(INT((Ipotesi!$C$91)/30))-1&lt;1,0,INDEX(Motore_Operativo!$BQ$425:$BQ$484,MAX(1,48-(INT((Ipotesi!$C$91)/30))-1)))*(MOD((Ipotesi!$C$91),30)/30))+(IF(48-(INT((Ipotesi!$C$91)/30))&lt;1,0,INDEX(Motore_Operativo!$BR$425:$BR$484,MAX(1,48-(INT((Ipotesi!$C$91)/30)))))*(1-(MOD((Ipotesi!$C$91),30)/30))+IF(48-(INT((Ipotesi!$C$91)/30))-1&lt;1,0,INDEX(Motore_Operativo!$BR$425:$BR$484,MAX(1,48-(INT((Ipotesi!$C$91)/30))-1)))*(MOD((Ipotesi!$C$91),30)/30))))*Piano_SS!$D$9,0))</f>
        <v>40000</v>
      </c>
      <c r="BZ472" s="15" t="n">
        <f aca="false">MIN(Piano_SS!$C$10,(BZ471)+IF(AND(Motore_Operativo!C472&gt;=EDATE(Parametri_v3!$C$24,Ipotesi!J14*12),Motore_Operativo!C472&lt;EDATE(Parametri_v3!$C$24,Parametri_v3!$C$25+Ipotesi!J14*12)),MAX(0,(IF(48-(INT((Ipotesi!$C$91)/30))&lt;1,0,INDEX(Motore_Operativo!$BO$425:$BO$484,MAX(1,48-(INT((Ipotesi!$C$91)/30)))))*(1-(MOD((Ipotesi!$C$91),30)/30))+IF(48-(INT((Ipotesi!$C$91)/30))-1&lt;1,0,INDEX(Motore_Operativo!$BO$425:$BO$484,MAX(1,48-(INT((Ipotesi!$C$91)/30))-1)))*(MOD((Ipotesi!$C$91),30)/30)))*Piano_SS!$D$10,0))</f>
        <v>30000</v>
      </c>
      <c r="CA472" s="15" t="n">
        <f aca="false">SUM(BV472:BZ472)</f>
        <v>461058.923007084</v>
      </c>
      <c r="CB472" s="15" t="n">
        <f aca="false">BV472*(1-Piano_SS!$E$6)+BW472*(1-Piano_SS!$E$7)+BX472*(1-Piano_SS!$E$8)+BY472*(1-Piano_SS!$E$9)+BZ472*(1-Piano_SS!$E$10)</f>
        <v>431058.923007084</v>
      </c>
      <c r="CC472" s="15" t="n">
        <f aca="false">(CC471)+BA472</f>
        <v>368847.138405667</v>
      </c>
      <c r="CD472" s="15" t="n">
        <f aca="false">IF(CA472=0,0,CC472*CB472/CA472*Ipotesi!$C$103*Parametri_v3!$C$64)</f>
        <v>103454.1415217</v>
      </c>
      <c r="CE472" s="18" t="n">
        <f aca="false">IF(BA472&gt;0,Motore_Operativo!C472,(CE471))</f>
        <v>47270</v>
      </c>
      <c r="CF472" s="18" t="n">
        <f aca="false">IF(AND(CC472&gt;0,OR(CC472&gt;=CG472-0.01,Motore_Operativo!C472&gt;=EDATE(MAX(Finanziamenti!$D$15:$D$17),Ipotesi!J14*12))),CE472,0)</f>
        <v>47270</v>
      </c>
      <c r="CG472" s="15" t="n">
        <f aca="false">IF(AND(8&lt;&gt;6,8&lt;&gt;9,Finanziamenti!$F$11=1,OR(Parametri_v3!$C$6=0,Finanziamenti!$E$11=1)),MIN(Finanziamenti!$C$11,Piano_SS!$C$12*Ipotesi!$C$102),0)</f>
        <v>400000</v>
      </c>
      <c r="CH472" s="15" t="n">
        <f aca="false">IF(AND(AND(8&lt;&gt;8,8&lt;&gt;9,Finanziamenti!$F$10=1,OR(Parametri_v3!$C$6=0,Finanziamenti!$E$10=1)),Motore_Operativo!C472&gt;=Finanziamenti!$D$10,Motore_Operativo!C472&lt;Parametri_v3!$C$63),Finanziamenti!$C$10,0)</f>
        <v>0</v>
      </c>
    </row>
    <row r="473" customFormat="false" ht="18" hidden="false" customHeight="true" outlineLevel="0" collapsed="false">
      <c r="A473" s="68" t="n">
        <f aca="false">8</f>
        <v>8</v>
      </c>
      <c r="B473" s="68" t="n">
        <f aca="false">49</f>
        <v>49</v>
      </c>
      <c r="C473" s="18" t="n">
        <f aca="false">Motore_Operativo!C473</f>
        <v>47849</v>
      </c>
      <c r="D473" s="68" t="n">
        <f aca="false">Motore_Operativo!D473</f>
        <v>2031</v>
      </c>
      <c r="E473" s="68" t="n">
        <f aca="false">Motore_Operativo!E473</f>
        <v>1</v>
      </c>
      <c r="F473" s="15" t="n">
        <f aca="false">Motore_Operativo!AQ473+Motore_Operativo!BF473</f>
        <v>171197.798178051</v>
      </c>
      <c r="G473" s="15" t="n">
        <f aca="false">Motore_Operativo!BH473</f>
        <v>11595.8333333333</v>
      </c>
      <c r="H473" s="15" t="n">
        <f aca="false">Motore_Operativo!BI473</f>
        <v>182793.631511385</v>
      </c>
      <c r="I473" s="15" t="n">
        <f aca="false">Motore_Operativo!CA473</f>
        <v>196627.061732427</v>
      </c>
      <c r="J473" s="15" t="n">
        <f aca="false">Motore_Operativo!CC473</f>
        <v>-13833.4302210424</v>
      </c>
      <c r="K473" s="15" t="n">
        <f aca="false">Motore_Operativo!CE473</f>
        <v>4166.66666666667</v>
      </c>
      <c r="L473" s="15" t="n">
        <f aca="false">SUM(INDEX($K$425:$K$484,MAX(1,49-Parametri_v3!$C$59+1)):K473)/Parametri_v3!$C$59</f>
        <v>2696.75925925926</v>
      </c>
      <c r="M473" s="15" t="n">
        <f aca="false">J473-L473</f>
        <v>-16530.1894803017</v>
      </c>
      <c r="N473" s="15" t="n">
        <f aca="false">CD473-(CD472)</f>
        <v>0</v>
      </c>
      <c r="O473" s="15" t="n">
        <f aca="false">(BG472)*Ipotesi!$C$110/12+CH473*Parametri_v3!$C$39/12</f>
        <v>0</v>
      </c>
      <c r="P473" s="15" t="n">
        <f aca="false">M473+N473-O473</f>
        <v>-16530.1894803017</v>
      </c>
      <c r="Q473" s="15" t="n">
        <f aca="false">SUM(P473)+Parametri_v3!$C$54*1/12</f>
        <v>-16530.1894803017</v>
      </c>
      <c r="R473" s="15" t="n">
        <f aca="false">Z472</f>
        <v>997327.618759451</v>
      </c>
      <c r="S473" s="15" t="n">
        <f aca="false">AA472</f>
        <v>307724.845970214</v>
      </c>
      <c r="T473" s="15" t="n">
        <f aca="false">MIN(R473,MAX(0,Q473))</f>
        <v>0</v>
      </c>
      <c r="U473" s="15" t="n">
        <f aca="false">MIN(S473,MAX(0,Q473-T473)*Parametri_v3!$C$42)</f>
        <v>0</v>
      </c>
      <c r="V473" s="15" t="n">
        <f aca="false">MAX(0,Q473-T473-U473)*Ipotesi!$C$92</f>
        <v>0</v>
      </c>
      <c r="W473" s="15" t="n">
        <f aca="false">MAX(0,SUM(M473)+Parametri_v3!$C$55*1/12)*Ipotesi!$C$93</f>
        <v>0</v>
      </c>
      <c r="X473" s="15" t="n">
        <f aca="false">V473+W473-(0)</f>
        <v>0</v>
      </c>
      <c r="Y473" s="15" t="n">
        <f aca="false">P473-X473</f>
        <v>-16530.1894803017</v>
      </c>
      <c r="Z473" s="15" t="n">
        <f aca="false">R473-T473+IF(AND(Parametri_v3!$C$40=1,D473-YEAR(Parametri_v3!$C$50)&lt;Parametri_v3!$C$41),MAX(0,-Q473),0)</f>
        <v>997327.618759451</v>
      </c>
      <c r="AA473" s="15" t="n">
        <f aca="false">S473-U473+IF(AND(Parametri_v3!$C$40=1,D473-YEAR(Parametri_v3!$C$50)&lt;Parametri_v3!$C$41),0,MAX(0,-Q473))</f>
        <v>324255.035450516</v>
      </c>
      <c r="AB473" s="15" t="n">
        <f aca="false">F473*(1+Parametri_v3!$C$26)</f>
        <v>208861.313777223</v>
      </c>
      <c r="AC473" s="15" t="n">
        <f aca="false">(IF(49-(INT((Motore_Operativo!L473)/30))&lt;1,0,INDEX(Motore_Startup!$AB$425:$AB$484,MAX(1,49-(INT((Motore_Operativo!L473)/30)))))*(1-(MOD((Motore_Operativo!L473),30)/30))+IF(49-(INT((Motore_Operativo!L473)/30))-1&lt;1,0,INDEX(Motore_Startup!$AB$425:$AB$484,MAX(1,49-(INT((Motore_Operativo!L473)/30))-1)))*(MOD((Motore_Operativo!L473),30)/30))</f>
        <v>164673.56109849</v>
      </c>
      <c r="AD473" s="15" t="n">
        <f aca="false">(AD472)+AB473-AC473</f>
        <v>548819.426726174</v>
      </c>
      <c r="AE473" s="15" t="n">
        <f aca="false">Motore_Operativo!BH473*(1+Parametri_v3!$C$26)</f>
        <v>14146.9166666667</v>
      </c>
      <c r="AF473" s="15" t="n">
        <f aca="false">(IF(49-(INT((Parametri_v3!$C$29)/30))&lt;1,0,INDEX(Motore_Operativo!$BH$425:$BH$484,MAX(1,49-(INT((Parametri_v3!$C$29)/30)))))*(1-(MOD((Parametri_v3!$C$29),30)/30))+IF(49-(INT((Parametri_v3!$C$29)/30))-1&lt;1,0,INDEX(Motore_Operativo!$BH$425:$BH$484,MAX(1,49-(INT((Parametri_v3!$C$29)/30))-1)))*(MOD((Parametri_v3!$C$29),30)/30))*(1+Parametri_v3!$C$26)</f>
        <v>11009.4833333333</v>
      </c>
      <c r="AG473" s="15" t="n">
        <f aca="false">(AG472)+AE473-AF473</f>
        <v>14146.9166666667</v>
      </c>
      <c r="AH473" s="15" t="n">
        <f aca="false">(Motore_Operativo!CJ473)*(1+Parametri_v3!$C$27*Parametri_v3!$C$26)</f>
        <v>91576.7335595619</v>
      </c>
      <c r="AI473" s="15" t="n">
        <f aca="false">(IF(49-(INT((Ipotesi!$C$91)/30))&lt;1,0,INDEX(Motore_Startup!$AH$425:$AH$484,MAX(1,49-(INT((Ipotesi!$C$91)/30)))))*(1-(MOD((Ipotesi!$C$91),30)/30))+IF(49-(INT((Ipotesi!$C$91)/30))-1&lt;1,0,INDEX(Motore_Startup!$AH$425:$AH$484,MAX(1,49-(INT((Ipotesi!$C$91)/30))-1)))*(MOD((Ipotesi!$C$91),30)/30))</f>
        <v>74112.0409128937</v>
      </c>
      <c r="AJ473" s="15" t="n">
        <f aca="false">(AJ472)+AH473-AI473</f>
        <v>166167.743914037</v>
      </c>
      <c r="AK473" s="15" t="n">
        <f aca="false">(F473+ Motore_Operativo!BH473-(Motore_Operativo!CJ473)*Parametri_v3!$C$27-Motore_Operativo!CE473)*Parametri_v3!$C$26</f>
        <v>24870.9321178699</v>
      </c>
      <c r="AL473" s="15" t="n">
        <f aca="false">MAX(0,(AM472))</f>
        <v>20469.9209134937</v>
      </c>
      <c r="AM473" s="15" t="n">
        <f aca="false">(AM472)+AK473-AL473</f>
        <v>24870.9321178699</v>
      </c>
      <c r="AN473" s="15" t="n">
        <f aca="false">SUM(X461:X472)</f>
        <v>0</v>
      </c>
      <c r="AO473" s="15" t="n">
        <f aca="false">SUM(AP461:AP472)</f>
        <v>0</v>
      </c>
      <c r="AP473" s="15" t="n">
        <f aca="false">MAX(0,AN473)*IF(1=Parametri_v3!$C$43,Parametri_v3!$C$45,IF(1=Parametri_v3!$C$44,1-Parametri_v3!$C$45,0))</f>
        <v>0</v>
      </c>
      <c r="AQ473" s="15" t="n">
        <f aca="false">MAX(0,AP473+IF(1=Parametri_v3!$C$43,MAX(0,AN473-AO473),0)-MAX(0,-(AR472)))</f>
        <v>0</v>
      </c>
      <c r="AR473" s="15" t="n">
        <f aca="false">(AR472)+X473-AQ473</f>
        <v>0</v>
      </c>
      <c r="AS473" s="15" t="n">
        <f aca="false">Motore_Operativo!AB473-AT473+AU473</f>
        <v>113503.461904792</v>
      </c>
      <c r="AT473" s="15" t="n">
        <f aca="false">Motore_Operativo!CH473</f>
        <v>5973.86641604167</v>
      </c>
      <c r="AU473" s="15" t="n">
        <f aca="false">MIN(MAX(0,(AV472)+AT473),Parametri_v3!$C$60/12)</f>
        <v>0</v>
      </c>
      <c r="AV473" s="15" t="n">
        <f aca="false">(AV472)+AT473-AU473</f>
        <v>143029.416791042</v>
      </c>
      <c r="AW473" s="15" t="n">
        <f aca="false">IF(AND(Motore_Operativo!C473=Finanziamenti!$D$6,Finanziamenti!$F$6=1),Finanziamenti!$C$6,0)</f>
        <v>0</v>
      </c>
      <c r="AX473" s="15" t="n">
        <f aca="false">IF(AND(8&lt;&gt;7,8&lt;&gt;9,Finanziamenti!$F$8=1,OR(Parametri_v3!$C$6=0,Finanziamenti!$E$8=1),Motore_Operativo!C473=EDATE(Finanziamenti!$D$8,Ipotesi!J15*12)),Finanziamenti!$C$8*1,0)+IF(AND(8&lt;&gt;7,8&lt;&gt;9,Finanziamenti!$F$9=1,OR(Parametri_v3!$C$6=0,Finanziamenti!$E$9=1),Motore_Operativo!C473=EDATE(Finanziamenti!$D$9,Ipotesi!J15*12)),Finanziamenti!$C$9*Ipotesi!J16,0)</f>
        <v>0</v>
      </c>
      <c r="AY473" s="15" t="n">
        <f aca="false">0</f>
        <v>0</v>
      </c>
      <c r="AZ473" s="15" t="n">
        <f aca="false">Motore_Advisory!AY473*(1-Ipotesi!$C$95)*Ipotesi!$C$96</f>
        <v>0</v>
      </c>
      <c r="BA473" s="15" t="n">
        <f aca="false">MAX(0,MIN(CG473*MIN(1,IF(Motore_Operativo!C473&gt;=EDATE(Finanziamenti!$D$15,Ipotesi!J14*12),Finanziamenti!$C$15,0)+IF(Motore_Operativo!C473&gt;=EDATE(Finanziamenti!$D$16,Ipotesi!J14*12),Finanziamenti!$C$16,0)+IF(Motore_Operativo!C473&gt;=EDATE(Finanziamenti!$D$17,Ipotesi!J14*12),Finanziamenti!$C$17,0)),CA473*Ipotesi!$C$102)-(CC472))</f>
        <v>0</v>
      </c>
      <c r="BB473" s="15" t="n">
        <f aca="false">IF(AND(CF473&gt;0,Motore_Operativo!C473&gt;=IF(CF473=0,0,EDATE(CF473,Parametri_v3!$C$37)),MOD(((D473-YEAR(IF(CF473=0,0,EDATE(CF473,Parametri_v3!$C$37))))*12+E473-MONTH(IF(CF473=0,0,EDATE(CF473,Parametri_v3!$C$37)))),Parametri_v3!$C$38)=0),MIN(MAX(0,(BC472)+BA473-N473),(CC473-CD473)/(Ipotesi!$C$108*12/Parametri_v3!$C$38)),0)</f>
        <v>0</v>
      </c>
      <c r="BC473" s="15" t="n">
        <f aca="false">(BC472)+BA473-N473-BB473</f>
        <v>238853.69719557</v>
      </c>
      <c r="BD473" s="15" t="n">
        <f aca="false">(BH472)+AC473+AF473-AI473-AS473-K473*(1+Parametri_v3!$C$26)-AL473-AQ473-O473+AW473+AX473+AZ473+BA473-BB473</f>
        <v>1429.34574719246</v>
      </c>
      <c r="BE473" s="15" t="n">
        <f aca="false">MAX(0,MIN(MAX(0,CH473-(BG472)),Parametri_v3!$C$30-BD473))</f>
        <v>0</v>
      </c>
      <c r="BF473" s="15" t="n">
        <f aca="false">IF(Motore_Operativo!C473&gt;=Parametri_v3!$C$63,(BG472),MIN((BG472),MAX(0,BD473-Parametri_v3!$C$30)))</f>
        <v>0</v>
      </c>
      <c r="BG473" s="15" t="n">
        <f aca="false">(BG472)+BE473-BF473</f>
        <v>0</v>
      </c>
      <c r="BH473" s="15" t="n">
        <f aca="false">BD473+BE473-BF473-AY473</f>
        <v>1429.34574719246</v>
      </c>
      <c r="BI473" s="15" t="n">
        <f aca="false">MAX(0,Parametri_v3!$C$30-BH473)</f>
        <v>23570.6542528075</v>
      </c>
      <c r="BJ473" s="15" t="n">
        <f aca="false">(BJ472)+K473</f>
        <v>119166.666666667</v>
      </c>
      <c r="BK473" s="15" t="n">
        <f aca="false">(BK472)+L473</f>
        <v>66516.2037037037</v>
      </c>
      <c r="BL473" s="15" t="n">
        <f aca="false">BJ473-BK473</f>
        <v>52650.4629629629</v>
      </c>
      <c r="BM473" s="15" t="n">
        <f aca="false">(BM472)+Y473</f>
        <v>-1321582.65420997</v>
      </c>
      <c r="BN473" s="15" t="n">
        <f aca="false">(BN472)+AW473+AX473+AZ473</f>
        <v>1365707.01629444</v>
      </c>
      <c r="BO473" s="15" t="n">
        <f aca="false">(BO472)+AY473</f>
        <v>0</v>
      </c>
      <c r="BP473" s="15" t="n">
        <f aca="false">0</f>
        <v>0</v>
      </c>
      <c r="BQ473" s="15" t="n">
        <f aca="false">BN473+BM473-BO473</f>
        <v>44124.3620844779</v>
      </c>
      <c r="BR473" s="15" t="n">
        <f aca="false">BH473+AD473+BL473+MAX(0,-AM473)+MAX(0,-AR473)+AG473</f>
        <v>617046.152102996</v>
      </c>
      <c r="BS473" s="15" t="n">
        <f aca="false">AJ473+AV473+MAX(0,AM473)+MAX(0,AR473)+BC473+BG473+BQ473</f>
        <v>617046.152102997</v>
      </c>
      <c r="BT473" s="15" t="n">
        <f aca="false">BR473-BS473</f>
        <v>0</v>
      </c>
      <c r="BU473" s="15" t="n">
        <f aca="false">BH473-(BD473+BE473-BF473-AY473)</f>
        <v>0</v>
      </c>
      <c r="BV473" s="15" t="n">
        <f aca="false">MIN(Piano_SS!$C$6,(BV472)+IF(AND(Motore_Operativo!C473&gt;=EDATE(Parametri_v3!$C$24,Ipotesi!J14*12),Motore_Operativo!C473&lt;EDATE(Parametri_v3!$C$24,Parametri_v3!$C$25+Ipotesi!J14*12)),MAX(0,(Motore_Operativo!Y473+Motore_Operativo!X473*Parametri_v3!$C$14)*(1-Parametri_v3!$C$32))*Piano_SS!$D$6,0))</f>
        <v>300000</v>
      </c>
      <c r="BW473" s="15" t="n">
        <f aca="false">MIN(Piano_SS!$C$7,(BW472)+IF(AND(Motore_Operativo!C473&gt;=EDATE(Parametri_v3!$C$24,Ipotesi!J14*12),Motore_Operativo!C473&lt;EDATE(Parametri_v3!$C$24,Parametri_v3!$C$25+Ipotesi!J14*12)),MAX(0,(IF(49-(INT((Ipotesi!$C$91)/30))&lt;1,0,INDEX(Motore_Operativo!$BN$425:$BN$484,MAX(1,49-(INT((Ipotesi!$C$91)/30)))))*(1-(MOD((Ipotesi!$C$91),30)/30))+IF(49-(INT((Ipotesi!$C$91)/30))-1&lt;1,0,INDEX(Motore_Operativo!$BN$425:$BN$484,MAX(1,49-(INT((Ipotesi!$C$91)/30))-1)))*(MOD((Ipotesi!$C$91),30)/30)))*Piano_SS!$D$7,0))</f>
        <v>41058.9230070837</v>
      </c>
      <c r="BX473" s="15" t="n">
        <f aca="false">MIN(Piano_SS!$C$8,(BX472)+IF(AND(Motore_Operativo!C473&gt;=EDATE(Parametri_v3!$C$24,Ipotesi!J14*12),Motore_Operativo!C473&lt;EDATE(Parametri_v3!$C$24,Parametri_v3!$C$25+Ipotesi!J14*12)),MAX(0,Motore_Operativo!CE473)*Piano_SS!$D$8,0))</f>
        <v>50000</v>
      </c>
      <c r="BY473" s="15" t="n">
        <f aca="false">MIN(Piano_SS!$C$9,(BY472)+IF(AND(Motore_Operativo!C473&gt;=EDATE(Parametri_v3!$C$24,Ipotesi!J14*12),Motore_Operativo!C473&lt;EDATE(Parametri_v3!$C$24,Parametri_v3!$C$25+Ipotesi!J14*12)),MAX(0,((IF(49-(INT((Ipotesi!$C$91)/30))&lt;1,0,INDEX(Motore_Operativo!$BQ$425:$BQ$484,MAX(1,49-(INT((Ipotesi!$C$91)/30)))))*(1-(MOD((Ipotesi!$C$91),30)/30))+IF(49-(INT((Ipotesi!$C$91)/30))-1&lt;1,0,INDEX(Motore_Operativo!$BQ$425:$BQ$484,MAX(1,49-(INT((Ipotesi!$C$91)/30))-1)))*(MOD((Ipotesi!$C$91),30)/30))+(IF(49-(INT((Ipotesi!$C$91)/30))&lt;1,0,INDEX(Motore_Operativo!$BR$425:$BR$484,MAX(1,49-(INT((Ipotesi!$C$91)/30)))))*(1-(MOD((Ipotesi!$C$91),30)/30))+IF(49-(INT((Ipotesi!$C$91)/30))-1&lt;1,0,INDEX(Motore_Operativo!$BR$425:$BR$484,MAX(1,49-(INT((Ipotesi!$C$91)/30))-1)))*(MOD((Ipotesi!$C$91),30)/30))))*Piano_SS!$D$9,0))</f>
        <v>40000</v>
      </c>
      <c r="BZ473" s="15" t="n">
        <f aca="false">MIN(Piano_SS!$C$10,(BZ472)+IF(AND(Motore_Operativo!C473&gt;=EDATE(Parametri_v3!$C$24,Ipotesi!J14*12),Motore_Operativo!C473&lt;EDATE(Parametri_v3!$C$24,Parametri_v3!$C$25+Ipotesi!J14*12)),MAX(0,(IF(49-(INT((Ipotesi!$C$91)/30))&lt;1,0,INDEX(Motore_Operativo!$BO$425:$BO$484,MAX(1,49-(INT((Ipotesi!$C$91)/30)))))*(1-(MOD((Ipotesi!$C$91),30)/30))+IF(49-(INT((Ipotesi!$C$91)/30))-1&lt;1,0,INDEX(Motore_Operativo!$BO$425:$BO$484,MAX(1,49-(INT((Ipotesi!$C$91)/30))-1)))*(MOD((Ipotesi!$C$91),30)/30)))*Piano_SS!$D$10,0))</f>
        <v>30000</v>
      </c>
      <c r="CA473" s="15" t="n">
        <f aca="false">SUM(BV473:BZ473)</f>
        <v>461058.923007084</v>
      </c>
      <c r="CB473" s="15" t="n">
        <f aca="false">BV473*(1-Piano_SS!$E$6)+BW473*(1-Piano_SS!$E$7)+BX473*(1-Piano_SS!$E$8)+BY473*(1-Piano_SS!$E$9)+BZ473*(1-Piano_SS!$E$10)</f>
        <v>431058.923007084</v>
      </c>
      <c r="CC473" s="15" t="n">
        <f aca="false">(CC472)+BA473</f>
        <v>368847.138405667</v>
      </c>
      <c r="CD473" s="15" t="n">
        <f aca="false">IF(CA473=0,0,CC473*CB473/CA473*Ipotesi!$C$103*Parametri_v3!$C$64)</f>
        <v>103454.1415217</v>
      </c>
      <c r="CE473" s="18" t="n">
        <f aca="false">IF(BA473&gt;0,Motore_Operativo!C473,(CE472))</f>
        <v>47270</v>
      </c>
      <c r="CF473" s="18" t="n">
        <f aca="false">IF(AND(CC473&gt;0,OR(CC473&gt;=CG473-0.01,Motore_Operativo!C473&gt;=EDATE(MAX(Finanziamenti!$D$15:$D$17),Ipotesi!J14*12))),CE473,0)</f>
        <v>47270</v>
      </c>
      <c r="CG473" s="15" t="n">
        <f aca="false">IF(AND(8&lt;&gt;6,8&lt;&gt;9,Finanziamenti!$F$11=1,OR(Parametri_v3!$C$6=0,Finanziamenti!$E$11=1)),MIN(Finanziamenti!$C$11,Piano_SS!$C$12*Ipotesi!$C$102),0)</f>
        <v>400000</v>
      </c>
      <c r="CH473" s="15" t="n">
        <f aca="false">IF(AND(AND(8&lt;&gt;8,8&lt;&gt;9,Finanziamenti!$F$10=1,OR(Parametri_v3!$C$6=0,Finanziamenti!$E$10=1)),Motore_Operativo!C473&gt;=Finanziamenti!$D$10,Motore_Operativo!C473&lt;Parametri_v3!$C$63),Finanziamenti!$C$10,0)</f>
        <v>0</v>
      </c>
    </row>
    <row r="474" customFormat="false" ht="18" hidden="false" customHeight="true" outlineLevel="0" collapsed="false">
      <c r="A474" s="68" t="n">
        <f aca="false">8</f>
        <v>8</v>
      </c>
      <c r="B474" s="68" t="n">
        <f aca="false">50</f>
        <v>50</v>
      </c>
      <c r="C474" s="18" t="n">
        <f aca="false">Motore_Operativo!C474</f>
        <v>47880</v>
      </c>
      <c r="D474" s="68" t="n">
        <f aca="false">Motore_Operativo!D474</f>
        <v>2031</v>
      </c>
      <c r="E474" s="68" t="n">
        <f aca="false">Motore_Operativo!E474</f>
        <v>2</v>
      </c>
      <c r="F474" s="15" t="n">
        <f aca="false">Motore_Operativo!AQ474+Motore_Operativo!BF474</f>
        <v>173845.56723159</v>
      </c>
      <c r="G474" s="15" t="n">
        <f aca="false">Motore_Operativo!BH474</f>
        <v>11595.8333333333</v>
      </c>
      <c r="H474" s="15" t="n">
        <f aca="false">Motore_Operativo!BI474</f>
        <v>185441.400564923</v>
      </c>
      <c r="I474" s="15" t="n">
        <f aca="false">Motore_Operativo!CA474</f>
        <v>196997.749399923</v>
      </c>
      <c r="J474" s="15" t="n">
        <f aca="false">Motore_Operativo!CC474</f>
        <v>-11556.3488349995</v>
      </c>
      <c r="K474" s="15" t="n">
        <f aca="false">Motore_Operativo!CE474</f>
        <v>4166.66666666667</v>
      </c>
      <c r="L474" s="15" t="n">
        <f aca="false">SUM(INDEX($K$425:$K$484,MAX(1,50-Parametri_v3!$C$59+1)):K474)/Parametri_v3!$C$59</f>
        <v>2754.62962962963</v>
      </c>
      <c r="M474" s="15" t="n">
        <f aca="false">J474-L474</f>
        <v>-14310.9784646292</v>
      </c>
      <c r="N474" s="15" t="n">
        <f aca="false">CD474-(CD473)</f>
        <v>0</v>
      </c>
      <c r="O474" s="15" t="n">
        <f aca="false">(BG473)*Ipotesi!$C$110/12+CH474*Parametri_v3!$C$39/12</f>
        <v>0</v>
      </c>
      <c r="P474" s="15" t="n">
        <f aca="false">M474+N474-O474</f>
        <v>-14310.9784646292</v>
      </c>
      <c r="Q474" s="15" t="n">
        <f aca="false">SUM(P473:P474)+Parametri_v3!$C$54*2/12</f>
        <v>-30841.1679449309</v>
      </c>
      <c r="R474" s="15" t="n">
        <f aca="false">Z472</f>
        <v>997327.618759451</v>
      </c>
      <c r="S474" s="15" t="n">
        <f aca="false">AA472</f>
        <v>307724.845970214</v>
      </c>
      <c r="T474" s="15" t="n">
        <f aca="false">MIN(R474,MAX(0,Q474))</f>
        <v>0</v>
      </c>
      <c r="U474" s="15" t="n">
        <f aca="false">MIN(S474,MAX(0,Q474-T474)*Parametri_v3!$C$42)</f>
        <v>0</v>
      </c>
      <c r="V474" s="15" t="n">
        <f aca="false">MAX(0,Q474-T474-U474)*Ipotesi!$C$92</f>
        <v>0</v>
      </c>
      <c r="W474" s="15" t="n">
        <f aca="false">MAX(0,SUM(M473:M474)+Parametri_v3!$C$55*2/12)*Ipotesi!$C$93</f>
        <v>0</v>
      </c>
      <c r="X474" s="15" t="n">
        <f aca="false">V474+W474-(V473+W473)</f>
        <v>0</v>
      </c>
      <c r="Y474" s="15" t="n">
        <f aca="false">P474-X474</f>
        <v>-14310.9784646292</v>
      </c>
      <c r="Z474" s="15" t="n">
        <f aca="false">R474-T474+IF(AND(Parametri_v3!$C$40=1,D474-YEAR(Parametri_v3!$C$50)&lt;Parametri_v3!$C$41),MAX(0,-Q474),0)</f>
        <v>997327.618759451</v>
      </c>
      <c r="AA474" s="15" t="n">
        <f aca="false">S474-U474+IF(AND(Parametri_v3!$C$40=1,D474-YEAR(Parametri_v3!$C$50)&lt;Parametri_v3!$C$41),0,MAX(0,-Q474))</f>
        <v>338566.013915145</v>
      </c>
      <c r="AB474" s="15" t="n">
        <f aca="false">F474*(1+Parametri_v3!$C$26)</f>
        <v>212091.592022539</v>
      </c>
      <c r="AC474" s="15" t="n">
        <f aca="false">(IF(50-(INT((Motore_Operativo!L474)/30))&lt;1,0,INDEX(Motore_Startup!$AB$425:$AB$484,MAX(1,50-(INT((Motore_Operativo!L474)/30)))))*(1-(MOD((Motore_Operativo!L474),30)/30))+IF(50-(INT((Motore_Operativo!L474)/30))-1&lt;1,0,INDEX(Motore_Startup!$AB$425:$AB$484,MAX(1,50-(INT((Motore_Operativo!L474)/30))-1)))*(MOD((Motore_Operativo!L474),30)/30))</f>
        <v>168220.894485278</v>
      </c>
      <c r="AD474" s="15" t="n">
        <f aca="false">(AD473)+AB474-AC474</f>
        <v>592690.124263435</v>
      </c>
      <c r="AE474" s="15" t="n">
        <f aca="false">Motore_Operativo!BH474*(1+Parametri_v3!$C$26)</f>
        <v>14146.9166666667</v>
      </c>
      <c r="AF474" s="15" t="n">
        <f aca="false">(IF(50-(INT((Parametri_v3!$C$29)/30))&lt;1,0,INDEX(Motore_Operativo!$BH$425:$BH$484,MAX(1,50-(INT((Parametri_v3!$C$29)/30)))))*(1-(MOD((Parametri_v3!$C$29),30)/30))+IF(50-(INT((Parametri_v3!$C$29)/30))-1&lt;1,0,INDEX(Motore_Operativo!$BH$425:$BH$484,MAX(1,50-(INT((Parametri_v3!$C$29)/30))-1)))*(MOD((Parametri_v3!$C$29),30)/30))*(1+Parametri_v3!$C$26)</f>
        <v>14146.9166666667</v>
      </c>
      <c r="AG474" s="15" t="n">
        <f aca="false">(AG473)+AE474-AF474</f>
        <v>14146.9166666667</v>
      </c>
      <c r="AH474" s="15" t="n">
        <f aca="false">(Motore_Operativo!CJ474)*(1+Parametri_v3!$C$27*Parametri_v3!$C$26)</f>
        <v>92016.7398208789</v>
      </c>
      <c r="AI474" s="15" t="n">
        <f aca="false">(IF(50-(INT((Ipotesi!$C$91)/30))&lt;1,0,INDEX(Motore_Startup!$AH$425:$AH$484,MAX(1,50-(INT((Ipotesi!$C$91)/30)))))*(1-(MOD((Ipotesi!$C$91),30)/30))+IF(50-(INT((Ipotesi!$C$91)/30))-1&lt;1,0,INDEX(Motore_Startup!$AH$425:$AH$484,MAX(1,50-(INT((Ipotesi!$C$91)/30))-1)))*(MOD((Ipotesi!$C$91),30)/30))</f>
        <v>74591.0103544752</v>
      </c>
      <c r="AJ474" s="15" t="n">
        <f aca="false">(AJ473)+AH474-AI474</f>
        <v>183593.473380441</v>
      </c>
      <c r="AK474" s="15" t="n">
        <f aca="false">(F474+ Motore_Operativo!BH474-(Motore_Operativo!CJ474)*Parametri_v3!$C$27-Motore_Operativo!CE474)*Parametri_v3!$C$26</f>
        <v>25384.1227158267</v>
      </c>
      <c r="AL474" s="15" t="n">
        <f aca="false">MAX(0,(AM473))</f>
        <v>24870.9321178699</v>
      </c>
      <c r="AM474" s="15" t="n">
        <f aca="false">(AM473)+AK474-AL474</f>
        <v>25384.1227158267</v>
      </c>
      <c r="AN474" s="15" t="n">
        <f aca="false">SUM(X461:X472)</f>
        <v>0</v>
      </c>
      <c r="AO474" s="15" t="n">
        <f aca="false">SUM(AP461:AP472)</f>
        <v>0</v>
      </c>
      <c r="AP474" s="15" t="n">
        <f aca="false">MAX(0,AN474)*IF(2=Parametri_v3!$C$43,Parametri_v3!$C$45,IF(2=Parametri_v3!$C$44,1-Parametri_v3!$C$45,0))</f>
        <v>0</v>
      </c>
      <c r="AQ474" s="15" t="n">
        <f aca="false">MAX(0,AP474+IF(2=Parametri_v3!$C$43,MAX(0,AN474-AO474),0)-MAX(0,-(AR473)))</f>
        <v>0</v>
      </c>
      <c r="AR474" s="15" t="n">
        <f aca="false">(AR473)+X474-AQ474</f>
        <v>0</v>
      </c>
      <c r="AS474" s="15" t="n">
        <f aca="false">Motore_Operativo!AB474-AT474+AU474</f>
        <v>113503.461904792</v>
      </c>
      <c r="AT474" s="15" t="n">
        <f aca="false">Motore_Operativo!CH474</f>
        <v>5973.86641604167</v>
      </c>
      <c r="AU474" s="15" t="n">
        <f aca="false">MIN(MAX(0,(AV473)+AT474),Parametri_v3!$C$60/12)</f>
        <v>0</v>
      </c>
      <c r="AV474" s="15" t="n">
        <f aca="false">(AV473)+AT474-AU474</f>
        <v>149003.283207083</v>
      </c>
      <c r="AW474" s="15" t="n">
        <f aca="false">IF(AND(Motore_Operativo!C474=Finanziamenti!$D$6,Finanziamenti!$F$6=1),Finanziamenti!$C$6,0)</f>
        <v>0</v>
      </c>
      <c r="AX474" s="15" t="n">
        <f aca="false">IF(AND(8&lt;&gt;7,8&lt;&gt;9,Finanziamenti!$F$8=1,OR(Parametri_v3!$C$6=0,Finanziamenti!$E$8=1),Motore_Operativo!C474=EDATE(Finanziamenti!$D$8,Ipotesi!J15*12)),Finanziamenti!$C$8*1,0)+IF(AND(8&lt;&gt;7,8&lt;&gt;9,Finanziamenti!$F$9=1,OR(Parametri_v3!$C$6=0,Finanziamenti!$E$9=1),Motore_Operativo!C474=EDATE(Finanziamenti!$D$9,Ipotesi!J15*12)),Finanziamenti!$C$9*Ipotesi!J16,0)</f>
        <v>0</v>
      </c>
      <c r="AY474" s="15" t="n">
        <f aca="false">0</f>
        <v>0</v>
      </c>
      <c r="AZ474" s="15" t="n">
        <f aca="false">Motore_Advisory!AY474*(1-Ipotesi!$C$95)*Ipotesi!$C$96</f>
        <v>0</v>
      </c>
      <c r="BA474" s="15" t="n">
        <f aca="false">MAX(0,MIN(CG474*MIN(1,IF(Motore_Operativo!C474&gt;=EDATE(Finanziamenti!$D$15,Ipotesi!J14*12),Finanziamenti!$C$15,0)+IF(Motore_Operativo!C474&gt;=EDATE(Finanziamenti!$D$16,Ipotesi!J14*12),Finanziamenti!$C$16,0)+IF(Motore_Operativo!C474&gt;=EDATE(Finanziamenti!$D$17,Ipotesi!J14*12),Finanziamenti!$C$17,0)),CA474*Ipotesi!$C$102)-(CC473))</f>
        <v>0</v>
      </c>
      <c r="BB474" s="15" t="n">
        <f aca="false">IF(AND(CF474&gt;0,Motore_Operativo!C474&gt;=IF(CF474=0,0,EDATE(CF474,Parametri_v3!$C$37)),MOD(((D474-YEAR(IF(CF474=0,0,EDATE(CF474,Parametri_v3!$C$37))))*12+E474-MONTH(IF(CF474=0,0,EDATE(CF474,Parametri_v3!$C$37)))),Parametri_v3!$C$38)=0),MIN(MAX(0,(BC473)+BA474-N474),(CC474-CD474)/(Ipotesi!$C$108*12/Parametri_v3!$C$38)),0)</f>
        <v>0</v>
      </c>
      <c r="BC474" s="15" t="n">
        <f aca="false">(BC473)+BA474-N474-BB474</f>
        <v>238853.69719557</v>
      </c>
      <c r="BD474" s="15" t="n">
        <f aca="false">(BH473)+AC474+AF474-AI474-AS474-K474*(1+Parametri_v3!$C$26)-AL474-AQ474-O474+AW474+AX474+AZ474+BA474-BB474</f>
        <v>-34251.5808113327</v>
      </c>
      <c r="BE474" s="15" t="n">
        <f aca="false">MAX(0,MIN(MAX(0,CH474-(BG473)),Parametri_v3!$C$30-BD474))</f>
        <v>0</v>
      </c>
      <c r="BF474" s="15" t="n">
        <f aca="false">IF(Motore_Operativo!C474&gt;=Parametri_v3!$C$63,(BG473),MIN((BG473),MAX(0,BD474-Parametri_v3!$C$30)))</f>
        <v>0</v>
      </c>
      <c r="BG474" s="15" t="n">
        <f aca="false">(BG473)+BE474-BF474</f>
        <v>0</v>
      </c>
      <c r="BH474" s="15" t="n">
        <f aca="false">BD474+BE474-BF474-AY474</f>
        <v>-34251.5808113327</v>
      </c>
      <c r="BI474" s="15" t="n">
        <f aca="false">MAX(0,Parametri_v3!$C$30-BH474)</f>
        <v>59251.5808113327</v>
      </c>
      <c r="BJ474" s="15" t="n">
        <f aca="false">(BJ473)+K474</f>
        <v>123333.333333333</v>
      </c>
      <c r="BK474" s="15" t="n">
        <f aca="false">(BK473)+L474</f>
        <v>69270.8333333333</v>
      </c>
      <c r="BL474" s="15" t="n">
        <f aca="false">BJ474-BK474</f>
        <v>54062.4999999999</v>
      </c>
      <c r="BM474" s="15" t="n">
        <f aca="false">(BM473)+Y474</f>
        <v>-1335893.6326746</v>
      </c>
      <c r="BN474" s="15" t="n">
        <f aca="false">(BN473)+AW474+AX474+AZ474</f>
        <v>1365707.01629444</v>
      </c>
      <c r="BO474" s="15" t="n">
        <f aca="false">(BO473)+AY474</f>
        <v>0</v>
      </c>
      <c r="BP474" s="15" t="n">
        <f aca="false">0</f>
        <v>0</v>
      </c>
      <c r="BQ474" s="15" t="n">
        <f aca="false">BN474+BM474-BO474</f>
        <v>29813.3836198486</v>
      </c>
      <c r="BR474" s="15" t="n">
        <f aca="false">BH474+AD474+BL474+MAX(0,-AM474)+MAX(0,-AR474)+AG474</f>
        <v>626647.960118769</v>
      </c>
      <c r="BS474" s="15" t="n">
        <f aca="false">AJ474+AV474+MAX(0,AM474)+MAX(0,AR474)+BC474+BG474+BQ474</f>
        <v>626647.96011877</v>
      </c>
      <c r="BT474" s="15" t="n">
        <f aca="false">BR474-BS474</f>
        <v>0</v>
      </c>
      <c r="BU474" s="15" t="n">
        <f aca="false">BH474-(BD474+BE474-BF474-AY474)</f>
        <v>0</v>
      </c>
      <c r="BV474" s="15" t="n">
        <f aca="false">MIN(Piano_SS!$C$6,(BV473)+IF(AND(Motore_Operativo!C474&gt;=EDATE(Parametri_v3!$C$24,Ipotesi!J14*12),Motore_Operativo!C474&lt;EDATE(Parametri_v3!$C$24,Parametri_v3!$C$25+Ipotesi!J14*12)),MAX(0,(Motore_Operativo!Y474+Motore_Operativo!X474*Parametri_v3!$C$14)*(1-Parametri_v3!$C$32))*Piano_SS!$D$6,0))</f>
        <v>300000</v>
      </c>
      <c r="BW474" s="15" t="n">
        <f aca="false">MIN(Piano_SS!$C$7,(BW473)+IF(AND(Motore_Operativo!C474&gt;=EDATE(Parametri_v3!$C$24,Ipotesi!J14*12),Motore_Operativo!C474&lt;EDATE(Parametri_v3!$C$24,Parametri_v3!$C$25+Ipotesi!J14*12)),MAX(0,(IF(50-(INT((Ipotesi!$C$91)/30))&lt;1,0,INDEX(Motore_Operativo!$BN$425:$BN$484,MAX(1,50-(INT((Ipotesi!$C$91)/30)))))*(1-(MOD((Ipotesi!$C$91),30)/30))+IF(50-(INT((Ipotesi!$C$91)/30))-1&lt;1,0,INDEX(Motore_Operativo!$BN$425:$BN$484,MAX(1,50-(INT((Ipotesi!$C$91)/30))-1)))*(MOD((Ipotesi!$C$91),30)/30)))*Piano_SS!$D$7,0))</f>
        <v>41058.9230070837</v>
      </c>
      <c r="BX474" s="15" t="n">
        <f aca="false">MIN(Piano_SS!$C$8,(BX473)+IF(AND(Motore_Operativo!C474&gt;=EDATE(Parametri_v3!$C$24,Ipotesi!J14*12),Motore_Operativo!C474&lt;EDATE(Parametri_v3!$C$24,Parametri_v3!$C$25+Ipotesi!J14*12)),MAX(0,Motore_Operativo!CE474)*Piano_SS!$D$8,0))</f>
        <v>50000</v>
      </c>
      <c r="BY474" s="15" t="n">
        <f aca="false">MIN(Piano_SS!$C$9,(BY473)+IF(AND(Motore_Operativo!C474&gt;=EDATE(Parametri_v3!$C$24,Ipotesi!J14*12),Motore_Operativo!C474&lt;EDATE(Parametri_v3!$C$24,Parametri_v3!$C$25+Ipotesi!J14*12)),MAX(0,((IF(50-(INT((Ipotesi!$C$91)/30))&lt;1,0,INDEX(Motore_Operativo!$BQ$425:$BQ$484,MAX(1,50-(INT((Ipotesi!$C$91)/30)))))*(1-(MOD((Ipotesi!$C$91),30)/30))+IF(50-(INT((Ipotesi!$C$91)/30))-1&lt;1,0,INDEX(Motore_Operativo!$BQ$425:$BQ$484,MAX(1,50-(INT((Ipotesi!$C$91)/30))-1)))*(MOD((Ipotesi!$C$91),30)/30))+(IF(50-(INT((Ipotesi!$C$91)/30))&lt;1,0,INDEX(Motore_Operativo!$BR$425:$BR$484,MAX(1,50-(INT((Ipotesi!$C$91)/30)))))*(1-(MOD((Ipotesi!$C$91),30)/30))+IF(50-(INT((Ipotesi!$C$91)/30))-1&lt;1,0,INDEX(Motore_Operativo!$BR$425:$BR$484,MAX(1,50-(INT((Ipotesi!$C$91)/30))-1)))*(MOD((Ipotesi!$C$91),30)/30))))*Piano_SS!$D$9,0))</f>
        <v>40000</v>
      </c>
      <c r="BZ474" s="15" t="n">
        <f aca="false">MIN(Piano_SS!$C$10,(BZ473)+IF(AND(Motore_Operativo!C474&gt;=EDATE(Parametri_v3!$C$24,Ipotesi!J14*12),Motore_Operativo!C474&lt;EDATE(Parametri_v3!$C$24,Parametri_v3!$C$25+Ipotesi!J14*12)),MAX(0,(IF(50-(INT((Ipotesi!$C$91)/30))&lt;1,0,INDEX(Motore_Operativo!$BO$425:$BO$484,MAX(1,50-(INT((Ipotesi!$C$91)/30)))))*(1-(MOD((Ipotesi!$C$91),30)/30))+IF(50-(INT((Ipotesi!$C$91)/30))-1&lt;1,0,INDEX(Motore_Operativo!$BO$425:$BO$484,MAX(1,50-(INT((Ipotesi!$C$91)/30))-1)))*(MOD((Ipotesi!$C$91),30)/30)))*Piano_SS!$D$10,0))</f>
        <v>30000</v>
      </c>
      <c r="CA474" s="15" t="n">
        <f aca="false">SUM(BV474:BZ474)</f>
        <v>461058.923007084</v>
      </c>
      <c r="CB474" s="15" t="n">
        <f aca="false">BV474*(1-Piano_SS!$E$6)+BW474*(1-Piano_SS!$E$7)+BX474*(1-Piano_SS!$E$8)+BY474*(1-Piano_SS!$E$9)+BZ474*(1-Piano_SS!$E$10)</f>
        <v>431058.923007084</v>
      </c>
      <c r="CC474" s="15" t="n">
        <f aca="false">(CC473)+BA474</f>
        <v>368847.138405667</v>
      </c>
      <c r="CD474" s="15" t="n">
        <f aca="false">IF(CA474=0,0,CC474*CB474/CA474*Ipotesi!$C$103*Parametri_v3!$C$64)</f>
        <v>103454.1415217</v>
      </c>
      <c r="CE474" s="18" t="n">
        <f aca="false">IF(BA474&gt;0,Motore_Operativo!C474,(CE473))</f>
        <v>47270</v>
      </c>
      <c r="CF474" s="18" t="n">
        <f aca="false">IF(AND(CC474&gt;0,OR(CC474&gt;=CG474-0.01,Motore_Operativo!C474&gt;=EDATE(MAX(Finanziamenti!$D$15:$D$17),Ipotesi!J14*12))),CE474,0)</f>
        <v>47270</v>
      </c>
      <c r="CG474" s="15" t="n">
        <f aca="false">IF(AND(8&lt;&gt;6,8&lt;&gt;9,Finanziamenti!$F$11=1,OR(Parametri_v3!$C$6=0,Finanziamenti!$E$11=1)),MIN(Finanziamenti!$C$11,Piano_SS!$C$12*Ipotesi!$C$102),0)</f>
        <v>400000</v>
      </c>
      <c r="CH474" s="15" t="n">
        <f aca="false">IF(AND(AND(8&lt;&gt;8,8&lt;&gt;9,Finanziamenti!$F$10=1,OR(Parametri_v3!$C$6=0,Finanziamenti!$E$10=1)),Motore_Operativo!C474&gt;=Finanziamenti!$D$10,Motore_Operativo!C474&lt;Parametri_v3!$C$63),Finanziamenti!$C$10,0)</f>
        <v>0</v>
      </c>
    </row>
    <row r="475" customFormat="false" ht="18" hidden="false" customHeight="true" outlineLevel="0" collapsed="false">
      <c r="A475" s="68" t="n">
        <f aca="false">8</f>
        <v>8</v>
      </c>
      <c r="B475" s="68" t="n">
        <f aca="false">51</f>
        <v>51</v>
      </c>
      <c r="C475" s="18" t="n">
        <f aca="false">Motore_Operativo!C475</f>
        <v>47908</v>
      </c>
      <c r="D475" s="68" t="n">
        <f aca="false">Motore_Operativo!D475</f>
        <v>2031</v>
      </c>
      <c r="E475" s="68" t="n">
        <f aca="false">Motore_Operativo!E475</f>
        <v>3</v>
      </c>
      <c r="F475" s="15" t="n">
        <f aca="false">Motore_Operativo!AQ475+Motore_Operativo!BF475</f>
        <v>176470.190518164</v>
      </c>
      <c r="G475" s="15" t="n">
        <f aca="false">Motore_Operativo!BH475</f>
        <v>11595.8333333333</v>
      </c>
      <c r="H475" s="15" t="n">
        <f aca="false">Motore_Operativo!BI475</f>
        <v>188066.023851497</v>
      </c>
      <c r="I475" s="15" t="n">
        <f aca="false">Motore_Operativo!CA475</f>
        <v>197365.196660043</v>
      </c>
      <c r="J475" s="15" t="n">
        <f aca="false">Motore_Operativo!CC475</f>
        <v>-9299.17280854564</v>
      </c>
      <c r="K475" s="15" t="n">
        <f aca="false">Motore_Operativo!CE475</f>
        <v>4166.66666666667</v>
      </c>
      <c r="L475" s="15" t="n">
        <f aca="false">SUM(INDEX($K$425:$K$484,MAX(1,51-Parametri_v3!$C$59+1)):K475)/Parametri_v3!$C$59</f>
        <v>2812.5</v>
      </c>
      <c r="M475" s="15" t="n">
        <f aca="false">J475-L475</f>
        <v>-12111.6728085456</v>
      </c>
      <c r="N475" s="15" t="n">
        <f aca="false">CD475-(CD474)</f>
        <v>0</v>
      </c>
      <c r="O475" s="15" t="n">
        <f aca="false">(BG474)*Ipotesi!$C$110/12+CH475*Parametri_v3!$C$39/12</f>
        <v>0</v>
      </c>
      <c r="P475" s="15" t="n">
        <f aca="false">M475+N475-O475</f>
        <v>-12111.6728085456</v>
      </c>
      <c r="Q475" s="15" t="n">
        <f aca="false">SUM(P473:P475)+Parametri_v3!$C$54*3/12</f>
        <v>-42952.8407534765</v>
      </c>
      <c r="R475" s="15" t="n">
        <f aca="false">Z472</f>
        <v>997327.618759451</v>
      </c>
      <c r="S475" s="15" t="n">
        <f aca="false">AA472</f>
        <v>307724.845970214</v>
      </c>
      <c r="T475" s="15" t="n">
        <f aca="false">MIN(R475,MAX(0,Q475))</f>
        <v>0</v>
      </c>
      <c r="U475" s="15" t="n">
        <f aca="false">MIN(S475,MAX(0,Q475-T475)*Parametri_v3!$C$42)</f>
        <v>0</v>
      </c>
      <c r="V475" s="15" t="n">
        <f aca="false">MAX(0,Q475-T475-U475)*Ipotesi!$C$92</f>
        <v>0</v>
      </c>
      <c r="W475" s="15" t="n">
        <f aca="false">MAX(0,SUM(M473:M475)+Parametri_v3!$C$55*3/12)*Ipotesi!$C$93</f>
        <v>0</v>
      </c>
      <c r="X475" s="15" t="n">
        <f aca="false">V475+W475-(V474+W474)</f>
        <v>0</v>
      </c>
      <c r="Y475" s="15" t="n">
        <f aca="false">P475-X475</f>
        <v>-12111.6728085456</v>
      </c>
      <c r="Z475" s="15" t="n">
        <f aca="false">R475-T475+IF(AND(Parametri_v3!$C$40=1,D475-YEAR(Parametri_v3!$C$50)&lt;Parametri_v3!$C$41),MAX(0,-Q475),0)</f>
        <v>997327.618759451</v>
      </c>
      <c r="AA475" s="15" t="n">
        <f aca="false">S475-U475+IF(AND(Parametri_v3!$C$40=1,D475-YEAR(Parametri_v3!$C$50)&lt;Parametri_v3!$C$41),0,MAX(0,-Q475))</f>
        <v>350677.686723691</v>
      </c>
      <c r="AB475" s="15" t="n">
        <f aca="false">F475*(1+Parametri_v3!$C$26)</f>
        <v>215293.63243216</v>
      </c>
      <c r="AC475" s="15" t="n">
        <f aca="false">(IF(51-(INT((Motore_Operativo!L475)/30))&lt;1,0,INDEX(Motore_Startup!$AB$425:$AB$484,MAX(1,51-(INT((Motore_Operativo!L475)/30)))))*(1-(MOD((Motore_Operativo!L475),30)/30))+IF(51-(INT((Motore_Operativo!L475)/30))-1&lt;1,0,INDEX(Motore_Startup!$AB$425:$AB$484,MAX(1,51-(INT((Motore_Operativo!L475)/30))-1)))*(MOD((Motore_Operativo!L475),30)/30))</f>
        <v>171737.218463673</v>
      </c>
      <c r="AD475" s="15" t="n">
        <f aca="false">(AD474)+AB475-AC475</f>
        <v>636246.538231922</v>
      </c>
      <c r="AE475" s="15" t="n">
        <f aca="false">Motore_Operativo!BH475*(1+Parametri_v3!$C$26)</f>
        <v>14146.9166666667</v>
      </c>
      <c r="AF475" s="15" t="n">
        <f aca="false">(IF(51-(INT((Parametri_v3!$C$29)/30))&lt;1,0,INDEX(Motore_Operativo!$BH$425:$BH$484,MAX(1,51-(INT((Parametri_v3!$C$29)/30)))))*(1-(MOD((Parametri_v3!$C$29),30)/30))+IF(51-(INT((Parametri_v3!$C$29)/30))-1&lt;1,0,INDEX(Motore_Operativo!$BH$425:$BH$484,MAX(1,51-(INT((Parametri_v3!$C$29)/30))-1)))*(MOD((Parametri_v3!$C$29),30)/30))*(1+Parametri_v3!$C$26)</f>
        <v>14146.9166666667</v>
      </c>
      <c r="AG475" s="15" t="n">
        <f aca="false">(AG474)+AE475-AF475</f>
        <v>14146.9166666667</v>
      </c>
      <c r="AH475" s="15" t="n">
        <f aca="false">(Motore_Operativo!CJ475)*(1+Parametri_v3!$C$27*Parametri_v3!$C$26)</f>
        <v>92452.8997186419</v>
      </c>
      <c r="AI475" s="15" t="n">
        <f aca="false">(IF(51-(INT((Ipotesi!$C$91)/30))&lt;1,0,INDEX(Motore_Startup!$AH$425:$AH$484,MAX(1,51-(INT((Ipotesi!$C$91)/30)))))*(1-(MOD((Ipotesi!$C$91),30)/30))+IF(51-(INT((Ipotesi!$C$91)/30))-1&lt;1,0,INDEX(Motore_Startup!$AH$425:$AH$484,MAX(1,51-(INT((Ipotesi!$C$91)/30))-1)))*(MOD((Ipotesi!$C$91),30)/30))</f>
        <v>91576.7335595619</v>
      </c>
      <c r="AJ475" s="15" t="n">
        <f aca="false">(AJ474)+AH475-AI475</f>
        <v>184469.639539521</v>
      </c>
      <c r="AK475" s="15" t="n">
        <f aca="false">(F475+ Motore_Operativo!BH475-(Motore_Operativo!CJ475)*Parametri_v3!$C$27-Motore_Operativo!CE475)*Parametri_v3!$C$26</f>
        <v>25892.8272012306</v>
      </c>
      <c r="AL475" s="15" t="n">
        <f aca="false">MAX(0,(AM474))</f>
        <v>25384.1227158267</v>
      </c>
      <c r="AM475" s="15" t="n">
        <f aca="false">(AM474)+AK475-AL475</f>
        <v>25892.8272012306</v>
      </c>
      <c r="AN475" s="15" t="n">
        <f aca="false">SUM(X461:X472)</f>
        <v>0</v>
      </c>
      <c r="AO475" s="15" t="n">
        <f aca="false">SUM(AP461:AP472)</f>
        <v>0</v>
      </c>
      <c r="AP475" s="15" t="n">
        <f aca="false">MAX(0,AN475)*IF(3=Parametri_v3!$C$43,Parametri_v3!$C$45,IF(3=Parametri_v3!$C$44,1-Parametri_v3!$C$45,0))</f>
        <v>0</v>
      </c>
      <c r="AQ475" s="15" t="n">
        <f aca="false">MAX(0,AP475+IF(3=Parametri_v3!$C$43,MAX(0,AN475-AO475),0)-MAX(0,-(AR474)))</f>
        <v>0</v>
      </c>
      <c r="AR475" s="15" t="n">
        <f aca="false">(AR474)+X475-AQ475</f>
        <v>0</v>
      </c>
      <c r="AS475" s="15" t="n">
        <f aca="false">Motore_Operativo!AB475-AT475+AU475</f>
        <v>113503.461904792</v>
      </c>
      <c r="AT475" s="15" t="n">
        <f aca="false">Motore_Operativo!CH475</f>
        <v>5973.86641604167</v>
      </c>
      <c r="AU475" s="15" t="n">
        <f aca="false">MIN(MAX(0,(AV474)+AT475),Parametri_v3!$C$60/12)</f>
        <v>0</v>
      </c>
      <c r="AV475" s="15" t="n">
        <f aca="false">(AV474)+AT475-AU475</f>
        <v>154977.149623125</v>
      </c>
      <c r="AW475" s="15" t="n">
        <f aca="false">IF(AND(Motore_Operativo!C475=Finanziamenti!$D$6,Finanziamenti!$F$6=1),Finanziamenti!$C$6,0)</f>
        <v>0</v>
      </c>
      <c r="AX475" s="15" t="n">
        <f aca="false">IF(AND(8&lt;&gt;7,8&lt;&gt;9,Finanziamenti!$F$8=1,OR(Parametri_v3!$C$6=0,Finanziamenti!$E$8=1),Motore_Operativo!C475=EDATE(Finanziamenti!$D$8,Ipotesi!J15*12)),Finanziamenti!$C$8*1,0)+IF(AND(8&lt;&gt;7,8&lt;&gt;9,Finanziamenti!$F$9=1,OR(Parametri_v3!$C$6=0,Finanziamenti!$E$9=1),Motore_Operativo!C475=EDATE(Finanziamenti!$D$9,Ipotesi!J15*12)),Finanziamenti!$C$9*Ipotesi!J16,0)</f>
        <v>0</v>
      </c>
      <c r="AY475" s="15" t="n">
        <f aca="false">0</f>
        <v>0</v>
      </c>
      <c r="AZ475" s="15" t="n">
        <f aca="false">Motore_Advisory!AY475*(1-Ipotesi!$C$95)*Ipotesi!$C$96</f>
        <v>0</v>
      </c>
      <c r="BA475" s="15" t="n">
        <f aca="false">MAX(0,MIN(CG475*MIN(1,IF(Motore_Operativo!C475&gt;=EDATE(Finanziamenti!$D$15,Ipotesi!J14*12),Finanziamenti!$C$15,0)+IF(Motore_Operativo!C475&gt;=EDATE(Finanziamenti!$D$16,Ipotesi!J14*12),Finanziamenti!$C$16,0)+IF(Motore_Operativo!C475&gt;=EDATE(Finanziamenti!$D$17,Ipotesi!J14*12),Finanziamenti!$C$17,0)),CA475*Ipotesi!$C$102)-(CC474))</f>
        <v>0</v>
      </c>
      <c r="BB475" s="15" t="n">
        <f aca="false">IF(AND(CF475&gt;0,Motore_Operativo!C475&gt;=IF(CF475=0,0,EDATE(CF475,Parametri_v3!$C$37)),MOD(((D475-YEAR(IF(CF475=0,0,EDATE(CF475,Parametri_v3!$C$37))))*12+E475-MONTH(IF(CF475=0,0,EDATE(CF475,Parametri_v3!$C$37)))),Parametri_v3!$C$38)=0),MIN(MAX(0,(BC474)+BA475-N475),(CC475-CD475)/(Ipotesi!$C$108*12/Parametri_v3!$C$38)),0)</f>
        <v>0</v>
      </c>
      <c r="BC475" s="15" t="n">
        <f aca="false">(BC474)+BA475-N475-BB475</f>
        <v>238853.69719557</v>
      </c>
      <c r="BD475" s="15" t="n">
        <f aca="false">(BH474)+AC475+AF475-AI475-AS475-K475*(1+Parametri_v3!$C$26)-AL475-AQ475-O475+AW475+AX475+AZ475+BA475-BB475</f>
        <v>-83915.0971945071</v>
      </c>
      <c r="BE475" s="15" t="n">
        <f aca="false">MAX(0,MIN(MAX(0,CH475-(BG474)),Parametri_v3!$C$30-BD475))</f>
        <v>0</v>
      </c>
      <c r="BF475" s="15" t="n">
        <f aca="false">IF(Motore_Operativo!C475&gt;=Parametri_v3!$C$63,(BG474),MIN((BG474),MAX(0,BD475-Parametri_v3!$C$30)))</f>
        <v>0</v>
      </c>
      <c r="BG475" s="15" t="n">
        <f aca="false">(BG474)+BE475-BF475</f>
        <v>0</v>
      </c>
      <c r="BH475" s="15" t="n">
        <f aca="false">BD475+BE475-BF475-AY475</f>
        <v>-83915.0971945071</v>
      </c>
      <c r="BI475" s="15" t="n">
        <f aca="false">MAX(0,Parametri_v3!$C$30-BH475)</f>
        <v>108915.097194507</v>
      </c>
      <c r="BJ475" s="15" t="n">
        <f aca="false">(BJ474)+K475</f>
        <v>127500</v>
      </c>
      <c r="BK475" s="15" t="n">
        <f aca="false">(BK474)+L475</f>
        <v>72083.3333333333</v>
      </c>
      <c r="BL475" s="15" t="n">
        <f aca="false">BJ475-BK475</f>
        <v>55416.6666666666</v>
      </c>
      <c r="BM475" s="15" t="n">
        <f aca="false">(BM474)+Y475</f>
        <v>-1348005.30548314</v>
      </c>
      <c r="BN475" s="15" t="n">
        <f aca="false">(BN474)+AW475+AX475+AZ475</f>
        <v>1365707.01629444</v>
      </c>
      <c r="BO475" s="15" t="n">
        <f aca="false">(BO474)+AY475</f>
        <v>0</v>
      </c>
      <c r="BP475" s="15" t="n">
        <f aca="false">0</f>
        <v>0</v>
      </c>
      <c r="BQ475" s="15" t="n">
        <f aca="false">BN475+BM475-BO475</f>
        <v>17701.710811303</v>
      </c>
      <c r="BR475" s="15" t="n">
        <f aca="false">BH475+AD475+BL475+MAX(0,-AM475)+MAX(0,-AR475)+AG475</f>
        <v>621895.024370749</v>
      </c>
      <c r="BS475" s="15" t="n">
        <f aca="false">AJ475+AV475+MAX(0,AM475)+MAX(0,AR475)+BC475+BG475+BQ475</f>
        <v>621895.02437075</v>
      </c>
      <c r="BT475" s="15" t="n">
        <f aca="false">BR475-BS475</f>
        <v>0</v>
      </c>
      <c r="BU475" s="15" t="n">
        <f aca="false">BH475-(BD475+BE475-BF475-AY475)</f>
        <v>0</v>
      </c>
      <c r="BV475" s="15" t="n">
        <f aca="false">MIN(Piano_SS!$C$6,(BV474)+IF(AND(Motore_Operativo!C475&gt;=EDATE(Parametri_v3!$C$24,Ipotesi!J14*12),Motore_Operativo!C475&lt;EDATE(Parametri_v3!$C$24,Parametri_v3!$C$25+Ipotesi!J14*12)),MAX(0,(Motore_Operativo!Y475+Motore_Operativo!X475*Parametri_v3!$C$14)*(1-Parametri_v3!$C$32))*Piano_SS!$D$6,0))</f>
        <v>300000</v>
      </c>
      <c r="BW475" s="15" t="n">
        <f aca="false">MIN(Piano_SS!$C$7,(BW474)+IF(AND(Motore_Operativo!C475&gt;=EDATE(Parametri_v3!$C$24,Ipotesi!J14*12),Motore_Operativo!C475&lt;EDATE(Parametri_v3!$C$24,Parametri_v3!$C$25+Ipotesi!J14*12)),MAX(0,(IF(51-(INT((Ipotesi!$C$91)/30))&lt;1,0,INDEX(Motore_Operativo!$BN$425:$BN$484,MAX(1,51-(INT((Ipotesi!$C$91)/30)))))*(1-(MOD((Ipotesi!$C$91),30)/30))+IF(51-(INT((Ipotesi!$C$91)/30))-1&lt;1,0,INDEX(Motore_Operativo!$BN$425:$BN$484,MAX(1,51-(INT((Ipotesi!$C$91)/30))-1)))*(MOD((Ipotesi!$C$91),30)/30)))*Piano_SS!$D$7,0))</f>
        <v>41058.9230070837</v>
      </c>
      <c r="BX475" s="15" t="n">
        <f aca="false">MIN(Piano_SS!$C$8,(BX474)+IF(AND(Motore_Operativo!C475&gt;=EDATE(Parametri_v3!$C$24,Ipotesi!J14*12),Motore_Operativo!C475&lt;EDATE(Parametri_v3!$C$24,Parametri_v3!$C$25+Ipotesi!J14*12)),MAX(0,Motore_Operativo!CE475)*Piano_SS!$D$8,0))</f>
        <v>50000</v>
      </c>
      <c r="BY475" s="15" t="n">
        <f aca="false">MIN(Piano_SS!$C$9,(BY474)+IF(AND(Motore_Operativo!C475&gt;=EDATE(Parametri_v3!$C$24,Ipotesi!J14*12),Motore_Operativo!C475&lt;EDATE(Parametri_v3!$C$24,Parametri_v3!$C$25+Ipotesi!J14*12)),MAX(0,((IF(51-(INT((Ipotesi!$C$91)/30))&lt;1,0,INDEX(Motore_Operativo!$BQ$425:$BQ$484,MAX(1,51-(INT((Ipotesi!$C$91)/30)))))*(1-(MOD((Ipotesi!$C$91),30)/30))+IF(51-(INT((Ipotesi!$C$91)/30))-1&lt;1,0,INDEX(Motore_Operativo!$BQ$425:$BQ$484,MAX(1,51-(INT((Ipotesi!$C$91)/30))-1)))*(MOD((Ipotesi!$C$91),30)/30))+(IF(51-(INT((Ipotesi!$C$91)/30))&lt;1,0,INDEX(Motore_Operativo!$BR$425:$BR$484,MAX(1,51-(INT((Ipotesi!$C$91)/30)))))*(1-(MOD((Ipotesi!$C$91),30)/30))+IF(51-(INT((Ipotesi!$C$91)/30))-1&lt;1,0,INDEX(Motore_Operativo!$BR$425:$BR$484,MAX(1,51-(INT((Ipotesi!$C$91)/30))-1)))*(MOD((Ipotesi!$C$91),30)/30))))*Piano_SS!$D$9,0))</f>
        <v>40000</v>
      </c>
      <c r="BZ475" s="15" t="n">
        <f aca="false">MIN(Piano_SS!$C$10,(BZ474)+IF(AND(Motore_Operativo!C475&gt;=EDATE(Parametri_v3!$C$24,Ipotesi!J14*12),Motore_Operativo!C475&lt;EDATE(Parametri_v3!$C$24,Parametri_v3!$C$25+Ipotesi!J14*12)),MAX(0,(IF(51-(INT((Ipotesi!$C$91)/30))&lt;1,0,INDEX(Motore_Operativo!$BO$425:$BO$484,MAX(1,51-(INT((Ipotesi!$C$91)/30)))))*(1-(MOD((Ipotesi!$C$91),30)/30))+IF(51-(INT((Ipotesi!$C$91)/30))-1&lt;1,0,INDEX(Motore_Operativo!$BO$425:$BO$484,MAX(1,51-(INT((Ipotesi!$C$91)/30))-1)))*(MOD((Ipotesi!$C$91),30)/30)))*Piano_SS!$D$10,0))</f>
        <v>30000</v>
      </c>
      <c r="CA475" s="15" t="n">
        <f aca="false">SUM(BV475:BZ475)</f>
        <v>461058.923007084</v>
      </c>
      <c r="CB475" s="15" t="n">
        <f aca="false">BV475*(1-Piano_SS!$E$6)+BW475*(1-Piano_SS!$E$7)+BX475*(1-Piano_SS!$E$8)+BY475*(1-Piano_SS!$E$9)+BZ475*(1-Piano_SS!$E$10)</f>
        <v>431058.923007084</v>
      </c>
      <c r="CC475" s="15" t="n">
        <f aca="false">(CC474)+BA475</f>
        <v>368847.138405667</v>
      </c>
      <c r="CD475" s="15" t="n">
        <f aca="false">IF(CA475=0,0,CC475*CB475/CA475*Ipotesi!$C$103*Parametri_v3!$C$64)</f>
        <v>103454.1415217</v>
      </c>
      <c r="CE475" s="18" t="n">
        <f aca="false">IF(BA475&gt;0,Motore_Operativo!C475,(CE474))</f>
        <v>47270</v>
      </c>
      <c r="CF475" s="18" t="n">
        <f aca="false">IF(AND(CC475&gt;0,OR(CC475&gt;=CG475-0.01,Motore_Operativo!C475&gt;=EDATE(MAX(Finanziamenti!$D$15:$D$17),Ipotesi!J14*12))),CE475,0)</f>
        <v>47270</v>
      </c>
      <c r="CG475" s="15" t="n">
        <f aca="false">IF(AND(8&lt;&gt;6,8&lt;&gt;9,Finanziamenti!$F$11=1,OR(Parametri_v3!$C$6=0,Finanziamenti!$E$11=1)),MIN(Finanziamenti!$C$11,Piano_SS!$C$12*Ipotesi!$C$102),0)</f>
        <v>400000</v>
      </c>
      <c r="CH475" s="15" t="n">
        <f aca="false">IF(AND(AND(8&lt;&gt;8,8&lt;&gt;9,Finanziamenti!$F$10=1,OR(Parametri_v3!$C$6=0,Finanziamenti!$E$10=1)),Motore_Operativo!C475&gt;=Finanziamenti!$D$10,Motore_Operativo!C475&lt;Parametri_v3!$C$63),Finanziamenti!$C$10,0)</f>
        <v>0</v>
      </c>
    </row>
    <row r="476" customFormat="false" ht="18" hidden="false" customHeight="true" outlineLevel="0" collapsed="false">
      <c r="A476" s="68" t="n">
        <f aca="false">8</f>
        <v>8</v>
      </c>
      <c r="B476" s="68" t="n">
        <f aca="false">52</f>
        <v>52</v>
      </c>
      <c r="C476" s="18" t="n">
        <f aca="false">Motore_Operativo!C476</f>
        <v>47939</v>
      </c>
      <c r="D476" s="68" t="n">
        <f aca="false">Motore_Operativo!D476</f>
        <v>2031</v>
      </c>
      <c r="E476" s="68" t="n">
        <f aca="false">Motore_Operativo!E476</f>
        <v>4</v>
      </c>
      <c r="F476" s="15" t="n">
        <f aca="false">Motore_Operativo!AQ476+Motore_Operativo!BF476</f>
        <v>179521.028119095</v>
      </c>
      <c r="G476" s="15" t="n">
        <f aca="false">Motore_Operativo!BH476</f>
        <v>11595.8333333333</v>
      </c>
      <c r="H476" s="15" t="n">
        <f aca="false">Motore_Operativo!BI476</f>
        <v>191116.861452429</v>
      </c>
      <c r="I476" s="15" t="n">
        <f aca="false">Motore_Operativo!CA476</f>
        <v>197792.313924173</v>
      </c>
      <c r="J476" s="15" t="n">
        <f aca="false">Motore_Operativo!CC476</f>
        <v>-6675.45247174462</v>
      </c>
      <c r="K476" s="15" t="n">
        <f aca="false">Motore_Operativo!CE476</f>
        <v>4166.66666666667</v>
      </c>
      <c r="L476" s="15" t="n">
        <f aca="false">SUM(INDEX($K$425:$K$484,MAX(1,52-Parametri_v3!$C$59+1)):K476)/Parametri_v3!$C$59</f>
        <v>2870.37037037037</v>
      </c>
      <c r="M476" s="15" t="n">
        <f aca="false">J476-L476</f>
        <v>-9545.82284211499</v>
      </c>
      <c r="N476" s="15" t="n">
        <f aca="false">CD476-(CD475)</f>
        <v>0</v>
      </c>
      <c r="O476" s="15" t="n">
        <f aca="false">(BG475)*Ipotesi!$C$110/12+CH476*Parametri_v3!$C$39/12</f>
        <v>0</v>
      </c>
      <c r="P476" s="15" t="n">
        <f aca="false">M476+N476-O476</f>
        <v>-9545.82284211499</v>
      </c>
      <c r="Q476" s="15" t="n">
        <f aca="false">SUM(P473:P476)+Parametri_v3!$C$54*4/12</f>
        <v>-52498.6635955915</v>
      </c>
      <c r="R476" s="15" t="n">
        <f aca="false">Z472</f>
        <v>997327.618759451</v>
      </c>
      <c r="S476" s="15" t="n">
        <f aca="false">AA472</f>
        <v>307724.845970214</v>
      </c>
      <c r="T476" s="15" t="n">
        <f aca="false">MIN(R476,MAX(0,Q476))</f>
        <v>0</v>
      </c>
      <c r="U476" s="15" t="n">
        <f aca="false">MIN(S476,MAX(0,Q476-T476)*Parametri_v3!$C$42)</f>
        <v>0</v>
      </c>
      <c r="V476" s="15" t="n">
        <f aca="false">MAX(0,Q476-T476-U476)*Ipotesi!$C$92</f>
        <v>0</v>
      </c>
      <c r="W476" s="15" t="n">
        <f aca="false">MAX(0,SUM(M473:M476)+Parametri_v3!$C$55*4/12)*Ipotesi!$C$93</f>
        <v>0</v>
      </c>
      <c r="X476" s="15" t="n">
        <f aca="false">V476+W476-(V475+W475)</f>
        <v>0</v>
      </c>
      <c r="Y476" s="15" t="n">
        <f aca="false">P476-X476</f>
        <v>-9545.82284211499</v>
      </c>
      <c r="Z476" s="15" t="n">
        <f aca="false">R476-T476+IF(AND(Parametri_v3!$C$40=1,D476-YEAR(Parametri_v3!$C$50)&lt;Parametri_v3!$C$41),MAX(0,-Q476),0)</f>
        <v>997327.618759451</v>
      </c>
      <c r="AA476" s="15" t="n">
        <f aca="false">S476-U476+IF(AND(Parametri_v3!$C$40=1,D476-YEAR(Parametri_v3!$C$50)&lt;Parametri_v3!$C$41),0,MAX(0,-Q476))</f>
        <v>360223.509565806</v>
      </c>
      <c r="AB476" s="15" t="n">
        <f aca="false">F476*(1+Parametri_v3!$C$26)</f>
        <v>219015.654305296</v>
      </c>
      <c r="AC476" s="15" t="n">
        <f aca="false">(IF(52-(INT((Motore_Operativo!L476)/30))&lt;1,0,INDEX(Motore_Startup!$AB$425:$AB$484,MAX(1,52-(INT((Motore_Operativo!L476)/30)))))*(1-(MOD((Motore_Operativo!L476),30)/30))+IF(52-(INT((Motore_Operativo!L476)/30))-1&lt;1,0,INDEX(Motore_Startup!$AB$425:$AB$484,MAX(1,52-(INT((Motore_Operativo!L476)/30))-1)))*(MOD((Motore_Operativo!L476),30)/30))</f>
        <v>208861.313777223</v>
      </c>
      <c r="AD476" s="15" t="n">
        <f aca="false">(AD475)+AB476-AC476</f>
        <v>646400.878759996</v>
      </c>
      <c r="AE476" s="15" t="n">
        <f aca="false">Motore_Operativo!BH476*(1+Parametri_v3!$C$26)</f>
        <v>14146.9166666667</v>
      </c>
      <c r="AF476" s="15" t="n">
        <f aca="false">(IF(52-(INT((Parametri_v3!$C$29)/30))&lt;1,0,INDEX(Motore_Operativo!$BH$425:$BH$484,MAX(1,52-(INT((Parametri_v3!$C$29)/30)))))*(1-(MOD((Parametri_v3!$C$29),30)/30))+IF(52-(INT((Parametri_v3!$C$29)/30))-1&lt;1,0,INDEX(Motore_Operativo!$BH$425:$BH$484,MAX(1,52-(INT((Parametri_v3!$C$29)/30))-1)))*(MOD((Parametri_v3!$C$29),30)/30))*(1+Parametri_v3!$C$26)</f>
        <v>14146.9166666667</v>
      </c>
      <c r="AG476" s="15" t="n">
        <f aca="false">(AG475)+AE476-AF476</f>
        <v>14146.9166666667</v>
      </c>
      <c r="AH476" s="15" t="n">
        <f aca="false">(Motore_Operativo!CJ476)*(1+Parametri_v3!$C$27*Parametri_v3!$C$26)</f>
        <v>92959.8879111646</v>
      </c>
      <c r="AI476" s="15" t="n">
        <f aca="false">(IF(52-(INT((Ipotesi!$C$91)/30))&lt;1,0,INDEX(Motore_Startup!$AH$425:$AH$484,MAX(1,52-(INT((Ipotesi!$C$91)/30)))))*(1-(MOD((Ipotesi!$C$91),30)/30))+IF(52-(INT((Ipotesi!$C$91)/30))-1&lt;1,0,INDEX(Motore_Startup!$AH$425:$AH$484,MAX(1,52-(INT((Ipotesi!$C$91)/30))-1)))*(MOD((Ipotesi!$C$91),30)/30))</f>
        <v>92016.7398208789</v>
      </c>
      <c r="AJ476" s="15" t="n">
        <f aca="false">(AJ475)+AH476-AI476</f>
        <v>185412.787629806</v>
      </c>
      <c r="AK476" s="15" t="n">
        <f aca="false">(F476+ Motore_Operativo!BH476-(Motore_Operativo!CJ476)*Parametri_v3!$C$27-Motore_Operativo!CE476)*Parametri_v3!$C$26</f>
        <v>26484.1405450431</v>
      </c>
      <c r="AL476" s="15" t="n">
        <f aca="false">MAX(0,(AM475))</f>
        <v>25892.8272012306</v>
      </c>
      <c r="AM476" s="15" t="n">
        <f aca="false">(AM475)+AK476-AL476</f>
        <v>26484.1405450431</v>
      </c>
      <c r="AN476" s="15" t="n">
        <f aca="false">SUM(X461:X472)</f>
        <v>0</v>
      </c>
      <c r="AO476" s="15" t="n">
        <f aca="false">SUM(AP461:AP472)</f>
        <v>0</v>
      </c>
      <c r="AP476" s="15" t="n">
        <f aca="false">MAX(0,AN476)*IF(4=Parametri_v3!$C$43,Parametri_v3!$C$45,IF(4=Parametri_v3!$C$44,1-Parametri_v3!$C$45,0))</f>
        <v>0</v>
      </c>
      <c r="AQ476" s="15" t="n">
        <f aca="false">MAX(0,AP476+IF(4=Parametri_v3!$C$43,MAX(0,AN476-AO476),0)-MAX(0,-(AR475)))</f>
        <v>0</v>
      </c>
      <c r="AR476" s="15" t="n">
        <f aca="false">(AR475)+X476-AQ476</f>
        <v>0</v>
      </c>
      <c r="AS476" s="15" t="n">
        <f aca="false">Motore_Operativo!AB476-AT476+AU476</f>
        <v>113503.461904792</v>
      </c>
      <c r="AT476" s="15" t="n">
        <f aca="false">Motore_Operativo!CH476</f>
        <v>5973.86641604167</v>
      </c>
      <c r="AU476" s="15" t="n">
        <f aca="false">MIN(MAX(0,(AV475)+AT476),Parametri_v3!$C$60/12)</f>
        <v>0</v>
      </c>
      <c r="AV476" s="15" t="n">
        <f aca="false">(AV475)+AT476-AU476</f>
        <v>160951.016039167</v>
      </c>
      <c r="AW476" s="15" t="n">
        <f aca="false">IF(AND(Motore_Operativo!C476=Finanziamenti!$D$6,Finanziamenti!$F$6=1),Finanziamenti!$C$6,0)</f>
        <v>0</v>
      </c>
      <c r="AX476" s="15" t="n">
        <f aca="false">IF(AND(8&lt;&gt;7,8&lt;&gt;9,Finanziamenti!$F$8=1,OR(Parametri_v3!$C$6=0,Finanziamenti!$E$8=1),Motore_Operativo!C476=EDATE(Finanziamenti!$D$8,Ipotesi!J15*12)),Finanziamenti!$C$8*1,0)+IF(AND(8&lt;&gt;7,8&lt;&gt;9,Finanziamenti!$F$9=1,OR(Parametri_v3!$C$6=0,Finanziamenti!$E$9=1),Motore_Operativo!C476=EDATE(Finanziamenti!$D$9,Ipotesi!J15*12)),Finanziamenti!$C$9*Ipotesi!J16,0)</f>
        <v>0</v>
      </c>
      <c r="AY476" s="15" t="n">
        <f aca="false">0</f>
        <v>0</v>
      </c>
      <c r="AZ476" s="15" t="n">
        <f aca="false">Motore_Advisory!AY476*(1-Ipotesi!$C$95)*Ipotesi!$C$96</f>
        <v>0</v>
      </c>
      <c r="BA476" s="15" t="n">
        <f aca="false">MAX(0,MIN(CG476*MIN(1,IF(Motore_Operativo!C476&gt;=EDATE(Finanziamenti!$D$15,Ipotesi!J14*12),Finanziamenti!$C$15,0)+IF(Motore_Operativo!C476&gt;=EDATE(Finanziamenti!$D$16,Ipotesi!J14*12),Finanziamenti!$C$16,0)+IF(Motore_Operativo!C476&gt;=EDATE(Finanziamenti!$D$17,Ipotesi!J14*12),Finanziamenti!$C$17,0)),CA476*Ipotesi!$C$102)-(CC475))</f>
        <v>0</v>
      </c>
      <c r="BB476" s="15" t="n">
        <f aca="false">IF(AND(CF476&gt;0,Motore_Operativo!C476&gt;=IF(CF476=0,0,EDATE(CF476,Parametri_v3!$C$37)),MOD(((D476-YEAR(IF(CF476=0,0,EDATE(CF476,Parametri_v3!$C$37))))*12+E476-MONTH(IF(CF476=0,0,EDATE(CF476,Parametri_v3!$C$37)))),Parametri_v3!$C$38)=0),MIN(MAX(0,(BC475)+BA476-N476),(CC476-CD476)/(Ipotesi!$C$108*12/Parametri_v3!$C$38)),0)</f>
        <v>0</v>
      </c>
      <c r="BC476" s="15" t="n">
        <f aca="false">(BC475)+BA476-N476-BB476</f>
        <v>238853.69719557</v>
      </c>
      <c r="BD476" s="15" t="n">
        <f aca="false">(BH475)+AC476+AF476-AI476-AS476-K476*(1+Parametri_v3!$C$26)-AL476-AQ476-O476+AW476+AX476+AZ476+BA476-BB476</f>
        <v>-97403.2290108521</v>
      </c>
      <c r="BE476" s="15" t="n">
        <f aca="false">MAX(0,MIN(MAX(0,CH476-(BG475)),Parametri_v3!$C$30-BD476))</f>
        <v>0</v>
      </c>
      <c r="BF476" s="15" t="n">
        <f aca="false">IF(Motore_Operativo!C476&gt;=Parametri_v3!$C$63,(BG475),MIN((BG475),MAX(0,BD476-Parametri_v3!$C$30)))</f>
        <v>0</v>
      </c>
      <c r="BG476" s="15" t="n">
        <f aca="false">(BG475)+BE476-BF476</f>
        <v>0</v>
      </c>
      <c r="BH476" s="15" t="n">
        <f aca="false">BD476+BE476-BF476-AY476</f>
        <v>-97403.2290108521</v>
      </c>
      <c r="BI476" s="15" t="n">
        <f aca="false">MAX(0,Parametri_v3!$C$30-BH476)</f>
        <v>122403.229010852</v>
      </c>
      <c r="BJ476" s="15" t="n">
        <f aca="false">(BJ475)+K476</f>
        <v>131666.666666667</v>
      </c>
      <c r="BK476" s="15" t="n">
        <f aca="false">(BK475)+L476</f>
        <v>74953.7037037037</v>
      </c>
      <c r="BL476" s="15" t="n">
        <f aca="false">BJ476-BK476</f>
        <v>56712.9629629629</v>
      </c>
      <c r="BM476" s="15" t="n">
        <f aca="false">(BM475)+Y476</f>
        <v>-1357551.12832526</v>
      </c>
      <c r="BN476" s="15" t="n">
        <f aca="false">(BN475)+AW476+AX476+AZ476</f>
        <v>1365707.01629444</v>
      </c>
      <c r="BO476" s="15" t="n">
        <f aca="false">(BO475)+AY476</f>
        <v>0</v>
      </c>
      <c r="BP476" s="15" t="n">
        <f aca="false">0</f>
        <v>0</v>
      </c>
      <c r="BQ476" s="15" t="n">
        <f aca="false">BN476+BM476-BO476</f>
        <v>8155.88796918793</v>
      </c>
      <c r="BR476" s="15" t="n">
        <f aca="false">BH476+AD476+BL476+MAX(0,-AM476)+MAX(0,-AR476)+AG476</f>
        <v>619857.529378773</v>
      </c>
      <c r="BS476" s="15" t="n">
        <f aca="false">AJ476+AV476+MAX(0,AM476)+MAX(0,AR476)+BC476+BG476+BQ476</f>
        <v>619857.529378774</v>
      </c>
      <c r="BT476" s="15" t="n">
        <f aca="false">BR476-BS476</f>
        <v>0</v>
      </c>
      <c r="BU476" s="15" t="n">
        <f aca="false">BH476-(BD476+BE476-BF476-AY476)</f>
        <v>0</v>
      </c>
      <c r="BV476" s="15" t="n">
        <f aca="false">MIN(Piano_SS!$C$6,(BV475)+IF(AND(Motore_Operativo!C476&gt;=EDATE(Parametri_v3!$C$24,Ipotesi!J14*12),Motore_Operativo!C476&lt;EDATE(Parametri_v3!$C$24,Parametri_v3!$C$25+Ipotesi!J14*12)),MAX(0,(Motore_Operativo!Y476+Motore_Operativo!X476*Parametri_v3!$C$14)*(1-Parametri_v3!$C$32))*Piano_SS!$D$6,0))</f>
        <v>300000</v>
      </c>
      <c r="BW476" s="15" t="n">
        <f aca="false">MIN(Piano_SS!$C$7,(BW475)+IF(AND(Motore_Operativo!C476&gt;=EDATE(Parametri_v3!$C$24,Ipotesi!J14*12),Motore_Operativo!C476&lt;EDATE(Parametri_v3!$C$24,Parametri_v3!$C$25+Ipotesi!J14*12)),MAX(0,(IF(52-(INT((Ipotesi!$C$91)/30))&lt;1,0,INDEX(Motore_Operativo!$BN$425:$BN$484,MAX(1,52-(INT((Ipotesi!$C$91)/30)))))*(1-(MOD((Ipotesi!$C$91),30)/30))+IF(52-(INT((Ipotesi!$C$91)/30))-1&lt;1,0,INDEX(Motore_Operativo!$BN$425:$BN$484,MAX(1,52-(INT((Ipotesi!$C$91)/30))-1)))*(MOD((Ipotesi!$C$91),30)/30)))*Piano_SS!$D$7,0))</f>
        <v>41058.9230070837</v>
      </c>
      <c r="BX476" s="15" t="n">
        <f aca="false">MIN(Piano_SS!$C$8,(BX475)+IF(AND(Motore_Operativo!C476&gt;=EDATE(Parametri_v3!$C$24,Ipotesi!J14*12),Motore_Operativo!C476&lt;EDATE(Parametri_v3!$C$24,Parametri_v3!$C$25+Ipotesi!J14*12)),MAX(0,Motore_Operativo!CE476)*Piano_SS!$D$8,0))</f>
        <v>50000</v>
      </c>
      <c r="BY476" s="15" t="n">
        <f aca="false">MIN(Piano_SS!$C$9,(BY475)+IF(AND(Motore_Operativo!C476&gt;=EDATE(Parametri_v3!$C$24,Ipotesi!J14*12),Motore_Operativo!C476&lt;EDATE(Parametri_v3!$C$24,Parametri_v3!$C$25+Ipotesi!J14*12)),MAX(0,((IF(52-(INT((Ipotesi!$C$91)/30))&lt;1,0,INDEX(Motore_Operativo!$BQ$425:$BQ$484,MAX(1,52-(INT((Ipotesi!$C$91)/30)))))*(1-(MOD((Ipotesi!$C$91),30)/30))+IF(52-(INT((Ipotesi!$C$91)/30))-1&lt;1,0,INDEX(Motore_Operativo!$BQ$425:$BQ$484,MAX(1,52-(INT((Ipotesi!$C$91)/30))-1)))*(MOD((Ipotesi!$C$91),30)/30))+(IF(52-(INT((Ipotesi!$C$91)/30))&lt;1,0,INDEX(Motore_Operativo!$BR$425:$BR$484,MAX(1,52-(INT((Ipotesi!$C$91)/30)))))*(1-(MOD((Ipotesi!$C$91),30)/30))+IF(52-(INT((Ipotesi!$C$91)/30))-1&lt;1,0,INDEX(Motore_Operativo!$BR$425:$BR$484,MAX(1,52-(INT((Ipotesi!$C$91)/30))-1)))*(MOD((Ipotesi!$C$91),30)/30))))*Piano_SS!$D$9,0))</f>
        <v>40000</v>
      </c>
      <c r="BZ476" s="15" t="n">
        <f aca="false">MIN(Piano_SS!$C$10,(BZ475)+IF(AND(Motore_Operativo!C476&gt;=EDATE(Parametri_v3!$C$24,Ipotesi!J14*12),Motore_Operativo!C476&lt;EDATE(Parametri_v3!$C$24,Parametri_v3!$C$25+Ipotesi!J14*12)),MAX(0,(IF(52-(INT((Ipotesi!$C$91)/30))&lt;1,0,INDEX(Motore_Operativo!$BO$425:$BO$484,MAX(1,52-(INT((Ipotesi!$C$91)/30)))))*(1-(MOD((Ipotesi!$C$91),30)/30))+IF(52-(INT((Ipotesi!$C$91)/30))-1&lt;1,0,INDEX(Motore_Operativo!$BO$425:$BO$484,MAX(1,52-(INT((Ipotesi!$C$91)/30))-1)))*(MOD((Ipotesi!$C$91),30)/30)))*Piano_SS!$D$10,0))</f>
        <v>30000</v>
      </c>
      <c r="CA476" s="15" t="n">
        <f aca="false">SUM(BV476:BZ476)</f>
        <v>461058.923007084</v>
      </c>
      <c r="CB476" s="15" t="n">
        <f aca="false">BV476*(1-Piano_SS!$E$6)+BW476*(1-Piano_SS!$E$7)+BX476*(1-Piano_SS!$E$8)+BY476*(1-Piano_SS!$E$9)+BZ476*(1-Piano_SS!$E$10)</f>
        <v>431058.923007084</v>
      </c>
      <c r="CC476" s="15" t="n">
        <f aca="false">(CC475)+BA476</f>
        <v>368847.138405667</v>
      </c>
      <c r="CD476" s="15" t="n">
        <f aca="false">IF(CA476=0,0,CC476*CB476/CA476*Ipotesi!$C$103*Parametri_v3!$C$64)</f>
        <v>103454.1415217</v>
      </c>
      <c r="CE476" s="18" t="n">
        <f aca="false">IF(BA476&gt;0,Motore_Operativo!C476,(CE475))</f>
        <v>47270</v>
      </c>
      <c r="CF476" s="18" t="n">
        <f aca="false">IF(AND(CC476&gt;0,OR(CC476&gt;=CG476-0.01,Motore_Operativo!C476&gt;=EDATE(MAX(Finanziamenti!$D$15:$D$17),Ipotesi!J14*12))),CE476,0)</f>
        <v>47270</v>
      </c>
      <c r="CG476" s="15" t="n">
        <f aca="false">IF(AND(8&lt;&gt;6,8&lt;&gt;9,Finanziamenti!$F$11=1,OR(Parametri_v3!$C$6=0,Finanziamenti!$E$11=1)),MIN(Finanziamenti!$C$11,Piano_SS!$C$12*Ipotesi!$C$102),0)</f>
        <v>400000</v>
      </c>
      <c r="CH476" s="15" t="n">
        <f aca="false">IF(AND(AND(8&lt;&gt;8,8&lt;&gt;9,Finanziamenti!$F$10=1,OR(Parametri_v3!$C$6=0,Finanziamenti!$E$10=1)),Motore_Operativo!C476&gt;=Finanziamenti!$D$10,Motore_Operativo!C476&lt;Parametri_v3!$C$63),Finanziamenti!$C$10,0)</f>
        <v>0</v>
      </c>
    </row>
    <row r="477" customFormat="false" ht="18" hidden="false" customHeight="true" outlineLevel="0" collapsed="false">
      <c r="A477" s="68" t="n">
        <f aca="false">8</f>
        <v>8</v>
      </c>
      <c r="B477" s="68" t="n">
        <f aca="false">53</f>
        <v>53</v>
      </c>
      <c r="C477" s="18" t="n">
        <f aca="false">Motore_Operativo!C477</f>
        <v>47969</v>
      </c>
      <c r="D477" s="68" t="n">
        <f aca="false">Motore_Operativo!D477</f>
        <v>2031</v>
      </c>
      <c r="E477" s="68" t="n">
        <f aca="false">Motore_Operativo!E477</f>
        <v>5</v>
      </c>
      <c r="F477" s="15" t="n">
        <f aca="false">Motore_Operativo!AQ477+Motore_Operativo!BF477</f>
        <v>182994.354234665</v>
      </c>
      <c r="G477" s="15" t="n">
        <f aca="false">Motore_Operativo!BH477</f>
        <v>11595.8333333333</v>
      </c>
      <c r="H477" s="15" t="n">
        <f aca="false">Motore_Operativo!BI477</f>
        <v>194590.187567998</v>
      </c>
      <c r="I477" s="15" t="n">
        <f aca="false">Motore_Operativo!CA477</f>
        <v>198278.579580353</v>
      </c>
      <c r="J477" s="15" t="n">
        <f aca="false">Motore_Operativo!CC477</f>
        <v>-3688.39201235518</v>
      </c>
      <c r="K477" s="15" t="n">
        <f aca="false">Motore_Operativo!CE477</f>
        <v>4166.66666666667</v>
      </c>
      <c r="L477" s="15" t="n">
        <f aca="false">SUM(INDEX($K$425:$K$484,MAX(1,53-Parametri_v3!$C$59+1)):K477)/Parametri_v3!$C$59</f>
        <v>2928.24074074074</v>
      </c>
      <c r="M477" s="15" t="n">
        <f aca="false">J477-L477</f>
        <v>-6616.63275309592</v>
      </c>
      <c r="N477" s="15" t="n">
        <f aca="false">CD477-(CD476)</f>
        <v>0</v>
      </c>
      <c r="O477" s="15" t="n">
        <f aca="false">(BG476)*Ipotesi!$C$110/12+CH477*Parametri_v3!$C$39/12</f>
        <v>0</v>
      </c>
      <c r="P477" s="15" t="n">
        <f aca="false">M477+N477-O477</f>
        <v>-6616.63275309592</v>
      </c>
      <c r="Q477" s="15" t="n">
        <f aca="false">SUM(P473:P477)+Parametri_v3!$C$54*5/12</f>
        <v>-59115.2963486874</v>
      </c>
      <c r="R477" s="15" t="n">
        <f aca="false">Z472</f>
        <v>997327.618759451</v>
      </c>
      <c r="S477" s="15" t="n">
        <f aca="false">AA472</f>
        <v>307724.845970214</v>
      </c>
      <c r="T477" s="15" t="n">
        <f aca="false">MIN(R477,MAX(0,Q477))</f>
        <v>0</v>
      </c>
      <c r="U477" s="15" t="n">
        <f aca="false">MIN(S477,MAX(0,Q477-T477)*Parametri_v3!$C$42)</f>
        <v>0</v>
      </c>
      <c r="V477" s="15" t="n">
        <f aca="false">MAX(0,Q477-T477-U477)*Ipotesi!$C$92</f>
        <v>0</v>
      </c>
      <c r="W477" s="15" t="n">
        <f aca="false">MAX(0,SUM(M473:M477)+Parametri_v3!$C$55*5/12)*Ipotesi!$C$93</f>
        <v>0</v>
      </c>
      <c r="X477" s="15" t="n">
        <f aca="false">V477+W477-(V476+W476)</f>
        <v>0</v>
      </c>
      <c r="Y477" s="15" t="n">
        <f aca="false">P477-X477</f>
        <v>-6616.63275309592</v>
      </c>
      <c r="Z477" s="15" t="n">
        <f aca="false">R477-T477+IF(AND(Parametri_v3!$C$40=1,D477-YEAR(Parametri_v3!$C$50)&lt;Parametri_v3!$C$41),MAX(0,-Q477),0)</f>
        <v>997327.618759451</v>
      </c>
      <c r="AA477" s="15" t="n">
        <f aca="false">S477-U477+IF(AND(Parametri_v3!$C$40=1,D477-YEAR(Parametri_v3!$C$50)&lt;Parametri_v3!$C$41),0,MAX(0,-Q477))</f>
        <v>366840.142318902</v>
      </c>
      <c r="AB477" s="15" t="n">
        <f aca="false">F477*(1+Parametri_v3!$C$26)</f>
        <v>223253.112166291</v>
      </c>
      <c r="AC477" s="15" t="n">
        <f aca="false">(IF(53-(INT((Motore_Operativo!L477)/30))&lt;1,0,INDEX(Motore_Startup!$AB$425:$AB$484,MAX(1,53-(INT((Motore_Operativo!L477)/30)))))*(1-(MOD((Motore_Operativo!L477),30)/30))+IF(53-(INT((Motore_Operativo!L477)/30))-1&lt;1,0,INDEX(Motore_Startup!$AB$425:$AB$484,MAX(1,53-(INT((Motore_Operativo!L477)/30))-1)))*(MOD((Motore_Operativo!L477),30)/30))</f>
        <v>212091.592022539</v>
      </c>
      <c r="AD477" s="15" t="n">
        <f aca="false">(AD476)+AB477-AC477</f>
        <v>657562.398903747</v>
      </c>
      <c r="AE477" s="15" t="n">
        <f aca="false">Motore_Operativo!BH477*(1+Parametri_v3!$C$26)</f>
        <v>14146.9166666667</v>
      </c>
      <c r="AF477" s="15" t="n">
        <f aca="false">(IF(53-(INT((Parametri_v3!$C$29)/30))&lt;1,0,INDEX(Motore_Operativo!$BH$425:$BH$484,MAX(1,53-(INT((Parametri_v3!$C$29)/30)))))*(1-(MOD((Parametri_v3!$C$29),30)/30))+IF(53-(INT((Parametri_v3!$C$29)/30))-1&lt;1,0,INDEX(Motore_Operativo!$BH$425:$BH$484,MAX(1,53-(INT((Parametri_v3!$C$29)/30))-1)))*(MOD((Parametri_v3!$C$29),30)/30))*(1+Parametri_v3!$C$26)</f>
        <v>14146.9166666667</v>
      </c>
      <c r="AG477" s="15" t="n">
        <f aca="false">(AG476)+AE477-AF477</f>
        <v>14146.9166666667</v>
      </c>
      <c r="AH477" s="15" t="n">
        <f aca="false">(Motore_Operativo!CJ477)*(1+Parametri_v3!$C$27*Parametri_v3!$C$26)</f>
        <v>93537.0852450499</v>
      </c>
      <c r="AI477" s="15" t="n">
        <f aca="false">(IF(53-(INT((Ipotesi!$C$91)/30))&lt;1,0,INDEX(Motore_Startup!$AH$425:$AH$484,MAX(1,53-(INT((Ipotesi!$C$91)/30)))))*(1-(MOD((Ipotesi!$C$91),30)/30))+IF(53-(INT((Ipotesi!$C$91)/30))-1&lt;1,0,INDEX(Motore_Startup!$AH$425:$AH$484,MAX(1,53-(INT((Ipotesi!$C$91)/30))-1)))*(MOD((Ipotesi!$C$91),30)/30))</f>
        <v>92452.8997186419</v>
      </c>
      <c r="AJ477" s="15" t="n">
        <f aca="false">(AJ476)+AH477-AI477</f>
        <v>186496.973156215</v>
      </c>
      <c r="AK477" s="15" t="n">
        <f aca="false">(F477+ Motore_Operativo!BH477-(Motore_Operativo!CJ477)*Parametri_v3!$C$27-Motore_Operativo!CE477)*Parametri_v3!$C$26</f>
        <v>27157.3406127627</v>
      </c>
      <c r="AL477" s="15" t="n">
        <f aca="false">MAX(0,(AM476))</f>
        <v>26484.1405450431</v>
      </c>
      <c r="AM477" s="15" t="n">
        <f aca="false">(AM476)+AK477-AL477</f>
        <v>27157.3406127627</v>
      </c>
      <c r="AN477" s="15" t="n">
        <f aca="false">SUM(X461:X472)</f>
        <v>0</v>
      </c>
      <c r="AO477" s="15" t="n">
        <f aca="false">SUM(AP461:AP472)</f>
        <v>0</v>
      </c>
      <c r="AP477" s="15" t="n">
        <f aca="false">MAX(0,AN477)*IF(5=Parametri_v3!$C$43,Parametri_v3!$C$45,IF(5=Parametri_v3!$C$44,1-Parametri_v3!$C$45,0))</f>
        <v>0</v>
      </c>
      <c r="AQ477" s="15" t="n">
        <f aca="false">MAX(0,AP477+IF(5=Parametri_v3!$C$43,MAX(0,AN477-AO477),0)-MAX(0,-(AR476)))</f>
        <v>0</v>
      </c>
      <c r="AR477" s="15" t="n">
        <f aca="false">(AR476)+X477-AQ477</f>
        <v>0</v>
      </c>
      <c r="AS477" s="15" t="n">
        <f aca="false">Motore_Operativo!AB477-AT477+AU477</f>
        <v>113503.461904792</v>
      </c>
      <c r="AT477" s="15" t="n">
        <f aca="false">Motore_Operativo!CH477</f>
        <v>5973.86641604167</v>
      </c>
      <c r="AU477" s="15" t="n">
        <f aca="false">MIN(MAX(0,(AV476)+AT477),Parametri_v3!$C$60/12)</f>
        <v>0</v>
      </c>
      <c r="AV477" s="15" t="n">
        <f aca="false">(AV476)+AT477-AU477</f>
        <v>166924.882455208</v>
      </c>
      <c r="AW477" s="15" t="n">
        <f aca="false">IF(AND(Motore_Operativo!C477=Finanziamenti!$D$6,Finanziamenti!$F$6=1),Finanziamenti!$C$6,0)</f>
        <v>0</v>
      </c>
      <c r="AX477" s="15" t="n">
        <f aca="false">IF(AND(8&lt;&gt;7,8&lt;&gt;9,Finanziamenti!$F$8=1,OR(Parametri_v3!$C$6=0,Finanziamenti!$E$8=1),Motore_Operativo!C477=EDATE(Finanziamenti!$D$8,Ipotesi!J15*12)),Finanziamenti!$C$8*1,0)+IF(AND(8&lt;&gt;7,8&lt;&gt;9,Finanziamenti!$F$9=1,OR(Parametri_v3!$C$6=0,Finanziamenti!$E$9=1),Motore_Operativo!C477=EDATE(Finanziamenti!$D$9,Ipotesi!J15*12)),Finanziamenti!$C$9*Ipotesi!J16,0)</f>
        <v>0</v>
      </c>
      <c r="AY477" s="15" t="n">
        <f aca="false">0</f>
        <v>0</v>
      </c>
      <c r="AZ477" s="15" t="n">
        <f aca="false">Motore_Advisory!AY477*(1-Ipotesi!$C$95)*Ipotesi!$C$96</f>
        <v>0</v>
      </c>
      <c r="BA477" s="15" t="n">
        <f aca="false">MAX(0,MIN(CG477*MIN(1,IF(Motore_Operativo!C477&gt;=EDATE(Finanziamenti!$D$15,Ipotesi!J14*12),Finanziamenti!$C$15,0)+IF(Motore_Operativo!C477&gt;=EDATE(Finanziamenti!$D$16,Ipotesi!J14*12),Finanziamenti!$C$16,0)+IF(Motore_Operativo!C477&gt;=EDATE(Finanziamenti!$D$17,Ipotesi!J14*12),Finanziamenti!$C$17,0)),CA477*Ipotesi!$C$102)-(CC476))</f>
        <v>0</v>
      </c>
      <c r="BB477" s="15" t="n">
        <f aca="false">IF(AND(CF477&gt;0,Motore_Operativo!C477&gt;=IF(CF477=0,0,EDATE(CF477,Parametri_v3!$C$37)),MOD(((D477-YEAR(IF(CF477=0,0,EDATE(CF477,Parametri_v3!$C$37))))*12+E477-MONTH(IF(CF477=0,0,EDATE(CF477,Parametri_v3!$C$37)))),Parametri_v3!$C$38)=0),MIN(MAX(0,(BC476)+BA477-N477),(CC477-CD477)/(Ipotesi!$C$108*12/Parametri_v3!$C$38)),0)</f>
        <v>0</v>
      </c>
      <c r="BC477" s="15" t="n">
        <f aca="false">(BC476)+BA477-N477-BB477</f>
        <v>238853.69719557</v>
      </c>
      <c r="BD477" s="15" t="n">
        <f aca="false">(BH476)+AC477+AF477-AI477-AS477-K477*(1+Parametri_v3!$C$26)-AL477-AQ477-O477+AW477+AX477+AZ477+BA477-BB477</f>
        <v>-108688.555823456</v>
      </c>
      <c r="BE477" s="15" t="n">
        <f aca="false">MAX(0,MIN(MAX(0,CH477-(BG476)),Parametri_v3!$C$30-BD477))</f>
        <v>0</v>
      </c>
      <c r="BF477" s="15" t="n">
        <f aca="false">IF(Motore_Operativo!C477&gt;=Parametri_v3!$C$63,(BG476),MIN((BG476),MAX(0,BD477-Parametri_v3!$C$30)))</f>
        <v>0</v>
      </c>
      <c r="BG477" s="15" t="n">
        <f aca="false">(BG476)+BE477-BF477</f>
        <v>0</v>
      </c>
      <c r="BH477" s="15" t="n">
        <f aca="false">BD477+BE477-BF477-AY477</f>
        <v>-108688.555823456</v>
      </c>
      <c r="BI477" s="15" t="n">
        <f aca="false">MAX(0,Parametri_v3!$C$30-BH477)</f>
        <v>133688.555823456</v>
      </c>
      <c r="BJ477" s="15" t="n">
        <f aca="false">(BJ476)+K477</f>
        <v>135833.333333333</v>
      </c>
      <c r="BK477" s="15" t="n">
        <f aca="false">(BK476)+L477</f>
        <v>77881.9444444445</v>
      </c>
      <c r="BL477" s="15" t="n">
        <f aca="false">BJ477-BK477</f>
        <v>57951.3888888888</v>
      </c>
      <c r="BM477" s="15" t="n">
        <f aca="false">(BM476)+Y477</f>
        <v>-1364167.76107835</v>
      </c>
      <c r="BN477" s="15" t="n">
        <f aca="false">(BN476)+AW477+AX477+AZ477</f>
        <v>1365707.01629444</v>
      </c>
      <c r="BO477" s="15" t="n">
        <f aca="false">(BO476)+AY477</f>
        <v>0</v>
      </c>
      <c r="BP477" s="15" t="n">
        <f aca="false">0</f>
        <v>0</v>
      </c>
      <c r="BQ477" s="15" t="n">
        <f aca="false">BN477+BM477-BO477</f>
        <v>1539.2552160921</v>
      </c>
      <c r="BR477" s="15" t="n">
        <f aca="false">BH477+AD477+BL477+MAX(0,-AM477)+MAX(0,-AR477)+AG477</f>
        <v>620972.148635847</v>
      </c>
      <c r="BS477" s="15" t="n">
        <f aca="false">AJ477+AV477+MAX(0,AM477)+MAX(0,AR477)+BC477+BG477+BQ477</f>
        <v>620972.148635848</v>
      </c>
      <c r="BT477" s="15" t="n">
        <f aca="false">BR477-BS477</f>
        <v>0</v>
      </c>
      <c r="BU477" s="15" t="n">
        <f aca="false">BH477-(BD477+BE477-BF477-AY477)</f>
        <v>0</v>
      </c>
      <c r="BV477" s="15" t="n">
        <f aca="false">MIN(Piano_SS!$C$6,(BV476)+IF(AND(Motore_Operativo!C477&gt;=EDATE(Parametri_v3!$C$24,Ipotesi!J14*12),Motore_Operativo!C477&lt;EDATE(Parametri_v3!$C$24,Parametri_v3!$C$25+Ipotesi!J14*12)),MAX(0,(Motore_Operativo!Y477+Motore_Operativo!X477*Parametri_v3!$C$14)*(1-Parametri_v3!$C$32))*Piano_SS!$D$6,0))</f>
        <v>300000</v>
      </c>
      <c r="BW477" s="15" t="n">
        <f aca="false">MIN(Piano_SS!$C$7,(BW476)+IF(AND(Motore_Operativo!C477&gt;=EDATE(Parametri_v3!$C$24,Ipotesi!J14*12),Motore_Operativo!C477&lt;EDATE(Parametri_v3!$C$24,Parametri_v3!$C$25+Ipotesi!J14*12)),MAX(0,(IF(53-(INT((Ipotesi!$C$91)/30))&lt;1,0,INDEX(Motore_Operativo!$BN$425:$BN$484,MAX(1,53-(INT((Ipotesi!$C$91)/30)))))*(1-(MOD((Ipotesi!$C$91),30)/30))+IF(53-(INT((Ipotesi!$C$91)/30))-1&lt;1,0,INDEX(Motore_Operativo!$BN$425:$BN$484,MAX(1,53-(INT((Ipotesi!$C$91)/30))-1)))*(MOD((Ipotesi!$C$91),30)/30)))*Piano_SS!$D$7,0))</f>
        <v>41058.9230070837</v>
      </c>
      <c r="BX477" s="15" t="n">
        <f aca="false">MIN(Piano_SS!$C$8,(BX476)+IF(AND(Motore_Operativo!C477&gt;=EDATE(Parametri_v3!$C$24,Ipotesi!J14*12),Motore_Operativo!C477&lt;EDATE(Parametri_v3!$C$24,Parametri_v3!$C$25+Ipotesi!J14*12)),MAX(0,Motore_Operativo!CE477)*Piano_SS!$D$8,0))</f>
        <v>50000</v>
      </c>
      <c r="BY477" s="15" t="n">
        <f aca="false">MIN(Piano_SS!$C$9,(BY476)+IF(AND(Motore_Operativo!C477&gt;=EDATE(Parametri_v3!$C$24,Ipotesi!J14*12),Motore_Operativo!C477&lt;EDATE(Parametri_v3!$C$24,Parametri_v3!$C$25+Ipotesi!J14*12)),MAX(0,((IF(53-(INT((Ipotesi!$C$91)/30))&lt;1,0,INDEX(Motore_Operativo!$BQ$425:$BQ$484,MAX(1,53-(INT((Ipotesi!$C$91)/30)))))*(1-(MOD((Ipotesi!$C$91),30)/30))+IF(53-(INT((Ipotesi!$C$91)/30))-1&lt;1,0,INDEX(Motore_Operativo!$BQ$425:$BQ$484,MAX(1,53-(INT((Ipotesi!$C$91)/30))-1)))*(MOD((Ipotesi!$C$91),30)/30))+(IF(53-(INT((Ipotesi!$C$91)/30))&lt;1,0,INDEX(Motore_Operativo!$BR$425:$BR$484,MAX(1,53-(INT((Ipotesi!$C$91)/30)))))*(1-(MOD((Ipotesi!$C$91),30)/30))+IF(53-(INT((Ipotesi!$C$91)/30))-1&lt;1,0,INDEX(Motore_Operativo!$BR$425:$BR$484,MAX(1,53-(INT((Ipotesi!$C$91)/30))-1)))*(MOD((Ipotesi!$C$91),30)/30))))*Piano_SS!$D$9,0))</f>
        <v>40000</v>
      </c>
      <c r="BZ477" s="15" t="n">
        <f aca="false">MIN(Piano_SS!$C$10,(BZ476)+IF(AND(Motore_Operativo!C477&gt;=EDATE(Parametri_v3!$C$24,Ipotesi!J14*12),Motore_Operativo!C477&lt;EDATE(Parametri_v3!$C$24,Parametri_v3!$C$25+Ipotesi!J14*12)),MAX(0,(IF(53-(INT((Ipotesi!$C$91)/30))&lt;1,0,INDEX(Motore_Operativo!$BO$425:$BO$484,MAX(1,53-(INT((Ipotesi!$C$91)/30)))))*(1-(MOD((Ipotesi!$C$91),30)/30))+IF(53-(INT((Ipotesi!$C$91)/30))-1&lt;1,0,INDEX(Motore_Operativo!$BO$425:$BO$484,MAX(1,53-(INT((Ipotesi!$C$91)/30))-1)))*(MOD((Ipotesi!$C$91),30)/30)))*Piano_SS!$D$10,0))</f>
        <v>30000</v>
      </c>
      <c r="CA477" s="15" t="n">
        <f aca="false">SUM(BV477:BZ477)</f>
        <v>461058.923007084</v>
      </c>
      <c r="CB477" s="15" t="n">
        <f aca="false">BV477*(1-Piano_SS!$E$6)+BW477*(1-Piano_SS!$E$7)+BX477*(1-Piano_SS!$E$8)+BY477*(1-Piano_SS!$E$9)+BZ477*(1-Piano_SS!$E$10)</f>
        <v>431058.923007084</v>
      </c>
      <c r="CC477" s="15" t="n">
        <f aca="false">(CC476)+BA477</f>
        <v>368847.138405667</v>
      </c>
      <c r="CD477" s="15" t="n">
        <f aca="false">IF(CA477=0,0,CC477*CB477/CA477*Ipotesi!$C$103*Parametri_v3!$C$64)</f>
        <v>103454.1415217</v>
      </c>
      <c r="CE477" s="18" t="n">
        <f aca="false">IF(BA477&gt;0,Motore_Operativo!C477,(CE476))</f>
        <v>47270</v>
      </c>
      <c r="CF477" s="18" t="n">
        <f aca="false">IF(AND(CC477&gt;0,OR(CC477&gt;=CG477-0.01,Motore_Operativo!C477&gt;=EDATE(MAX(Finanziamenti!$D$15:$D$17),Ipotesi!J14*12))),CE477,0)</f>
        <v>47270</v>
      </c>
      <c r="CG477" s="15" t="n">
        <f aca="false">IF(AND(8&lt;&gt;6,8&lt;&gt;9,Finanziamenti!$F$11=1,OR(Parametri_v3!$C$6=0,Finanziamenti!$E$11=1)),MIN(Finanziamenti!$C$11,Piano_SS!$C$12*Ipotesi!$C$102),0)</f>
        <v>400000</v>
      </c>
      <c r="CH477" s="15" t="n">
        <f aca="false">IF(AND(AND(8&lt;&gt;8,8&lt;&gt;9,Finanziamenti!$F$10=1,OR(Parametri_v3!$C$6=0,Finanziamenti!$E$10=1)),Motore_Operativo!C477&gt;=Finanziamenti!$D$10,Motore_Operativo!C477&lt;Parametri_v3!$C$63),Finanziamenti!$C$10,0)</f>
        <v>0</v>
      </c>
    </row>
    <row r="478" customFormat="false" ht="18" hidden="false" customHeight="true" outlineLevel="0" collapsed="false">
      <c r="A478" s="68" t="n">
        <f aca="false">8</f>
        <v>8</v>
      </c>
      <c r="B478" s="68" t="n">
        <f aca="false">54</f>
        <v>54</v>
      </c>
      <c r="C478" s="18" t="n">
        <f aca="false">Motore_Operativo!C478</f>
        <v>48000</v>
      </c>
      <c r="D478" s="68" t="n">
        <f aca="false">Motore_Operativo!D478</f>
        <v>2031</v>
      </c>
      <c r="E478" s="68" t="n">
        <f aca="false">Motore_Operativo!E478</f>
        <v>6</v>
      </c>
      <c r="F478" s="15" t="n">
        <f aca="false">Motore_Operativo!AQ478+Motore_Operativo!BF478</f>
        <v>186437.317884613</v>
      </c>
      <c r="G478" s="15" t="n">
        <f aca="false">Motore_Operativo!BH478</f>
        <v>11595.8333333333</v>
      </c>
      <c r="H478" s="15" t="n">
        <f aca="false">Motore_Operativo!BI478</f>
        <v>198033.151217946</v>
      </c>
      <c r="I478" s="15" t="n">
        <f aca="false">Motore_Operativo!CA478</f>
        <v>198760.594491346</v>
      </c>
      <c r="J478" s="15" t="n">
        <f aca="false">Motore_Operativo!CC478</f>
        <v>-727.443273399869</v>
      </c>
      <c r="K478" s="15" t="n">
        <f aca="false">Motore_Operativo!CE478</f>
        <v>4166.66666666667</v>
      </c>
      <c r="L478" s="15" t="n">
        <f aca="false">SUM(INDEX($K$425:$K$484,MAX(1,54-Parametri_v3!$C$59+1)):K478)/Parametri_v3!$C$59</f>
        <v>2986.11111111111</v>
      </c>
      <c r="M478" s="15" t="n">
        <f aca="false">J478-L478</f>
        <v>-3713.55438451098</v>
      </c>
      <c r="N478" s="15" t="n">
        <f aca="false">CD478-(CD477)</f>
        <v>0</v>
      </c>
      <c r="O478" s="15" t="n">
        <f aca="false">(BG477)*Ipotesi!$C$110/12+CH478*Parametri_v3!$C$39/12</f>
        <v>0</v>
      </c>
      <c r="P478" s="15" t="n">
        <f aca="false">M478+N478-O478</f>
        <v>-3713.55438451098</v>
      </c>
      <c r="Q478" s="15" t="n">
        <f aca="false">SUM(P473:P478)+Parametri_v3!$C$54*6/12</f>
        <v>-62828.8507331984</v>
      </c>
      <c r="R478" s="15" t="n">
        <f aca="false">Z472</f>
        <v>997327.618759451</v>
      </c>
      <c r="S478" s="15" t="n">
        <f aca="false">AA472</f>
        <v>307724.845970214</v>
      </c>
      <c r="T478" s="15" t="n">
        <f aca="false">MIN(R478,MAX(0,Q478))</f>
        <v>0</v>
      </c>
      <c r="U478" s="15" t="n">
        <f aca="false">MIN(S478,MAX(0,Q478-T478)*Parametri_v3!$C$42)</f>
        <v>0</v>
      </c>
      <c r="V478" s="15" t="n">
        <f aca="false">MAX(0,Q478-T478-U478)*Ipotesi!$C$92</f>
        <v>0</v>
      </c>
      <c r="W478" s="15" t="n">
        <f aca="false">MAX(0,SUM(M473:M478)+Parametri_v3!$C$55*6/12)*Ipotesi!$C$93</f>
        <v>0</v>
      </c>
      <c r="X478" s="15" t="n">
        <f aca="false">V478+W478-(V477+W477)</f>
        <v>0</v>
      </c>
      <c r="Y478" s="15" t="n">
        <f aca="false">P478-X478</f>
        <v>-3713.55438451098</v>
      </c>
      <c r="Z478" s="15" t="n">
        <f aca="false">R478-T478+IF(AND(Parametri_v3!$C$40=1,D478-YEAR(Parametri_v3!$C$50)&lt;Parametri_v3!$C$41),MAX(0,-Q478),0)</f>
        <v>997327.618759451</v>
      </c>
      <c r="AA478" s="15" t="n">
        <f aca="false">S478-U478+IF(AND(Parametri_v3!$C$40=1,D478-YEAR(Parametri_v3!$C$50)&lt;Parametri_v3!$C$41),0,MAX(0,-Q478))</f>
        <v>370553.696703413</v>
      </c>
      <c r="AB478" s="15" t="n">
        <f aca="false">F478*(1+Parametri_v3!$C$26)</f>
        <v>227453.527819227</v>
      </c>
      <c r="AC478" s="15" t="n">
        <f aca="false">(IF(54-(INT((Motore_Operativo!L478)/30))&lt;1,0,INDEX(Motore_Startup!$AB$425:$AB$484,MAX(1,54-(INT((Motore_Operativo!L478)/30)))))*(1-(MOD((Motore_Operativo!L478),30)/30))+IF(54-(INT((Motore_Operativo!L478)/30))-1&lt;1,0,INDEX(Motore_Startup!$AB$425:$AB$484,MAX(1,54-(INT((Motore_Operativo!L478)/30))-1)))*(MOD((Motore_Operativo!L478),30)/30))</f>
        <v>215293.63243216</v>
      </c>
      <c r="AD478" s="15" t="n">
        <f aca="false">(AD477)+AB478-AC478</f>
        <v>669722.294290815</v>
      </c>
      <c r="AE478" s="15" t="n">
        <f aca="false">Motore_Operativo!BH478*(1+Parametri_v3!$C$26)</f>
        <v>14146.9166666667</v>
      </c>
      <c r="AF478" s="15" t="n">
        <f aca="false">(IF(54-(INT((Parametri_v3!$C$29)/30))&lt;1,0,INDEX(Motore_Operativo!$BH$425:$BH$484,MAX(1,54-(INT((Parametri_v3!$C$29)/30)))))*(1-(MOD((Parametri_v3!$C$29),30)/30))+IF(54-(INT((Parametri_v3!$C$29)/30))-1&lt;1,0,INDEX(Motore_Operativo!$BH$425:$BH$484,MAX(1,54-(INT((Parametri_v3!$C$29)/30))-1)))*(MOD((Parametri_v3!$C$29),30)/30))*(1+Parametri_v3!$C$26)</f>
        <v>14146.9166666667</v>
      </c>
      <c r="AG478" s="15" t="n">
        <f aca="false">(AG477)+AE478-AF478</f>
        <v>14146.9166666667</v>
      </c>
      <c r="AH478" s="15" t="n">
        <f aca="false">(Motore_Operativo!CJ478)*(1+Parametri_v3!$C$27*Parametri_v3!$C$26)</f>
        <v>94109.2369443983</v>
      </c>
      <c r="AI478" s="15" t="n">
        <f aca="false">(IF(54-(INT((Ipotesi!$C$91)/30))&lt;1,0,INDEX(Motore_Startup!$AH$425:$AH$484,MAX(1,54-(INT((Ipotesi!$C$91)/30)))))*(1-(MOD((Ipotesi!$C$91),30)/30))+IF(54-(INT((Ipotesi!$C$91)/30))-1&lt;1,0,INDEX(Motore_Startup!$AH$425:$AH$484,MAX(1,54-(INT((Ipotesi!$C$91)/30))-1)))*(MOD((Ipotesi!$C$91),30)/30))</f>
        <v>92959.8879111646</v>
      </c>
      <c r="AJ478" s="15" t="n">
        <f aca="false">(AJ477)+AH478-AI478</f>
        <v>187646.322189448</v>
      </c>
      <c r="AK478" s="15" t="n">
        <f aca="false">(F478+ Motore_Operativo!BH478-(Motore_Operativo!CJ478)*Parametri_v3!$C$27-Motore_Operativo!CE478)*Parametri_v3!$C$26</f>
        <v>27824.6558273956</v>
      </c>
      <c r="AL478" s="15" t="n">
        <f aca="false">MAX(0,(AM477))</f>
        <v>27157.3406127627</v>
      </c>
      <c r="AM478" s="15" t="n">
        <f aca="false">(AM477)+AK478-AL478</f>
        <v>27824.6558273956</v>
      </c>
      <c r="AN478" s="15" t="n">
        <f aca="false">SUM(X461:X472)</f>
        <v>0</v>
      </c>
      <c r="AO478" s="15" t="n">
        <f aca="false">SUM(AP461:AP472)</f>
        <v>0</v>
      </c>
      <c r="AP478" s="15" t="n">
        <f aca="false">MAX(0,AN478)*IF(6=Parametri_v3!$C$43,Parametri_v3!$C$45,IF(6=Parametri_v3!$C$44,1-Parametri_v3!$C$45,0))</f>
        <v>0</v>
      </c>
      <c r="AQ478" s="15" t="n">
        <f aca="false">MAX(0,AP478+IF(6=Parametri_v3!$C$43,MAX(0,AN478-AO478),0)-MAX(0,-(AR477)))</f>
        <v>0</v>
      </c>
      <c r="AR478" s="15" t="n">
        <f aca="false">(AR477)+X478-AQ478</f>
        <v>0</v>
      </c>
      <c r="AS478" s="15" t="n">
        <f aca="false">Motore_Operativo!AB478-AT478+AU478</f>
        <v>113503.461904792</v>
      </c>
      <c r="AT478" s="15" t="n">
        <f aca="false">Motore_Operativo!CH478</f>
        <v>5973.86641604167</v>
      </c>
      <c r="AU478" s="15" t="n">
        <f aca="false">MIN(MAX(0,(AV477)+AT478),Parametri_v3!$C$60/12)</f>
        <v>0</v>
      </c>
      <c r="AV478" s="15" t="n">
        <f aca="false">(AV477)+AT478-AU478</f>
        <v>172898.74887125</v>
      </c>
      <c r="AW478" s="15" t="n">
        <f aca="false">IF(AND(Motore_Operativo!C478=Finanziamenti!$D$6,Finanziamenti!$F$6=1),Finanziamenti!$C$6,0)</f>
        <v>0</v>
      </c>
      <c r="AX478" s="15" t="n">
        <f aca="false">IF(AND(8&lt;&gt;7,8&lt;&gt;9,Finanziamenti!$F$8=1,OR(Parametri_v3!$C$6=0,Finanziamenti!$E$8=1),Motore_Operativo!C478=EDATE(Finanziamenti!$D$8,Ipotesi!J15*12)),Finanziamenti!$C$8*1,0)+IF(AND(8&lt;&gt;7,8&lt;&gt;9,Finanziamenti!$F$9=1,OR(Parametri_v3!$C$6=0,Finanziamenti!$E$9=1),Motore_Operativo!C478=EDATE(Finanziamenti!$D$9,Ipotesi!J15*12)),Finanziamenti!$C$9*Ipotesi!J16,0)</f>
        <v>0</v>
      </c>
      <c r="AY478" s="15" t="n">
        <f aca="false">0</f>
        <v>0</v>
      </c>
      <c r="AZ478" s="15" t="n">
        <f aca="false">Motore_Advisory!AY478*(1-Ipotesi!$C$95)*Ipotesi!$C$96</f>
        <v>69723.3931391231</v>
      </c>
      <c r="BA478" s="15" t="n">
        <f aca="false">MAX(0,MIN(CG478*MIN(1,IF(Motore_Operativo!C478&gt;=EDATE(Finanziamenti!$D$15,Ipotesi!J14*12),Finanziamenti!$C$15,0)+IF(Motore_Operativo!C478&gt;=EDATE(Finanziamenti!$D$16,Ipotesi!J14*12),Finanziamenti!$C$16,0)+IF(Motore_Operativo!C478&gt;=EDATE(Finanziamenti!$D$17,Ipotesi!J14*12),Finanziamenti!$C$17,0)),CA478*Ipotesi!$C$102)-(CC477))</f>
        <v>0</v>
      </c>
      <c r="BB478" s="15" t="n">
        <f aca="false">IF(AND(CF478&gt;0,Motore_Operativo!C478&gt;=IF(CF478=0,0,EDATE(CF478,Parametri_v3!$C$37)),MOD(((D478-YEAR(IF(CF478=0,0,EDATE(CF478,Parametri_v3!$C$37))))*12+E478-MONTH(IF(CF478=0,0,EDATE(CF478,Parametri_v3!$C$37)))),Parametri_v3!$C$38)=0),MIN(MAX(0,(BC477)+BA478-N478),(CC478-CD478)/(Ipotesi!$C$108*12/Parametri_v3!$C$38)),0)</f>
        <v>13269.6498441983</v>
      </c>
      <c r="BC478" s="15" t="n">
        <f aca="false">(BC477)+BA478-N478-BB478</f>
        <v>225584.047351372</v>
      </c>
      <c r="BD478" s="15" t="n">
        <f aca="false">(BH477)+AC478+AF478-AI478-AS478-K478*(1+Parametri_v3!$C$26)-AL478-AQ478-O478+AW478+AX478+AZ478+BA478-BB478</f>
        <v>-61498.2871917568</v>
      </c>
      <c r="BE478" s="15" t="n">
        <f aca="false">MAX(0,MIN(MAX(0,CH478-(BG477)),Parametri_v3!$C$30-BD478))</f>
        <v>0</v>
      </c>
      <c r="BF478" s="15" t="n">
        <f aca="false">IF(Motore_Operativo!C478&gt;=Parametri_v3!$C$63,(BG477),MIN((BG477),MAX(0,BD478-Parametri_v3!$C$30)))</f>
        <v>0</v>
      </c>
      <c r="BG478" s="15" t="n">
        <f aca="false">(BG477)+BE478-BF478</f>
        <v>0</v>
      </c>
      <c r="BH478" s="15" t="n">
        <f aca="false">BD478+BE478-BF478-AY478</f>
        <v>-61498.2871917568</v>
      </c>
      <c r="BI478" s="15" t="n">
        <f aca="false">MAX(0,Parametri_v3!$C$30-BH478)</f>
        <v>86498.2871917568</v>
      </c>
      <c r="BJ478" s="15" t="n">
        <f aca="false">(BJ477)+K478</f>
        <v>140000</v>
      </c>
      <c r="BK478" s="15" t="n">
        <f aca="false">(BK477)+L478</f>
        <v>80868.0555555556</v>
      </c>
      <c r="BL478" s="15" t="n">
        <f aca="false">BJ478-BK478</f>
        <v>59131.9444444444</v>
      </c>
      <c r="BM478" s="15" t="n">
        <f aca="false">(BM477)+Y478</f>
        <v>-1367881.31546286</v>
      </c>
      <c r="BN478" s="15" t="n">
        <f aca="false">(BN477)+AW478+AX478+AZ478</f>
        <v>1435430.40943357</v>
      </c>
      <c r="BO478" s="15" t="n">
        <f aca="false">(BO477)+AY478</f>
        <v>0</v>
      </c>
      <c r="BP478" s="15" t="n">
        <f aca="false">0</f>
        <v>0</v>
      </c>
      <c r="BQ478" s="15" t="n">
        <f aca="false">BN478+BM478-BO478</f>
        <v>67549.0939707041</v>
      </c>
      <c r="BR478" s="15" t="n">
        <f aca="false">BH478+AD478+BL478+MAX(0,-AM478)+MAX(0,-AR478)+AG478</f>
        <v>681502.868210169</v>
      </c>
      <c r="BS478" s="15" t="n">
        <f aca="false">AJ478+AV478+MAX(0,AM478)+MAX(0,AR478)+BC478+BG478+BQ478</f>
        <v>681502.86821017</v>
      </c>
      <c r="BT478" s="15" t="n">
        <f aca="false">BR478-BS478</f>
        <v>0</v>
      </c>
      <c r="BU478" s="15" t="n">
        <f aca="false">BH478-(BD478+BE478-BF478-AY478)</f>
        <v>0</v>
      </c>
      <c r="BV478" s="15" t="n">
        <f aca="false">MIN(Piano_SS!$C$6,(BV477)+IF(AND(Motore_Operativo!C478&gt;=EDATE(Parametri_v3!$C$24,Ipotesi!J14*12),Motore_Operativo!C478&lt;EDATE(Parametri_v3!$C$24,Parametri_v3!$C$25+Ipotesi!J14*12)),MAX(0,(Motore_Operativo!Y478+Motore_Operativo!X478*Parametri_v3!$C$14)*(1-Parametri_v3!$C$32))*Piano_SS!$D$6,0))</f>
        <v>300000</v>
      </c>
      <c r="BW478" s="15" t="n">
        <f aca="false">MIN(Piano_SS!$C$7,(BW477)+IF(AND(Motore_Operativo!C478&gt;=EDATE(Parametri_v3!$C$24,Ipotesi!J14*12),Motore_Operativo!C478&lt;EDATE(Parametri_v3!$C$24,Parametri_v3!$C$25+Ipotesi!J14*12)),MAX(0,(IF(54-(INT((Ipotesi!$C$91)/30))&lt;1,0,INDEX(Motore_Operativo!$BN$425:$BN$484,MAX(1,54-(INT((Ipotesi!$C$91)/30)))))*(1-(MOD((Ipotesi!$C$91),30)/30))+IF(54-(INT((Ipotesi!$C$91)/30))-1&lt;1,0,INDEX(Motore_Operativo!$BN$425:$BN$484,MAX(1,54-(INT((Ipotesi!$C$91)/30))-1)))*(MOD((Ipotesi!$C$91),30)/30)))*Piano_SS!$D$7,0))</f>
        <v>41058.9230070837</v>
      </c>
      <c r="BX478" s="15" t="n">
        <f aca="false">MIN(Piano_SS!$C$8,(BX477)+IF(AND(Motore_Operativo!C478&gt;=EDATE(Parametri_v3!$C$24,Ipotesi!J14*12),Motore_Operativo!C478&lt;EDATE(Parametri_v3!$C$24,Parametri_v3!$C$25+Ipotesi!J14*12)),MAX(0,Motore_Operativo!CE478)*Piano_SS!$D$8,0))</f>
        <v>50000</v>
      </c>
      <c r="BY478" s="15" t="n">
        <f aca="false">MIN(Piano_SS!$C$9,(BY477)+IF(AND(Motore_Operativo!C478&gt;=EDATE(Parametri_v3!$C$24,Ipotesi!J14*12),Motore_Operativo!C478&lt;EDATE(Parametri_v3!$C$24,Parametri_v3!$C$25+Ipotesi!J14*12)),MAX(0,((IF(54-(INT((Ipotesi!$C$91)/30))&lt;1,0,INDEX(Motore_Operativo!$BQ$425:$BQ$484,MAX(1,54-(INT((Ipotesi!$C$91)/30)))))*(1-(MOD((Ipotesi!$C$91),30)/30))+IF(54-(INT((Ipotesi!$C$91)/30))-1&lt;1,0,INDEX(Motore_Operativo!$BQ$425:$BQ$484,MAX(1,54-(INT((Ipotesi!$C$91)/30))-1)))*(MOD((Ipotesi!$C$91),30)/30))+(IF(54-(INT((Ipotesi!$C$91)/30))&lt;1,0,INDEX(Motore_Operativo!$BR$425:$BR$484,MAX(1,54-(INT((Ipotesi!$C$91)/30)))))*(1-(MOD((Ipotesi!$C$91),30)/30))+IF(54-(INT((Ipotesi!$C$91)/30))-1&lt;1,0,INDEX(Motore_Operativo!$BR$425:$BR$484,MAX(1,54-(INT((Ipotesi!$C$91)/30))-1)))*(MOD((Ipotesi!$C$91),30)/30))))*Piano_SS!$D$9,0))</f>
        <v>40000</v>
      </c>
      <c r="BZ478" s="15" t="n">
        <f aca="false">MIN(Piano_SS!$C$10,(BZ477)+IF(AND(Motore_Operativo!C478&gt;=EDATE(Parametri_v3!$C$24,Ipotesi!J14*12),Motore_Operativo!C478&lt;EDATE(Parametri_v3!$C$24,Parametri_v3!$C$25+Ipotesi!J14*12)),MAX(0,(IF(54-(INT((Ipotesi!$C$91)/30))&lt;1,0,INDEX(Motore_Operativo!$BO$425:$BO$484,MAX(1,54-(INT((Ipotesi!$C$91)/30)))))*(1-(MOD((Ipotesi!$C$91),30)/30))+IF(54-(INT((Ipotesi!$C$91)/30))-1&lt;1,0,INDEX(Motore_Operativo!$BO$425:$BO$484,MAX(1,54-(INT((Ipotesi!$C$91)/30))-1)))*(MOD((Ipotesi!$C$91),30)/30)))*Piano_SS!$D$10,0))</f>
        <v>30000</v>
      </c>
      <c r="CA478" s="15" t="n">
        <f aca="false">SUM(BV478:BZ478)</f>
        <v>461058.923007084</v>
      </c>
      <c r="CB478" s="15" t="n">
        <f aca="false">BV478*(1-Piano_SS!$E$6)+BW478*(1-Piano_SS!$E$7)+BX478*(1-Piano_SS!$E$8)+BY478*(1-Piano_SS!$E$9)+BZ478*(1-Piano_SS!$E$10)</f>
        <v>431058.923007084</v>
      </c>
      <c r="CC478" s="15" t="n">
        <f aca="false">(CC477)+BA478</f>
        <v>368847.138405667</v>
      </c>
      <c r="CD478" s="15" t="n">
        <f aca="false">IF(CA478=0,0,CC478*CB478/CA478*Ipotesi!$C$103*Parametri_v3!$C$64)</f>
        <v>103454.1415217</v>
      </c>
      <c r="CE478" s="18" t="n">
        <f aca="false">IF(BA478&gt;0,Motore_Operativo!C478,(CE477))</f>
        <v>47270</v>
      </c>
      <c r="CF478" s="18" t="n">
        <f aca="false">IF(AND(CC478&gt;0,OR(CC478&gt;=CG478-0.01,Motore_Operativo!C478&gt;=EDATE(MAX(Finanziamenti!$D$15:$D$17),Ipotesi!J14*12))),CE478,0)</f>
        <v>47270</v>
      </c>
      <c r="CG478" s="15" t="n">
        <f aca="false">IF(AND(8&lt;&gt;6,8&lt;&gt;9,Finanziamenti!$F$11=1,OR(Parametri_v3!$C$6=0,Finanziamenti!$E$11=1)),MIN(Finanziamenti!$C$11,Piano_SS!$C$12*Ipotesi!$C$102),0)</f>
        <v>400000</v>
      </c>
      <c r="CH478" s="15" t="n">
        <f aca="false">IF(AND(AND(8&lt;&gt;8,8&lt;&gt;9,Finanziamenti!$F$10=1,OR(Parametri_v3!$C$6=0,Finanziamenti!$E$10=1)),Motore_Operativo!C478&gt;=Finanziamenti!$D$10,Motore_Operativo!C478&lt;Parametri_v3!$C$63),Finanziamenti!$C$10,0)</f>
        <v>0</v>
      </c>
    </row>
    <row r="479" customFormat="false" ht="18" hidden="false" customHeight="true" outlineLevel="0" collapsed="false">
      <c r="A479" s="68" t="n">
        <f aca="false">8</f>
        <v>8</v>
      </c>
      <c r="B479" s="68" t="n">
        <f aca="false">55</f>
        <v>55</v>
      </c>
      <c r="C479" s="18" t="n">
        <f aca="false">Motore_Operativo!C479</f>
        <v>48030</v>
      </c>
      <c r="D479" s="68" t="n">
        <f aca="false">Motore_Operativo!D479</f>
        <v>2031</v>
      </c>
      <c r="E479" s="68" t="n">
        <f aca="false">Motore_Operativo!E479</f>
        <v>7</v>
      </c>
      <c r="F479" s="15" t="n">
        <f aca="false">Motore_Operativo!AQ479+Motore_Operativo!BF479</f>
        <v>189850.184485802</v>
      </c>
      <c r="G479" s="15" t="n">
        <f aca="false">Motore_Operativo!BH479</f>
        <v>11595.8333333333</v>
      </c>
      <c r="H479" s="15" t="n">
        <f aca="false">Motore_Operativo!BI479</f>
        <v>201446.017819135</v>
      </c>
      <c r="I479" s="15" t="n">
        <f aca="false">Motore_Operativo!CA479</f>
        <v>199238.395815512</v>
      </c>
      <c r="J479" s="15" t="n">
        <f aca="false">Motore_Operativo!CC479</f>
        <v>2207.6220036227</v>
      </c>
      <c r="K479" s="15" t="n">
        <f aca="false">Motore_Operativo!CE479</f>
        <v>4166.66666666667</v>
      </c>
      <c r="L479" s="15" t="n">
        <f aca="false">SUM(INDEX($K$425:$K$484,MAX(1,55-Parametri_v3!$C$59+1)):K479)/Parametri_v3!$C$59</f>
        <v>3043.98148148148</v>
      </c>
      <c r="M479" s="15" t="n">
        <f aca="false">J479-L479</f>
        <v>-836.359477858779</v>
      </c>
      <c r="N479" s="15" t="n">
        <f aca="false">CD479-(CD478)</f>
        <v>0</v>
      </c>
      <c r="O479" s="15" t="n">
        <f aca="false">(BG478)*Ipotesi!$C$110/12+CH479*Parametri_v3!$C$39/12</f>
        <v>0</v>
      </c>
      <c r="P479" s="15" t="n">
        <f aca="false">M479+N479-O479</f>
        <v>-836.359477858779</v>
      </c>
      <c r="Q479" s="15" t="n">
        <f aca="false">SUM(P473:P479)+Parametri_v3!$C$54*7/12</f>
        <v>-63665.2102110572</v>
      </c>
      <c r="R479" s="15" t="n">
        <f aca="false">Z472</f>
        <v>997327.618759451</v>
      </c>
      <c r="S479" s="15" t="n">
        <f aca="false">AA472</f>
        <v>307724.845970214</v>
      </c>
      <c r="T479" s="15" t="n">
        <f aca="false">MIN(R479,MAX(0,Q479))</f>
        <v>0</v>
      </c>
      <c r="U479" s="15" t="n">
        <f aca="false">MIN(S479,MAX(0,Q479-T479)*Parametri_v3!$C$42)</f>
        <v>0</v>
      </c>
      <c r="V479" s="15" t="n">
        <f aca="false">MAX(0,Q479-T479-U479)*Ipotesi!$C$92</f>
        <v>0</v>
      </c>
      <c r="W479" s="15" t="n">
        <f aca="false">MAX(0,SUM(M473:M479)+Parametri_v3!$C$55*7/12)*Ipotesi!$C$93</f>
        <v>0</v>
      </c>
      <c r="X479" s="15" t="n">
        <f aca="false">V479+W479-(V478+W478)</f>
        <v>0</v>
      </c>
      <c r="Y479" s="15" t="n">
        <f aca="false">P479-X479</f>
        <v>-836.359477858779</v>
      </c>
      <c r="Z479" s="15" t="n">
        <f aca="false">R479-T479+IF(AND(Parametri_v3!$C$40=1,D479-YEAR(Parametri_v3!$C$50)&lt;Parametri_v3!$C$41),MAX(0,-Q479),0)</f>
        <v>997327.618759451</v>
      </c>
      <c r="AA479" s="15" t="n">
        <f aca="false">S479-U479+IF(AND(Parametri_v3!$C$40=1,D479-YEAR(Parametri_v3!$C$50)&lt;Parametri_v3!$C$41),0,MAX(0,-Q479))</f>
        <v>371390.056181271</v>
      </c>
      <c r="AB479" s="15" t="n">
        <f aca="false">F479*(1+Parametri_v3!$C$26)</f>
        <v>231617.225072678</v>
      </c>
      <c r="AC479" s="15" t="n">
        <f aca="false">(IF(55-(INT((Motore_Operativo!L479)/30))&lt;1,0,INDEX(Motore_Startup!$AB$425:$AB$484,MAX(1,55-(INT((Motore_Operativo!L479)/30)))))*(1-(MOD((Motore_Operativo!L479),30)/30))+IF(55-(INT((Motore_Operativo!L479)/30))-1&lt;1,0,INDEX(Motore_Startup!$AB$425:$AB$484,MAX(1,55-(INT((Motore_Operativo!L479)/30))-1)))*(MOD((Motore_Operativo!L479),30)/30))</f>
        <v>219015.654305296</v>
      </c>
      <c r="AD479" s="15" t="n">
        <f aca="false">(AD478)+AB479-AC479</f>
        <v>682323.865058196</v>
      </c>
      <c r="AE479" s="15" t="n">
        <f aca="false">Motore_Operativo!BH479*(1+Parametri_v3!$C$26)</f>
        <v>14146.9166666667</v>
      </c>
      <c r="AF479" s="15" t="n">
        <f aca="false">(IF(55-(INT((Parametri_v3!$C$29)/30))&lt;1,0,INDEX(Motore_Operativo!$BH$425:$BH$484,MAX(1,55-(INT((Parametri_v3!$C$29)/30)))))*(1-(MOD((Parametri_v3!$C$29),30)/30))+IF(55-(INT((Parametri_v3!$C$29)/30))-1&lt;1,0,INDEX(Motore_Operativo!$BH$425:$BH$484,MAX(1,55-(INT((Parametri_v3!$C$29)/30))-1)))*(MOD((Parametri_v3!$C$29),30)/30))*(1+Parametri_v3!$C$26)</f>
        <v>14146.9166666667</v>
      </c>
      <c r="AG479" s="15" t="n">
        <f aca="false">(AG478)+AE479-AF479</f>
        <v>14146.9166666667</v>
      </c>
      <c r="AH479" s="15" t="n">
        <f aca="false">(Motore_Operativo!CJ479)*(1+Parametri_v3!$C$27*Parametri_v3!$C$26)</f>
        <v>94676.3871161839</v>
      </c>
      <c r="AI479" s="15" t="n">
        <f aca="false">(IF(55-(INT((Ipotesi!$C$91)/30))&lt;1,0,INDEX(Motore_Startup!$AH$425:$AH$484,MAX(1,55-(INT((Ipotesi!$C$91)/30)))))*(1-(MOD((Ipotesi!$C$91),30)/30))+IF(55-(INT((Ipotesi!$C$91)/30))-1&lt;1,0,INDEX(Motore_Startup!$AH$425:$AH$484,MAX(1,55-(INT((Ipotesi!$C$91)/30))-1)))*(MOD((Ipotesi!$C$91),30)/30))</f>
        <v>93537.0852450499</v>
      </c>
      <c r="AJ479" s="15" t="n">
        <f aca="false">(AJ478)+AH479-AI479</f>
        <v>188785.624060582</v>
      </c>
      <c r="AK479" s="15" t="n">
        <f aca="false">(F479+ Motore_Operativo!BH479-(Motore_Operativo!CJ479)*Parametri_v3!$C$27-Motore_Operativo!CE479)*Parametri_v3!$C$26</f>
        <v>28486.1376320381</v>
      </c>
      <c r="AL479" s="15" t="n">
        <f aca="false">MAX(0,(AM478))</f>
        <v>27824.6558273956</v>
      </c>
      <c r="AM479" s="15" t="n">
        <f aca="false">(AM478)+AK479-AL479</f>
        <v>28486.1376320381</v>
      </c>
      <c r="AN479" s="15" t="n">
        <f aca="false">SUM(X461:X472)</f>
        <v>0</v>
      </c>
      <c r="AO479" s="15" t="n">
        <f aca="false">SUM(AP461:AP472)</f>
        <v>0</v>
      </c>
      <c r="AP479" s="15" t="n">
        <f aca="false">MAX(0,AN479)*IF(7=Parametri_v3!$C$43,Parametri_v3!$C$45,IF(7=Parametri_v3!$C$44,1-Parametri_v3!$C$45,0))</f>
        <v>0</v>
      </c>
      <c r="AQ479" s="15" t="n">
        <f aca="false">MAX(0,AP479+IF(7=Parametri_v3!$C$43,MAX(0,AN479-AO479),0)-MAX(0,-(AR478)))</f>
        <v>0</v>
      </c>
      <c r="AR479" s="15" t="n">
        <f aca="false">(AR478)+X479-AQ479</f>
        <v>0</v>
      </c>
      <c r="AS479" s="15" t="n">
        <f aca="false">Motore_Operativo!AB479-AT479+AU479</f>
        <v>113503.461904792</v>
      </c>
      <c r="AT479" s="15" t="n">
        <f aca="false">Motore_Operativo!CH479</f>
        <v>5973.86641604167</v>
      </c>
      <c r="AU479" s="15" t="n">
        <f aca="false">MIN(MAX(0,(AV478)+AT479),Parametri_v3!$C$60/12)</f>
        <v>0</v>
      </c>
      <c r="AV479" s="15" t="n">
        <f aca="false">(AV478)+AT479-AU479</f>
        <v>178872.615287292</v>
      </c>
      <c r="AW479" s="15" t="n">
        <f aca="false">IF(AND(Motore_Operativo!C479=Finanziamenti!$D$6,Finanziamenti!$F$6=1),Finanziamenti!$C$6,0)</f>
        <v>0</v>
      </c>
      <c r="AX479" s="15" t="n">
        <f aca="false">IF(AND(8&lt;&gt;7,8&lt;&gt;9,Finanziamenti!$F$8=1,OR(Parametri_v3!$C$6=0,Finanziamenti!$E$8=1),Motore_Operativo!C479=EDATE(Finanziamenti!$D$8,Ipotesi!J15*12)),Finanziamenti!$C$8*1,0)+IF(AND(8&lt;&gt;7,8&lt;&gt;9,Finanziamenti!$F$9=1,OR(Parametri_v3!$C$6=0,Finanziamenti!$E$9=1),Motore_Operativo!C479=EDATE(Finanziamenti!$D$9,Ipotesi!J15*12)),Finanziamenti!$C$9*Ipotesi!J16,0)</f>
        <v>0</v>
      </c>
      <c r="AY479" s="15" t="n">
        <f aca="false">0</f>
        <v>0</v>
      </c>
      <c r="AZ479" s="15" t="n">
        <f aca="false">Motore_Advisory!AY479*(1-Ipotesi!$C$95)*Ipotesi!$C$96</f>
        <v>0</v>
      </c>
      <c r="BA479" s="15" t="n">
        <f aca="false">MAX(0,MIN(CG479*MIN(1,IF(Motore_Operativo!C479&gt;=EDATE(Finanziamenti!$D$15,Ipotesi!J14*12),Finanziamenti!$C$15,0)+IF(Motore_Operativo!C479&gt;=EDATE(Finanziamenti!$D$16,Ipotesi!J14*12),Finanziamenti!$C$16,0)+IF(Motore_Operativo!C479&gt;=EDATE(Finanziamenti!$D$17,Ipotesi!J14*12),Finanziamenti!$C$17,0)),CA479*Ipotesi!$C$102)-(CC478))</f>
        <v>0</v>
      </c>
      <c r="BB479" s="15" t="n">
        <f aca="false">IF(AND(CF479&gt;0,Motore_Operativo!C479&gt;=IF(CF479=0,0,EDATE(CF479,Parametri_v3!$C$37)),MOD(((D479-YEAR(IF(CF479=0,0,EDATE(CF479,Parametri_v3!$C$37))))*12+E479-MONTH(IF(CF479=0,0,EDATE(CF479,Parametri_v3!$C$37)))),Parametri_v3!$C$38)=0),MIN(MAX(0,(BC478)+BA479-N479),(CC479-CD479)/(Ipotesi!$C$108*12/Parametri_v3!$C$38)),0)</f>
        <v>0</v>
      </c>
      <c r="BC479" s="15" t="n">
        <f aca="false">(BC478)+BA479-N479-BB479</f>
        <v>225584.047351372</v>
      </c>
      <c r="BD479" s="15" t="n">
        <f aca="false">(BH478)+AC479+AF479-AI479-AS479-K479*(1+Parametri_v3!$C$26)-AL479-AQ479-O479+AW479+AX479+AZ479+BA479-BB479</f>
        <v>-68284.2525303643</v>
      </c>
      <c r="BE479" s="15" t="n">
        <f aca="false">MAX(0,MIN(MAX(0,CH479-(BG478)),Parametri_v3!$C$30-BD479))</f>
        <v>0</v>
      </c>
      <c r="BF479" s="15" t="n">
        <f aca="false">IF(Motore_Operativo!C479&gt;=Parametri_v3!$C$63,(BG478),MIN((BG478),MAX(0,BD479-Parametri_v3!$C$30)))</f>
        <v>0</v>
      </c>
      <c r="BG479" s="15" t="n">
        <f aca="false">(BG478)+BE479-BF479</f>
        <v>0</v>
      </c>
      <c r="BH479" s="15" t="n">
        <f aca="false">BD479+BE479-BF479-AY479</f>
        <v>-68284.2525303643</v>
      </c>
      <c r="BI479" s="15" t="n">
        <f aca="false">MAX(0,Parametri_v3!$C$30-BH479)</f>
        <v>93284.2525303643</v>
      </c>
      <c r="BJ479" s="15" t="n">
        <f aca="false">(BJ478)+K479</f>
        <v>144166.666666667</v>
      </c>
      <c r="BK479" s="15" t="n">
        <f aca="false">(BK478)+L479</f>
        <v>83912.0370370371</v>
      </c>
      <c r="BL479" s="15" t="n">
        <f aca="false">BJ479-BK479</f>
        <v>60254.6296296296</v>
      </c>
      <c r="BM479" s="15" t="n">
        <f aca="false">(BM478)+Y479</f>
        <v>-1368717.67494072</v>
      </c>
      <c r="BN479" s="15" t="n">
        <f aca="false">(BN478)+AW479+AX479+AZ479</f>
        <v>1435430.40943357</v>
      </c>
      <c r="BO479" s="15" t="n">
        <f aca="false">(BO478)+AY479</f>
        <v>0</v>
      </c>
      <c r="BP479" s="15" t="n">
        <f aca="false">0</f>
        <v>0</v>
      </c>
      <c r="BQ479" s="15" t="n">
        <f aca="false">BN479+BM479-BO479</f>
        <v>66712.7344928454</v>
      </c>
      <c r="BR479" s="15" t="n">
        <f aca="false">BH479+AD479+BL479+MAX(0,-AM479)+MAX(0,-AR479)+AG479</f>
        <v>688441.158824128</v>
      </c>
      <c r="BS479" s="15" t="n">
        <f aca="false">AJ479+AV479+MAX(0,AM479)+MAX(0,AR479)+BC479+BG479+BQ479</f>
        <v>688441.158824129</v>
      </c>
      <c r="BT479" s="15" t="n">
        <f aca="false">BR479-BS479</f>
        <v>0</v>
      </c>
      <c r="BU479" s="15" t="n">
        <f aca="false">BH479-(BD479+BE479-BF479-AY479)</f>
        <v>0</v>
      </c>
      <c r="BV479" s="15" t="n">
        <f aca="false">MIN(Piano_SS!$C$6,(BV478)+IF(AND(Motore_Operativo!C479&gt;=EDATE(Parametri_v3!$C$24,Ipotesi!J14*12),Motore_Operativo!C479&lt;EDATE(Parametri_v3!$C$24,Parametri_v3!$C$25+Ipotesi!J14*12)),MAX(0,(Motore_Operativo!Y479+Motore_Operativo!X479*Parametri_v3!$C$14)*(1-Parametri_v3!$C$32))*Piano_SS!$D$6,0))</f>
        <v>300000</v>
      </c>
      <c r="BW479" s="15" t="n">
        <f aca="false">MIN(Piano_SS!$C$7,(BW478)+IF(AND(Motore_Operativo!C479&gt;=EDATE(Parametri_v3!$C$24,Ipotesi!J14*12),Motore_Operativo!C479&lt;EDATE(Parametri_v3!$C$24,Parametri_v3!$C$25+Ipotesi!J14*12)),MAX(0,(IF(55-(INT((Ipotesi!$C$91)/30))&lt;1,0,INDEX(Motore_Operativo!$BN$425:$BN$484,MAX(1,55-(INT((Ipotesi!$C$91)/30)))))*(1-(MOD((Ipotesi!$C$91),30)/30))+IF(55-(INT((Ipotesi!$C$91)/30))-1&lt;1,0,INDEX(Motore_Operativo!$BN$425:$BN$484,MAX(1,55-(INT((Ipotesi!$C$91)/30))-1)))*(MOD((Ipotesi!$C$91),30)/30)))*Piano_SS!$D$7,0))</f>
        <v>41058.9230070837</v>
      </c>
      <c r="BX479" s="15" t="n">
        <f aca="false">MIN(Piano_SS!$C$8,(BX478)+IF(AND(Motore_Operativo!C479&gt;=EDATE(Parametri_v3!$C$24,Ipotesi!J14*12),Motore_Operativo!C479&lt;EDATE(Parametri_v3!$C$24,Parametri_v3!$C$25+Ipotesi!J14*12)),MAX(0,Motore_Operativo!CE479)*Piano_SS!$D$8,0))</f>
        <v>50000</v>
      </c>
      <c r="BY479" s="15" t="n">
        <f aca="false">MIN(Piano_SS!$C$9,(BY478)+IF(AND(Motore_Operativo!C479&gt;=EDATE(Parametri_v3!$C$24,Ipotesi!J14*12),Motore_Operativo!C479&lt;EDATE(Parametri_v3!$C$24,Parametri_v3!$C$25+Ipotesi!J14*12)),MAX(0,((IF(55-(INT((Ipotesi!$C$91)/30))&lt;1,0,INDEX(Motore_Operativo!$BQ$425:$BQ$484,MAX(1,55-(INT((Ipotesi!$C$91)/30)))))*(1-(MOD((Ipotesi!$C$91),30)/30))+IF(55-(INT((Ipotesi!$C$91)/30))-1&lt;1,0,INDEX(Motore_Operativo!$BQ$425:$BQ$484,MAX(1,55-(INT((Ipotesi!$C$91)/30))-1)))*(MOD((Ipotesi!$C$91),30)/30))+(IF(55-(INT((Ipotesi!$C$91)/30))&lt;1,0,INDEX(Motore_Operativo!$BR$425:$BR$484,MAX(1,55-(INT((Ipotesi!$C$91)/30)))))*(1-(MOD((Ipotesi!$C$91),30)/30))+IF(55-(INT((Ipotesi!$C$91)/30))-1&lt;1,0,INDEX(Motore_Operativo!$BR$425:$BR$484,MAX(1,55-(INT((Ipotesi!$C$91)/30))-1)))*(MOD((Ipotesi!$C$91),30)/30))))*Piano_SS!$D$9,0))</f>
        <v>40000</v>
      </c>
      <c r="BZ479" s="15" t="n">
        <f aca="false">MIN(Piano_SS!$C$10,(BZ478)+IF(AND(Motore_Operativo!C479&gt;=EDATE(Parametri_v3!$C$24,Ipotesi!J14*12),Motore_Operativo!C479&lt;EDATE(Parametri_v3!$C$24,Parametri_v3!$C$25+Ipotesi!J14*12)),MAX(0,(IF(55-(INT((Ipotesi!$C$91)/30))&lt;1,0,INDEX(Motore_Operativo!$BO$425:$BO$484,MAX(1,55-(INT((Ipotesi!$C$91)/30)))))*(1-(MOD((Ipotesi!$C$91),30)/30))+IF(55-(INT((Ipotesi!$C$91)/30))-1&lt;1,0,INDEX(Motore_Operativo!$BO$425:$BO$484,MAX(1,55-(INT((Ipotesi!$C$91)/30))-1)))*(MOD((Ipotesi!$C$91),30)/30)))*Piano_SS!$D$10,0))</f>
        <v>30000</v>
      </c>
      <c r="CA479" s="15" t="n">
        <f aca="false">SUM(BV479:BZ479)</f>
        <v>461058.923007084</v>
      </c>
      <c r="CB479" s="15" t="n">
        <f aca="false">BV479*(1-Piano_SS!$E$6)+BW479*(1-Piano_SS!$E$7)+BX479*(1-Piano_SS!$E$8)+BY479*(1-Piano_SS!$E$9)+BZ479*(1-Piano_SS!$E$10)</f>
        <v>431058.923007084</v>
      </c>
      <c r="CC479" s="15" t="n">
        <f aca="false">(CC478)+BA479</f>
        <v>368847.138405667</v>
      </c>
      <c r="CD479" s="15" t="n">
        <f aca="false">IF(CA479=0,0,CC479*CB479/CA479*Ipotesi!$C$103*Parametri_v3!$C$64)</f>
        <v>103454.1415217</v>
      </c>
      <c r="CE479" s="18" t="n">
        <f aca="false">IF(BA479&gt;0,Motore_Operativo!C479,(CE478))</f>
        <v>47270</v>
      </c>
      <c r="CF479" s="18" t="n">
        <f aca="false">IF(AND(CC479&gt;0,OR(CC479&gt;=CG479-0.01,Motore_Operativo!C479&gt;=EDATE(MAX(Finanziamenti!$D$15:$D$17),Ipotesi!J14*12))),CE479,0)</f>
        <v>47270</v>
      </c>
      <c r="CG479" s="15" t="n">
        <f aca="false">IF(AND(8&lt;&gt;6,8&lt;&gt;9,Finanziamenti!$F$11=1,OR(Parametri_v3!$C$6=0,Finanziamenti!$E$11=1)),MIN(Finanziamenti!$C$11,Piano_SS!$C$12*Ipotesi!$C$102),0)</f>
        <v>400000</v>
      </c>
      <c r="CH479" s="15" t="n">
        <f aca="false">IF(AND(AND(8&lt;&gt;8,8&lt;&gt;9,Finanziamenti!$F$10=1,OR(Parametri_v3!$C$6=0,Finanziamenti!$E$10=1)),Motore_Operativo!C479&gt;=Finanziamenti!$D$10,Motore_Operativo!C479&lt;Parametri_v3!$C$63),Finanziamenti!$C$10,0)</f>
        <v>0</v>
      </c>
    </row>
    <row r="480" customFormat="false" ht="18" hidden="false" customHeight="true" outlineLevel="0" collapsed="false">
      <c r="A480" s="68" t="n">
        <f aca="false">8</f>
        <v>8</v>
      </c>
      <c r="B480" s="68" t="n">
        <f aca="false">56</f>
        <v>56</v>
      </c>
      <c r="C480" s="18" t="n">
        <f aca="false">Motore_Operativo!C480</f>
        <v>48061</v>
      </c>
      <c r="D480" s="68" t="n">
        <f aca="false">Motore_Operativo!D480</f>
        <v>2031</v>
      </c>
      <c r="E480" s="68" t="n">
        <f aca="false">Motore_Operativo!E480</f>
        <v>8</v>
      </c>
      <c r="F480" s="15" t="n">
        <f aca="false">Motore_Operativo!AQ480+Motore_Operativo!BF480</f>
        <v>193233.217134923</v>
      </c>
      <c r="G480" s="15" t="n">
        <f aca="false">Motore_Operativo!BH480</f>
        <v>11595.8333333333</v>
      </c>
      <c r="H480" s="15" t="n">
        <f aca="false">Motore_Operativo!BI480</f>
        <v>204829.050468256</v>
      </c>
      <c r="I480" s="15" t="n">
        <f aca="false">Motore_Operativo!CA480</f>
        <v>199712.020386389</v>
      </c>
      <c r="J480" s="15" t="n">
        <f aca="false">Motore_Operativo!CC480</f>
        <v>5117.03008186689</v>
      </c>
      <c r="K480" s="15" t="n">
        <f aca="false">Motore_Operativo!CE480</f>
        <v>4166.66666666667</v>
      </c>
      <c r="L480" s="15" t="n">
        <f aca="false">SUM(INDEX($K$425:$K$484,MAX(1,56-Parametri_v3!$C$59+1)):K480)/Parametri_v3!$C$59</f>
        <v>3101.85185185185</v>
      </c>
      <c r="M480" s="15" t="n">
        <f aca="false">J480-L480</f>
        <v>2015.17823001504</v>
      </c>
      <c r="N480" s="15" t="n">
        <f aca="false">CD480-(CD479)</f>
        <v>0</v>
      </c>
      <c r="O480" s="15" t="n">
        <f aca="false">(BG479)*Ipotesi!$C$110/12+CH480*Parametri_v3!$C$39/12</f>
        <v>0</v>
      </c>
      <c r="P480" s="15" t="n">
        <f aca="false">M480+N480-O480</f>
        <v>2015.17823001504</v>
      </c>
      <c r="Q480" s="15" t="n">
        <f aca="false">SUM(P473:P480)+Parametri_v3!$C$54*8/12</f>
        <v>-61650.0319810421</v>
      </c>
      <c r="R480" s="15" t="n">
        <f aca="false">Z472</f>
        <v>997327.618759451</v>
      </c>
      <c r="S480" s="15" t="n">
        <f aca="false">AA472</f>
        <v>307724.845970214</v>
      </c>
      <c r="T480" s="15" t="n">
        <f aca="false">MIN(R480,MAX(0,Q480))</f>
        <v>0</v>
      </c>
      <c r="U480" s="15" t="n">
        <f aca="false">MIN(S480,MAX(0,Q480-T480)*Parametri_v3!$C$42)</f>
        <v>0</v>
      </c>
      <c r="V480" s="15" t="n">
        <f aca="false">MAX(0,Q480-T480-U480)*Ipotesi!$C$92</f>
        <v>0</v>
      </c>
      <c r="W480" s="15" t="n">
        <f aca="false">MAX(0,SUM(M473:M480)+Parametri_v3!$C$55*8/12)*Ipotesi!$C$93</f>
        <v>0</v>
      </c>
      <c r="X480" s="15" t="n">
        <f aca="false">V480+W480-(V479+W479)</f>
        <v>0</v>
      </c>
      <c r="Y480" s="15" t="n">
        <f aca="false">P480-X480</f>
        <v>2015.17823001504</v>
      </c>
      <c r="Z480" s="15" t="n">
        <f aca="false">R480-T480+IF(AND(Parametri_v3!$C$40=1,D480-YEAR(Parametri_v3!$C$50)&lt;Parametri_v3!$C$41),MAX(0,-Q480),0)</f>
        <v>997327.618759451</v>
      </c>
      <c r="AA480" s="15" t="n">
        <f aca="false">S480-U480+IF(AND(Parametri_v3!$C$40=1,D480-YEAR(Parametri_v3!$C$50)&lt;Parametri_v3!$C$41),0,MAX(0,-Q480))</f>
        <v>369374.877951256</v>
      </c>
      <c r="AB480" s="15" t="n">
        <f aca="false">F480*(1+Parametri_v3!$C$26)</f>
        <v>235744.524904606</v>
      </c>
      <c r="AC480" s="15" t="n">
        <f aca="false">(IF(56-(INT((Motore_Operativo!L480)/30))&lt;1,0,INDEX(Motore_Startup!$AB$425:$AB$484,MAX(1,56-(INT((Motore_Operativo!L480)/30)))))*(1-(MOD((Motore_Operativo!L480),30)/30))+IF(56-(INT((Motore_Operativo!L480)/30))-1&lt;1,0,INDEX(Motore_Startup!$AB$425:$AB$484,MAX(1,56-(INT((Motore_Operativo!L480)/30))-1)))*(MOD((Motore_Operativo!L480),30)/30))</f>
        <v>223253.112166291</v>
      </c>
      <c r="AD480" s="15" t="n">
        <f aca="false">(AD479)+AB480-AC480</f>
        <v>694815.277796511</v>
      </c>
      <c r="AE480" s="15" t="n">
        <f aca="false">Motore_Operativo!BH480*(1+Parametri_v3!$C$26)</f>
        <v>14146.9166666667</v>
      </c>
      <c r="AF480" s="15" t="n">
        <f aca="false">(IF(56-(INT((Parametri_v3!$C$29)/30))&lt;1,0,INDEX(Motore_Operativo!$BH$425:$BH$484,MAX(1,56-(INT((Parametri_v3!$C$29)/30)))))*(1-(MOD((Parametri_v3!$C$29),30)/30))+IF(56-(INT((Parametri_v3!$C$29)/30))-1&lt;1,0,INDEX(Motore_Operativo!$BH$425:$BH$484,MAX(1,56-(INT((Parametri_v3!$C$29)/30))-1)))*(MOD((Parametri_v3!$C$29),30)/30))*(1+Parametri_v3!$C$26)</f>
        <v>14146.9166666667</v>
      </c>
      <c r="AG480" s="15" t="n">
        <f aca="false">(AG479)+AE480-AF480</f>
        <v>14146.9166666667</v>
      </c>
      <c r="AH480" s="15" t="n">
        <f aca="false">(Motore_Operativo!CJ480)*(1+Parametri_v3!$C$27*Parametri_v3!$C$26)</f>
        <v>95238.5794818148</v>
      </c>
      <c r="AI480" s="15" t="n">
        <f aca="false">(IF(56-(INT((Ipotesi!$C$91)/30))&lt;1,0,INDEX(Motore_Startup!$AH$425:$AH$484,MAX(1,56-(INT((Ipotesi!$C$91)/30)))))*(1-(MOD((Ipotesi!$C$91),30)/30))+IF(56-(INT((Ipotesi!$C$91)/30))-1&lt;1,0,INDEX(Motore_Startup!$AH$425:$AH$484,MAX(1,56-(INT((Ipotesi!$C$91)/30))-1)))*(MOD((Ipotesi!$C$91),30)/30))</f>
        <v>94109.2369443983</v>
      </c>
      <c r="AJ480" s="15" t="n">
        <f aca="false">(AJ479)+AH480-AI480</f>
        <v>189914.966597999</v>
      </c>
      <c r="AK480" s="15" t="n">
        <f aca="false">(F480+ Motore_Operativo!BH480-(Motore_Operativo!CJ480)*Parametri_v3!$C$27-Motore_Operativo!CE480)*Parametri_v3!$C$26</f>
        <v>29141.8370200907</v>
      </c>
      <c r="AL480" s="15" t="n">
        <f aca="false">MAX(0,(AM479))</f>
        <v>28486.1376320381</v>
      </c>
      <c r="AM480" s="15" t="n">
        <f aca="false">(AM479)+AK480-AL480</f>
        <v>29141.8370200907</v>
      </c>
      <c r="AN480" s="15" t="n">
        <f aca="false">SUM(X461:X472)</f>
        <v>0</v>
      </c>
      <c r="AO480" s="15" t="n">
        <f aca="false">SUM(AP461:AP472)</f>
        <v>0</v>
      </c>
      <c r="AP480" s="15" t="n">
        <f aca="false">MAX(0,AN480)*IF(8=Parametri_v3!$C$43,Parametri_v3!$C$45,IF(8=Parametri_v3!$C$44,1-Parametri_v3!$C$45,0))</f>
        <v>0</v>
      </c>
      <c r="AQ480" s="15" t="n">
        <f aca="false">MAX(0,AP480+IF(8=Parametri_v3!$C$43,MAX(0,AN480-AO480),0)-MAX(0,-(AR479)))</f>
        <v>0</v>
      </c>
      <c r="AR480" s="15" t="n">
        <f aca="false">(AR479)+X480-AQ480</f>
        <v>0</v>
      </c>
      <c r="AS480" s="15" t="n">
        <f aca="false">Motore_Operativo!AB480-AT480+AU480</f>
        <v>113503.461904792</v>
      </c>
      <c r="AT480" s="15" t="n">
        <f aca="false">Motore_Operativo!CH480</f>
        <v>5973.86641604167</v>
      </c>
      <c r="AU480" s="15" t="n">
        <f aca="false">MIN(MAX(0,(AV479)+AT480),Parametri_v3!$C$60/12)</f>
        <v>0</v>
      </c>
      <c r="AV480" s="15" t="n">
        <f aca="false">(AV479)+AT480-AU480</f>
        <v>184846.481703333</v>
      </c>
      <c r="AW480" s="15" t="n">
        <f aca="false">IF(AND(Motore_Operativo!C480=Finanziamenti!$D$6,Finanziamenti!$F$6=1),Finanziamenti!$C$6,0)</f>
        <v>0</v>
      </c>
      <c r="AX480" s="15" t="n">
        <f aca="false">IF(AND(8&lt;&gt;7,8&lt;&gt;9,Finanziamenti!$F$8=1,OR(Parametri_v3!$C$6=0,Finanziamenti!$E$8=1),Motore_Operativo!C480=EDATE(Finanziamenti!$D$8,Ipotesi!J15*12)),Finanziamenti!$C$8*1,0)+IF(AND(8&lt;&gt;7,8&lt;&gt;9,Finanziamenti!$F$9=1,OR(Parametri_v3!$C$6=0,Finanziamenti!$E$9=1),Motore_Operativo!C480=EDATE(Finanziamenti!$D$9,Ipotesi!J15*12)),Finanziamenti!$C$9*Ipotesi!J16,0)</f>
        <v>0</v>
      </c>
      <c r="AY480" s="15" t="n">
        <f aca="false">0</f>
        <v>0</v>
      </c>
      <c r="AZ480" s="15" t="n">
        <f aca="false">Motore_Advisory!AY480*(1-Ipotesi!$C$95)*Ipotesi!$C$96</f>
        <v>0</v>
      </c>
      <c r="BA480" s="15" t="n">
        <f aca="false">MAX(0,MIN(CG480*MIN(1,IF(Motore_Operativo!C480&gt;=EDATE(Finanziamenti!$D$15,Ipotesi!J14*12),Finanziamenti!$C$15,0)+IF(Motore_Operativo!C480&gt;=EDATE(Finanziamenti!$D$16,Ipotesi!J14*12),Finanziamenti!$C$16,0)+IF(Motore_Operativo!C480&gt;=EDATE(Finanziamenti!$D$17,Ipotesi!J14*12),Finanziamenti!$C$17,0)),CA480*Ipotesi!$C$102)-(CC479))</f>
        <v>0</v>
      </c>
      <c r="BB480" s="15" t="n">
        <f aca="false">IF(AND(CF480&gt;0,Motore_Operativo!C480&gt;=IF(CF480=0,0,EDATE(CF480,Parametri_v3!$C$37)),MOD(((D480-YEAR(IF(CF480=0,0,EDATE(CF480,Parametri_v3!$C$37))))*12+E480-MONTH(IF(CF480=0,0,EDATE(CF480,Parametri_v3!$C$37)))),Parametri_v3!$C$38)=0),MIN(MAX(0,(BC479)+BA480-N480),(CC480-CD480)/(Ipotesi!$C$108*12/Parametri_v3!$C$38)),0)</f>
        <v>0</v>
      </c>
      <c r="BC480" s="15" t="n">
        <f aca="false">(BC479)+BA480-N480-BB480</f>
        <v>225584.047351372</v>
      </c>
      <c r="BD480" s="15" t="n">
        <f aca="false">(BH479)+AC480+AF480-AI480-AS480-K480*(1+Parametri_v3!$C$26)-AL480-AQ480-O480+AW480+AX480+AZ480+BA480-BB480</f>
        <v>-72066.3935119682</v>
      </c>
      <c r="BE480" s="15" t="n">
        <f aca="false">MAX(0,MIN(MAX(0,CH480-(BG479)),Parametri_v3!$C$30-BD480))</f>
        <v>0</v>
      </c>
      <c r="BF480" s="15" t="n">
        <f aca="false">IF(Motore_Operativo!C480&gt;=Parametri_v3!$C$63,(BG479),MIN((BG479),MAX(0,BD480-Parametri_v3!$C$30)))</f>
        <v>0</v>
      </c>
      <c r="BG480" s="15" t="n">
        <f aca="false">(BG479)+BE480-BF480</f>
        <v>0</v>
      </c>
      <c r="BH480" s="15" t="n">
        <f aca="false">BD480+BE480-BF480-AY480</f>
        <v>-72066.3935119682</v>
      </c>
      <c r="BI480" s="15" t="n">
        <f aca="false">MAX(0,Parametri_v3!$C$30-BH480)</f>
        <v>97066.3935119682</v>
      </c>
      <c r="BJ480" s="15" t="n">
        <f aca="false">(BJ479)+K480</f>
        <v>148333.333333333</v>
      </c>
      <c r="BK480" s="15" t="n">
        <f aca="false">(BK479)+L480</f>
        <v>87013.8888888889</v>
      </c>
      <c r="BL480" s="15" t="n">
        <f aca="false">BJ480-BK480</f>
        <v>61319.4444444444</v>
      </c>
      <c r="BM480" s="15" t="n">
        <f aca="false">(BM479)+Y480</f>
        <v>-1366702.49671071</v>
      </c>
      <c r="BN480" s="15" t="n">
        <f aca="false">(BN479)+AW480+AX480+AZ480</f>
        <v>1435430.40943357</v>
      </c>
      <c r="BO480" s="15" t="n">
        <f aca="false">(BO479)+AY480</f>
        <v>0</v>
      </c>
      <c r="BP480" s="15" t="n">
        <f aca="false">0</f>
        <v>0</v>
      </c>
      <c r="BQ480" s="15" t="n">
        <f aca="false">BN480+BM480-BO480</f>
        <v>68727.9127228605</v>
      </c>
      <c r="BR480" s="15" t="n">
        <f aca="false">BH480+AD480+BL480+MAX(0,-AM480)+MAX(0,-AR480)+AG480</f>
        <v>698215.245395654</v>
      </c>
      <c r="BS480" s="15" t="n">
        <f aca="false">AJ480+AV480+MAX(0,AM480)+MAX(0,AR480)+BC480+BG480+BQ480</f>
        <v>698215.245395655</v>
      </c>
      <c r="BT480" s="15" t="n">
        <f aca="false">BR480-BS480</f>
        <v>0</v>
      </c>
      <c r="BU480" s="15" t="n">
        <f aca="false">BH480-(BD480+BE480-BF480-AY480)</f>
        <v>0</v>
      </c>
      <c r="BV480" s="15" t="n">
        <f aca="false">MIN(Piano_SS!$C$6,(BV479)+IF(AND(Motore_Operativo!C480&gt;=EDATE(Parametri_v3!$C$24,Ipotesi!J14*12),Motore_Operativo!C480&lt;EDATE(Parametri_v3!$C$24,Parametri_v3!$C$25+Ipotesi!J14*12)),MAX(0,(Motore_Operativo!Y480+Motore_Operativo!X480*Parametri_v3!$C$14)*(1-Parametri_v3!$C$32))*Piano_SS!$D$6,0))</f>
        <v>300000</v>
      </c>
      <c r="BW480" s="15" t="n">
        <f aca="false">MIN(Piano_SS!$C$7,(BW479)+IF(AND(Motore_Operativo!C480&gt;=EDATE(Parametri_v3!$C$24,Ipotesi!J14*12),Motore_Operativo!C480&lt;EDATE(Parametri_v3!$C$24,Parametri_v3!$C$25+Ipotesi!J14*12)),MAX(0,(IF(56-(INT((Ipotesi!$C$91)/30))&lt;1,0,INDEX(Motore_Operativo!$BN$425:$BN$484,MAX(1,56-(INT((Ipotesi!$C$91)/30)))))*(1-(MOD((Ipotesi!$C$91),30)/30))+IF(56-(INT((Ipotesi!$C$91)/30))-1&lt;1,0,INDEX(Motore_Operativo!$BN$425:$BN$484,MAX(1,56-(INT((Ipotesi!$C$91)/30))-1)))*(MOD((Ipotesi!$C$91),30)/30)))*Piano_SS!$D$7,0))</f>
        <v>41058.9230070837</v>
      </c>
      <c r="BX480" s="15" t="n">
        <f aca="false">MIN(Piano_SS!$C$8,(BX479)+IF(AND(Motore_Operativo!C480&gt;=EDATE(Parametri_v3!$C$24,Ipotesi!J14*12),Motore_Operativo!C480&lt;EDATE(Parametri_v3!$C$24,Parametri_v3!$C$25+Ipotesi!J14*12)),MAX(0,Motore_Operativo!CE480)*Piano_SS!$D$8,0))</f>
        <v>50000</v>
      </c>
      <c r="BY480" s="15" t="n">
        <f aca="false">MIN(Piano_SS!$C$9,(BY479)+IF(AND(Motore_Operativo!C480&gt;=EDATE(Parametri_v3!$C$24,Ipotesi!J14*12),Motore_Operativo!C480&lt;EDATE(Parametri_v3!$C$24,Parametri_v3!$C$25+Ipotesi!J14*12)),MAX(0,((IF(56-(INT((Ipotesi!$C$91)/30))&lt;1,0,INDEX(Motore_Operativo!$BQ$425:$BQ$484,MAX(1,56-(INT((Ipotesi!$C$91)/30)))))*(1-(MOD((Ipotesi!$C$91),30)/30))+IF(56-(INT((Ipotesi!$C$91)/30))-1&lt;1,0,INDEX(Motore_Operativo!$BQ$425:$BQ$484,MAX(1,56-(INT((Ipotesi!$C$91)/30))-1)))*(MOD((Ipotesi!$C$91),30)/30))+(IF(56-(INT((Ipotesi!$C$91)/30))&lt;1,0,INDEX(Motore_Operativo!$BR$425:$BR$484,MAX(1,56-(INT((Ipotesi!$C$91)/30)))))*(1-(MOD((Ipotesi!$C$91),30)/30))+IF(56-(INT((Ipotesi!$C$91)/30))-1&lt;1,0,INDEX(Motore_Operativo!$BR$425:$BR$484,MAX(1,56-(INT((Ipotesi!$C$91)/30))-1)))*(MOD((Ipotesi!$C$91),30)/30))))*Piano_SS!$D$9,0))</f>
        <v>40000</v>
      </c>
      <c r="BZ480" s="15" t="n">
        <f aca="false">MIN(Piano_SS!$C$10,(BZ479)+IF(AND(Motore_Operativo!C480&gt;=EDATE(Parametri_v3!$C$24,Ipotesi!J14*12),Motore_Operativo!C480&lt;EDATE(Parametri_v3!$C$24,Parametri_v3!$C$25+Ipotesi!J14*12)),MAX(0,(IF(56-(INT((Ipotesi!$C$91)/30))&lt;1,0,INDEX(Motore_Operativo!$BO$425:$BO$484,MAX(1,56-(INT((Ipotesi!$C$91)/30)))))*(1-(MOD((Ipotesi!$C$91),30)/30))+IF(56-(INT((Ipotesi!$C$91)/30))-1&lt;1,0,INDEX(Motore_Operativo!$BO$425:$BO$484,MAX(1,56-(INT((Ipotesi!$C$91)/30))-1)))*(MOD((Ipotesi!$C$91),30)/30)))*Piano_SS!$D$10,0))</f>
        <v>30000</v>
      </c>
      <c r="CA480" s="15" t="n">
        <f aca="false">SUM(BV480:BZ480)</f>
        <v>461058.923007084</v>
      </c>
      <c r="CB480" s="15" t="n">
        <f aca="false">BV480*(1-Piano_SS!$E$6)+BW480*(1-Piano_SS!$E$7)+BX480*(1-Piano_SS!$E$8)+BY480*(1-Piano_SS!$E$9)+BZ480*(1-Piano_SS!$E$10)</f>
        <v>431058.923007084</v>
      </c>
      <c r="CC480" s="15" t="n">
        <f aca="false">(CC479)+BA480</f>
        <v>368847.138405667</v>
      </c>
      <c r="CD480" s="15" t="n">
        <f aca="false">IF(CA480=0,0,CC480*CB480/CA480*Ipotesi!$C$103*Parametri_v3!$C$64)</f>
        <v>103454.1415217</v>
      </c>
      <c r="CE480" s="18" t="n">
        <f aca="false">IF(BA480&gt;0,Motore_Operativo!C480,(CE479))</f>
        <v>47270</v>
      </c>
      <c r="CF480" s="18" t="n">
        <f aca="false">IF(AND(CC480&gt;0,OR(CC480&gt;=CG480-0.01,Motore_Operativo!C480&gt;=EDATE(MAX(Finanziamenti!$D$15:$D$17),Ipotesi!J14*12))),CE480,0)</f>
        <v>47270</v>
      </c>
      <c r="CG480" s="15" t="n">
        <f aca="false">IF(AND(8&lt;&gt;6,8&lt;&gt;9,Finanziamenti!$F$11=1,OR(Parametri_v3!$C$6=0,Finanziamenti!$E$11=1)),MIN(Finanziamenti!$C$11,Piano_SS!$C$12*Ipotesi!$C$102),0)</f>
        <v>400000</v>
      </c>
      <c r="CH480" s="15" t="n">
        <f aca="false">IF(AND(AND(8&lt;&gt;8,8&lt;&gt;9,Finanziamenti!$F$10=1,OR(Parametri_v3!$C$6=0,Finanziamenti!$E$10=1)),Motore_Operativo!C480&gt;=Finanziamenti!$D$10,Motore_Operativo!C480&lt;Parametri_v3!$C$63),Finanziamenti!$C$10,0)</f>
        <v>0</v>
      </c>
    </row>
    <row r="481" customFormat="false" ht="18" hidden="false" customHeight="true" outlineLevel="0" collapsed="false">
      <c r="A481" s="68" t="n">
        <f aca="false">8</f>
        <v>8</v>
      </c>
      <c r="B481" s="68" t="n">
        <f aca="false">57</f>
        <v>57</v>
      </c>
      <c r="C481" s="18" t="n">
        <f aca="false">Motore_Operativo!C481</f>
        <v>48092</v>
      </c>
      <c r="D481" s="68" t="n">
        <f aca="false">Motore_Operativo!D481</f>
        <v>2031</v>
      </c>
      <c r="E481" s="68" t="n">
        <f aca="false">Motore_Operativo!E481</f>
        <v>9</v>
      </c>
      <c r="F481" s="15" t="n">
        <f aca="false">Motore_Operativo!AQ481+Motore_Operativo!BF481</f>
        <v>196586.676628778</v>
      </c>
      <c r="G481" s="15" t="n">
        <f aca="false">Motore_Operativo!BH481</f>
        <v>11595.8333333333</v>
      </c>
      <c r="H481" s="15" t="n">
        <f aca="false">Motore_Operativo!BI481</f>
        <v>208182.509962112</v>
      </c>
      <c r="I481" s="15" t="n">
        <f aca="false">Motore_Operativo!CA481</f>
        <v>200181.504715529</v>
      </c>
      <c r="J481" s="15" t="n">
        <f aca="false">Motore_Operativo!CC481</f>
        <v>8001.00524658262</v>
      </c>
      <c r="K481" s="15" t="n">
        <f aca="false">Motore_Operativo!CE481</f>
        <v>4166.66666666667</v>
      </c>
      <c r="L481" s="15" t="n">
        <f aca="false">SUM(INDEX($K$425:$K$484,MAX(1,57-Parametri_v3!$C$59+1)):K481)/Parametri_v3!$C$59</f>
        <v>3159.72222222222</v>
      </c>
      <c r="M481" s="15" t="n">
        <f aca="false">J481-L481</f>
        <v>4841.28302436039</v>
      </c>
      <c r="N481" s="15" t="n">
        <f aca="false">CD481-(CD480)</f>
        <v>0</v>
      </c>
      <c r="O481" s="15" t="n">
        <f aca="false">(BG480)*Ipotesi!$C$110/12+CH481*Parametri_v3!$C$39/12</f>
        <v>0</v>
      </c>
      <c r="P481" s="15" t="n">
        <f aca="false">M481+N481-O481</f>
        <v>4841.28302436039</v>
      </c>
      <c r="Q481" s="15" t="n">
        <f aca="false">SUM(P473:P481)+Parametri_v3!$C$54*9/12</f>
        <v>-56808.7489566817</v>
      </c>
      <c r="R481" s="15" t="n">
        <f aca="false">Z472</f>
        <v>997327.618759451</v>
      </c>
      <c r="S481" s="15" t="n">
        <f aca="false">AA472</f>
        <v>307724.845970214</v>
      </c>
      <c r="T481" s="15" t="n">
        <f aca="false">MIN(R481,MAX(0,Q481))</f>
        <v>0</v>
      </c>
      <c r="U481" s="15" t="n">
        <f aca="false">MIN(S481,MAX(0,Q481-T481)*Parametri_v3!$C$42)</f>
        <v>0</v>
      </c>
      <c r="V481" s="15" t="n">
        <f aca="false">MAX(0,Q481-T481-U481)*Ipotesi!$C$92</f>
        <v>0</v>
      </c>
      <c r="W481" s="15" t="n">
        <f aca="false">MAX(0,SUM(M473:M481)+Parametri_v3!$C$55*9/12)*Ipotesi!$C$93</f>
        <v>0</v>
      </c>
      <c r="X481" s="15" t="n">
        <f aca="false">V481+W481-(V480+W480)</f>
        <v>0</v>
      </c>
      <c r="Y481" s="15" t="n">
        <f aca="false">P481-X481</f>
        <v>4841.28302436039</v>
      </c>
      <c r="Z481" s="15" t="n">
        <f aca="false">R481-T481+IF(AND(Parametri_v3!$C$40=1,D481-YEAR(Parametri_v3!$C$50)&lt;Parametri_v3!$C$41),MAX(0,-Q481),0)</f>
        <v>997327.618759451</v>
      </c>
      <c r="AA481" s="15" t="n">
        <f aca="false">S481-U481+IF(AND(Parametri_v3!$C$40=1,D481-YEAR(Parametri_v3!$C$50)&lt;Parametri_v3!$C$41),0,MAX(0,-Q481))</f>
        <v>364533.594926896</v>
      </c>
      <c r="AB481" s="15" t="n">
        <f aca="false">F481*(1+Parametri_v3!$C$26)</f>
        <v>239835.745487109</v>
      </c>
      <c r="AC481" s="15" t="n">
        <f aca="false">(IF(57-(INT((Motore_Operativo!L481)/30))&lt;1,0,INDEX(Motore_Startup!$AB$425:$AB$484,MAX(1,57-(INT((Motore_Operativo!L481)/30)))))*(1-(MOD((Motore_Operativo!L481),30)/30))+IF(57-(INT((Motore_Operativo!L481)/30))-1&lt;1,0,INDEX(Motore_Startup!$AB$425:$AB$484,MAX(1,57-(INT((Motore_Operativo!L481)/30))-1)))*(MOD((Motore_Operativo!L481),30)/30))</f>
        <v>227453.527819227</v>
      </c>
      <c r="AD481" s="15" t="n">
        <f aca="false">(AD480)+AB481-AC481</f>
        <v>707197.495464393</v>
      </c>
      <c r="AE481" s="15" t="n">
        <f aca="false">Motore_Operativo!BH481*(1+Parametri_v3!$C$26)</f>
        <v>14146.9166666667</v>
      </c>
      <c r="AF481" s="15" t="n">
        <f aca="false">(IF(57-(INT((Parametri_v3!$C$29)/30))&lt;1,0,INDEX(Motore_Operativo!$BH$425:$BH$484,MAX(1,57-(INT((Parametri_v3!$C$29)/30)))))*(1-(MOD((Parametri_v3!$C$29),30)/30))+IF(57-(INT((Parametri_v3!$C$29)/30))-1&lt;1,0,INDEX(Motore_Operativo!$BH$425:$BH$484,MAX(1,57-(INT((Parametri_v3!$C$29)/30))-1)))*(MOD((Parametri_v3!$C$29),30)/30))*(1+Parametri_v3!$C$26)</f>
        <v>14146.9166666667</v>
      </c>
      <c r="AG481" s="15" t="n">
        <f aca="false">(AG480)+AE481-AF481</f>
        <v>14146.9166666667</v>
      </c>
      <c r="AH481" s="15" t="n">
        <f aca="false">(Motore_Operativo!CJ481)*(1+Parametri_v3!$C$27*Parametri_v3!$C$26)</f>
        <v>95795.8573805037</v>
      </c>
      <c r="AI481" s="15" t="n">
        <f aca="false">(IF(57-(INT((Ipotesi!$C$91)/30))&lt;1,0,INDEX(Motore_Startup!$AH$425:$AH$484,MAX(1,57-(INT((Ipotesi!$C$91)/30)))))*(1-(MOD((Ipotesi!$C$91),30)/30))+IF(57-(INT((Ipotesi!$C$91)/30))-1&lt;1,0,INDEX(Motore_Startup!$AH$425:$AH$484,MAX(1,57-(INT((Ipotesi!$C$91)/30))-1)))*(MOD((Ipotesi!$C$91),30)/30))</f>
        <v>94676.3871161839</v>
      </c>
      <c r="AJ481" s="15" t="n">
        <f aca="false">(AJ480)+AH481-AI481</f>
        <v>191034.436862318</v>
      </c>
      <c r="AK481" s="15" t="n">
        <f aca="false">(F481+ Motore_Operativo!BH481-(Motore_Operativo!CJ481)*Parametri_v3!$C$27-Motore_Operativo!CE481)*Parametri_v3!$C$26</f>
        <v>29791.8045391898</v>
      </c>
      <c r="AL481" s="15" t="n">
        <f aca="false">MAX(0,(AM480))</f>
        <v>29141.8370200907</v>
      </c>
      <c r="AM481" s="15" t="n">
        <f aca="false">(AM480)+AK481-AL481</f>
        <v>29791.8045391898</v>
      </c>
      <c r="AN481" s="15" t="n">
        <f aca="false">SUM(X461:X472)</f>
        <v>0</v>
      </c>
      <c r="AO481" s="15" t="n">
        <f aca="false">SUM(AP461:AP472)</f>
        <v>0</v>
      </c>
      <c r="AP481" s="15" t="n">
        <f aca="false">MAX(0,AN481)*IF(9=Parametri_v3!$C$43,Parametri_v3!$C$45,IF(9=Parametri_v3!$C$44,1-Parametri_v3!$C$45,0))</f>
        <v>0</v>
      </c>
      <c r="AQ481" s="15" t="n">
        <f aca="false">MAX(0,AP481+IF(9=Parametri_v3!$C$43,MAX(0,AN481-AO481),0)-MAX(0,-(AR480)))</f>
        <v>0</v>
      </c>
      <c r="AR481" s="15" t="n">
        <f aca="false">(AR480)+X481-AQ481</f>
        <v>0</v>
      </c>
      <c r="AS481" s="15" t="n">
        <f aca="false">Motore_Operativo!AB481-AT481+AU481</f>
        <v>113503.461904792</v>
      </c>
      <c r="AT481" s="15" t="n">
        <f aca="false">Motore_Operativo!CH481</f>
        <v>5973.86641604167</v>
      </c>
      <c r="AU481" s="15" t="n">
        <f aca="false">MIN(MAX(0,(AV480)+AT481),Parametri_v3!$C$60/12)</f>
        <v>0</v>
      </c>
      <c r="AV481" s="15" t="n">
        <f aca="false">(AV480)+AT481-AU481</f>
        <v>190820.348119375</v>
      </c>
      <c r="AW481" s="15" t="n">
        <f aca="false">IF(AND(Motore_Operativo!C481=Finanziamenti!$D$6,Finanziamenti!$F$6=1),Finanziamenti!$C$6,0)</f>
        <v>0</v>
      </c>
      <c r="AX481" s="15" t="n">
        <f aca="false">IF(AND(8&lt;&gt;7,8&lt;&gt;9,Finanziamenti!$F$8=1,OR(Parametri_v3!$C$6=0,Finanziamenti!$E$8=1),Motore_Operativo!C481=EDATE(Finanziamenti!$D$8,Ipotesi!J15*12)),Finanziamenti!$C$8*1,0)+IF(AND(8&lt;&gt;7,8&lt;&gt;9,Finanziamenti!$F$9=1,OR(Parametri_v3!$C$6=0,Finanziamenti!$E$9=1),Motore_Operativo!C481=EDATE(Finanziamenti!$D$9,Ipotesi!J15*12)),Finanziamenti!$C$9*Ipotesi!J16,0)</f>
        <v>0</v>
      </c>
      <c r="AY481" s="15" t="n">
        <f aca="false">0</f>
        <v>0</v>
      </c>
      <c r="AZ481" s="15" t="n">
        <f aca="false">Motore_Advisory!AY481*(1-Ipotesi!$C$95)*Ipotesi!$C$96</f>
        <v>0</v>
      </c>
      <c r="BA481" s="15" t="n">
        <f aca="false">MAX(0,MIN(CG481*MIN(1,IF(Motore_Operativo!C481&gt;=EDATE(Finanziamenti!$D$15,Ipotesi!J14*12),Finanziamenti!$C$15,0)+IF(Motore_Operativo!C481&gt;=EDATE(Finanziamenti!$D$16,Ipotesi!J14*12),Finanziamenti!$C$16,0)+IF(Motore_Operativo!C481&gt;=EDATE(Finanziamenti!$D$17,Ipotesi!J14*12),Finanziamenti!$C$17,0)),CA481*Ipotesi!$C$102)-(CC480))</f>
        <v>0</v>
      </c>
      <c r="BB481" s="15" t="n">
        <f aca="false">IF(AND(CF481&gt;0,Motore_Operativo!C481&gt;=IF(CF481=0,0,EDATE(CF481,Parametri_v3!$C$37)),MOD(((D481-YEAR(IF(CF481=0,0,EDATE(CF481,Parametri_v3!$C$37))))*12+E481-MONTH(IF(CF481=0,0,EDATE(CF481,Parametri_v3!$C$37)))),Parametri_v3!$C$38)=0),MIN(MAX(0,(BC480)+BA481-N481),(CC481-CD481)/(Ipotesi!$C$108*12/Parametri_v3!$C$38)),0)</f>
        <v>0</v>
      </c>
      <c r="BC481" s="15" t="n">
        <f aca="false">(BC480)+BA481-N481-BB481</f>
        <v>225584.047351372</v>
      </c>
      <c r="BD481" s="15" t="n">
        <f aca="false">(BH480)+AC481+AF481-AI481-AS481-K481*(1+Parametri_v3!$C$26)-AL481-AQ481-O481+AW481+AX481+AZ481+BA481-BB481</f>
        <v>-72870.9684004738</v>
      </c>
      <c r="BE481" s="15" t="n">
        <f aca="false">MAX(0,MIN(MAX(0,CH481-(BG480)),Parametri_v3!$C$30-BD481))</f>
        <v>0</v>
      </c>
      <c r="BF481" s="15" t="n">
        <f aca="false">IF(Motore_Operativo!C481&gt;=Parametri_v3!$C$63,(BG480),MIN((BG480),MAX(0,BD481-Parametri_v3!$C$30)))</f>
        <v>0</v>
      </c>
      <c r="BG481" s="15" t="n">
        <f aca="false">(BG480)+BE481-BF481</f>
        <v>0</v>
      </c>
      <c r="BH481" s="15" t="n">
        <f aca="false">BD481+BE481-BF481-AY481</f>
        <v>-72870.9684004738</v>
      </c>
      <c r="BI481" s="15" t="n">
        <f aca="false">MAX(0,Parametri_v3!$C$30-BH481)</f>
        <v>97870.9684004738</v>
      </c>
      <c r="BJ481" s="15" t="n">
        <f aca="false">(BJ480)+K481</f>
        <v>152500</v>
      </c>
      <c r="BK481" s="15" t="n">
        <f aca="false">(BK480)+L481</f>
        <v>90173.6111111111</v>
      </c>
      <c r="BL481" s="15" t="n">
        <f aca="false">BJ481-BK481</f>
        <v>62326.3888888888</v>
      </c>
      <c r="BM481" s="15" t="n">
        <f aca="false">(BM480)+Y481</f>
        <v>-1361861.21368635</v>
      </c>
      <c r="BN481" s="15" t="n">
        <f aca="false">(BN480)+AW481+AX481+AZ481</f>
        <v>1435430.40943357</v>
      </c>
      <c r="BO481" s="15" t="n">
        <f aca="false">(BO480)+AY481</f>
        <v>0</v>
      </c>
      <c r="BP481" s="15" t="n">
        <f aca="false">0</f>
        <v>0</v>
      </c>
      <c r="BQ481" s="15" t="n">
        <f aca="false">BN481+BM481-BO481</f>
        <v>73569.1957472209</v>
      </c>
      <c r="BR481" s="15" t="n">
        <f aca="false">BH481+AD481+BL481+MAX(0,-AM481)+MAX(0,-AR481)+AG481</f>
        <v>710799.832619475</v>
      </c>
      <c r="BS481" s="15" t="n">
        <f aca="false">AJ481+AV481+MAX(0,AM481)+MAX(0,AR481)+BC481+BG481+BQ481</f>
        <v>710799.832619476</v>
      </c>
      <c r="BT481" s="15" t="n">
        <f aca="false">BR481-BS481</f>
        <v>0</v>
      </c>
      <c r="BU481" s="15" t="n">
        <f aca="false">BH481-(BD481+BE481-BF481-AY481)</f>
        <v>0</v>
      </c>
      <c r="BV481" s="15" t="n">
        <f aca="false">MIN(Piano_SS!$C$6,(BV480)+IF(AND(Motore_Operativo!C481&gt;=EDATE(Parametri_v3!$C$24,Ipotesi!J14*12),Motore_Operativo!C481&lt;EDATE(Parametri_v3!$C$24,Parametri_v3!$C$25+Ipotesi!J14*12)),MAX(0,(Motore_Operativo!Y481+Motore_Operativo!X481*Parametri_v3!$C$14)*(1-Parametri_v3!$C$32))*Piano_SS!$D$6,0))</f>
        <v>300000</v>
      </c>
      <c r="BW481" s="15" t="n">
        <f aca="false">MIN(Piano_SS!$C$7,(BW480)+IF(AND(Motore_Operativo!C481&gt;=EDATE(Parametri_v3!$C$24,Ipotesi!J14*12),Motore_Operativo!C481&lt;EDATE(Parametri_v3!$C$24,Parametri_v3!$C$25+Ipotesi!J14*12)),MAX(0,(IF(57-(INT((Ipotesi!$C$91)/30))&lt;1,0,INDEX(Motore_Operativo!$BN$425:$BN$484,MAX(1,57-(INT((Ipotesi!$C$91)/30)))))*(1-(MOD((Ipotesi!$C$91),30)/30))+IF(57-(INT((Ipotesi!$C$91)/30))-1&lt;1,0,INDEX(Motore_Operativo!$BN$425:$BN$484,MAX(1,57-(INT((Ipotesi!$C$91)/30))-1)))*(MOD((Ipotesi!$C$91),30)/30)))*Piano_SS!$D$7,0))</f>
        <v>41058.9230070837</v>
      </c>
      <c r="BX481" s="15" t="n">
        <f aca="false">MIN(Piano_SS!$C$8,(BX480)+IF(AND(Motore_Operativo!C481&gt;=EDATE(Parametri_v3!$C$24,Ipotesi!J14*12),Motore_Operativo!C481&lt;EDATE(Parametri_v3!$C$24,Parametri_v3!$C$25+Ipotesi!J14*12)),MAX(0,Motore_Operativo!CE481)*Piano_SS!$D$8,0))</f>
        <v>50000</v>
      </c>
      <c r="BY481" s="15" t="n">
        <f aca="false">MIN(Piano_SS!$C$9,(BY480)+IF(AND(Motore_Operativo!C481&gt;=EDATE(Parametri_v3!$C$24,Ipotesi!J14*12),Motore_Operativo!C481&lt;EDATE(Parametri_v3!$C$24,Parametri_v3!$C$25+Ipotesi!J14*12)),MAX(0,((IF(57-(INT((Ipotesi!$C$91)/30))&lt;1,0,INDEX(Motore_Operativo!$BQ$425:$BQ$484,MAX(1,57-(INT((Ipotesi!$C$91)/30)))))*(1-(MOD((Ipotesi!$C$91),30)/30))+IF(57-(INT((Ipotesi!$C$91)/30))-1&lt;1,0,INDEX(Motore_Operativo!$BQ$425:$BQ$484,MAX(1,57-(INT((Ipotesi!$C$91)/30))-1)))*(MOD((Ipotesi!$C$91),30)/30))+(IF(57-(INT((Ipotesi!$C$91)/30))&lt;1,0,INDEX(Motore_Operativo!$BR$425:$BR$484,MAX(1,57-(INT((Ipotesi!$C$91)/30)))))*(1-(MOD((Ipotesi!$C$91),30)/30))+IF(57-(INT((Ipotesi!$C$91)/30))-1&lt;1,0,INDEX(Motore_Operativo!$BR$425:$BR$484,MAX(1,57-(INT((Ipotesi!$C$91)/30))-1)))*(MOD((Ipotesi!$C$91),30)/30))))*Piano_SS!$D$9,0))</f>
        <v>40000</v>
      </c>
      <c r="BZ481" s="15" t="n">
        <f aca="false">MIN(Piano_SS!$C$10,(BZ480)+IF(AND(Motore_Operativo!C481&gt;=EDATE(Parametri_v3!$C$24,Ipotesi!J14*12),Motore_Operativo!C481&lt;EDATE(Parametri_v3!$C$24,Parametri_v3!$C$25+Ipotesi!J14*12)),MAX(0,(IF(57-(INT((Ipotesi!$C$91)/30))&lt;1,0,INDEX(Motore_Operativo!$BO$425:$BO$484,MAX(1,57-(INT((Ipotesi!$C$91)/30)))))*(1-(MOD((Ipotesi!$C$91),30)/30))+IF(57-(INT((Ipotesi!$C$91)/30))-1&lt;1,0,INDEX(Motore_Operativo!$BO$425:$BO$484,MAX(1,57-(INT((Ipotesi!$C$91)/30))-1)))*(MOD((Ipotesi!$C$91),30)/30)))*Piano_SS!$D$10,0))</f>
        <v>30000</v>
      </c>
      <c r="CA481" s="15" t="n">
        <f aca="false">SUM(BV481:BZ481)</f>
        <v>461058.923007084</v>
      </c>
      <c r="CB481" s="15" t="n">
        <f aca="false">BV481*(1-Piano_SS!$E$6)+BW481*(1-Piano_SS!$E$7)+BX481*(1-Piano_SS!$E$8)+BY481*(1-Piano_SS!$E$9)+BZ481*(1-Piano_SS!$E$10)</f>
        <v>431058.923007084</v>
      </c>
      <c r="CC481" s="15" t="n">
        <f aca="false">(CC480)+BA481</f>
        <v>368847.138405667</v>
      </c>
      <c r="CD481" s="15" t="n">
        <f aca="false">IF(CA481=0,0,CC481*CB481/CA481*Ipotesi!$C$103*Parametri_v3!$C$64)</f>
        <v>103454.1415217</v>
      </c>
      <c r="CE481" s="18" t="n">
        <f aca="false">IF(BA481&gt;0,Motore_Operativo!C481,(CE480))</f>
        <v>47270</v>
      </c>
      <c r="CF481" s="18" t="n">
        <f aca="false">IF(AND(CC481&gt;0,OR(CC481&gt;=CG481-0.01,Motore_Operativo!C481&gt;=EDATE(MAX(Finanziamenti!$D$15:$D$17),Ipotesi!J14*12))),CE481,0)</f>
        <v>47270</v>
      </c>
      <c r="CG481" s="15" t="n">
        <f aca="false">IF(AND(8&lt;&gt;6,8&lt;&gt;9,Finanziamenti!$F$11=1,OR(Parametri_v3!$C$6=0,Finanziamenti!$E$11=1)),MIN(Finanziamenti!$C$11,Piano_SS!$C$12*Ipotesi!$C$102),0)</f>
        <v>400000</v>
      </c>
      <c r="CH481" s="15" t="n">
        <f aca="false">IF(AND(AND(8&lt;&gt;8,8&lt;&gt;9,Finanziamenti!$F$10=1,OR(Parametri_v3!$C$6=0,Finanziamenti!$E$10=1)),Motore_Operativo!C481&gt;=Finanziamenti!$D$10,Motore_Operativo!C481&lt;Parametri_v3!$C$63),Finanziamenti!$C$10,0)</f>
        <v>0</v>
      </c>
    </row>
    <row r="482" customFormat="false" ht="18" hidden="false" customHeight="true" outlineLevel="0" collapsed="false">
      <c r="A482" s="68" t="n">
        <f aca="false">8</f>
        <v>8</v>
      </c>
      <c r="B482" s="68" t="n">
        <f aca="false">58</f>
        <v>58</v>
      </c>
      <c r="C482" s="18" t="n">
        <f aca="false">Motore_Operativo!C482</f>
        <v>48122</v>
      </c>
      <c r="D482" s="68" t="n">
        <f aca="false">Motore_Operativo!D482</f>
        <v>2031</v>
      </c>
      <c r="E482" s="68" t="n">
        <f aca="false">Motore_Operativo!E482</f>
        <v>10</v>
      </c>
      <c r="F482" s="15" t="n">
        <f aca="false">Motore_Operativo!AQ482+Motore_Operativo!BF482</f>
        <v>199910.821484386</v>
      </c>
      <c r="G482" s="15" t="n">
        <f aca="false">Motore_Operativo!BH482</f>
        <v>11595.8333333333</v>
      </c>
      <c r="H482" s="15" t="n">
        <f aca="false">Motore_Operativo!BI482</f>
        <v>211506.654817719</v>
      </c>
      <c r="I482" s="15" t="n">
        <f aca="false">Motore_Operativo!CA482</f>
        <v>200646.884995314</v>
      </c>
      <c r="J482" s="15" t="n">
        <f aca="false">Motore_Operativo!CC482</f>
        <v>10859.7698224054</v>
      </c>
      <c r="K482" s="15" t="n">
        <f aca="false">Motore_Operativo!CE482</f>
        <v>4166.66666666667</v>
      </c>
      <c r="L482" s="15" t="n">
        <f aca="false">SUM(INDEX($K$425:$K$484,MAX(1,58-Parametri_v3!$C$59+1)):K482)/Parametri_v3!$C$59</f>
        <v>3217.59259259259</v>
      </c>
      <c r="M482" s="15" t="n">
        <f aca="false">J482-L482</f>
        <v>7642.17722981277</v>
      </c>
      <c r="N482" s="15" t="n">
        <f aca="false">CD482-(CD481)</f>
        <v>0</v>
      </c>
      <c r="O482" s="15" t="n">
        <f aca="false">(BG481)*Ipotesi!$C$110/12+CH482*Parametri_v3!$C$39/12</f>
        <v>0</v>
      </c>
      <c r="P482" s="15" t="n">
        <f aca="false">M482+N482-O482</f>
        <v>7642.17722981277</v>
      </c>
      <c r="Q482" s="15" t="n">
        <f aca="false">SUM(P473:P482)+Parametri_v3!$C$54*10/12</f>
        <v>-49166.571726869</v>
      </c>
      <c r="R482" s="15" t="n">
        <f aca="false">Z472</f>
        <v>997327.618759451</v>
      </c>
      <c r="S482" s="15" t="n">
        <f aca="false">AA472</f>
        <v>307724.845970214</v>
      </c>
      <c r="T482" s="15" t="n">
        <f aca="false">MIN(R482,MAX(0,Q482))</f>
        <v>0</v>
      </c>
      <c r="U482" s="15" t="n">
        <f aca="false">MIN(S482,MAX(0,Q482-T482)*Parametri_v3!$C$42)</f>
        <v>0</v>
      </c>
      <c r="V482" s="15" t="n">
        <f aca="false">MAX(0,Q482-T482-U482)*Ipotesi!$C$92</f>
        <v>0</v>
      </c>
      <c r="W482" s="15" t="n">
        <f aca="false">MAX(0,SUM(M473:M482)+Parametri_v3!$C$55*10/12)*Ipotesi!$C$93</f>
        <v>0</v>
      </c>
      <c r="X482" s="15" t="n">
        <f aca="false">V482+W482-(V481+W481)</f>
        <v>0</v>
      </c>
      <c r="Y482" s="15" t="n">
        <f aca="false">P482-X482</f>
        <v>7642.17722981277</v>
      </c>
      <c r="Z482" s="15" t="n">
        <f aca="false">R482-T482+IF(AND(Parametri_v3!$C$40=1,D482-YEAR(Parametri_v3!$C$50)&lt;Parametri_v3!$C$41),MAX(0,-Q482),0)</f>
        <v>997327.618759451</v>
      </c>
      <c r="AA482" s="15" t="n">
        <f aca="false">S482-U482+IF(AND(Parametri_v3!$C$40=1,D482-YEAR(Parametri_v3!$C$50)&lt;Parametri_v3!$C$41),0,MAX(0,-Q482))</f>
        <v>356891.417697083</v>
      </c>
      <c r="AB482" s="15" t="n">
        <f aca="false">F482*(1+Parametri_v3!$C$26)</f>
        <v>243891.202210951</v>
      </c>
      <c r="AC482" s="15" t="n">
        <f aca="false">(IF(58-(INT((Motore_Operativo!L482)/30))&lt;1,0,INDEX(Motore_Startup!$AB$425:$AB$484,MAX(1,58-(INT((Motore_Operativo!L482)/30)))))*(1-(MOD((Motore_Operativo!L482),30)/30))+IF(58-(INT((Motore_Operativo!L482)/30))-1&lt;1,0,INDEX(Motore_Startup!$AB$425:$AB$484,MAX(1,58-(INT((Motore_Operativo!L482)/30))-1)))*(MOD((Motore_Operativo!L482),30)/30))</f>
        <v>231617.225072678</v>
      </c>
      <c r="AD482" s="15" t="n">
        <f aca="false">(AD481)+AB482-AC482</f>
        <v>719471.472602666</v>
      </c>
      <c r="AE482" s="15" t="n">
        <f aca="false">Motore_Operativo!BH482*(1+Parametri_v3!$C$26)</f>
        <v>14146.9166666667</v>
      </c>
      <c r="AF482" s="15" t="n">
        <f aca="false">(IF(58-(INT((Parametri_v3!$C$29)/30))&lt;1,0,INDEX(Motore_Operativo!$BH$425:$BH$484,MAX(1,58-(INT((Parametri_v3!$C$29)/30)))))*(1-(MOD((Parametri_v3!$C$29),30)/30))+IF(58-(INT((Parametri_v3!$C$29)/30))-1&lt;1,0,INDEX(Motore_Operativo!$BH$425:$BH$484,MAX(1,58-(INT((Parametri_v3!$C$29)/30))-1)))*(MOD((Parametri_v3!$C$29),30)/30))*(1+Parametri_v3!$C$26)</f>
        <v>14146.9166666667</v>
      </c>
      <c r="AG482" s="15" t="n">
        <f aca="false">(AG481)+AE482-AF482</f>
        <v>14146.9166666667</v>
      </c>
      <c r="AH482" s="15" t="n">
        <f aca="false">(Motore_Operativo!CJ482)*(1+Parametri_v3!$C$27*Parametri_v3!$C$26)</f>
        <v>96348.2637726086</v>
      </c>
      <c r="AI482" s="15" t="n">
        <f aca="false">(IF(58-(INT((Ipotesi!$C$91)/30))&lt;1,0,INDEX(Motore_Startup!$AH$425:$AH$484,MAX(1,58-(INT((Ipotesi!$C$91)/30)))))*(1-(MOD((Ipotesi!$C$91),30)/30))+IF(58-(INT((Ipotesi!$C$91)/30))-1&lt;1,0,INDEX(Motore_Startup!$AH$425:$AH$484,MAX(1,58-(INT((Ipotesi!$C$91)/30))-1)))*(MOD((Ipotesi!$C$91),30)/30))</f>
        <v>95238.5794818148</v>
      </c>
      <c r="AJ482" s="15" t="n">
        <f aca="false">(AJ481)+AH482-AI482</f>
        <v>192144.121153112</v>
      </c>
      <c r="AK482" s="15" t="n">
        <f aca="false">(F482+ Motore_Operativo!BH482-(Motore_Operativo!CJ482)*Parametri_v3!$C$27-Motore_Operativo!CE482)*Parametri_v3!$C$26</f>
        <v>30436.0902951037</v>
      </c>
      <c r="AL482" s="15" t="n">
        <f aca="false">MAX(0,(AM481))</f>
        <v>29791.8045391898</v>
      </c>
      <c r="AM482" s="15" t="n">
        <f aca="false">(AM481)+AK482-AL482</f>
        <v>30436.0902951037</v>
      </c>
      <c r="AN482" s="15" t="n">
        <f aca="false">SUM(X461:X472)</f>
        <v>0</v>
      </c>
      <c r="AO482" s="15" t="n">
        <f aca="false">SUM(AP461:AP472)</f>
        <v>0</v>
      </c>
      <c r="AP482" s="15" t="n">
        <f aca="false">MAX(0,AN482)*IF(10=Parametri_v3!$C$43,Parametri_v3!$C$45,IF(10=Parametri_v3!$C$44,1-Parametri_v3!$C$45,0))</f>
        <v>0</v>
      </c>
      <c r="AQ482" s="15" t="n">
        <f aca="false">MAX(0,AP482+IF(10=Parametri_v3!$C$43,MAX(0,AN482-AO482),0)-MAX(0,-(AR481)))</f>
        <v>0</v>
      </c>
      <c r="AR482" s="15" t="n">
        <f aca="false">(AR481)+X482-AQ482</f>
        <v>0</v>
      </c>
      <c r="AS482" s="15" t="n">
        <f aca="false">Motore_Operativo!AB482-AT482+AU482</f>
        <v>113503.461904792</v>
      </c>
      <c r="AT482" s="15" t="n">
        <f aca="false">Motore_Operativo!CH482</f>
        <v>5973.86641604167</v>
      </c>
      <c r="AU482" s="15" t="n">
        <f aca="false">MIN(MAX(0,(AV481)+AT482),Parametri_v3!$C$60/12)</f>
        <v>0</v>
      </c>
      <c r="AV482" s="15" t="n">
        <f aca="false">(AV481)+AT482-AU482</f>
        <v>196794.214535417</v>
      </c>
      <c r="AW482" s="15" t="n">
        <f aca="false">IF(AND(Motore_Operativo!C482=Finanziamenti!$D$6,Finanziamenti!$F$6=1),Finanziamenti!$C$6,0)</f>
        <v>0</v>
      </c>
      <c r="AX482" s="15" t="n">
        <f aca="false">IF(AND(8&lt;&gt;7,8&lt;&gt;9,Finanziamenti!$F$8=1,OR(Parametri_v3!$C$6=0,Finanziamenti!$E$8=1),Motore_Operativo!C482=EDATE(Finanziamenti!$D$8,Ipotesi!J15*12)),Finanziamenti!$C$8*1,0)+IF(AND(8&lt;&gt;7,8&lt;&gt;9,Finanziamenti!$F$9=1,OR(Parametri_v3!$C$6=0,Finanziamenti!$E$9=1),Motore_Operativo!C482=EDATE(Finanziamenti!$D$9,Ipotesi!J15*12)),Finanziamenti!$C$9*Ipotesi!J16,0)</f>
        <v>0</v>
      </c>
      <c r="AY482" s="15" t="n">
        <f aca="false">0</f>
        <v>0</v>
      </c>
      <c r="AZ482" s="15" t="n">
        <f aca="false">Motore_Advisory!AY482*(1-Ipotesi!$C$95)*Ipotesi!$C$96</f>
        <v>0</v>
      </c>
      <c r="BA482" s="15" t="n">
        <f aca="false">MAX(0,MIN(CG482*MIN(1,IF(Motore_Operativo!C482&gt;=EDATE(Finanziamenti!$D$15,Ipotesi!J14*12),Finanziamenti!$C$15,0)+IF(Motore_Operativo!C482&gt;=EDATE(Finanziamenti!$D$16,Ipotesi!J14*12),Finanziamenti!$C$16,0)+IF(Motore_Operativo!C482&gt;=EDATE(Finanziamenti!$D$17,Ipotesi!J14*12),Finanziamenti!$C$17,0)),CA482*Ipotesi!$C$102)-(CC481))</f>
        <v>0</v>
      </c>
      <c r="BB482" s="15" t="n">
        <f aca="false">IF(AND(CF482&gt;0,Motore_Operativo!C482&gt;=IF(CF482=0,0,EDATE(CF482,Parametri_v3!$C$37)),MOD(((D482-YEAR(IF(CF482=0,0,EDATE(CF482,Parametri_v3!$C$37))))*12+E482-MONTH(IF(CF482=0,0,EDATE(CF482,Parametri_v3!$C$37)))),Parametri_v3!$C$38)=0),MIN(MAX(0,(BC481)+BA482-N482),(CC482-CD482)/(Ipotesi!$C$108*12/Parametri_v3!$C$38)),0)</f>
        <v>0</v>
      </c>
      <c r="BC482" s="15" t="n">
        <f aca="false">(BC481)+BA482-N482-BB482</f>
        <v>225584.047351372</v>
      </c>
      <c r="BD482" s="15" t="n">
        <f aca="false">(BH481)+AC482+AF482-AI482-AS482-K482*(1+Parametri_v3!$C$26)-AL482-AQ482-O482+AW482+AX482+AZ482+BA482-BB482</f>
        <v>-70724.0059202588</v>
      </c>
      <c r="BE482" s="15" t="n">
        <f aca="false">MAX(0,MIN(MAX(0,CH482-(BG481)),Parametri_v3!$C$30-BD482))</f>
        <v>0</v>
      </c>
      <c r="BF482" s="15" t="n">
        <f aca="false">IF(Motore_Operativo!C482&gt;=Parametri_v3!$C$63,(BG481),MIN((BG481),MAX(0,BD482-Parametri_v3!$C$30)))</f>
        <v>0</v>
      </c>
      <c r="BG482" s="15" t="n">
        <f aca="false">(BG481)+BE482-BF482</f>
        <v>0</v>
      </c>
      <c r="BH482" s="15" t="n">
        <f aca="false">BD482+BE482-BF482-AY482</f>
        <v>-70724.0059202588</v>
      </c>
      <c r="BI482" s="15" t="n">
        <f aca="false">MAX(0,Parametri_v3!$C$30-BH482)</f>
        <v>95724.0059202588</v>
      </c>
      <c r="BJ482" s="15" t="n">
        <f aca="false">(BJ481)+K482</f>
        <v>156666.666666667</v>
      </c>
      <c r="BK482" s="15" t="n">
        <f aca="false">(BK481)+L482</f>
        <v>93391.2037037037</v>
      </c>
      <c r="BL482" s="15" t="n">
        <f aca="false">BJ482-BK482</f>
        <v>63275.4629629629</v>
      </c>
      <c r="BM482" s="15" t="n">
        <f aca="false">(BM481)+Y482</f>
        <v>-1354219.03645653</v>
      </c>
      <c r="BN482" s="15" t="n">
        <f aca="false">(BN481)+AW482+AX482+AZ482</f>
        <v>1435430.40943357</v>
      </c>
      <c r="BO482" s="15" t="n">
        <f aca="false">(BO481)+AY482</f>
        <v>0</v>
      </c>
      <c r="BP482" s="15" t="n">
        <f aca="false">0</f>
        <v>0</v>
      </c>
      <c r="BQ482" s="15" t="n">
        <f aca="false">BN482+BM482-BO482</f>
        <v>81211.3729770337</v>
      </c>
      <c r="BR482" s="15" t="n">
        <f aca="false">BH482+AD482+BL482+MAX(0,-AM482)+MAX(0,-AR482)+AG482</f>
        <v>726169.846312037</v>
      </c>
      <c r="BS482" s="15" t="n">
        <f aca="false">AJ482+AV482+MAX(0,AM482)+MAX(0,AR482)+BC482+BG482+BQ482</f>
        <v>726169.846312038</v>
      </c>
      <c r="BT482" s="15" t="n">
        <f aca="false">BR482-BS482</f>
        <v>0</v>
      </c>
      <c r="BU482" s="15" t="n">
        <f aca="false">BH482-(BD482+BE482-BF482-AY482)</f>
        <v>0</v>
      </c>
      <c r="BV482" s="15" t="n">
        <f aca="false">MIN(Piano_SS!$C$6,(BV481)+IF(AND(Motore_Operativo!C482&gt;=EDATE(Parametri_v3!$C$24,Ipotesi!J14*12),Motore_Operativo!C482&lt;EDATE(Parametri_v3!$C$24,Parametri_v3!$C$25+Ipotesi!J14*12)),MAX(0,(Motore_Operativo!Y482+Motore_Operativo!X482*Parametri_v3!$C$14)*(1-Parametri_v3!$C$32))*Piano_SS!$D$6,0))</f>
        <v>300000</v>
      </c>
      <c r="BW482" s="15" t="n">
        <f aca="false">MIN(Piano_SS!$C$7,(BW481)+IF(AND(Motore_Operativo!C482&gt;=EDATE(Parametri_v3!$C$24,Ipotesi!J14*12),Motore_Operativo!C482&lt;EDATE(Parametri_v3!$C$24,Parametri_v3!$C$25+Ipotesi!J14*12)),MAX(0,(IF(58-(INT((Ipotesi!$C$91)/30))&lt;1,0,INDEX(Motore_Operativo!$BN$425:$BN$484,MAX(1,58-(INT((Ipotesi!$C$91)/30)))))*(1-(MOD((Ipotesi!$C$91),30)/30))+IF(58-(INT((Ipotesi!$C$91)/30))-1&lt;1,0,INDEX(Motore_Operativo!$BN$425:$BN$484,MAX(1,58-(INT((Ipotesi!$C$91)/30))-1)))*(MOD((Ipotesi!$C$91),30)/30)))*Piano_SS!$D$7,0))</f>
        <v>41058.9230070837</v>
      </c>
      <c r="BX482" s="15" t="n">
        <f aca="false">MIN(Piano_SS!$C$8,(BX481)+IF(AND(Motore_Operativo!C482&gt;=EDATE(Parametri_v3!$C$24,Ipotesi!J14*12),Motore_Operativo!C482&lt;EDATE(Parametri_v3!$C$24,Parametri_v3!$C$25+Ipotesi!J14*12)),MAX(0,Motore_Operativo!CE482)*Piano_SS!$D$8,0))</f>
        <v>50000</v>
      </c>
      <c r="BY482" s="15" t="n">
        <f aca="false">MIN(Piano_SS!$C$9,(BY481)+IF(AND(Motore_Operativo!C482&gt;=EDATE(Parametri_v3!$C$24,Ipotesi!J14*12),Motore_Operativo!C482&lt;EDATE(Parametri_v3!$C$24,Parametri_v3!$C$25+Ipotesi!J14*12)),MAX(0,((IF(58-(INT((Ipotesi!$C$91)/30))&lt;1,0,INDEX(Motore_Operativo!$BQ$425:$BQ$484,MAX(1,58-(INT((Ipotesi!$C$91)/30)))))*(1-(MOD((Ipotesi!$C$91),30)/30))+IF(58-(INT((Ipotesi!$C$91)/30))-1&lt;1,0,INDEX(Motore_Operativo!$BQ$425:$BQ$484,MAX(1,58-(INT((Ipotesi!$C$91)/30))-1)))*(MOD((Ipotesi!$C$91),30)/30))+(IF(58-(INT((Ipotesi!$C$91)/30))&lt;1,0,INDEX(Motore_Operativo!$BR$425:$BR$484,MAX(1,58-(INT((Ipotesi!$C$91)/30)))))*(1-(MOD((Ipotesi!$C$91),30)/30))+IF(58-(INT((Ipotesi!$C$91)/30))-1&lt;1,0,INDEX(Motore_Operativo!$BR$425:$BR$484,MAX(1,58-(INT((Ipotesi!$C$91)/30))-1)))*(MOD((Ipotesi!$C$91),30)/30))))*Piano_SS!$D$9,0))</f>
        <v>40000</v>
      </c>
      <c r="BZ482" s="15" t="n">
        <f aca="false">MIN(Piano_SS!$C$10,(BZ481)+IF(AND(Motore_Operativo!C482&gt;=EDATE(Parametri_v3!$C$24,Ipotesi!J14*12),Motore_Operativo!C482&lt;EDATE(Parametri_v3!$C$24,Parametri_v3!$C$25+Ipotesi!J14*12)),MAX(0,(IF(58-(INT((Ipotesi!$C$91)/30))&lt;1,0,INDEX(Motore_Operativo!$BO$425:$BO$484,MAX(1,58-(INT((Ipotesi!$C$91)/30)))))*(1-(MOD((Ipotesi!$C$91),30)/30))+IF(58-(INT((Ipotesi!$C$91)/30))-1&lt;1,0,INDEX(Motore_Operativo!$BO$425:$BO$484,MAX(1,58-(INT((Ipotesi!$C$91)/30))-1)))*(MOD((Ipotesi!$C$91),30)/30)))*Piano_SS!$D$10,0))</f>
        <v>30000</v>
      </c>
      <c r="CA482" s="15" t="n">
        <f aca="false">SUM(BV482:BZ482)</f>
        <v>461058.923007084</v>
      </c>
      <c r="CB482" s="15" t="n">
        <f aca="false">BV482*(1-Piano_SS!$E$6)+BW482*(1-Piano_SS!$E$7)+BX482*(1-Piano_SS!$E$8)+BY482*(1-Piano_SS!$E$9)+BZ482*(1-Piano_SS!$E$10)</f>
        <v>431058.923007084</v>
      </c>
      <c r="CC482" s="15" t="n">
        <f aca="false">(CC481)+BA482</f>
        <v>368847.138405667</v>
      </c>
      <c r="CD482" s="15" t="n">
        <f aca="false">IF(CA482=0,0,CC482*CB482/CA482*Ipotesi!$C$103*Parametri_v3!$C$64)</f>
        <v>103454.1415217</v>
      </c>
      <c r="CE482" s="18" t="n">
        <f aca="false">IF(BA482&gt;0,Motore_Operativo!C482,(CE481))</f>
        <v>47270</v>
      </c>
      <c r="CF482" s="18" t="n">
        <f aca="false">IF(AND(CC482&gt;0,OR(CC482&gt;=CG482-0.01,Motore_Operativo!C482&gt;=EDATE(MAX(Finanziamenti!$D$15:$D$17),Ipotesi!J14*12))),CE482,0)</f>
        <v>47270</v>
      </c>
      <c r="CG482" s="15" t="n">
        <f aca="false">IF(AND(8&lt;&gt;6,8&lt;&gt;9,Finanziamenti!$F$11=1,OR(Parametri_v3!$C$6=0,Finanziamenti!$E$11=1)),MIN(Finanziamenti!$C$11,Piano_SS!$C$12*Ipotesi!$C$102),0)</f>
        <v>400000</v>
      </c>
      <c r="CH482" s="15" t="n">
        <f aca="false">IF(AND(AND(8&lt;&gt;8,8&lt;&gt;9,Finanziamenti!$F$10=1,OR(Parametri_v3!$C$6=0,Finanziamenti!$E$10=1)),Motore_Operativo!C482&gt;=Finanziamenti!$D$10,Motore_Operativo!C482&lt;Parametri_v3!$C$63),Finanziamenti!$C$10,0)</f>
        <v>0</v>
      </c>
    </row>
    <row r="483" customFormat="false" ht="18" hidden="false" customHeight="true" outlineLevel="0" collapsed="false">
      <c r="A483" s="68" t="n">
        <f aca="false">8</f>
        <v>8</v>
      </c>
      <c r="B483" s="68" t="n">
        <f aca="false">59</f>
        <v>59</v>
      </c>
      <c r="C483" s="18" t="n">
        <f aca="false">Motore_Operativo!C483</f>
        <v>48153</v>
      </c>
      <c r="D483" s="68" t="n">
        <f aca="false">Motore_Operativo!D483</f>
        <v>2031</v>
      </c>
      <c r="E483" s="68" t="n">
        <f aca="false">Motore_Operativo!E483</f>
        <v>11</v>
      </c>
      <c r="F483" s="15" t="n">
        <f aca="false">Motore_Operativo!AQ483+Motore_Operativo!BF483</f>
        <v>203205.907958909</v>
      </c>
      <c r="G483" s="15" t="n">
        <f aca="false">Motore_Operativo!BH483</f>
        <v>11595.8333333333</v>
      </c>
      <c r="H483" s="15" t="n">
        <f aca="false">Motore_Operativo!BI483</f>
        <v>214801.741292243</v>
      </c>
      <c r="I483" s="15" t="n">
        <f aca="false">Motore_Operativo!CA483</f>
        <v>201108.197101747</v>
      </c>
      <c r="J483" s="15" t="n">
        <f aca="false">Motore_Operativo!CC483</f>
        <v>13693.5441904952</v>
      </c>
      <c r="K483" s="15" t="n">
        <f aca="false">Motore_Operativo!CE483</f>
        <v>4166.66666666667</v>
      </c>
      <c r="L483" s="15" t="n">
        <f aca="false">SUM(INDEX($K$425:$K$484,MAX(1,59-Parametri_v3!$C$59+1)):K483)/Parametri_v3!$C$59</f>
        <v>3275.46296296296</v>
      </c>
      <c r="M483" s="15" t="n">
        <f aca="false">J483-L483</f>
        <v>10418.0812275323</v>
      </c>
      <c r="N483" s="15" t="n">
        <f aca="false">CD483-(CD482)</f>
        <v>0</v>
      </c>
      <c r="O483" s="15" t="n">
        <f aca="false">(BG482)*Ipotesi!$C$110/12+CH483*Parametri_v3!$C$39/12</f>
        <v>0</v>
      </c>
      <c r="P483" s="15" t="n">
        <f aca="false">M483+N483-O483</f>
        <v>10418.0812275323</v>
      </c>
      <c r="Q483" s="15" t="n">
        <f aca="false">SUM(P473:P483)+Parametri_v3!$C$54*11/12</f>
        <v>-38748.4904993367</v>
      </c>
      <c r="R483" s="15" t="n">
        <f aca="false">Z472</f>
        <v>997327.618759451</v>
      </c>
      <c r="S483" s="15" t="n">
        <f aca="false">AA472</f>
        <v>307724.845970214</v>
      </c>
      <c r="T483" s="15" t="n">
        <f aca="false">MIN(R483,MAX(0,Q483))</f>
        <v>0</v>
      </c>
      <c r="U483" s="15" t="n">
        <f aca="false">MIN(S483,MAX(0,Q483-T483)*Parametri_v3!$C$42)</f>
        <v>0</v>
      </c>
      <c r="V483" s="15" t="n">
        <f aca="false">MAX(0,Q483-T483-U483)*Ipotesi!$C$92</f>
        <v>0</v>
      </c>
      <c r="W483" s="15" t="n">
        <f aca="false">MAX(0,SUM(M473:M483)+Parametri_v3!$C$55*11/12)*Ipotesi!$C$93</f>
        <v>0</v>
      </c>
      <c r="X483" s="15" t="n">
        <f aca="false">V483+W483-(V482+W482)</f>
        <v>0</v>
      </c>
      <c r="Y483" s="15" t="n">
        <f aca="false">P483-X483</f>
        <v>10418.0812275323</v>
      </c>
      <c r="Z483" s="15" t="n">
        <f aca="false">R483-T483+IF(AND(Parametri_v3!$C$40=1,D483-YEAR(Parametri_v3!$C$50)&lt;Parametri_v3!$C$41),MAX(0,-Q483),0)</f>
        <v>997327.618759451</v>
      </c>
      <c r="AA483" s="15" t="n">
        <f aca="false">S483-U483+IF(AND(Parametri_v3!$C$40=1,D483-YEAR(Parametri_v3!$C$50)&lt;Parametri_v3!$C$41),0,MAX(0,-Q483))</f>
        <v>346473.336469551</v>
      </c>
      <c r="AB483" s="15" t="n">
        <f aca="false">F483*(1+Parametri_v3!$C$26)</f>
        <v>247911.207709869</v>
      </c>
      <c r="AC483" s="15" t="n">
        <f aca="false">(IF(59-(INT((Motore_Operativo!L483)/30))&lt;1,0,INDEX(Motore_Startup!$AB$425:$AB$484,MAX(1,59-(INT((Motore_Operativo!L483)/30)))))*(1-(MOD((Motore_Operativo!L483),30)/30))+IF(59-(INT((Motore_Operativo!L483)/30))-1&lt;1,0,INDEX(Motore_Startup!$AB$425:$AB$484,MAX(1,59-(INT((Motore_Operativo!L483)/30))-1)))*(MOD((Motore_Operativo!L483),30)/30))</f>
        <v>235744.524904606</v>
      </c>
      <c r="AD483" s="15" t="n">
        <f aca="false">(AD482)+AB483-AC483</f>
        <v>731638.15540793</v>
      </c>
      <c r="AE483" s="15" t="n">
        <f aca="false">Motore_Operativo!BH483*(1+Parametri_v3!$C$26)</f>
        <v>14146.9166666667</v>
      </c>
      <c r="AF483" s="15" t="n">
        <f aca="false">(IF(59-(INT((Parametri_v3!$C$29)/30))&lt;1,0,INDEX(Motore_Operativo!$BH$425:$BH$484,MAX(1,59-(INT((Parametri_v3!$C$29)/30)))))*(1-(MOD((Parametri_v3!$C$29),30)/30))+IF(59-(INT((Parametri_v3!$C$29)/30))-1&lt;1,0,INDEX(Motore_Operativo!$BH$425:$BH$484,MAX(1,59-(INT((Parametri_v3!$C$29)/30))-1)))*(MOD((Parametri_v3!$C$29),30)/30))*(1+Parametri_v3!$C$26)</f>
        <v>14146.9166666667</v>
      </c>
      <c r="AG483" s="15" t="n">
        <f aca="false">(AG482)+AE483-AF483</f>
        <v>14146.9166666667</v>
      </c>
      <c r="AH483" s="15" t="n">
        <f aca="false">(Motore_Operativo!CJ483)*(1+Parametri_v3!$C$27*Parametri_v3!$C$26)</f>
        <v>96895.8412429449</v>
      </c>
      <c r="AI483" s="15" t="n">
        <f aca="false">(IF(59-(INT((Ipotesi!$C$91)/30))&lt;1,0,INDEX(Motore_Startup!$AH$425:$AH$484,MAX(1,59-(INT((Ipotesi!$C$91)/30)))))*(1-(MOD((Ipotesi!$C$91),30)/30))+IF(59-(INT((Ipotesi!$C$91)/30))-1&lt;1,0,INDEX(Motore_Startup!$AH$425:$AH$484,MAX(1,59-(INT((Ipotesi!$C$91)/30))-1)))*(MOD((Ipotesi!$C$91),30)/30))</f>
        <v>95795.8573805037</v>
      </c>
      <c r="AJ483" s="15" t="n">
        <f aca="false">(AJ482)+AH483-AI483</f>
        <v>193244.105015553</v>
      </c>
      <c r="AK483" s="15" t="n">
        <f aca="false">(F483+ Motore_Operativo!BH483-(Motore_Operativo!CJ483)*Parametri_v3!$C$27-Motore_Operativo!CE483)*Parametri_v3!$C$26</f>
        <v>31074.7439555958</v>
      </c>
      <c r="AL483" s="15" t="n">
        <f aca="false">MAX(0,(AM482))</f>
        <v>30436.0902951037</v>
      </c>
      <c r="AM483" s="15" t="n">
        <f aca="false">(AM482)+AK483-AL483</f>
        <v>31074.7439555958</v>
      </c>
      <c r="AN483" s="15" t="n">
        <f aca="false">SUM(X461:X472)</f>
        <v>0</v>
      </c>
      <c r="AO483" s="15" t="n">
        <f aca="false">SUM(AP461:AP472)</f>
        <v>0</v>
      </c>
      <c r="AP483" s="15" t="n">
        <f aca="false">MAX(0,AN483)*IF(11=Parametri_v3!$C$43,Parametri_v3!$C$45,IF(11=Parametri_v3!$C$44,1-Parametri_v3!$C$45,0))</f>
        <v>0</v>
      </c>
      <c r="AQ483" s="15" t="n">
        <f aca="false">MAX(0,AP483+IF(11=Parametri_v3!$C$43,MAX(0,AN483-AO483),0)-MAX(0,-(AR482)))</f>
        <v>0</v>
      </c>
      <c r="AR483" s="15" t="n">
        <f aca="false">(AR482)+X483-AQ483</f>
        <v>0</v>
      </c>
      <c r="AS483" s="15" t="n">
        <f aca="false">Motore_Operativo!AB483-AT483+AU483</f>
        <v>113503.461904792</v>
      </c>
      <c r="AT483" s="15" t="n">
        <f aca="false">Motore_Operativo!CH483</f>
        <v>5973.86641604167</v>
      </c>
      <c r="AU483" s="15" t="n">
        <f aca="false">MIN(MAX(0,(AV482)+AT483),Parametri_v3!$C$60/12)</f>
        <v>0</v>
      </c>
      <c r="AV483" s="15" t="n">
        <f aca="false">(AV482)+AT483-AU483</f>
        <v>202768.080951459</v>
      </c>
      <c r="AW483" s="15" t="n">
        <f aca="false">IF(AND(Motore_Operativo!C483=Finanziamenti!$D$6,Finanziamenti!$F$6=1),Finanziamenti!$C$6,0)</f>
        <v>0</v>
      </c>
      <c r="AX483" s="15" t="n">
        <f aca="false">IF(AND(8&lt;&gt;7,8&lt;&gt;9,Finanziamenti!$F$8=1,OR(Parametri_v3!$C$6=0,Finanziamenti!$E$8=1),Motore_Operativo!C483=EDATE(Finanziamenti!$D$8,Ipotesi!J15*12)),Finanziamenti!$C$8*1,0)+IF(AND(8&lt;&gt;7,8&lt;&gt;9,Finanziamenti!$F$9=1,OR(Parametri_v3!$C$6=0,Finanziamenti!$E$9=1),Motore_Operativo!C483=EDATE(Finanziamenti!$D$9,Ipotesi!J15*12)),Finanziamenti!$C$9*Ipotesi!J16,0)</f>
        <v>0</v>
      </c>
      <c r="AY483" s="15" t="n">
        <f aca="false">0</f>
        <v>0</v>
      </c>
      <c r="AZ483" s="15" t="n">
        <f aca="false">Motore_Advisory!AY483*(1-Ipotesi!$C$95)*Ipotesi!$C$96</f>
        <v>0</v>
      </c>
      <c r="BA483" s="15" t="n">
        <f aca="false">MAX(0,MIN(CG483*MIN(1,IF(Motore_Operativo!C483&gt;=EDATE(Finanziamenti!$D$15,Ipotesi!J14*12),Finanziamenti!$C$15,0)+IF(Motore_Operativo!C483&gt;=EDATE(Finanziamenti!$D$16,Ipotesi!J14*12),Finanziamenti!$C$16,0)+IF(Motore_Operativo!C483&gt;=EDATE(Finanziamenti!$D$17,Ipotesi!J14*12),Finanziamenti!$C$17,0)),CA483*Ipotesi!$C$102)-(CC482))</f>
        <v>0</v>
      </c>
      <c r="BB483" s="15" t="n">
        <f aca="false">IF(AND(CF483&gt;0,Motore_Operativo!C483&gt;=IF(CF483=0,0,EDATE(CF483,Parametri_v3!$C$37)),MOD(((D483-YEAR(IF(CF483=0,0,EDATE(CF483,Parametri_v3!$C$37))))*12+E483-MONTH(IF(CF483=0,0,EDATE(CF483,Parametri_v3!$C$37)))),Parametri_v3!$C$38)=0),MIN(MAX(0,(BC482)+BA483-N483),(CC483-CD483)/(Ipotesi!$C$108*12/Parametri_v3!$C$38)),0)</f>
        <v>0</v>
      </c>
      <c r="BC483" s="15" t="n">
        <f aca="false">(BC482)+BA483-N483-BB483</f>
        <v>225584.047351372</v>
      </c>
      <c r="BD483" s="15" t="n">
        <f aca="false">(BH482)+AC483+AF483-AI483-AS483-K483*(1+Parametri_v3!$C$26)-AL483-AQ483-O483+AW483+AX483+AZ483+BA483-BB483</f>
        <v>-65651.3072627188</v>
      </c>
      <c r="BE483" s="15" t="n">
        <f aca="false">MAX(0,MIN(MAX(0,CH483-(BG482)),Parametri_v3!$C$30-BD483))</f>
        <v>0</v>
      </c>
      <c r="BF483" s="15" t="n">
        <f aca="false">IF(Motore_Operativo!C483&gt;=Parametri_v3!$C$63,(BG482),MIN((BG482),MAX(0,BD483-Parametri_v3!$C$30)))</f>
        <v>0</v>
      </c>
      <c r="BG483" s="15" t="n">
        <f aca="false">(BG482)+BE483-BF483</f>
        <v>0</v>
      </c>
      <c r="BH483" s="15" t="n">
        <f aca="false">BD483+BE483-BF483-AY483</f>
        <v>-65651.3072627188</v>
      </c>
      <c r="BI483" s="15" t="n">
        <f aca="false">MAX(0,Parametri_v3!$C$30-BH483)</f>
        <v>90651.3072627188</v>
      </c>
      <c r="BJ483" s="15" t="n">
        <f aca="false">(BJ482)+K483</f>
        <v>160833.333333333</v>
      </c>
      <c r="BK483" s="15" t="n">
        <f aca="false">(BK482)+L483</f>
        <v>96666.6666666667</v>
      </c>
      <c r="BL483" s="15" t="n">
        <f aca="false">BJ483-BK483</f>
        <v>64166.6666666665</v>
      </c>
      <c r="BM483" s="15" t="n">
        <f aca="false">(BM482)+Y483</f>
        <v>-1343800.955229</v>
      </c>
      <c r="BN483" s="15" t="n">
        <f aca="false">(BN482)+AW483+AX483+AZ483</f>
        <v>1435430.40943357</v>
      </c>
      <c r="BO483" s="15" t="n">
        <f aca="false">(BO482)+AY483</f>
        <v>0</v>
      </c>
      <c r="BP483" s="15" t="n">
        <f aca="false">0</f>
        <v>0</v>
      </c>
      <c r="BQ483" s="15" t="n">
        <f aca="false">BN483+BM483-BO483</f>
        <v>91629.4542045661</v>
      </c>
      <c r="BR483" s="15" t="n">
        <f aca="false">BH483+AD483+BL483+MAX(0,-AM483)+MAX(0,-AR483)+AG483</f>
        <v>744300.431478544</v>
      </c>
      <c r="BS483" s="15" t="n">
        <f aca="false">AJ483+AV483+MAX(0,AM483)+MAX(0,AR483)+BC483+BG483+BQ483</f>
        <v>744300.431478546</v>
      </c>
      <c r="BT483" s="15" t="n">
        <f aca="false">BR483-BS483</f>
        <v>0</v>
      </c>
      <c r="BU483" s="15" t="n">
        <f aca="false">BH483-(BD483+BE483-BF483-AY483)</f>
        <v>0</v>
      </c>
      <c r="BV483" s="15" t="n">
        <f aca="false">MIN(Piano_SS!$C$6,(BV482)+IF(AND(Motore_Operativo!C483&gt;=EDATE(Parametri_v3!$C$24,Ipotesi!J14*12),Motore_Operativo!C483&lt;EDATE(Parametri_v3!$C$24,Parametri_v3!$C$25+Ipotesi!J14*12)),MAX(0,(Motore_Operativo!Y483+Motore_Operativo!X483*Parametri_v3!$C$14)*(1-Parametri_v3!$C$32))*Piano_SS!$D$6,0))</f>
        <v>300000</v>
      </c>
      <c r="BW483" s="15" t="n">
        <f aca="false">MIN(Piano_SS!$C$7,(BW482)+IF(AND(Motore_Operativo!C483&gt;=EDATE(Parametri_v3!$C$24,Ipotesi!J14*12),Motore_Operativo!C483&lt;EDATE(Parametri_v3!$C$24,Parametri_v3!$C$25+Ipotesi!J14*12)),MAX(0,(IF(59-(INT((Ipotesi!$C$91)/30))&lt;1,0,INDEX(Motore_Operativo!$BN$425:$BN$484,MAX(1,59-(INT((Ipotesi!$C$91)/30)))))*(1-(MOD((Ipotesi!$C$91),30)/30))+IF(59-(INT((Ipotesi!$C$91)/30))-1&lt;1,0,INDEX(Motore_Operativo!$BN$425:$BN$484,MAX(1,59-(INT((Ipotesi!$C$91)/30))-1)))*(MOD((Ipotesi!$C$91),30)/30)))*Piano_SS!$D$7,0))</f>
        <v>41058.9230070837</v>
      </c>
      <c r="BX483" s="15" t="n">
        <f aca="false">MIN(Piano_SS!$C$8,(BX482)+IF(AND(Motore_Operativo!C483&gt;=EDATE(Parametri_v3!$C$24,Ipotesi!J14*12),Motore_Operativo!C483&lt;EDATE(Parametri_v3!$C$24,Parametri_v3!$C$25+Ipotesi!J14*12)),MAX(0,Motore_Operativo!CE483)*Piano_SS!$D$8,0))</f>
        <v>50000</v>
      </c>
      <c r="BY483" s="15" t="n">
        <f aca="false">MIN(Piano_SS!$C$9,(BY482)+IF(AND(Motore_Operativo!C483&gt;=EDATE(Parametri_v3!$C$24,Ipotesi!J14*12),Motore_Operativo!C483&lt;EDATE(Parametri_v3!$C$24,Parametri_v3!$C$25+Ipotesi!J14*12)),MAX(0,((IF(59-(INT((Ipotesi!$C$91)/30))&lt;1,0,INDEX(Motore_Operativo!$BQ$425:$BQ$484,MAX(1,59-(INT((Ipotesi!$C$91)/30)))))*(1-(MOD((Ipotesi!$C$91),30)/30))+IF(59-(INT((Ipotesi!$C$91)/30))-1&lt;1,0,INDEX(Motore_Operativo!$BQ$425:$BQ$484,MAX(1,59-(INT((Ipotesi!$C$91)/30))-1)))*(MOD((Ipotesi!$C$91),30)/30))+(IF(59-(INT((Ipotesi!$C$91)/30))&lt;1,0,INDEX(Motore_Operativo!$BR$425:$BR$484,MAX(1,59-(INT((Ipotesi!$C$91)/30)))))*(1-(MOD((Ipotesi!$C$91),30)/30))+IF(59-(INT((Ipotesi!$C$91)/30))-1&lt;1,0,INDEX(Motore_Operativo!$BR$425:$BR$484,MAX(1,59-(INT((Ipotesi!$C$91)/30))-1)))*(MOD((Ipotesi!$C$91),30)/30))))*Piano_SS!$D$9,0))</f>
        <v>40000</v>
      </c>
      <c r="BZ483" s="15" t="n">
        <f aca="false">MIN(Piano_SS!$C$10,(BZ482)+IF(AND(Motore_Operativo!C483&gt;=EDATE(Parametri_v3!$C$24,Ipotesi!J14*12),Motore_Operativo!C483&lt;EDATE(Parametri_v3!$C$24,Parametri_v3!$C$25+Ipotesi!J14*12)),MAX(0,(IF(59-(INT((Ipotesi!$C$91)/30))&lt;1,0,INDEX(Motore_Operativo!$BO$425:$BO$484,MAX(1,59-(INT((Ipotesi!$C$91)/30)))))*(1-(MOD((Ipotesi!$C$91),30)/30))+IF(59-(INT((Ipotesi!$C$91)/30))-1&lt;1,0,INDEX(Motore_Operativo!$BO$425:$BO$484,MAX(1,59-(INT((Ipotesi!$C$91)/30))-1)))*(MOD((Ipotesi!$C$91),30)/30)))*Piano_SS!$D$10,0))</f>
        <v>30000</v>
      </c>
      <c r="CA483" s="15" t="n">
        <f aca="false">SUM(BV483:BZ483)</f>
        <v>461058.923007084</v>
      </c>
      <c r="CB483" s="15" t="n">
        <f aca="false">BV483*(1-Piano_SS!$E$6)+BW483*(1-Piano_SS!$E$7)+BX483*(1-Piano_SS!$E$8)+BY483*(1-Piano_SS!$E$9)+BZ483*(1-Piano_SS!$E$10)</f>
        <v>431058.923007084</v>
      </c>
      <c r="CC483" s="15" t="n">
        <f aca="false">(CC482)+BA483</f>
        <v>368847.138405667</v>
      </c>
      <c r="CD483" s="15" t="n">
        <f aca="false">IF(CA483=0,0,CC483*CB483/CA483*Ipotesi!$C$103*Parametri_v3!$C$64)</f>
        <v>103454.1415217</v>
      </c>
      <c r="CE483" s="18" t="n">
        <f aca="false">IF(BA483&gt;0,Motore_Operativo!C483,(CE482))</f>
        <v>47270</v>
      </c>
      <c r="CF483" s="18" t="n">
        <f aca="false">IF(AND(CC483&gt;0,OR(CC483&gt;=CG483-0.01,Motore_Operativo!C483&gt;=EDATE(MAX(Finanziamenti!$D$15:$D$17),Ipotesi!J14*12))),CE483,0)</f>
        <v>47270</v>
      </c>
      <c r="CG483" s="15" t="n">
        <f aca="false">IF(AND(8&lt;&gt;6,8&lt;&gt;9,Finanziamenti!$F$11=1,OR(Parametri_v3!$C$6=0,Finanziamenti!$E$11=1)),MIN(Finanziamenti!$C$11,Piano_SS!$C$12*Ipotesi!$C$102),0)</f>
        <v>400000</v>
      </c>
      <c r="CH483" s="15" t="n">
        <f aca="false">IF(AND(AND(8&lt;&gt;8,8&lt;&gt;9,Finanziamenti!$F$10=1,OR(Parametri_v3!$C$6=0,Finanziamenti!$E$10=1)),Motore_Operativo!C483&gt;=Finanziamenti!$D$10,Motore_Operativo!C483&lt;Parametri_v3!$C$63),Finanziamenti!$C$10,0)</f>
        <v>0</v>
      </c>
    </row>
    <row r="484" customFormat="false" ht="18" hidden="false" customHeight="true" outlineLevel="0" collapsed="false">
      <c r="A484" s="68" t="n">
        <f aca="false">8</f>
        <v>8</v>
      </c>
      <c r="B484" s="68" t="n">
        <f aca="false">60</f>
        <v>60</v>
      </c>
      <c r="C484" s="18" t="n">
        <f aca="false">Motore_Operativo!C484</f>
        <v>48183</v>
      </c>
      <c r="D484" s="68" t="n">
        <f aca="false">Motore_Operativo!D484</f>
        <v>2031</v>
      </c>
      <c r="E484" s="68" t="n">
        <f aca="false">Motore_Operativo!E484</f>
        <v>12</v>
      </c>
      <c r="F484" s="15" t="n">
        <f aca="false">Motore_Operativo!AQ484+Motore_Operativo!BF484</f>
        <v>206472.19006941</v>
      </c>
      <c r="G484" s="15" t="n">
        <f aca="false">Motore_Operativo!BH484</f>
        <v>11595.8333333333</v>
      </c>
      <c r="H484" s="15" t="n">
        <f aca="false">Motore_Operativo!BI484</f>
        <v>218068.023402743</v>
      </c>
      <c r="I484" s="15" t="n">
        <f aca="false">Motore_Operativo!CA484</f>
        <v>201565.476597217</v>
      </c>
      <c r="J484" s="15" t="n">
        <f aca="false">Motore_Operativo!CC484</f>
        <v>16502.5468055258</v>
      </c>
      <c r="K484" s="15" t="n">
        <f aca="false">Motore_Operativo!CE484</f>
        <v>4166.66666666667</v>
      </c>
      <c r="L484" s="15" t="n">
        <f aca="false">SUM(INDEX($K$425:$K$484,MAX(1,60-Parametri_v3!$C$59+1)):K484)/Parametri_v3!$C$59</f>
        <v>3333.33333333333</v>
      </c>
      <c r="M484" s="15" t="n">
        <f aca="false">J484-L484</f>
        <v>13169.2134721925</v>
      </c>
      <c r="N484" s="15" t="n">
        <f aca="false">CD484-(CD483)</f>
        <v>0</v>
      </c>
      <c r="O484" s="15" t="n">
        <f aca="false">(BG483)*Ipotesi!$C$110/12+CH484*Parametri_v3!$C$39/12</f>
        <v>0</v>
      </c>
      <c r="P484" s="15" t="n">
        <f aca="false">M484+N484-O484</f>
        <v>13169.2134721925</v>
      </c>
      <c r="Q484" s="15" t="n">
        <f aca="false">SUM(P473:P484)+Parametri_v3!$C$54*12/12</f>
        <v>-25579.2770271442</v>
      </c>
      <c r="R484" s="15" t="n">
        <f aca="false">Z472</f>
        <v>997327.618759451</v>
      </c>
      <c r="S484" s="15" t="n">
        <f aca="false">AA472</f>
        <v>307724.845970214</v>
      </c>
      <c r="T484" s="15" t="n">
        <f aca="false">MIN(R484,MAX(0,Q484))</f>
        <v>0</v>
      </c>
      <c r="U484" s="15" t="n">
        <f aca="false">MIN(S484,MAX(0,Q484-T484)*Parametri_v3!$C$42)</f>
        <v>0</v>
      </c>
      <c r="V484" s="15" t="n">
        <f aca="false">MAX(0,Q484-T484-U484)*Ipotesi!$C$92</f>
        <v>0</v>
      </c>
      <c r="W484" s="15" t="n">
        <f aca="false">MAX(0,SUM(M473:M484)+Parametri_v3!$C$55*12/12)*Ipotesi!$C$93</f>
        <v>0</v>
      </c>
      <c r="X484" s="15" t="n">
        <f aca="false">V484+W484-(V483+W483)</f>
        <v>0</v>
      </c>
      <c r="Y484" s="15" t="n">
        <f aca="false">P484-X484</f>
        <v>13169.2134721925</v>
      </c>
      <c r="Z484" s="15" t="n">
        <f aca="false">R484-T484+IF(AND(Parametri_v3!$C$40=1,D484-YEAR(Parametri_v3!$C$50)&lt;Parametri_v3!$C$41),MAX(0,-Q484),0)</f>
        <v>997327.618759451</v>
      </c>
      <c r="AA484" s="15" t="n">
        <f aca="false">S484-U484+IF(AND(Parametri_v3!$C$40=1,D484-YEAR(Parametri_v3!$C$50)&lt;Parametri_v3!$C$41),0,MAX(0,-Q484))</f>
        <v>333304.122997358</v>
      </c>
      <c r="AB484" s="15" t="n">
        <f aca="false">F484*(1+Parametri_v3!$C$26)</f>
        <v>251896.07188468</v>
      </c>
      <c r="AC484" s="15" t="n">
        <f aca="false">(IF(60-(INT((Motore_Operativo!L484)/30))&lt;1,0,INDEX(Motore_Startup!$AB$425:$AB$484,MAX(1,60-(INT((Motore_Operativo!L484)/30)))))*(1-(MOD((Motore_Operativo!L484),30)/30))+IF(60-(INT((Motore_Operativo!L484)/30))-1&lt;1,0,INDEX(Motore_Startup!$AB$425:$AB$484,MAX(1,60-(INT((Motore_Operativo!L484)/30))-1)))*(MOD((Motore_Operativo!L484),30)/30))</f>
        <v>239835.745487109</v>
      </c>
      <c r="AD484" s="15" t="n">
        <f aca="false">(AD483)+AB484-AC484</f>
        <v>743698.4818055</v>
      </c>
      <c r="AE484" s="15" t="n">
        <f aca="false">Motore_Operativo!BH484*(1+Parametri_v3!$C$26)</f>
        <v>14146.9166666667</v>
      </c>
      <c r="AF484" s="15" t="n">
        <f aca="false">(IF(60-(INT((Parametri_v3!$C$29)/30))&lt;1,0,INDEX(Motore_Operativo!$BH$425:$BH$484,MAX(1,60-(INT((Parametri_v3!$C$29)/30)))))*(1-(MOD((Parametri_v3!$C$29),30)/30))+IF(60-(INT((Parametri_v3!$C$29)/30))-1&lt;1,0,INDEX(Motore_Operativo!$BH$425:$BH$484,MAX(1,60-(INT((Parametri_v3!$C$29)/30))-1)))*(MOD((Parametri_v3!$C$29),30)/30))*(1+Parametri_v3!$C$26)</f>
        <v>14146.9166666667</v>
      </c>
      <c r="AG484" s="15" t="n">
        <f aca="false">(AG483)+AE484-AF484</f>
        <v>14146.9166666667</v>
      </c>
      <c r="AH484" s="15" t="n">
        <f aca="false">(Motore_Operativo!CJ484)*(1+Parametri_v3!$C$27*Parametri_v3!$C$26)</f>
        <v>97438.6320040679</v>
      </c>
      <c r="AI484" s="15" t="n">
        <f aca="false">(IF(60-(INT((Ipotesi!$C$91)/30))&lt;1,0,INDEX(Motore_Startup!$AH$425:$AH$484,MAX(1,60-(INT((Ipotesi!$C$91)/30)))))*(1-(MOD((Ipotesi!$C$91),30)/30))+IF(60-(INT((Ipotesi!$C$91)/30))-1&lt;1,0,INDEX(Motore_Startup!$AH$425:$AH$484,MAX(1,60-(INT((Ipotesi!$C$91)/30))-1)))*(MOD((Ipotesi!$C$91),30)/30))</f>
        <v>96348.2637726086</v>
      </c>
      <c r="AJ484" s="15" t="n">
        <f aca="false">(AJ483)+AH484-AI484</f>
        <v>194334.473247013</v>
      </c>
      <c r="AK484" s="15" t="n">
        <f aca="false">(F484+ Motore_Operativo!BH484-(Motore_Operativo!CJ484)*Parametri_v3!$C$27-Motore_Operativo!CE484)*Parametri_v3!$C$26</f>
        <v>31707.814754253</v>
      </c>
      <c r="AL484" s="15" t="n">
        <f aca="false">MAX(0,(AM483))</f>
        <v>31074.7439555958</v>
      </c>
      <c r="AM484" s="15" t="n">
        <f aca="false">(AM483)+AK484-AL484</f>
        <v>31707.814754253</v>
      </c>
      <c r="AN484" s="15" t="n">
        <f aca="false">SUM(X461:X472)</f>
        <v>0</v>
      </c>
      <c r="AO484" s="15" t="n">
        <f aca="false">SUM(AP461:AP472)</f>
        <v>0</v>
      </c>
      <c r="AP484" s="15" t="n">
        <f aca="false">MAX(0,AN484)*IF(12=Parametri_v3!$C$43,Parametri_v3!$C$45,IF(12=Parametri_v3!$C$44,1-Parametri_v3!$C$45,0))</f>
        <v>0</v>
      </c>
      <c r="AQ484" s="15" t="n">
        <f aca="false">MAX(0,AP484+IF(12=Parametri_v3!$C$43,MAX(0,AN484-AO484),0)-MAX(0,-(AR483)))</f>
        <v>0</v>
      </c>
      <c r="AR484" s="15" t="n">
        <f aca="false">(AR483)+X484-AQ484</f>
        <v>0</v>
      </c>
      <c r="AS484" s="15" t="n">
        <f aca="false">Motore_Operativo!AB484-AT484+AU484</f>
        <v>113503.461904792</v>
      </c>
      <c r="AT484" s="15" t="n">
        <f aca="false">Motore_Operativo!CH484</f>
        <v>5973.86641604167</v>
      </c>
      <c r="AU484" s="15" t="n">
        <f aca="false">MIN(MAX(0,(AV483)+AT484),Parametri_v3!$C$60/12)</f>
        <v>0</v>
      </c>
      <c r="AV484" s="15" t="n">
        <f aca="false">(AV483)+AT484-AU484</f>
        <v>208741.9473675</v>
      </c>
      <c r="AW484" s="15" t="n">
        <f aca="false">IF(AND(Motore_Operativo!C484=Finanziamenti!$D$6,Finanziamenti!$F$6=1),Finanziamenti!$C$6,0)</f>
        <v>0</v>
      </c>
      <c r="AX484" s="15" t="n">
        <f aca="false">IF(AND(8&lt;&gt;7,8&lt;&gt;9,Finanziamenti!$F$8=1,OR(Parametri_v3!$C$6=0,Finanziamenti!$E$8=1),Motore_Operativo!C484=EDATE(Finanziamenti!$D$8,Ipotesi!J15*12)),Finanziamenti!$C$8*1,0)+IF(AND(8&lt;&gt;7,8&lt;&gt;9,Finanziamenti!$F$9=1,OR(Parametri_v3!$C$6=0,Finanziamenti!$E$9=1),Motore_Operativo!C484=EDATE(Finanziamenti!$D$9,Ipotesi!J15*12)),Finanziamenti!$C$9*Ipotesi!J16,0)</f>
        <v>0</v>
      </c>
      <c r="AY484" s="15" t="n">
        <f aca="false">0</f>
        <v>0</v>
      </c>
      <c r="AZ484" s="15" t="n">
        <f aca="false">Motore_Advisory!AY484*(1-Ipotesi!$C$95)*Ipotesi!$C$96</f>
        <v>0</v>
      </c>
      <c r="BA484" s="15" t="n">
        <f aca="false">MAX(0,MIN(CG484*MIN(1,IF(Motore_Operativo!C484&gt;=EDATE(Finanziamenti!$D$15,Ipotesi!J14*12),Finanziamenti!$C$15,0)+IF(Motore_Operativo!C484&gt;=EDATE(Finanziamenti!$D$16,Ipotesi!J14*12),Finanziamenti!$C$16,0)+IF(Motore_Operativo!C484&gt;=EDATE(Finanziamenti!$D$17,Ipotesi!J14*12),Finanziamenti!$C$17,0)),CA484*Ipotesi!$C$102)-(CC483))</f>
        <v>0</v>
      </c>
      <c r="BB484" s="15" t="n">
        <f aca="false">IF(AND(CF484&gt;0,Motore_Operativo!C484&gt;=IF(CF484=0,0,EDATE(CF484,Parametri_v3!$C$37)),MOD(((D484-YEAR(IF(CF484=0,0,EDATE(CF484,Parametri_v3!$C$37))))*12+E484-MONTH(IF(CF484=0,0,EDATE(CF484,Parametri_v3!$C$37)))),Parametri_v3!$C$38)=0),MIN(MAX(0,(BC483)+BA484-N484),(CC484-CD484)/(Ipotesi!$C$108*12/Parametri_v3!$C$38)),0)</f>
        <v>13269.6498441983</v>
      </c>
      <c r="BC484" s="15" t="n">
        <f aca="false">(BC483)+BA484-N484-BB484</f>
        <v>212314.397507174</v>
      </c>
      <c r="BD484" s="15" t="n">
        <f aca="false">(BH483)+AC484+AF484-AI484-AS484-K484*(1+Parametri_v3!$C$26)-AL484-AQ484-O484+AW484+AX484+AZ484+BA484-BB484</f>
        <v>-70948.0979194705</v>
      </c>
      <c r="BE484" s="15" t="n">
        <f aca="false">MAX(0,MIN(MAX(0,CH484-(BG483)),Parametri_v3!$C$30-BD484))</f>
        <v>0</v>
      </c>
      <c r="BF484" s="15" t="n">
        <f aca="false">IF(Motore_Operativo!C484&gt;=Parametri_v3!$C$63,(BG483),MIN((BG483),MAX(0,BD484-Parametri_v3!$C$30)))</f>
        <v>0</v>
      </c>
      <c r="BG484" s="15" t="n">
        <f aca="false">(BG483)+BE484-BF484</f>
        <v>0</v>
      </c>
      <c r="BH484" s="15" t="n">
        <f aca="false">BD484+BE484-BF484-AY484</f>
        <v>-70948.0979194705</v>
      </c>
      <c r="BI484" s="15" t="n">
        <f aca="false">MAX(0,Parametri_v3!$C$30-BH484)</f>
        <v>95948.0979194705</v>
      </c>
      <c r="BJ484" s="15" t="n">
        <f aca="false">(BJ483)+K484</f>
        <v>165000</v>
      </c>
      <c r="BK484" s="15" t="n">
        <f aca="false">(BK483)+L484</f>
        <v>100000</v>
      </c>
      <c r="BL484" s="15" t="n">
        <f aca="false">BJ484-BK484</f>
        <v>64999.9999999999</v>
      </c>
      <c r="BM484" s="15" t="n">
        <f aca="false">(BM483)+Y484</f>
        <v>-1330631.74175681</v>
      </c>
      <c r="BN484" s="15" t="n">
        <f aca="false">(BN483)+AW484+AX484+AZ484</f>
        <v>1435430.40943357</v>
      </c>
      <c r="BO484" s="15" t="n">
        <f aca="false">(BO483)+AY484</f>
        <v>0</v>
      </c>
      <c r="BP484" s="15" t="n">
        <f aca="false">0</f>
        <v>0</v>
      </c>
      <c r="BQ484" s="15" t="n">
        <f aca="false">BN484+BM484-BO484</f>
        <v>104798.667676758</v>
      </c>
      <c r="BR484" s="15" t="n">
        <f aca="false">BH484+AD484+BL484+MAX(0,-AM484)+MAX(0,-AR484)+AG484</f>
        <v>751897.300552696</v>
      </c>
      <c r="BS484" s="15" t="n">
        <f aca="false">AJ484+AV484+MAX(0,AM484)+MAX(0,AR484)+BC484+BG484+BQ484</f>
        <v>751897.300552698</v>
      </c>
      <c r="BT484" s="15" t="n">
        <f aca="false">BR484-BS484</f>
        <v>0</v>
      </c>
      <c r="BU484" s="15" t="n">
        <f aca="false">BH484-(BD484+BE484-BF484-AY484)</f>
        <v>0</v>
      </c>
      <c r="BV484" s="15" t="n">
        <f aca="false">MIN(Piano_SS!$C$6,(BV483)+IF(AND(Motore_Operativo!C484&gt;=EDATE(Parametri_v3!$C$24,Ipotesi!J14*12),Motore_Operativo!C484&lt;EDATE(Parametri_v3!$C$24,Parametri_v3!$C$25+Ipotesi!J14*12)),MAX(0,(Motore_Operativo!Y484+Motore_Operativo!X484*Parametri_v3!$C$14)*(1-Parametri_v3!$C$32))*Piano_SS!$D$6,0))</f>
        <v>300000</v>
      </c>
      <c r="BW484" s="15" t="n">
        <f aca="false">MIN(Piano_SS!$C$7,(BW483)+IF(AND(Motore_Operativo!C484&gt;=EDATE(Parametri_v3!$C$24,Ipotesi!J14*12),Motore_Operativo!C484&lt;EDATE(Parametri_v3!$C$24,Parametri_v3!$C$25+Ipotesi!J14*12)),MAX(0,(IF(60-(INT((Ipotesi!$C$91)/30))&lt;1,0,INDEX(Motore_Operativo!$BN$425:$BN$484,MAX(1,60-(INT((Ipotesi!$C$91)/30)))))*(1-(MOD((Ipotesi!$C$91),30)/30))+IF(60-(INT((Ipotesi!$C$91)/30))-1&lt;1,0,INDEX(Motore_Operativo!$BN$425:$BN$484,MAX(1,60-(INT((Ipotesi!$C$91)/30))-1)))*(MOD((Ipotesi!$C$91),30)/30)))*Piano_SS!$D$7,0))</f>
        <v>41058.9230070837</v>
      </c>
      <c r="BX484" s="15" t="n">
        <f aca="false">MIN(Piano_SS!$C$8,(BX483)+IF(AND(Motore_Operativo!C484&gt;=EDATE(Parametri_v3!$C$24,Ipotesi!J14*12),Motore_Operativo!C484&lt;EDATE(Parametri_v3!$C$24,Parametri_v3!$C$25+Ipotesi!J14*12)),MAX(0,Motore_Operativo!CE484)*Piano_SS!$D$8,0))</f>
        <v>50000</v>
      </c>
      <c r="BY484" s="15" t="n">
        <f aca="false">MIN(Piano_SS!$C$9,(BY483)+IF(AND(Motore_Operativo!C484&gt;=EDATE(Parametri_v3!$C$24,Ipotesi!J14*12),Motore_Operativo!C484&lt;EDATE(Parametri_v3!$C$24,Parametri_v3!$C$25+Ipotesi!J14*12)),MAX(0,((IF(60-(INT((Ipotesi!$C$91)/30))&lt;1,0,INDEX(Motore_Operativo!$BQ$425:$BQ$484,MAX(1,60-(INT((Ipotesi!$C$91)/30)))))*(1-(MOD((Ipotesi!$C$91),30)/30))+IF(60-(INT((Ipotesi!$C$91)/30))-1&lt;1,0,INDEX(Motore_Operativo!$BQ$425:$BQ$484,MAX(1,60-(INT((Ipotesi!$C$91)/30))-1)))*(MOD((Ipotesi!$C$91),30)/30))+(IF(60-(INT((Ipotesi!$C$91)/30))&lt;1,0,INDEX(Motore_Operativo!$BR$425:$BR$484,MAX(1,60-(INT((Ipotesi!$C$91)/30)))))*(1-(MOD((Ipotesi!$C$91),30)/30))+IF(60-(INT((Ipotesi!$C$91)/30))-1&lt;1,0,INDEX(Motore_Operativo!$BR$425:$BR$484,MAX(1,60-(INT((Ipotesi!$C$91)/30))-1)))*(MOD((Ipotesi!$C$91),30)/30))))*Piano_SS!$D$9,0))</f>
        <v>40000</v>
      </c>
      <c r="BZ484" s="15" t="n">
        <f aca="false">MIN(Piano_SS!$C$10,(BZ483)+IF(AND(Motore_Operativo!C484&gt;=EDATE(Parametri_v3!$C$24,Ipotesi!J14*12),Motore_Operativo!C484&lt;EDATE(Parametri_v3!$C$24,Parametri_v3!$C$25+Ipotesi!J14*12)),MAX(0,(IF(60-(INT((Ipotesi!$C$91)/30))&lt;1,0,INDEX(Motore_Operativo!$BO$425:$BO$484,MAX(1,60-(INT((Ipotesi!$C$91)/30)))))*(1-(MOD((Ipotesi!$C$91),30)/30))+IF(60-(INT((Ipotesi!$C$91)/30))-1&lt;1,0,INDEX(Motore_Operativo!$BO$425:$BO$484,MAX(1,60-(INT((Ipotesi!$C$91)/30))-1)))*(MOD((Ipotesi!$C$91),30)/30)))*Piano_SS!$D$10,0))</f>
        <v>30000</v>
      </c>
      <c r="CA484" s="15" t="n">
        <f aca="false">SUM(BV484:BZ484)</f>
        <v>461058.923007084</v>
      </c>
      <c r="CB484" s="15" t="n">
        <f aca="false">BV484*(1-Piano_SS!$E$6)+BW484*(1-Piano_SS!$E$7)+BX484*(1-Piano_SS!$E$8)+BY484*(1-Piano_SS!$E$9)+BZ484*(1-Piano_SS!$E$10)</f>
        <v>431058.923007084</v>
      </c>
      <c r="CC484" s="15" t="n">
        <f aca="false">(CC483)+BA484</f>
        <v>368847.138405667</v>
      </c>
      <c r="CD484" s="15" t="n">
        <f aca="false">IF(CA484=0,0,CC484*CB484/CA484*Ipotesi!$C$103*Parametri_v3!$C$64)</f>
        <v>103454.1415217</v>
      </c>
      <c r="CE484" s="18" t="n">
        <f aca="false">IF(BA484&gt;0,Motore_Operativo!C484,(CE483))</f>
        <v>47270</v>
      </c>
      <c r="CF484" s="18" t="n">
        <f aca="false">IF(AND(CC484&gt;0,OR(CC484&gt;=CG484-0.01,Motore_Operativo!C484&gt;=EDATE(MAX(Finanziamenti!$D$15:$D$17),Ipotesi!J14*12))),CE484,0)</f>
        <v>47270</v>
      </c>
      <c r="CG484" s="15" t="n">
        <f aca="false">IF(AND(8&lt;&gt;6,8&lt;&gt;9,Finanziamenti!$F$11=1,OR(Parametri_v3!$C$6=0,Finanziamenti!$E$11=1)),MIN(Finanziamenti!$C$11,Piano_SS!$C$12*Ipotesi!$C$102),0)</f>
        <v>400000</v>
      </c>
      <c r="CH484" s="15" t="n">
        <f aca="false">IF(AND(AND(8&lt;&gt;8,8&lt;&gt;9,Finanziamenti!$F$10=1,OR(Parametri_v3!$C$6=0,Finanziamenti!$E$10=1)),Motore_Operativo!C484&gt;=Finanziamenti!$D$10,Motore_Operativo!C484&lt;Parametri_v3!$C$63),Finanziamenti!$C$10,0)</f>
        <v>0</v>
      </c>
    </row>
    <row r="485" customFormat="false" ht="18" hidden="false" customHeight="true" outlineLevel="0" collapsed="false">
      <c r="A485" s="68" t="n">
        <f aca="false">9</f>
        <v>9</v>
      </c>
      <c r="B485" s="68" t="n">
        <f aca="false">1</f>
        <v>1</v>
      </c>
      <c r="C485" s="18" t="n">
        <f aca="false">Motore_Operativo!C485</f>
        <v>46388</v>
      </c>
      <c r="D485" s="68" t="n">
        <f aca="false">Motore_Operativo!D485</f>
        <v>2027</v>
      </c>
      <c r="E485" s="68" t="n">
        <f aca="false">Motore_Operativo!E485</f>
        <v>1</v>
      </c>
      <c r="F485" s="15" t="n">
        <f aca="false">Motore_Operativo!AQ485+Motore_Operativo!BF485</f>
        <v>7500</v>
      </c>
      <c r="G485" s="15" t="n">
        <f aca="false">Motore_Operativo!BH485</f>
        <v>1621.05263157895</v>
      </c>
      <c r="H485" s="15" t="n">
        <f aca="false">Motore_Operativo!BI485</f>
        <v>9121.05263157895</v>
      </c>
      <c r="I485" s="15" t="n">
        <f aca="false">Motore_Operativo!CA485</f>
        <v>27738.2149122807</v>
      </c>
      <c r="J485" s="15" t="n">
        <f aca="false">Motore_Operativo!CC485</f>
        <v>-18617.1622807018</v>
      </c>
      <c r="K485" s="15" t="n">
        <f aca="false">Motore_Operativo!CE485</f>
        <v>1666.66666666667</v>
      </c>
      <c r="L485" s="15" t="n">
        <f aca="false">SUM(INDEX($K$485:$K$544,MAX(1,1-Parametri_v3!$C$59+1)):K485)/Parametri_v3!$C$59</f>
        <v>46.2962962962963</v>
      </c>
      <c r="M485" s="15" t="n">
        <f aca="false">J485-L485</f>
        <v>-18663.4585769981</v>
      </c>
      <c r="N485" s="15" t="n">
        <f aca="false">CD485-(0)</f>
        <v>0</v>
      </c>
      <c r="O485" s="15" t="n">
        <f aca="false">(0)*Ipotesi!$C$110/12+CH485*Parametri_v3!$C$39/12</f>
        <v>0</v>
      </c>
      <c r="P485" s="15" t="n">
        <f aca="false">M485+N485-O485</f>
        <v>-18663.4585769981</v>
      </c>
      <c r="Q485" s="15" t="n">
        <f aca="false">SUM(P485)+Parametri_v3!$C$54*1/12</f>
        <v>-18663.4585769981</v>
      </c>
      <c r="R485" s="15" t="n">
        <f aca="false">0</f>
        <v>0</v>
      </c>
      <c r="S485" s="15" t="n">
        <f aca="false">0</f>
        <v>0</v>
      </c>
      <c r="T485" s="15" t="n">
        <f aca="false">MIN(R485,MAX(0,Q485))</f>
        <v>0</v>
      </c>
      <c r="U485" s="15" t="n">
        <f aca="false">MIN(S485,MAX(0,Q485-T485)*Parametri_v3!$C$42)</f>
        <v>0</v>
      </c>
      <c r="V485" s="15" t="n">
        <f aca="false">MAX(0,Q485-T485-U485)*Ipotesi!$C$92</f>
        <v>0</v>
      </c>
      <c r="W485" s="15" t="n">
        <f aca="false">MAX(0,SUM(M485)+Parametri_v3!$C$55*1/12)*Ipotesi!$C$93</f>
        <v>0</v>
      </c>
      <c r="X485" s="15" t="n">
        <f aca="false">V485+W485-(0)</f>
        <v>0</v>
      </c>
      <c r="Y485" s="15" t="n">
        <f aca="false">P485-X485</f>
        <v>-18663.4585769981</v>
      </c>
      <c r="Z485" s="15" t="n">
        <f aca="false">R485-T485+IF(AND(Parametri_v3!$C$40=1,D485-YEAR(Parametri_v3!$C$50)&lt;Parametri_v3!$C$41),MAX(0,-Q485),0)</f>
        <v>18663.4585769981</v>
      </c>
      <c r="AA485" s="15" t="n">
        <f aca="false">S485-U485+IF(AND(Parametri_v3!$C$40=1,D485-YEAR(Parametri_v3!$C$50)&lt;Parametri_v3!$C$41),0,MAX(0,-Q485))</f>
        <v>0</v>
      </c>
      <c r="AB485" s="15" t="n">
        <f aca="false">F485*(1+Parametri_v3!$C$26)</f>
        <v>9150</v>
      </c>
      <c r="AC485" s="15" t="n">
        <f aca="false">(IF(1-(INT((Motore_Operativo!L485)/30))&lt;1,0,INDEX(Motore_Startup!$AB$485:$AB$544,MAX(1,1-(INT((Motore_Operativo!L485)/30)))))*(1-(MOD((Motore_Operativo!L485),30)/30))+IF(1-(INT((Motore_Operativo!L485)/30))-1&lt;1,0,INDEX(Motore_Startup!$AB$485:$AB$544,MAX(1,1-(INT((Motore_Operativo!L485)/30))-1)))*(MOD((Motore_Operativo!L485),30)/30))</f>
        <v>0</v>
      </c>
      <c r="AD485" s="15" t="n">
        <f aca="false">(0)+AB485-AC485</f>
        <v>9150</v>
      </c>
      <c r="AE485" s="15" t="n">
        <f aca="false">Motore_Operativo!BH485*(1+Parametri_v3!$C$26)</f>
        <v>1977.68421052632</v>
      </c>
      <c r="AF485" s="15" t="n">
        <f aca="false">(IF(1-(INT((Parametri_v3!$C$29)/30))&lt;1,0,INDEX(Motore_Operativo!$BH$485:$BH$544,MAX(1,1-(INT((Parametri_v3!$C$29)/30)))))*(1-(MOD((Parametri_v3!$C$29),30)/30))+IF(1-(INT((Parametri_v3!$C$29)/30))-1&lt;1,0,INDEX(Motore_Operativo!$BH$485:$BH$544,MAX(1,1-(INT((Parametri_v3!$C$29)/30))-1)))*(MOD((Parametri_v3!$C$29),30)/30))*(1+Parametri_v3!$C$26)</f>
        <v>0</v>
      </c>
      <c r="AG485" s="15" t="n">
        <f aca="false">(0)+AE485-AF485</f>
        <v>1977.68421052632</v>
      </c>
      <c r="AH485" s="15" t="n">
        <f aca="false">(Motore_Operativo!CJ485)*(1+Parametri_v3!$C$27*Parametri_v3!$C$26)</f>
        <v>11658.1777675439</v>
      </c>
      <c r="AI485" s="15" t="n">
        <f aca="false">(IF(1-(INT((Ipotesi!$C$91)/30))&lt;1,0,INDEX(Motore_Startup!$AH$485:$AH$544,MAX(1,1-(INT((Ipotesi!$C$91)/30)))))*(1-(MOD((Ipotesi!$C$91),30)/30))+IF(1-(INT((Ipotesi!$C$91)/30))-1&lt;1,0,INDEX(Motore_Startup!$AH$485:$AH$544,MAX(1,1-(INT((Ipotesi!$C$91)/30))-1)))*(MOD((Ipotesi!$C$91),30)/30))</f>
        <v>0</v>
      </c>
      <c r="AJ485" s="15" t="n">
        <f aca="false">(0)+AH485-AI485</f>
        <v>11658.1777675439</v>
      </c>
      <c r="AK485" s="15" t="n">
        <f aca="false">(F485+ Motore_Operativo!BH485-(Motore_Operativo!CJ485)*Parametri_v3!$C$27-Motore_Operativo!CE485)*Parametri_v3!$C$26</f>
        <v>-196.664609649123</v>
      </c>
      <c r="AL485" s="15" t="n">
        <f aca="false">MAX(0,(0))</f>
        <v>0</v>
      </c>
      <c r="AM485" s="15" t="n">
        <f aca="false">(0)+AK485-AL485</f>
        <v>-196.664609649123</v>
      </c>
      <c r="AN485" s="15" t="n">
        <f aca="false">0</f>
        <v>0</v>
      </c>
      <c r="AO485" s="15" t="n">
        <f aca="false">0</f>
        <v>0</v>
      </c>
      <c r="AP485" s="15" t="n">
        <f aca="false">MAX(0,AN485)*IF(1=Parametri_v3!$C$43,Parametri_v3!$C$45,IF(1=Parametri_v3!$C$44,1-Parametri_v3!$C$45,0))</f>
        <v>0</v>
      </c>
      <c r="AQ485" s="15" t="n">
        <f aca="false">MAX(0,AP485+IF(1=Parametri_v3!$C$43,MAX(0,AN485-AO485),0)-MAX(0,-(0)))</f>
        <v>0</v>
      </c>
      <c r="AR485" s="15" t="n">
        <f aca="false">(0)+X485-AQ485</f>
        <v>0</v>
      </c>
      <c r="AS485" s="15" t="n">
        <f aca="false">Motore_Operativo!AB485-AT485+AU485</f>
        <v>17020.8333333333</v>
      </c>
      <c r="AT485" s="15" t="n">
        <f aca="false">Motore_Operativo!CH485</f>
        <v>895.833333333334</v>
      </c>
      <c r="AU485" s="15" t="n">
        <f aca="false">MIN(MAX(0,(0)+AT485),Parametri_v3!$C$60/12)</f>
        <v>0</v>
      </c>
      <c r="AV485" s="15" t="n">
        <f aca="false">(0)+AT485-AU485</f>
        <v>895.833333333334</v>
      </c>
      <c r="AW485" s="15" t="n">
        <f aca="false">IF(AND(Motore_Operativo!C485=Finanziamenti!$D$6,Finanziamenti!$F$6=1),Finanziamenti!$C$6,0)</f>
        <v>130000</v>
      </c>
      <c r="AX485" s="15" t="n">
        <f aca="false">IF(AND(9&lt;&gt;7,9&lt;&gt;9,Finanziamenti!$F$8=1,OR(Parametri_v3!$C$6=0,Finanziamenti!$E$8=1),Motore_Operativo!C485=EDATE(Finanziamenti!$D$8,Ipotesi!K15*12)),Finanziamenti!$C$8*1,0)+IF(AND(9&lt;&gt;7,9&lt;&gt;9,Finanziamenti!$F$9=1,OR(Parametri_v3!$C$6=0,Finanziamenti!$E$9=1),Motore_Operativo!C485=EDATE(Finanziamenti!$D$9,Ipotesi!K15*12)),Finanziamenti!$C$9*Ipotesi!K16,0)</f>
        <v>0</v>
      </c>
      <c r="AY485" s="15" t="n">
        <f aca="false">0</f>
        <v>0</v>
      </c>
      <c r="AZ485" s="15" t="n">
        <f aca="false">Motore_Advisory!AY485*(1-Ipotesi!$C$95)*Ipotesi!$C$96</f>
        <v>0</v>
      </c>
      <c r="BA485" s="15" t="n">
        <f aca="false">MAX(0,MIN(CG485*MIN(1,IF(Motore_Operativo!C485&gt;=EDATE(Finanziamenti!$D$15,Ipotesi!K14*12),Finanziamenti!$C$15,0)+IF(Motore_Operativo!C485&gt;=EDATE(Finanziamenti!$D$16,Ipotesi!K14*12),Finanziamenti!$C$16,0)+IF(Motore_Operativo!C485&gt;=EDATE(Finanziamenti!$D$17,Ipotesi!K14*12),Finanziamenti!$C$17,0)),CA485*Ipotesi!$C$102)-(0))</f>
        <v>0</v>
      </c>
      <c r="BB485" s="15" t="n">
        <f aca="false">IF(AND(CF485&gt;0,Motore_Operativo!C485&gt;=IF(CF485=0,0,EDATE(CF485,Parametri_v3!$C$37)),MOD(((D485-YEAR(IF(CF485=0,0,EDATE(CF485,Parametri_v3!$C$37))))*12+E485-MONTH(IF(CF485=0,0,EDATE(CF485,Parametri_v3!$C$37)))),Parametri_v3!$C$38)=0),MIN(MAX(0,(0)+BA485-N485),(CC485-CD485)/(Ipotesi!$C$108*12/Parametri_v3!$C$38)),0)</f>
        <v>0</v>
      </c>
      <c r="BC485" s="15" t="n">
        <f aca="false">(0)+BA485-N485-BB485</f>
        <v>0</v>
      </c>
      <c r="BD485" s="15" t="n">
        <f aca="false">(0)+AC485+AF485-AI485-AS485-K485*(1+Parametri_v3!$C$26)-AL485-AQ485-O485+AW485+AX485+AZ485+BA485-BB485</f>
        <v>110945.833333333</v>
      </c>
      <c r="BE485" s="15" t="n">
        <f aca="false">MAX(0,MIN(MAX(0,CH485-(0)),Parametri_v3!$C$30-BD485))</f>
        <v>0</v>
      </c>
      <c r="BF485" s="15" t="n">
        <f aca="false">IF(Motore_Operativo!C485&gt;=Parametri_v3!$C$63,(0),MIN((0),MAX(0,BD485-Parametri_v3!$C$30)))</f>
        <v>0</v>
      </c>
      <c r="BG485" s="15" t="n">
        <f aca="false">(0)+BE485-BF485</f>
        <v>0</v>
      </c>
      <c r="BH485" s="15" t="n">
        <f aca="false">BD485+BE485-BF485-AY485</f>
        <v>110945.833333333</v>
      </c>
      <c r="BI485" s="15" t="n">
        <f aca="false">MAX(0,Parametri_v3!$C$30-BH485)</f>
        <v>0</v>
      </c>
      <c r="BJ485" s="15" t="n">
        <f aca="false">(0)+K485</f>
        <v>1666.66666666667</v>
      </c>
      <c r="BK485" s="15" t="n">
        <f aca="false">(0)+L485</f>
        <v>46.2962962962963</v>
      </c>
      <c r="BL485" s="15" t="n">
        <f aca="false">BJ485-BK485</f>
        <v>1620.37037037037</v>
      </c>
      <c r="BM485" s="15" t="n">
        <f aca="false">(0)+Y485</f>
        <v>-18663.4585769981</v>
      </c>
      <c r="BN485" s="15" t="n">
        <f aca="false">(0)+AW485+AX485+AZ485</f>
        <v>130000</v>
      </c>
      <c r="BO485" s="15" t="n">
        <f aca="false">(0)+AY485</f>
        <v>0</v>
      </c>
      <c r="BP485" s="15" t="n">
        <f aca="false">0</f>
        <v>0</v>
      </c>
      <c r="BQ485" s="15" t="n">
        <f aca="false">BN485+BM485-BO485</f>
        <v>111336.541423002</v>
      </c>
      <c r="BR485" s="15" t="n">
        <f aca="false">BH485+AD485+BL485+MAX(0,-AM485)+MAX(0,-AR485)+AG485</f>
        <v>123890.552523879</v>
      </c>
      <c r="BS485" s="15" t="n">
        <f aca="false">AJ485+AV485+MAX(0,AM485)+MAX(0,AR485)+BC485+BG485+BQ485</f>
        <v>123890.552523879</v>
      </c>
      <c r="BT485" s="15" t="n">
        <f aca="false">BR485-BS485</f>
        <v>0</v>
      </c>
      <c r="BU485" s="15" t="n">
        <f aca="false">BH485-(BD485+BE485-BF485-AY485)</f>
        <v>0</v>
      </c>
      <c r="BV485" s="15" t="n">
        <f aca="false">MIN(Piano_SS!$C$6,(0)+IF(AND(Motore_Operativo!C485&gt;=EDATE(Parametri_v3!$C$24,Ipotesi!K14*12),Motore_Operativo!C485&lt;EDATE(Parametri_v3!$C$24,Parametri_v3!$C$25+Ipotesi!K14*12)),MAX(0,(Motore_Operativo!Y485+Motore_Operativo!X485*Parametri_v3!$C$14)*(1-Parametri_v3!$C$32))*Piano_SS!$D$6,0))</f>
        <v>0</v>
      </c>
      <c r="BW485" s="15" t="n">
        <f aca="false">MIN(Piano_SS!$C$7,(0)+IF(AND(Motore_Operativo!C485&gt;=EDATE(Parametri_v3!$C$24,Ipotesi!K14*12),Motore_Operativo!C485&lt;EDATE(Parametri_v3!$C$24,Parametri_v3!$C$25+Ipotesi!K14*12)),MAX(0,(IF(1-(INT((Ipotesi!$C$91)/30))&lt;1,0,INDEX(Motore_Operativo!$BN$485:$BN$544,MAX(1,1-(INT((Ipotesi!$C$91)/30)))))*(1-(MOD((Ipotesi!$C$91),30)/30))+IF(1-(INT((Ipotesi!$C$91)/30))-1&lt;1,0,INDEX(Motore_Operativo!$BN$485:$BN$544,MAX(1,1-(INT((Ipotesi!$C$91)/30))-1)))*(MOD((Ipotesi!$C$91),30)/30)))*Piano_SS!$D$7,0))</f>
        <v>0</v>
      </c>
      <c r="BX485" s="15" t="n">
        <f aca="false">MIN(Piano_SS!$C$8,(0)+IF(AND(Motore_Operativo!C485&gt;=EDATE(Parametri_v3!$C$24,Ipotesi!K14*12),Motore_Operativo!C485&lt;EDATE(Parametri_v3!$C$24,Parametri_v3!$C$25+Ipotesi!K14*12)),MAX(0,Motore_Operativo!CE485)*Piano_SS!$D$8,0))</f>
        <v>0</v>
      </c>
      <c r="BY485" s="15" t="n">
        <f aca="false">MIN(Piano_SS!$C$9,(0)+IF(AND(Motore_Operativo!C485&gt;=EDATE(Parametri_v3!$C$24,Ipotesi!K14*12),Motore_Operativo!C485&lt;EDATE(Parametri_v3!$C$24,Parametri_v3!$C$25+Ipotesi!K14*12)),MAX(0,((IF(1-(INT((Ipotesi!$C$91)/30))&lt;1,0,INDEX(Motore_Operativo!$BQ$485:$BQ$544,MAX(1,1-(INT((Ipotesi!$C$91)/30)))))*(1-(MOD((Ipotesi!$C$91),30)/30))+IF(1-(INT((Ipotesi!$C$91)/30))-1&lt;1,0,INDEX(Motore_Operativo!$BQ$485:$BQ$544,MAX(1,1-(INT((Ipotesi!$C$91)/30))-1)))*(MOD((Ipotesi!$C$91),30)/30))+(IF(1-(INT((Ipotesi!$C$91)/30))&lt;1,0,INDEX(Motore_Operativo!$BR$485:$BR$544,MAX(1,1-(INT((Ipotesi!$C$91)/30)))))*(1-(MOD((Ipotesi!$C$91),30)/30))+IF(1-(INT((Ipotesi!$C$91)/30))-1&lt;1,0,INDEX(Motore_Operativo!$BR$485:$BR$544,MAX(1,1-(INT((Ipotesi!$C$91)/30))-1)))*(MOD((Ipotesi!$C$91),30)/30))))*Piano_SS!$D$9,0))</f>
        <v>0</v>
      </c>
      <c r="BZ485" s="15" t="n">
        <f aca="false">MIN(Piano_SS!$C$10,(0)+IF(AND(Motore_Operativo!C485&gt;=EDATE(Parametri_v3!$C$24,Ipotesi!K14*12),Motore_Operativo!C485&lt;EDATE(Parametri_v3!$C$24,Parametri_v3!$C$25+Ipotesi!K14*12)),MAX(0,(IF(1-(INT((Ipotesi!$C$91)/30))&lt;1,0,INDEX(Motore_Operativo!$BO$485:$BO$544,MAX(1,1-(INT((Ipotesi!$C$91)/30)))))*(1-(MOD((Ipotesi!$C$91),30)/30))+IF(1-(INT((Ipotesi!$C$91)/30))-1&lt;1,0,INDEX(Motore_Operativo!$BO$485:$BO$544,MAX(1,1-(INT((Ipotesi!$C$91)/30))-1)))*(MOD((Ipotesi!$C$91),30)/30)))*Piano_SS!$D$10,0))</f>
        <v>0</v>
      </c>
      <c r="CA485" s="15" t="n">
        <f aca="false">SUM(BV485:BZ485)</f>
        <v>0</v>
      </c>
      <c r="CB485" s="15" t="n">
        <f aca="false">BV485*(1-Piano_SS!$E$6)+BW485*(1-Piano_SS!$E$7)+BX485*(1-Piano_SS!$E$8)+BY485*(1-Piano_SS!$E$9)+BZ485*(1-Piano_SS!$E$10)</f>
        <v>0</v>
      </c>
      <c r="CC485" s="15" t="n">
        <f aca="false">(0)+BA485</f>
        <v>0</v>
      </c>
      <c r="CD485" s="15" t="n">
        <f aca="false">IF(CA485=0,0,CC485*CB485/CA485*Ipotesi!$C$103*Parametri_v3!$C$64)</f>
        <v>0</v>
      </c>
      <c r="CE485" s="18" t="n">
        <f aca="false">IF(BA485&gt;0,Motore_Operativo!C485,(0))</f>
        <v>0</v>
      </c>
      <c r="CF485" s="18" t="n">
        <f aca="false">IF(AND(CC485&gt;0,OR(CC485&gt;=CG485-0.01,Motore_Operativo!C485&gt;=EDATE(MAX(Finanziamenti!$D$15:$D$17),Ipotesi!K14*12))),CE485,0)</f>
        <v>0</v>
      </c>
      <c r="CG485" s="15" t="n">
        <f aca="false">IF(AND(9&lt;&gt;6,9&lt;&gt;9,Finanziamenti!$F$11=1,OR(Parametri_v3!$C$6=0,Finanziamenti!$E$11=1)),MIN(Finanziamenti!$C$11,Piano_SS!$C$12*Ipotesi!$C$102),0)</f>
        <v>0</v>
      </c>
      <c r="CH485" s="15" t="n">
        <f aca="false">IF(AND(AND(9&lt;&gt;8,9&lt;&gt;9,Finanziamenti!$F$10=1,OR(Parametri_v3!$C$6=0,Finanziamenti!$E$10=1)),Motore_Operativo!C485&gt;=Finanziamenti!$D$10,Motore_Operativo!C485&lt;Parametri_v3!$C$63),Finanziamenti!$C$10,0)</f>
        <v>0</v>
      </c>
    </row>
    <row r="486" customFormat="false" ht="18" hidden="false" customHeight="true" outlineLevel="0" collapsed="false">
      <c r="A486" s="68" t="n">
        <f aca="false">9</f>
        <v>9</v>
      </c>
      <c r="B486" s="68" t="n">
        <f aca="false">2</f>
        <v>2</v>
      </c>
      <c r="C486" s="18" t="n">
        <f aca="false">Motore_Operativo!C486</f>
        <v>46419</v>
      </c>
      <c r="D486" s="68" t="n">
        <f aca="false">Motore_Operativo!D486</f>
        <v>2027</v>
      </c>
      <c r="E486" s="68" t="n">
        <f aca="false">Motore_Operativo!E486</f>
        <v>2</v>
      </c>
      <c r="F486" s="15" t="n">
        <f aca="false">Motore_Operativo!AQ486+Motore_Operativo!BF486</f>
        <v>7500</v>
      </c>
      <c r="G486" s="15" t="n">
        <f aca="false">Motore_Operativo!BH486</f>
        <v>1621.05263157895</v>
      </c>
      <c r="H486" s="15" t="n">
        <f aca="false">Motore_Operativo!BI486</f>
        <v>9121.05263157895</v>
      </c>
      <c r="I486" s="15" t="n">
        <f aca="false">Motore_Operativo!CA486</f>
        <v>27738.2149122807</v>
      </c>
      <c r="J486" s="15" t="n">
        <f aca="false">Motore_Operativo!CC486</f>
        <v>-18617.1622807018</v>
      </c>
      <c r="K486" s="15" t="n">
        <f aca="false">Motore_Operativo!CE486</f>
        <v>1666.66666666667</v>
      </c>
      <c r="L486" s="15" t="n">
        <f aca="false">SUM(INDEX($K$485:$K$544,MAX(1,2-Parametri_v3!$C$59+1)):K486)/Parametri_v3!$C$59</f>
        <v>92.5925925925926</v>
      </c>
      <c r="M486" s="15" t="n">
        <f aca="false">J486-L486</f>
        <v>-18709.7548732943</v>
      </c>
      <c r="N486" s="15" t="n">
        <f aca="false">CD486-(CD485)</f>
        <v>0</v>
      </c>
      <c r="O486" s="15" t="n">
        <f aca="false">(BG485)*Ipotesi!$C$110/12+CH486*Parametri_v3!$C$39/12</f>
        <v>0</v>
      </c>
      <c r="P486" s="15" t="n">
        <f aca="false">M486+N486-O486</f>
        <v>-18709.7548732943</v>
      </c>
      <c r="Q486" s="15" t="n">
        <f aca="false">SUM(P485:P486)+Parametri_v3!$C$54*2/12</f>
        <v>-37373.2134502924</v>
      </c>
      <c r="R486" s="15" t="n">
        <f aca="false">0</f>
        <v>0</v>
      </c>
      <c r="S486" s="15" t="n">
        <f aca="false">0</f>
        <v>0</v>
      </c>
      <c r="T486" s="15" t="n">
        <f aca="false">MIN(R486,MAX(0,Q486))</f>
        <v>0</v>
      </c>
      <c r="U486" s="15" t="n">
        <f aca="false">MIN(S486,MAX(0,Q486-T486)*Parametri_v3!$C$42)</f>
        <v>0</v>
      </c>
      <c r="V486" s="15" t="n">
        <f aca="false">MAX(0,Q486-T486-U486)*Ipotesi!$C$92</f>
        <v>0</v>
      </c>
      <c r="W486" s="15" t="n">
        <f aca="false">MAX(0,SUM(M485:M486)+Parametri_v3!$C$55*2/12)*Ipotesi!$C$93</f>
        <v>0</v>
      </c>
      <c r="X486" s="15" t="n">
        <f aca="false">V486+W486-(V485+W485)</f>
        <v>0</v>
      </c>
      <c r="Y486" s="15" t="n">
        <f aca="false">P486-X486</f>
        <v>-18709.7548732943</v>
      </c>
      <c r="Z486" s="15" t="n">
        <f aca="false">R486-T486+IF(AND(Parametri_v3!$C$40=1,D486-YEAR(Parametri_v3!$C$50)&lt;Parametri_v3!$C$41),MAX(0,-Q486),0)</f>
        <v>37373.2134502924</v>
      </c>
      <c r="AA486" s="15" t="n">
        <f aca="false">S486-U486+IF(AND(Parametri_v3!$C$40=1,D486-YEAR(Parametri_v3!$C$50)&lt;Parametri_v3!$C$41),0,MAX(0,-Q486))</f>
        <v>0</v>
      </c>
      <c r="AB486" s="15" t="n">
        <f aca="false">F486*(1+Parametri_v3!$C$26)</f>
        <v>9150</v>
      </c>
      <c r="AC486" s="15" t="n">
        <f aca="false">(IF(2-(INT((Motore_Operativo!L486)/30))&lt;1,0,INDEX(Motore_Startup!$AB$485:$AB$544,MAX(1,2-(INT((Motore_Operativo!L486)/30)))))*(1-(MOD((Motore_Operativo!L486),30)/30))+IF(2-(INT((Motore_Operativo!L486)/30))-1&lt;1,0,INDEX(Motore_Startup!$AB$485:$AB$544,MAX(1,2-(INT((Motore_Operativo!L486)/30))-1)))*(MOD((Motore_Operativo!L486),30)/30))</f>
        <v>0</v>
      </c>
      <c r="AD486" s="15" t="n">
        <f aca="false">(AD485)+AB486-AC486</f>
        <v>18300</v>
      </c>
      <c r="AE486" s="15" t="n">
        <f aca="false">Motore_Operativo!BH486*(1+Parametri_v3!$C$26)</f>
        <v>1977.68421052632</v>
      </c>
      <c r="AF486" s="15" t="n">
        <f aca="false">(IF(2-(INT((Parametri_v3!$C$29)/30))&lt;1,0,INDEX(Motore_Operativo!$BH$485:$BH$544,MAX(1,2-(INT((Parametri_v3!$C$29)/30)))))*(1-(MOD((Parametri_v3!$C$29),30)/30))+IF(2-(INT((Parametri_v3!$C$29)/30))-1&lt;1,0,INDEX(Motore_Operativo!$BH$485:$BH$544,MAX(1,2-(INT((Parametri_v3!$C$29)/30))-1)))*(MOD((Parametri_v3!$C$29),30)/30))*(1+Parametri_v3!$C$26)</f>
        <v>1977.68421052632</v>
      </c>
      <c r="AG486" s="15" t="n">
        <f aca="false">(AG485)+AE486-AF486</f>
        <v>1977.68421052632</v>
      </c>
      <c r="AH486" s="15" t="n">
        <f aca="false">(Motore_Operativo!CJ486)*(1+Parametri_v3!$C$27*Parametri_v3!$C$26)</f>
        <v>11658.1777675439</v>
      </c>
      <c r="AI486" s="15" t="n">
        <f aca="false">(IF(2-(INT((Ipotesi!$C$91)/30))&lt;1,0,INDEX(Motore_Startup!$AH$485:$AH$544,MAX(1,2-(INT((Ipotesi!$C$91)/30)))))*(1-(MOD((Ipotesi!$C$91),30)/30))+IF(2-(INT((Ipotesi!$C$91)/30))-1&lt;1,0,INDEX(Motore_Startup!$AH$485:$AH$544,MAX(1,2-(INT((Ipotesi!$C$91)/30))-1)))*(MOD((Ipotesi!$C$91),30)/30))</f>
        <v>0</v>
      </c>
      <c r="AJ486" s="15" t="n">
        <f aca="false">(AJ485)+AH486-AI486</f>
        <v>23316.3555350877</v>
      </c>
      <c r="AK486" s="15" t="n">
        <f aca="false">(F486+ Motore_Operativo!BH486-(Motore_Operativo!CJ486)*Parametri_v3!$C$27-Motore_Operativo!CE486)*Parametri_v3!$C$26</f>
        <v>-196.664609649123</v>
      </c>
      <c r="AL486" s="15" t="n">
        <f aca="false">MAX(0,(AM485))</f>
        <v>0</v>
      </c>
      <c r="AM486" s="15" t="n">
        <f aca="false">(AM485)+AK486-AL486</f>
        <v>-393.329219298245</v>
      </c>
      <c r="AN486" s="15" t="n">
        <f aca="false">0</f>
        <v>0</v>
      </c>
      <c r="AO486" s="15" t="n">
        <f aca="false">0</f>
        <v>0</v>
      </c>
      <c r="AP486" s="15" t="n">
        <f aca="false">MAX(0,AN486)*IF(2=Parametri_v3!$C$43,Parametri_v3!$C$45,IF(2=Parametri_v3!$C$44,1-Parametri_v3!$C$45,0))</f>
        <v>0</v>
      </c>
      <c r="AQ486" s="15" t="n">
        <f aca="false">MAX(0,AP486+IF(2=Parametri_v3!$C$43,MAX(0,AN486-AO486),0)-MAX(0,-(AR485)))</f>
        <v>0</v>
      </c>
      <c r="AR486" s="15" t="n">
        <f aca="false">(AR485)+X486-AQ486</f>
        <v>0</v>
      </c>
      <c r="AS486" s="15" t="n">
        <f aca="false">Motore_Operativo!AB486-AT486+AU486</f>
        <v>17020.8333333333</v>
      </c>
      <c r="AT486" s="15" t="n">
        <f aca="false">Motore_Operativo!CH486</f>
        <v>895.833333333334</v>
      </c>
      <c r="AU486" s="15" t="n">
        <f aca="false">MIN(MAX(0,(AV485)+AT486),Parametri_v3!$C$60/12)</f>
        <v>0</v>
      </c>
      <c r="AV486" s="15" t="n">
        <f aca="false">(AV485)+AT486-AU486</f>
        <v>1791.66666666667</v>
      </c>
      <c r="AW486" s="15" t="n">
        <f aca="false">IF(AND(Motore_Operativo!C486=Finanziamenti!$D$6,Finanziamenti!$F$6=1),Finanziamenti!$C$6,0)</f>
        <v>0</v>
      </c>
      <c r="AX486" s="15" t="n">
        <f aca="false">IF(AND(9&lt;&gt;7,9&lt;&gt;9,Finanziamenti!$F$8=1,OR(Parametri_v3!$C$6=0,Finanziamenti!$E$8=1),Motore_Operativo!C486=EDATE(Finanziamenti!$D$8,Ipotesi!K15*12)),Finanziamenti!$C$8*1,0)+IF(AND(9&lt;&gt;7,9&lt;&gt;9,Finanziamenti!$F$9=1,OR(Parametri_v3!$C$6=0,Finanziamenti!$E$9=1),Motore_Operativo!C486=EDATE(Finanziamenti!$D$9,Ipotesi!K15*12)),Finanziamenti!$C$9*Ipotesi!K16,0)</f>
        <v>0</v>
      </c>
      <c r="AY486" s="15" t="n">
        <f aca="false">0</f>
        <v>0</v>
      </c>
      <c r="AZ486" s="15" t="n">
        <f aca="false">Motore_Advisory!AY486*(1-Ipotesi!$C$95)*Ipotesi!$C$96</f>
        <v>0</v>
      </c>
      <c r="BA486" s="15" t="n">
        <f aca="false">MAX(0,MIN(CG486*MIN(1,IF(Motore_Operativo!C486&gt;=EDATE(Finanziamenti!$D$15,Ipotesi!K14*12),Finanziamenti!$C$15,0)+IF(Motore_Operativo!C486&gt;=EDATE(Finanziamenti!$D$16,Ipotesi!K14*12),Finanziamenti!$C$16,0)+IF(Motore_Operativo!C486&gt;=EDATE(Finanziamenti!$D$17,Ipotesi!K14*12),Finanziamenti!$C$17,0)),CA486*Ipotesi!$C$102)-(CC485))</f>
        <v>0</v>
      </c>
      <c r="BB486" s="15" t="n">
        <f aca="false">IF(AND(CF486&gt;0,Motore_Operativo!C486&gt;=IF(CF486=0,0,EDATE(CF486,Parametri_v3!$C$37)),MOD(((D486-YEAR(IF(CF486=0,0,EDATE(CF486,Parametri_v3!$C$37))))*12+E486-MONTH(IF(CF486=0,0,EDATE(CF486,Parametri_v3!$C$37)))),Parametri_v3!$C$38)=0),MIN(MAX(0,(BC485)+BA486-N486),(CC486-CD486)/(Ipotesi!$C$108*12/Parametri_v3!$C$38)),0)</f>
        <v>0</v>
      </c>
      <c r="BC486" s="15" t="n">
        <f aca="false">(BC485)+BA486-N486-BB486</f>
        <v>0</v>
      </c>
      <c r="BD486" s="15" t="n">
        <f aca="false">(BH485)+AC486+AF486-AI486-AS486-K486*(1+Parametri_v3!$C$26)-AL486-AQ486-O486+AW486+AX486+AZ486+BA486-BB486</f>
        <v>93869.350877193</v>
      </c>
      <c r="BE486" s="15" t="n">
        <f aca="false">MAX(0,MIN(MAX(0,CH486-(BG485)),Parametri_v3!$C$30-BD486))</f>
        <v>0</v>
      </c>
      <c r="BF486" s="15" t="n">
        <f aca="false">IF(Motore_Operativo!C486&gt;=Parametri_v3!$C$63,(BG485),MIN((BG485),MAX(0,BD486-Parametri_v3!$C$30)))</f>
        <v>0</v>
      </c>
      <c r="BG486" s="15" t="n">
        <f aca="false">(BG485)+BE486-BF486</f>
        <v>0</v>
      </c>
      <c r="BH486" s="15" t="n">
        <f aca="false">BD486+BE486-BF486-AY486</f>
        <v>93869.350877193</v>
      </c>
      <c r="BI486" s="15" t="n">
        <f aca="false">MAX(0,Parametri_v3!$C$30-BH486)</f>
        <v>0</v>
      </c>
      <c r="BJ486" s="15" t="n">
        <f aca="false">(BJ485)+K486</f>
        <v>3333.33333333333</v>
      </c>
      <c r="BK486" s="15" t="n">
        <f aca="false">(BK485)+L486</f>
        <v>138.888888888889</v>
      </c>
      <c r="BL486" s="15" t="n">
        <f aca="false">BJ486-BK486</f>
        <v>3194.44444444445</v>
      </c>
      <c r="BM486" s="15" t="n">
        <f aca="false">(BM485)+Y486</f>
        <v>-37373.2134502924</v>
      </c>
      <c r="BN486" s="15" t="n">
        <f aca="false">(BN485)+AW486+AX486+AZ486</f>
        <v>130000</v>
      </c>
      <c r="BO486" s="15" t="n">
        <f aca="false">(BO485)+AY486</f>
        <v>0</v>
      </c>
      <c r="BP486" s="15" t="n">
        <f aca="false">0</f>
        <v>0</v>
      </c>
      <c r="BQ486" s="15" t="n">
        <f aca="false">BN486+BM486-BO486</f>
        <v>92626.7865497076</v>
      </c>
      <c r="BR486" s="15" t="n">
        <f aca="false">BH486+AD486+BL486+MAX(0,-AM486)+MAX(0,-AR486)+AG486</f>
        <v>117734.808751462</v>
      </c>
      <c r="BS486" s="15" t="n">
        <f aca="false">AJ486+AV486+MAX(0,AM486)+MAX(0,AR486)+BC486+BG486+BQ486</f>
        <v>117734.808751462</v>
      </c>
      <c r="BT486" s="15" t="n">
        <f aca="false">BR486-BS486</f>
        <v>0</v>
      </c>
      <c r="BU486" s="15" t="n">
        <f aca="false">BH486-(BD486+BE486-BF486-AY486)</f>
        <v>0</v>
      </c>
      <c r="BV486" s="15" t="n">
        <f aca="false">MIN(Piano_SS!$C$6,(BV485)+IF(AND(Motore_Operativo!C486&gt;=EDATE(Parametri_v3!$C$24,Ipotesi!K14*12),Motore_Operativo!C486&lt;EDATE(Parametri_v3!$C$24,Parametri_v3!$C$25+Ipotesi!K14*12)),MAX(0,(Motore_Operativo!Y486+Motore_Operativo!X486*Parametri_v3!$C$14)*(1-Parametri_v3!$C$32))*Piano_SS!$D$6,0))</f>
        <v>0</v>
      </c>
      <c r="BW486" s="15" t="n">
        <f aca="false">MIN(Piano_SS!$C$7,(BW485)+IF(AND(Motore_Operativo!C486&gt;=EDATE(Parametri_v3!$C$24,Ipotesi!K14*12),Motore_Operativo!C486&lt;EDATE(Parametri_v3!$C$24,Parametri_v3!$C$25+Ipotesi!K14*12)),MAX(0,(IF(2-(INT((Ipotesi!$C$91)/30))&lt;1,0,INDEX(Motore_Operativo!$BN$485:$BN$544,MAX(1,2-(INT((Ipotesi!$C$91)/30)))))*(1-(MOD((Ipotesi!$C$91),30)/30))+IF(2-(INT((Ipotesi!$C$91)/30))-1&lt;1,0,INDEX(Motore_Operativo!$BN$485:$BN$544,MAX(1,2-(INT((Ipotesi!$C$91)/30))-1)))*(MOD((Ipotesi!$C$91),30)/30)))*Piano_SS!$D$7,0))</f>
        <v>0</v>
      </c>
      <c r="BX486" s="15" t="n">
        <f aca="false">MIN(Piano_SS!$C$8,(BX485)+IF(AND(Motore_Operativo!C486&gt;=EDATE(Parametri_v3!$C$24,Ipotesi!K14*12),Motore_Operativo!C486&lt;EDATE(Parametri_v3!$C$24,Parametri_v3!$C$25+Ipotesi!K14*12)),MAX(0,Motore_Operativo!CE486)*Piano_SS!$D$8,0))</f>
        <v>0</v>
      </c>
      <c r="BY486" s="15" t="n">
        <f aca="false">MIN(Piano_SS!$C$9,(BY485)+IF(AND(Motore_Operativo!C486&gt;=EDATE(Parametri_v3!$C$24,Ipotesi!K14*12),Motore_Operativo!C486&lt;EDATE(Parametri_v3!$C$24,Parametri_v3!$C$25+Ipotesi!K14*12)),MAX(0,((IF(2-(INT((Ipotesi!$C$91)/30))&lt;1,0,INDEX(Motore_Operativo!$BQ$485:$BQ$544,MAX(1,2-(INT((Ipotesi!$C$91)/30)))))*(1-(MOD((Ipotesi!$C$91),30)/30))+IF(2-(INT((Ipotesi!$C$91)/30))-1&lt;1,0,INDEX(Motore_Operativo!$BQ$485:$BQ$544,MAX(1,2-(INT((Ipotesi!$C$91)/30))-1)))*(MOD((Ipotesi!$C$91),30)/30))+(IF(2-(INT((Ipotesi!$C$91)/30))&lt;1,0,INDEX(Motore_Operativo!$BR$485:$BR$544,MAX(1,2-(INT((Ipotesi!$C$91)/30)))))*(1-(MOD((Ipotesi!$C$91),30)/30))+IF(2-(INT((Ipotesi!$C$91)/30))-1&lt;1,0,INDEX(Motore_Operativo!$BR$485:$BR$544,MAX(1,2-(INT((Ipotesi!$C$91)/30))-1)))*(MOD((Ipotesi!$C$91),30)/30))))*Piano_SS!$D$9,0))</f>
        <v>0</v>
      </c>
      <c r="BZ486" s="15" t="n">
        <f aca="false">MIN(Piano_SS!$C$10,(BZ485)+IF(AND(Motore_Operativo!C486&gt;=EDATE(Parametri_v3!$C$24,Ipotesi!K14*12),Motore_Operativo!C486&lt;EDATE(Parametri_v3!$C$24,Parametri_v3!$C$25+Ipotesi!K14*12)),MAX(0,(IF(2-(INT((Ipotesi!$C$91)/30))&lt;1,0,INDEX(Motore_Operativo!$BO$485:$BO$544,MAX(1,2-(INT((Ipotesi!$C$91)/30)))))*(1-(MOD((Ipotesi!$C$91),30)/30))+IF(2-(INT((Ipotesi!$C$91)/30))-1&lt;1,0,INDEX(Motore_Operativo!$BO$485:$BO$544,MAX(1,2-(INT((Ipotesi!$C$91)/30))-1)))*(MOD((Ipotesi!$C$91),30)/30)))*Piano_SS!$D$10,0))</f>
        <v>0</v>
      </c>
      <c r="CA486" s="15" t="n">
        <f aca="false">SUM(BV486:BZ486)</f>
        <v>0</v>
      </c>
      <c r="CB486" s="15" t="n">
        <f aca="false">BV486*(1-Piano_SS!$E$6)+BW486*(1-Piano_SS!$E$7)+BX486*(1-Piano_SS!$E$8)+BY486*(1-Piano_SS!$E$9)+BZ486*(1-Piano_SS!$E$10)</f>
        <v>0</v>
      </c>
      <c r="CC486" s="15" t="n">
        <f aca="false">(CC485)+BA486</f>
        <v>0</v>
      </c>
      <c r="CD486" s="15" t="n">
        <f aca="false">IF(CA486=0,0,CC486*CB486/CA486*Ipotesi!$C$103*Parametri_v3!$C$64)</f>
        <v>0</v>
      </c>
      <c r="CE486" s="18" t="n">
        <f aca="false">IF(BA486&gt;0,Motore_Operativo!C486,(CE485))</f>
        <v>0</v>
      </c>
      <c r="CF486" s="18" t="n">
        <f aca="false">IF(AND(CC486&gt;0,OR(CC486&gt;=CG486-0.01,Motore_Operativo!C486&gt;=EDATE(MAX(Finanziamenti!$D$15:$D$17),Ipotesi!K14*12))),CE486,0)</f>
        <v>0</v>
      </c>
      <c r="CG486" s="15" t="n">
        <f aca="false">IF(AND(9&lt;&gt;6,9&lt;&gt;9,Finanziamenti!$F$11=1,OR(Parametri_v3!$C$6=0,Finanziamenti!$E$11=1)),MIN(Finanziamenti!$C$11,Piano_SS!$C$12*Ipotesi!$C$102),0)</f>
        <v>0</v>
      </c>
      <c r="CH486" s="15" t="n">
        <f aca="false">IF(AND(AND(9&lt;&gt;8,9&lt;&gt;9,Finanziamenti!$F$10=1,OR(Parametri_v3!$C$6=0,Finanziamenti!$E$10=1)),Motore_Operativo!C486&gt;=Finanziamenti!$D$10,Motore_Operativo!C486&lt;Parametri_v3!$C$63),Finanziamenti!$C$10,0)</f>
        <v>0</v>
      </c>
    </row>
    <row r="487" customFormat="false" ht="18" hidden="false" customHeight="true" outlineLevel="0" collapsed="false">
      <c r="A487" s="68" t="n">
        <f aca="false">9</f>
        <v>9</v>
      </c>
      <c r="B487" s="68" t="n">
        <f aca="false">3</f>
        <v>3</v>
      </c>
      <c r="C487" s="18" t="n">
        <f aca="false">Motore_Operativo!C487</f>
        <v>46447</v>
      </c>
      <c r="D487" s="68" t="n">
        <f aca="false">Motore_Operativo!D487</f>
        <v>2027</v>
      </c>
      <c r="E487" s="68" t="n">
        <f aca="false">Motore_Operativo!E487</f>
        <v>3</v>
      </c>
      <c r="F487" s="15" t="n">
        <f aca="false">Motore_Operativo!AQ487+Motore_Operativo!BF487</f>
        <v>7500</v>
      </c>
      <c r="G487" s="15" t="n">
        <f aca="false">Motore_Operativo!BH487</f>
        <v>1621.05263157895</v>
      </c>
      <c r="H487" s="15" t="n">
        <f aca="false">Motore_Operativo!BI487</f>
        <v>9121.05263157895</v>
      </c>
      <c r="I487" s="15" t="n">
        <f aca="false">Motore_Operativo!CA487</f>
        <v>27738.2149122807</v>
      </c>
      <c r="J487" s="15" t="n">
        <f aca="false">Motore_Operativo!CC487</f>
        <v>-18617.1622807018</v>
      </c>
      <c r="K487" s="15" t="n">
        <f aca="false">Motore_Operativo!CE487</f>
        <v>1666.66666666667</v>
      </c>
      <c r="L487" s="15" t="n">
        <f aca="false">SUM(INDEX($K$485:$K$544,MAX(1,3-Parametri_v3!$C$59+1)):K487)/Parametri_v3!$C$59</f>
        <v>138.888888888889</v>
      </c>
      <c r="M487" s="15" t="n">
        <f aca="false">J487-L487</f>
        <v>-18756.0511695906</v>
      </c>
      <c r="N487" s="15" t="n">
        <f aca="false">CD487-(CD486)</f>
        <v>0</v>
      </c>
      <c r="O487" s="15" t="n">
        <f aca="false">(BG486)*Ipotesi!$C$110/12+CH487*Parametri_v3!$C$39/12</f>
        <v>0</v>
      </c>
      <c r="P487" s="15" t="n">
        <f aca="false">M487+N487-O487</f>
        <v>-18756.0511695906</v>
      </c>
      <c r="Q487" s="15" t="n">
        <f aca="false">SUM(P485:P487)+Parametri_v3!$C$54*3/12</f>
        <v>-56129.2646198831</v>
      </c>
      <c r="R487" s="15" t="n">
        <f aca="false">0</f>
        <v>0</v>
      </c>
      <c r="S487" s="15" t="n">
        <f aca="false">0</f>
        <v>0</v>
      </c>
      <c r="T487" s="15" t="n">
        <f aca="false">MIN(R487,MAX(0,Q487))</f>
        <v>0</v>
      </c>
      <c r="U487" s="15" t="n">
        <f aca="false">MIN(S487,MAX(0,Q487-T487)*Parametri_v3!$C$42)</f>
        <v>0</v>
      </c>
      <c r="V487" s="15" t="n">
        <f aca="false">MAX(0,Q487-T487-U487)*Ipotesi!$C$92</f>
        <v>0</v>
      </c>
      <c r="W487" s="15" t="n">
        <f aca="false">MAX(0,SUM(M485:M487)+Parametri_v3!$C$55*3/12)*Ipotesi!$C$93</f>
        <v>0</v>
      </c>
      <c r="X487" s="15" t="n">
        <f aca="false">V487+W487-(V486+W486)</f>
        <v>0</v>
      </c>
      <c r="Y487" s="15" t="n">
        <f aca="false">P487-X487</f>
        <v>-18756.0511695906</v>
      </c>
      <c r="Z487" s="15" t="n">
        <f aca="false">R487-T487+IF(AND(Parametri_v3!$C$40=1,D487-YEAR(Parametri_v3!$C$50)&lt;Parametri_v3!$C$41),MAX(0,-Q487),0)</f>
        <v>56129.2646198831</v>
      </c>
      <c r="AA487" s="15" t="n">
        <f aca="false">S487-U487+IF(AND(Parametri_v3!$C$40=1,D487-YEAR(Parametri_v3!$C$50)&lt;Parametri_v3!$C$41),0,MAX(0,-Q487))</f>
        <v>0</v>
      </c>
      <c r="AB487" s="15" t="n">
        <f aca="false">F487*(1+Parametri_v3!$C$26)</f>
        <v>9150</v>
      </c>
      <c r="AC487" s="15" t="n">
        <f aca="false">(IF(3-(INT((Motore_Operativo!L487)/30))&lt;1,0,INDEX(Motore_Startup!$AB$485:$AB$544,MAX(1,3-(INT((Motore_Operativo!L487)/30)))))*(1-(MOD((Motore_Operativo!L487),30)/30))+IF(3-(INT((Motore_Operativo!L487)/30))-1&lt;1,0,INDEX(Motore_Startup!$AB$485:$AB$544,MAX(1,3-(INT((Motore_Operativo!L487)/30))-1)))*(MOD((Motore_Operativo!L487),30)/30))</f>
        <v>0</v>
      </c>
      <c r="AD487" s="15" t="n">
        <f aca="false">(AD486)+AB487-AC487</f>
        <v>27450</v>
      </c>
      <c r="AE487" s="15" t="n">
        <f aca="false">Motore_Operativo!BH487*(1+Parametri_v3!$C$26)</f>
        <v>1977.68421052632</v>
      </c>
      <c r="AF487" s="15" t="n">
        <f aca="false">(IF(3-(INT((Parametri_v3!$C$29)/30))&lt;1,0,INDEX(Motore_Operativo!$BH$485:$BH$544,MAX(1,3-(INT((Parametri_v3!$C$29)/30)))))*(1-(MOD((Parametri_v3!$C$29),30)/30))+IF(3-(INT((Parametri_v3!$C$29)/30))-1&lt;1,0,INDEX(Motore_Operativo!$BH$485:$BH$544,MAX(1,3-(INT((Parametri_v3!$C$29)/30))-1)))*(MOD((Parametri_v3!$C$29),30)/30))*(1+Parametri_v3!$C$26)</f>
        <v>1977.68421052632</v>
      </c>
      <c r="AG487" s="15" t="n">
        <f aca="false">(AG486)+AE487-AF487</f>
        <v>1977.68421052632</v>
      </c>
      <c r="AH487" s="15" t="n">
        <f aca="false">(Motore_Operativo!CJ487)*(1+Parametri_v3!$C$27*Parametri_v3!$C$26)</f>
        <v>11658.1777675439</v>
      </c>
      <c r="AI487" s="15" t="n">
        <f aca="false">(IF(3-(INT((Ipotesi!$C$91)/30))&lt;1,0,INDEX(Motore_Startup!$AH$485:$AH$544,MAX(1,3-(INT((Ipotesi!$C$91)/30)))))*(1-(MOD((Ipotesi!$C$91),30)/30))+IF(3-(INT((Ipotesi!$C$91)/30))-1&lt;1,0,INDEX(Motore_Startup!$AH$485:$AH$544,MAX(1,3-(INT((Ipotesi!$C$91)/30))-1)))*(MOD((Ipotesi!$C$91),30)/30))</f>
        <v>11658.1777675439</v>
      </c>
      <c r="AJ487" s="15" t="n">
        <f aca="false">(AJ486)+AH487-AI487</f>
        <v>23316.3555350877</v>
      </c>
      <c r="AK487" s="15" t="n">
        <f aca="false">(F487+ Motore_Operativo!BH487-(Motore_Operativo!CJ487)*Parametri_v3!$C$27-Motore_Operativo!CE487)*Parametri_v3!$C$26</f>
        <v>-196.664609649123</v>
      </c>
      <c r="AL487" s="15" t="n">
        <f aca="false">MAX(0,(AM486))</f>
        <v>0</v>
      </c>
      <c r="AM487" s="15" t="n">
        <f aca="false">(AM486)+AK487-AL487</f>
        <v>-589.993828947368</v>
      </c>
      <c r="AN487" s="15" t="n">
        <f aca="false">0</f>
        <v>0</v>
      </c>
      <c r="AO487" s="15" t="n">
        <f aca="false">0</f>
        <v>0</v>
      </c>
      <c r="AP487" s="15" t="n">
        <f aca="false">MAX(0,AN487)*IF(3=Parametri_v3!$C$43,Parametri_v3!$C$45,IF(3=Parametri_v3!$C$44,1-Parametri_v3!$C$45,0))</f>
        <v>0</v>
      </c>
      <c r="AQ487" s="15" t="n">
        <f aca="false">MAX(0,AP487+IF(3=Parametri_v3!$C$43,MAX(0,AN487-AO487),0)-MAX(0,-(AR486)))</f>
        <v>0</v>
      </c>
      <c r="AR487" s="15" t="n">
        <f aca="false">(AR486)+X487-AQ487</f>
        <v>0</v>
      </c>
      <c r="AS487" s="15" t="n">
        <f aca="false">Motore_Operativo!AB487-AT487+AU487</f>
        <v>17020.8333333333</v>
      </c>
      <c r="AT487" s="15" t="n">
        <f aca="false">Motore_Operativo!CH487</f>
        <v>895.833333333334</v>
      </c>
      <c r="AU487" s="15" t="n">
        <f aca="false">MIN(MAX(0,(AV486)+AT487),Parametri_v3!$C$60/12)</f>
        <v>0</v>
      </c>
      <c r="AV487" s="15" t="n">
        <f aca="false">(AV486)+AT487-AU487</f>
        <v>2687.5</v>
      </c>
      <c r="AW487" s="15" t="n">
        <f aca="false">IF(AND(Motore_Operativo!C487=Finanziamenti!$D$6,Finanziamenti!$F$6=1),Finanziamenti!$C$6,0)</f>
        <v>0</v>
      </c>
      <c r="AX487" s="15" t="n">
        <f aca="false">IF(AND(9&lt;&gt;7,9&lt;&gt;9,Finanziamenti!$F$8=1,OR(Parametri_v3!$C$6=0,Finanziamenti!$E$8=1),Motore_Operativo!C487=EDATE(Finanziamenti!$D$8,Ipotesi!K15*12)),Finanziamenti!$C$8*1,0)+IF(AND(9&lt;&gt;7,9&lt;&gt;9,Finanziamenti!$F$9=1,OR(Parametri_v3!$C$6=0,Finanziamenti!$E$9=1),Motore_Operativo!C487=EDATE(Finanziamenti!$D$9,Ipotesi!K15*12)),Finanziamenti!$C$9*Ipotesi!K16,0)</f>
        <v>0</v>
      </c>
      <c r="AY487" s="15" t="n">
        <f aca="false">0</f>
        <v>0</v>
      </c>
      <c r="AZ487" s="15" t="n">
        <f aca="false">Motore_Advisory!AY487*(1-Ipotesi!$C$95)*Ipotesi!$C$96</f>
        <v>0</v>
      </c>
      <c r="BA487" s="15" t="n">
        <f aca="false">MAX(0,MIN(CG487*MIN(1,IF(Motore_Operativo!C487&gt;=EDATE(Finanziamenti!$D$15,Ipotesi!K14*12),Finanziamenti!$C$15,0)+IF(Motore_Operativo!C487&gt;=EDATE(Finanziamenti!$D$16,Ipotesi!K14*12),Finanziamenti!$C$16,0)+IF(Motore_Operativo!C487&gt;=EDATE(Finanziamenti!$D$17,Ipotesi!K14*12),Finanziamenti!$C$17,0)),CA487*Ipotesi!$C$102)-(CC486))</f>
        <v>0</v>
      </c>
      <c r="BB487" s="15" t="n">
        <f aca="false">IF(AND(CF487&gt;0,Motore_Operativo!C487&gt;=IF(CF487=0,0,EDATE(CF487,Parametri_v3!$C$37)),MOD(((D487-YEAR(IF(CF487=0,0,EDATE(CF487,Parametri_v3!$C$37))))*12+E487-MONTH(IF(CF487=0,0,EDATE(CF487,Parametri_v3!$C$37)))),Parametri_v3!$C$38)=0),MIN(MAX(0,(BC486)+BA487-N487),(CC487-CD487)/(Ipotesi!$C$108*12/Parametri_v3!$C$38)),0)</f>
        <v>0</v>
      </c>
      <c r="BC487" s="15" t="n">
        <f aca="false">(BC486)+BA487-N487-BB487</f>
        <v>0</v>
      </c>
      <c r="BD487" s="15" t="n">
        <f aca="false">(BH486)+AC487+AF487-AI487-AS487-K487*(1+Parametri_v3!$C$26)-AL487-AQ487-O487+AW487+AX487+AZ487+BA487-BB487</f>
        <v>65134.6906535088</v>
      </c>
      <c r="BE487" s="15" t="n">
        <f aca="false">MAX(0,MIN(MAX(0,CH487-(BG486)),Parametri_v3!$C$30-BD487))</f>
        <v>0</v>
      </c>
      <c r="BF487" s="15" t="n">
        <f aca="false">IF(Motore_Operativo!C487&gt;=Parametri_v3!$C$63,(BG486),MIN((BG486),MAX(0,BD487-Parametri_v3!$C$30)))</f>
        <v>0</v>
      </c>
      <c r="BG487" s="15" t="n">
        <f aca="false">(BG486)+BE487-BF487</f>
        <v>0</v>
      </c>
      <c r="BH487" s="15" t="n">
        <f aca="false">BD487+BE487-BF487-AY487</f>
        <v>65134.6906535088</v>
      </c>
      <c r="BI487" s="15" t="n">
        <f aca="false">MAX(0,Parametri_v3!$C$30-BH487)</f>
        <v>0</v>
      </c>
      <c r="BJ487" s="15" t="n">
        <f aca="false">(BJ486)+K487</f>
        <v>5000</v>
      </c>
      <c r="BK487" s="15" t="n">
        <f aca="false">(BK486)+L487</f>
        <v>277.777777777778</v>
      </c>
      <c r="BL487" s="15" t="n">
        <f aca="false">BJ487-BK487</f>
        <v>4722.22222222222</v>
      </c>
      <c r="BM487" s="15" t="n">
        <f aca="false">(BM486)+Y487</f>
        <v>-56129.2646198831</v>
      </c>
      <c r="BN487" s="15" t="n">
        <f aca="false">(BN486)+AW487+AX487+AZ487</f>
        <v>130000</v>
      </c>
      <c r="BO487" s="15" t="n">
        <f aca="false">(BO486)+AY487</f>
        <v>0</v>
      </c>
      <c r="BP487" s="15" t="n">
        <f aca="false">0</f>
        <v>0</v>
      </c>
      <c r="BQ487" s="15" t="n">
        <f aca="false">BN487+BM487-BO487</f>
        <v>73870.735380117</v>
      </c>
      <c r="BR487" s="15" t="n">
        <f aca="false">BH487+AD487+BL487+MAX(0,-AM487)+MAX(0,-AR487)+AG487</f>
        <v>99874.5909152047</v>
      </c>
      <c r="BS487" s="15" t="n">
        <f aca="false">AJ487+AV487+MAX(0,AM487)+MAX(0,AR487)+BC487+BG487+BQ487</f>
        <v>99874.5909152047</v>
      </c>
      <c r="BT487" s="15" t="n">
        <f aca="false">BR487-BS487</f>
        <v>0</v>
      </c>
      <c r="BU487" s="15" t="n">
        <f aca="false">BH487-(BD487+BE487-BF487-AY487)</f>
        <v>0</v>
      </c>
      <c r="BV487" s="15" t="n">
        <f aca="false">MIN(Piano_SS!$C$6,(BV486)+IF(AND(Motore_Operativo!C487&gt;=EDATE(Parametri_v3!$C$24,Ipotesi!K14*12),Motore_Operativo!C487&lt;EDATE(Parametri_v3!$C$24,Parametri_v3!$C$25+Ipotesi!K14*12)),MAX(0,(Motore_Operativo!Y487+Motore_Operativo!X487*Parametri_v3!$C$14)*(1-Parametri_v3!$C$32))*Piano_SS!$D$6,0))</f>
        <v>0</v>
      </c>
      <c r="BW487" s="15" t="n">
        <f aca="false">MIN(Piano_SS!$C$7,(BW486)+IF(AND(Motore_Operativo!C487&gt;=EDATE(Parametri_v3!$C$24,Ipotesi!K14*12),Motore_Operativo!C487&lt;EDATE(Parametri_v3!$C$24,Parametri_v3!$C$25+Ipotesi!K14*12)),MAX(0,(IF(3-(INT((Ipotesi!$C$91)/30))&lt;1,0,INDEX(Motore_Operativo!$BN$485:$BN$544,MAX(1,3-(INT((Ipotesi!$C$91)/30)))))*(1-(MOD((Ipotesi!$C$91),30)/30))+IF(3-(INT((Ipotesi!$C$91)/30))-1&lt;1,0,INDEX(Motore_Operativo!$BN$485:$BN$544,MAX(1,3-(INT((Ipotesi!$C$91)/30))-1)))*(MOD((Ipotesi!$C$91),30)/30)))*Piano_SS!$D$7,0))</f>
        <v>0</v>
      </c>
      <c r="BX487" s="15" t="n">
        <f aca="false">MIN(Piano_SS!$C$8,(BX486)+IF(AND(Motore_Operativo!C487&gt;=EDATE(Parametri_v3!$C$24,Ipotesi!K14*12),Motore_Operativo!C487&lt;EDATE(Parametri_v3!$C$24,Parametri_v3!$C$25+Ipotesi!K14*12)),MAX(0,Motore_Operativo!CE487)*Piano_SS!$D$8,0))</f>
        <v>0</v>
      </c>
      <c r="BY487" s="15" t="n">
        <f aca="false">MIN(Piano_SS!$C$9,(BY486)+IF(AND(Motore_Operativo!C487&gt;=EDATE(Parametri_v3!$C$24,Ipotesi!K14*12),Motore_Operativo!C487&lt;EDATE(Parametri_v3!$C$24,Parametri_v3!$C$25+Ipotesi!K14*12)),MAX(0,((IF(3-(INT((Ipotesi!$C$91)/30))&lt;1,0,INDEX(Motore_Operativo!$BQ$485:$BQ$544,MAX(1,3-(INT((Ipotesi!$C$91)/30)))))*(1-(MOD((Ipotesi!$C$91),30)/30))+IF(3-(INT((Ipotesi!$C$91)/30))-1&lt;1,0,INDEX(Motore_Operativo!$BQ$485:$BQ$544,MAX(1,3-(INT((Ipotesi!$C$91)/30))-1)))*(MOD((Ipotesi!$C$91),30)/30))+(IF(3-(INT((Ipotesi!$C$91)/30))&lt;1,0,INDEX(Motore_Operativo!$BR$485:$BR$544,MAX(1,3-(INT((Ipotesi!$C$91)/30)))))*(1-(MOD((Ipotesi!$C$91),30)/30))+IF(3-(INT((Ipotesi!$C$91)/30))-1&lt;1,0,INDEX(Motore_Operativo!$BR$485:$BR$544,MAX(1,3-(INT((Ipotesi!$C$91)/30))-1)))*(MOD((Ipotesi!$C$91),30)/30))))*Piano_SS!$D$9,0))</f>
        <v>0</v>
      </c>
      <c r="BZ487" s="15" t="n">
        <f aca="false">MIN(Piano_SS!$C$10,(BZ486)+IF(AND(Motore_Operativo!C487&gt;=EDATE(Parametri_v3!$C$24,Ipotesi!K14*12),Motore_Operativo!C487&lt;EDATE(Parametri_v3!$C$24,Parametri_v3!$C$25+Ipotesi!K14*12)),MAX(0,(IF(3-(INT((Ipotesi!$C$91)/30))&lt;1,0,INDEX(Motore_Operativo!$BO$485:$BO$544,MAX(1,3-(INT((Ipotesi!$C$91)/30)))))*(1-(MOD((Ipotesi!$C$91),30)/30))+IF(3-(INT((Ipotesi!$C$91)/30))-1&lt;1,0,INDEX(Motore_Operativo!$BO$485:$BO$544,MAX(1,3-(INT((Ipotesi!$C$91)/30))-1)))*(MOD((Ipotesi!$C$91),30)/30)))*Piano_SS!$D$10,0))</f>
        <v>0</v>
      </c>
      <c r="CA487" s="15" t="n">
        <f aca="false">SUM(BV487:BZ487)</f>
        <v>0</v>
      </c>
      <c r="CB487" s="15" t="n">
        <f aca="false">BV487*(1-Piano_SS!$E$6)+BW487*(1-Piano_SS!$E$7)+BX487*(1-Piano_SS!$E$8)+BY487*(1-Piano_SS!$E$9)+BZ487*(1-Piano_SS!$E$10)</f>
        <v>0</v>
      </c>
      <c r="CC487" s="15" t="n">
        <f aca="false">(CC486)+BA487</f>
        <v>0</v>
      </c>
      <c r="CD487" s="15" t="n">
        <f aca="false">IF(CA487=0,0,CC487*CB487/CA487*Ipotesi!$C$103*Parametri_v3!$C$64)</f>
        <v>0</v>
      </c>
      <c r="CE487" s="18" t="n">
        <f aca="false">IF(BA487&gt;0,Motore_Operativo!C487,(CE486))</f>
        <v>0</v>
      </c>
      <c r="CF487" s="18" t="n">
        <f aca="false">IF(AND(CC487&gt;0,OR(CC487&gt;=CG487-0.01,Motore_Operativo!C487&gt;=EDATE(MAX(Finanziamenti!$D$15:$D$17),Ipotesi!K14*12))),CE487,0)</f>
        <v>0</v>
      </c>
      <c r="CG487" s="15" t="n">
        <f aca="false">IF(AND(9&lt;&gt;6,9&lt;&gt;9,Finanziamenti!$F$11=1,OR(Parametri_v3!$C$6=0,Finanziamenti!$E$11=1)),MIN(Finanziamenti!$C$11,Piano_SS!$C$12*Ipotesi!$C$102),0)</f>
        <v>0</v>
      </c>
      <c r="CH487" s="15" t="n">
        <f aca="false">IF(AND(AND(9&lt;&gt;8,9&lt;&gt;9,Finanziamenti!$F$10=1,OR(Parametri_v3!$C$6=0,Finanziamenti!$E$10=1)),Motore_Operativo!C487&gt;=Finanziamenti!$D$10,Motore_Operativo!C487&lt;Parametri_v3!$C$63),Finanziamenti!$C$10,0)</f>
        <v>0</v>
      </c>
    </row>
    <row r="488" customFormat="false" ht="18" hidden="false" customHeight="true" outlineLevel="0" collapsed="false">
      <c r="A488" s="68" t="n">
        <f aca="false">9</f>
        <v>9</v>
      </c>
      <c r="B488" s="68" t="n">
        <f aca="false">4</f>
        <v>4</v>
      </c>
      <c r="C488" s="18" t="n">
        <f aca="false">Motore_Operativo!C488</f>
        <v>46478</v>
      </c>
      <c r="D488" s="68" t="n">
        <f aca="false">Motore_Operativo!D488</f>
        <v>2027</v>
      </c>
      <c r="E488" s="68" t="n">
        <f aca="false">Motore_Operativo!E488</f>
        <v>4</v>
      </c>
      <c r="F488" s="15" t="n">
        <f aca="false">Motore_Operativo!AQ488+Motore_Operativo!BF488</f>
        <v>7546.2962962963</v>
      </c>
      <c r="G488" s="15" t="n">
        <f aca="false">Motore_Operativo!BH488</f>
        <v>1621.05263157895</v>
      </c>
      <c r="H488" s="15" t="n">
        <f aca="false">Motore_Operativo!BI488</f>
        <v>9167.34892787525</v>
      </c>
      <c r="I488" s="15" t="n">
        <f aca="false">Motore_Operativo!CA488</f>
        <v>27744.6963937622</v>
      </c>
      <c r="J488" s="15" t="n">
        <f aca="false">Motore_Operativo!CC488</f>
        <v>-18577.3474658869</v>
      </c>
      <c r="K488" s="15" t="n">
        <f aca="false">Motore_Operativo!CE488</f>
        <v>1666.66666666667</v>
      </c>
      <c r="L488" s="15" t="n">
        <f aca="false">SUM(INDEX($K$485:$K$544,MAX(1,4-Parametri_v3!$C$59+1)):K488)/Parametri_v3!$C$59</f>
        <v>185.185185185185</v>
      </c>
      <c r="M488" s="15" t="n">
        <f aca="false">J488-L488</f>
        <v>-18762.5326510721</v>
      </c>
      <c r="N488" s="15" t="n">
        <f aca="false">CD488-(CD487)</f>
        <v>0</v>
      </c>
      <c r="O488" s="15" t="n">
        <f aca="false">(BG487)*Ipotesi!$C$110/12+CH488*Parametri_v3!$C$39/12</f>
        <v>0</v>
      </c>
      <c r="P488" s="15" t="n">
        <f aca="false">M488+N488-O488</f>
        <v>-18762.5326510721</v>
      </c>
      <c r="Q488" s="15" t="n">
        <f aca="false">SUM(P485:P488)+Parametri_v3!$C$54*4/12</f>
        <v>-74891.7972709552</v>
      </c>
      <c r="R488" s="15" t="n">
        <f aca="false">0</f>
        <v>0</v>
      </c>
      <c r="S488" s="15" t="n">
        <f aca="false">0</f>
        <v>0</v>
      </c>
      <c r="T488" s="15" t="n">
        <f aca="false">MIN(R488,MAX(0,Q488))</f>
        <v>0</v>
      </c>
      <c r="U488" s="15" t="n">
        <f aca="false">MIN(S488,MAX(0,Q488-T488)*Parametri_v3!$C$42)</f>
        <v>0</v>
      </c>
      <c r="V488" s="15" t="n">
        <f aca="false">MAX(0,Q488-T488-U488)*Ipotesi!$C$92</f>
        <v>0</v>
      </c>
      <c r="W488" s="15" t="n">
        <f aca="false">MAX(0,SUM(M485:M488)+Parametri_v3!$C$55*4/12)*Ipotesi!$C$93</f>
        <v>0</v>
      </c>
      <c r="X488" s="15" t="n">
        <f aca="false">V488+W488-(V487+W487)</f>
        <v>0</v>
      </c>
      <c r="Y488" s="15" t="n">
        <f aca="false">P488-X488</f>
        <v>-18762.5326510721</v>
      </c>
      <c r="Z488" s="15" t="n">
        <f aca="false">R488-T488+IF(AND(Parametri_v3!$C$40=1,D488-YEAR(Parametri_v3!$C$50)&lt;Parametri_v3!$C$41),MAX(0,-Q488),0)</f>
        <v>74891.7972709552</v>
      </c>
      <c r="AA488" s="15" t="n">
        <f aca="false">S488-U488+IF(AND(Parametri_v3!$C$40=1,D488-YEAR(Parametri_v3!$C$50)&lt;Parametri_v3!$C$41),0,MAX(0,-Q488))</f>
        <v>0</v>
      </c>
      <c r="AB488" s="15" t="n">
        <f aca="false">F488*(1+Parametri_v3!$C$26)</f>
        <v>9206.48148148148</v>
      </c>
      <c r="AC488" s="15" t="n">
        <f aca="false">(IF(4-(INT((Motore_Operativo!L488)/30))&lt;1,0,INDEX(Motore_Startup!$AB$485:$AB$544,MAX(1,4-(INT((Motore_Operativo!L488)/30)))))*(1-(MOD((Motore_Operativo!L488),30)/30))+IF(4-(INT((Motore_Operativo!L488)/30))-1&lt;1,0,INDEX(Motore_Startup!$AB$485:$AB$544,MAX(1,4-(INT((Motore_Operativo!L488)/30))-1)))*(MOD((Motore_Operativo!L488),30)/30))</f>
        <v>9150</v>
      </c>
      <c r="AD488" s="15" t="n">
        <f aca="false">(AD487)+AB488-AC488</f>
        <v>27506.4814814815</v>
      </c>
      <c r="AE488" s="15" t="n">
        <f aca="false">Motore_Operativo!BH488*(1+Parametri_v3!$C$26)</f>
        <v>1977.68421052632</v>
      </c>
      <c r="AF488" s="15" t="n">
        <f aca="false">(IF(4-(INT((Parametri_v3!$C$29)/30))&lt;1,0,INDEX(Motore_Operativo!$BH$485:$BH$544,MAX(1,4-(INT((Parametri_v3!$C$29)/30)))))*(1-(MOD((Parametri_v3!$C$29),30)/30))+IF(4-(INT((Parametri_v3!$C$29)/30))-1&lt;1,0,INDEX(Motore_Operativo!$BH$485:$BH$544,MAX(1,4-(INT((Parametri_v3!$C$29)/30))-1)))*(MOD((Parametri_v3!$C$29),30)/30))*(1+Parametri_v3!$C$26)</f>
        <v>1977.68421052632</v>
      </c>
      <c r="AG488" s="15" t="n">
        <f aca="false">(AG487)+AE488-AF488</f>
        <v>1977.68421052632</v>
      </c>
      <c r="AH488" s="15" t="n">
        <f aca="false">(Motore_Operativo!CJ488)*(1+Parametri_v3!$C$27*Parametri_v3!$C$26)</f>
        <v>11665.8712860624</v>
      </c>
      <c r="AI488" s="15" t="n">
        <f aca="false">(IF(4-(INT((Ipotesi!$C$91)/30))&lt;1,0,INDEX(Motore_Startup!$AH$485:$AH$544,MAX(1,4-(INT((Ipotesi!$C$91)/30)))))*(1-(MOD((Ipotesi!$C$91),30)/30))+IF(4-(INT((Ipotesi!$C$91)/30))-1&lt;1,0,INDEX(Motore_Startup!$AH$485:$AH$544,MAX(1,4-(INT((Ipotesi!$C$91)/30))-1)))*(MOD((Ipotesi!$C$91),30)/30))</f>
        <v>11658.1777675439</v>
      </c>
      <c r="AJ488" s="15" t="n">
        <f aca="false">(AJ487)+AH488-AI488</f>
        <v>23324.0490536062</v>
      </c>
      <c r="AK488" s="15" t="n">
        <f aca="false">(F488+ Motore_Operativo!BH488-(Motore_Operativo!CJ488)*Parametri_v3!$C$27-Motore_Operativo!CE488)*Parametri_v3!$C$26</f>
        <v>-187.691461500974</v>
      </c>
      <c r="AL488" s="15" t="n">
        <f aca="false">MAX(0,(AM487))</f>
        <v>0</v>
      </c>
      <c r="AM488" s="15" t="n">
        <f aca="false">(AM487)+AK488-AL488</f>
        <v>-777.685290448342</v>
      </c>
      <c r="AN488" s="15" t="n">
        <f aca="false">0</f>
        <v>0</v>
      </c>
      <c r="AO488" s="15" t="n">
        <f aca="false">0</f>
        <v>0</v>
      </c>
      <c r="AP488" s="15" t="n">
        <f aca="false">MAX(0,AN488)*IF(4=Parametri_v3!$C$43,Parametri_v3!$C$45,IF(4=Parametri_v3!$C$44,1-Parametri_v3!$C$45,0))</f>
        <v>0</v>
      </c>
      <c r="AQ488" s="15" t="n">
        <f aca="false">MAX(0,AP488+IF(4=Parametri_v3!$C$43,MAX(0,AN488-AO488),0)-MAX(0,-(AR487)))</f>
        <v>0</v>
      </c>
      <c r="AR488" s="15" t="n">
        <f aca="false">(AR487)+X488-AQ488</f>
        <v>0</v>
      </c>
      <c r="AS488" s="15" t="n">
        <f aca="false">Motore_Operativo!AB488-AT488+AU488</f>
        <v>17020.8333333333</v>
      </c>
      <c r="AT488" s="15" t="n">
        <f aca="false">Motore_Operativo!CH488</f>
        <v>895.833333333334</v>
      </c>
      <c r="AU488" s="15" t="n">
        <f aca="false">MIN(MAX(0,(AV487)+AT488),Parametri_v3!$C$60/12)</f>
        <v>0</v>
      </c>
      <c r="AV488" s="15" t="n">
        <f aca="false">(AV487)+AT488-AU488</f>
        <v>3583.33333333333</v>
      </c>
      <c r="AW488" s="15" t="n">
        <f aca="false">IF(AND(Motore_Operativo!C488=Finanziamenti!$D$6,Finanziamenti!$F$6=1),Finanziamenti!$C$6,0)</f>
        <v>0</v>
      </c>
      <c r="AX488" s="15" t="n">
        <f aca="false">IF(AND(9&lt;&gt;7,9&lt;&gt;9,Finanziamenti!$F$8=1,OR(Parametri_v3!$C$6=0,Finanziamenti!$E$8=1),Motore_Operativo!C488=EDATE(Finanziamenti!$D$8,Ipotesi!K15*12)),Finanziamenti!$C$8*1,0)+IF(AND(9&lt;&gt;7,9&lt;&gt;9,Finanziamenti!$F$9=1,OR(Parametri_v3!$C$6=0,Finanziamenti!$E$9=1),Motore_Operativo!C488=EDATE(Finanziamenti!$D$9,Ipotesi!K15*12)),Finanziamenti!$C$9*Ipotesi!K16,0)</f>
        <v>0</v>
      </c>
      <c r="AY488" s="15" t="n">
        <f aca="false">0</f>
        <v>0</v>
      </c>
      <c r="AZ488" s="15" t="n">
        <f aca="false">Motore_Advisory!AY488*(1-Ipotesi!$C$95)*Ipotesi!$C$96</f>
        <v>0</v>
      </c>
      <c r="BA488" s="15" t="n">
        <f aca="false">MAX(0,MIN(CG488*MIN(1,IF(Motore_Operativo!C488&gt;=EDATE(Finanziamenti!$D$15,Ipotesi!K14*12),Finanziamenti!$C$15,0)+IF(Motore_Operativo!C488&gt;=EDATE(Finanziamenti!$D$16,Ipotesi!K14*12),Finanziamenti!$C$16,0)+IF(Motore_Operativo!C488&gt;=EDATE(Finanziamenti!$D$17,Ipotesi!K14*12),Finanziamenti!$C$17,0)),CA488*Ipotesi!$C$102)-(CC487))</f>
        <v>0</v>
      </c>
      <c r="BB488" s="15" t="n">
        <f aca="false">IF(AND(CF488&gt;0,Motore_Operativo!C488&gt;=IF(CF488=0,0,EDATE(CF488,Parametri_v3!$C$37)),MOD(((D488-YEAR(IF(CF488=0,0,EDATE(CF488,Parametri_v3!$C$37))))*12+E488-MONTH(IF(CF488=0,0,EDATE(CF488,Parametri_v3!$C$37)))),Parametri_v3!$C$38)=0),MIN(MAX(0,(BC487)+BA488-N488),(CC488-CD488)/(Ipotesi!$C$108*12/Parametri_v3!$C$38)),0)</f>
        <v>0</v>
      </c>
      <c r="BC488" s="15" t="n">
        <f aca="false">(BC487)+BA488-N488-BB488</f>
        <v>0</v>
      </c>
      <c r="BD488" s="15" t="n">
        <f aca="false">(BH487)+AC488+AF488-AI488-AS488-K488*(1+Parametri_v3!$C$26)-AL488-AQ488-O488+AW488+AX488+AZ488+BA488-BB488</f>
        <v>45550.0304298246</v>
      </c>
      <c r="BE488" s="15" t="n">
        <f aca="false">MAX(0,MIN(MAX(0,CH488-(BG487)),Parametri_v3!$C$30-BD488))</f>
        <v>0</v>
      </c>
      <c r="BF488" s="15" t="n">
        <f aca="false">IF(Motore_Operativo!C488&gt;=Parametri_v3!$C$63,(BG487),MIN((BG487),MAX(0,BD488-Parametri_v3!$C$30)))</f>
        <v>0</v>
      </c>
      <c r="BG488" s="15" t="n">
        <f aca="false">(BG487)+BE488-BF488</f>
        <v>0</v>
      </c>
      <c r="BH488" s="15" t="n">
        <f aca="false">BD488+BE488-BF488-AY488</f>
        <v>45550.0304298246</v>
      </c>
      <c r="BI488" s="15" t="n">
        <f aca="false">MAX(0,Parametri_v3!$C$30-BH488)</f>
        <v>0</v>
      </c>
      <c r="BJ488" s="15" t="n">
        <f aca="false">(BJ487)+K488</f>
        <v>6666.66666666667</v>
      </c>
      <c r="BK488" s="15" t="n">
        <f aca="false">(BK487)+L488</f>
        <v>462.962962962963</v>
      </c>
      <c r="BL488" s="15" t="n">
        <f aca="false">BJ488-BK488</f>
        <v>6203.7037037037</v>
      </c>
      <c r="BM488" s="15" t="n">
        <f aca="false">(BM487)+Y488</f>
        <v>-74891.7972709552</v>
      </c>
      <c r="BN488" s="15" t="n">
        <f aca="false">(BN487)+AW488+AX488+AZ488</f>
        <v>130000</v>
      </c>
      <c r="BO488" s="15" t="n">
        <f aca="false">(BO487)+AY488</f>
        <v>0</v>
      </c>
      <c r="BP488" s="15" t="n">
        <f aca="false">0</f>
        <v>0</v>
      </c>
      <c r="BQ488" s="15" t="n">
        <f aca="false">BN488+BM488-BO488</f>
        <v>55108.2027290448</v>
      </c>
      <c r="BR488" s="15" t="n">
        <f aca="false">BH488+AD488+BL488+MAX(0,-AM488)+MAX(0,-AR488)+AG488</f>
        <v>82015.5851159844</v>
      </c>
      <c r="BS488" s="15" t="n">
        <f aca="false">AJ488+AV488+MAX(0,AM488)+MAX(0,AR488)+BC488+BG488+BQ488</f>
        <v>82015.5851159844</v>
      </c>
      <c r="BT488" s="15" t="n">
        <f aca="false">BR488-BS488</f>
        <v>0</v>
      </c>
      <c r="BU488" s="15" t="n">
        <f aca="false">BH488-(BD488+BE488-BF488-AY488)</f>
        <v>0</v>
      </c>
      <c r="BV488" s="15" t="n">
        <f aca="false">MIN(Piano_SS!$C$6,(BV487)+IF(AND(Motore_Operativo!C488&gt;=EDATE(Parametri_v3!$C$24,Ipotesi!K14*12),Motore_Operativo!C488&lt;EDATE(Parametri_v3!$C$24,Parametri_v3!$C$25+Ipotesi!K14*12)),MAX(0,(Motore_Operativo!Y488+Motore_Operativo!X488*Parametri_v3!$C$14)*(1-Parametri_v3!$C$32))*Piano_SS!$D$6,0))</f>
        <v>0</v>
      </c>
      <c r="BW488" s="15" t="n">
        <f aca="false">MIN(Piano_SS!$C$7,(BW487)+IF(AND(Motore_Operativo!C488&gt;=EDATE(Parametri_v3!$C$24,Ipotesi!K14*12),Motore_Operativo!C488&lt;EDATE(Parametri_v3!$C$24,Parametri_v3!$C$25+Ipotesi!K14*12)),MAX(0,(IF(4-(INT((Ipotesi!$C$91)/30))&lt;1,0,INDEX(Motore_Operativo!$BN$485:$BN$544,MAX(1,4-(INT((Ipotesi!$C$91)/30)))))*(1-(MOD((Ipotesi!$C$91),30)/30))+IF(4-(INT((Ipotesi!$C$91)/30))-1&lt;1,0,INDEX(Motore_Operativo!$BN$485:$BN$544,MAX(1,4-(INT((Ipotesi!$C$91)/30))-1)))*(MOD((Ipotesi!$C$91),30)/30)))*Piano_SS!$D$7,0))</f>
        <v>0</v>
      </c>
      <c r="BX488" s="15" t="n">
        <f aca="false">MIN(Piano_SS!$C$8,(BX487)+IF(AND(Motore_Operativo!C488&gt;=EDATE(Parametri_v3!$C$24,Ipotesi!K14*12),Motore_Operativo!C488&lt;EDATE(Parametri_v3!$C$24,Parametri_v3!$C$25+Ipotesi!K14*12)),MAX(0,Motore_Operativo!CE488)*Piano_SS!$D$8,0))</f>
        <v>0</v>
      </c>
      <c r="BY488" s="15" t="n">
        <f aca="false">MIN(Piano_SS!$C$9,(BY487)+IF(AND(Motore_Operativo!C488&gt;=EDATE(Parametri_v3!$C$24,Ipotesi!K14*12),Motore_Operativo!C488&lt;EDATE(Parametri_v3!$C$24,Parametri_v3!$C$25+Ipotesi!K14*12)),MAX(0,((IF(4-(INT((Ipotesi!$C$91)/30))&lt;1,0,INDEX(Motore_Operativo!$BQ$485:$BQ$544,MAX(1,4-(INT((Ipotesi!$C$91)/30)))))*(1-(MOD((Ipotesi!$C$91),30)/30))+IF(4-(INT((Ipotesi!$C$91)/30))-1&lt;1,0,INDEX(Motore_Operativo!$BQ$485:$BQ$544,MAX(1,4-(INT((Ipotesi!$C$91)/30))-1)))*(MOD((Ipotesi!$C$91),30)/30))+(IF(4-(INT((Ipotesi!$C$91)/30))&lt;1,0,INDEX(Motore_Operativo!$BR$485:$BR$544,MAX(1,4-(INT((Ipotesi!$C$91)/30)))))*(1-(MOD((Ipotesi!$C$91),30)/30))+IF(4-(INT((Ipotesi!$C$91)/30))-1&lt;1,0,INDEX(Motore_Operativo!$BR$485:$BR$544,MAX(1,4-(INT((Ipotesi!$C$91)/30))-1)))*(MOD((Ipotesi!$C$91),30)/30))))*Piano_SS!$D$9,0))</f>
        <v>0</v>
      </c>
      <c r="BZ488" s="15" t="n">
        <f aca="false">MIN(Piano_SS!$C$10,(BZ487)+IF(AND(Motore_Operativo!C488&gt;=EDATE(Parametri_v3!$C$24,Ipotesi!K14*12),Motore_Operativo!C488&lt;EDATE(Parametri_v3!$C$24,Parametri_v3!$C$25+Ipotesi!K14*12)),MAX(0,(IF(4-(INT((Ipotesi!$C$91)/30))&lt;1,0,INDEX(Motore_Operativo!$BO$485:$BO$544,MAX(1,4-(INT((Ipotesi!$C$91)/30)))))*(1-(MOD((Ipotesi!$C$91),30)/30))+IF(4-(INT((Ipotesi!$C$91)/30))-1&lt;1,0,INDEX(Motore_Operativo!$BO$485:$BO$544,MAX(1,4-(INT((Ipotesi!$C$91)/30))-1)))*(MOD((Ipotesi!$C$91),30)/30)))*Piano_SS!$D$10,0))</f>
        <v>0</v>
      </c>
      <c r="CA488" s="15" t="n">
        <f aca="false">SUM(BV488:BZ488)</f>
        <v>0</v>
      </c>
      <c r="CB488" s="15" t="n">
        <f aca="false">BV488*(1-Piano_SS!$E$6)+BW488*(1-Piano_SS!$E$7)+BX488*(1-Piano_SS!$E$8)+BY488*(1-Piano_SS!$E$9)+BZ488*(1-Piano_SS!$E$10)</f>
        <v>0</v>
      </c>
      <c r="CC488" s="15" t="n">
        <f aca="false">(CC487)+BA488</f>
        <v>0</v>
      </c>
      <c r="CD488" s="15" t="n">
        <f aca="false">IF(CA488=0,0,CC488*CB488/CA488*Ipotesi!$C$103*Parametri_v3!$C$64)</f>
        <v>0</v>
      </c>
      <c r="CE488" s="18" t="n">
        <f aca="false">IF(BA488&gt;0,Motore_Operativo!C488,(CE487))</f>
        <v>0</v>
      </c>
      <c r="CF488" s="18" t="n">
        <f aca="false">IF(AND(CC488&gt;0,OR(CC488&gt;=CG488-0.01,Motore_Operativo!C488&gt;=EDATE(MAX(Finanziamenti!$D$15:$D$17),Ipotesi!K14*12))),CE488,0)</f>
        <v>0</v>
      </c>
      <c r="CG488" s="15" t="n">
        <f aca="false">IF(AND(9&lt;&gt;6,9&lt;&gt;9,Finanziamenti!$F$11=1,OR(Parametri_v3!$C$6=0,Finanziamenti!$E$11=1)),MIN(Finanziamenti!$C$11,Piano_SS!$C$12*Ipotesi!$C$102),0)</f>
        <v>0</v>
      </c>
      <c r="CH488" s="15" t="n">
        <f aca="false">IF(AND(AND(9&lt;&gt;8,9&lt;&gt;9,Finanziamenti!$F$10=1,OR(Parametri_v3!$C$6=0,Finanziamenti!$E$10=1)),Motore_Operativo!C488&gt;=Finanziamenti!$D$10,Motore_Operativo!C488&lt;Parametri_v3!$C$63),Finanziamenti!$C$10,0)</f>
        <v>0</v>
      </c>
    </row>
    <row r="489" customFormat="false" ht="18" hidden="false" customHeight="true" outlineLevel="0" collapsed="false">
      <c r="A489" s="68" t="n">
        <f aca="false">9</f>
        <v>9</v>
      </c>
      <c r="B489" s="68" t="n">
        <f aca="false">5</f>
        <v>5</v>
      </c>
      <c r="C489" s="18" t="n">
        <f aca="false">Motore_Operativo!C489</f>
        <v>46508</v>
      </c>
      <c r="D489" s="68" t="n">
        <f aca="false">Motore_Operativo!D489</f>
        <v>2027</v>
      </c>
      <c r="E489" s="68" t="n">
        <f aca="false">Motore_Operativo!E489</f>
        <v>5</v>
      </c>
      <c r="F489" s="15" t="n">
        <f aca="false">Motore_Operativo!AQ489+Motore_Operativo!BF489</f>
        <v>7638.88888888889</v>
      </c>
      <c r="G489" s="15" t="n">
        <f aca="false">Motore_Operativo!BH489</f>
        <v>1621.05263157895</v>
      </c>
      <c r="H489" s="15" t="n">
        <f aca="false">Motore_Operativo!BI489</f>
        <v>9259.94152046784</v>
      </c>
      <c r="I489" s="15" t="n">
        <f aca="false">Motore_Operativo!CA489</f>
        <v>27757.6593567251</v>
      </c>
      <c r="J489" s="15" t="n">
        <f aca="false">Motore_Operativo!CC489</f>
        <v>-18497.7178362573</v>
      </c>
      <c r="K489" s="15" t="n">
        <f aca="false">Motore_Operativo!CE489</f>
        <v>1666.66666666667</v>
      </c>
      <c r="L489" s="15" t="n">
        <f aca="false">SUM(INDEX($K$485:$K$544,MAX(1,5-Parametri_v3!$C$59+1)):K489)/Parametri_v3!$C$59</f>
        <v>231.481481481482</v>
      </c>
      <c r="M489" s="15" t="n">
        <f aca="false">J489-L489</f>
        <v>-18729.1993177388</v>
      </c>
      <c r="N489" s="15" t="n">
        <f aca="false">CD489-(CD488)</f>
        <v>0</v>
      </c>
      <c r="O489" s="15" t="n">
        <f aca="false">(BG488)*Ipotesi!$C$110/12+CH489*Parametri_v3!$C$39/12</f>
        <v>0</v>
      </c>
      <c r="P489" s="15" t="n">
        <f aca="false">M489+N489-O489</f>
        <v>-18729.1993177388</v>
      </c>
      <c r="Q489" s="15" t="n">
        <f aca="false">SUM(P485:P489)+Parametri_v3!$C$54*5/12</f>
        <v>-93620.996588694</v>
      </c>
      <c r="R489" s="15" t="n">
        <f aca="false">0</f>
        <v>0</v>
      </c>
      <c r="S489" s="15" t="n">
        <f aca="false">0</f>
        <v>0</v>
      </c>
      <c r="T489" s="15" t="n">
        <f aca="false">MIN(R489,MAX(0,Q489))</f>
        <v>0</v>
      </c>
      <c r="U489" s="15" t="n">
        <f aca="false">MIN(S489,MAX(0,Q489-T489)*Parametri_v3!$C$42)</f>
        <v>0</v>
      </c>
      <c r="V489" s="15" t="n">
        <f aca="false">MAX(0,Q489-T489-U489)*Ipotesi!$C$92</f>
        <v>0</v>
      </c>
      <c r="W489" s="15" t="n">
        <f aca="false">MAX(0,SUM(M485:M489)+Parametri_v3!$C$55*5/12)*Ipotesi!$C$93</f>
        <v>0</v>
      </c>
      <c r="X489" s="15" t="n">
        <f aca="false">V489+W489-(V488+W488)</f>
        <v>0</v>
      </c>
      <c r="Y489" s="15" t="n">
        <f aca="false">P489-X489</f>
        <v>-18729.1993177388</v>
      </c>
      <c r="Z489" s="15" t="n">
        <f aca="false">R489-T489+IF(AND(Parametri_v3!$C$40=1,D489-YEAR(Parametri_v3!$C$50)&lt;Parametri_v3!$C$41),MAX(0,-Q489),0)</f>
        <v>93620.996588694</v>
      </c>
      <c r="AA489" s="15" t="n">
        <f aca="false">S489-U489+IF(AND(Parametri_v3!$C$40=1,D489-YEAR(Parametri_v3!$C$50)&lt;Parametri_v3!$C$41),0,MAX(0,-Q489))</f>
        <v>0</v>
      </c>
      <c r="AB489" s="15" t="n">
        <f aca="false">F489*(1+Parametri_v3!$C$26)</f>
        <v>9319.44444444445</v>
      </c>
      <c r="AC489" s="15" t="n">
        <f aca="false">(IF(5-(INT((Motore_Operativo!L489)/30))&lt;1,0,INDEX(Motore_Startup!$AB$485:$AB$544,MAX(1,5-(INT((Motore_Operativo!L489)/30)))))*(1-(MOD((Motore_Operativo!L489),30)/30))+IF(5-(INT((Motore_Operativo!L489)/30))-1&lt;1,0,INDEX(Motore_Startup!$AB$485:$AB$544,MAX(1,5-(INT((Motore_Operativo!L489)/30))-1)))*(MOD((Motore_Operativo!L489),30)/30))</f>
        <v>9150</v>
      </c>
      <c r="AD489" s="15" t="n">
        <f aca="false">(AD488)+AB489-AC489</f>
        <v>27675.9259259259</v>
      </c>
      <c r="AE489" s="15" t="n">
        <f aca="false">Motore_Operativo!BH489*(1+Parametri_v3!$C$26)</f>
        <v>1977.68421052632</v>
      </c>
      <c r="AF489" s="15" t="n">
        <f aca="false">(IF(5-(INT((Parametri_v3!$C$29)/30))&lt;1,0,INDEX(Motore_Operativo!$BH$485:$BH$544,MAX(1,5-(INT((Parametri_v3!$C$29)/30)))))*(1-(MOD((Parametri_v3!$C$29),30)/30))+IF(5-(INT((Parametri_v3!$C$29)/30))-1&lt;1,0,INDEX(Motore_Operativo!$BH$485:$BH$544,MAX(1,5-(INT((Parametri_v3!$C$29)/30))-1)))*(MOD((Parametri_v3!$C$29),30)/30))*(1+Parametri_v3!$C$26)</f>
        <v>1977.68421052632</v>
      </c>
      <c r="AG489" s="15" t="n">
        <f aca="false">(AG488)+AE489-AF489</f>
        <v>1977.68421052632</v>
      </c>
      <c r="AH489" s="15" t="n">
        <f aca="false">(Motore_Operativo!CJ489)*(1+Parametri_v3!$C$27*Parametri_v3!$C$26)</f>
        <v>11681.2583230994</v>
      </c>
      <c r="AI489" s="15" t="n">
        <f aca="false">(IF(5-(INT((Ipotesi!$C$91)/30))&lt;1,0,INDEX(Motore_Startup!$AH$485:$AH$544,MAX(1,5-(INT((Ipotesi!$C$91)/30)))))*(1-(MOD((Ipotesi!$C$91),30)/30))+IF(5-(INT((Ipotesi!$C$91)/30))-1&lt;1,0,INDEX(Motore_Startup!$AH$485:$AH$544,MAX(1,5-(INT((Ipotesi!$C$91)/30))-1)))*(MOD((Ipotesi!$C$91),30)/30))</f>
        <v>11658.1777675439</v>
      </c>
      <c r="AJ489" s="15" t="n">
        <f aca="false">(AJ488)+AH489-AI489</f>
        <v>23347.1296091618</v>
      </c>
      <c r="AK489" s="15" t="n">
        <f aca="false">(F489+ Motore_Operativo!BH489-(Motore_Operativo!CJ489)*Parametri_v3!$C$27-Motore_Operativo!CE489)*Parametri_v3!$C$26</f>
        <v>-169.745165204677</v>
      </c>
      <c r="AL489" s="15" t="n">
        <f aca="false">MAX(0,(AM488))</f>
        <v>0</v>
      </c>
      <c r="AM489" s="15" t="n">
        <f aca="false">(AM488)+AK489-AL489</f>
        <v>-947.430455653019</v>
      </c>
      <c r="AN489" s="15" t="n">
        <f aca="false">0</f>
        <v>0</v>
      </c>
      <c r="AO489" s="15" t="n">
        <f aca="false">0</f>
        <v>0</v>
      </c>
      <c r="AP489" s="15" t="n">
        <f aca="false">MAX(0,AN489)*IF(5=Parametri_v3!$C$43,Parametri_v3!$C$45,IF(5=Parametri_v3!$C$44,1-Parametri_v3!$C$45,0))</f>
        <v>0</v>
      </c>
      <c r="AQ489" s="15" t="n">
        <f aca="false">MAX(0,AP489+IF(5=Parametri_v3!$C$43,MAX(0,AN489-AO489),0)-MAX(0,-(AR488)))</f>
        <v>0</v>
      </c>
      <c r="AR489" s="15" t="n">
        <f aca="false">(AR488)+X489-AQ489</f>
        <v>0</v>
      </c>
      <c r="AS489" s="15" t="n">
        <f aca="false">Motore_Operativo!AB489-AT489+AU489</f>
        <v>17020.8333333333</v>
      </c>
      <c r="AT489" s="15" t="n">
        <f aca="false">Motore_Operativo!CH489</f>
        <v>895.833333333334</v>
      </c>
      <c r="AU489" s="15" t="n">
        <f aca="false">MIN(MAX(0,(AV488)+AT489),Parametri_v3!$C$60/12)</f>
        <v>0</v>
      </c>
      <c r="AV489" s="15" t="n">
        <f aca="false">(AV488)+AT489-AU489</f>
        <v>4479.16666666667</v>
      </c>
      <c r="AW489" s="15" t="n">
        <f aca="false">IF(AND(Motore_Operativo!C489=Finanziamenti!$D$6,Finanziamenti!$F$6=1),Finanziamenti!$C$6,0)</f>
        <v>0</v>
      </c>
      <c r="AX489" s="15" t="n">
        <f aca="false">IF(AND(9&lt;&gt;7,9&lt;&gt;9,Finanziamenti!$F$8=1,OR(Parametri_v3!$C$6=0,Finanziamenti!$E$8=1),Motore_Operativo!C489=EDATE(Finanziamenti!$D$8,Ipotesi!K15*12)),Finanziamenti!$C$8*1,0)+IF(AND(9&lt;&gt;7,9&lt;&gt;9,Finanziamenti!$F$9=1,OR(Parametri_v3!$C$6=0,Finanziamenti!$E$9=1),Motore_Operativo!C489=EDATE(Finanziamenti!$D$9,Ipotesi!K15*12)),Finanziamenti!$C$9*Ipotesi!K16,0)</f>
        <v>0</v>
      </c>
      <c r="AY489" s="15" t="n">
        <f aca="false">0</f>
        <v>0</v>
      </c>
      <c r="AZ489" s="15" t="n">
        <f aca="false">Motore_Advisory!AY489*(1-Ipotesi!$C$95)*Ipotesi!$C$96</f>
        <v>0</v>
      </c>
      <c r="BA489" s="15" t="n">
        <f aca="false">MAX(0,MIN(CG489*MIN(1,IF(Motore_Operativo!C489&gt;=EDATE(Finanziamenti!$D$15,Ipotesi!K14*12),Finanziamenti!$C$15,0)+IF(Motore_Operativo!C489&gt;=EDATE(Finanziamenti!$D$16,Ipotesi!K14*12),Finanziamenti!$C$16,0)+IF(Motore_Operativo!C489&gt;=EDATE(Finanziamenti!$D$17,Ipotesi!K14*12),Finanziamenti!$C$17,0)),CA489*Ipotesi!$C$102)-(CC488))</f>
        <v>0</v>
      </c>
      <c r="BB489" s="15" t="n">
        <f aca="false">IF(AND(CF489&gt;0,Motore_Operativo!C489&gt;=IF(CF489=0,0,EDATE(CF489,Parametri_v3!$C$37)),MOD(((D489-YEAR(IF(CF489=0,0,EDATE(CF489,Parametri_v3!$C$37))))*12+E489-MONTH(IF(CF489=0,0,EDATE(CF489,Parametri_v3!$C$37)))),Parametri_v3!$C$38)=0),MIN(MAX(0,(BC488)+BA489-N489),(CC489-CD489)/(Ipotesi!$C$108*12/Parametri_v3!$C$38)),0)</f>
        <v>0</v>
      </c>
      <c r="BC489" s="15" t="n">
        <f aca="false">(BC488)+BA489-N489-BB489</f>
        <v>0</v>
      </c>
      <c r="BD489" s="15" t="n">
        <f aca="false">(BH488)+AC489+AF489-AI489-AS489-K489*(1+Parametri_v3!$C$26)-AL489-AQ489-O489+AW489+AX489+AZ489+BA489-BB489</f>
        <v>25965.3702061404</v>
      </c>
      <c r="BE489" s="15" t="n">
        <f aca="false">MAX(0,MIN(MAX(0,CH489-(BG488)),Parametri_v3!$C$30-BD489))</f>
        <v>0</v>
      </c>
      <c r="BF489" s="15" t="n">
        <f aca="false">IF(Motore_Operativo!C489&gt;=Parametri_v3!$C$63,(BG488),MIN((BG488),MAX(0,BD489-Parametri_v3!$C$30)))</f>
        <v>0</v>
      </c>
      <c r="BG489" s="15" t="n">
        <f aca="false">(BG488)+BE489-BF489</f>
        <v>0</v>
      </c>
      <c r="BH489" s="15" t="n">
        <f aca="false">BD489+BE489-BF489-AY489</f>
        <v>25965.3702061404</v>
      </c>
      <c r="BI489" s="15" t="n">
        <f aca="false">MAX(0,Parametri_v3!$C$30-BH489)</f>
        <v>0</v>
      </c>
      <c r="BJ489" s="15" t="n">
        <f aca="false">(BJ488)+K489</f>
        <v>8333.33333333333</v>
      </c>
      <c r="BK489" s="15" t="n">
        <f aca="false">(BK488)+L489</f>
        <v>694.444444444445</v>
      </c>
      <c r="BL489" s="15" t="n">
        <f aca="false">BJ489-BK489</f>
        <v>7638.88888888889</v>
      </c>
      <c r="BM489" s="15" t="n">
        <f aca="false">(BM488)+Y489</f>
        <v>-93620.996588694</v>
      </c>
      <c r="BN489" s="15" t="n">
        <f aca="false">(BN488)+AW489+AX489+AZ489</f>
        <v>130000</v>
      </c>
      <c r="BO489" s="15" t="n">
        <f aca="false">(BO488)+AY489</f>
        <v>0</v>
      </c>
      <c r="BP489" s="15" t="n">
        <f aca="false">0</f>
        <v>0</v>
      </c>
      <c r="BQ489" s="15" t="n">
        <f aca="false">BN489+BM489-BO489</f>
        <v>36379.003411306</v>
      </c>
      <c r="BR489" s="15" t="n">
        <f aca="false">BH489+AD489+BL489+MAX(0,-AM489)+MAX(0,-AR489)+AG489</f>
        <v>64205.2996871345</v>
      </c>
      <c r="BS489" s="15" t="n">
        <f aca="false">AJ489+AV489+MAX(0,AM489)+MAX(0,AR489)+BC489+BG489+BQ489</f>
        <v>64205.2996871345</v>
      </c>
      <c r="BT489" s="15" t="n">
        <f aca="false">BR489-BS489</f>
        <v>0</v>
      </c>
      <c r="BU489" s="15" t="n">
        <f aca="false">BH489-(BD489+BE489-BF489-AY489)</f>
        <v>0</v>
      </c>
      <c r="BV489" s="15" t="n">
        <f aca="false">MIN(Piano_SS!$C$6,(BV488)+IF(AND(Motore_Operativo!C489&gt;=EDATE(Parametri_v3!$C$24,Ipotesi!K14*12),Motore_Operativo!C489&lt;EDATE(Parametri_v3!$C$24,Parametri_v3!$C$25+Ipotesi!K14*12)),MAX(0,(Motore_Operativo!Y489+Motore_Operativo!X489*Parametri_v3!$C$14)*(1-Parametri_v3!$C$32))*Piano_SS!$D$6,0))</f>
        <v>0</v>
      </c>
      <c r="BW489" s="15" t="n">
        <f aca="false">MIN(Piano_SS!$C$7,(BW488)+IF(AND(Motore_Operativo!C489&gt;=EDATE(Parametri_v3!$C$24,Ipotesi!K14*12),Motore_Operativo!C489&lt;EDATE(Parametri_v3!$C$24,Parametri_v3!$C$25+Ipotesi!K14*12)),MAX(0,(IF(5-(INT((Ipotesi!$C$91)/30))&lt;1,0,INDEX(Motore_Operativo!$BN$485:$BN$544,MAX(1,5-(INT((Ipotesi!$C$91)/30)))))*(1-(MOD((Ipotesi!$C$91),30)/30))+IF(5-(INT((Ipotesi!$C$91)/30))-1&lt;1,0,INDEX(Motore_Operativo!$BN$485:$BN$544,MAX(1,5-(INT((Ipotesi!$C$91)/30))-1)))*(MOD((Ipotesi!$C$91),30)/30)))*Piano_SS!$D$7,0))</f>
        <v>0</v>
      </c>
      <c r="BX489" s="15" t="n">
        <f aca="false">MIN(Piano_SS!$C$8,(BX488)+IF(AND(Motore_Operativo!C489&gt;=EDATE(Parametri_v3!$C$24,Ipotesi!K14*12),Motore_Operativo!C489&lt;EDATE(Parametri_v3!$C$24,Parametri_v3!$C$25+Ipotesi!K14*12)),MAX(0,Motore_Operativo!CE489)*Piano_SS!$D$8,0))</f>
        <v>0</v>
      </c>
      <c r="BY489" s="15" t="n">
        <f aca="false">MIN(Piano_SS!$C$9,(BY488)+IF(AND(Motore_Operativo!C489&gt;=EDATE(Parametri_v3!$C$24,Ipotesi!K14*12),Motore_Operativo!C489&lt;EDATE(Parametri_v3!$C$24,Parametri_v3!$C$25+Ipotesi!K14*12)),MAX(0,((IF(5-(INT((Ipotesi!$C$91)/30))&lt;1,0,INDEX(Motore_Operativo!$BQ$485:$BQ$544,MAX(1,5-(INT((Ipotesi!$C$91)/30)))))*(1-(MOD((Ipotesi!$C$91),30)/30))+IF(5-(INT((Ipotesi!$C$91)/30))-1&lt;1,0,INDEX(Motore_Operativo!$BQ$485:$BQ$544,MAX(1,5-(INT((Ipotesi!$C$91)/30))-1)))*(MOD((Ipotesi!$C$91),30)/30))+(IF(5-(INT((Ipotesi!$C$91)/30))&lt;1,0,INDEX(Motore_Operativo!$BR$485:$BR$544,MAX(1,5-(INT((Ipotesi!$C$91)/30)))))*(1-(MOD((Ipotesi!$C$91),30)/30))+IF(5-(INT((Ipotesi!$C$91)/30))-1&lt;1,0,INDEX(Motore_Operativo!$BR$485:$BR$544,MAX(1,5-(INT((Ipotesi!$C$91)/30))-1)))*(MOD((Ipotesi!$C$91),30)/30))))*Piano_SS!$D$9,0))</f>
        <v>0</v>
      </c>
      <c r="BZ489" s="15" t="n">
        <f aca="false">MIN(Piano_SS!$C$10,(BZ488)+IF(AND(Motore_Operativo!C489&gt;=EDATE(Parametri_v3!$C$24,Ipotesi!K14*12),Motore_Operativo!C489&lt;EDATE(Parametri_v3!$C$24,Parametri_v3!$C$25+Ipotesi!K14*12)),MAX(0,(IF(5-(INT((Ipotesi!$C$91)/30))&lt;1,0,INDEX(Motore_Operativo!$BO$485:$BO$544,MAX(1,5-(INT((Ipotesi!$C$91)/30)))))*(1-(MOD((Ipotesi!$C$91),30)/30))+IF(5-(INT((Ipotesi!$C$91)/30))-1&lt;1,0,INDEX(Motore_Operativo!$BO$485:$BO$544,MAX(1,5-(INT((Ipotesi!$C$91)/30))-1)))*(MOD((Ipotesi!$C$91),30)/30)))*Piano_SS!$D$10,0))</f>
        <v>0</v>
      </c>
      <c r="CA489" s="15" t="n">
        <f aca="false">SUM(BV489:BZ489)</f>
        <v>0</v>
      </c>
      <c r="CB489" s="15" t="n">
        <f aca="false">BV489*(1-Piano_SS!$E$6)+BW489*(1-Piano_SS!$E$7)+BX489*(1-Piano_SS!$E$8)+BY489*(1-Piano_SS!$E$9)+BZ489*(1-Piano_SS!$E$10)</f>
        <v>0</v>
      </c>
      <c r="CC489" s="15" t="n">
        <f aca="false">(CC488)+BA489</f>
        <v>0</v>
      </c>
      <c r="CD489" s="15" t="n">
        <f aca="false">IF(CA489=0,0,CC489*CB489/CA489*Ipotesi!$C$103*Parametri_v3!$C$64)</f>
        <v>0</v>
      </c>
      <c r="CE489" s="18" t="n">
        <f aca="false">IF(BA489&gt;0,Motore_Operativo!C489,(CE488))</f>
        <v>0</v>
      </c>
      <c r="CF489" s="18" t="n">
        <f aca="false">IF(AND(CC489&gt;0,OR(CC489&gt;=CG489-0.01,Motore_Operativo!C489&gt;=EDATE(MAX(Finanziamenti!$D$15:$D$17),Ipotesi!K14*12))),CE489,0)</f>
        <v>0</v>
      </c>
      <c r="CG489" s="15" t="n">
        <f aca="false">IF(AND(9&lt;&gt;6,9&lt;&gt;9,Finanziamenti!$F$11=1,OR(Parametri_v3!$C$6=0,Finanziamenti!$E$11=1)),MIN(Finanziamenti!$C$11,Piano_SS!$C$12*Ipotesi!$C$102),0)</f>
        <v>0</v>
      </c>
      <c r="CH489" s="15" t="n">
        <f aca="false">IF(AND(AND(9&lt;&gt;8,9&lt;&gt;9,Finanziamenti!$F$10=1,OR(Parametri_v3!$C$6=0,Finanziamenti!$E$10=1)),Motore_Operativo!C489&gt;=Finanziamenti!$D$10,Motore_Operativo!C489&lt;Parametri_v3!$C$63),Finanziamenti!$C$10,0)</f>
        <v>0</v>
      </c>
    </row>
    <row r="490" customFormat="false" ht="18" hidden="false" customHeight="true" outlineLevel="0" collapsed="false">
      <c r="A490" s="68" t="n">
        <f aca="false">9</f>
        <v>9</v>
      </c>
      <c r="B490" s="68" t="n">
        <f aca="false">6</f>
        <v>6</v>
      </c>
      <c r="C490" s="18" t="n">
        <f aca="false">Motore_Operativo!C490</f>
        <v>46539</v>
      </c>
      <c r="D490" s="68" t="n">
        <f aca="false">Motore_Operativo!D490</f>
        <v>2027</v>
      </c>
      <c r="E490" s="68" t="n">
        <f aca="false">Motore_Operativo!E490</f>
        <v>6</v>
      </c>
      <c r="F490" s="15" t="n">
        <f aca="false">Motore_Operativo!AQ490+Motore_Operativo!BF490</f>
        <v>7731.48148148148</v>
      </c>
      <c r="G490" s="15" t="n">
        <f aca="false">Motore_Operativo!BH490</f>
        <v>1621.05263157895</v>
      </c>
      <c r="H490" s="15" t="n">
        <f aca="false">Motore_Operativo!BI490</f>
        <v>9352.53411306043</v>
      </c>
      <c r="I490" s="15" t="n">
        <f aca="false">Motore_Operativo!CA490</f>
        <v>27770.6223196881</v>
      </c>
      <c r="J490" s="15" t="n">
        <f aca="false">Motore_Operativo!CC490</f>
        <v>-18418.0882066277</v>
      </c>
      <c r="K490" s="15" t="n">
        <f aca="false">Motore_Operativo!CE490</f>
        <v>1666.66666666667</v>
      </c>
      <c r="L490" s="15" t="n">
        <f aca="false">SUM(INDEX($K$485:$K$544,MAX(1,6-Parametri_v3!$C$59+1)):K490)/Parametri_v3!$C$59</f>
        <v>277.777777777778</v>
      </c>
      <c r="M490" s="15" t="n">
        <f aca="false">J490-L490</f>
        <v>-18695.8659844055</v>
      </c>
      <c r="N490" s="15" t="n">
        <f aca="false">CD490-(CD489)</f>
        <v>0</v>
      </c>
      <c r="O490" s="15" t="n">
        <f aca="false">(BG489)*Ipotesi!$C$110/12+CH490*Parametri_v3!$C$39/12</f>
        <v>0</v>
      </c>
      <c r="P490" s="15" t="n">
        <f aca="false">M490+N490-O490</f>
        <v>-18695.8659844055</v>
      </c>
      <c r="Q490" s="15" t="n">
        <f aca="false">SUM(P485:P490)+Parametri_v3!$C$54*6/12</f>
        <v>-112316.862573099</v>
      </c>
      <c r="R490" s="15" t="n">
        <f aca="false">0</f>
        <v>0</v>
      </c>
      <c r="S490" s="15" t="n">
        <f aca="false">0</f>
        <v>0</v>
      </c>
      <c r="T490" s="15" t="n">
        <f aca="false">MIN(R490,MAX(0,Q490))</f>
        <v>0</v>
      </c>
      <c r="U490" s="15" t="n">
        <f aca="false">MIN(S490,MAX(0,Q490-T490)*Parametri_v3!$C$42)</f>
        <v>0</v>
      </c>
      <c r="V490" s="15" t="n">
        <f aca="false">MAX(0,Q490-T490-U490)*Ipotesi!$C$92</f>
        <v>0</v>
      </c>
      <c r="W490" s="15" t="n">
        <f aca="false">MAX(0,SUM(M485:M490)+Parametri_v3!$C$55*6/12)*Ipotesi!$C$93</f>
        <v>0</v>
      </c>
      <c r="X490" s="15" t="n">
        <f aca="false">V490+W490-(V489+W489)</f>
        <v>0</v>
      </c>
      <c r="Y490" s="15" t="n">
        <f aca="false">P490-X490</f>
        <v>-18695.8659844055</v>
      </c>
      <c r="Z490" s="15" t="n">
        <f aca="false">R490-T490+IF(AND(Parametri_v3!$C$40=1,D490-YEAR(Parametri_v3!$C$50)&lt;Parametri_v3!$C$41),MAX(0,-Q490),0)</f>
        <v>112316.862573099</v>
      </c>
      <c r="AA490" s="15" t="n">
        <f aca="false">S490-U490+IF(AND(Parametri_v3!$C$40=1,D490-YEAR(Parametri_v3!$C$50)&lt;Parametri_v3!$C$41),0,MAX(0,-Q490))</f>
        <v>0</v>
      </c>
      <c r="AB490" s="15" t="n">
        <f aca="false">F490*(1+Parametri_v3!$C$26)</f>
        <v>9432.40740740741</v>
      </c>
      <c r="AC490" s="15" t="n">
        <f aca="false">(IF(6-(INT((Motore_Operativo!L490)/30))&lt;1,0,INDEX(Motore_Startup!$AB$485:$AB$544,MAX(1,6-(INT((Motore_Operativo!L490)/30)))))*(1-(MOD((Motore_Operativo!L490),30)/30))+IF(6-(INT((Motore_Operativo!L490)/30))-1&lt;1,0,INDEX(Motore_Startup!$AB$485:$AB$544,MAX(1,6-(INT((Motore_Operativo!L490)/30))-1)))*(MOD((Motore_Operativo!L490),30)/30))</f>
        <v>9150</v>
      </c>
      <c r="AD490" s="15" t="n">
        <f aca="false">(AD489)+AB490-AC490</f>
        <v>27958.3333333333</v>
      </c>
      <c r="AE490" s="15" t="n">
        <f aca="false">Motore_Operativo!BH490*(1+Parametri_v3!$C$26)</f>
        <v>1977.68421052632</v>
      </c>
      <c r="AF490" s="15" t="n">
        <f aca="false">(IF(6-(INT((Parametri_v3!$C$29)/30))&lt;1,0,INDEX(Motore_Operativo!$BH$485:$BH$544,MAX(1,6-(INT((Parametri_v3!$C$29)/30)))))*(1-(MOD((Parametri_v3!$C$29),30)/30))+IF(6-(INT((Parametri_v3!$C$29)/30))-1&lt;1,0,INDEX(Motore_Operativo!$BH$485:$BH$544,MAX(1,6-(INT((Parametri_v3!$C$29)/30))-1)))*(MOD((Parametri_v3!$C$29),30)/30))*(1+Parametri_v3!$C$26)</f>
        <v>1977.68421052632</v>
      </c>
      <c r="AG490" s="15" t="n">
        <f aca="false">(AG489)+AE490-AF490</f>
        <v>1977.68421052632</v>
      </c>
      <c r="AH490" s="15" t="n">
        <f aca="false">(Motore_Operativo!CJ490)*(1+Parametri_v3!$C$27*Parametri_v3!$C$26)</f>
        <v>11696.6453601365</v>
      </c>
      <c r="AI490" s="15" t="n">
        <f aca="false">(IF(6-(INT((Ipotesi!$C$91)/30))&lt;1,0,INDEX(Motore_Startup!$AH$485:$AH$544,MAX(1,6-(INT((Ipotesi!$C$91)/30)))))*(1-(MOD((Ipotesi!$C$91),30)/30))+IF(6-(INT((Ipotesi!$C$91)/30))-1&lt;1,0,INDEX(Motore_Startup!$AH$485:$AH$544,MAX(1,6-(INT((Ipotesi!$C$91)/30))-1)))*(MOD((Ipotesi!$C$91),30)/30))</f>
        <v>11665.8712860624</v>
      </c>
      <c r="AJ490" s="15" t="n">
        <f aca="false">(AJ489)+AH490-AI490</f>
        <v>23377.9036832359</v>
      </c>
      <c r="AK490" s="15" t="n">
        <f aca="false">(F490+ Motore_Operativo!BH490-(Motore_Operativo!CJ490)*Parametri_v3!$C$27-Motore_Operativo!CE490)*Parametri_v3!$C$26</f>
        <v>-151.798868908381</v>
      </c>
      <c r="AL490" s="15" t="n">
        <f aca="false">MAX(0,(AM489))</f>
        <v>0</v>
      </c>
      <c r="AM490" s="15" t="n">
        <f aca="false">(AM489)+AK490-AL490</f>
        <v>-1099.2293245614</v>
      </c>
      <c r="AN490" s="15" t="n">
        <f aca="false">0</f>
        <v>0</v>
      </c>
      <c r="AO490" s="15" t="n">
        <f aca="false">0</f>
        <v>0</v>
      </c>
      <c r="AP490" s="15" t="n">
        <f aca="false">MAX(0,AN490)*IF(6=Parametri_v3!$C$43,Parametri_v3!$C$45,IF(6=Parametri_v3!$C$44,1-Parametri_v3!$C$45,0))</f>
        <v>0</v>
      </c>
      <c r="AQ490" s="15" t="n">
        <f aca="false">MAX(0,AP490+IF(6=Parametri_v3!$C$43,MAX(0,AN490-AO490),0)-MAX(0,-(AR489)))</f>
        <v>0</v>
      </c>
      <c r="AR490" s="15" t="n">
        <f aca="false">(AR489)+X490-AQ490</f>
        <v>0</v>
      </c>
      <c r="AS490" s="15" t="n">
        <f aca="false">Motore_Operativo!AB490-AT490+AU490</f>
        <v>17020.8333333333</v>
      </c>
      <c r="AT490" s="15" t="n">
        <f aca="false">Motore_Operativo!CH490</f>
        <v>895.833333333334</v>
      </c>
      <c r="AU490" s="15" t="n">
        <f aca="false">MIN(MAX(0,(AV489)+AT490),Parametri_v3!$C$60/12)</f>
        <v>0</v>
      </c>
      <c r="AV490" s="15" t="n">
        <f aca="false">(AV489)+AT490-AU490</f>
        <v>5375</v>
      </c>
      <c r="AW490" s="15" t="n">
        <f aca="false">IF(AND(Motore_Operativo!C490=Finanziamenti!$D$6,Finanziamenti!$F$6=1),Finanziamenti!$C$6,0)</f>
        <v>0</v>
      </c>
      <c r="AX490" s="15" t="n">
        <f aca="false">IF(AND(9&lt;&gt;7,9&lt;&gt;9,Finanziamenti!$F$8=1,OR(Parametri_v3!$C$6=0,Finanziamenti!$E$8=1),Motore_Operativo!C490=EDATE(Finanziamenti!$D$8,Ipotesi!K15*12)),Finanziamenti!$C$8*1,0)+IF(AND(9&lt;&gt;7,9&lt;&gt;9,Finanziamenti!$F$9=1,OR(Parametri_v3!$C$6=0,Finanziamenti!$E$9=1),Motore_Operativo!C490=EDATE(Finanziamenti!$D$9,Ipotesi!K15*12)),Finanziamenti!$C$9*Ipotesi!K16,0)</f>
        <v>0</v>
      </c>
      <c r="AY490" s="15" t="n">
        <f aca="false">0</f>
        <v>0</v>
      </c>
      <c r="AZ490" s="15" t="n">
        <f aca="false">Motore_Advisory!AY490*(1-Ipotesi!$C$95)*Ipotesi!$C$96</f>
        <v>0</v>
      </c>
      <c r="BA490" s="15" t="n">
        <f aca="false">MAX(0,MIN(CG490*MIN(1,IF(Motore_Operativo!C490&gt;=EDATE(Finanziamenti!$D$15,Ipotesi!K14*12),Finanziamenti!$C$15,0)+IF(Motore_Operativo!C490&gt;=EDATE(Finanziamenti!$D$16,Ipotesi!K14*12),Finanziamenti!$C$16,0)+IF(Motore_Operativo!C490&gt;=EDATE(Finanziamenti!$D$17,Ipotesi!K14*12),Finanziamenti!$C$17,0)),CA490*Ipotesi!$C$102)-(CC489))</f>
        <v>0</v>
      </c>
      <c r="BB490" s="15" t="n">
        <f aca="false">IF(AND(CF490&gt;0,Motore_Operativo!C490&gt;=IF(CF490=0,0,EDATE(CF490,Parametri_v3!$C$37)),MOD(((D490-YEAR(IF(CF490=0,0,EDATE(CF490,Parametri_v3!$C$37))))*12+E490-MONTH(IF(CF490=0,0,EDATE(CF490,Parametri_v3!$C$37)))),Parametri_v3!$C$38)=0),MIN(MAX(0,(BC489)+BA490-N490),(CC490-CD490)/(Ipotesi!$C$108*12/Parametri_v3!$C$38)),0)</f>
        <v>0</v>
      </c>
      <c r="BC490" s="15" t="n">
        <f aca="false">(BC489)+BA490-N490-BB490</f>
        <v>0</v>
      </c>
      <c r="BD490" s="15" t="n">
        <f aca="false">(BH489)+AC490+AF490-AI490-AS490-K490*(1+Parametri_v3!$C$26)-AL490-AQ490-O490+AW490+AX490+AZ490+BA490-BB490</f>
        <v>6373.01646393763</v>
      </c>
      <c r="BE490" s="15" t="n">
        <f aca="false">MAX(0,MIN(MAX(0,CH490-(BG489)),Parametri_v3!$C$30-BD490))</f>
        <v>0</v>
      </c>
      <c r="BF490" s="15" t="n">
        <f aca="false">IF(Motore_Operativo!C490&gt;=Parametri_v3!$C$63,(BG489),MIN((BG489),MAX(0,BD490-Parametri_v3!$C$30)))</f>
        <v>0</v>
      </c>
      <c r="BG490" s="15" t="n">
        <f aca="false">(BG489)+BE490-BF490</f>
        <v>0</v>
      </c>
      <c r="BH490" s="15" t="n">
        <f aca="false">BD490+BE490-BF490-AY490</f>
        <v>6373.01646393763</v>
      </c>
      <c r="BI490" s="15" t="n">
        <f aca="false">MAX(0,Parametri_v3!$C$30-BH490)</f>
        <v>18626.9835360624</v>
      </c>
      <c r="BJ490" s="15" t="n">
        <f aca="false">(BJ489)+K490</f>
        <v>10000</v>
      </c>
      <c r="BK490" s="15" t="n">
        <f aca="false">(BK489)+L490</f>
        <v>972.222222222222</v>
      </c>
      <c r="BL490" s="15" t="n">
        <f aca="false">BJ490-BK490</f>
        <v>9027.77777777778</v>
      </c>
      <c r="BM490" s="15" t="n">
        <f aca="false">(BM489)+Y490</f>
        <v>-112316.862573099</v>
      </c>
      <c r="BN490" s="15" t="n">
        <f aca="false">(BN489)+AW490+AX490+AZ490</f>
        <v>130000</v>
      </c>
      <c r="BO490" s="15" t="n">
        <f aca="false">(BO489)+AY490</f>
        <v>0</v>
      </c>
      <c r="BP490" s="15" t="n">
        <f aca="false">0</f>
        <v>0</v>
      </c>
      <c r="BQ490" s="15" t="n">
        <f aca="false">BN490+BM490-BO490</f>
        <v>17683.1374269006</v>
      </c>
      <c r="BR490" s="15" t="n">
        <f aca="false">BH490+AD490+BL490+MAX(0,-AM490)+MAX(0,-AR490)+AG490</f>
        <v>46436.0411101365</v>
      </c>
      <c r="BS490" s="15" t="n">
        <f aca="false">AJ490+AV490+MAX(0,AM490)+MAX(0,AR490)+BC490+BG490+BQ490</f>
        <v>46436.0411101365</v>
      </c>
      <c r="BT490" s="15" t="n">
        <f aca="false">BR490-BS490</f>
        <v>0</v>
      </c>
      <c r="BU490" s="15" t="n">
        <f aca="false">BH490-(BD490+BE490-BF490-AY490)</f>
        <v>0</v>
      </c>
      <c r="BV490" s="15" t="n">
        <f aca="false">MIN(Piano_SS!$C$6,(BV489)+IF(AND(Motore_Operativo!C490&gt;=EDATE(Parametri_v3!$C$24,Ipotesi!K14*12),Motore_Operativo!C490&lt;EDATE(Parametri_v3!$C$24,Parametri_v3!$C$25+Ipotesi!K14*12)),MAX(0,(Motore_Operativo!Y490+Motore_Operativo!X490*Parametri_v3!$C$14)*(1-Parametri_v3!$C$32))*Piano_SS!$D$6,0))</f>
        <v>0</v>
      </c>
      <c r="BW490" s="15" t="n">
        <f aca="false">MIN(Piano_SS!$C$7,(BW489)+IF(AND(Motore_Operativo!C490&gt;=EDATE(Parametri_v3!$C$24,Ipotesi!K14*12),Motore_Operativo!C490&lt;EDATE(Parametri_v3!$C$24,Parametri_v3!$C$25+Ipotesi!K14*12)),MAX(0,(IF(6-(INT((Ipotesi!$C$91)/30))&lt;1,0,INDEX(Motore_Operativo!$BN$485:$BN$544,MAX(1,6-(INT((Ipotesi!$C$91)/30)))))*(1-(MOD((Ipotesi!$C$91),30)/30))+IF(6-(INT((Ipotesi!$C$91)/30))-1&lt;1,0,INDEX(Motore_Operativo!$BN$485:$BN$544,MAX(1,6-(INT((Ipotesi!$C$91)/30))-1)))*(MOD((Ipotesi!$C$91),30)/30)))*Piano_SS!$D$7,0))</f>
        <v>0</v>
      </c>
      <c r="BX490" s="15" t="n">
        <f aca="false">MIN(Piano_SS!$C$8,(BX489)+IF(AND(Motore_Operativo!C490&gt;=EDATE(Parametri_v3!$C$24,Ipotesi!K14*12),Motore_Operativo!C490&lt;EDATE(Parametri_v3!$C$24,Parametri_v3!$C$25+Ipotesi!K14*12)),MAX(0,Motore_Operativo!CE490)*Piano_SS!$D$8,0))</f>
        <v>0</v>
      </c>
      <c r="BY490" s="15" t="n">
        <f aca="false">MIN(Piano_SS!$C$9,(BY489)+IF(AND(Motore_Operativo!C490&gt;=EDATE(Parametri_v3!$C$24,Ipotesi!K14*12),Motore_Operativo!C490&lt;EDATE(Parametri_v3!$C$24,Parametri_v3!$C$25+Ipotesi!K14*12)),MAX(0,((IF(6-(INT((Ipotesi!$C$91)/30))&lt;1,0,INDEX(Motore_Operativo!$BQ$485:$BQ$544,MAX(1,6-(INT((Ipotesi!$C$91)/30)))))*(1-(MOD((Ipotesi!$C$91),30)/30))+IF(6-(INT((Ipotesi!$C$91)/30))-1&lt;1,0,INDEX(Motore_Operativo!$BQ$485:$BQ$544,MAX(1,6-(INT((Ipotesi!$C$91)/30))-1)))*(MOD((Ipotesi!$C$91),30)/30))+(IF(6-(INT((Ipotesi!$C$91)/30))&lt;1,0,INDEX(Motore_Operativo!$BR$485:$BR$544,MAX(1,6-(INT((Ipotesi!$C$91)/30)))))*(1-(MOD((Ipotesi!$C$91),30)/30))+IF(6-(INT((Ipotesi!$C$91)/30))-1&lt;1,0,INDEX(Motore_Operativo!$BR$485:$BR$544,MAX(1,6-(INT((Ipotesi!$C$91)/30))-1)))*(MOD((Ipotesi!$C$91),30)/30))))*Piano_SS!$D$9,0))</f>
        <v>0</v>
      </c>
      <c r="BZ490" s="15" t="n">
        <f aca="false">MIN(Piano_SS!$C$10,(BZ489)+IF(AND(Motore_Operativo!C490&gt;=EDATE(Parametri_v3!$C$24,Ipotesi!K14*12),Motore_Operativo!C490&lt;EDATE(Parametri_v3!$C$24,Parametri_v3!$C$25+Ipotesi!K14*12)),MAX(0,(IF(6-(INT((Ipotesi!$C$91)/30))&lt;1,0,INDEX(Motore_Operativo!$BO$485:$BO$544,MAX(1,6-(INT((Ipotesi!$C$91)/30)))))*(1-(MOD((Ipotesi!$C$91),30)/30))+IF(6-(INT((Ipotesi!$C$91)/30))-1&lt;1,0,INDEX(Motore_Operativo!$BO$485:$BO$544,MAX(1,6-(INT((Ipotesi!$C$91)/30))-1)))*(MOD((Ipotesi!$C$91),30)/30)))*Piano_SS!$D$10,0))</f>
        <v>0</v>
      </c>
      <c r="CA490" s="15" t="n">
        <f aca="false">SUM(BV490:BZ490)</f>
        <v>0</v>
      </c>
      <c r="CB490" s="15" t="n">
        <f aca="false">BV490*(1-Piano_SS!$E$6)+BW490*(1-Piano_SS!$E$7)+BX490*(1-Piano_SS!$E$8)+BY490*(1-Piano_SS!$E$9)+BZ490*(1-Piano_SS!$E$10)</f>
        <v>0</v>
      </c>
      <c r="CC490" s="15" t="n">
        <f aca="false">(CC489)+BA490</f>
        <v>0</v>
      </c>
      <c r="CD490" s="15" t="n">
        <f aca="false">IF(CA490=0,0,CC490*CB490/CA490*Ipotesi!$C$103*Parametri_v3!$C$64)</f>
        <v>0</v>
      </c>
      <c r="CE490" s="18" t="n">
        <f aca="false">IF(BA490&gt;0,Motore_Operativo!C490,(CE489))</f>
        <v>0</v>
      </c>
      <c r="CF490" s="18" t="n">
        <f aca="false">IF(AND(CC490&gt;0,OR(CC490&gt;=CG490-0.01,Motore_Operativo!C490&gt;=EDATE(MAX(Finanziamenti!$D$15:$D$17),Ipotesi!K14*12))),CE490,0)</f>
        <v>0</v>
      </c>
      <c r="CG490" s="15" t="n">
        <f aca="false">IF(AND(9&lt;&gt;6,9&lt;&gt;9,Finanziamenti!$F$11=1,OR(Parametri_v3!$C$6=0,Finanziamenti!$E$11=1)),MIN(Finanziamenti!$C$11,Piano_SS!$C$12*Ipotesi!$C$102),0)</f>
        <v>0</v>
      </c>
      <c r="CH490" s="15" t="n">
        <f aca="false">IF(AND(AND(9&lt;&gt;8,9&lt;&gt;9,Finanziamenti!$F$10=1,OR(Parametri_v3!$C$6=0,Finanziamenti!$E$10=1)),Motore_Operativo!C490&gt;=Finanziamenti!$D$10,Motore_Operativo!C490&lt;Parametri_v3!$C$63),Finanziamenti!$C$10,0)</f>
        <v>0</v>
      </c>
    </row>
    <row r="491" customFormat="false" ht="18" hidden="false" customHeight="true" outlineLevel="0" collapsed="false">
      <c r="A491" s="68" t="n">
        <f aca="false">9</f>
        <v>9</v>
      </c>
      <c r="B491" s="68" t="n">
        <f aca="false">7</f>
        <v>7</v>
      </c>
      <c r="C491" s="18" t="n">
        <f aca="false">Motore_Operativo!C491</f>
        <v>46569</v>
      </c>
      <c r="D491" s="68" t="n">
        <f aca="false">Motore_Operativo!D491</f>
        <v>2027</v>
      </c>
      <c r="E491" s="68" t="n">
        <f aca="false">Motore_Operativo!E491</f>
        <v>7</v>
      </c>
      <c r="F491" s="15" t="n">
        <f aca="false">Motore_Operativo!AQ491+Motore_Operativo!BF491</f>
        <v>7824.07407407408</v>
      </c>
      <c r="G491" s="15" t="n">
        <f aca="false">Motore_Operativo!BH491</f>
        <v>1621.05263157895</v>
      </c>
      <c r="H491" s="15" t="n">
        <f aca="false">Motore_Operativo!BI491</f>
        <v>9445.12670565302</v>
      </c>
      <c r="I491" s="15" t="n">
        <f aca="false">Motore_Operativo!CA491</f>
        <v>27783.5852826511</v>
      </c>
      <c r="J491" s="15" t="n">
        <f aca="false">Motore_Operativo!CC491</f>
        <v>-18338.458576998</v>
      </c>
      <c r="K491" s="15" t="n">
        <f aca="false">Motore_Operativo!CE491</f>
        <v>1666.66666666667</v>
      </c>
      <c r="L491" s="15" t="n">
        <f aca="false">SUM(INDEX($K$485:$K$544,MAX(1,7-Parametri_v3!$C$59+1)):K491)/Parametri_v3!$C$59</f>
        <v>324.074074074074</v>
      </c>
      <c r="M491" s="15" t="n">
        <f aca="false">J491-L491</f>
        <v>-18662.5326510721</v>
      </c>
      <c r="N491" s="15" t="n">
        <f aca="false">CD491-(CD490)</f>
        <v>0</v>
      </c>
      <c r="O491" s="15" t="n">
        <f aca="false">(BG490)*Ipotesi!$C$110/12+CH491*Parametri_v3!$C$39/12</f>
        <v>0</v>
      </c>
      <c r="P491" s="15" t="n">
        <f aca="false">M491+N491-O491</f>
        <v>-18662.5326510721</v>
      </c>
      <c r="Q491" s="15" t="n">
        <f aca="false">SUM(P485:P491)+Parametri_v3!$C$54*7/12</f>
        <v>-130979.395224172</v>
      </c>
      <c r="R491" s="15" t="n">
        <f aca="false">0</f>
        <v>0</v>
      </c>
      <c r="S491" s="15" t="n">
        <f aca="false">0</f>
        <v>0</v>
      </c>
      <c r="T491" s="15" t="n">
        <f aca="false">MIN(R491,MAX(0,Q491))</f>
        <v>0</v>
      </c>
      <c r="U491" s="15" t="n">
        <f aca="false">MIN(S491,MAX(0,Q491-T491)*Parametri_v3!$C$42)</f>
        <v>0</v>
      </c>
      <c r="V491" s="15" t="n">
        <f aca="false">MAX(0,Q491-T491-U491)*Ipotesi!$C$92</f>
        <v>0</v>
      </c>
      <c r="W491" s="15" t="n">
        <f aca="false">MAX(0,SUM(M485:M491)+Parametri_v3!$C$55*7/12)*Ipotesi!$C$93</f>
        <v>0</v>
      </c>
      <c r="X491" s="15" t="n">
        <f aca="false">V491+W491-(V490+W490)</f>
        <v>0</v>
      </c>
      <c r="Y491" s="15" t="n">
        <f aca="false">P491-X491</f>
        <v>-18662.5326510721</v>
      </c>
      <c r="Z491" s="15" t="n">
        <f aca="false">R491-T491+IF(AND(Parametri_v3!$C$40=1,D491-YEAR(Parametri_v3!$C$50)&lt;Parametri_v3!$C$41),MAX(0,-Q491),0)</f>
        <v>130979.395224172</v>
      </c>
      <c r="AA491" s="15" t="n">
        <f aca="false">S491-U491+IF(AND(Parametri_v3!$C$40=1,D491-YEAR(Parametri_v3!$C$50)&lt;Parametri_v3!$C$41),0,MAX(0,-Q491))</f>
        <v>0</v>
      </c>
      <c r="AB491" s="15" t="n">
        <f aca="false">F491*(1+Parametri_v3!$C$26)</f>
        <v>9545.37037037037</v>
      </c>
      <c r="AC491" s="15" t="n">
        <f aca="false">(IF(7-(INT((Motore_Operativo!L491)/30))&lt;1,0,INDEX(Motore_Startup!$AB$485:$AB$544,MAX(1,7-(INT((Motore_Operativo!L491)/30)))))*(1-(MOD((Motore_Operativo!L491),30)/30))+IF(7-(INT((Motore_Operativo!L491)/30))-1&lt;1,0,INDEX(Motore_Startup!$AB$485:$AB$544,MAX(1,7-(INT((Motore_Operativo!L491)/30))-1)))*(MOD((Motore_Operativo!L491),30)/30))</f>
        <v>9206.48148148148</v>
      </c>
      <c r="AD491" s="15" t="n">
        <f aca="false">(AD490)+AB491-AC491</f>
        <v>28297.2222222222</v>
      </c>
      <c r="AE491" s="15" t="n">
        <f aca="false">Motore_Operativo!BH491*(1+Parametri_v3!$C$26)</f>
        <v>1977.68421052632</v>
      </c>
      <c r="AF491" s="15" t="n">
        <f aca="false">(IF(7-(INT((Parametri_v3!$C$29)/30))&lt;1,0,INDEX(Motore_Operativo!$BH$485:$BH$544,MAX(1,7-(INT((Parametri_v3!$C$29)/30)))))*(1-(MOD((Parametri_v3!$C$29),30)/30))+IF(7-(INT((Parametri_v3!$C$29)/30))-1&lt;1,0,INDEX(Motore_Operativo!$BH$485:$BH$544,MAX(1,7-(INT((Parametri_v3!$C$29)/30))-1)))*(MOD((Parametri_v3!$C$29),30)/30))*(1+Parametri_v3!$C$26)</f>
        <v>1977.68421052632</v>
      </c>
      <c r="AG491" s="15" t="n">
        <f aca="false">(AG490)+AE491-AF491</f>
        <v>1977.68421052632</v>
      </c>
      <c r="AH491" s="15" t="n">
        <f aca="false">(Motore_Operativo!CJ491)*(1+Parametri_v3!$C$27*Parametri_v3!$C$26)</f>
        <v>11712.0323971735</v>
      </c>
      <c r="AI491" s="15" t="n">
        <f aca="false">(IF(7-(INT((Ipotesi!$C$91)/30))&lt;1,0,INDEX(Motore_Startup!$AH$485:$AH$544,MAX(1,7-(INT((Ipotesi!$C$91)/30)))))*(1-(MOD((Ipotesi!$C$91),30)/30))+IF(7-(INT((Ipotesi!$C$91)/30))-1&lt;1,0,INDEX(Motore_Startup!$AH$485:$AH$544,MAX(1,7-(INT((Ipotesi!$C$91)/30))-1)))*(MOD((Ipotesi!$C$91),30)/30))</f>
        <v>11681.2583230994</v>
      </c>
      <c r="AJ491" s="15" t="n">
        <f aca="false">(AJ490)+AH491-AI491</f>
        <v>23408.6777573099</v>
      </c>
      <c r="AK491" s="15" t="n">
        <f aca="false">(F491+ Motore_Operativo!BH491-(Motore_Operativo!CJ491)*Parametri_v3!$C$27-Motore_Operativo!CE491)*Parametri_v3!$C$26</f>
        <v>-133.852572612085</v>
      </c>
      <c r="AL491" s="15" t="n">
        <f aca="false">MAX(0,(AM490))</f>
        <v>0</v>
      </c>
      <c r="AM491" s="15" t="n">
        <f aca="false">(AM490)+AK491-AL491</f>
        <v>-1233.08189717349</v>
      </c>
      <c r="AN491" s="15" t="n">
        <f aca="false">0</f>
        <v>0</v>
      </c>
      <c r="AO491" s="15" t="n">
        <f aca="false">0</f>
        <v>0</v>
      </c>
      <c r="AP491" s="15" t="n">
        <f aca="false">MAX(0,AN491)*IF(7=Parametri_v3!$C$43,Parametri_v3!$C$45,IF(7=Parametri_v3!$C$44,1-Parametri_v3!$C$45,0))</f>
        <v>0</v>
      </c>
      <c r="AQ491" s="15" t="n">
        <f aca="false">MAX(0,AP491+IF(7=Parametri_v3!$C$43,MAX(0,AN491-AO491),0)-MAX(0,-(AR490)))</f>
        <v>0</v>
      </c>
      <c r="AR491" s="15" t="n">
        <f aca="false">(AR490)+X491-AQ491</f>
        <v>0</v>
      </c>
      <c r="AS491" s="15" t="n">
        <f aca="false">Motore_Operativo!AB491-AT491+AU491</f>
        <v>17020.8333333333</v>
      </c>
      <c r="AT491" s="15" t="n">
        <f aca="false">Motore_Operativo!CH491</f>
        <v>895.833333333334</v>
      </c>
      <c r="AU491" s="15" t="n">
        <f aca="false">MIN(MAX(0,(AV490)+AT491),Parametri_v3!$C$60/12)</f>
        <v>0</v>
      </c>
      <c r="AV491" s="15" t="n">
        <f aca="false">(AV490)+AT491-AU491</f>
        <v>6270.83333333334</v>
      </c>
      <c r="AW491" s="15" t="n">
        <f aca="false">IF(AND(Motore_Operativo!C491=Finanziamenti!$D$6,Finanziamenti!$F$6=1),Finanziamenti!$C$6,0)</f>
        <v>0</v>
      </c>
      <c r="AX491" s="15" t="n">
        <f aca="false">IF(AND(9&lt;&gt;7,9&lt;&gt;9,Finanziamenti!$F$8=1,OR(Parametri_v3!$C$6=0,Finanziamenti!$E$8=1),Motore_Operativo!C491=EDATE(Finanziamenti!$D$8,Ipotesi!K15*12)),Finanziamenti!$C$8*1,0)+IF(AND(9&lt;&gt;7,9&lt;&gt;9,Finanziamenti!$F$9=1,OR(Parametri_v3!$C$6=0,Finanziamenti!$E$9=1),Motore_Operativo!C491=EDATE(Finanziamenti!$D$9,Ipotesi!K15*12)),Finanziamenti!$C$9*Ipotesi!K16,0)</f>
        <v>0</v>
      </c>
      <c r="AY491" s="15" t="n">
        <f aca="false">0</f>
        <v>0</v>
      </c>
      <c r="AZ491" s="15" t="n">
        <f aca="false">Motore_Advisory!AY491*(1-Ipotesi!$C$95)*Ipotesi!$C$96</f>
        <v>0</v>
      </c>
      <c r="BA491" s="15" t="n">
        <f aca="false">MAX(0,MIN(CG491*MIN(1,IF(Motore_Operativo!C491&gt;=EDATE(Finanziamenti!$D$15,Ipotesi!K14*12),Finanziamenti!$C$15,0)+IF(Motore_Operativo!C491&gt;=EDATE(Finanziamenti!$D$16,Ipotesi!K14*12),Finanziamenti!$C$16,0)+IF(Motore_Operativo!C491&gt;=EDATE(Finanziamenti!$D$17,Ipotesi!K14*12),Finanziamenti!$C$17,0)),CA491*Ipotesi!$C$102)-(CC490))</f>
        <v>0</v>
      </c>
      <c r="BB491" s="15" t="n">
        <f aca="false">IF(AND(CF491&gt;0,Motore_Operativo!C491&gt;=IF(CF491=0,0,EDATE(CF491,Parametri_v3!$C$37)),MOD(((D491-YEAR(IF(CF491=0,0,EDATE(CF491,Parametri_v3!$C$37))))*12+E491-MONTH(IF(CF491=0,0,EDATE(CF491,Parametri_v3!$C$37)))),Parametri_v3!$C$38)=0),MIN(MAX(0,(BC490)+BA491-N491),(CC491-CD491)/(Ipotesi!$C$108*12/Parametri_v3!$C$38)),0)</f>
        <v>0</v>
      </c>
      <c r="BC491" s="15" t="n">
        <f aca="false">(BC490)+BA491-N491-BB491</f>
        <v>0</v>
      </c>
      <c r="BD491" s="15" t="n">
        <f aca="false">(BH490)+AC491+AF491-AI491-AS491-K491*(1+Parametri_v3!$C$26)-AL491-AQ491-O491+AW491+AX491+AZ491+BA491-BB491</f>
        <v>-13178.2428338207</v>
      </c>
      <c r="BE491" s="15" t="n">
        <f aca="false">MAX(0,MIN(MAX(0,CH491-(BG490)),Parametri_v3!$C$30-BD491))</f>
        <v>0</v>
      </c>
      <c r="BF491" s="15" t="n">
        <f aca="false">IF(Motore_Operativo!C491&gt;=Parametri_v3!$C$63,(BG490),MIN((BG490),MAX(0,BD491-Parametri_v3!$C$30)))</f>
        <v>0</v>
      </c>
      <c r="BG491" s="15" t="n">
        <f aca="false">(BG490)+BE491-BF491</f>
        <v>0</v>
      </c>
      <c r="BH491" s="15" t="n">
        <f aca="false">BD491+BE491-BF491-AY491</f>
        <v>-13178.2428338207</v>
      </c>
      <c r="BI491" s="15" t="n">
        <f aca="false">MAX(0,Parametri_v3!$C$30-BH491)</f>
        <v>38178.2428338207</v>
      </c>
      <c r="BJ491" s="15" t="n">
        <f aca="false">(BJ490)+K491</f>
        <v>11666.6666666667</v>
      </c>
      <c r="BK491" s="15" t="n">
        <f aca="false">(BK490)+L491</f>
        <v>1296.2962962963</v>
      </c>
      <c r="BL491" s="15" t="n">
        <f aca="false">BJ491-BK491</f>
        <v>10370.3703703704</v>
      </c>
      <c r="BM491" s="15" t="n">
        <f aca="false">(BM490)+Y491</f>
        <v>-130979.395224172</v>
      </c>
      <c r="BN491" s="15" t="n">
        <f aca="false">(BN490)+AW491+AX491+AZ491</f>
        <v>130000</v>
      </c>
      <c r="BO491" s="15" t="n">
        <f aca="false">(BO490)+AY491</f>
        <v>0</v>
      </c>
      <c r="BP491" s="15" t="n">
        <f aca="false">0</f>
        <v>0</v>
      </c>
      <c r="BQ491" s="15" t="n">
        <f aca="false">BN491+BM491-BO491</f>
        <v>-979.395224171531</v>
      </c>
      <c r="BR491" s="15" t="n">
        <f aca="false">BH491+AD491+BL491+MAX(0,-AM491)+MAX(0,-AR491)+AG491</f>
        <v>28700.1158664717</v>
      </c>
      <c r="BS491" s="15" t="n">
        <f aca="false">AJ491+AV491+MAX(0,AM491)+MAX(0,AR491)+BC491+BG491+BQ491</f>
        <v>28700.1158664718</v>
      </c>
      <c r="BT491" s="15" t="n">
        <f aca="false">BR491-BS491</f>
        <v>0</v>
      </c>
      <c r="BU491" s="15" t="n">
        <f aca="false">BH491-(BD491+BE491-BF491-AY491)</f>
        <v>0</v>
      </c>
      <c r="BV491" s="15" t="n">
        <f aca="false">MIN(Piano_SS!$C$6,(BV490)+IF(AND(Motore_Operativo!C491&gt;=EDATE(Parametri_v3!$C$24,Ipotesi!K14*12),Motore_Operativo!C491&lt;EDATE(Parametri_v3!$C$24,Parametri_v3!$C$25+Ipotesi!K14*12)),MAX(0,(Motore_Operativo!Y491+Motore_Operativo!X491*Parametri_v3!$C$14)*(1-Parametri_v3!$C$32))*Piano_SS!$D$6,0))</f>
        <v>4750</v>
      </c>
      <c r="BW491" s="15" t="n">
        <f aca="false">MIN(Piano_SS!$C$7,(BW490)+IF(AND(Motore_Operativo!C491&gt;=EDATE(Parametri_v3!$C$24,Ipotesi!K14*12),Motore_Operativo!C491&lt;EDATE(Parametri_v3!$C$24,Parametri_v3!$C$25+Ipotesi!K14*12)),MAX(0,(IF(7-(INT((Ipotesi!$C$91)/30))&lt;1,0,INDEX(Motore_Operativo!$BN$485:$BN$544,MAX(1,7-(INT((Ipotesi!$C$91)/30)))))*(1-(MOD((Ipotesi!$C$91),30)/30))+IF(7-(INT((Ipotesi!$C$91)/30))-1&lt;1,0,INDEX(Motore_Operativo!$BN$485:$BN$544,MAX(1,7-(INT((Ipotesi!$C$91)/30))-1)))*(MOD((Ipotesi!$C$91),30)/30)))*Piano_SS!$D$7,0))</f>
        <v>1261.11111111111</v>
      </c>
      <c r="BX491" s="15" t="n">
        <f aca="false">MIN(Piano_SS!$C$8,(BX490)+IF(AND(Motore_Operativo!C491&gt;=EDATE(Parametri_v3!$C$24,Ipotesi!K14*12),Motore_Operativo!C491&lt;EDATE(Parametri_v3!$C$24,Parametri_v3!$C$25+Ipotesi!K14*12)),MAX(0,Motore_Operativo!CE491)*Piano_SS!$D$8,0))</f>
        <v>1666.66666666667</v>
      </c>
      <c r="BY491" s="15" t="n">
        <f aca="false">MIN(Piano_SS!$C$9,(BY490)+IF(AND(Motore_Operativo!C491&gt;=EDATE(Parametri_v3!$C$24,Ipotesi!K14*12),Motore_Operativo!C491&lt;EDATE(Parametri_v3!$C$24,Parametri_v3!$C$25+Ipotesi!K14*12)),MAX(0,((IF(7-(INT((Ipotesi!$C$91)/30))&lt;1,0,INDEX(Motore_Operativo!$BQ$485:$BQ$544,MAX(1,7-(INT((Ipotesi!$C$91)/30)))))*(1-(MOD((Ipotesi!$C$91),30)/30))+IF(7-(INT((Ipotesi!$C$91)/30))-1&lt;1,0,INDEX(Motore_Operativo!$BQ$485:$BQ$544,MAX(1,7-(INT((Ipotesi!$C$91)/30))-1)))*(MOD((Ipotesi!$C$91),30)/30))+(IF(7-(INT((Ipotesi!$C$91)/30))&lt;1,0,INDEX(Motore_Operativo!$BR$485:$BR$544,MAX(1,7-(INT((Ipotesi!$C$91)/30)))))*(1-(MOD((Ipotesi!$C$91),30)/30))+IF(7-(INT((Ipotesi!$C$91)/30))-1&lt;1,0,INDEX(Motore_Operativo!$BR$485:$BR$544,MAX(1,7-(INT((Ipotesi!$C$91)/30))-1)))*(MOD((Ipotesi!$C$91),30)/30))))*Piano_SS!$D$9,0))</f>
        <v>2250</v>
      </c>
      <c r="BZ491" s="15" t="n">
        <f aca="false">MIN(Piano_SS!$C$10,(BZ490)+IF(AND(Motore_Operativo!C491&gt;=EDATE(Parametri_v3!$C$24,Ipotesi!K14*12),Motore_Operativo!C491&lt;EDATE(Parametri_v3!$C$24,Parametri_v3!$C$25+Ipotesi!K14*12)),MAX(0,(IF(7-(INT((Ipotesi!$C$91)/30))&lt;1,0,INDEX(Motore_Operativo!$BO$485:$BO$544,MAX(1,7-(INT((Ipotesi!$C$91)/30)))))*(1-(MOD((Ipotesi!$C$91),30)/30))+IF(7-(INT((Ipotesi!$C$91)/30))-1&lt;1,0,INDEX(Motore_Operativo!$BO$485:$BO$544,MAX(1,7-(INT((Ipotesi!$C$91)/30))-1)))*(MOD((Ipotesi!$C$91),30)/30)))*Piano_SS!$D$10,0))</f>
        <v>1000</v>
      </c>
      <c r="CA491" s="15" t="n">
        <f aca="false">SUM(BV491:BZ491)</f>
        <v>10927.7777777778</v>
      </c>
      <c r="CB491" s="15" t="n">
        <f aca="false">BV491*(1-Piano_SS!$E$6)+BW491*(1-Piano_SS!$E$7)+BX491*(1-Piano_SS!$E$8)+BY491*(1-Piano_SS!$E$9)+BZ491*(1-Piano_SS!$E$10)</f>
        <v>9927.77777777778</v>
      </c>
      <c r="CC491" s="15" t="n">
        <f aca="false">(CC490)+BA491</f>
        <v>0</v>
      </c>
      <c r="CD491" s="15" t="n">
        <f aca="false">IF(CA491=0,0,CC491*CB491/CA491*Ipotesi!$C$103*Parametri_v3!$C$64)</f>
        <v>0</v>
      </c>
      <c r="CE491" s="18" t="n">
        <f aca="false">IF(BA491&gt;0,Motore_Operativo!C491,(CE490))</f>
        <v>0</v>
      </c>
      <c r="CF491" s="18" t="n">
        <f aca="false">IF(AND(CC491&gt;0,OR(CC491&gt;=CG491-0.01,Motore_Operativo!C491&gt;=EDATE(MAX(Finanziamenti!$D$15:$D$17),Ipotesi!K14*12))),CE491,0)</f>
        <v>0</v>
      </c>
      <c r="CG491" s="15" t="n">
        <f aca="false">IF(AND(9&lt;&gt;6,9&lt;&gt;9,Finanziamenti!$F$11=1,OR(Parametri_v3!$C$6=0,Finanziamenti!$E$11=1)),MIN(Finanziamenti!$C$11,Piano_SS!$C$12*Ipotesi!$C$102),0)</f>
        <v>0</v>
      </c>
      <c r="CH491" s="15" t="n">
        <f aca="false">IF(AND(AND(9&lt;&gt;8,9&lt;&gt;9,Finanziamenti!$F$10=1,OR(Parametri_v3!$C$6=0,Finanziamenti!$E$10=1)),Motore_Operativo!C491&gt;=Finanziamenti!$D$10,Motore_Operativo!C491&lt;Parametri_v3!$C$63),Finanziamenti!$C$10,0)</f>
        <v>0</v>
      </c>
    </row>
    <row r="492" customFormat="false" ht="18" hidden="false" customHeight="true" outlineLevel="0" collapsed="false">
      <c r="A492" s="68" t="n">
        <f aca="false">9</f>
        <v>9</v>
      </c>
      <c r="B492" s="68" t="n">
        <f aca="false">8</f>
        <v>8</v>
      </c>
      <c r="C492" s="18" t="n">
        <f aca="false">Motore_Operativo!C492</f>
        <v>46600</v>
      </c>
      <c r="D492" s="68" t="n">
        <f aca="false">Motore_Operativo!D492</f>
        <v>2027</v>
      </c>
      <c r="E492" s="68" t="n">
        <f aca="false">Motore_Operativo!E492</f>
        <v>8</v>
      </c>
      <c r="F492" s="15" t="n">
        <f aca="false">Motore_Operativo!AQ492+Motore_Operativo!BF492</f>
        <v>7916.66666666667</v>
      </c>
      <c r="G492" s="15" t="n">
        <f aca="false">Motore_Operativo!BH492</f>
        <v>1621.05263157895</v>
      </c>
      <c r="H492" s="15" t="n">
        <f aca="false">Motore_Operativo!BI492</f>
        <v>9537.71929824561</v>
      </c>
      <c r="I492" s="15" t="n">
        <f aca="false">Motore_Operativo!CA492</f>
        <v>27796.548245614</v>
      </c>
      <c r="J492" s="15" t="n">
        <f aca="false">Motore_Operativo!CC492</f>
        <v>-18258.8289473684</v>
      </c>
      <c r="K492" s="15" t="n">
        <f aca="false">Motore_Operativo!CE492</f>
        <v>1666.66666666667</v>
      </c>
      <c r="L492" s="15" t="n">
        <f aca="false">SUM(INDEX($K$485:$K$544,MAX(1,8-Parametri_v3!$C$59+1)):K492)/Parametri_v3!$C$59</f>
        <v>370.37037037037</v>
      </c>
      <c r="M492" s="15" t="n">
        <f aca="false">J492-L492</f>
        <v>-18629.1993177388</v>
      </c>
      <c r="N492" s="15" t="n">
        <f aca="false">CD492-(CD491)</f>
        <v>0</v>
      </c>
      <c r="O492" s="15" t="n">
        <f aca="false">(BG491)*Ipotesi!$C$110/12+CH492*Parametri_v3!$C$39/12</f>
        <v>0</v>
      </c>
      <c r="P492" s="15" t="n">
        <f aca="false">M492+N492-O492</f>
        <v>-18629.1993177388</v>
      </c>
      <c r="Q492" s="15" t="n">
        <f aca="false">SUM(P485:P492)+Parametri_v3!$C$54*8/12</f>
        <v>-149608.59454191</v>
      </c>
      <c r="R492" s="15" t="n">
        <f aca="false">0</f>
        <v>0</v>
      </c>
      <c r="S492" s="15" t="n">
        <f aca="false">0</f>
        <v>0</v>
      </c>
      <c r="T492" s="15" t="n">
        <f aca="false">MIN(R492,MAX(0,Q492))</f>
        <v>0</v>
      </c>
      <c r="U492" s="15" t="n">
        <f aca="false">MIN(S492,MAX(0,Q492-T492)*Parametri_v3!$C$42)</f>
        <v>0</v>
      </c>
      <c r="V492" s="15" t="n">
        <f aca="false">MAX(0,Q492-T492-U492)*Ipotesi!$C$92</f>
        <v>0</v>
      </c>
      <c r="W492" s="15" t="n">
        <f aca="false">MAX(0,SUM(M485:M492)+Parametri_v3!$C$55*8/12)*Ipotesi!$C$93</f>
        <v>0</v>
      </c>
      <c r="X492" s="15" t="n">
        <f aca="false">V492+W492-(V491+W491)</f>
        <v>0</v>
      </c>
      <c r="Y492" s="15" t="n">
        <f aca="false">P492-X492</f>
        <v>-18629.1993177388</v>
      </c>
      <c r="Z492" s="15" t="n">
        <f aca="false">R492-T492+IF(AND(Parametri_v3!$C$40=1,D492-YEAR(Parametri_v3!$C$50)&lt;Parametri_v3!$C$41),MAX(0,-Q492),0)</f>
        <v>149608.59454191</v>
      </c>
      <c r="AA492" s="15" t="n">
        <f aca="false">S492-U492+IF(AND(Parametri_v3!$C$40=1,D492-YEAR(Parametri_v3!$C$50)&lt;Parametri_v3!$C$41),0,MAX(0,-Q492))</f>
        <v>0</v>
      </c>
      <c r="AB492" s="15" t="n">
        <f aca="false">F492*(1+Parametri_v3!$C$26)</f>
        <v>9658.33333333333</v>
      </c>
      <c r="AC492" s="15" t="n">
        <f aca="false">(IF(8-(INT((Motore_Operativo!L492)/30))&lt;1,0,INDEX(Motore_Startup!$AB$485:$AB$544,MAX(1,8-(INT((Motore_Operativo!L492)/30)))))*(1-(MOD((Motore_Operativo!L492),30)/30))+IF(8-(INT((Motore_Operativo!L492)/30))-1&lt;1,0,INDEX(Motore_Startup!$AB$485:$AB$544,MAX(1,8-(INT((Motore_Operativo!L492)/30))-1)))*(MOD((Motore_Operativo!L492),30)/30))</f>
        <v>9319.44444444445</v>
      </c>
      <c r="AD492" s="15" t="n">
        <f aca="false">(AD491)+AB492-AC492</f>
        <v>28636.1111111111</v>
      </c>
      <c r="AE492" s="15" t="n">
        <f aca="false">Motore_Operativo!BH492*(1+Parametri_v3!$C$26)</f>
        <v>1977.68421052632</v>
      </c>
      <c r="AF492" s="15" t="n">
        <f aca="false">(IF(8-(INT((Parametri_v3!$C$29)/30))&lt;1,0,INDEX(Motore_Operativo!$BH$485:$BH$544,MAX(1,8-(INT((Parametri_v3!$C$29)/30)))))*(1-(MOD((Parametri_v3!$C$29),30)/30))+IF(8-(INT((Parametri_v3!$C$29)/30))-1&lt;1,0,INDEX(Motore_Operativo!$BH$485:$BH$544,MAX(1,8-(INT((Parametri_v3!$C$29)/30))-1)))*(MOD((Parametri_v3!$C$29),30)/30))*(1+Parametri_v3!$C$26)</f>
        <v>1977.68421052632</v>
      </c>
      <c r="AG492" s="15" t="n">
        <f aca="false">(AG491)+AE492-AF492</f>
        <v>1977.68421052632</v>
      </c>
      <c r="AH492" s="15" t="n">
        <f aca="false">(Motore_Operativo!CJ492)*(1+Parametri_v3!$C$27*Parametri_v3!$C$26)</f>
        <v>11727.4194342105</v>
      </c>
      <c r="AI492" s="15" t="n">
        <f aca="false">(IF(8-(INT((Ipotesi!$C$91)/30))&lt;1,0,INDEX(Motore_Startup!$AH$485:$AH$544,MAX(1,8-(INT((Ipotesi!$C$91)/30)))))*(1-(MOD((Ipotesi!$C$91),30)/30))+IF(8-(INT((Ipotesi!$C$91)/30))-1&lt;1,0,INDEX(Motore_Startup!$AH$485:$AH$544,MAX(1,8-(INT((Ipotesi!$C$91)/30))-1)))*(MOD((Ipotesi!$C$91),30)/30))</f>
        <v>11696.6453601365</v>
      </c>
      <c r="AJ492" s="15" t="n">
        <f aca="false">(AJ491)+AH492-AI492</f>
        <v>23439.451831384</v>
      </c>
      <c r="AK492" s="15" t="n">
        <f aca="false">(F492+ Motore_Operativo!BH492-(Motore_Operativo!CJ492)*Parametri_v3!$C$27-Motore_Operativo!CE492)*Parametri_v3!$C$26</f>
        <v>-115.906276315789</v>
      </c>
      <c r="AL492" s="15" t="n">
        <f aca="false">MAX(0,(AM491))</f>
        <v>0</v>
      </c>
      <c r="AM492" s="15" t="n">
        <f aca="false">(AM491)+AK492-AL492</f>
        <v>-1348.98817348927</v>
      </c>
      <c r="AN492" s="15" t="n">
        <f aca="false">0</f>
        <v>0</v>
      </c>
      <c r="AO492" s="15" t="n">
        <f aca="false">0</f>
        <v>0</v>
      </c>
      <c r="AP492" s="15" t="n">
        <f aca="false">MAX(0,AN492)*IF(8=Parametri_v3!$C$43,Parametri_v3!$C$45,IF(8=Parametri_v3!$C$44,1-Parametri_v3!$C$45,0))</f>
        <v>0</v>
      </c>
      <c r="AQ492" s="15" t="n">
        <f aca="false">MAX(0,AP492+IF(8=Parametri_v3!$C$43,MAX(0,AN492-AO492),0)-MAX(0,-(AR491)))</f>
        <v>0</v>
      </c>
      <c r="AR492" s="15" t="n">
        <f aca="false">(AR491)+X492-AQ492</f>
        <v>0</v>
      </c>
      <c r="AS492" s="15" t="n">
        <f aca="false">Motore_Operativo!AB492-AT492+AU492</f>
        <v>17020.8333333333</v>
      </c>
      <c r="AT492" s="15" t="n">
        <f aca="false">Motore_Operativo!CH492</f>
        <v>895.833333333334</v>
      </c>
      <c r="AU492" s="15" t="n">
        <f aca="false">MIN(MAX(0,(AV491)+AT492),Parametri_v3!$C$60/12)</f>
        <v>0</v>
      </c>
      <c r="AV492" s="15" t="n">
        <f aca="false">(AV491)+AT492-AU492</f>
        <v>7166.66666666667</v>
      </c>
      <c r="AW492" s="15" t="n">
        <f aca="false">IF(AND(Motore_Operativo!C492=Finanziamenti!$D$6,Finanziamenti!$F$6=1),Finanziamenti!$C$6,0)</f>
        <v>0</v>
      </c>
      <c r="AX492" s="15" t="n">
        <f aca="false">IF(AND(9&lt;&gt;7,9&lt;&gt;9,Finanziamenti!$F$8=1,OR(Parametri_v3!$C$6=0,Finanziamenti!$E$8=1),Motore_Operativo!C492=EDATE(Finanziamenti!$D$8,Ipotesi!K15*12)),Finanziamenti!$C$8*1,0)+IF(AND(9&lt;&gt;7,9&lt;&gt;9,Finanziamenti!$F$9=1,OR(Parametri_v3!$C$6=0,Finanziamenti!$E$9=1),Motore_Operativo!C492=EDATE(Finanziamenti!$D$9,Ipotesi!K15*12)),Finanziamenti!$C$9*Ipotesi!K16,0)</f>
        <v>0</v>
      </c>
      <c r="AY492" s="15" t="n">
        <f aca="false">0</f>
        <v>0</v>
      </c>
      <c r="AZ492" s="15" t="n">
        <f aca="false">Motore_Advisory!AY492*(1-Ipotesi!$C$95)*Ipotesi!$C$96</f>
        <v>0</v>
      </c>
      <c r="BA492" s="15" t="n">
        <f aca="false">MAX(0,MIN(CG492*MIN(1,IF(Motore_Operativo!C492&gt;=EDATE(Finanziamenti!$D$15,Ipotesi!K14*12),Finanziamenti!$C$15,0)+IF(Motore_Operativo!C492&gt;=EDATE(Finanziamenti!$D$16,Ipotesi!K14*12),Finanziamenti!$C$16,0)+IF(Motore_Operativo!C492&gt;=EDATE(Finanziamenti!$D$17,Ipotesi!K14*12),Finanziamenti!$C$17,0)),CA492*Ipotesi!$C$102)-(CC491))</f>
        <v>0</v>
      </c>
      <c r="BB492" s="15" t="n">
        <f aca="false">IF(AND(CF492&gt;0,Motore_Operativo!C492&gt;=IF(CF492=0,0,EDATE(CF492,Parametri_v3!$C$37)),MOD(((D492-YEAR(IF(CF492=0,0,EDATE(CF492,Parametri_v3!$C$37))))*12+E492-MONTH(IF(CF492=0,0,EDATE(CF492,Parametri_v3!$C$37)))),Parametri_v3!$C$38)=0),MIN(MAX(0,(BC491)+BA492-N492),(CC492-CD492)/(Ipotesi!$C$108*12/Parametri_v3!$C$38)),0)</f>
        <v>0</v>
      </c>
      <c r="BC492" s="15" t="n">
        <f aca="false">(BC491)+BA492-N492-BB492</f>
        <v>0</v>
      </c>
      <c r="BD492" s="15" t="n">
        <f aca="false">(BH491)+AC492+AF492-AI492-AS492-K492*(1+Parametri_v3!$C$26)-AL492-AQ492-O492+AW492+AX492+AZ492+BA492-BB492</f>
        <v>-32631.926205653</v>
      </c>
      <c r="BE492" s="15" t="n">
        <f aca="false">MAX(0,MIN(MAX(0,CH492-(BG491)),Parametri_v3!$C$30-BD492))</f>
        <v>0</v>
      </c>
      <c r="BF492" s="15" t="n">
        <f aca="false">IF(Motore_Operativo!C492&gt;=Parametri_v3!$C$63,(BG491),MIN((BG491),MAX(0,BD492-Parametri_v3!$C$30)))</f>
        <v>0</v>
      </c>
      <c r="BG492" s="15" t="n">
        <f aca="false">(BG491)+BE492-BF492</f>
        <v>0</v>
      </c>
      <c r="BH492" s="15" t="n">
        <f aca="false">BD492+BE492-BF492-AY492</f>
        <v>-32631.926205653</v>
      </c>
      <c r="BI492" s="15" t="n">
        <f aca="false">MAX(0,Parametri_v3!$C$30-BH492)</f>
        <v>57631.926205653</v>
      </c>
      <c r="BJ492" s="15" t="n">
        <f aca="false">(BJ491)+K492</f>
        <v>13333.3333333333</v>
      </c>
      <c r="BK492" s="15" t="n">
        <f aca="false">(BK491)+L492</f>
        <v>1666.66666666667</v>
      </c>
      <c r="BL492" s="15" t="n">
        <f aca="false">BJ492-BK492</f>
        <v>11666.6666666667</v>
      </c>
      <c r="BM492" s="15" t="n">
        <f aca="false">(BM491)+Y492</f>
        <v>-149608.59454191</v>
      </c>
      <c r="BN492" s="15" t="n">
        <f aca="false">(BN491)+AW492+AX492+AZ492</f>
        <v>130000</v>
      </c>
      <c r="BO492" s="15" t="n">
        <f aca="false">(BO491)+AY492</f>
        <v>0</v>
      </c>
      <c r="BP492" s="15" t="n">
        <f aca="false">0</f>
        <v>0</v>
      </c>
      <c r="BQ492" s="15" t="n">
        <f aca="false">BN492+BM492-BO492</f>
        <v>-19608.5945419103</v>
      </c>
      <c r="BR492" s="15" t="n">
        <f aca="false">BH492+AD492+BL492+MAX(0,-AM492)+MAX(0,-AR492)+AG492</f>
        <v>10997.5239561404</v>
      </c>
      <c r="BS492" s="15" t="n">
        <f aca="false">AJ492+AV492+MAX(0,AM492)+MAX(0,AR492)+BC492+BG492+BQ492</f>
        <v>10997.5239561404</v>
      </c>
      <c r="BT492" s="15" t="n">
        <f aca="false">BR492-BS492</f>
        <v>0</v>
      </c>
      <c r="BU492" s="15" t="n">
        <f aca="false">BH492-(BD492+BE492-BF492-AY492)</f>
        <v>0</v>
      </c>
      <c r="BV492" s="15" t="n">
        <f aca="false">MIN(Piano_SS!$C$6,(BV491)+IF(AND(Motore_Operativo!C492&gt;=EDATE(Parametri_v3!$C$24,Ipotesi!K14*12),Motore_Operativo!C492&lt;EDATE(Parametri_v3!$C$24,Parametri_v3!$C$25+Ipotesi!K14*12)),MAX(0,(Motore_Operativo!Y492+Motore_Operativo!X492*Parametri_v3!$C$14)*(1-Parametri_v3!$C$32))*Piano_SS!$D$6,0))</f>
        <v>9500</v>
      </c>
      <c r="BW492" s="15" t="n">
        <f aca="false">MIN(Piano_SS!$C$7,(BW491)+IF(AND(Motore_Operativo!C492&gt;=EDATE(Parametri_v3!$C$24,Ipotesi!K14*12),Motore_Operativo!C492&lt;EDATE(Parametri_v3!$C$24,Parametri_v3!$C$25+Ipotesi!K14*12)),MAX(0,(IF(8-(INT((Ipotesi!$C$91)/30))&lt;1,0,INDEX(Motore_Operativo!$BN$485:$BN$544,MAX(1,8-(INT((Ipotesi!$C$91)/30)))))*(1-(MOD((Ipotesi!$C$91),30)/30))+IF(8-(INT((Ipotesi!$C$91)/30))-1&lt;1,0,INDEX(Motore_Operativo!$BN$485:$BN$544,MAX(1,8-(INT((Ipotesi!$C$91)/30))-1)))*(MOD((Ipotesi!$C$91),30)/30)))*Piano_SS!$D$7,0))</f>
        <v>2529.62962962963</v>
      </c>
      <c r="BX492" s="15" t="n">
        <f aca="false">MIN(Piano_SS!$C$8,(BX491)+IF(AND(Motore_Operativo!C492&gt;=EDATE(Parametri_v3!$C$24,Ipotesi!K14*12),Motore_Operativo!C492&lt;EDATE(Parametri_v3!$C$24,Parametri_v3!$C$25+Ipotesi!K14*12)),MAX(0,Motore_Operativo!CE492)*Piano_SS!$D$8,0))</f>
        <v>3333.33333333333</v>
      </c>
      <c r="BY492" s="15" t="n">
        <f aca="false">MIN(Piano_SS!$C$9,(BY491)+IF(AND(Motore_Operativo!C492&gt;=EDATE(Parametri_v3!$C$24,Ipotesi!K14*12),Motore_Operativo!C492&lt;EDATE(Parametri_v3!$C$24,Parametri_v3!$C$25+Ipotesi!K14*12)),MAX(0,((IF(8-(INT((Ipotesi!$C$91)/30))&lt;1,0,INDEX(Motore_Operativo!$BQ$485:$BQ$544,MAX(1,8-(INT((Ipotesi!$C$91)/30)))))*(1-(MOD((Ipotesi!$C$91),30)/30))+IF(8-(INT((Ipotesi!$C$91)/30))-1&lt;1,0,INDEX(Motore_Operativo!$BQ$485:$BQ$544,MAX(1,8-(INT((Ipotesi!$C$91)/30))-1)))*(MOD((Ipotesi!$C$91),30)/30))+(IF(8-(INT((Ipotesi!$C$91)/30))&lt;1,0,INDEX(Motore_Operativo!$BR$485:$BR$544,MAX(1,8-(INT((Ipotesi!$C$91)/30)))))*(1-(MOD((Ipotesi!$C$91),30)/30))+IF(8-(INT((Ipotesi!$C$91)/30))-1&lt;1,0,INDEX(Motore_Operativo!$BR$485:$BR$544,MAX(1,8-(INT((Ipotesi!$C$91)/30))-1)))*(MOD((Ipotesi!$C$91),30)/30))))*Piano_SS!$D$9,0))</f>
        <v>4500</v>
      </c>
      <c r="BZ492" s="15" t="n">
        <f aca="false">MIN(Piano_SS!$C$10,(BZ491)+IF(AND(Motore_Operativo!C492&gt;=EDATE(Parametri_v3!$C$24,Ipotesi!K14*12),Motore_Operativo!C492&lt;EDATE(Parametri_v3!$C$24,Parametri_v3!$C$25+Ipotesi!K14*12)),MAX(0,(IF(8-(INT((Ipotesi!$C$91)/30))&lt;1,0,INDEX(Motore_Operativo!$BO$485:$BO$544,MAX(1,8-(INT((Ipotesi!$C$91)/30)))))*(1-(MOD((Ipotesi!$C$91),30)/30))+IF(8-(INT((Ipotesi!$C$91)/30))-1&lt;1,0,INDEX(Motore_Operativo!$BO$485:$BO$544,MAX(1,8-(INT((Ipotesi!$C$91)/30))-1)))*(MOD((Ipotesi!$C$91),30)/30)))*Piano_SS!$D$10,0))</f>
        <v>2000</v>
      </c>
      <c r="CA492" s="15" t="n">
        <f aca="false">SUM(BV492:BZ492)</f>
        <v>21862.962962963</v>
      </c>
      <c r="CB492" s="15" t="n">
        <f aca="false">BV492*(1-Piano_SS!$E$6)+BW492*(1-Piano_SS!$E$7)+BX492*(1-Piano_SS!$E$8)+BY492*(1-Piano_SS!$E$9)+BZ492*(1-Piano_SS!$E$10)</f>
        <v>19862.962962963</v>
      </c>
      <c r="CC492" s="15" t="n">
        <f aca="false">(CC491)+BA492</f>
        <v>0</v>
      </c>
      <c r="CD492" s="15" t="n">
        <f aca="false">IF(CA492=0,0,CC492*CB492/CA492*Ipotesi!$C$103*Parametri_v3!$C$64)</f>
        <v>0</v>
      </c>
      <c r="CE492" s="18" t="n">
        <f aca="false">IF(BA492&gt;0,Motore_Operativo!C492,(CE491))</f>
        <v>0</v>
      </c>
      <c r="CF492" s="18" t="n">
        <f aca="false">IF(AND(CC492&gt;0,OR(CC492&gt;=CG492-0.01,Motore_Operativo!C492&gt;=EDATE(MAX(Finanziamenti!$D$15:$D$17),Ipotesi!K14*12))),CE492,0)</f>
        <v>0</v>
      </c>
      <c r="CG492" s="15" t="n">
        <f aca="false">IF(AND(9&lt;&gt;6,9&lt;&gt;9,Finanziamenti!$F$11=1,OR(Parametri_v3!$C$6=0,Finanziamenti!$E$11=1)),MIN(Finanziamenti!$C$11,Piano_SS!$C$12*Ipotesi!$C$102),0)</f>
        <v>0</v>
      </c>
      <c r="CH492" s="15" t="n">
        <f aca="false">IF(AND(AND(9&lt;&gt;8,9&lt;&gt;9,Finanziamenti!$F$10=1,OR(Parametri_v3!$C$6=0,Finanziamenti!$E$10=1)),Motore_Operativo!C492&gt;=Finanziamenti!$D$10,Motore_Operativo!C492&lt;Parametri_v3!$C$63),Finanziamenti!$C$10,0)</f>
        <v>0</v>
      </c>
    </row>
    <row r="493" customFormat="false" ht="18" hidden="false" customHeight="true" outlineLevel="0" collapsed="false">
      <c r="A493" s="68" t="n">
        <f aca="false">9</f>
        <v>9</v>
      </c>
      <c r="B493" s="68" t="n">
        <f aca="false">9</f>
        <v>9</v>
      </c>
      <c r="C493" s="18" t="n">
        <f aca="false">Motore_Operativo!C493</f>
        <v>46631</v>
      </c>
      <c r="D493" s="68" t="n">
        <f aca="false">Motore_Operativo!D493</f>
        <v>2027</v>
      </c>
      <c r="E493" s="68" t="n">
        <f aca="false">Motore_Operativo!E493</f>
        <v>9</v>
      </c>
      <c r="F493" s="15" t="n">
        <f aca="false">Motore_Operativo!AQ493+Motore_Operativo!BF493</f>
        <v>8009.25925925926</v>
      </c>
      <c r="G493" s="15" t="n">
        <f aca="false">Motore_Operativo!BH493</f>
        <v>1621.05263157895</v>
      </c>
      <c r="H493" s="15" t="n">
        <f aca="false">Motore_Operativo!BI493</f>
        <v>9630.31189083821</v>
      </c>
      <c r="I493" s="15" t="n">
        <f aca="false">Motore_Operativo!CA493</f>
        <v>27809.511208577</v>
      </c>
      <c r="J493" s="15" t="n">
        <f aca="false">Motore_Operativo!CC493</f>
        <v>-18179.1993177388</v>
      </c>
      <c r="K493" s="15" t="n">
        <f aca="false">Motore_Operativo!CE493</f>
        <v>1666.66666666667</v>
      </c>
      <c r="L493" s="15" t="n">
        <f aca="false">SUM(INDEX($K$485:$K$544,MAX(1,9-Parametri_v3!$C$59+1)):K493)/Parametri_v3!$C$59</f>
        <v>416.666666666667</v>
      </c>
      <c r="M493" s="15" t="n">
        <f aca="false">J493-L493</f>
        <v>-18595.8659844055</v>
      </c>
      <c r="N493" s="15" t="n">
        <f aca="false">CD493-(CD492)</f>
        <v>0</v>
      </c>
      <c r="O493" s="15" t="n">
        <f aca="false">(BG492)*Ipotesi!$C$110/12+CH493*Parametri_v3!$C$39/12</f>
        <v>0</v>
      </c>
      <c r="P493" s="15" t="n">
        <f aca="false">M493+N493-O493</f>
        <v>-18595.8659844055</v>
      </c>
      <c r="Q493" s="15" t="n">
        <f aca="false">SUM(P485:P493)+Parametri_v3!$C$54*9/12</f>
        <v>-168204.460526316</v>
      </c>
      <c r="R493" s="15" t="n">
        <f aca="false">0</f>
        <v>0</v>
      </c>
      <c r="S493" s="15" t="n">
        <f aca="false">0</f>
        <v>0</v>
      </c>
      <c r="T493" s="15" t="n">
        <f aca="false">MIN(R493,MAX(0,Q493))</f>
        <v>0</v>
      </c>
      <c r="U493" s="15" t="n">
        <f aca="false">MIN(S493,MAX(0,Q493-T493)*Parametri_v3!$C$42)</f>
        <v>0</v>
      </c>
      <c r="V493" s="15" t="n">
        <f aca="false">MAX(0,Q493-T493-U493)*Ipotesi!$C$92</f>
        <v>0</v>
      </c>
      <c r="W493" s="15" t="n">
        <f aca="false">MAX(0,SUM(M485:M493)+Parametri_v3!$C$55*9/12)*Ipotesi!$C$93</f>
        <v>0</v>
      </c>
      <c r="X493" s="15" t="n">
        <f aca="false">V493+W493-(V492+W492)</f>
        <v>0</v>
      </c>
      <c r="Y493" s="15" t="n">
        <f aca="false">P493-X493</f>
        <v>-18595.8659844055</v>
      </c>
      <c r="Z493" s="15" t="n">
        <f aca="false">R493-T493+IF(AND(Parametri_v3!$C$40=1,D493-YEAR(Parametri_v3!$C$50)&lt;Parametri_v3!$C$41),MAX(0,-Q493),0)</f>
        <v>168204.460526316</v>
      </c>
      <c r="AA493" s="15" t="n">
        <f aca="false">S493-U493+IF(AND(Parametri_v3!$C$40=1,D493-YEAR(Parametri_v3!$C$50)&lt;Parametri_v3!$C$41),0,MAX(0,-Q493))</f>
        <v>0</v>
      </c>
      <c r="AB493" s="15" t="n">
        <f aca="false">F493*(1+Parametri_v3!$C$26)</f>
        <v>9771.2962962963</v>
      </c>
      <c r="AC493" s="15" t="n">
        <f aca="false">(IF(9-(INT((Motore_Operativo!L493)/30))&lt;1,0,INDEX(Motore_Startup!$AB$485:$AB$544,MAX(1,9-(INT((Motore_Operativo!L493)/30)))))*(1-(MOD((Motore_Operativo!L493),30)/30))+IF(9-(INT((Motore_Operativo!L493)/30))-1&lt;1,0,INDEX(Motore_Startup!$AB$485:$AB$544,MAX(1,9-(INT((Motore_Operativo!L493)/30))-1)))*(MOD((Motore_Operativo!L493),30)/30))</f>
        <v>9432.40740740741</v>
      </c>
      <c r="AD493" s="15" t="n">
        <f aca="false">(AD492)+AB493-AC493</f>
        <v>28975</v>
      </c>
      <c r="AE493" s="15" t="n">
        <f aca="false">Motore_Operativo!BH493*(1+Parametri_v3!$C$26)</f>
        <v>1977.68421052632</v>
      </c>
      <c r="AF493" s="15" t="n">
        <f aca="false">(IF(9-(INT((Parametri_v3!$C$29)/30))&lt;1,0,INDEX(Motore_Operativo!$BH$485:$BH$544,MAX(1,9-(INT((Parametri_v3!$C$29)/30)))))*(1-(MOD((Parametri_v3!$C$29),30)/30))+IF(9-(INT((Parametri_v3!$C$29)/30))-1&lt;1,0,INDEX(Motore_Operativo!$BH$485:$BH$544,MAX(1,9-(INT((Parametri_v3!$C$29)/30))-1)))*(MOD((Parametri_v3!$C$29),30)/30))*(1+Parametri_v3!$C$26)</f>
        <v>1977.68421052632</v>
      </c>
      <c r="AG493" s="15" t="n">
        <f aca="false">(AG492)+AE493-AF493</f>
        <v>1977.68421052632</v>
      </c>
      <c r="AH493" s="15" t="n">
        <f aca="false">(Motore_Operativo!CJ493)*(1+Parametri_v3!$C$27*Parametri_v3!$C$26)</f>
        <v>11742.8064712476</v>
      </c>
      <c r="AI493" s="15" t="n">
        <f aca="false">(IF(9-(INT((Ipotesi!$C$91)/30))&lt;1,0,INDEX(Motore_Startup!$AH$485:$AH$544,MAX(1,9-(INT((Ipotesi!$C$91)/30)))))*(1-(MOD((Ipotesi!$C$91),30)/30))+IF(9-(INT((Ipotesi!$C$91)/30))-1&lt;1,0,INDEX(Motore_Startup!$AH$485:$AH$544,MAX(1,9-(INT((Ipotesi!$C$91)/30))-1)))*(MOD((Ipotesi!$C$91),30)/30))</f>
        <v>11712.0323971735</v>
      </c>
      <c r="AJ493" s="15" t="n">
        <f aca="false">(AJ492)+AH493-AI493</f>
        <v>23470.2259054581</v>
      </c>
      <c r="AK493" s="15" t="n">
        <f aca="false">(F493+ Motore_Operativo!BH493-(Motore_Operativo!CJ493)*Parametri_v3!$C$27-Motore_Operativo!CE493)*Parametri_v3!$C$26</f>
        <v>-97.9599800194927</v>
      </c>
      <c r="AL493" s="15" t="n">
        <f aca="false">MAX(0,(AM492))</f>
        <v>0</v>
      </c>
      <c r="AM493" s="15" t="n">
        <f aca="false">(AM492)+AK493-AL493</f>
        <v>-1446.94815350877</v>
      </c>
      <c r="AN493" s="15" t="n">
        <f aca="false">0</f>
        <v>0</v>
      </c>
      <c r="AO493" s="15" t="n">
        <f aca="false">0</f>
        <v>0</v>
      </c>
      <c r="AP493" s="15" t="n">
        <f aca="false">MAX(0,AN493)*IF(9=Parametri_v3!$C$43,Parametri_v3!$C$45,IF(9=Parametri_v3!$C$44,1-Parametri_v3!$C$45,0))</f>
        <v>0</v>
      </c>
      <c r="AQ493" s="15" t="n">
        <f aca="false">MAX(0,AP493+IF(9=Parametri_v3!$C$43,MAX(0,AN493-AO493),0)-MAX(0,-(AR492)))</f>
        <v>0</v>
      </c>
      <c r="AR493" s="15" t="n">
        <f aca="false">(AR492)+X493-AQ493</f>
        <v>0</v>
      </c>
      <c r="AS493" s="15" t="n">
        <f aca="false">Motore_Operativo!AB493-AT493+AU493</f>
        <v>17020.8333333333</v>
      </c>
      <c r="AT493" s="15" t="n">
        <f aca="false">Motore_Operativo!CH493</f>
        <v>895.833333333334</v>
      </c>
      <c r="AU493" s="15" t="n">
        <f aca="false">MIN(MAX(0,(AV492)+AT493),Parametri_v3!$C$60/12)</f>
        <v>0</v>
      </c>
      <c r="AV493" s="15" t="n">
        <f aca="false">(AV492)+AT493-AU493</f>
        <v>8062.5</v>
      </c>
      <c r="AW493" s="15" t="n">
        <f aca="false">IF(AND(Motore_Operativo!C493=Finanziamenti!$D$6,Finanziamenti!$F$6=1),Finanziamenti!$C$6,0)</f>
        <v>0</v>
      </c>
      <c r="AX493" s="15" t="n">
        <f aca="false">IF(AND(9&lt;&gt;7,9&lt;&gt;9,Finanziamenti!$F$8=1,OR(Parametri_v3!$C$6=0,Finanziamenti!$E$8=1),Motore_Operativo!C493=EDATE(Finanziamenti!$D$8,Ipotesi!K15*12)),Finanziamenti!$C$8*1,0)+IF(AND(9&lt;&gt;7,9&lt;&gt;9,Finanziamenti!$F$9=1,OR(Parametri_v3!$C$6=0,Finanziamenti!$E$9=1),Motore_Operativo!C493=EDATE(Finanziamenti!$D$9,Ipotesi!K15*12)),Finanziamenti!$C$9*Ipotesi!K16,0)</f>
        <v>0</v>
      </c>
      <c r="AY493" s="15" t="n">
        <f aca="false">0</f>
        <v>0</v>
      </c>
      <c r="AZ493" s="15" t="n">
        <f aca="false">Motore_Advisory!AY493*(1-Ipotesi!$C$95)*Ipotesi!$C$96</f>
        <v>0</v>
      </c>
      <c r="BA493" s="15" t="n">
        <f aca="false">MAX(0,MIN(CG493*MIN(1,IF(Motore_Operativo!C493&gt;=EDATE(Finanziamenti!$D$15,Ipotesi!K14*12),Finanziamenti!$C$15,0)+IF(Motore_Operativo!C493&gt;=EDATE(Finanziamenti!$D$16,Ipotesi!K14*12),Finanziamenti!$C$16,0)+IF(Motore_Operativo!C493&gt;=EDATE(Finanziamenti!$D$17,Ipotesi!K14*12),Finanziamenti!$C$17,0)),CA493*Ipotesi!$C$102)-(CC492))</f>
        <v>0</v>
      </c>
      <c r="BB493" s="15" t="n">
        <f aca="false">IF(AND(CF493&gt;0,Motore_Operativo!C493&gt;=IF(CF493=0,0,EDATE(CF493,Parametri_v3!$C$37)),MOD(((D493-YEAR(IF(CF493=0,0,EDATE(CF493,Parametri_v3!$C$37))))*12+E493-MONTH(IF(CF493=0,0,EDATE(CF493,Parametri_v3!$C$37)))),Parametri_v3!$C$38)=0),MIN(MAX(0,(BC492)+BA493-N493),(CC493-CD493)/(Ipotesi!$C$108*12/Parametri_v3!$C$38)),0)</f>
        <v>0</v>
      </c>
      <c r="BC493" s="15" t="n">
        <f aca="false">(BC492)+BA493-N493-BB493</f>
        <v>0</v>
      </c>
      <c r="BD493" s="15" t="n">
        <f aca="false">(BH492)+AC493+AF493-AI493-AS493-K493*(1+Parametri_v3!$C$26)-AL493-AQ493-O493+AW493+AX493+AZ493+BA493-BB493</f>
        <v>-51988.0336515594</v>
      </c>
      <c r="BE493" s="15" t="n">
        <f aca="false">MAX(0,MIN(MAX(0,CH493-(BG492)),Parametri_v3!$C$30-BD493))</f>
        <v>0</v>
      </c>
      <c r="BF493" s="15" t="n">
        <f aca="false">IF(Motore_Operativo!C493&gt;=Parametri_v3!$C$63,(BG492),MIN((BG492),MAX(0,BD493-Parametri_v3!$C$30)))</f>
        <v>0</v>
      </c>
      <c r="BG493" s="15" t="n">
        <f aca="false">(BG492)+BE493-BF493</f>
        <v>0</v>
      </c>
      <c r="BH493" s="15" t="n">
        <f aca="false">BD493+BE493-BF493-AY493</f>
        <v>-51988.0336515594</v>
      </c>
      <c r="BI493" s="15" t="n">
        <f aca="false">MAX(0,Parametri_v3!$C$30-BH493)</f>
        <v>76988.0336515594</v>
      </c>
      <c r="BJ493" s="15" t="n">
        <f aca="false">(BJ492)+K493</f>
        <v>15000</v>
      </c>
      <c r="BK493" s="15" t="n">
        <f aca="false">(BK492)+L493</f>
        <v>2083.33333333333</v>
      </c>
      <c r="BL493" s="15" t="n">
        <f aca="false">BJ493-BK493</f>
        <v>12916.6666666667</v>
      </c>
      <c r="BM493" s="15" t="n">
        <f aca="false">(BM492)+Y493</f>
        <v>-168204.460526316</v>
      </c>
      <c r="BN493" s="15" t="n">
        <f aca="false">(BN492)+AW493+AX493+AZ493</f>
        <v>130000</v>
      </c>
      <c r="BO493" s="15" t="n">
        <f aca="false">(BO492)+AY493</f>
        <v>0</v>
      </c>
      <c r="BP493" s="15" t="n">
        <f aca="false">0</f>
        <v>0</v>
      </c>
      <c r="BQ493" s="15" t="n">
        <f aca="false">BN493+BM493-BO493</f>
        <v>-38204.4605263158</v>
      </c>
      <c r="BR493" s="15" t="n">
        <f aca="false">BH493+AD493+BL493+MAX(0,-AM493)+MAX(0,-AR493)+AG493</f>
        <v>-6671.73462085769</v>
      </c>
      <c r="BS493" s="15" t="n">
        <f aca="false">AJ493+AV493+MAX(0,AM493)+MAX(0,AR493)+BC493+BG493+BQ493</f>
        <v>-6671.73462085766</v>
      </c>
      <c r="BT493" s="15" t="n">
        <f aca="false">BR493-BS493</f>
        <v>-2.81943357549608E-011</v>
      </c>
      <c r="BU493" s="15" t="n">
        <f aca="false">BH493-(BD493+BE493-BF493-AY493)</f>
        <v>0</v>
      </c>
      <c r="BV493" s="15" t="n">
        <f aca="false">MIN(Piano_SS!$C$6,(BV492)+IF(AND(Motore_Operativo!C493&gt;=EDATE(Parametri_v3!$C$24,Ipotesi!K14*12),Motore_Operativo!C493&lt;EDATE(Parametri_v3!$C$24,Parametri_v3!$C$25+Ipotesi!K14*12)),MAX(0,(Motore_Operativo!Y493+Motore_Operativo!X493*Parametri_v3!$C$14)*(1-Parametri_v3!$C$32))*Piano_SS!$D$6,0))</f>
        <v>14250</v>
      </c>
      <c r="BW493" s="15" t="n">
        <f aca="false">MIN(Piano_SS!$C$7,(BW492)+IF(AND(Motore_Operativo!C493&gt;=EDATE(Parametri_v3!$C$24,Ipotesi!K14*12),Motore_Operativo!C493&lt;EDATE(Parametri_v3!$C$24,Parametri_v3!$C$25+Ipotesi!K14*12)),MAX(0,(IF(9-(INT((Ipotesi!$C$91)/30))&lt;1,0,INDEX(Motore_Operativo!$BN$485:$BN$544,MAX(1,9-(INT((Ipotesi!$C$91)/30)))))*(1-(MOD((Ipotesi!$C$91),30)/30))+IF(9-(INT((Ipotesi!$C$91)/30))-1&lt;1,0,INDEX(Motore_Operativo!$BN$485:$BN$544,MAX(1,9-(INT((Ipotesi!$C$91)/30))-1)))*(MOD((Ipotesi!$C$91),30)/30)))*Piano_SS!$D$7,0))</f>
        <v>3805.55555555556</v>
      </c>
      <c r="BX493" s="15" t="n">
        <f aca="false">MIN(Piano_SS!$C$8,(BX492)+IF(AND(Motore_Operativo!C493&gt;=EDATE(Parametri_v3!$C$24,Ipotesi!K14*12),Motore_Operativo!C493&lt;EDATE(Parametri_v3!$C$24,Parametri_v3!$C$25+Ipotesi!K14*12)),MAX(0,Motore_Operativo!CE493)*Piano_SS!$D$8,0))</f>
        <v>5000</v>
      </c>
      <c r="BY493" s="15" t="n">
        <f aca="false">MIN(Piano_SS!$C$9,(BY492)+IF(AND(Motore_Operativo!C493&gt;=EDATE(Parametri_v3!$C$24,Ipotesi!K14*12),Motore_Operativo!C493&lt;EDATE(Parametri_v3!$C$24,Parametri_v3!$C$25+Ipotesi!K14*12)),MAX(0,((IF(9-(INT((Ipotesi!$C$91)/30))&lt;1,0,INDEX(Motore_Operativo!$BQ$485:$BQ$544,MAX(1,9-(INT((Ipotesi!$C$91)/30)))))*(1-(MOD((Ipotesi!$C$91),30)/30))+IF(9-(INT((Ipotesi!$C$91)/30))-1&lt;1,0,INDEX(Motore_Operativo!$BQ$485:$BQ$544,MAX(1,9-(INT((Ipotesi!$C$91)/30))-1)))*(MOD((Ipotesi!$C$91),30)/30))+(IF(9-(INT((Ipotesi!$C$91)/30))&lt;1,0,INDEX(Motore_Operativo!$BR$485:$BR$544,MAX(1,9-(INT((Ipotesi!$C$91)/30)))))*(1-(MOD((Ipotesi!$C$91),30)/30))+IF(9-(INT((Ipotesi!$C$91)/30))-1&lt;1,0,INDEX(Motore_Operativo!$BR$485:$BR$544,MAX(1,9-(INT((Ipotesi!$C$91)/30))-1)))*(MOD((Ipotesi!$C$91),30)/30))))*Piano_SS!$D$9,0))</f>
        <v>6750</v>
      </c>
      <c r="BZ493" s="15" t="n">
        <f aca="false">MIN(Piano_SS!$C$10,(BZ492)+IF(AND(Motore_Operativo!C493&gt;=EDATE(Parametri_v3!$C$24,Ipotesi!K14*12),Motore_Operativo!C493&lt;EDATE(Parametri_v3!$C$24,Parametri_v3!$C$25+Ipotesi!K14*12)),MAX(0,(IF(9-(INT((Ipotesi!$C$91)/30))&lt;1,0,INDEX(Motore_Operativo!$BO$485:$BO$544,MAX(1,9-(INT((Ipotesi!$C$91)/30)))))*(1-(MOD((Ipotesi!$C$91),30)/30))+IF(9-(INT((Ipotesi!$C$91)/30))-1&lt;1,0,INDEX(Motore_Operativo!$BO$485:$BO$544,MAX(1,9-(INT((Ipotesi!$C$91)/30))-1)))*(MOD((Ipotesi!$C$91),30)/30)))*Piano_SS!$D$10,0))</f>
        <v>3000</v>
      </c>
      <c r="CA493" s="15" t="n">
        <f aca="false">SUM(BV493:BZ493)</f>
        <v>32805.5555555556</v>
      </c>
      <c r="CB493" s="15" t="n">
        <f aca="false">BV493*(1-Piano_SS!$E$6)+BW493*(1-Piano_SS!$E$7)+BX493*(1-Piano_SS!$E$8)+BY493*(1-Piano_SS!$E$9)+BZ493*(1-Piano_SS!$E$10)</f>
        <v>29805.5555555556</v>
      </c>
      <c r="CC493" s="15" t="n">
        <f aca="false">(CC492)+BA493</f>
        <v>0</v>
      </c>
      <c r="CD493" s="15" t="n">
        <f aca="false">IF(CA493=0,0,CC493*CB493/CA493*Ipotesi!$C$103*Parametri_v3!$C$64)</f>
        <v>0</v>
      </c>
      <c r="CE493" s="18" t="n">
        <f aca="false">IF(BA493&gt;0,Motore_Operativo!C493,(CE492))</f>
        <v>0</v>
      </c>
      <c r="CF493" s="18" t="n">
        <f aca="false">IF(AND(CC493&gt;0,OR(CC493&gt;=CG493-0.01,Motore_Operativo!C493&gt;=EDATE(MAX(Finanziamenti!$D$15:$D$17),Ipotesi!K14*12))),CE493,0)</f>
        <v>0</v>
      </c>
      <c r="CG493" s="15" t="n">
        <f aca="false">IF(AND(9&lt;&gt;6,9&lt;&gt;9,Finanziamenti!$F$11=1,OR(Parametri_v3!$C$6=0,Finanziamenti!$E$11=1)),MIN(Finanziamenti!$C$11,Piano_SS!$C$12*Ipotesi!$C$102),0)</f>
        <v>0</v>
      </c>
      <c r="CH493" s="15" t="n">
        <f aca="false">IF(AND(AND(9&lt;&gt;8,9&lt;&gt;9,Finanziamenti!$F$10=1,OR(Parametri_v3!$C$6=0,Finanziamenti!$E$10=1)),Motore_Operativo!C493&gt;=Finanziamenti!$D$10,Motore_Operativo!C493&lt;Parametri_v3!$C$63),Finanziamenti!$C$10,0)</f>
        <v>0</v>
      </c>
    </row>
    <row r="494" customFormat="false" ht="18" hidden="false" customHeight="true" outlineLevel="0" collapsed="false">
      <c r="A494" s="68" t="n">
        <f aca="false">9</f>
        <v>9</v>
      </c>
      <c r="B494" s="68" t="n">
        <f aca="false">10</f>
        <v>10</v>
      </c>
      <c r="C494" s="18" t="n">
        <f aca="false">Motore_Operativo!C494</f>
        <v>46661</v>
      </c>
      <c r="D494" s="68" t="n">
        <f aca="false">Motore_Operativo!D494</f>
        <v>2027</v>
      </c>
      <c r="E494" s="68" t="n">
        <f aca="false">Motore_Operativo!E494</f>
        <v>10</v>
      </c>
      <c r="F494" s="15" t="n">
        <f aca="false">Motore_Operativo!AQ494+Motore_Operativo!BF494</f>
        <v>8101.85185185185</v>
      </c>
      <c r="G494" s="15" t="n">
        <f aca="false">Motore_Operativo!BH494</f>
        <v>1621.05263157895</v>
      </c>
      <c r="H494" s="15" t="n">
        <f aca="false">Motore_Operativo!BI494</f>
        <v>9722.9044834308</v>
      </c>
      <c r="I494" s="15" t="n">
        <f aca="false">Motore_Operativo!CA494</f>
        <v>27822.47417154</v>
      </c>
      <c r="J494" s="15" t="n">
        <f aca="false">Motore_Operativo!CC494</f>
        <v>-18099.5696881092</v>
      </c>
      <c r="K494" s="15" t="n">
        <f aca="false">Motore_Operativo!CE494</f>
        <v>1666.66666666667</v>
      </c>
      <c r="L494" s="15" t="n">
        <f aca="false">SUM(INDEX($K$485:$K$544,MAX(1,10-Parametri_v3!$C$59+1)):K494)/Parametri_v3!$C$59</f>
        <v>462.962962962963</v>
      </c>
      <c r="M494" s="15" t="n">
        <f aca="false">J494-L494</f>
        <v>-18562.5326510721</v>
      </c>
      <c r="N494" s="15" t="n">
        <f aca="false">CD494-(CD493)</f>
        <v>0</v>
      </c>
      <c r="O494" s="15" t="n">
        <f aca="false">(BG493)*Ipotesi!$C$110/12+CH494*Parametri_v3!$C$39/12</f>
        <v>0</v>
      </c>
      <c r="P494" s="15" t="n">
        <f aca="false">M494+N494-O494</f>
        <v>-18562.5326510721</v>
      </c>
      <c r="Q494" s="15" t="n">
        <f aca="false">SUM(P485:P494)+Parametri_v3!$C$54*10/12</f>
        <v>-186766.993177388</v>
      </c>
      <c r="R494" s="15" t="n">
        <f aca="false">0</f>
        <v>0</v>
      </c>
      <c r="S494" s="15" t="n">
        <f aca="false">0</f>
        <v>0</v>
      </c>
      <c r="T494" s="15" t="n">
        <f aca="false">MIN(R494,MAX(0,Q494))</f>
        <v>0</v>
      </c>
      <c r="U494" s="15" t="n">
        <f aca="false">MIN(S494,MAX(0,Q494-T494)*Parametri_v3!$C$42)</f>
        <v>0</v>
      </c>
      <c r="V494" s="15" t="n">
        <f aca="false">MAX(0,Q494-T494-U494)*Ipotesi!$C$92</f>
        <v>0</v>
      </c>
      <c r="W494" s="15" t="n">
        <f aca="false">MAX(0,SUM(M485:M494)+Parametri_v3!$C$55*10/12)*Ipotesi!$C$93</f>
        <v>0</v>
      </c>
      <c r="X494" s="15" t="n">
        <f aca="false">V494+W494-(V493+W493)</f>
        <v>0</v>
      </c>
      <c r="Y494" s="15" t="n">
        <f aca="false">P494-X494</f>
        <v>-18562.5326510721</v>
      </c>
      <c r="Z494" s="15" t="n">
        <f aca="false">R494-T494+IF(AND(Parametri_v3!$C$40=1,D494-YEAR(Parametri_v3!$C$50)&lt;Parametri_v3!$C$41),MAX(0,-Q494),0)</f>
        <v>186766.993177388</v>
      </c>
      <c r="AA494" s="15" t="n">
        <f aca="false">S494-U494+IF(AND(Parametri_v3!$C$40=1,D494-YEAR(Parametri_v3!$C$50)&lt;Parametri_v3!$C$41),0,MAX(0,-Q494))</f>
        <v>0</v>
      </c>
      <c r="AB494" s="15" t="n">
        <f aca="false">F494*(1+Parametri_v3!$C$26)</f>
        <v>9884.25925925926</v>
      </c>
      <c r="AC494" s="15" t="n">
        <f aca="false">(IF(10-(INT((Motore_Operativo!L494)/30))&lt;1,0,INDEX(Motore_Startup!$AB$485:$AB$544,MAX(1,10-(INT((Motore_Operativo!L494)/30)))))*(1-(MOD((Motore_Operativo!L494),30)/30))+IF(10-(INT((Motore_Operativo!L494)/30))-1&lt;1,0,INDEX(Motore_Startup!$AB$485:$AB$544,MAX(1,10-(INT((Motore_Operativo!L494)/30))-1)))*(MOD((Motore_Operativo!L494),30)/30))</f>
        <v>9545.37037037037</v>
      </c>
      <c r="AD494" s="15" t="n">
        <f aca="false">(AD493)+AB494-AC494</f>
        <v>29313.8888888889</v>
      </c>
      <c r="AE494" s="15" t="n">
        <f aca="false">Motore_Operativo!BH494*(1+Parametri_v3!$C$26)</f>
        <v>1977.68421052632</v>
      </c>
      <c r="AF494" s="15" t="n">
        <f aca="false">(IF(10-(INT((Parametri_v3!$C$29)/30))&lt;1,0,INDEX(Motore_Operativo!$BH$485:$BH$544,MAX(1,10-(INT((Parametri_v3!$C$29)/30)))))*(1-(MOD((Parametri_v3!$C$29),30)/30))+IF(10-(INT((Parametri_v3!$C$29)/30))-1&lt;1,0,INDEX(Motore_Operativo!$BH$485:$BH$544,MAX(1,10-(INT((Parametri_v3!$C$29)/30))-1)))*(MOD((Parametri_v3!$C$29),30)/30))*(1+Parametri_v3!$C$26)</f>
        <v>1977.68421052632</v>
      </c>
      <c r="AG494" s="15" t="n">
        <f aca="false">(AG493)+AE494-AF494</f>
        <v>1977.68421052632</v>
      </c>
      <c r="AH494" s="15" t="n">
        <f aca="false">(Motore_Operativo!CJ494)*(1+Parametri_v3!$C$27*Parametri_v3!$C$26)</f>
        <v>11758.1935082846</v>
      </c>
      <c r="AI494" s="15" t="n">
        <f aca="false">(IF(10-(INT((Ipotesi!$C$91)/30))&lt;1,0,INDEX(Motore_Startup!$AH$485:$AH$544,MAX(1,10-(INT((Ipotesi!$C$91)/30)))))*(1-(MOD((Ipotesi!$C$91),30)/30))+IF(10-(INT((Ipotesi!$C$91)/30))-1&lt;1,0,INDEX(Motore_Startup!$AH$485:$AH$544,MAX(1,10-(INT((Ipotesi!$C$91)/30))-1)))*(MOD((Ipotesi!$C$91),30)/30))</f>
        <v>11727.4194342105</v>
      </c>
      <c r="AJ494" s="15" t="n">
        <f aca="false">(AJ493)+AH494-AI494</f>
        <v>23500.9999795322</v>
      </c>
      <c r="AK494" s="15" t="n">
        <f aca="false">(F494+ Motore_Operativo!BH494-(Motore_Operativo!CJ494)*Parametri_v3!$C$27-Motore_Operativo!CE494)*Parametri_v3!$C$26</f>
        <v>-80.0136837231962</v>
      </c>
      <c r="AL494" s="15" t="n">
        <f aca="false">MAX(0,(AM493))</f>
        <v>0</v>
      </c>
      <c r="AM494" s="15" t="n">
        <f aca="false">(AM493)+AK494-AL494</f>
        <v>-1526.96183723196</v>
      </c>
      <c r="AN494" s="15" t="n">
        <f aca="false">0</f>
        <v>0</v>
      </c>
      <c r="AO494" s="15" t="n">
        <f aca="false">0</f>
        <v>0</v>
      </c>
      <c r="AP494" s="15" t="n">
        <f aca="false">MAX(0,AN494)*IF(10=Parametri_v3!$C$43,Parametri_v3!$C$45,IF(10=Parametri_v3!$C$44,1-Parametri_v3!$C$45,0))</f>
        <v>0</v>
      </c>
      <c r="AQ494" s="15" t="n">
        <f aca="false">MAX(0,AP494+IF(10=Parametri_v3!$C$43,MAX(0,AN494-AO494),0)-MAX(0,-(AR493)))</f>
        <v>0</v>
      </c>
      <c r="AR494" s="15" t="n">
        <f aca="false">(AR493)+X494-AQ494</f>
        <v>0</v>
      </c>
      <c r="AS494" s="15" t="n">
        <f aca="false">Motore_Operativo!AB494-AT494+AU494</f>
        <v>17020.8333333333</v>
      </c>
      <c r="AT494" s="15" t="n">
        <f aca="false">Motore_Operativo!CH494</f>
        <v>895.833333333334</v>
      </c>
      <c r="AU494" s="15" t="n">
        <f aca="false">MIN(MAX(0,(AV493)+AT494),Parametri_v3!$C$60/12)</f>
        <v>0</v>
      </c>
      <c r="AV494" s="15" t="n">
        <f aca="false">(AV493)+AT494-AU494</f>
        <v>8958.33333333334</v>
      </c>
      <c r="AW494" s="15" t="n">
        <f aca="false">IF(AND(Motore_Operativo!C494=Finanziamenti!$D$6,Finanziamenti!$F$6=1),Finanziamenti!$C$6,0)</f>
        <v>0</v>
      </c>
      <c r="AX494" s="15" t="n">
        <f aca="false">IF(AND(9&lt;&gt;7,9&lt;&gt;9,Finanziamenti!$F$8=1,OR(Parametri_v3!$C$6=0,Finanziamenti!$E$8=1),Motore_Operativo!C494=EDATE(Finanziamenti!$D$8,Ipotesi!K15*12)),Finanziamenti!$C$8*1,0)+IF(AND(9&lt;&gt;7,9&lt;&gt;9,Finanziamenti!$F$9=1,OR(Parametri_v3!$C$6=0,Finanziamenti!$E$9=1),Motore_Operativo!C494=EDATE(Finanziamenti!$D$9,Ipotesi!K15*12)),Finanziamenti!$C$9*Ipotesi!K16,0)</f>
        <v>0</v>
      </c>
      <c r="AY494" s="15" t="n">
        <f aca="false">0</f>
        <v>0</v>
      </c>
      <c r="AZ494" s="15" t="n">
        <f aca="false">Motore_Advisory!AY494*(1-Ipotesi!$C$95)*Ipotesi!$C$96</f>
        <v>0</v>
      </c>
      <c r="BA494" s="15" t="n">
        <f aca="false">MAX(0,MIN(CG494*MIN(1,IF(Motore_Operativo!C494&gt;=EDATE(Finanziamenti!$D$15,Ipotesi!K14*12),Finanziamenti!$C$15,0)+IF(Motore_Operativo!C494&gt;=EDATE(Finanziamenti!$D$16,Ipotesi!K14*12),Finanziamenti!$C$16,0)+IF(Motore_Operativo!C494&gt;=EDATE(Finanziamenti!$D$17,Ipotesi!K14*12),Finanziamenti!$C$17,0)),CA494*Ipotesi!$C$102)-(CC493))</f>
        <v>0</v>
      </c>
      <c r="BB494" s="15" t="n">
        <f aca="false">IF(AND(CF494&gt;0,Motore_Operativo!C494&gt;=IF(CF494=0,0,EDATE(CF494,Parametri_v3!$C$37)),MOD(((D494-YEAR(IF(CF494=0,0,EDATE(CF494,Parametri_v3!$C$37))))*12+E494-MONTH(IF(CF494=0,0,EDATE(CF494,Parametri_v3!$C$37)))),Parametri_v3!$C$38)=0),MIN(MAX(0,(BC493)+BA494-N494),(CC494-CD494)/(Ipotesi!$C$108*12/Parametri_v3!$C$38)),0)</f>
        <v>0</v>
      </c>
      <c r="BC494" s="15" t="n">
        <f aca="false">(BC493)+BA494-N494-BB494</f>
        <v>0</v>
      </c>
      <c r="BD494" s="15" t="n">
        <f aca="false">(BH493)+AC494+AF494-AI494-AS494-K494*(1+Parametri_v3!$C$26)-AL494-AQ494-O494+AW494+AX494+AZ494+BA494-BB494</f>
        <v>-71246.5651715399</v>
      </c>
      <c r="BE494" s="15" t="n">
        <f aca="false">MAX(0,MIN(MAX(0,CH494-(BG493)),Parametri_v3!$C$30-BD494))</f>
        <v>0</v>
      </c>
      <c r="BF494" s="15" t="n">
        <f aca="false">IF(Motore_Operativo!C494&gt;=Parametri_v3!$C$63,(BG493),MIN((BG493),MAX(0,BD494-Parametri_v3!$C$30)))</f>
        <v>0</v>
      </c>
      <c r="BG494" s="15" t="n">
        <f aca="false">(BG493)+BE494-BF494</f>
        <v>0</v>
      </c>
      <c r="BH494" s="15" t="n">
        <f aca="false">BD494+BE494-BF494-AY494</f>
        <v>-71246.5651715399</v>
      </c>
      <c r="BI494" s="15" t="n">
        <f aca="false">MAX(0,Parametri_v3!$C$30-BH494)</f>
        <v>96246.5651715399</v>
      </c>
      <c r="BJ494" s="15" t="n">
        <f aca="false">(BJ493)+K494</f>
        <v>16666.6666666667</v>
      </c>
      <c r="BK494" s="15" t="n">
        <f aca="false">(BK493)+L494</f>
        <v>2546.2962962963</v>
      </c>
      <c r="BL494" s="15" t="n">
        <f aca="false">BJ494-BK494</f>
        <v>14120.3703703704</v>
      </c>
      <c r="BM494" s="15" t="n">
        <f aca="false">(BM493)+Y494</f>
        <v>-186766.993177388</v>
      </c>
      <c r="BN494" s="15" t="n">
        <f aca="false">(BN493)+AW494+AX494+AZ494</f>
        <v>130000</v>
      </c>
      <c r="BO494" s="15" t="n">
        <f aca="false">(BO493)+AY494</f>
        <v>0</v>
      </c>
      <c r="BP494" s="15" t="n">
        <f aca="false">0</f>
        <v>0</v>
      </c>
      <c r="BQ494" s="15" t="n">
        <f aca="false">BN494+BM494-BO494</f>
        <v>-56766.9931773879</v>
      </c>
      <c r="BR494" s="15" t="n">
        <f aca="false">BH494+AD494+BL494+MAX(0,-AM494)+MAX(0,-AR494)+AG494</f>
        <v>-24307.6598645224</v>
      </c>
      <c r="BS494" s="15" t="n">
        <f aca="false">AJ494+AV494+MAX(0,AM494)+MAX(0,AR494)+BC494+BG494+BQ494</f>
        <v>-24307.6598645224</v>
      </c>
      <c r="BT494" s="15" t="n">
        <f aca="false">BR494-BS494</f>
        <v>0</v>
      </c>
      <c r="BU494" s="15" t="n">
        <f aca="false">BH494-(BD494+BE494-BF494-AY494)</f>
        <v>0</v>
      </c>
      <c r="BV494" s="15" t="n">
        <f aca="false">MIN(Piano_SS!$C$6,(BV493)+IF(AND(Motore_Operativo!C494&gt;=EDATE(Parametri_v3!$C$24,Ipotesi!K14*12),Motore_Operativo!C494&lt;EDATE(Parametri_v3!$C$24,Parametri_v3!$C$25+Ipotesi!K14*12)),MAX(0,(Motore_Operativo!Y494+Motore_Operativo!X494*Parametri_v3!$C$14)*(1-Parametri_v3!$C$32))*Piano_SS!$D$6,0))</f>
        <v>19000</v>
      </c>
      <c r="BW494" s="15" t="n">
        <f aca="false">MIN(Piano_SS!$C$7,(BW493)+IF(AND(Motore_Operativo!C494&gt;=EDATE(Parametri_v3!$C$24,Ipotesi!K14*12),Motore_Operativo!C494&lt;EDATE(Parametri_v3!$C$24,Parametri_v3!$C$25+Ipotesi!K14*12)),MAX(0,(IF(10-(INT((Ipotesi!$C$91)/30))&lt;1,0,INDEX(Motore_Operativo!$BN$485:$BN$544,MAX(1,10-(INT((Ipotesi!$C$91)/30)))))*(1-(MOD((Ipotesi!$C$91),30)/30))+IF(10-(INT((Ipotesi!$C$91)/30))-1&lt;1,0,INDEX(Motore_Operativo!$BN$485:$BN$544,MAX(1,10-(INT((Ipotesi!$C$91)/30))-1)))*(MOD((Ipotesi!$C$91),30)/30)))*Piano_SS!$D$7,0))</f>
        <v>5088.88888888889</v>
      </c>
      <c r="BX494" s="15" t="n">
        <f aca="false">MIN(Piano_SS!$C$8,(BX493)+IF(AND(Motore_Operativo!C494&gt;=EDATE(Parametri_v3!$C$24,Ipotesi!K14*12),Motore_Operativo!C494&lt;EDATE(Parametri_v3!$C$24,Parametri_v3!$C$25+Ipotesi!K14*12)),MAX(0,Motore_Operativo!CE494)*Piano_SS!$D$8,0))</f>
        <v>6666.66666666667</v>
      </c>
      <c r="BY494" s="15" t="n">
        <f aca="false">MIN(Piano_SS!$C$9,(BY493)+IF(AND(Motore_Operativo!C494&gt;=EDATE(Parametri_v3!$C$24,Ipotesi!K14*12),Motore_Operativo!C494&lt;EDATE(Parametri_v3!$C$24,Parametri_v3!$C$25+Ipotesi!K14*12)),MAX(0,((IF(10-(INT((Ipotesi!$C$91)/30))&lt;1,0,INDEX(Motore_Operativo!$BQ$485:$BQ$544,MAX(1,10-(INT((Ipotesi!$C$91)/30)))))*(1-(MOD((Ipotesi!$C$91),30)/30))+IF(10-(INT((Ipotesi!$C$91)/30))-1&lt;1,0,INDEX(Motore_Operativo!$BQ$485:$BQ$544,MAX(1,10-(INT((Ipotesi!$C$91)/30))-1)))*(MOD((Ipotesi!$C$91),30)/30))+(IF(10-(INT((Ipotesi!$C$91)/30))&lt;1,0,INDEX(Motore_Operativo!$BR$485:$BR$544,MAX(1,10-(INT((Ipotesi!$C$91)/30)))))*(1-(MOD((Ipotesi!$C$91),30)/30))+IF(10-(INT((Ipotesi!$C$91)/30))-1&lt;1,0,INDEX(Motore_Operativo!$BR$485:$BR$544,MAX(1,10-(INT((Ipotesi!$C$91)/30))-1)))*(MOD((Ipotesi!$C$91),30)/30))))*Piano_SS!$D$9,0))</f>
        <v>9000</v>
      </c>
      <c r="BZ494" s="15" t="n">
        <f aca="false">MIN(Piano_SS!$C$10,(BZ493)+IF(AND(Motore_Operativo!C494&gt;=EDATE(Parametri_v3!$C$24,Ipotesi!K14*12),Motore_Operativo!C494&lt;EDATE(Parametri_v3!$C$24,Parametri_v3!$C$25+Ipotesi!K14*12)),MAX(0,(IF(10-(INT((Ipotesi!$C$91)/30))&lt;1,0,INDEX(Motore_Operativo!$BO$485:$BO$544,MAX(1,10-(INT((Ipotesi!$C$91)/30)))))*(1-(MOD((Ipotesi!$C$91),30)/30))+IF(10-(INT((Ipotesi!$C$91)/30))-1&lt;1,0,INDEX(Motore_Operativo!$BO$485:$BO$544,MAX(1,10-(INT((Ipotesi!$C$91)/30))-1)))*(MOD((Ipotesi!$C$91),30)/30)))*Piano_SS!$D$10,0))</f>
        <v>4000</v>
      </c>
      <c r="CA494" s="15" t="n">
        <f aca="false">SUM(BV494:BZ494)</f>
        <v>43755.5555555556</v>
      </c>
      <c r="CB494" s="15" t="n">
        <f aca="false">BV494*(1-Piano_SS!$E$6)+BW494*(1-Piano_SS!$E$7)+BX494*(1-Piano_SS!$E$8)+BY494*(1-Piano_SS!$E$9)+BZ494*(1-Piano_SS!$E$10)</f>
        <v>39755.5555555556</v>
      </c>
      <c r="CC494" s="15" t="n">
        <f aca="false">(CC493)+BA494</f>
        <v>0</v>
      </c>
      <c r="CD494" s="15" t="n">
        <f aca="false">IF(CA494=0,0,CC494*CB494/CA494*Ipotesi!$C$103*Parametri_v3!$C$64)</f>
        <v>0</v>
      </c>
      <c r="CE494" s="18" t="n">
        <f aca="false">IF(BA494&gt;0,Motore_Operativo!C494,(CE493))</f>
        <v>0</v>
      </c>
      <c r="CF494" s="18" t="n">
        <f aca="false">IF(AND(CC494&gt;0,OR(CC494&gt;=CG494-0.01,Motore_Operativo!C494&gt;=EDATE(MAX(Finanziamenti!$D$15:$D$17),Ipotesi!K14*12))),CE494,0)</f>
        <v>0</v>
      </c>
      <c r="CG494" s="15" t="n">
        <f aca="false">IF(AND(9&lt;&gt;6,9&lt;&gt;9,Finanziamenti!$F$11=1,OR(Parametri_v3!$C$6=0,Finanziamenti!$E$11=1)),MIN(Finanziamenti!$C$11,Piano_SS!$C$12*Ipotesi!$C$102),0)</f>
        <v>0</v>
      </c>
      <c r="CH494" s="15" t="n">
        <f aca="false">IF(AND(AND(9&lt;&gt;8,9&lt;&gt;9,Finanziamenti!$F$10=1,OR(Parametri_v3!$C$6=0,Finanziamenti!$E$10=1)),Motore_Operativo!C494&gt;=Finanziamenti!$D$10,Motore_Operativo!C494&lt;Parametri_v3!$C$63),Finanziamenti!$C$10,0)</f>
        <v>0</v>
      </c>
    </row>
    <row r="495" customFormat="false" ht="18" hidden="false" customHeight="true" outlineLevel="0" collapsed="false">
      <c r="A495" s="68" t="n">
        <f aca="false">9</f>
        <v>9</v>
      </c>
      <c r="B495" s="68" t="n">
        <f aca="false">11</f>
        <v>11</v>
      </c>
      <c r="C495" s="18" t="n">
        <f aca="false">Motore_Operativo!C495</f>
        <v>46692</v>
      </c>
      <c r="D495" s="68" t="n">
        <f aca="false">Motore_Operativo!D495</f>
        <v>2027</v>
      </c>
      <c r="E495" s="68" t="n">
        <f aca="false">Motore_Operativo!E495</f>
        <v>11</v>
      </c>
      <c r="F495" s="15" t="n">
        <f aca="false">Motore_Operativo!AQ495+Motore_Operativo!BF495</f>
        <v>8194.44444444445</v>
      </c>
      <c r="G495" s="15" t="n">
        <f aca="false">Motore_Operativo!BH495</f>
        <v>1621.05263157895</v>
      </c>
      <c r="H495" s="15" t="n">
        <f aca="false">Motore_Operativo!BI495</f>
        <v>9815.49707602339</v>
      </c>
      <c r="I495" s="15" t="n">
        <f aca="false">Motore_Operativo!CA495</f>
        <v>27835.4371345029</v>
      </c>
      <c r="J495" s="15" t="n">
        <f aca="false">Motore_Operativo!CC495</f>
        <v>-18019.9400584795</v>
      </c>
      <c r="K495" s="15" t="n">
        <f aca="false">Motore_Operativo!CE495</f>
        <v>1666.66666666667</v>
      </c>
      <c r="L495" s="15" t="n">
        <f aca="false">SUM(INDEX($K$485:$K$544,MAX(1,11-Parametri_v3!$C$59+1)):K495)/Parametri_v3!$C$59</f>
        <v>509.259259259259</v>
      </c>
      <c r="M495" s="15" t="n">
        <f aca="false">J495-L495</f>
        <v>-18529.1993177388</v>
      </c>
      <c r="N495" s="15" t="n">
        <f aca="false">CD495-(CD494)</f>
        <v>0</v>
      </c>
      <c r="O495" s="15" t="n">
        <f aca="false">(BG494)*Ipotesi!$C$110/12+CH495*Parametri_v3!$C$39/12</f>
        <v>0</v>
      </c>
      <c r="P495" s="15" t="n">
        <f aca="false">M495+N495-O495</f>
        <v>-18529.1993177388</v>
      </c>
      <c r="Q495" s="15" t="n">
        <f aca="false">SUM(P485:P495)+Parametri_v3!$C$54*11/12</f>
        <v>-205296.192495127</v>
      </c>
      <c r="R495" s="15" t="n">
        <f aca="false">0</f>
        <v>0</v>
      </c>
      <c r="S495" s="15" t="n">
        <f aca="false">0</f>
        <v>0</v>
      </c>
      <c r="T495" s="15" t="n">
        <f aca="false">MIN(R495,MAX(0,Q495))</f>
        <v>0</v>
      </c>
      <c r="U495" s="15" t="n">
        <f aca="false">MIN(S495,MAX(0,Q495-T495)*Parametri_v3!$C$42)</f>
        <v>0</v>
      </c>
      <c r="V495" s="15" t="n">
        <f aca="false">MAX(0,Q495-T495-U495)*Ipotesi!$C$92</f>
        <v>0</v>
      </c>
      <c r="W495" s="15" t="n">
        <f aca="false">MAX(0,SUM(M485:M495)+Parametri_v3!$C$55*11/12)*Ipotesi!$C$93</f>
        <v>0</v>
      </c>
      <c r="X495" s="15" t="n">
        <f aca="false">V495+W495-(V494+W494)</f>
        <v>0</v>
      </c>
      <c r="Y495" s="15" t="n">
        <f aca="false">P495-X495</f>
        <v>-18529.1993177388</v>
      </c>
      <c r="Z495" s="15" t="n">
        <f aca="false">R495-T495+IF(AND(Parametri_v3!$C$40=1,D495-YEAR(Parametri_v3!$C$50)&lt;Parametri_v3!$C$41),MAX(0,-Q495),0)</f>
        <v>205296.192495127</v>
      </c>
      <c r="AA495" s="15" t="n">
        <f aca="false">S495-U495+IF(AND(Parametri_v3!$C$40=1,D495-YEAR(Parametri_v3!$C$50)&lt;Parametri_v3!$C$41),0,MAX(0,-Q495))</f>
        <v>0</v>
      </c>
      <c r="AB495" s="15" t="n">
        <f aca="false">F495*(1+Parametri_v3!$C$26)</f>
        <v>9997.22222222222</v>
      </c>
      <c r="AC495" s="15" t="n">
        <f aca="false">(IF(11-(INT((Motore_Operativo!L495)/30))&lt;1,0,INDEX(Motore_Startup!$AB$485:$AB$544,MAX(1,11-(INT((Motore_Operativo!L495)/30)))))*(1-(MOD((Motore_Operativo!L495),30)/30))+IF(11-(INT((Motore_Operativo!L495)/30))-1&lt;1,0,INDEX(Motore_Startup!$AB$485:$AB$544,MAX(1,11-(INT((Motore_Operativo!L495)/30))-1)))*(MOD((Motore_Operativo!L495),30)/30))</f>
        <v>9658.33333333333</v>
      </c>
      <c r="AD495" s="15" t="n">
        <f aca="false">(AD494)+AB495-AC495</f>
        <v>29652.7777777778</v>
      </c>
      <c r="AE495" s="15" t="n">
        <f aca="false">Motore_Operativo!BH495*(1+Parametri_v3!$C$26)</f>
        <v>1977.68421052632</v>
      </c>
      <c r="AF495" s="15" t="n">
        <f aca="false">(IF(11-(INT((Parametri_v3!$C$29)/30))&lt;1,0,INDEX(Motore_Operativo!$BH$485:$BH$544,MAX(1,11-(INT((Parametri_v3!$C$29)/30)))))*(1-(MOD((Parametri_v3!$C$29),30)/30))+IF(11-(INT((Parametri_v3!$C$29)/30))-1&lt;1,0,INDEX(Motore_Operativo!$BH$485:$BH$544,MAX(1,11-(INT((Parametri_v3!$C$29)/30))-1)))*(MOD((Parametri_v3!$C$29),30)/30))*(1+Parametri_v3!$C$26)</f>
        <v>1977.68421052632</v>
      </c>
      <c r="AG495" s="15" t="n">
        <f aca="false">(AG494)+AE495-AF495</f>
        <v>1977.68421052632</v>
      </c>
      <c r="AH495" s="15" t="n">
        <f aca="false">(Motore_Operativo!CJ495)*(1+Parametri_v3!$C$27*Parametri_v3!$C$26)</f>
        <v>11773.5805453216</v>
      </c>
      <c r="AI495" s="15" t="n">
        <f aca="false">(IF(11-(INT((Ipotesi!$C$91)/30))&lt;1,0,INDEX(Motore_Startup!$AH$485:$AH$544,MAX(1,11-(INT((Ipotesi!$C$91)/30)))))*(1-(MOD((Ipotesi!$C$91),30)/30))+IF(11-(INT((Ipotesi!$C$91)/30))-1&lt;1,0,INDEX(Motore_Startup!$AH$485:$AH$544,MAX(1,11-(INT((Ipotesi!$C$91)/30))-1)))*(MOD((Ipotesi!$C$91),30)/30))</f>
        <v>11742.8064712476</v>
      </c>
      <c r="AJ495" s="15" t="n">
        <f aca="false">(AJ494)+AH495-AI495</f>
        <v>23531.7740536062</v>
      </c>
      <c r="AK495" s="15" t="n">
        <f aca="false">(F495+ Motore_Operativo!BH495-(Motore_Operativo!CJ495)*Parametri_v3!$C$27-Motore_Operativo!CE495)*Parametri_v3!$C$26</f>
        <v>-62.0673874268997</v>
      </c>
      <c r="AL495" s="15" t="n">
        <f aca="false">MAX(0,(AM494))</f>
        <v>0</v>
      </c>
      <c r="AM495" s="15" t="n">
        <f aca="false">(AM494)+AK495-AL495</f>
        <v>-1589.02922465886</v>
      </c>
      <c r="AN495" s="15" t="n">
        <f aca="false">0</f>
        <v>0</v>
      </c>
      <c r="AO495" s="15" t="n">
        <f aca="false">0</f>
        <v>0</v>
      </c>
      <c r="AP495" s="15" t="n">
        <f aca="false">MAX(0,AN495)*IF(11=Parametri_v3!$C$43,Parametri_v3!$C$45,IF(11=Parametri_v3!$C$44,1-Parametri_v3!$C$45,0))</f>
        <v>0</v>
      </c>
      <c r="AQ495" s="15" t="n">
        <f aca="false">MAX(0,AP495+IF(11=Parametri_v3!$C$43,MAX(0,AN495-AO495),0)-MAX(0,-(AR494)))</f>
        <v>0</v>
      </c>
      <c r="AR495" s="15" t="n">
        <f aca="false">(AR494)+X495-AQ495</f>
        <v>0</v>
      </c>
      <c r="AS495" s="15" t="n">
        <f aca="false">Motore_Operativo!AB495-AT495+AU495</f>
        <v>17020.8333333333</v>
      </c>
      <c r="AT495" s="15" t="n">
        <f aca="false">Motore_Operativo!CH495</f>
        <v>895.833333333334</v>
      </c>
      <c r="AU495" s="15" t="n">
        <f aca="false">MIN(MAX(0,(AV494)+AT495),Parametri_v3!$C$60/12)</f>
        <v>0</v>
      </c>
      <c r="AV495" s="15" t="n">
        <f aca="false">(AV494)+AT495-AU495</f>
        <v>9854.16666666667</v>
      </c>
      <c r="AW495" s="15" t="n">
        <f aca="false">IF(AND(Motore_Operativo!C495=Finanziamenti!$D$6,Finanziamenti!$F$6=1),Finanziamenti!$C$6,0)</f>
        <v>0</v>
      </c>
      <c r="AX495" s="15" t="n">
        <f aca="false">IF(AND(9&lt;&gt;7,9&lt;&gt;9,Finanziamenti!$F$8=1,OR(Parametri_v3!$C$6=0,Finanziamenti!$E$8=1),Motore_Operativo!C495=EDATE(Finanziamenti!$D$8,Ipotesi!K15*12)),Finanziamenti!$C$8*1,0)+IF(AND(9&lt;&gt;7,9&lt;&gt;9,Finanziamenti!$F$9=1,OR(Parametri_v3!$C$6=0,Finanziamenti!$E$9=1),Motore_Operativo!C495=EDATE(Finanziamenti!$D$9,Ipotesi!K15*12)),Finanziamenti!$C$9*Ipotesi!K16,0)</f>
        <v>0</v>
      </c>
      <c r="AY495" s="15" t="n">
        <f aca="false">0</f>
        <v>0</v>
      </c>
      <c r="AZ495" s="15" t="n">
        <f aca="false">Motore_Advisory!AY495*(1-Ipotesi!$C$95)*Ipotesi!$C$96</f>
        <v>0</v>
      </c>
      <c r="BA495" s="15" t="n">
        <f aca="false">MAX(0,MIN(CG495*MIN(1,IF(Motore_Operativo!C495&gt;=EDATE(Finanziamenti!$D$15,Ipotesi!K14*12),Finanziamenti!$C$15,0)+IF(Motore_Operativo!C495&gt;=EDATE(Finanziamenti!$D$16,Ipotesi!K14*12),Finanziamenti!$C$16,0)+IF(Motore_Operativo!C495&gt;=EDATE(Finanziamenti!$D$17,Ipotesi!K14*12),Finanziamenti!$C$17,0)),CA495*Ipotesi!$C$102)-(CC494))</f>
        <v>0</v>
      </c>
      <c r="BB495" s="15" t="n">
        <f aca="false">IF(AND(CF495&gt;0,Motore_Operativo!C495&gt;=IF(CF495=0,0,EDATE(CF495,Parametri_v3!$C$37)),MOD(((D495-YEAR(IF(CF495=0,0,EDATE(CF495,Parametri_v3!$C$37))))*12+E495-MONTH(IF(CF495=0,0,EDATE(CF495,Parametri_v3!$C$37)))),Parametri_v3!$C$38)=0),MIN(MAX(0,(BC494)+BA495-N495),(CC495-CD495)/(Ipotesi!$C$108*12/Parametri_v3!$C$38)),0)</f>
        <v>0</v>
      </c>
      <c r="BC495" s="15" t="n">
        <f aca="false">(BC494)+BA495-N495-BB495</f>
        <v>0</v>
      </c>
      <c r="BD495" s="15" t="n">
        <f aca="false">(BH494)+AC495+AF495-AI495-AS495-K495*(1+Parametri_v3!$C$26)-AL495-AQ495-O495+AW495+AX495+AZ495+BA495-BB495</f>
        <v>-90407.5207655945</v>
      </c>
      <c r="BE495" s="15" t="n">
        <f aca="false">MAX(0,MIN(MAX(0,CH495-(BG494)),Parametri_v3!$C$30-BD495))</f>
        <v>0</v>
      </c>
      <c r="BF495" s="15" t="n">
        <f aca="false">IF(Motore_Operativo!C495&gt;=Parametri_v3!$C$63,(BG494),MIN((BG494),MAX(0,BD495-Parametri_v3!$C$30)))</f>
        <v>0</v>
      </c>
      <c r="BG495" s="15" t="n">
        <f aca="false">(BG494)+BE495-BF495</f>
        <v>0</v>
      </c>
      <c r="BH495" s="15" t="n">
        <f aca="false">BD495+BE495-BF495-AY495</f>
        <v>-90407.5207655945</v>
      </c>
      <c r="BI495" s="15" t="n">
        <f aca="false">MAX(0,Parametri_v3!$C$30-BH495)</f>
        <v>115407.520765595</v>
      </c>
      <c r="BJ495" s="15" t="n">
        <f aca="false">(BJ494)+K495</f>
        <v>18333.3333333333</v>
      </c>
      <c r="BK495" s="15" t="n">
        <f aca="false">(BK494)+L495</f>
        <v>3055.55555555556</v>
      </c>
      <c r="BL495" s="15" t="n">
        <f aca="false">BJ495-BK495</f>
        <v>15277.7777777778</v>
      </c>
      <c r="BM495" s="15" t="n">
        <f aca="false">(BM494)+Y495</f>
        <v>-205296.192495127</v>
      </c>
      <c r="BN495" s="15" t="n">
        <f aca="false">(BN494)+AW495+AX495+AZ495</f>
        <v>130000</v>
      </c>
      <c r="BO495" s="15" t="n">
        <f aca="false">(BO494)+AY495</f>
        <v>0</v>
      </c>
      <c r="BP495" s="15" t="n">
        <f aca="false">0</f>
        <v>0</v>
      </c>
      <c r="BQ495" s="15" t="n">
        <f aca="false">BN495+BM495-BO495</f>
        <v>-75296.1924951267</v>
      </c>
      <c r="BR495" s="15" t="n">
        <f aca="false">BH495+AD495+BL495+MAX(0,-AM495)+MAX(0,-AR495)+AG495</f>
        <v>-41910.2517748538</v>
      </c>
      <c r="BS495" s="15" t="n">
        <f aca="false">AJ495+AV495+MAX(0,AM495)+MAX(0,AR495)+BC495+BG495+BQ495</f>
        <v>-41910.2517748538</v>
      </c>
      <c r="BT495" s="15" t="n">
        <f aca="false">BR495-BS495</f>
        <v>0</v>
      </c>
      <c r="BU495" s="15" t="n">
        <f aca="false">BH495-(BD495+BE495-BF495-AY495)</f>
        <v>0</v>
      </c>
      <c r="BV495" s="15" t="n">
        <f aca="false">MIN(Piano_SS!$C$6,(BV494)+IF(AND(Motore_Operativo!C495&gt;=EDATE(Parametri_v3!$C$24,Ipotesi!K14*12),Motore_Operativo!C495&lt;EDATE(Parametri_v3!$C$24,Parametri_v3!$C$25+Ipotesi!K14*12)),MAX(0,(Motore_Operativo!Y495+Motore_Operativo!X495*Parametri_v3!$C$14)*(1-Parametri_v3!$C$32))*Piano_SS!$D$6,0))</f>
        <v>23750</v>
      </c>
      <c r="BW495" s="15" t="n">
        <f aca="false">MIN(Piano_SS!$C$7,(BW494)+IF(AND(Motore_Operativo!C495&gt;=EDATE(Parametri_v3!$C$24,Ipotesi!K14*12),Motore_Operativo!C495&lt;EDATE(Parametri_v3!$C$24,Parametri_v3!$C$25+Ipotesi!K14*12)),MAX(0,(IF(11-(INT((Ipotesi!$C$91)/30))&lt;1,0,INDEX(Motore_Operativo!$BN$485:$BN$544,MAX(1,11-(INT((Ipotesi!$C$91)/30)))))*(1-(MOD((Ipotesi!$C$91),30)/30))+IF(11-(INT((Ipotesi!$C$91)/30))-1&lt;1,0,INDEX(Motore_Operativo!$BN$485:$BN$544,MAX(1,11-(INT((Ipotesi!$C$91)/30))-1)))*(MOD((Ipotesi!$C$91),30)/30)))*Piano_SS!$D$7,0))</f>
        <v>6379.62962962963</v>
      </c>
      <c r="BX495" s="15" t="n">
        <f aca="false">MIN(Piano_SS!$C$8,(BX494)+IF(AND(Motore_Operativo!C495&gt;=EDATE(Parametri_v3!$C$24,Ipotesi!K14*12),Motore_Operativo!C495&lt;EDATE(Parametri_v3!$C$24,Parametri_v3!$C$25+Ipotesi!K14*12)),MAX(0,Motore_Operativo!CE495)*Piano_SS!$D$8,0))</f>
        <v>8333.33333333333</v>
      </c>
      <c r="BY495" s="15" t="n">
        <f aca="false">MIN(Piano_SS!$C$9,(BY494)+IF(AND(Motore_Operativo!C495&gt;=EDATE(Parametri_v3!$C$24,Ipotesi!K14*12),Motore_Operativo!C495&lt;EDATE(Parametri_v3!$C$24,Parametri_v3!$C$25+Ipotesi!K14*12)),MAX(0,((IF(11-(INT((Ipotesi!$C$91)/30))&lt;1,0,INDEX(Motore_Operativo!$BQ$485:$BQ$544,MAX(1,11-(INT((Ipotesi!$C$91)/30)))))*(1-(MOD((Ipotesi!$C$91),30)/30))+IF(11-(INT((Ipotesi!$C$91)/30))-1&lt;1,0,INDEX(Motore_Operativo!$BQ$485:$BQ$544,MAX(1,11-(INT((Ipotesi!$C$91)/30))-1)))*(MOD((Ipotesi!$C$91),30)/30))+(IF(11-(INT((Ipotesi!$C$91)/30))&lt;1,0,INDEX(Motore_Operativo!$BR$485:$BR$544,MAX(1,11-(INT((Ipotesi!$C$91)/30)))))*(1-(MOD((Ipotesi!$C$91),30)/30))+IF(11-(INT((Ipotesi!$C$91)/30))-1&lt;1,0,INDEX(Motore_Operativo!$BR$485:$BR$544,MAX(1,11-(INT((Ipotesi!$C$91)/30))-1)))*(MOD((Ipotesi!$C$91),30)/30))))*Piano_SS!$D$9,0))</f>
        <v>11250</v>
      </c>
      <c r="BZ495" s="15" t="n">
        <f aca="false">MIN(Piano_SS!$C$10,(BZ494)+IF(AND(Motore_Operativo!C495&gt;=EDATE(Parametri_v3!$C$24,Ipotesi!K14*12),Motore_Operativo!C495&lt;EDATE(Parametri_v3!$C$24,Parametri_v3!$C$25+Ipotesi!K14*12)),MAX(0,(IF(11-(INT((Ipotesi!$C$91)/30))&lt;1,0,INDEX(Motore_Operativo!$BO$485:$BO$544,MAX(1,11-(INT((Ipotesi!$C$91)/30)))))*(1-(MOD((Ipotesi!$C$91),30)/30))+IF(11-(INT((Ipotesi!$C$91)/30))-1&lt;1,0,INDEX(Motore_Operativo!$BO$485:$BO$544,MAX(1,11-(INT((Ipotesi!$C$91)/30))-1)))*(MOD((Ipotesi!$C$91),30)/30)))*Piano_SS!$D$10,0))</f>
        <v>5000</v>
      </c>
      <c r="CA495" s="15" t="n">
        <f aca="false">SUM(BV495:BZ495)</f>
        <v>54712.962962963</v>
      </c>
      <c r="CB495" s="15" t="n">
        <f aca="false">BV495*(1-Piano_SS!$E$6)+BW495*(1-Piano_SS!$E$7)+BX495*(1-Piano_SS!$E$8)+BY495*(1-Piano_SS!$E$9)+BZ495*(1-Piano_SS!$E$10)</f>
        <v>49712.962962963</v>
      </c>
      <c r="CC495" s="15" t="n">
        <f aca="false">(CC494)+BA495</f>
        <v>0</v>
      </c>
      <c r="CD495" s="15" t="n">
        <f aca="false">IF(CA495=0,0,CC495*CB495/CA495*Ipotesi!$C$103*Parametri_v3!$C$64)</f>
        <v>0</v>
      </c>
      <c r="CE495" s="18" t="n">
        <f aca="false">IF(BA495&gt;0,Motore_Operativo!C495,(CE494))</f>
        <v>0</v>
      </c>
      <c r="CF495" s="18" t="n">
        <f aca="false">IF(AND(CC495&gt;0,OR(CC495&gt;=CG495-0.01,Motore_Operativo!C495&gt;=EDATE(MAX(Finanziamenti!$D$15:$D$17),Ipotesi!K14*12))),CE495,0)</f>
        <v>0</v>
      </c>
      <c r="CG495" s="15" t="n">
        <f aca="false">IF(AND(9&lt;&gt;6,9&lt;&gt;9,Finanziamenti!$F$11=1,OR(Parametri_v3!$C$6=0,Finanziamenti!$E$11=1)),MIN(Finanziamenti!$C$11,Piano_SS!$C$12*Ipotesi!$C$102),0)</f>
        <v>0</v>
      </c>
      <c r="CH495" s="15" t="n">
        <f aca="false">IF(AND(AND(9&lt;&gt;8,9&lt;&gt;9,Finanziamenti!$F$10=1,OR(Parametri_v3!$C$6=0,Finanziamenti!$E$10=1)),Motore_Operativo!C495&gt;=Finanziamenti!$D$10,Motore_Operativo!C495&lt;Parametri_v3!$C$63),Finanziamenti!$C$10,0)</f>
        <v>0</v>
      </c>
    </row>
    <row r="496" customFormat="false" ht="18" hidden="false" customHeight="true" outlineLevel="0" collapsed="false">
      <c r="A496" s="68" t="n">
        <f aca="false">9</f>
        <v>9</v>
      </c>
      <c r="B496" s="68" t="n">
        <f aca="false">12</f>
        <v>12</v>
      </c>
      <c r="C496" s="18" t="n">
        <f aca="false">Motore_Operativo!C496</f>
        <v>46722</v>
      </c>
      <c r="D496" s="68" t="n">
        <f aca="false">Motore_Operativo!D496</f>
        <v>2027</v>
      </c>
      <c r="E496" s="68" t="n">
        <f aca="false">Motore_Operativo!E496</f>
        <v>12</v>
      </c>
      <c r="F496" s="15" t="n">
        <f aca="false">Motore_Operativo!AQ496+Motore_Operativo!BF496</f>
        <v>8287.03703703704</v>
      </c>
      <c r="G496" s="15" t="n">
        <f aca="false">Motore_Operativo!BH496</f>
        <v>1621.05263157895</v>
      </c>
      <c r="H496" s="15" t="n">
        <f aca="false">Motore_Operativo!BI496</f>
        <v>9908.08966861599</v>
      </c>
      <c r="I496" s="15" t="n">
        <f aca="false">Motore_Operativo!CA496</f>
        <v>27848.4000974659</v>
      </c>
      <c r="J496" s="15" t="n">
        <f aca="false">Motore_Operativo!CC496</f>
        <v>-17940.3104288499</v>
      </c>
      <c r="K496" s="15" t="n">
        <f aca="false">Motore_Operativo!CE496</f>
        <v>1666.66666666667</v>
      </c>
      <c r="L496" s="15" t="n">
        <f aca="false">SUM(INDEX($K$485:$K$544,MAX(1,12-Parametri_v3!$C$59+1)):K496)/Parametri_v3!$C$59</f>
        <v>555.555555555556</v>
      </c>
      <c r="M496" s="15" t="n">
        <f aca="false">J496-L496</f>
        <v>-18495.8659844055</v>
      </c>
      <c r="N496" s="15" t="n">
        <f aca="false">CD496-(CD495)</f>
        <v>0</v>
      </c>
      <c r="O496" s="15" t="n">
        <f aca="false">(BG495)*Ipotesi!$C$110/12+CH496*Parametri_v3!$C$39/12</f>
        <v>0</v>
      </c>
      <c r="P496" s="15" t="n">
        <f aca="false">M496+N496-O496</f>
        <v>-18495.8659844055</v>
      </c>
      <c r="Q496" s="15" t="n">
        <f aca="false">SUM(P485:P496)+Parametri_v3!$C$54*12/12</f>
        <v>-223792.058479532</v>
      </c>
      <c r="R496" s="15" t="n">
        <f aca="false">0</f>
        <v>0</v>
      </c>
      <c r="S496" s="15" t="n">
        <f aca="false">0</f>
        <v>0</v>
      </c>
      <c r="T496" s="15" t="n">
        <f aca="false">MIN(R496,MAX(0,Q496))</f>
        <v>0</v>
      </c>
      <c r="U496" s="15" t="n">
        <f aca="false">MIN(S496,MAX(0,Q496-T496)*Parametri_v3!$C$42)</f>
        <v>0</v>
      </c>
      <c r="V496" s="15" t="n">
        <f aca="false">MAX(0,Q496-T496-U496)*Ipotesi!$C$92</f>
        <v>0</v>
      </c>
      <c r="W496" s="15" t="n">
        <f aca="false">MAX(0,SUM(M485:M496)+Parametri_v3!$C$55*12/12)*Ipotesi!$C$93</f>
        <v>0</v>
      </c>
      <c r="X496" s="15" t="n">
        <f aca="false">V496+W496-(V495+W495)</f>
        <v>0</v>
      </c>
      <c r="Y496" s="15" t="n">
        <f aca="false">P496-X496</f>
        <v>-18495.8659844055</v>
      </c>
      <c r="Z496" s="15" t="n">
        <f aca="false">R496-T496+IF(AND(Parametri_v3!$C$40=1,D496-YEAR(Parametri_v3!$C$50)&lt;Parametri_v3!$C$41),MAX(0,-Q496),0)</f>
        <v>223792.058479532</v>
      </c>
      <c r="AA496" s="15" t="n">
        <f aca="false">S496-U496+IF(AND(Parametri_v3!$C$40=1,D496-YEAR(Parametri_v3!$C$50)&lt;Parametri_v3!$C$41),0,MAX(0,-Q496))</f>
        <v>0</v>
      </c>
      <c r="AB496" s="15" t="n">
        <f aca="false">F496*(1+Parametri_v3!$C$26)</f>
        <v>10110.1851851852</v>
      </c>
      <c r="AC496" s="15" t="n">
        <f aca="false">(IF(12-(INT((Motore_Operativo!L496)/30))&lt;1,0,INDEX(Motore_Startup!$AB$485:$AB$544,MAX(1,12-(INT((Motore_Operativo!L496)/30)))))*(1-(MOD((Motore_Operativo!L496),30)/30))+IF(12-(INT((Motore_Operativo!L496)/30))-1&lt;1,0,INDEX(Motore_Startup!$AB$485:$AB$544,MAX(1,12-(INT((Motore_Operativo!L496)/30))-1)))*(MOD((Motore_Operativo!L496),30)/30))</f>
        <v>9771.2962962963</v>
      </c>
      <c r="AD496" s="15" t="n">
        <f aca="false">(AD495)+AB496-AC496</f>
        <v>29991.6666666667</v>
      </c>
      <c r="AE496" s="15" t="n">
        <f aca="false">Motore_Operativo!BH496*(1+Parametri_v3!$C$26)</f>
        <v>1977.68421052632</v>
      </c>
      <c r="AF496" s="15" t="n">
        <f aca="false">(IF(12-(INT((Parametri_v3!$C$29)/30))&lt;1,0,INDEX(Motore_Operativo!$BH$485:$BH$544,MAX(1,12-(INT((Parametri_v3!$C$29)/30)))))*(1-(MOD((Parametri_v3!$C$29),30)/30))+IF(12-(INT((Parametri_v3!$C$29)/30))-1&lt;1,0,INDEX(Motore_Operativo!$BH$485:$BH$544,MAX(1,12-(INT((Parametri_v3!$C$29)/30))-1)))*(MOD((Parametri_v3!$C$29),30)/30))*(1+Parametri_v3!$C$26)</f>
        <v>1977.68421052632</v>
      </c>
      <c r="AG496" s="15" t="n">
        <f aca="false">(AG495)+AE496-AF496</f>
        <v>1977.68421052632</v>
      </c>
      <c r="AH496" s="15" t="n">
        <f aca="false">(Motore_Operativo!CJ496)*(1+Parametri_v3!$C$27*Parametri_v3!$C$26)</f>
        <v>11788.9675823587</v>
      </c>
      <c r="AI496" s="15" t="n">
        <f aca="false">(IF(12-(INT((Ipotesi!$C$91)/30))&lt;1,0,INDEX(Motore_Startup!$AH$485:$AH$544,MAX(1,12-(INT((Ipotesi!$C$91)/30)))))*(1-(MOD((Ipotesi!$C$91),30)/30))+IF(12-(INT((Ipotesi!$C$91)/30))-1&lt;1,0,INDEX(Motore_Startup!$AH$485:$AH$544,MAX(1,12-(INT((Ipotesi!$C$91)/30))-1)))*(MOD((Ipotesi!$C$91),30)/30))</f>
        <v>11758.1935082846</v>
      </c>
      <c r="AJ496" s="15" t="n">
        <f aca="false">(AJ495)+AH496-AI496</f>
        <v>23562.5481276803</v>
      </c>
      <c r="AK496" s="15" t="n">
        <f aca="false">(F496+ Motore_Operativo!BH496-(Motore_Operativo!CJ496)*Parametri_v3!$C$27-Motore_Operativo!CE496)*Parametri_v3!$C$26</f>
        <v>-44.1210911306033</v>
      </c>
      <c r="AL496" s="15" t="n">
        <f aca="false">MAX(0,(AM495))</f>
        <v>0</v>
      </c>
      <c r="AM496" s="15" t="n">
        <f aca="false">(AM495)+AK496-AL496</f>
        <v>-1633.15031578947</v>
      </c>
      <c r="AN496" s="15" t="n">
        <f aca="false">0</f>
        <v>0</v>
      </c>
      <c r="AO496" s="15" t="n">
        <f aca="false">0</f>
        <v>0</v>
      </c>
      <c r="AP496" s="15" t="n">
        <f aca="false">MAX(0,AN496)*IF(12=Parametri_v3!$C$43,Parametri_v3!$C$45,IF(12=Parametri_v3!$C$44,1-Parametri_v3!$C$45,0))</f>
        <v>0</v>
      </c>
      <c r="AQ496" s="15" t="n">
        <f aca="false">MAX(0,AP496+IF(12=Parametri_v3!$C$43,MAX(0,AN496-AO496),0)-MAX(0,-(AR495)))</f>
        <v>0</v>
      </c>
      <c r="AR496" s="15" t="n">
        <f aca="false">(AR495)+X496-AQ496</f>
        <v>0</v>
      </c>
      <c r="AS496" s="15" t="n">
        <f aca="false">Motore_Operativo!AB496-AT496+AU496</f>
        <v>17020.8333333333</v>
      </c>
      <c r="AT496" s="15" t="n">
        <f aca="false">Motore_Operativo!CH496</f>
        <v>895.833333333334</v>
      </c>
      <c r="AU496" s="15" t="n">
        <f aca="false">MIN(MAX(0,(AV495)+AT496),Parametri_v3!$C$60/12)</f>
        <v>0</v>
      </c>
      <c r="AV496" s="15" t="n">
        <f aca="false">(AV495)+AT496-AU496</f>
        <v>10750</v>
      </c>
      <c r="AW496" s="15" t="n">
        <f aca="false">IF(AND(Motore_Operativo!C496=Finanziamenti!$D$6,Finanziamenti!$F$6=1),Finanziamenti!$C$6,0)</f>
        <v>0</v>
      </c>
      <c r="AX496" s="15" t="n">
        <f aca="false">IF(AND(9&lt;&gt;7,9&lt;&gt;9,Finanziamenti!$F$8=1,OR(Parametri_v3!$C$6=0,Finanziamenti!$E$8=1),Motore_Operativo!C496=EDATE(Finanziamenti!$D$8,Ipotesi!K15*12)),Finanziamenti!$C$8*1,0)+IF(AND(9&lt;&gt;7,9&lt;&gt;9,Finanziamenti!$F$9=1,OR(Parametri_v3!$C$6=0,Finanziamenti!$E$9=1),Motore_Operativo!C496=EDATE(Finanziamenti!$D$9,Ipotesi!K15*12)),Finanziamenti!$C$9*Ipotesi!K16,0)</f>
        <v>0</v>
      </c>
      <c r="AY496" s="15" t="n">
        <f aca="false">0</f>
        <v>0</v>
      </c>
      <c r="AZ496" s="15" t="n">
        <f aca="false">Motore_Advisory!AY496*(1-Ipotesi!$C$95)*Ipotesi!$C$96</f>
        <v>0</v>
      </c>
      <c r="BA496" s="15" t="n">
        <f aca="false">MAX(0,MIN(CG496*MIN(1,IF(Motore_Operativo!C496&gt;=EDATE(Finanziamenti!$D$15,Ipotesi!K14*12),Finanziamenti!$C$15,0)+IF(Motore_Operativo!C496&gt;=EDATE(Finanziamenti!$D$16,Ipotesi!K14*12),Finanziamenti!$C$16,0)+IF(Motore_Operativo!C496&gt;=EDATE(Finanziamenti!$D$17,Ipotesi!K14*12),Finanziamenti!$C$17,0)),CA496*Ipotesi!$C$102)-(CC495))</f>
        <v>0</v>
      </c>
      <c r="BB496" s="15" t="n">
        <f aca="false">IF(AND(CF496&gt;0,Motore_Operativo!C496&gt;=IF(CF496=0,0,EDATE(CF496,Parametri_v3!$C$37)),MOD(((D496-YEAR(IF(CF496=0,0,EDATE(CF496,Parametri_v3!$C$37))))*12+E496-MONTH(IF(CF496=0,0,EDATE(CF496,Parametri_v3!$C$37)))),Parametri_v3!$C$38)=0),MIN(MAX(0,(BC495)+BA496-N496),(CC496-CD496)/(Ipotesi!$C$108*12/Parametri_v3!$C$38)),0)</f>
        <v>0</v>
      </c>
      <c r="BC496" s="15" t="n">
        <f aca="false">(BC495)+BA496-N496-BB496</f>
        <v>0</v>
      </c>
      <c r="BD496" s="15" t="n">
        <f aca="false">(BH495)+AC496+AF496-AI496-AS496-K496*(1+Parametri_v3!$C$26)-AL496-AQ496-O496+AW496+AX496+AZ496+BA496-BB496</f>
        <v>-109470.900433723</v>
      </c>
      <c r="BE496" s="15" t="n">
        <f aca="false">MAX(0,MIN(MAX(0,CH496-(BG495)),Parametri_v3!$C$30-BD496))</f>
        <v>0</v>
      </c>
      <c r="BF496" s="15" t="n">
        <f aca="false">IF(Motore_Operativo!C496&gt;=Parametri_v3!$C$63,(BG495),MIN((BG495),MAX(0,BD496-Parametri_v3!$C$30)))</f>
        <v>0</v>
      </c>
      <c r="BG496" s="15" t="n">
        <f aca="false">(BG495)+BE496-BF496</f>
        <v>0</v>
      </c>
      <c r="BH496" s="15" t="n">
        <f aca="false">BD496+BE496-BF496-AY496</f>
        <v>-109470.900433723</v>
      </c>
      <c r="BI496" s="15" t="n">
        <f aca="false">MAX(0,Parametri_v3!$C$30-BH496)</f>
        <v>134470.900433723</v>
      </c>
      <c r="BJ496" s="15" t="n">
        <f aca="false">(BJ495)+K496</f>
        <v>20000</v>
      </c>
      <c r="BK496" s="15" t="n">
        <f aca="false">(BK495)+L496</f>
        <v>3611.11111111111</v>
      </c>
      <c r="BL496" s="15" t="n">
        <f aca="false">BJ496-BK496</f>
        <v>16388.8888888889</v>
      </c>
      <c r="BM496" s="15" t="n">
        <f aca="false">(BM495)+Y496</f>
        <v>-223792.058479532</v>
      </c>
      <c r="BN496" s="15" t="n">
        <f aca="false">(BN495)+AW496+AX496+AZ496</f>
        <v>130000</v>
      </c>
      <c r="BO496" s="15" t="n">
        <f aca="false">(BO495)+AY496</f>
        <v>0</v>
      </c>
      <c r="BP496" s="15" t="n">
        <f aca="false">0</f>
        <v>0</v>
      </c>
      <c r="BQ496" s="15" t="n">
        <f aca="false">BN496+BM496-BO496</f>
        <v>-93792.0584795321</v>
      </c>
      <c r="BR496" s="15" t="n">
        <f aca="false">BH496+AD496+BL496+MAX(0,-AM496)+MAX(0,-AR496)+AG496</f>
        <v>-59479.5103518518</v>
      </c>
      <c r="BS496" s="15" t="n">
        <f aca="false">AJ496+AV496+MAX(0,AM496)+MAX(0,AR496)+BC496+BG496+BQ496</f>
        <v>-59479.5103518518</v>
      </c>
      <c r="BT496" s="15" t="n">
        <f aca="false">BR496-BS496</f>
        <v>0</v>
      </c>
      <c r="BU496" s="15" t="n">
        <f aca="false">BH496-(BD496+BE496-BF496-AY496)</f>
        <v>0</v>
      </c>
      <c r="BV496" s="15" t="n">
        <f aca="false">MIN(Piano_SS!$C$6,(BV495)+IF(AND(Motore_Operativo!C496&gt;=EDATE(Parametri_v3!$C$24,Ipotesi!K14*12),Motore_Operativo!C496&lt;EDATE(Parametri_v3!$C$24,Parametri_v3!$C$25+Ipotesi!K14*12)),MAX(0,(Motore_Operativo!Y496+Motore_Operativo!X496*Parametri_v3!$C$14)*(1-Parametri_v3!$C$32))*Piano_SS!$D$6,0))</f>
        <v>28500</v>
      </c>
      <c r="BW496" s="15" t="n">
        <f aca="false">MIN(Piano_SS!$C$7,(BW495)+IF(AND(Motore_Operativo!C496&gt;=EDATE(Parametri_v3!$C$24,Ipotesi!K14*12),Motore_Operativo!C496&lt;EDATE(Parametri_v3!$C$24,Parametri_v3!$C$25+Ipotesi!K14*12)),MAX(0,(IF(12-(INT((Ipotesi!$C$91)/30))&lt;1,0,INDEX(Motore_Operativo!$BN$485:$BN$544,MAX(1,12-(INT((Ipotesi!$C$91)/30)))))*(1-(MOD((Ipotesi!$C$91),30)/30))+IF(12-(INT((Ipotesi!$C$91)/30))-1&lt;1,0,INDEX(Motore_Operativo!$BN$485:$BN$544,MAX(1,12-(INT((Ipotesi!$C$91)/30))-1)))*(MOD((Ipotesi!$C$91),30)/30)))*Piano_SS!$D$7,0))</f>
        <v>7677.77777777778</v>
      </c>
      <c r="BX496" s="15" t="n">
        <f aca="false">MIN(Piano_SS!$C$8,(BX495)+IF(AND(Motore_Operativo!C496&gt;=EDATE(Parametri_v3!$C$24,Ipotesi!K14*12),Motore_Operativo!C496&lt;EDATE(Parametri_v3!$C$24,Parametri_v3!$C$25+Ipotesi!K14*12)),MAX(0,Motore_Operativo!CE496)*Piano_SS!$D$8,0))</f>
        <v>10000</v>
      </c>
      <c r="BY496" s="15" t="n">
        <f aca="false">MIN(Piano_SS!$C$9,(BY495)+IF(AND(Motore_Operativo!C496&gt;=EDATE(Parametri_v3!$C$24,Ipotesi!K14*12),Motore_Operativo!C496&lt;EDATE(Parametri_v3!$C$24,Parametri_v3!$C$25+Ipotesi!K14*12)),MAX(0,((IF(12-(INT((Ipotesi!$C$91)/30))&lt;1,0,INDEX(Motore_Operativo!$BQ$485:$BQ$544,MAX(1,12-(INT((Ipotesi!$C$91)/30)))))*(1-(MOD((Ipotesi!$C$91),30)/30))+IF(12-(INT((Ipotesi!$C$91)/30))-1&lt;1,0,INDEX(Motore_Operativo!$BQ$485:$BQ$544,MAX(1,12-(INT((Ipotesi!$C$91)/30))-1)))*(MOD((Ipotesi!$C$91),30)/30))+(IF(12-(INT((Ipotesi!$C$91)/30))&lt;1,0,INDEX(Motore_Operativo!$BR$485:$BR$544,MAX(1,12-(INT((Ipotesi!$C$91)/30)))))*(1-(MOD((Ipotesi!$C$91),30)/30))+IF(12-(INT((Ipotesi!$C$91)/30))-1&lt;1,0,INDEX(Motore_Operativo!$BR$485:$BR$544,MAX(1,12-(INT((Ipotesi!$C$91)/30))-1)))*(MOD((Ipotesi!$C$91),30)/30))))*Piano_SS!$D$9,0))</f>
        <v>13500</v>
      </c>
      <c r="BZ496" s="15" t="n">
        <f aca="false">MIN(Piano_SS!$C$10,(BZ495)+IF(AND(Motore_Operativo!C496&gt;=EDATE(Parametri_v3!$C$24,Ipotesi!K14*12),Motore_Operativo!C496&lt;EDATE(Parametri_v3!$C$24,Parametri_v3!$C$25+Ipotesi!K14*12)),MAX(0,(IF(12-(INT((Ipotesi!$C$91)/30))&lt;1,0,INDEX(Motore_Operativo!$BO$485:$BO$544,MAX(1,12-(INT((Ipotesi!$C$91)/30)))))*(1-(MOD((Ipotesi!$C$91),30)/30))+IF(12-(INT((Ipotesi!$C$91)/30))-1&lt;1,0,INDEX(Motore_Operativo!$BO$485:$BO$544,MAX(1,12-(INT((Ipotesi!$C$91)/30))-1)))*(MOD((Ipotesi!$C$91),30)/30)))*Piano_SS!$D$10,0))</f>
        <v>6000</v>
      </c>
      <c r="CA496" s="15" t="n">
        <f aca="false">SUM(BV496:BZ496)</f>
        <v>65677.7777777778</v>
      </c>
      <c r="CB496" s="15" t="n">
        <f aca="false">BV496*(1-Piano_SS!$E$6)+BW496*(1-Piano_SS!$E$7)+BX496*(1-Piano_SS!$E$8)+BY496*(1-Piano_SS!$E$9)+BZ496*(1-Piano_SS!$E$10)</f>
        <v>59677.7777777778</v>
      </c>
      <c r="CC496" s="15" t="n">
        <f aca="false">(CC495)+BA496</f>
        <v>0</v>
      </c>
      <c r="CD496" s="15" t="n">
        <f aca="false">IF(CA496=0,0,CC496*CB496/CA496*Ipotesi!$C$103*Parametri_v3!$C$64)</f>
        <v>0</v>
      </c>
      <c r="CE496" s="18" t="n">
        <f aca="false">IF(BA496&gt;0,Motore_Operativo!C496,(CE495))</f>
        <v>0</v>
      </c>
      <c r="CF496" s="18" t="n">
        <f aca="false">IF(AND(CC496&gt;0,OR(CC496&gt;=CG496-0.01,Motore_Operativo!C496&gt;=EDATE(MAX(Finanziamenti!$D$15:$D$17),Ipotesi!K14*12))),CE496,0)</f>
        <v>0</v>
      </c>
      <c r="CG496" s="15" t="n">
        <f aca="false">IF(AND(9&lt;&gt;6,9&lt;&gt;9,Finanziamenti!$F$11=1,OR(Parametri_v3!$C$6=0,Finanziamenti!$E$11=1)),MIN(Finanziamenti!$C$11,Piano_SS!$C$12*Ipotesi!$C$102),0)</f>
        <v>0</v>
      </c>
      <c r="CH496" s="15" t="n">
        <f aca="false">IF(AND(AND(9&lt;&gt;8,9&lt;&gt;9,Finanziamenti!$F$10=1,OR(Parametri_v3!$C$6=0,Finanziamenti!$E$10=1)),Motore_Operativo!C496&gt;=Finanziamenti!$D$10,Motore_Operativo!C496&lt;Parametri_v3!$C$63),Finanziamenti!$C$10,0)</f>
        <v>0</v>
      </c>
    </row>
    <row r="497" customFormat="false" ht="18" hidden="false" customHeight="true" outlineLevel="0" collapsed="false">
      <c r="A497" s="68" t="n">
        <f aca="false">9</f>
        <v>9</v>
      </c>
      <c r="B497" s="68" t="n">
        <f aca="false">13</f>
        <v>13</v>
      </c>
      <c r="C497" s="18" t="n">
        <f aca="false">Motore_Operativo!C497</f>
        <v>46753</v>
      </c>
      <c r="D497" s="68" t="n">
        <f aca="false">Motore_Operativo!D497</f>
        <v>2028</v>
      </c>
      <c r="E497" s="68" t="n">
        <f aca="false">Motore_Operativo!E497</f>
        <v>1</v>
      </c>
      <c r="F497" s="15" t="n">
        <f aca="false">Motore_Operativo!AQ497+Motore_Operativo!BF497</f>
        <v>23223.0393982785</v>
      </c>
      <c r="G497" s="15" t="n">
        <f aca="false">Motore_Operativo!BH497</f>
        <v>3398.1220657277</v>
      </c>
      <c r="H497" s="15" t="n">
        <f aca="false">Motore_Operativo!BI497</f>
        <v>26621.1614640062</v>
      </c>
      <c r="I497" s="15" t="n">
        <f aca="false">Motore_Operativo!CA497</f>
        <v>56964.0025110642</v>
      </c>
      <c r="J497" s="15" t="n">
        <f aca="false">Motore_Operativo!CC497</f>
        <v>-30342.841047058</v>
      </c>
      <c r="K497" s="15" t="n">
        <f aca="false">Motore_Operativo!CE497</f>
        <v>2083.33333333333</v>
      </c>
      <c r="L497" s="15" t="n">
        <f aca="false">SUM(INDEX($K$485:$K$544,MAX(1,13-Parametri_v3!$C$59+1)):K497)/Parametri_v3!$C$59</f>
        <v>613.425925925926</v>
      </c>
      <c r="M497" s="15" t="n">
        <f aca="false">J497-L497</f>
        <v>-30956.2669729839</v>
      </c>
      <c r="N497" s="15" t="n">
        <f aca="false">CD497-(CD496)</f>
        <v>0</v>
      </c>
      <c r="O497" s="15" t="n">
        <f aca="false">(BG496)*Ipotesi!$C$110/12+CH497*Parametri_v3!$C$39/12</f>
        <v>0</v>
      </c>
      <c r="P497" s="15" t="n">
        <f aca="false">M497+N497-O497</f>
        <v>-30956.2669729839</v>
      </c>
      <c r="Q497" s="15" t="n">
        <f aca="false">SUM(P497)+Parametri_v3!$C$54*1/12</f>
        <v>-30956.2669729839</v>
      </c>
      <c r="R497" s="15" t="n">
        <f aca="false">Z496</f>
        <v>223792.058479532</v>
      </c>
      <c r="S497" s="15" t="n">
        <f aca="false">AA496</f>
        <v>0</v>
      </c>
      <c r="T497" s="15" t="n">
        <f aca="false">MIN(R497,MAX(0,Q497))</f>
        <v>0</v>
      </c>
      <c r="U497" s="15" t="n">
        <f aca="false">MIN(S497,MAX(0,Q497-T497)*Parametri_v3!$C$42)</f>
        <v>0</v>
      </c>
      <c r="V497" s="15" t="n">
        <f aca="false">MAX(0,Q497-T497-U497)*Ipotesi!$C$92</f>
        <v>0</v>
      </c>
      <c r="W497" s="15" t="n">
        <f aca="false">MAX(0,SUM(M497)+Parametri_v3!$C$55*1/12)*Ipotesi!$C$93</f>
        <v>0</v>
      </c>
      <c r="X497" s="15" t="n">
        <f aca="false">V497+W497-(0)</f>
        <v>0</v>
      </c>
      <c r="Y497" s="15" t="n">
        <f aca="false">P497-X497</f>
        <v>-30956.2669729839</v>
      </c>
      <c r="Z497" s="15" t="n">
        <f aca="false">R497-T497+IF(AND(Parametri_v3!$C$40=1,D497-YEAR(Parametri_v3!$C$50)&lt;Parametri_v3!$C$41),MAX(0,-Q497),0)</f>
        <v>254748.325452516</v>
      </c>
      <c r="AA497" s="15" t="n">
        <f aca="false">S497-U497+IF(AND(Parametri_v3!$C$40=1,D497-YEAR(Parametri_v3!$C$50)&lt;Parametri_v3!$C$41),0,MAX(0,-Q497))</f>
        <v>0</v>
      </c>
      <c r="AB497" s="15" t="n">
        <f aca="false">F497*(1+Parametri_v3!$C$26)</f>
        <v>28332.1080658998</v>
      </c>
      <c r="AC497" s="15" t="n">
        <f aca="false">(IF(13-(INT((Motore_Operativo!L497)/30))&lt;1,0,INDEX(Motore_Startup!$AB$485:$AB$544,MAX(1,13-(INT((Motore_Operativo!L497)/30)))))*(1-(MOD((Motore_Operativo!L497),30)/30))+IF(13-(INT((Motore_Operativo!L497)/30))-1&lt;1,0,INDEX(Motore_Startup!$AB$485:$AB$544,MAX(1,13-(INT((Motore_Operativo!L497)/30))-1)))*(MOD((Motore_Operativo!L497),30)/30))</f>
        <v>9884.25925925926</v>
      </c>
      <c r="AD497" s="15" t="n">
        <f aca="false">(AD496)+AB497-AC497</f>
        <v>48439.5154733072</v>
      </c>
      <c r="AE497" s="15" t="n">
        <f aca="false">Motore_Operativo!BH497*(1+Parametri_v3!$C$26)</f>
        <v>4145.70892018779</v>
      </c>
      <c r="AF497" s="15" t="n">
        <f aca="false">(IF(13-(INT((Parametri_v3!$C$29)/30))&lt;1,0,INDEX(Motore_Operativo!$BH$485:$BH$544,MAX(1,13-(INT((Parametri_v3!$C$29)/30)))))*(1-(MOD((Parametri_v3!$C$29),30)/30))+IF(13-(INT((Parametri_v3!$C$29)/30))-1&lt;1,0,INDEX(Motore_Operativo!$BH$485:$BH$544,MAX(1,13-(INT((Parametri_v3!$C$29)/30))-1)))*(MOD((Parametri_v3!$C$29),30)/30))*(1+Parametri_v3!$C$26)</f>
        <v>1977.68421052632</v>
      </c>
      <c r="AG497" s="15" t="n">
        <f aca="false">(AG496)+AE497-AF497</f>
        <v>4145.70892018779</v>
      </c>
      <c r="AH497" s="15" t="n">
        <f aca="false">(Motore_Operativo!CJ497)*(1+Parametri_v3!$C$27*Parametri_v3!$C$26)</f>
        <v>20418.1834806332</v>
      </c>
      <c r="AI497" s="15" t="n">
        <f aca="false">(IF(13-(INT((Ipotesi!$C$91)/30))&lt;1,0,INDEX(Motore_Startup!$AH$485:$AH$544,MAX(1,13-(INT((Ipotesi!$C$91)/30)))))*(1-(MOD((Ipotesi!$C$91),30)/30))+IF(13-(INT((Ipotesi!$C$91)/30))-1&lt;1,0,INDEX(Motore_Startup!$AH$485:$AH$544,MAX(1,13-(INT((Ipotesi!$C$91)/30))-1)))*(MOD((Ipotesi!$C$91),30)/30))</f>
        <v>11773.5805453216</v>
      </c>
      <c r="AJ497" s="15" t="n">
        <f aca="false">(AJ496)+AH497-AI497</f>
        <v>32207.1510629918</v>
      </c>
      <c r="AK497" s="15" t="n">
        <f aca="false">(F497+ Motore_Operativo!BH497-(Motore_Operativo!CJ497)*Parametri_v3!$C$27-Motore_Operativo!CE497)*Parametri_v3!$C$26</f>
        <v>2181.64121917903</v>
      </c>
      <c r="AL497" s="15" t="n">
        <f aca="false">MAX(0,(AM496))</f>
        <v>0</v>
      </c>
      <c r="AM497" s="15" t="n">
        <f aca="false">(AM496)+AK497-AL497</f>
        <v>548.490903389566</v>
      </c>
      <c r="AN497" s="15" t="n">
        <f aca="false">SUM(X485:X496)</f>
        <v>0</v>
      </c>
      <c r="AO497" s="15" t="n">
        <f aca="false">SUM(AP485:AP496)</f>
        <v>0</v>
      </c>
      <c r="AP497" s="15" t="n">
        <f aca="false">MAX(0,AN497)*IF(1=Parametri_v3!$C$43,Parametri_v3!$C$45,IF(1=Parametri_v3!$C$44,1-Parametri_v3!$C$45,0))</f>
        <v>0</v>
      </c>
      <c r="AQ497" s="15" t="n">
        <f aca="false">MAX(0,AP497+IF(1=Parametri_v3!$C$43,MAX(0,AN497-AO497),0)-MAX(0,-(AR496)))</f>
        <v>0</v>
      </c>
      <c r="AR497" s="15" t="n">
        <f aca="false">(AR496)+X497-AQ497</f>
        <v>0</v>
      </c>
      <c r="AS497" s="15" t="n">
        <f aca="false">Motore_Operativo!AB497-AT497+AU497</f>
        <v>37774.375</v>
      </c>
      <c r="AT497" s="15" t="n">
        <f aca="false">Motore_Operativo!CH497</f>
        <v>1988.125</v>
      </c>
      <c r="AU497" s="15" t="n">
        <f aca="false">MIN(MAX(0,(AV496)+AT497),Parametri_v3!$C$60/12)</f>
        <v>0</v>
      </c>
      <c r="AV497" s="15" t="n">
        <f aca="false">(AV496)+AT497-AU497</f>
        <v>12738.125</v>
      </c>
      <c r="AW497" s="15" t="n">
        <f aca="false">IF(AND(Motore_Operativo!C497=Finanziamenti!$D$6,Finanziamenti!$F$6=1),Finanziamenti!$C$6,0)</f>
        <v>0</v>
      </c>
      <c r="AX497" s="15" t="n">
        <f aca="false">IF(AND(9&lt;&gt;7,9&lt;&gt;9,Finanziamenti!$F$8=1,OR(Parametri_v3!$C$6=0,Finanziamenti!$E$8=1),Motore_Operativo!C497=EDATE(Finanziamenti!$D$8,Ipotesi!K15*12)),Finanziamenti!$C$8*1,0)+IF(AND(9&lt;&gt;7,9&lt;&gt;9,Finanziamenti!$F$9=1,OR(Parametri_v3!$C$6=0,Finanziamenti!$E$9=1),Motore_Operativo!C497=EDATE(Finanziamenti!$D$9,Ipotesi!K15*12)),Finanziamenti!$C$9*Ipotesi!K16,0)</f>
        <v>0</v>
      </c>
      <c r="AY497" s="15" t="n">
        <f aca="false">0</f>
        <v>0</v>
      </c>
      <c r="AZ497" s="15" t="n">
        <f aca="false">Motore_Advisory!AY497*(1-Ipotesi!$C$95)*Ipotesi!$C$96</f>
        <v>0</v>
      </c>
      <c r="BA497" s="15" t="n">
        <f aca="false">MAX(0,MIN(CG497*MIN(1,IF(Motore_Operativo!C497&gt;=EDATE(Finanziamenti!$D$15,Ipotesi!K14*12),Finanziamenti!$C$15,0)+IF(Motore_Operativo!C497&gt;=EDATE(Finanziamenti!$D$16,Ipotesi!K14*12),Finanziamenti!$C$16,0)+IF(Motore_Operativo!C497&gt;=EDATE(Finanziamenti!$D$17,Ipotesi!K14*12),Finanziamenti!$C$17,0)),CA497*Ipotesi!$C$102)-(CC496))</f>
        <v>0</v>
      </c>
      <c r="BB497" s="15" t="n">
        <f aca="false">IF(AND(CF497&gt;0,Motore_Operativo!C497&gt;=IF(CF497=0,0,EDATE(CF497,Parametri_v3!$C$37)),MOD(((D497-YEAR(IF(CF497=0,0,EDATE(CF497,Parametri_v3!$C$37))))*12+E497-MONTH(IF(CF497=0,0,EDATE(CF497,Parametri_v3!$C$37)))),Parametri_v3!$C$38)=0),MIN(MAX(0,(BC496)+BA497-N497),(CC497-CD497)/(Ipotesi!$C$108*12/Parametri_v3!$C$38)),0)</f>
        <v>0</v>
      </c>
      <c r="BC497" s="15" t="n">
        <f aca="false">(BC496)+BA497-N497-BB497</f>
        <v>0</v>
      </c>
      <c r="BD497" s="15" t="n">
        <f aca="false">(BH496)+AC497+AF497-AI497-AS497-K497*(1+Parametri_v3!$C$26)-AL497-AQ497-O497+AW497+AX497+AZ497+BA497-BB497</f>
        <v>-149698.579175926</v>
      </c>
      <c r="BE497" s="15" t="n">
        <f aca="false">MAX(0,MIN(MAX(0,CH497-(BG496)),Parametri_v3!$C$30-BD497))</f>
        <v>0</v>
      </c>
      <c r="BF497" s="15" t="n">
        <f aca="false">IF(Motore_Operativo!C497&gt;=Parametri_v3!$C$63,(BG496),MIN((BG496),MAX(0,BD497-Parametri_v3!$C$30)))</f>
        <v>0</v>
      </c>
      <c r="BG497" s="15" t="n">
        <f aca="false">(BG496)+BE497-BF497</f>
        <v>0</v>
      </c>
      <c r="BH497" s="15" t="n">
        <f aca="false">BD497+BE497-BF497-AY497</f>
        <v>-149698.579175926</v>
      </c>
      <c r="BI497" s="15" t="n">
        <f aca="false">MAX(0,Parametri_v3!$C$30-BH497)</f>
        <v>174698.579175926</v>
      </c>
      <c r="BJ497" s="15" t="n">
        <f aca="false">(BJ496)+K497</f>
        <v>22083.3333333333</v>
      </c>
      <c r="BK497" s="15" t="n">
        <f aca="false">(BK496)+L497</f>
        <v>4224.53703703704</v>
      </c>
      <c r="BL497" s="15" t="n">
        <f aca="false">BJ497-BK497</f>
        <v>17858.7962962963</v>
      </c>
      <c r="BM497" s="15" t="n">
        <f aca="false">(BM496)+Y497</f>
        <v>-254748.325452516</v>
      </c>
      <c r="BN497" s="15" t="n">
        <f aca="false">(BN496)+AW497+AX497+AZ497</f>
        <v>130000</v>
      </c>
      <c r="BO497" s="15" t="n">
        <f aca="false">(BO496)+AY497</f>
        <v>0</v>
      </c>
      <c r="BP497" s="15" t="n">
        <f aca="false">0</f>
        <v>0</v>
      </c>
      <c r="BQ497" s="15" t="n">
        <f aca="false">BN497+BM497-BO497</f>
        <v>-124748.325452516</v>
      </c>
      <c r="BR497" s="15" t="n">
        <f aca="false">BH497+AD497+BL497+MAX(0,-AM497)+MAX(0,-AR497)+AG497</f>
        <v>-79254.5584861346</v>
      </c>
      <c r="BS497" s="15" t="n">
        <f aca="false">AJ497+AV497+MAX(0,AM497)+MAX(0,AR497)+BC497+BG497+BQ497</f>
        <v>-79254.5584861346</v>
      </c>
      <c r="BT497" s="15" t="n">
        <f aca="false">BR497-BS497</f>
        <v>0</v>
      </c>
      <c r="BU497" s="15" t="n">
        <f aca="false">BH497-(BD497+BE497-BF497-AY497)</f>
        <v>0</v>
      </c>
      <c r="BV497" s="15" t="n">
        <f aca="false">MIN(Piano_SS!$C$6,(BV496)+IF(AND(Motore_Operativo!C497&gt;=EDATE(Parametri_v3!$C$24,Ipotesi!K14*12),Motore_Operativo!C497&lt;EDATE(Parametri_v3!$C$24,Parametri_v3!$C$25+Ipotesi!K14*12)),MAX(0,(Motore_Operativo!Y497+Motore_Operativo!X497*Parametri_v3!$C$14)*(1-Parametri_v3!$C$32))*Piano_SS!$D$6,0))</f>
        <v>40731.25</v>
      </c>
      <c r="BW497" s="15" t="n">
        <f aca="false">MIN(Piano_SS!$C$7,(BW496)+IF(AND(Motore_Operativo!C497&gt;=EDATE(Parametri_v3!$C$24,Ipotesi!K14*12),Motore_Operativo!C497&lt;EDATE(Parametri_v3!$C$24,Parametri_v3!$C$25+Ipotesi!K14*12)),MAX(0,(IF(13-(INT((Ipotesi!$C$91)/30))&lt;1,0,INDEX(Motore_Operativo!$BN$485:$BN$544,MAX(1,13-(INT((Ipotesi!$C$91)/30)))))*(1-(MOD((Ipotesi!$C$91),30)/30))+IF(13-(INT((Ipotesi!$C$91)/30))-1&lt;1,0,INDEX(Motore_Operativo!$BN$485:$BN$544,MAX(1,13-(INT((Ipotesi!$C$91)/30))-1)))*(MOD((Ipotesi!$C$91),30)/30)))*Piano_SS!$D$7,0))</f>
        <v>8983.33333333333</v>
      </c>
      <c r="BX497" s="15" t="n">
        <f aca="false">MIN(Piano_SS!$C$8,(BX496)+IF(AND(Motore_Operativo!C497&gt;=EDATE(Parametri_v3!$C$24,Ipotesi!K14*12),Motore_Operativo!C497&lt;EDATE(Parametri_v3!$C$24,Parametri_v3!$C$25+Ipotesi!K14*12)),MAX(0,Motore_Operativo!CE497)*Piano_SS!$D$8,0))</f>
        <v>12083.3333333333</v>
      </c>
      <c r="BY497" s="15" t="n">
        <f aca="false">MIN(Piano_SS!$C$9,(BY496)+IF(AND(Motore_Operativo!C497&gt;=EDATE(Parametri_v3!$C$24,Ipotesi!K14*12),Motore_Operativo!C497&lt;EDATE(Parametri_v3!$C$24,Parametri_v3!$C$25+Ipotesi!K14*12)),MAX(0,((IF(13-(INT((Ipotesi!$C$91)/30))&lt;1,0,INDEX(Motore_Operativo!$BQ$485:$BQ$544,MAX(1,13-(INT((Ipotesi!$C$91)/30)))))*(1-(MOD((Ipotesi!$C$91),30)/30))+IF(13-(INT((Ipotesi!$C$91)/30))-1&lt;1,0,INDEX(Motore_Operativo!$BQ$485:$BQ$544,MAX(1,13-(INT((Ipotesi!$C$91)/30))-1)))*(MOD((Ipotesi!$C$91),30)/30))+(IF(13-(INT((Ipotesi!$C$91)/30))&lt;1,0,INDEX(Motore_Operativo!$BR$485:$BR$544,MAX(1,13-(INT((Ipotesi!$C$91)/30)))))*(1-(MOD((Ipotesi!$C$91),30)/30))+IF(13-(INT((Ipotesi!$C$91)/30))-1&lt;1,0,INDEX(Motore_Operativo!$BR$485:$BR$544,MAX(1,13-(INT((Ipotesi!$C$91)/30))-1)))*(MOD((Ipotesi!$C$91),30)/30))))*Piano_SS!$D$9,0))</f>
        <v>15750</v>
      </c>
      <c r="BZ497" s="15" t="n">
        <f aca="false">MIN(Piano_SS!$C$10,(BZ496)+IF(AND(Motore_Operativo!C497&gt;=EDATE(Parametri_v3!$C$24,Ipotesi!K14*12),Motore_Operativo!C497&lt;EDATE(Parametri_v3!$C$24,Parametri_v3!$C$25+Ipotesi!K14*12)),MAX(0,(IF(13-(INT((Ipotesi!$C$91)/30))&lt;1,0,INDEX(Motore_Operativo!$BO$485:$BO$544,MAX(1,13-(INT((Ipotesi!$C$91)/30)))))*(1-(MOD((Ipotesi!$C$91),30)/30))+IF(13-(INT((Ipotesi!$C$91)/30))-1&lt;1,0,INDEX(Motore_Operativo!$BO$485:$BO$544,MAX(1,13-(INT((Ipotesi!$C$91)/30))-1)))*(MOD((Ipotesi!$C$91),30)/30)))*Piano_SS!$D$10,0))</f>
        <v>7000</v>
      </c>
      <c r="CA497" s="15" t="n">
        <f aca="false">SUM(BV497:BZ497)</f>
        <v>84547.9166666667</v>
      </c>
      <c r="CB497" s="15" t="n">
        <f aca="false">BV497*(1-Piano_SS!$E$6)+BW497*(1-Piano_SS!$E$7)+BX497*(1-Piano_SS!$E$8)+BY497*(1-Piano_SS!$E$9)+BZ497*(1-Piano_SS!$E$10)</f>
        <v>77547.9166666667</v>
      </c>
      <c r="CC497" s="15" t="n">
        <f aca="false">(CC496)+BA497</f>
        <v>0</v>
      </c>
      <c r="CD497" s="15" t="n">
        <f aca="false">IF(CA497=0,0,CC497*CB497/CA497*Ipotesi!$C$103*Parametri_v3!$C$64)</f>
        <v>0</v>
      </c>
      <c r="CE497" s="18" t="n">
        <f aca="false">IF(BA497&gt;0,Motore_Operativo!C497,(CE496))</f>
        <v>0</v>
      </c>
      <c r="CF497" s="18" t="n">
        <f aca="false">IF(AND(CC497&gt;0,OR(CC497&gt;=CG497-0.01,Motore_Operativo!C497&gt;=EDATE(MAX(Finanziamenti!$D$15:$D$17),Ipotesi!K14*12))),CE497,0)</f>
        <v>0</v>
      </c>
      <c r="CG497" s="15" t="n">
        <f aca="false">IF(AND(9&lt;&gt;6,9&lt;&gt;9,Finanziamenti!$F$11=1,OR(Parametri_v3!$C$6=0,Finanziamenti!$E$11=1)),MIN(Finanziamenti!$C$11,Piano_SS!$C$12*Ipotesi!$C$102),0)</f>
        <v>0</v>
      </c>
      <c r="CH497" s="15" t="n">
        <f aca="false">IF(AND(AND(9&lt;&gt;8,9&lt;&gt;9,Finanziamenti!$F$10=1,OR(Parametri_v3!$C$6=0,Finanziamenti!$E$10=1)),Motore_Operativo!C497&gt;=Finanziamenti!$D$10,Motore_Operativo!C497&lt;Parametri_v3!$C$63),Finanziamenti!$C$10,0)</f>
        <v>0</v>
      </c>
    </row>
    <row r="498" customFormat="false" ht="18" hidden="false" customHeight="true" outlineLevel="0" collapsed="false">
      <c r="A498" s="68" t="n">
        <f aca="false">9</f>
        <v>9</v>
      </c>
      <c r="B498" s="68" t="n">
        <f aca="false">14</f>
        <v>14</v>
      </c>
      <c r="C498" s="18" t="n">
        <f aca="false">Motore_Operativo!C498</f>
        <v>46784</v>
      </c>
      <c r="D498" s="68" t="n">
        <f aca="false">Motore_Operativo!D498</f>
        <v>2028</v>
      </c>
      <c r="E498" s="68" t="n">
        <f aca="false">Motore_Operativo!E498</f>
        <v>2</v>
      </c>
      <c r="F498" s="15" t="n">
        <f aca="false">Motore_Operativo!AQ498+Motore_Operativo!BF498</f>
        <v>23584.1993716446</v>
      </c>
      <c r="G498" s="15" t="n">
        <f aca="false">Motore_Operativo!BH498</f>
        <v>3398.1220657277</v>
      </c>
      <c r="H498" s="15" t="n">
        <f aca="false">Motore_Operativo!BI498</f>
        <v>26982.3214373723</v>
      </c>
      <c r="I498" s="15" t="n">
        <f aca="false">Motore_Operativo!CA498</f>
        <v>57014.5649073354</v>
      </c>
      <c r="J498" s="15" t="n">
        <f aca="false">Motore_Operativo!CC498</f>
        <v>-30032.2434699631</v>
      </c>
      <c r="K498" s="15" t="n">
        <f aca="false">Motore_Operativo!CE498</f>
        <v>2083.33333333333</v>
      </c>
      <c r="L498" s="15" t="n">
        <f aca="false">SUM(INDEX($K$485:$K$544,MAX(1,14-Parametri_v3!$C$59+1)):K498)/Parametri_v3!$C$59</f>
        <v>671.296296296296</v>
      </c>
      <c r="M498" s="15" t="n">
        <f aca="false">J498-L498</f>
        <v>-30703.5397662594</v>
      </c>
      <c r="N498" s="15" t="n">
        <f aca="false">CD498-(CD497)</f>
        <v>0</v>
      </c>
      <c r="O498" s="15" t="n">
        <f aca="false">(BG497)*Ipotesi!$C$110/12+CH498*Parametri_v3!$C$39/12</f>
        <v>0</v>
      </c>
      <c r="P498" s="15" t="n">
        <f aca="false">M498+N498-O498</f>
        <v>-30703.5397662594</v>
      </c>
      <c r="Q498" s="15" t="n">
        <f aca="false">SUM(P497:P498)+Parametri_v3!$C$54*2/12</f>
        <v>-61659.8067392433</v>
      </c>
      <c r="R498" s="15" t="n">
        <f aca="false">Z496</f>
        <v>223792.058479532</v>
      </c>
      <c r="S498" s="15" t="n">
        <f aca="false">AA496</f>
        <v>0</v>
      </c>
      <c r="T498" s="15" t="n">
        <f aca="false">MIN(R498,MAX(0,Q498))</f>
        <v>0</v>
      </c>
      <c r="U498" s="15" t="n">
        <f aca="false">MIN(S498,MAX(0,Q498-T498)*Parametri_v3!$C$42)</f>
        <v>0</v>
      </c>
      <c r="V498" s="15" t="n">
        <f aca="false">MAX(0,Q498-T498-U498)*Ipotesi!$C$92</f>
        <v>0</v>
      </c>
      <c r="W498" s="15" t="n">
        <f aca="false">MAX(0,SUM(M497:M498)+Parametri_v3!$C$55*2/12)*Ipotesi!$C$93</f>
        <v>0</v>
      </c>
      <c r="X498" s="15" t="n">
        <f aca="false">V498+W498-(V497+W497)</f>
        <v>0</v>
      </c>
      <c r="Y498" s="15" t="n">
        <f aca="false">P498-X498</f>
        <v>-30703.5397662594</v>
      </c>
      <c r="Z498" s="15" t="n">
        <f aca="false">R498-T498+IF(AND(Parametri_v3!$C$40=1,D498-YEAR(Parametri_v3!$C$50)&lt;Parametri_v3!$C$41),MAX(0,-Q498),0)</f>
        <v>285451.865218775</v>
      </c>
      <c r="AA498" s="15" t="n">
        <f aca="false">S498-U498+IF(AND(Parametri_v3!$C$40=1,D498-YEAR(Parametri_v3!$C$50)&lt;Parametri_v3!$C$41),0,MAX(0,-Q498))</f>
        <v>0</v>
      </c>
      <c r="AB498" s="15" t="n">
        <f aca="false">F498*(1+Parametri_v3!$C$26)</f>
        <v>28772.7232334064</v>
      </c>
      <c r="AC498" s="15" t="n">
        <f aca="false">(IF(14-(INT((Motore_Operativo!L498)/30))&lt;1,0,INDEX(Motore_Startup!$AB$485:$AB$544,MAX(1,14-(INT((Motore_Operativo!L498)/30)))))*(1-(MOD((Motore_Operativo!L498),30)/30))+IF(14-(INT((Motore_Operativo!L498)/30))-1&lt;1,0,INDEX(Motore_Startup!$AB$485:$AB$544,MAX(1,14-(INT((Motore_Operativo!L498)/30))-1)))*(MOD((Motore_Operativo!L498),30)/30))</f>
        <v>9997.22222222222</v>
      </c>
      <c r="AD498" s="15" t="n">
        <f aca="false">(AD497)+AB498-AC498</f>
        <v>67215.0164844914</v>
      </c>
      <c r="AE498" s="15" t="n">
        <f aca="false">Motore_Operativo!BH498*(1+Parametri_v3!$C$26)</f>
        <v>4145.70892018779</v>
      </c>
      <c r="AF498" s="15" t="n">
        <f aca="false">(IF(14-(INT((Parametri_v3!$C$29)/30))&lt;1,0,INDEX(Motore_Operativo!$BH$485:$BH$544,MAX(1,14-(INT((Parametri_v3!$C$29)/30)))))*(1-(MOD((Parametri_v3!$C$29),30)/30))+IF(14-(INT((Parametri_v3!$C$29)/30))-1&lt;1,0,INDEX(Motore_Operativo!$BH$485:$BH$544,MAX(1,14-(INT((Parametri_v3!$C$29)/30))-1)))*(MOD((Parametri_v3!$C$29),30)/30))*(1+Parametri_v3!$C$26)</f>
        <v>4145.70892018779</v>
      </c>
      <c r="AG498" s="15" t="n">
        <f aca="false">(AG497)+AE498-AF498</f>
        <v>4145.70892018779</v>
      </c>
      <c r="AH498" s="15" t="n">
        <f aca="false">(Motore_Operativo!CJ498)*(1+Parametri_v3!$C$27*Parametri_v3!$C$26)</f>
        <v>20478.2010450071</v>
      </c>
      <c r="AI498" s="15" t="n">
        <f aca="false">(IF(14-(INT((Ipotesi!$C$91)/30))&lt;1,0,INDEX(Motore_Startup!$AH$485:$AH$544,MAX(1,14-(INT((Ipotesi!$C$91)/30)))))*(1-(MOD((Ipotesi!$C$91),30)/30))+IF(14-(INT((Ipotesi!$C$91)/30))-1&lt;1,0,INDEX(Motore_Startup!$AH$485:$AH$544,MAX(1,14-(INT((Ipotesi!$C$91)/30))-1)))*(MOD((Ipotesi!$C$91),30)/30))</f>
        <v>11788.9675823587</v>
      </c>
      <c r="AJ498" s="15" t="n">
        <f aca="false">(AJ497)+AH498-AI498</f>
        <v>40896.3845256403</v>
      </c>
      <c r="AK498" s="15" t="n">
        <f aca="false">(F498+ Motore_Operativo!BH498-(Motore_Operativo!CJ498)*Parametri_v3!$C$27-Motore_Operativo!CE498)*Parametri_v3!$C$26</f>
        <v>2251.64124521685</v>
      </c>
      <c r="AL498" s="15" t="n">
        <f aca="false">MAX(0,(AM497))</f>
        <v>548.490903389566</v>
      </c>
      <c r="AM498" s="15" t="n">
        <f aca="false">(AM497)+AK498-AL498</f>
        <v>2251.64124521685</v>
      </c>
      <c r="AN498" s="15" t="n">
        <f aca="false">SUM(X485:X496)</f>
        <v>0</v>
      </c>
      <c r="AO498" s="15" t="n">
        <f aca="false">SUM(AP485:AP496)</f>
        <v>0</v>
      </c>
      <c r="AP498" s="15" t="n">
        <f aca="false">MAX(0,AN498)*IF(2=Parametri_v3!$C$43,Parametri_v3!$C$45,IF(2=Parametri_v3!$C$44,1-Parametri_v3!$C$45,0))</f>
        <v>0</v>
      </c>
      <c r="AQ498" s="15" t="n">
        <f aca="false">MAX(0,AP498+IF(2=Parametri_v3!$C$43,MAX(0,AN498-AO498),0)-MAX(0,-(AR497)))</f>
        <v>0</v>
      </c>
      <c r="AR498" s="15" t="n">
        <f aca="false">(AR497)+X498-AQ498</f>
        <v>0</v>
      </c>
      <c r="AS498" s="15" t="n">
        <f aca="false">Motore_Operativo!AB498-AT498+AU498</f>
        <v>37774.375</v>
      </c>
      <c r="AT498" s="15" t="n">
        <f aca="false">Motore_Operativo!CH498</f>
        <v>1988.125</v>
      </c>
      <c r="AU498" s="15" t="n">
        <f aca="false">MIN(MAX(0,(AV497)+AT498),Parametri_v3!$C$60/12)</f>
        <v>0</v>
      </c>
      <c r="AV498" s="15" t="n">
        <f aca="false">(AV497)+AT498-AU498</f>
        <v>14726.25</v>
      </c>
      <c r="AW498" s="15" t="n">
        <f aca="false">IF(AND(Motore_Operativo!C498=Finanziamenti!$D$6,Finanziamenti!$F$6=1),Finanziamenti!$C$6,0)</f>
        <v>0</v>
      </c>
      <c r="AX498" s="15" t="n">
        <f aca="false">IF(AND(9&lt;&gt;7,9&lt;&gt;9,Finanziamenti!$F$8=1,OR(Parametri_v3!$C$6=0,Finanziamenti!$E$8=1),Motore_Operativo!C498=EDATE(Finanziamenti!$D$8,Ipotesi!K15*12)),Finanziamenti!$C$8*1,0)+IF(AND(9&lt;&gt;7,9&lt;&gt;9,Finanziamenti!$F$9=1,OR(Parametri_v3!$C$6=0,Finanziamenti!$E$9=1),Motore_Operativo!C498=EDATE(Finanziamenti!$D$9,Ipotesi!K15*12)),Finanziamenti!$C$9*Ipotesi!K16,0)</f>
        <v>0</v>
      </c>
      <c r="AY498" s="15" t="n">
        <f aca="false">0</f>
        <v>0</v>
      </c>
      <c r="AZ498" s="15" t="n">
        <f aca="false">Motore_Advisory!AY498*(1-Ipotesi!$C$95)*Ipotesi!$C$96</f>
        <v>0</v>
      </c>
      <c r="BA498" s="15" t="n">
        <f aca="false">MAX(0,MIN(CG498*MIN(1,IF(Motore_Operativo!C498&gt;=EDATE(Finanziamenti!$D$15,Ipotesi!K14*12),Finanziamenti!$C$15,0)+IF(Motore_Operativo!C498&gt;=EDATE(Finanziamenti!$D$16,Ipotesi!K14*12),Finanziamenti!$C$16,0)+IF(Motore_Operativo!C498&gt;=EDATE(Finanziamenti!$D$17,Ipotesi!K14*12),Finanziamenti!$C$17,0)),CA498*Ipotesi!$C$102)-(CC497))</f>
        <v>0</v>
      </c>
      <c r="BB498" s="15" t="n">
        <f aca="false">IF(AND(CF498&gt;0,Motore_Operativo!C498&gt;=IF(CF498=0,0,EDATE(CF498,Parametri_v3!$C$37)),MOD(((D498-YEAR(IF(CF498=0,0,EDATE(CF498,Parametri_v3!$C$37))))*12+E498-MONTH(IF(CF498=0,0,EDATE(CF498,Parametri_v3!$C$37)))),Parametri_v3!$C$38)=0),MIN(MAX(0,(BC497)+BA498-N498),(CC498-CD498)/(Ipotesi!$C$108*12/Parametri_v3!$C$38)),0)</f>
        <v>0</v>
      </c>
      <c r="BC498" s="15" t="n">
        <f aca="false">(BC497)+BA498-N498-BB498</f>
        <v>0</v>
      </c>
      <c r="BD498" s="15" t="n">
        <f aca="false">(BH497)+AC498+AF498-AI498-AS498-K498*(1+Parametri_v3!$C$26)-AL498-AQ498-O498+AW498+AX498+AZ498+BA498-BB498</f>
        <v>-188209.148185931</v>
      </c>
      <c r="BE498" s="15" t="n">
        <f aca="false">MAX(0,MIN(MAX(0,CH498-(BG497)),Parametri_v3!$C$30-BD498))</f>
        <v>0</v>
      </c>
      <c r="BF498" s="15" t="n">
        <f aca="false">IF(Motore_Operativo!C498&gt;=Parametri_v3!$C$63,(BG497),MIN((BG497),MAX(0,BD498-Parametri_v3!$C$30)))</f>
        <v>0</v>
      </c>
      <c r="BG498" s="15" t="n">
        <f aca="false">(BG497)+BE498-BF498</f>
        <v>0</v>
      </c>
      <c r="BH498" s="15" t="n">
        <f aca="false">BD498+BE498-BF498-AY498</f>
        <v>-188209.148185931</v>
      </c>
      <c r="BI498" s="15" t="n">
        <f aca="false">MAX(0,Parametri_v3!$C$30-BH498)</f>
        <v>213209.148185931</v>
      </c>
      <c r="BJ498" s="15" t="n">
        <f aca="false">(BJ497)+K498</f>
        <v>24166.6666666667</v>
      </c>
      <c r="BK498" s="15" t="n">
        <f aca="false">(BK497)+L498</f>
        <v>4895.83333333333</v>
      </c>
      <c r="BL498" s="15" t="n">
        <f aca="false">BJ498-BK498</f>
        <v>19270.8333333333</v>
      </c>
      <c r="BM498" s="15" t="n">
        <f aca="false">(BM497)+Y498</f>
        <v>-285451.865218775</v>
      </c>
      <c r="BN498" s="15" t="n">
        <f aca="false">(BN497)+AW498+AX498+AZ498</f>
        <v>130000</v>
      </c>
      <c r="BO498" s="15" t="n">
        <f aca="false">(BO497)+AY498</f>
        <v>0</v>
      </c>
      <c r="BP498" s="15" t="n">
        <f aca="false">0</f>
        <v>0</v>
      </c>
      <c r="BQ498" s="15" t="n">
        <f aca="false">BN498+BM498-BO498</f>
        <v>-155451.865218775</v>
      </c>
      <c r="BR498" s="15" t="n">
        <f aca="false">BH498+AD498+BL498+MAX(0,-AM498)+MAX(0,-AR498)+AG498</f>
        <v>-97577.5894479182</v>
      </c>
      <c r="BS498" s="15" t="n">
        <f aca="false">AJ498+AV498+MAX(0,AM498)+MAX(0,AR498)+BC498+BG498+BQ498</f>
        <v>-97577.5894479183</v>
      </c>
      <c r="BT498" s="15" t="n">
        <f aca="false">BR498-BS498</f>
        <v>0</v>
      </c>
      <c r="BU498" s="15" t="n">
        <f aca="false">BH498-(BD498+BE498-BF498-AY498)</f>
        <v>0</v>
      </c>
      <c r="BV498" s="15" t="n">
        <f aca="false">MIN(Piano_SS!$C$6,(BV497)+IF(AND(Motore_Operativo!C498&gt;=EDATE(Parametri_v3!$C$24,Ipotesi!K14*12),Motore_Operativo!C498&lt;EDATE(Parametri_v3!$C$24,Parametri_v3!$C$25+Ipotesi!K14*12)),MAX(0,(Motore_Operativo!Y498+Motore_Operativo!X498*Parametri_v3!$C$14)*(1-Parametri_v3!$C$32))*Piano_SS!$D$6,0))</f>
        <v>52962.5</v>
      </c>
      <c r="BW498" s="15" t="n">
        <f aca="false">MIN(Piano_SS!$C$7,(BW497)+IF(AND(Motore_Operativo!C498&gt;=EDATE(Parametri_v3!$C$24,Ipotesi!K14*12),Motore_Operativo!C498&lt;EDATE(Parametri_v3!$C$24,Parametri_v3!$C$25+Ipotesi!K14*12)),MAX(0,(IF(14-(INT((Ipotesi!$C$91)/30))&lt;1,0,INDEX(Motore_Operativo!$BN$485:$BN$544,MAX(1,14-(INT((Ipotesi!$C$91)/30)))))*(1-(MOD((Ipotesi!$C$91),30)/30))+IF(14-(INT((Ipotesi!$C$91)/30))-1&lt;1,0,INDEX(Motore_Operativo!$BN$485:$BN$544,MAX(1,14-(INT((Ipotesi!$C$91)/30))-1)))*(MOD((Ipotesi!$C$91),30)/30)))*Piano_SS!$D$7,0))</f>
        <v>10296.2962962963</v>
      </c>
      <c r="BX498" s="15" t="n">
        <f aca="false">MIN(Piano_SS!$C$8,(BX497)+IF(AND(Motore_Operativo!C498&gt;=EDATE(Parametri_v3!$C$24,Ipotesi!K14*12),Motore_Operativo!C498&lt;EDATE(Parametri_v3!$C$24,Parametri_v3!$C$25+Ipotesi!K14*12)),MAX(0,Motore_Operativo!CE498)*Piano_SS!$D$8,0))</f>
        <v>14166.6666666667</v>
      </c>
      <c r="BY498" s="15" t="n">
        <f aca="false">MIN(Piano_SS!$C$9,(BY497)+IF(AND(Motore_Operativo!C498&gt;=EDATE(Parametri_v3!$C$24,Ipotesi!K14*12),Motore_Operativo!C498&lt;EDATE(Parametri_v3!$C$24,Parametri_v3!$C$25+Ipotesi!K14*12)),MAX(0,((IF(14-(INT((Ipotesi!$C$91)/30))&lt;1,0,INDEX(Motore_Operativo!$BQ$485:$BQ$544,MAX(1,14-(INT((Ipotesi!$C$91)/30)))))*(1-(MOD((Ipotesi!$C$91),30)/30))+IF(14-(INT((Ipotesi!$C$91)/30))-1&lt;1,0,INDEX(Motore_Operativo!$BQ$485:$BQ$544,MAX(1,14-(INT((Ipotesi!$C$91)/30))-1)))*(MOD((Ipotesi!$C$91),30)/30))+(IF(14-(INT((Ipotesi!$C$91)/30))&lt;1,0,INDEX(Motore_Operativo!$BR$485:$BR$544,MAX(1,14-(INT((Ipotesi!$C$91)/30)))))*(1-(MOD((Ipotesi!$C$91),30)/30))+IF(14-(INT((Ipotesi!$C$91)/30))-1&lt;1,0,INDEX(Motore_Operativo!$BR$485:$BR$544,MAX(1,14-(INT((Ipotesi!$C$91)/30))-1)))*(MOD((Ipotesi!$C$91),30)/30))))*Piano_SS!$D$9,0))</f>
        <v>18000</v>
      </c>
      <c r="BZ498" s="15" t="n">
        <f aca="false">MIN(Piano_SS!$C$10,(BZ497)+IF(AND(Motore_Operativo!C498&gt;=EDATE(Parametri_v3!$C$24,Ipotesi!K14*12),Motore_Operativo!C498&lt;EDATE(Parametri_v3!$C$24,Parametri_v3!$C$25+Ipotesi!K14*12)),MAX(0,(IF(14-(INT((Ipotesi!$C$91)/30))&lt;1,0,INDEX(Motore_Operativo!$BO$485:$BO$544,MAX(1,14-(INT((Ipotesi!$C$91)/30)))))*(1-(MOD((Ipotesi!$C$91),30)/30))+IF(14-(INT((Ipotesi!$C$91)/30))-1&lt;1,0,INDEX(Motore_Operativo!$BO$485:$BO$544,MAX(1,14-(INT((Ipotesi!$C$91)/30))-1)))*(MOD((Ipotesi!$C$91),30)/30)))*Piano_SS!$D$10,0))</f>
        <v>8000</v>
      </c>
      <c r="CA498" s="15" t="n">
        <f aca="false">SUM(BV498:BZ498)</f>
        <v>103425.462962963</v>
      </c>
      <c r="CB498" s="15" t="n">
        <f aca="false">BV498*(1-Piano_SS!$E$6)+BW498*(1-Piano_SS!$E$7)+BX498*(1-Piano_SS!$E$8)+BY498*(1-Piano_SS!$E$9)+BZ498*(1-Piano_SS!$E$10)</f>
        <v>95425.462962963</v>
      </c>
      <c r="CC498" s="15" t="n">
        <f aca="false">(CC497)+BA498</f>
        <v>0</v>
      </c>
      <c r="CD498" s="15" t="n">
        <f aca="false">IF(CA498=0,0,CC498*CB498/CA498*Ipotesi!$C$103*Parametri_v3!$C$64)</f>
        <v>0</v>
      </c>
      <c r="CE498" s="18" t="n">
        <f aca="false">IF(BA498&gt;0,Motore_Operativo!C498,(CE497))</f>
        <v>0</v>
      </c>
      <c r="CF498" s="18" t="n">
        <f aca="false">IF(AND(CC498&gt;0,OR(CC498&gt;=CG498-0.01,Motore_Operativo!C498&gt;=EDATE(MAX(Finanziamenti!$D$15:$D$17),Ipotesi!K14*12))),CE498,0)</f>
        <v>0</v>
      </c>
      <c r="CG498" s="15" t="n">
        <f aca="false">IF(AND(9&lt;&gt;6,9&lt;&gt;9,Finanziamenti!$F$11=1,OR(Parametri_v3!$C$6=0,Finanziamenti!$E$11=1)),MIN(Finanziamenti!$C$11,Piano_SS!$C$12*Ipotesi!$C$102),0)</f>
        <v>0</v>
      </c>
      <c r="CH498" s="15" t="n">
        <f aca="false">IF(AND(AND(9&lt;&gt;8,9&lt;&gt;9,Finanziamenti!$F$10=1,OR(Parametri_v3!$C$6=0,Finanziamenti!$E$10=1)),Motore_Operativo!C498&gt;=Finanziamenti!$D$10,Motore_Operativo!C498&lt;Parametri_v3!$C$63),Finanziamenti!$C$10,0)</f>
        <v>0</v>
      </c>
    </row>
    <row r="499" customFormat="false" ht="18" hidden="false" customHeight="true" outlineLevel="0" collapsed="false">
      <c r="A499" s="68" t="n">
        <f aca="false">9</f>
        <v>9</v>
      </c>
      <c r="B499" s="68" t="n">
        <f aca="false">15</f>
        <v>15</v>
      </c>
      <c r="C499" s="18" t="n">
        <f aca="false">Motore_Operativo!C499</f>
        <v>46813</v>
      </c>
      <c r="D499" s="68" t="n">
        <f aca="false">Motore_Operativo!D499</f>
        <v>2028</v>
      </c>
      <c r="E499" s="68" t="n">
        <f aca="false">Motore_Operativo!E499</f>
        <v>3</v>
      </c>
      <c r="F499" s="15" t="n">
        <f aca="false">Motore_Operativo!AQ499+Motore_Operativo!BF499</f>
        <v>23942.2022250311</v>
      </c>
      <c r="G499" s="15" t="n">
        <f aca="false">Motore_Operativo!BH499</f>
        <v>3398.1220657277</v>
      </c>
      <c r="H499" s="15" t="n">
        <f aca="false">Motore_Operativo!BI499</f>
        <v>27340.3242907588</v>
      </c>
      <c r="I499" s="15" t="n">
        <f aca="false">Motore_Operativo!CA499</f>
        <v>57064.6853068095</v>
      </c>
      <c r="J499" s="15" t="n">
        <f aca="false">Motore_Operativo!CC499</f>
        <v>-29724.3610160507</v>
      </c>
      <c r="K499" s="15" t="n">
        <f aca="false">Motore_Operativo!CE499</f>
        <v>2083.33333333333</v>
      </c>
      <c r="L499" s="15" t="n">
        <f aca="false">SUM(INDEX($K$485:$K$544,MAX(1,15-Parametri_v3!$C$59+1)):K499)/Parametri_v3!$C$59</f>
        <v>729.166666666667</v>
      </c>
      <c r="M499" s="15" t="n">
        <f aca="false">J499-L499</f>
        <v>-30453.5276827174</v>
      </c>
      <c r="N499" s="15" t="n">
        <f aca="false">CD499-(CD498)</f>
        <v>0</v>
      </c>
      <c r="O499" s="15" t="n">
        <f aca="false">(BG498)*Ipotesi!$C$110/12+CH499*Parametri_v3!$C$39/12</f>
        <v>0</v>
      </c>
      <c r="P499" s="15" t="n">
        <f aca="false">M499+N499-O499</f>
        <v>-30453.5276827174</v>
      </c>
      <c r="Q499" s="15" t="n">
        <f aca="false">SUM(P497:P499)+Parametri_v3!$C$54*3/12</f>
        <v>-92113.3344219607</v>
      </c>
      <c r="R499" s="15" t="n">
        <f aca="false">Z496</f>
        <v>223792.058479532</v>
      </c>
      <c r="S499" s="15" t="n">
        <f aca="false">AA496</f>
        <v>0</v>
      </c>
      <c r="T499" s="15" t="n">
        <f aca="false">MIN(R499,MAX(0,Q499))</f>
        <v>0</v>
      </c>
      <c r="U499" s="15" t="n">
        <f aca="false">MIN(S499,MAX(0,Q499-T499)*Parametri_v3!$C$42)</f>
        <v>0</v>
      </c>
      <c r="V499" s="15" t="n">
        <f aca="false">MAX(0,Q499-T499-U499)*Ipotesi!$C$92</f>
        <v>0</v>
      </c>
      <c r="W499" s="15" t="n">
        <f aca="false">MAX(0,SUM(M497:M499)+Parametri_v3!$C$55*3/12)*Ipotesi!$C$93</f>
        <v>0</v>
      </c>
      <c r="X499" s="15" t="n">
        <f aca="false">V499+W499-(V498+W498)</f>
        <v>0</v>
      </c>
      <c r="Y499" s="15" t="n">
        <f aca="false">P499-X499</f>
        <v>-30453.5276827174</v>
      </c>
      <c r="Z499" s="15" t="n">
        <f aca="false">R499-T499+IF(AND(Parametri_v3!$C$40=1,D499-YEAR(Parametri_v3!$C$50)&lt;Parametri_v3!$C$41),MAX(0,-Q499),0)</f>
        <v>315905.392901493</v>
      </c>
      <c r="AA499" s="15" t="n">
        <f aca="false">S499-U499+IF(AND(Parametri_v3!$C$40=1,D499-YEAR(Parametri_v3!$C$50)&lt;Parametri_v3!$C$41),0,MAX(0,-Q499))</f>
        <v>0</v>
      </c>
      <c r="AB499" s="15" t="n">
        <f aca="false">F499*(1+Parametri_v3!$C$26)</f>
        <v>29209.486714538</v>
      </c>
      <c r="AC499" s="15" t="n">
        <f aca="false">(IF(15-(INT((Motore_Operativo!L499)/30))&lt;1,0,INDEX(Motore_Startup!$AB$485:$AB$544,MAX(1,15-(INT((Motore_Operativo!L499)/30)))))*(1-(MOD((Motore_Operativo!L499),30)/30))+IF(15-(INT((Motore_Operativo!L499)/30))-1&lt;1,0,INDEX(Motore_Startup!$AB$485:$AB$544,MAX(1,15-(INT((Motore_Operativo!L499)/30))-1)))*(MOD((Motore_Operativo!L499),30)/30))</f>
        <v>10110.1851851852</v>
      </c>
      <c r="AD499" s="15" t="n">
        <f aca="false">(AD498)+AB499-AC499</f>
        <v>86314.3180138442</v>
      </c>
      <c r="AE499" s="15" t="n">
        <f aca="false">Motore_Operativo!BH499*(1+Parametri_v3!$C$26)</f>
        <v>4145.70892018779</v>
      </c>
      <c r="AF499" s="15" t="n">
        <f aca="false">(IF(15-(INT((Parametri_v3!$C$29)/30))&lt;1,0,INDEX(Motore_Operativo!$BH$485:$BH$544,MAX(1,15-(INT((Parametri_v3!$C$29)/30)))))*(1-(MOD((Parametri_v3!$C$29),30)/30))+IF(15-(INT((Parametri_v3!$C$29)/30))-1&lt;1,0,INDEX(Motore_Operativo!$BH$485:$BH$544,MAX(1,15-(INT((Parametri_v3!$C$29)/30))-1)))*(MOD((Parametri_v3!$C$29),30)/30))*(1+Parametri_v3!$C$26)</f>
        <v>4145.70892018779</v>
      </c>
      <c r="AG499" s="15" t="n">
        <f aca="false">(AG498)+AE499-AF499</f>
        <v>4145.70892018779</v>
      </c>
      <c r="AH499" s="15" t="n">
        <f aca="false">(Motore_Operativo!CJ499)*(1+Parametri_v3!$C$27*Parametri_v3!$C$26)</f>
        <v>20537.6939591829</v>
      </c>
      <c r="AI499" s="15" t="n">
        <f aca="false">(IF(15-(INT((Ipotesi!$C$91)/30))&lt;1,0,INDEX(Motore_Startup!$AH$485:$AH$544,MAX(1,15-(INT((Ipotesi!$C$91)/30)))))*(1-(MOD((Ipotesi!$C$91),30)/30))+IF(15-(INT((Ipotesi!$C$91)/30))-1&lt;1,0,INDEX(Motore_Startup!$AH$485:$AH$544,MAX(1,15-(INT((Ipotesi!$C$91)/30))-1)))*(MOD((Ipotesi!$C$91),30)/30))</f>
        <v>20418.1834806332</v>
      </c>
      <c r="AJ499" s="15" t="n">
        <f aca="false">(AJ498)+AH499-AI499</f>
        <v>41015.8950041901</v>
      </c>
      <c r="AK499" s="15" t="n">
        <f aca="false">(F499+ Motore_Operativo!BH499-(Motore_Operativo!CJ499)*Parametri_v3!$C$27-Motore_Operativo!CE499)*Parametri_v3!$C$26</f>
        <v>2321.02935826023</v>
      </c>
      <c r="AL499" s="15" t="n">
        <f aca="false">MAX(0,(AM498))</f>
        <v>2251.64124521685</v>
      </c>
      <c r="AM499" s="15" t="n">
        <f aca="false">(AM498)+AK499-AL499</f>
        <v>2321.02935826023</v>
      </c>
      <c r="AN499" s="15" t="n">
        <f aca="false">SUM(X485:X496)</f>
        <v>0</v>
      </c>
      <c r="AO499" s="15" t="n">
        <f aca="false">SUM(AP485:AP496)</f>
        <v>0</v>
      </c>
      <c r="AP499" s="15" t="n">
        <f aca="false">MAX(0,AN499)*IF(3=Parametri_v3!$C$43,Parametri_v3!$C$45,IF(3=Parametri_v3!$C$44,1-Parametri_v3!$C$45,0))</f>
        <v>0</v>
      </c>
      <c r="AQ499" s="15" t="n">
        <f aca="false">MAX(0,AP499+IF(3=Parametri_v3!$C$43,MAX(0,AN499-AO499),0)-MAX(0,-(AR498)))</f>
        <v>0</v>
      </c>
      <c r="AR499" s="15" t="n">
        <f aca="false">(AR498)+X499-AQ499</f>
        <v>0</v>
      </c>
      <c r="AS499" s="15" t="n">
        <f aca="false">Motore_Operativo!AB499-AT499+AU499</f>
        <v>37774.375</v>
      </c>
      <c r="AT499" s="15" t="n">
        <f aca="false">Motore_Operativo!CH499</f>
        <v>1988.125</v>
      </c>
      <c r="AU499" s="15" t="n">
        <f aca="false">MIN(MAX(0,(AV498)+AT499),Parametri_v3!$C$60/12)</f>
        <v>0</v>
      </c>
      <c r="AV499" s="15" t="n">
        <f aca="false">(AV498)+AT499-AU499</f>
        <v>16714.375</v>
      </c>
      <c r="AW499" s="15" t="n">
        <f aca="false">IF(AND(Motore_Operativo!C499=Finanziamenti!$D$6,Finanziamenti!$F$6=1),Finanziamenti!$C$6,0)</f>
        <v>0</v>
      </c>
      <c r="AX499" s="15" t="n">
        <f aca="false">IF(AND(9&lt;&gt;7,9&lt;&gt;9,Finanziamenti!$F$8=1,OR(Parametri_v3!$C$6=0,Finanziamenti!$E$8=1),Motore_Operativo!C499=EDATE(Finanziamenti!$D$8,Ipotesi!K15*12)),Finanziamenti!$C$8*1,0)+IF(AND(9&lt;&gt;7,9&lt;&gt;9,Finanziamenti!$F$9=1,OR(Parametri_v3!$C$6=0,Finanziamenti!$E$9=1),Motore_Operativo!C499=EDATE(Finanziamenti!$D$9,Ipotesi!K15*12)),Finanziamenti!$C$9*Ipotesi!K16,0)</f>
        <v>0</v>
      </c>
      <c r="AY499" s="15" t="n">
        <f aca="false">0</f>
        <v>0</v>
      </c>
      <c r="AZ499" s="15" t="n">
        <f aca="false">Motore_Advisory!AY499*(1-Ipotesi!$C$95)*Ipotesi!$C$96</f>
        <v>0</v>
      </c>
      <c r="BA499" s="15" t="n">
        <f aca="false">MAX(0,MIN(CG499*MIN(1,IF(Motore_Operativo!C499&gt;=EDATE(Finanziamenti!$D$15,Ipotesi!K14*12),Finanziamenti!$C$15,0)+IF(Motore_Operativo!C499&gt;=EDATE(Finanziamenti!$D$16,Ipotesi!K14*12),Finanziamenti!$C$16,0)+IF(Motore_Operativo!C499&gt;=EDATE(Finanziamenti!$D$17,Ipotesi!K14*12),Finanziamenti!$C$17,0)),CA499*Ipotesi!$C$102)-(CC498))</f>
        <v>0</v>
      </c>
      <c r="BB499" s="15" t="n">
        <f aca="false">IF(AND(CF499&gt;0,Motore_Operativo!C499&gt;=IF(CF499=0,0,EDATE(CF499,Parametri_v3!$C$37)),MOD(((D499-YEAR(IF(CF499=0,0,EDATE(CF499,Parametri_v3!$C$37))))*12+E499-MONTH(IF(CF499=0,0,EDATE(CF499,Parametri_v3!$C$37)))),Parametri_v3!$C$38)=0),MIN(MAX(0,(BC498)+BA499-N499),(CC499-CD499)/(Ipotesi!$C$108*12/Parametri_v3!$C$38)),0)</f>
        <v>0</v>
      </c>
      <c r="BC499" s="15" t="n">
        <f aca="false">(BC498)+BA499-N499-BB499</f>
        <v>0</v>
      </c>
      <c r="BD499" s="15" t="n">
        <f aca="false">(BH498)+AC499+AF499-AI499-AS499-K499*(1+Parametri_v3!$C$26)-AL499-AQ499-O499+AW499+AX499+AZ499+BA499-BB499</f>
        <v>-236939.120473074</v>
      </c>
      <c r="BE499" s="15" t="n">
        <f aca="false">MAX(0,MIN(MAX(0,CH499-(BG498)),Parametri_v3!$C$30-BD499))</f>
        <v>0</v>
      </c>
      <c r="BF499" s="15" t="n">
        <f aca="false">IF(Motore_Operativo!C499&gt;=Parametri_v3!$C$63,(BG498),MIN((BG498),MAX(0,BD499-Parametri_v3!$C$30)))</f>
        <v>0</v>
      </c>
      <c r="BG499" s="15" t="n">
        <f aca="false">(BG498)+BE499-BF499</f>
        <v>0</v>
      </c>
      <c r="BH499" s="15" t="n">
        <f aca="false">BD499+BE499-BF499-AY499</f>
        <v>-236939.120473074</v>
      </c>
      <c r="BI499" s="15" t="n">
        <f aca="false">MAX(0,Parametri_v3!$C$30-BH499)</f>
        <v>261939.120473074</v>
      </c>
      <c r="BJ499" s="15" t="n">
        <f aca="false">(BJ498)+K499</f>
        <v>26250</v>
      </c>
      <c r="BK499" s="15" t="n">
        <f aca="false">(BK498)+L499</f>
        <v>5625</v>
      </c>
      <c r="BL499" s="15" t="n">
        <f aca="false">BJ499-BK499</f>
        <v>20625</v>
      </c>
      <c r="BM499" s="15" t="n">
        <f aca="false">(BM498)+Y499</f>
        <v>-315905.392901493</v>
      </c>
      <c r="BN499" s="15" t="n">
        <f aca="false">(BN498)+AW499+AX499+AZ499</f>
        <v>130000</v>
      </c>
      <c r="BO499" s="15" t="n">
        <f aca="false">(BO498)+AY499</f>
        <v>0</v>
      </c>
      <c r="BP499" s="15" t="n">
        <f aca="false">0</f>
        <v>0</v>
      </c>
      <c r="BQ499" s="15" t="n">
        <f aca="false">BN499+BM499-BO499</f>
        <v>-185905.392901493</v>
      </c>
      <c r="BR499" s="15" t="n">
        <f aca="false">BH499+AD499+BL499+MAX(0,-AM499)+MAX(0,-AR499)+AG499</f>
        <v>-125854.093539042</v>
      </c>
      <c r="BS499" s="15" t="n">
        <f aca="false">AJ499+AV499+MAX(0,AM499)+MAX(0,AR499)+BC499+BG499+BQ499</f>
        <v>-125854.093539043</v>
      </c>
      <c r="BT499" s="15" t="n">
        <f aca="false">BR499-BS499</f>
        <v>0</v>
      </c>
      <c r="BU499" s="15" t="n">
        <f aca="false">BH499-(BD499+BE499-BF499-AY499)</f>
        <v>0</v>
      </c>
      <c r="BV499" s="15" t="n">
        <f aca="false">MIN(Piano_SS!$C$6,(BV498)+IF(AND(Motore_Operativo!C499&gt;=EDATE(Parametri_v3!$C$24,Ipotesi!K14*12),Motore_Operativo!C499&lt;EDATE(Parametri_v3!$C$24,Parametri_v3!$C$25+Ipotesi!K14*12)),MAX(0,(Motore_Operativo!Y499+Motore_Operativo!X499*Parametri_v3!$C$14)*(1-Parametri_v3!$C$32))*Piano_SS!$D$6,0))</f>
        <v>65193.75</v>
      </c>
      <c r="BW499" s="15" t="n">
        <f aca="false">MIN(Piano_SS!$C$7,(BW498)+IF(AND(Motore_Operativo!C499&gt;=EDATE(Parametri_v3!$C$24,Ipotesi!K14*12),Motore_Operativo!C499&lt;EDATE(Parametri_v3!$C$24,Parametri_v3!$C$25+Ipotesi!K14*12)),MAX(0,(IF(15-(INT((Ipotesi!$C$91)/30))&lt;1,0,INDEX(Motore_Operativo!$BN$485:$BN$544,MAX(1,15-(INT((Ipotesi!$C$91)/30)))))*(1-(MOD((Ipotesi!$C$91),30)/30))+IF(15-(INT((Ipotesi!$C$91)/30))-1&lt;1,0,INDEX(Motore_Operativo!$BN$485:$BN$544,MAX(1,15-(INT((Ipotesi!$C$91)/30))-1)))*(MOD((Ipotesi!$C$91),30)/30)))*Piano_SS!$D$7,0))</f>
        <v>11694.1394481586</v>
      </c>
      <c r="BX499" s="15" t="n">
        <f aca="false">MIN(Piano_SS!$C$8,(BX498)+IF(AND(Motore_Operativo!C499&gt;=EDATE(Parametri_v3!$C$24,Ipotesi!K14*12),Motore_Operativo!C499&lt;EDATE(Parametri_v3!$C$24,Parametri_v3!$C$25+Ipotesi!K14*12)),MAX(0,Motore_Operativo!CE499)*Piano_SS!$D$8,0))</f>
        <v>16250</v>
      </c>
      <c r="BY499" s="15" t="n">
        <f aca="false">MIN(Piano_SS!$C$9,(BY498)+IF(AND(Motore_Operativo!C499&gt;=EDATE(Parametri_v3!$C$24,Ipotesi!K14*12),Motore_Operativo!C499&lt;EDATE(Parametri_v3!$C$24,Parametri_v3!$C$25+Ipotesi!K14*12)),MAX(0,((IF(15-(INT((Ipotesi!$C$91)/30))&lt;1,0,INDEX(Motore_Operativo!$BQ$485:$BQ$544,MAX(1,15-(INT((Ipotesi!$C$91)/30)))))*(1-(MOD((Ipotesi!$C$91),30)/30))+IF(15-(INT((Ipotesi!$C$91)/30))-1&lt;1,0,INDEX(Motore_Operativo!$BQ$485:$BQ$544,MAX(1,15-(INT((Ipotesi!$C$91)/30))-1)))*(MOD((Ipotesi!$C$91),30)/30))+(IF(15-(INT((Ipotesi!$C$91)/30))&lt;1,0,INDEX(Motore_Operativo!$BR$485:$BR$544,MAX(1,15-(INT((Ipotesi!$C$91)/30)))))*(1-(MOD((Ipotesi!$C$91),30)/30))+IF(15-(INT((Ipotesi!$C$91)/30))-1&lt;1,0,INDEX(Motore_Operativo!$BR$485:$BR$544,MAX(1,15-(INT((Ipotesi!$C$91)/30))-1)))*(MOD((Ipotesi!$C$91),30)/30))))*Piano_SS!$D$9,0))</f>
        <v>20916.6666666667</v>
      </c>
      <c r="BZ499" s="15" t="n">
        <f aca="false">MIN(Piano_SS!$C$10,(BZ498)+IF(AND(Motore_Operativo!C499&gt;=EDATE(Parametri_v3!$C$24,Ipotesi!K14*12),Motore_Operativo!C499&lt;EDATE(Parametri_v3!$C$24,Parametri_v3!$C$25+Ipotesi!K14*12)),MAX(0,(IF(15-(INT((Ipotesi!$C$91)/30))&lt;1,0,INDEX(Motore_Operativo!$BO$485:$BO$544,MAX(1,15-(INT((Ipotesi!$C$91)/30)))))*(1-(MOD((Ipotesi!$C$91),30)/30))+IF(15-(INT((Ipotesi!$C$91)/30))-1&lt;1,0,INDEX(Motore_Operativo!$BO$485:$BO$544,MAX(1,15-(INT((Ipotesi!$C$91)/30))-1)))*(MOD((Ipotesi!$C$91),30)/30)))*Piano_SS!$D$10,0))</f>
        <v>9833.33333333333</v>
      </c>
      <c r="CA499" s="15" t="n">
        <f aca="false">SUM(BV499:BZ499)</f>
        <v>123887.889448159</v>
      </c>
      <c r="CB499" s="15" t="n">
        <f aca="false">BV499*(1-Piano_SS!$E$6)+BW499*(1-Piano_SS!$E$7)+BX499*(1-Piano_SS!$E$8)+BY499*(1-Piano_SS!$E$9)+BZ499*(1-Piano_SS!$E$10)</f>
        <v>114054.556114825</v>
      </c>
      <c r="CC499" s="15" t="n">
        <f aca="false">(CC498)+BA499</f>
        <v>0</v>
      </c>
      <c r="CD499" s="15" t="n">
        <f aca="false">IF(CA499=0,0,CC499*CB499/CA499*Ipotesi!$C$103*Parametri_v3!$C$64)</f>
        <v>0</v>
      </c>
      <c r="CE499" s="18" t="n">
        <f aca="false">IF(BA499&gt;0,Motore_Operativo!C499,(CE498))</f>
        <v>0</v>
      </c>
      <c r="CF499" s="18" t="n">
        <f aca="false">IF(AND(CC499&gt;0,OR(CC499&gt;=CG499-0.01,Motore_Operativo!C499&gt;=EDATE(MAX(Finanziamenti!$D$15:$D$17),Ipotesi!K14*12))),CE499,0)</f>
        <v>0</v>
      </c>
      <c r="CG499" s="15" t="n">
        <f aca="false">IF(AND(9&lt;&gt;6,9&lt;&gt;9,Finanziamenti!$F$11=1,OR(Parametri_v3!$C$6=0,Finanziamenti!$E$11=1)),MIN(Finanziamenti!$C$11,Piano_SS!$C$12*Ipotesi!$C$102),0)</f>
        <v>0</v>
      </c>
      <c r="CH499" s="15" t="n">
        <f aca="false">IF(AND(AND(9&lt;&gt;8,9&lt;&gt;9,Finanziamenti!$F$10=1,OR(Parametri_v3!$C$6=0,Finanziamenti!$E$10=1)),Motore_Operativo!C499&gt;=Finanziamenti!$D$10,Motore_Operativo!C499&lt;Parametri_v3!$C$63),Finanziamenti!$C$10,0)</f>
        <v>0</v>
      </c>
    </row>
    <row r="500" customFormat="false" ht="18" hidden="false" customHeight="true" outlineLevel="0" collapsed="false">
      <c r="A500" s="68" t="n">
        <f aca="false">9</f>
        <v>9</v>
      </c>
      <c r="B500" s="68" t="n">
        <f aca="false">16</f>
        <v>16</v>
      </c>
      <c r="C500" s="18" t="n">
        <f aca="false">Motore_Operativo!C500</f>
        <v>46844</v>
      </c>
      <c r="D500" s="68" t="n">
        <f aca="false">Motore_Operativo!D500</f>
        <v>2028</v>
      </c>
      <c r="E500" s="68" t="n">
        <f aca="false">Motore_Operativo!E500</f>
        <v>4</v>
      </c>
      <c r="F500" s="15" t="n">
        <f aca="false">Motore_Operativo!AQ500+Motore_Operativo!BF500</f>
        <v>24588.3602789749</v>
      </c>
      <c r="G500" s="15" t="n">
        <f aca="false">Motore_Operativo!BH500</f>
        <v>3398.1220657277</v>
      </c>
      <c r="H500" s="15" t="n">
        <f aca="false">Motore_Operativo!BI500</f>
        <v>27986.4823447026</v>
      </c>
      <c r="I500" s="15" t="n">
        <f aca="false">Motore_Operativo!CA500</f>
        <v>57155.1474343617</v>
      </c>
      <c r="J500" s="15" t="n">
        <f aca="false">Motore_Operativo!CC500</f>
        <v>-29168.665089659</v>
      </c>
      <c r="K500" s="15" t="n">
        <f aca="false">Motore_Operativo!CE500</f>
        <v>2083.33333333333</v>
      </c>
      <c r="L500" s="15" t="n">
        <f aca="false">SUM(INDEX($K$485:$K$544,MAX(1,16-Parametri_v3!$C$59+1)):K500)/Parametri_v3!$C$59</f>
        <v>787.037037037037</v>
      </c>
      <c r="M500" s="15" t="n">
        <f aca="false">J500-L500</f>
        <v>-29955.7021266961</v>
      </c>
      <c r="N500" s="15" t="n">
        <f aca="false">CD500-(CD499)</f>
        <v>0</v>
      </c>
      <c r="O500" s="15" t="n">
        <f aca="false">(BG499)*Ipotesi!$C$110/12+CH500*Parametri_v3!$C$39/12</f>
        <v>0</v>
      </c>
      <c r="P500" s="15" t="n">
        <f aca="false">M500+N500-O500</f>
        <v>-29955.7021266961</v>
      </c>
      <c r="Q500" s="15" t="n">
        <f aca="false">SUM(P497:P500)+Parametri_v3!$C$54*4/12</f>
        <v>-122069.036548657</v>
      </c>
      <c r="R500" s="15" t="n">
        <f aca="false">Z496</f>
        <v>223792.058479532</v>
      </c>
      <c r="S500" s="15" t="n">
        <f aca="false">AA496</f>
        <v>0</v>
      </c>
      <c r="T500" s="15" t="n">
        <f aca="false">MIN(R500,MAX(0,Q500))</f>
        <v>0</v>
      </c>
      <c r="U500" s="15" t="n">
        <f aca="false">MIN(S500,MAX(0,Q500-T500)*Parametri_v3!$C$42)</f>
        <v>0</v>
      </c>
      <c r="V500" s="15" t="n">
        <f aca="false">MAX(0,Q500-T500-U500)*Ipotesi!$C$92</f>
        <v>0</v>
      </c>
      <c r="W500" s="15" t="n">
        <f aca="false">MAX(0,SUM(M497:M500)+Parametri_v3!$C$55*4/12)*Ipotesi!$C$93</f>
        <v>0</v>
      </c>
      <c r="X500" s="15" t="n">
        <f aca="false">V500+W500-(V499+W499)</f>
        <v>0</v>
      </c>
      <c r="Y500" s="15" t="n">
        <f aca="false">P500-X500</f>
        <v>-29955.7021266961</v>
      </c>
      <c r="Z500" s="15" t="n">
        <f aca="false">R500-T500+IF(AND(Parametri_v3!$C$40=1,D500-YEAR(Parametri_v3!$C$50)&lt;Parametri_v3!$C$41),MAX(0,-Q500),0)</f>
        <v>345861.095028189</v>
      </c>
      <c r="AA500" s="15" t="n">
        <f aca="false">S500-U500+IF(AND(Parametri_v3!$C$40=1,D500-YEAR(Parametri_v3!$C$50)&lt;Parametri_v3!$C$41),0,MAX(0,-Q500))</f>
        <v>0</v>
      </c>
      <c r="AB500" s="15" t="n">
        <f aca="false">F500*(1+Parametri_v3!$C$26)</f>
        <v>29997.7995403494</v>
      </c>
      <c r="AC500" s="15" t="n">
        <f aca="false">(IF(16-(INT((Motore_Operativo!L500)/30))&lt;1,0,INDEX(Motore_Startup!$AB$485:$AB$544,MAX(1,16-(INT((Motore_Operativo!L500)/30)))))*(1-(MOD((Motore_Operativo!L500),30)/30))+IF(16-(INT((Motore_Operativo!L500)/30))-1&lt;1,0,INDEX(Motore_Startup!$AB$485:$AB$544,MAX(1,16-(INT((Motore_Operativo!L500)/30))-1)))*(MOD((Motore_Operativo!L500),30)/30))</f>
        <v>28332.1080658998</v>
      </c>
      <c r="AD500" s="15" t="n">
        <f aca="false">(AD499)+AB500-AC500</f>
        <v>87980.0094882938</v>
      </c>
      <c r="AE500" s="15" t="n">
        <f aca="false">Motore_Operativo!BH500*(1+Parametri_v3!$C$26)</f>
        <v>4145.70892018779</v>
      </c>
      <c r="AF500" s="15" t="n">
        <f aca="false">(IF(16-(INT((Parametri_v3!$C$29)/30))&lt;1,0,INDEX(Motore_Operativo!$BH$485:$BH$544,MAX(1,16-(INT((Parametri_v3!$C$29)/30)))))*(1-(MOD((Parametri_v3!$C$29),30)/30))+IF(16-(INT((Parametri_v3!$C$29)/30))-1&lt;1,0,INDEX(Motore_Operativo!$BH$485:$BH$544,MAX(1,16-(INT((Parametri_v3!$C$29)/30))-1)))*(MOD((Parametri_v3!$C$29),30)/30))*(1+Parametri_v3!$C$26)</f>
        <v>4145.70892018779</v>
      </c>
      <c r="AG500" s="15" t="n">
        <f aca="false">(AG499)+AE500-AF500</f>
        <v>4145.70892018779</v>
      </c>
      <c r="AH500" s="15" t="n">
        <f aca="false">(Motore_Operativo!CJ500)*(1+Parametri_v3!$C$27*Parametri_v3!$C$26)</f>
        <v>20645.0725045873</v>
      </c>
      <c r="AI500" s="15" t="n">
        <f aca="false">(IF(16-(INT((Ipotesi!$C$91)/30))&lt;1,0,INDEX(Motore_Startup!$AH$485:$AH$544,MAX(1,16-(INT((Ipotesi!$C$91)/30)))))*(1-(MOD((Ipotesi!$C$91),30)/30))+IF(16-(INT((Ipotesi!$C$91)/30))-1&lt;1,0,INDEX(Motore_Startup!$AH$485:$AH$544,MAX(1,16-(INT((Ipotesi!$C$91)/30))-1)))*(MOD((Ipotesi!$C$91),30)/30))</f>
        <v>20478.2010450071</v>
      </c>
      <c r="AJ500" s="15" t="n">
        <f aca="false">(AJ499)+AH500-AI500</f>
        <v>41182.7664637702</v>
      </c>
      <c r="AK500" s="15" t="n">
        <f aca="false">(F500+ Motore_Operativo!BH500-(Motore_Operativo!CJ500)*Parametri_v3!$C$27-Motore_Operativo!CE500)*Parametri_v3!$C$26</f>
        <v>2446.26771227562</v>
      </c>
      <c r="AL500" s="15" t="n">
        <f aca="false">MAX(0,(AM499))</f>
        <v>2321.02935826023</v>
      </c>
      <c r="AM500" s="15" t="n">
        <f aca="false">(AM499)+AK500-AL500</f>
        <v>2446.26771227562</v>
      </c>
      <c r="AN500" s="15" t="n">
        <f aca="false">SUM(X485:X496)</f>
        <v>0</v>
      </c>
      <c r="AO500" s="15" t="n">
        <f aca="false">SUM(AP485:AP496)</f>
        <v>0</v>
      </c>
      <c r="AP500" s="15" t="n">
        <f aca="false">MAX(0,AN500)*IF(4=Parametri_v3!$C$43,Parametri_v3!$C$45,IF(4=Parametri_v3!$C$44,1-Parametri_v3!$C$45,0))</f>
        <v>0</v>
      </c>
      <c r="AQ500" s="15" t="n">
        <f aca="false">MAX(0,AP500+IF(4=Parametri_v3!$C$43,MAX(0,AN500-AO500),0)-MAX(0,-(AR499)))</f>
        <v>0</v>
      </c>
      <c r="AR500" s="15" t="n">
        <f aca="false">(AR499)+X500-AQ500</f>
        <v>0</v>
      </c>
      <c r="AS500" s="15" t="n">
        <f aca="false">Motore_Operativo!AB500-AT500+AU500</f>
        <v>37774.375</v>
      </c>
      <c r="AT500" s="15" t="n">
        <f aca="false">Motore_Operativo!CH500</f>
        <v>1988.125</v>
      </c>
      <c r="AU500" s="15" t="n">
        <f aca="false">MIN(MAX(0,(AV499)+AT500),Parametri_v3!$C$60/12)</f>
        <v>0</v>
      </c>
      <c r="AV500" s="15" t="n">
        <f aca="false">(AV499)+AT500-AU500</f>
        <v>18702.5</v>
      </c>
      <c r="AW500" s="15" t="n">
        <f aca="false">IF(AND(Motore_Operativo!C500=Finanziamenti!$D$6,Finanziamenti!$F$6=1),Finanziamenti!$C$6,0)</f>
        <v>0</v>
      </c>
      <c r="AX500" s="15" t="n">
        <f aca="false">IF(AND(9&lt;&gt;7,9&lt;&gt;9,Finanziamenti!$F$8=1,OR(Parametri_v3!$C$6=0,Finanziamenti!$E$8=1),Motore_Operativo!C500=EDATE(Finanziamenti!$D$8,Ipotesi!K15*12)),Finanziamenti!$C$8*1,0)+IF(AND(9&lt;&gt;7,9&lt;&gt;9,Finanziamenti!$F$9=1,OR(Parametri_v3!$C$6=0,Finanziamenti!$E$9=1),Motore_Operativo!C500=EDATE(Finanziamenti!$D$9,Ipotesi!K15*12)),Finanziamenti!$C$9*Ipotesi!K16,0)</f>
        <v>0</v>
      </c>
      <c r="AY500" s="15" t="n">
        <f aca="false">0</f>
        <v>0</v>
      </c>
      <c r="AZ500" s="15" t="n">
        <f aca="false">Motore_Advisory!AY500*(1-Ipotesi!$C$95)*Ipotesi!$C$96</f>
        <v>0</v>
      </c>
      <c r="BA500" s="15" t="n">
        <f aca="false">MAX(0,MIN(CG500*MIN(1,IF(Motore_Operativo!C500&gt;=EDATE(Finanziamenti!$D$15,Ipotesi!K14*12),Finanziamenti!$C$15,0)+IF(Motore_Operativo!C500&gt;=EDATE(Finanziamenti!$D$16,Ipotesi!K14*12),Finanziamenti!$C$16,0)+IF(Motore_Operativo!C500&gt;=EDATE(Finanziamenti!$D$17,Ipotesi!K14*12),Finanziamenti!$C$17,0)),CA500*Ipotesi!$C$102)-(CC499))</f>
        <v>0</v>
      </c>
      <c r="BB500" s="15" t="n">
        <f aca="false">IF(AND(CF500&gt;0,Motore_Operativo!C500&gt;=IF(CF500=0,0,EDATE(CF500,Parametri_v3!$C$37)),MOD(((D500-YEAR(IF(CF500=0,0,EDATE(CF500,Parametri_v3!$C$37))))*12+E500-MONTH(IF(CF500=0,0,EDATE(CF500,Parametri_v3!$C$37)))),Parametri_v3!$C$38)=0),MIN(MAX(0,(BC499)+BA500-N500),(CC500-CD500)/(Ipotesi!$C$108*12/Parametri_v3!$C$38)),0)</f>
        <v>0</v>
      </c>
      <c r="BC500" s="15" t="n">
        <f aca="false">(BC499)+BA500-N500-BB500</f>
        <v>0</v>
      </c>
      <c r="BD500" s="15" t="n">
        <f aca="false">(BH499)+AC500+AF500-AI500-AS500-K500*(1+Parametri_v3!$C$26)-AL500-AQ500-O500+AW500+AX500+AZ500+BA500-BB500</f>
        <v>-267576.575556921</v>
      </c>
      <c r="BE500" s="15" t="n">
        <f aca="false">MAX(0,MIN(MAX(0,CH500-(BG499)),Parametri_v3!$C$30-BD500))</f>
        <v>0</v>
      </c>
      <c r="BF500" s="15" t="n">
        <f aca="false">IF(Motore_Operativo!C500&gt;=Parametri_v3!$C$63,(BG499),MIN((BG499),MAX(0,BD500-Parametri_v3!$C$30)))</f>
        <v>0</v>
      </c>
      <c r="BG500" s="15" t="n">
        <f aca="false">(BG499)+BE500-BF500</f>
        <v>0</v>
      </c>
      <c r="BH500" s="15" t="n">
        <f aca="false">BD500+BE500-BF500-AY500</f>
        <v>-267576.575556921</v>
      </c>
      <c r="BI500" s="15" t="n">
        <f aca="false">MAX(0,Parametri_v3!$C$30-BH500)</f>
        <v>292576.575556921</v>
      </c>
      <c r="BJ500" s="15" t="n">
        <f aca="false">(BJ499)+K500</f>
        <v>28333.3333333333</v>
      </c>
      <c r="BK500" s="15" t="n">
        <f aca="false">(BK499)+L500</f>
        <v>6412.03703703704</v>
      </c>
      <c r="BL500" s="15" t="n">
        <f aca="false">BJ500-BK500</f>
        <v>21921.2962962963</v>
      </c>
      <c r="BM500" s="15" t="n">
        <f aca="false">(BM499)+Y500</f>
        <v>-345861.095028189</v>
      </c>
      <c r="BN500" s="15" t="n">
        <f aca="false">(BN499)+AW500+AX500+AZ500</f>
        <v>130000</v>
      </c>
      <c r="BO500" s="15" t="n">
        <f aca="false">(BO499)+AY500</f>
        <v>0</v>
      </c>
      <c r="BP500" s="15" t="n">
        <f aca="false">0</f>
        <v>0</v>
      </c>
      <c r="BQ500" s="15" t="n">
        <f aca="false">BN500+BM500-BO500</f>
        <v>-215861.095028189</v>
      </c>
      <c r="BR500" s="15" t="n">
        <f aca="false">BH500+AD500+BL500+MAX(0,-AM500)+MAX(0,-AR500)+AG500</f>
        <v>-153529.560852143</v>
      </c>
      <c r="BS500" s="15" t="n">
        <f aca="false">AJ500+AV500+MAX(0,AM500)+MAX(0,AR500)+BC500+BG500+BQ500</f>
        <v>-153529.560852143</v>
      </c>
      <c r="BT500" s="15" t="n">
        <f aca="false">BR500-BS500</f>
        <v>0</v>
      </c>
      <c r="BU500" s="15" t="n">
        <f aca="false">BH500-(BD500+BE500-BF500-AY500)</f>
        <v>0</v>
      </c>
      <c r="BV500" s="15" t="n">
        <f aca="false">MIN(Piano_SS!$C$6,(BV499)+IF(AND(Motore_Operativo!C500&gt;=EDATE(Parametri_v3!$C$24,Ipotesi!K14*12),Motore_Operativo!C500&lt;EDATE(Parametri_v3!$C$24,Parametri_v3!$C$25+Ipotesi!K14*12)),MAX(0,(Motore_Operativo!Y500+Motore_Operativo!X500*Parametri_v3!$C$14)*(1-Parametri_v3!$C$32))*Piano_SS!$D$6,0))</f>
        <v>77425</v>
      </c>
      <c r="BW500" s="15" t="n">
        <f aca="false">MIN(Piano_SS!$C$7,(BW499)+IF(AND(Motore_Operativo!C500&gt;=EDATE(Parametri_v3!$C$24,Ipotesi!K14*12),Motore_Operativo!C500&lt;EDATE(Parametri_v3!$C$24,Parametri_v3!$C$25+Ipotesi!K14*12)),MAX(0,(IF(16-(INT((Ipotesi!$C$91)/30))&lt;1,0,INDEX(Motore_Operativo!$BN$485:$BN$544,MAX(1,16-(INT((Ipotesi!$C$91)/30)))))*(1-(MOD((Ipotesi!$C$91),30)/30))+IF(16-(INT((Ipotesi!$C$91)/30))-1&lt;1,0,INDEX(Motore_Operativo!$BN$485:$BN$544,MAX(1,16-(INT((Ipotesi!$C$91)/30))-1)))*(MOD((Ipotesi!$C$91),30)/30)))*Piano_SS!$D$7,0))</f>
        <v>13120.8753978901</v>
      </c>
      <c r="BX500" s="15" t="n">
        <f aca="false">MIN(Piano_SS!$C$8,(BX499)+IF(AND(Motore_Operativo!C500&gt;=EDATE(Parametri_v3!$C$24,Ipotesi!K14*12),Motore_Operativo!C500&lt;EDATE(Parametri_v3!$C$24,Parametri_v3!$C$25+Ipotesi!K14*12)),MAX(0,Motore_Operativo!CE500)*Piano_SS!$D$8,0))</f>
        <v>18333.3333333333</v>
      </c>
      <c r="BY500" s="15" t="n">
        <f aca="false">MIN(Piano_SS!$C$9,(BY499)+IF(AND(Motore_Operativo!C500&gt;=EDATE(Parametri_v3!$C$24,Ipotesi!K14*12),Motore_Operativo!C500&lt;EDATE(Parametri_v3!$C$24,Parametri_v3!$C$25+Ipotesi!K14*12)),MAX(0,((IF(16-(INT((Ipotesi!$C$91)/30))&lt;1,0,INDEX(Motore_Operativo!$BQ$485:$BQ$544,MAX(1,16-(INT((Ipotesi!$C$91)/30)))))*(1-(MOD((Ipotesi!$C$91),30)/30))+IF(16-(INT((Ipotesi!$C$91)/30))-1&lt;1,0,INDEX(Motore_Operativo!$BQ$485:$BQ$544,MAX(1,16-(INT((Ipotesi!$C$91)/30))-1)))*(MOD((Ipotesi!$C$91),30)/30))+(IF(16-(INT((Ipotesi!$C$91)/30))&lt;1,0,INDEX(Motore_Operativo!$BR$485:$BR$544,MAX(1,16-(INT((Ipotesi!$C$91)/30)))))*(1-(MOD((Ipotesi!$C$91),30)/30))+IF(16-(INT((Ipotesi!$C$91)/30))-1&lt;1,0,INDEX(Motore_Operativo!$BR$485:$BR$544,MAX(1,16-(INT((Ipotesi!$C$91)/30))-1)))*(MOD((Ipotesi!$C$91),30)/30))))*Piano_SS!$D$9,0))</f>
        <v>23833.3333333333</v>
      </c>
      <c r="BZ500" s="15" t="n">
        <f aca="false">MIN(Piano_SS!$C$10,(BZ499)+IF(AND(Motore_Operativo!C500&gt;=EDATE(Parametri_v3!$C$24,Ipotesi!K14*12),Motore_Operativo!C500&lt;EDATE(Parametri_v3!$C$24,Parametri_v3!$C$25+Ipotesi!K14*12)),MAX(0,(IF(16-(INT((Ipotesi!$C$91)/30))&lt;1,0,INDEX(Motore_Operativo!$BO$485:$BO$544,MAX(1,16-(INT((Ipotesi!$C$91)/30)))))*(1-(MOD((Ipotesi!$C$91),30)/30))+IF(16-(INT((Ipotesi!$C$91)/30))-1&lt;1,0,INDEX(Motore_Operativo!$BO$485:$BO$544,MAX(1,16-(INT((Ipotesi!$C$91)/30))-1)))*(MOD((Ipotesi!$C$91),30)/30)))*Piano_SS!$D$10,0))</f>
        <v>11666.6666666667</v>
      </c>
      <c r="CA500" s="15" t="n">
        <f aca="false">SUM(BV500:BZ500)</f>
        <v>144379.208731223</v>
      </c>
      <c r="CB500" s="15" t="n">
        <f aca="false">BV500*(1-Piano_SS!$E$6)+BW500*(1-Piano_SS!$E$7)+BX500*(1-Piano_SS!$E$8)+BY500*(1-Piano_SS!$E$9)+BZ500*(1-Piano_SS!$E$10)</f>
        <v>132712.542064557</v>
      </c>
      <c r="CC500" s="15" t="n">
        <f aca="false">(CC499)+BA500</f>
        <v>0</v>
      </c>
      <c r="CD500" s="15" t="n">
        <f aca="false">IF(CA500=0,0,CC500*CB500/CA500*Ipotesi!$C$103*Parametri_v3!$C$64)</f>
        <v>0</v>
      </c>
      <c r="CE500" s="18" t="n">
        <f aca="false">IF(BA500&gt;0,Motore_Operativo!C500,(CE499))</f>
        <v>0</v>
      </c>
      <c r="CF500" s="18" t="n">
        <f aca="false">IF(AND(CC500&gt;0,OR(CC500&gt;=CG500-0.01,Motore_Operativo!C500&gt;=EDATE(MAX(Finanziamenti!$D$15:$D$17),Ipotesi!K14*12))),CE500,0)</f>
        <v>0</v>
      </c>
      <c r="CG500" s="15" t="n">
        <f aca="false">IF(AND(9&lt;&gt;6,9&lt;&gt;9,Finanziamenti!$F$11=1,OR(Parametri_v3!$C$6=0,Finanziamenti!$E$11=1)),MIN(Finanziamenti!$C$11,Piano_SS!$C$12*Ipotesi!$C$102),0)</f>
        <v>0</v>
      </c>
      <c r="CH500" s="15" t="n">
        <f aca="false">IF(AND(AND(9&lt;&gt;8,9&lt;&gt;9,Finanziamenti!$F$10=1,OR(Parametri_v3!$C$6=0,Finanziamenti!$E$10=1)),Motore_Operativo!C500&gt;=Finanziamenti!$D$10,Motore_Operativo!C500&lt;Parametri_v3!$C$63),Finanziamenti!$C$10,0)</f>
        <v>0</v>
      </c>
    </row>
    <row r="501" customFormat="false" ht="18" hidden="false" customHeight="true" outlineLevel="0" collapsed="false">
      <c r="A501" s="68" t="n">
        <f aca="false">9</f>
        <v>9</v>
      </c>
      <c r="B501" s="68" t="n">
        <f aca="false">17</f>
        <v>17</v>
      </c>
      <c r="C501" s="18" t="n">
        <f aca="false">Motore_Operativo!C501</f>
        <v>46874</v>
      </c>
      <c r="D501" s="68" t="n">
        <f aca="false">Motore_Operativo!D501</f>
        <v>2028</v>
      </c>
      <c r="E501" s="68" t="n">
        <f aca="false">Motore_Operativo!E501</f>
        <v>5</v>
      </c>
      <c r="F501" s="15" t="n">
        <f aca="false">Motore_Operativo!AQ501+Motore_Operativo!BF501</f>
        <v>25520.1545928181</v>
      </c>
      <c r="G501" s="15" t="n">
        <f aca="false">Motore_Operativo!BH501</f>
        <v>3398.1220657277</v>
      </c>
      <c r="H501" s="15" t="n">
        <f aca="false">Motore_Operativo!BI501</f>
        <v>28918.2766585458</v>
      </c>
      <c r="I501" s="15" t="n">
        <f aca="false">Motore_Operativo!CA501</f>
        <v>57285.5986382997</v>
      </c>
      <c r="J501" s="15" t="n">
        <f aca="false">Motore_Operativo!CC501</f>
        <v>-28367.3219797539</v>
      </c>
      <c r="K501" s="15" t="n">
        <f aca="false">Motore_Operativo!CE501</f>
        <v>2083.33333333333</v>
      </c>
      <c r="L501" s="15" t="n">
        <f aca="false">SUM(INDEX($K$485:$K$544,MAX(1,17-Parametri_v3!$C$59+1)):K501)/Parametri_v3!$C$59</f>
        <v>844.907407407407</v>
      </c>
      <c r="M501" s="15" t="n">
        <f aca="false">J501-L501</f>
        <v>-29212.2293871613</v>
      </c>
      <c r="N501" s="15" t="n">
        <f aca="false">CD501-(CD500)</f>
        <v>0</v>
      </c>
      <c r="O501" s="15" t="n">
        <f aca="false">(BG500)*Ipotesi!$C$110/12+CH501*Parametri_v3!$C$39/12</f>
        <v>0</v>
      </c>
      <c r="P501" s="15" t="n">
        <f aca="false">M501+N501-O501</f>
        <v>-29212.2293871613</v>
      </c>
      <c r="Q501" s="15" t="n">
        <f aca="false">SUM(P497:P501)+Parametri_v3!$C$54*5/12</f>
        <v>-151281.265935818</v>
      </c>
      <c r="R501" s="15" t="n">
        <f aca="false">Z496</f>
        <v>223792.058479532</v>
      </c>
      <c r="S501" s="15" t="n">
        <f aca="false">AA496</f>
        <v>0</v>
      </c>
      <c r="T501" s="15" t="n">
        <f aca="false">MIN(R501,MAX(0,Q501))</f>
        <v>0</v>
      </c>
      <c r="U501" s="15" t="n">
        <f aca="false">MIN(S501,MAX(0,Q501-T501)*Parametri_v3!$C$42)</f>
        <v>0</v>
      </c>
      <c r="V501" s="15" t="n">
        <f aca="false">MAX(0,Q501-T501-U501)*Ipotesi!$C$92</f>
        <v>0</v>
      </c>
      <c r="W501" s="15" t="n">
        <f aca="false">MAX(0,SUM(M497:M501)+Parametri_v3!$C$55*5/12)*Ipotesi!$C$93</f>
        <v>0</v>
      </c>
      <c r="X501" s="15" t="n">
        <f aca="false">V501+W501-(V500+W500)</f>
        <v>0</v>
      </c>
      <c r="Y501" s="15" t="n">
        <f aca="false">P501-X501</f>
        <v>-29212.2293871613</v>
      </c>
      <c r="Z501" s="15" t="n">
        <f aca="false">R501-T501+IF(AND(Parametri_v3!$C$40=1,D501-YEAR(Parametri_v3!$C$50)&lt;Parametri_v3!$C$41),MAX(0,-Q501),0)</f>
        <v>375073.32441535</v>
      </c>
      <c r="AA501" s="15" t="n">
        <f aca="false">S501-U501+IF(AND(Parametri_v3!$C$40=1,D501-YEAR(Parametri_v3!$C$50)&lt;Parametri_v3!$C$41),0,MAX(0,-Q501))</f>
        <v>0</v>
      </c>
      <c r="AB501" s="15" t="n">
        <f aca="false">F501*(1+Parametri_v3!$C$26)</f>
        <v>31134.5886032381</v>
      </c>
      <c r="AC501" s="15" t="n">
        <f aca="false">(IF(17-(INT((Motore_Operativo!L501)/30))&lt;1,0,INDEX(Motore_Startup!$AB$485:$AB$544,MAX(1,17-(INT((Motore_Operativo!L501)/30)))))*(1-(MOD((Motore_Operativo!L501),30)/30))+IF(17-(INT((Motore_Operativo!L501)/30))-1&lt;1,0,INDEX(Motore_Startup!$AB$485:$AB$544,MAX(1,17-(INT((Motore_Operativo!L501)/30))-1)))*(MOD((Motore_Operativo!L501),30)/30))</f>
        <v>28772.7232334064</v>
      </c>
      <c r="AD501" s="15" t="n">
        <f aca="false">(AD500)+AB501-AC501</f>
        <v>90341.8748581255</v>
      </c>
      <c r="AE501" s="15" t="n">
        <f aca="false">Motore_Operativo!BH501*(1+Parametri_v3!$C$26)</f>
        <v>4145.70892018779</v>
      </c>
      <c r="AF501" s="15" t="n">
        <f aca="false">(IF(17-(INT((Parametri_v3!$C$29)/30))&lt;1,0,INDEX(Motore_Operativo!$BH$485:$BH$544,MAX(1,17-(INT((Parametri_v3!$C$29)/30)))))*(1-(MOD((Parametri_v3!$C$29),30)/30))+IF(17-(INT((Parametri_v3!$C$29)/30))-1&lt;1,0,INDEX(Motore_Operativo!$BH$485:$BH$544,MAX(1,17-(INT((Parametri_v3!$C$29)/30))-1)))*(MOD((Parametri_v3!$C$29),30)/30))*(1+Parametri_v3!$C$26)</f>
        <v>4145.70892018779</v>
      </c>
      <c r="AG501" s="15" t="n">
        <f aca="false">(AG500)+AE501-AF501</f>
        <v>4145.70892018779</v>
      </c>
      <c r="AH501" s="15" t="n">
        <f aca="false">(Motore_Operativo!CJ501)*(1+Parametri_v3!$C$27*Parametri_v3!$C$26)</f>
        <v>20799.9180836617</v>
      </c>
      <c r="AI501" s="15" t="n">
        <f aca="false">(IF(17-(INT((Ipotesi!$C$91)/30))&lt;1,0,INDEX(Motore_Startup!$AH$485:$AH$544,MAX(1,17-(INT((Ipotesi!$C$91)/30)))))*(1-(MOD((Ipotesi!$C$91),30)/30))+IF(17-(INT((Ipotesi!$C$91)/30))-1&lt;1,0,INDEX(Motore_Startup!$AH$485:$AH$544,MAX(1,17-(INT((Ipotesi!$C$91)/30))-1)))*(MOD((Ipotesi!$C$91),30)/30))</f>
        <v>20537.6939591829</v>
      </c>
      <c r="AJ501" s="15" t="n">
        <f aca="false">(AJ500)+AH501-AI501</f>
        <v>41444.9905882491</v>
      </c>
      <c r="AK501" s="15" t="n">
        <f aca="false">(F501+ Motore_Operativo!BH501-(Motore_Operativo!CJ501)*Parametri_v3!$C$27-Motore_Operativo!CE501)*Parametri_v3!$C$26</f>
        <v>2626.8680861847</v>
      </c>
      <c r="AL501" s="15" t="n">
        <f aca="false">MAX(0,(AM500))</f>
        <v>2446.26771227562</v>
      </c>
      <c r="AM501" s="15" t="n">
        <f aca="false">(AM500)+AK501-AL501</f>
        <v>2626.8680861847</v>
      </c>
      <c r="AN501" s="15" t="n">
        <f aca="false">SUM(X485:X496)</f>
        <v>0</v>
      </c>
      <c r="AO501" s="15" t="n">
        <f aca="false">SUM(AP485:AP496)</f>
        <v>0</v>
      </c>
      <c r="AP501" s="15" t="n">
        <f aca="false">MAX(0,AN501)*IF(5=Parametri_v3!$C$43,Parametri_v3!$C$45,IF(5=Parametri_v3!$C$44,1-Parametri_v3!$C$45,0))</f>
        <v>0</v>
      </c>
      <c r="AQ501" s="15" t="n">
        <f aca="false">MAX(0,AP501+IF(5=Parametri_v3!$C$43,MAX(0,AN501-AO501),0)-MAX(0,-(AR500)))</f>
        <v>0</v>
      </c>
      <c r="AR501" s="15" t="n">
        <f aca="false">(AR500)+X501-AQ501</f>
        <v>0</v>
      </c>
      <c r="AS501" s="15" t="n">
        <f aca="false">Motore_Operativo!AB501-AT501+AU501</f>
        <v>37774.375</v>
      </c>
      <c r="AT501" s="15" t="n">
        <f aca="false">Motore_Operativo!CH501</f>
        <v>1988.125</v>
      </c>
      <c r="AU501" s="15" t="n">
        <f aca="false">MIN(MAX(0,(AV500)+AT501),Parametri_v3!$C$60/12)</f>
        <v>0</v>
      </c>
      <c r="AV501" s="15" t="n">
        <f aca="false">(AV500)+AT501-AU501</f>
        <v>20690.625</v>
      </c>
      <c r="AW501" s="15" t="n">
        <f aca="false">IF(AND(Motore_Operativo!C501=Finanziamenti!$D$6,Finanziamenti!$F$6=1),Finanziamenti!$C$6,0)</f>
        <v>0</v>
      </c>
      <c r="AX501" s="15" t="n">
        <f aca="false">IF(AND(9&lt;&gt;7,9&lt;&gt;9,Finanziamenti!$F$8=1,OR(Parametri_v3!$C$6=0,Finanziamenti!$E$8=1),Motore_Operativo!C501=EDATE(Finanziamenti!$D$8,Ipotesi!K15*12)),Finanziamenti!$C$8*1,0)+IF(AND(9&lt;&gt;7,9&lt;&gt;9,Finanziamenti!$F$9=1,OR(Parametri_v3!$C$6=0,Finanziamenti!$E$9=1),Motore_Operativo!C501=EDATE(Finanziamenti!$D$9,Ipotesi!K15*12)),Finanziamenti!$C$9*Ipotesi!K16,0)</f>
        <v>0</v>
      </c>
      <c r="AY501" s="15" t="n">
        <f aca="false">0</f>
        <v>0</v>
      </c>
      <c r="AZ501" s="15" t="n">
        <f aca="false">Motore_Advisory!AY501*(1-Ipotesi!$C$95)*Ipotesi!$C$96</f>
        <v>0</v>
      </c>
      <c r="BA501" s="15" t="n">
        <f aca="false">MAX(0,MIN(CG501*MIN(1,IF(Motore_Operativo!C501&gt;=EDATE(Finanziamenti!$D$15,Ipotesi!K14*12),Finanziamenti!$C$15,0)+IF(Motore_Operativo!C501&gt;=EDATE(Finanziamenti!$D$16,Ipotesi!K14*12),Finanziamenti!$C$16,0)+IF(Motore_Operativo!C501&gt;=EDATE(Finanziamenti!$D$17,Ipotesi!K14*12),Finanziamenti!$C$17,0)),CA501*Ipotesi!$C$102)-(CC500))</f>
        <v>0</v>
      </c>
      <c r="BB501" s="15" t="n">
        <f aca="false">IF(AND(CF501&gt;0,Motore_Operativo!C501&gt;=IF(CF501=0,0,EDATE(CF501,Parametri_v3!$C$37)),MOD(((D501-YEAR(IF(CF501=0,0,EDATE(CF501,Parametri_v3!$C$37))))*12+E501-MONTH(IF(CF501=0,0,EDATE(CF501,Parametri_v3!$C$37)))),Parametri_v3!$C$38)=0),MIN(MAX(0,(BC500)+BA501-N501),(CC501-CD501)/(Ipotesi!$C$108*12/Parametri_v3!$C$38)),0)</f>
        <v>0</v>
      </c>
      <c r="BC501" s="15" t="n">
        <f aca="false">(BC500)+BA501-N501-BB501</f>
        <v>0</v>
      </c>
      <c r="BD501" s="15" t="n">
        <f aca="false">(BH500)+AC501+AF501-AI501-AS501-K501*(1+Parametri_v3!$C$26)-AL501-AQ501-O501+AW501+AX501+AZ501+BA501-BB501</f>
        <v>-297958.146741452</v>
      </c>
      <c r="BE501" s="15" t="n">
        <f aca="false">MAX(0,MIN(MAX(0,CH501-(BG500)),Parametri_v3!$C$30-BD501))</f>
        <v>0</v>
      </c>
      <c r="BF501" s="15" t="n">
        <f aca="false">IF(Motore_Operativo!C501&gt;=Parametri_v3!$C$63,(BG500),MIN((BG500),MAX(0,BD501-Parametri_v3!$C$30)))</f>
        <v>0</v>
      </c>
      <c r="BG501" s="15" t="n">
        <f aca="false">(BG500)+BE501-BF501</f>
        <v>0</v>
      </c>
      <c r="BH501" s="15" t="n">
        <f aca="false">BD501+BE501-BF501-AY501</f>
        <v>-297958.146741452</v>
      </c>
      <c r="BI501" s="15" t="n">
        <f aca="false">MAX(0,Parametri_v3!$C$30-BH501)</f>
        <v>322958.146741452</v>
      </c>
      <c r="BJ501" s="15" t="n">
        <f aca="false">(BJ500)+K501</f>
        <v>30416.6666666667</v>
      </c>
      <c r="BK501" s="15" t="n">
        <f aca="false">(BK500)+L501</f>
        <v>7256.94444444445</v>
      </c>
      <c r="BL501" s="15" t="n">
        <f aca="false">BJ501-BK501</f>
        <v>23159.7222222222</v>
      </c>
      <c r="BM501" s="15" t="n">
        <f aca="false">(BM500)+Y501</f>
        <v>-375073.32441535</v>
      </c>
      <c r="BN501" s="15" t="n">
        <f aca="false">(BN500)+AW501+AX501+AZ501</f>
        <v>130000</v>
      </c>
      <c r="BO501" s="15" t="n">
        <f aca="false">(BO500)+AY501</f>
        <v>0</v>
      </c>
      <c r="BP501" s="15" t="n">
        <f aca="false">0</f>
        <v>0</v>
      </c>
      <c r="BQ501" s="15" t="n">
        <f aca="false">BN501+BM501-BO501</f>
        <v>-245073.32441535</v>
      </c>
      <c r="BR501" s="15" t="n">
        <f aca="false">BH501+AD501+BL501+MAX(0,-AM501)+MAX(0,-AR501)+AG501</f>
        <v>-180310.840740916</v>
      </c>
      <c r="BS501" s="15" t="n">
        <f aca="false">AJ501+AV501+MAX(0,AM501)+MAX(0,AR501)+BC501+BG501+BQ501</f>
        <v>-180310.840740916</v>
      </c>
      <c r="BT501" s="15" t="n">
        <f aca="false">BR501-BS501</f>
        <v>0</v>
      </c>
      <c r="BU501" s="15" t="n">
        <f aca="false">BH501-(BD501+BE501-BF501-AY501)</f>
        <v>0</v>
      </c>
      <c r="BV501" s="15" t="n">
        <f aca="false">MIN(Piano_SS!$C$6,(BV500)+IF(AND(Motore_Operativo!C501&gt;=EDATE(Parametri_v3!$C$24,Ipotesi!K14*12),Motore_Operativo!C501&lt;EDATE(Parametri_v3!$C$24,Parametri_v3!$C$25+Ipotesi!K14*12)),MAX(0,(Motore_Operativo!Y501+Motore_Operativo!X501*Parametri_v3!$C$14)*(1-Parametri_v3!$C$32))*Piano_SS!$D$6,0))</f>
        <v>89656.25</v>
      </c>
      <c r="BW501" s="15" t="n">
        <f aca="false">MIN(Piano_SS!$C$7,(BW500)+IF(AND(Motore_Operativo!C501&gt;=EDATE(Parametri_v3!$C$24,Ipotesi!K14*12),Motore_Operativo!C501&lt;EDATE(Parametri_v3!$C$24,Parametri_v3!$C$25+Ipotesi!K14*12)),MAX(0,(IF(17-(INT((Ipotesi!$C$91)/30))&lt;1,0,INDEX(Motore_Operativo!$BN$485:$BN$544,MAX(1,17-(INT((Ipotesi!$C$91)/30)))))*(1-(MOD((Ipotesi!$C$91),30)/30))+IF(17-(INT((Ipotesi!$C$91)/30))-1&lt;1,0,INDEX(Motore_Operativo!$BN$485:$BN$544,MAX(1,17-(INT((Ipotesi!$C$91)/30))-1)))*(MOD((Ipotesi!$C$91),30)/30)))*Piano_SS!$D$7,0))</f>
        <v>14576.2515758926</v>
      </c>
      <c r="BX501" s="15" t="n">
        <f aca="false">MIN(Piano_SS!$C$8,(BX500)+IF(AND(Motore_Operativo!C501&gt;=EDATE(Parametri_v3!$C$24,Ipotesi!K14*12),Motore_Operativo!C501&lt;EDATE(Parametri_v3!$C$24,Parametri_v3!$C$25+Ipotesi!K14*12)),MAX(0,Motore_Operativo!CE501)*Piano_SS!$D$8,0))</f>
        <v>20416.6666666667</v>
      </c>
      <c r="BY501" s="15" t="n">
        <f aca="false">MIN(Piano_SS!$C$9,(BY500)+IF(AND(Motore_Operativo!C501&gt;=EDATE(Parametri_v3!$C$24,Ipotesi!K14*12),Motore_Operativo!C501&lt;EDATE(Parametri_v3!$C$24,Parametri_v3!$C$25+Ipotesi!K14*12)),MAX(0,((IF(17-(INT((Ipotesi!$C$91)/30))&lt;1,0,INDEX(Motore_Operativo!$BQ$485:$BQ$544,MAX(1,17-(INT((Ipotesi!$C$91)/30)))))*(1-(MOD((Ipotesi!$C$91),30)/30))+IF(17-(INT((Ipotesi!$C$91)/30))-1&lt;1,0,INDEX(Motore_Operativo!$BQ$485:$BQ$544,MAX(1,17-(INT((Ipotesi!$C$91)/30))-1)))*(MOD((Ipotesi!$C$91),30)/30))+(IF(17-(INT((Ipotesi!$C$91)/30))&lt;1,0,INDEX(Motore_Operativo!$BR$485:$BR$544,MAX(1,17-(INT((Ipotesi!$C$91)/30)))))*(1-(MOD((Ipotesi!$C$91),30)/30))+IF(17-(INT((Ipotesi!$C$91)/30))-1&lt;1,0,INDEX(Motore_Operativo!$BR$485:$BR$544,MAX(1,17-(INT((Ipotesi!$C$91)/30))-1)))*(MOD((Ipotesi!$C$91),30)/30))))*Piano_SS!$D$9,0))</f>
        <v>26750</v>
      </c>
      <c r="BZ501" s="15" t="n">
        <f aca="false">MIN(Piano_SS!$C$10,(BZ500)+IF(AND(Motore_Operativo!C501&gt;=EDATE(Parametri_v3!$C$24,Ipotesi!K14*12),Motore_Operativo!C501&lt;EDATE(Parametri_v3!$C$24,Parametri_v3!$C$25+Ipotesi!K14*12)),MAX(0,(IF(17-(INT((Ipotesi!$C$91)/30))&lt;1,0,INDEX(Motore_Operativo!$BO$485:$BO$544,MAX(1,17-(INT((Ipotesi!$C$91)/30)))))*(1-(MOD((Ipotesi!$C$91),30)/30))+IF(17-(INT((Ipotesi!$C$91)/30))-1&lt;1,0,INDEX(Motore_Operativo!$BO$485:$BO$544,MAX(1,17-(INT((Ipotesi!$C$91)/30))-1)))*(MOD((Ipotesi!$C$91),30)/30)))*Piano_SS!$D$10,0))</f>
        <v>13500</v>
      </c>
      <c r="CA501" s="15" t="n">
        <f aca="false">SUM(BV501:BZ501)</f>
        <v>164899.168242559</v>
      </c>
      <c r="CB501" s="15" t="n">
        <f aca="false">BV501*(1-Piano_SS!$E$6)+BW501*(1-Piano_SS!$E$7)+BX501*(1-Piano_SS!$E$8)+BY501*(1-Piano_SS!$E$9)+BZ501*(1-Piano_SS!$E$10)</f>
        <v>151399.168242559</v>
      </c>
      <c r="CC501" s="15" t="n">
        <f aca="false">(CC500)+BA501</f>
        <v>0</v>
      </c>
      <c r="CD501" s="15" t="n">
        <f aca="false">IF(CA501=0,0,CC501*CB501/CA501*Ipotesi!$C$103*Parametri_v3!$C$64)</f>
        <v>0</v>
      </c>
      <c r="CE501" s="18" t="n">
        <f aca="false">IF(BA501&gt;0,Motore_Operativo!C501,(CE500))</f>
        <v>0</v>
      </c>
      <c r="CF501" s="18" t="n">
        <f aca="false">IF(AND(CC501&gt;0,OR(CC501&gt;=CG501-0.01,Motore_Operativo!C501&gt;=EDATE(MAX(Finanziamenti!$D$15:$D$17),Ipotesi!K14*12))),CE501,0)</f>
        <v>0</v>
      </c>
      <c r="CG501" s="15" t="n">
        <f aca="false">IF(AND(9&lt;&gt;6,9&lt;&gt;9,Finanziamenti!$F$11=1,OR(Parametri_v3!$C$6=0,Finanziamenti!$E$11=1)),MIN(Finanziamenti!$C$11,Piano_SS!$C$12*Ipotesi!$C$102),0)</f>
        <v>0</v>
      </c>
      <c r="CH501" s="15" t="n">
        <f aca="false">IF(AND(AND(9&lt;&gt;8,9&lt;&gt;9,Finanziamenti!$F$10=1,OR(Parametri_v3!$C$6=0,Finanziamenti!$E$10=1)),Motore_Operativo!C501&gt;=Finanziamenti!$D$10,Motore_Operativo!C501&lt;Parametri_v3!$C$63),Finanziamenti!$C$10,0)</f>
        <v>0</v>
      </c>
    </row>
    <row r="502" customFormat="false" ht="18" hidden="false" customHeight="true" outlineLevel="0" collapsed="false">
      <c r="A502" s="68" t="n">
        <f aca="false">9</f>
        <v>9</v>
      </c>
      <c r="B502" s="68" t="n">
        <f aca="false">18</f>
        <v>18</v>
      </c>
      <c r="C502" s="18" t="n">
        <f aca="false">Motore_Operativo!C502</f>
        <v>46905</v>
      </c>
      <c r="D502" s="68" t="n">
        <f aca="false">Motore_Operativo!D502</f>
        <v>2028</v>
      </c>
      <c r="E502" s="68" t="n">
        <f aca="false">Motore_Operativo!E502</f>
        <v>6</v>
      </c>
      <c r="F502" s="15" t="n">
        <f aca="false">Motore_Operativo!AQ502+Motore_Operativo!BF502</f>
        <v>26443.8035232799</v>
      </c>
      <c r="G502" s="15" t="n">
        <f aca="false">Motore_Operativo!BH502</f>
        <v>3398.1220657277</v>
      </c>
      <c r="H502" s="15" t="n">
        <f aca="false">Motore_Operativo!BI502</f>
        <v>29841.9255890076</v>
      </c>
      <c r="I502" s="15" t="n">
        <f aca="false">Motore_Operativo!CA502</f>
        <v>57414.9094885644</v>
      </c>
      <c r="J502" s="15" t="n">
        <f aca="false">Motore_Operativo!CC502</f>
        <v>-27572.9838995568</v>
      </c>
      <c r="K502" s="15" t="n">
        <f aca="false">Motore_Operativo!CE502</f>
        <v>2083.33333333333</v>
      </c>
      <c r="L502" s="15" t="n">
        <f aca="false">SUM(INDEX($K$485:$K$544,MAX(1,18-Parametri_v3!$C$59+1)):K502)/Parametri_v3!$C$59</f>
        <v>902.777777777778</v>
      </c>
      <c r="M502" s="15" t="n">
        <f aca="false">J502-L502</f>
        <v>-28475.7616773345</v>
      </c>
      <c r="N502" s="15" t="n">
        <f aca="false">CD502-(CD501)</f>
        <v>0</v>
      </c>
      <c r="O502" s="15" t="n">
        <f aca="false">(BG501)*Ipotesi!$C$110/12+CH502*Parametri_v3!$C$39/12</f>
        <v>0</v>
      </c>
      <c r="P502" s="15" t="n">
        <f aca="false">M502+N502-O502</f>
        <v>-28475.7616773345</v>
      </c>
      <c r="Q502" s="15" t="n">
        <f aca="false">SUM(P497:P502)+Parametri_v3!$C$54*6/12</f>
        <v>-179757.027613153</v>
      </c>
      <c r="R502" s="15" t="n">
        <f aca="false">Z496</f>
        <v>223792.058479532</v>
      </c>
      <c r="S502" s="15" t="n">
        <f aca="false">AA496</f>
        <v>0</v>
      </c>
      <c r="T502" s="15" t="n">
        <f aca="false">MIN(R502,MAX(0,Q502))</f>
        <v>0</v>
      </c>
      <c r="U502" s="15" t="n">
        <f aca="false">MIN(S502,MAX(0,Q502-T502)*Parametri_v3!$C$42)</f>
        <v>0</v>
      </c>
      <c r="V502" s="15" t="n">
        <f aca="false">MAX(0,Q502-T502-U502)*Ipotesi!$C$92</f>
        <v>0</v>
      </c>
      <c r="W502" s="15" t="n">
        <f aca="false">MAX(0,SUM(M497:M502)+Parametri_v3!$C$55*6/12)*Ipotesi!$C$93</f>
        <v>0</v>
      </c>
      <c r="X502" s="15" t="n">
        <f aca="false">V502+W502-(V501+W501)</f>
        <v>0</v>
      </c>
      <c r="Y502" s="15" t="n">
        <f aca="false">P502-X502</f>
        <v>-28475.7616773345</v>
      </c>
      <c r="Z502" s="15" t="n">
        <f aca="false">R502-T502+IF(AND(Parametri_v3!$C$40=1,D502-YEAR(Parametri_v3!$C$50)&lt;Parametri_v3!$C$41),MAX(0,-Q502),0)</f>
        <v>403549.086092685</v>
      </c>
      <c r="AA502" s="15" t="n">
        <f aca="false">S502-U502+IF(AND(Parametri_v3!$C$40=1,D502-YEAR(Parametri_v3!$C$50)&lt;Parametri_v3!$C$41),0,MAX(0,-Q502))</f>
        <v>0</v>
      </c>
      <c r="AB502" s="15" t="n">
        <f aca="false">F502*(1+Parametri_v3!$C$26)</f>
        <v>32261.4402984015</v>
      </c>
      <c r="AC502" s="15" t="n">
        <f aca="false">(IF(18-(INT((Motore_Operativo!L502)/30))&lt;1,0,INDEX(Motore_Startup!$AB$485:$AB$544,MAX(1,18-(INT((Motore_Operativo!L502)/30)))))*(1-(MOD((Motore_Operativo!L502),30)/30))+IF(18-(INT((Motore_Operativo!L502)/30))-1&lt;1,0,INDEX(Motore_Startup!$AB$485:$AB$544,MAX(1,18-(INT((Motore_Operativo!L502)/30))-1)))*(MOD((Motore_Operativo!L502),30)/30))</f>
        <v>29209.486714538</v>
      </c>
      <c r="AD502" s="15" t="n">
        <f aca="false">(AD501)+AB502-AC502</f>
        <v>93393.828441989</v>
      </c>
      <c r="AE502" s="15" t="n">
        <f aca="false">Motore_Operativo!BH502*(1+Parametri_v3!$C$26)</f>
        <v>4145.70892018779</v>
      </c>
      <c r="AF502" s="15" t="n">
        <f aca="false">(IF(18-(INT((Parametri_v3!$C$29)/30))&lt;1,0,INDEX(Motore_Operativo!$BH$485:$BH$544,MAX(1,18-(INT((Parametri_v3!$C$29)/30)))))*(1-(MOD((Parametri_v3!$C$29),30)/30))+IF(18-(INT((Parametri_v3!$C$29)/30))-1&lt;1,0,INDEX(Motore_Operativo!$BH$485:$BH$544,MAX(1,18-(INT((Parametri_v3!$C$29)/30))-1)))*(MOD((Parametri_v3!$C$29),30)/30))*(1+Parametri_v3!$C$26)</f>
        <v>4145.70892018779</v>
      </c>
      <c r="AG502" s="15" t="n">
        <f aca="false">(AG501)+AE502-AF502</f>
        <v>4145.70892018779</v>
      </c>
      <c r="AH502" s="15" t="n">
        <f aca="false">(Motore_Operativo!CJ502)*(1+Parametri_v3!$C$27*Parametri_v3!$C$26)</f>
        <v>20953.4100629259</v>
      </c>
      <c r="AI502" s="15" t="n">
        <f aca="false">(IF(18-(INT((Ipotesi!$C$91)/30))&lt;1,0,INDEX(Motore_Startup!$AH$485:$AH$544,MAX(1,18-(INT((Ipotesi!$C$91)/30)))))*(1-(MOD((Ipotesi!$C$91),30)/30))+IF(18-(INT((Ipotesi!$C$91)/30))-1&lt;1,0,INDEX(Motore_Startup!$AH$485:$AH$544,MAX(1,18-(INT((Ipotesi!$C$91)/30))-1)))*(MOD((Ipotesi!$C$91),30)/30))</f>
        <v>20645.0725045873</v>
      </c>
      <c r="AJ502" s="15" t="n">
        <f aca="false">(AJ501)+AH502-AI502</f>
        <v>41753.3281465876</v>
      </c>
      <c r="AK502" s="15" t="n">
        <f aca="false">(F502+ Motore_Operativo!BH502-(Motore_Operativo!CJ502)*Parametri_v3!$C$27-Motore_Operativo!CE502)*Parametri_v3!$C$26</f>
        <v>2805.8897218868</v>
      </c>
      <c r="AL502" s="15" t="n">
        <f aca="false">MAX(0,(AM501))</f>
        <v>2626.8680861847</v>
      </c>
      <c r="AM502" s="15" t="n">
        <f aca="false">(AM501)+AK502-AL502</f>
        <v>2805.8897218868</v>
      </c>
      <c r="AN502" s="15" t="n">
        <f aca="false">SUM(X485:X496)</f>
        <v>0</v>
      </c>
      <c r="AO502" s="15" t="n">
        <f aca="false">SUM(AP485:AP496)</f>
        <v>0</v>
      </c>
      <c r="AP502" s="15" t="n">
        <f aca="false">MAX(0,AN502)*IF(6=Parametri_v3!$C$43,Parametri_v3!$C$45,IF(6=Parametri_v3!$C$44,1-Parametri_v3!$C$45,0))</f>
        <v>0</v>
      </c>
      <c r="AQ502" s="15" t="n">
        <f aca="false">MAX(0,AP502+IF(6=Parametri_v3!$C$43,MAX(0,AN502-AO502),0)-MAX(0,-(AR501)))</f>
        <v>0</v>
      </c>
      <c r="AR502" s="15" t="n">
        <f aca="false">(AR501)+X502-AQ502</f>
        <v>0</v>
      </c>
      <c r="AS502" s="15" t="n">
        <f aca="false">Motore_Operativo!AB502-AT502+AU502</f>
        <v>37774.375</v>
      </c>
      <c r="AT502" s="15" t="n">
        <f aca="false">Motore_Operativo!CH502</f>
        <v>1988.125</v>
      </c>
      <c r="AU502" s="15" t="n">
        <f aca="false">MIN(MAX(0,(AV501)+AT502),Parametri_v3!$C$60/12)</f>
        <v>0</v>
      </c>
      <c r="AV502" s="15" t="n">
        <f aca="false">(AV501)+AT502-AU502</f>
        <v>22678.75</v>
      </c>
      <c r="AW502" s="15" t="n">
        <f aca="false">IF(AND(Motore_Operativo!C502=Finanziamenti!$D$6,Finanziamenti!$F$6=1),Finanziamenti!$C$6,0)</f>
        <v>0</v>
      </c>
      <c r="AX502" s="15" t="n">
        <f aca="false">IF(AND(9&lt;&gt;7,9&lt;&gt;9,Finanziamenti!$F$8=1,OR(Parametri_v3!$C$6=0,Finanziamenti!$E$8=1),Motore_Operativo!C502=EDATE(Finanziamenti!$D$8,Ipotesi!K15*12)),Finanziamenti!$C$8*1,0)+IF(AND(9&lt;&gt;7,9&lt;&gt;9,Finanziamenti!$F$9=1,OR(Parametri_v3!$C$6=0,Finanziamenti!$E$9=1),Motore_Operativo!C502=EDATE(Finanziamenti!$D$9,Ipotesi!K15*12)),Finanziamenti!$C$9*Ipotesi!K16,0)</f>
        <v>0</v>
      </c>
      <c r="AY502" s="15" t="n">
        <f aca="false">0</f>
        <v>0</v>
      </c>
      <c r="AZ502" s="15" t="n">
        <f aca="false">Motore_Advisory!AY502*(1-Ipotesi!$C$95)*Ipotesi!$C$96</f>
        <v>0</v>
      </c>
      <c r="BA502" s="15" t="n">
        <f aca="false">MAX(0,MIN(CG502*MIN(1,IF(Motore_Operativo!C502&gt;=EDATE(Finanziamenti!$D$15,Ipotesi!K14*12),Finanziamenti!$C$15,0)+IF(Motore_Operativo!C502&gt;=EDATE(Finanziamenti!$D$16,Ipotesi!K14*12),Finanziamenti!$C$16,0)+IF(Motore_Operativo!C502&gt;=EDATE(Finanziamenti!$D$17,Ipotesi!K14*12),Finanziamenti!$C$17,0)),CA502*Ipotesi!$C$102)-(CC501))</f>
        <v>0</v>
      </c>
      <c r="BB502" s="15" t="n">
        <f aca="false">IF(AND(CF502&gt;0,Motore_Operativo!C502&gt;=IF(CF502=0,0,EDATE(CF502,Parametri_v3!$C$37)),MOD(((D502-YEAR(IF(CF502=0,0,EDATE(CF502,Parametri_v3!$C$37))))*12+E502-MONTH(IF(CF502=0,0,EDATE(CF502,Parametri_v3!$C$37)))),Parametri_v3!$C$38)=0),MIN(MAX(0,(BC501)+BA502-N502),(CC502-CD502)/(Ipotesi!$C$108*12/Parametri_v3!$C$38)),0)</f>
        <v>0</v>
      </c>
      <c r="BC502" s="15" t="n">
        <f aca="false">(BC501)+BA502-N502-BB502</f>
        <v>0</v>
      </c>
      <c r="BD502" s="15" t="n">
        <f aca="false">(BH501)+AC502+AF502-AI502-AS502-K502*(1+Parametri_v3!$C$26)-AL502-AQ502-O502+AW502+AX502+AZ502+BA502-BB502</f>
        <v>-328190.933364165</v>
      </c>
      <c r="BE502" s="15" t="n">
        <f aca="false">MAX(0,MIN(MAX(0,CH502-(BG501)),Parametri_v3!$C$30-BD502))</f>
        <v>0</v>
      </c>
      <c r="BF502" s="15" t="n">
        <f aca="false">IF(Motore_Operativo!C502&gt;=Parametri_v3!$C$63,(BG501),MIN((BG501),MAX(0,BD502-Parametri_v3!$C$30)))</f>
        <v>0</v>
      </c>
      <c r="BG502" s="15" t="n">
        <f aca="false">(BG501)+BE502-BF502</f>
        <v>0</v>
      </c>
      <c r="BH502" s="15" t="n">
        <f aca="false">BD502+BE502-BF502-AY502</f>
        <v>-328190.933364165</v>
      </c>
      <c r="BI502" s="15" t="n">
        <f aca="false">MAX(0,Parametri_v3!$C$30-BH502)</f>
        <v>353190.933364165</v>
      </c>
      <c r="BJ502" s="15" t="n">
        <f aca="false">(BJ501)+K502</f>
        <v>32500</v>
      </c>
      <c r="BK502" s="15" t="n">
        <f aca="false">(BK501)+L502</f>
        <v>8159.72222222222</v>
      </c>
      <c r="BL502" s="15" t="n">
        <f aca="false">BJ502-BK502</f>
        <v>24340.2777777778</v>
      </c>
      <c r="BM502" s="15" t="n">
        <f aca="false">(BM501)+Y502</f>
        <v>-403549.086092685</v>
      </c>
      <c r="BN502" s="15" t="n">
        <f aca="false">(BN501)+AW502+AX502+AZ502</f>
        <v>130000</v>
      </c>
      <c r="BO502" s="15" t="n">
        <f aca="false">(BO501)+AY502</f>
        <v>0</v>
      </c>
      <c r="BP502" s="15" t="n">
        <f aca="false">0</f>
        <v>0</v>
      </c>
      <c r="BQ502" s="15" t="n">
        <f aca="false">BN502+BM502-BO502</f>
        <v>-273549.086092685</v>
      </c>
      <c r="BR502" s="15" t="n">
        <f aca="false">BH502+AD502+BL502+MAX(0,-AM502)+MAX(0,-AR502)+AG502</f>
        <v>-206311.11822421</v>
      </c>
      <c r="BS502" s="15" t="n">
        <f aca="false">AJ502+AV502+MAX(0,AM502)+MAX(0,AR502)+BC502+BG502+BQ502</f>
        <v>-206311.11822421</v>
      </c>
      <c r="BT502" s="15" t="n">
        <f aca="false">BR502-BS502</f>
        <v>0</v>
      </c>
      <c r="BU502" s="15" t="n">
        <f aca="false">BH502-(BD502+BE502-BF502-AY502)</f>
        <v>0</v>
      </c>
      <c r="BV502" s="15" t="n">
        <f aca="false">MIN(Piano_SS!$C$6,(BV501)+IF(AND(Motore_Operativo!C502&gt;=EDATE(Parametri_v3!$C$24,Ipotesi!K14*12),Motore_Operativo!C502&lt;EDATE(Parametri_v3!$C$24,Parametri_v3!$C$25+Ipotesi!K14*12)),MAX(0,(Motore_Operativo!Y502+Motore_Operativo!X502*Parametri_v3!$C$14)*(1-Parametri_v3!$C$32))*Piano_SS!$D$6,0))</f>
        <v>101887.5</v>
      </c>
      <c r="BW502" s="15" t="n">
        <f aca="false">MIN(Piano_SS!$C$7,(BW501)+IF(AND(Motore_Operativo!C502&gt;=EDATE(Parametri_v3!$C$24,Ipotesi!K14*12),Motore_Operativo!C502&lt;EDATE(Parametri_v3!$C$24,Parametri_v3!$C$25+Ipotesi!K14*12)),MAX(0,(IF(18-(INT((Ipotesi!$C$91)/30))&lt;1,0,INDEX(Motore_Operativo!$BN$485:$BN$544,MAX(1,18-(INT((Ipotesi!$C$91)/30)))))*(1-(MOD((Ipotesi!$C$91),30)/30))+IF(18-(INT((Ipotesi!$C$91)/30))-1&lt;1,0,INDEX(Motore_Operativo!$BN$485:$BN$544,MAX(1,18-(INT((Ipotesi!$C$91)/30))-1)))*(MOD((Ipotesi!$C$91),30)/30)))*Piano_SS!$D$7,0))</f>
        <v>16083.3203982106</v>
      </c>
      <c r="BX502" s="15" t="n">
        <f aca="false">MIN(Piano_SS!$C$8,(BX501)+IF(AND(Motore_Operativo!C502&gt;=EDATE(Parametri_v3!$C$24,Ipotesi!K14*12),Motore_Operativo!C502&lt;EDATE(Parametri_v3!$C$24,Parametri_v3!$C$25+Ipotesi!K14*12)),MAX(0,Motore_Operativo!CE502)*Piano_SS!$D$8,0))</f>
        <v>22500</v>
      </c>
      <c r="BY502" s="15" t="n">
        <f aca="false">MIN(Piano_SS!$C$9,(BY501)+IF(AND(Motore_Operativo!C502&gt;=EDATE(Parametri_v3!$C$24,Ipotesi!K14*12),Motore_Operativo!C502&lt;EDATE(Parametri_v3!$C$24,Parametri_v3!$C$25+Ipotesi!K14*12)),MAX(0,((IF(18-(INT((Ipotesi!$C$91)/30))&lt;1,0,INDEX(Motore_Operativo!$BQ$485:$BQ$544,MAX(1,18-(INT((Ipotesi!$C$91)/30)))))*(1-(MOD((Ipotesi!$C$91),30)/30))+IF(18-(INT((Ipotesi!$C$91)/30))-1&lt;1,0,INDEX(Motore_Operativo!$BQ$485:$BQ$544,MAX(1,18-(INT((Ipotesi!$C$91)/30))-1)))*(MOD((Ipotesi!$C$91),30)/30))+(IF(18-(INT((Ipotesi!$C$91)/30))&lt;1,0,INDEX(Motore_Operativo!$BR$485:$BR$544,MAX(1,18-(INT((Ipotesi!$C$91)/30)))))*(1-(MOD((Ipotesi!$C$91),30)/30))+IF(18-(INT((Ipotesi!$C$91)/30))-1&lt;1,0,INDEX(Motore_Operativo!$BR$485:$BR$544,MAX(1,18-(INT((Ipotesi!$C$91)/30))-1)))*(MOD((Ipotesi!$C$91),30)/30))))*Piano_SS!$D$9,0))</f>
        <v>29666.6666666667</v>
      </c>
      <c r="BZ502" s="15" t="n">
        <f aca="false">MIN(Piano_SS!$C$10,(BZ501)+IF(AND(Motore_Operativo!C502&gt;=EDATE(Parametri_v3!$C$24,Ipotesi!K14*12),Motore_Operativo!C502&lt;EDATE(Parametri_v3!$C$24,Parametri_v3!$C$25+Ipotesi!K14*12)),MAX(0,(IF(18-(INT((Ipotesi!$C$91)/30))&lt;1,0,INDEX(Motore_Operativo!$BO$485:$BO$544,MAX(1,18-(INT((Ipotesi!$C$91)/30)))))*(1-(MOD((Ipotesi!$C$91),30)/30))+IF(18-(INT((Ipotesi!$C$91)/30))-1&lt;1,0,INDEX(Motore_Operativo!$BO$485:$BO$544,MAX(1,18-(INT((Ipotesi!$C$91)/30))-1)))*(MOD((Ipotesi!$C$91),30)/30)))*Piano_SS!$D$10,0))</f>
        <v>15333.3333333333</v>
      </c>
      <c r="CA502" s="15" t="n">
        <f aca="false">SUM(BV502:BZ502)</f>
        <v>185470.820398211</v>
      </c>
      <c r="CB502" s="15" t="n">
        <f aca="false">BV502*(1-Piano_SS!$E$6)+BW502*(1-Piano_SS!$E$7)+BX502*(1-Piano_SS!$E$8)+BY502*(1-Piano_SS!$E$9)+BZ502*(1-Piano_SS!$E$10)</f>
        <v>170137.487064877</v>
      </c>
      <c r="CC502" s="15" t="n">
        <f aca="false">(CC501)+BA502</f>
        <v>0</v>
      </c>
      <c r="CD502" s="15" t="n">
        <f aca="false">IF(CA502=0,0,CC502*CB502/CA502*Ipotesi!$C$103*Parametri_v3!$C$64)</f>
        <v>0</v>
      </c>
      <c r="CE502" s="18" t="n">
        <f aca="false">IF(BA502&gt;0,Motore_Operativo!C502,(CE501))</f>
        <v>0</v>
      </c>
      <c r="CF502" s="18" t="n">
        <f aca="false">IF(AND(CC502&gt;0,OR(CC502&gt;=CG502-0.01,Motore_Operativo!C502&gt;=EDATE(MAX(Finanziamenti!$D$15:$D$17),Ipotesi!K14*12))),CE502,0)</f>
        <v>0</v>
      </c>
      <c r="CG502" s="15" t="n">
        <f aca="false">IF(AND(9&lt;&gt;6,9&lt;&gt;9,Finanziamenti!$F$11=1,OR(Parametri_v3!$C$6=0,Finanziamenti!$E$11=1)),MIN(Finanziamenti!$C$11,Piano_SS!$C$12*Ipotesi!$C$102),0)</f>
        <v>0</v>
      </c>
      <c r="CH502" s="15" t="n">
        <f aca="false">IF(AND(AND(9&lt;&gt;8,9&lt;&gt;9,Finanziamenti!$F$10=1,OR(Parametri_v3!$C$6=0,Finanziamenti!$E$10=1)),Motore_Operativo!C502&gt;=Finanziamenti!$D$10,Motore_Operativo!C502&lt;Parametri_v3!$C$63),Finanziamenti!$C$10,0)</f>
        <v>0</v>
      </c>
    </row>
    <row r="503" customFormat="false" ht="18" hidden="false" customHeight="true" outlineLevel="0" collapsed="false">
      <c r="A503" s="68" t="n">
        <f aca="false">9</f>
        <v>9</v>
      </c>
      <c r="B503" s="68" t="n">
        <f aca="false">19</f>
        <v>19</v>
      </c>
      <c r="C503" s="18" t="n">
        <f aca="false">Motore_Operativo!C503</f>
        <v>46935</v>
      </c>
      <c r="D503" s="68" t="n">
        <f aca="false">Motore_Operativo!D503</f>
        <v>2028</v>
      </c>
      <c r="E503" s="68" t="n">
        <f aca="false">Motore_Operativo!E503</f>
        <v>7</v>
      </c>
      <c r="F503" s="15" t="n">
        <f aca="false">Motore_Operativo!AQ503+Motore_Operativo!BF503</f>
        <v>27359.3782741328</v>
      </c>
      <c r="G503" s="15" t="n">
        <f aca="false">Motore_Operativo!BH503</f>
        <v>3398.1220657277</v>
      </c>
      <c r="H503" s="15" t="n">
        <f aca="false">Motore_Operativo!BI503</f>
        <v>30757.5003398605</v>
      </c>
      <c r="I503" s="15" t="n">
        <f aca="false">Motore_Operativo!CA503</f>
        <v>57543.0899536838</v>
      </c>
      <c r="J503" s="15" t="n">
        <f aca="false">Motore_Operativo!CC503</f>
        <v>-26785.5896138232</v>
      </c>
      <c r="K503" s="15" t="n">
        <f aca="false">Motore_Operativo!CE503</f>
        <v>2083.33333333333</v>
      </c>
      <c r="L503" s="15" t="n">
        <f aca="false">SUM(INDEX($K$485:$K$544,MAX(1,19-Parametri_v3!$C$59+1)):K503)/Parametri_v3!$C$59</f>
        <v>960.648148148148</v>
      </c>
      <c r="M503" s="15" t="n">
        <f aca="false">J503-L503</f>
        <v>-27746.2377619714</v>
      </c>
      <c r="N503" s="15" t="n">
        <f aca="false">CD503-(CD502)</f>
        <v>0</v>
      </c>
      <c r="O503" s="15" t="n">
        <f aca="false">(BG502)*Ipotesi!$C$110/12+CH503*Parametri_v3!$C$39/12</f>
        <v>0</v>
      </c>
      <c r="P503" s="15" t="n">
        <f aca="false">M503+N503-O503</f>
        <v>-27746.2377619714</v>
      </c>
      <c r="Q503" s="15" t="n">
        <f aca="false">SUM(P497:P503)+Parametri_v3!$C$54*7/12</f>
        <v>-207503.265375124</v>
      </c>
      <c r="R503" s="15" t="n">
        <f aca="false">Z496</f>
        <v>223792.058479532</v>
      </c>
      <c r="S503" s="15" t="n">
        <f aca="false">AA496</f>
        <v>0</v>
      </c>
      <c r="T503" s="15" t="n">
        <f aca="false">MIN(R503,MAX(0,Q503))</f>
        <v>0</v>
      </c>
      <c r="U503" s="15" t="n">
        <f aca="false">MIN(S503,MAX(0,Q503-T503)*Parametri_v3!$C$42)</f>
        <v>0</v>
      </c>
      <c r="V503" s="15" t="n">
        <f aca="false">MAX(0,Q503-T503-U503)*Ipotesi!$C$92</f>
        <v>0</v>
      </c>
      <c r="W503" s="15" t="n">
        <f aca="false">MAX(0,SUM(M497:M503)+Parametri_v3!$C$55*7/12)*Ipotesi!$C$93</f>
        <v>0</v>
      </c>
      <c r="X503" s="15" t="n">
        <f aca="false">V503+W503-(V502+W502)</f>
        <v>0</v>
      </c>
      <c r="Y503" s="15" t="n">
        <f aca="false">P503-X503</f>
        <v>-27746.2377619714</v>
      </c>
      <c r="Z503" s="15" t="n">
        <f aca="false">R503-T503+IF(AND(Parametri_v3!$C$40=1,D503-YEAR(Parametri_v3!$C$50)&lt;Parametri_v3!$C$41),MAX(0,-Q503),0)</f>
        <v>431295.323854656</v>
      </c>
      <c r="AA503" s="15" t="n">
        <f aca="false">S503-U503+IF(AND(Parametri_v3!$C$40=1,D503-YEAR(Parametri_v3!$C$50)&lt;Parametri_v3!$C$41),0,MAX(0,-Q503))</f>
        <v>0</v>
      </c>
      <c r="AB503" s="15" t="n">
        <f aca="false">F503*(1+Parametri_v3!$C$26)</f>
        <v>33378.4414944421</v>
      </c>
      <c r="AC503" s="15" t="n">
        <f aca="false">(IF(19-(INT((Motore_Operativo!L503)/30))&lt;1,0,INDEX(Motore_Startup!$AB$485:$AB$544,MAX(1,19-(INT((Motore_Operativo!L503)/30)))))*(1-(MOD((Motore_Operativo!L503),30)/30))+IF(19-(INT((Motore_Operativo!L503)/30))-1&lt;1,0,INDEX(Motore_Startup!$AB$485:$AB$544,MAX(1,19-(INT((Motore_Operativo!L503)/30))-1)))*(MOD((Motore_Operativo!L503),30)/30))</f>
        <v>29997.7995403494</v>
      </c>
      <c r="AD503" s="15" t="n">
        <f aca="false">(AD502)+AB503-AC503</f>
        <v>96774.4703960816</v>
      </c>
      <c r="AE503" s="15" t="n">
        <f aca="false">Motore_Operativo!BH503*(1+Parametri_v3!$C$26)</f>
        <v>4145.70892018779</v>
      </c>
      <c r="AF503" s="15" t="n">
        <f aca="false">(IF(19-(INT((Parametri_v3!$C$29)/30))&lt;1,0,INDEX(Motore_Operativo!$BH$485:$BH$544,MAX(1,19-(INT((Parametri_v3!$C$29)/30)))))*(1-(MOD((Parametri_v3!$C$29),30)/30))+IF(19-(INT((Parametri_v3!$C$29)/30))-1&lt;1,0,INDEX(Motore_Operativo!$BH$485:$BH$544,MAX(1,19-(INT((Parametri_v3!$C$29)/30))-1)))*(MOD((Parametri_v3!$C$29),30)/30))*(1+Parametri_v3!$C$26)</f>
        <v>4145.70892018779</v>
      </c>
      <c r="AG503" s="15" t="n">
        <f aca="false">(AG502)+AE503-AF503</f>
        <v>4145.70892018779</v>
      </c>
      <c r="AH503" s="15" t="n">
        <f aca="false">(Motore_Operativo!CJ503)*(1+Parametri_v3!$C$27*Parametri_v3!$C$26)</f>
        <v>21105.5602750226</v>
      </c>
      <c r="AI503" s="15" t="n">
        <f aca="false">(IF(19-(INT((Ipotesi!$C$91)/30))&lt;1,0,INDEX(Motore_Startup!$AH$485:$AH$544,MAX(1,19-(INT((Ipotesi!$C$91)/30)))))*(1-(MOD((Ipotesi!$C$91),30)/30))+IF(19-(INT((Ipotesi!$C$91)/30))-1&lt;1,0,INDEX(Motore_Startup!$AH$485:$AH$544,MAX(1,19-(INT((Ipotesi!$C$91)/30))-1)))*(MOD((Ipotesi!$C$91),30)/30))</f>
        <v>20799.9180836617</v>
      </c>
      <c r="AJ503" s="15" t="n">
        <f aca="false">(AJ502)+AH503-AI503</f>
        <v>42058.9703379485</v>
      </c>
      <c r="AK503" s="15" t="n">
        <f aca="false">(F503+ Motore_Operativo!BH503-(Motore_Operativo!CJ503)*Parametri_v3!$C$27-Motore_Operativo!CE503)*Parametri_v3!$C$26</f>
        <v>2983.34642009712</v>
      </c>
      <c r="AL503" s="15" t="n">
        <f aca="false">MAX(0,(AM502))</f>
        <v>2805.8897218868</v>
      </c>
      <c r="AM503" s="15" t="n">
        <f aca="false">(AM502)+AK503-AL503</f>
        <v>2983.34642009712</v>
      </c>
      <c r="AN503" s="15" t="n">
        <f aca="false">SUM(X485:X496)</f>
        <v>0</v>
      </c>
      <c r="AO503" s="15" t="n">
        <f aca="false">SUM(AP485:AP496)</f>
        <v>0</v>
      </c>
      <c r="AP503" s="15" t="n">
        <f aca="false">MAX(0,AN503)*IF(7=Parametri_v3!$C$43,Parametri_v3!$C$45,IF(7=Parametri_v3!$C$44,1-Parametri_v3!$C$45,0))</f>
        <v>0</v>
      </c>
      <c r="AQ503" s="15" t="n">
        <f aca="false">MAX(0,AP503+IF(7=Parametri_v3!$C$43,MAX(0,AN503-AO503),0)-MAX(0,-(AR502)))</f>
        <v>0</v>
      </c>
      <c r="AR503" s="15" t="n">
        <f aca="false">(AR502)+X503-AQ503</f>
        <v>0</v>
      </c>
      <c r="AS503" s="15" t="n">
        <f aca="false">Motore_Operativo!AB503-AT503+AU503</f>
        <v>37774.375</v>
      </c>
      <c r="AT503" s="15" t="n">
        <f aca="false">Motore_Operativo!CH503</f>
        <v>1988.125</v>
      </c>
      <c r="AU503" s="15" t="n">
        <f aca="false">MIN(MAX(0,(AV502)+AT503),Parametri_v3!$C$60/12)</f>
        <v>0</v>
      </c>
      <c r="AV503" s="15" t="n">
        <f aca="false">(AV502)+AT503-AU503</f>
        <v>24666.875</v>
      </c>
      <c r="AW503" s="15" t="n">
        <f aca="false">IF(AND(Motore_Operativo!C503=Finanziamenti!$D$6,Finanziamenti!$F$6=1),Finanziamenti!$C$6,0)</f>
        <v>0</v>
      </c>
      <c r="AX503" s="15" t="n">
        <f aca="false">IF(AND(9&lt;&gt;7,9&lt;&gt;9,Finanziamenti!$F$8=1,OR(Parametri_v3!$C$6=0,Finanziamenti!$E$8=1),Motore_Operativo!C503=EDATE(Finanziamenti!$D$8,Ipotesi!K15*12)),Finanziamenti!$C$8*1,0)+IF(AND(9&lt;&gt;7,9&lt;&gt;9,Finanziamenti!$F$9=1,OR(Parametri_v3!$C$6=0,Finanziamenti!$E$9=1),Motore_Operativo!C503=EDATE(Finanziamenti!$D$9,Ipotesi!K15*12)),Finanziamenti!$C$9*Ipotesi!K16,0)</f>
        <v>0</v>
      </c>
      <c r="AY503" s="15" t="n">
        <f aca="false">0</f>
        <v>0</v>
      </c>
      <c r="AZ503" s="15" t="n">
        <f aca="false">Motore_Advisory!AY503*(1-Ipotesi!$C$95)*Ipotesi!$C$96</f>
        <v>0</v>
      </c>
      <c r="BA503" s="15" t="n">
        <f aca="false">MAX(0,MIN(CG503*MIN(1,IF(Motore_Operativo!C503&gt;=EDATE(Finanziamenti!$D$15,Ipotesi!K14*12),Finanziamenti!$C$15,0)+IF(Motore_Operativo!C503&gt;=EDATE(Finanziamenti!$D$16,Ipotesi!K14*12),Finanziamenti!$C$16,0)+IF(Motore_Operativo!C503&gt;=EDATE(Finanziamenti!$D$17,Ipotesi!K14*12),Finanziamenti!$C$17,0)),CA503*Ipotesi!$C$102)-(CC502))</f>
        <v>0</v>
      </c>
      <c r="BB503" s="15" t="n">
        <f aca="false">IF(AND(CF503&gt;0,Motore_Operativo!C503&gt;=IF(CF503=0,0,EDATE(CF503,Parametri_v3!$C$37)),MOD(((D503-YEAR(IF(CF503=0,0,EDATE(CF503,Parametri_v3!$C$37))))*12+E503-MONTH(IF(CF503=0,0,EDATE(CF503,Parametri_v3!$C$37)))),Parametri_v3!$C$38)=0),MIN(MAX(0,(BC502)+BA503-N503),(CC503-CD503)/(Ipotesi!$C$108*12/Parametri_v3!$C$38)),0)</f>
        <v>0</v>
      </c>
      <c r="BC503" s="15" t="n">
        <f aca="false">(BC502)+BA503-N503-BB503</f>
        <v>0</v>
      </c>
      <c r="BD503" s="15" t="n">
        <f aca="false">(BH502)+AC503+AF503-AI503-AS503-K503*(1+Parametri_v3!$C$26)-AL503-AQ503-O503+AW503+AX503+AZ503+BA503-BB503</f>
        <v>-357969.274375843</v>
      </c>
      <c r="BE503" s="15" t="n">
        <f aca="false">MAX(0,MIN(MAX(0,CH503-(BG502)),Parametri_v3!$C$30-BD503))</f>
        <v>0</v>
      </c>
      <c r="BF503" s="15" t="n">
        <f aca="false">IF(Motore_Operativo!C503&gt;=Parametri_v3!$C$63,(BG502),MIN((BG502),MAX(0,BD503-Parametri_v3!$C$30)))</f>
        <v>0</v>
      </c>
      <c r="BG503" s="15" t="n">
        <f aca="false">(BG502)+BE503-BF503</f>
        <v>0</v>
      </c>
      <c r="BH503" s="15" t="n">
        <f aca="false">BD503+BE503-BF503-AY503</f>
        <v>-357969.274375843</v>
      </c>
      <c r="BI503" s="15" t="n">
        <f aca="false">MAX(0,Parametri_v3!$C$30-BH503)</f>
        <v>382969.274375843</v>
      </c>
      <c r="BJ503" s="15" t="n">
        <f aca="false">(BJ502)+K503</f>
        <v>34583.3333333333</v>
      </c>
      <c r="BK503" s="15" t="n">
        <f aca="false">(BK502)+L503</f>
        <v>9120.37037037037</v>
      </c>
      <c r="BL503" s="15" t="n">
        <f aca="false">BJ503-BK503</f>
        <v>25462.962962963</v>
      </c>
      <c r="BM503" s="15" t="n">
        <f aca="false">(BM502)+Y503</f>
        <v>-431295.323854656</v>
      </c>
      <c r="BN503" s="15" t="n">
        <f aca="false">(BN502)+AW503+AX503+AZ503</f>
        <v>130000</v>
      </c>
      <c r="BO503" s="15" t="n">
        <f aca="false">(BO502)+AY503</f>
        <v>0</v>
      </c>
      <c r="BP503" s="15" t="n">
        <f aca="false">0</f>
        <v>0</v>
      </c>
      <c r="BQ503" s="15" t="n">
        <f aca="false">BN503+BM503-BO503</f>
        <v>-301295.323854656</v>
      </c>
      <c r="BR503" s="15" t="n">
        <f aca="false">BH503+AD503+BL503+MAX(0,-AM503)+MAX(0,-AR503)+AG503</f>
        <v>-231586.132096611</v>
      </c>
      <c r="BS503" s="15" t="n">
        <f aca="false">AJ503+AV503+MAX(0,AM503)+MAX(0,AR503)+BC503+BG503+BQ503</f>
        <v>-231586.132096611</v>
      </c>
      <c r="BT503" s="15" t="n">
        <f aca="false">BR503-BS503</f>
        <v>0</v>
      </c>
      <c r="BU503" s="15" t="n">
        <f aca="false">BH503-(BD503+BE503-BF503-AY503)</f>
        <v>0</v>
      </c>
      <c r="BV503" s="15" t="n">
        <f aca="false">MIN(Piano_SS!$C$6,(BV502)+IF(AND(Motore_Operativo!C503&gt;=EDATE(Parametri_v3!$C$24,Ipotesi!K14*12),Motore_Operativo!C503&lt;EDATE(Parametri_v3!$C$24,Parametri_v3!$C$25+Ipotesi!K14*12)),MAX(0,(Motore_Operativo!Y503+Motore_Operativo!X503*Parametri_v3!$C$14)*(1-Parametri_v3!$C$32))*Piano_SS!$D$6,0))</f>
        <v>114118.75</v>
      </c>
      <c r="BW503" s="15" t="n">
        <f aca="false">MIN(Piano_SS!$C$7,(BW502)+IF(AND(Motore_Operativo!C503&gt;=EDATE(Parametri_v3!$C$24,Ipotesi!K14*12),Motore_Operativo!C503&lt;EDATE(Parametri_v3!$C$24,Parametri_v3!$C$25+Ipotesi!K14*12)),MAX(0,(IF(19-(INT((Ipotesi!$C$91)/30))&lt;1,0,INDEX(Motore_Operativo!$BN$485:$BN$544,MAX(1,19-(INT((Ipotesi!$C$91)/30)))))*(1-(MOD((Ipotesi!$C$91),30)/30))+IF(19-(INT((Ipotesi!$C$91)/30))-1&lt;1,0,INDEX(Motore_Operativo!$BN$485:$BN$544,MAX(1,19-(INT((Ipotesi!$C$91)/30))-1)))*(MOD((Ipotesi!$C$91),30)/30)))*Piano_SS!$D$7,0))</f>
        <v>17664.9327656361</v>
      </c>
      <c r="BX503" s="15" t="n">
        <f aca="false">MIN(Piano_SS!$C$8,(BX502)+IF(AND(Motore_Operativo!C503&gt;=EDATE(Parametri_v3!$C$24,Ipotesi!K14*12),Motore_Operativo!C503&lt;EDATE(Parametri_v3!$C$24,Parametri_v3!$C$25+Ipotesi!K14*12)),MAX(0,Motore_Operativo!CE503)*Piano_SS!$D$8,0))</f>
        <v>24583.3333333333</v>
      </c>
      <c r="BY503" s="15" t="n">
        <f aca="false">MIN(Piano_SS!$C$9,(BY502)+IF(AND(Motore_Operativo!C503&gt;=EDATE(Parametri_v3!$C$24,Ipotesi!K14*12),Motore_Operativo!C503&lt;EDATE(Parametri_v3!$C$24,Parametri_v3!$C$25+Ipotesi!K14*12)),MAX(0,((IF(19-(INT((Ipotesi!$C$91)/30))&lt;1,0,INDEX(Motore_Operativo!$BQ$485:$BQ$544,MAX(1,19-(INT((Ipotesi!$C$91)/30)))))*(1-(MOD((Ipotesi!$C$91),30)/30))+IF(19-(INT((Ipotesi!$C$91)/30))-1&lt;1,0,INDEX(Motore_Operativo!$BQ$485:$BQ$544,MAX(1,19-(INT((Ipotesi!$C$91)/30))-1)))*(MOD((Ipotesi!$C$91),30)/30))+(IF(19-(INT((Ipotesi!$C$91)/30))&lt;1,0,INDEX(Motore_Operativo!$BR$485:$BR$544,MAX(1,19-(INT((Ipotesi!$C$91)/30)))))*(1-(MOD((Ipotesi!$C$91),30)/30))+IF(19-(INT((Ipotesi!$C$91)/30))-1&lt;1,0,INDEX(Motore_Operativo!$BR$485:$BR$544,MAX(1,19-(INT((Ipotesi!$C$91)/30))-1)))*(MOD((Ipotesi!$C$91),30)/30))))*Piano_SS!$D$9,0))</f>
        <v>32583.3333333333</v>
      </c>
      <c r="BZ503" s="15" t="n">
        <f aca="false">MIN(Piano_SS!$C$10,(BZ502)+IF(AND(Motore_Operativo!C503&gt;=EDATE(Parametri_v3!$C$24,Ipotesi!K14*12),Motore_Operativo!C503&lt;EDATE(Parametri_v3!$C$24,Parametri_v3!$C$25+Ipotesi!K14*12)),MAX(0,(IF(19-(INT((Ipotesi!$C$91)/30))&lt;1,0,INDEX(Motore_Operativo!$BO$485:$BO$544,MAX(1,19-(INT((Ipotesi!$C$91)/30)))))*(1-(MOD((Ipotesi!$C$91),30)/30))+IF(19-(INT((Ipotesi!$C$91)/30))-1&lt;1,0,INDEX(Motore_Operativo!$BO$485:$BO$544,MAX(1,19-(INT((Ipotesi!$C$91)/30))-1)))*(MOD((Ipotesi!$C$91),30)/30)))*Piano_SS!$D$10,0))</f>
        <v>17166.6666666667</v>
      </c>
      <c r="CA503" s="15" t="n">
        <f aca="false">SUM(BV503:BZ503)</f>
        <v>206117.016098969</v>
      </c>
      <c r="CB503" s="15" t="n">
        <f aca="false">BV503*(1-Piano_SS!$E$6)+BW503*(1-Piano_SS!$E$7)+BX503*(1-Piano_SS!$E$8)+BY503*(1-Piano_SS!$E$9)+BZ503*(1-Piano_SS!$E$10)</f>
        <v>188950.349432303</v>
      </c>
      <c r="CC503" s="15" t="n">
        <f aca="false">(CC502)+BA503</f>
        <v>0</v>
      </c>
      <c r="CD503" s="15" t="n">
        <f aca="false">IF(CA503=0,0,CC503*CB503/CA503*Ipotesi!$C$103*Parametri_v3!$C$64)</f>
        <v>0</v>
      </c>
      <c r="CE503" s="18" t="n">
        <f aca="false">IF(BA503&gt;0,Motore_Operativo!C503,(CE502))</f>
        <v>0</v>
      </c>
      <c r="CF503" s="18" t="n">
        <f aca="false">IF(AND(CC503&gt;0,OR(CC503&gt;=CG503-0.01,Motore_Operativo!C503&gt;=EDATE(MAX(Finanziamenti!$D$15:$D$17),Ipotesi!K14*12))),CE503,0)</f>
        <v>0</v>
      </c>
      <c r="CG503" s="15" t="n">
        <f aca="false">IF(AND(9&lt;&gt;6,9&lt;&gt;9,Finanziamenti!$F$11=1,OR(Parametri_v3!$C$6=0,Finanziamenti!$E$11=1)),MIN(Finanziamenti!$C$11,Piano_SS!$C$12*Ipotesi!$C$102),0)</f>
        <v>0</v>
      </c>
      <c r="CH503" s="15" t="n">
        <f aca="false">IF(AND(AND(9&lt;&gt;8,9&lt;&gt;9,Finanziamenti!$F$10=1,OR(Parametri_v3!$C$6=0,Finanziamenti!$E$10=1)),Motore_Operativo!C503&gt;=Finanziamenti!$D$10,Motore_Operativo!C503&lt;Parametri_v3!$C$63),Finanziamenti!$C$10,0)</f>
        <v>0</v>
      </c>
    </row>
    <row r="504" customFormat="false" ht="18" hidden="false" customHeight="true" outlineLevel="0" collapsed="false">
      <c r="A504" s="68" t="n">
        <f aca="false">9</f>
        <v>9</v>
      </c>
      <c r="B504" s="68" t="n">
        <f aca="false">20</f>
        <v>20</v>
      </c>
      <c r="C504" s="18" t="n">
        <f aca="false">Motore_Operativo!C504</f>
        <v>46966</v>
      </c>
      <c r="D504" s="68" t="n">
        <f aca="false">Motore_Operativo!D504</f>
        <v>2028</v>
      </c>
      <c r="E504" s="68" t="n">
        <f aca="false">Motore_Operativo!E504</f>
        <v>8</v>
      </c>
      <c r="F504" s="15" t="n">
        <f aca="false">Motore_Operativo!AQ504+Motore_Operativo!BF504</f>
        <v>28266.9494267139</v>
      </c>
      <c r="G504" s="15" t="n">
        <f aca="false">Motore_Operativo!BH504</f>
        <v>3398.1220657277</v>
      </c>
      <c r="H504" s="15" t="n">
        <f aca="false">Motore_Operativo!BI504</f>
        <v>31665.0714924416</v>
      </c>
      <c r="I504" s="15" t="n">
        <f aca="false">Motore_Operativo!CA504</f>
        <v>57670.1499150451</v>
      </c>
      <c r="J504" s="15" t="n">
        <f aca="false">Motore_Operativo!CC504</f>
        <v>-26005.0784226035</v>
      </c>
      <c r="K504" s="15" t="n">
        <f aca="false">Motore_Operativo!CE504</f>
        <v>2083.33333333333</v>
      </c>
      <c r="L504" s="15" t="n">
        <f aca="false">SUM(INDEX($K$485:$K$544,MAX(1,20-Parametri_v3!$C$59+1)):K504)/Parametri_v3!$C$59</f>
        <v>1018.51851851852</v>
      </c>
      <c r="M504" s="15" t="n">
        <f aca="false">J504-L504</f>
        <v>-27023.5969411221</v>
      </c>
      <c r="N504" s="15" t="n">
        <f aca="false">CD504-(CD503)</f>
        <v>0</v>
      </c>
      <c r="O504" s="15" t="n">
        <f aca="false">(BG503)*Ipotesi!$C$110/12+CH504*Parametri_v3!$C$39/12</f>
        <v>0</v>
      </c>
      <c r="P504" s="15" t="n">
        <f aca="false">M504+N504-O504</f>
        <v>-27023.5969411221</v>
      </c>
      <c r="Q504" s="15" t="n">
        <f aca="false">SUM(P497:P504)+Parametri_v3!$C$54*8/12</f>
        <v>-234526.862316246</v>
      </c>
      <c r="R504" s="15" t="n">
        <f aca="false">Z496</f>
        <v>223792.058479532</v>
      </c>
      <c r="S504" s="15" t="n">
        <f aca="false">AA496</f>
        <v>0</v>
      </c>
      <c r="T504" s="15" t="n">
        <f aca="false">MIN(R504,MAX(0,Q504))</f>
        <v>0</v>
      </c>
      <c r="U504" s="15" t="n">
        <f aca="false">MIN(S504,MAX(0,Q504-T504)*Parametri_v3!$C$42)</f>
        <v>0</v>
      </c>
      <c r="V504" s="15" t="n">
        <f aca="false">MAX(0,Q504-T504-U504)*Ipotesi!$C$92</f>
        <v>0</v>
      </c>
      <c r="W504" s="15" t="n">
        <f aca="false">MAX(0,SUM(M497:M504)+Parametri_v3!$C$55*8/12)*Ipotesi!$C$93</f>
        <v>0</v>
      </c>
      <c r="X504" s="15" t="n">
        <f aca="false">V504+W504-(V503+W503)</f>
        <v>0</v>
      </c>
      <c r="Y504" s="15" t="n">
        <f aca="false">P504-X504</f>
        <v>-27023.5969411221</v>
      </c>
      <c r="Z504" s="15" t="n">
        <f aca="false">R504-T504+IF(AND(Parametri_v3!$C$40=1,D504-YEAR(Parametri_v3!$C$50)&lt;Parametri_v3!$C$41),MAX(0,-Q504),0)</f>
        <v>458318.920795778</v>
      </c>
      <c r="AA504" s="15" t="n">
        <f aca="false">S504-U504+IF(AND(Parametri_v3!$C$40=1,D504-YEAR(Parametri_v3!$C$50)&lt;Parametri_v3!$C$41),0,MAX(0,-Q504))</f>
        <v>0</v>
      </c>
      <c r="AB504" s="15" t="n">
        <f aca="false">F504*(1+Parametri_v3!$C$26)</f>
        <v>34485.6783005909</v>
      </c>
      <c r="AC504" s="15" t="n">
        <f aca="false">(IF(20-(INT((Motore_Operativo!L504)/30))&lt;1,0,INDEX(Motore_Startup!$AB$485:$AB$544,MAX(1,20-(INT((Motore_Operativo!L504)/30)))))*(1-(MOD((Motore_Operativo!L504),30)/30))+IF(20-(INT((Motore_Operativo!L504)/30))-1&lt;1,0,INDEX(Motore_Startup!$AB$485:$AB$544,MAX(1,20-(INT((Motore_Operativo!L504)/30))-1)))*(MOD((Motore_Operativo!L504),30)/30))</f>
        <v>31134.5886032381</v>
      </c>
      <c r="AD504" s="15" t="n">
        <f aca="false">(AD503)+AB504-AC504</f>
        <v>100125.560093434</v>
      </c>
      <c r="AE504" s="15" t="n">
        <f aca="false">Motore_Operativo!BH504*(1+Parametri_v3!$C$26)</f>
        <v>4145.70892018779</v>
      </c>
      <c r="AF504" s="15" t="n">
        <f aca="false">(IF(20-(INT((Parametri_v3!$C$29)/30))&lt;1,0,INDEX(Motore_Operativo!$BH$485:$BH$544,MAX(1,20-(INT((Parametri_v3!$C$29)/30)))))*(1-(MOD((Parametri_v3!$C$29),30)/30))+IF(20-(INT((Parametri_v3!$C$29)/30))-1&lt;1,0,INDEX(Motore_Operativo!$BH$485:$BH$544,MAX(1,20-(INT((Parametri_v3!$C$29)/30))-1)))*(MOD((Parametri_v3!$C$29),30)/30))*(1+Parametri_v3!$C$26)</f>
        <v>4145.70892018779</v>
      </c>
      <c r="AG504" s="15" t="n">
        <f aca="false">(AG503)+AE504-AF504</f>
        <v>4145.70892018779</v>
      </c>
      <c r="AH504" s="15" t="n">
        <f aca="false">(Motore_Operativo!CJ504)*(1+Parametri_v3!$C$27*Parametri_v3!$C$26)</f>
        <v>21256.3804491586</v>
      </c>
      <c r="AI504" s="15" t="n">
        <f aca="false">(IF(20-(INT((Ipotesi!$C$91)/30))&lt;1,0,INDEX(Motore_Startup!$AH$485:$AH$544,MAX(1,20-(INT((Ipotesi!$C$91)/30)))))*(1-(MOD((Ipotesi!$C$91),30)/30))+IF(20-(INT((Ipotesi!$C$91)/30))-1&lt;1,0,INDEX(Motore_Startup!$AH$485:$AH$544,MAX(1,20-(INT((Ipotesi!$C$91)/30))-1)))*(MOD((Ipotesi!$C$91),30)/30))</f>
        <v>20953.4100629259</v>
      </c>
      <c r="AJ504" s="15" t="n">
        <f aca="false">(AJ503)+AH504-AI504</f>
        <v>42361.9407241812</v>
      </c>
      <c r="AK504" s="15" t="n">
        <f aca="false">(F504+ Motore_Operativo!BH504-(Motore_Operativo!CJ504)*Parametri_v3!$C$27-Motore_Operativo!CE504)*Parametri_v3!$C$26</f>
        <v>3159.25186089038</v>
      </c>
      <c r="AL504" s="15" t="n">
        <f aca="false">MAX(0,(AM503))</f>
        <v>2983.34642009712</v>
      </c>
      <c r="AM504" s="15" t="n">
        <f aca="false">(AM503)+AK504-AL504</f>
        <v>3159.25186089038</v>
      </c>
      <c r="AN504" s="15" t="n">
        <f aca="false">SUM(X485:X496)</f>
        <v>0</v>
      </c>
      <c r="AO504" s="15" t="n">
        <f aca="false">SUM(AP485:AP496)</f>
        <v>0</v>
      </c>
      <c r="AP504" s="15" t="n">
        <f aca="false">MAX(0,AN504)*IF(8=Parametri_v3!$C$43,Parametri_v3!$C$45,IF(8=Parametri_v3!$C$44,1-Parametri_v3!$C$45,0))</f>
        <v>0</v>
      </c>
      <c r="AQ504" s="15" t="n">
        <f aca="false">MAX(0,AP504+IF(8=Parametri_v3!$C$43,MAX(0,AN504-AO504),0)-MAX(0,-(AR503)))</f>
        <v>0</v>
      </c>
      <c r="AR504" s="15" t="n">
        <f aca="false">(AR503)+X504-AQ504</f>
        <v>0</v>
      </c>
      <c r="AS504" s="15" t="n">
        <f aca="false">Motore_Operativo!AB504-AT504+AU504</f>
        <v>37774.375</v>
      </c>
      <c r="AT504" s="15" t="n">
        <f aca="false">Motore_Operativo!CH504</f>
        <v>1988.125</v>
      </c>
      <c r="AU504" s="15" t="n">
        <f aca="false">MIN(MAX(0,(AV503)+AT504),Parametri_v3!$C$60/12)</f>
        <v>0</v>
      </c>
      <c r="AV504" s="15" t="n">
        <f aca="false">(AV503)+AT504-AU504</f>
        <v>26655</v>
      </c>
      <c r="AW504" s="15" t="n">
        <f aca="false">IF(AND(Motore_Operativo!C504=Finanziamenti!$D$6,Finanziamenti!$F$6=1),Finanziamenti!$C$6,0)</f>
        <v>0</v>
      </c>
      <c r="AX504" s="15" t="n">
        <f aca="false">IF(AND(9&lt;&gt;7,9&lt;&gt;9,Finanziamenti!$F$8=1,OR(Parametri_v3!$C$6=0,Finanziamenti!$E$8=1),Motore_Operativo!C504=EDATE(Finanziamenti!$D$8,Ipotesi!K15*12)),Finanziamenti!$C$8*1,0)+IF(AND(9&lt;&gt;7,9&lt;&gt;9,Finanziamenti!$F$9=1,OR(Parametri_v3!$C$6=0,Finanziamenti!$E$9=1),Motore_Operativo!C504=EDATE(Finanziamenti!$D$9,Ipotesi!K15*12)),Finanziamenti!$C$9*Ipotesi!K16,0)</f>
        <v>0</v>
      </c>
      <c r="AY504" s="15" t="n">
        <f aca="false">0</f>
        <v>0</v>
      </c>
      <c r="AZ504" s="15" t="n">
        <f aca="false">Motore_Advisory!AY504*(1-Ipotesi!$C$95)*Ipotesi!$C$96</f>
        <v>0</v>
      </c>
      <c r="BA504" s="15" t="n">
        <f aca="false">MAX(0,MIN(CG504*MIN(1,IF(Motore_Operativo!C504&gt;=EDATE(Finanziamenti!$D$15,Ipotesi!K14*12),Finanziamenti!$C$15,0)+IF(Motore_Operativo!C504&gt;=EDATE(Finanziamenti!$D$16,Ipotesi!K14*12),Finanziamenti!$C$16,0)+IF(Motore_Operativo!C504&gt;=EDATE(Finanziamenti!$D$17,Ipotesi!K14*12),Finanziamenti!$C$17,0)),CA504*Ipotesi!$C$102)-(CC503))</f>
        <v>0</v>
      </c>
      <c r="BB504" s="15" t="n">
        <f aca="false">IF(AND(CF504&gt;0,Motore_Operativo!C504&gt;=IF(CF504=0,0,EDATE(CF504,Parametri_v3!$C$37)),MOD(((D504-YEAR(IF(CF504=0,0,EDATE(CF504,Parametri_v3!$C$37))))*12+E504-MONTH(IF(CF504=0,0,EDATE(CF504,Parametri_v3!$C$37)))),Parametri_v3!$C$38)=0),MIN(MAX(0,(BC503)+BA504-N504),(CC504-CD504)/(Ipotesi!$C$108*12/Parametri_v3!$C$38)),0)</f>
        <v>0</v>
      </c>
      <c r="BC504" s="15" t="n">
        <f aca="false">(BC503)+BA504-N504-BB504</f>
        <v>0</v>
      </c>
      <c r="BD504" s="15" t="n">
        <f aca="false">(BH503)+AC504+AF504-AI504-AS504-K504*(1+Parametri_v3!$C$26)-AL504-AQ504-O504+AW504+AX504+AZ504+BA504-BB504</f>
        <v>-386941.775002107</v>
      </c>
      <c r="BE504" s="15" t="n">
        <f aca="false">MAX(0,MIN(MAX(0,CH504-(BG503)),Parametri_v3!$C$30-BD504))</f>
        <v>0</v>
      </c>
      <c r="BF504" s="15" t="n">
        <f aca="false">IF(Motore_Operativo!C504&gt;=Parametri_v3!$C$63,(BG503),MIN((BG503),MAX(0,BD504-Parametri_v3!$C$30)))</f>
        <v>0</v>
      </c>
      <c r="BG504" s="15" t="n">
        <f aca="false">(BG503)+BE504-BF504</f>
        <v>0</v>
      </c>
      <c r="BH504" s="15" t="n">
        <f aca="false">BD504+BE504-BF504-AY504</f>
        <v>-386941.775002107</v>
      </c>
      <c r="BI504" s="15" t="n">
        <f aca="false">MAX(0,Parametri_v3!$C$30-BH504)</f>
        <v>411941.775002107</v>
      </c>
      <c r="BJ504" s="15" t="n">
        <f aca="false">(BJ503)+K504</f>
        <v>36666.6666666667</v>
      </c>
      <c r="BK504" s="15" t="n">
        <f aca="false">(BK503)+L504</f>
        <v>10138.8888888889</v>
      </c>
      <c r="BL504" s="15" t="n">
        <f aca="false">BJ504-BK504</f>
        <v>26527.7777777778</v>
      </c>
      <c r="BM504" s="15" t="n">
        <f aca="false">(BM503)+Y504</f>
        <v>-458318.920795778</v>
      </c>
      <c r="BN504" s="15" t="n">
        <f aca="false">(BN503)+AW504+AX504+AZ504</f>
        <v>130000</v>
      </c>
      <c r="BO504" s="15" t="n">
        <f aca="false">(BO503)+AY504</f>
        <v>0</v>
      </c>
      <c r="BP504" s="15" t="n">
        <f aca="false">0</f>
        <v>0</v>
      </c>
      <c r="BQ504" s="15" t="n">
        <f aca="false">BN504+BM504-BO504</f>
        <v>-328318.920795778</v>
      </c>
      <c r="BR504" s="15" t="n">
        <f aca="false">BH504+AD504+BL504+MAX(0,-AM504)+MAX(0,-AR504)+AG504</f>
        <v>-256142.728210707</v>
      </c>
      <c r="BS504" s="15" t="n">
        <f aca="false">AJ504+AV504+MAX(0,AM504)+MAX(0,AR504)+BC504+BG504+BQ504</f>
        <v>-256142.728210707</v>
      </c>
      <c r="BT504" s="15" t="n">
        <f aca="false">BR504-BS504</f>
        <v>0</v>
      </c>
      <c r="BU504" s="15" t="n">
        <f aca="false">BH504-(BD504+BE504-BF504-AY504)</f>
        <v>0</v>
      </c>
      <c r="BV504" s="15" t="n">
        <f aca="false">MIN(Piano_SS!$C$6,(BV503)+IF(AND(Motore_Operativo!C504&gt;=EDATE(Parametri_v3!$C$24,Ipotesi!K14*12),Motore_Operativo!C504&lt;EDATE(Parametri_v3!$C$24,Parametri_v3!$C$25+Ipotesi!K14*12)),MAX(0,(Motore_Operativo!Y504+Motore_Operativo!X504*Parametri_v3!$C$14)*(1-Parametri_v3!$C$32))*Piano_SS!$D$6,0))</f>
        <v>126350</v>
      </c>
      <c r="BW504" s="15" t="n">
        <f aca="false">MIN(Piano_SS!$C$7,(BW503)+IF(AND(Motore_Operativo!C504&gt;=EDATE(Parametri_v3!$C$24,Ipotesi!K14*12),Motore_Operativo!C504&lt;EDATE(Parametri_v3!$C$24,Parametri_v3!$C$25+Ipotesi!K14*12)),MAX(0,(IF(20-(INT((Ipotesi!$C$91)/30))&lt;1,0,INDEX(Motore_Operativo!$BN$485:$BN$544,MAX(1,20-(INT((Ipotesi!$C$91)/30)))))*(1-(MOD((Ipotesi!$C$91),30)/30))+IF(20-(INT((Ipotesi!$C$91)/30))-1&lt;1,0,INDEX(Motore_Operativo!$BN$485:$BN$544,MAX(1,20-(INT((Ipotesi!$C$91)/30))-1)))*(MOD((Ipotesi!$C$91),30)/30)))*Piano_SS!$D$7,0))</f>
        <v>19320.4370474985</v>
      </c>
      <c r="BX504" s="15" t="n">
        <f aca="false">MIN(Piano_SS!$C$8,(BX503)+IF(AND(Motore_Operativo!C504&gt;=EDATE(Parametri_v3!$C$24,Ipotesi!K14*12),Motore_Operativo!C504&lt;EDATE(Parametri_v3!$C$24,Parametri_v3!$C$25+Ipotesi!K14*12)),MAX(0,Motore_Operativo!CE504)*Piano_SS!$D$8,0))</f>
        <v>26666.6666666667</v>
      </c>
      <c r="BY504" s="15" t="n">
        <f aca="false">MIN(Piano_SS!$C$9,(BY503)+IF(AND(Motore_Operativo!C504&gt;=EDATE(Parametri_v3!$C$24,Ipotesi!K14*12),Motore_Operativo!C504&lt;EDATE(Parametri_v3!$C$24,Parametri_v3!$C$25+Ipotesi!K14*12)),MAX(0,((IF(20-(INT((Ipotesi!$C$91)/30))&lt;1,0,INDEX(Motore_Operativo!$BQ$485:$BQ$544,MAX(1,20-(INT((Ipotesi!$C$91)/30)))))*(1-(MOD((Ipotesi!$C$91),30)/30))+IF(20-(INT((Ipotesi!$C$91)/30))-1&lt;1,0,INDEX(Motore_Operativo!$BQ$485:$BQ$544,MAX(1,20-(INT((Ipotesi!$C$91)/30))-1)))*(MOD((Ipotesi!$C$91),30)/30))+(IF(20-(INT((Ipotesi!$C$91)/30))&lt;1,0,INDEX(Motore_Operativo!$BR$485:$BR$544,MAX(1,20-(INT((Ipotesi!$C$91)/30)))))*(1-(MOD((Ipotesi!$C$91),30)/30))+IF(20-(INT((Ipotesi!$C$91)/30))-1&lt;1,0,INDEX(Motore_Operativo!$BR$485:$BR$544,MAX(1,20-(INT((Ipotesi!$C$91)/30))-1)))*(MOD((Ipotesi!$C$91),30)/30))))*Piano_SS!$D$9,0))</f>
        <v>35500</v>
      </c>
      <c r="BZ504" s="15" t="n">
        <f aca="false">MIN(Piano_SS!$C$10,(BZ503)+IF(AND(Motore_Operativo!C504&gt;=EDATE(Parametri_v3!$C$24,Ipotesi!K14*12),Motore_Operativo!C504&lt;EDATE(Parametri_v3!$C$24,Parametri_v3!$C$25+Ipotesi!K14*12)),MAX(0,(IF(20-(INT((Ipotesi!$C$91)/30))&lt;1,0,INDEX(Motore_Operativo!$BO$485:$BO$544,MAX(1,20-(INT((Ipotesi!$C$91)/30)))))*(1-(MOD((Ipotesi!$C$91),30)/30))+IF(20-(INT((Ipotesi!$C$91)/30))-1&lt;1,0,INDEX(Motore_Operativo!$BO$485:$BO$544,MAX(1,20-(INT((Ipotesi!$C$91)/30))-1)))*(MOD((Ipotesi!$C$91),30)/30)))*Piano_SS!$D$10,0))</f>
        <v>19000</v>
      </c>
      <c r="CA504" s="15" t="n">
        <f aca="false">SUM(BV504:BZ504)</f>
        <v>226837.103714165</v>
      </c>
      <c r="CB504" s="15" t="n">
        <f aca="false">BV504*(1-Piano_SS!$E$6)+BW504*(1-Piano_SS!$E$7)+BX504*(1-Piano_SS!$E$8)+BY504*(1-Piano_SS!$E$9)+BZ504*(1-Piano_SS!$E$10)</f>
        <v>207837.103714165</v>
      </c>
      <c r="CC504" s="15" t="n">
        <f aca="false">(CC503)+BA504</f>
        <v>0</v>
      </c>
      <c r="CD504" s="15" t="n">
        <f aca="false">IF(CA504=0,0,CC504*CB504/CA504*Ipotesi!$C$103*Parametri_v3!$C$64)</f>
        <v>0</v>
      </c>
      <c r="CE504" s="18" t="n">
        <f aca="false">IF(BA504&gt;0,Motore_Operativo!C504,(CE503))</f>
        <v>0</v>
      </c>
      <c r="CF504" s="18" t="n">
        <f aca="false">IF(AND(CC504&gt;0,OR(CC504&gt;=CG504-0.01,Motore_Operativo!C504&gt;=EDATE(MAX(Finanziamenti!$D$15:$D$17),Ipotesi!K14*12))),CE504,0)</f>
        <v>0</v>
      </c>
      <c r="CG504" s="15" t="n">
        <f aca="false">IF(AND(9&lt;&gt;6,9&lt;&gt;9,Finanziamenti!$F$11=1,OR(Parametri_v3!$C$6=0,Finanziamenti!$E$11=1)),MIN(Finanziamenti!$C$11,Piano_SS!$C$12*Ipotesi!$C$102),0)</f>
        <v>0</v>
      </c>
      <c r="CH504" s="15" t="n">
        <f aca="false">IF(AND(AND(9&lt;&gt;8,9&lt;&gt;9,Finanziamenti!$F$10=1,OR(Parametri_v3!$C$6=0,Finanziamenti!$E$10=1)),Motore_Operativo!C504&gt;=Finanziamenti!$D$10,Motore_Operativo!C504&lt;Parametri_v3!$C$63),Finanziamenti!$C$10,0)</f>
        <v>0</v>
      </c>
    </row>
    <row r="505" customFormat="false" ht="18" hidden="false" customHeight="true" outlineLevel="0" collapsed="false">
      <c r="A505" s="68" t="n">
        <f aca="false">9</f>
        <v>9</v>
      </c>
      <c r="B505" s="68" t="n">
        <f aca="false">21</f>
        <v>21</v>
      </c>
      <c r="C505" s="18" t="n">
        <f aca="false">Motore_Operativo!C505</f>
        <v>46997</v>
      </c>
      <c r="D505" s="68" t="n">
        <f aca="false">Motore_Operativo!D505</f>
        <v>2028</v>
      </c>
      <c r="E505" s="68" t="n">
        <f aca="false">Motore_Operativo!E505</f>
        <v>9</v>
      </c>
      <c r="F505" s="15" t="n">
        <f aca="false">Motore_Operativo!AQ505+Motore_Operativo!BF505</f>
        <v>29166.5869453654</v>
      </c>
      <c r="G505" s="15" t="n">
        <f aca="false">Motore_Operativo!BH505</f>
        <v>3398.1220657277</v>
      </c>
      <c r="H505" s="15" t="n">
        <f aca="false">Motore_Operativo!BI505</f>
        <v>32564.7090110931</v>
      </c>
      <c r="I505" s="15" t="n">
        <f aca="false">Motore_Operativo!CA505</f>
        <v>57796.0991676563</v>
      </c>
      <c r="J505" s="15" t="n">
        <f aca="false">Motore_Operativo!CC505</f>
        <v>-25231.3901565633</v>
      </c>
      <c r="K505" s="15" t="n">
        <f aca="false">Motore_Operativo!CE505</f>
        <v>2083.33333333333</v>
      </c>
      <c r="L505" s="15" t="n">
        <f aca="false">SUM(INDEX($K$485:$K$544,MAX(1,21-Parametri_v3!$C$59+1)):K505)/Parametri_v3!$C$59</f>
        <v>1076.38888888889</v>
      </c>
      <c r="M505" s="15" t="n">
        <f aca="false">J505-L505</f>
        <v>-26307.7790454521</v>
      </c>
      <c r="N505" s="15" t="n">
        <f aca="false">CD505-(CD504)</f>
        <v>0</v>
      </c>
      <c r="O505" s="15" t="n">
        <f aca="false">(BG504)*Ipotesi!$C$110/12+CH505*Parametri_v3!$C$39/12</f>
        <v>0</v>
      </c>
      <c r="P505" s="15" t="n">
        <f aca="false">M505+N505-O505</f>
        <v>-26307.7790454521</v>
      </c>
      <c r="Q505" s="15" t="n">
        <f aca="false">SUM(P497:P505)+Parametri_v3!$C$54*9/12</f>
        <v>-260834.641361698</v>
      </c>
      <c r="R505" s="15" t="n">
        <f aca="false">Z496</f>
        <v>223792.058479532</v>
      </c>
      <c r="S505" s="15" t="n">
        <f aca="false">AA496</f>
        <v>0</v>
      </c>
      <c r="T505" s="15" t="n">
        <f aca="false">MIN(R505,MAX(0,Q505))</f>
        <v>0</v>
      </c>
      <c r="U505" s="15" t="n">
        <f aca="false">MIN(S505,MAX(0,Q505-T505)*Parametri_v3!$C$42)</f>
        <v>0</v>
      </c>
      <c r="V505" s="15" t="n">
        <f aca="false">MAX(0,Q505-T505-U505)*Ipotesi!$C$92</f>
        <v>0</v>
      </c>
      <c r="W505" s="15" t="n">
        <f aca="false">MAX(0,SUM(M497:M505)+Parametri_v3!$C$55*9/12)*Ipotesi!$C$93</f>
        <v>0</v>
      </c>
      <c r="X505" s="15" t="n">
        <f aca="false">V505+W505-(V504+W504)</f>
        <v>0</v>
      </c>
      <c r="Y505" s="15" t="n">
        <f aca="false">P505-X505</f>
        <v>-26307.7790454521</v>
      </c>
      <c r="Z505" s="15" t="n">
        <f aca="false">R505-T505+IF(AND(Parametri_v3!$C$40=1,D505-YEAR(Parametri_v3!$C$50)&lt;Parametri_v3!$C$41),MAX(0,-Q505),0)</f>
        <v>484626.69984123</v>
      </c>
      <c r="AA505" s="15" t="n">
        <f aca="false">S505-U505+IF(AND(Parametri_v3!$C$40=1,D505-YEAR(Parametri_v3!$C$50)&lt;Parametri_v3!$C$41),0,MAX(0,-Q505))</f>
        <v>0</v>
      </c>
      <c r="AB505" s="15" t="n">
        <f aca="false">F505*(1+Parametri_v3!$C$26)</f>
        <v>35583.2360733457</v>
      </c>
      <c r="AC505" s="15" t="n">
        <f aca="false">(IF(21-(INT((Motore_Operativo!L505)/30))&lt;1,0,INDEX(Motore_Startup!$AB$485:$AB$544,MAX(1,21-(INT((Motore_Operativo!L505)/30)))))*(1-(MOD((Motore_Operativo!L505),30)/30))+IF(21-(INT((Motore_Operativo!L505)/30))-1&lt;1,0,INDEX(Motore_Startup!$AB$485:$AB$544,MAX(1,21-(INT((Motore_Operativo!L505)/30))-1)))*(MOD((Motore_Operativo!L505),30)/30))</f>
        <v>32261.4402984015</v>
      </c>
      <c r="AD505" s="15" t="n">
        <f aca="false">(AD504)+AB505-AC505</f>
        <v>103447.355868379</v>
      </c>
      <c r="AE505" s="15" t="n">
        <f aca="false">Motore_Operativo!BH505*(1+Parametri_v3!$C$26)</f>
        <v>4145.70892018779</v>
      </c>
      <c r="AF505" s="15" t="n">
        <f aca="false">(IF(21-(INT((Parametri_v3!$C$29)/30))&lt;1,0,INDEX(Motore_Operativo!$BH$485:$BH$544,MAX(1,21-(INT((Parametri_v3!$C$29)/30)))))*(1-(MOD((Parametri_v3!$C$29),30)/30))+IF(21-(INT((Parametri_v3!$C$29)/30))-1&lt;1,0,INDEX(Motore_Operativo!$BH$485:$BH$544,MAX(1,21-(INT((Parametri_v3!$C$29)/30))-1)))*(MOD((Parametri_v3!$C$29),30)/30))*(1+Parametri_v3!$C$26)</f>
        <v>4145.70892018779</v>
      </c>
      <c r="AG505" s="15" t="n">
        <f aca="false">(AG504)+AE505-AF505</f>
        <v>4145.70892018779</v>
      </c>
      <c r="AH505" s="15" t="n">
        <f aca="false">(Motore_Operativo!CJ505)*(1+Parametri_v3!$C$27*Parametri_v3!$C$26)</f>
        <v>21405.882212008</v>
      </c>
      <c r="AI505" s="15" t="n">
        <f aca="false">(IF(21-(INT((Ipotesi!$C$91)/30))&lt;1,0,INDEX(Motore_Startup!$AH$485:$AH$544,MAX(1,21-(INT((Ipotesi!$C$91)/30)))))*(1-(MOD((Ipotesi!$C$91),30)/30))+IF(21-(INT((Ipotesi!$C$91)/30))-1&lt;1,0,INDEX(Motore_Startup!$AH$485:$AH$544,MAX(1,21-(INT((Ipotesi!$C$91)/30))-1)))*(MOD((Ipotesi!$C$91),30)/30))</f>
        <v>21105.5602750226</v>
      </c>
      <c r="AJ505" s="15" t="n">
        <f aca="false">(AJ504)+AH505-AI505</f>
        <v>42662.2626611666</v>
      </c>
      <c r="AK505" s="15" t="n">
        <f aca="false">(F505+ Motore_Operativo!BH505-(Motore_Operativo!CJ505)*Parametri_v3!$C$27-Motore_Operativo!CE505)*Parametri_v3!$C$26</f>
        <v>3333.61960475541</v>
      </c>
      <c r="AL505" s="15" t="n">
        <f aca="false">MAX(0,(AM504))</f>
        <v>3159.25186089038</v>
      </c>
      <c r="AM505" s="15" t="n">
        <f aca="false">(AM504)+AK505-AL505</f>
        <v>3333.61960475541</v>
      </c>
      <c r="AN505" s="15" t="n">
        <f aca="false">SUM(X485:X496)</f>
        <v>0</v>
      </c>
      <c r="AO505" s="15" t="n">
        <f aca="false">SUM(AP485:AP496)</f>
        <v>0</v>
      </c>
      <c r="AP505" s="15" t="n">
        <f aca="false">MAX(0,AN505)*IF(9=Parametri_v3!$C$43,Parametri_v3!$C$45,IF(9=Parametri_v3!$C$44,1-Parametri_v3!$C$45,0))</f>
        <v>0</v>
      </c>
      <c r="AQ505" s="15" t="n">
        <f aca="false">MAX(0,AP505+IF(9=Parametri_v3!$C$43,MAX(0,AN505-AO505),0)-MAX(0,-(AR504)))</f>
        <v>0</v>
      </c>
      <c r="AR505" s="15" t="n">
        <f aca="false">(AR504)+X505-AQ505</f>
        <v>0</v>
      </c>
      <c r="AS505" s="15" t="n">
        <f aca="false">Motore_Operativo!AB505-AT505+AU505</f>
        <v>37774.375</v>
      </c>
      <c r="AT505" s="15" t="n">
        <f aca="false">Motore_Operativo!CH505</f>
        <v>1988.125</v>
      </c>
      <c r="AU505" s="15" t="n">
        <f aca="false">MIN(MAX(0,(AV504)+AT505),Parametri_v3!$C$60/12)</f>
        <v>0</v>
      </c>
      <c r="AV505" s="15" t="n">
        <f aca="false">(AV504)+AT505-AU505</f>
        <v>28643.125</v>
      </c>
      <c r="AW505" s="15" t="n">
        <f aca="false">IF(AND(Motore_Operativo!C505=Finanziamenti!$D$6,Finanziamenti!$F$6=1),Finanziamenti!$C$6,0)</f>
        <v>0</v>
      </c>
      <c r="AX505" s="15" t="n">
        <f aca="false">IF(AND(9&lt;&gt;7,9&lt;&gt;9,Finanziamenti!$F$8=1,OR(Parametri_v3!$C$6=0,Finanziamenti!$E$8=1),Motore_Operativo!C505=EDATE(Finanziamenti!$D$8,Ipotesi!K15*12)),Finanziamenti!$C$8*1,0)+IF(AND(9&lt;&gt;7,9&lt;&gt;9,Finanziamenti!$F$9=1,OR(Parametri_v3!$C$6=0,Finanziamenti!$E$9=1),Motore_Operativo!C505=EDATE(Finanziamenti!$D$9,Ipotesi!K15*12)),Finanziamenti!$C$9*Ipotesi!K16,0)</f>
        <v>0</v>
      </c>
      <c r="AY505" s="15" t="n">
        <f aca="false">0</f>
        <v>0</v>
      </c>
      <c r="AZ505" s="15" t="n">
        <f aca="false">Motore_Advisory!AY505*(1-Ipotesi!$C$95)*Ipotesi!$C$96</f>
        <v>0</v>
      </c>
      <c r="BA505" s="15" t="n">
        <f aca="false">MAX(0,MIN(CG505*MIN(1,IF(Motore_Operativo!C505&gt;=EDATE(Finanziamenti!$D$15,Ipotesi!K14*12),Finanziamenti!$C$15,0)+IF(Motore_Operativo!C505&gt;=EDATE(Finanziamenti!$D$16,Ipotesi!K14*12),Finanziamenti!$C$16,0)+IF(Motore_Operativo!C505&gt;=EDATE(Finanziamenti!$D$17,Ipotesi!K14*12),Finanziamenti!$C$17,0)),CA505*Ipotesi!$C$102)-(CC504))</f>
        <v>0</v>
      </c>
      <c r="BB505" s="15" t="n">
        <f aca="false">IF(AND(CF505&gt;0,Motore_Operativo!C505&gt;=IF(CF505=0,0,EDATE(CF505,Parametri_v3!$C$37)),MOD(((D505-YEAR(IF(CF505=0,0,EDATE(CF505,Parametri_v3!$C$37))))*12+E505-MONTH(IF(CF505=0,0,EDATE(CF505,Parametri_v3!$C$37)))),Parametri_v3!$C$38)=0),MIN(MAX(0,(BC504)+BA505-N505),(CC505-CD505)/(Ipotesi!$C$108*12/Parametri_v3!$C$38)),0)</f>
        <v>0</v>
      </c>
      <c r="BC505" s="15" t="n">
        <f aca="false">(BC504)+BA505-N505-BB505</f>
        <v>0</v>
      </c>
      <c r="BD505" s="15" t="n">
        <f aca="false">(BH504)+AC505+AF505-AI505-AS505-K505*(1+Parametri_v3!$C$26)-AL505-AQ505-O505+AW505+AX505+AZ505+BA505-BB505</f>
        <v>-415115.479586097</v>
      </c>
      <c r="BE505" s="15" t="n">
        <f aca="false">MAX(0,MIN(MAX(0,CH505-(BG504)),Parametri_v3!$C$30-BD505))</f>
        <v>0</v>
      </c>
      <c r="BF505" s="15" t="n">
        <f aca="false">IF(Motore_Operativo!C505&gt;=Parametri_v3!$C$63,(BG504),MIN((BG504),MAX(0,BD505-Parametri_v3!$C$30)))</f>
        <v>0</v>
      </c>
      <c r="BG505" s="15" t="n">
        <f aca="false">(BG504)+BE505-BF505</f>
        <v>0</v>
      </c>
      <c r="BH505" s="15" t="n">
        <f aca="false">BD505+BE505-BF505-AY505</f>
        <v>-415115.479586097</v>
      </c>
      <c r="BI505" s="15" t="n">
        <f aca="false">MAX(0,Parametri_v3!$C$30-BH505)</f>
        <v>440115.479586097</v>
      </c>
      <c r="BJ505" s="15" t="n">
        <f aca="false">(BJ504)+K505</f>
        <v>38750</v>
      </c>
      <c r="BK505" s="15" t="n">
        <f aca="false">(BK504)+L505</f>
        <v>11215.2777777778</v>
      </c>
      <c r="BL505" s="15" t="n">
        <f aca="false">BJ505-BK505</f>
        <v>27534.7222222222</v>
      </c>
      <c r="BM505" s="15" t="n">
        <f aca="false">(BM504)+Y505</f>
        <v>-484626.69984123</v>
      </c>
      <c r="BN505" s="15" t="n">
        <f aca="false">(BN504)+AW505+AX505+AZ505</f>
        <v>130000</v>
      </c>
      <c r="BO505" s="15" t="n">
        <f aca="false">(BO504)+AY505</f>
        <v>0</v>
      </c>
      <c r="BP505" s="15" t="n">
        <f aca="false">0</f>
        <v>0</v>
      </c>
      <c r="BQ505" s="15" t="n">
        <f aca="false">BN505+BM505-BO505</f>
        <v>-354626.69984123</v>
      </c>
      <c r="BR505" s="15" t="n">
        <f aca="false">BH505+AD505+BL505+MAX(0,-AM505)+MAX(0,-AR505)+AG505</f>
        <v>-279987.692575308</v>
      </c>
      <c r="BS505" s="15" t="n">
        <f aca="false">AJ505+AV505+MAX(0,AM505)+MAX(0,AR505)+BC505+BG505+BQ505</f>
        <v>-279987.692575308</v>
      </c>
      <c r="BT505" s="15" t="n">
        <f aca="false">BR505-BS505</f>
        <v>0</v>
      </c>
      <c r="BU505" s="15" t="n">
        <f aca="false">BH505-(BD505+BE505-BF505-AY505)</f>
        <v>0</v>
      </c>
      <c r="BV505" s="15" t="n">
        <f aca="false">MIN(Piano_SS!$C$6,(BV504)+IF(AND(Motore_Operativo!C505&gt;=EDATE(Parametri_v3!$C$24,Ipotesi!K14*12),Motore_Operativo!C505&lt;EDATE(Parametri_v3!$C$24,Parametri_v3!$C$25+Ipotesi!K14*12)),MAX(0,(Motore_Operativo!Y505+Motore_Operativo!X505*Parametri_v3!$C$14)*(1-Parametri_v3!$C$32))*Piano_SS!$D$6,0))</f>
        <v>138581.25</v>
      </c>
      <c r="BW505" s="15" t="n">
        <f aca="false">MIN(Piano_SS!$C$7,(BW504)+IF(AND(Motore_Operativo!C505&gt;=EDATE(Parametri_v3!$C$24,Ipotesi!K14*12),Motore_Operativo!C505&lt;EDATE(Parametri_v3!$C$24,Parametri_v3!$C$25+Ipotesi!K14*12)),MAX(0,(IF(21-(INT((Ipotesi!$C$91)/30))&lt;1,0,INDEX(Motore_Operativo!$BN$485:$BN$544,MAX(1,21-(INT((Ipotesi!$C$91)/30)))))*(1-(MOD((Ipotesi!$C$91),30)/30))+IF(21-(INT((Ipotesi!$C$91)/30))-1&lt;1,0,INDEX(Motore_Operativo!$BN$485:$BN$544,MAX(1,21-(INT((Ipotesi!$C$91)/30))-1)))*(MOD((Ipotesi!$C$91),30)/30)))*Piano_SS!$D$7,0))</f>
        <v>21049.1873094291</v>
      </c>
      <c r="BX505" s="15" t="n">
        <f aca="false">MIN(Piano_SS!$C$8,(BX504)+IF(AND(Motore_Operativo!C505&gt;=EDATE(Parametri_v3!$C$24,Ipotesi!K14*12),Motore_Operativo!C505&lt;EDATE(Parametri_v3!$C$24,Parametri_v3!$C$25+Ipotesi!K14*12)),MAX(0,Motore_Operativo!CE505)*Piano_SS!$D$8,0))</f>
        <v>28750</v>
      </c>
      <c r="BY505" s="15" t="n">
        <f aca="false">MIN(Piano_SS!$C$9,(BY504)+IF(AND(Motore_Operativo!C505&gt;=EDATE(Parametri_v3!$C$24,Ipotesi!K14*12),Motore_Operativo!C505&lt;EDATE(Parametri_v3!$C$24,Parametri_v3!$C$25+Ipotesi!K14*12)),MAX(0,((IF(21-(INT((Ipotesi!$C$91)/30))&lt;1,0,INDEX(Motore_Operativo!$BQ$485:$BQ$544,MAX(1,21-(INT((Ipotesi!$C$91)/30)))))*(1-(MOD((Ipotesi!$C$91),30)/30))+IF(21-(INT((Ipotesi!$C$91)/30))-1&lt;1,0,INDEX(Motore_Operativo!$BQ$485:$BQ$544,MAX(1,21-(INT((Ipotesi!$C$91)/30))-1)))*(MOD((Ipotesi!$C$91),30)/30))+(IF(21-(INT((Ipotesi!$C$91)/30))&lt;1,0,INDEX(Motore_Operativo!$BR$485:$BR$544,MAX(1,21-(INT((Ipotesi!$C$91)/30)))))*(1-(MOD((Ipotesi!$C$91),30)/30))+IF(21-(INT((Ipotesi!$C$91)/30))-1&lt;1,0,INDEX(Motore_Operativo!$BR$485:$BR$544,MAX(1,21-(INT((Ipotesi!$C$91)/30))-1)))*(MOD((Ipotesi!$C$91),30)/30))))*Piano_SS!$D$9,0))</f>
        <v>38416.6666666667</v>
      </c>
      <c r="BZ505" s="15" t="n">
        <f aca="false">MIN(Piano_SS!$C$10,(BZ504)+IF(AND(Motore_Operativo!C505&gt;=EDATE(Parametri_v3!$C$24,Ipotesi!K14*12),Motore_Operativo!C505&lt;EDATE(Parametri_v3!$C$24,Parametri_v3!$C$25+Ipotesi!K14*12)),MAX(0,(IF(21-(INT((Ipotesi!$C$91)/30))&lt;1,0,INDEX(Motore_Operativo!$BO$485:$BO$544,MAX(1,21-(INT((Ipotesi!$C$91)/30)))))*(1-(MOD((Ipotesi!$C$91),30)/30))+IF(21-(INT((Ipotesi!$C$91)/30))-1&lt;1,0,INDEX(Motore_Operativo!$BO$485:$BO$544,MAX(1,21-(INT((Ipotesi!$C$91)/30))-1)))*(MOD((Ipotesi!$C$91),30)/30)))*Piano_SS!$D$10,0))</f>
        <v>20833.3333333333</v>
      </c>
      <c r="CA505" s="15" t="n">
        <f aca="false">SUM(BV505:BZ505)</f>
        <v>247630.437309429</v>
      </c>
      <c r="CB505" s="15" t="n">
        <f aca="false">BV505*(1-Piano_SS!$E$6)+BW505*(1-Piano_SS!$E$7)+BX505*(1-Piano_SS!$E$8)+BY505*(1-Piano_SS!$E$9)+BZ505*(1-Piano_SS!$E$10)</f>
        <v>226797.103976096</v>
      </c>
      <c r="CC505" s="15" t="n">
        <f aca="false">(CC504)+BA505</f>
        <v>0</v>
      </c>
      <c r="CD505" s="15" t="n">
        <f aca="false">IF(CA505=0,0,CC505*CB505/CA505*Ipotesi!$C$103*Parametri_v3!$C$64)</f>
        <v>0</v>
      </c>
      <c r="CE505" s="18" t="n">
        <f aca="false">IF(BA505&gt;0,Motore_Operativo!C505,(CE504))</f>
        <v>0</v>
      </c>
      <c r="CF505" s="18" t="n">
        <f aca="false">IF(AND(CC505&gt;0,OR(CC505&gt;=CG505-0.01,Motore_Operativo!C505&gt;=EDATE(MAX(Finanziamenti!$D$15:$D$17),Ipotesi!K14*12))),CE505,0)</f>
        <v>0</v>
      </c>
      <c r="CG505" s="15" t="n">
        <f aca="false">IF(AND(9&lt;&gt;6,9&lt;&gt;9,Finanziamenti!$F$11=1,OR(Parametri_v3!$C$6=0,Finanziamenti!$E$11=1)),MIN(Finanziamenti!$C$11,Piano_SS!$C$12*Ipotesi!$C$102),0)</f>
        <v>0</v>
      </c>
      <c r="CH505" s="15" t="n">
        <f aca="false">IF(AND(AND(9&lt;&gt;8,9&lt;&gt;9,Finanziamenti!$F$10=1,OR(Parametri_v3!$C$6=0,Finanziamenti!$E$10=1)),Motore_Operativo!C505&gt;=Finanziamenti!$D$10,Motore_Operativo!C505&lt;Parametri_v3!$C$63),Finanziamenti!$C$10,0)</f>
        <v>0</v>
      </c>
    </row>
    <row r="506" customFormat="false" ht="18" hidden="false" customHeight="true" outlineLevel="0" collapsed="false">
      <c r="A506" s="68" t="n">
        <f aca="false">9</f>
        <v>9</v>
      </c>
      <c r="B506" s="68" t="n">
        <f aca="false">22</f>
        <v>22</v>
      </c>
      <c r="C506" s="18" t="n">
        <f aca="false">Motore_Operativo!C506</f>
        <v>47027</v>
      </c>
      <c r="D506" s="68" t="n">
        <f aca="false">Motore_Operativo!D506</f>
        <v>2028</v>
      </c>
      <c r="E506" s="68" t="n">
        <f aca="false">Motore_Operativo!E506</f>
        <v>10</v>
      </c>
      <c r="F506" s="15" t="n">
        <f aca="false">Motore_Operativo!AQ506+Motore_Operativo!BF506</f>
        <v>30058.3601828285</v>
      </c>
      <c r="G506" s="15" t="n">
        <f aca="false">Motore_Operativo!BH506</f>
        <v>3398.1220657277</v>
      </c>
      <c r="H506" s="15" t="n">
        <f aca="false">Motore_Operativo!BI506</f>
        <v>33456.4822485563</v>
      </c>
      <c r="I506" s="15" t="n">
        <f aca="false">Motore_Operativo!CA506</f>
        <v>57920.9474209012</v>
      </c>
      <c r="J506" s="15" t="n">
        <f aca="false">Motore_Operativo!CC506</f>
        <v>-24464.4651723449</v>
      </c>
      <c r="K506" s="15" t="n">
        <f aca="false">Motore_Operativo!CE506</f>
        <v>2083.33333333333</v>
      </c>
      <c r="L506" s="15" t="n">
        <f aca="false">SUM(INDEX($K$485:$K$544,MAX(1,22-Parametri_v3!$C$59+1)):K506)/Parametri_v3!$C$59</f>
        <v>1134.25925925926</v>
      </c>
      <c r="M506" s="15" t="n">
        <f aca="false">J506-L506</f>
        <v>-25598.7244316042</v>
      </c>
      <c r="N506" s="15" t="n">
        <f aca="false">CD506-(CD505)</f>
        <v>0</v>
      </c>
      <c r="O506" s="15" t="n">
        <f aca="false">(BG505)*Ipotesi!$C$110/12+CH506*Parametri_v3!$C$39/12</f>
        <v>0</v>
      </c>
      <c r="P506" s="15" t="n">
        <f aca="false">M506+N506-O506</f>
        <v>-25598.7244316042</v>
      </c>
      <c r="Q506" s="15" t="n">
        <f aca="false">SUM(P497:P506)+Parametri_v3!$C$54*10/12</f>
        <v>-286433.365793302</v>
      </c>
      <c r="R506" s="15" t="n">
        <f aca="false">Z496</f>
        <v>223792.058479532</v>
      </c>
      <c r="S506" s="15" t="n">
        <f aca="false">AA496</f>
        <v>0</v>
      </c>
      <c r="T506" s="15" t="n">
        <f aca="false">MIN(R506,MAX(0,Q506))</f>
        <v>0</v>
      </c>
      <c r="U506" s="15" t="n">
        <f aca="false">MIN(S506,MAX(0,Q506-T506)*Parametri_v3!$C$42)</f>
        <v>0</v>
      </c>
      <c r="V506" s="15" t="n">
        <f aca="false">MAX(0,Q506-T506-U506)*Ipotesi!$C$92</f>
        <v>0</v>
      </c>
      <c r="W506" s="15" t="n">
        <f aca="false">MAX(0,SUM(M497:M506)+Parametri_v3!$C$55*10/12)*Ipotesi!$C$93</f>
        <v>0</v>
      </c>
      <c r="X506" s="15" t="n">
        <f aca="false">V506+W506-(V505+W505)</f>
        <v>0</v>
      </c>
      <c r="Y506" s="15" t="n">
        <f aca="false">P506-X506</f>
        <v>-25598.7244316042</v>
      </c>
      <c r="Z506" s="15" t="n">
        <f aca="false">R506-T506+IF(AND(Parametri_v3!$C$40=1,D506-YEAR(Parametri_v3!$C$50)&lt;Parametri_v3!$C$41),MAX(0,-Q506),0)</f>
        <v>510225.424272834</v>
      </c>
      <c r="AA506" s="15" t="n">
        <f aca="false">S506-U506+IF(AND(Parametri_v3!$C$40=1,D506-YEAR(Parametri_v3!$C$50)&lt;Parametri_v3!$C$41),0,MAX(0,-Q506))</f>
        <v>0</v>
      </c>
      <c r="AB506" s="15" t="n">
        <f aca="false">F506*(1+Parametri_v3!$C$26)</f>
        <v>36671.1994230508</v>
      </c>
      <c r="AC506" s="15" t="n">
        <f aca="false">(IF(22-(INT((Motore_Operativo!L506)/30))&lt;1,0,INDEX(Motore_Startup!$AB$485:$AB$544,MAX(1,22-(INT((Motore_Operativo!L506)/30)))))*(1-(MOD((Motore_Operativo!L506),30)/30))+IF(22-(INT((Motore_Operativo!L506)/30))-1&lt;1,0,INDEX(Motore_Startup!$AB$485:$AB$544,MAX(1,22-(INT((Motore_Operativo!L506)/30))-1)))*(MOD((Motore_Operativo!L506),30)/30))</f>
        <v>33378.4414944421</v>
      </c>
      <c r="AD506" s="15" t="n">
        <f aca="false">(AD505)+AB506-AC506</f>
        <v>106740.113796988</v>
      </c>
      <c r="AE506" s="15" t="n">
        <f aca="false">Motore_Operativo!BH506*(1+Parametri_v3!$C$26)</f>
        <v>4145.70892018779</v>
      </c>
      <c r="AF506" s="15" t="n">
        <f aca="false">(IF(22-(INT((Parametri_v3!$C$29)/30))&lt;1,0,INDEX(Motore_Operativo!$BH$485:$BH$544,MAX(1,22-(INT((Parametri_v3!$C$29)/30)))))*(1-(MOD((Parametri_v3!$C$29),30)/30))+IF(22-(INT((Parametri_v3!$C$29)/30))-1&lt;1,0,INDEX(Motore_Operativo!$BH$485:$BH$544,MAX(1,22-(INT((Parametri_v3!$C$29)/30))-1)))*(MOD((Parametri_v3!$C$29),30)/30))*(1+Parametri_v3!$C$26)</f>
        <v>4145.70892018779</v>
      </c>
      <c r="AG506" s="15" t="n">
        <f aca="false">(AG505)+AE506-AF506</f>
        <v>4145.70892018779</v>
      </c>
      <c r="AH506" s="15" t="n">
        <f aca="false">(Motore_Operativo!CJ506)*(1+Parametri_v3!$C$27*Parametri_v3!$C$26)</f>
        <v>21554.0770886097</v>
      </c>
      <c r="AI506" s="15" t="n">
        <f aca="false">(IF(22-(INT((Ipotesi!$C$91)/30))&lt;1,0,INDEX(Motore_Startup!$AH$485:$AH$544,MAX(1,22-(INT((Ipotesi!$C$91)/30)))))*(1-(MOD((Ipotesi!$C$91),30)/30))+IF(22-(INT((Ipotesi!$C$91)/30))-1&lt;1,0,INDEX(Motore_Startup!$AH$485:$AH$544,MAX(1,22-(INT((Ipotesi!$C$91)/30))-1)))*(MOD((Ipotesi!$C$91),30)/30))</f>
        <v>21256.3804491586</v>
      </c>
      <c r="AJ506" s="15" t="n">
        <f aca="false">(AJ505)+AH506-AI506</f>
        <v>42959.9593006177</v>
      </c>
      <c r="AK506" s="15" t="n">
        <f aca="false">(F506+ Motore_Operativo!BH506-(Motore_Operativo!CJ506)*Parametri_v3!$C$27-Motore_Operativo!CE506)*Parametri_v3!$C$26</f>
        <v>3506.46309364052</v>
      </c>
      <c r="AL506" s="15" t="n">
        <f aca="false">MAX(0,(AM505))</f>
        <v>3333.61960475541</v>
      </c>
      <c r="AM506" s="15" t="n">
        <f aca="false">(AM505)+AK506-AL506</f>
        <v>3506.46309364052</v>
      </c>
      <c r="AN506" s="15" t="n">
        <f aca="false">SUM(X485:X496)</f>
        <v>0</v>
      </c>
      <c r="AO506" s="15" t="n">
        <f aca="false">SUM(AP485:AP496)</f>
        <v>0</v>
      </c>
      <c r="AP506" s="15" t="n">
        <f aca="false">MAX(0,AN506)*IF(10=Parametri_v3!$C$43,Parametri_v3!$C$45,IF(10=Parametri_v3!$C$44,1-Parametri_v3!$C$45,0))</f>
        <v>0</v>
      </c>
      <c r="AQ506" s="15" t="n">
        <f aca="false">MAX(0,AP506+IF(10=Parametri_v3!$C$43,MAX(0,AN506-AO506),0)-MAX(0,-(AR505)))</f>
        <v>0</v>
      </c>
      <c r="AR506" s="15" t="n">
        <f aca="false">(AR505)+X506-AQ506</f>
        <v>0</v>
      </c>
      <c r="AS506" s="15" t="n">
        <f aca="false">Motore_Operativo!AB506-AT506+AU506</f>
        <v>37774.375</v>
      </c>
      <c r="AT506" s="15" t="n">
        <f aca="false">Motore_Operativo!CH506</f>
        <v>1988.125</v>
      </c>
      <c r="AU506" s="15" t="n">
        <f aca="false">MIN(MAX(0,(AV505)+AT506),Parametri_v3!$C$60/12)</f>
        <v>0</v>
      </c>
      <c r="AV506" s="15" t="n">
        <f aca="false">(AV505)+AT506-AU506</f>
        <v>30631.25</v>
      </c>
      <c r="AW506" s="15" t="n">
        <f aca="false">IF(AND(Motore_Operativo!C506=Finanziamenti!$D$6,Finanziamenti!$F$6=1),Finanziamenti!$C$6,0)</f>
        <v>0</v>
      </c>
      <c r="AX506" s="15" t="n">
        <f aca="false">IF(AND(9&lt;&gt;7,9&lt;&gt;9,Finanziamenti!$F$8=1,OR(Parametri_v3!$C$6=0,Finanziamenti!$E$8=1),Motore_Operativo!C506=EDATE(Finanziamenti!$D$8,Ipotesi!K15*12)),Finanziamenti!$C$8*1,0)+IF(AND(9&lt;&gt;7,9&lt;&gt;9,Finanziamenti!$F$9=1,OR(Parametri_v3!$C$6=0,Finanziamenti!$E$9=1),Motore_Operativo!C506=EDATE(Finanziamenti!$D$9,Ipotesi!K15*12)),Finanziamenti!$C$9*Ipotesi!K16,0)</f>
        <v>0</v>
      </c>
      <c r="AY506" s="15" t="n">
        <f aca="false">0</f>
        <v>0</v>
      </c>
      <c r="AZ506" s="15" t="n">
        <f aca="false">Motore_Advisory!AY506*(1-Ipotesi!$C$95)*Ipotesi!$C$96</f>
        <v>0</v>
      </c>
      <c r="BA506" s="15" t="n">
        <f aca="false">MAX(0,MIN(CG506*MIN(1,IF(Motore_Operativo!C506&gt;=EDATE(Finanziamenti!$D$15,Ipotesi!K14*12),Finanziamenti!$C$15,0)+IF(Motore_Operativo!C506&gt;=EDATE(Finanziamenti!$D$16,Ipotesi!K14*12),Finanziamenti!$C$16,0)+IF(Motore_Operativo!C506&gt;=EDATE(Finanziamenti!$D$17,Ipotesi!K14*12),Finanziamenti!$C$17,0)),CA506*Ipotesi!$C$102)-(CC505))</f>
        <v>0</v>
      </c>
      <c r="BB506" s="15" t="n">
        <f aca="false">IF(AND(CF506&gt;0,Motore_Operativo!C506&gt;=IF(CF506=0,0,EDATE(CF506,Parametri_v3!$C$37)),MOD(((D506-YEAR(IF(CF506=0,0,EDATE(CF506,Parametri_v3!$C$37))))*12+E506-MONTH(IF(CF506=0,0,EDATE(CF506,Parametri_v3!$C$37)))),Parametri_v3!$C$38)=0),MIN(MAX(0,(BC505)+BA506-N506),(CC506-CD506)/(Ipotesi!$C$108*12/Parametri_v3!$C$38)),0)</f>
        <v>0</v>
      </c>
      <c r="BC506" s="15" t="n">
        <f aca="false">(BC505)+BA506-N506-BB506</f>
        <v>0</v>
      </c>
      <c r="BD506" s="15" t="n">
        <f aca="false">(BH505)+AC506+AF506-AI506-AS506-K506*(1+Parametri_v3!$C$26)-AL506-AQ506-O506+AW506+AX506+AZ506+BA506-BB506</f>
        <v>-442497.370892048</v>
      </c>
      <c r="BE506" s="15" t="n">
        <f aca="false">MAX(0,MIN(MAX(0,CH506-(BG505)),Parametri_v3!$C$30-BD506))</f>
        <v>0</v>
      </c>
      <c r="BF506" s="15" t="n">
        <f aca="false">IF(Motore_Operativo!C506&gt;=Parametri_v3!$C$63,(BG505),MIN((BG505),MAX(0,BD506-Parametri_v3!$C$30)))</f>
        <v>0</v>
      </c>
      <c r="BG506" s="15" t="n">
        <f aca="false">(BG505)+BE506-BF506</f>
        <v>0</v>
      </c>
      <c r="BH506" s="15" t="n">
        <f aca="false">BD506+BE506-BF506-AY506</f>
        <v>-442497.370892048</v>
      </c>
      <c r="BI506" s="15" t="n">
        <f aca="false">MAX(0,Parametri_v3!$C$30-BH506)</f>
        <v>467497.370892048</v>
      </c>
      <c r="BJ506" s="15" t="n">
        <f aca="false">(BJ505)+K506</f>
        <v>40833.3333333333</v>
      </c>
      <c r="BK506" s="15" t="n">
        <f aca="false">(BK505)+L506</f>
        <v>12349.537037037</v>
      </c>
      <c r="BL506" s="15" t="n">
        <f aca="false">BJ506-BK506</f>
        <v>28483.7962962963</v>
      </c>
      <c r="BM506" s="15" t="n">
        <f aca="false">(BM505)+Y506</f>
        <v>-510225.424272834</v>
      </c>
      <c r="BN506" s="15" t="n">
        <f aca="false">(BN505)+AW506+AX506+AZ506</f>
        <v>130000</v>
      </c>
      <c r="BO506" s="15" t="n">
        <f aca="false">(BO505)+AY506</f>
        <v>0</v>
      </c>
      <c r="BP506" s="15" t="n">
        <f aca="false">0</f>
        <v>0</v>
      </c>
      <c r="BQ506" s="15" t="n">
        <f aca="false">BN506+BM506-BO506</f>
        <v>-380225.424272834</v>
      </c>
      <c r="BR506" s="15" t="n">
        <f aca="false">BH506+AD506+BL506+MAX(0,-AM506)+MAX(0,-AR506)+AG506</f>
        <v>-303127.751878576</v>
      </c>
      <c r="BS506" s="15" t="n">
        <f aca="false">AJ506+AV506+MAX(0,AM506)+MAX(0,AR506)+BC506+BG506+BQ506</f>
        <v>-303127.751878576</v>
      </c>
      <c r="BT506" s="15" t="n">
        <f aca="false">BR506-BS506</f>
        <v>0</v>
      </c>
      <c r="BU506" s="15" t="n">
        <f aca="false">BH506-(BD506+BE506-BF506-AY506)</f>
        <v>0</v>
      </c>
      <c r="BV506" s="15" t="n">
        <f aca="false">MIN(Piano_SS!$C$6,(BV505)+IF(AND(Motore_Operativo!C506&gt;=EDATE(Parametri_v3!$C$24,Ipotesi!K14*12),Motore_Operativo!C506&lt;EDATE(Parametri_v3!$C$24,Parametri_v3!$C$25+Ipotesi!K14*12)),MAX(0,(Motore_Operativo!Y506+Motore_Operativo!X506*Parametri_v3!$C$14)*(1-Parametri_v3!$C$32))*Piano_SS!$D$6,0))</f>
        <v>150812.5</v>
      </c>
      <c r="BW506" s="15" t="n">
        <f aca="false">MIN(Piano_SS!$C$7,(BW505)+IF(AND(Motore_Operativo!C506&gt;=EDATE(Parametri_v3!$C$24,Ipotesi!K14*12),Motore_Operativo!C506&lt;EDATE(Parametri_v3!$C$24,Parametri_v3!$C$25+Ipotesi!K14*12)),MAX(0,(IF(22-(INT((Ipotesi!$C$91)/30))&lt;1,0,INDEX(Motore_Operativo!$BN$485:$BN$544,MAX(1,22-(INT((Ipotesi!$C$91)/30)))))*(1-(MOD((Ipotesi!$C$91),30)/30))+IF(22-(INT((Ipotesi!$C$91)/30))-1&lt;1,0,INDEX(Motore_Operativo!$BN$485:$BN$544,MAX(1,22-(INT((Ipotesi!$C$91)/30))-1)))*(MOD((Ipotesi!$C$91),30)/30)))*Piano_SS!$D$7,0))</f>
        <v>22850.5432635662</v>
      </c>
      <c r="BX506" s="15" t="n">
        <f aca="false">MIN(Piano_SS!$C$8,(BX505)+IF(AND(Motore_Operativo!C506&gt;=EDATE(Parametri_v3!$C$24,Ipotesi!K14*12),Motore_Operativo!C506&lt;EDATE(Parametri_v3!$C$24,Parametri_v3!$C$25+Ipotesi!K14*12)),MAX(0,Motore_Operativo!CE506)*Piano_SS!$D$8,0))</f>
        <v>30833.3333333333</v>
      </c>
      <c r="BY506" s="15" t="n">
        <f aca="false">MIN(Piano_SS!$C$9,(BY505)+IF(AND(Motore_Operativo!C506&gt;=EDATE(Parametri_v3!$C$24,Ipotesi!K14*12),Motore_Operativo!C506&lt;EDATE(Parametri_v3!$C$24,Parametri_v3!$C$25+Ipotesi!K14*12)),MAX(0,((IF(22-(INT((Ipotesi!$C$91)/30))&lt;1,0,INDEX(Motore_Operativo!$BQ$485:$BQ$544,MAX(1,22-(INT((Ipotesi!$C$91)/30)))))*(1-(MOD((Ipotesi!$C$91),30)/30))+IF(22-(INT((Ipotesi!$C$91)/30))-1&lt;1,0,INDEX(Motore_Operativo!$BQ$485:$BQ$544,MAX(1,22-(INT((Ipotesi!$C$91)/30))-1)))*(MOD((Ipotesi!$C$91),30)/30))+(IF(22-(INT((Ipotesi!$C$91)/30))&lt;1,0,INDEX(Motore_Operativo!$BR$485:$BR$544,MAX(1,22-(INT((Ipotesi!$C$91)/30)))))*(1-(MOD((Ipotesi!$C$91),30)/30))+IF(22-(INT((Ipotesi!$C$91)/30))-1&lt;1,0,INDEX(Motore_Operativo!$BR$485:$BR$544,MAX(1,22-(INT((Ipotesi!$C$91)/30))-1)))*(MOD((Ipotesi!$C$91),30)/30))))*Piano_SS!$D$9,0))</f>
        <v>40000</v>
      </c>
      <c r="BZ506" s="15" t="n">
        <f aca="false">MIN(Piano_SS!$C$10,(BZ505)+IF(AND(Motore_Operativo!C506&gt;=EDATE(Parametri_v3!$C$24,Ipotesi!K14*12),Motore_Operativo!C506&lt;EDATE(Parametri_v3!$C$24,Parametri_v3!$C$25+Ipotesi!K14*12)),MAX(0,(IF(22-(INT((Ipotesi!$C$91)/30))&lt;1,0,INDEX(Motore_Operativo!$BO$485:$BO$544,MAX(1,22-(INT((Ipotesi!$C$91)/30)))))*(1-(MOD((Ipotesi!$C$91),30)/30))+IF(22-(INT((Ipotesi!$C$91)/30))-1&lt;1,0,INDEX(Motore_Operativo!$BO$485:$BO$544,MAX(1,22-(INT((Ipotesi!$C$91)/30))-1)))*(MOD((Ipotesi!$C$91),30)/30)))*Piano_SS!$D$10,0))</f>
        <v>22666.6666666667</v>
      </c>
      <c r="CA506" s="15" t="n">
        <f aca="false">SUM(BV506:BZ506)</f>
        <v>267163.043263566</v>
      </c>
      <c r="CB506" s="15" t="n">
        <f aca="false">BV506*(1-Piano_SS!$E$6)+BW506*(1-Piano_SS!$E$7)+BX506*(1-Piano_SS!$E$8)+BY506*(1-Piano_SS!$E$9)+BZ506*(1-Piano_SS!$E$10)</f>
        <v>244496.3765969</v>
      </c>
      <c r="CC506" s="15" t="n">
        <f aca="false">(CC505)+BA506</f>
        <v>0</v>
      </c>
      <c r="CD506" s="15" t="n">
        <f aca="false">IF(CA506=0,0,CC506*CB506/CA506*Ipotesi!$C$103*Parametri_v3!$C$64)</f>
        <v>0</v>
      </c>
      <c r="CE506" s="18" t="n">
        <f aca="false">IF(BA506&gt;0,Motore_Operativo!C506,(CE505))</f>
        <v>0</v>
      </c>
      <c r="CF506" s="18" t="n">
        <f aca="false">IF(AND(CC506&gt;0,OR(CC506&gt;=CG506-0.01,Motore_Operativo!C506&gt;=EDATE(MAX(Finanziamenti!$D$15:$D$17),Ipotesi!K14*12))),CE506,0)</f>
        <v>0</v>
      </c>
      <c r="CG506" s="15" t="n">
        <f aca="false">IF(AND(9&lt;&gt;6,9&lt;&gt;9,Finanziamenti!$F$11=1,OR(Parametri_v3!$C$6=0,Finanziamenti!$E$11=1)),MIN(Finanziamenti!$C$11,Piano_SS!$C$12*Ipotesi!$C$102),0)</f>
        <v>0</v>
      </c>
      <c r="CH506" s="15" t="n">
        <f aca="false">IF(AND(AND(9&lt;&gt;8,9&lt;&gt;9,Finanziamenti!$F$10=1,OR(Parametri_v3!$C$6=0,Finanziamenti!$E$10=1)),Motore_Operativo!C506&gt;=Finanziamenti!$D$10,Motore_Operativo!C506&lt;Parametri_v3!$C$63),Finanziamenti!$C$10,0)</f>
        <v>0</v>
      </c>
    </row>
    <row r="507" customFormat="false" ht="18" hidden="false" customHeight="true" outlineLevel="0" collapsed="false">
      <c r="A507" s="68" t="n">
        <f aca="false">9</f>
        <v>9</v>
      </c>
      <c r="B507" s="68" t="n">
        <f aca="false">23</f>
        <v>23</v>
      </c>
      <c r="C507" s="18" t="n">
        <f aca="false">Motore_Operativo!C507</f>
        <v>47058</v>
      </c>
      <c r="D507" s="68" t="n">
        <f aca="false">Motore_Operativo!D507</f>
        <v>2028</v>
      </c>
      <c r="E507" s="68" t="n">
        <f aca="false">Motore_Operativo!E507</f>
        <v>11</v>
      </c>
      <c r="F507" s="15" t="n">
        <f aca="false">Motore_Operativo!AQ507+Motore_Operativo!BF507</f>
        <v>30942.33788559</v>
      </c>
      <c r="G507" s="15" t="n">
        <f aca="false">Motore_Operativo!BH507</f>
        <v>3398.1220657277</v>
      </c>
      <c r="H507" s="15" t="n">
        <f aca="false">Motore_Operativo!BI507</f>
        <v>34340.4599513177</v>
      </c>
      <c r="I507" s="15" t="n">
        <f aca="false">Motore_Operativo!CA507</f>
        <v>58044.7042992878</v>
      </c>
      <c r="J507" s="15" t="n">
        <f aca="false">Motore_Operativo!CC507</f>
        <v>-23704.2443479701</v>
      </c>
      <c r="K507" s="15" t="n">
        <f aca="false">Motore_Operativo!CE507</f>
        <v>2083.33333333333</v>
      </c>
      <c r="L507" s="15" t="n">
        <f aca="false">SUM(INDEX($K$485:$K$544,MAX(1,23-Parametri_v3!$C$59+1)):K507)/Parametri_v3!$C$59</f>
        <v>1192.12962962963</v>
      </c>
      <c r="M507" s="15" t="n">
        <f aca="false">J507-L507</f>
        <v>-24896.3739775997</v>
      </c>
      <c r="N507" s="15" t="n">
        <f aca="false">CD507-(CD506)</f>
        <v>0</v>
      </c>
      <c r="O507" s="15" t="n">
        <f aca="false">(BG506)*Ipotesi!$C$110/12+CH507*Parametri_v3!$C$39/12</f>
        <v>0</v>
      </c>
      <c r="P507" s="15" t="n">
        <f aca="false">M507+N507-O507</f>
        <v>-24896.3739775997</v>
      </c>
      <c r="Q507" s="15" t="n">
        <f aca="false">SUM(P497:P507)+Parametri_v3!$C$54*11/12</f>
        <v>-311329.739770902</v>
      </c>
      <c r="R507" s="15" t="n">
        <f aca="false">Z496</f>
        <v>223792.058479532</v>
      </c>
      <c r="S507" s="15" t="n">
        <f aca="false">AA496</f>
        <v>0</v>
      </c>
      <c r="T507" s="15" t="n">
        <f aca="false">MIN(R507,MAX(0,Q507))</f>
        <v>0</v>
      </c>
      <c r="U507" s="15" t="n">
        <f aca="false">MIN(S507,MAX(0,Q507-T507)*Parametri_v3!$C$42)</f>
        <v>0</v>
      </c>
      <c r="V507" s="15" t="n">
        <f aca="false">MAX(0,Q507-T507-U507)*Ipotesi!$C$92</f>
        <v>0</v>
      </c>
      <c r="W507" s="15" t="n">
        <f aca="false">MAX(0,SUM(M497:M507)+Parametri_v3!$C$55*11/12)*Ipotesi!$C$93</f>
        <v>0</v>
      </c>
      <c r="X507" s="15" t="n">
        <f aca="false">V507+W507-(V506+W506)</f>
        <v>0</v>
      </c>
      <c r="Y507" s="15" t="n">
        <f aca="false">P507-X507</f>
        <v>-24896.3739775997</v>
      </c>
      <c r="Z507" s="15" t="n">
        <f aca="false">R507-T507+IF(AND(Parametri_v3!$C$40=1,D507-YEAR(Parametri_v3!$C$50)&lt;Parametri_v3!$C$41),MAX(0,-Q507),0)</f>
        <v>535121.798250434</v>
      </c>
      <c r="AA507" s="15" t="n">
        <f aca="false">S507-U507+IF(AND(Parametri_v3!$C$40=1,D507-YEAR(Parametri_v3!$C$50)&lt;Parametri_v3!$C$41),0,MAX(0,-Q507))</f>
        <v>0</v>
      </c>
      <c r="AB507" s="15" t="n">
        <f aca="false">F507*(1+Parametri_v3!$C$26)</f>
        <v>37749.6522204198</v>
      </c>
      <c r="AC507" s="15" t="n">
        <f aca="false">(IF(23-(INT((Motore_Operativo!L507)/30))&lt;1,0,INDEX(Motore_Startup!$AB$485:$AB$544,MAX(1,23-(INT((Motore_Operativo!L507)/30)))))*(1-(MOD((Motore_Operativo!L507),30)/30))+IF(23-(INT((Motore_Operativo!L507)/30))-1&lt;1,0,INDEX(Motore_Startup!$AB$485:$AB$544,MAX(1,23-(INT((Motore_Operativo!L507)/30))-1)))*(MOD((Motore_Operativo!L507),30)/30))</f>
        <v>34485.6783005909</v>
      </c>
      <c r="AD507" s="15" t="n">
        <f aca="false">(AD506)+AB507-AC507</f>
        <v>110004.087716816</v>
      </c>
      <c r="AE507" s="15" t="n">
        <f aca="false">Motore_Operativo!BH507*(1+Parametri_v3!$C$26)</f>
        <v>4145.70892018779</v>
      </c>
      <c r="AF507" s="15" t="n">
        <f aca="false">(IF(23-(INT((Parametri_v3!$C$29)/30))&lt;1,0,INDEX(Motore_Operativo!$BH$485:$BH$544,MAX(1,23-(INT((Parametri_v3!$C$29)/30)))))*(1-(MOD((Parametri_v3!$C$29),30)/30))+IF(23-(INT((Parametri_v3!$C$29)/30))-1&lt;1,0,INDEX(Motore_Operativo!$BH$485:$BH$544,MAX(1,23-(INT((Parametri_v3!$C$29)/30))-1)))*(MOD((Parametri_v3!$C$29),30)/30))*(1+Parametri_v3!$C$26)</f>
        <v>4145.70892018779</v>
      </c>
      <c r="AG507" s="15" t="n">
        <f aca="false">(AG506)+AE507-AF507</f>
        <v>4145.70892018779</v>
      </c>
      <c r="AH507" s="15" t="n">
        <f aca="false">(Motore_Operativo!CJ507)*(1+Parametri_v3!$C$27*Parametri_v3!$C$26)</f>
        <v>21700.9765032546</v>
      </c>
      <c r="AI507" s="15" t="n">
        <f aca="false">(IF(23-(INT((Ipotesi!$C$91)/30))&lt;1,0,INDEX(Motore_Startup!$AH$485:$AH$544,MAX(1,23-(INT((Ipotesi!$C$91)/30)))))*(1-(MOD((Ipotesi!$C$91),30)/30))+IF(23-(INT((Ipotesi!$C$91)/30))-1&lt;1,0,INDEX(Motore_Startup!$AH$485:$AH$544,MAX(1,23-(INT((Ipotesi!$C$91)/30))-1)))*(MOD((Ipotesi!$C$91),30)/30))</f>
        <v>21405.882212008</v>
      </c>
      <c r="AJ507" s="15" t="n">
        <f aca="false">(AJ506)+AH507-AI507</f>
        <v>43255.0535918643</v>
      </c>
      <c r="AK507" s="15" t="n">
        <f aca="false">(F507+ Motore_Operativo!BH507-(Motore_Operativo!CJ507)*Parametri_v3!$C$27-Motore_Operativo!CE507)*Parametri_v3!$C$26</f>
        <v>3677.79565198975</v>
      </c>
      <c r="AL507" s="15" t="n">
        <f aca="false">MAX(0,(AM506))</f>
        <v>3506.46309364052</v>
      </c>
      <c r="AM507" s="15" t="n">
        <f aca="false">(AM506)+AK507-AL507</f>
        <v>3677.79565198975</v>
      </c>
      <c r="AN507" s="15" t="n">
        <f aca="false">SUM(X485:X496)</f>
        <v>0</v>
      </c>
      <c r="AO507" s="15" t="n">
        <f aca="false">SUM(AP485:AP496)</f>
        <v>0</v>
      </c>
      <c r="AP507" s="15" t="n">
        <f aca="false">MAX(0,AN507)*IF(11=Parametri_v3!$C$43,Parametri_v3!$C$45,IF(11=Parametri_v3!$C$44,1-Parametri_v3!$C$45,0))</f>
        <v>0</v>
      </c>
      <c r="AQ507" s="15" t="n">
        <f aca="false">MAX(0,AP507+IF(11=Parametri_v3!$C$43,MAX(0,AN507-AO507),0)-MAX(0,-(AR506)))</f>
        <v>0</v>
      </c>
      <c r="AR507" s="15" t="n">
        <f aca="false">(AR506)+X507-AQ507</f>
        <v>0</v>
      </c>
      <c r="AS507" s="15" t="n">
        <f aca="false">Motore_Operativo!AB507-AT507+AU507</f>
        <v>37774.375</v>
      </c>
      <c r="AT507" s="15" t="n">
        <f aca="false">Motore_Operativo!CH507</f>
        <v>1988.125</v>
      </c>
      <c r="AU507" s="15" t="n">
        <f aca="false">MIN(MAX(0,(AV506)+AT507),Parametri_v3!$C$60/12)</f>
        <v>0</v>
      </c>
      <c r="AV507" s="15" t="n">
        <f aca="false">(AV506)+AT507-AU507</f>
        <v>32619.375</v>
      </c>
      <c r="AW507" s="15" t="n">
        <f aca="false">IF(AND(Motore_Operativo!C507=Finanziamenti!$D$6,Finanziamenti!$F$6=1),Finanziamenti!$C$6,0)</f>
        <v>0</v>
      </c>
      <c r="AX507" s="15" t="n">
        <f aca="false">IF(AND(9&lt;&gt;7,9&lt;&gt;9,Finanziamenti!$F$8=1,OR(Parametri_v3!$C$6=0,Finanziamenti!$E$8=1),Motore_Operativo!C507=EDATE(Finanziamenti!$D$8,Ipotesi!K15*12)),Finanziamenti!$C$8*1,0)+IF(AND(9&lt;&gt;7,9&lt;&gt;9,Finanziamenti!$F$9=1,OR(Parametri_v3!$C$6=0,Finanziamenti!$E$9=1),Motore_Operativo!C507=EDATE(Finanziamenti!$D$9,Ipotesi!K15*12)),Finanziamenti!$C$9*Ipotesi!K16,0)</f>
        <v>0</v>
      </c>
      <c r="AY507" s="15" t="n">
        <f aca="false">0</f>
        <v>0</v>
      </c>
      <c r="AZ507" s="15" t="n">
        <f aca="false">Motore_Advisory!AY507*(1-Ipotesi!$C$95)*Ipotesi!$C$96</f>
        <v>0</v>
      </c>
      <c r="BA507" s="15" t="n">
        <f aca="false">MAX(0,MIN(CG507*MIN(1,IF(Motore_Operativo!C507&gt;=EDATE(Finanziamenti!$D$15,Ipotesi!K14*12),Finanziamenti!$C$15,0)+IF(Motore_Operativo!C507&gt;=EDATE(Finanziamenti!$D$16,Ipotesi!K14*12),Finanziamenti!$C$16,0)+IF(Motore_Operativo!C507&gt;=EDATE(Finanziamenti!$D$17,Ipotesi!K14*12),Finanziamenti!$C$17,0)),CA507*Ipotesi!$C$102)-(CC506))</f>
        <v>0</v>
      </c>
      <c r="BB507" s="15" t="n">
        <f aca="false">IF(AND(CF507&gt;0,Motore_Operativo!C507&gt;=IF(CF507=0,0,EDATE(CF507,Parametri_v3!$C$37)),MOD(((D507-YEAR(IF(CF507=0,0,EDATE(CF507,Parametri_v3!$C$37))))*12+E507-MONTH(IF(CF507=0,0,EDATE(CF507,Parametri_v3!$C$37)))),Parametri_v3!$C$38)=0),MIN(MAX(0,(BC506)+BA507-N507),(CC507-CD507)/(Ipotesi!$C$108*12/Parametri_v3!$C$38)),0)</f>
        <v>0</v>
      </c>
      <c r="BC507" s="15" t="n">
        <f aca="false">(BC506)+BA507-N507-BB507</f>
        <v>0</v>
      </c>
      <c r="BD507" s="15" t="n">
        <f aca="false">(BH506)+AC507+AF507-AI507-AS507-K507*(1+Parametri_v3!$C$26)-AL507-AQ507-O507+AW507+AX507+AZ507+BA507-BB507</f>
        <v>-469094.370643585</v>
      </c>
      <c r="BE507" s="15" t="n">
        <f aca="false">MAX(0,MIN(MAX(0,CH507-(BG506)),Parametri_v3!$C$30-BD507))</f>
        <v>0</v>
      </c>
      <c r="BF507" s="15" t="n">
        <f aca="false">IF(Motore_Operativo!C507&gt;=Parametri_v3!$C$63,(BG506),MIN((BG506),MAX(0,BD507-Parametri_v3!$C$30)))</f>
        <v>0</v>
      </c>
      <c r="BG507" s="15" t="n">
        <f aca="false">(BG506)+BE507-BF507</f>
        <v>0</v>
      </c>
      <c r="BH507" s="15" t="n">
        <f aca="false">BD507+BE507-BF507-AY507</f>
        <v>-469094.370643585</v>
      </c>
      <c r="BI507" s="15" t="n">
        <f aca="false">MAX(0,Parametri_v3!$C$30-BH507)</f>
        <v>494094.370643585</v>
      </c>
      <c r="BJ507" s="15" t="n">
        <f aca="false">(BJ506)+K507</f>
        <v>42916.6666666667</v>
      </c>
      <c r="BK507" s="15" t="n">
        <f aca="false">(BK506)+L507</f>
        <v>13541.6666666667</v>
      </c>
      <c r="BL507" s="15" t="n">
        <f aca="false">BJ507-BK507</f>
        <v>29375</v>
      </c>
      <c r="BM507" s="15" t="n">
        <f aca="false">(BM506)+Y507</f>
        <v>-535121.798250434</v>
      </c>
      <c r="BN507" s="15" t="n">
        <f aca="false">(BN506)+AW507+AX507+AZ507</f>
        <v>130000</v>
      </c>
      <c r="BO507" s="15" t="n">
        <f aca="false">(BO506)+AY507</f>
        <v>0</v>
      </c>
      <c r="BP507" s="15" t="n">
        <f aca="false">0</f>
        <v>0</v>
      </c>
      <c r="BQ507" s="15" t="n">
        <f aca="false">BN507+BM507-BO507</f>
        <v>-405121.798250434</v>
      </c>
      <c r="BR507" s="15" t="n">
        <f aca="false">BH507+AD507+BL507+MAX(0,-AM507)+MAX(0,-AR507)+AG507</f>
        <v>-325569.57400658</v>
      </c>
      <c r="BS507" s="15" t="n">
        <f aca="false">AJ507+AV507+MAX(0,AM507)+MAX(0,AR507)+BC507+BG507+BQ507</f>
        <v>-325569.57400658</v>
      </c>
      <c r="BT507" s="15" t="n">
        <f aca="false">BR507-BS507</f>
        <v>0</v>
      </c>
      <c r="BU507" s="15" t="n">
        <f aca="false">BH507-(BD507+BE507-BF507-AY507)</f>
        <v>0</v>
      </c>
      <c r="BV507" s="15" t="n">
        <f aca="false">MIN(Piano_SS!$C$6,(BV506)+IF(AND(Motore_Operativo!C507&gt;=EDATE(Parametri_v3!$C$24,Ipotesi!K14*12),Motore_Operativo!C507&lt;EDATE(Parametri_v3!$C$24,Parametri_v3!$C$25+Ipotesi!K14*12)),MAX(0,(Motore_Operativo!Y507+Motore_Operativo!X507*Parametri_v3!$C$14)*(1-Parametri_v3!$C$32))*Piano_SS!$D$6,0))</f>
        <v>163043.75</v>
      </c>
      <c r="BW507" s="15" t="n">
        <f aca="false">MIN(Piano_SS!$C$7,(BW506)+IF(AND(Motore_Operativo!C507&gt;=EDATE(Parametri_v3!$C$24,Ipotesi!K14*12),Motore_Operativo!C507&lt;EDATE(Parametri_v3!$C$24,Parametri_v3!$C$25+Ipotesi!K14*12)),MAX(0,(IF(23-(INT((Ipotesi!$C$91)/30))&lt;1,0,INDEX(Motore_Operativo!$BN$485:$BN$544,MAX(1,23-(INT((Ipotesi!$C$91)/30)))))*(1-(MOD((Ipotesi!$C$91),30)/30))+IF(23-(INT((Ipotesi!$C$91)/30))-1&lt;1,0,INDEX(Motore_Operativo!$BN$485:$BN$544,MAX(1,23-(INT((Ipotesi!$C$91)/30))-1)))*(MOD((Ipotesi!$C$91),30)/30)))*Piano_SS!$D$7,0))</f>
        <v>24723.8702191954</v>
      </c>
      <c r="BX507" s="15" t="n">
        <f aca="false">MIN(Piano_SS!$C$8,(BX506)+IF(AND(Motore_Operativo!C507&gt;=EDATE(Parametri_v3!$C$24,Ipotesi!K14*12),Motore_Operativo!C507&lt;EDATE(Parametri_v3!$C$24,Parametri_v3!$C$25+Ipotesi!K14*12)),MAX(0,Motore_Operativo!CE507)*Piano_SS!$D$8,0))</f>
        <v>32916.6666666667</v>
      </c>
      <c r="BY507" s="15" t="n">
        <f aca="false">MIN(Piano_SS!$C$9,(BY506)+IF(AND(Motore_Operativo!C507&gt;=EDATE(Parametri_v3!$C$24,Ipotesi!K14*12),Motore_Operativo!C507&lt;EDATE(Parametri_v3!$C$24,Parametri_v3!$C$25+Ipotesi!K14*12)),MAX(0,((IF(23-(INT((Ipotesi!$C$91)/30))&lt;1,0,INDEX(Motore_Operativo!$BQ$485:$BQ$544,MAX(1,23-(INT((Ipotesi!$C$91)/30)))))*(1-(MOD((Ipotesi!$C$91),30)/30))+IF(23-(INT((Ipotesi!$C$91)/30))-1&lt;1,0,INDEX(Motore_Operativo!$BQ$485:$BQ$544,MAX(1,23-(INT((Ipotesi!$C$91)/30))-1)))*(MOD((Ipotesi!$C$91),30)/30))+(IF(23-(INT((Ipotesi!$C$91)/30))&lt;1,0,INDEX(Motore_Operativo!$BR$485:$BR$544,MAX(1,23-(INT((Ipotesi!$C$91)/30)))))*(1-(MOD((Ipotesi!$C$91),30)/30))+IF(23-(INT((Ipotesi!$C$91)/30))-1&lt;1,0,INDEX(Motore_Operativo!$BR$485:$BR$544,MAX(1,23-(INT((Ipotesi!$C$91)/30))-1)))*(MOD((Ipotesi!$C$91),30)/30))))*Piano_SS!$D$9,0))</f>
        <v>40000</v>
      </c>
      <c r="BZ507" s="15" t="n">
        <f aca="false">MIN(Piano_SS!$C$10,(BZ506)+IF(AND(Motore_Operativo!C507&gt;=EDATE(Parametri_v3!$C$24,Ipotesi!K14*12),Motore_Operativo!C507&lt;EDATE(Parametri_v3!$C$24,Parametri_v3!$C$25+Ipotesi!K14*12)),MAX(0,(IF(23-(INT((Ipotesi!$C$91)/30))&lt;1,0,INDEX(Motore_Operativo!$BO$485:$BO$544,MAX(1,23-(INT((Ipotesi!$C$91)/30)))))*(1-(MOD((Ipotesi!$C$91),30)/30))+IF(23-(INT((Ipotesi!$C$91)/30))-1&lt;1,0,INDEX(Motore_Operativo!$BO$485:$BO$544,MAX(1,23-(INT((Ipotesi!$C$91)/30))-1)))*(MOD((Ipotesi!$C$91),30)/30)))*Piano_SS!$D$10,0))</f>
        <v>24500</v>
      </c>
      <c r="CA507" s="15" t="n">
        <f aca="false">SUM(BV507:BZ507)</f>
        <v>285184.286885862</v>
      </c>
      <c r="CB507" s="15" t="n">
        <f aca="false">BV507*(1-Piano_SS!$E$6)+BW507*(1-Piano_SS!$E$7)+BX507*(1-Piano_SS!$E$8)+BY507*(1-Piano_SS!$E$9)+BZ507*(1-Piano_SS!$E$10)</f>
        <v>260684.286885862</v>
      </c>
      <c r="CC507" s="15" t="n">
        <f aca="false">(CC506)+BA507</f>
        <v>0</v>
      </c>
      <c r="CD507" s="15" t="n">
        <f aca="false">IF(CA507=0,0,CC507*CB507/CA507*Ipotesi!$C$103*Parametri_v3!$C$64)</f>
        <v>0</v>
      </c>
      <c r="CE507" s="18" t="n">
        <f aca="false">IF(BA507&gt;0,Motore_Operativo!C507,(CE506))</f>
        <v>0</v>
      </c>
      <c r="CF507" s="18" t="n">
        <f aca="false">IF(AND(CC507&gt;0,OR(CC507&gt;=CG507-0.01,Motore_Operativo!C507&gt;=EDATE(MAX(Finanziamenti!$D$15:$D$17),Ipotesi!K14*12))),CE507,0)</f>
        <v>0</v>
      </c>
      <c r="CG507" s="15" t="n">
        <f aca="false">IF(AND(9&lt;&gt;6,9&lt;&gt;9,Finanziamenti!$F$11=1,OR(Parametri_v3!$C$6=0,Finanziamenti!$E$11=1)),MIN(Finanziamenti!$C$11,Piano_SS!$C$12*Ipotesi!$C$102),0)</f>
        <v>0</v>
      </c>
      <c r="CH507" s="15" t="n">
        <f aca="false">IF(AND(AND(9&lt;&gt;8,9&lt;&gt;9,Finanziamenti!$F$10=1,OR(Parametri_v3!$C$6=0,Finanziamenti!$E$10=1)),Motore_Operativo!C507&gt;=Finanziamenti!$D$10,Motore_Operativo!C507&lt;Parametri_v3!$C$63),Finanziamenti!$C$10,0)</f>
        <v>0</v>
      </c>
    </row>
    <row r="508" customFormat="false" ht="18" hidden="false" customHeight="true" outlineLevel="0" collapsed="false">
      <c r="A508" s="68" t="n">
        <f aca="false">9</f>
        <v>9</v>
      </c>
      <c r="B508" s="68" t="n">
        <f aca="false">24</f>
        <v>24</v>
      </c>
      <c r="C508" s="18" t="n">
        <f aca="false">Motore_Operativo!C508</f>
        <v>47088</v>
      </c>
      <c r="D508" s="68" t="n">
        <f aca="false">Motore_Operativo!D508</f>
        <v>2028</v>
      </c>
      <c r="E508" s="68" t="n">
        <f aca="false">Motore_Operativo!E508</f>
        <v>12</v>
      </c>
      <c r="F508" s="15" t="n">
        <f aca="false">Motore_Operativo!AQ508+Motore_Operativo!BF508</f>
        <v>31818.5881991813</v>
      </c>
      <c r="G508" s="15" t="n">
        <f aca="false">Motore_Operativo!BH508</f>
        <v>3398.1220657277</v>
      </c>
      <c r="H508" s="15" t="n">
        <f aca="false">Motore_Operativo!BI508</f>
        <v>35216.710264909</v>
      </c>
      <c r="I508" s="15" t="n">
        <f aca="false">Motore_Operativo!CA508</f>
        <v>58167.3793431906</v>
      </c>
      <c r="J508" s="15" t="n">
        <f aca="false">Motore_Operativo!CC508</f>
        <v>-22950.6690782815</v>
      </c>
      <c r="K508" s="15" t="n">
        <f aca="false">Motore_Operativo!CE508</f>
        <v>2083.33333333333</v>
      </c>
      <c r="L508" s="15" t="n">
        <f aca="false">SUM(INDEX($K$485:$K$544,MAX(1,24-Parametri_v3!$C$59+1)):K508)/Parametri_v3!$C$59</f>
        <v>1250</v>
      </c>
      <c r="M508" s="15" t="n">
        <f aca="false">J508-L508</f>
        <v>-24200.6690782815</v>
      </c>
      <c r="N508" s="15" t="n">
        <f aca="false">CD508-(CD507)</f>
        <v>0</v>
      </c>
      <c r="O508" s="15" t="n">
        <f aca="false">(BG507)*Ipotesi!$C$110/12+CH508*Parametri_v3!$C$39/12</f>
        <v>0</v>
      </c>
      <c r="P508" s="15" t="n">
        <f aca="false">M508+N508-O508</f>
        <v>-24200.6690782815</v>
      </c>
      <c r="Q508" s="15" t="n">
        <f aca="false">SUM(P497:P508)+Parametri_v3!$C$54*12/12</f>
        <v>-335530.408849184</v>
      </c>
      <c r="R508" s="15" t="n">
        <f aca="false">Z496</f>
        <v>223792.058479532</v>
      </c>
      <c r="S508" s="15" t="n">
        <f aca="false">AA496</f>
        <v>0</v>
      </c>
      <c r="T508" s="15" t="n">
        <f aca="false">MIN(R508,MAX(0,Q508))</f>
        <v>0</v>
      </c>
      <c r="U508" s="15" t="n">
        <f aca="false">MIN(S508,MAX(0,Q508-T508)*Parametri_v3!$C$42)</f>
        <v>0</v>
      </c>
      <c r="V508" s="15" t="n">
        <f aca="false">MAX(0,Q508-T508-U508)*Ipotesi!$C$92</f>
        <v>0</v>
      </c>
      <c r="W508" s="15" t="n">
        <f aca="false">MAX(0,SUM(M497:M508)+Parametri_v3!$C$55*12/12)*Ipotesi!$C$93</f>
        <v>0</v>
      </c>
      <c r="X508" s="15" t="n">
        <f aca="false">V508+W508-(V507+W507)</f>
        <v>0</v>
      </c>
      <c r="Y508" s="15" t="n">
        <f aca="false">P508-X508</f>
        <v>-24200.6690782815</v>
      </c>
      <c r="Z508" s="15" t="n">
        <f aca="false">R508-T508+IF(AND(Parametri_v3!$C$40=1,D508-YEAR(Parametri_v3!$C$50)&lt;Parametri_v3!$C$41),MAX(0,-Q508),0)</f>
        <v>559322.467328716</v>
      </c>
      <c r="AA508" s="15" t="n">
        <f aca="false">S508-U508+IF(AND(Parametri_v3!$C$40=1,D508-YEAR(Parametri_v3!$C$50)&lt;Parametri_v3!$C$41),0,MAX(0,-Q508))</f>
        <v>0</v>
      </c>
      <c r="AB508" s="15" t="n">
        <f aca="false">F508*(1+Parametri_v3!$C$26)</f>
        <v>38818.6776030012</v>
      </c>
      <c r="AC508" s="15" t="n">
        <f aca="false">(IF(24-(INT((Motore_Operativo!L508)/30))&lt;1,0,INDEX(Motore_Startup!$AB$485:$AB$544,MAX(1,24-(INT((Motore_Operativo!L508)/30)))))*(1-(MOD((Motore_Operativo!L508),30)/30))+IF(24-(INT((Motore_Operativo!L508)/30))-1&lt;1,0,INDEX(Motore_Startup!$AB$485:$AB$544,MAX(1,24-(INT((Motore_Operativo!L508)/30))-1)))*(MOD((Motore_Operativo!L508),30)/30))</f>
        <v>35583.2360733457</v>
      </c>
      <c r="AD508" s="15" t="n">
        <f aca="false">(AD507)+AB508-AC508</f>
        <v>113239.529246472</v>
      </c>
      <c r="AE508" s="15" t="n">
        <f aca="false">Motore_Operativo!BH508*(1+Parametri_v3!$C$26)</f>
        <v>4145.70892018779</v>
      </c>
      <c r="AF508" s="15" t="n">
        <f aca="false">(IF(24-(INT((Parametri_v3!$C$29)/30))&lt;1,0,INDEX(Motore_Operativo!$BH$485:$BH$544,MAX(1,24-(INT((Parametri_v3!$C$29)/30)))))*(1-(MOD((Parametri_v3!$C$29),30)/30))+IF(24-(INT((Parametri_v3!$C$29)/30))-1&lt;1,0,INDEX(Motore_Operativo!$BH$485:$BH$544,MAX(1,24-(INT((Parametri_v3!$C$29)/30))-1)))*(MOD((Parametri_v3!$C$29),30)/30))*(1+Parametri_v3!$C$26)</f>
        <v>4145.70892018779</v>
      </c>
      <c r="AG508" s="15" t="n">
        <f aca="false">(AG507)+AE508-AF508</f>
        <v>4145.70892018779</v>
      </c>
      <c r="AH508" s="15" t="n">
        <f aca="false">(Motore_Operativo!CJ508)*(1+Parametri_v3!$C$27*Parametri_v3!$C$26)</f>
        <v>21846.5917803672</v>
      </c>
      <c r="AI508" s="15" t="n">
        <f aca="false">(IF(24-(INT((Ipotesi!$C$91)/30))&lt;1,0,INDEX(Motore_Startup!$AH$485:$AH$544,MAX(1,24-(INT((Ipotesi!$C$91)/30)))))*(1-(MOD((Ipotesi!$C$91),30)/30))+IF(24-(INT((Ipotesi!$C$91)/30))-1&lt;1,0,INDEX(Motore_Startup!$AH$485:$AH$544,MAX(1,24-(INT((Ipotesi!$C$91)/30))-1)))*(MOD((Ipotesi!$C$91),30)/30))</f>
        <v>21554.0770886097</v>
      </c>
      <c r="AJ508" s="15" t="n">
        <f aca="false">(AJ507)+AH508-AI508</f>
        <v>43547.5682836218</v>
      </c>
      <c r="AK508" s="15" t="n">
        <f aca="false">(F508+ Motore_Operativo!BH508-(Motore_Operativo!CJ508)*Parametri_v3!$C$27-Motore_Operativo!CE508)*Parametri_v3!$C$26</f>
        <v>3847.63048777002</v>
      </c>
      <c r="AL508" s="15" t="n">
        <f aca="false">MAX(0,(AM507))</f>
        <v>3677.79565198975</v>
      </c>
      <c r="AM508" s="15" t="n">
        <f aca="false">(AM507)+AK508-AL508</f>
        <v>3847.63048777002</v>
      </c>
      <c r="AN508" s="15" t="n">
        <f aca="false">SUM(X485:X496)</f>
        <v>0</v>
      </c>
      <c r="AO508" s="15" t="n">
        <f aca="false">SUM(AP485:AP496)</f>
        <v>0</v>
      </c>
      <c r="AP508" s="15" t="n">
        <f aca="false">MAX(0,AN508)*IF(12=Parametri_v3!$C$43,Parametri_v3!$C$45,IF(12=Parametri_v3!$C$44,1-Parametri_v3!$C$45,0))</f>
        <v>0</v>
      </c>
      <c r="AQ508" s="15" t="n">
        <f aca="false">MAX(0,AP508+IF(12=Parametri_v3!$C$43,MAX(0,AN508-AO508),0)-MAX(0,-(AR507)))</f>
        <v>0</v>
      </c>
      <c r="AR508" s="15" t="n">
        <f aca="false">(AR507)+X508-AQ508</f>
        <v>0</v>
      </c>
      <c r="AS508" s="15" t="n">
        <f aca="false">Motore_Operativo!AB508-AT508+AU508</f>
        <v>37774.375</v>
      </c>
      <c r="AT508" s="15" t="n">
        <f aca="false">Motore_Operativo!CH508</f>
        <v>1988.125</v>
      </c>
      <c r="AU508" s="15" t="n">
        <f aca="false">MIN(MAX(0,(AV507)+AT508),Parametri_v3!$C$60/12)</f>
        <v>0</v>
      </c>
      <c r="AV508" s="15" t="n">
        <f aca="false">(AV507)+AT508-AU508</f>
        <v>34607.5</v>
      </c>
      <c r="AW508" s="15" t="n">
        <f aca="false">IF(AND(Motore_Operativo!C508=Finanziamenti!$D$6,Finanziamenti!$F$6=1),Finanziamenti!$C$6,0)</f>
        <v>0</v>
      </c>
      <c r="AX508" s="15" t="n">
        <f aca="false">IF(AND(9&lt;&gt;7,9&lt;&gt;9,Finanziamenti!$F$8=1,OR(Parametri_v3!$C$6=0,Finanziamenti!$E$8=1),Motore_Operativo!C508=EDATE(Finanziamenti!$D$8,Ipotesi!K15*12)),Finanziamenti!$C$8*1,0)+IF(AND(9&lt;&gt;7,9&lt;&gt;9,Finanziamenti!$F$9=1,OR(Parametri_v3!$C$6=0,Finanziamenti!$E$9=1),Motore_Operativo!C508=EDATE(Finanziamenti!$D$9,Ipotesi!K15*12)),Finanziamenti!$C$9*Ipotesi!K16,0)</f>
        <v>0</v>
      </c>
      <c r="AY508" s="15" t="n">
        <f aca="false">0</f>
        <v>0</v>
      </c>
      <c r="AZ508" s="15" t="n">
        <f aca="false">Motore_Advisory!AY508*(1-Ipotesi!$C$95)*Ipotesi!$C$96</f>
        <v>0</v>
      </c>
      <c r="BA508" s="15" t="n">
        <f aca="false">MAX(0,MIN(CG508*MIN(1,IF(Motore_Operativo!C508&gt;=EDATE(Finanziamenti!$D$15,Ipotesi!K14*12),Finanziamenti!$C$15,0)+IF(Motore_Operativo!C508&gt;=EDATE(Finanziamenti!$D$16,Ipotesi!K14*12),Finanziamenti!$C$16,0)+IF(Motore_Operativo!C508&gt;=EDATE(Finanziamenti!$D$17,Ipotesi!K14*12),Finanziamenti!$C$17,0)),CA508*Ipotesi!$C$102)-(CC507))</f>
        <v>0</v>
      </c>
      <c r="BB508" s="15" t="n">
        <f aca="false">IF(AND(CF508&gt;0,Motore_Operativo!C508&gt;=IF(CF508=0,0,EDATE(CF508,Parametri_v3!$C$37)),MOD(((D508-YEAR(IF(CF508=0,0,EDATE(CF508,Parametri_v3!$C$37))))*12+E508-MONTH(IF(CF508=0,0,EDATE(CF508,Parametri_v3!$C$37)))),Parametri_v3!$C$38)=0),MIN(MAX(0,(BC507)+BA508-N508),(CC508-CD508)/(Ipotesi!$C$108*12/Parametri_v3!$C$38)),0)</f>
        <v>0</v>
      </c>
      <c r="BC508" s="15" t="n">
        <f aca="false">(BC507)+BA508-N508-BB508</f>
        <v>0</v>
      </c>
      <c r="BD508" s="15" t="n">
        <f aca="false">(BH507)+AC508+AF508-AI508-AS508-K508*(1+Parametri_v3!$C$26)-AL508-AQ508-O508+AW508+AX508+AZ508+BA508-BB508</f>
        <v>-494913.340057317</v>
      </c>
      <c r="BE508" s="15" t="n">
        <f aca="false">MAX(0,MIN(MAX(0,CH508-(BG507)),Parametri_v3!$C$30-BD508))</f>
        <v>0</v>
      </c>
      <c r="BF508" s="15" t="n">
        <f aca="false">IF(Motore_Operativo!C508&gt;=Parametri_v3!$C$63,(BG507),MIN((BG507),MAX(0,BD508-Parametri_v3!$C$30)))</f>
        <v>0</v>
      </c>
      <c r="BG508" s="15" t="n">
        <f aca="false">(BG507)+BE508-BF508</f>
        <v>0</v>
      </c>
      <c r="BH508" s="15" t="n">
        <f aca="false">BD508+BE508-BF508-AY508</f>
        <v>-494913.340057317</v>
      </c>
      <c r="BI508" s="15" t="n">
        <f aca="false">MAX(0,Parametri_v3!$C$30-BH508)</f>
        <v>519913.340057317</v>
      </c>
      <c r="BJ508" s="15" t="n">
        <f aca="false">(BJ507)+K508</f>
        <v>45000</v>
      </c>
      <c r="BK508" s="15" t="n">
        <f aca="false">(BK507)+L508</f>
        <v>14791.6666666667</v>
      </c>
      <c r="BL508" s="15" t="n">
        <f aca="false">BJ508-BK508</f>
        <v>30208.3333333333</v>
      </c>
      <c r="BM508" s="15" t="n">
        <f aca="false">(BM507)+Y508</f>
        <v>-559322.467328716</v>
      </c>
      <c r="BN508" s="15" t="n">
        <f aca="false">(BN507)+AW508+AX508+AZ508</f>
        <v>130000</v>
      </c>
      <c r="BO508" s="15" t="n">
        <f aca="false">(BO507)+AY508</f>
        <v>0</v>
      </c>
      <c r="BP508" s="15" t="n">
        <f aca="false">0</f>
        <v>0</v>
      </c>
      <c r="BQ508" s="15" t="n">
        <f aca="false">BN508+BM508-BO508</f>
        <v>-429322.467328716</v>
      </c>
      <c r="BR508" s="15" t="n">
        <f aca="false">BH508+AD508+BL508+MAX(0,-AM508)+MAX(0,-AR508)+AG508</f>
        <v>-347319.768557324</v>
      </c>
      <c r="BS508" s="15" t="n">
        <f aca="false">AJ508+AV508+MAX(0,AM508)+MAX(0,AR508)+BC508+BG508+BQ508</f>
        <v>-347319.768557324</v>
      </c>
      <c r="BT508" s="15" t="n">
        <f aca="false">BR508-BS508</f>
        <v>0</v>
      </c>
      <c r="BU508" s="15" t="n">
        <f aca="false">BH508-(BD508+BE508-BF508-AY508)</f>
        <v>0</v>
      </c>
      <c r="BV508" s="15" t="n">
        <f aca="false">MIN(Piano_SS!$C$6,(BV507)+IF(AND(Motore_Operativo!C508&gt;=EDATE(Parametri_v3!$C$24,Ipotesi!K14*12),Motore_Operativo!C508&lt;EDATE(Parametri_v3!$C$24,Parametri_v3!$C$25+Ipotesi!K14*12)),MAX(0,(Motore_Operativo!Y508+Motore_Operativo!X508*Parametri_v3!$C$14)*(1-Parametri_v3!$C$32))*Piano_SS!$D$6,0))</f>
        <v>175275</v>
      </c>
      <c r="BW508" s="15" t="n">
        <f aca="false">MIN(Piano_SS!$C$7,(BW507)+IF(AND(Motore_Operativo!C508&gt;=EDATE(Parametri_v3!$C$24,Ipotesi!K14*12),Motore_Operativo!C508&lt;EDATE(Parametri_v3!$C$24,Parametri_v3!$C$25+Ipotesi!K14*12)),MAX(0,(IF(24-(INT((Ipotesi!$C$91)/30))&lt;1,0,INDEX(Motore_Operativo!$BN$485:$BN$544,MAX(1,24-(INT((Ipotesi!$C$91)/30)))))*(1-(MOD((Ipotesi!$C$91),30)/30))+IF(24-(INT((Ipotesi!$C$91)/30))-1&lt;1,0,INDEX(Motore_Operativo!$BN$485:$BN$544,MAX(1,24-(INT((Ipotesi!$C$91)/30))-1)))*(MOD((Ipotesi!$C$91),30)/30)))*Piano_SS!$D$7,0))</f>
        <v>26668.5390338217</v>
      </c>
      <c r="BX508" s="15" t="n">
        <f aca="false">MIN(Piano_SS!$C$8,(BX507)+IF(AND(Motore_Operativo!C508&gt;=EDATE(Parametri_v3!$C$24,Ipotesi!K14*12),Motore_Operativo!C508&lt;EDATE(Parametri_v3!$C$24,Parametri_v3!$C$25+Ipotesi!K14*12)),MAX(0,Motore_Operativo!CE508)*Piano_SS!$D$8,0))</f>
        <v>35000</v>
      </c>
      <c r="BY508" s="15" t="n">
        <f aca="false">MIN(Piano_SS!$C$9,(BY507)+IF(AND(Motore_Operativo!C508&gt;=EDATE(Parametri_v3!$C$24,Ipotesi!K14*12),Motore_Operativo!C508&lt;EDATE(Parametri_v3!$C$24,Parametri_v3!$C$25+Ipotesi!K14*12)),MAX(0,((IF(24-(INT((Ipotesi!$C$91)/30))&lt;1,0,INDEX(Motore_Operativo!$BQ$485:$BQ$544,MAX(1,24-(INT((Ipotesi!$C$91)/30)))))*(1-(MOD((Ipotesi!$C$91),30)/30))+IF(24-(INT((Ipotesi!$C$91)/30))-1&lt;1,0,INDEX(Motore_Operativo!$BQ$485:$BQ$544,MAX(1,24-(INT((Ipotesi!$C$91)/30))-1)))*(MOD((Ipotesi!$C$91),30)/30))+(IF(24-(INT((Ipotesi!$C$91)/30))&lt;1,0,INDEX(Motore_Operativo!$BR$485:$BR$544,MAX(1,24-(INT((Ipotesi!$C$91)/30)))))*(1-(MOD((Ipotesi!$C$91),30)/30))+IF(24-(INT((Ipotesi!$C$91)/30))-1&lt;1,0,INDEX(Motore_Operativo!$BR$485:$BR$544,MAX(1,24-(INT((Ipotesi!$C$91)/30))-1)))*(MOD((Ipotesi!$C$91),30)/30))))*Piano_SS!$D$9,0))</f>
        <v>40000</v>
      </c>
      <c r="BZ508" s="15" t="n">
        <f aca="false">MIN(Piano_SS!$C$10,(BZ507)+IF(AND(Motore_Operativo!C508&gt;=EDATE(Parametri_v3!$C$24,Ipotesi!K14*12),Motore_Operativo!C508&lt;EDATE(Parametri_v3!$C$24,Parametri_v3!$C$25+Ipotesi!K14*12)),MAX(0,(IF(24-(INT((Ipotesi!$C$91)/30))&lt;1,0,INDEX(Motore_Operativo!$BO$485:$BO$544,MAX(1,24-(INT((Ipotesi!$C$91)/30)))))*(1-(MOD((Ipotesi!$C$91),30)/30))+IF(24-(INT((Ipotesi!$C$91)/30))-1&lt;1,0,INDEX(Motore_Operativo!$BO$485:$BO$544,MAX(1,24-(INT((Ipotesi!$C$91)/30))-1)))*(MOD((Ipotesi!$C$91),30)/30)))*Piano_SS!$D$10,0))</f>
        <v>26333.3333333333</v>
      </c>
      <c r="CA508" s="15" t="n">
        <f aca="false">SUM(BV508:BZ508)</f>
        <v>303276.872367155</v>
      </c>
      <c r="CB508" s="15" t="n">
        <f aca="false">BV508*(1-Piano_SS!$E$6)+BW508*(1-Piano_SS!$E$7)+BX508*(1-Piano_SS!$E$8)+BY508*(1-Piano_SS!$E$9)+BZ508*(1-Piano_SS!$E$10)</f>
        <v>276943.539033822</v>
      </c>
      <c r="CC508" s="15" t="n">
        <f aca="false">(CC507)+BA508</f>
        <v>0</v>
      </c>
      <c r="CD508" s="15" t="n">
        <f aca="false">IF(CA508=0,0,CC508*CB508/CA508*Ipotesi!$C$103*Parametri_v3!$C$64)</f>
        <v>0</v>
      </c>
      <c r="CE508" s="18" t="n">
        <f aca="false">IF(BA508&gt;0,Motore_Operativo!C508,(CE507))</f>
        <v>0</v>
      </c>
      <c r="CF508" s="18" t="n">
        <f aca="false">IF(AND(CC508&gt;0,OR(CC508&gt;=CG508-0.01,Motore_Operativo!C508&gt;=EDATE(MAX(Finanziamenti!$D$15:$D$17),Ipotesi!K14*12))),CE508,0)</f>
        <v>0</v>
      </c>
      <c r="CG508" s="15" t="n">
        <f aca="false">IF(AND(9&lt;&gt;6,9&lt;&gt;9,Finanziamenti!$F$11=1,OR(Parametri_v3!$C$6=0,Finanziamenti!$E$11=1)),MIN(Finanziamenti!$C$11,Piano_SS!$C$12*Ipotesi!$C$102),0)</f>
        <v>0</v>
      </c>
      <c r="CH508" s="15" t="n">
        <f aca="false">IF(AND(AND(9&lt;&gt;8,9&lt;&gt;9,Finanziamenti!$F$10=1,OR(Parametri_v3!$C$6=0,Finanziamenti!$E$10=1)),Motore_Operativo!C508&gt;=Finanziamenti!$D$10,Motore_Operativo!C508&lt;Parametri_v3!$C$63),Finanziamenti!$C$10,0)</f>
        <v>0</v>
      </c>
    </row>
    <row r="509" customFormat="false" ht="18" hidden="false" customHeight="true" outlineLevel="0" collapsed="false">
      <c r="A509" s="68" t="n">
        <f aca="false">9</f>
        <v>9</v>
      </c>
      <c r="B509" s="68" t="n">
        <f aca="false">25</f>
        <v>25</v>
      </c>
      <c r="C509" s="18" t="n">
        <f aca="false">Motore_Operativo!C509</f>
        <v>47119</v>
      </c>
      <c r="D509" s="68" t="n">
        <f aca="false">Motore_Operativo!D509</f>
        <v>2029</v>
      </c>
      <c r="E509" s="68" t="n">
        <f aca="false">Motore_Operativo!E509</f>
        <v>1</v>
      </c>
      <c r="F509" s="15" t="n">
        <f aca="false">Motore_Operativo!AQ509+Motore_Operativo!BF509</f>
        <v>56956.9441713397</v>
      </c>
      <c r="G509" s="15" t="n">
        <f aca="false">Motore_Operativo!BH509</f>
        <v>6050</v>
      </c>
      <c r="H509" s="15" t="n">
        <f aca="false">Motore_Operativo!BI509</f>
        <v>63006.9441713397</v>
      </c>
      <c r="I509" s="15" t="n">
        <f aca="false">Motore_Operativo!CA509</f>
        <v>115308.305517321</v>
      </c>
      <c r="J509" s="15" t="n">
        <f aca="false">Motore_Operativo!CC509</f>
        <v>-52301.3613459812</v>
      </c>
      <c r="K509" s="15" t="n">
        <f aca="false">Motore_Operativo!CE509</f>
        <v>2500</v>
      </c>
      <c r="L509" s="15" t="n">
        <f aca="false">SUM(INDEX($K$485:$K$544,MAX(1,25-Parametri_v3!$C$59+1)):K509)/Parametri_v3!$C$59</f>
        <v>1319.44444444444</v>
      </c>
      <c r="M509" s="15" t="n">
        <f aca="false">J509-L509</f>
        <v>-53620.8057904256</v>
      </c>
      <c r="N509" s="15" t="n">
        <f aca="false">CD509-(CD508)</f>
        <v>0</v>
      </c>
      <c r="O509" s="15" t="n">
        <f aca="false">(BG508)*Ipotesi!$C$110/12+CH509*Parametri_v3!$C$39/12</f>
        <v>0</v>
      </c>
      <c r="P509" s="15" t="n">
        <f aca="false">M509+N509-O509</f>
        <v>-53620.8057904256</v>
      </c>
      <c r="Q509" s="15" t="n">
        <f aca="false">SUM(P509)+Parametri_v3!$C$54*1/12</f>
        <v>-53620.8057904256</v>
      </c>
      <c r="R509" s="15" t="n">
        <f aca="false">Z508</f>
        <v>559322.467328716</v>
      </c>
      <c r="S509" s="15" t="n">
        <f aca="false">AA508</f>
        <v>0</v>
      </c>
      <c r="T509" s="15" t="n">
        <f aca="false">MIN(R509,MAX(0,Q509))</f>
        <v>0</v>
      </c>
      <c r="U509" s="15" t="n">
        <f aca="false">MIN(S509,MAX(0,Q509-T509)*Parametri_v3!$C$42)</f>
        <v>0</v>
      </c>
      <c r="V509" s="15" t="n">
        <f aca="false">MAX(0,Q509-T509-U509)*Ipotesi!$C$92</f>
        <v>0</v>
      </c>
      <c r="W509" s="15" t="n">
        <f aca="false">MAX(0,SUM(M509)+Parametri_v3!$C$55*1/12)*Ipotesi!$C$93</f>
        <v>0</v>
      </c>
      <c r="X509" s="15" t="n">
        <f aca="false">V509+W509-(0)</f>
        <v>0</v>
      </c>
      <c r="Y509" s="15" t="n">
        <f aca="false">P509-X509</f>
        <v>-53620.8057904256</v>
      </c>
      <c r="Z509" s="15" t="n">
        <f aca="false">R509-T509+IF(AND(Parametri_v3!$C$40=1,D509-YEAR(Parametri_v3!$C$50)&lt;Parametri_v3!$C$41),MAX(0,-Q509),0)</f>
        <v>612943.273119141</v>
      </c>
      <c r="AA509" s="15" t="n">
        <f aca="false">S509-U509+IF(AND(Parametri_v3!$C$40=1,D509-YEAR(Parametri_v3!$C$50)&lt;Parametri_v3!$C$41),0,MAX(0,-Q509))</f>
        <v>0</v>
      </c>
      <c r="AB509" s="15" t="n">
        <f aca="false">F509*(1+Parametri_v3!$C$26)</f>
        <v>69487.4718890345</v>
      </c>
      <c r="AC509" s="15" t="n">
        <f aca="false">(IF(25-(INT((Motore_Operativo!L509)/30))&lt;1,0,INDEX(Motore_Startup!$AB$485:$AB$544,MAX(1,25-(INT((Motore_Operativo!L509)/30)))))*(1-(MOD((Motore_Operativo!L509),30)/30))+IF(25-(INT((Motore_Operativo!L509)/30))-1&lt;1,0,INDEX(Motore_Startup!$AB$485:$AB$544,MAX(1,25-(INT((Motore_Operativo!L509)/30))-1)))*(MOD((Motore_Operativo!L509),30)/30))</f>
        <v>36671.1994230508</v>
      </c>
      <c r="AD509" s="15" t="n">
        <f aca="false">(AD508)+AB509-AC509</f>
        <v>146055.801712456</v>
      </c>
      <c r="AE509" s="15" t="n">
        <f aca="false">Motore_Operativo!BH509*(1+Parametri_v3!$C$26)</f>
        <v>7381</v>
      </c>
      <c r="AF509" s="15" t="n">
        <f aca="false">(IF(25-(INT((Parametri_v3!$C$29)/30))&lt;1,0,INDEX(Motore_Operativo!$BH$485:$BH$544,MAX(1,25-(INT((Parametri_v3!$C$29)/30)))))*(1-(MOD((Parametri_v3!$C$29),30)/30))+IF(25-(INT((Parametri_v3!$C$29)/30))-1&lt;1,0,INDEX(Motore_Operativo!$BH$485:$BH$544,MAX(1,25-(INT((Parametri_v3!$C$29)/30))-1)))*(MOD((Parametri_v3!$C$29),30)/30))*(1+Parametri_v3!$C$26)</f>
        <v>4145.70892018779</v>
      </c>
      <c r="AG509" s="15" t="n">
        <f aca="false">(AG508)+AE509-AF509</f>
        <v>7381</v>
      </c>
      <c r="AH509" s="15" t="n">
        <f aca="false">(Motore_Operativo!CJ509)*(1+Parametri_v3!$C$27*Parametri_v3!$C$26)</f>
        <v>48708.1163157266</v>
      </c>
      <c r="AI509" s="15" t="n">
        <f aca="false">(IF(25-(INT((Ipotesi!$C$91)/30))&lt;1,0,INDEX(Motore_Startup!$AH$485:$AH$544,MAX(1,25-(INT((Ipotesi!$C$91)/30)))))*(1-(MOD((Ipotesi!$C$91),30)/30))+IF(25-(INT((Ipotesi!$C$91)/30))-1&lt;1,0,INDEX(Motore_Startup!$AH$485:$AH$544,MAX(1,25-(INT((Ipotesi!$C$91)/30))-1)))*(MOD((Ipotesi!$C$91),30)/30))</f>
        <v>21700.9765032546</v>
      </c>
      <c r="AJ509" s="15" t="n">
        <f aca="false">(AJ508)+AH509-AI509</f>
        <v>70554.7080960938</v>
      </c>
      <c r="AK509" s="15" t="n">
        <f aca="false">(F509+ Motore_Operativo!BH509-(Motore_Operativo!CJ509)*Parametri_v3!$C$27-Motore_Operativo!CE509)*Parametri_v3!$C$26</f>
        <v>5638.0502526224</v>
      </c>
      <c r="AL509" s="15" t="n">
        <f aca="false">MAX(0,(AM508))</f>
        <v>3847.63048777002</v>
      </c>
      <c r="AM509" s="15" t="n">
        <f aca="false">(AM508)+AK509-AL509</f>
        <v>5638.0502526224</v>
      </c>
      <c r="AN509" s="15" t="n">
        <f aca="false">SUM(X497:X508)</f>
        <v>0</v>
      </c>
      <c r="AO509" s="15" t="n">
        <f aca="false">SUM(AP497:AP508)</f>
        <v>0</v>
      </c>
      <c r="AP509" s="15" t="n">
        <f aca="false">MAX(0,AN509)*IF(1=Parametri_v3!$C$43,Parametri_v3!$C$45,IF(1=Parametri_v3!$C$44,1-Parametri_v3!$C$45,0))</f>
        <v>0</v>
      </c>
      <c r="AQ509" s="15" t="n">
        <f aca="false">MAX(0,AP509+IF(1=Parametri_v3!$C$43,MAX(0,AN509-AO509),0)-MAX(0,-(AR508)))</f>
        <v>0</v>
      </c>
      <c r="AR509" s="15" t="n">
        <f aca="false">(AR508)+X509-AQ509</f>
        <v>0</v>
      </c>
      <c r="AS509" s="15" t="n">
        <f aca="false">Motore_Operativo!AB509-AT509+AU509</f>
        <v>70559.9833333333</v>
      </c>
      <c r="AT509" s="15" t="n">
        <f aca="false">Motore_Operativo!CH509</f>
        <v>3713.68333333333</v>
      </c>
      <c r="AU509" s="15" t="n">
        <f aca="false">MIN(MAX(0,(AV508)+AT509),Parametri_v3!$C$60/12)</f>
        <v>0</v>
      </c>
      <c r="AV509" s="15" t="n">
        <f aca="false">(AV508)+AT509-AU509</f>
        <v>38321.1833333333</v>
      </c>
      <c r="AW509" s="15" t="n">
        <f aca="false">IF(AND(Motore_Operativo!C509=Finanziamenti!$D$6,Finanziamenti!$F$6=1),Finanziamenti!$C$6,0)</f>
        <v>0</v>
      </c>
      <c r="AX509" s="15" t="n">
        <f aca="false">IF(AND(9&lt;&gt;7,9&lt;&gt;9,Finanziamenti!$F$8=1,OR(Parametri_v3!$C$6=0,Finanziamenti!$E$8=1),Motore_Operativo!C509=EDATE(Finanziamenti!$D$8,Ipotesi!K15*12)),Finanziamenti!$C$8*1,0)+IF(AND(9&lt;&gt;7,9&lt;&gt;9,Finanziamenti!$F$9=1,OR(Parametri_v3!$C$6=0,Finanziamenti!$E$9=1),Motore_Operativo!C509=EDATE(Finanziamenti!$D$9,Ipotesi!K15*12)),Finanziamenti!$C$9*Ipotesi!K16,0)</f>
        <v>0</v>
      </c>
      <c r="AY509" s="15" t="n">
        <f aca="false">0</f>
        <v>0</v>
      </c>
      <c r="AZ509" s="15" t="n">
        <f aca="false">Motore_Advisory!AY509*(1-Ipotesi!$C$95)*Ipotesi!$C$96</f>
        <v>0</v>
      </c>
      <c r="BA509" s="15" t="n">
        <f aca="false">MAX(0,MIN(CG509*MIN(1,IF(Motore_Operativo!C509&gt;=EDATE(Finanziamenti!$D$15,Ipotesi!K14*12),Finanziamenti!$C$15,0)+IF(Motore_Operativo!C509&gt;=EDATE(Finanziamenti!$D$16,Ipotesi!K14*12),Finanziamenti!$C$16,0)+IF(Motore_Operativo!C509&gt;=EDATE(Finanziamenti!$D$17,Ipotesi!K14*12),Finanziamenti!$C$17,0)),CA509*Ipotesi!$C$102)-(CC508))</f>
        <v>0</v>
      </c>
      <c r="BB509" s="15" t="n">
        <f aca="false">IF(AND(CF509&gt;0,Motore_Operativo!C509&gt;=IF(CF509=0,0,EDATE(CF509,Parametri_v3!$C$37)),MOD(((D509-YEAR(IF(CF509=0,0,EDATE(CF509,Parametri_v3!$C$37))))*12+E509-MONTH(IF(CF509=0,0,EDATE(CF509,Parametri_v3!$C$37)))),Parametri_v3!$C$38)=0),MIN(MAX(0,(BC508)+BA509-N509),(CC509-CD509)/(Ipotesi!$C$108*12/Parametri_v3!$C$38)),0)</f>
        <v>0</v>
      </c>
      <c r="BC509" s="15" t="n">
        <f aca="false">(BC508)+BA509-N509-BB509</f>
        <v>0</v>
      </c>
      <c r="BD509" s="15" t="n">
        <f aca="false">(BH508)+AC509+AF509-AI509-AS509-K509*(1+Parametri_v3!$C$26)-AL509-AQ509-O509+AW509+AX509+AZ509+BA509-BB509</f>
        <v>-553255.022038437</v>
      </c>
      <c r="BE509" s="15" t="n">
        <f aca="false">MAX(0,MIN(MAX(0,CH509-(BG508)),Parametri_v3!$C$30-BD509))</f>
        <v>0</v>
      </c>
      <c r="BF509" s="15" t="n">
        <f aca="false">IF(Motore_Operativo!C509&gt;=Parametri_v3!$C$63,(BG508),MIN((BG508),MAX(0,BD509-Parametri_v3!$C$30)))</f>
        <v>0</v>
      </c>
      <c r="BG509" s="15" t="n">
        <f aca="false">(BG508)+BE509-BF509</f>
        <v>0</v>
      </c>
      <c r="BH509" s="15" t="n">
        <f aca="false">BD509+BE509-BF509-AY509</f>
        <v>-553255.022038437</v>
      </c>
      <c r="BI509" s="15" t="n">
        <f aca="false">MAX(0,Parametri_v3!$C$30-BH509)</f>
        <v>578255.022038437</v>
      </c>
      <c r="BJ509" s="15" t="n">
        <f aca="false">(BJ508)+K509</f>
        <v>47500</v>
      </c>
      <c r="BK509" s="15" t="n">
        <f aca="false">(BK508)+L509</f>
        <v>16111.1111111111</v>
      </c>
      <c r="BL509" s="15" t="n">
        <f aca="false">BJ509-BK509</f>
        <v>31388.8888888889</v>
      </c>
      <c r="BM509" s="15" t="n">
        <f aca="false">(BM508)+Y509</f>
        <v>-612943.273119141</v>
      </c>
      <c r="BN509" s="15" t="n">
        <f aca="false">(BN508)+AW509+AX509+AZ509</f>
        <v>130000</v>
      </c>
      <c r="BO509" s="15" t="n">
        <f aca="false">(BO508)+AY509</f>
        <v>0</v>
      </c>
      <c r="BP509" s="15" t="n">
        <f aca="false">0</f>
        <v>0</v>
      </c>
      <c r="BQ509" s="15" t="n">
        <f aca="false">BN509+BM509-BO509</f>
        <v>-482943.273119141</v>
      </c>
      <c r="BR509" s="15" t="n">
        <f aca="false">BH509+AD509+BL509+MAX(0,-AM509)+MAX(0,-AR509)+AG509</f>
        <v>-368429.331437092</v>
      </c>
      <c r="BS509" s="15" t="n">
        <f aca="false">AJ509+AV509+MAX(0,AM509)+MAX(0,AR509)+BC509+BG509+BQ509</f>
        <v>-368429.331437092</v>
      </c>
      <c r="BT509" s="15" t="n">
        <f aca="false">BR509-BS509</f>
        <v>0</v>
      </c>
      <c r="BU509" s="15" t="n">
        <f aca="false">BH509-(BD509+BE509-BF509-AY509)</f>
        <v>0</v>
      </c>
      <c r="BV509" s="15" t="n">
        <f aca="false">MIN(Piano_SS!$C$6,(BV508)+IF(AND(Motore_Operativo!C509&gt;=EDATE(Parametri_v3!$C$24,Ipotesi!K14*12),Motore_Operativo!C509&lt;EDATE(Parametri_v3!$C$24,Parametri_v3!$C$25+Ipotesi!K14*12)),MAX(0,(Motore_Operativo!Y509+Motore_Operativo!X509*Parametri_v3!$C$14)*(1-Parametri_v3!$C$32))*Piano_SS!$D$6,0))</f>
        <v>200051.435416667</v>
      </c>
      <c r="BW509" s="15" t="n">
        <f aca="false">MIN(Piano_SS!$C$7,(BW508)+IF(AND(Motore_Operativo!C509&gt;=EDATE(Parametri_v3!$C$24,Ipotesi!K14*12),Motore_Operativo!C509&lt;EDATE(Parametri_v3!$C$24,Parametri_v3!$C$25+Ipotesi!K14*12)),MAX(0,(IF(25-(INT((Ipotesi!$C$91)/30))&lt;1,0,INDEX(Motore_Operativo!$BN$485:$BN$544,MAX(1,25-(INT((Ipotesi!$C$91)/30)))))*(1-(MOD((Ipotesi!$C$91),30)/30))+IF(25-(INT((Ipotesi!$C$91)/30))-1&lt;1,0,INDEX(Motore_Operativo!$BN$485:$BN$544,MAX(1,25-(INT((Ipotesi!$C$91)/30))-1)))*(MOD((Ipotesi!$C$91),30)/30)))*Piano_SS!$D$7,0))</f>
        <v>28683.9260646689</v>
      </c>
      <c r="BX509" s="15" t="n">
        <f aca="false">MIN(Piano_SS!$C$8,(BX508)+IF(AND(Motore_Operativo!C509&gt;=EDATE(Parametri_v3!$C$24,Ipotesi!K14*12),Motore_Operativo!C509&lt;EDATE(Parametri_v3!$C$24,Parametri_v3!$C$25+Ipotesi!K14*12)),MAX(0,Motore_Operativo!CE509)*Piano_SS!$D$8,0))</f>
        <v>37500</v>
      </c>
      <c r="BY509" s="15" t="n">
        <f aca="false">MIN(Piano_SS!$C$9,(BY508)+IF(AND(Motore_Operativo!C509&gt;=EDATE(Parametri_v3!$C$24,Ipotesi!K14*12),Motore_Operativo!C509&lt;EDATE(Parametri_v3!$C$24,Parametri_v3!$C$25+Ipotesi!K14*12)),MAX(0,((IF(25-(INT((Ipotesi!$C$91)/30))&lt;1,0,INDEX(Motore_Operativo!$BQ$485:$BQ$544,MAX(1,25-(INT((Ipotesi!$C$91)/30)))))*(1-(MOD((Ipotesi!$C$91),30)/30))+IF(25-(INT((Ipotesi!$C$91)/30))-1&lt;1,0,INDEX(Motore_Operativo!$BQ$485:$BQ$544,MAX(1,25-(INT((Ipotesi!$C$91)/30))-1)))*(MOD((Ipotesi!$C$91),30)/30))+(IF(25-(INT((Ipotesi!$C$91)/30))&lt;1,0,INDEX(Motore_Operativo!$BR$485:$BR$544,MAX(1,25-(INT((Ipotesi!$C$91)/30)))))*(1-(MOD((Ipotesi!$C$91),30)/30))+IF(25-(INT((Ipotesi!$C$91)/30))-1&lt;1,0,INDEX(Motore_Operativo!$BR$485:$BR$544,MAX(1,25-(INT((Ipotesi!$C$91)/30))-1)))*(MOD((Ipotesi!$C$91),30)/30))))*Piano_SS!$D$9,0))</f>
        <v>40000</v>
      </c>
      <c r="BZ509" s="15" t="n">
        <f aca="false">MIN(Piano_SS!$C$10,(BZ508)+IF(AND(Motore_Operativo!C509&gt;=EDATE(Parametri_v3!$C$24,Ipotesi!K14*12),Motore_Operativo!C509&lt;EDATE(Parametri_v3!$C$24,Parametri_v3!$C$25+Ipotesi!K14*12)),MAX(0,(IF(25-(INT((Ipotesi!$C$91)/30))&lt;1,0,INDEX(Motore_Operativo!$BO$485:$BO$544,MAX(1,25-(INT((Ipotesi!$C$91)/30)))))*(1-(MOD((Ipotesi!$C$91),30)/30))+IF(25-(INT((Ipotesi!$C$91)/30))-1&lt;1,0,INDEX(Motore_Operativo!$BO$485:$BO$544,MAX(1,25-(INT((Ipotesi!$C$91)/30))-1)))*(MOD((Ipotesi!$C$91),30)/30)))*Piano_SS!$D$10,0))</f>
        <v>28166.6666666667</v>
      </c>
      <c r="CA509" s="15" t="n">
        <f aca="false">SUM(BV509:BZ509)</f>
        <v>334402.028148002</v>
      </c>
      <c r="CB509" s="15" t="n">
        <f aca="false">BV509*(1-Piano_SS!$E$6)+BW509*(1-Piano_SS!$E$7)+BX509*(1-Piano_SS!$E$8)+BY509*(1-Piano_SS!$E$9)+BZ509*(1-Piano_SS!$E$10)</f>
        <v>306235.361481336</v>
      </c>
      <c r="CC509" s="15" t="n">
        <f aca="false">(CC508)+BA509</f>
        <v>0</v>
      </c>
      <c r="CD509" s="15" t="n">
        <f aca="false">IF(CA509=0,0,CC509*CB509/CA509*Ipotesi!$C$103*Parametri_v3!$C$64)</f>
        <v>0</v>
      </c>
      <c r="CE509" s="18" t="n">
        <f aca="false">IF(BA509&gt;0,Motore_Operativo!C509,(CE508))</f>
        <v>0</v>
      </c>
      <c r="CF509" s="18" t="n">
        <f aca="false">IF(AND(CC509&gt;0,OR(CC509&gt;=CG509-0.01,Motore_Operativo!C509&gt;=EDATE(MAX(Finanziamenti!$D$15:$D$17),Ipotesi!K14*12))),CE509,0)</f>
        <v>0</v>
      </c>
      <c r="CG509" s="15" t="n">
        <f aca="false">IF(AND(9&lt;&gt;6,9&lt;&gt;9,Finanziamenti!$F$11=1,OR(Parametri_v3!$C$6=0,Finanziamenti!$E$11=1)),MIN(Finanziamenti!$C$11,Piano_SS!$C$12*Ipotesi!$C$102),0)</f>
        <v>0</v>
      </c>
      <c r="CH509" s="15" t="n">
        <f aca="false">IF(AND(AND(9&lt;&gt;8,9&lt;&gt;9,Finanziamenti!$F$10=1,OR(Parametri_v3!$C$6=0,Finanziamenti!$E$10=1)),Motore_Operativo!C509&gt;=Finanziamenti!$D$10,Motore_Operativo!C509&lt;Parametri_v3!$C$63),Finanziamenti!$C$10,0)</f>
        <v>0</v>
      </c>
    </row>
    <row r="510" customFormat="false" ht="18" hidden="false" customHeight="true" outlineLevel="0" collapsed="false">
      <c r="A510" s="68" t="n">
        <f aca="false">9</f>
        <v>9</v>
      </c>
      <c r="B510" s="68" t="n">
        <f aca="false">26</f>
        <v>26</v>
      </c>
      <c r="C510" s="18" t="n">
        <f aca="false">Motore_Operativo!C510</f>
        <v>47150</v>
      </c>
      <c r="D510" s="68" t="n">
        <f aca="false">Motore_Operativo!D510</f>
        <v>2029</v>
      </c>
      <c r="E510" s="68" t="n">
        <f aca="false">Motore_Operativo!E510</f>
        <v>2</v>
      </c>
      <c r="F510" s="15" t="n">
        <f aca="false">Motore_Operativo!AQ510+Motore_Operativo!BF510</f>
        <v>57615.1870278934</v>
      </c>
      <c r="G510" s="15" t="n">
        <f aca="false">Motore_Operativo!BH510</f>
        <v>6050</v>
      </c>
      <c r="H510" s="15" t="n">
        <f aca="false">Motore_Operativo!BI510</f>
        <v>63665.1870278934</v>
      </c>
      <c r="I510" s="15" t="n">
        <f aca="false">Motore_Operativo!CA510</f>
        <v>115400.459517238</v>
      </c>
      <c r="J510" s="15" t="n">
        <f aca="false">Motore_Operativo!CC510</f>
        <v>-51735.272489345</v>
      </c>
      <c r="K510" s="15" t="n">
        <f aca="false">Motore_Operativo!CE510</f>
        <v>2500</v>
      </c>
      <c r="L510" s="15" t="n">
        <f aca="false">SUM(INDEX($K$485:$K$544,MAX(1,26-Parametri_v3!$C$59+1)):K510)/Parametri_v3!$C$59</f>
        <v>1388.88888888889</v>
      </c>
      <c r="M510" s="15" t="n">
        <f aca="false">J510-L510</f>
        <v>-53124.1613782339</v>
      </c>
      <c r="N510" s="15" t="n">
        <f aca="false">CD510-(CD509)</f>
        <v>0</v>
      </c>
      <c r="O510" s="15" t="n">
        <f aca="false">(BG509)*Ipotesi!$C$110/12+CH510*Parametri_v3!$C$39/12</f>
        <v>0</v>
      </c>
      <c r="P510" s="15" t="n">
        <f aca="false">M510+N510-O510</f>
        <v>-53124.1613782339</v>
      </c>
      <c r="Q510" s="15" t="n">
        <f aca="false">SUM(P509:P510)+Parametri_v3!$C$54*2/12</f>
        <v>-106744.96716866</v>
      </c>
      <c r="R510" s="15" t="n">
        <f aca="false">Z508</f>
        <v>559322.467328716</v>
      </c>
      <c r="S510" s="15" t="n">
        <f aca="false">AA508</f>
        <v>0</v>
      </c>
      <c r="T510" s="15" t="n">
        <f aca="false">MIN(R510,MAX(0,Q510))</f>
        <v>0</v>
      </c>
      <c r="U510" s="15" t="n">
        <f aca="false">MIN(S510,MAX(0,Q510-T510)*Parametri_v3!$C$42)</f>
        <v>0</v>
      </c>
      <c r="V510" s="15" t="n">
        <f aca="false">MAX(0,Q510-T510-U510)*Ipotesi!$C$92</f>
        <v>0</v>
      </c>
      <c r="W510" s="15" t="n">
        <f aca="false">MAX(0,SUM(M509:M510)+Parametri_v3!$C$55*2/12)*Ipotesi!$C$93</f>
        <v>0</v>
      </c>
      <c r="X510" s="15" t="n">
        <f aca="false">V510+W510-(V509+W509)</f>
        <v>0</v>
      </c>
      <c r="Y510" s="15" t="n">
        <f aca="false">P510-X510</f>
        <v>-53124.1613782339</v>
      </c>
      <c r="Z510" s="15" t="n">
        <f aca="false">R510-T510+IF(AND(Parametri_v3!$C$40=1,D510-YEAR(Parametri_v3!$C$50)&lt;Parametri_v3!$C$41),MAX(0,-Q510),0)</f>
        <v>666067.434497375</v>
      </c>
      <c r="AA510" s="15" t="n">
        <f aca="false">S510-U510+IF(AND(Parametri_v3!$C$40=1,D510-YEAR(Parametri_v3!$C$50)&lt;Parametri_v3!$C$41),0,MAX(0,-Q510))</f>
        <v>0</v>
      </c>
      <c r="AB510" s="15" t="n">
        <f aca="false">F510*(1+Parametri_v3!$C$26)</f>
        <v>70290.52817403</v>
      </c>
      <c r="AC510" s="15" t="n">
        <f aca="false">(IF(26-(INT((Motore_Operativo!L510)/30))&lt;1,0,INDEX(Motore_Startup!$AB$485:$AB$544,MAX(1,26-(INT((Motore_Operativo!L510)/30)))))*(1-(MOD((Motore_Operativo!L510),30)/30))+IF(26-(INT((Motore_Operativo!L510)/30))-1&lt;1,0,INDEX(Motore_Startup!$AB$485:$AB$544,MAX(1,26-(INT((Motore_Operativo!L510)/30))-1)))*(MOD((Motore_Operativo!L510),30)/30))</f>
        <v>37749.6522204198</v>
      </c>
      <c r="AD510" s="15" t="n">
        <f aca="false">(AD509)+AB510-AC510</f>
        <v>178596.677666066</v>
      </c>
      <c r="AE510" s="15" t="n">
        <f aca="false">Motore_Operativo!BH510*(1+Parametri_v3!$C$26)</f>
        <v>7381</v>
      </c>
      <c r="AF510" s="15" t="n">
        <f aca="false">(IF(26-(INT((Parametri_v3!$C$29)/30))&lt;1,0,INDEX(Motore_Operativo!$BH$485:$BH$544,MAX(1,26-(INT((Parametri_v3!$C$29)/30)))))*(1-(MOD((Parametri_v3!$C$29),30)/30))+IF(26-(INT((Parametri_v3!$C$29)/30))-1&lt;1,0,INDEX(Motore_Operativo!$BH$485:$BH$544,MAX(1,26-(INT((Parametri_v3!$C$29)/30))-1)))*(MOD((Parametri_v3!$C$29),30)/30))*(1+Parametri_v3!$C$26)</f>
        <v>7381</v>
      </c>
      <c r="AG510" s="15" t="n">
        <f aca="false">(AG509)+AE510-AF510</f>
        <v>7381</v>
      </c>
      <c r="AH510" s="15" t="n">
        <f aca="false">(Motore_Operativo!CJ510)*(1+Parametri_v3!$C$27*Parametri_v3!$C$26)</f>
        <v>48817.5031136287</v>
      </c>
      <c r="AI510" s="15" t="n">
        <f aca="false">(IF(26-(INT((Ipotesi!$C$91)/30))&lt;1,0,INDEX(Motore_Startup!$AH$485:$AH$544,MAX(1,26-(INT((Ipotesi!$C$91)/30)))))*(1-(MOD((Ipotesi!$C$91),30)/30))+IF(26-(INT((Ipotesi!$C$91)/30))-1&lt;1,0,INDEX(Motore_Startup!$AH$485:$AH$544,MAX(1,26-(INT((Ipotesi!$C$91)/30))-1)))*(MOD((Ipotesi!$C$91),30)/30))</f>
        <v>21846.5917803672</v>
      </c>
      <c r="AJ510" s="15" t="n">
        <f aca="false">(AJ509)+AH510-AI510</f>
        <v>97525.6194293553</v>
      </c>
      <c r="AK510" s="15" t="n">
        <f aca="false">(F510+ Motore_Operativo!BH510-(Motore_Operativo!CJ510)*Parametri_v3!$C$27-Motore_Operativo!CE510)*Parametri_v3!$C$26</f>
        <v>5765.63088307964</v>
      </c>
      <c r="AL510" s="15" t="n">
        <f aca="false">MAX(0,(AM509))</f>
        <v>5638.0502526224</v>
      </c>
      <c r="AM510" s="15" t="n">
        <f aca="false">(AM509)+AK510-AL510</f>
        <v>5765.63088307964</v>
      </c>
      <c r="AN510" s="15" t="n">
        <f aca="false">SUM(X497:X508)</f>
        <v>0</v>
      </c>
      <c r="AO510" s="15" t="n">
        <f aca="false">SUM(AP497:AP508)</f>
        <v>0</v>
      </c>
      <c r="AP510" s="15" t="n">
        <f aca="false">MAX(0,AN510)*IF(2=Parametri_v3!$C$43,Parametri_v3!$C$45,IF(2=Parametri_v3!$C$44,1-Parametri_v3!$C$45,0))</f>
        <v>0</v>
      </c>
      <c r="AQ510" s="15" t="n">
        <f aca="false">MAX(0,AP510+IF(2=Parametri_v3!$C$43,MAX(0,AN510-AO510),0)-MAX(0,-(AR509)))</f>
        <v>0</v>
      </c>
      <c r="AR510" s="15" t="n">
        <f aca="false">(AR509)+X510-AQ510</f>
        <v>0</v>
      </c>
      <c r="AS510" s="15" t="n">
        <f aca="false">Motore_Operativo!AB510-AT510+AU510</f>
        <v>70559.9833333333</v>
      </c>
      <c r="AT510" s="15" t="n">
        <f aca="false">Motore_Operativo!CH510</f>
        <v>3713.68333333333</v>
      </c>
      <c r="AU510" s="15" t="n">
        <f aca="false">MIN(MAX(0,(AV509)+AT510),Parametri_v3!$C$60/12)</f>
        <v>0</v>
      </c>
      <c r="AV510" s="15" t="n">
        <f aca="false">(AV509)+AT510-AU510</f>
        <v>42034.8666666667</v>
      </c>
      <c r="AW510" s="15" t="n">
        <f aca="false">IF(AND(Motore_Operativo!C510=Finanziamenti!$D$6,Finanziamenti!$F$6=1),Finanziamenti!$C$6,0)</f>
        <v>0</v>
      </c>
      <c r="AX510" s="15" t="n">
        <f aca="false">IF(AND(9&lt;&gt;7,9&lt;&gt;9,Finanziamenti!$F$8=1,OR(Parametri_v3!$C$6=0,Finanziamenti!$E$8=1),Motore_Operativo!C510=EDATE(Finanziamenti!$D$8,Ipotesi!K15*12)),Finanziamenti!$C$8*1,0)+IF(AND(9&lt;&gt;7,9&lt;&gt;9,Finanziamenti!$F$9=1,OR(Parametri_v3!$C$6=0,Finanziamenti!$E$9=1),Motore_Operativo!C510=EDATE(Finanziamenti!$D$9,Ipotesi!K15*12)),Finanziamenti!$C$9*Ipotesi!K16,0)</f>
        <v>0</v>
      </c>
      <c r="AY510" s="15" t="n">
        <f aca="false">0</f>
        <v>0</v>
      </c>
      <c r="AZ510" s="15" t="n">
        <f aca="false">Motore_Advisory!AY510*(1-Ipotesi!$C$95)*Ipotesi!$C$96</f>
        <v>0</v>
      </c>
      <c r="BA510" s="15" t="n">
        <f aca="false">MAX(0,MIN(CG510*MIN(1,IF(Motore_Operativo!C510&gt;=EDATE(Finanziamenti!$D$15,Ipotesi!K14*12),Finanziamenti!$C$15,0)+IF(Motore_Operativo!C510&gt;=EDATE(Finanziamenti!$D$16,Ipotesi!K14*12),Finanziamenti!$C$16,0)+IF(Motore_Operativo!C510&gt;=EDATE(Finanziamenti!$D$17,Ipotesi!K14*12),Finanziamenti!$C$17,0)),CA510*Ipotesi!$C$102)-(CC509))</f>
        <v>0</v>
      </c>
      <c r="BB510" s="15" t="n">
        <f aca="false">IF(AND(CF510&gt;0,Motore_Operativo!C510&gt;=IF(CF510=0,0,EDATE(CF510,Parametri_v3!$C$37)),MOD(((D510-YEAR(IF(CF510=0,0,EDATE(CF510,Parametri_v3!$C$37))))*12+E510-MONTH(IF(CF510=0,0,EDATE(CF510,Parametri_v3!$C$37)))),Parametri_v3!$C$38)=0),MIN(MAX(0,(BC509)+BA510-N510),(CC510-CD510)/(Ipotesi!$C$108*12/Parametri_v3!$C$38)),0)</f>
        <v>0</v>
      </c>
      <c r="BC510" s="15" t="n">
        <f aca="false">(BC509)+BA510-N510-BB510</f>
        <v>0</v>
      </c>
      <c r="BD510" s="15" t="n">
        <f aca="false">(BH509)+AC510+AF510-AI510-AS510-K510*(1+Parametri_v3!$C$26)-AL510-AQ510-O510+AW510+AX510+AZ510+BA510-BB510</f>
        <v>-609218.99518434</v>
      </c>
      <c r="BE510" s="15" t="n">
        <f aca="false">MAX(0,MIN(MAX(0,CH510-(BG509)),Parametri_v3!$C$30-BD510))</f>
        <v>0</v>
      </c>
      <c r="BF510" s="15" t="n">
        <f aca="false">IF(Motore_Operativo!C510&gt;=Parametri_v3!$C$63,(BG509),MIN((BG509),MAX(0,BD510-Parametri_v3!$C$30)))</f>
        <v>0</v>
      </c>
      <c r="BG510" s="15" t="n">
        <f aca="false">(BG509)+BE510-BF510</f>
        <v>0</v>
      </c>
      <c r="BH510" s="15" t="n">
        <f aca="false">BD510+BE510-BF510-AY510</f>
        <v>-609218.99518434</v>
      </c>
      <c r="BI510" s="15" t="n">
        <f aca="false">MAX(0,Parametri_v3!$C$30-BH510)</f>
        <v>634218.99518434</v>
      </c>
      <c r="BJ510" s="15" t="n">
        <f aca="false">(BJ509)+K510</f>
        <v>50000</v>
      </c>
      <c r="BK510" s="15" t="n">
        <f aca="false">(BK509)+L510</f>
        <v>17500</v>
      </c>
      <c r="BL510" s="15" t="n">
        <f aca="false">BJ510-BK510</f>
        <v>32500</v>
      </c>
      <c r="BM510" s="15" t="n">
        <f aca="false">(BM509)+Y510</f>
        <v>-666067.434497375</v>
      </c>
      <c r="BN510" s="15" t="n">
        <f aca="false">(BN509)+AW510+AX510+AZ510</f>
        <v>130000</v>
      </c>
      <c r="BO510" s="15" t="n">
        <f aca="false">(BO509)+AY510</f>
        <v>0</v>
      </c>
      <c r="BP510" s="15" t="n">
        <f aca="false">0</f>
        <v>0</v>
      </c>
      <c r="BQ510" s="15" t="n">
        <f aca="false">BN510+BM510-BO510</f>
        <v>-536067.434497375</v>
      </c>
      <c r="BR510" s="15" t="n">
        <f aca="false">BH510+AD510+BL510+MAX(0,-AM510)+MAX(0,-AR510)+AG510</f>
        <v>-390741.317518274</v>
      </c>
      <c r="BS510" s="15" t="n">
        <f aca="false">AJ510+AV510+MAX(0,AM510)+MAX(0,AR510)+BC510+BG510+BQ510</f>
        <v>-390741.317518274</v>
      </c>
      <c r="BT510" s="15" t="n">
        <f aca="false">BR510-BS510</f>
        <v>0</v>
      </c>
      <c r="BU510" s="15" t="n">
        <f aca="false">BH510-(BD510+BE510-BF510-AY510)</f>
        <v>0</v>
      </c>
      <c r="BV510" s="15" t="n">
        <f aca="false">MIN(Piano_SS!$C$6,(BV509)+IF(AND(Motore_Operativo!C510&gt;=EDATE(Parametri_v3!$C$24,Ipotesi!K14*12),Motore_Operativo!C510&lt;EDATE(Parametri_v3!$C$24,Parametri_v3!$C$25+Ipotesi!K14*12)),MAX(0,(Motore_Operativo!Y510+Motore_Operativo!X510*Parametri_v3!$C$14)*(1-Parametri_v3!$C$32))*Piano_SS!$D$6,0))</f>
        <v>224827.870833333</v>
      </c>
      <c r="BW510" s="15" t="n">
        <f aca="false">MIN(Piano_SS!$C$7,(BW509)+IF(AND(Motore_Operativo!C510&gt;=EDATE(Parametri_v3!$C$24,Ipotesi!K14*12),Motore_Operativo!C510&lt;EDATE(Parametri_v3!$C$24,Parametri_v3!$C$25+Ipotesi!K14*12)),MAX(0,(IF(26-(INT((Ipotesi!$C$91)/30))&lt;1,0,INDEX(Motore_Operativo!$BN$485:$BN$544,MAX(1,26-(INT((Ipotesi!$C$91)/30)))))*(1-(MOD((Ipotesi!$C$91),30)/30))+IF(26-(INT((Ipotesi!$C$91)/30))-1&lt;1,0,INDEX(Motore_Operativo!$BN$485:$BN$544,MAX(1,26-(INT((Ipotesi!$C$91)/30))-1)))*(MOD((Ipotesi!$C$91),30)/30)))*Piano_SS!$D$7,0))</f>
        <v>30769.4131206034</v>
      </c>
      <c r="BX510" s="15" t="n">
        <f aca="false">MIN(Piano_SS!$C$8,(BX509)+IF(AND(Motore_Operativo!C510&gt;=EDATE(Parametri_v3!$C$24,Ipotesi!K14*12),Motore_Operativo!C510&lt;EDATE(Parametri_v3!$C$24,Parametri_v3!$C$25+Ipotesi!K14*12)),MAX(0,Motore_Operativo!CE510)*Piano_SS!$D$8,0))</f>
        <v>40000</v>
      </c>
      <c r="BY510" s="15" t="n">
        <f aca="false">MIN(Piano_SS!$C$9,(BY509)+IF(AND(Motore_Operativo!C510&gt;=EDATE(Parametri_v3!$C$24,Ipotesi!K14*12),Motore_Operativo!C510&lt;EDATE(Parametri_v3!$C$24,Parametri_v3!$C$25+Ipotesi!K14*12)),MAX(0,((IF(26-(INT((Ipotesi!$C$91)/30))&lt;1,0,INDEX(Motore_Operativo!$BQ$485:$BQ$544,MAX(1,26-(INT((Ipotesi!$C$91)/30)))))*(1-(MOD((Ipotesi!$C$91),30)/30))+IF(26-(INT((Ipotesi!$C$91)/30))-1&lt;1,0,INDEX(Motore_Operativo!$BQ$485:$BQ$544,MAX(1,26-(INT((Ipotesi!$C$91)/30))-1)))*(MOD((Ipotesi!$C$91),30)/30))+(IF(26-(INT((Ipotesi!$C$91)/30))&lt;1,0,INDEX(Motore_Operativo!$BR$485:$BR$544,MAX(1,26-(INT((Ipotesi!$C$91)/30)))))*(1-(MOD((Ipotesi!$C$91),30)/30))+IF(26-(INT((Ipotesi!$C$91)/30))-1&lt;1,0,INDEX(Motore_Operativo!$BR$485:$BR$544,MAX(1,26-(INT((Ipotesi!$C$91)/30))-1)))*(MOD((Ipotesi!$C$91),30)/30))))*Piano_SS!$D$9,0))</f>
        <v>40000</v>
      </c>
      <c r="BZ510" s="15" t="n">
        <f aca="false">MIN(Piano_SS!$C$10,(BZ509)+IF(AND(Motore_Operativo!C510&gt;=EDATE(Parametri_v3!$C$24,Ipotesi!K14*12),Motore_Operativo!C510&lt;EDATE(Parametri_v3!$C$24,Parametri_v3!$C$25+Ipotesi!K14*12)),MAX(0,(IF(26-(INT((Ipotesi!$C$91)/30))&lt;1,0,INDEX(Motore_Operativo!$BO$485:$BO$544,MAX(1,26-(INT((Ipotesi!$C$91)/30)))))*(1-(MOD((Ipotesi!$C$91),30)/30))+IF(26-(INT((Ipotesi!$C$91)/30))-1&lt;1,0,INDEX(Motore_Operativo!$BO$485:$BO$544,MAX(1,26-(INT((Ipotesi!$C$91)/30))-1)))*(MOD((Ipotesi!$C$91),30)/30)))*Piano_SS!$D$10,0))</f>
        <v>30000</v>
      </c>
      <c r="CA510" s="15" t="n">
        <f aca="false">SUM(BV510:BZ510)</f>
        <v>365597.283953937</v>
      </c>
      <c r="CB510" s="15" t="n">
        <f aca="false">BV510*(1-Piano_SS!$E$6)+BW510*(1-Piano_SS!$E$7)+BX510*(1-Piano_SS!$E$8)+BY510*(1-Piano_SS!$E$9)+BZ510*(1-Piano_SS!$E$10)</f>
        <v>335597.283953937</v>
      </c>
      <c r="CC510" s="15" t="n">
        <f aca="false">(CC509)+BA510</f>
        <v>0</v>
      </c>
      <c r="CD510" s="15" t="n">
        <f aca="false">IF(CA510=0,0,CC510*CB510/CA510*Ipotesi!$C$103*Parametri_v3!$C$64)</f>
        <v>0</v>
      </c>
      <c r="CE510" s="18" t="n">
        <f aca="false">IF(BA510&gt;0,Motore_Operativo!C510,(CE509))</f>
        <v>0</v>
      </c>
      <c r="CF510" s="18" t="n">
        <f aca="false">IF(AND(CC510&gt;0,OR(CC510&gt;=CG510-0.01,Motore_Operativo!C510&gt;=EDATE(MAX(Finanziamenti!$D$15:$D$17),Ipotesi!K14*12))),CE510,0)</f>
        <v>0</v>
      </c>
      <c r="CG510" s="15" t="n">
        <f aca="false">IF(AND(9&lt;&gt;6,9&lt;&gt;9,Finanziamenti!$F$11=1,OR(Parametri_v3!$C$6=0,Finanziamenti!$E$11=1)),MIN(Finanziamenti!$C$11,Piano_SS!$C$12*Ipotesi!$C$102),0)</f>
        <v>0</v>
      </c>
      <c r="CH510" s="15" t="n">
        <f aca="false">IF(AND(AND(9&lt;&gt;8,9&lt;&gt;9,Finanziamenti!$F$10=1,OR(Parametri_v3!$C$6=0,Finanziamenti!$E$10=1)),Motore_Operativo!C510&gt;=Finanziamenti!$D$10,Motore_Operativo!C510&lt;Parametri_v3!$C$63),Finanziamenti!$C$10,0)</f>
        <v>0</v>
      </c>
    </row>
    <row r="511" customFormat="false" ht="18" hidden="false" customHeight="true" outlineLevel="0" collapsed="false">
      <c r="A511" s="68" t="n">
        <f aca="false">9</f>
        <v>9</v>
      </c>
      <c r="B511" s="68" t="n">
        <f aca="false">27</f>
        <v>27</v>
      </c>
      <c r="C511" s="18" t="n">
        <f aca="false">Motore_Operativo!C511</f>
        <v>47178</v>
      </c>
      <c r="D511" s="68" t="n">
        <f aca="false">Motore_Operativo!D511</f>
        <v>2029</v>
      </c>
      <c r="E511" s="68" t="n">
        <f aca="false">Motore_Operativo!E511</f>
        <v>3</v>
      </c>
      <c r="F511" s="15" t="n">
        <f aca="false">Motore_Operativo!AQ511+Motore_Operativo!BF511</f>
        <v>58267.6757814814</v>
      </c>
      <c r="G511" s="15" t="n">
        <f aca="false">Motore_Operativo!BH511</f>
        <v>6050</v>
      </c>
      <c r="H511" s="15" t="n">
        <f aca="false">Motore_Operativo!BI511</f>
        <v>64317.6757814814</v>
      </c>
      <c r="I511" s="15" t="n">
        <f aca="false">Motore_Operativo!CA511</f>
        <v>115491.807942741</v>
      </c>
      <c r="J511" s="15" t="n">
        <f aca="false">Motore_Operativo!CC511</f>
        <v>-51174.1321612593</v>
      </c>
      <c r="K511" s="15" t="n">
        <f aca="false">Motore_Operativo!CE511</f>
        <v>2500</v>
      </c>
      <c r="L511" s="15" t="n">
        <f aca="false">SUM(INDEX($K$485:$K$544,MAX(1,27-Parametri_v3!$C$59+1)):K511)/Parametri_v3!$C$59</f>
        <v>1458.33333333333</v>
      </c>
      <c r="M511" s="15" t="n">
        <f aca="false">J511-L511</f>
        <v>-52632.4654945927</v>
      </c>
      <c r="N511" s="15" t="n">
        <f aca="false">CD511-(CD510)</f>
        <v>0</v>
      </c>
      <c r="O511" s="15" t="n">
        <f aca="false">(BG510)*Ipotesi!$C$110/12+CH511*Parametri_v3!$C$39/12</f>
        <v>0</v>
      </c>
      <c r="P511" s="15" t="n">
        <f aca="false">M511+N511-O511</f>
        <v>-52632.4654945927</v>
      </c>
      <c r="Q511" s="15" t="n">
        <f aca="false">SUM(P509:P511)+Parametri_v3!$C$54*3/12</f>
        <v>-159377.432663252</v>
      </c>
      <c r="R511" s="15" t="n">
        <f aca="false">Z508</f>
        <v>559322.467328716</v>
      </c>
      <c r="S511" s="15" t="n">
        <f aca="false">AA508</f>
        <v>0</v>
      </c>
      <c r="T511" s="15" t="n">
        <f aca="false">MIN(R511,MAX(0,Q511))</f>
        <v>0</v>
      </c>
      <c r="U511" s="15" t="n">
        <f aca="false">MIN(S511,MAX(0,Q511-T511)*Parametri_v3!$C$42)</f>
        <v>0</v>
      </c>
      <c r="V511" s="15" t="n">
        <f aca="false">MAX(0,Q511-T511-U511)*Ipotesi!$C$92</f>
        <v>0</v>
      </c>
      <c r="W511" s="15" t="n">
        <f aca="false">MAX(0,SUM(M509:M511)+Parametri_v3!$C$55*3/12)*Ipotesi!$C$93</f>
        <v>0</v>
      </c>
      <c r="X511" s="15" t="n">
        <f aca="false">V511+W511-(V510+W510)</f>
        <v>0</v>
      </c>
      <c r="Y511" s="15" t="n">
        <f aca="false">P511-X511</f>
        <v>-52632.4654945927</v>
      </c>
      <c r="Z511" s="15" t="n">
        <f aca="false">R511-T511+IF(AND(Parametri_v3!$C$40=1,D511-YEAR(Parametri_v3!$C$50)&lt;Parametri_v3!$C$41),MAX(0,-Q511),0)</f>
        <v>718699.899991968</v>
      </c>
      <c r="AA511" s="15" t="n">
        <f aca="false">S511-U511+IF(AND(Parametri_v3!$C$40=1,D511-YEAR(Parametri_v3!$C$50)&lt;Parametri_v3!$C$41),0,MAX(0,-Q511))</f>
        <v>0</v>
      </c>
      <c r="AB511" s="15" t="n">
        <f aca="false">F511*(1+Parametri_v3!$C$26)</f>
        <v>71086.5644534073</v>
      </c>
      <c r="AC511" s="15" t="n">
        <f aca="false">(IF(27-(INT((Motore_Operativo!L511)/30))&lt;1,0,INDEX(Motore_Startup!$AB$485:$AB$544,MAX(1,27-(INT((Motore_Operativo!L511)/30)))))*(1-(MOD((Motore_Operativo!L511),30)/30))+IF(27-(INT((Motore_Operativo!L511)/30))-1&lt;1,0,INDEX(Motore_Startup!$AB$485:$AB$544,MAX(1,27-(INT((Motore_Operativo!L511)/30))-1)))*(MOD((Motore_Operativo!L511),30)/30))</f>
        <v>38818.6776030012</v>
      </c>
      <c r="AD511" s="15" t="n">
        <f aca="false">(AD510)+AB511-AC511</f>
        <v>210864.564516472</v>
      </c>
      <c r="AE511" s="15" t="n">
        <f aca="false">Motore_Operativo!BH511*(1+Parametri_v3!$C$26)</f>
        <v>7381</v>
      </c>
      <c r="AF511" s="15" t="n">
        <f aca="false">(IF(27-(INT((Parametri_v3!$C$29)/30))&lt;1,0,INDEX(Motore_Operativo!$BH$485:$BH$544,MAX(1,27-(INT((Parametri_v3!$C$29)/30)))))*(1-(MOD((Parametri_v3!$C$29),30)/30))+IF(27-(INT((Parametri_v3!$C$29)/30))-1&lt;1,0,INDEX(Motore_Operativo!$BH$485:$BH$544,MAX(1,27-(INT((Parametri_v3!$C$29)/30))-1)))*(MOD((Parametri_v3!$C$29),30)/30))*(1+Parametri_v3!$C$26)</f>
        <v>7381</v>
      </c>
      <c r="AG511" s="15" t="n">
        <f aca="false">(AG510)+AE511-AF511</f>
        <v>7381</v>
      </c>
      <c r="AH511" s="15" t="n">
        <f aca="false">(Motore_Operativo!CJ511)*(1+Parametri_v3!$C$27*Parametri_v3!$C$26)</f>
        <v>48925.9336946999</v>
      </c>
      <c r="AI511" s="15" t="n">
        <f aca="false">(IF(27-(INT((Ipotesi!$C$91)/30))&lt;1,0,INDEX(Motore_Startup!$AH$485:$AH$544,MAX(1,27-(INT((Ipotesi!$C$91)/30)))))*(1-(MOD((Ipotesi!$C$91),30)/30))+IF(27-(INT((Ipotesi!$C$91)/30))-1&lt;1,0,INDEX(Motore_Startup!$AH$485:$AH$544,MAX(1,27-(INT((Ipotesi!$C$91)/30))-1)))*(MOD((Ipotesi!$C$91),30)/30))</f>
        <v>48708.1163157266</v>
      </c>
      <c r="AJ511" s="15" t="n">
        <f aca="false">(AJ510)+AH511-AI511</f>
        <v>97743.4368083286</v>
      </c>
      <c r="AK511" s="15" t="n">
        <f aca="false">(F511+ Motore_Operativo!BH511-(Motore_Operativo!CJ511)*Parametri_v3!$C$27-Motore_Operativo!CE511)*Parametri_v3!$C$26</f>
        <v>5892.09625330006</v>
      </c>
      <c r="AL511" s="15" t="n">
        <f aca="false">MAX(0,(AM510))</f>
        <v>5765.63088307964</v>
      </c>
      <c r="AM511" s="15" t="n">
        <f aca="false">(AM510)+AK511-AL511</f>
        <v>5892.09625330006</v>
      </c>
      <c r="AN511" s="15" t="n">
        <f aca="false">SUM(X497:X508)</f>
        <v>0</v>
      </c>
      <c r="AO511" s="15" t="n">
        <f aca="false">SUM(AP497:AP508)</f>
        <v>0</v>
      </c>
      <c r="AP511" s="15" t="n">
        <f aca="false">MAX(0,AN511)*IF(3=Parametri_v3!$C$43,Parametri_v3!$C$45,IF(3=Parametri_v3!$C$44,1-Parametri_v3!$C$45,0))</f>
        <v>0</v>
      </c>
      <c r="AQ511" s="15" t="n">
        <f aca="false">MAX(0,AP511+IF(3=Parametri_v3!$C$43,MAX(0,AN511-AO511),0)-MAX(0,-(AR510)))</f>
        <v>0</v>
      </c>
      <c r="AR511" s="15" t="n">
        <f aca="false">(AR510)+X511-AQ511</f>
        <v>0</v>
      </c>
      <c r="AS511" s="15" t="n">
        <f aca="false">Motore_Operativo!AB511-AT511+AU511</f>
        <v>70559.9833333333</v>
      </c>
      <c r="AT511" s="15" t="n">
        <f aca="false">Motore_Operativo!CH511</f>
        <v>3713.68333333333</v>
      </c>
      <c r="AU511" s="15" t="n">
        <f aca="false">MIN(MAX(0,(AV510)+AT511),Parametri_v3!$C$60/12)</f>
        <v>0</v>
      </c>
      <c r="AV511" s="15" t="n">
        <f aca="false">(AV510)+AT511-AU511</f>
        <v>45748.55</v>
      </c>
      <c r="AW511" s="15" t="n">
        <f aca="false">IF(AND(Motore_Operativo!C511=Finanziamenti!$D$6,Finanziamenti!$F$6=1),Finanziamenti!$C$6,0)</f>
        <v>0</v>
      </c>
      <c r="AX511" s="15" t="n">
        <f aca="false">IF(AND(9&lt;&gt;7,9&lt;&gt;9,Finanziamenti!$F$8=1,OR(Parametri_v3!$C$6=0,Finanziamenti!$E$8=1),Motore_Operativo!C511=EDATE(Finanziamenti!$D$8,Ipotesi!K15*12)),Finanziamenti!$C$8*1,0)+IF(AND(9&lt;&gt;7,9&lt;&gt;9,Finanziamenti!$F$9=1,OR(Parametri_v3!$C$6=0,Finanziamenti!$E$9=1),Motore_Operativo!C511=EDATE(Finanziamenti!$D$9,Ipotesi!K15*12)),Finanziamenti!$C$9*Ipotesi!K16,0)</f>
        <v>0</v>
      </c>
      <c r="AY511" s="15" t="n">
        <f aca="false">0</f>
        <v>0</v>
      </c>
      <c r="AZ511" s="15" t="n">
        <f aca="false">Motore_Advisory!AY511*(1-Ipotesi!$C$95)*Ipotesi!$C$96</f>
        <v>0</v>
      </c>
      <c r="BA511" s="15" t="n">
        <f aca="false">MAX(0,MIN(CG511*MIN(1,IF(Motore_Operativo!C511&gt;=EDATE(Finanziamenti!$D$15,Ipotesi!K14*12),Finanziamenti!$C$15,0)+IF(Motore_Operativo!C511&gt;=EDATE(Finanziamenti!$D$16,Ipotesi!K14*12),Finanziamenti!$C$16,0)+IF(Motore_Operativo!C511&gt;=EDATE(Finanziamenti!$D$17,Ipotesi!K14*12),Finanziamenti!$C$17,0)),CA511*Ipotesi!$C$102)-(CC510))</f>
        <v>0</v>
      </c>
      <c r="BB511" s="15" t="n">
        <f aca="false">IF(AND(CF511&gt;0,Motore_Operativo!C511&gt;=IF(CF511=0,0,EDATE(CF511,Parametri_v3!$C$37)),MOD(((D511-YEAR(IF(CF511=0,0,EDATE(CF511,Parametri_v3!$C$37))))*12+E511-MONTH(IF(CF511=0,0,EDATE(CF511,Parametri_v3!$C$37)))),Parametri_v3!$C$38)=0),MIN(MAX(0,(BC510)+BA511-N511),(CC511-CD511)/(Ipotesi!$C$108*12/Parametri_v3!$C$38)),0)</f>
        <v>0</v>
      </c>
      <c r="BC511" s="15" t="n">
        <f aca="false">(BC510)+BA511-N511-BB511</f>
        <v>0</v>
      </c>
      <c r="BD511" s="15" t="n">
        <f aca="false">(BH510)+AC511+AF511-AI511-AS511-K511*(1+Parametri_v3!$C$26)-AL511-AQ511-O511+AW511+AX511+AZ511+BA511-BB511</f>
        <v>-691103.048113478</v>
      </c>
      <c r="BE511" s="15" t="n">
        <f aca="false">MAX(0,MIN(MAX(0,CH511-(BG510)),Parametri_v3!$C$30-BD511))</f>
        <v>0</v>
      </c>
      <c r="BF511" s="15" t="n">
        <f aca="false">IF(Motore_Operativo!C511&gt;=Parametri_v3!$C$63,(BG510),MIN((BG510),MAX(0,BD511-Parametri_v3!$C$30)))</f>
        <v>0</v>
      </c>
      <c r="BG511" s="15" t="n">
        <f aca="false">(BG510)+BE511-BF511</f>
        <v>0</v>
      </c>
      <c r="BH511" s="15" t="n">
        <f aca="false">BD511+BE511-BF511-AY511</f>
        <v>-691103.048113478</v>
      </c>
      <c r="BI511" s="15" t="n">
        <f aca="false">MAX(0,Parametri_v3!$C$30-BH511)</f>
        <v>716103.048113478</v>
      </c>
      <c r="BJ511" s="15" t="n">
        <f aca="false">(BJ510)+K511</f>
        <v>52500</v>
      </c>
      <c r="BK511" s="15" t="n">
        <f aca="false">(BK510)+L511</f>
        <v>18958.3333333333</v>
      </c>
      <c r="BL511" s="15" t="n">
        <f aca="false">BJ511-BK511</f>
        <v>33541.6666666667</v>
      </c>
      <c r="BM511" s="15" t="n">
        <f aca="false">(BM510)+Y511</f>
        <v>-718699.899991968</v>
      </c>
      <c r="BN511" s="15" t="n">
        <f aca="false">(BN510)+AW511+AX511+AZ511</f>
        <v>130000</v>
      </c>
      <c r="BO511" s="15" t="n">
        <f aca="false">(BO510)+AY511</f>
        <v>0</v>
      </c>
      <c r="BP511" s="15" t="n">
        <f aca="false">0</f>
        <v>0</v>
      </c>
      <c r="BQ511" s="15" t="n">
        <f aca="false">BN511+BM511-BO511</f>
        <v>-588699.899991968</v>
      </c>
      <c r="BR511" s="15" t="n">
        <f aca="false">BH511+AD511+BL511+MAX(0,-AM511)+MAX(0,-AR511)+AG511</f>
        <v>-439315.816930339</v>
      </c>
      <c r="BS511" s="15" t="n">
        <f aca="false">AJ511+AV511+MAX(0,AM511)+MAX(0,AR511)+BC511+BG511+BQ511</f>
        <v>-439315.816930339</v>
      </c>
      <c r="BT511" s="15" t="n">
        <f aca="false">BR511-BS511</f>
        <v>0</v>
      </c>
      <c r="BU511" s="15" t="n">
        <f aca="false">BH511-(BD511+BE511-BF511-AY511)</f>
        <v>0</v>
      </c>
      <c r="BV511" s="15" t="n">
        <f aca="false">MIN(Piano_SS!$C$6,(BV510)+IF(AND(Motore_Operativo!C511&gt;=EDATE(Parametri_v3!$C$24,Ipotesi!K14*12),Motore_Operativo!C511&lt;EDATE(Parametri_v3!$C$24,Parametri_v3!$C$25+Ipotesi!K14*12)),MAX(0,(Motore_Operativo!Y511+Motore_Operativo!X511*Parametri_v3!$C$14)*(1-Parametri_v3!$C$32))*Piano_SS!$D$6,0))</f>
        <v>249604.30625</v>
      </c>
      <c r="BW511" s="15" t="n">
        <f aca="false">MIN(Piano_SS!$C$7,(BW510)+IF(AND(Motore_Operativo!C511&gt;=EDATE(Parametri_v3!$C$24,Ipotesi!K14*12),Motore_Operativo!C511&lt;EDATE(Parametri_v3!$C$24,Parametri_v3!$C$25+Ipotesi!K14*12)),MAX(0,(IF(27-(INT((Ipotesi!$C$91)/30))&lt;1,0,INDEX(Motore_Operativo!$BN$485:$BN$544,MAX(1,27-(INT((Ipotesi!$C$91)/30)))))*(1-(MOD((Ipotesi!$C$91),30)/30))+IF(27-(INT((Ipotesi!$C$91)/30))-1&lt;1,0,INDEX(Motore_Operativo!$BN$485:$BN$544,MAX(1,27-(INT((Ipotesi!$C$91)/30))-1)))*(MOD((Ipotesi!$C$91),30)/30)))*Piano_SS!$D$7,0))</f>
        <v>33242.6353209773</v>
      </c>
      <c r="BX511" s="15" t="n">
        <f aca="false">MIN(Piano_SS!$C$8,(BX510)+IF(AND(Motore_Operativo!C511&gt;=EDATE(Parametri_v3!$C$24,Ipotesi!K14*12),Motore_Operativo!C511&lt;EDATE(Parametri_v3!$C$24,Parametri_v3!$C$25+Ipotesi!K14*12)),MAX(0,Motore_Operativo!CE511)*Piano_SS!$D$8,0))</f>
        <v>42500</v>
      </c>
      <c r="BY511" s="15" t="n">
        <f aca="false">MIN(Piano_SS!$C$9,(BY510)+IF(AND(Motore_Operativo!C511&gt;=EDATE(Parametri_v3!$C$24,Ipotesi!K14*12),Motore_Operativo!C511&lt;EDATE(Parametri_v3!$C$24,Parametri_v3!$C$25+Ipotesi!K14*12)),MAX(0,((IF(27-(INT((Ipotesi!$C$91)/30))&lt;1,0,INDEX(Motore_Operativo!$BQ$485:$BQ$544,MAX(1,27-(INT((Ipotesi!$C$91)/30)))))*(1-(MOD((Ipotesi!$C$91),30)/30))+IF(27-(INT((Ipotesi!$C$91)/30))-1&lt;1,0,INDEX(Motore_Operativo!$BQ$485:$BQ$544,MAX(1,27-(INT((Ipotesi!$C$91)/30))-1)))*(MOD((Ipotesi!$C$91),30)/30))+(IF(27-(INT((Ipotesi!$C$91)/30))&lt;1,0,INDEX(Motore_Operativo!$BR$485:$BR$544,MAX(1,27-(INT((Ipotesi!$C$91)/30)))))*(1-(MOD((Ipotesi!$C$91),30)/30))+IF(27-(INT((Ipotesi!$C$91)/30))-1&lt;1,0,INDEX(Motore_Operativo!$BR$485:$BR$544,MAX(1,27-(INT((Ipotesi!$C$91)/30))-1)))*(MOD((Ipotesi!$C$91),30)/30))))*Piano_SS!$D$9,0))</f>
        <v>40000</v>
      </c>
      <c r="BZ511" s="15" t="n">
        <f aca="false">MIN(Piano_SS!$C$10,(BZ510)+IF(AND(Motore_Operativo!C511&gt;=EDATE(Parametri_v3!$C$24,Ipotesi!K14*12),Motore_Operativo!C511&lt;EDATE(Parametri_v3!$C$24,Parametri_v3!$C$25+Ipotesi!K14*12)),MAX(0,(IF(27-(INT((Ipotesi!$C$91)/30))&lt;1,0,INDEX(Motore_Operativo!$BO$485:$BO$544,MAX(1,27-(INT((Ipotesi!$C$91)/30)))))*(1-(MOD((Ipotesi!$C$91),30)/30))+IF(27-(INT((Ipotesi!$C$91)/30))-1&lt;1,0,INDEX(Motore_Operativo!$BO$485:$BO$544,MAX(1,27-(INT((Ipotesi!$C$91)/30))-1)))*(MOD((Ipotesi!$C$91),30)/30)))*Piano_SS!$D$10,0))</f>
        <v>30000</v>
      </c>
      <c r="CA511" s="15" t="n">
        <f aca="false">SUM(BV511:BZ511)</f>
        <v>395346.941570977</v>
      </c>
      <c r="CB511" s="15" t="n">
        <f aca="false">BV511*(1-Piano_SS!$E$6)+BW511*(1-Piano_SS!$E$7)+BX511*(1-Piano_SS!$E$8)+BY511*(1-Piano_SS!$E$9)+BZ511*(1-Piano_SS!$E$10)</f>
        <v>365346.941570977</v>
      </c>
      <c r="CC511" s="15" t="n">
        <f aca="false">(CC510)+BA511</f>
        <v>0</v>
      </c>
      <c r="CD511" s="15" t="n">
        <f aca="false">IF(CA511=0,0,CC511*CB511/CA511*Ipotesi!$C$103*Parametri_v3!$C$64)</f>
        <v>0</v>
      </c>
      <c r="CE511" s="18" t="n">
        <f aca="false">IF(BA511&gt;0,Motore_Operativo!C511,(CE510))</f>
        <v>0</v>
      </c>
      <c r="CF511" s="18" t="n">
        <f aca="false">IF(AND(CC511&gt;0,OR(CC511&gt;=CG511-0.01,Motore_Operativo!C511&gt;=EDATE(MAX(Finanziamenti!$D$15:$D$17),Ipotesi!K14*12))),CE511,0)</f>
        <v>0</v>
      </c>
      <c r="CG511" s="15" t="n">
        <f aca="false">IF(AND(9&lt;&gt;6,9&lt;&gt;9,Finanziamenti!$F$11=1,OR(Parametri_v3!$C$6=0,Finanziamenti!$E$11=1)),MIN(Finanziamenti!$C$11,Piano_SS!$C$12*Ipotesi!$C$102),0)</f>
        <v>0</v>
      </c>
      <c r="CH511" s="15" t="n">
        <f aca="false">IF(AND(AND(9&lt;&gt;8,9&lt;&gt;9,Finanziamenti!$F$10=1,OR(Parametri_v3!$C$6=0,Finanziamenti!$E$10=1)),Motore_Operativo!C511&gt;=Finanziamenti!$D$10,Motore_Operativo!C511&lt;Parametri_v3!$C$63),Finanziamenti!$C$10,0)</f>
        <v>0</v>
      </c>
    </row>
    <row r="512" customFormat="false" ht="18" hidden="false" customHeight="true" outlineLevel="0" collapsed="false">
      <c r="A512" s="68" t="n">
        <f aca="false">9</f>
        <v>9</v>
      </c>
      <c r="B512" s="68" t="n">
        <f aca="false">28</f>
        <v>28</v>
      </c>
      <c r="C512" s="18" t="n">
        <f aca="false">Motore_Operativo!C512</f>
        <v>47209</v>
      </c>
      <c r="D512" s="68" t="n">
        <f aca="false">Motore_Operativo!D512</f>
        <v>2029</v>
      </c>
      <c r="E512" s="68" t="n">
        <f aca="false">Motore_Operativo!E512</f>
        <v>4</v>
      </c>
      <c r="F512" s="15" t="n">
        <f aca="false">Motore_Operativo!AQ512+Motore_Operativo!BF512</f>
        <v>59945.7332669554</v>
      </c>
      <c r="G512" s="15" t="n">
        <f aca="false">Motore_Operativo!BH512</f>
        <v>6050</v>
      </c>
      <c r="H512" s="15" t="n">
        <f aca="false">Motore_Operativo!BI512</f>
        <v>65995.7332669555</v>
      </c>
      <c r="I512" s="15" t="n">
        <f aca="false">Motore_Operativo!CA512</f>
        <v>115726.735990707</v>
      </c>
      <c r="J512" s="15" t="n">
        <f aca="false">Motore_Operativo!CC512</f>
        <v>-49731.0027237517</v>
      </c>
      <c r="K512" s="15" t="n">
        <f aca="false">Motore_Operativo!CE512</f>
        <v>2500</v>
      </c>
      <c r="L512" s="15" t="n">
        <f aca="false">SUM(INDEX($K$485:$K$544,MAX(1,28-Parametri_v3!$C$59+1)):K512)/Parametri_v3!$C$59</f>
        <v>1527.77777777778</v>
      </c>
      <c r="M512" s="15" t="n">
        <f aca="false">J512-L512</f>
        <v>-51258.7805015294</v>
      </c>
      <c r="N512" s="15" t="n">
        <f aca="false">CD512-(CD511)</f>
        <v>0</v>
      </c>
      <c r="O512" s="15" t="n">
        <f aca="false">(BG511)*Ipotesi!$C$110/12+CH512*Parametri_v3!$C$39/12</f>
        <v>0</v>
      </c>
      <c r="P512" s="15" t="n">
        <f aca="false">M512+N512-O512</f>
        <v>-51258.7805015294</v>
      </c>
      <c r="Q512" s="15" t="n">
        <f aca="false">SUM(P509:P512)+Parametri_v3!$C$54*4/12</f>
        <v>-210636.213164782</v>
      </c>
      <c r="R512" s="15" t="n">
        <f aca="false">Z508</f>
        <v>559322.467328716</v>
      </c>
      <c r="S512" s="15" t="n">
        <f aca="false">AA508</f>
        <v>0</v>
      </c>
      <c r="T512" s="15" t="n">
        <f aca="false">MIN(R512,MAX(0,Q512))</f>
        <v>0</v>
      </c>
      <c r="U512" s="15" t="n">
        <f aca="false">MIN(S512,MAX(0,Q512-T512)*Parametri_v3!$C$42)</f>
        <v>0</v>
      </c>
      <c r="V512" s="15" t="n">
        <f aca="false">MAX(0,Q512-T512-U512)*Ipotesi!$C$92</f>
        <v>0</v>
      </c>
      <c r="W512" s="15" t="n">
        <f aca="false">MAX(0,SUM(M509:M512)+Parametri_v3!$C$55*4/12)*Ipotesi!$C$93</f>
        <v>0</v>
      </c>
      <c r="X512" s="15" t="n">
        <f aca="false">V512+W512-(V511+W511)</f>
        <v>0</v>
      </c>
      <c r="Y512" s="15" t="n">
        <f aca="false">P512-X512</f>
        <v>-51258.7805015294</v>
      </c>
      <c r="Z512" s="15" t="n">
        <f aca="false">R512-T512+IF(AND(Parametri_v3!$C$40=1,D512-YEAR(Parametri_v3!$C$50)&lt;Parametri_v3!$C$41),MAX(0,-Q512),0)</f>
        <v>769958.680493497</v>
      </c>
      <c r="AA512" s="15" t="n">
        <f aca="false">S512-U512+IF(AND(Parametri_v3!$C$40=1,D512-YEAR(Parametri_v3!$C$50)&lt;Parametri_v3!$C$41),0,MAX(0,-Q512))</f>
        <v>0</v>
      </c>
      <c r="AB512" s="15" t="n">
        <f aca="false">F512*(1+Parametri_v3!$C$26)</f>
        <v>73133.7945856856</v>
      </c>
      <c r="AC512" s="15" t="n">
        <f aca="false">(IF(28-(INT((Motore_Operativo!L512)/30))&lt;1,0,INDEX(Motore_Startup!$AB$485:$AB$544,MAX(1,28-(INT((Motore_Operativo!L512)/30)))))*(1-(MOD((Motore_Operativo!L512),30)/30))+IF(28-(INT((Motore_Operativo!L512)/30))-1&lt;1,0,INDEX(Motore_Startup!$AB$485:$AB$544,MAX(1,28-(INT((Motore_Operativo!L512)/30))-1)))*(MOD((Motore_Operativo!L512),30)/30))</f>
        <v>69487.4718890345</v>
      </c>
      <c r="AD512" s="15" t="n">
        <f aca="false">(AD511)+AB512-AC512</f>
        <v>214510.887213123</v>
      </c>
      <c r="AE512" s="15" t="n">
        <f aca="false">Motore_Operativo!BH512*(1+Parametri_v3!$C$26)</f>
        <v>7381</v>
      </c>
      <c r="AF512" s="15" t="n">
        <f aca="false">(IF(28-(INT((Parametri_v3!$C$29)/30))&lt;1,0,INDEX(Motore_Operativo!$BH$485:$BH$544,MAX(1,28-(INT((Parametri_v3!$C$29)/30)))))*(1-(MOD((Parametri_v3!$C$29),30)/30))+IF(28-(INT((Parametri_v3!$C$29)/30))-1&lt;1,0,INDEX(Motore_Operativo!$BH$485:$BH$544,MAX(1,28-(INT((Parametri_v3!$C$29)/30))-1)))*(MOD((Parametri_v3!$C$29),30)/30))*(1+Parametri_v3!$C$26)</f>
        <v>7381</v>
      </c>
      <c r="AG512" s="15" t="n">
        <f aca="false">(AG511)+AE512-AF512</f>
        <v>7381</v>
      </c>
      <c r="AH512" s="15" t="n">
        <f aca="false">(Motore_Operativo!CJ512)*(1+Parametri_v3!$C$27*Parametri_v3!$C$26)</f>
        <v>49204.793287636</v>
      </c>
      <c r="AI512" s="15" t="n">
        <f aca="false">(IF(28-(INT((Ipotesi!$C$91)/30))&lt;1,0,INDEX(Motore_Startup!$AH$485:$AH$544,MAX(1,28-(INT((Ipotesi!$C$91)/30)))))*(1-(MOD((Ipotesi!$C$91),30)/30))+IF(28-(INT((Ipotesi!$C$91)/30))-1&lt;1,0,INDEX(Motore_Startup!$AH$485:$AH$544,MAX(1,28-(INT((Ipotesi!$C$91)/30))-1)))*(MOD((Ipotesi!$C$91),30)/30))</f>
        <v>48817.5031136287</v>
      </c>
      <c r="AJ512" s="15" t="n">
        <f aca="false">(AJ511)+AH512-AI512</f>
        <v>98130.7269823359</v>
      </c>
      <c r="AK512" s="15" t="n">
        <f aca="false">(F512+ Motore_Operativo!BH512-(Motore_Operativo!CJ512)*Parametri_v3!$C$27-Motore_Operativo!CE512)*Parametri_v3!$C$26</f>
        <v>6217.33735513464</v>
      </c>
      <c r="AL512" s="15" t="n">
        <f aca="false">MAX(0,(AM511))</f>
        <v>5892.09625330006</v>
      </c>
      <c r="AM512" s="15" t="n">
        <f aca="false">(AM511)+AK512-AL512</f>
        <v>6217.33735513464</v>
      </c>
      <c r="AN512" s="15" t="n">
        <f aca="false">SUM(X497:X508)</f>
        <v>0</v>
      </c>
      <c r="AO512" s="15" t="n">
        <f aca="false">SUM(AP497:AP508)</f>
        <v>0</v>
      </c>
      <c r="AP512" s="15" t="n">
        <f aca="false">MAX(0,AN512)*IF(4=Parametri_v3!$C$43,Parametri_v3!$C$45,IF(4=Parametri_v3!$C$44,1-Parametri_v3!$C$45,0))</f>
        <v>0</v>
      </c>
      <c r="AQ512" s="15" t="n">
        <f aca="false">MAX(0,AP512+IF(4=Parametri_v3!$C$43,MAX(0,AN512-AO512),0)-MAX(0,-(AR511)))</f>
        <v>0</v>
      </c>
      <c r="AR512" s="15" t="n">
        <f aca="false">(AR511)+X512-AQ512</f>
        <v>0</v>
      </c>
      <c r="AS512" s="15" t="n">
        <f aca="false">Motore_Operativo!AB512-AT512+AU512</f>
        <v>70559.9833333333</v>
      </c>
      <c r="AT512" s="15" t="n">
        <f aca="false">Motore_Operativo!CH512</f>
        <v>3713.68333333333</v>
      </c>
      <c r="AU512" s="15" t="n">
        <f aca="false">MIN(MAX(0,(AV511)+AT512),Parametri_v3!$C$60/12)</f>
        <v>0</v>
      </c>
      <c r="AV512" s="15" t="n">
        <f aca="false">(AV511)+AT512-AU512</f>
        <v>49462.2333333333</v>
      </c>
      <c r="AW512" s="15" t="n">
        <f aca="false">IF(AND(Motore_Operativo!C512=Finanziamenti!$D$6,Finanziamenti!$F$6=1),Finanziamenti!$C$6,0)</f>
        <v>0</v>
      </c>
      <c r="AX512" s="15" t="n">
        <f aca="false">IF(AND(9&lt;&gt;7,9&lt;&gt;9,Finanziamenti!$F$8=1,OR(Parametri_v3!$C$6=0,Finanziamenti!$E$8=1),Motore_Operativo!C512=EDATE(Finanziamenti!$D$8,Ipotesi!K15*12)),Finanziamenti!$C$8*1,0)+IF(AND(9&lt;&gt;7,9&lt;&gt;9,Finanziamenti!$F$9=1,OR(Parametri_v3!$C$6=0,Finanziamenti!$E$9=1),Motore_Operativo!C512=EDATE(Finanziamenti!$D$9,Ipotesi!K15*12)),Finanziamenti!$C$9*Ipotesi!K16,0)</f>
        <v>0</v>
      </c>
      <c r="AY512" s="15" t="n">
        <f aca="false">0</f>
        <v>0</v>
      </c>
      <c r="AZ512" s="15" t="n">
        <f aca="false">Motore_Advisory!AY512*(1-Ipotesi!$C$95)*Ipotesi!$C$96</f>
        <v>0</v>
      </c>
      <c r="BA512" s="15" t="n">
        <f aca="false">MAX(0,MIN(CG512*MIN(1,IF(Motore_Operativo!C512&gt;=EDATE(Finanziamenti!$D$15,Ipotesi!K14*12),Finanziamenti!$C$15,0)+IF(Motore_Operativo!C512&gt;=EDATE(Finanziamenti!$D$16,Ipotesi!K14*12),Finanziamenti!$C$16,0)+IF(Motore_Operativo!C512&gt;=EDATE(Finanziamenti!$D$17,Ipotesi!K14*12),Finanziamenti!$C$17,0)),CA512*Ipotesi!$C$102)-(CC511))</f>
        <v>0</v>
      </c>
      <c r="BB512" s="15" t="n">
        <f aca="false">IF(AND(CF512&gt;0,Motore_Operativo!C512&gt;=IF(CF512=0,0,EDATE(CF512,Parametri_v3!$C$37)),MOD(((D512-YEAR(IF(CF512=0,0,EDATE(CF512,Parametri_v3!$C$37))))*12+E512-MONTH(IF(CF512=0,0,EDATE(CF512,Parametri_v3!$C$37)))),Parametri_v3!$C$38)=0),MIN(MAX(0,(BC511)+BA512-N512),(CC512-CD512)/(Ipotesi!$C$108*12/Parametri_v3!$C$38)),0)</f>
        <v>0</v>
      </c>
      <c r="BC512" s="15" t="n">
        <f aca="false">(BC511)+BA512-N512-BB512</f>
        <v>0</v>
      </c>
      <c r="BD512" s="15" t="n">
        <f aca="false">(BH511)+AC512+AF512-AI512-AS512-K512*(1+Parametri_v3!$C$26)-AL512-AQ512-O512+AW512+AX512+AZ512+BA512-BB512</f>
        <v>-742554.158924705</v>
      </c>
      <c r="BE512" s="15" t="n">
        <f aca="false">MAX(0,MIN(MAX(0,CH512-(BG511)),Parametri_v3!$C$30-BD512))</f>
        <v>0</v>
      </c>
      <c r="BF512" s="15" t="n">
        <f aca="false">IF(Motore_Operativo!C512&gt;=Parametri_v3!$C$63,(BG511),MIN((BG511),MAX(0,BD512-Parametri_v3!$C$30)))</f>
        <v>0</v>
      </c>
      <c r="BG512" s="15" t="n">
        <f aca="false">(BG511)+BE512-BF512</f>
        <v>0</v>
      </c>
      <c r="BH512" s="15" t="n">
        <f aca="false">BD512+BE512-BF512-AY512</f>
        <v>-742554.158924705</v>
      </c>
      <c r="BI512" s="15" t="n">
        <f aca="false">MAX(0,Parametri_v3!$C$30-BH512)</f>
        <v>767554.158924705</v>
      </c>
      <c r="BJ512" s="15" t="n">
        <f aca="false">(BJ511)+K512</f>
        <v>55000</v>
      </c>
      <c r="BK512" s="15" t="n">
        <f aca="false">(BK511)+L512</f>
        <v>20486.1111111111</v>
      </c>
      <c r="BL512" s="15" t="n">
        <f aca="false">BJ512-BK512</f>
        <v>34513.8888888889</v>
      </c>
      <c r="BM512" s="15" t="n">
        <f aca="false">(BM511)+Y512</f>
        <v>-769958.680493497</v>
      </c>
      <c r="BN512" s="15" t="n">
        <f aca="false">(BN511)+AW512+AX512+AZ512</f>
        <v>130000</v>
      </c>
      <c r="BO512" s="15" t="n">
        <f aca="false">(BO511)+AY512</f>
        <v>0</v>
      </c>
      <c r="BP512" s="15" t="n">
        <f aca="false">0</f>
        <v>0</v>
      </c>
      <c r="BQ512" s="15" t="n">
        <f aca="false">BN512+BM512-BO512</f>
        <v>-639958.680493497</v>
      </c>
      <c r="BR512" s="15" t="n">
        <f aca="false">BH512+AD512+BL512+MAX(0,-AM512)+MAX(0,-AR512)+AG512</f>
        <v>-486148.382822693</v>
      </c>
      <c r="BS512" s="15" t="n">
        <f aca="false">AJ512+AV512+MAX(0,AM512)+MAX(0,AR512)+BC512+BG512+BQ512</f>
        <v>-486148.382822693</v>
      </c>
      <c r="BT512" s="15" t="n">
        <f aca="false">BR512-BS512</f>
        <v>0</v>
      </c>
      <c r="BU512" s="15" t="n">
        <f aca="false">BH512-(BD512+BE512-BF512-AY512)</f>
        <v>0</v>
      </c>
      <c r="BV512" s="15" t="n">
        <f aca="false">MIN(Piano_SS!$C$6,(BV511)+IF(AND(Motore_Operativo!C512&gt;=EDATE(Parametri_v3!$C$24,Ipotesi!K14*12),Motore_Operativo!C512&lt;EDATE(Parametri_v3!$C$24,Parametri_v3!$C$25+Ipotesi!K14*12)),MAX(0,(Motore_Operativo!Y512+Motore_Operativo!X512*Parametri_v3!$C$14)*(1-Parametri_v3!$C$32))*Piano_SS!$D$6,0))</f>
        <v>274380.741666667</v>
      </c>
      <c r="BW512" s="15" t="n">
        <f aca="false">MIN(Piano_SS!$C$7,(BW511)+IF(AND(Motore_Operativo!C512&gt;=EDATE(Parametri_v3!$C$24,Ipotesi!K14*12),Motore_Operativo!C512&lt;EDATE(Parametri_v3!$C$24,Parametri_v3!$C$25+Ipotesi!K14*12)),MAX(0,(IF(28-(INT((Ipotesi!$C$91)/30))&lt;1,0,INDEX(Motore_Operativo!$BN$485:$BN$544,MAX(1,28-(INT((Ipotesi!$C$91)/30)))))*(1-(MOD((Ipotesi!$C$91),30)/30))+IF(28-(INT((Ipotesi!$C$91)/30))-1&lt;1,0,INDEX(Motore_Operativo!$BN$485:$BN$544,MAX(1,28-(INT((Ipotesi!$C$91)/30))-1)))*(MOD((Ipotesi!$C$91),30)/30)))*Piano_SS!$D$7,0))</f>
        <v>35768.5169498754</v>
      </c>
      <c r="BX512" s="15" t="n">
        <f aca="false">MIN(Piano_SS!$C$8,(BX511)+IF(AND(Motore_Operativo!C512&gt;=EDATE(Parametri_v3!$C$24,Ipotesi!K14*12),Motore_Operativo!C512&lt;EDATE(Parametri_v3!$C$24,Parametri_v3!$C$25+Ipotesi!K14*12)),MAX(0,Motore_Operativo!CE512)*Piano_SS!$D$8,0))</f>
        <v>45000</v>
      </c>
      <c r="BY512" s="15" t="n">
        <f aca="false">MIN(Piano_SS!$C$9,(BY511)+IF(AND(Motore_Operativo!C512&gt;=EDATE(Parametri_v3!$C$24,Ipotesi!K14*12),Motore_Operativo!C512&lt;EDATE(Parametri_v3!$C$24,Parametri_v3!$C$25+Ipotesi!K14*12)),MAX(0,((IF(28-(INT((Ipotesi!$C$91)/30))&lt;1,0,INDEX(Motore_Operativo!$BQ$485:$BQ$544,MAX(1,28-(INT((Ipotesi!$C$91)/30)))))*(1-(MOD((Ipotesi!$C$91),30)/30))+IF(28-(INT((Ipotesi!$C$91)/30))-1&lt;1,0,INDEX(Motore_Operativo!$BQ$485:$BQ$544,MAX(1,28-(INT((Ipotesi!$C$91)/30))-1)))*(MOD((Ipotesi!$C$91),30)/30))+(IF(28-(INT((Ipotesi!$C$91)/30))&lt;1,0,INDEX(Motore_Operativo!$BR$485:$BR$544,MAX(1,28-(INT((Ipotesi!$C$91)/30)))))*(1-(MOD((Ipotesi!$C$91),30)/30))+IF(28-(INT((Ipotesi!$C$91)/30))-1&lt;1,0,INDEX(Motore_Operativo!$BR$485:$BR$544,MAX(1,28-(INT((Ipotesi!$C$91)/30))-1)))*(MOD((Ipotesi!$C$91),30)/30))))*Piano_SS!$D$9,0))</f>
        <v>40000</v>
      </c>
      <c r="BZ512" s="15" t="n">
        <f aca="false">MIN(Piano_SS!$C$10,(BZ511)+IF(AND(Motore_Operativo!C512&gt;=EDATE(Parametri_v3!$C$24,Ipotesi!K14*12),Motore_Operativo!C512&lt;EDATE(Parametri_v3!$C$24,Parametri_v3!$C$25+Ipotesi!K14*12)),MAX(0,(IF(28-(INT((Ipotesi!$C$91)/30))&lt;1,0,INDEX(Motore_Operativo!$BO$485:$BO$544,MAX(1,28-(INT((Ipotesi!$C$91)/30)))))*(1-(MOD((Ipotesi!$C$91),30)/30))+IF(28-(INT((Ipotesi!$C$91)/30))-1&lt;1,0,INDEX(Motore_Operativo!$BO$485:$BO$544,MAX(1,28-(INT((Ipotesi!$C$91)/30))-1)))*(MOD((Ipotesi!$C$91),30)/30)))*Piano_SS!$D$10,0))</f>
        <v>30000</v>
      </c>
      <c r="CA512" s="15" t="n">
        <f aca="false">SUM(BV512:BZ512)</f>
        <v>425149.258616542</v>
      </c>
      <c r="CB512" s="15" t="n">
        <f aca="false">BV512*(1-Piano_SS!$E$6)+BW512*(1-Piano_SS!$E$7)+BX512*(1-Piano_SS!$E$8)+BY512*(1-Piano_SS!$E$9)+BZ512*(1-Piano_SS!$E$10)</f>
        <v>395149.258616542</v>
      </c>
      <c r="CC512" s="15" t="n">
        <f aca="false">(CC511)+BA512</f>
        <v>0</v>
      </c>
      <c r="CD512" s="15" t="n">
        <f aca="false">IF(CA512=0,0,CC512*CB512/CA512*Ipotesi!$C$103*Parametri_v3!$C$64)</f>
        <v>0</v>
      </c>
      <c r="CE512" s="18" t="n">
        <f aca="false">IF(BA512&gt;0,Motore_Operativo!C512,(CE511))</f>
        <v>0</v>
      </c>
      <c r="CF512" s="18" t="n">
        <f aca="false">IF(AND(CC512&gt;0,OR(CC512&gt;=CG512-0.01,Motore_Operativo!C512&gt;=EDATE(MAX(Finanziamenti!$D$15:$D$17),Ipotesi!K14*12))),CE512,0)</f>
        <v>0</v>
      </c>
      <c r="CG512" s="15" t="n">
        <f aca="false">IF(AND(9&lt;&gt;6,9&lt;&gt;9,Finanziamenti!$F$11=1,OR(Parametri_v3!$C$6=0,Finanziamenti!$E$11=1)),MIN(Finanziamenti!$C$11,Piano_SS!$C$12*Ipotesi!$C$102),0)</f>
        <v>0</v>
      </c>
      <c r="CH512" s="15" t="n">
        <f aca="false">IF(AND(AND(9&lt;&gt;8,9&lt;&gt;9,Finanziamenti!$F$10=1,OR(Parametri_v3!$C$6=0,Finanziamenti!$E$10=1)),Motore_Operativo!C512&gt;=Finanziamenti!$D$10,Motore_Operativo!C512&lt;Parametri_v3!$C$63),Finanziamenti!$C$10,0)</f>
        <v>0</v>
      </c>
    </row>
    <row r="513" customFormat="false" ht="18" hidden="false" customHeight="true" outlineLevel="0" collapsed="false">
      <c r="A513" s="68" t="n">
        <f aca="false">9</f>
        <v>9</v>
      </c>
      <c r="B513" s="68" t="n">
        <f aca="false">29</f>
        <v>29</v>
      </c>
      <c r="C513" s="18" t="n">
        <f aca="false">Motore_Operativo!C513</f>
        <v>47239</v>
      </c>
      <c r="D513" s="68" t="n">
        <f aca="false">Motore_Operativo!D513</f>
        <v>2029</v>
      </c>
      <c r="E513" s="68" t="n">
        <f aca="false">Motore_Operativo!E513</f>
        <v>5</v>
      </c>
      <c r="F513" s="15" t="n">
        <f aca="false">Motore_Operativo!AQ513+Motore_Operativo!BF513</f>
        <v>62640.3943614541</v>
      </c>
      <c r="G513" s="15" t="n">
        <f aca="false">Motore_Operativo!BH513</f>
        <v>6050</v>
      </c>
      <c r="H513" s="15" t="n">
        <f aca="false">Motore_Operativo!BI513</f>
        <v>68690.3943614541</v>
      </c>
      <c r="I513" s="15" t="n">
        <f aca="false">Motore_Operativo!CA513</f>
        <v>116103.988543937</v>
      </c>
      <c r="J513" s="15" t="n">
        <f aca="false">Motore_Operativo!CC513</f>
        <v>-47413.5941824828</v>
      </c>
      <c r="K513" s="15" t="n">
        <f aca="false">Motore_Operativo!CE513</f>
        <v>2500</v>
      </c>
      <c r="L513" s="15" t="n">
        <f aca="false">SUM(INDEX($K$485:$K$544,MAX(1,29-Parametri_v3!$C$59+1)):K513)/Parametri_v3!$C$59</f>
        <v>1597.22222222222</v>
      </c>
      <c r="M513" s="15" t="n">
        <f aca="false">J513-L513</f>
        <v>-49010.8164047051</v>
      </c>
      <c r="N513" s="15" t="n">
        <f aca="false">CD513-(CD512)</f>
        <v>0</v>
      </c>
      <c r="O513" s="15" t="n">
        <f aca="false">(BG512)*Ipotesi!$C$110/12+CH513*Parametri_v3!$C$39/12</f>
        <v>0</v>
      </c>
      <c r="P513" s="15" t="n">
        <f aca="false">M513+N513-O513</f>
        <v>-49010.8164047051</v>
      </c>
      <c r="Q513" s="15" t="n">
        <f aca="false">SUM(P509:P513)+Parametri_v3!$C$54*5/12</f>
        <v>-259647.029569487</v>
      </c>
      <c r="R513" s="15" t="n">
        <f aca="false">Z508</f>
        <v>559322.467328716</v>
      </c>
      <c r="S513" s="15" t="n">
        <f aca="false">AA508</f>
        <v>0</v>
      </c>
      <c r="T513" s="15" t="n">
        <f aca="false">MIN(R513,MAX(0,Q513))</f>
        <v>0</v>
      </c>
      <c r="U513" s="15" t="n">
        <f aca="false">MIN(S513,MAX(0,Q513-T513)*Parametri_v3!$C$42)</f>
        <v>0</v>
      </c>
      <c r="V513" s="15" t="n">
        <f aca="false">MAX(0,Q513-T513-U513)*Ipotesi!$C$92</f>
        <v>0</v>
      </c>
      <c r="W513" s="15" t="n">
        <f aca="false">MAX(0,SUM(M509:M513)+Parametri_v3!$C$55*5/12)*Ipotesi!$C$93</f>
        <v>0</v>
      </c>
      <c r="X513" s="15" t="n">
        <f aca="false">V513+W513-(V512+W512)</f>
        <v>0</v>
      </c>
      <c r="Y513" s="15" t="n">
        <f aca="false">P513-X513</f>
        <v>-49010.8164047051</v>
      </c>
      <c r="Z513" s="15" t="n">
        <f aca="false">R513-T513+IF(AND(Parametri_v3!$C$40=1,D513-YEAR(Parametri_v3!$C$50)&lt;Parametri_v3!$C$41),MAX(0,-Q513),0)</f>
        <v>818969.496898202</v>
      </c>
      <c r="AA513" s="15" t="n">
        <f aca="false">S513-U513+IF(AND(Parametri_v3!$C$40=1,D513-YEAR(Parametri_v3!$C$50)&lt;Parametri_v3!$C$41),0,MAX(0,-Q513))</f>
        <v>0</v>
      </c>
      <c r="AB513" s="15" t="n">
        <f aca="false">F513*(1+Parametri_v3!$C$26)</f>
        <v>76421.281120974</v>
      </c>
      <c r="AC513" s="15" t="n">
        <f aca="false">(IF(29-(INT((Motore_Operativo!L513)/30))&lt;1,0,INDEX(Motore_Startup!$AB$485:$AB$544,MAX(1,29-(INT((Motore_Operativo!L513)/30)))))*(1-(MOD((Motore_Operativo!L513),30)/30))+IF(29-(INT((Motore_Operativo!L513)/30))-1&lt;1,0,INDEX(Motore_Startup!$AB$485:$AB$544,MAX(1,29-(INT((Motore_Operativo!L513)/30))-1)))*(MOD((Motore_Operativo!L513),30)/30))</f>
        <v>70290.52817403</v>
      </c>
      <c r="AD513" s="15" t="n">
        <f aca="false">(AD512)+AB513-AC513</f>
        <v>220641.640160067</v>
      </c>
      <c r="AE513" s="15" t="n">
        <f aca="false">Motore_Operativo!BH513*(1+Parametri_v3!$C$26)</f>
        <v>7381</v>
      </c>
      <c r="AF513" s="15" t="n">
        <f aca="false">(IF(29-(INT((Parametri_v3!$C$29)/30))&lt;1,0,INDEX(Motore_Operativo!$BH$485:$BH$544,MAX(1,29-(INT((Parametri_v3!$C$29)/30)))))*(1-(MOD((Parametri_v3!$C$29),30)/30))+IF(29-(INT((Parametri_v3!$C$29)/30))-1&lt;1,0,INDEX(Motore_Operativo!$BH$485:$BH$544,MAX(1,29-(INT((Parametri_v3!$C$29)/30))-1)))*(MOD((Parametri_v3!$C$29),30)/30))*(1+Parametri_v3!$C$26)</f>
        <v>7381</v>
      </c>
      <c r="AG513" s="15" t="n">
        <f aca="false">(AG512)+AE513-AF513</f>
        <v>7381</v>
      </c>
      <c r="AH513" s="15" t="n">
        <f aca="false">(Motore_Operativo!CJ513)*(1+Parametri_v3!$C$27*Parametri_v3!$C$26)</f>
        <v>49652.5920683198</v>
      </c>
      <c r="AI513" s="15" t="n">
        <f aca="false">(IF(29-(INT((Ipotesi!$C$91)/30))&lt;1,0,INDEX(Motore_Startup!$AH$485:$AH$544,MAX(1,29-(INT((Ipotesi!$C$91)/30)))))*(1-(MOD((Ipotesi!$C$91),30)/30))+IF(29-(INT((Ipotesi!$C$91)/30))-1&lt;1,0,INDEX(Motore_Startup!$AH$485:$AH$544,MAX(1,29-(INT((Ipotesi!$C$91)/30))-1)))*(MOD((Ipotesi!$C$91),30)/30))</f>
        <v>48925.9336946999</v>
      </c>
      <c r="AJ513" s="15" t="n">
        <f aca="false">(AJ512)+AH513-AI513</f>
        <v>98857.3853559558</v>
      </c>
      <c r="AK513" s="15" t="n">
        <f aca="false">(F513+ Motore_Operativo!BH513-(Motore_Operativo!CJ513)*Parametri_v3!$C$27-Motore_Operativo!CE513)*Parametri_v3!$C$26</f>
        <v>6739.61656847036</v>
      </c>
      <c r="AL513" s="15" t="n">
        <f aca="false">MAX(0,(AM512))</f>
        <v>6217.33735513464</v>
      </c>
      <c r="AM513" s="15" t="n">
        <f aca="false">(AM512)+AK513-AL513</f>
        <v>6739.61656847036</v>
      </c>
      <c r="AN513" s="15" t="n">
        <f aca="false">SUM(X497:X508)</f>
        <v>0</v>
      </c>
      <c r="AO513" s="15" t="n">
        <f aca="false">SUM(AP497:AP508)</f>
        <v>0</v>
      </c>
      <c r="AP513" s="15" t="n">
        <f aca="false">MAX(0,AN513)*IF(5=Parametri_v3!$C$43,Parametri_v3!$C$45,IF(5=Parametri_v3!$C$44,1-Parametri_v3!$C$45,0))</f>
        <v>0</v>
      </c>
      <c r="AQ513" s="15" t="n">
        <f aca="false">MAX(0,AP513+IF(5=Parametri_v3!$C$43,MAX(0,AN513-AO513),0)-MAX(0,-(AR512)))</f>
        <v>0</v>
      </c>
      <c r="AR513" s="15" t="n">
        <f aca="false">(AR512)+X513-AQ513</f>
        <v>0</v>
      </c>
      <c r="AS513" s="15" t="n">
        <f aca="false">Motore_Operativo!AB513-AT513+AU513</f>
        <v>70559.9833333333</v>
      </c>
      <c r="AT513" s="15" t="n">
        <f aca="false">Motore_Operativo!CH513</f>
        <v>3713.68333333333</v>
      </c>
      <c r="AU513" s="15" t="n">
        <f aca="false">MIN(MAX(0,(AV512)+AT513),Parametri_v3!$C$60/12)</f>
        <v>0</v>
      </c>
      <c r="AV513" s="15" t="n">
        <f aca="false">(AV512)+AT513-AU513</f>
        <v>53175.9166666667</v>
      </c>
      <c r="AW513" s="15" t="n">
        <f aca="false">IF(AND(Motore_Operativo!C513=Finanziamenti!$D$6,Finanziamenti!$F$6=1),Finanziamenti!$C$6,0)</f>
        <v>0</v>
      </c>
      <c r="AX513" s="15" t="n">
        <f aca="false">IF(AND(9&lt;&gt;7,9&lt;&gt;9,Finanziamenti!$F$8=1,OR(Parametri_v3!$C$6=0,Finanziamenti!$E$8=1),Motore_Operativo!C513=EDATE(Finanziamenti!$D$8,Ipotesi!K15*12)),Finanziamenti!$C$8*1,0)+IF(AND(9&lt;&gt;7,9&lt;&gt;9,Finanziamenti!$F$9=1,OR(Parametri_v3!$C$6=0,Finanziamenti!$E$9=1),Motore_Operativo!C513=EDATE(Finanziamenti!$D$9,Ipotesi!K15*12)),Finanziamenti!$C$9*Ipotesi!K16,0)</f>
        <v>0</v>
      </c>
      <c r="AY513" s="15" t="n">
        <f aca="false">0</f>
        <v>0</v>
      </c>
      <c r="AZ513" s="15" t="n">
        <f aca="false">Motore_Advisory!AY513*(1-Ipotesi!$C$95)*Ipotesi!$C$96</f>
        <v>0</v>
      </c>
      <c r="BA513" s="15" t="n">
        <f aca="false">MAX(0,MIN(CG513*MIN(1,IF(Motore_Operativo!C513&gt;=EDATE(Finanziamenti!$D$15,Ipotesi!K14*12),Finanziamenti!$C$15,0)+IF(Motore_Operativo!C513&gt;=EDATE(Finanziamenti!$D$16,Ipotesi!K14*12),Finanziamenti!$C$16,0)+IF(Motore_Operativo!C513&gt;=EDATE(Finanziamenti!$D$17,Ipotesi!K14*12),Finanziamenti!$C$17,0)),CA513*Ipotesi!$C$102)-(CC512))</f>
        <v>0</v>
      </c>
      <c r="BB513" s="15" t="n">
        <f aca="false">IF(AND(CF513&gt;0,Motore_Operativo!C513&gt;=IF(CF513=0,0,EDATE(CF513,Parametri_v3!$C$37)),MOD(((D513-YEAR(IF(CF513=0,0,EDATE(CF513,Parametri_v3!$C$37))))*12+E513-MONTH(IF(CF513=0,0,EDATE(CF513,Parametri_v3!$C$37)))),Parametri_v3!$C$38)=0),MIN(MAX(0,(BC512)+BA513-N513),(CC513-CD513)/(Ipotesi!$C$108*12/Parametri_v3!$C$38)),0)</f>
        <v>0</v>
      </c>
      <c r="BC513" s="15" t="n">
        <f aca="false">(BC512)+BA513-N513-BB513</f>
        <v>0</v>
      </c>
      <c r="BD513" s="15" t="n">
        <f aca="false">(BH512)+AC513+AF513-AI513-AS513-K513*(1+Parametri_v3!$C$26)-AL513-AQ513-O513+AW513+AX513+AZ513+BA513-BB513</f>
        <v>-793635.885133843</v>
      </c>
      <c r="BE513" s="15" t="n">
        <f aca="false">MAX(0,MIN(MAX(0,CH513-(BG512)),Parametri_v3!$C$30-BD513))</f>
        <v>0</v>
      </c>
      <c r="BF513" s="15" t="n">
        <f aca="false">IF(Motore_Operativo!C513&gt;=Parametri_v3!$C$63,(BG512),MIN((BG512),MAX(0,BD513-Parametri_v3!$C$30)))</f>
        <v>0</v>
      </c>
      <c r="BG513" s="15" t="n">
        <f aca="false">(BG512)+BE513-BF513</f>
        <v>0</v>
      </c>
      <c r="BH513" s="15" t="n">
        <f aca="false">BD513+BE513-BF513-AY513</f>
        <v>-793635.885133843</v>
      </c>
      <c r="BI513" s="15" t="n">
        <f aca="false">MAX(0,Parametri_v3!$C$30-BH513)</f>
        <v>818635.885133843</v>
      </c>
      <c r="BJ513" s="15" t="n">
        <f aca="false">(BJ512)+K513</f>
        <v>57500</v>
      </c>
      <c r="BK513" s="15" t="n">
        <f aca="false">(BK512)+L513</f>
        <v>22083.3333333333</v>
      </c>
      <c r="BL513" s="15" t="n">
        <f aca="false">BJ513-BK513</f>
        <v>35416.6666666667</v>
      </c>
      <c r="BM513" s="15" t="n">
        <f aca="false">(BM512)+Y513</f>
        <v>-818969.496898202</v>
      </c>
      <c r="BN513" s="15" t="n">
        <f aca="false">(BN512)+AW513+AX513+AZ513</f>
        <v>130000</v>
      </c>
      <c r="BO513" s="15" t="n">
        <f aca="false">(BO512)+AY513</f>
        <v>0</v>
      </c>
      <c r="BP513" s="15" t="n">
        <f aca="false">0</f>
        <v>0</v>
      </c>
      <c r="BQ513" s="15" t="n">
        <f aca="false">BN513+BM513-BO513</f>
        <v>-688969.496898202</v>
      </c>
      <c r="BR513" s="15" t="n">
        <f aca="false">BH513+AD513+BL513+MAX(0,-AM513)+MAX(0,-AR513)+AG513</f>
        <v>-530196.57830711</v>
      </c>
      <c r="BS513" s="15" t="n">
        <f aca="false">AJ513+AV513+MAX(0,AM513)+MAX(0,AR513)+BC513+BG513+BQ513</f>
        <v>-530196.57830711</v>
      </c>
      <c r="BT513" s="15" t="n">
        <f aca="false">BR513-BS513</f>
        <v>0</v>
      </c>
      <c r="BU513" s="15" t="n">
        <f aca="false">BH513-(BD513+BE513-BF513-AY513)</f>
        <v>0</v>
      </c>
      <c r="BV513" s="15" t="n">
        <f aca="false">MIN(Piano_SS!$C$6,(BV512)+IF(AND(Motore_Operativo!C513&gt;=EDATE(Parametri_v3!$C$24,Ipotesi!K14*12),Motore_Operativo!C513&lt;EDATE(Parametri_v3!$C$24,Parametri_v3!$C$25+Ipotesi!K14*12)),MAX(0,(Motore_Operativo!Y513+Motore_Operativo!X513*Parametri_v3!$C$14)*(1-Parametri_v3!$C$32))*Piano_SS!$D$6,0))</f>
        <v>299157.177083333</v>
      </c>
      <c r="BW513" s="15" t="n">
        <f aca="false">MIN(Piano_SS!$C$7,(BW512)+IF(AND(Motore_Operativo!C513&gt;=EDATE(Parametri_v3!$C$24,Ipotesi!K14*12),Motore_Operativo!C513&lt;EDATE(Parametri_v3!$C$24,Parametri_v3!$C$25+Ipotesi!K14*12)),MAX(0,(IF(29-(INT((Ipotesi!$C$91)/30))&lt;1,0,INDEX(Motore_Operativo!$BN$485:$BN$544,MAX(1,29-(INT((Ipotesi!$C$91)/30)))))*(1-(MOD((Ipotesi!$C$91),30)/30))+IF(29-(INT((Ipotesi!$C$91)/30))-1&lt;1,0,INDEX(Motore_Operativo!$BN$485:$BN$544,MAX(1,29-(INT((Ipotesi!$C$91)/30))-1)))*(MOD((Ipotesi!$C$91),30)/30)))*Piano_SS!$D$7,0))</f>
        <v>38346.5976790606</v>
      </c>
      <c r="BX513" s="15" t="n">
        <f aca="false">MIN(Piano_SS!$C$8,(BX512)+IF(AND(Motore_Operativo!C513&gt;=EDATE(Parametri_v3!$C$24,Ipotesi!K14*12),Motore_Operativo!C513&lt;EDATE(Parametri_v3!$C$24,Parametri_v3!$C$25+Ipotesi!K14*12)),MAX(0,Motore_Operativo!CE513)*Piano_SS!$D$8,0))</f>
        <v>47500</v>
      </c>
      <c r="BY513" s="15" t="n">
        <f aca="false">MIN(Piano_SS!$C$9,(BY512)+IF(AND(Motore_Operativo!C513&gt;=EDATE(Parametri_v3!$C$24,Ipotesi!K14*12),Motore_Operativo!C513&lt;EDATE(Parametri_v3!$C$24,Parametri_v3!$C$25+Ipotesi!K14*12)),MAX(0,((IF(29-(INT((Ipotesi!$C$91)/30))&lt;1,0,INDEX(Motore_Operativo!$BQ$485:$BQ$544,MAX(1,29-(INT((Ipotesi!$C$91)/30)))))*(1-(MOD((Ipotesi!$C$91),30)/30))+IF(29-(INT((Ipotesi!$C$91)/30))-1&lt;1,0,INDEX(Motore_Operativo!$BQ$485:$BQ$544,MAX(1,29-(INT((Ipotesi!$C$91)/30))-1)))*(MOD((Ipotesi!$C$91),30)/30))+(IF(29-(INT((Ipotesi!$C$91)/30))&lt;1,0,INDEX(Motore_Operativo!$BR$485:$BR$544,MAX(1,29-(INT((Ipotesi!$C$91)/30)))))*(1-(MOD((Ipotesi!$C$91),30)/30))+IF(29-(INT((Ipotesi!$C$91)/30))-1&lt;1,0,INDEX(Motore_Operativo!$BR$485:$BR$544,MAX(1,29-(INT((Ipotesi!$C$91)/30))-1)))*(MOD((Ipotesi!$C$91),30)/30))))*Piano_SS!$D$9,0))</f>
        <v>40000</v>
      </c>
      <c r="BZ513" s="15" t="n">
        <f aca="false">MIN(Piano_SS!$C$10,(BZ512)+IF(AND(Motore_Operativo!C513&gt;=EDATE(Parametri_v3!$C$24,Ipotesi!K14*12),Motore_Operativo!C513&lt;EDATE(Parametri_v3!$C$24,Parametri_v3!$C$25+Ipotesi!K14*12)),MAX(0,(IF(29-(INT((Ipotesi!$C$91)/30))&lt;1,0,INDEX(Motore_Operativo!$BO$485:$BO$544,MAX(1,29-(INT((Ipotesi!$C$91)/30)))))*(1-(MOD((Ipotesi!$C$91),30)/30))+IF(29-(INT((Ipotesi!$C$91)/30))-1&lt;1,0,INDEX(Motore_Operativo!$BO$485:$BO$544,MAX(1,29-(INT((Ipotesi!$C$91)/30))-1)))*(MOD((Ipotesi!$C$91),30)/30)))*Piano_SS!$D$10,0))</f>
        <v>30000</v>
      </c>
      <c r="CA513" s="15" t="n">
        <f aca="false">SUM(BV513:BZ513)</f>
        <v>455003.774762394</v>
      </c>
      <c r="CB513" s="15" t="n">
        <f aca="false">BV513*(1-Piano_SS!$E$6)+BW513*(1-Piano_SS!$E$7)+BX513*(1-Piano_SS!$E$8)+BY513*(1-Piano_SS!$E$9)+BZ513*(1-Piano_SS!$E$10)</f>
        <v>425003.774762394</v>
      </c>
      <c r="CC513" s="15" t="n">
        <f aca="false">(CC512)+BA513</f>
        <v>0</v>
      </c>
      <c r="CD513" s="15" t="n">
        <f aca="false">IF(CA513=0,0,CC513*CB513/CA513*Ipotesi!$C$103*Parametri_v3!$C$64)</f>
        <v>0</v>
      </c>
      <c r="CE513" s="18" t="n">
        <f aca="false">IF(BA513&gt;0,Motore_Operativo!C513,(CE512))</f>
        <v>0</v>
      </c>
      <c r="CF513" s="18" t="n">
        <f aca="false">IF(AND(CC513&gt;0,OR(CC513&gt;=CG513-0.01,Motore_Operativo!C513&gt;=EDATE(MAX(Finanziamenti!$D$15:$D$17),Ipotesi!K14*12))),CE513,0)</f>
        <v>0</v>
      </c>
      <c r="CG513" s="15" t="n">
        <f aca="false">IF(AND(9&lt;&gt;6,9&lt;&gt;9,Finanziamenti!$F$11=1,OR(Parametri_v3!$C$6=0,Finanziamenti!$E$11=1)),MIN(Finanziamenti!$C$11,Piano_SS!$C$12*Ipotesi!$C$102),0)</f>
        <v>0</v>
      </c>
      <c r="CH513" s="15" t="n">
        <f aca="false">IF(AND(AND(9&lt;&gt;8,9&lt;&gt;9,Finanziamenti!$F$10=1,OR(Parametri_v3!$C$6=0,Finanziamenti!$E$10=1)),Motore_Operativo!C513&gt;=Finanziamenti!$D$10,Motore_Operativo!C513&lt;Parametri_v3!$C$63),Finanziamenti!$C$10,0)</f>
        <v>0</v>
      </c>
    </row>
    <row r="514" customFormat="false" ht="18" hidden="false" customHeight="true" outlineLevel="0" collapsed="false">
      <c r="A514" s="68" t="n">
        <f aca="false">9</f>
        <v>9</v>
      </c>
      <c r="B514" s="68" t="n">
        <f aca="false">30</f>
        <v>30</v>
      </c>
      <c r="C514" s="18" t="n">
        <f aca="false">Motore_Operativo!C514</f>
        <v>47270</v>
      </c>
      <c r="D514" s="68" t="n">
        <f aca="false">Motore_Operativo!D514</f>
        <v>2029</v>
      </c>
      <c r="E514" s="68" t="n">
        <f aca="false">Motore_Operativo!E514</f>
        <v>6</v>
      </c>
      <c r="F514" s="15" t="n">
        <f aca="false">Motore_Operativo!AQ514+Motore_Operativo!BF514</f>
        <v>65311.4997770098</v>
      </c>
      <c r="G514" s="15" t="n">
        <f aca="false">Motore_Operativo!BH514</f>
        <v>6050</v>
      </c>
      <c r="H514" s="15" t="n">
        <f aca="false">Motore_Operativo!BI514</f>
        <v>71361.4997770098</v>
      </c>
      <c r="I514" s="15" t="n">
        <f aca="false">Motore_Operativo!CA514</f>
        <v>116477.943302115</v>
      </c>
      <c r="J514" s="15" t="n">
        <f aca="false">Motore_Operativo!CC514</f>
        <v>-45116.4435251049</v>
      </c>
      <c r="K514" s="15" t="n">
        <f aca="false">Motore_Operativo!CE514</f>
        <v>2500</v>
      </c>
      <c r="L514" s="15" t="n">
        <f aca="false">SUM(INDEX($K$485:$K$544,MAX(1,30-Parametri_v3!$C$59+1)):K514)/Parametri_v3!$C$59</f>
        <v>1666.66666666667</v>
      </c>
      <c r="M514" s="15" t="n">
        <f aca="false">J514-L514</f>
        <v>-46783.1101917716</v>
      </c>
      <c r="N514" s="15" t="n">
        <f aca="false">CD514-(CD513)</f>
        <v>0</v>
      </c>
      <c r="O514" s="15" t="n">
        <f aca="false">(BG513)*Ipotesi!$C$110/12+CH514*Parametri_v3!$C$39/12</f>
        <v>0</v>
      </c>
      <c r="P514" s="15" t="n">
        <f aca="false">M514+N514-O514</f>
        <v>-46783.1101917716</v>
      </c>
      <c r="Q514" s="15" t="n">
        <f aca="false">SUM(P509:P514)+Parametri_v3!$C$54*6/12</f>
        <v>-306430.139761258</v>
      </c>
      <c r="R514" s="15" t="n">
        <f aca="false">Z508</f>
        <v>559322.467328716</v>
      </c>
      <c r="S514" s="15" t="n">
        <f aca="false">AA508</f>
        <v>0</v>
      </c>
      <c r="T514" s="15" t="n">
        <f aca="false">MIN(R514,MAX(0,Q514))</f>
        <v>0</v>
      </c>
      <c r="U514" s="15" t="n">
        <f aca="false">MIN(S514,MAX(0,Q514-T514)*Parametri_v3!$C$42)</f>
        <v>0</v>
      </c>
      <c r="V514" s="15" t="n">
        <f aca="false">MAX(0,Q514-T514-U514)*Ipotesi!$C$92</f>
        <v>0</v>
      </c>
      <c r="W514" s="15" t="n">
        <f aca="false">MAX(0,SUM(M509:M514)+Parametri_v3!$C$55*6/12)*Ipotesi!$C$93</f>
        <v>0</v>
      </c>
      <c r="X514" s="15" t="n">
        <f aca="false">V514+W514-(V513+W513)</f>
        <v>0</v>
      </c>
      <c r="Y514" s="15" t="n">
        <f aca="false">P514-X514</f>
        <v>-46783.1101917716</v>
      </c>
      <c r="Z514" s="15" t="n">
        <f aca="false">R514-T514+IF(AND(Parametri_v3!$C$40=1,D514-YEAR(Parametri_v3!$C$50)&lt;Parametri_v3!$C$41),MAX(0,-Q514),0)</f>
        <v>865752.607089974</v>
      </c>
      <c r="AA514" s="15" t="n">
        <f aca="false">S514-U514+IF(AND(Parametri_v3!$C$40=1,D514-YEAR(Parametri_v3!$C$50)&lt;Parametri_v3!$C$41),0,MAX(0,-Q514))</f>
        <v>0</v>
      </c>
      <c r="AB514" s="15" t="n">
        <f aca="false">F514*(1+Parametri_v3!$C$26)</f>
        <v>79680.029727952</v>
      </c>
      <c r="AC514" s="15" t="n">
        <f aca="false">(IF(30-(INT((Motore_Operativo!L514)/30))&lt;1,0,INDEX(Motore_Startup!$AB$485:$AB$544,MAX(1,30-(INT((Motore_Operativo!L514)/30)))))*(1-(MOD((Motore_Operativo!L514),30)/30))+IF(30-(INT((Motore_Operativo!L514)/30))-1&lt;1,0,INDEX(Motore_Startup!$AB$485:$AB$544,MAX(1,30-(INT((Motore_Operativo!L514)/30))-1)))*(MOD((Motore_Operativo!L514),30)/30))</f>
        <v>71086.5644534073</v>
      </c>
      <c r="AD514" s="15" t="n">
        <f aca="false">(AD513)+AB514-AC514</f>
        <v>229235.105434612</v>
      </c>
      <c r="AE514" s="15" t="n">
        <f aca="false">Motore_Operativo!BH514*(1+Parametri_v3!$C$26)</f>
        <v>7381</v>
      </c>
      <c r="AF514" s="15" t="n">
        <f aca="false">(IF(30-(INT((Parametri_v3!$C$29)/30))&lt;1,0,INDEX(Motore_Operativo!$BH$485:$BH$544,MAX(1,30-(INT((Parametri_v3!$C$29)/30)))))*(1-(MOD((Parametri_v3!$C$29),30)/30))+IF(30-(INT((Parametri_v3!$C$29)/30))-1&lt;1,0,INDEX(Motore_Operativo!$BH$485:$BH$544,MAX(1,30-(INT((Parametri_v3!$C$29)/30))-1)))*(MOD((Parametri_v3!$C$29),30)/30))*(1+Parametri_v3!$C$26)</f>
        <v>7381</v>
      </c>
      <c r="AG514" s="15" t="n">
        <f aca="false">(AG513)+AE514-AF514</f>
        <v>7381</v>
      </c>
      <c r="AH514" s="15" t="n">
        <f aca="false">(Motore_Operativo!CJ514)*(1+Parametri_v3!$C$27*Parametri_v3!$C$26)</f>
        <v>50096.4763662768</v>
      </c>
      <c r="AI514" s="15" t="n">
        <f aca="false">(IF(30-(INT((Ipotesi!$C$91)/30))&lt;1,0,INDEX(Motore_Startup!$AH$485:$AH$544,MAX(1,30-(INT((Ipotesi!$C$91)/30)))))*(1-(MOD((Ipotesi!$C$91),30)/30))+IF(30-(INT((Ipotesi!$C$91)/30))-1&lt;1,0,INDEX(Motore_Startup!$AH$485:$AH$544,MAX(1,30-(INT((Ipotesi!$C$91)/30))-1)))*(MOD((Ipotesi!$C$91),30)/30))</f>
        <v>49204.793287636</v>
      </c>
      <c r="AJ514" s="15" t="n">
        <f aca="false">(AJ513)+AH514-AI514</f>
        <v>99749.0684345966</v>
      </c>
      <c r="AK514" s="15" t="n">
        <f aca="false">(F514+ Motore_Operativo!BH514-(Motore_Operativo!CJ514)*Parametri_v3!$C$27-Motore_Operativo!CE514)*Parametri_v3!$C$26</f>
        <v>7257.33022011338</v>
      </c>
      <c r="AL514" s="15" t="n">
        <f aca="false">MAX(0,(AM513))</f>
        <v>6739.61656847036</v>
      </c>
      <c r="AM514" s="15" t="n">
        <f aca="false">(AM513)+AK514-AL514</f>
        <v>7257.33022011338</v>
      </c>
      <c r="AN514" s="15" t="n">
        <f aca="false">SUM(X497:X508)</f>
        <v>0</v>
      </c>
      <c r="AO514" s="15" t="n">
        <f aca="false">SUM(AP497:AP508)</f>
        <v>0</v>
      </c>
      <c r="AP514" s="15" t="n">
        <f aca="false">MAX(0,AN514)*IF(6=Parametri_v3!$C$43,Parametri_v3!$C$45,IF(6=Parametri_v3!$C$44,1-Parametri_v3!$C$45,0))</f>
        <v>0</v>
      </c>
      <c r="AQ514" s="15" t="n">
        <f aca="false">MAX(0,AP514+IF(6=Parametri_v3!$C$43,MAX(0,AN514-AO514),0)-MAX(0,-(AR513)))</f>
        <v>0</v>
      </c>
      <c r="AR514" s="15" t="n">
        <f aca="false">(AR513)+X514-AQ514</f>
        <v>0</v>
      </c>
      <c r="AS514" s="15" t="n">
        <f aca="false">Motore_Operativo!AB514-AT514+AU514</f>
        <v>70559.9833333333</v>
      </c>
      <c r="AT514" s="15" t="n">
        <f aca="false">Motore_Operativo!CH514</f>
        <v>3713.68333333333</v>
      </c>
      <c r="AU514" s="15" t="n">
        <f aca="false">MIN(MAX(0,(AV513)+AT514),Parametri_v3!$C$60/12)</f>
        <v>0</v>
      </c>
      <c r="AV514" s="15" t="n">
        <f aca="false">(AV513)+AT514-AU514</f>
        <v>56889.6</v>
      </c>
      <c r="AW514" s="15" t="n">
        <f aca="false">IF(AND(Motore_Operativo!C514=Finanziamenti!$D$6,Finanziamenti!$F$6=1),Finanziamenti!$C$6,0)</f>
        <v>0</v>
      </c>
      <c r="AX514" s="15" t="n">
        <f aca="false">IF(AND(9&lt;&gt;7,9&lt;&gt;9,Finanziamenti!$F$8=1,OR(Parametri_v3!$C$6=0,Finanziamenti!$E$8=1),Motore_Operativo!C514=EDATE(Finanziamenti!$D$8,Ipotesi!K15*12)),Finanziamenti!$C$8*1,0)+IF(AND(9&lt;&gt;7,9&lt;&gt;9,Finanziamenti!$F$9=1,OR(Parametri_v3!$C$6=0,Finanziamenti!$E$9=1),Motore_Operativo!C514=EDATE(Finanziamenti!$D$9,Ipotesi!K15*12)),Finanziamenti!$C$9*Ipotesi!K16,0)</f>
        <v>0</v>
      </c>
      <c r="AY514" s="15" t="n">
        <f aca="false">0</f>
        <v>0</v>
      </c>
      <c r="AZ514" s="15" t="n">
        <f aca="false">Motore_Advisory!AY514*(1-Ipotesi!$C$95)*Ipotesi!$C$96</f>
        <v>0</v>
      </c>
      <c r="BA514" s="15" t="n">
        <f aca="false">MAX(0,MIN(CG514*MIN(1,IF(Motore_Operativo!C514&gt;=EDATE(Finanziamenti!$D$15,Ipotesi!K14*12),Finanziamenti!$C$15,0)+IF(Motore_Operativo!C514&gt;=EDATE(Finanziamenti!$D$16,Ipotesi!K14*12),Finanziamenti!$C$16,0)+IF(Motore_Operativo!C514&gt;=EDATE(Finanziamenti!$D$17,Ipotesi!K14*12),Finanziamenti!$C$17,0)),CA514*Ipotesi!$C$102)-(CC513))</f>
        <v>0</v>
      </c>
      <c r="BB514" s="15" t="n">
        <f aca="false">IF(AND(CF514&gt;0,Motore_Operativo!C514&gt;=IF(CF514=0,0,EDATE(CF514,Parametri_v3!$C$37)),MOD(((D514-YEAR(IF(CF514=0,0,EDATE(CF514,Parametri_v3!$C$37))))*12+E514-MONTH(IF(CF514=0,0,EDATE(CF514,Parametri_v3!$C$37)))),Parametri_v3!$C$38)=0),MIN(MAX(0,(BC513)+BA514-N514),(CC514-CD514)/(Ipotesi!$C$108*12/Parametri_v3!$C$38)),0)</f>
        <v>0</v>
      </c>
      <c r="BC514" s="15" t="n">
        <f aca="false">(BC513)+BA514-N514-BB514</f>
        <v>0</v>
      </c>
      <c r="BD514" s="15" t="n">
        <f aca="false">(BH513)+AC514+AF514-AI514-AS514-K514*(1+Parametri_v3!$C$26)-AL514-AQ514-O514+AW514+AX514+AZ514+BA514-BB514</f>
        <v>-844722.713869876</v>
      </c>
      <c r="BE514" s="15" t="n">
        <f aca="false">MAX(0,MIN(MAX(0,CH514-(BG513)),Parametri_v3!$C$30-BD514))</f>
        <v>0</v>
      </c>
      <c r="BF514" s="15" t="n">
        <f aca="false">IF(Motore_Operativo!C514&gt;=Parametri_v3!$C$63,(BG513),MIN((BG513),MAX(0,BD514-Parametri_v3!$C$30)))</f>
        <v>0</v>
      </c>
      <c r="BG514" s="15" t="n">
        <f aca="false">(BG513)+BE514-BF514</f>
        <v>0</v>
      </c>
      <c r="BH514" s="15" t="n">
        <f aca="false">BD514+BE514-BF514-AY514</f>
        <v>-844722.713869876</v>
      </c>
      <c r="BI514" s="15" t="n">
        <f aca="false">MAX(0,Parametri_v3!$C$30-BH514)</f>
        <v>869722.713869876</v>
      </c>
      <c r="BJ514" s="15" t="n">
        <f aca="false">(BJ513)+K514</f>
        <v>60000</v>
      </c>
      <c r="BK514" s="15" t="n">
        <f aca="false">(BK513)+L514</f>
        <v>23750</v>
      </c>
      <c r="BL514" s="15" t="n">
        <f aca="false">BJ514-BK514</f>
        <v>36250</v>
      </c>
      <c r="BM514" s="15" t="n">
        <f aca="false">(BM513)+Y514</f>
        <v>-865752.607089974</v>
      </c>
      <c r="BN514" s="15" t="n">
        <f aca="false">(BN513)+AW514+AX514+AZ514</f>
        <v>130000</v>
      </c>
      <c r="BO514" s="15" t="n">
        <f aca="false">(BO513)+AY514</f>
        <v>0</v>
      </c>
      <c r="BP514" s="15" t="n">
        <f aca="false">0</f>
        <v>0</v>
      </c>
      <c r="BQ514" s="15" t="n">
        <f aca="false">BN514+BM514-BO514</f>
        <v>-735752.607089974</v>
      </c>
      <c r="BR514" s="15" t="n">
        <f aca="false">BH514+AD514+BL514+MAX(0,-AM514)+MAX(0,-AR514)+AG514</f>
        <v>-571856.608435264</v>
      </c>
      <c r="BS514" s="15" t="n">
        <f aca="false">AJ514+AV514+MAX(0,AM514)+MAX(0,AR514)+BC514+BG514+BQ514</f>
        <v>-571856.608435264</v>
      </c>
      <c r="BT514" s="15" t="n">
        <f aca="false">BR514-BS514</f>
        <v>0</v>
      </c>
      <c r="BU514" s="15" t="n">
        <f aca="false">BH514-(BD514+BE514-BF514-AY514)</f>
        <v>0</v>
      </c>
      <c r="BV514" s="15" t="n">
        <f aca="false">MIN(Piano_SS!$C$6,(BV513)+IF(AND(Motore_Operativo!C514&gt;=EDATE(Parametri_v3!$C$24,Ipotesi!K14*12),Motore_Operativo!C514&lt;EDATE(Parametri_v3!$C$24,Parametri_v3!$C$25+Ipotesi!K14*12)),MAX(0,(Motore_Operativo!Y514+Motore_Operativo!X514*Parametri_v3!$C$14)*(1-Parametri_v3!$C$32))*Piano_SS!$D$6,0))</f>
        <v>300000</v>
      </c>
      <c r="BW514" s="15" t="n">
        <f aca="false">MIN(Piano_SS!$C$7,(BW513)+IF(AND(Motore_Operativo!C514&gt;=EDATE(Parametri_v3!$C$24,Ipotesi!K14*12),Motore_Operativo!C514&lt;EDATE(Parametri_v3!$C$24,Parametri_v3!$C$25+Ipotesi!K14*12)),MAX(0,(IF(30-(INT((Ipotesi!$C$91)/30))&lt;1,0,INDEX(Motore_Operativo!$BN$485:$BN$544,MAX(1,30-(INT((Ipotesi!$C$91)/30)))))*(1-(MOD((Ipotesi!$C$91),30)/30))+IF(30-(INT((Ipotesi!$C$91)/30))-1&lt;1,0,INDEX(Motore_Operativo!$BN$485:$BN$544,MAX(1,30-(INT((Ipotesi!$C$91)/30))-1)))*(MOD((Ipotesi!$C$91),30)/30)))*Piano_SS!$D$7,0))</f>
        <v>41058.9230070837</v>
      </c>
      <c r="BX514" s="15" t="n">
        <f aca="false">MIN(Piano_SS!$C$8,(BX513)+IF(AND(Motore_Operativo!C514&gt;=EDATE(Parametri_v3!$C$24,Ipotesi!K14*12),Motore_Operativo!C514&lt;EDATE(Parametri_v3!$C$24,Parametri_v3!$C$25+Ipotesi!K14*12)),MAX(0,Motore_Operativo!CE514)*Piano_SS!$D$8,0))</f>
        <v>50000</v>
      </c>
      <c r="BY514" s="15" t="n">
        <f aca="false">MIN(Piano_SS!$C$9,(BY513)+IF(AND(Motore_Operativo!C514&gt;=EDATE(Parametri_v3!$C$24,Ipotesi!K14*12),Motore_Operativo!C514&lt;EDATE(Parametri_v3!$C$24,Parametri_v3!$C$25+Ipotesi!K14*12)),MAX(0,((IF(30-(INT((Ipotesi!$C$91)/30))&lt;1,0,INDEX(Motore_Operativo!$BQ$485:$BQ$544,MAX(1,30-(INT((Ipotesi!$C$91)/30)))))*(1-(MOD((Ipotesi!$C$91),30)/30))+IF(30-(INT((Ipotesi!$C$91)/30))-1&lt;1,0,INDEX(Motore_Operativo!$BQ$485:$BQ$544,MAX(1,30-(INT((Ipotesi!$C$91)/30))-1)))*(MOD((Ipotesi!$C$91),30)/30))+(IF(30-(INT((Ipotesi!$C$91)/30))&lt;1,0,INDEX(Motore_Operativo!$BR$485:$BR$544,MAX(1,30-(INT((Ipotesi!$C$91)/30)))))*(1-(MOD((Ipotesi!$C$91),30)/30))+IF(30-(INT((Ipotesi!$C$91)/30))-1&lt;1,0,INDEX(Motore_Operativo!$BR$485:$BR$544,MAX(1,30-(INT((Ipotesi!$C$91)/30))-1)))*(MOD((Ipotesi!$C$91),30)/30))))*Piano_SS!$D$9,0))</f>
        <v>40000</v>
      </c>
      <c r="BZ514" s="15" t="n">
        <f aca="false">MIN(Piano_SS!$C$10,(BZ513)+IF(AND(Motore_Operativo!C514&gt;=EDATE(Parametri_v3!$C$24,Ipotesi!K14*12),Motore_Operativo!C514&lt;EDATE(Parametri_v3!$C$24,Parametri_v3!$C$25+Ipotesi!K14*12)),MAX(0,(IF(30-(INT((Ipotesi!$C$91)/30))&lt;1,0,INDEX(Motore_Operativo!$BO$485:$BO$544,MAX(1,30-(INT((Ipotesi!$C$91)/30)))))*(1-(MOD((Ipotesi!$C$91),30)/30))+IF(30-(INT((Ipotesi!$C$91)/30))-1&lt;1,0,INDEX(Motore_Operativo!$BO$485:$BO$544,MAX(1,30-(INT((Ipotesi!$C$91)/30))-1)))*(MOD((Ipotesi!$C$91),30)/30)))*Piano_SS!$D$10,0))</f>
        <v>30000</v>
      </c>
      <c r="CA514" s="15" t="n">
        <f aca="false">SUM(BV514:BZ514)</f>
        <v>461058.923007084</v>
      </c>
      <c r="CB514" s="15" t="n">
        <f aca="false">BV514*(1-Piano_SS!$E$6)+BW514*(1-Piano_SS!$E$7)+BX514*(1-Piano_SS!$E$8)+BY514*(1-Piano_SS!$E$9)+BZ514*(1-Piano_SS!$E$10)</f>
        <v>431058.923007084</v>
      </c>
      <c r="CC514" s="15" t="n">
        <f aca="false">(CC513)+BA514</f>
        <v>0</v>
      </c>
      <c r="CD514" s="15" t="n">
        <f aca="false">IF(CA514=0,0,CC514*CB514/CA514*Ipotesi!$C$103*Parametri_v3!$C$64)</f>
        <v>0</v>
      </c>
      <c r="CE514" s="18" t="n">
        <f aca="false">IF(BA514&gt;0,Motore_Operativo!C514,(CE513))</f>
        <v>0</v>
      </c>
      <c r="CF514" s="18" t="n">
        <f aca="false">IF(AND(CC514&gt;0,OR(CC514&gt;=CG514-0.01,Motore_Operativo!C514&gt;=EDATE(MAX(Finanziamenti!$D$15:$D$17),Ipotesi!K14*12))),CE514,0)</f>
        <v>0</v>
      </c>
      <c r="CG514" s="15" t="n">
        <f aca="false">IF(AND(9&lt;&gt;6,9&lt;&gt;9,Finanziamenti!$F$11=1,OR(Parametri_v3!$C$6=0,Finanziamenti!$E$11=1)),MIN(Finanziamenti!$C$11,Piano_SS!$C$12*Ipotesi!$C$102),0)</f>
        <v>0</v>
      </c>
      <c r="CH514" s="15" t="n">
        <f aca="false">IF(AND(AND(9&lt;&gt;8,9&lt;&gt;9,Finanziamenti!$F$10=1,OR(Parametri_v3!$C$6=0,Finanziamenti!$E$10=1)),Motore_Operativo!C514&gt;=Finanziamenti!$D$10,Motore_Operativo!C514&lt;Parametri_v3!$C$63),Finanziamenti!$C$10,0)</f>
        <v>0</v>
      </c>
    </row>
    <row r="515" customFormat="false" ht="18" hidden="false" customHeight="true" outlineLevel="0" collapsed="false">
      <c r="A515" s="68" t="n">
        <f aca="false">9</f>
        <v>9</v>
      </c>
      <c r="B515" s="68" t="n">
        <f aca="false">31</f>
        <v>31</v>
      </c>
      <c r="C515" s="18" t="n">
        <f aca="false">Motore_Operativo!C515</f>
        <v>47300</v>
      </c>
      <c r="D515" s="68" t="n">
        <f aca="false">Motore_Operativo!D515</f>
        <v>2029</v>
      </c>
      <c r="E515" s="68" t="n">
        <f aca="false">Motore_Operativo!E515</f>
        <v>7</v>
      </c>
      <c r="F515" s="15" t="n">
        <f aca="false">Motore_Operativo!AQ515+Motore_Operativo!BF515</f>
        <v>67959.2554282038</v>
      </c>
      <c r="G515" s="15" t="n">
        <f aca="false">Motore_Operativo!BH515</f>
        <v>6050</v>
      </c>
      <c r="H515" s="15" t="n">
        <f aca="false">Motore_Operativo!BI515</f>
        <v>74009.2554282038</v>
      </c>
      <c r="I515" s="15" t="n">
        <f aca="false">Motore_Operativo!CA515</f>
        <v>116848.629093282</v>
      </c>
      <c r="J515" s="15" t="n">
        <f aca="false">Motore_Operativo!CC515</f>
        <v>-42839.3736650781</v>
      </c>
      <c r="K515" s="15" t="n">
        <f aca="false">Motore_Operativo!CE515</f>
        <v>2500</v>
      </c>
      <c r="L515" s="15" t="n">
        <f aca="false">SUM(INDEX($K$485:$K$544,MAX(1,31-Parametri_v3!$C$59+1)):K515)/Parametri_v3!$C$59</f>
        <v>1736.11111111111</v>
      </c>
      <c r="M515" s="15" t="n">
        <f aca="false">J515-L515</f>
        <v>-44575.4847761892</v>
      </c>
      <c r="N515" s="15" t="n">
        <f aca="false">CD515-(CD514)</f>
        <v>0</v>
      </c>
      <c r="O515" s="15" t="n">
        <f aca="false">(BG514)*Ipotesi!$C$110/12+CH515*Parametri_v3!$C$39/12</f>
        <v>0</v>
      </c>
      <c r="P515" s="15" t="n">
        <f aca="false">M515+N515-O515</f>
        <v>-44575.4847761892</v>
      </c>
      <c r="Q515" s="15" t="n">
        <f aca="false">SUM(P509:P515)+Parametri_v3!$C$54*7/12</f>
        <v>-351005.624537447</v>
      </c>
      <c r="R515" s="15" t="n">
        <f aca="false">Z508</f>
        <v>559322.467328716</v>
      </c>
      <c r="S515" s="15" t="n">
        <f aca="false">AA508</f>
        <v>0</v>
      </c>
      <c r="T515" s="15" t="n">
        <f aca="false">MIN(R515,MAX(0,Q515))</f>
        <v>0</v>
      </c>
      <c r="U515" s="15" t="n">
        <f aca="false">MIN(S515,MAX(0,Q515-T515)*Parametri_v3!$C$42)</f>
        <v>0</v>
      </c>
      <c r="V515" s="15" t="n">
        <f aca="false">MAX(0,Q515-T515-U515)*Ipotesi!$C$92</f>
        <v>0</v>
      </c>
      <c r="W515" s="15" t="n">
        <f aca="false">MAX(0,SUM(M509:M515)+Parametri_v3!$C$55*7/12)*Ipotesi!$C$93</f>
        <v>0</v>
      </c>
      <c r="X515" s="15" t="n">
        <f aca="false">V515+W515-(V514+W514)</f>
        <v>0</v>
      </c>
      <c r="Y515" s="15" t="n">
        <f aca="false">P515-X515</f>
        <v>-44575.4847761892</v>
      </c>
      <c r="Z515" s="15" t="n">
        <f aca="false">R515-T515+IF(AND(Parametri_v3!$C$40=1,D515-YEAR(Parametri_v3!$C$50)&lt;Parametri_v3!$C$41),MAX(0,-Q515),0)</f>
        <v>910328.091866163</v>
      </c>
      <c r="AA515" s="15" t="n">
        <f aca="false">S515-U515+IF(AND(Parametri_v3!$C$40=1,D515-YEAR(Parametri_v3!$C$50)&lt;Parametri_v3!$C$41),0,MAX(0,-Q515))</f>
        <v>0</v>
      </c>
      <c r="AB515" s="15" t="n">
        <f aca="false">F515*(1+Parametri_v3!$C$26)</f>
        <v>82910.2916224086</v>
      </c>
      <c r="AC515" s="15" t="n">
        <f aca="false">(IF(31-(INT((Motore_Operativo!L515)/30))&lt;1,0,INDEX(Motore_Startup!$AB$485:$AB$544,MAX(1,31-(INT((Motore_Operativo!L515)/30)))))*(1-(MOD((Motore_Operativo!L515),30)/30))+IF(31-(INT((Motore_Operativo!L515)/30))-1&lt;1,0,INDEX(Motore_Startup!$AB$485:$AB$544,MAX(1,31-(INT((Motore_Operativo!L515)/30))-1)))*(MOD((Motore_Operativo!L515),30)/30))</f>
        <v>73133.7945856856</v>
      </c>
      <c r="AD515" s="15" t="n">
        <f aca="false">(AD514)+AB515-AC515</f>
        <v>239011.602471335</v>
      </c>
      <c r="AE515" s="15" t="n">
        <f aca="false">Motore_Operativo!BH515*(1+Parametri_v3!$C$26)</f>
        <v>7381</v>
      </c>
      <c r="AF515" s="15" t="n">
        <f aca="false">(IF(31-(INT((Parametri_v3!$C$29)/30))&lt;1,0,INDEX(Motore_Operativo!$BH$485:$BH$544,MAX(1,31-(INT((Parametri_v3!$C$29)/30)))))*(1-(MOD((Parametri_v3!$C$29),30)/30))+IF(31-(INT((Parametri_v3!$C$29)/30))-1&lt;1,0,INDEX(Motore_Operativo!$BH$485:$BH$544,MAX(1,31-(INT((Parametri_v3!$C$29)/30))-1)))*(MOD((Parametri_v3!$C$29),30)/30))*(1+Parametri_v3!$C$26)</f>
        <v>7381</v>
      </c>
      <c r="AG515" s="15" t="n">
        <f aca="false">(AG514)+AE515-AF515</f>
        <v>7381</v>
      </c>
      <c r="AH515" s="15" t="n">
        <f aca="false">(Motore_Operativo!CJ515)*(1+Parametri_v3!$C$27*Parametri_v3!$C$26)</f>
        <v>50536.4804003922</v>
      </c>
      <c r="AI515" s="15" t="n">
        <f aca="false">(IF(31-(INT((Ipotesi!$C$91)/30))&lt;1,0,INDEX(Motore_Startup!$AH$485:$AH$544,MAX(1,31-(INT((Ipotesi!$C$91)/30)))))*(1-(MOD((Ipotesi!$C$91),30)/30))+IF(31-(INT((Ipotesi!$C$91)/30))-1&lt;1,0,INDEX(Motore_Startup!$AH$485:$AH$544,MAX(1,31-(INT((Ipotesi!$C$91)/30))-1)))*(MOD((Ipotesi!$C$91),30)/30))</f>
        <v>49652.5920683198</v>
      </c>
      <c r="AJ515" s="15" t="n">
        <f aca="false">(AJ514)+AH515-AI515</f>
        <v>100632.956766669</v>
      </c>
      <c r="AK515" s="15" t="n">
        <f aca="false">(F515+ Motore_Operativo!BH515-(Motore_Operativo!CJ515)*Parametri_v3!$C$27-Motore_Operativo!CE515)*Parametri_v3!$C$26</f>
        <v>7770.51822042779</v>
      </c>
      <c r="AL515" s="15" t="n">
        <f aca="false">MAX(0,(AM514))</f>
        <v>7257.33022011338</v>
      </c>
      <c r="AM515" s="15" t="n">
        <f aca="false">(AM514)+AK515-AL515</f>
        <v>7770.51822042779</v>
      </c>
      <c r="AN515" s="15" t="n">
        <f aca="false">SUM(X497:X508)</f>
        <v>0</v>
      </c>
      <c r="AO515" s="15" t="n">
        <f aca="false">SUM(AP497:AP508)</f>
        <v>0</v>
      </c>
      <c r="AP515" s="15" t="n">
        <f aca="false">MAX(0,AN515)*IF(7=Parametri_v3!$C$43,Parametri_v3!$C$45,IF(7=Parametri_v3!$C$44,1-Parametri_v3!$C$45,0))</f>
        <v>0</v>
      </c>
      <c r="AQ515" s="15" t="n">
        <f aca="false">MAX(0,AP515+IF(7=Parametri_v3!$C$43,MAX(0,AN515-AO515),0)-MAX(0,-(AR514)))</f>
        <v>0</v>
      </c>
      <c r="AR515" s="15" t="n">
        <f aca="false">(AR514)+X515-AQ515</f>
        <v>0</v>
      </c>
      <c r="AS515" s="15" t="n">
        <f aca="false">Motore_Operativo!AB515-AT515+AU515</f>
        <v>70559.9833333333</v>
      </c>
      <c r="AT515" s="15" t="n">
        <f aca="false">Motore_Operativo!CH515</f>
        <v>3713.68333333333</v>
      </c>
      <c r="AU515" s="15" t="n">
        <f aca="false">MIN(MAX(0,(AV514)+AT515),Parametri_v3!$C$60/12)</f>
        <v>0</v>
      </c>
      <c r="AV515" s="15" t="n">
        <f aca="false">(AV514)+AT515-AU515</f>
        <v>60603.2833333334</v>
      </c>
      <c r="AW515" s="15" t="n">
        <f aca="false">IF(AND(Motore_Operativo!C515=Finanziamenti!$D$6,Finanziamenti!$F$6=1),Finanziamenti!$C$6,0)</f>
        <v>0</v>
      </c>
      <c r="AX515" s="15" t="n">
        <f aca="false">IF(AND(9&lt;&gt;7,9&lt;&gt;9,Finanziamenti!$F$8=1,OR(Parametri_v3!$C$6=0,Finanziamenti!$E$8=1),Motore_Operativo!C515=EDATE(Finanziamenti!$D$8,Ipotesi!K15*12)),Finanziamenti!$C$8*1,0)+IF(AND(9&lt;&gt;7,9&lt;&gt;9,Finanziamenti!$F$9=1,OR(Parametri_v3!$C$6=0,Finanziamenti!$E$9=1),Motore_Operativo!C515=EDATE(Finanziamenti!$D$9,Ipotesi!K15*12)),Finanziamenti!$C$9*Ipotesi!K16,0)</f>
        <v>0</v>
      </c>
      <c r="AY515" s="15" t="n">
        <f aca="false">0</f>
        <v>0</v>
      </c>
      <c r="AZ515" s="15" t="n">
        <f aca="false">Motore_Advisory!AY515*(1-Ipotesi!$C$95)*Ipotesi!$C$96</f>
        <v>0</v>
      </c>
      <c r="BA515" s="15" t="n">
        <f aca="false">MAX(0,MIN(CG515*MIN(1,IF(Motore_Operativo!C515&gt;=EDATE(Finanziamenti!$D$15,Ipotesi!K14*12),Finanziamenti!$C$15,0)+IF(Motore_Operativo!C515&gt;=EDATE(Finanziamenti!$D$16,Ipotesi!K14*12),Finanziamenti!$C$16,0)+IF(Motore_Operativo!C515&gt;=EDATE(Finanziamenti!$D$17,Ipotesi!K14*12),Finanziamenti!$C$17,0)),CA515*Ipotesi!$C$102)-(CC514))</f>
        <v>0</v>
      </c>
      <c r="BB515" s="15" t="n">
        <f aca="false">IF(AND(CF515&gt;0,Motore_Operativo!C515&gt;=IF(CF515=0,0,EDATE(CF515,Parametri_v3!$C$37)),MOD(((D515-YEAR(IF(CF515=0,0,EDATE(CF515,Parametri_v3!$C$37))))*12+E515-MONTH(IF(CF515=0,0,EDATE(CF515,Parametri_v3!$C$37)))),Parametri_v3!$C$38)=0),MIN(MAX(0,(BC514)+BA515-N515),(CC515-CD515)/(Ipotesi!$C$108*12/Parametri_v3!$C$38)),0)</f>
        <v>0</v>
      </c>
      <c r="BC515" s="15" t="n">
        <f aca="false">(BC514)+BA515-N515-BB515</f>
        <v>0</v>
      </c>
      <c r="BD515" s="15" t="n">
        <f aca="false">(BH514)+AC515+AF515-AI515-AS515-K515*(1+Parametri_v3!$C$26)-AL515-AQ515-O515+AW515+AX515+AZ515+BA515-BB515</f>
        <v>-894727.824905957</v>
      </c>
      <c r="BE515" s="15" t="n">
        <f aca="false">MAX(0,MIN(MAX(0,CH515-(BG514)),Parametri_v3!$C$30-BD515))</f>
        <v>0</v>
      </c>
      <c r="BF515" s="15" t="n">
        <f aca="false">IF(Motore_Operativo!C515&gt;=Parametri_v3!$C$63,(BG514),MIN((BG514),MAX(0,BD515-Parametri_v3!$C$30)))</f>
        <v>0</v>
      </c>
      <c r="BG515" s="15" t="n">
        <f aca="false">(BG514)+BE515-BF515</f>
        <v>0</v>
      </c>
      <c r="BH515" s="15" t="n">
        <f aca="false">BD515+BE515-BF515-AY515</f>
        <v>-894727.824905957</v>
      </c>
      <c r="BI515" s="15" t="n">
        <f aca="false">MAX(0,Parametri_v3!$C$30-BH515)</f>
        <v>919727.824905957</v>
      </c>
      <c r="BJ515" s="15" t="n">
        <f aca="false">(BJ514)+K515</f>
        <v>62500</v>
      </c>
      <c r="BK515" s="15" t="n">
        <f aca="false">(BK514)+L515</f>
        <v>25486.1111111111</v>
      </c>
      <c r="BL515" s="15" t="n">
        <f aca="false">BJ515-BK515</f>
        <v>37013.8888888889</v>
      </c>
      <c r="BM515" s="15" t="n">
        <f aca="false">(BM514)+Y515</f>
        <v>-910328.091866163</v>
      </c>
      <c r="BN515" s="15" t="n">
        <f aca="false">(BN514)+AW515+AX515+AZ515</f>
        <v>130000</v>
      </c>
      <c r="BO515" s="15" t="n">
        <f aca="false">(BO514)+AY515</f>
        <v>0</v>
      </c>
      <c r="BP515" s="15" t="n">
        <f aca="false">0</f>
        <v>0</v>
      </c>
      <c r="BQ515" s="15" t="n">
        <f aca="false">BN515+BM515-BO515</f>
        <v>-780328.091866163</v>
      </c>
      <c r="BR515" s="15" t="n">
        <f aca="false">BH515+AD515+BL515+MAX(0,-AM515)+MAX(0,-AR515)+AG515</f>
        <v>-611321.333545733</v>
      </c>
      <c r="BS515" s="15" t="n">
        <f aca="false">AJ515+AV515+MAX(0,AM515)+MAX(0,AR515)+BC515+BG515+BQ515</f>
        <v>-611321.333545733</v>
      </c>
      <c r="BT515" s="15" t="n">
        <f aca="false">BR515-BS515</f>
        <v>0</v>
      </c>
      <c r="BU515" s="15" t="n">
        <f aca="false">BH515-(BD515+BE515-BF515-AY515)</f>
        <v>0</v>
      </c>
      <c r="BV515" s="15" t="n">
        <f aca="false">MIN(Piano_SS!$C$6,(BV514)+IF(AND(Motore_Operativo!C515&gt;=EDATE(Parametri_v3!$C$24,Ipotesi!K14*12),Motore_Operativo!C515&lt;EDATE(Parametri_v3!$C$24,Parametri_v3!$C$25+Ipotesi!K14*12)),MAX(0,(Motore_Operativo!Y515+Motore_Operativo!X515*Parametri_v3!$C$14)*(1-Parametri_v3!$C$32))*Piano_SS!$D$6,0))</f>
        <v>300000</v>
      </c>
      <c r="BW515" s="15" t="n">
        <f aca="false">MIN(Piano_SS!$C$7,(BW514)+IF(AND(Motore_Operativo!C515&gt;=EDATE(Parametri_v3!$C$24,Ipotesi!K14*12),Motore_Operativo!C515&lt;EDATE(Parametri_v3!$C$24,Parametri_v3!$C$25+Ipotesi!K14*12)),MAX(0,(IF(31-(INT((Ipotesi!$C$91)/30))&lt;1,0,INDEX(Motore_Operativo!$BN$485:$BN$544,MAX(1,31-(INT((Ipotesi!$C$91)/30)))))*(1-(MOD((Ipotesi!$C$91),30)/30))+IF(31-(INT((Ipotesi!$C$91)/30))-1&lt;1,0,INDEX(Motore_Operativo!$BN$485:$BN$544,MAX(1,31-(INT((Ipotesi!$C$91)/30))-1)))*(MOD((Ipotesi!$C$91),30)/30)))*Piano_SS!$D$7,0))</f>
        <v>41058.9230070837</v>
      </c>
      <c r="BX515" s="15" t="n">
        <f aca="false">MIN(Piano_SS!$C$8,(BX514)+IF(AND(Motore_Operativo!C515&gt;=EDATE(Parametri_v3!$C$24,Ipotesi!K14*12),Motore_Operativo!C515&lt;EDATE(Parametri_v3!$C$24,Parametri_v3!$C$25+Ipotesi!K14*12)),MAX(0,Motore_Operativo!CE515)*Piano_SS!$D$8,0))</f>
        <v>50000</v>
      </c>
      <c r="BY515" s="15" t="n">
        <f aca="false">MIN(Piano_SS!$C$9,(BY514)+IF(AND(Motore_Operativo!C515&gt;=EDATE(Parametri_v3!$C$24,Ipotesi!K14*12),Motore_Operativo!C515&lt;EDATE(Parametri_v3!$C$24,Parametri_v3!$C$25+Ipotesi!K14*12)),MAX(0,((IF(31-(INT((Ipotesi!$C$91)/30))&lt;1,0,INDEX(Motore_Operativo!$BQ$485:$BQ$544,MAX(1,31-(INT((Ipotesi!$C$91)/30)))))*(1-(MOD((Ipotesi!$C$91),30)/30))+IF(31-(INT((Ipotesi!$C$91)/30))-1&lt;1,0,INDEX(Motore_Operativo!$BQ$485:$BQ$544,MAX(1,31-(INT((Ipotesi!$C$91)/30))-1)))*(MOD((Ipotesi!$C$91),30)/30))+(IF(31-(INT((Ipotesi!$C$91)/30))&lt;1,0,INDEX(Motore_Operativo!$BR$485:$BR$544,MAX(1,31-(INT((Ipotesi!$C$91)/30)))))*(1-(MOD((Ipotesi!$C$91),30)/30))+IF(31-(INT((Ipotesi!$C$91)/30))-1&lt;1,0,INDEX(Motore_Operativo!$BR$485:$BR$544,MAX(1,31-(INT((Ipotesi!$C$91)/30))-1)))*(MOD((Ipotesi!$C$91),30)/30))))*Piano_SS!$D$9,0))</f>
        <v>40000</v>
      </c>
      <c r="BZ515" s="15" t="n">
        <f aca="false">MIN(Piano_SS!$C$10,(BZ514)+IF(AND(Motore_Operativo!C515&gt;=EDATE(Parametri_v3!$C$24,Ipotesi!K14*12),Motore_Operativo!C515&lt;EDATE(Parametri_v3!$C$24,Parametri_v3!$C$25+Ipotesi!K14*12)),MAX(0,(IF(31-(INT((Ipotesi!$C$91)/30))&lt;1,0,INDEX(Motore_Operativo!$BO$485:$BO$544,MAX(1,31-(INT((Ipotesi!$C$91)/30)))))*(1-(MOD((Ipotesi!$C$91),30)/30))+IF(31-(INT((Ipotesi!$C$91)/30))-1&lt;1,0,INDEX(Motore_Operativo!$BO$485:$BO$544,MAX(1,31-(INT((Ipotesi!$C$91)/30))-1)))*(MOD((Ipotesi!$C$91),30)/30)))*Piano_SS!$D$10,0))</f>
        <v>30000</v>
      </c>
      <c r="CA515" s="15" t="n">
        <f aca="false">SUM(BV515:BZ515)</f>
        <v>461058.923007084</v>
      </c>
      <c r="CB515" s="15" t="n">
        <f aca="false">BV515*(1-Piano_SS!$E$6)+BW515*(1-Piano_SS!$E$7)+BX515*(1-Piano_SS!$E$8)+BY515*(1-Piano_SS!$E$9)+BZ515*(1-Piano_SS!$E$10)</f>
        <v>431058.923007084</v>
      </c>
      <c r="CC515" s="15" t="n">
        <f aca="false">(CC514)+BA515</f>
        <v>0</v>
      </c>
      <c r="CD515" s="15" t="n">
        <f aca="false">IF(CA515=0,0,CC515*CB515/CA515*Ipotesi!$C$103*Parametri_v3!$C$64)</f>
        <v>0</v>
      </c>
      <c r="CE515" s="18" t="n">
        <f aca="false">IF(BA515&gt;0,Motore_Operativo!C515,(CE514))</f>
        <v>0</v>
      </c>
      <c r="CF515" s="18" t="n">
        <f aca="false">IF(AND(CC515&gt;0,OR(CC515&gt;=CG515-0.01,Motore_Operativo!C515&gt;=EDATE(MAX(Finanziamenti!$D$15:$D$17),Ipotesi!K14*12))),CE515,0)</f>
        <v>0</v>
      </c>
      <c r="CG515" s="15" t="n">
        <f aca="false">IF(AND(9&lt;&gt;6,9&lt;&gt;9,Finanziamenti!$F$11=1,OR(Parametri_v3!$C$6=0,Finanziamenti!$E$11=1)),MIN(Finanziamenti!$C$11,Piano_SS!$C$12*Ipotesi!$C$102),0)</f>
        <v>0</v>
      </c>
      <c r="CH515" s="15" t="n">
        <f aca="false">IF(AND(AND(9&lt;&gt;8,9&lt;&gt;9,Finanziamenti!$F$10=1,OR(Parametri_v3!$C$6=0,Finanziamenti!$E$10=1)),Motore_Operativo!C515&gt;=Finanziamenti!$D$10,Motore_Operativo!C515&lt;Parametri_v3!$C$63),Finanziamenti!$C$10,0)</f>
        <v>0</v>
      </c>
    </row>
    <row r="516" customFormat="false" ht="18" hidden="false" customHeight="true" outlineLevel="0" collapsed="false">
      <c r="A516" s="68" t="n">
        <f aca="false">9</f>
        <v>9</v>
      </c>
      <c r="B516" s="68" t="n">
        <f aca="false">32</f>
        <v>32</v>
      </c>
      <c r="C516" s="18" t="n">
        <f aca="false">Motore_Operativo!C516</f>
        <v>47331</v>
      </c>
      <c r="D516" s="68" t="n">
        <f aca="false">Motore_Operativo!D516</f>
        <v>2029</v>
      </c>
      <c r="E516" s="68" t="n">
        <f aca="false">Motore_Operativo!E516</f>
        <v>8</v>
      </c>
      <c r="F516" s="15" t="n">
        <f aca="false">Motore_Operativo!AQ516+Motore_Operativo!BF516</f>
        <v>70583.8654295919</v>
      </c>
      <c r="G516" s="15" t="n">
        <f aca="false">Motore_Operativo!BH516</f>
        <v>6050</v>
      </c>
      <c r="H516" s="15" t="n">
        <f aca="false">Motore_Operativo!BI516</f>
        <v>76633.8654295919</v>
      </c>
      <c r="I516" s="15" t="n">
        <f aca="false">Motore_Operativo!CA516</f>
        <v>117216.074493476</v>
      </c>
      <c r="J516" s="15" t="n">
        <f aca="false">Motore_Operativo!CC516</f>
        <v>-40582.2090638843</v>
      </c>
      <c r="K516" s="15" t="n">
        <f aca="false">Motore_Operativo!CE516</f>
        <v>2500</v>
      </c>
      <c r="L516" s="15" t="n">
        <f aca="false">SUM(INDEX($K$485:$K$544,MAX(1,32-Parametri_v3!$C$59+1)):K516)/Parametri_v3!$C$59</f>
        <v>1805.55555555556</v>
      </c>
      <c r="M516" s="15" t="n">
        <f aca="false">J516-L516</f>
        <v>-42387.7646194398</v>
      </c>
      <c r="N516" s="15" t="n">
        <f aca="false">CD516-(CD515)</f>
        <v>0</v>
      </c>
      <c r="O516" s="15" t="n">
        <f aca="false">(BG515)*Ipotesi!$C$110/12+CH516*Parametri_v3!$C$39/12</f>
        <v>0</v>
      </c>
      <c r="P516" s="15" t="n">
        <f aca="false">M516+N516-O516</f>
        <v>-42387.7646194398</v>
      </c>
      <c r="Q516" s="15" t="n">
        <f aca="false">SUM(P509:P516)+Parametri_v3!$C$54*8/12</f>
        <v>-393393.389156887</v>
      </c>
      <c r="R516" s="15" t="n">
        <f aca="false">Z508</f>
        <v>559322.467328716</v>
      </c>
      <c r="S516" s="15" t="n">
        <f aca="false">AA508</f>
        <v>0</v>
      </c>
      <c r="T516" s="15" t="n">
        <f aca="false">MIN(R516,MAX(0,Q516))</f>
        <v>0</v>
      </c>
      <c r="U516" s="15" t="n">
        <f aca="false">MIN(S516,MAX(0,Q516-T516)*Parametri_v3!$C$42)</f>
        <v>0</v>
      </c>
      <c r="V516" s="15" t="n">
        <f aca="false">MAX(0,Q516-T516-U516)*Ipotesi!$C$92</f>
        <v>0</v>
      </c>
      <c r="W516" s="15" t="n">
        <f aca="false">MAX(0,SUM(M509:M516)+Parametri_v3!$C$55*8/12)*Ipotesi!$C$93</f>
        <v>0</v>
      </c>
      <c r="X516" s="15" t="n">
        <f aca="false">V516+W516-(V515+W515)</f>
        <v>0</v>
      </c>
      <c r="Y516" s="15" t="n">
        <f aca="false">P516-X516</f>
        <v>-42387.7646194398</v>
      </c>
      <c r="Z516" s="15" t="n">
        <f aca="false">R516-T516+IF(AND(Parametri_v3!$C$40=1,D516-YEAR(Parametri_v3!$C$50)&lt;Parametri_v3!$C$41),MAX(0,-Q516),0)</f>
        <v>952715.856485603</v>
      </c>
      <c r="AA516" s="15" t="n">
        <f aca="false">S516-U516+IF(AND(Parametri_v3!$C$40=1,D516-YEAR(Parametri_v3!$C$50)&lt;Parametri_v3!$C$41),0,MAX(0,-Q516))</f>
        <v>0</v>
      </c>
      <c r="AB516" s="15" t="n">
        <f aca="false">F516*(1+Parametri_v3!$C$26)</f>
        <v>86112.3158241022</v>
      </c>
      <c r="AC516" s="15" t="n">
        <f aca="false">(IF(32-(INT((Motore_Operativo!L516)/30))&lt;1,0,INDEX(Motore_Startup!$AB$485:$AB$544,MAX(1,32-(INT((Motore_Operativo!L516)/30)))))*(1-(MOD((Motore_Operativo!L516),30)/30))+IF(32-(INT((Motore_Operativo!L516)/30))-1&lt;1,0,INDEX(Motore_Startup!$AB$485:$AB$544,MAX(1,32-(INT((Motore_Operativo!L516)/30))-1)))*(MOD((Motore_Operativo!L516),30)/30))</f>
        <v>76421.281120974</v>
      </c>
      <c r="AD516" s="15" t="n">
        <f aca="false">(AD515)+AB516-AC516</f>
        <v>248702.637174463</v>
      </c>
      <c r="AE516" s="15" t="n">
        <f aca="false">Motore_Operativo!BH516*(1+Parametri_v3!$C$26)</f>
        <v>7381</v>
      </c>
      <c r="AF516" s="15" t="n">
        <f aca="false">(IF(32-(INT((Parametri_v3!$C$29)/30))&lt;1,0,INDEX(Motore_Operativo!$BH$485:$BH$544,MAX(1,32-(INT((Parametri_v3!$C$29)/30)))))*(1-(MOD((Parametri_v3!$C$29),30)/30))+IF(32-(INT((Parametri_v3!$C$29)/30))-1&lt;1,0,INDEX(Motore_Operativo!$BH$485:$BH$544,MAX(1,32-(INT((Parametri_v3!$C$29)/30))-1)))*(MOD((Parametri_v3!$C$29),30)/30))*(1+Parametri_v3!$C$26)</f>
        <v>7381</v>
      </c>
      <c r="AG516" s="15" t="n">
        <f aca="false">(AG515)+AE516-AF516</f>
        <v>7381</v>
      </c>
      <c r="AH516" s="15" t="n">
        <f aca="false">(Motore_Operativo!CJ516)*(1+Parametri_v3!$C$27*Parametri_v3!$C$26)</f>
        <v>50972.6380904229</v>
      </c>
      <c r="AI516" s="15" t="n">
        <f aca="false">(IF(32-(INT((Ipotesi!$C$91)/30))&lt;1,0,INDEX(Motore_Startup!$AH$485:$AH$544,MAX(1,32-(INT((Ipotesi!$C$91)/30)))))*(1-(MOD((Ipotesi!$C$91),30)/30))+IF(32-(INT((Ipotesi!$C$91)/30))-1&lt;1,0,INDEX(Motore_Startup!$AH$485:$AH$544,MAX(1,32-(INT((Ipotesi!$C$91)/30))-1)))*(MOD((Ipotesi!$C$91),30)/30))</f>
        <v>50096.4763662768</v>
      </c>
      <c r="AJ516" s="15" t="n">
        <f aca="false">(AJ515)+AH516-AI516</f>
        <v>101509.118490815</v>
      </c>
      <c r="AK516" s="15" t="n">
        <f aca="false">(F516+ Motore_Operativo!BH516-(Motore_Operativo!CJ516)*Parametri_v3!$C$27-Motore_Operativo!CE516)*Parametri_v3!$C$26</f>
        <v>8279.22013089684</v>
      </c>
      <c r="AL516" s="15" t="n">
        <f aca="false">MAX(0,(AM515))</f>
        <v>7770.51822042779</v>
      </c>
      <c r="AM516" s="15" t="n">
        <f aca="false">(AM515)+AK516-AL516</f>
        <v>8279.22013089684</v>
      </c>
      <c r="AN516" s="15" t="n">
        <f aca="false">SUM(X497:X508)</f>
        <v>0</v>
      </c>
      <c r="AO516" s="15" t="n">
        <f aca="false">SUM(AP497:AP508)</f>
        <v>0</v>
      </c>
      <c r="AP516" s="15" t="n">
        <f aca="false">MAX(0,AN516)*IF(8=Parametri_v3!$C$43,Parametri_v3!$C$45,IF(8=Parametri_v3!$C$44,1-Parametri_v3!$C$45,0))</f>
        <v>0</v>
      </c>
      <c r="AQ516" s="15" t="n">
        <f aca="false">MAX(0,AP516+IF(8=Parametri_v3!$C$43,MAX(0,AN516-AO516),0)-MAX(0,-(AR515)))</f>
        <v>0</v>
      </c>
      <c r="AR516" s="15" t="n">
        <f aca="false">(AR515)+X516-AQ516</f>
        <v>0</v>
      </c>
      <c r="AS516" s="15" t="n">
        <f aca="false">Motore_Operativo!AB516-AT516+AU516</f>
        <v>70559.9833333333</v>
      </c>
      <c r="AT516" s="15" t="n">
        <f aca="false">Motore_Operativo!CH516</f>
        <v>3713.68333333333</v>
      </c>
      <c r="AU516" s="15" t="n">
        <f aca="false">MIN(MAX(0,(AV515)+AT516),Parametri_v3!$C$60/12)</f>
        <v>0</v>
      </c>
      <c r="AV516" s="15" t="n">
        <f aca="false">(AV515)+AT516-AU516</f>
        <v>64316.9666666667</v>
      </c>
      <c r="AW516" s="15" t="n">
        <f aca="false">IF(AND(Motore_Operativo!C516=Finanziamenti!$D$6,Finanziamenti!$F$6=1),Finanziamenti!$C$6,0)</f>
        <v>0</v>
      </c>
      <c r="AX516" s="15" t="n">
        <f aca="false">IF(AND(9&lt;&gt;7,9&lt;&gt;9,Finanziamenti!$F$8=1,OR(Parametri_v3!$C$6=0,Finanziamenti!$E$8=1),Motore_Operativo!C516=EDATE(Finanziamenti!$D$8,Ipotesi!K15*12)),Finanziamenti!$C$8*1,0)+IF(AND(9&lt;&gt;7,9&lt;&gt;9,Finanziamenti!$F$9=1,OR(Parametri_v3!$C$6=0,Finanziamenti!$E$9=1),Motore_Operativo!C516=EDATE(Finanziamenti!$D$9,Ipotesi!K15*12)),Finanziamenti!$C$9*Ipotesi!K16,0)</f>
        <v>0</v>
      </c>
      <c r="AY516" s="15" t="n">
        <f aca="false">0</f>
        <v>0</v>
      </c>
      <c r="AZ516" s="15" t="n">
        <f aca="false">Motore_Advisory!AY516*(1-Ipotesi!$C$95)*Ipotesi!$C$96</f>
        <v>0</v>
      </c>
      <c r="BA516" s="15" t="n">
        <f aca="false">MAX(0,MIN(CG516*MIN(1,IF(Motore_Operativo!C516&gt;=EDATE(Finanziamenti!$D$15,Ipotesi!K14*12),Finanziamenti!$C$15,0)+IF(Motore_Operativo!C516&gt;=EDATE(Finanziamenti!$D$16,Ipotesi!K14*12),Finanziamenti!$C$16,0)+IF(Motore_Operativo!C516&gt;=EDATE(Finanziamenti!$D$17,Ipotesi!K14*12),Finanziamenti!$C$17,0)),CA516*Ipotesi!$C$102)-(CC515))</f>
        <v>0</v>
      </c>
      <c r="BB516" s="15" t="n">
        <f aca="false">IF(AND(CF516&gt;0,Motore_Operativo!C516&gt;=IF(CF516=0,0,EDATE(CF516,Parametri_v3!$C$37)),MOD(((D516-YEAR(IF(CF516=0,0,EDATE(CF516,Parametri_v3!$C$37))))*12+E516-MONTH(IF(CF516=0,0,EDATE(CF516,Parametri_v3!$C$37)))),Parametri_v3!$C$38)=0),MIN(MAX(0,(BC515)+BA516-N516),(CC516-CD516)/(Ipotesi!$C$108*12/Parametri_v3!$C$38)),0)</f>
        <v>0</v>
      </c>
      <c r="BC516" s="15" t="n">
        <f aca="false">(BC515)+BA516-N516-BB516</f>
        <v>0</v>
      </c>
      <c r="BD516" s="15" t="n">
        <f aca="false">(BH515)+AC516+AF516-AI516-AS516-K516*(1+Parametri_v3!$C$26)-AL516-AQ516-O516+AW516+AX516+AZ516+BA516-BB516</f>
        <v>-942402.521705021</v>
      </c>
      <c r="BE516" s="15" t="n">
        <f aca="false">MAX(0,MIN(MAX(0,CH516-(BG515)),Parametri_v3!$C$30-BD516))</f>
        <v>0</v>
      </c>
      <c r="BF516" s="15" t="n">
        <f aca="false">IF(Motore_Operativo!C516&gt;=Parametri_v3!$C$63,(BG515),MIN((BG515),MAX(0,BD516-Parametri_v3!$C$30)))</f>
        <v>0</v>
      </c>
      <c r="BG516" s="15" t="n">
        <f aca="false">(BG515)+BE516-BF516</f>
        <v>0</v>
      </c>
      <c r="BH516" s="15" t="n">
        <f aca="false">BD516+BE516-BF516-AY516</f>
        <v>-942402.521705021</v>
      </c>
      <c r="BI516" s="15" t="n">
        <f aca="false">MAX(0,Parametri_v3!$C$30-BH516)</f>
        <v>967402.521705021</v>
      </c>
      <c r="BJ516" s="15" t="n">
        <f aca="false">(BJ515)+K516</f>
        <v>65000</v>
      </c>
      <c r="BK516" s="15" t="n">
        <f aca="false">(BK515)+L516</f>
        <v>27291.6666666667</v>
      </c>
      <c r="BL516" s="15" t="n">
        <f aca="false">BJ516-BK516</f>
        <v>37708.3333333333</v>
      </c>
      <c r="BM516" s="15" t="n">
        <f aca="false">(BM515)+Y516</f>
        <v>-952715.856485603</v>
      </c>
      <c r="BN516" s="15" t="n">
        <f aca="false">(BN515)+AW516+AX516+AZ516</f>
        <v>130000</v>
      </c>
      <c r="BO516" s="15" t="n">
        <f aca="false">(BO515)+AY516</f>
        <v>0</v>
      </c>
      <c r="BP516" s="15" t="n">
        <f aca="false">0</f>
        <v>0</v>
      </c>
      <c r="BQ516" s="15" t="n">
        <f aca="false">BN516+BM516-BO516</f>
        <v>-822715.856485603</v>
      </c>
      <c r="BR516" s="15" t="n">
        <f aca="false">BH516+AD516+BL516+MAX(0,-AM516)+MAX(0,-AR516)+AG516</f>
        <v>-648610.551197225</v>
      </c>
      <c r="BS516" s="15" t="n">
        <f aca="false">AJ516+AV516+MAX(0,AM516)+MAX(0,AR516)+BC516+BG516+BQ516</f>
        <v>-648610.551197224</v>
      </c>
      <c r="BT516" s="15" t="n">
        <f aca="false">BR516-BS516</f>
        <v>0</v>
      </c>
      <c r="BU516" s="15" t="n">
        <f aca="false">BH516-(BD516+BE516-BF516-AY516)</f>
        <v>0</v>
      </c>
      <c r="BV516" s="15" t="n">
        <f aca="false">MIN(Piano_SS!$C$6,(BV515)+IF(AND(Motore_Operativo!C516&gt;=EDATE(Parametri_v3!$C$24,Ipotesi!K14*12),Motore_Operativo!C516&lt;EDATE(Parametri_v3!$C$24,Parametri_v3!$C$25+Ipotesi!K14*12)),MAX(0,(Motore_Operativo!Y516+Motore_Operativo!X516*Parametri_v3!$C$14)*(1-Parametri_v3!$C$32))*Piano_SS!$D$6,0))</f>
        <v>300000</v>
      </c>
      <c r="BW516" s="15" t="n">
        <f aca="false">MIN(Piano_SS!$C$7,(BW515)+IF(AND(Motore_Operativo!C516&gt;=EDATE(Parametri_v3!$C$24,Ipotesi!K14*12),Motore_Operativo!C516&lt;EDATE(Parametri_v3!$C$24,Parametri_v3!$C$25+Ipotesi!K14*12)),MAX(0,(IF(32-(INT((Ipotesi!$C$91)/30))&lt;1,0,INDEX(Motore_Operativo!$BN$485:$BN$544,MAX(1,32-(INT((Ipotesi!$C$91)/30)))))*(1-(MOD((Ipotesi!$C$91),30)/30))+IF(32-(INT((Ipotesi!$C$91)/30))-1&lt;1,0,INDEX(Motore_Operativo!$BN$485:$BN$544,MAX(1,32-(INT((Ipotesi!$C$91)/30))-1)))*(MOD((Ipotesi!$C$91),30)/30)))*Piano_SS!$D$7,0))</f>
        <v>41058.9230070837</v>
      </c>
      <c r="BX516" s="15" t="n">
        <f aca="false">MIN(Piano_SS!$C$8,(BX515)+IF(AND(Motore_Operativo!C516&gt;=EDATE(Parametri_v3!$C$24,Ipotesi!K14*12),Motore_Operativo!C516&lt;EDATE(Parametri_v3!$C$24,Parametri_v3!$C$25+Ipotesi!K14*12)),MAX(0,Motore_Operativo!CE516)*Piano_SS!$D$8,0))</f>
        <v>50000</v>
      </c>
      <c r="BY516" s="15" t="n">
        <f aca="false">MIN(Piano_SS!$C$9,(BY515)+IF(AND(Motore_Operativo!C516&gt;=EDATE(Parametri_v3!$C$24,Ipotesi!K14*12),Motore_Operativo!C516&lt;EDATE(Parametri_v3!$C$24,Parametri_v3!$C$25+Ipotesi!K14*12)),MAX(0,((IF(32-(INT((Ipotesi!$C$91)/30))&lt;1,0,INDEX(Motore_Operativo!$BQ$485:$BQ$544,MAX(1,32-(INT((Ipotesi!$C$91)/30)))))*(1-(MOD((Ipotesi!$C$91),30)/30))+IF(32-(INT((Ipotesi!$C$91)/30))-1&lt;1,0,INDEX(Motore_Operativo!$BQ$485:$BQ$544,MAX(1,32-(INT((Ipotesi!$C$91)/30))-1)))*(MOD((Ipotesi!$C$91),30)/30))+(IF(32-(INT((Ipotesi!$C$91)/30))&lt;1,0,INDEX(Motore_Operativo!$BR$485:$BR$544,MAX(1,32-(INT((Ipotesi!$C$91)/30)))))*(1-(MOD((Ipotesi!$C$91),30)/30))+IF(32-(INT((Ipotesi!$C$91)/30))-1&lt;1,0,INDEX(Motore_Operativo!$BR$485:$BR$544,MAX(1,32-(INT((Ipotesi!$C$91)/30))-1)))*(MOD((Ipotesi!$C$91),30)/30))))*Piano_SS!$D$9,0))</f>
        <v>40000</v>
      </c>
      <c r="BZ516" s="15" t="n">
        <f aca="false">MIN(Piano_SS!$C$10,(BZ515)+IF(AND(Motore_Operativo!C516&gt;=EDATE(Parametri_v3!$C$24,Ipotesi!K14*12),Motore_Operativo!C516&lt;EDATE(Parametri_v3!$C$24,Parametri_v3!$C$25+Ipotesi!K14*12)),MAX(0,(IF(32-(INT((Ipotesi!$C$91)/30))&lt;1,0,INDEX(Motore_Operativo!$BO$485:$BO$544,MAX(1,32-(INT((Ipotesi!$C$91)/30)))))*(1-(MOD((Ipotesi!$C$91),30)/30))+IF(32-(INT((Ipotesi!$C$91)/30))-1&lt;1,0,INDEX(Motore_Operativo!$BO$485:$BO$544,MAX(1,32-(INT((Ipotesi!$C$91)/30))-1)))*(MOD((Ipotesi!$C$91),30)/30)))*Piano_SS!$D$10,0))</f>
        <v>30000</v>
      </c>
      <c r="CA516" s="15" t="n">
        <f aca="false">SUM(BV516:BZ516)</f>
        <v>461058.923007084</v>
      </c>
      <c r="CB516" s="15" t="n">
        <f aca="false">BV516*(1-Piano_SS!$E$6)+BW516*(1-Piano_SS!$E$7)+BX516*(1-Piano_SS!$E$8)+BY516*(1-Piano_SS!$E$9)+BZ516*(1-Piano_SS!$E$10)</f>
        <v>431058.923007084</v>
      </c>
      <c r="CC516" s="15" t="n">
        <f aca="false">(CC515)+BA516</f>
        <v>0</v>
      </c>
      <c r="CD516" s="15" t="n">
        <f aca="false">IF(CA516=0,0,CC516*CB516/CA516*Ipotesi!$C$103*Parametri_v3!$C$64)</f>
        <v>0</v>
      </c>
      <c r="CE516" s="18" t="n">
        <f aca="false">IF(BA516&gt;0,Motore_Operativo!C516,(CE515))</f>
        <v>0</v>
      </c>
      <c r="CF516" s="18" t="n">
        <f aca="false">IF(AND(CC516&gt;0,OR(CC516&gt;=CG516-0.01,Motore_Operativo!C516&gt;=EDATE(MAX(Finanziamenti!$D$15:$D$17),Ipotesi!K14*12))),CE516,0)</f>
        <v>0</v>
      </c>
      <c r="CG516" s="15" t="n">
        <f aca="false">IF(AND(9&lt;&gt;6,9&lt;&gt;9,Finanziamenti!$F$11=1,OR(Parametri_v3!$C$6=0,Finanziamenti!$E$11=1)),MIN(Finanziamenti!$C$11,Piano_SS!$C$12*Ipotesi!$C$102),0)</f>
        <v>0</v>
      </c>
      <c r="CH516" s="15" t="n">
        <f aca="false">IF(AND(AND(9&lt;&gt;8,9&lt;&gt;9,Finanziamenti!$F$10=1,OR(Parametri_v3!$C$6=0,Finanziamenti!$E$10=1)),Motore_Operativo!C516&gt;=Finanziamenti!$D$10,Motore_Operativo!C516&lt;Parametri_v3!$C$63),Finanziamenti!$C$10,0)</f>
        <v>0</v>
      </c>
    </row>
    <row r="517" customFormat="false" ht="18" hidden="false" customHeight="true" outlineLevel="0" collapsed="false">
      <c r="A517" s="68" t="n">
        <f aca="false">9</f>
        <v>9</v>
      </c>
      <c r="B517" s="68" t="n">
        <f aca="false">33</f>
        <v>33</v>
      </c>
      <c r="C517" s="18" t="n">
        <f aca="false">Motore_Operativo!C517</f>
        <v>47362</v>
      </c>
      <c r="D517" s="68" t="n">
        <f aca="false">Motore_Operativo!D517</f>
        <v>2029</v>
      </c>
      <c r="E517" s="68" t="n">
        <f aca="false">Motore_Operativo!E517</f>
        <v>9</v>
      </c>
      <c r="F517" s="15" t="n">
        <f aca="false">Motore_Operativo!AQ517+Motore_Operativo!BF517</f>
        <v>73185.5321114401</v>
      </c>
      <c r="G517" s="15" t="n">
        <f aca="false">Motore_Operativo!BH517</f>
        <v>6050</v>
      </c>
      <c r="H517" s="15" t="n">
        <f aca="false">Motore_Operativo!BI517</f>
        <v>79235.5321114401</v>
      </c>
      <c r="I517" s="15" t="n">
        <f aca="false">Motore_Operativo!CA517</f>
        <v>117580.307828935</v>
      </c>
      <c r="J517" s="15" t="n">
        <f aca="false">Motore_Operativo!CC517</f>
        <v>-38344.7757174948</v>
      </c>
      <c r="K517" s="15" t="n">
        <f aca="false">Motore_Operativo!CE517</f>
        <v>2500</v>
      </c>
      <c r="L517" s="15" t="n">
        <f aca="false">SUM(INDEX($K$485:$K$544,MAX(1,33-Parametri_v3!$C$59+1)):K517)/Parametri_v3!$C$59</f>
        <v>1875</v>
      </c>
      <c r="M517" s="15" t="n">
        <f aca="false">J517-L517</f>
        <v>-40219.7757174948</v>
      </c>
      <c r="N517" s="15" t="n">
        <f aca="false">CD517-(CD516)</f>
        <v>0</v>
      </c>
      <c r="O517" s="15" t="n">
        <f aca="false">(BG516)*Ipotesi!$C$110/12+CH517*Parametri_v3!$C$39/12</f>
        <v>0</v>
      </c>
      <c r="P517" s="15" t="n">
        <f aca="false">M517+N517-O517</f>
        <v>-40219.7757174948</v>
      </c>
      <c r="Q517" s="15" t="n">
        <f aca="false">SUM(P509:P517)+Parametri_v3!$C$54*9/12</f>
        <v>-433613.164874382</v>
      </c>
      <c r="R517" s="15" t="n">
        <f aca="false">Z508</f>
        <v>559322.467328716</v>
      </c>
      <c r="S517" s="15" t="n">
        <f aca="false">AA508</f>
        <v>0</v>
      </c>
      <c r="T517" s="15" t="n">
        <f aca="false">MIN(R517,MAX(0,Q517))</f>
        <v>0</v>
      </c>
      <c r="U517" s="15" t="n">
        <f aca="false">MIN(S517,MAX(0,Q517-T517)*Parametri_v3!$C$42)</f>
        <v>0</v>
      </c>
      <c r="V517" s="15" t="n">
        <f aca="false">MAX(0,Q517-T517-U517)*Ipotesi!$C$92</f>
        <v>0</v>
      </c>
      <c r="W517" s="15" t="n">
        <f aca="false">MAX(0,SUM(M509:M517)+Parametri_v3!$C$55*9/12)*Ipotesi!$C$93</f>
        <v>0</v>
      </c>
      <c r="X517" s="15" t="n">
        <f aca="false">V517+W517-(V516+W516)</f>
        <v>0</v>
      </c>
      <c r="Y517" s="15" t="n">
        <f aca="false">P517-X517</f>
        <v>-40219.7757174948</v>
      </c>
      <c r="Z517" s="15" t="n">
        <f aca="false">R517-T517+IF(AND(Parametri_v3!$C$40=1,D517-YEAR(Parametri_v3!$C$50)&lt;Parametri_v3!$C$41),MAX(0,-Q517),0)</f>
        <v>992935.632203098</v>
      </c>
      <c r="AA517" s="15" t="n">
        <f aca="false">S517-U517+IF(AND(Parametri_v3!$C$40=1,D517-YEAR(Parametri_v3!$C$50)&lt;Parametri_v3!$C$41),0,MAX(0,-Q517))</f>
        <v>0</v>
      </c>
      <c r="AB517" s="15" t="n">
        <f aca="false">F517*(1+Parametri_v3!$C$26)</f>
        <v>89286.349175957</v>
      </c>
      <c r="AC517" s="15" t="n">
        <f aca="false">(IF(33-(INT((Motore_Operativo!L517)/30))&lt;1,0,INDEX(Motore_Startup!$AB$485:$AB$544,MAX(1,33-(INT((Motore_Operativo!L517)/30)))))*(1-(MOD((Motore_Operativo!L517),30)/30))+IF(33-(INT((Motore_Operativo!L517)/30))-1&lt;1,0,INDEX(Motore_Startup!$AB$485:$AB$544,MAX(1,33-(INT((Motore_Operativo!L517)/30))-1)))*(MOD((Motore_Operativo!L517),30)/30))</f>
        <v>79680.029727952</v>
      </c>
      <c r="AD517" s="15" t="n">
        <f aca="false">(AD516)+AB517-AC517</f>
        <v>258308.956622468</v>
      </c>
      <c r="AE517" s="15" t="n">
        <f aca="false">Motore_Operativo!BH517*(1+Parametri_v3!$C$26)</f>
        <v>7381</v>
      </c>
      <c r="AF517" s="15" t="n">
        <f aca="false">(IF(33-(INT((Parametri_v3!$C$29)/30))&lt;1,0,INDEX(Motore_Operativo!$BH$485:$BH$544,MAX(1,33-(INT((Parametri_v3!$C$29)/30)))))*(1-(MOD((Parametri_v3!$C$29),30)/30))+IF(33-(INT((Parametri_v3!$C$29)/30))-1&lt;1,0,INDEX(Motore_Operativo!$BH$485:$BH$544,MAX(1,33-(INT((Parametri_v3!$C$29)/30))-1)))*(MOD((Parametri_v3!$C$29),30)/30))*(1+Parametri_v3!$C$26)</f>
        <v>7381</v>
      </c>
      <c r="AG517" s="15" t="n">
        <f aca="false">(AG516)+AE517-AF517</f>
        <v>7381</v>
      </c>
      <c r="AH517" s="15" t="n">
        <f aca="false">(Motore_Operativo!CJ517)*(1+Parametri_v3!$C$27*Parametri_v3!$C$26)</f>
        <v>51404.9830596125</v>
      </c>
      <c r="AI517" s="15" t="n">
        <f aca="false">(IF(33-(INT((Ipotesi!$C$91)/30))&lt;1,0,INDEX(Motore_Startup!$AH$485:$AH$544,MAX(1,33-(INT((Ipotesi!$C$91)/30)))))*(1-(MOD((Ipotesi!$C$91),30)/30))+IF(33-(INT((Ipotesi!$C$91)/30))-1&lt;1,0,INDEX(Motore_Startup!$AH$485:$AH$544,MAX(1,33-(INT((Ipotesi!$C$91)/30))-1)))*(MOD((Ipotesi!$C$91),30)/30))</f>
        <v>50536.4804003922</v>
      </c>
      <c r="AJ517" s="15" t="n">
        <f aca="false">(AJ516)+AH517-AI517</f>
        <v>102377.621150035</v>
      </c>
      <c r="AK517" s="15" t="n">
        <f aca="false">(F517+ Motore_Operativo!BH517-(Motore_Operativo!CJ517)*Parametri_v3!$C$27-Motore_Operativo!CE517)*Parametri_v3!$C$26</f>
        <v>8783.47516717266</v>
      </c>
      <c r="AL517" s="15" t="n">
        <f aca="false">MAX(0,(AM516))</f>
        <v>8279.22013089684</v>
      </c>
      <c r="AM517" s="15" t="n">
        <f aca="false">(AM516)+AK517-AL517</f>
        <v>8783.47516717266</v>
      </c>
      <c r="AN517" s="15" t="n">
        <f aca="false">SUM(X497:X508)</f>
        <v>0</v>
      </c>
      <c r="AO517" s="15" t="n">
        <f aca="false">SUM(AP497:AP508)</f>
        <v>0</v>
      </c>
      <c r="AP517" s="15" t="n">
        <f aca="false">MAX(0,AN517)*IF(9=Parametri_v3!$C$43,Parametri_v3!$C$45,IF(9=Parametri_v3!$C$44,1-Parametri_v3!$C$45,0))</f>
        <v>0</v>
      </c>
      <c r="AQ517" s="15" t="n">
        <f aca="false">MAX(0,AP517+IF(9=Parametri_v3!$C$43,MAX(0,AN517-AO517),0)-MAX(0,-(AR516)))</f>
        <v>0</v>
      </c>
      <c r="AR517" s="15" t="n">
        <f aca="false">(AR516)+X517-AQ517</f>
        <v>0</v>
      </c>
      <c r="AS517" s="15" t="n">
        <f aca="false">Motore_Operativo!AB517-AT517+AU517</f>
        <v>70559.9833333333</v>
      </c>
      <c r="AT517" s="15" t="n">
        <f aca="false">Motore_Operativo!CH517</f>
        <v>3713.68333333333</v>
      </c>
      <c r="AU517" s="15" t="n">
        <f aca="false">MIN(MAX(0,(AV516)+AT517),Parametri_v3!$C$60/12)</f>
        <v>0</v>
      </c>
      <c r="AV517" s="15" t="n">
        <f aca="false">(AV516)+AT517-AU517</f>
        <v>68030.65</v>
      </c>
      <c r="AW517" s="15" t="n">
        <f aca="false">IF(AND(Motore_Operativo!C517=Finanziamenti!$D$6,Finanziamenti!$F$6=1),Finanziamenti!$C$6,0)</f>
        <v>0</v>
      </c>
      <c r="AX517" s="15" t="n">
        <f aca="false">IF(AND(9&lt;&gt;7,9&lt;&gt;9,Finanziamenti!$F$8=1,OR(Parametri_v3!$C$6=0,Finanziamenti!$E$8=1),Motore_Operativo!C517=EDATE(Finanziamenti!$D$8,Ipotesi!K15*12)),Finanziamenti!$C$8*1,0)+IF(AND(9&lt;&gt;7,9&lt;&gt;9,Finanziamenti!$F$9=1,OR(Parametri_v3!$C$6=0,Finanziamenti!$E$9=1),Motore_Operativo!C517=EDATE(Finanziamenti!$D$9,Ipotesi!K15*12)),Finanziamenti!$C$9*Ipotesi!K16,0)</f>
        <v>0</v>
      </c>
      <c r="AY517" s="15" t="n">
        <f aca="false">0</f>
        <v>0</v>
      </c>
      <c r="AZ517" s="15" t="n">
        <f aca="false">Motore_Advisory!AY517*(1-Ipotesi!$C$95)*Ipotesi!$C$96</f>
        <v>0</v>
      </c>
      <c r="BA517" s="15" t="n">
        <f aca="false">MAX(0,MIN(CG517*MIN(1,IF(Motore_Operativo!C517&gt;=EDATE(Finanziamenti!$D$15,Ipotesi!K14*12),Finanziamenti!$C$15,0)+IF(Motore_Operativo!C517&gt;=EDATE(Finanziamenti!$D$16,Ipotesi!K14*12),Finanziamenti!$C$16,0)+IF(Motore_Operativo!C517&gt;=EDATE(Finanziamenti!$D$17,Ipotesi!K14*12),Finanziamenti!$C$17,0)),CA517*Ipotesi!$C$102)-(CC516))</f>
        <v>0</v>
      </c>
      <c r="BB517" s="15" t="n">
        <f aca="false">IF(AND(CF517&gt;0,Motore_Operativo!C517&gt;=IF(CF517=0,0,EDATE(CF517,Parametri_v3!$C$37)),MOD(((D517-YEAR(IF(CF517=0,0,EDATE(CF517,Parametri_v3!$C$37))))*12+E517-MONTH(IF(CF517=0,0,EDATE(CF517,Parametri_v3!$C$37)))),Parametri_v3!$C$38)=0),MIN(MAX(0,(BC516)+BA517-N517),(CC517-CD517)/(Ipotesi!$C$108*12/Parametri_v3!$C$38)),0)</f>
        <v>0</v>
      </c>
      <c r="BC517" s="15" t="n">
        <f aca="false">(BC516)+BA517-N517-BB517</f>
        <v>0</v>
      </c>
      <c r="BD517" s="15" t="n">
        <f aca="false">(BH516)+AC517+AF517-AI517-AS517-K517*(1+Parametri_v3!$C$26)-AL517-AQ517-O517+AW517+AX517+AZ517+BA517-BB517</f>
        <v>-987767.175841691</v>
      </c>
      <c r="BE517" s="15" t="n">
        <f aca="false">MAX(0,MIN(MAX(0,CH517-(BG516)),Parametri_v3!$C$30-BD517))</f>
        <v>0</v>
      </c>
      <c r="BF517" s="15" t="n">
        <f aca="false">IF(Motore_Operativo!C517&gt;=Parametri_v3!$C$63,(BG516),MIN((BG516),MAX(0,BD517-Parametri_v3!$C$30)))</f>
        <v>0</v>
      </c>
      <c r="BG517" s="15" t="n">
        <f aca="false">(BG516)+BE517-BF517</f>
        <v>0</v>
      </c>
      <c r="BH517" s="15" t="n">
        <f aca="false">BD517+BE517-BF517-AY517</f>
        <v>-987767.175841691</v>
      </c>
      <c r="BI517" s="15" t="n">
        <f aca="false">MAX(0,Parametri_v3!$C$30-BH517)</f>
        <v>1012767.17584169</v>
      </c>
      <c r="BJ517" s="15" t="n">
        <f aca="false">(BJ516)+K517</f>
        <v>67500</v>
      </c>
      <c r="BK517" s="15" t="n">
        <f aca="false">(BK516)+L517</f>
        <v>29166.6666666667</v>
      </c>
      <c r="BL517" s="15" t="n">
        <f aca="false">BJ517-BK517</f>
        <v>38333.3333333333</v>
      </c>
      <c r="BM517" s="15" t="n">
        <f aca="false">(BM516)+Y517</f>
        <v>-992935.632203098</v>
      </c>
      <c r="BN517" s="15" t="n">
        <f aca="false">(BN516)+AW517+AX517+AZ517</f>
        <v>130000</v>
      </c>
      <c r="BO517" s="15" t="n">
        <f aca="false">(BO516)+AY517</f>
        <v>0</v>
      </c>
      <c r="BP517" s="15" t="n">
        <f aca="false">0</f>
        <v>0</v>
      </c>
      <c r="BQ517" s="15" t="n">
        <f aca="false">BN517+BM517-BO517</f>
        <v>-862935.632203098</v>
      </c>
      <c r="BR517" s="15" t="n">
        <f aca="false">BH517+AD517+BL517+MAX(0,-AM517)+MAX(0,-AR517)+AG517</f>
        <v>-683743.88588589</v>
      </c>
      <c r="BS517" s="15" t="n">
        <f aca="false">AJ517+AV517+MAX(0,AM517)+MAX(0,AR517)+BC517+BG517+BQ517</f>
        <v>-683743.88588589</v>
      </c>
      <c r="BT517" s="15" t="n">
        <f aca="false">BR517-BS517</f>
        <v>0</v>
      </c>
      <c r="BU517" s="15" t="n">
        <f aca="false">BH517-(BD517+BE517-BF517-AY517)</f>
        <v>0</v>
      </c>
      <c r="BV517" s="15" t="n">
        <f aca="false">MIN(Piano_SS!$C$6,(BV516)+IF(AND(Motore_Operativo!C517&gt;=EDATE(Parametri_v3!$C$24,Ipotesi!K14*12),Motore_Operativo!C517&lt;EDATE(Parametri_v3!$C$24,Parametri_v3!$C$25+Ipotesi!K14*12)),MAX(0,(Motore_Operativo!Y517+Motore_Operativo!X517*Parametri_v3!$C$14)*(1-Parametri_v3!$C$32))*Piano_SS!$D$6,0))</f>
        <v>300000</v>
      </c>
      <c r="BW517" s="15" t="n">
        <f aca="false">MIN(Piano_SS!$C$7,(BW516)+IF(AND(Motore_Operativo!C517&gt;=EDATE(Parametri_v3!$C$24,Ipotesi!K14*12),Motore_Operativo!C517&lt;EDATE(Parametri_v3!$C$24,Parametri_v3!$C$25+Ipotesi!K14*12)),MAX(0,(IF(33-(INT((Ipotesi!$C$91)/30))&lt;1,0,INDEX(Motore_Operativo!$BN$485:$BN$544,MAX(1,33-(INT((Ipotesi!$C$91)/30)))))*(1-(MOD((Ipotesi!$C$91),30)/30))+IF(33-(INT((Ipotesi!$C$91)/30))-1&lt;1,0,INDEX(Motore_Operativo!$BN$485:$BN$544,MAX(1,33-(INT((Ipotesi!$C$91)/30))-1)))*(MOD((Ipotesi!$C$91),30)/30)))*Piano_SS!$D$7,0))</f>
        <v>41058.9230070837</v>
      </c>
      <c r="BX517" s="15" t="n">
        <f aca="false">MIN(Piano_SS!$C$8,(BX516)+IF(AND(Motore_Operativo!C517&gt;=EDATE(Parametri_v3!$C$24,Ipotesi!K14*12),Motore_Operativo!C517&lt;EDATE(Parametri_v3!$C$24,Parametri_v3!$C$25+Ipotesi!K14*12)),MAX(0,Motore_Operativo!CE517)*Piano_SS!$D$8,0))</f>
        <v>50000</v>
      </c>
      <c r="BY517" s="15" t="n">
        <f aca="false">MIN(Piano_SS!$C$9,(BY516)+IF(AND(Motore_Operativo!C517&gt;=EDATE(Parametri_v3!$C$24,Ipotesi!K14*12),Motore_Operativo!C517&lt;EDATE(Parametri_v3!$C$24,Parametri_v3!$C$25+Ipotesi!K14*12)),MAX(0,((IF(33-(INT((Ipotesi!$C$91)/30))&lt;1,0,INDEX(Motore_Operativo!$BQ$485:$BQ$544,MAX(1,33-(INT((Ipotesi!$C$91)/30)))))*(1-(MOD((Ipotesi!$C$91),30)/30))+IF(33-(INT((Ipotesi!$C$91)/30))-1&lt;1,0,INDEX(Motore_Operativo!$BQ$485:$BQ$544,MAX(1,33-(INT((Ipotesi!$C$91)/30))-1)))*(MOD((Ipotesi!$C$91),30)/30))+(IF(33-(INT((Ipotesi!$C$91)/30))&lt;1,0,INDEX(Motore_Operativo!$BR$485:$BR$544,MAX(1,33-(INT((Ipotesi!$C$91)/30)))))*(1-(MOD((Ipotesi!$C$91),30)/30))+IF(33-(INT((Ipotesi!$C$91)/30))-1&lt;1,0,INDEX(Motore_Operativo!$BR$485:$BR$544,MAX(1,33-(INT((Ipotesi!$C$91)/30))-1)))*(MOD((Ipotesi!$C$91),30)/30))))*Piano_SS!$D$9,0))</f>
        <v>40000</v>
      </c>
      <c r="BZ517" s="15" t="n">
        <f aca="false">MIN(Piano_SS!$C$10,(BZ516)+IF(AND(Motore_Operativo!C517&gt;=EDATE(Parametri_v3!$C$24,Ipotesi!K14*12),Motore_Operativo!C517&lt;EDATE(Parametri_v3!$C$24,Parametri_v3!$C$25+Ipotesi!K14*12)),MAX(0,(IF(33-(INT((Ipotesi!$C$91)/30))&lt;1,0,INDEX(Motore_Operativo!$BO$485:$BO$544,MAX(1,33-(INT((Ipotesi!$C$91)/30)))))*(1-(MOD((Ipotesi!$C$91),30)/30))+IF(33-(INT((Ipotesi!$C$91)/30))-1&lt;1,0,INDEX(Motore_Operativo!$BO$485:$BO$544,MAX(1,33-(INT((Ipotesi!$C$91)/30))-1)))*(MOD((Ipotesi!$C$91),30)/30)))*Piano_SS!$D$10,0))</f>
        <v>30000</v>
      </c>
      <c r="CA517" s="15" t="n">
        <f aca="false">SUM(BV517:BZ517)</f>
        <v>461058.923007084</v>
      </c>
      <c r="CB517" s="15" t="n">
        <f aca="false">BV517*(1-Piano_SS!$E$6)+BW517*(1-Piano_SS!$E$7)+BX517*(1-Piano_SS!$E$8)+BY517*(1-Piano_SS!$E$9)+BZ517*(1-Piano_SS!$E$10)</f>
        <v>431058.923007084</v>
      </c>
      <c r="CC517" s="15" t="n">
        <f aca="false">(CC516)+BA517</f>
        <v>0</v>
      </c>
      <c r="CD517" s="15" t="n">
        <f aca="false">IF(CA517=0,0,CC517*CB517/CA517*Ipotesi!$C$103*Parametri_v3!$C$64)</f>
        <v>0</v>
      </c>
      <c r="CE517" s="18" t="n">
        <f aca="false">IF(BA517&gt;0,Motore_Operativo!C517,(CE516))</f>
        <v>0</v>
      </c>
      <c r="CF517" s="18" t="n">
        <f aca="false">IF(AND(CC517&gt;0,OR(CC517&gt;=CG517-0.01,Motore_Operativo!C517&gt;=EDATE(MAX(Finanziamenti!$D$15:$D$17),Ipotesi!K14*12))),CE517,0)</f>
        <v>0</v>
      </c>
      <c r="CG517" s="15" t="n">
        <f aca="false">IF(AND(9&lt;&gt;6,9&lt;&gt;9,Finanziamenti!$F$11=1,OR(Parametri_v3!$C$6=0,Finanziamenti!$E$11=1)),MIN(Finanziamenti!$C$11,Piano_SS!$C$12*Ipotesi!$C$102),0)</f>
        <v>0</v>
      </c>
      <c r="CH517" s="15" t="n">
        <f aca="false">IF(AND(AND(9&lt;&gt;8,9&lt;&gt;9,Finanziamenti!$F$10=1,OR(Parametri_v3!$C$6=0,Finanziamenti!$E$10=1)),Motore_Operativo!C517&gt;=Finanziamenti!$D$10,Motore_Operativo!C517&lt;Parametri_v3!$C$63),Finanziamenti!$C$10,0)</f>
        <v>0</v>
      </c>
    </row>
    <row r="518" customFormat="false" ht="18" hidden="false" customHeight="true" outlineLevel="0" collapsed="false">
      <c r="A518" s="68" t="n">
        <f aca="false">9</f>
        <v>9</v>
      </c>
      <c r="B518" s="68" t="n">
        <f aca="false">34</f>
        <v>34</v>
      </c>
      <c r="C518" s="18" t="n">
        <f aca="false">Motore_Operativo!C518</f>
        <v>47392</v>
      </c>
      <c r="D518" s="68" t="n">
        <f aca="false">Motore_Operativo!D518</f>
        <v>2029</v>
      </c>
      <c r="E518" s="68" t="n">
        <f aca="false">Motore_Operativo!E518</f>
        <v>10</v>
      </c>
      <c r="F518" s="15" t="n">
        <f aca="false">Motore_Operativo!AQ518+Motore_Operativo!BF518</f>
        <v>75764.4560353218</v>
      </c>
      <c r="G518" s="15" t="n">
        <f aca="false">Motore_Operativo!BH518</f>
        <v>6050</v>
      </c>
      <c r="H518" s="15" t="n">
        <f aca="false">Motore_Operativo!BI518</f>
        <v>81814.4560353218</v>
      </c>
      <c r="I518" s="15" t="n">
        <f aca="false">Motore_Operativo!CA518</f>
        <v>117941.357178278</v>
      </c>
      <c r="J518" s="15" t="n">
        <f aca="false">Motore_Operativo!CC518</f>
        <v>-36126.9011429566</v>
      </c>
      <c r="K518" s="15" t="n">
        <f aca="false">Motore_Operativo!CE518</f>
        <v>2500</v>
      </c>
      <c r="L518" s="15" t="n">
        <f aca="false">SUM(INDEX($K$485:$K$544,MAX(1,34-Parametri_v3!$C$59+1)):K518)/Parametri_v3!$C$59</f>
        <v>1944.44444444444</v>
      </c>
      <c r="M518" s="15" t="n">
        <f aca="false">J518-L518</f>
        <v>-38071.345587401</v>
      </c>
      <c r="N518" s="15" t="n">
        <f aca="false">CD518-(CD517)</f>
        <v>0</v>
      </c>
      <c r="O518" s="15" t="n">
        <f aca="false">(BG517)*Ipotesi!$C$110/12+CH518*Parametri_v3!$C$39/12</f>
        <v>0</v>
      </c>
      <c r="P518" s="15" t="n">
        <f aca="false">M518+N518-O518</f>
        <v>-38071.345587401</v>
      </c>
      <c r="Q518" s="15" t="n">
        <f aca="false">SUM(P509:P518)+Parametri_v3!$C$54*10/12</f>
        <v>-471684.510461783</v>
      </c>
      <c r="R518" s="15" t="n">
        <f aca="false">Z508</f>
        <v>559322.467328716</v>
      </c>
      <c r="S518" s="15" t="n">
        <f aca="false">AA508</f>
        <v>0</v>
      </c>
      <c r="T518" s="15" t="n">
        <f aca="false">MIN(R518,MAX(0,Q518))</f>
        <v>0</v>
      </c>
      <c r="U518" s="15" t="n">
        <f aca="false">MIN(S518,MAX(0,Q518-T518)*Parametri_v3!$C$42)</f>
        <v>0</v>
      </c>
      <c r="V518" s="15" t="n">
        <f aca="false">MAX(0,Q518-T518-U518)*Ipotesi!$C$92</f>
        <v>0</v>
      </c>
      <c r="W518" s="15" t="n">
        <f aca="false">MAX(0,SUM(M509:M518)+Parametri_v3!$C$55*10/12)*Ipotesi!$C$93</f>
        <v>0</v>
      </c>
      <c r="X518" s="15" t="n">
        <f aca="false">V518+W518-(V517+W517)</f>
        <v>0</v>
      </c>
      <c r="Y518" s="15" t="n">
        <f aca="false">P518-X518</f>
        <v>-38071.345587401</v>
      </c>
      <c r="Z518" s="15" t="n">
        <f aca="false">R518-T518+IF(AND(Parametri_v3!$C$40=1,D518-YEAR(Parametri_v3!$C$50)&lt;Parametri_v3!$C$41),MAX(0,-Q518),0)</f>
        <v>1031006.9777905</v>
      </c>
      <c r="AA518" s="15" t="n">
        <f aca="false">S518-U518+IF(AND(Parametri_v3!$C$40=1,D518-YEAR(Parametri_v3!$C$50)&lt;Parametri_v3!$C$41),0,MAX(0,-Q518))</f>
        <v>0</v>
      </c>
      <c r="AB518" s="15" t="n">
        <f aca="false">F518*(1+Parametri_v3!$C$26)</f>
        <v>92432.6363630927</v>
      </c>
      <c r="AC518" s="15" t="n">
        <f aca="false">(IF(34-(INT((Motore_Operativo!L518)/30))&lt;1,0,INDEX(Motore_Startup!$AB$485:$AB$544,MAX(1,34-(INT((Motore_Operativo!L518)/30)))))*(1-(MOD((Motore_Operativo!L518),30)/30))+IF(34-(INT((Motore_Operativo!L518)/30))-1&lt;1,0,INDEX(Motore_Startup!$AB$485:$AB$544,MAX(1,34-(INT((Motore_Operativo!L518)/30))-1)))*(MOD((Motore_Operativo!L518),30)/30))</f>
        <v>82910.2916224086</v>
      </c>
      <c r="AD518" s="15" t="n">
        <f aca="false">(AD517)+AB518-AC518</f>
        <v>267831.301363152</v>
      </c>
      <c r="AE518" s="15" t="n">
        <f aca="false">Motore_Operativo!BH518*(1+Parametri_v3!$C$26)</f>
        <v>7381</v>
      </c>
      <c r="AF518" s="15" t="n">
        <f aca="false">(IF(34-(INT((Parametri_v3!$C$29)/30))&lt;1,0,INDEX(Motore_Operativo!$BH$485:$BH$544,MAX(1,34-(INT((Parametri_v3!$C$29)/30)))))*(1-(MOD((Parametri_v3!$C$29),30)/30))+IF(34-(INT((Parametri_v3!$C$29)/30))-1&lt;1,0,INDEX(Motore_Operativo!$BH$485:$BH$544,MAX(1,34-(INT((Parametri_v3!$C$29)/30))-1)))*(MOD((Parametri_v3!$C$29),30)/30))*(1+Parametri_v3!$C$26)</f>
        <v>7381</v>
      </c>
      <c r="AG518" s="15" t="n">
        <f aca="false">(AG517)+AE518-AF518</f>
        <v>7381</v>
      </c>
      <c r="AH518" s="15" t="n">
        <f aca="false">(Motore_Operativo!CJ518)*(1+Parametri_v3!$C$27*Parametri_v3!$C$26)</f>
        <v>51833.5486372831</v>
      </c>
      <c r="AI518" s="15" t="n">
        <f aca="false">(IF(34-(INT((Ipotesi!$C$91)/30))&lt;1,0,INDEX(Motore_Startup!$AH$485:$AH$544,MAX(1,34-(INT((Ipotesi!$C$91)/30)))))*(1-(MOD((Ipotesi!$C$91),30)/30))+IF(34-(INT((Ipotesi!$C$91)/30))-1&lt;1,0,INDEX(Motore_Startup!$AH$485:$AH$544,MAX(1,34-(INT((Ipotesi!$C$91)/30))-1)))*(MOD((Ipotesi!$C$91),30)/30))</f>
        <v>50972.6380904229</v>
      </c>
      <c r="AJ518" s="15" t="n">
        <f aca="false">(AJ517)+AH518-AI518</f>
        <v>103238.531696896</v>
      </c>
      <c r="AK518" s="15" t="n">
        <f aca="false">(F518+ Motore_Operativo!BH518-(Motore_Operativo!CJ518)*Parametri_v3!$C$27-Motore_Operativo!CE518)*Parametri_v3!$C$26</f>
        <v>9283.32220209941</v>
      </c>
      <c r="AL518" s="15" t="n">
        <f aca="false">MAX(0,(AM517))</f>
        <v>8783.47516717266</v>
      </c>
      <c r="AM518" s="15" t="n">
        <f aca="false">(AM517)+AK518-AL518</f>
        <v>9283.32220209941</v>
      </c>
      <c r="AN518" s="15" t="n">
        <f aca="false">SUM(X497:X508)</f>
        <v>0</v>
      </c>
      <c r="AO518" s="15" t="n">
        <f aca="false">SUM(AP497:AP508)</f>
        <v>0</v>
      </c>
      <c r="AP518" s="15" t="n">
        <f aca="false">MAX(0,AN518)*IF(10=Parametri_v3!$C$43,Parametri_v3!$C$45,IF(10=Parametri_v3!$C$44,1-Parametri_v3!$C$45,0))</f>
        <v>0</v>
      </c>
      <c r="AQ518" s="15" t="n">
        <f aca="false">MAX(0,AP518+IF(10=Parametri_v3!$C$43,MAX(0,AN518-AO518),0)-MAX(0,-(AR517)))</f>
        <v>0</v>
      </c>
      <c r="AR518" s="15" t="n">
        <f aca="false">(AR517)+X518-AQ518</f>
        <v>0</v>
      </c>
      <c r="AS518" s="15" t="n">
        <f aca="false">Motore_Operativo!AB518-AT518+AU518</f>
        <v>70559.9833333333</v>
      </c>
      <c r="AT518" s="15" t="n">
        <f aca="false">Motore_Operativo!CH518</f>
        <v>3713.68333333333</v>
      </c>
      <c r="AU518" s="15" t="n">
        <f aca="false">MIN(MAX(0,(AV517)+AT518),Parametri_v3!$C$60/12)</f>
        <v>0</v>
      </c>
      <c r="AV518" s="15" t="n">
        <f aca="false">(AV517)+AT518-AU518</f>
        <v>71744.3333333333</v>
      </c>
      <c r="AW518" s="15" t="n">
        <f aca="false">IF(AND(Motore_Operativo!C518=Finanziamenti!$D$6,Finanziamenti!$F$6=1),Finanziamenti!$C$6,0)</f>
        <v>0</v>
      </c>
      <c r="AX518" s="15" t="n">
        <f aca="false">IF(AND(9&lt;&gt;7,9&lt;&gt;9,Finanziamenti!$F$8=1,OR(Parametri_v3!$C$6=0,Finanziamenti!$E$8=1),Motore_Operativo!C518=EDATE(Finanziamenti!$D$8,Ipotesi!K15*12)),Finanziamenti!$C$8*1,0)+IF(AND(9&lt;&gt;7,9&lt;&gt;9,Finanziamenti!$F$9=1,OR(Parametri_v3!$C$6=0,Finanziamenti!$E$9=1),Motore_Operativo!C518=EDATE(Finanziamenti!$D$9,Ipotesi!K15*12)),Finanziamenti!$C$9*Ipotesi!K16,0)</f>
        <v>0</v>
      </c>
      <c r="AY518" s="15" t="n">
        <f aca="false">0</f>
        <v>0</v>
      </c>
      <c r="AZ518" s="15" t="n">
        <f aca="false">Motore_Advisory!AY518*(1-Ipotesi!$C$95)*Ipotesi!$C$96</f>
        <v>0</v>
      </c>
      <c r="BA518" s="15" t="n">
        <f aca="false">MAX(0,MIN(CG518*MIN(1,IF(Motore_Operativo!C518&gt;=EDATE(Finanziamenti!$D$15,Ipotesi!K14*12),Finanziamenti!$C$15,0)+IF(Motore_Operativo!C518&gt;=EDATE(Finanziamenti!$D$16,Ipotesi!K14*12),Finanziamenti!$C$16,0)+IF(Motore_Operativo!C518&gt;=EDATE(Finanziamenti!$D$17,Ipotesi!K14*12),Finanziamenti!$C$17,0)),CA518*Ipotesi!$C$102)-(CC517))</f>
        <v>0</v>
      </c>
      <c r="BB518" s="15" t="n">
        <f aca="false">IF(AND(CF518&gt;0,Motore_Operativo!C518&gt;=IF(CF518=0,0,EDATE(CF518,Parametri_v3!$C$37)),MOD(((D518-YEAR(IF(CF518=0,0,EDATE(CF518,Parametri_v3!$C$37))))*12+E518-MONTH(IF(CF518=0,0,EDATE(CF518,Parametri_v3!$C$37)))),Parametri_v3!$C$38)=0),MIN(MAX(0,(BC517)+BA518-N518),(CC518-CD518)/(Ipotesi!$C$108*12/Parametri_v3!$C$38)),0)</f>
        <v>0</v>
      </c>
      <c r="BC518" s="15" t="n">
        <f aca="false">(BC517)+BA518-N518-BB518</f>
        <v>0</v>
      </c>
      <c r="BD518" s="15" t="n">
        <f aca="false">(BH517)+AC518+AF518-AI518-AS518-K518*(1+Parametri_v3!$C$26)-AL518-AQ518-O518+AW518+AX518+AZ518+BA518-BB518</f>
        <v>-1030841.98081021</v>
      </c>
      <c r="BE518" s="15" t="n">
        <f aca="false">MAX(0,MIN(MAX(0,CH518-(BG517)),Parametri_v3!$C$30-BD518))</f>
        <v>0</v>
      </c>
      <c r="BF518" s="15" t="n">
        <f aca="false">IF(Motore_Operativo!C518&gt;=Parametri_v3!$C$63,(BG517),MIN((BG517),MAX(0,BD518-Parametri_v3!$C$30)))</f>
        <v>0</v>
      </c>
      <c r="BG518" s="15" t="n">
        <f aca="false">(BG517)+BE518-BF518</f>
        <v>0</v>
      </c>
      <c r="BH518" s="15" t="n">
        <f aca="false">BD518+BE518-BF518-AY518</f>
        <v>-1030841.98081021</v>
      </c>
      <c r="BI518" s="15" t="n">
        <f aca="false">MAX(0,Parametri_v3!$C$30-BH518)</f>
        <v>1055841.98081021</v>
      </c>
      <c r="BJ518" s="15" t="n">
        <f aca="false">(BJ517)+K518</f>
        <v>70000</v>
      </c>
      <c r="BK518" s="15" t="n">
        <f aca="false">(BK517)+L518</f>
        <v>31111.1111111111</v>
      </c>
      <c r="BL518" s="15" t="n">
        <f aca="false">BJ518-BK518</f>
        <v>38888.8888888889</v>
      </c>
      <c r="BM518" s="15" t="n">
        <f aca="false">(BM517)+Y518</f>
        <v>-1031006.9777905</v>
      </c>
      <c r="BN518" s="15" t="n">
        <f aca="false">(BN517)+AW518+AX518+AZ518</f>
        <v>130000</v>
      </c>
      <c r="BO518" s="15" t="n">
        <f aca="false">(BO517)+AY518</f>
        <v>0</v>
      </c>
      <c r="BP518" s="15" t="n">
        <f aca="false">0</f>
        <v>0</v>
      </c>
      <c r="BQ518" s="15" t="n">
        <f aca="false">BN518+BM518-BO518</f>
        <v>-901006.977790499</v>
      </c>
      <c r="BR518" s="15" t="n">
        <f aca="false">BH518+AD518+BL518+MAX(0,-AM518)+MAX(0,-AR518)+AG518</f>
        <v>-716740.790558171</v>
      </c>
      <c r="BS518" s="15" t="n">
        <f aca="false">AJ518+AV518+MAX(0,AM518)+MAX(0,AR518)+BC518+BG518+BQ518</f>
        <v>-716740.79055817</v>
      </c>
      <c r="BT518" s="15" t="n">
        <f aca="false">BR518-BS518</f>
        <v>0</v>
      </c>
      <c r="BU518" s="15" t="n">
        <f aca="false">BH518-(BD518+BE518-BF518-AY518)</f>
        <v>0</v>
      </c>
      <c r="BV518" s="15" t="n">
        <f aca="false">MIN(Piano_SS!$C$6,(BV517)+IF(AND(Motore_Operativo!C518&gt;=EDATE(Parametri_v3!$C$24,Ipotesi!K14*12),Motore_Operativo!C518&lt;EDATE(Parametri_v3!$C$24,Parametri_v3!$C$25+Ipotesi!K14*12)),MAX(0,(Motore_Operativo!Y518+Motore_Operativo!X518*Parametri_v3!$C$14)*(1-Parametri_v3!$C$32))*Piano_SS!$D$6,0))</f>
        <v>300000</v>
      </c>
      <c r="BW518" s="15" t="n">
        <f aca="false">MIN(Piano_SS!$C$7,(BW517)+IF(AND(Motore_Operativo!C518&gt;=EDATE(Parametri_v3!$C$24,Ipotesi!K14*12),Motore_Operativo!C518&lt;EDATE(Parametri_v3!$C$24,Parametri_v3!$C$25+Ipotesi!K14*12)),MAX(0,(IF(34-(INT((Ipotesi!$C$91)/30))&lt;1,0,INDEX(Motore_Operativo!$BN$485:$BN$544,MAX(1,34-(INT((Ipotesi!$C$91)/30)))))*(1-(MOD((Ipotesi!$C$91),30)/30))+IF(34-(INT((Ipotesi!$C$91)/30))-1&lt;1,0,INDEX(Motore_Operativo!$BN$485:$BN$544,MAX(1,34-(INT((Ipotesi!$C$91)/30))-1)))*(MOD((Ipotesi!$C$91),30)/30)))*Piano_SS!$D$7,0))</f>
        <v>41058.9230070837</v>
      </c>
      <c r="BX518" s="15" t="n">
        <f aca="false">MIN(Piano_SS!$C$8,(BX517)+IF(AND(Motore_Operativo!C518&gt;=EDATE(Parametri_v3!$C$24,Ipotesi!K14*12),Motore_Operativo!C518&lt;EDATE(Parametri_v3!$C$24,Parametri_v3!$C$25+Ipotesi!K14*12)),MAX(0,Motore_Operativo!CE518)*Piano_SS!$D$8,0))</f>
        <v>50000</v>
      </c>
      <c r="BY518" s="15" t="n">
        <f aca="false">MIN(Piano_SS!$C$9,(BY517)+IF(AND(Motore_Operativo!C518&gt;=EDATE(Parametri_v3!$C$24,Ipotesi!K14*12),Motore_Operativo!C518&lt;EDATE(Parametri_v3!$C$24,Parametri_v3!$C$25+Ipotesi!K14*12)),MAX(0,((IF(34-(INT((Ipotesi!$C$91)/30))&lt;1,0,INDEX(Motore_Operativo!$BQ$485:$BQ$544,MAX(1,34-(INT((Ipotesi!$C$91)/30)))))*(1-(MOD((Ipotesi!$C$91),30)/30))+IF(34-(INT((Ipotesi!$C$91)/30))-1&lt;1,0,INDEX(Motore_Operativo!$BQ$485:$BQ$544,MAX(1,34-(INT((Ipotesi!$C$91)/30))-1)))*(MOD((Ipotesi!$C$91),30)/30))+(IF(34-(INT((Ipotesi!$C$91)/30))&lt;1,0,INDEX(Motore_Operativo!$BR$485:$BR$544,MAX(1,34-(INT((Ipotesi!$C$91)/30)))))*(1-(MOD((Ipotesi!$C$91),30)/30))+IF(34-(INT((Ipotesi!$C$91)/30))-1&lt;1,0,INDEX(Motore_Operativo!$BR$485:$BR$544,MAX(1,34-(INT((Ipotesi!$C$91)/30))-1)))*(MOD((Ipotesi!$C$91),30)/30))))*Piano_SS!$D$9,0))</f>
        <v>40000</v>
      </c>
      <c r="BZ518" s="15" t="n">
        <f aca="false">MIN(Piano_SS!$C$10,(BZ517)+IF(AND(Motore_Operativo!C518&gt;=EDATE(Parametri_v3!$C$24,Ipotesi!K14*12),Motore_Operativo!C518&lt;EDATE(Parametri_v3!$C$24,Parametri_v3!$C$25+Ipotesi!K14*12)),MAX(0,(IF(34-(INT((Ipotesi!$C$91)/30))&lt;1,0,INDEX(Motore_Operativo!$BO$485:$BO$544,MAX(1,34-(INT((Ipotesi!$C$91)/30)))))*(1-(MOD((Ipotesi!$C$91),30)/30))+IF(34-(INT((Ipotesi!$C$91)/30))-1&lt;1,0,INDEX(Motore_Operativo!$BO$485:$BO$544,MAX(1,34-(INT((Ipotesi!$C$91)/30))-1)))*(MOD((Ipotesi!$C$91),30)/30)))*Piano_SS!$D$10,0))</f>
        <v>30000</v>
      </c>
      <c r="CA518" s="15" t="n">
        <f aca="false">SUM(BV518:BZ518)</f>
        <v>461058.923007084</v>
      </c>
      <c r="CB518" s="15" t="n">
        <f aca="false">BV518*(1-Piano_SS!$E$6)+BW518*(1-Piano_SS!$E$7)+BX518*(1-Piano_SS!$E$8)+BY518*(1-Piano_SS!$E$9)+BZ518*(1-Piano_SS!$E$10)</f>
        <v>431058.923007084</v>
      </c>
      <c r="CC518" s="15" t="n">
        <f aca="false">(CC517)+BA518</f>
        <v>0</v>
      </c>
      <c r="CD518" s="15" t="n">
        <f aca="false">IF(CA518=0,0,CC518*CB518/CA518*Ipotesi!$C$103*Parametri_v3!$C$64)</f>
        <v>0</v>
      </c>
      <c r="CE518" s="18" t="n">
        <f aca="false">IF(BA518&gt;0,Motore_Operativo!C518,(CE517))</f>
        <v>0</v>
      </c>
      <c r="CF518" s="18" t="n">
        <f aca="false">IF(AND(CC518&gt;0,OR(CC518&gt;=CG518-0.01,Motore_Operativo!C518&gt;=EDATE(MAX(Finanziamenti!$D$15:$D$17),Ipotesi!K14*12))),CE518,0)</f>
        <v>0</v>
      </c>
      <c r="CG518" s="15" t="n">
        <f aca="false">IF(AND(9&lt;&gt;6,9&lt;&gt;9,Finanziamenti!$F$11=1,OR(Parametri_v3!$C$6=0,Finanziamenti!$E$11=1)),MIN(Finanziamenti!$C$11,Piano_SS!$C$12*Ipotesi!$C$102),0)</f>
        <v>0</v>
      </c>
      <c r="CH518" s="15" t="n">
        <f aca="false">IF(AND(AND(9&lt;&gt;8,9&lt;&gt;9,Finanziamenti!$F$10=1,OR(Parametri_v3!$C$6=0,Finanziamenti!$E$10=1)),Motore_Operativo!C518&gt;=Finanziamenti!$D$10,Motore_Operativo!C518&lt;Parametri_v3!$C$63),Finanziamenti!$C$10,0)</f>
        <v>0</v>
      </c>
    </row>
    <row r="519" customFormat="false" ht="18" hidden="false" customHeight="true" outlineLevel="0" collapsed="false">
      <c r="A519" s="68" t="n">
        <f aca="false">9</f>
        <v>9</v>
      </c>
      <c r="B519" s="68" t="n">
        <f aca="false">35</f>
        <v>35</v>
      </c>
      <c r="C519" s="18" t="n">
        <f aca="false">Motore_Operativo!C519</f>
        <v>47423</v>
      </c>
      <c r="D519" s="68" t="n">
        <f aca="false">Motore_Operativo!D519</f>
        <v>2029</v>
      </c>
      <c r="E519" s="68" t="n">
        <f aca="false">Motore_Operativo!E519</f>
        <v>11</v>
      </c>
      <c r="F519" s="15" t="n">
        <f aca="false">Motore_Operativo!AQ519+Motore_Operativo!BF519</f>
        <v>78320.8360095792</v>
      </c>
      <c r="G519" s="15" t="n">
        <f aca="false">Motore_Operativo!BH519</f>
        <v>6050</v>
      </c>
      <c r="H519" s="15" t="n">
        <f aca="false">Motore_Operativo!BI519</f>
        <v>84370.8360095792</v>
      </c>
      <c r="I519" s="15" t="n">
        <f aca="false">Motore_Operativo!CA519</f>
        <v>118299.250374674</v>
      </c>
      <c r="J519" s="15" t="n">
        <f aca="false">Motore_Operativo!CC519</f>
        <v>-33928.4143650952</v>
      </c>
      <c r="K519" s="15" t="n">
        <f aca="false">Motore_Operativo!CE519</f>
        <v>2500</v>
      </c>
      <c r="L519" s="15" t="n">
        <f aca="false">SUM(INDEX($K$485:$K$544,MAX(1,35-Parametri_v3!$C$59+1)):K519)/Parametri_v3!$C$59</f>
        <v>2013.88888888889</v>
      </c>
      <c r="M519" s="15" t="n">
        <f aca="false">J519-L519</f>
        <v>-35942.3032539841</v>
      </c>
      <c r="N519" s="15" t="n">
        <f aca="false">CD519-(CD518)</f>
        <v>0</v>
      </c>
      <c r="O519" s="15" t="n">
        <f aca="false">(BG518)*Ipotesi!$C$110/12+CH519*Parametri_v3!$C$39/12</f>
        <v>0</v>
      </c>
      <c r="P519" s="15" t="n">
        <f aca="false">M519+N519-O519</f>
        <v>-35942.3032539841</v>
      </c>
      <c r="Q519" s="15" t="n">
        <f aca="false">SUM(P509:P519)+Parametri_v3!$C$54*11/12</f>
        <v>-507626.813715767</v>
      </c>
      <c r="R519" s="15" t="n">
        <f aca="false">Z508</f>
        <v>559322.467328716</v>
      </c>
      <c r="S519" s="15" t="n">
        <f aca="false">AA508</f>
        <v>0</v>
      </c>
      <c r="T519" s="15" t="n">
        <f aca="false">MIN(R519,MAX(0,Q519))</f>
        <v>0</v>
      </c>
      <c r="U519" s="15" t="n">
        <f aca="false">MIN(S519,MAX(0,Q519-T519)*Parametri_v3!$C$42)</f>
        <v>0</v>
      </c>
      <c r="V519" s="15" t="n">
        <f aca="false">MAX(0,Q519-T519-U519)*Ipotesi!$C$92</f>
        <v>0</v>
      </c>
      <c r="W519" s="15" t="n">
        <f aca="false">MAX(0,SUM(M509:M519)+Parametri_v3!$C$55*11/12)*Ipotesi!$C$93</f>
        <v>0</v>
      </c>
      <c r="X519" s="15" t="n">
        <f aca="false">V519+W519-(V518+W518)</f>
        <v>0</v>
      </c>
      <c r="Y519" s="15" t="n">
        <f aca="false">P519-X519</f>
        <v>-35942.3032539841</v>
      </c>
      <c r="Z519" s="15" t="n">
        <f aca="false">R519-T519+IF(AND(Parametri_v3!$C$40=1,D519-YEAR(Parametri_v3!$C$50)&lt;Parametri_v3!$C$41),MAX(0,-Q519),0)</f>
        <v>1066949.28104448</v>
      </c>
      <c r="AA519" s="15" t="n">
        <f aca="false">S519-U519+IF(AND(Parametri_v3!$C$40=1,D519-YEAR(Parametri_v3!$C$50)&lt;Parametri_v3!$C$41),0,MAX(0,-Q519))</f>
        <v>0</v>
      </c>
      <c r="AB519" s="15" t="n">
        <f aca="false">F519*(1+Parametri_v3!$C$26)</f>
        <v>95551.4199316866</v>
      </c>
      <c r="AC519" s="15" t="n">
        <f aca="false">(IF(35-(INT((Motore_Operativo!L519)/30))&lt;1,0,INDEX(Motore_Startup!$AB$485:$AB$544,MAX(1,35-(INT((Motore_Operativo!L519)/30)))))*(1-(MOD((Motore_Operativo!L519),30)/30))+IF(35-(INT((Motore_Operativo!L519)/30))-1&lt;1,0,INDEX(Motore_Startup!$AB$485:$AB$544,MAX(1,35-(INT((Motore_Operativo!L519)/30))-1)))*(MOD((Motore_Operativo!L519),30)/30))</f>
        <v>86112.3158241022</v>
      </c>
      <c r="AD519" s="15" t="n">
        <f aca="false">(AD518)+AB519-AC519</f>
        <v>277270.405470736</v>
      </c>
      <c r="AE519" s="15" t="n">
        <f aca="false">Motore_Operativo!BH519*(1+Parametri_v3!$C$26)</f>
        <v>7381</v>
      </c>
      <c r="AF519" s="15" t="n">
        <f aca="false">(IF(35-(INT((Parametri_v3!$C$29)/30))&lt;1,0,INDEX(Motore_Operativo!$BH$485:$BH$544,MAX(1,35-(INT((Parametri_v3!$C$29)/30)))))*(1-(MOD((Parametri_v3!$C$29),30)/30))+IF(35-(INT((Parametri_v3!$C$29)/30))-1&lt;1,0,INDEX(Motore_Operativo!$BH$485:$BH$544,MAX(1,35-(INT((Parametri_v3!$C$29)/30))-1)))*(MOD((Parametri_v3!$C$29),30)/30))*(1+Parametri_v3!$C$26)</f>
        <v>7381</v>
      </c>
      <c r="AG519" s="15" t="n">
        <f aca="false">(AG518)+AE519-AF519</f>
        <v>7381</v>
      </c>
      <c r="AH519" s="15" t="n">
        <f aca="false">(Motore_Operativo!CJ519)*(1+Parametri_v3!$C$27*Parametri_v3!$C$26)</f>
        <v>52258.3678614052</v>
      </c>
      <c r="AI519" s="15" t="n">
        <f aca="false">(IF(35-(INT((Ipotesi!$C$91)/30))&lt;1,0,INDEX(Motore_Startup!$AH$485:$AH$544,MAX(1,35-(INT((Ipotesi!$C$91)/30)))))*(1-(MOD((Ipotesi!$C$91),30)/30))+IF(35-(INT((Ipotesi!$C$91)/30))-1&lt;1,0,INDEX(Motore_Startup!$AH$485:$AH$544,MAX(1,35-(INT((Ipotesi!$C$91)/30))-1)))*(MOD((Ipotesi!$C$91),30)/30))</f>
        <v>51404.9830596125</v>
      </c>
      <c r="AJ519" s="15" t="n">
        <f aca="false">(AJ518)+AH519-AI519</f>
        <v>104091.916498688</v>
      </c>
      <c r="AK519" s="15" t="n">
        <f aca="false">(F519+ Motore_Operativo!BH519-(Motore_Operativo!CJ519)*Parametri_v3!$C$27-Motore_Operativo!CE519)*Parametri_v3!$C$26</f>
        <v>9778.79976870998</v>
      </c>
      <c r="AL519" s="15" t="n">
        <f aca="false">MAX(0,(AM518))</f>
        <v>9283.32220209941</v>
      </c>
      <c r="AM519" s="15" t="n">
        <f aca="false">(AM518)+AK519-AL519</f>
        <v>9778.79976870997</v>
      </c>
      <c r="AN519" s="15" t="n">
        <f aca="false">SUM(X497:X508)</f>
        <v>0</v>
      </c>
      <c r="AO519" s="15" t="n">
        <f aca="false">SUM(AP497:AP508)</f>
        <v>0</v>
      </c>
      <c r="AP519" s="15" t="n">
        <f aca="false">MAX(0,AN519)*IF(11=Parametri_v3!$C$43,Parametri_v3!$C$45,IF(11=Parametri_v3!$C$44,1-Parametri_v3!$C$45,0))</f>
        <v>0</v>
      </c>
      <c r="AQ519" s="15" t="n">
        <f aca="false">MAX(0,AP519+IF(11=Parametri_v3!$C$43,MAX(0,AN519-AO519),0)-MAX(0,-(AR518)))</f>
        <v>0</v>
      </c>
      <c r="AR519" s="15" t="n">
        <f aca="false">(AR518)+X519-AQ519</f>
        <v>0</v>
      </c>
      <c r="AS519" s="15" t="n">
        <f aca="false">Motore_Operativo!AB519-AT519+AU519</f>
        <v>70559.9833333333</v>
      </c>
      <c r="AT519" s="15" t="n">
        <f aca="false">Motore_Operativo!CH519</f>
        <v>3713.68333333333</v>
      </c>
      <c r="AU519" s="15" t="n">
        <f aca="false">MIN(MAX(0,(AV518)+AT519),Parametri_v3!$C$60/12)</f>
        <v>0</v>
      </c>
      <c r="AV519" s="15" t="n">
        <f aca="false">(AV518)+AT519-AU519</f>
        <v>75458.0166666667</v>
      </c>
      <c r="AW519" s="15" t="n">
        <f aca="false">IF(AND(Motore_Operativo!C519=Finanziamenti!$D$6,Finanziamenti!$F$6=1),Finanziamenti!$C$6,0)</f>
        <v>0</v>
      </c>
      <c r="AX519" s="15" t="n">
        <f aca="false">IF(AND(9&lt;&gt;7,9&lt;&gt;9,Finanziamenti!$F$8=1,OR(Parametri_v3!$C$6=0,Finanziamenti!$E$8=1),Motore_Operativo!C519=EDATE(Finanziamenti!$D$8,Ipotesi!K15*12)),Finanziamenti!$C$8*1,0)+IF(AND(9&lt;&gt;7,9&lt;&gt;9,Finanziamenti!$F$9=1,OR(Parametri_v3!$C$6=0,Finanziamenti!$E$9=1),Motore_Operativo!C519=EDATE(Finanziamenti!$D$9,Ipotesi!K15*12)),Finanziamenti!$C$9*Ipotesi!K16,0)</f>
        <v>0</v>
      </c>
      <c r="AY519" s="15" t="n">
        <f aca="false">0</f>
        <v>0</v>
      </c>
      <c r="AZ519" s="15" t="n">
        <f aca="false">Motore_Advisory!AY519*(1-Ipotesi!$C$95)*Ipotesi!$C$96</f>
        <v>0</v>
      </c>
      <c r="BA519" s="15" t="n">
        <f aca="false">MAX(0,MIN(CG519*MIN(1,IF(Motore_Operativo!C519&gt;=EDATE(Finanziamenti!$D$15,Ipotesi!K14*12),Finanziamenti!$C$15,0)+IF(Motore_Operativo!C519&gt;=EDATE(Finanziamenti!$D$16,Ipotesi!K14*12),Finanziamenti!$C$16,0)+IF(Motore_Operativo!C519&gt;=EDATE(Finanziamenti!$D$17,Ipotesi!K14*12),Finanziamenti!$C$17,0)),CA519*Ipotesi!$C$102)-(CC518))</f>
        <v>0</v>
      </c>
      <c r="BB519" s="15" t="n">
        <f aca="false">IF(AND(CF519&gt;0,Motore_Operativo!C519&gt;=IF(CF519=0,0,EDATE(CF519,Parametri_v3!$C$37)),MOD(((D519-YEAR(IF(CF519=0,0,EDATE(CF519,Parametri_v3!$C$37))))*12+E519-MONTH(IF(CF519=0,0,EDATE(CF519,Parametri_v3!$C$37)))),Parametri_v3!$C$38)=0),MIN(MAX(0,(BC518)+BA519-N519),(CC519-CD519)/(Ipotesi!$C$108*12/Parametri_v3!$C$38)),0)</f>
        <v>0</v>
      </c>
      <c r="BC519" s="15" t="n">
        <f aca="false">(BC518)+BA519-N519-BB519</f>
        <v>0</v>
      </c>
      <c r="BD519" s="15" t="n">
        <f aca="false">(BH518)+AC519+AF519-AI519-AS519-K519*(1+Parametri_v3!$C$26)-AL519-AQ519-O519+AW519+AX519+AZ519+BA519-BB519</f>
        <v>-1071646.95358115</v>
      </c>
      <c r="BE519" s="15" t="n">
        <f aca="false">MAX(0,MIN(MAX(0,CH519-(BG518)),Parametri_v3!$C$30-BD519))</f>
        <v>0</v>
      </c>
      <c r="BF519" s="15" t="n">
        <f aca="false">IF(Motore_Operativo!C519&gt;=Parametri_v3!$C$63,(BG518),MIN((BG518),MAX(0,BD519-Parametri_v3!$C$30)))</f>
        <v>0</v>
      </c>
      <c r="BG519" s="15" t="n">
        <f aca="false">(BG518)+BE519-BF519</f>
        <v>0</v>
      </c>
      <c r="BH519" s="15" t="n">
        <f aca="false">BD519+BE519-BF519-AY519</f>
        <v>-1071646.95358115</v>
      </c>
      <c r="BI519" s="15" t="n">
        <f aca="false">MAX(0,Parametri_v3!$C$30-BH519)</f>
        <v>1096646.95358115</v>
      </c>
      <c r="BJ519" s="15" t="n">
        <f aca="false">(BJ518)+K519</f>
        <v>72500</v>
      </c>
      <c r="BK519" s="15" t="n">
        <f aca="false">(BK518)+L519</f>
        <v>33125</v>
      </c>
      <c r="BL519" s="15" t="n">
        <f aca="false">BJ519-BK519</f>
        <v>39375</v>
      </c>
      <c r="BM519" s="15" t="n">
        <f aca="false">(BM518)+Y519</f>
        <v>-1066949.28104448</v>
      </c>
      <c r="BN519" s="15" t="n">
        <f aca="false">(BN518)+AW519+AX519+AZ519</f>
        <v>130000</v>
      </c>
      <c r="BO519" s="15" t="n">
        <f aca="false">(BO518)+AY519</f>
        <v>0</v>
      </c>
      <c r="BP519" s="15" t="n">
        <f aca="false">0</f>
        <v>0</v>
      </c>
      <c r="BQ519" s="15" t="n">
        <f aca="false">BN519+BM519-BO519</f>
        <v>-936949.281044483</v>
      </c>
      <c r="BR519" s="15" t="n">
        <f aca="false">BH519+AD519+BL519+MAX(0,-AM519)+MAX(0,-AR519)+AG519</f>
        <v>-747620.548110418</v>
      </c>
      <c r="BS519" s="15" t="n">
        <f aca="false">AJ519+AV519+MAX(0,AM519)+MAX(0,AR519)+BC519+BG519+BQ519</f>
        <v>-747620.548110418</v>
      </c>
      <c r="BT519" s="15" t="n">
        <f aca="false">BR519-BS519</f>
        <v>0</v>
      </c>
      <c r="BU519" s="15" t="n">
        <f aca="false">BH519-(BD519+BE519-BF519-AY519)</f>
        <v>0</v>
      </c>
      <c r="BV519" s="15" t="n">
        <f aca="false">MIN(Piano_SS!$C$6,(BV518)+IF(AND(Motore_Operativo!C519&gt;=EDATE(Parametri_v3!$C$24,Ipotesi!K14*12),Motore_Operativo!C519&lt;EDATE(Parametri_v3!$C$24,Parametri_v3!$C$25+Ipotesi!K14*12)),MAX(0,(Motore_Operativo!Y519+Motore_Operativo!X519*Parametri_v3!$C$14)*(1-Parametri_v3!$C$32))*Piano_SS!$D$6,0))</f>
        <v>300000</v>
      </c>
      <c r="BW519" s="15" t="n">
        <f aca="false">MIN(Piano_SS!$C$7,(BW518)+IF(AND(Motore_Operativo!C519&gt;=EDATE(Parametri_v3!$C$24,Ipotesi!K14*12),Motore_Operativo!C519&lt;EDATE(Parametri_v3!$C$24,Parametri_v3!$C$25+Ipotesi!K14*12)),MAX(0,(IF(35-(INT((Ipotesi!$C$91)/30))&lt;1,0,INDEX(Motore_Operativo!$BN$485:$BN$544,MAX(1,35-(INT((Ipotesi!$C$91)/30)))))*(1-(MOD((Ipotesi!$C$91),30)/30))+IF(35-(INT((Ipotesi!$C$91)/30))-1&lt;1,0,INDEX(Motore_Operativo!$BN$485:$BN$544,MAX(1,35-(INT((Ipotesi!$C$91)/30))-1)))*(MOD((Ipotesi!$C$91),30)/30)))*Piano_SS!$D$7,0))</f>
        <v>41058.9230070837</v>
      </c>
      <c r="BX519" s="15" t="n">
        <f aca="false">MIN(Piano_SS!$C$8,(BX518)+IF(AND(Motore_Operativo!C519&gt;=EDATE(Parametri_v3!$C$24,Ipotesi!K14*12),Motore_Operativo!C519&lt;EDATE(Parametri_v3!$C$24,Parametri_v3!$C$25+Ipotesi!K14*12)),MAX(0,Motore_Operativo!CE519)*Piano_SS!$D$8,0))</f>
        <v>50000</v>
      </c>
      <c r="BY519" s="15" t="n">
        <f aca="false">MIN(Piano_SS!$C$9,(BY518)+IF(AND(Motore_Operativo!C519&gt;=EDATE(Parametri_v3!$C$24,Ipotesi!K14*12),Motore_Operativo!C519&lt;EDATE(Parametri_v3!$C$24,Parametri_v3!$C$25+Ipotesi!K14*12)),MAX(0,((IF(35-(INT((Ipotesi!$C$91)/30))&lt;1,0,INDEX(Motore_Operativo!$BQ$485:$BQ$544,MAX(1,35-(INT((Ipotesi!$C$91)/30)))))*(1-(MOD((Ipotesi!$C$91),30)/30))+IF(35-(INT((Ipotesi!$C$91)/30))-1&lt;1,0,INDEX(Motore_Operativo!$BQ$485:$BQ$544,MAX(1,35-(INT((Ipotesi!$C$91)/30))-1)))*(MOD((Ipotesi!$C$91),30)/30))+(IF(35-(INT((Ipotesi!$C$91)/30))&lt;1,0,INDEX(Motore_Operativo!$BR$485:$BR$544,MAX(1,35-(INT((Ipotesi!$C$91)/30)))))*(1-(MOD((Ipotesi!$C$91),30)/30))+IF(35-(INT((Ipotesi!$C$91)/30))-1&lt;1,0,INDEX(Motore_Operativo!$BR$485:$BR$544,MAX(1,35-(INT((Ipotesi!$C$91)/30))-1)))*(MOD((Ipotesi!$C$91),30)/30))))*Piano_SS!$D$9,0))</f>
        <v>40000</v>
      </c>
      <c r="BZ519" s="15" t="n">
        <f aca="false">MIN(Piano_SS!$C$10,(BZ518)+IF(AND(Motore_Operativo!C519&gt;=EDATE(Parametri_v3!$C$24,Ipotesi!K14*12),Motore_Operativo!C519&lt;EDATE(Parametri_v3!$C$24,Parametri_v3!$C$25+Ipotesi!K14*12)),MAX(0,(IF(35-(INT((Ipotesi!$C$91)/30))&lt;1,0,INDEX(Motore_Operativo!$BO$485:$BO$544,MAX(1,35-(INT((Ipotesi!$C$91)/30)))))*(1-(MOD((Ipotesi!$C$91),30)/30))+IF(35-(INT((Ipotesi!$C$91)/30))-1&lt;1,0,INDEX(Motore_Operativo!$BO$485:$BO$544,MAX(1,35-(INT((Ipotesi!$C$91)/30))-1)))*(MOD((Ipotesi!$C$91),30)/30)))*Piano_SS!$D$10,0))</f>
        <v>30000</v>
      </c>
      <c r="CA519" s="15" t="n">
        <f aca="false">SUM(BV519:BZ519)</f>
        <v>461058.923007084</v>
      </c>
      <c r="CB519" s="15" t="n">
        <f aca="false">BV519*(1-Piano_SS!$E$6)+BW519*(1-Piano_SS!$E$7)+BX519*(1-Piano_SS!$E$8)+BY519*(1-Piano_SS!$E$9)+BZ519*(1-Piano_SS!$E$10)</f>
        <v>431058.923007084</v>
      </c>
      <c r="CC519" s="15" t="n">
        <f aca="false">(CC518)+BA519</f>
        <v>0</v>
      </c>
      <c r="CD519" s="15" t="n">
        <f aca="false">IF(CA519=0,0,CC519*CB519/CA519*Ipotesi!$C$103*Parametri_v3!$C$64)</f>
        <v>0</v>
      </c>
      <c r="CE519" s="18" t="n">
        <f aca="false">IF(BA519&gt;0,Motore_Operativo!C519,(CE518))</f>
        <v>0</v>
      </c>
      <c r="CF519" s="18" t="n">
        <f aca="false">IF(AND(CC519&gt;0,OR(CC519&gt;=CG519-0.01,Motore_Operativo!C519&gt;=EDATE(MAX(Finanziamenti!$D$15:$D$17),Ipotesi!K14*12))),CE519,0)</f>
        <v>0</v>
      </c>
      <c r="CG519" s="15" t="n">
        <f aca="false">IF(AND(9&lt;&gt;6,9&lt;&gt;9,Finanziamenti!$F$11=1,OR(Parametri_v3!$C$6=0,Finanziamenti!$E$11=1)),MIN(Finanziamenti!$C$11,Piano_SS!$C$12*Ipotesi!$C$102),0)</f>
        <v>0</v>
      </c>
      <c r="CH519" s="15" t="n">
        <f aca="false">IF(AND(AND(9&lt;&gt;8,9&lt;&gt;9,Finanziamenti!$F$10=1,OR(Parametri_v3!$C$6=0,Finanziamenti!$E$10=1)),Motore_Operativo!C519&gt;=Finanziamenti!$D$10,Motore_Operativo!C519&lt;Parametri_v3!$C$63),Finanziamenti!$C$10,0)</f>
        <v>0</v>
      </c>
    </row>
    <row r="520" customFormat="false" ht="18" hidden="false" customHeight="true" outlineLevel="0" collapsed="false">
      <c r="A520" s="68" t="n">
        <f aca="false">9</f>
        <v>9</v>
      </c>
      <c r="B520" s="68" t="n">
        <f aca="false">36</f>
        <v>36</v>
      </c>
      <c r="C520" s="18" t="n">
        <f aca="false">Motore_Operativo!C520</f>
        <v>47453</v>
      </c>
      <c r="D520" s="68" t="n">
        <f aca="false">Motore_Operativo!D520</f>
        <v>2029</v>
      </c>
      <c r="E520" s="68" t="n">
        <f aca="false">Motore_Operativo!E520</f>
        <v>12</v>
      </c>
      <c r="F520" s="15" t="n">
        <f aca="false">Motore_Operativo!AQ520+Motore_Operativo!BF520</f>
        <v>80854.8691046492</v>
      </c>
      <c r="G520" s="15" t="n">
        <f aca="false">Motore_Operativo!BH520</f>
        <v>6050</v>
      </c>
      <c r="H520" s="15" t="n">
        <f aca="false">Motore_Operativo!BI520</f>
        <v>86904.8691046492</v>
      </c>
      <c r="I520" s="15" t="n">
        <f aca="false">Motore_Operativo!CA520</f>
        <v>118654.015007984</v>
      </c>
      <c r="J520" s="15" t="n">
        <f aca="false">Motore_Operativo!CC520</f>
        <v>-31749.145903335</v>
      </c>
      <c r="K520" s="15" t="n">
        <f aca="false">Motore_Operativo!CE520</f>
        <v>2500</v>
      </c>
      <c r="L520" s="15" t="n">
        <f aca="false">SUM(INDEX($K$485:$K$544,MAX(1,36-Parametri_v3!$C$59+1)):K520)/Parametri_v3!$C$59</f>
        <v>2083.33333333333</v>
      </c>
      <c r="M520" s="15" t="n">
        <f aca="false">J520-L520</f>
        <v>-33832.4792366684</v>
      </c>
      <c r="N520" s="15" t="n">
        <f aca="false">CD520-(CD519)</f>
        <v>0</v>
      </c>
      <c r="O520" s="15" t="n">
        <f aca="false">(BG519)*Ipotesi!$C$110/12+CH520*Parametri_v3!$C$39/12</f>
        <v>0</v>
      </c>
      <c r="P520" s="15" t="n">
        <f aca="false">M520+N520-O520</f>
        <v>-33832.4792366684</v>
      </c>
      <c r="Q520" s="15" t="n">
        <f aca="false">SUM(P509:P520)+Parametri_v3!$C$54*12/12</f>
        <v>-541459.292952436</v>
      </c>
      <c r="R520" s="15" t="n">
        <f aca="false">Z508</f>
        <v>559322.467328716</v>
      </c>
      <c r="S520" s="15" t="n">
        <f aca="false">AA508</f>
        <v>0</v>
      </c>
      <c r="T520" s="15" t="n">
        <f aca="false">MIN(R520,MAX(0,Q520))</f>
        <v>0</v>
      </c>
      <c r="U520" s="15" t="n">
        <f aca="false">MIN(S520,MAX(0,Q520-T520)*Parametri_v3!$C$42)</f>
        <v>0</v>
      </c>
      <c r="V520" s="15" t="n">
        <f aca="false">MAX(0,Q520-T520-U520)*Ipotesi!$C$92</f>
        <v>0</v>
      </c>
      <c r="W520" s="15" t="n">
        <f aca="false">MAX(0,SUM(M509:M520)+Parametri_v3!$C$55*12/12)*Ipotesi!$C$93</f>
        <v>0</v>
      </c>
      <c r="X520" s="15" t="n">
        <f aca="false">V520+W520-(V519+W519)</f>
        <v>0</v>
      </c>
      <c r="Y520" s="15" t="n">
        <f aca="false">P520-X520</f>
        <v>-33832.4792366684</v>
      </c>
      <c r="Z520" s="15" t="n">
        <f aca="false">R520-T520+IF(AND(Parametri_v3!$C$40=1,D520-YEAR(Parametri_v3!$C$50)&lt;Parametri_v3!$C$41),MAX(0,-Q520),0)</f>
        <v>1100781.76028115</v>
      </c>
      <c r="AA520" s="15" t="n">
        <f aca="false">S520-U520+IF(AND(Parametri_v3!$C$40=1,D520-YEAR(Parametri_v3!$C$50)&lt;Parametri_v3!$C$41),0,MAX(0,-Q520))</f>
        <v>0</v>
      </c>
      <c r="AB520" s="15" t="n">
        <f aca="false">F520*(1+Parametri_v3!$C$26)</f>
        <v>98642.9403076721</v>
      </c>
      <c r="AC520" s="15" t="n">
        <f aca="false">(IF(36-(INT((Motore_Operativo!L520)/30))&lt;1,0,INDEX(Motore_Startup!$AB$485:$AB$544,MAX(1,36-(INT((Motore_Operativo!L520)/30)))))*(1-(MOD((Motore_Operativo!L520),30)/30))+IF(36-(INT((Motore_Operativo!L520)/30))-1&lt;1,0,INDEX(Motore_Startup!$AB$485:$AB$544,MAX(1,36-(INT((Motore_Operativo!L520)/30))-1)))*(MOD((Motore_Operativo!L520),30)/30))</f>
        <v>89286.349175957</v>
      </c>
      <c r="AD520" s="15" t="n">
        <f aca="false">(AD519)+AB520-AC520</f>
        <v>286626.996602451</v>
      </c>
      <c r="AE520" s="15" t="n">
        <f aca="false">Motore_Operativo!BH520*(1+Parametri_v3!$C$26)</f>
        <v>7381</v>
      </c>
      <c r="AF520" s="15" t="n">
        <f aca="false">(IF(36-(INT((Parametri_v3!$C$29)/30))&lt;1,0,INDEX(Motore_Operativo!$BH$485:$BH$544,MAX(1,36-(INT((Parametri_v3!$C$29)/30)))))*(1-(MOD((Parametri_v3!$C$29),30)/30))+IF(36-(INT((Parametri_v3!$C$29)/30))-1&lt;1,0,INDEX(Motore_Operativo!$BH$485:$BH$544,MAX(1,36-(INT((Parametri_v3!$C$29)/30))-1)))*(MOD((Parametri_v3!$C$29),30)/30))*(1+Parametri_v3!$C$26)</f>
        <v>7381</v>
      </c>
      <c r="AG520" s="15" t="n">
        <f aca="false">(AG519)+AE520-AF520</f>
        <v>7381</v>
      </c>
      <c r="AH520" s="15" t="n">
        <f aca="false">(Motore_Operativo!CJ520)*(1+Parametri_v3!$C$27*Parametri_v3!$C$26)</f>
        <v>52679.4734811439</v>
      </c>
      <c r="AI520" s="15" t="n">
        <f aca="false">(IF(36-(INT((Ipotesi!$C$91)/30))&lt;1,0,INDEX(Motore_Startup!$AH$485:$AH$544,MAX(1,36-(INT((Ipotesi!$C$91)/30)))))*(1-(MOD((Ipotesi!$C$91),30)/30))+IF(36-(INT((Ipotesi!$C$91)/30))-1&lt;1,0,INDEX(Motore_Startup!$AH$485:$AH$544,MAX(1,36-(INT((Ipotesi!$C$91)/30))-1)))*(MOD((Ipotesi!$C$91),30)/30))</f>
        <v>51833.5486372831</v>
      </c>
      <c r="AJ520" s="15" t="n">
        <f aca="false">(AJ519)+AH520-AI520</f>
        <v>104937.841342549</v>
      </c>
      <c r="AK520" s="15" t="n">
        <f aca="false">(F520+ Motore_Operativo!BH520-(Motore_Operativo!CJ520)*Parametri_v3!$C$27-Motore_Operativo!CE520)*Parametri_v3!$C$26</f>
        <v>10269.9460631964</v>
      </c>
      <c r="AL520" s="15" t="n">
        <f aca="false">MAX(0,(AM519))</f>
        <v>9778.79976870997</v>
      </c>
      <c r="AM520" s="15" t="n">
        <f aca="false">(AM519)+AK520-AL520</f>
        <v>10269.9460631964</v>
      </c>
      <c r="AN520" s="15" t="n">
        <f aca="false">SUM(X497:X508)</f>
        <v>0</v>
      </c>
      <c r="AO520" s="15" t="n">
        <f aca="false">SUM(AP497:AP508)</f>
        <v>0</v>
      </c>
      <c r="AP520" s="15" t="n">
        <f aca="false">MAX(0,AN520)*IF(12=Parametri_v3!$C$43,Parametri_v3!$C$45,IF(12=Parametri_v3!$C$44,1-Parametri_v3!$C$45,0))</f>
        <v>0</v>
      </c>
      <c r="AQ520" s="15" t="n">
        <f aca="false">MAX(0,AP520+IF(12=Parametri_v3!$C$43,MAX(0,AN520-AO520),0)-MAX(0,-(AR519)))</f>
        <v>0</v>
      </c>
      <c r="AR520" s="15" t="n">
        <f aca="false">(AR519)+X520-AQ520</f>
        <v>0</v>
      </c>
      <c r="AS520" s="15" t="n">
        <f aca="false">Motore_Operativo!AB520-AT520+AU520</f>
        <v>70559.9833333333</v>
      </c>
      <c r="AT520" s="15" t="n">
        <f aca="false">Motore_Operativo!CH520</f>
        <v>3713.68333333333</v>
      </c>
      <c r="AU520" s="15" t="n">
        <f aca="false">MIN(MAX(0,(AV519)+AT520),Parametri_v3!$C$60/12)</f>
        <v>0</v>
      </c>
      <c r="AV520" s="15" t="n">
        <f aca="false">(AV519)+AT520-AU520</f>
        <v>79171.7</v>
      </c>
      <c r="AW520" s="15" t="n">
        <f aca="false">IF(AND(Motore_Operativo!C520=Finanziamenti!$D$6,Finanziamenti!$F$6=1),Finanziamenti!$C$6,0)</f>
        <v>0</v>
      </c>
      <c r="AX520" s="15" t="n">
        <f aca="false">IF(AND(9&lt;&gt;7,9&lt;&gt;9,Finanziamenti!$F$8=1,OR(Parametri_v3!$C$6=0,Finanziamenti!$E$8=1),Motore_Operativo!C520=EDATE(Finanziamenti!$D$8,Ipotesi!K15*12)),Finanziamenti!$C$8*1,0)+IF(AND(9&lt;&gt;7,9&lt;&gt;9,Finanziamenti!$F$9=1,OR(Parametri_v3!$C$6=0,Finanziamenti!$E$9=1),Motore_Operativo!C520=EDATE(Finanziamenti!$D$9,Ipotesi!K15*12)),Finanziamenti!$C$9*Ipotesi!K16,0)</f>
        <v>0</v>
      </c>
      <c r="AY520" s="15" t="n">
        <f aca="false">0</f>
        <v>0</v>
      </c>
      <c r="AZ520" s="15" t="n">
        <f aca="false">Motore_Advisory!AY520*(1-Ipotesi!$C$95)*Ipotesi!$C$96</f>
        <v>0</v>
      </c>
      <c r="BA520" s="15" t="n">
        <f aca="false">MAX(0,MIN(CG520*MIN(1,IF(Motore_Operativo!C520&gt;=EDATE(Finanziamenti!$D$15,Ipotesi!K14*12),Finanziamenti!$C$15,0)+IF(Motore_Operativo!C520&gt;=EDATE(Finanziamenti!$D$16,Ipotesi!K14*12),Finanziamenti!$C$16,0)+IF(Motore_Operativo!C520&gt;=EDATE(Finanziamenti!$D$17,Ipotesi!K14*12),Finanziamenti!$C$17,0)),CA520*Ipotesi!$C$102)-(CC519))</f>
        <v>0</v>
      </c>
      <c r="BB520" s="15" t="n">
        <f aca="false">IF(AND(CF520&gt;0,Motore_Operativo!C520&gt;=IF(CF520=0,0,EDATE(CF520,Parametri_v3!$C$37)),MOD(((D520-YEAR(IF(CF520=0,0,EDATE(CF520,Parametri_v3!$C$37))))*12+E520-MONTH(IF(CF520=0,0,EDATE(CF520,Parametri_v3!$C$37)))),Parametri_v3!$C$38)=0),MIN(MAX(0,(BC519)+BA520-N520),(CC520-CD520)/(Ipotesi!$C$108*12/Parametri_v3!$C$38)),0)</f>
        <v>0</v>
      </c>
      <c r="BC520" s="15" t="n">
        <f aca="false">(BC519)+BA520-N520-BB520</f>
        <v>0</v>
      </c>
      <c r="BD520" s="15" t="n">
        <f aca="false">(BH519)+AC520+AF520-AI520-AS520-K520*(1+Parametri_v3!$C$26)-AL520-AQ520-O520+AW520+AX520+AZ520+BA520-BB520</f>
        <v>-1110201.93614452</v>
      </c>
      <c r="BE520" s="15" t="n">
        <f aca="false">MAX(0,MIN(MAX(0,CH520-(BG519)),Parametri_v3!$C$30-BD520))</f>
        <v>0</v>
      </c>
      <c r="BF520" s="15" t="n">
        <f aca="false">IF(Motore_Operativo!C520&gt;=Parametri_v3!$C$63,(BG519),MIN((BG519),MAX(0,BD520-Parametri_v3!$C$30)))</f>
        <v>0</v>
      </c>
      <c r="BG520" s="15" t="n">
        <f aca="false">(BG519)+BE520-BF520</f>
        <v>0</v>
      </c>
      <c r="BH520" s="15" t="n">
        <f aca="false">BD520+BE520-BF520-AY520</f>
        <v>-1110201.93614452</v>
      </c>
      <c r="BI520" s="15" t="n">
        <f aca="false">MAX(0,Parametri_v3!$C$30-BH520)</f>
        <v>1135201.93614452</v>
      </c>
      <c r="BJ520" s="15" t="n">
        <f aca="false">(BJ519)+K520</f>
        <v>75000</v>
      </c>
      <c r="BK520" s="15" t="n">
        <f aca="false">(BK519)+L520</f>
        <v>35208.3333333333</v>
      </c>
      <c r="BL520" s="15" t="n">
        <f aca="false">BJ520-BK520</f>
        <v>39791.6666666667</v>
      </c>
      <c r="BM520" s="15" t="n">
        <f aca="false">(BM519)+Y520</f>
        <v>-1100781.76028115</v>
      </c>
      <c r="BN520" s="15" t="n">
        <f aca="false">(BN519)+AW520+AX520+AZ520</f>
        <v>130000</v>
      </c>
      <c r="BO520" s="15" t="n">
        <f aca="false">(BO519)+AY520</f>
        <v>0</v>
      </c>
      <c r="BP520" s="15" t="n">
        <f aca="false">0</f>
        <v>0</v>
      </c>
      <c r="BQ520" s="15" t="n">
        <f aca="false">BN520+BM520-BO520</f>
        <v>-970781.760281151</v>
      </c>
      <c r="BR520" s="15" t="n">
        <f aca="false">BH520+AD520+BL520+MAX(0,-AM520)+MAX(0,-AR520)+AG520</f>
        <v>-776402.272875406</v>
      </c>
      <c r="BS520" s="15" t="n">
        <f aca="false">AJ520+AV520+MAX(0,AM520)+MAX(0,AR520)+BC520+BG520+BQ520</f>
        <v>-776402.272875406</v>
      </c>
      <c r="BT520" s="15" t="n">
        <f aca="false">BR520-BS520</f>
        <v>0</v>
      </c>
      <c r="BU520" s="15" t="n">
        <f aca="false">BH520-(BD520+BE520-BF520-AY520)</f>
        <v>0</v>
      </c>
      <c r="BV520" s="15" t="n">
        <f aca="false">MIN(Piano_SS!$C$6,(BV519)+IF(AND(Motore_Operativo!C520&gt;=EDATE(Parametri_v3!$C$24,Ipotesi!K14*12),Motore_Operativo!C520&lt;EDATE(Parametri_v3!$C$24,Parametri_v3!$C$25+Ipotesi!K14*12)),MAX(0,(Motore_Operativo!Y520+Motore_Operativo!X520*Parametri_v3!$C$14)*(1-Parametri_v3!$C$32))*Piano_SS!$D$6,0))</f>
        <v>300000</v>
      </c>
      <c r="BW520" s="15" t="n">
        <f aca="false">MIN(Piano_SS!$C$7,(BW519)+IF(AND(Motore_Operativo!C520&gt;=EDATE(Parametri_v3!$C$24,Ipotesi!K14*12),Motore_Operativo!C520&lt;EDATE(Parametri_v3!$C$24,Parametri_v3!$C$25+Ipotesi!K14*12)),MAX(0,(IF(36-(INT((Ipotesi!$C$91)/30))&lt;1,0,INDEX(Motore_Operativo!$BN$485:$BN$544,MAX(1,36-(INT((Ipotesi!$C$91)/30)))))*(1-(MOD((Ipotesi!$C$91),30)/30))+IF(36-(INT((Ipotesi!$C$91)/30))-1&lt;1,0,INDEX(Motore_Operativo!$BN$485:$BN$544,MAX(1,36-(INT((Ipotesi!$C$91)/30))-1)))*(MOD((Ipotesi!$C$91),30)/30)))*Piano_SS!$D$7,0))</f>
        <v>41058.9230070837</v>
      </c>
      <c r="BX520" s="15" t="n">
        <f aca="false">MIN(Piano_SS!$C$8,(BX519)+IF(AND(Motore_Operativo!C520&gt;=EDATE(Parametri_v3!$C$24,Ipotesi!K14*12),Motore_Operativo!C520&lt;EDATE(Parametri_v3!$C$24,Parametri_v3!$C$25+Ipotesi!K14*12)),MAX(0,Motore_Operativo!CE520)*Piano_SS!$D$8,0))</f>
        <v>50000</v>
      </c>
      <c r="BY520" s="15" t="n">
        <f aca="false">MIN(Piano_SS!$C$9,(BY519)+IF(AND(Motore_Operativo!C520&gt;=EDATE(Parametri_v3!$C$24,Ipotesi!K14*12),Motore_Operativo!C520&lt;EDATE(Parametri_v3!$C$24,Parametri_v3!$C$25+Ipotesi!K14*12)),MAX(0,((IF(36-(INT((Ipotesi!$C$91)/30))&lt;1,0,INDEX(Motore_Operativo!$BQ$485:$BQ$544,MAX(1,36-(INT((Ipotesi!$C$91)/30)))))*(1-(MOD((Ipotesi!$C$91),30)/30))+IF(36-(INT((Ipotesi!$C$91)/30))-1&lt;1,0,INDEX(Motore_Operativo!$BQ$485:$BQ$544,MAX(1,36-(INT((Ipotesi!$C$91)/30))-1)))*(MOD((Ipotesi!$C$91),30)/30))+(IF(36-(INT((Ipotesi!$C$91)/30))&lt;1,0,INDEX(Motore_Operativo!$BR$485:$BR$544,MAX(1,36-(INT((Ipotesi!$C$91)/30)))))*(1-(MOD((Ipotesi!$C$91),30)/30))+IF(36-(INT((Ipotesi!$C$91)/30))-1&lt;1,0,INDEX(Motore_Operativo!$BR$485:$BR$544,MAX(1,36-(INT((Ipotesi!$C$91)/30))-1)))*(MOD((Ipotesi!$C$91),30)/30))))*Piano_SS!$D$9,0))</f>
        <v>40000</v>
      </c>
      <c r="BZ520" s="15" t="n">
        <f aca="false">MIN(Piano_SS!$C$10,(BZ519)+IF(AND(Motore_Operativo!C520&gt;=EDATE(Parametri_v3!$C$24,Ipotesi!K14*12),Motore_Operativo!C520&lt;EDATE(Parametri_v3!$C$24,Parametri_v3!$C$25+Ipotesi!K14*12)),MAX(0,(IF(36-(INT((Ipotesi!$C$91)/30))&lt;1,0,INDEX(Motore_Operativo!$BO$485:$BO$544,MAX(1,36-(INT((Ipotesi!$C$91)/30)))))*(1-(MOD((Ipotesi!$C$91),30)/30))+IF(36-(INT((Ipotesi!$C$91)/30))-1&lt;1,0,INDEX(Motore_Operativo!$BO$485:$BO$544,MAX(1,36-(INT((Ipotesi!$C$91)/30))-1)))*(MOD((Ipotesi!$C$91),30)/30)))*Piano_SS!$D$10,0))</f>
        <v>30000</v>
      </c>
      <c r="CA520" s="15" t="n">
        <f aca="false">SUM(BV520:BZ520)</f>
        <v>461058.923007084</v>
      </c>
      <c r="CB520" s="15" t="n">
        <f aca="false">BV520*(1-Piano_SS!$E$6)+BW520*(1-Piano_SS!$E$7)+BX520*(1-Piano_SS!$E$8)+BY520*(1-Piano_SS!$E$9)+BZ520*(1-Piano_SS!$E$10)</f>
        <v>431058.923007084</v>
      </c>
      <c r="CC520" s="15" t="n">
        <f aca="false">(CC519)+BA520</f>
        <v>0</v>
      </c>
      <c r="CD520" s="15" t="n">
        <f aca="false">IF(CA520=0,0,CC520*CB520/CA520*Ipotesi!$C$103*Parametri_v3!$C$64)</f>
        <v>0</v>
      </c>
      <c r="CE520" s="18" t="n">
        <f aca="false">IF(BA520&gt;0,Motore_Operativo!C520,(CE519))</f>
        <v>0</v>
      </c>
      <c r="CF520" s="18" t="n">
        <f aca="false">IF(AND(CC520&gt;0,OR(CC520&gt;=CG520-0.01,Motore_Operativo!C520&gt;=EDATE(MAX(Finanziamenti!$D$15:$D$17),Ipotesi!K14*12))),CE520,0)</f>
        <v>0</v>
      </c>
      <c r="CG520" s="15" t="n">
        <f aca="false">IF(AND(9&lt;&gt;6,9&lt;&gt;9,Finanziamenti!$F$11=1,OR(Parametri_v3!$C$6=0,Finanziamenti!$E$11=1)),MIN(Finanziamenti!$C$11,Piano_SS!$C$12*Ipotesi!$C$102),0)</f>
        <v>0</v>
      </c>
      <c r="CH520" s="15" t="n">
        <f aca="false">IF(AND(AND(9&lt;&gt;8,9&lt;&gt;9,Finanziamenti!$F$10=1,OR(Parametri_v3!$C$6=0,Finanziamenti!$E$10=1)),Motore_Operativo!C520&gt;=Finanziamenti!$D$10,Motore_Operativo!C520&lt;Parametri_v3!$C$63),Finanziamenti!$C$10,0)</f>
        <v>0</v>
      </c>
    </row>
    <row r="521" customFormat="false" ht="18" hidden="false" customHeight="true" outlineLevel="0" collapsed="false">
      <c r="A521" s="68" t="n">
        <f aca="false">9</f>
        <v>9</v>
      </c>
      <c r="B521" s="68" t="n">
        <f aca="false">37</f>
        <v>37</v>
      </c>
      <c r="C521" s="18" t="n">
        <f aca="false">Motore_Operativo!C521</f>
        <v>47484</v>
      </c>
      <c r="D521" s="68" t="n">
        <f aca="false">Motore_Operativo!D521</f>
        <v>2030</v>
      </c>
      <c r="E521" s="68" t="n">
        <f aca="false">Motore_Operativo!E521</f>
        <v>1</v>
      </c>
      <c r="F521" s="15" t="n">
        <f aca="false">Motore_Operativo!AQ521+Motore_Operativo!BF521</f>
        <v>109981.50531234</v>
      </c>
      <c r="G521" s="15" t="n">
        <f aca="false">Motore_Operativo!BH521</f>
        <v>9024.16666666667</v>
      </c>
      <c r="H521" s="15" t="n">
        <f aca="false">Motore_Operativo!BI521</f>
        <v>119005.671979006</v>
      </c>
      <c r="I521" s="15" t="n">
        <f aca="false">Motore_Operativo!CA521</f>
        <v>155002.886368728</v>
      </c>
      <c r="J521" s="15" t="n">
        <f aca="false">Motore_Operativo!CC521</f>
        <v>-35997.2143897212</v>
      </c>
      <c r="K521" s="15" t="n">
        <f aca="false">Motore_Operativo!CE521</f>
        <v>3333.33333333333</v>
      </c>
      <c r="L521" s="15" t="n">
        <f aca="false">SUM(INDEX($K$485:$K$544,MAX(1,37-Parametri_v3!$C$59+1)):K521)/Parametri_v3!$C$59</f>
        <v>2129.62962962963</v>
      </c>
      <c r="M521" s="15" t="n">
        <f aca="false">J521-L521</f>
        <v>-38126.8440193509</v>
      </c>
      <c r="N521" s="15" t="n">
        <f aca="false">CD521-(CD520)</f>
        <v>0</v>
      </c>
      <c r="O521" s="15" t="n">
        <f aca="false">(BG520)*Ipotesi!$C$110/12+CH521*Parametri_v3!$C$39/12</f>
        <v>0</v>
      </c>
      <c r="P521" s="15" t="n">
        <f aca="false">M521+N521-O521</f>
        <v>-38126.8440193509</v>
      </c>
      <c r="Q521" s="15" t="n">
        <f aca="false">SUM(P521)+Parametri_v3!$C$54*1/12</f>
        <v>-38126.8440193509</v>
      </c>
      <c r="R521" s="15" t="n">
        <f aca="false">Z520</f>
        <v>1100781.76028115</v>
      </c>
      <c r="S521" s="15" t="n">
        <f aca="false">AA520</f>
        <v>0</v>
      </c>
      <c r="T521" s="15" t="n">
        <f aca="false">MIN(R521,MAX(0,Q521))</f>
        <v>0</v>
      </c>
      <c r="U521" s="15" t="n">
        <f aca="false">MIN(S521,MAX(0,Q521-T521)*Parametri_v3!$C$42)</f>
        <v>0</v>
      </c>
      <c r="V521" s="15" t="n">
        <f aca="false">MAX(0,Q521-T521-U521)*Ipotesi!$C$92</f>
        <v>0</v>
      </c>
      <c r="W521" s="15" t="n">
        <f aca="false">MAX(0,SUM(M521)+Parametri_v3!$C$55*1/12)*Ipotesi!$C$93</f>
        <v>0</v>
      </c>
      <c r="X521" s="15" t="n">
        <f aca="false">V521+W521-(0)</f>
        <v>0</v>
      </c>
      <c r="Y521" s="15" t="n">
        <f aca="false">P521-X521</f>
        <v>-38126.8440193509</v>
      </c>
      <c r="Z521" s="15" t="n">
        <f aca="false">R521-T521+IF(AND(Parametri_v3!$C$40=1,D521-YEAR(Parametri_v3!$C$50)&lt;Parametri_v3!$C$41),MAX(0,-Q521),0)</f>
        <v>1100781.76028115</v>
      </c>
      <c r="AA521" s="15" t="n">
        <f aca="false">S521-U521+IF(AND(Parametri_v3!$C$40=1,D521-YEAR(Parametri_v3!$C$50)&lt;Parametri_v3!$C$41),0,MAX(0,-Q521))</f>
        <v>38126.8440193509</v>
      </c>
      <c r="AB521" s="15" t="n">
        <f aca="false">F521*(1+Parametri_v3!$C$26)</f>
        <v>134177.436481054</v>
      </c>
      <c r="AC521" s="15" t="n">
        <f aca="false">(IF(37-(INT((Motore_Operativo!L521)/30))&lt;1,0,INDEX(Motore_Startup!$AB$485:$AB$544,MAX(1,37-(INT((Motore_Operativo!L521)/30)))))*(1-(MOD((Motore_Operativo!L521),30)/30))+IF(37-(INT((Motore_Operativo!L521)/30))-1&lt;1,0,INDEX(Motore_Startup!$AB$485:$AB$544,MAX(1,37-(INT((Motore_Operativo!L521)/30))-1)))*(MOD((Motore_Operativo!L521),30)/30))</f>
        <v>92432.6363630927</v>
      </c>
      <c r="AD521" s="15" t="n">
        <f aca="false">(AD520)+AB521-AC521</f>
        <v>328371.796720413</v>
      </c>
      <c r="AE521" s="15" t="n">
        <f aca="false">Motore_Operativo!BH521*(1+Parametri_v3!$C$26)</f>
        <v>11009.4833333333</v>
      </c>
      <c r="AF521" s="15" t="n">
        <f aca="false">(IF(37-(INT((Parametri_v3!$C$29)/30))&lt;1,0,INDEX(Motore_Operativo!$BH$485:$BH$544,MAX(1,37-(INT((Parametri_v3!$C$29)/30)))))*(1-(MOD((Parametri_v3!$C$29),30)/30))+IF(37-(INT((Parametri_v3!$C$29)/30))-1&lt;1,0,INDEX(Motore_Operativo!$BH$485:$BH$544,MAX(1,37-(INT((Parametri_v3!$C$29)/30))-1)))*(MOD((Parametri_v3!$C$29),30)/30))*(1+Parametri_v3!$C$26)</f>
        <v>7381</v>
      </c>
      <c r="AG521" s="15" t="n">
        <f aca="false">(AG520)+AE521-AF521</f>
        <v>11009.4833333333</v>
      </c>
      <c r="AH521" s="15" t="n">
        <f aca="false">(Motore_Operativo!CJ521)*(1+Parametri_v3!$C$27*Parametri_v3!$C$26)</f>
        <v>69474.875461138</v>
      </c>
      <c r="AI521" s="15" t="n">
        <f aca="false">(IF(37-(INT((Ipotesi!$C$91)/30))&lt;1,0,INDEX(Motore_Startup!$AH$485:$AH$544,MAX(1,37-(INT((Ipotesi!$C$91)/30)))))*(1-(MOD((Ipotesi!$C$91),30)/30))+IF(37-(INT((Ipotesi!$C$91)/30))-1&lt;1,0,INDEX(Motore_Startup!$AH$485:$AH$544,MAX(1,37-(INT((Ipotesi!$C$91)/30))-1)))*(MOD((Ipotesi!$C$91),30)/30))</f>
        <v>52258.3678614052</v>
      </c>
      <c r="AJ521" s="15" t="n">
        <f aca="false">(AJ520)+AH521-AI521</f>
        <v>122154.348942282</v>
      </c>
      <c r="AK521" s="15" t="n">
        <f aca="false">(F521+ Motore_Operativo!BH521-(Motore_Operativo!CJ521)*Parametri_v3!$C$27-Motore_Operativo!CE521)*Parametri_v3!$C$26</f>
        <v>14502.8414513043</v>
      </c>
      <c r="AL521" s="15" t="n">
        <f aca="false">MAX(0,(AM520))</f>
        <v>10269.9460631964</v>
      </c>
      <c r="AM521" s="15" t="n">
        <f aca="false">(AM520)+AK521-AL521</f>
        <v>14502.8414513043</v>
      </c>
      <c r="AN521" s="15" t="n">
        <f aca="false">SUM(X509:X520)</f>
        <v>0</v>
      </c>
      <c r="AO521" s="15" t="n">
        <f aca="false">SUM(AP509:AP520)</f>
        <v>0</v>
      </c>
      <c r="AP521" s="15" t="n">
        <f aca="false">MAX(0,AN521)*IF(1=Parametri_v3!$C$43,Parametri_v3!$C$45,IF(1=Parametri_v3!$C$44,1-Parametri_v3!$C$45,0))</f>
        <v>0</v>
      </c>
      <c r="AQ521" s="15" t="n">
        <f aca="false">MAX(0,AP521+IF(1=Parametri_v3!$C$43,MAX(0,AN521-AO521),0)-MAX(0,-(AR520)))</f>
        <v>0</v>
      </c>
      <c r="AR521" s="15" t="n">
        <f aca="false">(AR520)+X521-AQ521</f>
        <v>0</v>
      </c>
      <c r="AS521" s="15" t="n">
        <f aca="false">Motore_Operativo!AB521-AT521+AU521</f>
        <v>91649.4297604167</v>
      </c>
      <c r="AT521" s="15" t="n">
        <f aca="false">Motore_Operativo!CH521</f>
        <v>4823.65419791667</v>
      </c>
      <c r="AU521" s="15" t="n">
        <f aca="false">MIN(MAX(0,(AV520)+AT521),Parametri_v3!$C$60/12)</f>
        <v>0</v>
      </c>
      <c r="AV521" s="15" t="n">
        <f aca="false">(AV520)+AT521-AU521</f>
        <v>83995.3541979167</v>
      </c>
      <c r="AW521" s="15" t="n">
        <f aca="false">IF(AND(Motore_Operativo!C521=Finanziamenti!$D$6,Finanziamenti!$F$6=1),Finanziamenti!$C$6,0)</f>
        <v>0</v>
      </c>
      <c r="AX521" s="15" t="n">
        <f aca="false">IF(AND(9&lt;&gt;7,9&lt;&gt;9,Finanziamenti!$F$8=1,OR(Parametri_v3!$C$6=0,Finanziamenti!$E$8=1),Motore_Operativo!C521=EDATE(Finanziamenti!$D$8,Ipotesi!K15*12)),Finanziamenti!$C$8*1,0)+IF(AND(9&lt;&gt;7,9&lt;&gt;9,Finanziamenti!$F$9=1,OR(Parametri_v3!$C$6=0,Finanziamenti!$E$9=1),Motore_Operativo!C521=EDATE(Finanziamenti!$D$9,Ipotesi!K15*12)),Finanziamenti!$C$9*Ipotesi!K16,0)</f>
        <v>0</v>
      </c>
      <c r="AY521" s="15" t="n">
        <f aca="false">0</f>
        <v>0</v>
      </c>
      <c r="AZ521" s="15" t="n">
        <f aca="false">Motore_Advisory!AY521*(1-Ipotesi!$C$95)*Ipotesi!$C$96</f>
        <v>0</v>
      </c>
      <c r="BA521" s="15" t="n">
        <f aca="false">MAX(0,MIN(CG521*MIN(1,IF(Motore_Operativo!C521&gt;=EDATE(Finanziamenti!$D$15,Ipotesi!K14*12),Finanziamenti!$C$15,0)+IF(Motore_Operativo!C521&gt;=EDATE(Finanziamenti!$D$16,Ipotesi!K14*12),Finanziamenti!$C$16,0)+IF(Motore_Operativo!C521&gt;=EDATE(Finanziamenti!$D$17,Ipotesi!K14*12),Finanziamenti!$C$17,0)),CA521*Ipotesi!$C$102)-(CC520))</f>
        <v>0</v>
      </c>
      <c r="BB521" s="15" t="n">
        <f aca="false">IF(AND(CF521&gt;0,Motore_Operativo!C521&gt;=IF(CF521=0,0,EDATE(CF521,Parametri_v3!$C$37)),MOD(((D521-YEAR(IF(CF521=0,0,EDATE(CF521,Parametri_v3!$C$37))))*12+E521-MONTH(IF(CF521=0,0,EDATE(CF521,Parametri_v3!$C$37)))),Parametri_v3!$C$38)=0),MIN(MAX(0,(BC520)+BA521-N521),(CC521-CD521)/(Ipotesi!$C$108*12/Parametri_v3!$C$38)),0)</f>
        <v>0</v>
      </c>
      <c r="BC521" s="15" t="n">
        <f aca="false">(BC520)+BA521-N521-BB521</f>
        <v>0</v>
      </c>
      <c r="BD521" s="15" t="n">
        <f aca="false">(BH520)+AC521+AF521-AI521-AS521-K521*(1+Parametri_v3!$C$26)-AL521-AQ521-O521+AW521+AX521+AZ521+BA521-BB521</f>
        <v>-1168632.71013312</v>
      </c>
      <c r="BE521" s="15" t="n">
        <f aca="false">MAX(0,MIN(MAX(0,CH521-(BG520)),Parametri_v3!$C$30-BD521))</f>
        <v>0</v>
      </c>
      <c r="BF521" s="15" t="n">
        <f aca="false">IF(Motore_Operativo!C521&gt;=Parametri_v3!$C$63,(BG520),MIN((BG520),MAX(0,BD521-Parametri_v3!$C$30)))</f>
        <v>0</v>
      </c>
      <c r="BG521" s="15" t="n">
        <f aca="false">(BG520)+BE521-BF521</f>
        <v>0</v>
      </c>
      <c r="BH521" s="15" t="n">
        <f aca="false">BD521+BE521-BF521-AY521</f>
        <v>-1168632.71013312</v>
      </c>
      <c r="BI521" s="15" t="n">
        <f aca="false">MAX(0,Parametri_v3!$C$30-BH521)</f>
        <v>1193632.71013312</v>
      </c>
      <c r="BJ521" s="15" t="n">
        <f aca="false">(BJ520)+K521</f>
        <v>78333.3333333333</v>
      </c>
      <c r="BK521" s="15" t="n">
        <f aca="false">(BK520)+L521</f>
        <v>37337.962962963</v>
      </c>
      <c r="BL521" s="15" t="n">
        <f aca="false">BJ521-BK521</f>
        <v>40995.3703703704</v>
      </c>
      <c r="BM521" s="15" t="n">
        <f aca="false">(BM520)+Y521</f>
        <v>-1138908.6043005</v>
      </c>
      <c r="BN521" s="15" t="n">
        <f aca="false">(BN520)+AW521+AX521+AZ521</f>
        <v>130000</v>
      </c>
      <c r="BO521" s="15" t="n">
        <f aca="false">(BO520)+AY521</f>
        <v>0</v>
      </c>
      <c r="BP521" s="15" t="n">
        <f aca="false">0</f>
        <v>0</v>
      </c>
      <c r="BQ521" s="15" t="n">
        <f aca="false">BN521+BM521-BO521</f>
        <v>-1008908.6043005</v>
      </c>
      <c r="BR521" s="15" t="n">
        <f aca="false">BH521+AD521+BL521+MAX(0,-AM521)+MAX(0,-AR521)+AG521</f>
        <v>-788256.059709</v>
      </c>
      <c r="BS521" s="15" t="n">
        <f aca="false">AJ521+AV521+MAX(0,AM521)+MAX(0,AR521)+BC521+BG521+BQ521</f>
        <v>-788256.059708999</v>
      </c>
      <c r="BT521" s="15" t="n">
        <f aca="false">BR521-BS521</f>
        <v>0</v>
      </c>
      <c r="BU521" s="15" t="n">
        <f aca="false">BH521-(BD521+BE521-BF521-AY521)</f>
        <v>0</v>
      </c>
      <c r="BV521" s="15" t="n">
        <f aca="false">MIN(Piano_SS!$C$6,(BV520)+IF(AND(Motore_Operativo!C521&gt;=EDATE(Parametri_v3!$C$24,Ipotesi!K14*12),Motore_Operativo!C521&lt;EDATE(Parametri_v3!$C$24,Parametri_v3!$C$25+Ipotesi!K14*12)),MAX(0,(Motore_Operativo!Y521+Motore_Operativo!X521*Parametri_v3!$C$14)*(1-Parametri_v3!$C$32))*Piano_SS!$D$6,0))</f>
        <v>300000</v>
      </c>
      <c r="BW521" s="15" t="n">
        <f aca="false">MIN(Piano_SS!$C$7,(BW520)+IF(AND(Motore_Operativo!C521&gt;=EDATE(Parametri_v3!$C$24,Ipotesi!K14*12),Motore_Operativo!C521&lt;EDATE(Parametri_v3!$C$24,Parametri_v3!$C$25+Ipotesi!K14*12)),MAX(0,(IF(37-(INT((Ipotesi!$C$91)/30))&lt;1,0,INDEX(Motore_Operativo!$BN$485:$BN$544,MAX(1,37-(INT((Ipotesi!$C$91)/30)))))*(1-(MOD((Ipotesi!$C$91),30)/30))+IF(37-(INT((Ipotesi!$C$91)/30))-1&lt;1,0,INDEX(Motore_Operativo!$BN$485:$BN$544,MAX(1,37-(INT((Ipotesi!$C$91)/30))-1)))*(MOD((Ipotesi!$C$91),30)/30)))*Piano_SS!$D$7,0))</f>
        <v>41058.9230070837</v>
      </c>
      <c r="BX521" s="15" t="n">
        <f aca="false">MIN(Piano_SS!$C$8,(BX520)+IF(AND(Motore_Operativo!C521&gt;=EDATE(Parametri_v3!$C$24,Ipotesi!K14*12),Motore_Operativo!C521&lt;EDATE(Parametri_v3!$C$24,Parametri_v3!$C$25+Ipotesi!K14*12)),MAX(0,Motore_Operativo!CE521)*Piano_SS!$D$8,0))</f>
        <v>50000</v>
      </c>
      <c r="BY521" s="15" t="n">
        <f aca="false">MIN(Piano_SS!$C$9,(BY520)+IF(AND(Motore_Operativo!C521&gt;=EDATE(Parametri_v3!$C$24,Ipotesi!K14*12),Motore_Operativo!C521&lt;EDATE(Parametri_v3!$C$24,Parametri_v3!$C$25+Ipotesi!K14*12)),MAX(0,((IF(37-(INT((Ipotesi!$C$91)/30))&lt;1,0,INDEX(Motore_Operativo!$BQ$485:$BQ$544,MAX(1,37-(INT((Ipotesi!$C$91)/30)))))*(1-(MOD((Ipotesi!$C$91),30)/30))+IF(37-(INT((Ipotesi!$C$91)/30))-1&lt;1,0,INDEX(Motore_Operativo!$BQ$485:$BQ$544,MAX(1,37-(INT((Ipotesi!$C$91)/30))-1)))*(MOD((Ipotesi!$C$91),30)/30))+(IF(37-(INT((Ipotesi!$C$91)/30))&lt;1,0,INDEX(Motore_Operativo!$BR$485:$BR$544,MAX(1,37-(INT((Ipotesi!$C$91)/30)))))*(1-(MOD((Ipotesi!$C$91),30)/30))+IF(37-(INT((Ipotesi!$C$91)/30))-1&lt;1,0,INDEX(Motore_Operativo!$BR$485:$BR$544,MAX(1,37-(INT((Ipotesi!$C$91)/30))-1)))*(MOD((Ipotesi!$C$91),30)/30))))*Piano_SS!$D$9,0))</f>
        <v>40000</v>
      </c>
      <c r="BZ521" s="15" t="n">
        <f aca="false">MIN(Piano_SS!$C$10,(BZ520)+IF(AND(Motore_Operativo!C521&gt;=EDATE(Parametri_v3!$C$24,Ipotesi!K14*12),Motore_Operativo!C521&lt;EDATE(Parametri_v3!$C$24,Parametri_v3!$C$25+Ipotesi!K14*12)),MAX(0,(IF(37-(INT((Ipotesi!$C$91)/30))&lt;1,0,INDEX(Motore_Operativo!$BO$485:$BO$544,MAX(1,37-(INT((Ipotesi!$C$91)/30)))))*(1-(MOD((Ipotesi!$C$91),30)/30))+IF(37-(INT((Ipotesi!$C$91)/30))-1&lt;1,0,INDEX(Motore_Operativo!$BO$485:$BO$544,MAX(1,37-(INT((Ipotesi!$C$91)/30))-1)))*(MOD((Ipotesi!$C$91),30)/30)))*Piano_SS!$D$10,0))</f>
        <v>30000</v>
      </c>
      <c r="CA521" s="15" t="n">
        <f aca="false">SUM(BV521:BZ521)</f>
        <v>461058.923007084</v>
      </c>
      <c r="CB521" s="15" t="n">
        <f aca="false">BV521*(1-Piano_SS!$E$6)+BW521*(1-Piano_SS!$E$7)+BX521*(1-Piano_SS!$E$8)+BY521*(1-Piano_SS!$E$9)+BZ521*(1-Piano_SS!$E$10)</f>
        <v>431058.923007084</v>
      </c>
      <c r="CC521" s="15" t="n">
        <f aca="false">(CC520)+BA521</f>
        <v>0</v>
      </c>
      <c r="CD521" s="15" t="n">
        <f aca="false">IF(CA521=0,0,CC521*CB521/CA521*Ipotesi!$C$103*Parametri_v3!$C$64)</f>
        <v>0</v>
      </c>
      <c r="CE521" s="18" t="n">
        <f aca="false">IF(BA521&gt;0,Motore_Operativo!C521,(CE520))</f>
        <v>0</v>
      </c>
      <c r="CF521" s="18" t="n">
        <f aca="false">IF(AND(CC521&gt;0,OR(CC521&gt;=CG521-0.01,Motore_Operativo!C521&gt;=EDATE(MAX(Finanziamenti!$D$15:$D$17),Ipotesi!K14*12))),CE521,0)</f>
        <v>0</v>
      </c>
      <c r="CG521" s="15" t="n">
        <f aca="false">IF(AND(9&lt;&gt;6,9&lt;&gt;9,Finanziamenti!$F$11=1,OR(Parametri_v3!$C$6=0,Finanziamenti!$E$11=1)),MIN(Finanziamenti!$C$11,Piano_SS!$C$12*Ipotesi!$C$102),0)</f>
        <v>0</v>
      </c>
      <c r="CH521" s="15" t="n">
        <f aca="false">IF(AND(AND(9&lt;&gt;8,9&lt;&gt;9,Finanziamenti!$F$10=1,OR(Parametri_v3!$C$6=0,Finanziamenti!$E$10=1)),Motore_Operativo!C521&gt;=Finanziamenti!$D$10,Motore_Operativo!C521&lt;Parametri_v3!$C$63),Finanziamenti!$C$10,0)</f>
        <v>0</v>
      </c>
    </row>
    <row r="522" customFormat="false" ht="18" hidden="false" customHeight="true" outlineLevel="0" collapsed="false">
      <c r="A522" s="68" t="n">
        <f aca="false">9</f>
        <v>9</v>
      </c>
      <c r="B522" s="68" t="n">
        <f aca="false">38</f>
        <v>38</v>
      </c>
      <c r="C522" s="18" t="n">
        <f aca="false">Motore_Operativo!C522</f>
        <v>47515</v>
      </c>
      <c r="D522" s="68" t="n">
        <f aca="false">Motore_Operativo!D522</f>
        <v>2030</v>
      </c>
      <c r="E522" s="68" t="n">
        <f aca="false">Motore_Operativo!E522</f>
        <v>2</v>
      </c>
      <c r="F522" s="15" t="n">
        <f aca="false">Motore_Operativo!AQ522+Motore_Operativo!BF522</f>
        <v>112181.063256671</v>
      </c>
      <c r="G522" s="15" t="n">
        <f aca="false">Motore_Operativo!BH522</f>
        <v>9024.16666666667</v>
      </c>
      <c r="H522" s="15" t="n">
        <f aca="false">Motore_Operativo!BI522</f>
        <v>121205.229923337</v>
      </c>
      <c r="I522" s="15" t="n">
        <f aca="false">Motore_Operativo!CA522</f>
        <v>155310.824480934</v>
      </c>
      <c r="J522" s="15" t="n">
        <f aca="false">Motore_Operativo!CC522</f>
        <v>-34105.5945575967</v>
      </c>
      <c r="K522" s="15" t="n">
        <f aca="false">Motore_Operativo!CE522</f>
        <v>3333.33333333333</v>
      </c>
      <c r="L522" s="15" t="n">
        <f aca="false">SUM(INDEX($K$485:$K$544,MAX(1,38-Parametri_v3!$C$59+1)):K522)/Parametri_v3!$C$59</f>
        <v>2175.92592592593</v>
      </c>
      <c r="M522" s="15" t="n">
        <f aca="false">J522-L522</f>
        <v>-36281.5204835226</v>
      </c>
      <c r="N522" s="15" t="n">
        <f aca="false">CD522-(CD521)</f>
        <v>0</v>
      </c>
      <c r="O522" s="15" t="n">
        <f aca="false">(BG521)*Ipotesi!$C$110/12+CH522*Parametri_v3!$C$39/12</f>
        <v>0</v>
      </c>
      <c r="P522" s="15" t="n">
        <f aca="false">M522+N522-O522</f>
        <v>-36281.5204835226</v>
      </c>
      <c r="Q522" s="15" t="n">
        <f aca="false">SUM(P521:P522)+Parametri_v3!$C$54*2/12</f>
        <v>-74408.3645028735</v>
      </c>
      <c r="R522" s="15" t="n">
        <f aca="false">Z520</f>
        <v>1100781.76028115</v>
      </c>
      <c r="S522" s="15" t="n">
        <f aca="false">AA520</f>
        <v>0</v>
      </c>
      <c r="T522" s="15" t="n">
        <f aca="false">MIN(R522,MAX(0,Q522))</f>
        <v>0</v>
      </c>
      <c r="U522" s="15" t="n">
        <f aca="false">MIN(S522,MAX(0,Q522-T522)*Parametri_v3!$C$42)</f>
        <v>0</v>
      </c>
      <c r="V522" s="15" t="n">
        <f aca="false">MAX(0,Q522-T522-U522)*Ipotesi!$C$92</f>
        <v>0</v>
      </c>
      <c r="W522" s="15" t="n">
        <f aca="false">MAX(0,SUM(M521:M522)+Parametri_v3!$C$55*2/12)*Ipotesi!$C$93</f>
        <v>0</v>
      </c>
      <c r="X522" s="15" t="n">
        <f aca="false">V522+W522-(V521+W521)</f>
        <v>0</v>
      </c>
      <c r="Y522" s="15" t="n">
        <f aca="false">P522-X522</f>
        <v>-36281.5204835226</v>
      </c>
      <c r="Z522" s="15" t="n">
        <f aca="false">R522-T522+IF(AND(Parametri_v3!$C$40=1,D522-YEAR(Parametri_v3!$C$50)&lt;Parametri_v3!$C$41),MAX(0,-Q522),0)</f>
        <v>1100781.76028115</v>
      </c>
      <c r="AA522" s="15" t="n">
        <f aca="false">S522-U522+IF(AND(Parametri_v3!$C$40=1,D522-YEAR(Parametri_v3!$C$50)&lt;Parametri_v3!$C$41),0,MAX(0,-Q522))</f>
        <v>74408.3645028735</v>
      </c>
      <c r="AB522" s="15" t="n">
        <f aca="false">F522*(1+Parametri_v3!$C$26)</f>
        <v>136860.897173138</v>
      </c>
      <c r="AC522" s="15" t="n">
        <f aca="false">(IF(38-(INT((Motore_Operativo!L522)/30))&lt;1,0,INDEX(Motore_Startup!$AB$485:$AB$544,MAX(1,38-(INT((Motore_Operativo!L522)/30)))))*(1-(MOD((Motore_Operativo!L522),30)/30))+IF(38-(INT((Motore_Operativo!L522)/30))-1&lt;1,0,INDEX(Motore_Startup!$AB$485:$AB$544,MAX(1,38-(INT((Motore_Operativo!L522)/30))-1)))*(MOD((Motore_Operativo!L522),30)/30))</f>
        <v>95551.4199316866</v>
      </c>
      <c r="AD522" s="15" t="n">
        <f aca="false">(AD521)+AB522-AC522</f>
        <v>369681.273961864</v>
      </c>
      <c r="AE522" s="15" t="n">
        <f aca="false">Motore_Operativo!BH522*(1+Parametri_v3!$C$26)</f>
        <v>11009.4833333333</v>
      </c>
      <c r="AF522" s="15" t="n">
        <f aca="false">(IF(38-(INT((Parametri_v3!$C$29)/30))&lt;1,0,INDEX(Motore_Operativo!$BH$485:$BH$544,MAX(1,38-(INT((Parametri_v3!$C$29)/30)))))*(1-(MOD((Parametri_v3!$C$29),30)/30))+IF(38-(INT((Parametri_v3!$C$29)/30))-1&lt;1,0,INDEX(Motore_Operativo!$BH$485:$BH$544,MAX(1,38-(INT((Parametri_v3!$C$29)/30))-1)))*(MOD((Parametri_v3!$C$29),30)/30))*(1+Parametri_v3!$C$26)</f>
        <v>11009.4833333333</v>
      </c>
      <c r="AG522" s="15" t="n">
        <f aca="false">(AG521)+AE522-AF522</f>
        <v>11009.4833333333</v>
      </c>
      <c r="AH522" s="15" t="n">
        <f aca="false">(Motore_Operativo!CJ522)*(1+Parametri_v3!$C$27*Parametri_v3!$C$26)</f>
        <v>69840.3980003269</v>
      </c>
      <c r="AI522" s="15" t="n">
        <f aca="false">(IF(38-(INT((Ipotesi!$C$91)/30))&lt;1,0,INDEX(Motore_Startup!$AH$485:$AH$544,MAX(1,38-(INT((Ipotesi!$C$91)/30)))))*(1-(MOD((Ipotesi!$C$91),30)/30))+IF(38-(INT((Ipotesi!$C$91)/30))-1&lt;1,0,INDEX(Motore_Startup!$AH$485:$AH$544,MAX(1,38-(INT((Ipotesi!$C$91)/30))-1)))*(MOD((Ipotesi!$C$91),30)/30))</f>
        <v>52679.4734811439</v>
      </c>
      <c r="AJ522" s="15" t="n">
        <f aca="false">(AJ521)+AH522-AI522</f>
        <v>139315.273461465</v>
      </c>
      <c r="AK522" s="15" t="n">
        <f aca="false">(F522+ Motore_Operativo!BH522-(Motore_Operativo!CJ522)*Parametri_v3!$C$27-Motore_Operativo!CE522)*Parametri_v3!$C$26</f>
        <v>14929.1597720746</v>
      </c>
      <c r="AL522" s="15" t="n">
        <f aca="false">MAX(0,(AM521))</f>
        <v>14502.8414513043</v>
      </c>
      <c r="AM522" s="15" t="n">
        <f aca="false">(AM521)+AK522-AL522</f>
        <v>14929.1597720746</v>
      </c>
      <c r="AN522" s="15" t="n">
        <f aca="false">SUM(X509:X520)</f>
        <v>0</v>
      </c>
      <c r="AO522" s="15" t="n">
        <f aca="false">SUM(AP509:AP520)</f>
        <v>0</v>
      </c>
      <c r="AP522" s="15" t="n">
        <f aca="false">MAX(0,AN522)*IF(2=Parametri_v3!$C$43,Parametri_v3!$C$45,IF(2=Parametri_v3!$C$44,1-Parametri_v3!$C$45,0))</f>
        <v>0</v>
      </c>
      <c r="AQ522" s="15" t="n">
        <f aca="false">MAX(0,AP522+IF(2=Parametri_v3!$C$43,MAX(0,AN522-AO522),0)-MAX(0,-(AR521)))</f>
        <v>0</v>
      </c>
      <c r="AR522" s="15" t="n">
        <f aca="false">(AR521)+X522-AQ522</f>
        <v>0</v>
      </c>
      <c r="AS522" s="15" t="n">
        <f aca="false">Motore_Operativo!AB522-AT522+AU522</f>
        <v>91649.4297604167</v>
      </c>
      <c r="AT522" s="15" t="n">
        <f aca="false">Motore_Operativo!CH522</f>
        <v>4823.65419791667</v>
      </c>
      <c r="AU522" s="15" t="n">
        <f aca="false">MIN(MAX(0,(AV521)+AT522),Parametri_v3!$C$60/12)</f>
        <v>0</v>
      </c>
      <c r="AV522" s="15" t="n">
        <f aca="false">(AV521)+AT522-AU522</f>
        <v>88819.0083958333</v>
      </c>
      <c r="AW522" s="15" t="n">
        <f aca="false">IF(AND(Motore_Operativo!C522=Finanziamenti!$D$6,Finanziamenti!$F$6=1),Finanziamenti!$C$6,0)</f>
        <v>0</v>
      </c>
      <c r="AX522" s="15" t="n">
        <f aca="false">IF(AND(9&lt;&gt;7,9&lt;&gt;9,Finanziamenti!$F$8=1,OR(Parametri_v3!$C$6=0,Finanziamenti!$E$8=1),Motore_Operativo!C522=EDATE(Finanziamenti!$D$8,Ipotesi!K15*12)),Finanziamenti!$C$8*1,0)+IF(AND(9&lt;&gt;7,9&lt;&gt;9,Finanziamenti!$F$9=1,OR(Parametri_v3!$C$6=0,Finanziamenti!$E$9=1),Motore_Operativo!C522=EDATE(Finanziamenti!$D$9,Ipotesi!K15*12)),Finanziamenti!$C$9*Ipotesi!K16,0)</f>
        <v>0</v>
      </c>
      <c r="AY522" s="15" t="n">
        <f aca="false">0</f>
        <v>0</v>
      </c>
      <c r="AZ522" s="15" t="n">
        <f aca="false">Motore_Advisory!AY522*(1-Ipotesi!$C$95)*Ipotesi!$C$96</f>
        <v>0</v>
      </c>
      <c r="BA522" s="15" t="n">
        <f aca="false">MAX(0,MIN(CG522*MIN(1,IF(Motore_Operativo!C522&gt;=EDATE(Finanziamenti!$D$15,Ipotesi!K14*12),Finanziamenti!$C$15,0)+IF(Motore_Operativo!C522&gt;=EDATE(Finanziamenti!$D$16,Ipotesi!K14*12),Finanziamenti!$C$16,0)+IF(Motore_Operativo!C522&gt;=EDATE(Finanziamenti!$D$17,Ipotesi!K14*12),Finanziamenti!$C$17,0)),CA522*Ipotesi!$C$102)-(CC521))</f>
        <v>0</v>
      </c>
      <c r="BB522" s="15" t="n">
        <f aca="false">IF(AND(CF522&gt;0,Motore_Operativo!C522&gt;=IF(CF522=0,0,EDATE(CF522,Parametri_v3!$C$37)),MOD(((D522-YEAR(IF(CF522=0,0,EDATE(CF522,Parametri_v3!$C$37))))*12+E522-MONTH(IF(CF522=0,0,EDATE(CF522,Parametri_v3!$C$37)))),Parametri_v3!$C$38)=0),MIN(MAX(0,(BC521)+BA522-N522),(CC522-CD522)/(Ipotesi!$C$108*12/Parametri_v3!$C$38)),0)</f>
        <v>0</v>
      </c>
      <c r="BC522" s="15" t="n">
        <f aca="false">(BC521)+BA522-N522-BB522</f>
        <v>0</v>
      </c>
      <c r="BD522" s="15" t="n">
        <f aca="false">(BH521)+AC522+AF522-AI522-AS522-K522*(1+Parametri_v3!$C$26)-AL522-AQ522-O522+AW522+AX522+AZ522+BA522-BB522</f>
        <v>-1224970.21822763</v>
      </c>
      <c r="BE522" s="15" t="n">
        <f aca="false">MAX(0,MIN(MAX(0,CH522-(BG521)),Parametri_v3!$C$30-BD522))</f>
        <v>0</v>
      </c>
      <c r="BF522" s="15" t="n">
        <f aca="false">IF(Motore_Operativo!C522&gt;=Parametri_v3!$C$63,(BG521),MIN((BG521),MAX(0,BD522-Parametri_v3!$C$30)))</f>
        <v>0</v>
      </c>
      <c r="BG522" s="15" t="n">
        <f aca="false">(BG521)+BE522-BF522</f>
        <v>0</v>
      </c>
      <c r="BH522" s="15" t="n">
        <f aca="false">BD522+BE522-BF522-AY522</f>
        <v>-1224970.21822763</v>
      </c>
      <c r="BI522" s="15" t="n">
        <f aca="false">MAX(0,Parametri_v3!$C$30-BH522)</f>
        <v>1249970.21822763</v>
      </c>
      <c r="BJ522" s="15" t="n">
        <f aca="false">(BJ521)+K522</f>
        <v>81666.6666666667</v>
      </c>
      <c r="BK522" s="15" t="n">
        <f aca="false">(BK521)+L522</f>
        <v>39513.8888888889</v>
      </c>
      <c r="BL522" s="15" t="n">
        <f aca="false">BJ522-BK522</f>
        <v>42152.7777777778</v>
      </c>
      <c r="BM522" s="15" t="n">
        <f aca="false">(BM521)+Y522</f>
        <v>-1175190.12478402</v>
      </c>
      <c r="BN522" s="15" t="n">
        <f aca="false">(BN521)+AW522+AX522+AZ522</f>
        <v>130000</v>
      </c>
      <c r="BO522" s="15" t="n">
        <f aca="false">(BO521)+AY522</f>
        <v>0</v>
      </c>
      <c r="BP522" s="15" t="n">
        <f aca="false">0</f>
        <v>0</v>
      </c>
      <c r="BQ522" s="15" t="n">
        <f aca="false">BN522+BM522-BO522</f>
        <v>-1045190.12478402</v>
      </c>
      <c r="BR522" s="15" t="n">
        <f aca="false">BH522+AD522+BL522+MAX(0,-AM522)+MAX(0,-AR522)+AG522</f>
        <v>-802126.683154653</v>
      </c>
      <c r="BS522" s="15" t="n">
        <f aca="false">AJ522+AV522+MAX(0,AM522)+MAX(0,AR522)+BC522+BG522+BQ522</f>
        <v>-802126.683154652</v>
      </c>
      <c r="BT522" s="15" t="n">
        <f aca="false">BR522-BS522</f>
        <v>0</v>
      </c>
      <c r="BU522" s="15" t="n">
        <f aca="false">BH522-(BD522+BE522-BF522-AY522)</f>
        <v>0</v>
      </c>
      <c r="BV522" s="15" t="n">
        <f aca="false">MIN(Piano_SS!$C$6,(BV521)+IF(AND(Motore_Operativo!C522&gt;=EDATE(Parametri_v3!$C$24,Ipotesi!K14*12),Motore_Operativo!C522&lt;EDATE(Parametri_v3!$C$24,Parametri_v3!$C$25+Ipotesi!K14*12)),MAX(0,(Motore_Operativo!Y522+Motore_Operativo!X522*Parametri_v3!$C$14)*(1-Parametri_v3!$C$32))*Piano_SS!$D$6,0))</f>
        <v>300000</v>
      </c>
      <c r="BW522" s="15" t="n">
        <f aca="false">MIN(Piano_SS!$C$7,(BW521)+IF(AND(Motore_Operativo!C522&gt;=EDATE(Parametri_v3!$C$24,Ipotesi!K14*12),Motore_Operativo!C522&lt;EDATE(Parametri_v3!$C$24,Parametri_v3!$C$25+Ipotesi!K14*12)),MAX(0,(IF(38-(INT((Ipotesi!$C$91)/30))&lt;1,0,INDEX(Motore_Operativo!$BN$485:$BN$544,MAX(1,38-(INT((Ipotesi!$C$91)/30)))))*(1-(MOD((Ipotesi!$C$91),30)/30))+IF(38-(INT((Ipotesi!$C$91)/30))-1&lt;1,0,INDEX(Motore_Operativo!$BN$485:$BN$544,MAX(1,38-(INT((Ipotesi!$C$91)/30))-1)))*(MOD((Ipotesi!$C$91),30)/30)))*Piano_SS!$D$7,0))</f>
        <v>41058.9230070837</v>
      </c>
      <c r="BX522" s="15" t="n">
        <f aca="false">MIN(Piano_SS!$C$8,(BX521)+IF(AND(Motore_Operativo!C522&gt;=EDATE(Parametri_v3!$C$24,Ipotesi!K14*12),Motore_Operativo!C522&lt;EDATE(Parametri_v3!$C$24,Parametri_v3!$C$25+Ipotesi!K14*12)),MAX(0,Motore_Operativo!CE522)*Piano_SS!$D$8,0))</f>
        <v>50000</v>
      </c>
      <c r="BY522" s="15" t="n">
        <f aca="false">MIN(Piano_SS!$C$9,(BY521)+IF(AND(Motore_Operativo!C522&gt;=EDATE(Parametri_v3!$C$24,Ipotesi!K14*12),Motore_Operativo!C522&lt;EDATE(Parametri_v3!$C$24,Parametri_v3!$C$25+Ipotesi!K14*12)),MAX(0,((IF(38-(INT((Ipotesi!$C$91)/30))&lt;1,0,INDEX(Motore_Operativo!$BQ$485:$BQ$544,MAX(1,38-(INT((Ipotesi!$C$91)/30)))))*(1-(MOD((Ipotesi!$C$91),30)/30))+IF(38-(INT((Ipotesi!$C$91)/30))-1&lt;1,0,INDEX(Motore_Operativo!$BQ$485:$BQ$544,MAX(1,38-(INT((Ipotesi!$C$91)/30))-1)))*(MOD((Ipotesi!$C$91),30)/30))+(IF(38-(INT((Ipotesi!$C$91)/30))&lt;1,0,INDEX(Motore_Operativo!$BR$485:$BR$544,MAX(1,38-(INT((Ipotesi!$C$91)/30)))))*(1-(MOD((Ipotesi!$C$91),30)/30))+IF(38-(INT((Ipotesi!$C$91)/30))-1&lt;1,0,INDEX(Motore_Operativo!$BR$485:$BR$544,MAX(1,38-(INT((Ipotesi!$C$91)/30))-1)))*(MOD((Ipotesi!$C$91),30)/30))))*Piano_SS!$D$9,0))</f>
        <v>40000</v>
      </c>
      <c r="BZ522" s="15" t="n">
        <f aca="false">MIN(Piano_SS!$C$10,(BZ521)+IF(AND(Motore_Operativo!C522&gt;=EDATE(Parametri_v3!$C$24,Ipotesi!K14*12),Motore_Operativo!C522&lt;EDATE(Parametri_v3!$C$24,Parametri_v3!$C$25+Ipotesi!K14*12)),MAX(0,(IF(38-(INT((Ipotesi!$C$91)/30))&lt;1,0,INDEX(Motore_Operativo!$BO$485:$BO$544,MAX(1,38-(INT((Ipotesi!$C$91)/30)))))*(1-(MOD((Ipotesi!$C$91),30)/30))+IF(38-(INT((Ipotesi!$C$91)/30))-1&lt;1,0,INDEX(Motore_Operativo!$BO$485:$BO$544,MAX(1,38-(INT((Ipotesi!$C$91)/30))-1)))*(MOD((Ipotesi!$C$91),30)/30)))*Piano_SS!$D$10,0))</f>
        <v>30000</v>
      </c>
      <c r="CA522" s="15" t="n">
        <f aca="false">SUM(BV522:BZ522)</f>
        <v>461058.923007084</v>
      </c>
      <c r="CB522" s="15" t="n">
        <f aca="false">BV522*(1-Piano_SS!$E$6)+BW522*(1-Piano_SS!$E$7)+BX522*(1-Piano_SS!$E$8)+BY522*(1-Piano_SS!$E$9)+BZ522*(1-Piano_SS!$E$10)</f>
        <v>431058.923007084</v>
      </c>
      <c r="CC522" s="15" t="n">
        <f aca="false">(CC521)+BA522</f>
        <v>0</v>
      </c>
      <c r="CD522" s="15" t="n">
        <f aca="false">IF(CA522=0,0,CC522*CB522/CA522*Ipotesi!$C$103*Parametri_v3!$C$64)</f>
        <v>0</v>
      </c>
      <c r="CE522" s="18" t="n">
        <f aca="false">IF(BA522&gt;0,Motore_Operativo!C522,(CE521))</f>
        <v>0</v>
      </c>
      <c r="CF522" s="18" t="n">
        <f aca="false">IF(AND(CC522&gt;0,OR(CC522&gt;=CG522-0.01,Motore_Operativo!C522&gt;=EDATE(MAX(Finanziamenti!$D$15:$D$17),Ipotesi!K14*12))),CE522,0)</f>
        <v>0</v>
      </c>
      <c r="CG522" s="15" t="n">
        <f aca="false">IF(AND(9&lt;&gt;6,9&lt;&gt;9,Finanziamenti!$F$11=1,OR(Parametri_v3!$C$6=0,Finanziamenti!$E$11=1)),MIN(Finanziamenti!$C$11,Piano_SS!$C$12*Ipotesi!$C$102),0)</f>
        <v>0</v>
      </c>
      <c r="CH522" s="15" t="n">
        <f aca="false">IF(AND(AND(9&lt;&gt;8,9&lt;&gt;9,Finanziamenti!$F$10=1,OR(Parametri_v3!$C$6=0,Finanziamenti!$E$10=1)),Motore_Operativo!C522&gt;=Finanziamenti!$D$10,Motore_Operativo!C522&lt;Parametri_v3!$C$63),Finanziamenti!$C$10,0)</f>
        <v>0</v>
      </c>
    </row>
    <row r="523" customFormat="false" ht="18" hidden="false" customHeight="true" outlineLevel="0" collapsed="false">
      <c r="A523" s="68" t="n">
        <f aca="false">9</f>
        <v>9</v>
      </c>
      <c r="B523" s="68" t="n">
        <f aca="false">39</f>
        <v>39</v>
      </c>
      <c r="C523" s="18" t="n">
        <f aca="false">Motore_Operativo!C523</f>
        <v>47543</v>
      </c>
      <c r="D523" s="68" t="n">
        <f aca="false">Motore_Operativo!D523</f>
        <v>2030</v>
      </c>
      <c r="E523" s="68" t="n">
        <f aca="false">Motore_Operativo!E523</f>
        <v>3</v>
      </c>
      <c r="F523" s="15" t="n">
        <f aca="false">Motore_Operativo!AQ523+Motore_Operativo!BF523</f>
        <v>114361.39352118</v>
      </c>
      <c r="G523" s="15" t="n">
        <f aca="false">Motore_Operativo!BH523</f>
        <v>9024.16666666667</v>
      </c>
      <c r="H523" s="15" t="n">
        <f aca="false">Motore_Operativo!BI523</f>
        <v>123385.560187847</v>
      </c>
      <c r="I523" s="15" t="n">
        <f aca="false">Motore_Operativo!CA523</f>
        <v>155616.070717965</v>
      </c>
      <c r="J523" s="15" t="n">
        <f aca="false">Motore_Operativo!CC523</f>
        <v>-32230.5105301187</v>
      </c>
      <c r="K523" s="15" t="n">
        <f aca="false">Motore_Operativo!CE523</f>
        <v>3333.33333333333</v>
      </c>
      <c r="L523" s="15" t="n">
        <f aca="false">SUM(INDEX($K$485:$K$544,MAX(1,39-Parametri_v3!$C$59+1)):K523)/Parametri_v3!$C$59</f>
        <v>2222.22222222222</v>
      </c>
      <c r="M523" s="15" t="n">
        <f aca="false">J523-L523</f>
        <v>-34452.7327523409</v>
      </c>
      <c r="N523" s="15" t="n">
        <f aca="false">CD523-(CD522)</f>
        <v>0</v>
      </c>
      <c r="O523" s="15" t="n">
        <f aca="false">(BG522)*Ipotesi!$C$110/12+CH523*Parametri_v3!$C$39/12</f>
        <v>0</v>
      </c>
      <c r="P523" s="15" t="n">
        <f aca="false">M523+N523-O523</f>
        <v>-34452.7327523409</v>
      </c>
      <c r="Q523" s="15" t="n">
        <f aca="false">SUM(P521:P523)+Parametri_v3!$C$54*3/12</f>
        <v>-108861.097255214</v>
      </c>
      <c r="R523" s="15" t="n">
        <f aca="false">Z520</f>
        <v>1100781.76028115</v>
      </c>
      <c r="S523" s="15" t="n">
        <f aca="false">AA520</f>
        <v>0</v>
      </c>
      <c r="T523" s="15" t="n">
        <f aca="false">MIN(R523,MAX(0,Q523))</f>
        <v>0</v>
      </c>
      <c r="U523" s="15" t="n">
        <f aca="false">MIN(S523,MAX(0,Q523-T523)*Parametri_v3!$C$42)</f>
        <v>0</v>
      </c>
      <c r="V523" s="15" t="n">
        <f aca="false">MAX(0,Q523-T523-U523)*Ipotesi!$C$92</f>
        <v>0</v>
      </c>
      <c r="W523" s="15" t="n">
        <f aca="false">MAX(0,SUM(M521:M523)+Parametri_v3!$C$55*3/12)*Ipotesi!$C$93</f>
        <v>0</v>
      </c>
      <c r="X523" s="15" t="n">
        <f aca="false">V523+W523-(V522+W522)</f>
        <v>0</v>
      </c>
      <c r="Y523" s="15" t="n">
        <f aca="false">P523-X523</f>
        <v>-34452.7327523409</v>
      </c>
      <c r="Z523" s="15" t="n">
        <f aca="false">R523-T523+IF(AND(Parametri_v3!$C$40=1,D523-YEAR(Parametri_v3!$C$50)&lt;Parametri_v3!$C$41),MAX(0,-Q523),0)</f>
        <v>1100781.76028115</v>
      </c>
      <c r="AA523" s="15" t="n">
        <f aca="false">S523-U523+IF(AND(Parametri_v3!$C$40=1,D523-YEAR(Parametri_v3!$C$50)&lt;Parametri_v3!$C$41),0,MAX(0,-Q523))</f>
        <v>108861.097255214</v>
      </c>
      <c r="AB523" s="15" t="n">
        <f aca="false">F523*(1+Parametri_v3!$C$26)</f>
        <v>139520.900095839</v>
      </c>
      <c r="AC523" s="15" t="n">
        <f aca="false">(IF(39-(INT((Motore_Operativo!L523)/30))&lt;1,0,INDEX(Motore_Startup!$AB$485:$AB$544,MAX(1,39-(INT((Motore_Operativo!L523)/30)))))*(1-(MOD((Motore_Operativo!L523),30)/30))+IF(39-(INT((Motore_Operativo!L523)/30))-1&lt;1,0,INDEX(Motore_Startup!$AB$485:$AB$544,MAX(1,39-(INT((Motore_Operativo!L523)/30))-1)))*(MOD((Motore_Operativo!L523),30)/30))</f>
        <v>98642.9403076721</v>
      </c>
      <c r="AD523" s="15" t="n">
        <f aca="false">(AD522)+AB523-AC523</f>
        <v>410559.233750032</v>
      </c>
      <c r="AE523" s="15" t="n">
        <f aca="false">Motore_Operativo!BH523*(1+Parametri_v3!$C$26)</f>
        <v>11009.4833333333</v>
      </c>
      <c r="AF523" s="15" t="n">
        <f aca="false">(IF(39-(INT((Parametri_v3!$C$29)/30))&lt;1,0,INDEX(Motore_Operativo!$BH$485:$BH$544,MAX(1,39-(INT((Parametri_v3!$C$29)/30)))))*(1-(MOD((Parametri_v3!$C$29),30)/30))+IF(39-(INT((Parametri_v3!$C$29)/30))-1&lt;1,0,INDEX(Motore_Operativo!$BH$485:$BH$544,MAX(1,39-(INT((Parametri_v3!$C$29)/30))-1)))*(MOD((Parametri_v3!$C$29),30)/30))*(1+Parametri_v3!$C$26)</f>
        <v>11009.4833333333</v>
      </c>
      <c r="AG523" s="15" t="n">
        <f aca="false">(AG522)+AE523-AF523</f>
        <v>11009.4833333333</v>
      </c>
      <c r="AH523" s="15" t="n">
        <f aca="false">(Motore_Operativo!CJ523)*(1+Parametri_v3!$C$27*Parametri_v3!$C$26)</f>
        <v>70202.725283683</v>
      </c>
      <c r="AI523" s="15" t="n">
        <f aca="false">(IF(39-(INT((Ipotesi!$C$91)/30))&lt;1,0,INDEX(Motore_Startup!$AH$485:$AH$544,MAX(1,39-(INT((Ipotesi!$C$91)/30)))))*(1-(MOD((Ipotesi!$C$91),30)/30))+IF(39-(INT((Ipotesi!$C$91)/30))-1&lt;1,0,INDEX(Motore_Startup!$AH$485:$AH$544,MAX(1,39-(INT((Ipotesi!$C$91)/30))-1)))*(MOD((Ipotesi!$C$91),30)/30))</f>
        <v>69474.875461138</v>
      </c>
      <c r="AJ523" s="15" t="n">
        <f aca="false">(AJ522)+AH523-AI523</f>
        <v>140043.12328401</v>
      </c>
      <c r="AK523" s="15" t="n">
        <f aca="false">(F523+ Motore_Operativo!BH523-(Motore_Operativo!CJ523)*Parametri_v3!$C$27-Motore_Operativo!CE523)*Parametri_v3!$C$26</f>
        <v>15351.7513839417</v>
      </c>
      <c r="AL523" s="15" t="n">
        <f aca="false">MAX(0,(AM522))</f>
        <v>14929.1597720746</v>
      </c>
      <c r="AM523" s="15" t="n">
        <f aca="false">(AM522)+AK523-AL523</f>
        <v>15351.7513839417</v>
      </c>
      <c r="AN523" s="15" t="n">
        <f aca="false">SUM(X509:X520)</f>
        <v>0</v>
      </c>
      <c r="AO523" s="15" t="n">
        <f aca="false">SUM(AP509:AP520)</f>
        <v>0</v>
      </c>
      <c r="AP523" s="15" t="n">
        <f aca="false">MAX(0,AN523)*IF(3=Parametri_v3!$C$43,Parametri_v3!$C$45,IF(3=Parametri_v3!$C$44,1-Parametri_v3!$C$45,0))</f>
        <v>0</v>
      </c>
      <c r="AQ523" s="15" t="n">
        <f aca="false">MAX(0,AP523+IF(3=Parametri_v3!$C$43,MAX(0,AN523-AO523),0)-MAX(0,-(AR522)))</f>
        <v>0</v>
      </c>
      <c r="AR523" s="15" t="n">
        <f aca="false">(AR522)+X523-AQ523</f>
        <v>0</v>
      </c>
      <c r="AS523" s="15" t="n">
        <f aca="false">Motore_Operativo!AB523-AT523+AU523</f>
        <v>91649.4297604167</v>
      </c>
      <c r="AT523" s="15" t="n">
        <f aca="false">Motore_Operativo!CH523</f>
        <v>4823.65419791667</v>
      </c>
      <c r="AU523" s="15" t="n">
        <f aca="false">MIN(MAX(0,(AV522)+AT523),Parametri_v3!$C$60/12)</f>
        <v>0</v>
      </c>
      <c r="AV523" s="15" t="n">
        <f aca="false">(AV522)+AT523-AU523</f>
        <v>93642.66259375</v>
      </c>
      <c r="AW523" s="15" t="n">
        <f aca="false">IF(AND(Motore_Operativo!C523=Finanziamenti!$D$6,Finanziamenti!$F$6=1),Finanziamenti!$C$6,0)</f>
        <v>0</v>
      </c>
      <c r="AX523" s="15" t="n">
        <f aca="false">IF(AND(9&lt;&gt;7,9&lt;&gt;9,Finanziamenti!$F$8=1,OR(Parametri_v3!$C$6=0,Finanziamenti!$E$8=1),Motore_Operativo!C523=EDATE(Finanziamenti!$D$8,Ipotesi!K15*12)),Finanziamenti!$C$8*1,0)+IF(AND(9&lt;&gt;7,9&lt;&gt;9,Finanziamenti!$F$9=1,OR(Parametri_v3!$C$6=0,Finanziamenti!$E$9=1),Motore_Operativo!C523=EDATE(Finanziamenti!$D$9,Ipotesi!K15*12)),Finanziamenti!$C$9*Ipotesi!K16,0)</f>
        <v>0</v>
      </c>
      <c r="AY523" s="15" t="n">
        <f aca="false">0</f>
        <v>0</v>
      </c>
      <c r="AZ523" s="15" t="n">
        <f aca="false">Motore_Advisory!AY523*(1-Ipotesi!$C$95)*Ipotesi!$C$96</f>
        <v>0</v>
      </c>
      <c r="BA523" s="15" t="n">
        <f aca="false">MAX(0,MIN(CG523*MIN(1,IF(Motore_Operativo!C523&gt;=EDATE(Finanziamenti!$D$15,Ipotesi!K14*12),Finanziamenti!$C$15,0)+IF(Motore_Operativo!C523&gt;=EDATE(Finanziamenti!$D$16,Ipotesi!K14*12),Finanziamenti!$C$16,0)+IF(Motore_Operativo!C523&gt;=EDATE(Finanziamenti!$D$17,Ipotesi!K14*12),Finanziamenti!$C$17,0)),CA523*Ipotesi!$C$102)-(CC522))</f>
        <v>0</v>
      </c>
      <c r="BB523" s="15" t="n">
        <f aca="false">IF(AND(CF523&gt;0,Motore_Operativo!C523&gt;=IF(CF523=0,0,EDATE(CF523,Parametri_v3!$C$37)),MOD(((D523-YEAR(IF(CF523=0,0,EDATE(CF523,Parametri_v3!$C$37))))*12+E523-MONTH(IF(CF523=0,0,EDATE(CF523,Parametri_v3!$C$37)))),Parametri_v3!$C$38)=0),MIN(MAX(0,(BC522)+BA523-N523),(CC523-CD523)/(Ipotesi!$C$108*12/Parametri_v3!$C$38)),0)</f>
        <v>0</v>
      </c>
      <c r="BC523" s="15" t="n">
        <f aca="false">(BC522)+BA523-N523-BB523</f>
        <v>0</v>
      </c>
      <c r="BD523" s="15" t="n">
        <f aca="false">(BH522)+AC523+AF523-AI523-AS523-K523*(1+Parametri_v3!$C$26)-AL523-AQ523-O523+AW523+AX523+AZ523+BA523-BB523</f>
        <v>-1295437.92624692</v>
      </c>
      <c r="BE523" s="15" t="n">
        <f aca="false">MAX(0,MIN(MAX(0,CH523-(BG522)),Parametri_v3!$C$30-BD523))</f>
        <v>0</v>
      </c>
      <c r="BF523" s="15" t="n">
        <f aca="false">IF(Motore_Operativo!C523&gt;=Parametri_v3!$C$63,(BG522),MIN((BG522),MAX(0,BD523-Parametri_v3!$C$30)))</f>
        <v>0</v>
      </c>
      <c r="BG523" s="15" t="n">
        <f aca="false">(BG522)+BE523-BF523</f>
        <v>0</v>
      </c>
      <c r="BH523" s="15" t="n">
        <f aca="false">BD523+BE523-BF523-AY523</f>
        <v>-1295437.92624692</v>
      </c>
      <c r="BI523" s="15" t="n">
        <f aca="false">MAX(0,Parametri_v3!$C$30-BH523)</f>
        <v>1320437.92624692</v>
      </c>
      <c r="BJ523" s="15" t="n">
        <f aca="false">(BJ522)+K523</f>
        <v>85000</v>
      </c>
      <c r="BK523" s="15" t="n">
        <f aca="false">(BK522)+L523</f>
        <v>41736.1111111111</v>
      </c>
      <c r="BL523" s="15" t="n">
        <f aca="false">BJ523-BK523</f>
        <v>43263.8888888889</v>
      </c>
      <c r="BM523" s="15" t="n">
        <f aca="false">(BM522)+Y523</f>
        <v>-1209642.85753637</v>
      </c>
      <c r="BN523" s="15" t="n">
        <f aca="false">(BN522)+AW523+AX523+AZ523</f>
        <v>130000</v>
      </c>
      <c r="BO523" s="15" t="n">
        <f aca="false">(BO522)+AY523</f>
        <v>0</v>
      </c>
      <c r="BP523" s="15" t="n">
        <f aca="false">0</f>
        <v>0</v>
      </c>
      <c r="BQ523" s="15" t="n">
        <f aca="false">BN523+BM523-BO523</f>
        <v>-1079642.85753637</v>
      </c>
      <c r="BR523" s="15" t="n">
        <f aca="false">BH523+AD523+BL523+MAX(0,-AM523)+MAX(0,-AR523)+AG523</f>
        <v>-830605.320274665</v>
      </c>
      <c r="BS523" s="15" t="n">
        <f aca="false">AJ523+AV523+MAX(0,AM523)+MAX(0,AR523)+BC523+BG523+BQ523</f>
        <v>-830605.320274664</v>
      </c>
      <c r="BT523" s="15" t="n">
        <f aca="false">BR523-BS523</f>
        <v>0</v>
      </c>
      <c r="BU523" s="15" t="n">
        <f aca="false">BH523-(BD523+BE523-BF523-AY523)</f>
        <v>0</v>
      </c>
      <c r="BV523" s="15" t="n">
        <f aca="false">MIN(Piano_SS!$C$6,(BV522)+IF(AND(Motore_Operativo!C523&gt;=EDATE(Parametri_v3!$C$24,Ipotesi!K14*12),Motore_Operativo!C523&lt;EDATE(Parametri_v3!$C$24,Parametri_v3!$C$25+Ipotesi!K14*12)),MAX(0,(Motore_Operativo!Y523+Motore_Operativo!X523*Parametri_v3!$C$14)*(1-Parametri_v3!$C$32))*Piano_SS!$D$6,0))</f>
        <v>300000</v>
      </c>
      <c r="BW523" s="15" t="n">
        <f aca="false">MIN(Piano_SS!$C$7,(BW522)+IF(AND(Motore_Operativo!C523&gt;=EDATE(Parametri_v3!$C$24,Ipotesi!K14*12),Motore_Operativo!C523&lt;EDATE(Parametri_v3!$C$24,Parametri_v3!$C$25+Ipotesi!K14*12)),MAX(0,(IF(39-(INT((Ipotesi!$C$91)/30))&lt;1,0,INDEX(Motore_Operativo!$BN$485:$BN$544,MAX(1,39-(INT((Ipotesi!$C$91)/30)))))*(1-(MOD((Ipotesi!$C$91),30)/30))+IF(39-(INT((Ipotesi!$C$91)/30))-1&lt;1,0,INDEX(Motore_Operativo!$BN$485:$BN$544,MAX(1,39-(INT((Ipotesi!$C$91)/30))-1)))*(MOD((Ipotesi!$C$91),30)/30)))*Piano_SS!$D$7,0))</f>
        <v>41058.9230070837</v>
      </c>
      <c r="BX523" s="15" t="n">
        <f aca="false">MIN(Piano_SS!$C$8,(BX522)+IF(AND(Motore_Operativo!C523&gt;=EDATE(Parametri_v3!$C$24,Ipotesi!K14*12),Motore_Operativo!C523&lt;EDATE(Parametri_v3!$C$24,Parametri_v3!$C$25+Ipotesi!K14*12)),MAX(0,Motore_Operativo!CE523)*Piano_SS!$D$8,0))</f>
        <v>50000</v>
      </c>
      <c r="BY523" s="15" t="n">
        <f aca="false">MIN(Piano_SS!$C$9,(BY522)+IF(AND(Motore_Operativo!C523&gt;=EDATE(Parametri_v3!$C$24,Ipotesi!K14*12),Motore_Operativo!C523&lt;EDATE(Parametri_v3!$C$24,Parametri_v3!$C$25+Ipotesi!K14*12)),MAX(0,((IF(39-(INT((Ipotesi!$C$91)/30))&lt;1,0,INDEX(Motore_Operativo!$BQ$485:$BQ$544,MAX(1,39-(INT((Ipotesi!$C$91)/30)))))*(1-(MOD((Ipotesi!$C$91),30)/30))+IF(39-(INT((Ipotesi!$C$91)/30))-1&lt;1,0,INDEX(Motore_Operativo!$BQ$485:$BQ$544,MAX(1,39-(INT((Ipotesi!$C$91)/30))-1)))*(MOD((Ipotesi!$C$91),30)/30))+(IF(39-(INT((Ipotesi!$C$91)/30))&lt;1,0,INDEX(Motore_Operativo!$BR$485:$BR$544,MAX(1,39-(INT((Ipotesi!$C$91)/30)))))*(1-(MOD((Ipotesi!$C$91),30)/30))+IF(39-(INT((Ipotesi!$C$91)/30))-1&lt;1,0,INDEX(Motore_Operativo!$BR$485:$BR$544,MAX(1,39-(INT((Ipotesi!$C$91)/30))-1)))*(MOD((Ipotesi!$C$91),30)/30))))*Piano_SS!$D$9,0))</f>
        <v>40000</v>
      </c>
      <c r="BZ523" s="15" t="n">
        <f aca="false">MIN(Piano_SS!$C$10,(BZ522)+IF(AND(Motore_Operativo!C523&gt;=EDATE(Parametri_v3!$C$24,Ipotesi!K14*12),Motore_Operativo!C523&lt;EDATE(Parametri_v3!$C$24,Parametri_v3!$C$25+Ipotesi!K14*12)),MAX(0,(IF(39-(INT((Ipotesi!$C$91)/30))&lt;1,0,INDEX(Motore_Operativo!$BO$485:$BO$544,MAX(1,39-(INT((Ipotesi!$C$91)/30)))))*(1-(MOD((Ipotesi!$C$91),30)/30))+IF(39-(INT((Ipotesi!$C$91)/30))-1&lt;1,0,INDEX(Motore_Operativo!$BO$485:$BO$544,MAX(1,39-(INT((Ipotesi!$C$91)/30))-1)))*(MOD((Ipotesi!$C$91),30)/30)))*Piano_SS!$D$10,0))</f>
        <v>30000</v>
      </c>
      <c r="CA523" s="15" t="n">
        <f aca="false">SUM(BV523:BZ523)</f>
        <v>461058.923007084</v>
      </c>
      <c r="CB523" s="15" t="n">
        <f aca="false">BV523*(1-Piano_SS!$E$6)+BW523*(1-Piano_SS!$E$7)+BX523*(1-Piano_SS!$E$8)+BY523*(1-Piano_SS!$E$9)+BZ523*(1-Piano_SS!$E$10)</f>
        <v>431058.923007084</v>
      </c>
      <c r="CC523" s="15" t="n">
        <f aca="false">(CC522)+BA523</f>
        <v>0</v>
      </c>
      <c r="CD523" s="15" t="n">
        <f aca="false">IF(CA523=0,0,CC523*CB523/CA523*Ipotesi!$C$103*Parametri_v3!$C$64)</f>
        <v>0</v>
      </c>
      <c r="CE523" s="18" t="n">
        <f aca="false">IF(BA523&gt;0,Motore_Operativo!C523,(CE522))</f>
        <v>0</v>
      </c>
      <c r="CF523" s="18" t="n">
        <f aca="false">IF(AND(CC523&gt;0,OR(CC523&gt;=CG523-0.01,Motore_Operativo!C523&gt;=EDATE(MAX(Finanziamenti!$D$15:$D$17),Ipotesi!K14*12))),CE523,0)</f>
        <v>0</v>
      </c>
      <c r="CG523" s="15" t="n">
        <f aca="false">IF(AND(9&lt;&gt;6,9&lt;&gt;9,Finanziamenti!$F$11=1,OR(Parametri_v3!$C$6=0,Finanziamenti!$E$11=1)),MIN(Finanziamenti!$C$11,Piano_SS!$C$12*Ipotesi!$C$102),0)</f>
        <v>0</v>
      </c>
      <c r="CH523" s="15" t="n">
        <f aca="false">IF(AND(AND(9&lt;&gt;8,9&lt;&gt;9,Finanziamenti!$F$10=1,OR(Parametri_v3!$C$6=0,Finanziamenti!$E$10=1)),Motore_Operativo!C523&gt;=Finanziamenti!$D$10,Motore_Operativo!C523&lt;Parametri_v3!$C$63),Finanziamenti!$C$10,0)</f>
        <v>0</v>
      </c>
    </row>
    <row r="524" customFormat="false" ht="18" hidden="false" customHeight="true" outlineLevel="0" collapsed="false">
      <c r="A524" s="68" t="n">
        <f aca="false">9</f>
        <v>9</v>
      </c>
      <c r="B524" s="68" t="n">
        <f aca="false">40</f>
        <v>40</v>
      </c>
      <c r="C524" s="18" t="n">
        <f aca="false">Motore_Operativo!C524</f>
        <v>47574</v>
      </c>
      <c r="D524" s="68" t="n">
        <f aca="false">Motore_Operativo!D524</f>
        <v>2030</v>
      </c>
      <c r="E524" s="68" t="n">
        <f aca="false">Motore_Operativo!E524</f>
        <v>4</v>
      </c>
      <c r="F524" s="15" t="n">
        <f aca="false">Motore_Operativo!AQ524+Motore_Operativo!BF524</f>
        <v>116985.966626</v>
      </c>
      <c r="G524" s="15" t="n">
        <f aca="false">Motore_Operativo!BH524</f>
        <v>9024.16666666667</v>
      </c>
      <c r="H524" s="15" t="n">
        <f aca="false">Motore_Operativo!BI524</f>
        <v>126010.133292667</v>
      </c>
      <c r="I524" s="15" t="n">
        <f aca="false">Motore_Operativo!CA524</f>
        <v>155983.51095264</v>
      </c>
      <c r="J524" s="15" t="n">
        <f aca="false">Motore_Operativo!CC524</f>
        <v>-29973.3776599733</v>
      </c>
      <c r="K524" s="15" t="n">
        <f aca="false">Motore_Operativo!CE524</f>
        <v>3333.33333333333</v>
      </c>
      <c r="L524" s="15" t="n">
        <f aca="false">SUM(INDEX($K$485:$K$544,MAX(1,40-Parametri_v3!$C$59+1)):K524)/Parametri_v3!$C$59</f>
        <v>2268.51851851852</v>
      </c>
      <c r="M524" s="15" t="n">
        <f aca="false">J524-L524</f>
        <v>-32241.8961784918</v>
      </c>
      <c r="N524" s="15" t="n">
        <f aca="false">CD524-(CD523)</f>
        <v>0</v>
      </c>
      <c r="O524" s="15" t="n">
        <f aca="false">(BG523)*Ipotesi!$C$110/12+CH524*Parametri_v3!$C$39/12</f>
        <v>0</v>
      </c>
      <c r="P524" s="15" t="n">
        <f aca="false">M524+N524-O524</f>
        <v>-32241.8961784918</v>
      </c>
      <c r="Q524" s="15" t="n">
        <f aca="false">SUM(P521:P524)+Parametri_v3!$C$54*4/12</f>
        <v>-141102.993433706</v>
      </c>
      <c r="R524" s="15" t="n">
        <f aca="false">Z520</f>
        <v>1100781.76028115</v>
      </c>
      <c r="S524" s="15" t="n">
        <f aca="false">AA520</f>
        <v>0</v>
      </c>
      <c r="T524" s="15" t="n">
        <f aca="false">MIN(R524,MAX(0,Q524))</f>
        <v>0</v>
      </c>
      <c r="U524" s="15" t="n">
        <f aca="false">MIN(S524,MAX(0,Q524-T524)*Parametri_v3!$C$42)</f>
        <v>0</v>
      </c>
      <c r="V524" s="15" t="n">
        <f aca="false">MAX(0,Q524-T524-U524)*Ipotesi!$C$92</f>
        <v>0</v>
      </c>
      <c r="W524" s="15" t="n">
        <f aca="false">MAX(0,SUM(M521:M524)+Parametri_v3!$C$55*4/12)*Ipotesi!$C$93</f>
        <v>0</v>
      </c>
      <c r="X524" s="15" t="n">
        <f aca="false">V524+W524-(V523+W523)</f>
        <v>0</v>
      </c>
      <c r="Y524" s="15" t="n">
        <f aca="false">P524-X524</f>
        <v>-32241.8961784918</v>
      </c>
      <c r="Z524" s="15" t="n">
        <f aca="false">R524-T524+IF(AND(Parametri_v3!$C$40=1,D524-YEAR(Parametri_v3!$C$50)&lt;Parametri_v3!$C$41),MAX(0,-Q524),0)</f>
        <v>1100781.76028115</v>
      </c>
      <c r="AA524" s="15" t="n">
        <f aca="false">S524-U524+IF(AND(Parametri_v3!$C$40=1,D524-YEAR(Parametri_v3!$C$50)&lt;Parametri_v3!$C$41),0,MAX(0,-Q524))</f>
        <v>141102.993433706</v>
      </c>
      <c r="AB524" s="15" t="n">
        <f aca="false">F524*(1+Parametri_v3!$C$26)</f>
        <v>142722.87928372</v>
      </c>
      <c r="AC524" s="15" t="n">
        <f aca="false">(IF(40-(INT((Motore_Operativo!L524)/30))&lt;1,0,INDEX(Motore_Startup!$AB$485:$AB$544,MAX(1,40-(INT((Motore_Operativo!L524)/30)))))*(1-(MOD((Motore_Operativo!L524),30)/30))+IF(40-(INT((Motore_Operativo!L524)/30))-1&lt;1,0,INDEX(Motore_Startup!$AB$485:$AB$544,MAX(1,40-(INT((Motore_Operativo!L524)/30))-1)))*(MOD((Motore_Operativo!L524),30)/30))</f>
        <v>134177.436481054</v>
      </c>
      <c r="AD524" s="15" t="n">
        <f aca="false">(AD523)+AB524-AC524</f>
        <v>419104.676552697</v>
      </c>
      <c r="AE524" s="15" t="n">
        <f aca="false">Motore_Operativo!BH524*(1+Parametri_v3!$C$26)</f>
        <v>11009.4833333333</v>
      </c>
      <c r="AF524" s="15" t="n">
        <f aca="false">(IF(40-(INT((Parametri_v3!$C$29)/30))&lt;1,0,INDEX(Motore_Operativo!$BH$485:$BH$544,MAX(1,40-(INT((Parametri_v3!$C$29)/30)))))*(1-(MOD((Parametri_v3!$C$29),30)/30))+IF(40-(INT((Parametri_v3!$C$29)/30))-1&lt;1,0,INDEX(Motore_Operativo!$BH$485:$BH$544,MAX(1,40-(INT((Parametri_v3!$C$29)/30))-1)))*(MOD((Parametri_v3!$C$29),30)/30))*(1+Parametri_v3!$C$26)</f>
        <v>11009.4833333333</v>
      </c>
      <c r="AG524" s="15" t="n">
        <f aca="false">(AG523)+AE524-AF524</f>
        <v>11009.4833333333</v>
      </c>
      <c r="AH524" s="15" t="n">
        <f aca="false">(Motore_Operativo!CJ524)*(1+Parametri_v3!$C$27*Parametri_v3!$C$26)</f>
        <v>70638.876842242</v>
      </c>
      <c r="AI524" s="15" t="n">
        <f aca="false">(IF(40-(INT((Ipotesi!$C$91)/30))&lt;1,0,INDEX(Motore_Startup!$AH$485:$AH$544,MAX(1,40-(INT((Ipotesi!$C$91)/30)))))*(1-(MOD((Ipotesi!$C$91),30)/30))+IF(40-(INT((Ipotesi!$C$91)/30))-1&lt;1,0,INDEX(Motore_Startup!$AH$485:$AH$544,MAX(1,40-(INT((Ipotesi!$C$91)/30))-1)))*(MOD((Ipotesi!$C$91),30)/30))</f>
        <v>69840.3980003269</v>
      </c>
      <c r="AJ524" s="15" t="n">
        <f aca="false">(AJ523)+AH524-AI524</f>
        <v>140841.602125925</v>
      </c>
      <c r="AK524" s="15" t="n">
        <f aca="false">(F524+ Motore_Operativo!BH524-(Motore_Operativo!CJ524)*Parametri_v3!$C$27-Motore_Operativo!CE524)*Parametri_v3!$C$26</f>
        <v>15860.446143118</v>
      </c>
      <c r="AL524" s="15" t="n">
        <f aca="false">MAX(0,(AM523))</f>
        <v>15351.7513839417</v>
      </c>
      <c r="AM524" s="15" t="n">
        <f aca="false">(AM523)+AK524-AL524</f>
        <v>15860.446143118</v>
      </c>
      <c r="AN524" s="15" t="n">
        <f aca="false">SUM(X509:X520)</f>
        <v>0</v>
      </c>
      <c r="AO524" s="15" t="n">
        <f aca="false">SUM(AP509:AP520)</f>
        <v>0</v>
      </c>
      <c r="AP524" s="15" t="n">
        <f aca="false">MAX(0,AN524)*IF(4=Parametri_v3!$C$43,Parametri_v3!$C$45,IF(4=Parametri_v3!$C$44,1-Parametri_v3!$C$45,0))</f>
        <v>0</v>
      </c>
      <c r="AQ524" s="15" t="n">
        <f aca="false">MAX(0,AP524+IF(4=Parametri_v3!$C$43,MAX(0,AN524-AO524),0)-MAX(0,-(AR523)))</f>
        <v>0</v>
      </c>
      <c r="AR524" s="15" t="n">
        <f aca="false">(AR523)+X524-AQ524</f>
        <v>0</v>
      </c>
      <c r="AS524" s="15" t="n">
        <f aca="false">Motore_Operativo!AB524-AT524+AU524</f>
        <v>91649.4297604167</v>
      </c>
      <c r="AT524" s="15" t="n">
        <f aca="false">Motore_Operativo!CH524</f>
        <v>4823.65419791667</v>
      </c>
      <c r="AU524" s="15" t="n">
        <f aca="false">MIN(MAX(0,(AV523)+AT524),Parametri_v3!$C$60/12)</f>
        <v>0</v>
      </c>
      <c r="AV524" s="15" t="n">
        <f aca="false">(AV523)+AT524-AU524</f>
        <v>98466.3167916667</v>
      </c>
      <c r="AW524" s="15" t="n">
        <f aca="false">IF(AND(Motore_Operativo!C524=Finanziamenti!$D$6,Finanziamenti!$F$6=1),Finanziamenti!$C$6,0)</f>
        <v>0</v>
      </c>
      <c r="AX524" s="15" t="n">
        <f aca="false">IF(AND(9&lt;&gt;7,9&lt;&gt;9,Finanziamenti!$F$8=1,OR(Parametri_v3!$C$6=0,Finanziamenti!$E$8=1),Motore_Operativo!C524=EDATE(Finanziamenti!$D$8,Ipotesi!K15*12)),Finanziamenti!$C$8*1,0)+IF(AND(9&lt;&gt;7,9&lt;&gt;9,Finanziamenti!$F$9=1,OR(Parametri_v3!$C$6=0,Finanziamenti!$E$9=1),Motore_Operativo!C524=EDATE(Finanziamenti!$D$9,Ipotesi!K15*12)),Finanziamenti!$C$9*Ipotesi!K16,0)</f>
        <v>0</v>
      </c>
      <c r="AY524" s="15" t="n">
        <f aca="false">0</f>
        <v>0</v>
      </c>
      <c r="AZ524" s="15" t="n">
        <f aca="false">Motore_Advisory!AY524*(1-Ipotesi!$C$95)*Ipotesi!$C$96</f>
        <v>0</v>
      </c>
      <c r="BA524" s="15" t="n">
        <f aca="false">MAX(0,MIN(CG524*MIN(1,IF(Motore_Operativo!C524&gt;=EDATE(Finanziamenti!$D$15,Ipotesi!K14*12),Finanziamenti!$C$15,0)+IF(Motore_Operativo!C524&gt;=EDATE(Finanziamenti!$D$16,Ipotesi!K14*12),Finanziamenti!$C$16,0)+IF(Motore_Operativo!C524&gt;=EDATE(Finanziamenti!$D$17,Ipotesi!K14*12),Finanziamenti!$C$17,0)),CA524*Ipotesi!$C$102)-(CC523))</f>
        <v>0</v>
      </c>
      <c r="BB524" s="15" t="n">
        <f aca="false">IF(AND(CF524&gt;0,Motore_Operativo!C524&gt;=IF(CF524=0,0,EDATE(CF524,Parametri_v3!$C$37)),MOD(((D524-YEAR(IF(CF524=0,0,EDATE(CF524,Parametri_v3!$C$37))))*12+E524-MONTH(IF(CF524=0,0,EDATE(CF524,Parametri_v3!$C$37)))),Parametri_v3!$C$38)=0),MIN(MAX(0,(BC523)+BA524-N524),(CC524-CD524)/(Ipotesi!$C$108*12/Parametri_v3!$C$38)),0)</f>
        <v>0</v>
      </c>
      <c r="BC524" s="15" t="n">
        <f aca="false">(BC523)+BA524-N524-BB524</f>
        <v>0</v>
      </c>
      <c r="BD524" s="15" t="n">
        <f aca="false">(BH523)+AC524+AF524-AI524-AS524-K524*(1+Parametri_v3!$C$26)-AL524-AQ524-O524+AW524+AX524+AZ524+BA524-BB524</f>
        <v>-1331159.25224388</v>
      </c>
      <c r="BE524" s="15" t="n">
        <f aca="false">MAX(0,MIN(MAX(0,CH524-(BG523)),Parametri_v3!$C$30-BD524))</f>
        <v>0</v>
      </c>
      <c r="BF524" s="15" t="n">
        <f aca="false">IF(Motore_Operativo!C524&gt;=Parametri_v3!$C$63,(BG523),MIN((BG523),MAX(0,BD524-Parametri_v3!$C$30)))</f>
        <v>0</v>
      </c>
      <c r="BG524" s="15" t="n">
        <f aca="false">(BG523)+BE524-BF524</f>
        <v>0</v>
      </c>
      <c r="BH524" s="15" t="n">
        <f aca="false">BD524+BE524-BF524-AY524</f>
        <v>-1331159.25224388</v>
      </c>
      <c r="BI524" s="15" t="n">
        <f aca="false">MAX(0,Parametri_v3!$C$30-BH524)</f>
        <v>1356159.25224388</v>
      </c>
      <c r="BJ524" s="15" t="n">
        <f aca="false">(BJ523)+K524</f>
        <v>88333.3333333333</v>
      </c>
      <c r="BK524" s="15" t="n">
        <f aca="false">(BK523)+L524</f>
        <v>44004.6296296296</v>
      </c>
      <c r="BL524" s="15" t="n">
        <f aca="false">BJ524-BK524</f>
        <v>44328.7037037037</v>
      </c>
      <c r="BM524" s="15" t="n">
        <f aca="false">(BM523)+Y524</f>
        <v>-1241884.75371486</v>
      </c>
      <c r="BN524" s="15" t="n">
        <f aca="false">(BN523)+AW524+AX524+AZ524</f>
        <v>130000</v>
      </c>
      <c r="BO524" s="15" t="n">
        <f aca="false">(BO523)+AY524</f>
        <v>0</v>
      </c>
      <c r="BP524" s="15" t="n">
        <f aca="false">0</f>
        <v>0</v>
      </c>
      <c r="BQ524" s="15" t="n">
        <f aca="false">BN524+BM524-BO524</f>
        <v>-1111884.75371486</v>
      </c>
      <c r="BR524" s="15" t="n">
        <f aca="false">BH524+AD524+BL524+MAX(0,-AM524)+MAX(0,-AR524)+AG524</f>
        <v>-856716.388654149</v>
      </c>
      <c r="BS524" s="15" t="n">
        <f aca="false">AJ524+AV524+MAX(0,AM524)+MAX(0,AR524)+BC524+BG524+BQ524</f>
        <v>-856716.388654148</v>
      </c>
      <c r="BT524" s="15" t="n">
        <f aca="false">BR524-BS524</f>
        <v>0</v>
      </c>
      <c r="BU524" s="15" t="n">
        <f aca="false">BH524-(BD524+BE524-BF524-AY524)</f>
        <v>0</v>
      </c>
      <c r="BV524" s="15" t="n">
        <f aca="false">MIN(Piano_SS!$C$6,(BV523)+IF(AND(Motore_Operativo!C524&gt;=EDATE(Parametri_v3!$C$24,Ipotesi!K14*12),Motore_Operativo!C524&lt;EDATE(Parametri_v3!$C$24,Parametri_v3!$C$25+Ipotesi!K14*12)),MAX(0,(Motore_Operativo!Y524+Motore_Operativo!X524*Parametri_v3!$C$14)*(1-Parametri_v3!$C$32))*Piano_SS!$D$6,0))</f>
        <v>300000</v>
      </c>
      <c r="BW524" s="15" t="n">
        <f aca="false">MIN(Piano_SS!$C$7,(BW523)+IF(AND(Motore_Operativo!C524&gt;=EDATE(Parametri_v3!$C$24,Ipotesi!K14*12),Motore_Operativo!C524&lt;EDATE(Parametri_v3!$C$24,Parametri_v3!$C$25+Ipotesi!K14*12)),MAX(0,(IF(40-(INT((Ipotesi!$C$91)/30))&lt;1,0,INDEX(Motore_Operativo!$BN$485:$BN$544,MAX(1,40-(INT((Ipotesi!$C$91)/30)))))*(1-(MOD((Ipotesi!$C$91),30)/30))+IF(40-(INT((Ipotesi!$C$91)/30))-1&lt;1,0,INDEX(Motore_Operativo!$BN$485:$BN$544,MAX(1,40-(INT((Ipotesi!$C$91)/30))-1)))*(MOD((Ipotesi!$C$91),30)/30)))*Piano_SS!$D$7,0))</f>
        <v>41058.9230070837</v>
      </c>
      <c r="BX524" s="15" t="n">
        <f aca="false">MIN(Piano_SS!$C$8,(BX523)+IF(AND(Motore_Operativo!C524&gt;=EDATE(Parametri_v3!$C$24,Ipotesi!K14*12),Motore_Operativo!C524&lt;EDATE(Parametri_v3!$C$24,Parametri_v3!$C$25+Ipotesi!K14*12)),MAX(0,Motore_Operativo!CE524)*Piano_SS!$D$8,0))</f>
        <v>50000</v>
      </c>
      <c r="BY524" s="15" t="n">
        <f aca="false">MIN(Piano_SS!$C$9,(BY523)+IF(AND(Motore_Operativo!C524&gt;=EDATE(Parametri_v3!$C$24,Ipotesi!K14*12),Motore_Operativo!C524&lt;EDATE(Parametri_v3!$C$24,Parametri_v3!$C$25+Ipotesi!K14*12)),MAX(0,((IF(40-(INT((Ipotesi!$C$91)/30))&lt;1,0,INDEX(Motore_Operativo!$BQ$485:$BQ$544,MAX(1,40-(INT((Ipotesi!$C$91)/30)))))*(1-(MOD((Ipotesi!$C$91),30)/30))+IF(40-(INT((Ipotesi!$C$91)/30))-1&lt;1,0,INDEX(Motore_Operativo!$BQ$485:$BQ$544,MAX(1,40-(INT((Ipotesi!$C$91)/30))-1)))*(MOD((Ipotesi!$C$91),30)/30))+(IF(40-(INT((Ipotesi!$C$91)/30))&lt;1,0,INDEX(Motore_Operativo!$BR$485:$BR$544,MAX(1,40-(INT((Ipotesi!$C$91)/30)))))*(1-(MOD((Ipotesi!$C$91),30)/30))+IF(40-(INT((Ipotesi!$C$91)/30))-1&lt;1,0,INDEX(Motore_Operativo!$BR$485:$BR$544,MAX(1,40-(INT((Ipotesi!$C$91)/30))-1)))*(MOD((Ipotesi!$C$91),30)/30))))*Piano_SS!$D$9,0))</f>
        <v>40000</v>
      </c>
      <c r="BZ524" s="15" t="n">
        <f aca="false">MIN(Piano_SS!$C$10,(BZ523)+IF(AND(Motore_Operativo!C524&gt;=EDATE(Parametri_v3!$C$24,Ipotesi!K14*12),Motore_Operativo!C524&lt;EDATE(Parametri_v3!$C$24,Parametri_v3!$C$25+Ipotesi!K14*12)),MAX(0,(IF(40-(INT((Ipotesi!$C$91)/30))&lt;1,0,INDEX(Motore_Operativo!$BO$485:$BO$544,MAX(1,40-(INT((Ipotesi!$C$91)/30)))))*(1-(MOD((Ipotesi!$C$91),30)/30))+IF(40-(INT((Ipotesi!$C$91)/30))-1&lt;1,0,INDEX(Motore_Operativo!$BO$485:$BO$544,MAX(1,40-(INT((Ipotesi!$C$91)/30))-1)))*(MOD((Ipotesi!$C$91),30)/30)))*Piano_SS!$D$10,0))</f>
        <v>30000</v>
      </c>
      <c r="CA524" s="15" t="n">
        <f aca="false">SUM(BV524:BZ524)</f>
        <v>461058.923007084</v>
      </c>
      <c r="CB524" s="15" t="n">
        <f aca="false">BV524*(1-Piano_SS!$E$6)+BW524*(1-Piano_SS!$E$7)+BX524*(1-Piano_SS!$E$8)+BY524*(1-Piano_SS!$E$9)+BZ524*(1-Piano_SS!$E$10)</f>
        <v>431058.923007084</v>
      </c>
      <c r="CC524" s="15" t="n">
        <f aca="false">(CC523)+BA524</f>
        <v>0</v>
      </c>
      <c r="CD524" s="15" t="n">
        <f aca="false">IF(CA524=0,0,CC524*CB524/CA524*Ipotesi!$C$103*Parametri_v3!$C$64)</f>
        <v>0</v>
      </c>
      <c r="CE524" s="18" t="n">
        <f aca="false">IF(BA524&gt;0,Motore_Operativo!C524,(CE523))</f>
        <v>0</v>
      </c>
      <c r="CF524" s="18" t="n">
        <f aca="false">IF(AND(CC524&gt;0,OR(CC524&gt;=CG524-0.01,Motore_Operativo!C524&gt;=EDATE(MAX(Finanziamenti!$D$15:$D$17),Ipotesi!K14*12))),CE524,0)</f>
        <v>0</v>
      </c>
      <c r="CG524" s="15" t="n">
        <f aca="false">IF(AND(9&lt;&gt;6,9&lt;&gt;9,Finanziamenti!$F$11=1,OR(Parametri_v3!$C$6=0,Finanziamenti!$E$11=1)),MIN(Finanziamenti!$C$11,Piano_SS!$C$12*Ipotesi!$C$102),0)</f>
        <v>0</v>
      </c>
      <c r="CH524" s="15" t="n">
        <f aca="false">IF(AND(AND(9&lt;&gt;8,9&lt;&gt;9,Finanziamenti!$F$10=1,OR(Parametri_v3!$C$6=0,Finanziamenti!$E$10=1)),Motore_Operativo!C524&gt;=Finanziamenti!$D$10,Motore_Operativo!C524&lt;Parametri_v3!$C$63),Finanziamenti!$C$10,0)</f>
        <v>0</v>
      </c>
    </row>
    <row r="525" customFormat="false" ht="18" hidden="false" customHeight="true" outlineLevel="0" collapsed="false">
      <c r="A525" s="68" t="n">
        <f aca="false">9</f>
        <v>9</v>
      </c>
      <c r="B525" s="68" t="n">
        <f aca="false">41</f>
        <v>41</v>
      </c>
      <c r="C525" s="18" t="n">
        <f aca="false">Motore_Operativo!C525</f>
        <v>47604</v>
      </c>
      <c r="D525" s="68" t="n">
        <f aca="false">Motore_Operativo!D525</f>
        <v>2030</v>
      </c>
      <c r="E525" s="68" t="n">
        <f aca="false">Motore_Operativo!E525</f>
        <v>5</v>
      </c>
      <c r="F525" s="15" t="n">
        <f aca="false">Motore_Operativo!AQ525+Motore_Operativo!BF525</f>
        <v>120050.899173052</v>
      </c>
      <c r="G525" s="15" t="n">
        <f aca="false">Motore_Operativo!BH525</f>
        <v>9024.16666666667</v>
      </c>
      <c r="H525" s="15" t="n">
        <f aca="false">Motore_Operativo!BI525</f>
        <v>129075.065839719</v>
      </c>
      <c r="I525" s="15" t="n">
        <f aca="false">Motore_Operativo!CA525</f>
        <v>156412.601509227</v>
      </c>
      <c r="J525" s="15" t="n">
        <f aca="false">Motore_Operativo!CC525</f>
        <v>-27337.5356695087</v>
      </c>
      <c r="K525" s="15" t="n">
        <f aca="false">Motore_Operativo!CE525</f>
        <v>3333.33333333333</v>
      </c>
      <c r="L525" s="15" t="n">
        <f aca="false">SUM(INDEX($K$485:$K$544,MAX(1,41-Parametri_v3!$C$59+1)):K525)/Parametri_v3!$C$59</f>
        <v>2314.81481481482</v>
      </c>
      <c r="M525" s="15" t="n">
        <f aca="false">J525-L525</f>
        <v>-29652.3504843235</v>
      </c>
      <c r="N525" s="15" t="n">
        <f aca="false">CD525-(CD524)</f>
        <v>0</v>
      </c>
      <c r="O525" s="15" t="n">
        <f aca="false">(BG524)*Ipotesi!$C$110/12+CH525*Parametri_v3!$C$39/12</f>
        <v>0</v>
      </c>
      <c r="P525" s="15" t="n">
        <f aca="false">M525+N525-O525</f>
        <v>-29652.3504843235</v>
      </c>
      <c r="Q525" s="15" t="n">
        <f aca="false">SUM(P521:P525)+Parametri_v3!$C$54*5/12</f>
        <v>-170755.34391803</v>
      </c>
      <c r="R525" s="15" t="n">
        <f aca="false">Z520</f>
        <v>1100781.76028115</v>
      </c>
      <c r="S525" s="15" t="n">
        <f aca="false">AA520</f>
        <v>0</v>
      </c>
      <c r="T525" s="15" t="n">
        <f aca="false">MIN(R525,MAX(0,Q525))</f>
        <v>0</v>
      </c>
      <c r="U525" s="15" t="n">
        <f aca="false">MIN(S525,MAX(0,Q525-T525)*Parametri_v3!$C$42)</f>
        <v>0</v>
      </c>
      <c r="V525" s="15" t="n">
        <f aca="false">MAX(0,Q525-T525-U525)*Ipotesi!$C$92</f>
        <v>0</v>
      </c>
      <c r="W525" s="15" t="n">
        <f aca="false">MAX(0,SUM(M521:M525)+Parametri_v3!$C$55*5/12)*Ipotesi!$C$93</f>
        <v>0</v>
      </c>
      <c r="X525" s="15" t="n">
        <f aca="false">V525+W525-(V524+W524)</f>
        <v>0</v>
      </c>
      <c r="Y525" s="15" t="n">
        <f aca="false">P525-X525</f>
        <v>-29652.3504843235</v>
      </c>
      <c r="Z525" s="15" t="n">
        <f aca="false">R525-T525+IF(AND(Parametri_v3!$C$40=1,D525-YEAR(Parametri_v3!$C$50)&lt;Parametri_v3!$C$41),MAX(0,-Q525),0)</f>
        <v>1100781.76028115</v>
      </c>
      <c r="AA525" s="15" t="n">
        <f aca="false">S525-U525+IF(AND(Parametri_v3!$C$40=1,D525-YEAR(Parametri_v3!$C$50)&lt;Parametri_v3!$C$41),0,MAX(0,-Q525))</f>
        <v>170755.34391803</v>
      </c>
      <c r="AB525" s="15" t="n">
        <f aca="false">F525*(1+Parametri_v3!$C$26)</f>
        <v>146462.096991123</v>
      </c>
      <c r="AC525" s="15" t="n">
        <f aca="false">(IF(41-(INT((Motore_Operativo!L525)/30))&lt;1,0,INDEX(Motore_Startup!$AB$485:$AB$544,MAX(1,41-(INT((Motore_Operativo!L525)/30)))))*(1-(MOD((Motore_Operativo!L525),30)/30))+IF(41-(INT((Motore_Operativo!L525)/30))-1&lt;1,0,INDEX(Motore_Startup!$AB$485:$AB$544,MAX(1,41-(INT((Motore_Operativo!L525)/30))-1)))*(MOD((Motore_Operativo!L525),30)/30))</f>
        <v>136860.897173138</v>
      </c>
      <c r="AD525" s="15" t="n">
        <f aca="false">(AD524)+AB525-AC525</f>
        <v>428705.876370683</v>
      </c>
      <c r="AE525" s="15" t="n">
        <f aca="false">Motore_Operativo!BH525*(1+Parametri_v3!$C$26)</f>
        <v>11009.4833333333</v>
      </c>
      <c r="AF525" s="15" t="n">
        <f aca="false">(IF(41-(INT((Parametri_v3!$C$29)/30))&lt;1,0,INDEX(Motore_Operativo!$BH$485:$BH$544,MAX(1,41-(INT((Parametri_v3!$C$29)/30)))))*(1-(MOD((Parametri_v3!$C$29),30)/30))+IF(41-(INT((Parametri_v3!$C$29)/30))-1&lt;1,0,INDEX(Motore_Operativo!$BH$485:$BH$544,MAX(1,41-(INT((Parametri_v3!$C$29)/30))-1)))*(MOD((Parametri_v3!$C$29),30)/30))*(1+Parametri_v3!$C$26)</f>
        <v>11009.4833333333</v>
      </c>
      <c r="AG525" s="15" t="n">
        <f aca="false">(AG524)+AE525-AF525</f>
        <v>11009.4833333333</v>
      </c>
      <c r="AH525" s="15" t="n">
        <f aca="false">(Motore_Operativo!CJ525)*(1+Parametri_v3!$C$27*Parametri_v3!$C$26)</f>
        <v>71148.2073329111</v>
      </c>
      <c r="AI525" s="15" t="n">
        <f aca="false">(IF(41-(INT((Ipotesi!$C$91)/30))&lt;1,0,INDEX(Motore_Startup!$AH$485:$AH$544,MAX(1,41-(INT((Ipotesi!$C$91)/30)))))*(1-(MOD((Ipotesi!$C$91),30)/30))+IF(41-(INT((Ipotesi!$C$91)/30))-1&lt;1,0,INDEX(Motore_Startup!$AH$485:$AH$544,MAX(1,41-(INT((Ipotesi!$C$91)/30))-1)))*(MOD((Ipotesi!$C$91),30)/30))</f>
        <v>70202.725283683</v>
      </c>
      <c r="AJ525" s="15" t="n">
        <f aca="false">(AJ524)+AH525-AI525</f>
        <v>141787.084175153</v>
      </c>
      <c r="AK525" s="15" t="n">
        <f aca="false">(F525+ Motore_Operativo!BH525-(Motore_Operativo!CJ525)*Parametri_v3!$C$27-Motore_Operativo!CE525)*Parametri_v3!$C$26</f>
        <v>16454.4913693876</v>
      </c>
      <c r="AL525" s="15" t="n">
        <f aca="false">MAX(0,(AM524))</f>
        <v>15860.446143118</v>
      </c>
      <c r="AM525" s="15" t="n">
        <f aca="false">(AM524)+AK525-AL525</f>
        <v>16454.4913693876</v>
      </c>
      <c r="AN525" s="15" t="n">
        <f aca="false">SUM(X509:X520)</f>
        <v>0</v>
      </c>
      <c r="AO525" s="15" t="n">
        <f aca="false">SUM(AP509:AP520)</f>
        <v>0</v>
      </c>
      <c r="AP525" s="15" t="n">
        <f aca="false">MAX(0,AN525)*IF(5=Parametri_v3!$C$43,Parametri_v3!$C$45,IF(5=Parametri_v3!$C$44,1-Parametri_v3!$C$45,0))</f>
        <v>0</v>
      </c>
      <c r="AQ525" s="15" t="n">
        <f aca="false">MAX(0,AP525+IF(5=Parametri_v3!$C$43,MAX(0,AN525-AO525),0)-MAX(0,-(AR524)))</f>
        <v>0</v>
      </c>
      <c r="AR525" s="15" t="n">
        <f aca="false">(AR524)+X525-AQ525</f>
        <v>0</v>
      </c>
      <c r="AS525" s="15" t="n">
        <f aca="false">Motore_Operativo!AB525-AT525+AU525</f>
        <v>91649.4297604167</v>
      </c>
      <c r="AT525" s="15" t="n">
        <f aca="false">Motore_Operativo!CH525</f>
        <v>4823.65419791667</v>
      </c>
      <c r="AU525" s="15" t="n">
        <f aca="false">MIN(MAX(0,(AV524)+AT525),Parametri_v3!$C$60/12)</f>
        <v>0</v>
      </c>
      <c r="AV525" s="15" t="n">
        <f aca="false">(AV524)+AT525-AU525</f>
        <v>103289.970989583</v>
      </c>
      <c r="AW525" s="15" t="n">
        <f aca="false">IF(AND(Motore_Operativo!C525=Finanziamenti!$D$6,Finanziamenti!$F$6=1),Finanziamenti!$C$6,0)</f>
        <v>0</v>
      </c>
      <c r="AX525" s="15" t="n">
        <f aca="false">IF(AND(9&lt;&gt;7,9&lt;&gt;9,Finanziamenti!$F$8=1,OR(Parametri_v3!$C$6=0,Finanziamenti!$E$8=1),Motore_Operativo!C525=EDATE(Finanziamenti!$D$8,Ipotesi!K15*12)),Finanziamenti!$C$8*1,0)+IF(AND(9&lt;&gt;7,9&lt;&gt;9,Finanziamenti!$F$9=1,OR(Parametri_v3!$C$6=0,Finanziamenti!$E$9=1),Motore_Operativo!C525=EDATE(Finanziamenti!$D$9,Ipotesi!K15*12)),Finanziamenti!$C$9*Ipotesi!K16,0)</f>
        <v>0</v>
      </c>
      <c r="AY525" s="15" t="n">
        <f aca="false">0</f>
        <v>0</v>
      </c>
      <c r="AZ525" s="15" t="n">
        <f aca="false">Motore_Advisory!AY525*(1-Ipotesi!$C$95)*Ipotesi!$C$96</f>
        <v>0</v>
      </c>
      <c r="BA525" s="15" t="n">
        <f aca="false">MAX(0,MIN(CG525*MIN(1,IF(Motore_Operativo!C525&gt;=EDATE(Finanziamenti!$D$15,Ipotesi!K14*12),Finanziamenti!$C$15,0)+IF(Motore_Operativo!C525&gt;=EDATE(Finanziamenti!$D$16,Ipotesi!K14*12),Finanziamenti!$C$16,0)+IF(Motore_Operativo!C525&gt;=EDATE(Finanziamenti!$D$17,Ipotesi!K14*12),Finanziamenti!$C$17,0)),CA525*Ipotesi!$C$102)-(CC524))</f>
        <v>0</v>
      </c>
      <c r="BB525" s="15" t="n">
        <f aca="false">IF(AND(CF525&gt;0,Motore_Operativo!C525&gt;=IF(CF525=0,0,EDATE(CF525,Parametri_v3!$C$37)),MOD(((D525-YEAR(IF(CF525=0,0,EDATE(CF525,Parametri_v3!$C$37))))*12+E525-MONTH(IF(CF525=0,0,EDATE(CF525,Parametri_v3!$C$37)))),Parametri_v3!$C$38)=0),MIN(MAX(0,(BC524)+BA525-N525),(CC525-CD525)/(Ipotesi!$C$108*12/Parametri_v3!$C$38)),0)</f>
        <v>0</v>
      </c>
      <c r="BC525" s="15" t="n">
        <f aca="false">(BC524)+BA525-N525-BB525</f>
        <v>0</v>
      </c>
      <c r="BD525" s="15" t="n">
        <f aca="false">(BH524)+AC525+AF525-AI525-AS525-K525*(1+Parametri_v3!$C$26)-AL525-AQ525-O525+AW525+AX525+AZ525+BA525-BB525</f>
        <v>-1365068.1395913</v>
      </c>
      <c r="BE525" s="15" t="n">
        <f aca="false">MAX(0,MIN(MAX(0,CH525-(BG524)),Parametri_v3!$C$30-BD525))</f>
        <v>0</v>
      </c>
      <c r="BF525" s="15" t="n">
        <f aca="false">IF(Motore_Operativo!C525&gt;=Parametri_v3!$C$63,(BG524),MIN((BG524),MAX(0,BD525-Parametri_v3!$C$30)))</f>
        <v>0</v>
      </c>
      <c r="BG525" s="15" t="n">
        <f aca="false">(BG524)+BE525-BF525</f>
        <v>0</v>
      </c>
      <c r="BH525" s="15" t="n">
        <f aca="false">BD525+BE525-BF525-AY525</f>
        <v>-1365068.1395913</v>
      </c>
      <c r="BI525" s="15" t="n">
        <f aca="false">MAX(0,Parametri_v3!$C$30-BH525)</f>
        <v>1390068.1395913</v>
      </c>
      <c r="BJ525" s="15" t="n">
        <f aca="false">(BJ524)+K525</f>
        <v>91666.6666666666</v>
      </c>
      <c r="BK525" s="15" t="n">
        <f aca="false">(BK524)+L525</f>
        <v>46319.4444444444</v>
      </c>
      <c r="BL525" s="15" t="n">
        <f aca="false">BJ525-BK525</f>
        <v>45347.2222222222</v>
      </c>
      <c r="BM525" s="15" t="n">
        <f aca="false">(BM524)+Y525</f>
        <v>-1271537.10419918</v>
      </c>
      <c r="BN525" s="15" t="n">
        <f aca="false">(BN524)+AW525+AX525+AZ525</f>
        <v>130000</v>
      </c>
      <c r="BO525" s="15" t="n">
        <f aca="false">(BO524)+AY525</f>
        <v>0</v>
      </c>
      <c r="BP525" s="15" t="n">
        <f aca="false">0</f>
        <v>0</v>
      </c>
      <c r="BQ525" s="15" t="n">
        <f aca="false">BN525+BM525-BO525</f>
        <v>-1141537.10419918</v>
      </c>
      <c r="BR525" s="15" t="n">
        <f aca="false">BH525+AD525+BL525+MAX(0,-AM525)+MAX(0,-AR525)+AG525</f>
        <v>-880005.557665058</v>
      </c>
      <c r="BS525" s="15" t="n">
        <f aca="false">AJ525+AV525+MAX(0,AM525)+MAX(0,AR525)+BC525+BG525+BQ525</f>
        <v>-880005.557665057</v>
      </c>
      <c r="BT525" s="15" t="n">
        <f aca="false">BR525-BS525</f>
        <v>0</v>
      </c>
      <c r="BU525" s="15" t="n">
        <f aca="false">BH525-(BD525+BE525-BF525-AY525)</f>
        <v>0</v>
      </c>
      <c r="BV525" s="15" t="n">
        <f aca="false">MIN(Piano_SS!$C$6,(BV524)+IF(AND(Motore_Operativo!C525&gt;=EDATE(Parametri_v3!$C$24,Ipotesi!K14*12),Motore_Operativo!C525&lt;EDATE(Parametri_v3!$C$24,Parametri_v3!$C$25+Ipotesi!K14*12)),MAX(0,(Motore_Operativo!Y525+Motore_Operativo!X525*Parametri_v3!$C$14)*(1-Parametri_v3!$C$32))*Piano_SS!$D$6,0))</f>
        <v>300000</v>
      </c>
      <c r="BW525" s="15" t="n">
        <f aca="false">MIN(Piano_SS!$C$7,(BW524)+IF(AND(Motore_Operativo!C525&gt;=EDATE(Parametri_v3!$C$24,Ipotesi!K14*12),Motore_Operativo!C525&lt;EDATE(Parametri_v3!$C$24,Parametri_v3!$C$25+Ipotesi!K14*12)),MAX(0,(IF(41-(INT((Ipotesi!$C$91)/30))&lt;1,0,INDEX(Motore_Operativo!$BN$485:$BN$544,MAX(1,41-(INT((Ipotesi!$C$91)/30)))))*(1-(MOD((Ipotesi!$C$91),30)/30))+IF(41-(INT((Ipotesi!$C$91)/30))-1&lt;1,0,INDEX(Motore_Operativo!$BN$485:$BN$544,MAX(1,41-(INT((Ipotesi!$C$91)/30))-1)))*(MOD((Ipotesi!$C$91),30)/30)))*Piano_SS!$D$7,0))</f>
        <v>41058.9230070837</v>
      </c>
      <c r="BX525" s="15" t="n">
        <f aca="false">MIN(Piano_SS!$C$8,(BX524)+IF(AND(Motore_Operativo!C525&gt;=EDATE(Parametri_v3!$C$24,Ipotesi!K14*12),Motore_Operativo!C525&lt;EDATE(Parametri_v3!$C$24,Parametri_v3!$C$25+Ipotesi!K14*12)),MAX(0,Motore_Operativo!CE525)*Piano_SS!$D$8,0))</f>
        <v>50000</v>
      </c>
      <c r="BY525" s="15" t="n">
        <f aca="false">MIN(Piano_SS!$C$9,(BY524)+IF(AND(Motore_Operativo!C525&gt;=EDATE(Parametri_v3!$C$24,Ipotesi!K14*12),Motore_Operativo!C525&lt;EDATE(Parametri_v3!$C$24,Parametri_v3!$C$25+Ipotesi!K14*12)),MAX(0,((IF(41-(INT((Ipotesi!$C$91)/30))&lt;1,0,INDEX(Motore_Operativo!$BQ$485:$BQ$544,MAX(1,41-(INT((Ipotesi!$C$91)/30)))))*(1-(MOD((Ipotesi!$C$91),30)/30))+IF(41-(INT((Ipotesi!$C$91)/30))-1&lt;1,0,INDEX(Motore_Operativo!$BQ$485:$BQ$544,MAX(1,41-(INT((Ipotesi!$C$91)/30))-1)))*(MOD((Ipotesi!$C$91),30)/30))+(IF(41-(INT((Ipotesi!$C$91)/30))&lt;1,0,INDEX(Motore_Operativo!$BR$485:$BR$544,MAX(1,41-(INT((Ipotesi!$C$91)/30)))))*(1-(MOD((Ipotesi!$C$91),30)/30))+IF(41-(INT((Ipotesi!$C$91)/30))-1&lt;1,0,INDEX(Motore_Operativo!$BR$485:$BR$544,MAX(1,41-(INT((Ipotesi!$C$91)/30))-1)))*(MOD((Ipotesi!$C$91),30)/30))))*Piano_SS!$D$9,0))</f>
        <v>40000</v>
      </c>
      <c r="BZ525" s="15" t="n">
        <f aca="false">MIN(Piano_SS!$C$10,(BZ524)+IF(AND(Motore_Operativo!C525&gt;=EDATE(Parametri_v3!$C$24,Ipotesi!K14*12),Motore_Operativo!C525&lt;EDATE(Parametri_v3!$C$24,Parametri_v3!$C$25+Ipotesi!K14*12)),MAX(0,(IF(41-(INT((Ipotesi!$C$91)/30))&lt;1,0,INDEX(Motore_Operativo!$BO$485:$BO$544,MAX(1,41-(INT((Ipotesi!$C$91)/30)))))*(1-(MOD((Ipotesi!$C$91),30)/30))+IF(41-(INT((Ipotesi!$C$91)/30))-1&lt;1,0,INDEX(Motore_Operativo!$BO$485:$BO$544,MAX(1,41-(INT((Ipotesi!$C$91)/30))-1)))*(MOD((Ipotesi!$C$91),30)/30)))*Piano_SS!$D$10,0))</f>
        <v>30000</v>
      </c>
      <c r="CA525" s="15" t="n">
        <f aca="false">SUM(BV525:BZ525)</f>
        <v>461058.923007084</v>
      </c>
      <c r="CB525" s="15" t="n">
        <f aca="false">BV525*(1-Piano_SS!$E$6)+BW525*(1-Piano_SS!$E$7)+BX525*(1-Piano_SS!$E$8)+BY525*(1-Piano_SS!$E$9)+BZ525*(1-Piano_SS!$E$10)</f>
        <v>431058.923007084</v>
      </c>
      <c r="CC525" s="15" t="n">
        <f aca="false">(CC524)+BA525</f>
        <v>0</v>
      </c>
      <c r="CD525" s="15" t="n">
        <f aca="false">IF(CA525=0,0,CC525*CB525/CA525*Ipotesi!$C$103*Parametri_v3!$C$64)</f>
        <v>0</v>
      </c>
      <c r="CE525" s="18" t="n">
        <f aca="false">IF(BA525&gt;0,Motore_Operativo!C525,(CE524))</f>
        <v>0</v>
      </c>
      <c r="CF525" s="18" t="n">
        <f aca="false">IF(AND(CC525&gt;0,OR(CC525&gt;=CG525-0.01,Motore_Operativo!C525&gt;=EDATE(MAX(Finanziamenti!$D$15:$D$17),Ipotesi!K14*12))),CE525,0)</f>
        <v>0</v>
      </c>
      <c r="CG525" s="15" t="n">
        <f aca="false">IF(AND(9&lt;&gt;6,9&lt;&gt;9,Finanziamenti!$F$11=1,OR(Parametri_v3!$C$6=0,Finanziamenti!$E$11=1)),MIN(Finanziamenti!$C$11,Piano_SS!$C$12*Ipotesi!$C$102),0)</f>
        <v>0</v>
      </c>
      <c r="CH525" s="15" t="n">
        <f aca="false">IF(AND(AND(9&lt;&gt;8,9&lt;&gt;9,Finanziamenti!$F$10=1,OR(Parametri_v3!$C$6=0,Finanziamenti!$E$10=1)),Motore_Operativo!C525&gt;=Finanziamenti!$D$10,Motore_Operativo!C525&lt;Parametri_v3!$C$63),Finanziamenti!$C$10,0)</f>
        <v>0</v>
      </c>
    </row>
    <row r="526" customFormat="false" ht="18" hidden="false" customHeight="true" outlineLevel="0" collapsed="false">
      <c r="A526" s="68" t="n">
        <f aca="false">9</f>
        <v>9</v>
      </c>
      <c r="B526" s="68" t="n">
        <f aca="false">42</f>
        <v>42</v>
      </c>
      <c r="C526" s="18" t="n">
        <f aca="false">Motore_Operativo!C526</f>
        <v>47635</v>
      </c>
      <c r="D526" s="68" t="n">
        <f aca="false">Motore_Operativo!D526</f>
        <v>2030</v>
      </c>
      <c r="E526" s="68" t="n">
        <f aca="false">Motore_Operativo!E526</f>
        <v>6</v>
      </c>
      <c r="F526" s="15" t="n">
        <f aca="false">Motore_Operativo!AQ526+Motore_Operativo!BF526</f>
        <v>123089.039272175</v>
      </c>
      <c r="G526" s="15" t="n">
        <f aca="false">Motore_Operativo!BH526</f>
        <v>9024.16666666667</v>
      </c>
      <c r="H526" s="15" t="n">
        <f aca="false">Motore_Operativo!BI526</f>
        <v>132113.205938842</v>
      </c>
      <c r="I526" s="15" t="n">
        <f aca="false">Motore_Operativo!CA526</f>
        <v>156837.941123105</v>
      </c>
      <c r="J526" s="15" t="n">
        <f aca="false">Motore_Operativo!CC526</f>
        <v>-24724.7351842627</v>
      </c>
      <c r="K526" s="15" t="n">
        <f aca="false">Motore_Operativo!CE526</f>
        <v>3333.33333333333</v>
      </c>
      <c r="L526" s="15" t="n">
        <f aca="false">SUM(INDEX($K$485:$K$544,MAX(1,42-Parametri_v3!$C$59+1)):K526)/Parametri_v3!$C$59</f>
        <v>2361.11111111111</v>
      </c>
      <c r="M526" s="15" t="n">
        <f aca="false">J526-L526</f>
        <v>-27085.8462953739</v>
      </c>
      <c r="N526" s="15" t="n">
        <f aca="false">CD526-(CD525)</f>
        <v>0</v>
      </c>
      <c r="O526" s="15" t="n">
        <f aca="false">(BG525)*Ipotesi!$C$110/12+CH526*Parametri_v3!$C$39/12</f>
        <v>0</v>
      </c>
      <c r="P526" s="15" t="n">
        <f aca="false">M526+N526-O526</f>
        <v>-27085.8462953739</v>
      </c>
      <c r="Q526" s="15" t="n">
        <f aca="false">SUM(P521:P526)+Parametri_v3!$C$54*6/12</f>
        <v>-197841.190213404</v>
      </c>
      <c r="R526" s="15" t="n">
        <f aca="false">Z520</f>
        <v>1100781.76028115</v>
      </c>
      <c r="S526" s="15" t="n">
        <f aca="false">AA520</f>
        <v>0</v>
      </c>
      <c r="T526" s="15" t="n">
        <f aca="false">MIN(R526,MAX(0,Q526))</f>
        <v>0</v>
      </c>
      <c r="U526" s="15" t="n">
        <f aca="false">MIN(S526,MAX(0,Q526-T526)*Parametri_v3!$C$42)</f>
        <v>0</v>
      </c>
      <c r="V526" s="15" t="n">
        <f aca="false">MAX(0,Q526-T526-U526)*Ipotesi!$C$92</f>
        <v>0</v>
      </c>
      <c r="W526" s="15" t="n">
        <f aca="false">MAX(0,SUM(M521:M526)+Parametri_v3!$C$55*6/12)*Ipotesi!$C$93</f>
        <v>0</v>
      </c>
      <c r="X526" s="15" t="n">
        <f aca="false">V526+W526-(V525+W525)</f>
        <v>0</v>
      </c>
      <c r="Y526" s="15" t="n">
        <f aca="false">P526-X526</f>
        <v>-27085.8462953739</v>
      </c>
      <c r="Z526" s="15" t="n">
        <f aca="false">R526-T526+IF(AND(Parametri_v3!$C$40=1,D526-YEAR(Parametri_v3!$C$50)&lt;Parametri_v3!$C$41),MAX(0,-Q526),0)</f>
        <v>1100781.76028115</v>
      </c>
      <c r="AA526" s="15" t="n">
        <f aca="false">S526-U526+IF(AND(Parametri_v3!$C$40=1,D526-YEAR(Parametri_v3!$C$50)&lt;Parametri_v3!$C$41),0,MAX(0,-Q526))</f>
        <v>197841.190213404</v>
      </c>
      <c r="AB526" s="15" t="n">
        <f aca="false">F526*(1+Parametri_v3!$C$26)</f>
        <v>150168.627912054</v>
      </c>
      <c r="AC526" s="15" t="n">
        <f aca="false">(IF(42-(INT((Motore_Operativo!L526)/30))&lt;1,0,INDEX(Motore_Startup!$AB$485:$AB$544,MAX(1,42-(INT((Motore_Operativo!L526)/30)))))*(1-(MOD((Motore_Operativo!L526),30)/30))+IF(42-(INT((Motore_Operativo!L526)/30))-1&lt;1,0,INDEX(Motore_Startup!$AB$485:$AB$544,MAX(1,42-(INT((Motore_Operativo!L526)/30))-1)))*(MOD((Motore_Operativo!L526),30)/30))</f>
        <v>139520.900095839</v>
      </c>
      <c r="AD526" s="15" t="n">
        <f aca="false">(AD525)+AB526-AC526</f>
        <v>439353.604186897</v>
      </c>
      <c r="AE526" s="15" t="n">
        <f aca="false">Motore_Operativo!BH526*(1+Parametri_v3!$C$26)</f>
        <v>11009.4833333333</v>
      </c>
      <c r="AF526" s="15" t="n">
        <f aca="false">(IF(42-(INT((Parametri_v3!$C$29)/30))&lt;1,0,INDEX(Motore_Operativo!$BH$485:$BH$544,MAX(1,42-(INT((Parametri_v3!$C$29)/30)))))*(1-(MOD((Parametri_v3!$C$29),30)/30))+IF(42-(INT((Parametri_v3!$C$29)/30))-1&lt;1,0,INDEX(Motore_Operativo!$BH$485:$BH$544,MAX(1,42-(INT((Parametri_v3!$C$29)/30))-1)))*(MOD((Parametri_v3!$C$29),30)/30))*(1+Parametri_v3!$C$26)</f>
        <v>11009.4833333333</v>
      </c>
      <c r="AG526" s="15" t="n">
        <f aca="false">(AG525)+AE526-AF526</f>
        <v>11009.4833333333</v>
      </c>
      <c r="AH526" s="15" t="n">
        <f aca="false">(Motore_Operativo!CJ526)*(1+Parametri_v3!$C$27*Parametri_v3!$C$26)</f>
        <v>71653.0854545834</v>
      </c>
      <c r="AI526" s="15" t="n">
        <f aca="false">(IF(42-(INT((Ipotesi!$C$91)/30))&lt;1,0,INDEX(Motore_Startup!$AH$485:$AH$544,MAX(1,42-(INT((Ipotesi!$C$91)/30)))))*(1-(MOD((Ipotesi!$C$91),30)/30))+IF(42-(INT((Ipotesi!$C$91)/30))-1&lt;1,0,INDEX(Motore_Startup!$AH$485:$AH$544,MAX(1,42-(INT((Ipotesi!$C$91)/30))-1)))*(MOD((Ipotesi!$C$91),30)/30))</f>
        <v>70638.876842242</v>
      </c>
      <c r="AJ526" s="15" t="n">
        <f aca="false">(AJ525)+AH526-AI526</f>
        <v>142801.292787495</v>
      </c>
      <c r="AK526" s="15" t="n">
        <f aca="false">(F526+ Motore_Operativo!BH526-(Motore_Operativo!CJ526)*Parametri_v3!$C$27-Motore_Operativo!CE526)*Parametri_v3!$C$26</f>
        <v>17043.3436833996</v>
      </c>
      <c r="AL526" s="15" t="n">
        <f aca="false">MAX(0,(AM525))</f>
        <v>16454.4913693876</v>
      </c>
      <c r="AM526" s="15" t="n">
        <f aca="false">(AM525)+AK526-AL526</f>
        <v>17043.3436833996</v>
      </c>
      <c r="AN526" s="15" t="n">
        <f aca="false">SUM(X509:X520)</f>
        <v>0</v>
      </c>
      <c r="AO526" s="15" t="n">
        <f aca="false">SUM(AP509:AP520)</f>
        <v>0</v>
      </c>
      <c r="AP526" s="15" t="n">
        <f aca="false">MAX(0,AN526)*IF(6=Parametri_v3!$C$43,Parametri_v3!$C$45,IF(6=Parametri_v3!$C$44,1-Parametri_v3!$C$45,0))</f>
        <v>0</v>
      </c>
      <c r="AQ526" s="15" t="n">
        <f aca="false">MAX(0,AP526+IF(6=Parametri_v3!$C$43,MAX(0,AN526-AO526),0)-MAX(0,-(AR525)))</f>
        <v>0</v>
      </c>
      <c r="AR526" s="15" t="n">
        <f aca="false">(AR525)+X526-AQ526</f>
        <v>0</v>
      </c>
      <c r="AS526" s="15" t="n">
        <f aca="false">Motore_Operativo!AB526-AT526+AU526</f>
        <v>91649.4297604167</v>
      </c>
      <c r="AT526" s="15" t="n">
        <f aca="false">Motore_Operativo!CH526</f>
        <v>4823.65419791667</v>
      </c>
      <c r="AU526" s="15" t="n">
        <f aca="false">MIN(MAX(0,(AV525)+AT526),Parametri_v3!$C$60/12)</f>
        <v>0</v>
      </c>
      <c r="AV526" s="15" t="n">
        <f aca="false">(AV525)+AT526-AU526</f>
        <v>108113.6251875</v>
      </c>
      <c r="AW526" s="15" t="n">
        <f aca="false">IF(AND(Motore_Operativo!C526=Finanziamenti!$D$6,Finanziamenti!$F$6=1),Finanziamenti!$C$6,0)</f>
        <v>0</v>
      </c>
      <c r="AX526" s="15" t="n">
        <f aca="false">IF(AND(9&lt;&gt;7,9&lt;&gt;9,Finanziamenti!$F$8=1,OR(Parametri_v3!$C$6=0,Finanziamenti!$E$8=1),Motore_Operativo!C526=EDATE(Finanziamenti!$D$8,Ipotesi!K15*12)),Finanziamenti!$C$8*1,0)+IF(AND(9&lt;&gt;7,9&lt;&gt;9,Finanziamenti!$F$9=1,OR(Parametri_v3!$C$6=0,Finanziamenti!$E$9=1),Motore_Operativo!C526=EDATE(Finanziamenti!$D$9,Ipotesi!K15*12)),Finanziamenti!$C$9*Ipotesi!K16,0)</f>
        <v>0</v>
      </c>
      <c r="AY526" s="15" t="n">
        <f aca="false">0</f>
        <v>0</v>
      </c>
      <c r="AZ526" s="15" t="n">
        <f aca="false">Motore_Advisory!AY526*(1-Ipotesi!$C$95)*Ipotesi!$C$96</f>
        <v>35707.0162944445</v>
      </c>
      <c r="BA526" s="15" t="n">
        <f aca="false">MAX(0,MIN(CG526*MIN(1,IF(Motore_Operativo!C526&gt;=EDATE(Finanziamenti!$D$15,Ipotesi!K14*12),Finanziamenti!$C$15,0)+IF(Motore_Operativo!C526&gt;=EDATE(Finanziamenti!$D$16,Ipotesi!K14*12),Finanziamenti!$C$16,0)+IF(Motore_Operativo!C526&gt;=EDATE(Finanziamenti!$D$17,Ipotesi!K14*12),Finanziamenti!$C$17,0)),CA526*Ipotesi!$C$102)-(CC525))</f>
        <v>0</v>
      </c>
      <c r="BB526" s="15" t="n">
        <f aca="false">IF(AND(CF526&gt;0,Motore_Operativo!C526&gt;=IF(CF526=0,0,EDATE(CF526,Parametri_v3!$C$37)),MOD(((D526-YEAR(IF(CF526=0,0,EDATE(CF526,Parametri_v3!$C$37))))*12+E526-MONTH(IF(CF526=0,0,EDATE(CF526,Parametri_v3!$C$37)))),Parametri_v3!$C$38)=0),MIN(MAX(0,(BC525)+BA526-N526),(CC526-CD526)/(Ipotesi!$C$108*12/Parametri_v3!$C$38)),0)</f>
        <v>0</v>
      </c>
      <c r="BC526" s="15" t="n">
        <f aca="false">(BC525)+BA526-N526-BB526</f>
        <v>0</v>
      </c>
      <c r="BD526" s="15" t="n">
        <f aca="false">(BH525)+AC526+AF526-AI526-AS526-K526*(1+Parametri_v3!$C$26)-AL526-AQ526-O526+AW526+AX526+AZ526+BA526-BB526</f>
        <v>-1361640.20450639</v>
      </c>
      <c r="BE526" s="15" t="n">
        <f aca="false">MAX(0,MIN(MAX(0,CH526-(BG525)),Parametri_v3!$C$30-BD526))</f>
        <v>0</v>
      </c>
      <c r="BF526" s="15" t="n">
        <f aca="false">IF(Motore_Operativo!C526&gt;=Parametri_v3!$C$63,(BG525),MIN((BG525),MAX(0,BD526-Parametri_v3!$C$30)))</f>
        <v>0</v>
      </c>
      <c r="BG526" s="15" t="n">
        <f aca="false">(BG525)+BE526-BF526</f>
        <v>0</v>
      </c>
      <c r="BH526" s="15" t="n">
        <f aca="false">BD526+BE526-BF526-AY526</f>
        <v>-1361640.20450639</v>
      </c>
      <c r="BI526" s="15" t="n">
        <f aca="false">MAX(0,Parametri_v3!$C$30-BH526)</f>
        <v>1386640.20450639</v>
      </c>
      <c r="BJ526" s="15" t="n">
        <f aca="false">(BJ525)+K526</f>
        <v>95000</v>
      </c>
      <c r="BK526" s="15" t="n">
        <f aca="false">(BK525)+L526</f>
        <v>48680.5555555556</v>
      </c>
      <c r="BL526" s="15" t="n">
        <f aca="false">BJ526-BK526</f>
        <v>46319.4444444444</v>
      </c>
      <c r="BM526" s="15" t="n">
        <f aca="false">(BM525)+Y526</f>
        <v>-1298622.95049455</v>
      </c>
      <c r="BN526" s="15" t="n">
        <f aca="false">(BN525)+AW526+AX526+AZ526</f>
        <v>165707.016294444</v>
      </c>
      <c r="BO526" s="15" t="n">
        <f aca="false">(BO525)+AY526</f>
        <v>0</v>
      </c>
      <c r="BP526" s="15" t="n">
        <f aca="false">0</f>
        <v>0</v>
      </c>
      <c r="BQ526" s="15" t="n">
        <f aca="false">BN526+BM526-BO526</f>
        <v>-1132915.93420011</v>
      </c>
      <c r="BR526" s="15" t="n">
        <f aca="false">BH526+AD526+BL526+MAX(0,-AM526)+MAX(0,-AR526)+AG526</f>
        <v>-864957.672541717</v>
      </c>
      <c r="BS526" s="15" t="n">
        <f aca="false">AJ526+AV526+MAX(0,AM526)+MAX(0,AR526)+BC526+BG526+BQ526</f>
        <v>-864957.672541716</v>
      </c>
      <c r="BT526" s="15" t="n">
        <f aca="false">BR526-BS526</f>
        <v>0</v>
      </c>
      <c r="BU526" s="15" t="n">
        <f aca="false">BH526-(BD526+BE526-BF526-AY526)</f>
        <v>0</v>
      </c>
      <c r="BV526" s="15" t="n">
        <f aca="false">MIN(Piano_SS!$C$6,(BV525)+IF(AND(Motore_Operativo!C526&gt;=EDATE(Parametri_v3!$C$24,Ipotesi!K14*12),Motore_Operativo!C526&lt;EDATE(Parametri_v3!$C$24,Parametri_v3!$C$25+Ipotesi!K14*12)),MAX(0,(Motore_Operativo!Y526+Motore_Operativo!X526*Parametri_v3!$C$14)*(1-Parametri_v3!$C$32))*Piano_SS!$D$6,0))</f>
        <v>300000</v>
      </c>
      <c r="BW526" s="15" t="n">
        <f aca="false">MIN(Piano_SS!$C$7,(BW525)+IF(AND(Motore_Operativo!C526&gt;=EDATE(Parametri_v3!$C$24,Ipotesi!K14*12),Motore_Operativo!C526&lt;EDATE(Parametri_v3!$C$24,Parametri_v3!$C$25+Ipotesi!K14*12)),MAX(0,(IF(42-(INT((Ipotesi!$C$91)/30))&lt;1,0,INDEX(Motore_Operativo!$BN$485:$BN$544,MAX(1,42-(INT((Ipotesi!$C$91)/30)))))*(1-(MOD((Ipotesi!$C$91),30)/30))+IF(42-(INT((Ipotesi!$C$91)/30))-1&lt;1,0,INDEX(Motore_Operativo!$BN$485:$BN$544,MAX(1,42-(INT((Ipotesi!$C$91)/30))-1)))*(MOD((Ipotesi!$C$91),30)/30)))*Piano_SS!$D$7,0))</f>
        <v>41058.9230070837</v>
      </c>
      <c r="BX526" s="15" t="n">
        <f aca="false">MIN(Piano_SS!$C$8,(BX525)+IF(AND(Motore_Operativo!C526&gt;=EDATE(Parametri_v3!$C$24,Ipotesi!K14*12),Motore_Operativo!C526&lt;EDATE(Parametri_v3!$C$24,Parametri_v3!$C$25+Ipotesi!K14*12)),MAX(0,Motore_Operativo!CE526)*Piano_SS!$D$8,0))</f>
        <v>50000</v>
      </c>
      <c r="BY526" s="15" t="n">
        <f aca="false">MIN(Piano_SS!$C$9,(BY525)+IF(AND(Motore_Operativo!C526&gt;=EDATE(Parametri_v3!$C$24,Ipotesi!K14*12),Motore_Operativo!C526&lt;EDATE(Parametri_v3!$C$24,Parametri_v3!$C$25+Ipotesi!K14*12)),MAX(0,((IF(42-(INT((Ipotesi!$C$91)/30))&lt;1,0,INDEX(Motore_Operativo!$BQ$485:$BQ$544,MAX(1,42-(INT((Ipotesi!$C$91)/30)))))*(1-(MOD((Ipotesi!$C$91),30)/30))+IF(42-(INT((Ipotesi!$C$91)/30))-1&lt;1,0,INDEX(Motore_Operativo!$BQ$485:$BQ$544,MAX(1,42-(INT((Ipotesi!$C$91)/30))-1)))*(MOD((Ipotesi!$C$91),30)/30))+(IF(42-(INT((Ipotesi!$C$91)/30))&lt;1,0,INDEX(Motore_Operativo!$BR$485:$BR$544,MAX(1,42-(INT((Ipotesi!$C$91)/30)))))*(1-(MOD((Ipotesi!$C$91),30)/30))+IF(42-(INT((Ipotesi!$C$91)/30))-1&lt;1,0,INDEX(Motore_Operativo!$BR$485:$BR$544,MAX(1,42-(INT((Ipotesi!$C$91)/30))-1)))*(MOD((Ipotesi!$C$91),30)/30))))*Piano_SS!$D$9,0))</f>
        <v>40000</v>
      </c>
      <c r="BZ526" s="15" t="n">
        <f aca="false">MIN(Piano_SS!$C$10,(BZ525)+IF(AND(Motore_Operativo!C526&gt;=EDATE(Parametri_v3!$C$24,Ipotesi!K14*12),Motore_Operativo!C526&lt;EDATE(Parametri_v3!$C$24,Parametri_v3!$C$25+Ipotesi!K14*12)),MAX(0,(IF(42-(INT((Ipotesi!$C$91)/30))&lt;1,0,INDEX(Motore_Operativo!$BO$485:$BO$544,MAX(1,42-(INT((Ipotesi!$C$91)/30)))))*(1-(MOD((Ipotesi!$C$91),30)/30))+IF(42-(INT((Ipotesi!$C$91)/30))-1&lt;1,0,INDEX(Motore_Operativo!$BO$485:$BO$544,MAX(1,42-(INT((Ipotesi!$C$91)/30))-1)))*(MOD((Ipotesi!$C$91),30)/30)))*Piano_SS!$D$10,0))</f>
        <v>30000</v>
      </c>
      <c r="CA526" s="15" t="n">
        <f aca="false">SUM(BV526:BZ526)</f>
        <v>461058.923007084</v>
      </c>
      <c r="CB526" s="15" t="n">
        <f aca="false">BV526*(1-Piano_SS!$E$6)+BW526*(1-Piano_SS!$E$7)+BX526*(1-Piano_SS!$E$8)+BY526*(1-Piano_SS!$E$9)+BZ526*(1-Piano_SS!$E$10)</f>
        <v>431058.923007084</v>
      </c>
      <c r="CC526" s="15" t="n">
        <f aca="false">(CC525)+BA526</f>
        <v>0</v>
      </c>
      <c r="CD526" s="15" t="n">
        <f aca="false">IF(CA526=0,0,CC526*CB526/CA526*Ipotesi!$C$103*Parametri_v3!$C$64)</f>
        <v>0</v>
      </c>
      <c r="CE526" s="18" t="n">
        <f aca="false">IF(BA526&gt;0,Motore_Operativo!C526,(CE525))</f>
        <v>0</v>
      </c>
      <c r="CF526" s="18" t="n">
        <f aca="false">IF(AND(CC526&gt;0,OR(CC526&gt;=CG526-0.01,Motore_Operativo!C526&gt;=EDATE(MAX(Finanziamenti!$D$15:$D$17),Ipotesi!K14*12))),CE526,0)</f>
        <v>0</v>
      </c>
      <c r="CG526" s="15" t="n">
        <f aca="false">IF(AND(9&lt;&gt;6,9&lt;&gt;9,Finanziamenti!$F$11=1,OR(Parametri_v3!$C$6=0,Finanziamenti!$E$11=1)),MIN(Finanziamenti!$C$11,Piano_SS!$C$12*Ipotesi!$C$102),0)</f>
        <v>0</v>
      </c>
      <c r="CH526" s="15" t="n">
        <f aca="false">IF(AND(AND(9&lt;&gt;8,9&lt;&gt;9,Finanziamenti!$F$10=1,OR(Parametri_v3!$C$6=0,Finanziamenti!$E$10=1)),Motore_Operativo!C526&gt;=Finanziamenti!$D$10,Motore_Operativo!C526&lt;Parametri_v3!$C$63),Finanziamenti!$C$10,0)</f>
        <v>0</v>
      </c>
    </row>
    <row r="527" customFormat="false" ht="18" hidden="false" customHeight="true" outlineLevel="0" collapsed="false">
      <c r="A527" s="68" t="n">
        <f aca="false">9</f>
        <v>9</v>
      </c>
      <c r="B527" s="68" t="n">
        <f aca="false">43</f>
        <v>43</v>
      </c>
      <c r="C527" s="18" t="n">
        <f aca="false">Motore_Operativo!C527</f>
        <v>47665</v>
      </c>
      <c r="D527" s="68" t="n">
        <f aca="false">Motore_Operativo!D527</f>
        <v>2030</v>
      </c>
      <c r="E527" s="68" t="n">
        <f aca="false">Motore_Operativo!E527</f>
        <v>7</v>
      </c>
      <c r="F527" s="15" t="n">
        <f aca="false">Motore_Operativo!AQ527+Motore_Operativo!BF527</f>
        <v>126100.621132526</v>
      </c>
      <c r="G527" s="15" t="n">
        <f aca="false">Motore_Operativo!BH527</f>
        <v>9024.16666666667</v>
      </c>
      <c r="H527" s="15" t="n">
        <f aca="false">Motore_Operativo!BI527</f>
        <v>135124.787799193</v>
      </c>
      <c r="I527" s="15" t="n">
        <f aca="false">Motore_Operativo!CA527</f>
        <v>157259.562583554</v>
      </c>
      <c r="J527" s="15" t="n">
        <f aca="false">Motore_Operativo!CC527</f>
        <v>-22134.7747843611</v>
      </c>
      <c r="K527" s="15" t="n">
        <f aca="false">Motore_Operativo!CE527</f>
        <v>3333.33333333333</v>
      </c>
      <c r="L527" s="15" t="n">
        <f aca="false">SUM(INDEX($K$485:$K$544,MAX(1,43-Parametri_v3!$C$59+1)):K527)/Parametri_v3!$C$59</f>
        <v>2407.40740740741</v>
      </c>
      <c r="M527" s="15" t="n">
        <f aca="false">J527-L527</f>
        <v>-24542.1821917685</v>
      </c>
      <c r="N527" s="15" t="n">
        <f aca="false">CD527-(CD526)</f>
        <v>0</v>
      </c>
      <c r="O527" s="15" t="n">
        <f aca="false">(BG526)*Ipotesi!$C$110/12+CH527*Parametri_v3!$C$39/12</f>
        <v>0</v>
      </c>
      <c r="P527" s="15" t="n">
        <f aca="false">M527+N527-O527</f>
        <v>-24542.1821917685</v>
      </c>
      <c r="Q527" s="15" t="n">
        <f aca="false">SUM(P521:P527)+Parametri_v3!$C$54*7/12</f>
        <v>-222383.372405172</v>
      </c>
      <c r="R527" s="15" t="n">
        <f aca="false">Z520</f>
        <v>1100781.76028115</v>
      </c>
      <c r="S527" s="15" t="n">
        <f aca="false">AA520</f>
        <v>0</v>
      </c>
      <c r="T527" s="15" t="n">
        <f aca="false">MIN(R527,MAX(0,Q527))</f>
        <v>0</v>
      </c>
      <c r="U527" s="15" t="n">
        <f aca="false">MIN(S527,MAX(0,Q527-T527)*Parametri_v3!$C$42)</f>
        <v>0</v>
      </c>
      <c r="V527" s="15" t="n">
        <f aca="false">MAX(0,Q527-T527-U527)*Ipotesi!$C$92</f>
        <v>0</v>
      </c>
      <c r="W527" s="15" t="n">
        <f aca="false">MAX(0,SUM(M521:M527)+Parametri_v3!$C$55*7/12)*Ipotesi!$C$93</f>
        <v>0</v>
      </c>
      <c r="X527" s="15" t="n">
        <f aca="false">V527+W527-(V526+W526)</f>
        <v>0</v>
      </c>
      <c r="Y527" s="15" t="n">
        <f aca="false">P527-X527</f>
        <v>-24542.1821917685</v>
      </c>
      <c r="Z527" s="15" t="n">
        <f aca="false">R527-T527+IF(AND(Parametri_v3!$C$40=1,D527-YEAR(Parametri_v3!$C$50)&lt;Parametri_v3!$C$41),MAX(0,-Q527),0)</f>
        <v>1100781.76028115</v>
      </c>
      <c r="AA527" s="15" t="n">
        <f aca="false">S527-U527+IF(AND(Parametri_v3!$C$40=1,D527-YEAR(Parametri_v3!$C$50)&lt;Parametri_v3!$C$41),0,MAX(0,-Q527))</f>
        <v>222383.372405172</v>
      </c>
      <c r="AB527" s="15" t="n">
        <f aca="false">F527*(1+Parametri_v3!$C$26)</f>
        <v>153842.757781682</v>
      </c>
      <c r="AC527" s="15" t="n">
        <f aca="false">(IF(43-(INT((Motore_Operativo!L527)/30))&lt;1,0,INDEX(Motore_Startup!$AB$485:$AB$544,MAX(1,43-(INT((Motore_Operativo!L527)/30)))))*(1-(MOD((Motore_Operativo!L527),30)/30))+IF(43-(INT((Motore_Operativo!L527)/30))-1&lt;1,0,INDEX(Motore_Startup!$AB$485:$AB$544,MAX(1,43-(INT((Motore_Operativo!L527)/30))-1)))*(MOD((Motore_Operativo!L527),30)/30))</f>
        <v>142722.87928372</v>
      </c>
      <c r="AD527" s="15" t="n">
        <f aca="false">(AD526)+AB527-AC527</f>
        <v>450473.482684858</v>
      </c>
      <c r="AE527" s="15" t="n">
        <f aca="false">Motore_Operativo!BH527*(1+Parametri_v3!$C$26)</f>
        <v>11009.4833333333</v>
      </c>
      <c r="AF527" s="15" t="n">
        <f aca="false">(IF(43-(INT((Parametri_v3!$C$29)/30))&lt;1,0,INDEX(Motore_Operativo!$BH$485:$BH$544,MAX(1,43-(INT((Parametri_v3!$C$29)/30)))))*(1-(MOD((Parametri_v3!$C$29),30)/30))+IF(43-(INT((Parametri_v3!$C$29)/30))-1&lt;1,0,INDEX(Motore_Operativo!$BH$485:$BH$544,MAX(1,43-(INT((Parametri_v3!$C$29)/30))-1)))*(MOD((Parametri_v3!$C$29),30)/30))*(1+Parametri_v3!$C$26)</f>
        <v>11009.4833333333</v>
      </c>
      <c r="AG527" s="15" t="n">
        <f aca="false">(AG526)+AE527-AF527</f>
        <v>11009.4833333333</v>
      </c>
      <c r="AH527" s="15" t="n">
        <f aca="false">(Motore_Operativo!CJ527)*(1+Parametri_v3!$C$27*Parametri_v3!$C$26)</f>
        <v>72153.5501281365</v>
      </c>
      <c r="AI527" s="15" t="n">
        <f aca="false">(IF(43-(INT((Ipotesi!$C$91)/30))&lt;1,0,INDEX(Motore_Startup!$AH$485:$AH$544,MAX(1,43-(INT((Ipotesi!$C$91)/30)))))*(1-(MOD((Ipotesi!$C$91),30)/30))+IF(43-(INT((Ipotesi!$C$91)/30))-1&lt;1,0,INDEX(Motore_Startup!$AH$485:$AH$544,MAX(1,43-(INT((Ipotesi!$C$91)/30))-1)))*(MOD((Ipotesi!$C$91),30)/30))</f>
        <v>71148.2073329111</v>
      </c>
      <c r="AJ527" s="15" t="n">
        <f aca="false">(AJ526)+AH527-AI527</f>
        <v>143806.63558272</v>
      </c>
      <c r="AK527" s="15" t="n">
        <f aca="false">(F527+ Motore_Operativo!BH527-(Motore_Operativo!CJ527)*Parametri_v3!$C$27-Motore_Operativo!CE527)*Parametri_v3!$C$26</f>
        <v>17627.0484795728</v>
      </c>
      <c r="AL527" s="15" t="n">
        <f aca="false">MAX(0,(AM526))</f>
        <v>17043.3436833996</v>
      </c>
      <c r="AM527" s="15" t="n">
        <f aca="false">(AM526)+AK527-AL527</f>
        <v>17627.0484795728</v>
      </c>
      <c r="AN527" s="15" t="n">
        <f aca="false">SUM(X509:X520)</f>
        <v>0</v>
      </c>
      <c r="AO527" s="15" t="n">
        <f aca="false">SUM(AP509:AP520)</f>
        <v>0</v>
      </c>
      <c r="AP527" s="15" t="n">
        <f aca="false">MAX(0,AN527)*IF(7=Parametri_v3!$C$43,Parametri_v3!$C$45,IF(7=Parametri_v3!$C$44,1-Parametri_v3!$C$45,0))</f>
        <v>0</v>
      </c>
      <c r="AQ527" s="15" t="n">
        <f aca="false">MAX(0,AP527+IF(7=Parametri_v3!$C$43,MAX(0,AN527-AO527),0)-MAX(0,-(AR526)))</f>
        <v>0</v>
      </c>
      <c r="AR527" s="15" t="n">
        <f aca="false">(AR526)+X527-AQ527</f>
        <v>0</v>
      </c>
      <c r="AS527" s="15" t="n">
        <f aca="false">Motore_Operativo!AB527-AT527+AU527</f>
        <v>91649.4297604167</v>
      </c>
      <c r="AT527" s="15" t="n">
        <f aca="false">Motore_Operativo!CH527</f>
        <v>4823.65419791667</v>
      </c>
      <c r="AU527" s="15" t="n">
        <f aca="false">MIN(MAX(0,(AV526)+AT527),Parametri_v3!$C$60/12)</f>
        <v>0</v>
      </c>
      <c r="AV527" s="15" t="n">
        <f aca="false">(AV526)+AT527-AU527</f>
        <v>112937.279385417</v>
      </c>
      <c r="AW527" s="15" t="n">
        <f aca="false">IF(AND(Motore_Operativo!C527=Finanziamenti!$D$6,Finanziamenti!$F$6=1),Finanziamenti!$C$6,0)</f>
        <v>0</v>
      </c>
      <c r="AX527" s="15" t="n">
        <f aca="false">IF(AND(9&lt;&gt;7,9&lt;&gt;9,Finanziamenti!$F$8=1,OR(Parametri_v3!$C$6=0,Finanziamenti!$E$8=1),Motore_Operativo!C527=EDATE(Finanziamenti!$D$8,Ipotesi!K15*12)),Finanziamenti!$C$8*1,0)+IF(AND(9&lt;&gt;7,9&lt;&gt;9,Finanziamenti!$F$9=1,OR(Parametri_v3!$C$6=0,Finanziamenti!$E$9=1),Motore_Operativo!C527=EDATE(Finanziamenti!$D$9,Ipotesi!K15*12)),Finanziamenti!$C$9*Ipotesi!K16,0)</f>
        <v>0</v>
      </c>
      <c r="AY527" s="15" t="n">
        <f aca="false">0</f>
        <v>0</v>
      </c>
      <c r="AZ527" s="15" t="n">
        <f aca="false">Motore_Advisory!AY527*(1-Ipotesi!$C$95)*Ipotesi!$C$96</f>
        <v>0</v>
      </c>
      <c r="BA527" s="15" t="n">
        <f aca="false">MAX(0,MIN(CG527*MIN(1,IF(Motore_Operativo!C527&gt;=EDATE(Finanziamenti!$D$15,Ipotesi!K14*12),Finanziamenti!$C$15,0)+IF(Motore_Operativo!C527&gt;=EDATE(Finanziamenti!$D$16,Ipotesi!K14*12),Finanziamenti!$C$16,0)+IF(Motore_Operativo!C527&gt;=EDATE(Finanziamenti!$D$17,Ipotesi!K14*12),Finanziamenti!$C$17,0)),CA527*Ipotesi!$C$102)-(CC526))</f>
        <v>0</v>
      </c>
      <c r="BB527" s="15" t="n">
        <f aca="false">IF(AND(CF527&gt;0,Motore_Operativo!C527&gt;=IF(CF527=0,0,EDATE(CF527,Parametri_v3!$C$37)),MOD(((D527-YEAR(IF(CF527=0,0,EDATE(CF527,Parametri_v3!$C$37))))*12+E527-MONTH(IF(CF527=0,0,EDATE(CF527,Parametri_v3!$C$37)))),Parametri_v3!$C$38)=0),MIN(MAX(0,(BC526)+BA527-N527),(CC527-CD527)/(Ipotesi!$C$108*12/Parametri_v3!$C$38)),0)</f>
        <v>0</v>
      </c>
      <c r="BC527" s="15" t="n">
        <f aca="false">(BC526)+BA527-N527-BB527</f>
        <v>0</v>
      </c>
      <c r="BD527" s="15" t="n">
        <f aca="false">(BH526)+AC527+AF527-AI527-AS527-K527*(1+Parametri_v3!$C$26)-AL527-AQ527-O527+AW527+AX527+AZ527+BA527-BB527</f>
        <v>-1391815.48933273</v>
      </c>
      <c r="BE527" s="15" t="n">
        <f aca="false">MAX(0,MIN(MAX(0,CH527-(BG526)),Parametri_v3!$C$30-BD527))</f>
        <v>0</v>
      </c>
      <c r="BF527" s="15" t="n">
        <f aca="false">IF(Motore_Operativo!C527&gt;=Parametri_v3!$C$63,(BG526),MIN((BG526),MAX(0,BD527-Parametri_v3!$C$30)))</f>
        <v>0</v>
      </c>
      <c r="BG527" s="15" t="n">
        <f aca="false">(BG526)+BE527-BF527</f>
        <v>0</v>
      </c>
      <c r="BH527" s="15" t="n">
        <f aca="false">BD527+BE527-BF527-AY527</f>
        <v>-1391815.48933273</v>
      </c>
      <c r="BI527" s="15" t="n">
        <f aca="false">MAX(0,Parametri_v3!$C$30-BH527)</f>
        <v>1416815.48933273</v>
      </c>
      <c r="BJ527" s="15" t="n">
        <f aca="false">(BJ526)+K527</f>
        <v>98333.3333333333</v>
      </c>
      <c r="BK527" s="15" t="n">
        <f aca="false">(BK526)+L527</f>
        <v>51087.962962963</v>
      </c>
      <c r="BL527" s="15" t="n">
        <f aca="false">BJ527-BK527</f>
        <v>47245.3703703703</v>
      </c>
      <c r="BM527" s="15" t="n">
        <f aca="false">(BM526)+Y527</f>
        <v>-1323165.13268632</v>
      </c>
      <c r="BN527" s="15" t="n">
        <f aca="false">(BN526)+AW527+AX527+AZ527</f>
        <v>165707.016294444</v>
      </c>
      <c r="BO527" s="15" t="n">
        <f aca="false">(BO526)+AY527</f>
        <v>0</v>
      </c>
      <c r="BP527" s="15" t="n">
        <f aca="false">0</f>
        <v>0</v>
      </c>
      <c r="BQ527" s="15" t="n">
        <f aca="false">BN527+BM527-BO527</f>
        <v>-1157458.11639188</v>
      </c>
      <c r="BR527" s="15" t="n">
        <f aca="false">BH527+AD527+BL527+MAX(0,-AM527)+MAX(0,-AR527)+AG527</f>
        <v>-883087.152944171</v>
      </c>
      <c r="BS527" s="15" t="n">
        <f aca="false">AJ527+AV527+MAX(0,AM527)+MAX(0,AR527)+BC527+BG527+BQ527</f>
        <v>-883087.152944169</v>
      </c>
      <c r="BT527" s="15" t="n">
        <f aca="false">BR527-BS527</f>
        <v>0</v>
      </c>
      <c r="BU527" s="15" t="n">
        <f aca="false">BH527-(BD527+BE527-BF527-AY527)</f>
        <v>0</v>
      </c>
      <c r="BV527" s="15" t="n">
        <f aca="false">MIN(Piano_SS!$C$6,(BV526)+IF(AND(Motore_Operativo!C527&gt;=EDATE(Parametri_v3!$C$24,Ipotesi!K14*12),Motore_Operativo!C527&lt;EDATE(Parametri_v3!$C$24,Parametri_v3!$C$25+Ipotesi!K14*12)),MAX(0,(Motore_Operativo!Y527+Motore_Operativo!X527*Parametri_v3!$C$14)*(1-Parametri_v3!$C$32))*Piano_SS!$D$6,0))</f>
        <v>300000</v>
      </c>
      <c r="BW527" s="15" t="n">
        <f aca="false">MIN(Piano_SS!$C$7,(BW526)+IF(AND(Motore_Operativo!C527&gt;=EDATE(Parametri_v3!$C$24,Ipotesi!K14*12),Motore_Operativo!C527&lt;EDATE(Parametri_v3!$C$24,Parametri_v3!$C$25+Ipotesi!K14*12)),MAX(0,(IF(43-(INT((Ipotesi!$C$91)/30))&lt;1,0,INDEX(Motore_Operativo!$BN$485:$BN$544,MAX(1,43-(INT((Ipotesi!$C$91)/30)))))*(1-(MOD((Ipotesi!$C$91),30)/30))+IF(43-(INT((Ipotesi!$C$91)/30))-1&lt;1,0,INDEX(Motore_Operativo!$BN$485:$BN$544,MAX(1,43-(INT((Ipotesi!$C$91)/30))-1)))*(MOD((Ipotesi!$C$91),30)/30)))*Piano_SS!$D$7,0))</f>
        <v>41058.9230070837</v>
      </c>
      <c r="BX527" s="15" t="n">
        <f aca="false">MIN(Piano_SS!$C$8,(BX526)+IF(AND(Motore_Operativo!C527&gt;=EDATE(Parametri_v3!$C$24,Ipotesi!K14*12),Motore_Operativo!C527&lt;EDATE(Parametri_v3!$C$24,Parametri_v3!$C$25+Ipotesi!K14*12)),MAX(0,Motore_Operativo!CE527)*Piano_SS!$D$8,0))</f>
        <v>50000</v>
      </c>
      <c r="BY527" s="15" t="n">
        <f aca="false">MIN(Piano_SS!$C$9,(BY526)+IF(AND(Motore_Operativo!C527&gt;=EDATE(Parametri_v3!$C$24,Ipotesi!K14*12),Motore_Operativo!C527&lt;EDATE(Parametri_v3!$C$24,Parametri_v3!$C$25+Ipotesi!K14*12)),MAX(0,((IF(43-(INT((Ipotesi!$C$91)/30))&lt;1,0,INDEX(Motore_Operativo!$BQ$485:$BQ$544,MAX(1,43-(INT((Ipotesi!$C$91)/30)))))*(1-(MOD((Ipotesi!$C$91),30)/30))+IF(43-(INT((Ipotesi!$C$91)/30))-1&lt;1,0,INDEX(Motore_Operativo!$BQ$485:$BQ$544,MAX(1,43-(INT((Ipotesi!$C$91)/30))-1)))*(MOD((Ipotesi!$C$91),30)/30))+(IF(43-(INT((Ipotesi!$C$91)/30))&lt;1,0,INDEX(Motore_Operativo!$BR$485:$BR$544,MAX(1,43-(INT((Ipotesi!$C$91)/30)))))*(1-(MOD((Ipotesi!$C$91),30)/30))+IF(43-(INT((Ipotesi!$C$91)/30))-1&lt;1,0,INDEX(Motore_Operativo!$BR$485:$BR$544,MAX(1,43-(INT((Ipotesi!$C$91)/30))-1)))*(MOD((Ipotesi!$C$91),30)/30))))*Piano_SS!$D$9,0))</f>
        <v>40000</v>
      </c>
      <c r="BZ527" s="15" t="n">
        <f aca="false">MIN(Piano_SS!$C$10,(BZ526)+IF(AND(Motore_Operativo!C527&gt;=EDATE(Parametri_v3!$C$24,Ipotesi!K14*12),Motore_Operativo!C527&lt;EDATE(Parametri_v3!$C$24,Parametri_v3!$C$25+Ipotesi!K14*12)),MAX(0,(IF(43-(INT((Ipotesi!$C$91)/30))&lt;1,0,INDEX(Motore_Operativo!$BO$485:$BO$544,MAX(1,43-(INT((Ipotesi!$C$91)/30)))))*(1-(MOD((Ipotesi!$C$91),30)/30))+IF(43-(INT((Ipotesi!$C$91)/30))-1&lt;1,0,INDEX(Motore_Operativo!$BO$485:$BO$544,MAX(1,43-(INT((Ipotesi!$C$91)/30))-1)))*(MOD((Ipotesi!$C$91),30)/30)))*Piano_SS!$D$10,0))</f>
        <v>30000</v>
      </c>
      <c r="CA527" s="15" t="n">
        <f aca="false">SUM(BV527:BZ527)</f>
        <v>461058.923007084</v>
      </c>
      <c r="CB527" s="15" t="n">
        <f aca="false">BV527*(1-Piano_SS!$E$6)+BW527*(1-Piano_SS!$E$7)+BX527*(1-Piano_SS!$E$8)+BY527*(1-Piano_SS!$E$9)+BZ527*(1-Piano_SS!$E$10)</f>
        <v>431058.923007084</v>
      </c>
      <c r="CC527" s="15" t="n">
        <f aca="false">(CC526)+BA527</f>
        <v>0</v>
      </c>
      <c r="CD527" s="15" t="n">
        <f aca="false">IF(CA527=0,0,CC527*CB527/CA527*Ipotesi!$C$103*Parametri_v3!$C$64)</f>
        <v>0</v>
      </c>
      <c r="CE527" s="18" t="n">
        <f aca="false">IF(BA527&gt;0,Motore_Operativo!C527,(CE526))</f>
        <v>0</v>
      </c>
      <c r="CF527" s="18" t="n">
        <f aca="false">IF(AND(CC527&gt;0,OR(CC527&gt;=CG527-0.01,Motore_Operativo!C527&gt;=EDATE(MAX(Finanziamenti!$D$15:$D$17),Ipotesi!K14*12))),CE527,0)</f>
        <v>0</v>
      </c>
      <c r="CG527" s="15" t="n">
        <f aca="false">IF(AND(9&lt;&gt;6,9&lt;&gt;9,Finanziamenti!$F$11=1,OR(Parametri_v3!$C$6=0,Finanziamenti!$E$11=1)),MIN(Finanziamenti!$C$11,Piano_SS!$C$12*Ipotesi!$C$102),0)</f>
        <v>0</v>
      </c>
      <c r="CH527" s="15" t="n">
        <f aca="false">IF(AND(AND(9&lt;&gt;8,9&lt;&gt;9,Finanziamenti!$F$10=1,OR(Parametri_v3!$C$6=0,Finanziamenti!$E$10=1)),Motore_Operativo!C527&gt;=Finanziamenti!$D$10,Motore_Operativo!C527&lt;Parametri_v3!$C$63),Finanziamenti!$C$10,0)</f>
        <v>0</v>
      </c>
    </row>
    <row r="528" customFormat="false" ht="18" hidden="false" customHeight="true" outlineLevel="0" collapsed="false">
      <c r="A528" s="68" t="n">
        <f aca="false">9</f>
        <v>9</v>
      </c>
      <c r="B528" s="68" t="n">
        <f aca="false">44</f>
        <v>44</v>
      </c>
      <c r="C528" s="18" t="n">
        <f aca="false">Motore_Operativo!C528</f>
        <v>47696</v>
      </c>
      <c r="D528" s="68" t="n">
        <f aca="false">Motore_Operativo!D528</f>
        <v>2030</v>
      </c>
      <c r="E528" s="68" t="n">
        <f aca="false">Motore_Operativo!E528</f>
        <v>8</v>
      </c>
      <c r="F528" s="15" t="n">
        <f aca="false">Motore_Operativo!AQ528+Motore_Operativo!BF528</f>
        <v>129085.876915895</v>
      </c>
      <c r="G528" s="15" t="n">
        <f aca="false">Motore_Operativo!BH528</f>
        <v>9024.16666666667</v>
      </c>
      <c r="H528" s="15" t="n">
        <f aca="false">Motore_Operativo!BI528</f>
        <v>138110.043582562</v>
      </c>
      <c r="I528" s="15" t="n">
        <f aca="false">Motore_Operativo!CA528</f>
        <v>157677.498393225</v>
      </c>
      <c r="J528" s="15" t="n">
        <f aca="false">Motore_Operativo!CC528</f>
        <v>-19567.4548106635</v>
      </c>
      <c r="K528" s="15" t="n">
        <f aca="false">Motore_Operativo!CE528</f>
        <v>3333.33333333333</v>
      </c>
      <c r="L528" s="15" t="n">
        <f aca="false">SUM(INDEX($K$485:$K$544,MAX(1,44-Parametri_v3!$C$59+1)):K528)/Parametri_v3!$C$59</f>
        <v>2453.7037037037</v>
      </c>
      <c r="M528" s="15" t="n">
        <f aca="false">J528-L528</f>
        <v>-22021.1585143672</v>
      </c>
      <c r="N528" s="15" t="n">
        <f aca="false">CD528-(CD527)</f>
        <v>0</v>
      </c>
      <c r="O528" s="15" t="n">
        <f aca="false">(BG527)*Ipotesi!$C$110/12+CH528*Parametri_v3!$C$39/12</f>
        <v>0</v>
      </c>
      <c r="P528" s="15" t="n">
        <f aca="false">M528+N528-O528</f>
        <v>-22021.1585143672</v>
      </c>
      <c r="Q528" s="15" t="n">
        <f aca="false">SUM(P521:P528)+Parametri_v3!$C$54*8/12</f>
        <v>-244404.530919539</v>
      </c>
      <c r="R528" s="15" t="n">
        <f aca="false">Z520</f>
        <v>1100781.76028115</v>
      </c>
      <c r="S528" s="15" t="n">
        <f aca="false">AA520</f>
        <v>0</v>
      </c>
      <c r="T528" s="15" t="n">
        <f aca="false">MIN(R528,MAX(0,Q528))</f>
        <v>0</v>
      </c>
      <c r="U528" s="15" t="n">
        <f aca="false">MIN(S528,MAX(0,Q528-T528)*Parametri_v3!$C$42)</f>
        <v>0</v>
      </c>
      <c r="V528" s="15" t="n">
        <f aca="false">MAX(0,Q528-T528-U528)*Ipotesi!$C$92</f>
        <v>0</v>
      </c>
      <c r="W528" s="15" t="n">
        <f aca="false">MAX(0,SUM(M521:M528)+Parametri_v3!$C$55*8/12)*Ipotesi!$C$93</f>
        <v>0</v>
      </c>
      <c r="X528" s="15" t="n">
        <f aca="false">V528+W528-(V527+W527)</f>
        <v>0</v>
      </c>
      <c r="Y528" s="15" t="n">
        <f aca="false">P528-X528</f>
        <v>-22021.1585143672</v>
      </c>
      <c r="Z528" s="15" t="n">
        <f aca="false">R528-T528+IF(AND(Parametri_v3!$C$40=1,D528-YEAR(Parametri_v3!$C$50)&lt;Parametri_v3!$C$41),MAX(0,-Q528),0)</f>
        <v>1100781.76028115</v>
      </c>
      <c r="AA528" s="15" t="n">
        <f aca="false">S528-U528+IF(AND(Parametri_v3!$C$40=1,D528-YEAR(Parametri_v3!$C$50)&lt;Parametri_v3!$C$41),0,MAX(0,-Q528))</f>
        <v>244404.530919539</v>
      </c>
      <c r="AB528" s="15" t="n">
        <f aca="false">F528*(1+Parametri_v3!$C$26)</f>
        <v>157484.769837392</v>
      </c>
      <c r="AC528" s="15" t="n">
        <f aca="false">(IF(44-(INT((Motore_Operativo!L528)/30))&lt;1,0,INDEX(Motore_Startup!$AB$485:$AB$544,MAX(1,44-(INT((Motore_Operativo!L528)/30)))))*(1-(MOD((Motore_Operativo!L528),30)/30))+IF(44-(INT((Motore_Operativo!L528)/30))-1&lt;1,0,INDEX(Motore_Startup!$AB$485:$AB$544,MAX(1,44-(INT((Motore_Operativo!L528)/30))-1)))*(MOD((Motore_Operativo!L528),30)/30))</f>
        <v>146462.096991123</v>
      </c>
      <c r="AD528" s="15" t="n">
        <f aca="false">(AD527)+AB528-AC528</f>
        <v>461496.155531127</v>
      </c>
      <c r="AE528" s="15" t="n">
        <f aca="false">Motore_Operativo!BH528*(1+Parametri_v3!$C$26)</f>
        <v>11009.4833333333</v>
      </c>
      <c r="AF528" s="15" t="n">
        <f aca="false">(IF(44-(INT((Parametri_v3!$C$29)/30))&lt;1,0,INDEX(Motore_Operativo!$BH$485:$BH$544,MAX(1,44-(INT((Parametri_v3!$C$29)/30)))))*(1-(MOD((Parametri_v3!$C$29),30)/30))+IF(44-(INT((Parametri_v3!$C$29)/30))-1&lt;1,0,INDEX(Motore_Operativo!$BH$485:$BH$544,MAX(1,44-(INT((Parametri_v3!$C$29)/30))-1)))*(MOD((Parametri_v3!$C$29),30)/30))*(1+Parametri_v3!$C$26)</f>
        <v>11009.4833333333</v>
      </c>
      <c r="AG528" s="15" t="n">
        <f aca="false">(AG527)+AE528-AF528</f>
        <v>11009.4833333333</v>
      </c>
      <c r="AH528" s="15" t="n">
        <f aca="false">(Motore_Operativo!CJ528)*(1+Parametri_v3!$C$27*Parametri_v3!$C$26)</f>
        <v>72649.6399342168</v>
      </c>
      <c r="AI528" s="15" t="n">
        <f aca="false">(IF(44-(INT((Ipotesi!$C$91)/30))&lt;1,0,INDEX(Motore_Startup!$AH$485:$AH$544,MAX(1,44-(INT((Ipotesi!$C$91)/30)))))*(1-(MOD((Ipotesi!$C$91),30)/30))+IF(44-(INT((Ipotesi!$C$91)/30))-1&lt;1,0,INDEX(Motore_Startup!$AH$485:$AH$544,MAX(1,44-(INT((Ipotesi!$C$91)/30))-1)))*(MOD((Ipotesi!$C$91),30)/30))</f>
        <v>71653.0854545834</v>
      </c>
      <c r="AJ528" s="15" t="n">
        <f aca="false">(AJ527)+AH528-AI528</f>
        <v>144803.190062353</v>
      </c>
      <c r="AK528" s="15" t="n">
        <f aca="false">(F528+ Motore_Operativo!BH528-(Motore_Operativo!CJ528)*Parametri_v3!$C$27-Motore_Operativo!CE528)*Parametri_v3!$C$26</f>
        <v>18205.6507555055</v>
      </c>
      <c r="AL528" s="15" t="n">
        <f aca="false">MAX(0,(AM527))</f>
        <v>17627.0484795728</v>
      </c>
      <c r="AM528" s="15" t="n">
        <f aca="false">(AM527)+AK528-AL528</f>
        <v>18205.6507555055</v>
      </c>
      <c r="AN528" s="15" t="n">
        <f aca="false">SUM(X509:X520)</f>
        <v>0</v>
      </c>
      <c r="AO528" s="15" t="n">
        <f aca="false">SUM(AP509:AP520)</f>
        <v>0</v>
      </c>
      <c r="AP528" s="15" t="n">
        <f aca="false">MAX(0,AN528)*IF(8=Parametri_v3!$C$43,Parametri_v3!$C$45,IF(8=Parametri_v3!$C$44,1-Parametri_v3!$C$45,0))</f>
        <v>0</v>
      </c>
      <c r="AQ528" s="15" t="n">
        <f aca="false">MAX(0,AP528+IF(8=Parametri_v3!$C$43,MAX(0,AN528-AO528),0)-MAX(0,-(AR527)))</f>
        <v>0</v>
      </c>
      <c r="AR528" s="15" t="n">
        <f aca="false">(AR527)+X528-AQ528</f>
        <v>0</v>
      </c>
      <c r="AS528" s="15" t="n">
        <f aca="false">Motore_Operativo!AB528-AT528+AU528</f>
        <v>91649.4297604167</v>
      </c>
      <c r="AT528" s="15" t="n">
        <f aca="false">Motore_Operativo!CH528</f>
        <v>4823.65419791667</v>
      </c>
      <c r="AU528" s="15" t="n">
        <f aca="false">MIN(MAX(0,(AV527)+AT528),Parametri_v3!$C$60/12)</f>
        <v>0</v>
      </c>
      <c r="AV528" s="15" t="n">
        <f aca="false">(AV527)+AT528-AU528</f>
        <v>117760.933583333</v>
      </c>
      <c r="AW528" s="15" t="n">
        <f aca="false">IF(AND(Motore_Operativo!C528=Finanziamenti!$D$6,Finanziamenti!$F$6=1),Finanziamenti!$C$6,0)</f>
        <v>0</v>
      </c>
      <c r="AX528" s="15" t="n">
        <f aca="false">IF(AND(9&lt;&gt;7,9&lt;&gt;9,Finanziamenti!$F$8=1,OR(Parametri_v3!$C$6=0,Finanziamenti!$E$8=1),Motore_Operativo!C528=EDATE(Finanziamenti!$D$8,Ipotesi!K15*12)),Finanziamenti!$C$8*1,0)+IF(AND(9&lt;&gt;7,9&lt;&gt;9,Finanziamenti!$F$9=1,OR(Parametri_v3!$C$6=0,Finanziamenti!$E$9=1),Motore_Operativo!C528=EDATE(Finanziamenti!$D$9,Ipotesi!K15*12)),Finanziamenti!$C$9*Ipotesi!K16,0)</f>
        <v>0</v>
      </c>
      <c r="AY528" s="15" t="n">
        <f aca="false">0</f>
        <v>0</v>
      </c>
      <c r="AZ528" s="15" t="n">
        <f aca="false">Motore_Advisory!AY528*(1-Ipotesi!$C$95)*Ipotesi!$C$96</f>
        <v>0</v>
      </c>
      <c r="BA528" s="15" t="n">
        <f aca="false">MAX(0,MIN(CG528*MIN(1,IF(Motore_Operativo!C528&gt;=EDATE(Finanziamenti!$D$15,Ipotesi!K14*12),Finanziamenti!$C$15,0)+IF(Motore_Operativo!C528&gt;=EDATE(Finanziamenti!$D$16,Ipotesi!K14*12),Finanziamenti!$C$16,0)+IF(Motore_Operativo!C528&gt;=EDATE(Finanziamenti!$D$17,Ipotesi!K14*12),Finanziamenti!$C$17,0)),CA528*Ipotesi!$C$102)-(CC527))</f>
        <v>0</v>
      </c>
      <c r="BB528" s="15" t="n">
        <f aca="false">IF(AND(CF528&gt;0,Motore_Operativo!C528&gt;=IF(CF528=0,0,EDATE(CF528,Parametri_v3!$C$37)),MOD(((D528-YEAR(IF(CF528=0,0,EDATE(CF528,Parametri_v3!$C$37))))*12+E528-MONTH(IF(CF528=0,0,EDATE(CF528,Parametri_v3!$C$37)))),Parametri_v3!$C$38)=0),MIN(MAX(0,(BC527)+BA528-N528),(CC528-CD528)/(Ipotesi!$C$108*12/Parametri_v3!$C$38)),0)</f>
        <v>0</v>
      </c>
      <c r="BC528" s="15" t="n">
        <f aca="false">(BC527)+BA528-N528-BB528</f>
        <v>0</v>
      </c>
      <c r="BD528" s="15" t="n">
        <f aca="false">(BH527)+AC528+AF528-AI528-AS528-K528*(1+Parametri_v3!$C$26)-AL528-AQ528-O528+AW528+AX528+AZ528+BA528-BB528</f>
        <v>-1419340.13936952</v>
      </c>
      <c r="BE528" s="15" t="n">
        <f aca="false">MAX(0,MIN(MAX(0,CH528-(BG527)),Parametri_v3!$C$30-BD528))</f>
        <v>0</v>
      </c>
      <c r="BF528" s="15" t="n">
        <f aca="false">IF(Motore_Operativo!C528&gt;=Parametri_v3!$C$63,(BG527),MIN((BG527),MAX(0,BD528-Parametri_v3!$C$30)))</f>
        <v>0</v>
      </c>
      <c r="BG528" s="15" t="n">
        <f aca="false">(BG527)+BE528-BF528</f>
        <v>0</v>
      </c>
      <c r="BH528" s="15" t="n">
        <f aca="false">BD528+BE528-BF528-AY528</f>
        <v>-1419340.13936952</v>
      </c>
      <c r="BI528" s="15" t="n">
        <f aca="false">MAX(0,Parametri_v3!$C$30-BH528)</f>
        <v>1444340.13936952</v>
      </c>
      <c r="BJ528" s="15" t="n">
        <f aca="false">(BJ527)+K528</f>
        <v>101666.666666667</v>
      </c>
      <c r="BK528" s="15" t="n">
        <f aca="false">(BK527)+L528</f>
        <v>53541.6666666667</v>
      </c>
      <c r="BL528" s="15" t="n">
        <f aca="false">BJ528-BK528</f>
        <v>48125</v>
      </c>
      <c r="BM528" s="15" t="n">
        <f aca="false">(BM527)+Y528</f>
        <v>-1345186.29120069</v>
      </c>
      <c r="BN528" s="15" t="n">
        <f aca="false">(BN527)+AW528+AX528+AZ528</f>
        <v>165707.016294444</v>
      </c>
      <c r="BO528" s="15" t="n">
        <f aca="false">(BO527)+AY528</f>
        <v>0</v>
      </c>
      <c r="BP528" s="15" t="n">
        <f aca="false">0</f>
        <v>0</v>
      </c>
      <c r="BQ528" s="15" t="n">
        <f aca="false">BN528+BM528-BO528</f>
        <v>-1179479.27490625</v>
      </c>
      <c r="BR528" s="15" t="n">
        <f aca="false">BH528+AD528+BL528+MAX(0,-AM528)+MAX(0,-AR528)+AG528</f>
        <v>-898709.500505055</v>
      </c>
      <c r="BS528" s="15" t="n">
        <f aca="false">AJ528+AV528+MAX(0,AM528)+MAX(0,AR528)+BC528+BG528+BQ528</f>
        <v>-898709.500505054</v>
      </c>
      <c r="BT528" s="15" t="n">
        <f aca="false">BR528-BS528</f>
        <v>0</v>
      </c>
      <c r="BU528" s="15" t="n">
        <f aca="false">BH528-(BD528+BE528-BF528-AY528)</f>
        <v>0</v>
      </c>
      <c r="BV528" s="15" t="n">
        <f aca="false">MIN(Piano_SS!$C$6,(BV527)+IF(AND(Motore_Operativo!C528&gt;=EDATE(Parametri_v3!$C$24,Ipotesi!K14*12),Motore_Operativo!C528&lt;EDATE(Parametri_v3!$C$24,Parametri_v3!$C$25+Ipotesi!K14*12)),MAX(0,(Motore_Operativo!Y528+Motore_Operativo!X528*Parametri_v3!$C$14)*(1-Parametri_v3!$C$32))*Piano_SS!$D$6,0))</f>
        <v>300000</v>
      </c>
      <c r="BW528" s="15" t="n">
        <f aca="false">MIN(Piano_SS!$C$7,(BW527)+IF(AND(Motore_Operativo!C528&gt;=EDATE(Parametri_v3!$C$24,Ipotesi!K14*12),Motore_Operativo!C528&lt;EDATE(Parametri_v3!$C$24,Parametri_v3!$C$25+Ipotesi!K14*12)),MAX(0,(IF(44-(INT((Ipotesi!$C$91)/30))&lt;1,0,INDEX(Motore_Operativo!$BN$485:$BN$544,MAX(1,44-(INT((Ipotesi!$C$91)/30)))))*(1-(MOD((Ipotesi!$C$91),30)/30))+IF(44-(INT((Ipotesi!$C$91)/30))-1&lt;1,0,INDEX(Motore_Operativo!$BN$485:$BN$544,MAX(1,44-(INT((Ipotesi!$C$91)/30))-1)))*(MOD((Ipotesi!$C$91),30)/30)))*Piano_SS!$D$7,0))</f>
        <v>41058.9230070837</v>
      </c>
      <c r="BX528" s="15" t="n">
        <f aca="false">MIN(Piano_SS!$C$8,(BX527)+IF(AND(Motore_Operativo!C528&gt;=EDATE(Parametri_v3!$C$24,Ipotesi!K14*12),Motore_Operativo!C528&lt;EDATE(Parametri_v3!$C$24,Parametri_v3!$C$25+Ipotesi!K14*12)),MAX(0,Motore_Operativo!CE528)*Piano_SS!$D$8,0))</f>
        <v>50000</v>
      </c>
      <c r="BY528" s="15" t="n">
        <f aca="false">MIN(Piano_SS!$C$9,(BY527)+IF(AND(Motore_Operativo!C528&gt;=EDATE(Parametri_v3!$C$24,Ipotesi!K14*12),Motore_Operativo!C528&lt;EDATE(Parametri_v3!$C$24,Parametri_v3!$C$25+Ipotesi!K14*12)),MAX(0,((IF(44-(INT((Ipotesi!$C$91)/30))&lt;1,0,INDEX(Motore_Operativo!$BQ$485:$BQ$544,MAX(1,44-(INT((Ipotesi!$C$91)/30)))))*(1-(MOD((Ipotesi!$C$91),30)/30))+IF(44-(INT((Ipotesi!$C$91)/30))-1&lt;1,0,INDEX(Motore_Operativo!$BQ$485:$BQ$544,MAX(1,44-(INT((Ipotesi!$C$91)/30))-1)))*(MOD((Ipotesi!$C$91),30)/30))+(IF(44-(INT((Ipotesi!$C$91)/30))&lt;1,0,INDEX(Motore_Operativo!$BR$485:$BR$544,MAX(1,44-(INT((Ipotesi!$C$91)/30)))))*(1-(MOD((Ipotesi!$C$91),30)/30))+IF(44-(INT((Ipotesi!$C$91)/30))-1&lt;1,0,INDEX(Motore_Operativo!$BR$485:$BR$544,MAX(1,44-(INT((Ipotesi!$C$91)/30))-1)))*(MOD((Ipotesi!$C$91),30)/30))))*Piano_SS!$D$9,0))</f>
        <v>40000</v>
      </c>
      <c r="BZ528" s="15" t="n">
        <f aca="false">MIN(Piano_SS!$C$10,(BZ527)+IF(AND(Motore_Operativo!C528&gt;=EDATE(Parametri_v3!$C$24,Ipotesi!K14*12),Motore_Operativo!C528&lt;EDATE(Parametri_v3!$C$24,Parametri_v3!$C$25+Ipotesi!K14*12)),MAX(0,(IF(44-(INT((Ipotesi!$C$91)/30))&lt;1,0,INDEX(Motore_Operativo!$BO$485:$BO$544,MAX(1,44-(INT((Ipotesi!$C$91)/30)))))*(1-(MOD((Ipotesi!$C$91),30)/30))+IF(44-(INT((Ipotesi!$C$91)/30))-1&lt;1,0,INDEX(Motore_Operativo!$BO$485:$BO$544,MAX(1,44-(INT((Ipotesi!$C$91)/30))-1)))*(MOD((Ipotesi!$C$91),30)/30)))*Piano_SS!$D$10,0))</f>
        <v>30000</v>
      </c>
      <c r="CA528" s="15" t="n">
        <f aca="false">SUM(BV528:BZ528)</f>
        <v>461058.923007084</v>
      </c>
      <c r="CB528" s="15" t="n">
        <f aca="false">BV528*(1-Piano_SS!$E$6)+BW528*(1-Piano_SS!$E$7)+BX528*(1-Piano_SS!$E$8)+BY528*(1-Piano_SS!$E$9)+BZ528*(1-Piano_SS!$E$10)</f>
        <v>431058.923007084</v>
      </c>
      <c r="CC528" s="15" t="n">
        <f aca="false">(CC527)+BA528</f>
        <v>0</v>
      </c>
      <c r="CD528" s="15" t="n">
        <f aca="false">IF(CA528=0,0,CC528*CB528/CA528*Ipotesi!$C$103*Parametri_v3!$C$64)</f>
        <v>0</v>
      </c>
      <c r="CE528" s="18" t="n">
        <f aca="false">IF(BA528&gt;0,Motore_Operativo!C528,(CE527))</f>
        <v>0</v>
      </c>
      <c r="CF528" s="18" t="n">
        <f aca="false">IF(AND(CC528&gt;0,OR(CC528&gt;=CG528-0.01,Motore_Operativo!C528&gt;=EDATE(MAX(Finanziamenti!$D$15:$D$17),Ipotesi!K14*12))),CE528,0)</f>
        <v>0</v>
      </c>
      <c r="CG528" s="15" t="n">
        <f aca="false">IF(AND(9&lt;&gt;6,9&lt;&gt;9,Finanziamenti!$F$11=1,OR(Parametri_v3!$C$6=0,Finanziamenti!$E$11=1)),MIN(Finanziamenti!$C$11,Piano_SS!$C$12*Ipotesi!$C$102),0)</f>
        <v>0</v>
      </c>
      <c r="CH528" s="15" t="n">
        <f aca="false">IF(AND(AND(9&lt;&gt;8,9&lt;&gt;9,Finanziamenti!$F$10=1,OR(Parametri_v3!$C$6=0,Finanziamenti!$E$10=1)),Motore_Operativo!C528&gt;=Finanziamenti!$D$10,Motore_Operativo!C528&lt;Parametri_v3!$C$63),Finanziamenti!$C$10,0)</f>
        <v>0</v>
      </c>
    </row>
    <row r="529" customFormat="false" ht="18" hidden="false" customHeight="true" outlineLevel="0" collapsed="false">
      <c r="A529" s="68" t="n">
        <f aca="false">9</f>
        <v>9</v>
      </c>
      <c r="B529" s="68" t="n">
        <f aca="false">45</f>
        <v>45</v>
      </c>
      <c r="C529" s="18" t="n">
        <f aca="false">Motore_Operativo!C529</f>
        <v>47727</v>
      </c>
      <c r="D529" s="68" t="n">
        <f aca="false">Motore_Operativo!D529</f>
        <v>2030</v>
      </c>
      <c r="E529" s="68" t="n">
        <f aca="false">Motore_Operativo!E529</f>
        <v>9</v>
      </c>
      <c r="F529" s="15" t="n">
        <f aca="false">Motore_Operativo!AQ529+Motore_Operativo!BF529</f>
        <v>132045.036754606</v>
      </c>
      <c r="G529" s="15" t="n">
        <f aca="false">Motore_Operativo!BH529</f>
        <v>9024.16666666667</v>
      </c>
      <c r="H529" s="15" t="n">
        <f aca="false">Motore_Operativo!BI529</f>
        <v>141069.203421273</v>
      </c>
      <c r="I529" s="15" t="n">
        <f aca="false">Motore_Operativo!CA529</f>
        <v>158091.780770645</v>
      </c>
      <c r="J529" s="15" t="n">
        <f aca="false">Motore_Operativo!CC529</f>
        <v>-17022.5773493721</v>
      </c>
      <c r="K529" s="15" t="n">
        <f aca="false">Motore_Operativo!CE529</f>
        <v>3333.33333333333</v>
      </c>
      <c r="L529" s="15" t="n">
        <f aca="false">SUM(INDEX($K$485:$K$544,MAX(1,45-Parametri_v3!$C$59+1)):K529)/Parametri_v3!$C$59</f>
        <v>2500</v>
      </c>
      <c r="M529" s="15" t="n">
        <f aca="false">J529-L529</f>
        <v>-19522.5773493721</v>
      </c>
      <c r="N529" s="15" t="n">
        <f aca="false">CD529-(CD528)</f>
        <v>0</v>
      </c>
      <c r="O529" s="15" t="n">
        <f aca="false">(BG528)*Ipotesi!$C$110/12+CH529*Parametri_v3!$C$39/12</f>
        <v>0</v>
      </c>
      <c r="P529" s="15" t="n">
        <f aca="false">M529+N529-O529</f>
        <v>-19522.5773493721</v>
      </c>
      <c r="Q529" s="15" t="n">
        <f aca="false">SUM(P521:P529)+Parametri_v3!$C$54*9/12</f>
        <v>-263927.108268911</v>
      </c>
      <c r="R529" s="15" t="n">
        <f aca="false">Z520</f>
        <v>1100781.76028115</v>
      </c>
      <c r="S529" s="15" t="n">
        <f aca="false">AA520</f>
        <v>0</v>
      </c>
      <c r="T529" s="15" t="n">
        <f aca="false">MIN(R529,MAX(0,Q529))</f>
        <v>0</v>
      </c>
      <c r="U529" s="15" t="n">
        <f aca="false">MIN(S529,MAX(0,Q529-T529)*Parametri_v3!$C$42)</f>
        <v>0</v>
      </c>
      <c r="V529" s="15" t="n">
        <f aca="false">MAX(0,Q529-T529-U529)*Ipotesi!$C$92</f>
        <v>0</v>
      </c>
      <c r="W529" s="15" t="n">
        <f aca="false">MAX(0,SUM(M521:M529)+Parametri_v3!$C$55*9/12)*Ipotesi!$C$93</f>
        <v>0</v>
      </c>
      <c r="X529" s="15" t="n">
        <f aca="false">V529+W529-(V528+W528)</f>
        <v>0</v>
      </c>
      <c r="Y529" s="15" t="n">
        <f aca="false">P529-X529</f>
        <v>-19522.5773493721</v>
      </c>
      <c r="Z529" s="15" t="n">
        <f aca="false">R529-T529+IF(AND(Parametri_v3!$C$40=1,D529-YEAR(Parametri_v3!$C$50)&lt;Parametri_v3!$C$41),MAX(0,-Q529),0)</f>
        <v>1100781.76028115</v>
      </c>
      <c r="AA529" s="15" t="n">
        <f aca="false">S529-U529+IF(AND(Parametri_v3!$C$40=1,D529-YEAR(Parametri_v3!$C$50)&lt;Parametri_v3!$C$41),0,MAX(0,-Q529))</f>
        <v>263927.108268911</v>
      </c>
      <c r="AB529" s="15" t="n">
        <f aca="false">F529*(1+Parametri_v3!$C$26)</f>
        <v>161094.944840619</v>
      </c>
      <c r="AC529" s="15" t="n">
        <f aca="false">(IF(45-(INT((Motore_Operativo!L529)/30))&lt;1,0,INDEX(Motore_Startup!$AB$485:$AB$544,MAX(1,45-(INT((Motore_Operativo!L529)/30)))))*(1-(MOD((Motore_Operativo!L529),30)/30))+IF(45-(INT((Motore_Operativo!L529)/30))-1&lt;1,0,INDEX(Motore_Startup!$AB$485:$AB$544,MAX(1,45-(INT((Motore_Operativo!L529)/30))-1)))*(MOD((Motore_Operativo!L529),30)/30))</f>
        <v>150168.627912054</v>
      </c>
      <c r="AD529" s="15" t="n">
        <f aca="false">(AD528)+AB529-AC529</f>
        <v>472422.472459693</v>
      </c>
      <c r="AE529" s="15" t="n">
        <f aca="false">Motore_Operativo!BH529*(1+Parametri_v3!$C$26)</f>
        <v>11009.4833333333</v>
      </c>
      <c r="AF529" s="15" t="n">
        <f aca="false">(IF(45-(INT((Parametri_v3!$C$29)/30))&lt;1,0,INDEX(Motore_Operativo!$BH$485:$BH$544,MAX(1,45-(INT((Parametri_v3!$C$29)/30)))))*(1-(MOD((Parametri_v3!$C$29),30)/30))+IF(45-(INT((Parametri_v3!$C$29)/30))-1&lt;1,0,INDEX(Motore_Operativo!$BH$485:$BH$544,MAX(1,45-(INT((Parametri_v3!$C$29)/30))-1)))*(MOD((Parametri_v3!$C$29),30)/30))*(1+Parametri_v3!$C$26)</f>
        <v>11009.4833333333</v>
      </c>
      <c r="AG529" s="15" t="n">
        <f aca="false">(AG528)+AE529-AF529</f>
        <v>11009.4833333333</v>
      </c>
      <c r="AH529" s="15" t="n">
        <f aca="false">(Motore_Operativo!CJ529)*(1+Parametri_v3!$C$27*Parametri_v3!$C$26)</f>
        <v>73141.3931162138</v>
      </c>
      <c r="AI529" s="15" t="n">
        <f aca="false">(IF(45-(INT((Ipotesi!$C$91)/30))&lt;1,0,INDEX(Motore_Startup!$AH$485:$AH$544,MAX(1,45-(INT((Ipotesi!$C$91)/30)))))*(1-(MOD((Ipotesi!$C$91),30)/30))+IF(45-(INT((Ipotesi!$C$91)/30))-1&lt;1,0,INDEX(Motore_Startup!$AH$485:$AH$544,MAX(1,45-(INT((Ipotesi!$C$91)/30))-1)))*(MOD((Ipotesi!$C$91),30)/30))</f>
        <v>72153.5501281365</v>
      </c>
      <c r="AJ529" s="15" t="n">
        <f aca="false">(AJ528)+AH529-AI529</f>
        <v>145791.033050431</v>
      </c>
      <c r="AK529" s="15" t="n">
        <f aca="false">(F529+ Motore_Operativo!BH529-(Motore_Operativo!CJ529)*Parametri_v3!$C$27-Motore_Operativo!CE529)*Parametri_v3!$C$26</f>
        <v>18779.1951154444</v>
      </c>
      <c r="AL529" s="15" t="n">
        <f aca="false">MAX(0,(AM528))</f>
        <v>18205.6507555055</v>
      </c>
      <c r="AM529" s="15" t="n">
        <f aca="false">(AM528)+AK529-AL529</f>
        <v>18779.1951154444</v>
      </c>
      <c r="AN529" s="15" t="n">
        <f aca="false">SUM(X509:X520)</f>
        <v>0</v>
      </c>
      <c r="AO529" s="15" t="n">
        <f aca="false">SUM(AP509:AP520)</f>
        <v>0</v>
      </c>
      <c r="AP529" s="15" t="n">
        <f aca="false">MAX(0,AN529)*IF(9=Parametri_v3!$C$43,Parametri_v3!$C$45,IF(9=Parametri_v3!$C$44,1-Parametri_v3!$C$45,0))</f>
        <v>0</v>
      </c>
      <c r="AQ529" s="15" t="n">
        <f aca="false">MAX(0,AP529+IF(9=Parametri_v3!$C$43,MAX(0,AN529-AO529),0)-MAX(0,-(AR528)))</f>
        <v>0</v>
      </c>
      <c r="AR529" s="15" t="n">
        <f aca="false">(AR528)+X529-AQ529</f>
        <v>0</v>
      </c>
      <c r="AS529" s="15" t="n">
        <f aca="false">Motore_Operativo!AB529-AT529+AU529</f>
        <v>91649.4297604167</v>
      </c>
      <c r="AT529" s="15" t="n">
        <f aca="false">Motore_Operativo!CH529</f>
        <v>4823.65419791667</v>
      </c>
      <c r="AU529" s="15" t="n">
        <f aca="false">MIN(MAX(0,(AV528)+AT529),Parametri_v3!$C$60/12)</f>
        <v>0</v>
      </c>
      <c r="AV529" s="15" t="n">
        <f aca="false">(AV528)+AT529-AU529</f>
        <v>122584.58778125</v>
      </c>
      <c r="AW529" s="15" t="n">
        <f aca="false">IF(AND(Motore_Operativo!C529=Finanziamenti!$D$6,Finanziamenti!$F$6=1),Finanziamenti!$C$6,0)</f>
        <v>0</v>
      </c>
      <c r="AX529" s="15" t="n">
        <f aca="false">IF(AND(9&lt;&gt;7,9&lt;&gt;9,Finanziamenti!$F$8=1,OR(Parametri_v3!$C$6=0,Finanziamenti!$E$8=1),Motore_Operativo!C529=EDATE(Finanziamenti!$D$8,Ipotesi!K15*12)),Finanziamenti!$C$8*1,0)+IF(AND(9&lt;&gt;7,9&lt;&gt;9,Finanziamenti!$F$9=1,OR(Parametri_v3!$C$6=0,Finanziamenti!$E$9=1),Motore_Operativo!C529=EDATE(Finanziamenti!$D$9,Ipotesi!K15*12)),Finanziamenti!$C$9*Ipotesi!K16,0)</f>
        <v>0</v>
      </c>
      <c r="AY529" s="15" t="n">
        <f aca="false">0</f>
        <v>0</v>
      </c>
      <c r="AZ529" s="15" t="n">
        <f aca="false">Motore_Advisory!AY529*(1-Ipotesi!$C$95)*Ipotesi!$C$96</f>
        <v>0</v>
      </c>
      <c r="BA529" s="15" t="n">
        <f aca="false">MAX(0,MIN(CG529*MIN(1,IF(Motore_Operativo!C529&gt;=EDATE(Finanziamenti!$D$15,Ipotesi!K14*12),Finanziamenti!$C$15,0)+IF(Motore_Operativo!C529&gt;=EDATE(Finanziamenti!$D$16,Ipotesi!K14*12),Finanziamenti!$C$16,0)+IF(Motore_Operativo!C529&gt;=EDATE(Finanziamenti!$D$17,Ipotesi!K14*12),Finanziamenti!$C$17,0)),CA529*Ipotesi!$C$102)-(CC528))</f>
        <v>0</v>
      </c>
      <c r="BB529" s="15" t="n">
        <f aca="false">IF(AND(CF529&gt;0,Motore_Operativo!C529&gt;=IF(CF529=0,0,EDATE(CF529,Parametri_v3!$C$37)),MOD(((D529-YEAR(IF(CF529=0,0,EDATE(CF529,Parametri_v3!$C$37))))*12+E529-MONTH(IF(CF529=0,0,EDATE(CF529,Parametri_v3!$C$37)))),Parametri_v3!$C$38)=0),MIN(MAX(0,(BC528)+BA529-N529),(CC529-CD529)/(Ipotesi!$C$108*12/Parametri_v3!$C$38)),0)</f>
        <v>0</v>
      </c>
      <c r="BC529" s="15" t="n">
        <f aca="false">(BC528)+BA529-N529-BB529</f>
        <v>0</v>
      </c>
      <c r="BD529" s="15" t="n">
        <f aca="false">(BH528)+AC529+AF529-AI529-AS529-K529*(1+Parametri_v3!$C$26)-AL529-AQ529-O529+AW529+AX529+AZ529+BA529-BB529</f>
        <v>-1444237.32543485</v>
      </c>
      <c r="BE529" s="15" t="n">
        <f aca="false">MAX(0,MIN(MAX(0,CH529-(BG528)),Parametri_v3!$C$30-BD529))</f>
        <v>0</v>
      </c>
      <c r="BF529" s="15" t="n">
        <f aca="false">IF(Motore_Operativo!C529&gt;=Parametri_v3!$C$63,(BG528),MIN((BG528),MAX(0,BD529-Parametri_v3!$C$30)))</f>
        <v>0</v>
      </c>
      <c r="BG529" s="15" t="n">
        <f aca="false">(BG528)+BE529-BF529</f>
        <v>0</v>
      </c>
      <c r="BH529" s="15" t="n">
        <f aca="false">BD529+BE529-BF529-AY529</f>
        <v>-1444237.32543485</v>
      </c>
      <c r="BI529" s="15" t="n">
        <f aca="false">MAX(0,Parametri_v3!$C$30-BH529)</f>
        <v>1469237.32543485</v>
      </c>
      <c r="BJ529" s="15" t="n">
        <f aca="false">(BJ528)+K529</f>
        <v>105000</v>
      </c>
      <c r="BK529" s="15" t="n">
        <f aca="false">(BK528)+L529</f>
        <v>56041.6666666667</v>
      </c>
      <c r="BL529" s="15" t="n">
        <f aca="false">BJ529-BK529</f>
        <v>48958.3333333333</v>
      </c>
      <c r="BM529" s="15" t="n">
        <f aca="false">(BM528)+Y529</f>
        <v>-1364708.86855006</v>
      </c>
      <c r="BN529" s="15" t="n">
        <f aca="false">(BN528)+AW529+AX529+AZ529</f>
        <v>165707.016294444</v>
      </c>
      <c r="BO529" s="15" t="n">
        <f aca="false">(BO528)+AY529</f>
        <v>0</v>
      </c>
      <c r="BP529" s="15" t="n">
        <f aca="false">0</f>
        <v>0</v>
      </c>
      <c r="BQ529" s="15" t="n">
        <f aca="false">BN529+BM529-BO529</f>
        <v>-1199001.85225562</v>
      </c>
      <c r="BR529" s="15" t="n">
        <f aca="false">BH529+AD529+BL529+MAX(0,-AM529)+MAX(0,-AR529)+AG529</f>
        <v>-911847.036308495</v>
      </c>
      <c r="BS529" s="15" t="n">
        <f aca="false">AJ529+AV529+MAX(0,AM529)+MAX(0,AR529)+BC529+BG529+BQ529</f>
        <v>-911847.036308493</v>
      </c>
      <c r="BT529" s="15" t="n">
        <f aca="false">BR529-BS529</f>
        <v>0</v>
      </c>
      <c r="BU529" s="15" t="n">
        <f aca="false">BH529-(BD529+BE529-BF529-AY529)</f>
        <v>0</v>
      </c>
      <c r="BV529" s="15" t="n">
        <f aca="false">MIN(Piano_SS!$C$6,(BV528)+IF(AND(Motore_Operativo!C529&gt;=EDATE(Parametri_v3!$C$24,Ipotesi!K14*12),Motore_Operativo!C529&lt;EDATE(Parametri_v3!$C$24,Parametri_v3!$C$25+Ipotesi!K14*12)),MAX(0,(Motore_Operativo!Y529+Motore_Operativo!X529*Parametri_v3!$C$14)*(1-Parametri_v3!$C$32))*Piano_SS!$D$6,0))</f>
        <v>300000</v>
      </c>
      <c r="BW529" s="15" t="n">
        <f aca="false">MIN(Piano_SS!$C$7,(BW528)+IF(AND(Motore_Operativo!C529&gt;=EDATE(Parametri_v3!$C$24,Ipotesi!K14*12),Motore_Operativo!C529&lt;EDATE(Parametri_v3!$C$24,Parametri_v3!$C$25+Ipotesi!K14*12)),MAX(0,(IF(45-(INT((Ipotesi!$C$91)/30))&lt;1,0,INDEX(Motore_Operativo!$BN$485:$BN$544,MAX(1,45-(INT((Ipotesi!$C$91)/30)))))*(1-(MOD((Ipotesi!$C$91),30)/30))+IF(45-(INT((Ipotesi!$C$91)/30))-1&lt;1,0,INDEX(Motore_Operativo!$BN$485:$BN$544,MAX(1,45-(INT((Ipotesi!$C$91)/30))-1)))*(MOD((Ipotesi!$C$91),30)/30)))*Piano_SS!$D$7,0))</f>
        <v>41058.9230070837</v>
      </c>
      <c r="BX529" s="15" t="n">
        <f aca="false">MIN(Piano_SS!$C$8,(BX528)+IF(AND(Motore_Operativo!C529&gt;=EDATE(Parametri_v3!$C$24,Ipotesi!K14*12),Motore_Operativo!C529&lt;EDATE(Parametri_v3!$C$24,Parametri_v3!$C$25+Ipotesi!K14*12)),MAX(0,Motore_Operativo!CE529)*Piano_SS!$D$8,0))</f>
        <v>50000</v>
      </c>
      <c r="BY529" s="15" t="n">
        <f aca="false">MIN(Piano_SS!$C$9,(BY528)+IF(AND(Motore_Operativo!C529&gt;=EDATE(Parametri_v3!$C$24,Ipotesi!K14*12),Motore_Operativo!C529&lt;EDATE(Parametri_v3!$C$24,Parametri_v3!$C$25+Ipotesi!K14*12)),MAX(0,((IF(45-(INT((Ipotesi!$C$91)/30))&lt;1,0,INDEX(Motore_Operativo!$BQ$485:$BQ$544,MAX(1,45-(INT((Ipotesi!$C$91)/30)))))*(1-(MOD((Ipotesi!$C$91),30)/30))+IF(45-(INT((Ipotesi!$C$91)/30))-1&lt;1,0,INDEX(Motore_Operativo!$BQ$485:$BQ$544,MAX(1,45-(INT((Ipotesi!$C$91)/30))-1)))*(MOD((Ipotesi!$C$91),30)/30))+(IF(45-(INT((Ipotesi!$C$91)/30))&lt;1,0,INDEX(Motore_Operativo!$BR$485:$BR$544,MAX(1,45-(INT((Ipotesi!$C$91)/30)))))*(1-(MOD((Ipotesi!$C$91),30)/30))+IF(45-(INT((Ipotesi!$C$91)/30))-1&lt;1,0,INDEX(Motore_Operativo!$BR$485:$BR$544,MAX(1,45-(INT((Ipotesi!$C$91)/30))-1)))*(MOD((Ipotesi!$C$91),30)/30))))*Piano_SS!$D$9,0))</f>
        <v>40000</v>
      </c>
      <c r="BZ529" s="15" t="n">
        <f aca="false">MIN(Piano_SS!$C$10,(BZ528)+IF(AND(Motore_Operativo!C529&gt;=EDATE(Parametri_v3!$C$24,Ipotesi!K14*12),Motore_Operativo!C529&lt;EDATE(Parametri_v3!$C$24,Parametri_v3!$C$25+Ipotesi!K14*12)),MAX(0,(IF(45-(INT((Ipotesi!$C$91)/30))&lt;1,0,INDEX(Motore_Operativo!$BO$485:$BO$544,MAX(1,45-(INT((Ipotesi!$C$91)/30)))))*(1-(MOD((Ipotesi!$C$91),30)/30))+IF(45-(INT((Ipotesi!$C$91)/30))-1&lt;1,0,INDEX(Motore_Operativo!$BO$485:$BO$544,MAX(1,45-(INT((Ipotesi!$C$91)/30))-1)))*(MOD((Ipotesi!$C$91),30)/30)))*Piano_SS!$D$10,0))</f>
        <v>30000</v>
      </c>
      <c r="CA529" s="15" t="n">
        <f aca="false">SUM(BV529:BZ529)</f>
        <v>461058.923007084</v>
      </c>
      <c r="CB529" s="15" t="n">
        <f aca="false">BV529*(1-Piano_SS!$E$6)+BW529*(1-Piano_SS!$E$7)+BX529*(1-Piano_SS!$E$8)+BY529*(1-Piano_SS!$E$9)+BZ529*(1-Piano_SS!$E$10)</f>
        <v>431058.923007084</v>
      </c>
      <c r="CC529" s="15" t="n">
        <f aca="false">(CC528)+BA529</f>
        <v>0</v>
      </c>
      <c r="CD529" s="15" t="n">
        <f aca="false">IF(CA529=0,0,CC529*CB529/CA529*Ipotesi!$C$103*Parametri_v3!$C$64)</f>
        <v>0</v>
      </c>
      <c r="CE529" s="18" t="n">
        <f aca="false">IF(BA529&gt;0,Motore_Operativo!C529,(CE528))</f>
        <v>0</v>
      </c>
      <c r="CF529" s="18" t="n">
        <f aca="false">IF(AND(CC529&gt;0,OR(CC529&gt;=CG529-0.01,Motore_Operativo!C529&gt;=EDATE(MAX(Finanziamenti!$D$15:$D$17),Ipotesi!K14*12))),CE529,0)</f>
        <v>0</v>
      </c>
      <c r="CG529" s="15" t="n">
        <f aca="false">IF(AND(9&lt;&gt;6,9&lt;&gt;9,Finanziamenti!$F$11=1,OR(Parametri_v3!$C$6=0,Finanziamenti!$E$11=1)),MIN(Finanziamenti!$C$11,Piano_SS!$C$12*Ipotesi!$C$102),0)</f>
        <v>0</v>
      </c>
      <c r="CH529" s="15" t="n">
        <f aca="false">IF(AND(AND(9&lt;&gt;8,9&lt;&gt;9,Finanziamenti!$F$10=1,OR(Parametri_v3!$C$6=0,Finanziamenti!$E$10=1)),Motore_Operativo!C529&gt;=Finanziamenti!$D$10,Motore_Operativo!C529&lt;Parametri_v3!$C$63),Finanziamenti!$C$10,0)</f>
        <v>0</v>
      </c>
    </row>
    <row r="530" customFormat="false" ht="18" hidden="false" customHeight="true" outlineLevel="0" collapsed="false">
      <c r="A530" s="68" t="n">
        <f aca="false">9</f>
        <v>9</v>
      </c>
      <c r="B530" s="68" t="n">
        <f aca="false">46</f>
        <v>46</v>
      </c>
      <c r="C530" s="18" t="n">
        <f aca="false">Motore_Operativo!C530</f>
        <v>47757</v>
      </c>
      <c r="D530" s="68" t="n">
        <f aca="false">Motore_Operativo!D530</f>
        <v>2030</v>
      </c>
      <c r="E530" s="68" t="n">
        <f aca="false">Motore_Operativo!E530</f>
        <v>10</v>
      </c>
      <c r="F530" s="15" t="n">
        <f aca="false">Motore_Operativo!AQ530+Motore_Operativo!BF530</f>
        <v>134978.328769254</v>
      </c>
      <c r="G530" s="15" t="n">
        <f aca="false">Motore_Operativo!BH530</f>
        <v>9024.16666666667</v>
      </c>
      <c r="H530" s="15" t="n">
        <f aca="false">Motore_Operativo!BI530</f>
        <v>144002.495435921</v>
      </c>
      <c r="I530" s="15" t="n">
        <f aca="false">Motore_Operativo!CA530</f>
        <v>158502.441652696</v>
      </c>
      <c r="J530" s="15" t="n">
        <f aca="false">Motore_Operativo!CC530</f>
        <v>-14499.9462167748</v>
      </c>
      <c r="K530" s="15" t="n">
        <f aca="false">Motore_Operativo!CE530</f>
        <v>3333.33333333333</v>
      </c>
      <c r="L530" s="15" t="n">
        <f aca="false">SUM(INDEX($K$485:$K$544,MAX(1,46-Parametri_v3!$C$59+1)):K530)/Parametri_v3!$C$59</f>
        <v>2546.2962962963</v>
      </c>
      <c r="M530" s="15" t="n">
        <f aca="false">J530-L530</f>
        <v>-17046.2425130711</v>
      </c>
      <c r="N530" s="15" t="n">
        <f aca="false">CD530-(CD529)</f>
        <v>0</v>
      </c>
      <c r="O530" s="15" t="n">
        <f aca="false">(BG529)*Ipotesi!$C$110/12+CH530*Parametri_v3!$C$39/12</f>
        <v>0</v>
      </c>
      <c r="P530" s="15" t="n">
        <f aca="false">M530+N530-O530</f>
        <v>-17046.2425130711</v>
      </c>
      <c r="Q530" s="15" t="n">
        <f aca="false">SUM(P521:P530)+Parametri_v3!$C$54*10/12</f>
        <v>-280973.350781982</v>
      </c>
      <c r="R530" s="15" t="n">
        <f aca="false">Z520</f>
        <v>1100781.76028115</v>
      </c>
      <c r="S530" s="15" t="n">
        <f aca="false">AA520</f>
        <v>0</v>
      </c>
      <c r="T530" s="15" t="n">
        <f aca="false">MIN(R530,MAX(0,Q530))</f>
        <v>0</v>
      </c>
      <c r="U530" s="15" t="n">
        <f aca="false">MIN(S530,MAX(0,Q530-T530)*Parametri_v3!$C$42)</f>
        <v>0</v>
      </c>
      <c r="V530" s="15" t="n">
        <f aca="false">MAX(0,Q530-T530-U530)*Ipotesi!$C$92</f>
        <v>0</v>
      </c>
      <c r="W530" s="15" t="n">
        <f aca="false">MAX(0,SUM(M521:M530)+Parametri_v3!$C$55*10/12)*Ipotesi!$C$93</f>
        <v>0</v>
      </c>
      <c r="X530" s="15" t="n">
        <f aca="false">V530+W530-(V529+W529)</f>
        <v>0</v>
      </c>
      <c r="Y530" s="15" t="n">
        <f aca="false">P530-X530</f>
        <v>-17046.2425130711</v>
      </c>
      <c r="Z530" s="15" t="n">
        <f aca="false">R530-T530+IF(AND(Parametri_v3!$C$40=1,D530-YEAR(Parametri_v3!$C$50)&lt;Parametri_v3!$C$41),MAX(0,-Q530),0)</f>
        <v>1100781.76028115</v>
      </c>
      <c r="AA530" s="15" t="n">
        <f aca="false">S530-U530+IF(AND(Parametri_v3!$C$40=1,D530-YEAR(Parametri_v3!$C$50)&lt;Parametri_v3!$C$41),0,MAX(0,-Q530))</f>
        <v>280973.350781982</v>
      </c>
      <c r="AB530" s="15" t="n">
        <f aca="false">F530*(1+Parametri_v3!$C$26)</f>
        <v>164673.56109849</v>
      </c>
      <c r="AC530" s="15" t="n">
        <f aca="false">(IF(46-(INT((Motore_Operativo!L530)/30))&lt;1,0,INDEX(Motore_Startup!$AB$485:$AB$544,MAX(1,46-(INT((Motore_Operativo!L530)/30)))))*(1-(MOD((Motore_Operativo!L530),30)/30))+IF(46-(INT((Motore_Operativo!L530)/30))-1&lt;1,0,INDEX(Motore_Startup!$AB$485:$AB$544,MAX(1,46-(INT((Motore_Operativo!L530)/30))-1)))*(MOD((Motore_Operativo!L530),30)/30))</f>
        <v>153842.757781682</v>
      </c>
      <c r="AD530" s="15" t="n">
        <f aca="false">(AD529)+AB530-AC530</f>
        <v>483253.275776502</v>
      </c>
      <c r="AE530" s="15" t="n">
        <f aca="false">Motore_Operativo!BH530*(1+Parametri_v3!$C$26)</f>
        <v>11009.4833333333</v>
      </c>
      <c r="AF530" s="15" t="n">
        <f aca="false">(IF(46-(INT((Parametri_v3!$C$29)/30))&lt;1,0,INDEX(Motore_Operativo!$BH$485:$BH$544,MAX(1,46-(INT((Parametri_v3!$C$29)/30)))))*(1-(MOD((Parametri_v3!$C$29),30)/30))+IF(46-(INT((Parametri_v3!$C$29)/30))-1&lt;1,0,INDEX(Motore_Operativo!$BH$485:$BH$544,MAX(1,46-(INT((Parametri_v3!$C$29)/30))-1)))*(MOD((Parametri_v3!$C$29),30)/30))*(1+Parametri_v3!$C$26)</f>
        <v>11009.4833333333</v>
      </c>
      <c r="AG530" s="15" t="n">
        <f aca="false">(AG529)+AE530-AF530</f>
        <v>11009.4833333333</v>
      </c>
      <c r="AH530" s="15" t="n">
        <f aca="false">(Motore_Operativo!CJ530)*(1+Parametri_v3!$C$27*Parametri_v3!$C$26)</f>
        <v>73628.847583208</v>
      </c>
      <c r="AI530" s="15" t="n">
        <f aca="false">(IF(46-(INT((Ipotesi!$C$91)/30))&lt;1,0,INDEX(Motore_Startup!$AH$485:$AH$544,MAX(1,46-(INT((Ipotesi!$C$91)/30)))))*(1-(MOD((Ipotesi!$C$91),30)/30))+IF(46-(INT((Ipotesi!$C$91)/30))-1&lt;1,0,INDEX(Motore_Startup!$AH$485:$AH$544,MAX(1,46-(INT((Ipotesi!$C$91)/30))-1)))*(MOD((Ipotesi!$C$91),30)/30))</f>
        <v>72649.6399342168</v>
      </c>
      <c r="AJ530" s="15" t="n">
        <f aca="false">(AJ529)+AH530-AI530</f>
        <v>146770.240699422</v>
      </c>
      <c r="AK530" s="15" t="n">
        <f aca="false">(F530+ Motore_Operativo!BH530-(Motore_Operativo!CJ530)*Parametri_v3!$C$27-Motore_Operativo!CE530)*Parametri_v3!$C$26</f>
        <v>19347.7257737235</v>
      </c>
      <c r="AL530" s="15" t="n">
        <f aca="false">MAX(0,(AM529))</f>
        <v>18779.1951154444</v>
      </c>
      <c r="AM530" s="15" t="n">
        <f aca="false">(AM529)+AK530-AL530</f>
        <v>19347.7257737235</v>
      </c>
      <c r="AN530" s="15" t="n">
        <f aca="false">SUM(X509:X520)</f>
        <v>0</v>
      </c>
      <c r="AO530" s="15" t="n">
        <f aca="false">SUM(AP509:AP520)</f>
        <v>0</v>
      </c>
      <c r="AP530" s="15" t="n">
        <f aca="false">MAX(0,AN530)*IF(10=Parametri_v3!$C$43,Parametri_v3!$C$45,IF(10=Parametri_v3!$C$44,1-Parametri_v3!$C$45,0))</f>
        <v>0</v>
      </c>
      <c r="AQ530" s="15" t="n">
        <f aca="false">MAX(0,AP530+IF(10=Parametri_v3!$C$43,MAX(0,AN530-AO530),0)-MAX(0,-(AR529)))</f>
        <v>0</v>
      </c>
      <c r="AR530" s="15" t="n">
        <f aca="false">(AR529)+X530-AQ530</f>
        <v>0</v>
      </c>
      <c r="AS530" s="15" t="n">
        <f aca="false">Motore_Operativo!AB530-AT530+AU530</f>
        <v>91649.4297604167</v>
      </c>
      <c r="AT530" s="15" t="n">
        <f aca="false">Motore_Operativo!CH530</f>
        <v>4823.65419791667</v>
      </c>
      <c r="AU530" s="15" t="n">
        <f aca="false">MIN(MAX(0,(AV529)+AT530),Parametri_v3!$C$60/12)</f>
        <v>0</v>
      </c>
      <c r="AV530" s="15" t="n">
        <f aca="false">(AV529)+AT530-AU530</f>
        <v>127408.241979167</v>
      </c>
      <c r="AW530" s="15" t="n">
        <f aca="false">IF(AND(Motore_Operativo!C530=Finanziamenti!$D$6,Finanziamenti!$F$6=1),Finanziamenti!$C$6,0)</f>
        <v>0</v>
      </c>
      <c r="AX530" s="15" t="n">
        <f aca="false">IF(AND(9&lt;&gt;7,9&lt;&gt;9,Finanziamenti!$F$8=1,OR(Parametri_v3!$C$6=0,Finanziamenti!$E$8=1),Motore_Operativo!C530=EDATE(Finanziamenti!$D$8,Ipotesi!K15*12)),Finanziamenti!$C$8*1,0)+IF(AND(9&lt;&gt;7,9&lt;&gt;9,Finanziamenti!$F$9=1,OR(Parametri_v3!$C$6=0,Finanziamenti!$E$9=1),Motore_Operativo!C530=EDATE(Finanziamenti!$D$9,Ipotesi!K15*12)),Finanziamenti!$C$9*Ipotesi!K16,0)</f>
        <v>0</v>
      </c>
      <c r="AY530" s="15" t="n">
        <f aca="false">0</f>
        <v>0</v>
      </c>
      <c r="AZ530" s="15" t="n">
        <f aca="false">Motore_Advisory!AY530*(1-Ipotesi!$C$95)*Ipotesi!$C$96</f>
        <v>0</v>
      </c>
      <c r="BA530" s="15" t="n">
        <f aca="false">MAX(0,MIN(CG530*MIN(1,IF(Motore_Operativo!C530&gt;=EDATE(Finanziamenti!$D$15,Ipotesi!K14*12),Finanziamenti!$C$15,0)+IF(Motore_Operativo!C530&gt;=EDATE(Finanziamenti!$D$16,Ipotesi!K14*12),Finanziamenti!$C$16,0)+IF(Motore_Operativo!C530&gt;=EDATE(Finanziamenti!$D$17,Ipotesi!K14*12),Finanziamenti!$C$17,0)),CA530*Ipotesi!$C$102)-(CC529))</f>
        <v>0</v>
      </c>
      <c r="BB530" s="15" t="n">
        <f aca="false">IF(AND(CF530&gt;0,Motore_Operativo!C530&gt;=IF(CF530=0,0,EDATE(CF530,Parametri_v3!$C$37)),MOD(((D530-YEAR(IF(CF530=0,0,EDATE(CF530,Parametri_v3!$C$37))))*12+E530-MONTH(IF(CF530=0,0,EDATE(CF530,Parametri_v3!$C$37)))),Parametri_v3!$C$38)=0),MIN(MAX(0,(BC529)+BA530-N530),(CC530-CD530)/(Ipotesi!$C$108*12/Parametri_v3!$C$38)),0)</f>
        <v>0</v>
      </c>
      <c r="BC530" s="15" t="n">
        <f aca="false">(BC529)+BA530-N530-BB530</f>
        <v>0</v>
      </c>
      <c r="BD530" s="15" t="n">
        <f aca="false">(BH529)+AC530+AF530-AI530-AS530-K530*(1+Parametri_v3!$C$26)-AL530-AQ530-O530+AW530+AX530+AZ530+BA530-BB530</f>
        <v>-1466530.01579658</v>
      </c>
      <c r="BE530" s="15" t="n">
        <f aca="false">MAX(0,MIN(MAX(0,CH530-(BG529)),Parametri_v3!$C$30-BD530))</f>
        <v>0</v>
      </c>
      <c r="BF530" s="15" t="n">
        <f aca="false">IF(Motore_Operativo!C530&gt;=Parametri_v3!$C$63,(BG529),MIN((BG529),MAX(0,BD530-Parametri_v3!$C$30)))</f>
        <v>0</v>
      </c>
      <c r="BG530" s="15" t="n">
        <f aca="false">(BG529)+BE530-BF530</f>
        <v>0</v>
      </c>
      <c r="BH530" s="15" t="n">
        <f aca="false">BD530+BE530-BF530-AY530</f>
        <v>-1466530.01579658</v>
      </c>
      <c r="BI530" s="15" t="n">
        <f aca="false">MAX(0,Parametri_v3!$C$30-BH530)</f>
        <v>1491530.01579658</v>
      </c>
      <c r="BJ530" s="15" t="n">
        <f aca="false">(BJ529)+K530</f>
        <v>108333.333333333</v>
      </c>
      <c r="BK530" s="15" t="n">
        <f aca="false">(BK529)+L530</f>
        <v>58587.962962963</v>
      </c>
      <c r="BL530" s="15" t="n">
        <f aca="false">BJ530-BK530</f>
        <v>49745.3703703703</v>
      </c>
      <c r="BM530" s="15" t="n">
        <f aca="false">(BM529)+Y530</f>
        <v>-1381755.11106313</v>
      </c>
      <c r="BN530" s="15" t="n">
        <f aca="false">(BN529)+AW530+AX530+AZ530</f>
        <v>165707.016294444</v>
      </c>
      <c r="BO530" s="15" t="n">
        <f aca="false">(BO529)+AY530</f>
        <v>0</v>
      </c>
      <c r="BP530" s="15" t="n">
        <f aca="false">0</f>
        <v>0</v>
      </c>
      <c r="BQ530" s="15" t="n">
        <f aca="false">BN530+BM530-BO530</f>
        <v>-1216048.09476869</v>
      </c>
      <c r="BR530" s="15" t="n">
        <f aca="false">BH530+AD530+BL530+MAX(0,-AM530)+MAX(0,-AR530)+AG530</f>
        <v>-922521.886316379</v>
      </c>
      <c r="BS530" s="15" t="n">
        <f aca="false">AJ530+AV530+MAX(0,AM530)+MAX(0,AR530)+BC530+BG530+BQ530</f>
        <v>-922521.886316377</v>
      </c>
      <c r="BT530" s="15" t="n">
        <f aca="false">BR530-BS530</f>
        <v>0</v>
      </c>
      <c r="BU530" s="15" t="n">
        <f aca="false">BH530-(BD530+BE530-BF530-AY530)</f>
        <v>0</v>
      </c>
      <c r="BV530" s="15" t="n">
        <f aca="false">MIN(Piano_SS!$C$6,(BV529)+IF(AND(Motore_Operativo!C530&gt;=EDATE(Parametri_v3!$C$24,Ipotesi!K14*12),Motore_Operativo!C530&lt;EDATE(Parametri_v3!$C$24,Parametri_v3!$C$25+Ipotesi!K14*12)),MAX(0,(Motore_Operativo!Y530+Motore_Operativo!X530*Parametri_v3!$C$14)*(1-Parametri_v3!$C$32))*Piano_SS!$D$6,0))</f>
        <v>300000</v>
      </c>
      <c r="BW530" s="15" t="n">
        <f aca="false">MIN(Piano_SS!$C$7,(BW529)+IF(AND(Motore_Operativo!C530&gt;=EDATE(Parametri_v3!$C$24,Ipotesi!K14*12),Motore_Operativo!C530&lt;EDATE(Parametri_v3!$C$24,Parametri_v3!$C$25+Ipotesi!K14*12)),MAX(0,(IF(46-(INT((Ipotesi!$C$91)/30))&lt;1,0,INDEX(Motore_Operativo!$BN$485:$BN$544,MAX(1,46-(INT((Ipotesi!$C$91)/30)))))*(1-(MOD((Ipotesi!$C$91),30)/30))+IF(46-(INT((Ipotesi!$C$91)/30))-1&lt;1,0,INDEX(Motore_Operativo!$BN$485:$BN$544,MAX(1,46-(INT((Ipotesi!$C$91)/30))-1)))*(MOD((Ipotesi!$C$91),30)/30)))*Piano_SS!$D$7,0))</f>
        <v>41058.9230070837</v>
      </c>
      <c r="BX530" s="15" t="n">
        <f aca="false">MIN(Piano_SS!$C$8,(BX529)+IF(AND(Motore_Operativo!C530&gt;=EDATE(Parametri_v3!$C$24,Ipotesi!K14*12),Motore_Operativo!C530&lt;EDATE(Parametri_v3!$C$24,Parametri_v3!$C$25+Ipotesi!K14*12)),MAX(0,Motore_Operativo!CE530)*Piano_SS!$D$8,0))</f>
        <v>50000</v>
      </c>
      <c r="BY530" s="15" t="n">
        <f aca="false">MIN(Piano_SS!$C$9,(BY529)+IF(AND(Motore_Operativo!C530&gt;=EDATE(Parametri_v3!$C$24,Ipotesi!K14*12),Motore_Operativo!C530&lt;EDATE(Parametri_v3!$C$24,Parametri_v3!$C$25+Ipotesi!K14*12)),MAX(0,((IF(46-(INT((Ipotesi!$C$91)/30))&lt;1,0,INDEX(Motore_Operativo!$BQ$485:$BQ$544,MAX(1,46-(INT((Ipotesi!$C$91)/30)))))*(1-(MOD((Ipotesi!$C$91),30)/30))+IF(46-(INT((Ipotesi!$C$91)/30))-1&lt;1,0,INDEX(Motore_Operativo!$BQ$485:$BQ$544,MAX(1,46-(INT((Ipotesi!$C$91)/30))-1)))*(MOD((Ipotesi!$C$91),30)/30))+(IF(46-(INT((Ipotesi!$C$91)/30))&lt;1,0,INDEX(Motore_Operativo!$BR$485:$BR$544,MAX(1,46-(INT((Ipotesi!$C$91)/30)))))*(1-(MOD((Ipotesi!$C$91),30)/30))+IF(46-(INT((Ipotesi!$C$91)/30))-1&lt;1,0,INDEX(Motore_Operativo!$BR$485:$BR$544,MAX(1,46-(INT((Ipotesi!$C$91)/30))-1)))*(MOD((Ipotesi!$C$91),30)/30))))*Piano_SS!$D$9,0))</f>
        <v>40000</v>
      </c>
      <c r="BZ530" s="15" t="n">
        <f aca="false">MIN(Piano_SS!$C$10,(BZ529)+IF(AND(Motore_Operativo!C530&gt;=EDATE(Parametri_v3!$C$24,Ipotesi!K14*12),Motore_Operativo!C530&lt;EDATE(Parametri_v3!$C$24,Parametri_v3!$C$25+Ipotesi!K14*12)),MAX(0,(IF(46-(INT((Ipotesi!$C$91)/30))&lt;1,0,INDEX(Motore_Operativo!$BO$485:$BO$544,MAX(1,46-(INT((Ipotesi!$C$91)/30)))))*(1-(MOD((Ipotesi!$C$91),30)/30))+IF(46-(INT((Ipotesi!$C$91)/30))-1&lt;1,0,INDEX(Motore_Operativo!$BO$485:$BO$544,MAX(1,46-(INT((Ipotesi!$C$91)/30))-1)))*(MOD((Ipotesi!$C$91),30)/30)))*Piano_SS!$D$10,0))</f>
        <v>30000</v>
      </c>
      <c r="CA530" s="15" t="n">
        <f aca="false">SUM(BV530:BZ530)</f>
        <v>461058.923007084</v>
      </c>
      <c r="CB530" s="15" t="n">
        <f aca="false">BV530*(1-Piano_SS!$E$6)+BW530*(1-Piano_SS!$E$7)+BX530*(1-Piano_SS!$E$8)+BY530*(1-Piano_SS!$E$9)+BZ530*(1-Piano_SS!$E$10)</f>
        <v>431058.923007084</v>
      </c>
      <c r="CC530" s="15" t="n">
        <f aca="false">(CC529)+BA530</f>
        <v>0</v>
      </c>
      <c r="CD530" s="15" t="n">
        <f aca="false">IF(CA530=0,0,CC530*CB530/CA530*Ipotesi!$C$103*Parametri_v3!$C$64)</f>
        <v>0</v>
      </c>
      <c r="CE530" s="18" t="n">
        <f aca="false">IF(BA530&gt;0,Motore_Operativo!C530,(CE529))</f>
        <v>0</v>
      </c>
      <c r="CF530" s="18" t="n">
        <f aca="false">IF(AND(CC530&gt;0,OR(CC530&gt;=CG530-0.01,Motore_Operativo!C530&gt;=EDATE(MAX(Finanziamenti!$D$15:$D$17),Ipotesi!K14*12))),CE530,0)</f>
        <v>0</v>
      </c>
      <c r="CG530" s="15" t="n">
        <f aca="false">IF(AND(9&lt;&gt;6,9&lt;&gt;9,Finanziamenti!$F$11=1,OR(Parametri_v3!$C$6=0,Finanziamenti!$E$11=1)),MIN(Finanziamenti!$C$11,Piano_SS!$C$12*Ipotesi!$C$102),0)</f>
        <v>0</v>
      </c>
      <c r="CH530" s="15" t="n">
        <f aca="false">IF(AND(AND(9&lt;&gt;8,9&lt;&gt;9,Finanziamenti!$F$10=1,OR(Parametri_v3!$C$6=0,Finanziamenti!$E$10=1)),Motore_Operativo!C530&gt;=Finanziamenti!$D$10,Motore_Operativo!C530&lt;Parametri_v3!$C$63),Finanziamenti!$C$10,0)</f>
        <v>0</v>
      </c>
    </row>
    <row r="531" customFormat="false" ht="18" hidden="false" customHeight="true" outlineLevel="0" collapsed="false">
      <c r="A531" s="68" t="n">
        <f aca="false">9</f>
        <v>9</v>
      </c>
      <c r="B531" s="68" t="n">
        <f aca="false">47</f>
        <v>47</v>
      </c>
      <c r="C531" s="18" t="n">
        <f aca="false">Motore_Operativo!C531</f>
        <v>47788</v>
      </c>
      <c r="D531" s="68" t="n">
        <f aca="false">Motore_Operativo!D531</f>
        <v>2030</v>
      </c>
      <c r="E531" s="68" t="n">
        <f aca="false">Motore_Operativo!E531</f>
        <v>11</v>
      </c>
      <c r="F531" s="15" t="n">
        <f aca="false">Motore_Operativo!AQ531+Motore_Operativo!BF531</f>
        <v>137885.979086294</v>
      </c>
      <c r="G531" s="15" t="n">
        <f aca="false">Motore_Operativo!BH531</f>
        <v>9024.16666666667</v>
      </c>
      <c r="H531" s="15" t="n">
        <f aca="false">Motore_Operativo!BI531</f>
        <v>146910.14575296</v>
      </c>
      <c r="I531" s="15" t="n">
        <f aca="false">Motore_Operativo!CA531</f>
        <v>158909.512697081</v>
      </c>
      <c r="J531" s="15" t="n">
        <f aca="false">Motore_Operativo!CC531</f>
        <v>-11999.3669441208</v>
      </c>
      <c r="K531" s="15" t="n">
        <f aca="false">Motore_Operativo!CE531</f>
        <v>3333.33333333333</v>
      </c>
      <c r="L531" s="15" t="n">
        <f aca="false">SUM(INDEX($K$485:$K$544,MAX(1,47-Parametri_v3!$C$59+1)):K531)/Parametri_v3!$C$59</f>
        <v>2592.59259259259</v>
      </c>
      <c r="M531" s="15" t="n">
        <f aca="false">J531-L531</f>
        <v>-14591.9595367134</v>
      </c>
      <c r="N531" s="15" t="n">
        <f aca="false">CD531-(CD530)</f>
        <v>0</v>
      </c>
      <c r="O531" s="15" t="n">
        <f aca="false">(BG530)*Ipotesi!$C$110/12+CH531*Parametri_v3!$C$39/12</f>
        <v>0</v>
      </c>
      <c r="P531" s="15" t="n">
        <f aca="false">M531+N531-O531</f>
        <v>-14591.9595367134</v>
      </c>
      <c r="Q531" s="15" t="n">
        <f aca="false">SUM(P521:P531)+Parametri_v3!$C$54*11/12</f>
        <v>-295565.310318696</v>
      </c>
      <c r="R531" s="15" t="n">
        <f aca="false">Z520</f>
        <v>1100781.76028115</v>
      </c>
      <c r="S531" s="15" t="n">
        <f aca="false">AA520</f>
        <v>0</v>
      </c>
      <c r="T531" s="15" t="n">
        <f aca="false">MIN(R531,MAX(0,Q531))</f>
        <v>0</v>
      </c>
      <c r="U531" s="15" t="n">
        <f aca="false">MIN(S531,MAX(0,Q531-T531)*Parametri_v3!$C$42)</f>
        <v>0</v>
      </c>
      <c r="V531" s="15" t="n">
        <f aca="false">MAX(0,Q531-T531-U531)*Ipotesi!$C$92</f>
        <v>0</v>
      </c>
      <c r="W531" s="15" t="n">
        <f aca="false">MAX(0,SUM(M521:M531)+Parametri_v3!$C$55*11/12)*Ipotesi!$C$93</f>
        <v>0</v>
      </c>
      <c r="X531" s="15" t="n">
        <f aca="false">V531+W531-(V530+W530)</f>
        <v>0</v>
      </c>
      <c r="Y531" s="15" t="n">
        <f aca="false">P531-X531</f>
        <v>-14591.9595367134</v>
      </c>
      <c r="Z531" s="15" t="n">
        <f aca="false">R531-T531+IF(AND(Parametri_v3!$C$40=1,D531-YEAR(Parametri_v3!$C$50)&lt;Parametri_v3!$C$41),MAX(0,-Q531),0)</f>
        <v>1100781.76028115</v>
      </c>
      <c r="AA531" s="15" t="n">
        <f aca="false">S531-U531+IF(AND(Parametri_v3!$C$40=1,D531-YEAR(Parametri_v3!$C$50)&lt;Parametri_v3!$C$41),0,MAX(0,-Q531))</f>
        <v>295565.310318696</v>
      </c>
      <c r="AB531" s="15" t="n">
        <f aca="false">F531*(1+Parametri_v3!$C$26)</f>
        <v>168220.894485278</v>
      </c>
      <c r="AC531" s="15" t="n">
        <f aca="false">(IF(47-(INT((Motore_Operativo!L531)/30))&lt;1,0,INDEX(Motore_Startup!$AB$485:$AB$544,MAX(1,47-(INT((Motore_Operativo!L531)/30)))))*(1-(MOD((Motore_Operativo!L531),30)/30))+IF(47-(INT((Motore_Operativo!L531)/30))-1&lt;1,0,INDEX(Motore_Startup!$AB$485:$AB$544,MAX(1,47-(INT((Motore_Operativo!L531)/30))-1)))*(MOD((Motore_Operativo!L531),30)/30))</f>
        <v>157484.769837392</v>
      </c>
      <c r="AD531" s="15" t="n">
        <f aca="false">(AD530)+AB531-AC531</f>
        <v>493989.400424388</v>
      </c>
      <c r="AE531" s="15" t="n">
        <f aca="false">Motore_Operativo!BH531*(1+Parametri_v3!$C$26)</f>
        <v>11009.4833333333</v>
      </c>
      <c r="AF531" s="15" t="n">
        <f aca="false">(IF(47-(INT((Parametri_v3!$C$29)/30))&lt;1,0,INDEX(Motore_Operativo!$BH$485:$BH$544,MAX(1,47-(INT((Parametri_v3!$C$29)/30)))))*(1-(MOD((Parametri_v3!$C$29),30)/30))+IF(47-(INT((Parametri_v3!$C$29)/30))-1&lt;1,0,INDEX(Motore_Operativo!$BH$485:$BH$544,MAX(1,47-(INT((Parametri_v3!$C$29)/30))-1)))*(MOD((Parametri_v3!$C$29),30)/30))*(1+Parametri_v3!$C$26)</f>
        <v>11009.4833333333</v>
      </c>
      <c r="AG531" s="15" t="n">
        <f aca="false">(AG530)+AE531-AF531</f>
        <v>11009.4833333333</v>
      </c>
      <c r="AH531" s="15" t="n">
        <f aca="false">(Motore_Operativo!CJ531)*(1+Parametri_v3!$C$27*Parametri_v3!$C$26)</f>
        <v>74112.0409128937</v>
      </c>
      <c r="AI531" s="15" t="n">
        <f aca="false">(IF(47-(INT((Ipotesi!$C$91)/30))&lt;1,0,INDEX(Motore_Startup!$AH$485:$AH$544,MAX(1,47-(INT((Ipotesi!$C$91)/30)))))*(1-(MOD((Ipotesi!$C$91),30)/30))+IF(47-(INT((Ipotesi!$C$91)/30))-1&lt;1,0,INDEX(Motore_Startup!$AH$485:$AH$544,MAX(1,47-(INT((Ipotesi!$C$91)/30))-1)))*(MOD((Ipotesi!$C$91),30)/30))</f>
        <v>73141.3931162138</v>
      </c>
      <c r="AJ531" s="15" t="n">
        <f aca="false">(AJ530)+AH531-AI531</f>
        <v>147740.888496102</v>
      </c>
      <c r="AK531" s="15" t="n">
        <f aca="false">(F531+ Motore_Operativo!BH531-(Motore_Operativo!CJ531)*Parametri_v3!$C$27-Motore_Operativo!CE531)*Parametri_v3!$C$26</f>
        <v>19911.2865581721</v>
      </c>
      <c r="AL531" s="15" t="n">
        <f aca="false">MAX(0,(AM530))</f>
        <v>19347.7257737235</v>
      </c>
      <c r="AM531" s="15" t="n">
        <f aca="false">(AM530)+AK531-AL531</f>
        <v>19911.2865581721</v>
      </c>
      <c r="AN531" s="15" t="n">
        <f aca="false">SUM(X509:X520)</f>
        <v>0</v>
      </c>
      <c r="AO531" s="15" t="n">
        <f aca="false">SUM(AP509:AP520)</f>
        <v>0</v>
      </c>
      <c r="AP531" s="15" t="n">
        <f aca="false">MAX(0,AN531)*IF(11=Parametri_v3!$C$43,Parametri_v3!$C$45,IF(11=Parametri_v3!$C$44,1-Parametri_v3!$C$45,0))</f>
        <v>0</v>
      </c>
      <c r="AQ531" s="15" t="n">
        <f aca="false">MAX(0,AP531+IF(11=Parametri_v3!$C$43,MAX(0,AN531-AO531),0)-MAX(0,-(AR530)))</f>
        <v>0</v>
      </c>
      <c r="AR531" s="15" t="n">
        <f aca="false">(AR530)+X531-AQ531</f>
        <v>0</v>
      </c>
      <c r="AS531" s="15" t="n">
        <f aca="false">Motore_Operativo!AB531-AT531+AU531</f>
        <v>91649.4297604167</v>
      </c>
      <c r="AT531" s="15" t="n">
        <f aca="false">Motore_Operativo!CH531</f>
        <v>4823.65419791667</v>
      </c>
      <c r="AU531" s="15" t="n">
        <f aca="false">MIN(MAX(0,(AV530)+AT531),Parametri_v3!$C$60/12)</f>
        <v>0</v>
      </c>
      <c r="AV531" s="15" t="n">
        <f aca="false">(AV530)+AT531-AU531</f>
        <v>132231.896177083</v>
      </c>
      <c r="AW531" s="15" t="n">
        <f aca="false">IF(AND(Motore_Operativo!C531=Finanziamenti!$D$6,Finanziamenti!$F$6=1),Finanziamenti!$C$6,0)</f>
        <v>0</v>
      </c>
      <c r="AX531" s="15" t="n">
        <f aca="false">IF(AND(9&lt;&gt;7,9&lt;&gt;9,Finanziamenti!$F$8=1,OR(Parametri_v3!$C$6=0,Finanziamenti!$E$8=1),Motore_Operativo!C531=EDATE(Finanziamenti!$D$8,Ipotesi!K15*12)),Finanziamenti!$C$8*1,0)+IF(AND(9&lt;&gt;7,9&lt;&gt;9,Finanziamenti!$F$9=1,OR(Parametri_v3!$C$6=0,Finanziamenti!$E$9=1),Motore_Operativo!C531=EDATE(Finanziamenti!$D$9,Ipotesi!K15*12)),Finanziamenti!$C$9*Ipotesi!K16,0)</f>
        <v>0</v>
      </c>
      <c r="AY531" s="15" t="n">
        <f aca="false">0</f>
        <v>0</v>
      </c>
      <c r="AZ531" s="15" t="n">
        <f aca="false">Motore_Advisory!AY531*(1-Ipotesi!$C$95)*Ipotesi!$C$96</f>
        <v>0</v>
      </c>
      <c r="BA531" s="15" t="n">
        <f aca="false">MAX(0,MIN(CG531*MIN(1,IF(Motore_Operativo!C531&gt;=EDATE(Finanziamenti!$D$15,Ipotesi!K14*12),Finanziamenti!$C$15,0)+IF(Motore_Operativo!C531&gt;=EDATE(Finanziamenti!$D$16,Ipotesi!K14*12),Finanziamenti!$C$16,0)+IF(Motore_Operativo!C531&gt;=EDATE(Finanziamenti!$D$17,Ipotesi!K14*12),Finanziamenti!$C$17,0)),CA531*Ipotesi!$C$102)-(CC530))</f>
        <v>0</v>
      </c>
      <c r="BB531" s="15" t="n">
        <f aca="false">IF(AND(CF531&gt;0,Motore_Operativo!C531&gt;=IF(CF531=0,0,EDATE(CF531,Parametri_v3!$C$37)),MOD(((D531-YEAR(IF(CF531=0,0,EDATE(CF531,Parametri_v3!$C$37))))*12+E531-MONTH(IF(CF531=0,0,EDATE(CF531,Parametri_v3!$C$37)))),Parametri_v3!$C$38)=0),MIN(MAX(0,(BC530)+BA531-N531),(CC531-CD531)/(Ipotesi!$C$108*12/Parametri_v3!$C$38)),0)</f>
        <v>0</v>
      </c>
      <c r="BC531" s="15" t="n">
        <f aca="false">(BC530)+BA531-N531-BB531</f>
        <v>0</v>
      </c>
      <c r="BD531" s="15" t="n">
        <f aca="false">(BH530)+AC531+AF531-AI531-AS531-K531*(1+Parametri_v3!$C$26)-AL531-AQ531-O531+AW531+AX531+AZ531+BA531-BB531</f>
        <v>-1486240.97794288</v>
      </c>
      <c r="BE531" s="15" t="n">
        <f aca="false">MAX(0,MIN(MAX(0,CH531-(BG530)),Parametri_v3!$C$30-BD531))</f>
        <v>0</v>
      </c>
      <c r="BF531" s="15" t="n">
        <f aca="false">IF(Motore_Operativo!C531&gt;=Parametri_v3!$C$63,(BG530),MIN((BG530),MAX(0,BD531-Parametri_v3!$C$30)))</f>
        <v>0</v>
      </c>
      <c r="BG531" s="15" t="n">
        <f aca="false">(BG530)+BE531-BF531</f>
        <v>0</v>
      </c>
      <c r="BH531" s="15" t="n">
        <f aca="false">BD531+BE531-BF531-AY531</f>
        <v>-1486240.97794288</v>
      </c>
      <c r="BI531" s="15" t="n">
        <f aca="false">MAX(0,Parametri_v3!$C$30-BH531)</f>
        <v>1511240.97794288</v>
      </c>
      <c r="BJ531" s="15" t="n">
        <f aca="false">(BJ530)+K531</f>
        <v>111666.666666667</v>
      </c>
      <c r="BK531" s="15" t="n">
        <f aca="false">(BK530)+L531</f>
        <v>61180.5555555556</v>
      </c>
      <c r="BL531" s="15" t="n">
        <f aca="false">BJ531-BK531</f>
        <v>50486.1111111111</v>
      </c>
      <c r="BM531" s="15" t="n">
        <f aca="false">(BM530)+Y531</f>
        <v>-1396347.07059985</v>
      </c>
      <c r="BN531" s="15" t="n">
        <f aca="false">(BN530)+AW531+AX531+AZ531</f>
        <v>165707.016294444</v>
      </c>
      <c r="BO531" s="15" t="n">
        <f aca="false">(BO530)+AY531</f>
        <v>0</v>
      </c>
      <c r="BP531" s="15" t="n">
        <f aca="false">0</f>
        <v>0</v>
      </c>
      <c r="BQ531" s="15" t="n">
        <f aca="false">BN531+BM531-BO531</f>
        <v>-1230640.0543054</v>
      </c>
      <c r="BR531" s="15" t="n">
        <f aca="false">BH531+AD531+BL531+MAX(0,-AM531)+MAX(0,-AR531)+AG531</f>
        <v>-930755.983074047</v>
      </c>
      <c r="BS531" s="15" t="n">
        <f aca="false">AJ531+AV531+MAX(0,AM531)+MAX(0,AR531)+BC531+BG531+BQ531</f>
        <v>-930755.983074045</v>
      </c>
      <c r="BT531" s="15" t="n">
        <f aca="false">BR531-BS531</f>
        <v>0</v>
      </c>
      <c r="BU531" s="15" t="n">
        <f aca="false">BH531-(BD531+BE531-BF531-AY531)</f>
        <v>0</v>
      </c>
      <c r="BV531" s="15" t="n">
        <f aca="false">MIN(Piano_SS!$C$6,(BV530)+IF(AND(Motore_Operativo!C531&gt;=EDATE(Parametri_v3!$C$24,Ipotesi!K14*12),Motore_Operativo!C531&lt;EDATE(Parametri_v3!$C$24,Parametri_v3!$C$25+Ipotesi!K14*12)),MAX(0,(Motore_Operativo!Y531+Motore_Operativo!X531*Parametri_v3!$C$14)*(1-Parametri_v3!$C$32))*Piano_SS!$D$6,0))</f>
        <v>300000</v>
      </c>
      <c r="BW531" s="15" t="n">
        <f aca="false">MIN(Piano_SS!$C$7,(BW530)+IF(AND(Motore_Operativo!C531&gt;=EDATE(Parametri_v3!$C$24,Ipotesi!K14*12),Motore_Operativo!C531&lt;EDATE(Parametri_v3!$C$24,Parametri_v3!$C$25+Ipotesi!K14*12)),MAX(0,(IF(47-(INT((Ipotesi!$C$91)/30))&lt;1,0,INDEX(Motore_Operativo!$BN$485:$BN$544,MAX(1,47-(INT((Ipotesi!$C$91)/30)))))*(1-(MOD((Ipotesi!$C$91),30)/30))+IF(47-(INT((Ipotesi!$C$91)/30))-1&lt;1,0,INDEX(Motore_Operativo!$BN$485:$BN$544,MAX(1,47-(INT((Ipotesi!$C$91)/30))-1)))*(MOD((Ipotesi!$C$91),30)/30)))*Piano_SS!$D$7,0))</f>
        <v>41058.9230070837</v>
      </c>
      <c r="BX531" s="15" t="n">
        <f aca="false">MIN(Piano_SS!$C$8,(BX530)+IF(AND(Motore_Operativo!C531&gt;=EDATE(Parametri_v3!$C$24,Ipotesi!K14*12),Motore_Operativo!C531&lt;EDATE(Parametri_v3!$C$24,Parametri_v3!$C$25+Ipotesi!K14*12)),MAX(0,Motore_Operativo!CE531)*Piano_SS!$D$8,0))</f>
        <v>50000</v>
      </c>
      <c r="BY531" s="15" t="n">
        <f aca="false">MIN(Piano_SS!$C$9,(BY530)+IF(AND(Motore_Operativo!C531&gt;=EDATE(Parametri_v3!$C$24,Ipotesi!K14*12),Motore_Operativo!C531&lt;EDATE(Parametri_v3!$C$24,Parametri_v3!$C$25+Ipotesi!K14*12)),MAX(0,((IF(47-(INT((Ipotesi!$C$91)/30))&lt;1,0,INDEX(Motore_Operativo!$BQ$485:$BQ$544,MAX(1,47-(INT((Ipotesi!$C$91)/30)))))*(1-(MOD((Ipotesi!$C$91),30)/30))+IF(47-(INT((Ipotesi!$C$91)/30))-1&lt;1,0,INDEX(Motore_Operativo!$BQ$485:$BQ$544,MAX(1,47-(INT((Ipotesi!$C$91)/30))-1)))*(MOD((Ipotesi!$C$91),30)/30))+(IF(47-(INT((Ipotesi!$C$91)/30))&lt;1,0,INDEX(Motore_Operativo!$BR$485:$BR$544,MAX(1,47-(INT((Ipotesi!$C$91)/30)))))*(1-(MOD((Ipotesi!$C$91),30)/30))+IF(47-(INT((Ipotesi!$C$91)/30))-1&lt;1,0,INDEX(Motore_Operativo!$BR$485:$BR$544,MAX(1,47-(INT((Ipotesi!$C$91)/30))-1)))*(MOD((Ipotesi!$C$91),30)/30))))*Piano_SS!$D$9,0))</f>
        <v>40000</v>
      </c>
      <c r="BZ531" s="15" t="n">
        <f aca="false">MIN(Piano_SS!$C$10,(BZ530)+IF(AND(Motore_Operativo!C531&gt;=EDATE(Parametri_v3!$C$24,Ipotesi!K14*12),Motore_Operativo!C531&lt;EDATE(Parametri_v3!$C$24,Parametri_v3!$C$25+Ipotesi!K14*12)),MAX(0,(IF(47-(INT((Ipotesi!$C$91)/30))&lt;1,0,INDEX(Motore_Operativo!$BO$485:$BO$544,MAX(1,47-(INT((Ipotesi!$C$91)/30)))))*(1-(MOD((Ipotesi!$C$91),30)/30))+IF(47-(INT((Ipotesi!$C$91)/30))-1&lt;1,0,INDEX(Motore_Operativo!$BO$485:$BO$544,MAX(1,47-(INT((Ipotesi!$C$91)/30))-1)))*(MOD((Ipotesi!$C$91),30)/30)))*Piano_SS!$D$10,0))</f>
        <v>30000</v>
      </c>
      <c r="CA531" s="15" t="n">
        <f aca="false">SUM(BV531:BZ531)</f>
        <v>461058.923007084</v>
      </c>
      <c r="CB531" s="15" t="n">
        <f aca="false">BV531*(1-Piano_SS!$E$6)+BW531*(1-Piano_SS!$E$7)+BX531*(1-Piano_SS!$E$8)+BY531*(1-Piano_SS!$E$9)+BZ531*(1-Piano_SS!$E$10)</f>
        <v>431058.923007084</v>
      </c>
      <c r="CC531" s="15" t="n">
        <f aca="false">(CC530)+BA531</f>
        <v>0</v>
      </c>
      <c r="CD531" s="15" t="n">
        <f aca="false">IF(CA531=0,0,CC531*CB531/CA531*Ipotesi!$C$103*Parametri_v3!$C$64)</f>
        <v>0</v>
      </c>
      <c r="CE531" s="18" t="n">
        <f aca="false">IF(BA531&gt;0,Motore_Operativo!C531,(CE530))</f>
        <v>0</v>
      </c>
      <c r="CF531" s="18" t="n">
        <f aca="false">IF(AND(CC531&gt;0,OR(CC531&gt;=CG531-0.01,Motore_Operativo!C531&gt;=EDATE(MAX(Finanziamenti!$D$15:$D$17),Ipotesi!K14*12))),CE531,0)</f>
        <v>0</v>
      </c>
      <c r="CG531" s="15" t="n">
        <f aca="false">IF(AND(9&lt;&gt;6,9&lt;&gt;9,Finanziamenti!$F$11=1,OR(Parametri_v3!$C$6=0,Finanziamenti!$E$11=1)),MIN(Finanziamenti!$C$11,Piano_SS!$C$12*Ipotesi!$C$102),0)</f>
        <v>0</v>
      </c>
      <c r="CH531" s="15" t="n">
        <f aca="false">IF(AND(AND(9&lt;&gt;8,9&lt;&gt;9,Finanziamenti!$F$10=1,OR(Parametri_v3!$C$6=0,Finanziamenti!$E$10=1)),Motore_Operativo!C531&gt;=Finanziamenti!$D$10,Motore_Operativo!C531&lt;Parametri_v3!$C$63),Finanziamenti!$C$10,0)</f>
        <v>0</v>
      </c>
    </row>
    <row r="532" customFormat="false" ht="18" hidden="false" customHeight="true" outlineLevel="0" collapsed="false">
      <c r="A532" s="68" t="n">
        <f aca="false">9</f>
        <v>9</v>
      </c>
      <c r="B532" s="68" t="n">
        <f aca="false">48</f>
        <v>48</v>
      </c>
      <c r="C532" s="18" t="n">
        <f aca="false">Motore_Operativo!C532</f>
        <v>47818</v>
      </c>
      <c r="D532" s="68" t="n">
        <f aca="false">Motore_Operativo!D532</f>
        <v>2030</v>
      </c>
      <c r="E532" s="68" t="n">
        <f aca="false">Motore_Operativo!E532</f>
        <v>12</v>
      </c>
      <c r="F532" s="15" t="n">
        <f aca="false">Motore_Operativo!AQ532+Motore_Operativo!BF532</f>
        <v>140768.211855469</v>
      </c>
      <c r="G532" s="15" t="n">
        <f aca="false">Motore_Operativo!BH532</f>
        <v>9024.16666666667</v>
      </c>
      <c r="H532" s="15" t="n">
        <f aca="false">Motore_Operativo!BI532</f>
        <v>149792.378522136</v>
      </c>
      <c r="I532" s="15" t="n">
        <f aca="false">Motore_Operativo!CA532</f>
        <v>159313.025284766</v>
      </c>
      <c r="J532" s="15" t="n">
        <f aca="false">Motore_Operativo!CC532</f>
        <v>-9520.64676262965</v>
      </c>
      <c r="K532" s="15" t="n">
        <f aca="false">Motore_Operativo!CE532</f>
        <v>3333.33333333333</v>
      </c>
      <c r="L532" s="15" t="n">
        <f aca="false">SUM(INDEX($K$485:$K$544,MAX(1,48-Parametri_v3!$C$59+1)):K532)/Parametri_v3!$C$59</f>
        <v>2638.88888888889</v>
      </c>
      <c r="M532" s="15" t="n">
        <f aca="false">J532-L532</f>
        <v>-12159.5356515185</v>
      </c>
      <c r="N532" s="15" t="n">
        <f aca="false">CD532-(CD531)</f>
        <v>0</v>
      </c>
      <c r="O532" s="15" t="n">
        <f aca="false">(BG531)*Ipotesi!$C$110/12+CH532*Parametri_v3!$C$39/12</f>
        <v>0</v>
      </c>
      <c r="P532" s="15" t="n">
        <f aca="false">M532+N532-O532</f>
        <v>-12159.5356515185</v>
      </c>
      <c r="Q532" s="15" t="n">
        <f aca="false">SUM(P521:P532)+Parametri_v3!$C$54*12/12</f>
        <v>-307724.845970214</v>
      </c>
      <c r="R532" s="15" t="n">
        <f aca="false">Z520</f>
        <v>1100781.76028115</v>
      </c>
      <c r="S532" s="15" t="n">
        <f aca="false">AA520</f>
        <v>0</v>
      </c>
      <c r="T532" s="15" t="n">
        <f aca="false">MIN(R532,MAX(0,Q532))</f>
        <v>0</v>
      </c>
      <c r="U532" s="15" t="n">
        <f aca="false">MIN(S532,MAX(0,Q532-T532)*Parametri_v3!$C$42)</f>
        <v>0</v>
      </c>
      <c r="V532" s="15" t="n">
        <f aca="false">MAX(0,Q532-T532-U532)*Ipotesi!$C$92</f>
        <v>0</v>
      </c>
      <c r="W532" s="15" t="n">
        <f aca="false">MAX(0,SUM(M521:M532)+Parametri_v3!$C$55*12/12)*Ipotesi!$C$93</f>
        <v>0</v>
      </c>
      <c r="X532" s="15" t="n">
        <f aca="false">V532+W532-(V531+W531)</f>
        <v>0</v>
      </c>
      <c r="Y532" s="15" t="n">
        <f aca="false">P532-X532</f>
        <v>-12159.5356515185</v>
      </c>
      <c r="Z532" s="15" t="n">
        <f aca="false">R532-T532+IF(AND(Parametri_v3!$C$40=1,D532-YEAR(Parametri_v3!$C$50)&lt;Parametri_v3!$C$41),MAX(0,-Q532),0)</f>
        <v>1100781.76028115</v>
      </c>
      <c r="AA532" s="15" t="n">
        <f aca="false">S532-U532+IF(AND(Parametri_v3!$C$40=1,D532-YEAR(Parametri_v3!$C$50)&lt;Parametri_v3!$C$41),0,MAX(0,-Q532))</f>
        <v>307724.845970214</v>
      </c>
      <c r="AB532" s="15" t="n">
        <f aca="false">F532*(1+Parametri_v3!$C$26)</f>
        <v>171737.218463673</v>
      </c>
      <c r="AC532" s="15" t="n">
        <f aca="false">(IF(48-(INT((Motore_Operativo!L532)/30))&lt;1,0,INDEX(Motore_Startup!$AB$485:$AB$544,MAX(1,48-(INT((Motore_Operativo!L532)/30)))))*(1-(MOD((Motore_Operativo!L532),30)/30))+IF(48-(INT((Motore_Operativo!L532)/30))-1&lt;1,0,INDEX(Motore_Startup!$AB$485:$AB$544,MAX(1,48-(INT((Motore_Operativo!L532)/30))-1)))*(MOD((Motore_Operativo!L532),30)/30))</f>
        <v>161094.944840619</v>
      </c>
      <c r="AD532" s="15" t="n">
        <f aca="false">(AD531)+AB532-AC532</f>
        <v>504631.674047441</v>
      </c>
      <c r="AE532" s="15" t="n">
        <f aca="false">Motore_Operativo!BH532*(1+Parametri_v3!$C$26)</f>
        <v>11009.4833333333</v>
      </c>
      <c r="AF532" s="15" t="n">
        <f aca="false">(IF(48-(INT((Parametri_v3!$C$29)/30))&lt;1,0,INDEX(Motore_Operativo!$BH$485:$BH$544,MAX(1,48-(INT((Parametri_v3!$C$29)/30)))))*(1-(MOD((Parametri_v3!$C$29),30)/30))+IF(48-(INT((Parametri_v3!$C$29)/30))-1&lt;1,0,INDEX(Motore_Operativo!$BH$485:$BH$544,MAX(1,48-(INT((Parametri_v3!$C$29)/30))-1)))*(MOD((Parametri_v3!$C$29),30)/30))*(1+Parametri_v3!$C$26)</f>
        <v>11009.4833333333</v>
      </c>
      <c r="AG532" s="15" t="n">
        <f aca="false">(AG531)+AE532-AF532</f>
        <v>11009.4833333333</v>
      </c>
      <c r="AH532" s="15" t="n">
        <f aca="false">(Motore_Operativo!CJ532)*(1+Parametri_v3!$C$27*Parametri_v3!$C$26)</f>
        <v>74591.0103544752</v>
      </c>
      <c r="AI532" s="15" t="n">
        <f aca="false">(IF(48-(INT((Ipotesi!$C$91)/30))&lt;1,0,INDEX(Motore_Startup!$AH$485:$AH$544,MAX(1,48-(INT((Ipotesi!$C$91)/30)))))*(1-(MOD((Ipotesi!$C$91),30)/30))+IF(48-(INT((Ipotesi!$C$91)/30))-1&lt;1,0,INDEX(Motore_Startup!$AH$485:$AH$544,MAX(1,48-(INT((Ipotesi!$C$91)/30))-1)))*(MOD((Ipotesi!$C$91),30)/30))</f>
        <v>73628.847583208</v>
      </c>
      <c r="AJ532" s="15" t="n">
        <f aca="false">(AJ531)+AH532-AI532</f>
        <v>148703.051267369</v>
      </c>
      <c r="AK532" s="15" t="n">
        <f aca="false">(F532+ Motore_Operativo!BH532-(Motore_Operativo!CJ532)*Parametri_v3!$C$27-Motore_Operativo!CE532)*Parametri_v3!$C$26</f>
        <v>20469.9209134937</v>
      </c>
      <c r="AL532" s="15" t="n">
        <f aca="false">MAX(0,(AM531))</f>
        <v>19911.2865581721</v>
      </c>
      <c r="AM532" s="15" t="n">
        <f aca="false">(AM531)+AK532-AL532</f>
        <v>20469.9209134937</v>
      </c>
      <c r="AN532" s="15" t="n">
        <f aca="false">SUM(X509:X520)</f>
        <v>0</v>
      </c>
      <c r="AO532" s="15" t="n">
        <f aca="false">SUM(AP509:AP520)</f>
        <v>0</v>
      </c>
      <c r="AP532" s="15" t="n">
        <f aca="false">MAX(0,AN532)*IF(12=Parametri_v3!$C$43,Parametri_v3!$C$45,IF(12=Parametri_v3!$C$44,1-Parametri_v3!$C$45,0))</f>
        <v>0</v>
      </c>
      <c r="AQ532" s="15" t="n">
        <f aca="false">MAX(0,AP532+IF(12=Parametri_v3!$C$43,MAX(0,AN532-AO532),0)-MAX(0,-(AR531)))</f>
        <v>0</v>
      </c>
      <c r="AR532" s="15" t="n">
        <f aca="false">(AR531)+X532-AQ532</f>
        <v>0</v>
      </c>
      <c r="AS532" s="15" t="n">
        <f aca="false">Motore_Operativo!AB532-AT532+AU532</f>
        <v>91649.4297604167</v>
      </c>
      <c r="AT532" s="15" t="n">
        <f aca="false">Motore_Operativo!CH532</f>
        <v>4823.65419791667</v>
      </c>
      <c r="AU532" s="15" t="n">
        <f aca="false">MIN(MAX(0,(AV531)+AT532),Parametri_v3!$C$60/12)</f>
        <v>0</v>
      </c>
      <c r="AV532" s="15" t="n">
        <f aca="false">(AV531)+AT532-AU532</f>
        <v>137055.550375</v>
      </c>
      <c r="AW532" s="15" t="n">
        <f aca="false">IF(AND(Motore_Operativo!C532=Finanziamenti!$D$6,Finanziamenti!$F$6=1),Finanziamenti!$C$6,0)</f>
        <v>0</v>
      </c>
      <c r="AX532" s="15" t="n">
        <f aca="false">IF(AND(9&lt;&gt;7,9&lt;&gt;9,Finanziamenti!$F$8=1,OR(Parametri_v3!$C$6=0,Finanziamenti!$E$8=1),Motore_Operativo!C532=EDATE(Finanziamenti!$D$8,Ipotesi!K15*12)),Finanziamenti!$C$8*1,0)+IF(AND(9&lt;&gt;7,9&lt;&gt;9,Finanziamenti!$F$9=1,OR(Parametri_v3!$C$6=0,Finanziamenti!$E$9=1),Motore_Operativo!C532=EDATE(Finanziamenti!$D$9,Ipotesi!K15*12)),Finanziamenti!$C$9*Ipotesi!K16,0)</f>
        <v>0</v>
      </c>
      <c r="AY532" s="15" t="n">
        <f aca="false">0</f>
        <v>0</v>
      </c>
      <c r="AZ532" s="15" t="n">
        <f aca="false">Motore_Advisory!AY532*(1-Ipotesi!$C$95)*Ipotesi!$C$96</f>
        <v>0</v>
      </c>
      <c r="BA532" s="15" t="n">
        <f aca="false">MAX(0,MIN(CG532*MIN(1,IF(Motore_Operativo!C532&gt;=EDATE(Finanziamenti!$D$15,Ipotesi!K14*12),Finanziamenti!$C$15,0)+IF(Motore_Operativo!C532&gt;=EDATE(Finanziamenti!$D$16,Ipotesi!K14*12),Finanziamenti!$C$16,0)+IF(Motore_Operativo!C532&gt;=EDATE(Finanziamenti!$D$17,Ipotesi!K14*12),Finanziamenti!$C$17,0)),CA532*Ipotesi!$C$102)-(CC531))</f>
        <v>0</v>
      </c>
      <c r="BB532" s="15" t="n">
        <f aca="false">IF(AND(CF532&gt;0,Motore_Operativo!C532&gt;=IF(CF532=0,0,EDATE(CF532,Parametri_v3!$C$37)),MOD(((D532-YEAR(IF(CF532=0,0,EDATE(CF532,Parametri_v3!$C$37))))*12+E532-MONTH(IF(CF532=0,0,EDATE(CF532,Parametri_v3!$C$37)))),Parametri_v3!$C$38)=0),MIN(MAX(0,(BC531)+BA532-N532),(CC532-CD532)/(Ipotesi!$C$108*12/Parametri_v3!$C$38)),0)</f>
        <v>0</v>
      </c>
      <c r="BC532" s="15" t="n">
        <f aca="false">(BC531)+BA532-N532-BB532</f>
        <v>0</v>
      </c>
      <c r="BD532" s="15" t="n">
        <f aca="false">(BH531)+AC532+AF532-AI532-AS532-K532*(1+Parametri_v3!$C$26)-AL532-AQ532-O532+AW532+AX532+AZ532+BA532-BB532</f>
        <v>-1503392.78033739</v>
      </c>
      <c r="BE532" s="15" t="n">
        <f aca="false">MAX(0,MIN(MAX(0,CH532-(BG531)),Parametri_v3!$C$30-BD532))</f>
        <v>0</v>
      </c>
      <c r="BF532" s="15" t="n">
        <f aca="false">IF(Motore_Operativo!C532&gt;=Parametri_v3!$C$63,(BG531),MIN((BG531),MAX(0,BD532-Parametri_v3!$C$30)))</f>
        <v>0</v>
      </c>
      <c r="BG532" s="15" t="n">
        <f aca="false">(BG531)+BE532-BF532</f>
        <v>0</v>
      </c>
      <c r="BH532" s="15" t="n">
        <f aca="false">BD532+BE532-BF532-AY532</f>
        <v>-1503392.78033739</v>
      </c>
      <c r="BI532" s="15" t="n">
        <f aca="false">MAX(0,Parametri_v3!$C$30-BH532)</f>
        <v>1528392.78033739</v>
      </c>
      <c r="BJ532" s="15" t="n">
        <f aca="false">(BJ531)+K532</f>
        <v>115000</v>
      </c>
      <c r="BK532" s="15" t="n">
        <f aca="false">(BK531)+L532</f>
        <v>63819.4444444444</v>
      </c>
      <c r="BL532" s="15" t="n">
        <f aca="false">BJ532-BK532</f>
        <v>51180.5555555555</v>
      </c>
      <c r="BM532" s="15" t="n">
        <f aca="false">(BM531)+Y532</f>
        <v>-1408506.60625137</v>
      </c>
      <c r="BN532" s="15" t="n">
        <f aca="false">(BN531)+AW532+AX532+AZ532</f>
        <v>165707.016294444</v>
      </c>
      <c r="BO532" s="15" t="n">
        <f aca="false">(BO531)+AY532</f>
        <v>0</v>
      </c>
      <c r="BP532" s="15" t="n">
        <f aca="false">0</f>
        <v>0</v>
      </c>
      <c r="BQ532" s="15" t="n">
        <f aca="false">BN532+BM532-BO532</f>
        <v>-1242799.58995692</v>
      </c>
      <c r="BR532" s="15" t="n">
        <f aca="false">BH532+AD532+BL532+MAX(0,-AM532)+MAX(0,-AR532)+AG532</f>
        <v>-936571.067401061</v>
      </c>
      <c r="BS532" s="15" t="n">
        <f aca="false">AJ532+AV532+MAX(0,AM532)+MAX(0,AR532)+BC532+BG532+BQ532</f>
        <v>-936571.067401058</v>
      </c>
      <c r="BT532" s="15" t="n">
        <f aca="false">BR532-BS532</f>
        <v>0</v>
      </c>
      <c r="BU532" s="15" t="n">
        <f aca="false">BH532-(BD532+BE532-BF532-AY532)</f>
        <v>0</v>
      </c>
      <c r="BV532" s="15" t="n">
        <f aca="false">MIN(Piano_SS!$C$6,(BV531)+IF(AND(Motore_Operativo!C532&gt;=EDATE(Parametri_v3!$C$24,Ipotesi!K14*12),Motore_Operativo!C532&lt;EDATE(Parametri_v3!$C$24,Parametri_v3!$C$25+Ipotesi!K14*12)),MAX(0,(Motore_Operativo!Y532+Motore_Operativo!X532*Parametri_v3!$C$14)*(1-Parametri_v3!$C$32))*Piano_SS!$D$6,0))</f>
        <v>300000</v>
      </c>
      <c r="BW532" s="15" t="n">
        <f aca="false">MIN(Piano_SS!$C$7,(BW531)+IF(AND(Motore_Operativo!C532&gt;=EDATE(Parametri_v3!$C$24,Ipotesi!K14*12),Motore_Operativo!C532&lt;EDATE(Parametri_v3!$C$24,Parametri_v3!$C$25+Ipotesi!K14*12)),MAX(0,(IF(48-(INT((Ipotesi!$C$91)/30))&lt;1,0,INDEX(Motore_Operativo!$BN$485:$BN$544,MAX(1,48-(INT((Ipotesi!$C$91)/30)))))*(1-(MOD((Ipotesi!$C$91),30)/30))+IF(48-(INT((Ipotesi!$C$91)/30))-1&lt;1,0,INDEX(Motore_Operativo!$BN$485:$BN$544,MAX(1,48-(INT((Ipotesi!$C$91)/30))-1)))*(MOD((Ipotesi!$C$91),30)/30)))*Piano_SS!$D$7,0))</f>
        <v>41058.9230070837</v>
      </c>
      <c r="BX532" s="15" t="n">
        <f aca="false">MIN(Piano_SS!$C$8,(BX531)+IF(AND(Motore_Operativo!C532&gt;=EDATE(Parametri_v3!$C$24,Ipotesi!K14*12),Motore_Operativo!C532&lt;EDATE(Parametri_v3!$C$24,Parametri_v3!$C$25+Ipotesi!K14*12)),MAX(0,Motore_Operativo!CE532)*Piano_SS!$D$8,0))</f>
        <v>50000</v>
      </c>
      <c r="BY532" s="15" t="n">
        <f aca="false">MIN(Piano_SS!$C$9,(BY531)+IF(AND(Motore_Operativo!C532&gt;=EDATE(Parametri_v3!$C$24,Ipotesi!K14*12),Motore_Operativo!C532&lt;EDATE(Parametri_v3!$C$24,Parametri_v3!$C$25+Ipotesi!K14*12)),MAX(0,((IF(48-(INT((Ipotesi!$C$91)/30))&lt;1,0,INDEX(Motore_Operativo!$BQ$485:$BQ$544,MAX(1,48-(INT((Ipotesi!$C$91)/30)))))*(1-(MOD((Ipotesi!$C$91),30)/30))+IF(48-(INT((Ipotesi!$C$91)/30))-1&lt;1,0,INDEX(Motore_Operativo!$BQ$485:$BQ$544,MAX(1,48-(INT((Ipotesi!$C$91)/30))-1)))*(MOD((Ipotesi!$C$91),30)/30))+(IF(48-(INT((Ipotesi!$C$91)/30))&lt;1,0,INDEX(Motore_Operativo!$BR$485:$BR$544,MAX(1,48-(INT((Ipotesi!$C$91)/30)))))*(1-(MOD((Ipotesi!$C$91),30)/30))+IF(48-(INT((Ipotesi!$C$91)/30))-1&lt;1,0,INDEX(Motore_Operativo!$BR$485:$BR$544,MAX(1,48-(INT((Ipotesi!$C$91)/30))-1)))*(MOD((Ipotesi!$C$91),30)/30))))*Piano_SS!$D$9,0))</f>
        <v>40000</v>
      </c>
      <c r="BZ532" s="15" t="n">
        <f aca="false">MIN(Piano_SS!$C$10,(BZ531)+IF(AND(Motore_Operativo!C532&gt;=EDATE(Parametri_v3!$C$24,Ipotesi!K14*12),Motore_Operativo!C532&lt;EDATE(Parametri_v3!$C$24,Parametri_v3!$C$25+Ipotesi!K14*12)),MAX(0,(IF(48-(INT((Ipotesi!$C$91)/30))&lt;1,0,INDEX(Motore_Operativo!$BO$485:$BO$544,MAX(1,48-(INT((Ipotesi!$C$91)/30)))))*(1-(MOD((Ipotesi!$C$91),30)/30))+IF(48-(INT((Ipotesi!$C$91)/30))-1&lt;1,0,INDEX(Motore_Operativo!$BO$485:$BO$544,MAX(1,48-(INT((Ipotesi!$C$91)/30))-1)))*(MOD((Ipotesi!$C$91),30)/30)))*Piano_SS!$D$10,0))</f>
        <v>30000</v>
      </c>
      <c r="CA532" s="15" t="n">
        <f aca="false">SUM(BV532:BZ532)</f>
        <v>461058.923007084</v>
      </c>
      <c r="CB532" s="15" t="n">
        <f aca="false">BV532*(1-Piano_SS!$E$6)+BW532*(1-Piano_SS!$E$7)+BX532*(1-Piano_SS!$E$8)+BY532*(1-Piano_SS!$E$9)+BZ532*(1-Piano_SS!$E$10)</f>
        <v>431058.923007084</v>
      </c>
      <c r="CC532" s="15" t="n">
        <f aca="false">(CC531)+BA532</f>
        <v>0</v>
      </c>
      <c r="CD532" s="15" t="n">
        <f aca="false">IF(CA532=0,0,CC532*CB532/CA532*Ipotesi!$C$103*Parametri_v3!$C$64)</f>
        <v>0</v>
      </c>
      <c r="CE532" s="18" t="n">
        <f aca="false">IF(BA532&gt;0,Motore_Operativo!C532,(CE531))</f>
        <v>0</v>
      </c>
      <c r="CF532" s="18" t="n">
        <f aca="false">IF(AND(CC532&gt;0,OR(CC532&gt;=CG532-0.01,Motore_Operativo!C532&gt;=EDATE(MAX(Finanziamenti!$D$15:$D$17),Ipotesi!K14*12))),CE532,0)</f>
        <v>0</v>
      </c>
      <c r="CG532" s="15" t="n">
        <f aca="false">IF(AND(9&lt;&gt;6,9&lt;&gt;9,Finanziamenti!$F$11=1,OR(Parametri_v3!$C$6=0,Finanziamenti!$E$11=1)),MIN(Finanziamenti!$C$11,Piano_SS!$C$12*Ipotesi!$C$102),0)</f>
        <v>0</v>
      </c>
      <c r="CH532" s="15" t="n">
        <f aca="false">IF(AND(AND(9&lt;&gt;8,9&lt;&gt;9,Finanziamenti!$F$10=1,OR(Parametri_v3!$C$6=0,Finanziamenti!$E$10=1)),Motore_Operativo!C532&gt;=Finanziamenti!$D$10,Motore_Operativo!C532&lt;Parametri_v3!$C$63),Finanziamenti!$C$10,0)</f>
        <v>0</v>
      </c>
    </row>
    <row r="533" customFormat="false" ht="18" hidden="false" customHeight="true" outlineLevel="0" collapsed="false">
      <c r="A533" s="68" t="n">
        <f aca="false">9</f>
        <v>9</v>
      </c>
      <c r="B533" s="68" t="n">
        <f aca="false">49</f>
        <v>49</v>
      </c>
      <c r="C533" s="18" t="n">
        <f aca="false">Motore_Operativo!C533</f>
        <v>47849</v>
      </c>
      <c r="D533" s="68" t="n">
        <f aca="false">Motore_Operativo!D533</f>
        <v>2031</v>
      </c>
      <c r="E533" s="68" t="n">
        <f aca="false">Motore_Operativo!E533</f>
        <v>1</v>
      </c>
      <c r="F533" s="15" t="n">
        <f aca="false">Motore_Operativo!AQ533+Motore_Operativo!BF533</f>
        <v>171197.798178051</v>
      </c>
      <c r="G533" s="15" t="n">
        <f aca="false">Motore_Operativo!BH533</f>
        <v>11595.8333333333</v>
      </c>
      <c r="H533" s="15" t="n">
        <f aca="false">Motore_Operativo!BI533</f>
        <v>182793.631511385</v>
      </c>
      <c r="I533" s="15" t="n">
        <f aca="false">Motore_Operativo!CA533</f>
        <v>196627.061732427</v>
      </c>
      <c r="J533" s="15" t="n">
        <f aca="false">Motore_Operativo!CC533</f>
        <v>-13833.4302210424</v>
      </c>
      <c r="K533" s="15" t="n">
        <f aca="false">Motore_Operativo!CE533</f>
        <v>4166.66666666667</v>
      </c>
      <c r="L533" s="15" t="n">
        <f aca="false">SUM(INDEX($K$485:$K$544,MAX(1,49-Parametri_v3!$C$59+1)):K533)/Parametri_v3!$C$59</f>
        <v>2696.75925925926</v>
      </c>
      <c r="M533" s="15" t="n">
        <f aca="false">J533-L533</f>
        <v>-16530.1894803017</v>
      </c>
      <c r="N533" s="15" t="n">
        <f aca="false">CD533-(CD532)</f>
        <v>0</v>
      </c>
      <c r="O533" s="15" t="n">
        <f aca="false">(BG532)*Ipotesi!$C$110/12+CH533*Parametri_v3!$C$39/12</f>
        <v>0</v>
      </c>
      <c r="P533" s="15" t="n">
        <f aca="false">M533+N533-O533</f>
        <v>-16530.1894803017</v>
      </c>
      <c r="Q533" s="15" t="n">
        <f aca="false">SUM(P533)+Parametri_v3!$C$54*1/12</f>
        <v>-16530.1894803017</v>
      </c>
      <c r="R533" s="15" t="n">
        <f aca="false">Z532</f>
        <v>1100781.76028115</v>
      </c>
      <c r="S533" s="15" t="n">
        <f aca="false">AA532</f>
        <v>307724.845970214</v>
      </c>
      <c r="T533" s="15" t="n">
        <f aca="false">MIN(R533,MAX(0,Q533))</f>
        <v>0</v>
      </c>
      <c r="U533" s="15" t="n">
        <f aca="false">MIN(S533,MAX(0,Q533-T533)*Parametri_v3!$C$42)</f>
        <v>0</v>
      </c>
      <c r="V533" s="15" t="n">
        <f aca="false">MAX(0,Q533-T533-U533)*Ipotesi!$C$92</f>
        <v>0</v>
      </c>
      <c r="W533" s="15" t="n">
        <f aca="false">MAX(0,SUM(M533)+Parametri_v3!$C$55*1/12)*Ipotesi!$C$93</f>
        <v>0</v>
      </c>
      <c r="X533" s="15" t="n">
        <f aca="false">V533+W533-(0)</f>
        <v>0</v>
      </c>
      <c r="Y533" s="15" t="n">
        <f aca="false">P533-X533</f>
        <v>-16530.1894803017</v>
      </c>
      <c r="Z533" s="15" t="n">
        <f aca="false">R533-T533+IF(AND(Parametri_v3!$C$40=1,D533-YEAR(Parametri_v3!$C$50)&lt;Parametri_v3!$C$41),MAX(0,-Q533),0)</f>
        <v>1100781.76028115</v>
      </c>
      <c r="AA533" s="15" t="n">
        <f aca="false">S533-U533+IF(AND(Parametri_v3!$C$40=1,D533-YEAR(Parametri_v3!$C$50)&lt;Parametri_v3!$C$41),0,MAX(0,-Q533))</f>
        <v>324255.035450516</v>
      </c>
      <c r="AB533" s="15" t="n">
        <f aca="false">F533*(1+Parametri_v3!$C$26)</f>
        <v>208861.313777223</v>
      </c>
      <c r="AC533" s="15" t="n">
        <f aca="false">(IF(49-(INT((Motore_Operativo!L533)/30))&lt;1,0,INDEX(Motore_Startup!$AB$485:$AB$544,MAX(1,49-(INT((Motore_Operativo!L533)/30)))))*(1-(MOD((Motore_Operativo!L533),30)/30))+IF(49-(INT((Motore_Operativo!L533)/30))-1&lt;1,0,INDEX(Motore_Startup!$AB$485:$AB$544,MAX(1,49-(INT((Motore_Operativo!L533)/30))-1)))*(MOD((Motore_Operativo!L533),30)/30))</f>
        <v>164673.56109849</v>
      </c>
      <c r="AD533" s="15" t="n">
        <f aca="false">(AD532)+AB533-AC533</f>
        <v>548819.426726174</v>
      </c>
      <c r="AE533" s="15" t="n">
        <f aca="false">Motore_Operativo!BH533*(1+Parametri_v3!$C$26)</f>
        <v>14146.9166666667</v>
      </c>
      <c r="AF533" s="15" t="n">
        <f aca="false">(IF(49-(INT((Parametri_v3!$C$29)/30))&lt;1,0,INDEX(Motore_Operativo!$BH$485:$BH$544,MAX(1,49-(INT((Parametri_v3!$C$29)/30)))))*(1-(MOD((Parametri_v3!$C$29),30)/30))+IF(49-(INT((Parametri_v3!$C$29)/30))-1&lt;1,0,INDEX(Motore_Operativo!$BH$485:$BH$544,MAX(1,49-(INT((Parametri_v3!$C$29)/30))-1)))*(MOD((Parametri_v3!$C$29),30)/30))*(1+Parametri_v3!$C$26)</f>
        <v>11009.4833333333</v>
      </c>
      <c r="AG533" s="15" t="n">
        <f aca="false">(AG532)+AE533-AF533</f>
        <v>14146.9166666667</v>
      </c>
      <c r="AH533" s="15" t="n">
        <f aca="false">(Motore_Operativo!CJ533)*(1+Parametri_v3!$C$27*Parametri_v3!$C$26)</f>
        <v>91576.7335595619</v>
      </c>
      <c r="AI533" s="15" t="n">
        <f aca="false">(IF(49-(INT((Ipotesi!$C$91)/30))&lt;1,0,INDEX(Motore_Startup!$AH$485:$AH$544,MAX(1,49-(INT((Ipotesi!$C$91)/30)))))*(1-(MOD((Ipotesi!$C$91),30)/30))+IF(49-(INT((Ipotesi!$C$91)/30))-1&lt;1,0,INDEX(Motore_Startup!$AH$485:$AH$544,MAX(1,49-(INT((Ipotesi!$C$91)/30))-1)))*(MOD((Ipotesi!$C$91),30)/30))</f>
        <v>74112.0409128937</v>
      </c>
      <c r="AJ533" s="15" t="n">
        <f aca="false">(AJ532)+AH533-AI533</f>
        <v>166167.743914037</v>
      </c>
      <c r="AK533" s="15" t="n">
        <f aca="false">(F533+ Motore_Operativo!BH533-(Motore_Operativo!CJ533)*Parametri_v3!$C$27-Motore_Operativo!CE533)*Parametri_v3!$C$26</f>
        <v>24870.9321178699</v>
      </c>
      <c r="AL533" s="15" t="n">
        <f aca="false">MAX(0,(AM532))</f>
        <v>20469.9209134937</v>
      </c>
      <c r="AM533" s="15" t="n">
        <f aca="false">(AM532)+AK533-AL533</f>
        <v>24870.9321178699</v>
      </c>
      <c r="AN533" s="15" t="n">
        <f aca="false">SUM(X521:X532)</f>
        <v>0</v>
      </c>
      <c r="AO533" s="15" t="n">
        <f aca="false">SUM(AP521:AP532)</f>
        <v>0</v>
      </c>
      <c r="AP533" s="15" t="n">
        <f aca="false">MAX(0,AN533)*IF(1=Parametri_v3!$C$43,Parametri_v3!$C$45,IF(1=Parametri_v3!$C$44,1-Parametri_v3!$C$45,0))</f>
        <v>0</v>
      </c>
      <c r="AQ533" s="15" t="n">
        <f aca="false">MAX(0,AP533+IF(1=Parametri_v3!$C$43,MAX(0,AN533-AO533),0)-MAX(0,-(AR532)))</f>
        <v>0</v>
      </c>
      <c r="AR533" s="15" t="n">
        <f aca="false">(AR532)+X533-AQ533</f>
        <v>0</v>
      </c>
      <c r="AS533" s="15" t="n">
        <f aca="false">Motore_Operativo!AB533-AT533+AU533</f>
        <v>113503.461904792</v>
      </c>
      <c r="AT533" s="15" t="n">
        <f aca="false">Motore_Operativo!CH533</f>
        <v>5973.86641604167</v>
      </c>
      <c r="AU533" s="15" t="n">
        <f aca="false">MIN(MAX(0,(AV532)+AT533),Parametri_v3!$C$60/12)</f>
        <v>0</v>
      </c>
      <c r="AV533" s="15" t="n">
        <f aca="false">(AV532)+AT533-AU533</f>
        <v>143029.416791042</v>
      </c>
      <c r="AW533" s="15" t="n">
        <f aca="false">IF(AND(Motore_Operativo!C533=Finanziamenti!$D$6,Finanziamenti!$F$6=1),Finanziamenti!$C$6,0)</f>
        <v>0</v>
      </c>
      <c r="AX533" s="15" t="n">
        <f aca="false">IF(AND(9&lt;&gt;7,9&lt;&gt;9,Finanziamenti!$F$8=1,OR(Parametri_v3!$C$6=0,Finanziamenti!$E$8=1),Motore_Operativo!C533=EDATE(Finanziamenti!$D$8,Ipotesi!K15*12)),Finanziamenti!$C$8*1,0)+IF(AND(9&lt;&gt;7,9&lt;&gt;9,Finanziamenti!$F$9=1,OR(Parametri_v3!$C$6=0,Finanziamenti!$E$9=1),Motore_Operativo!C533=EDATE(Finanziamenti!$D$9,Ipotesi!K15*12)),Finanziamenti!$C$9*Ipotesi!K16,0)</f>
        <v>0</v>
      </c>
      <c r="AY533" s="15" t="n">
        <f aca="false">0</f>
        <v>0</v>
      </c>
      <c r="AZ533" s="15" t="n">
        <f aca="false">Motore_Advisory!AY533*(1-Ipotesi!$C$95)*Ipotesi!$C$96</f>
        <v>0</v>
      </c>
      <c r="BA533" s="15" t="n">
        <f aca="false">MAX(0,MIN(CG533*MIN(1,IF(Motore_Operativo!C533&gt;=EDATE(Finanziamenti!$D$15,Ipotesi!K14*12),Finanziamenti!$C$15,0)+IF(Motore_Operativo!C533&gt;=EDATE(Finanziamenti!$D$16,Ipotesi!K14*12),Finanziamenti!$C$16,0)+IF(Motore_Operativo!C533&gt;=EDATE(Finanziamenti!$D$17,Ipotesi!K14*12),Finanziamenti!$C$17,0)),CA533*Ipotesi!$C$102)-(CC532))</f>
        <v>0</v>
      </c>
      <c r="BB533" s="15" t="n">
        <f aca="false">IF(AND(CF533&gt;0,Motore_Operativo!C533&gt;=IF(CF533=0,0,EDATE(CF533,Parametri_v3!$C$37)),MOD(((D533-YEAR(IF(CF533=0,0,EDATE(CF533,Parametri_v3!$C$37))))*12+E533-MONTH(IF(CF533=0,0,EDATE(CF533,Parametri_v3!$C$37)))),Parametri_v3!$C$38)=0),MIN(MAX(0,(BC532)+BA533-N533),(CC533-CD533)/(Ipotesi!$C$108*12/Parametri_v3!$C$38)),0)</f>
        <v>0</v>
      </c>
      <c r="BC533" s="15" t="n">
        <f aca="false">(BC532)+BA533-N533-BB533</f>
        <v>0</v>
      </c>
      <c r="BD533" s="15" t="n">
        <f aca="false">(BH532)+AC533+AF533-AI533-AS533-K533*(1+Parametri_v3!$C$26)-AL533-AQ533-O533+AW533+AX533+AZ533+BA533-BB533</f>
        <v>-1540878.49297008</v>
      </c>
      <c r="BE533" s="15" t="n">
        <f aca="false">MAX(0,MIN(MAX(0,CH533-(BG532)),Parametri_v3!$C$30-BD533))</f>
        <v>0</v>
      </c>
      <c r="BF533" s="15" t="n">
        <f aca="false">IF(Motore_Operativo!C533&gt;=Parametri_v3!$C$63,(BG532),MIN((BG532),MAX(0,BD533-Parametri_v3!$C$30)))</f>
        <v>0</v>
      </c>
      <c r="BG533" s="15" t="n">
        <f aca="false">(BG532)+BE533-BF533</f>
        <v>0</v>
      </c>
      <c r="BH533" s="15" t="n">
        <f aca="false">BD533+BE533-BF533-AY533</f>
        <v>-1540878.49297008</v>
      </c>
      <c r="BI533" s="15" t="n">
        <f aca="false">MAX(0,Parametri_v3!$C$30-BH533)</f>
        <v>1565878.49297008</v>
      </c>
      <c r="BJ533" s="15" t="n">
        <f aca="false">(BJ532)+K533</f>
        <v>119166.666666667</v>
      </c>
      <c r="BK533" s="15" t="n">
        <f aca="false">(BK532)+L533</f>
        <v>66516.2037037037</v>
      </c>
      <c r="BL533" s="15" t="n">
        <f aca="false">BJ533-BK533</f>
        <v>52650.4629629629</v>
      </c>
      <c r="BM533" s="15" t="n">
        <f aca="false">(BM532)+Y533</f>
        <v>-1425036.79573167</v>
      </c>
      <c r="BN533" s="15" t="n">
        <f aca="false">(BN532)+AW533+AX533+AZ533</f>
        <v>165707.016294444</v>
      </c>
      <c r="BO533" s="15" t="n">
        <f aca="false">(BO532)+AY533</f>
        <v>0</v>
      </c>
      <c r="BP533" s="15" t="n">
        <f aca="false">0</f>
        <v>0</v>
      </c>
      <c r="BQ533" s="15" t="n">
        <f aca="false">BN533+BM533-BO533</f>
        <v>-1259329.77943722</v>
      </c>
      <c r="BR533" s="15" t="n">
        <f aca="false">BH533+AD533+BL533+MAX(0,-AM533)+MAX(0,-AR533)+AG533</f>
        <v>-925261.686614276</v>
      </c>
      <c r="BS533" s="15" t="n">
        <f aca="false">AJ533+AV533+MAX(0,AM533)+MAX(0,AR533)+BC533+BG533+BQ533</f>
        <v>-925261.686614274</v>
      </c>
      <c r="BT533" s="15" t="n">
        <f aca="false">BR533-BS533</f>
        <v>0</v>
      </c>
      <c r="BU533" s="15" t="n">
        <f aca="false">BH533-(BD533+BE533-BF533-AY533)</f>
        <v>0</v>
      </c>
      <c r="BV533" s="15" t="n">
        <f aca="false">MIN(Piano_SS!$C$6,(BV532)+IF(AND(Motore_Operativo!C533&gt;=EDATE(Parametri_v3!$C$24,Ipotesi!K14*12),Motore_Operativo!C533&lt;EDATE(Parametri_v3!$C$24,Parametri_v3!$C$25+Ipotesi!K14*12)),MAX(0,(Motore_Operativo!Y533+Motore_Operativo!X533*Parametri_v3!$C$14)*(1-Parametri_v3!$C$32))*Piano_SS!$D$6,0))</f>
        <v>300000</v>
      </c>
      <c r="BW533" s="15" t="n">
        <f aca="false">MIN(Piano_SS!$C$7,(BW532)+IF(AND(Motore_Operativo!C533&gt;=EDATE(Parametri_v3!$C$24,Ipotesi!K14*12),Motore_Operativo!C533&lt;EDATE(Parametri_v3!$C$24,Parametri_v3!$C$25+Ipotesi!K14*12)),MAX(0,(IF(49-(INT((Ipotesi!$C$91)/30))&lt;1,0,INDEX(Motore_Operativo!$BN$485:$BN$544,MAX(1,49-(INT((Ipotesi!$C$91)/30)))))*(1-(MOD((Ipotesi!$C$91),30)/30))+IF(49-(INT((Ipotesi!$C$91)/30))-1&lt;1,0,INDEX(Motore_Operativo!$BN$485:$BN$544,MAX(1,49-(INT((Ipotesi!$C$91)/30))-1)))*(MOD((Ipotesi!$C$91),30)/30)))*Piano_SS!$D$7,0))</f>
        <v>41058.9230070837</v>
      </c>
      <c r="BX533" s="15" t="n">
        <f aca="false">MIN(Piano_SS!$C$8,(BX532)+IF(AND(Motore_Operativo!C533&gt;=EDATE(Parametri_v3!$C$24,Ipotesi!K14*12),Motore_Operativo!C533&lt;EDATE(Parametri_v3!$C$24,Parametri_v3!$C$25+Ipotesi!K14*12)),MAX(0,Motore_Operativo!CE533)*Piano_SS!$D$8,0))</f>
        <v>50000</v>
      </c>
      <c r="BY533" s="15" t="n">
        <f aca="false">MIN(Piano_SS!$C$9,(BY532)+IF(AND(Motore_Operativo!C533&gt;=EDATE(Parametri_v3!$C$24,Ipotesi!K14*12),Motore_Operativo!C533&lt;EDATE(Parametri_v3!$C$24,Parametri_v3!$C$25+Ipotesi!K14*12)),MAX(0,((IF(49-(INT((Ipotesi!$C$91)/30))&lt;1,0,INDEX(Motore_Operativo!$BQ$485:$BQ$544,MAX(1,49-(INT((Ipotesi!$C$91)/30)))))*(1-(MOD((Ipotesi!$C$91),30)/30))+IF(49-(INT((Ipotesi!$C$91)/30))-1&lt;1,0,INDEX(Motore_Operativo!$BQ$485:$BQ$544,MAX(1,49-(INT((Ipotesi!$C$91)/30))-1)))*(MOD((Ipotesi!$C$91),30)/30))+(IF(49-(INT((Ipotesi!$C$91)/30))&lt;1,0,INDEX(Motore_Operativo!$BR$485:$BR$544,MAX(1,49-(INT((Ipotesi!$C$91)/30)))))*(1-(MOD((Ipotesi!$C$91),30)/30))+IF(49-(INT((Ipotesi!$C$91)/30))-1&lt;1,0,INDEX(Motore_Operativo!$BR$485:$BR$544,MAX(1,49-(INT((Ipotesi!$C$91)/30))-1)))*(MOD((Ipotesi!$C$91),30)/30))))*Piano_SS!$D$9,0))</f>
        <v>40000</v>
      </c>
      <c r="BZ533" s="15" t="n">
        <f aca="false">MIN(Piano_SS!$C$10,(BZ532)+IF(AND(Motore_Operativo!C533&gt;=EDATE(Parametri_v3!$C$24,Ipotesi!K14*12),Motore_Operativo!C533&lt;EDATE(Parametri_v3!$C$24,Parametri_v3!$C$25+Ipotesi!K14*12)),MAX(0,(IF(49-(INT((Ipotesi!$C$91)/30))&lt;1,0,INDEX(Motore_Operativo!$BO$485:$BO$544,MAX(1,49-(INT((Ipotesi!$C$91)/30)))))*(1-(MOD((Ipotesi!$C$91),30)/30))+IF(49-(INT((Ipotesi!$C$91)/30))-1&lt;1,0,INDEX(Motore_Operativo!$BO$485:$BO$544,MAX(1,49-(INT((Ipotesi!$C$91)/30))-1)))*(MOD((Ipotesi!$C$91),30)/30)))*Piano_SS!$D$10,0))</f>
        <v>30000</v>
      </c>
      <c r="CA533" s="15" t="n">
        <f aca="false">SUM(BV533:BZ533)</f>
        <v>461058.923007084</v>
      </c>
      <c r="CB533" s="15" t="n">
        <f aca="false">BV533*(1-Piano_SS!$E$6)+BW533*(1-Piano_SS!$E$7)+BX533*(1-Piano_SS!$E$8)+BY533*(1-Piano_SS!$E$9)+BZ533*(1-Piano_SS!$E$10)</f>
        <v>431058.923007084</v>
      </c>
      <c r="CC533" s="15" t="n">
        <f aca="false">(CC532)+BA533</f>
        <v>0</v>
      </c>
      <c r="CD533" s="15" t="n">
        <f aca="false">IF(CA533=0,0,CC533*CB533/CA533*Ipotesi!$C$103*Parametri_v3!$C$64)</f>
        <v>0</v>
      </c>
      <c r="CE533" s="18" t="n">
        <f aca="false">IF(BA533&gt;0,Motore_Operativo!C533,(CE532))</f>
        <v>0</v>
      </c>
      <c r="CF533" s="18" t="n">
        <f aca="false">IF(AND(CC533&gt;0,OR(CC533&gt;=CG533-0.01,Motore_Operativo!C533&gt;=EDATE(MAX(Finanziamenti!$D$15:$D$17),Ipotesi!K14*12))),CE533,0)</f>
        <v>0</v>
      </c>
      <c r="CG533" s="15" t="n">
        <f aca="false">IF(AND(9&lt;&gt;6,9&lt;&gt;9,Finanziamenti!$F$11=1,OR(Parametri_v3!$C$6=0,Finanziamenti!$E$11=1)),MIN(Finanziamenti!$C$11,Piano_SS!$C$12*Ipotesi!$C$102),0)</f>
        <v>0</v>
      </c>
      <c r="CH533" s="15" t="n">
        <f aca="false">IF(AND(AND(9&lt;&gt;8,9&lt;&gt;9,Finanziamenti!$F$10=1,OR(Parametri_v3!$C$6=0,Finanziamenti!$E$10=1)),Motore_Operativo!C533&gt;=Finanziamenti!$D$10,Motore_Operativo!C533&lt;Parametri_v3!$C$63),Finanziamenti!$C$10,0)</f>
        <v>0</v>
      </c>
    </row>
    <row r="534" customFormat="false" ht="18" hidden="false" customHeight="true" outlineLevel="0" collapsed="false">
      <c r="A534" s="68" t="n">
        <f aca="false">9</f>
        <v>9</v>
      </c>
      <c r="B534" s="68" t="n">
        <f aca="false">50</f>
        <v>50</v>
      </c>
      <c r="C534" s="18" t="n">
        <f aca="false">Motore_Operativo!C534</f>
        <v>47880</v>
      </c>
      <c r="D534" s="68" t="n">
        <f aca="false">Motore_Operativo!D534</f>
        <v>2031</v>
      </c>
      <c r="E534" s="68" t="n">
        <f aca="false">Motore_Operativo!E534</f>
        <v>2</v>
      </c>
      <c r="F534" s="15" t="n">
        <f aca="false">Motore_Operativo!AQ534+Motore_Operativo!BF534</f>
        <v>173845.56723159</v>
      </c>
      <c r="G534" s="15" t="n">
        <f aca="false">Motore_Operativo!BH534</f>
        <v>11595.8333333333</v>
      </c>
      <c r="H534" s="15" t="n">
        <f aca="false">Motore_Operativo!BI534</f>
        <v>185441.400564923</v>
      </c>
      <c r="I534" s="15" t="n">
        <f aca="false">Motore_Operativo!CA534</f>
        <v>196997.749399923</v>
      </c>
      <c r="J534" s="15" t="n">
        <f aca="false">Motore_Operativo!CC534</f>
        <v>-11556.3488349995</v>
      </c>
      <c r="K534" s="15" t="n">
        <f aca="false">Motore_Operativo!CE534</f>
        <v>4166.66666666667</v>
      </c>
      <c r="L534" s="15" t="n">
        <f aca="false">SUM(INDEX($K$485:$K$544,MAX(1,50-Parametri_v3!$C$59+1)):K534)/Parametri_v3!$C$59</f>
        <v>2754.62962962963</v>
      </c>
      <c r="M534" s="15" t="n">
        <f aca="false">J534-L534</f>
        <v>-14310.9784646292</v>
      </c>
      <c r="N534" s="15" t="n">
        <f aca="false">CD534-(CD533)</f>
        <v>0</v>
      </c>
      <c r="O534" s="15" t="n">
        <f aca="false">(BG533)*Ipotesi!$C$110/12+CH534*Parametri_v3!$C$39/12</f>
        <v>0</v>
      </c>
      <c r="P534" s="15" t="n">
        <f aca="false">M534+N534-O534</f>
        <v>-14310.9784646292</v>
      </c>
      <c r="Q534" s="15" t="n">
        <f aca="false">SUM(P533:P534)+Parametri_v3!$C$54*2/12</f>
        <v>-30841.1679449309</v>
      </c>
      <c r="R534" s="15" t="n">
        <f aca="false">Z532</f>
        <v>1100781.76028115</v>
      </c>
      <c r="S534" s="15" t="n">
        <f aca="false">AA532</f>
        <v>307724.845970214</v>
      </c>
      <c r="T534" s="15" t="n">
        <f aca="false">MIN(R534,MAX(0,Q534))</f>
        <v>0</v>
      </c>
      <c r="U534" s="15" t="n">
        <f aca="false">MIN(S534,MAX(0,Q534-T534)*Parametri_v3!$C$42)</f>
        <v>0</v>
      </c>
      <c r="V534" s="15" t="n">
        <f aca="false">MAX(0,Q534-T534-U534)*Ipotesi!$C$92</f>
        <v>0</v>
      </c>
      <c r="W534" s="15" t="n">
        <f aca="false">MAX(0,SUM(M533:M534)+Parametri_v3!$C$55*2/12)*Ipotesi!$C$93</f>
        <v>0</v>
      </c>
      <c r="X534" s="15" t="n">
        <f aca="false">V534+W534-(V533+W533)</f>
        <v>0</v>
      </c>
      <c r="Y534" s="15" t="n">
        <f aca="false">P534-X534</f>
        <v>-14310.9784646292</v>
      </c>
      <c r="Z534" s="15" t="n">
        <f aca="false">R534-T534+IF(AND(Parametri_v3!$C$40=1,D534-YEAR(Parametri_v3!$C$50)&lt;Parametri_v3!$C$41),MAX(0,-Q534),0)</f>
        <v>1100781.76028115</v>
      </c>
      <c r="AA534" s="15" t="n">
        <f aca="false">S534-U534+IF(AND(Parametri_v3!$C$40=1,D534-YEAR(Parametri_v3!$C$50)&lt;Parametri_v3!$C$41),0,MAX(0,-Q534))</f>
        <v>338566.013915145</v>
      </c>
      <c r="AB534" s="15" t="n">
        <f aca="false">F534*(1+Parametri_v3!$C$26)</f>
        <v>212091.592022539</v>
      </c>
      <c r="AC534" s="15" t="n">
        <f aca="false">(IF(50-(INT((Motore_Operativo!L534)/30))&lt;1,0,INDEX(Motore_Startup!$AB$485:$AB$544,MAX(1,50-(INT((Motore_Operativo!L534)/30)))))*(1-(MOD((Motore_Operativo!L534),30)/30))+IF(50-(INT((Motore_Operativo!L534)/30))-1&lt;1,0,INDEX(Motore_Startup!$AB$485:$AB$544,MAX(1,50-(INT((Motore_Operativo!L534)/30))-1)))*(MOD((Motore_Operativo!L534),30)/30))</f>
        <v>168220.894485278</v>
      </c>
      <c r="AD534" s="15" t="n">
        <f aca="false">(AD533)+AB534-AC534</f>
        <v>592690.124263435</v>
      </c>
      <c r="AE534" s="15" t="n">
        <f aca="false">Motore_Operativo!BH534*(1+Parametri_v3!$C$26)</f>
        <v>14146.9166666667</v>
      </c>
      <c r="AF534" s="15" t="n">
        <f aca="false">(IF(50-(INT((Parametri_v3!$C$29)/30))&lt;1,0,INDEX(Motore_Operativo!$BH$485:$BH$544,MAX(1,50-(INT((Parametri_v3!$C$29)/30)))))*(1-(MOD((Parametri_v3!$C$29),30)/30))+IF(50-(INT((Parametri_v3!$C$29)/30))-1&lt;1,0,INDEX(Motore_Operativo!$BH$485:$BH$544,MAX(1,50-(INT((Parametri_v3!$C$29)/30))-1)))*(MOD((Parametri_v3!$C$29),30)/30))*(1+Parametri_v3!$C$26)</f>
        <v>14146.9166666667</v>
      </c>
      <c r="AG534" s="15" t="n">
        <f aca="false">(AG533)+AE534-AF534</f>
        <v>14146.9166666667</v>
      </c>
      <c r="AH534" s="15" t="n">
        <f aca="false">(Motore_Operativo!CJ534)*(1+Parametri_v3!$C$27*Parametri_v3!$C$26)</f>
        <v>92016.7398208789</v>
      </c>
      <c r="AI534" s="15" t="n">
        <f aca="false">(IF(50-(INT((Ipotesi!$C$91)/30))&lt;1,0,INDEX(Motore_Startup!$AH$485:$AH$544,MAX(1,50-(INT((Ipotesi!$C$91)/30)))))*(1-(MOD((Ipotesi!$C$91),30)/30))+IF(50-(INT((Ipotesi!$C$91)/30))-1&lt;1,0,INDEX(Motore_Startup!$AH$485:$AH$544,MAX(1,50-(INT((Ipotesi!$C$91)/30))-1)))*(MOD((Ipotesi!$C$91),30)/30))</f>
        <v>74591.0103544752</v>
      </c>
      <c r="AJ534" s="15" t="n">
        <f aca="false">(AJ533)+AH534-AI534</f>
        <v>183593.473380441</v>
      </c>
      <c r="AK534" s="15" t="n">
        <f aca="false">(F534+ Motore_Operativo!BH534-(Motore_Operativo!CJ534)*Parametri_v3!$C$27-Motore_Operativo!CE534)*Parametri_v3!$C$26</f>
        <v>25384.1227158267</v>
      </c>
      <c r="AL534" s="15" t="n">
        <f aca="false">MAX(0,(AM533))</f>
        <v>24870.9321178699</v>
      </c>
      <c r="AM534" s="15" t="n">
        <f aca="false">(AM533)+AK534-AL534</f>
        <v>25384.1227158267</v>
      </c>
      <c r="AN534" s="15" t="n">
        <f aca="false">SUM(X521:X532)</f>
        <v>0</v>
      </c>
      <c r="AO534" s="15" t="n">
        <f aca="false">SUM(AP521:AP532)</f>
        <v>0</v>
      </c>
      <c r="AP534" s="15" t="n">
        <f aca="false">MAX(0,AN534)*IF(2=Parametri_v3!$C$43,Parametri_v3!$C$45,IF(2=Parametri_v3!$C$44,1-Parametri_v3!$C$45,0))</f>
        <v>0</v>
      </c>
      <c r="AQ534" s="15" t="n">
        <f aca="false">MAX(0,AP534+IF(2=Parametri_v3!$C$43,MAX(0,AN534-AO534),0)-MAX(0,-(AR533)))</f>
        <v>0</v>
      </c>
      <c r="AR534" s="15" t="n">
        <f aca="false">(AR533)+X534-AQ534</f>
        <v>0</v>
      </c>
      <c r="AS534" s="15" t="n">
        <f aca="false">Motore_Operativo!AB534-AT534+AU534</f>
        <v>113503.461904792</v>
      </c>
      <c r="AT534" s="15" t="n">
        <f aca="false">Motore_Operativo!CH534</f>
        <v>5973.86641604167</v>
      </c>
      <c r="AU534" s="15" t="n">
        <f aca="false">MIN(MAX(0,(AV533)+AT534),Parametri_v3!$C$60/12)</f>
        <v>0</v>
      </c>
      <c r="AV534" s="15" t="n">
        <f aca="false">(AV533)+AT534-AU534</f>
        <v>149003.283207083</v>
      </c>
      <c r="AW534" s="15" t="n">
        <f aca="false">IF(AND(Motore_Operativo!C534=Finanziamenti!$D$6,Finanziamenti!$F$6=1),Finanziamenti!$C$6,0)</f>
        <v>0</v>
      </c>
      <c r="AX534" s="15" t="n">
        <f aca="false">IF(AND(9&lt;&gt;7,9&lt;&gt;9,Finanziamenti!$F$8=1,OR(Parametri_v3!$C$6=0,Finanziamenti!$E$8=1),Motore_Operativo!C534=EDATE(Finanziamenti!$D$8,Ipotesi!K15*12)),Finanziamenti!$C$8*1,0)+IF(AND(9&lt;&gt;7,9&lt;&gt;9,Finanziamenti!$F$9=1,OR(Parametri_v3!$C$6=0,Finanziamenti!$E$9=1),Motore_Operativo!C534=EDATE(Finanziamenti!$D$9,Ipotesi!K15*12)),Finanziamenti!$C$9*Ipotesi!K16,0)</f>
        <v>0</v>
      </c>
      <c r="AY534" s="15" t="n">
        <f aca="false">0</f>
        <v>0</v>
      </c>
      <c r="AZ534" s="15" t="n">
        <f aca="false">Motore_Advisory!AY534*(1-Ipotesi!$C$95)*Ipotesi!$C$96</f>
        <v>0</v>
      </c>
      <c r="BA534" s="15" t="n">
        <f aca="false">MAX(0,MIN(CG534*MIN(1,IF(Motore_Operativo!C534&gt;=EDATE(Finanziamenti!$D$15,Ipotesi!K14*12),Finanziamenti!$C$15,0)+IF(Motore_Operativo!C534&gt;=EDATE(Finanziamenti!$D$16,Ipotesi!K14*12),Finanziamenti!$C$16,0)+IF(Motore_Operativo!C534&gt;=EDATE(Finanziamenti!$D$17,Ipotesi!K14*12),Finanziamenti!$C$17,0)),CA534*Ipotesi!$C$102)-(CC533))</f>
        <v>0</v>
      </c>
      <c r="BB534" s="15" t="n">
        <f aca="false">IF(AND(CF534&gt;0,Motore_Operativo!C534&gt;=IF(CF534=0,0,EDATE(CF534,Parametri_v3!$C$37)),MOD(((D534-YEAR(IF(CF534=0,0,EDATE(CF534,Parametri_v3!$C$37))))*12+E534-MONTH(IF(CF534=0,0,EDATE(CF534,Parametri_v3!$C$37)))),Parametri_v3!$C$38)=0),MIN(MAX(0,(BC533)+BA534-N534),(CC534-CD534)/(Ipotesi!$C$108*12/Parametri_v3!$C$38)),0)</f>
        <v>0</v>
      </c>
      <c r="BC534" s="15" t="n">
        <f aca="false">(BC533)+BA534-N534-BB534</f>
        <v>0</v>
      </c>
      <c r="BD534" s="15" t="n">
        <f aca="false">(BH533)+AC534+AF534-AI534-AS534-K534*(1+Parametri_v3!$C$26)-AL534-AQ534-O534+AW534+AX534+AZ534+BA534-BB534</f>
        <v>-1576559.4195286</v>
      </c>
      <c r="BE534" s="15" t="n">
        <f aca="false">MAX(0,MIN(MAX(0,CH534-(BG533)),Parametri_v3!$C$30-BD534))</f>
        <v>0</v>
      </c>
      <c r="BF534" s="15" t="n">
        <f aca="false">IF(Motore_Operativo!C534&gt;=Parametri_v3!$C$63,(BG533),MIN((BG533),MAX(0,BD534-Parametri_v3!$C$30)))</f>
        <v>0</v>
      </c>
      <c r="BG534" s="15" t="n">
        <f aca="false">(BG533)+BE534-BF534</f>
        <v>0</v>
      </c>
      <c r="BH534" s="15" t="n">
        <f aca="false">BD534+BE534-BF534-AY534</f>
        <v>-1576559.4195286</v>
      </c>
      <c r="BI534" s="15" t="n">
        <f aca="false">MAX(0,Parametri_v3!$C$30-BH534)</f>
        <v>1601559.4195286</v>
      </c>
      <c r="BJ534" s="15" t="n">
        <f aca="false">(BJ533)+K534</f>
        <v>123333.333333333</v>
      </c>
      <c r="BK534" s="15" t="n">
        <f aca="false">(BK533)+L534</f>
        <v>69270.8333333333</v>
      </c>
      <c r="BL534" s="15" t="n">
        <f aca="false">BJ534-BK534</f>
        <v>54062.4999999999</v>
      </c>
      <c r="BM534" s="15" t="n">
        <f aca="false">(BM533)+Y534</f>
        <v>-1439347.7741963</v>
      </c>
      <c r="BN534" s="15" t="n">
        <f aca="false">(BN533)+AW534+AX534+AZ534</f>
        <v>165707.016294444</v>
      </c>
      <c r="BO534" s="15" t="n">
        <f aca="false">(BO533)+AY534</f>
        <v>0</v>
      </c>
      <c r="BP534" s="15" t="n">
        <f aca="false">0</f>
        <v>0</v>
      </c>
      <c r="BQ534" s="15" t="n">
        <f aca="false">BN534+BM534-BO534</f>
        <v>-1273640.75790185</v>
      </c>
      <c r="BR534" s="15" t="n">
        <f aca="false">BH534+AD534+BL534+MAX(0,-AM534)+MAX(0,-AR534)+AG534</f>
        <v>-915659.878598503</v>
      </c>
      <c r="BS534" s="15" t="n">
        <f aca="false">AJ534+AV534+MAX(0,AM534)+MAX(0,AR534)+BC534+BG534+BQ534</f>
        <v>-915659.878598501</v>
      </c>
      <c r="BT534" s="15" t="n">
        <f aca="false">BR534-BS534</f>
        <v>0</v>
      </c>
      <c r="BU534" s="15" t="n">
        <f aca="false">BH534-(BD534+BE534-BF534-AY534)</f>
        <v>0</v>
      </c>
      <c r="BV534" s="15" t="n">
        <f aca="false">MIN(Piano_SS!$C$6,(BV533)+IF(AND(Motore_Operativo!C534&gt;=EDATE(Parametri_v3!$C$24,Ipotesi!K14*12),Motore_Operativo!C534&lt;EDATE(Parametri_v3!$C$24,Parametri_v3!$C$25+Ipotesi!K14*12)),MAX(0,(Motore_Operativo!Y534+Motore_Operativo!X534*Parametri_v3!$C$14)*(1-Parametri_v3!$C$32))*Piano_SS!$D$6,0))</f>
        <v>300000</v>
      </c>
      <c r="BW534" s="15" t="n">
        <f aca="false">MIN(Piano_SS!$C$7,(BW533)+IF(AND(Motore_Operativo!C534&gt;=EDATE(Parametri_v3!$C$24,Ipotesi!K14*12),Motore_Operativo!C534&lt;EDATE(Parametri_v3!$C$24,Parametri_v3!$C$25+Ipotesi!K14*12)),MAX(0,(IF(50-(INT((Ipotesi!$C$91)/30))&lt;1,0,INDEX(Motore_Operativo!$BN$485:$BN$544,MAX(1,50-(INT((Ipotesi!$C$91)/30)))))*(1-(MOD((Ipotesi!$C$91),30)/30))+IF(50-(INT((Ipotesi!$C$91)/30))-1&lt;1,0,INDEX(Motore_Operativo!$BN$485:$BN$544,MAX(1,50-(INT((Ipotesi!$C$91)/30))-1)))*(MOD((Ipotesi!$C$91),30)/30)))*Piano_SS!$D$7,0))</f>
        <v>41058.9230070837</v>
      </c>
      <c r="BX534" s="15" t="n">
        <f aca="false">MIN(Piano_SS!$C$8,(BX533)+IF(AND(Motore_Operativo!C534&gt;=EDATE(Parametri_v3!$C$24,Ipotesi!K14*12),Motore_Operativo!C534&lt;EDATE(Parametri_v3!$C$24,Parametri_v3!$C$25+Ipotesi!K14*12)),MAX(0,Motore_Operativo!CE534)*Piano_SS!$D$8,0))</f>
        <v>50000</v>
      </c>
      <c r="BY534" s="15" t="n">
        <f aca="false">MIN(Piano_SS!$C$9,(BY533)+IF(AND(Motore_Operativo!C534&gt;=EDATE(Parametri_v3!$C$24,Ipotesi!K14*12),Motore_Operativo!C534&lt;EDATE(Parametri_v3!$C$24,Parametri_v3!$C$25+Ipotesi!K14*12)),MAX(0,((IF(50-(INT((Ipotesi!$C$91)/30))&lt;1,0,INDEX(Motore_Operativo!$BQ$485:$BQ$544,MAX(1,50-(INT((Ipotesi!$C$91)/30)))))*(1-(MOD((Ipotesi!$C$91),30)/30))+IF(50-(INT((Ipotesi!$C$91)/30))-1&lt;1,0,INDEX(Motore_Operativo!$BQ$485:$BQ$544,MAX(1,50-(INT((Ipotesi!$C$91)/30))-1)))*(MOD((Ipotesi!$C$91),30)/30))+(IF(50-(INT((Ipotesi!$C$91)/30))&lt;1,0,INDEX(Motore_Operativo!$BR$485:$BR$544,MAX(1,50-(INT((Ipotesi!$C$91)/30)))))*(1-(MOD((Ipotesi!$C$91),30)/30))+IF(50-(INT((Ipotesi!$C$91)/30))-1&lt;1,0,INDEX(Motore_Operativo!$BR$485:$BR$544,MAX(1,50-(INT((Ipotesi!$C$91)/30))-1)))*(MOD((Ipotesi!$C$91),30)/30))))*Piano_SS!$D$9,0))</f>
        <v>40000</v>
      </c>
      <c r="BZ534" s="15" t="n">
        <f aca="false">MIN(Piano_SS!$C$10,(BZ533)+IF(AND(Motore_Operativo!C534&gt;=EDATE(Parametri_v3!$C$24,Ipotesi!K14*12),Motore_Operativo!C534&lt;EDATE(Parametri_v3!$C$24,Parametri_v3!$C$25+Ipotesi!K14*12)),MAX(0,(IF(50-(INT((Ipotesi!$C$91)/30))&lt;1,0,INDEX(Motore_Operativo!$BO$485:$BO$544,MAX(1,50-(INT((Ipotesi!$C$91)/30)))))*(1-(MOD((Ipotesi!$C$91),30)/30))+IF(50-(INT((Ipotesi!$C$91)/30))-1&lt;1,0,INDEX(Motore_Operativo!$BO$485:$BO$544,MAX(1,50-(INT((Ipotesi!$C$91)/30))-1)))*(MOD((Ipotesi!$C$91),30)/30)))*Piano_SS!$D$10,0))</f>
        <v>30000</v>
      </c>
      <c r="CA534" s="15" t="n">
        <f aca="false">SUM(BV534:BZ534)</f>
        <v>461058.923007084</v>
      </c>
      <c r="CB534" s="15" t="n">
        <f aca="false">BV534*(1-Piano_SS!$E$6)+BW534*(1-Piano_SS!$E$7)+BX534*(1-Piano_SS!$E$8)+BY534*(1-Piano_SS!$E$9)+BZ534*(1-Piano_SS!$E$10)</f>
        <v>431058.923007084</v>
      </c>
      <c r="CC534" s="15" t="n">
        <f aca="false">(CC533)+BA534</f>
        <v>0</v>
      </c>
      <c r="CD534" s="15" t="n">
        <f aca="false">IF(CA534=0,0,CC534*CB534/CA534*Ipotesi!$C$103*Parametri_v3!$C$64)</f>
        <v>0</v>
      </c>
      <c r="CE534" s="18" t="n">
        <f aca="false">IF(BA534&gt;0,Motore_Operativo!C534,(CE533))</f>
        <v>0</v>
      </c>
      <c r="CF534" s="18" t="n">
        <f aca="false">IF(AND(CC534&gt;0,OR(CC534&gt;=CG534-0.01,Motore_Operativo!C534&gt;=EDATE(MAX(Finanziamenti!$D$15:$D$17),Ipotesi!K14*12))),CE534,0)</f>
        <v>0</v>
      </c>
      <c r="CG534" s="15" t="n">
        <f aca="false">IF(AND(9&lt;&gt;6,9&lt;&gt;9,Finanziamenti!$F$11=1,OR(Parametri_v3!$C$6=0,Finanziamenti!$E$11=1)),MIN(Finanziamenti!$C$11,Piano_SS!$C$12*Ipotesi!$C$102),0)</f>
        <v>0</v>
      </c>
      <c r="CH534" s="15" t="n">
        <f aca="false">IF(AND(AND(9&lt;&gt;8,9&lt;&gt;9,Finanziamenti!$F$10=1,OR(Parametri_v3!$C$6=0,Finanziamenti!$E$10=1)),Motore_Operativo!C534&gt;=Finanziamenti!$D$10,Motore_Operativo!C534&lt;Parametri_v3!$C$63),Finanziamenti!$C$10,0)</f>
        <v>0</v>
      </c>
    </row>
    <row r="535" customFormat="false" ht="18" hidden="false" customHeight="true" outlineLevel="0" collapsed="false">
      <c r="A535" s="68" t="n">
        <f aca="false">9</f>
        <v>9</v>
      </c>
      <c r="B535" s="68" t="n">
        <f aca="false">51</f>
        <v>51</v>
      </c>
      <c r="C535" s="18" t="n">
        <f aca="false">Motore_Operativo!C535</f>
        <v>47908</v>
      </c>
      <c r="D535" s="68" t="n">
        <f aca="false">Motore_Operativo!D535</f>
        <v>2031</v>
      </c>
      <c r="E535" s="68" t="n">
        <f aca="false">Motore_Operativo!E535</f>
        <v>3</v>
      </c>
      <c r="F535" s="15" t="n">
        <f aca="false">Motore_Operativo!AQ535+Motore_Operativo!BF535</f>
        <v>176470.190518164</v>
      </c>
      <c r="G535" s="15" t="n">
        <f aca="false">Motore_Operativo!BH535</f>
        <v>11595.8333333333</v>
      </c>
      <c r="H535" s="15" t="n">
        <f aca="false">Motore_Operativo!BI535</f>
        <v>188066.023851497</v>
      </c>
      <c r="I535" s="15" t="n">
        <f aca="false">Motore_Operativo!CA535</f>
        <v>197365.196660043</v>
      </c>
      <c r="J535" s="15" t="n">
        <f aca="false">Motore_Operativo!CC535</f>
        <v>-9299.17280854564</v>
      </c>
      <c r="K535" s="15" t="n">
        <f aca="false">Motore_Operativo!CE535</f>
        <v>4166.66666666667</v>
      </c>
      <c r="L535" s="15" t="n">
        <f aca="false">SUM(INDEX($K$485:$K$544,MAX(1,51-Parametri_v3!$C$59+1)):K535)/Parametri_v3!$C$59</f>
        <v>2812.5</v>
      </c>
      <c r="M535" s="15" t="n">
        <f aca="false">J535-L535</f>
        <v>-12111.6728085456</v>
      </c>
      <c r="N535" s="15" t="n">
        <f aca="false">CD535-(CD534)</f>
        <v>0</v>
      </c>
      <c r="O535" s="15" t="n">
        <f aca="false">(BG534)*Ipotesi!$C$110/12+CH535*Parametri_v3!$C$39/12</f>
        <v>0</v>
      </c>
      <c r="P535" s="15" t="n">
        <f aca="false">M535+N535-O535</f>
        <v>-12111.6728085456</v>
      </c>
      <c r="Q535" s="15" t="n">
        <f aca="false">SUM(P533:P535)+Parametri_v3!$C$54*3/12</f>
        <v>-42952.8407534765</v>
      </c>
      <c r="R535" s="15" t="n">
        <f aca="false">Z532</f>
        <v>1100781.76028115</v>
      </c>
      <c r="S535" s="15" t="n">
        <f aca="false">AA532</f>
        <v>307724.845970214</v>
      </c>
      <c r="T535" s="15" t="n">
        <f aca="false">MIN(R535,MAX(0,Q535))</f>
        <v>0</v>
      </c>
      <c r="U535" s="15" t="n">
        <f aca="false">MIN(S535,MAX(0,Q535-T535)*Parametri_v3!$C$42)</f>
        <v>0</v>
      </c>
      <c r="V535" s="15" t="n">
        <f aca="false">MAX(0,Q535-T535-U535)*Ipotesi!$C$92</f>
        <v>0</v>
      </c>
      <c r="W535" s="15" t="n">
        <f aca="false">MAX(0,SUM(M533:M535)+Parametri_v3!$C$55*3/12)*Ipotesi!$C$93</f>
        <v>0</v>
      </c>
      <c r="X535" s="15" t="n">
        <f aca="false">V535+W535-(V534+W534)</f>
        <v>0</v>
      </c>
      <c r="Y535" s="15" t="n">
        <f aca="false">P535-X535</f>
        <v>-12111.6728085456</v>
      </c>
      <c r="Z535" s="15" t="n">
        <f aca="false">R535-T535+IF(AND(Parametri_v3!$C$40=1,D535-YEAR(Parametri_v3!$C$50)&lt;Parametri_v3!$C$41),MAX(0,-Q535),0)</f>
        <v>1100781.76028115</v>
      </c>
      <c r="AA535" s="15" t="n">
        <f aca="false">S535-U535+IF(AND(Parametri_v3!$C$40=1,D535-YEAR(Parametri_v3!$C$50)&lt;Parametri_v3!$C$41),0,MAX(0,-Q535))</f>
        <v>350677.686723691</v>
      </c>
      <c r="AB535" s="15" t="n">
        <f aca="false">F535*(1+Parametri_v3!$C$26)</f>
        <v>215293.63243216</v>
      </c>
      <c r="AC535" s="15" t="n">
        <f aca="false">(IF(51-(INT((Motore_Operativo!L535)/30))&lt;1,0,INDEX(Motore_Startup!$AB$485:$AB$544,MAX(1,51-(INT((Motore_Operativo!L535)/30)))))*(1-(MOD((Motore_Operativo!L535),30)/30))+IF(51-(INT((Motore_Operativo!L535)/30))-1&lt;1,0,INDEX(Motore_Startup!$AB$485:$AB$544,MAX(1,51-(INT((Motore_Operativo!L535)/30))-1)))*(MOD((Motore_Operativo!L535),30)/30))</f>
        <v>171737.218463673</v>
      </c>
      <c r="AD535" s="15" t="n">
        <f aca="false">(AD534)+AB535-AC535</f>
        <v>636246.538231922</v>
      </c>
      <c r="AE535" s="15" t="n">
        <f aca="false">Motore_Operativo!BH535*(1+Parametri_v3!$C$26)</f>
        <v>14146.9166666667</v>
      </c>
      <c r="AF535" s="15" t="n">
        <f aca="false">(IF(51-(INT((Parametri_v3!$C$29)/30))&lt;1,0,INDEX(Motore_Operativo!$BH$485:$BH$544,MAX(1,51-(INT((Parametri_v3!$C$29)/30)))))*(1-(MOD((Parametri_v3!$C$29),30)/30))+IF(51-(INT((Parametri_v3!$C$29)/30))-1&lt;1,0,INDEX(Motore_Operativo!$BH$485:$BH$544,MAX(1,51-(INT((Parametri_v3!$C$29)/30))-1)))*(MOD((Parametri_v3!$C$29),30)/30))*(1+Parametri_v3!$C$26)</f>
        <v>14146.9166666667</v>
      </c>
      <c r="AG535" s="15" t="n">
        <f aca="false">(AG534)+AE535-AF535</f>
        <v>14146.9166666667</v>
      </c>
      <c r="AH535" s="15" t="n">
        <f aca="false">(Motore_Operativo!CJ535)*(1+Parametri_v3!$C$27*Parametri_v3!$C$26)</f>
        <v>92452.8997186419</v>
      </c>
      <c r="AI535" s="15" t="n">
        <f aca="false">(IF(51-(INT((Ipotesi!$C$91)/30))&lt;1,0,INDEX(Motore_Startup!$AH$485:$AH$544,MAX(1,51-(INT((Ipotesi!$C$91)/30)))))*(1-(MOD((Ipotesi!$C$91),30)/30))+IF(51-(INT((Ipotesi!$C$91)/30))-1&lt;1,0,INDEX(Motore_Startup!$AH$485:$AH$544,MAX(1,51-(INT((Ipotesi!$C$91)/30))-1)))*(MOD((Ipotesi!$C$91),30)/30))</f>
        <v>91576.7335595619</v>
      </c>
      <c r="AJ535" s="15" t="n">
        <f aca="false">(AJ534)+AH535-AI535</f>
        <v>184469.639539521</v>
      </c>
      <c r="AK535" s="15" t="n">
        <f aca="false">(F535+ Motore_Operativo!BH535-(Motore_Operativo!CJ535)*Parametri_v3!$C$27-Motore_Operativo!CE535)*Parametri_v3!$C$26</f>
        <v>25892.8272012306</v>
      </c>
      <c r="AL535" s="15" t="n">
        <f aca="false">MAX(0,(AM534))</f>
        <v>25384.1227158267</v>
      </c>
      <c r="AM535" s="15" t="n">
        <f aca="false">(AM534)+AK535-AL535</f>
        <v>25892.8272012306</v>
      </c>
      <c r="AN535" s="15" t="n">
        <f aca="false">SUM(X521:X532)</f>
        <v>0</v>
      </c>
      <c r="AO535" s="15" t="n">
        <f aca="false">SUM(AP521:AP532)</f>
        <v>0</v>
      </c>
      <c r="AP535" s="15" t="n">
        <f aca="false">MAX(0,AN535)*IF(3=Parametri_v3!$C$43,Parametri_v3!$C$45,IF(3=Parametri_v3!$C$44,1-Parametri_v3!$C$45,0))</f>
        <v>0</v>
      </c>
      <c r="AQ535" s="15" t="n">
        <f aca="false">MAX(0,AP535+IF(3=Parametri_v3!$C$43,MAX(0,AN535-AO535),0)-MAX(0,-(AR534)))</f>
        <v>0</v>
      </c>
      <c r="AR535" s="15" t="n">
        <f aca="false">(AR534)+X535-AQ535</f>
        <v>0</v>
      </c>
      <c r="AS535" s="15" t="n">
        <f aca="false">Motore_Operativo!AB535-AT535+AU535</f>
        <v>113503.461904792</v>
      </c>
      <c r="AT535" s="15" t="n">
        <f aca="false">Motore_Operativo!CH535</f>
        <v>5973.86641604167</v>
      </c>
      <c r="AU535" s="15" t="n">
        <f aca="false">MIN(MAX(0,(AV534)+AT535),Parametri_v3!$C$60/12)</f>
        <v>0</v>
      </c>
      <c r="AV535" s="15" t="n">
        <f aca="false">(AV534)+AT535-AU535</f>
        <v>154977.149623125</v>
      </c>
      <c r="AW535" s="15" t="n">
        <f aca="false">IF(AND(Motore_Operativo!C535=Finanziamenti!$D$6,Finanziamenti!$F$6=1),Finanziamenti!$C$6,0)</f>
        <v>0</v>
      </c>
      <c r="AX535" s="15" t="n">
        <f aca="false">IF(AND(9&lt;&gt;7,9&lt;&gt;9,Finanziamenti!$F$8=1,OR(Parametri_v3!$C$6=0,Finanziamenti!$E$8=1),Motore_Operativo!C535=EDATE(Finanziamenti!$D$8,Ipotesi!K15*12)),Finanziamenti!$C$8*1,0)+IF(AND(9&lt;&gt;7,9&lt;&gt;9,Finanziamenti!$F$9=1,OR(Parametri_v3!$C$6=0,Finanziamenti!$E$9=1),Motore_Operativo!C535=EDATE(Finanziamenti!$D$9,Ipotesi!K15*12)),Finanziamenti!$C$9*Ipotesi!K16,0)</f>
        <v>0</v>
      </c>
      <c r="AY535" s="15" t="n">
        <f aca="false">0</f>
        <v>0</v>
      </c>
      <c r="AZ535" s="15" t="n">
        <f aca="false">Motore_Advisory!AY535*(1-Ipotesi!$C$95)*Ipotesi!$C$96</f>
        <v>0</v>
      </c>
      <c r="BA535" s="15" t="n">
        <f aca="false">MAX(0,MIN(CG535*MIN(1,IF(Motore_Operativo!C535&gt;=EDATE(Finanziamenti!$D$15,Ipotesi!K14*12),Finanziamenti!$C$15,0)+IF(Motore_Operativo!C535&gt;=EDATE(Finanziamenti!$D$16,Ipotesi!K14*12),Finanziamenti!$C$16,0)+IF(Motore_Operativo!C535&gt;=EDATE(Finanziamenti!$D$17,Ipotesi!K14*12),Finanziamenti!$C$17,0)),CA535*Ipotesi!$C$102)-(CC534))</f>
        <v>0</v>
      </c>
      <c r="BB535" s="15" t="n">
        <f aca="false">IF(AND(CF535&gt;0,Motore_Operativo!C535&gt;=IF(CF535=0,0,EDATE(CF535,Parametri_v3!$C$37)),MOD(((D535-YEAR(IF(CF535=0,0,EDATE(CF535,Parametri_v3!$C$37))))*12+E535-MONTH(IF(CF535=0,0,EDATE(CF535,Parametri_v3!$C$37)))),Parametri_v3!$C$38)=0),MIN(MAX(0,(BC534)+BA535-N535),(CC535-CD535)/(Ipotesi!$C$108*12/Parametri_v3!$C$38)),0)</f>
        <v>0</v>
      </c>
      <c r="BC535" s="15" t="n">
        <f aca="false">(BC534)+BA535-N535-BB535</f>
        <v>0</v>
      </c>
      <c r="BD535" s="15" t="n">
        <f aca="false">(BH534)+AC535+AF535-AI535-AS535-K535*(1+Parametri_v3!$C$26)-AL535-AQ535-O535+AW535+AX535+AZ535+BA535-BB535</f>
        <v>-1626222.93591178</v>
      </c>
      <c r="BE535" s="15" t="n">
        <f aca="false">MAX(0,MIN(MAX(0,CH535-(BG534)),Parametri_v3!$C$30-BD535))</f>
        <v>0</v>
      </c>
      <c r="BF535" s="15" t="n">
        <f aca="false">IF(Motore_Operativo!C535&gt;=Parametri_v3!$C$63,(BG534),MIN((BG534),MAX(0,BD535-Parametri_v3!$C$30)))</f>
        <v>0</v>
      </c>
      <c r="BG535" s="15" t="n">
        <f aca="false">(BG534)+BE535-BF535</f>
        <v>0</v>
      </c>
      <c r="BH535" s="15" t="n">
        <f aca="false">BD535+BE535-BF535-AY535</f>
        <v>-1626222.93591178</v>
      </c>
      <c r="BI535" s="15" t="n">
        <f aca="false">MAX(0,Parametri_v3!$C$30-BH535)</f>
        <v>1651222.93591178</v>
      </c>
      <c r="BJ535" s="15" t="n">
        <f aca="false">(BJ534)+K535</f>
        <v>127500</v>
      </c>
      <c r="BK535" s="15" t="n">
        <f aca="false">(BK534)+L535</f>
        <v>72083.3333333333</v>
      </c>
      <c r="BL535" s="15" t="n">
        <f aca="false">BJ535-BK535</f>
        <v>55416.6666666666</v>
      </c>
      <c r="BM535" s="15" t="n">
        <f aca="false">(BM534)+Y535</f>
        <v>-1451459.44700484</v>
      </c>
      <c r="BN535" s="15" t="n">
        <f aca="false">(BN534)+AW535+AX535+AZ535</f>
        <v>165707.016294444</v>
      </c>
      <c r="BO535" s="15" t="n">
        <f aca="false">(BO534)+AY535</f>
        <v>0</v>
      </c>
      <c r="BP535" s="15" t="n">
        <f aca="false">0</f>
        <v>0</v>
      </c>
      <c r="BQ535" s="15" t="n">
        <f aca="false">BN535+BM535-BO535</f>
        <v>-1285752.4307104</v>
      </c>
      <c r="BR535" s="15" t="n">
        <f aca="false">BH535+AD535+BL535+MAX(0,-AM535)+MAX(0,-AR535)+AG535</f>
        <v>-920412.814346523</v>
      </c>
      <c r="BS535" s="15" t="n">
        <f aca="false">AJ535+AV535+MAX(0,AM535)+MAX(0,AR535)+BC535+BG535+BQ535</f>
        <v>-920412.814346521</v>
      </c>
      <c r="BT535" s="15" t="n">
        <f aca="false">BR535-BS535</f>
        <v>0</v>
      </c>
      <c r="BU535" s="15" t="n">
        <f aca="false">BH535-(BD535+BE535-BF535-AY535)</f>
        <v>0</v>
      </c>
      <c r="BV535" s="15" t="n">
        <f aca="false">MIN(Piano_SS!$C$6,(BV534)+IF(AND(Motore_Operativo!C535&gt;=EDATE(Parametri_v3!$C$24,Ipotesi!K14*12),Motore_Operativo!C535&lt;EDATE(Parametri_v3!$C$24,Parametri_v3!$C$25+Ipotesi!K14*12)),MAX(0,(Motore_Operativo!Y535+Motore_Operativo!X535*Parametri_v3!$C$14)*(1-Parametri_v3!$C$32))*Piano_SS!$D$6,0))</f>
        <v>300000</v>
      </c>
      <c r="BW535" s="15" t="n">
        <f aca="false">MIN(Piano_SS!$C$7,(BW534)+IF(AND(Motore_Operativo!C535&gt;=EDATE(Parametri_v3!$C$24,Ipotesi!K14*12),Motore_Operativo!C535&lt;EDATE(Parametri_v3!$C$24,Parametri_v3!$C$25+Ipotesi!K14*12)),MAX(0,(IF(51-(INT((Ipotesi!$C$91)/30))&lt;1,0,INDEX(Motore_Operativo!$BN$485:$BN$544,MAX(1,51-(INT((Ipotesi!$C$91)/30)))))*(1-(MOD((Ipotesi!$C$91),30)/30))+IF(51-(INT((Ipotesi!$C$91)/30))-1&lt;1,0,INDEX(Motore_Operativo!$BN$485:$BN$544,MAX(1,51-(INT((Ipotesi!$C$91)/30))-1)))*(MOD((Ipotesi!$C$91),30)/30)))*Piano_SS!$D$7,0))</f>
        <v>41058.9230070837</v>
      </c>
      <c r="BX535" s="15" t="n">
        <f aca="false">MIN(Piano_SS!$C$8,(BX534)+IF(AND(Motore_Operativo!C535&gt;=EDATE(Parametri_v3!$C$24,Ipotesi!K14*12),Motore_Operativo!C535&lt;EDATE(Parametri_v3!$C$24,Parametri_v3!$C$25+Ipotesi!K14*12)),MAX(0,Motore_Operativo!CE535)*Piano_SS!$D$8,0))</f>
        <v>50000</v>
      </c>
      <c r="BY535" s="15" t="n">
        <f aca="false">MIN(Piano_SS!$C$9,(BY534)+IF(AND(Motore_Operativo!C535&gt;=EDATE(Parametri_v3!$C$24,Ipotesi!K14*12),Motore_Operativo!C535&lt;EDATE(Parametri_v3!$C$24,Parametri_v3!$C$25+Ipotesi!K14*12)),MAX(0,((IF(51-(INT((Ipotesi!$C$91)/30))&lt;1,0,INDEX(Motore_Operativo!$BQ$485:$BQ$544,MAX(1,51-(INT((Ipotesi!$C$91)/30)))))*(1-(MOD((Ipotesi!$C$91),30)/30))+IF(51-(INT((Ipotesi!$C$91)/30))-1&lt;1,0,INDEX(Motore_Operativo!$BQ$485:$BQ$544,MAX(1,51-(INT((Ipotesi!$C$91)/30))-1)))*(MOD((Ipotesi!$C$91),30)/30))+(IF(51-(INT((Ipotesi!$C$91)/30))&lt;1,0,INDEX(Motore_Operativo!$BR$485:$BR$544,MAX(1,51-(INT((Ipotesi!$C$91)/30)))))*(1-(MOD((Ipotesi!$C$91),30)/30))+IF(51-(INT((Ipotesi!$C$91)/30))-1&lt;1,0,INDEX(Motore_Operativo!$BR$485:$BR$544,MAX(1,51-(INT((Ipotesi!$C$91)/30))-1)))*(MOD((Ipotesi!$C$91),30)/30))))*Piano_SS!$D$9,0))</f>
        <v>40000</v>
      </c>
      <c r="BZ535" s="15" t="n">
        <f aca="false">MIN(Piano_SS!$C$10,(BZ534)+IF(AND(Motore_Operativo!C535&gt;=EDATE(Parametri_v3!$C$24,Ipotesi!K14*12),Motore_Operativo!C535&lt;EDATE(Parametri_v3!$C$24,Parametri_v3!$C$25+Ipotesi!K14*12)),MAX(0,(IF(51-(INT((Ipotesi!$C$91)/30))&lt;1,0,INDEX(Motore_Operativo!$BO$485:$BO$544,MAX(1,51-(INT((Ipotesi!$C$91)/30)))))*(1-(MOD((Ipotesi!$C$91),30)/30))+IF(51-(INT((Ipotesi!$C$91)/30))-1&lt;1,0,INDEX(Motore_Operativo!$BO$485:$BO$544,MAX(1,51-(INT((Ipotesi!$C$91)/30))-1)))*(MOD((Ipotesi!$C$91),30)/30)))*Piano_SS!$D$10,0))</f>
        <v>30000</v>
      </c>
      <c r="CA535" s="15" t="n">
        <f aca="false">SUM(BV535:BZ535)</f>
        <v>461058.923007084</v>
      </c>
      <c r="CB535" s="15" t="n">
        <f aca="false">BV535*(1-Piano_SS!$E$6)+BW535*(1-Piano_SS!$E$7)+BX535*(1-Piano_SS!$E$8)+BY535*(1-Piano_SS!$E$9)+BZ535*(1-Piano_SS!$E$10)</f>
        <v>431058.923007084</v>
      </c>
      <c r="CC535" s="15" t="n">
        <f aca="false">(CC534)+BA535</f>
        <v>0</v>
      </c>
      <c r="CD535" s="15" t="n">
        <f aca="false">IF(CA535=0,0,CC535*CB535/CA535*Ipotesi!$C$103*Parametri_v3!$C$64)</f>
        <v>0</v>
      </c>
      <c r="CE535" s="18" t="n">
        <f aca="false">IF(BA535&gt;0,Motore_Operativo!C535,(CE534))</f>
        <v>0</v>
      </c>
      <c r="CF535" s="18" t="n">
        <f aca="false">IF(AND(CC535&gt;0,OR(CC535&gt;=CG535-0.01,Motore_Operativo!C535&gt;=EDATE(MAX(Finanziamenti!$D$15:$D$17),Ipotesi!K14*12))),CE535,0)</f>
        <v>0</v>
      </c>
      <c r="CG535" s="15" t="n">
        <f aca="false">IF(AND(9&lt;&gt;6,9&lt;&gt;9,Finanziamenti!$F$11=1,OR(Parametri_v3!$C$6=0,Finanziamenti!$E$11=1)),MIN(Finanziamenti!$C$11,Piano_SS!$C$12*Ipotesi!$C$102),0)</f>
        <v>0</v>
      </c>
      <c r="CH535" s="15" t="n">
        <f aca="false">IF(AND(AND(9&lt;&gt;8,9&lt;&gt;9,Finanziamenti!$F$10=1,OR(Parametri_v3!$C$6=0,Finanziamenti!$E$10=1)),Motore_Operativo!C535&gt;=Finanziamenti!$D$10,Motore_Operativo!C535&lt;Parametri_v3!$C$63),Finanziamenti!$C$10,0)</f>
        <v>0</v>
      </c>
    </row>
    <row r="536" customFormat="false" ht="18" hidden="false" customHeight="true" outlineLevel="0" collapsed="false">
      <c r="A536" s="68" t="n">
        <f aca="false">9</f>
        <v>9</v>
      </c>
      <c r="B536" s="68" t="n">
        <f aca="false">52</f>
        <v>52</v>
      </c>
      <c r="C536" s="18" t="n">
        <f aca="false">Motore_Operativo!C536</f>
        <v>47939</v>
      </c>
      <c r="D536" s="68" t="n">
        <f aca="false">Motore_Operativo!D536</f>
        <v>2031</v>
      </c>
      <c r="E536" s="68" t="n">
        <f aca="false">Motore_Operativo!E536</f>
        <v>4</v>
      </c>
      <c r="F536" s="15" t="n">
        <f aca="false">Motore_Operativo!AQ536+Motore_Operativo!BF536</f>
        <v>179521.028119095</v>
      </c>
      <c r="G536" s="15" t="n">
        <f aca="false">Motore_Operativo!BH536</f>
        <v>11595.8333333333</v>
      </c>
      <c r="H536" s="15" t="n">
        <f aca="false">Motore_Operativo!BI536</f>
        <v>191116.861452429</v>
      </c>
      <c r="I536" s="15" t="n">
        <f aca="false">Motore_Operativo!CA536</f>
        <v>197792.313924173</v>
      </c>
      <c r="J536" s="15" t="n">
        <f aca="false">Motore_Operativo!CC536</f>
        <v>-6675.45247174462</v>
      </c>
      <c r="K536" s="15" t="n">
        <f aca="false">Motore_Operativo!CE536</f>
        <v>4166.66666666667</v>
      </c>
      <c r="L536" s="15" t="n">
        <f aca="false">SUM(INDEX($K$485:$K$544,MAX(1,52-Parametri_v3!$C$59+1)):K536)/Parametri_v3!$C$59</f>
        <v>2870.37037037037</v>
      </c>
      <c r="M536" s="15" t="n">
        <f aca="false">J536-L536</f>
        <v>-9545.82284211499</v>
      </c>
      <c r="N536" s="15" t="n">
        <f aca="false">CD536-(CD535)</f>
        <v>0</v>
      </c>
      <c r="O536" s="15" t="n">
        <f aca="false">(BG535)*Ipotesi!$C$110/12+CH536*Parametri_v3!$C$39/12</f>
        <v>0</v>
      </c>
      <c r="P536" s="15" t="n">
        <f aca="false">M536+N536-O536</f>
        <v>-9545.82284211499</v>
      </c>
      <c r="Q536" s="15" t="n">
        <f aca="false">SUM(P533:P536)+Parametri_v3!$C$54*4/12</f>
        <v>-52498.6635955915</v>
      </c>
      <c r="R536" s="15" t="n">
        <f aca="false">Z532</f>
        <v>1100781.76028115</v>
      </c>
      <c r="S536" s="15" t="n">
        <f aca="false">AA532</f>
        <v>307724.845970214</v>
      </c>
      <c r="T536" s="15" t="n">
        <f aca="false">MIN(R536,MAX(0,Q536))</f>
        <v>0</v>
      </c>
      <c r="U536" s="15" t="n">
        <f aca="false">MIN(S536,MAX(0,Q536-T536)*Parametri_v3!$C$42)</f>
        <v>0</v>
      </c>
      <c r="V536" s="15" t="n">
        <f aca="false">MAX(0,Q536-T536-U536)*Ipotesi!$C$92</f>
        <v>0</v>
      </c>
      <c r="W536" s="15" t="n">
        <f aca="false">MAX(0,SUM(M533:M536)+Parametri_v3!$C$55*4/12)*Ipotesi!$C$93</f>
        <v>0</v>
      </c>
      <c r="X536" s="15" t="n">
        <f aca="false">V536+W536-(V535+W535)</f>
        <v>0</v>
      </c>
      <c r="Y536" s="15" t="n">
        <f aca="false">P536-X536</f>
        <v>-9545.82284211499</v>
      </c>
      <c r="Z536" s="15" t="n">
        <f aca="false">R536-T536+IF(AND(Parametri_v3!$C$40=1,D536-YEAR(Parametri_v3!$C$50)&lt;Parametri_v3!$C$41),MAX(0,-Q536),0)</f>
        <v>1100781.76028115</v>
      </c>
      <c r="AA536" s="15" t="n">
        <f aca="false">S536-U536+IF(AND(Parametri_v3!$C$40=1,D536-YEAR(Parametri_v3!$C$50)&lt;Parametri_v3!$C$41),0,MAX(0,-Q536))</f>
        <v>360223.509565806</v>
      </c>
      <c r="AB536" s="15" t="n">
        <f aca="false">F536*(1+Parametri_v3!$C$26)</f>
        <v>219015.654305296</v>
      </c>
      <c r="AC536" s="15" t="n">
        <f aca="false">(IF(52-(INT((Motore_Operativo!L536)/30))&lt;1,0,INDEX(Motore_Startup!$AB$485:$AB$544,MAX(1,52-(INT((Motore_Operativo!L536)/30)))))*(1-(MOD((Motore_Operativo!L536),30)/30))+IF(52-(INT((Motore_Operativo!L536)/30))-1&lt;1,0,INDEX(Motore_Startup!$AB$485:$AB$544,MAX(1,52-(INT((Motore_Operativo!L536)/30))-1)))*(MOD((Motore_Operativo!L536),30)/30))</f>
        <v>208861.313777223</v>
      </c>
      <c r="AD536" s="15" t="n">
        <f aca="false">(AD535)+AB536-AC536</f>
        <v>646400.878759996</v>
      </c>
      <c r="AE536" s="15" t="n">
        <f aca="false">Motore_Operativo!BH536*(1+Parametri_v3!$C$26)</f>
        <v>14146.9166666667</v>
      </c>
      <c r="AF536" s="15" t="n">
        <f aca="false">(IF(52-(INT((Parametri_v3!$C$29)/30))&lt;1,0,INDEX(Motore_Operativo!$BH$485:$BH$544,MAX(1,52-(INT((Parametri_v3!$C$29)/30)))))*(1-(MOD((Parametri_v3!$C$29),30)/30))+IF(52-(INT((Parametri_v3!$C$29)/30))-1&lt;1,0,INDEX(Motore_Operativo!$BH$485:$BH$544,MAX(1,52-(INT((Parametri_v3!$C$29)/30))-1)))*(MOD((Parametri_v3!$C$29),30)/30))*(1+Parametri_v3!$C$26)</f>
        <v>14146.9166666667</v>
      </c>
      <c r="AG536" s="15" t="n">
        <f aca="false">(AG535)+AE536-AF536</f>
        <v>14146.9166666667</v>
      </c>
      <c r="AH536" s="15" t="n">
        <f aca="false">(Motore_Operativo!CJ536)*(1+Parametri_v3!$C$27*Parametri_v3!$C$26)</f>
        <v>92959.8879111646</v>
      </c>
      <c r="AI536" s="15" t="n">
        <f aca="false">(IF(52-(INT((Ipotesi!$C$91)/30))&lt;1,0,INDEX(Motore_Startup!$AH$485:$AH$544,MAX(1,52-(INT((Ipotesi!$C$91)/30)))))*(1-(MOD((Ipotesi!$C$91),30)/30))+IF(52-(INT((Ipotesi!$C$91)/30))-1&lt;1,0,INDEX(Motore_Startup!$AH$485:$AH$544,MAX(1,52-(INT((Ipotesi!$C$91)/30))-1)))*(MOD((Ipotesi!$C$91),30)/30))</f>
        <v>92016.7398208789</v>
      </c>
      <c r="AJ536" s="15" t="n">
        <f aca="false">(AJ535)+AH536-AI536</f>
        <v>185412.787629806</v>
      </c>
      <c r="AK536" s="15" t="n">
        <f aca="false">(F536+ Motore_Operativo!BH536-(Motore_Operativo!CJ536)*Parametri_v3!$C$27-Motore_Operativo!CE536)*Parametri_v3!$C$26</f>
        <v>26484.1405450431</v>
      </c>
      <c r="AL536" s="15" t="n">
        <f aca="false">MAX(0,(AM535))</f>
        <v>25892.8272012306</v>
      </c>
      <c r="AM536" s="15" t="n">
        <f aca="false">(AM535)+AK536-AL536</f>
        <v>26484.1405450431</v>
      </c>
      <c r="AN536" s="15" t="n">
        <f aca="false">SUM(X521:X532)</f>
        <v>0</v>
      </c>
      <c r="AO536" s="15" t="n">
        <f aca="false">SUM(AP521:AP532)</f>
        <v>0</v>
      </c>
      <c r="AP536" s="15" t="n">
        <f aca="false">MAX(0,AN536)*IF(4=Parametri_v3!$C$43,Parametri_v3!$C$45,IF(4=Parametri_v3!$C$44,1-Parametri_v3!$C$45,0))</f>
        <v>0</v>
      </c>
      <c r="AQ536" s="15" t="n">
        <f aca="false">MAX(0,AP536+IF(4=Parametri_v3!$C$43,MAX(0,AN536-AO536),0)-MAX(0,-(AR535)))</f>
        <v>0</v>
      </c>
      <c r="AR536" s="15" t="n">
        <f aca="false">(AR535)+X536-AQ536</f>
        <v>0</v>
      </c>
      <c r="AS536" s="15" t="n">
        <f aca="false">Motore_Operativo!AB536-AT536+AU536</f>
        <v>113503.461904792</v>
      </c>
      <c r="AT536" s="15" t="n">
        <f aca="false">Motore_Operativo!CH536</f>
        <v>5973.86641604167</v>
      </c>
      <c r="AU536" s="15" t="n">
        <f aca="false">MIN(MAX(0,(AV535)+AT536),Parametri_v3!$C$60/12)</f>
        <v>0</v>
      </c>
      <c r="AV536" s="15" t="n">
        <f aca="false">(AV535)+AT536-AU536</f>
        <v>160951.016039167</v>
      </c>
      <c r="AW536" s="15" t="n">
        <f aca="false">IF(AND(Motore_Operativo!C536=Finanziamenti!$D$6,Finanziamenti!$F$6=1),Finanziamenti!$C$6,0)</f>
        <v>0</v>
      </c>
      <c r="AX536" s="15" t="n">
        <f aca="false">IF(AND(9&lt;&gt;7,9&lt;&gt;9,Finanziamenti!$F$8=1,OR(Parametri_v3!$C$6=0,Finanziamenti!$E$8=1),Motore_Operativo!C536=EDATE(Finanziamenti!$D$8,Ipotesi!K15*12)),Finanziamenti!$C$8*1,0)+IF(AND(9&lt;&gt;7,9&lt;&gt;9,Finanziamenti!$F$9=1,OR(Parametri_v3!$C$6=0,Finanziamenti!$E$9=1),Motore_Operativo!C536=EDATE(Finanziamenti!$D$9,Ipotesi!K15*12)),Finanziamenti!$C$9*Ipotesi!K16,0)</f>
        <v>0</v>
      </c>
      <c r="AY536" s="15" t="n">
        <f aca="false">0</f>
        <v>0</v>
      </c>
      <c r="AZ536" s="15" t="n">
        <f aca="false">Motore_Advisory!AY536*(1-Ipotesi!$C$95)*Ipotesi!$C$96</f>
        <v>0</v>
      </c>
      <c r="BA536" s="15" t="n">
        <f aca="false">MAX(0,MIN(CG536*MIN(1,IF(Motore_Operativo!C536&gt;=EDATE(Finanziamenti!$D$15,Ipotesi!K14*12),Finanziamenti!$C$15,0)+IF(Motore_Operativo!C536&gt;=EDATE(Finanziamenti!$D$16,Ipotesi!K14*12),Finanziamenti!$C$16,0)+IF(Motore_Operativo!C536&gt;=EDATE(Finanziamenti!$D$17,Ipotesi!K14*12),Finanziamenti!$C$17,0)),CA536*Ipotesi!$C$102)-(CC535))</f>
        <v>0</v>
      </c>
      <c r="BB536" s="15" t="n">
        <f aca="false">IF(AND(CF536&gt;0,Motore_Operativo!C536&gt;=IF(CF536=0,0,EDATE(CF536,Parametri_v3!$C$37)),MOD(((D536-YEAR(IF(CF536=0,0,EDATE(CF536,Parametri_v3!$C$37))))*12+E536-MONTH(IF(CF536=0,0,EDATE(CF536,Parametri_v3!$C$37)))),Parametri_v3!$C$38)=0),MIN(MAX(0,(BC535)+BA536-N536),(CC536-CD536)/(Ipotesi!$C$108*12/Parametri_v3!$C$38)),0)</f>
        <v>0</v>
      </c>
      <c r="BC536" s="15" t="n">
        <f aca="false">(BC535)+BA536-N536-BB536</f>
        <v>0</v>
      </c>
      <c r="BD536" s="15" t="n">
        <f aca="false">(BH535)+AC536+AF536-AI536-AS536-K536*(1+Parametri_v3!$C$26)-AL536-AQ536-O536+AW536+AX536+AZ536+BA536-BB536</f>
        <v>-1639711.06772812</v>
      </c>
      <c r="BE536" s="15" t="n">
        <f aca="false">MAX(0,MIN(MAX(0,CH536-(BG535)),Parametri_v3!$C$30-BD536))</f>
        <v>0</v>
      </c>
      <c r="BF536" s="15" t="n">
        <f aca="false">IF(Motore_Operativo!C536&gt;=Parametri_v3!$C$63,(BG535),MIN((BG535),MAX(0,BD536-Parametri_v3!$C$30)))</f>
        <v>0</v>
      </c>
      <c r="BG536" s="15" t="n">
        <f aca="false">(BG535)+BE536-BF536</f>
        <v>0</v>
      </c>
      <c r="BH536" s="15" t="n">
        <f aca="false">BD536+BE536-BF536-AY536</f>
        <v>-1639711.06772812</v>
      </c>
      <c r="BI536" s="15" t="n">
        <f aca="false">MAX(0,Parametri_v3!$C$30-BH536)</f>
        <v>1664711.06772812</v>
      </c>
      <c r="BJ536" s="15" t="n">
        <f aca="false">(BJ535)+K536</f>
        <v>131666.666666667</v>
      </c>
      <c r="BK536" s="15" t="n">
        <f aca="false">(BK535)+L536</f>
        <v>74953.7037037037</v>
      </c>
      <c r="BL536" s="15" t="n">
        <f aca="false">BJ536-BK536</f>
        <v>56712.9629629629</v>
      </c>
      <c r="BM536" s="15" t="n">
        <f aca="false">(BM535)+Y536</f>
        <v>-1461005.26984696</v>
      </c>
      <c r="BN536" s="15" t="n">
        <f aca="false">(BN535)+AW536+AX536+AZ536</f>
        <v>165707.016294444</v>
      </c>
      <c r="BO536" s="15" t="n">
        <f aca="false">(BO535)+AY536</f>
        <v>0</v>
      </c>
      <c r="BP536" s="15" t="n">
        <f aca="false">0</f>
        <v>0</v>
      </c>
      <c r="BQ536" s="15" t="n">
        <f aca="false">BN536+BM536-BO536</f>
        <v>-1295298.25355251</v>
      </c>
      <c r="BR536" s="15" t="n">
        <f aca="false">BH536+AD536+BL536+MAX(0,-AM536)+MAX(0,-AR536)+AG536</f>
        <v>-922450.309338497</v>
      </c>
      <c r="BS536" s="15" t="n">
        <f aca="false">AJ536+AV536+MAX(0,AM536)+MAX(0,AR536)+BC536+BG536+BQ536</f>
        <v>-922450.309338496</v>
      </c>
      <c r="BT536" s="15" t="n">
        <f aca="false">BR536-BS536</f>
        <v>0</v>
      </c>
      <c r="BU536" s="15" t="n">
        <f aca="false">BH536-(BD536+BE536-BF536-AY536)</f>
        <v>0</v>
      </c>
      <c r="BV536" s="15" t="n">
        <f aca="false">MIN(Piano_SS!$C$6,(BV535)+IF(AND(Motore_Operativo!C536&gt;=EDATE(Parametri_v3!$C$24,Ipotesi!K14*12),Motore_Operativo!C536&lt;EDATE(Parametri_v3!$C$24,Parametri_v3!$C$25+Ipotesi!K14*12)),MAX(0,(Motore_Operativo!Y536+Motore_Operativo!X536*Parametri_v3!$C$14)*(1-Parametri_v3!$C$32))*Piano_SS!$D$6,0))</f>
        <v>300000</v>
      </c>
      <c r="BW536" s="15" t="n">
        <f aca="false">MIN(Piano_SS!$C$7,(BW535)+IF(AND(Motore_Operativo!C536&gt;=EDATE(Parametri_v3!$C$24,Ipotesi!K14*12),Motore_Operativo!C536&lt;EDATE(Parametri_v3!$C$24,Parametri_v3!$C$25+Ipotesi!K14*12)),MAX(0,(IF(52-(INT((Ipotesi!$C$91)/30))&lt;1,0,INDEX(Motore_Operativo!$BN$485:$BN$544,MAX(1,52-(INT((Ipotesi!$C$91)/30)))))*(1-(MOD((Ipotesi!$C$91),30)/30))+IF(52-(INT((Ipotesi!$C$91)/30))-1&lt;1,0,INDEX(Motore_Operativo!$BN$485:$BN$544,MAX(1,52-(INT((Ipotesi!$C$91)/30))-1)))*(MOD((Ipotesi!$C$91),30)/30)))*Piano_SS!$D$7,0))</f>
        <v>41058.9230070837</v>
      </c>
      <c r="BX536" s="15" t="n">
        <f aca="false">MIN(Piano_SS!$C$8,(BX535)+IF(AND(Motore_Operativo!C536&gt;=EDATE(Parametri_v3!$C$24,Ipotesi!K14*12),Motore_Operativo!C536&lt;EDATE(Parametri_v3!$C$24,Parametri_v3!$C$25+Ipotesi!K14*12)),MAX(0,Motore_Operativo!CE536)*Piano_SS!$D$8,0))</f>
        <v>50000</v>
      </c>
      <c r="BY536" s="15" t="n">
        <f aca="false">MIN(Piano_SS!$C$9,(BY535)+IF(AND(Motore_Operativo!C536&gt;=EDATE(Parametri_v3!$C$24,Ipotesi!K14*12),Motore_Operativo!C536&lt;EDATE(Parametri_v3!$C$24,Parametri_v3!$C$25+Ipotesi!K14*12)),MAX(0,((IF(52-(INT((Ipotesi!$C$91)/30))&lt;1,0,INDEX(Motore_Operativo!$BQ$485:$BQ$544,MAX(1,52-(INT((Ipotesi!$C$91)/30)))))*(1-(MOD((Ipotesi!$C$91),30)/30))+IF(52-(INT((Ipotesi!$C$91)/30))-1&lt;1,0,INDEX(Motore_Operativo!$BQ$485:$BQ$544,MAX(1,52-(INT((Ipotesi!$C$91)/30))-1)))*(MOD((Ipotesi!$C$91),30)/30))+(IF(52-(INT((Ipotesi!$C$91)/30))&lt;1,0,INDEX(Motore_Operativo!$BR$485:$BR$544,MAX(1,52-(INT((Ipotesi!$C$91)/30)))))*(1-(MOD((Ipotesi!$C$91),30)/30))+IF(52-(INT((Ipotesi!$C$91)/30))-1&lt;1,0,INDEX(Motore_Operativo!$BR$485:$BR$544,MAX(1,52-(INT((Ipotesi!$C$91)/30))-1)))*(MOD((Ipotesi!$C$91),30)/30))))*Piano_SS!$D$9,0))</f>
        <v>40000</v>
      </c>
      <c r="BZ536" s="15" t="n">
        <f aca="false">MIN(Piano_SS!$C$10,(BZ535)+IF(AND(Motore_Operativo!C536&gt;=EDATE(Parametri_v3!$C$24,Ipotesi!K14*12),Motore_Operativo!C536&lt;EDATE(Parametri_v3!$C$24,Parametri_v3!$C$25+Ipotesi!K14*12)),MAX(0,(IF(52-(INT((Ipotesi!$C$91)/30))&lt;1,0,INDEX(Motore_Operativo!$BO$485:$BO$544,MAX(1,52-(INT((Ipotesi!$C$91)/30)))))*(1-(MOD((Ipotesi!$C$91),30)/30))+IF(52-(INT((Ipotesi!$C$91)/30))-1&lt;1,0,INDEX(Motore_Operativo!$BO$485:$BO$544,MAX(1,52-(INT((Ipotesi!$C$91)/30))-1)))*(MOD((Ipotesi!$C$91),30)/30)))*Piano_SS!$D$10,0))</f>
        <v>30000</v>
      </c>
      <c r="CA536" s="15" t="n">
        <f aca="false">SUM(BV536:BZ536)</f>
        <v>461058.923007084</v>
      </c>
      <c r="CB536" s="15" t="n">
        <f aca="false">BV536*(1-Piano_SS!$E$6)+BW536*(1-Piano_SS!$E$7)+BX536*(1-Piano_SS!$E$8)+BY536*(1-Piano_SS!$E$9)+BZ536*(1-Piano_SS!$E$10)</f>
        <v>431058.923007084</v>
      </c>
      <c r="CC536" s="15" t="n">
        <f aca="false">(CC535)+BA536</f>
        <v>0</v>
      </c>
      <c r="CD536" s="15" t="n">
        <f aca="false">IF(CA536=0,0,CC536*CB536/CA536*Ipotesi!$C$103*Parametri_v3!$C$64)</f>
        <v>0</v>
      </c>
      <c r="CE536" s="18" t="n">
        <f aca="false">IF(BA536&gt;0,Motore_Operativo!C536,(CE535))</f>
        <v>0</v>
      </c>
      <c r="CF536" s="18" t="n">
        <f aca="false">IF(AND(CC536&gt;0,OR(CC536&gt;=CG536-0.01,Motore_Operativo!C536&gt;=EDATE(MAX(Finanziamenti!$D$15:$D$17),Ipotesi!K14*12))),CE536,0)</f>
        <v>0</v>
      </c>
      <c r="CG536" s="15" t="n">
        <f aca="false">IF(AND(9&lt;&gt;6,9&lt;&gt;9,Finanziamenti!$F$11=1,OR(Parametri_v3!$C$6=0,Finanziamenti!$E$11=1)),MIN(Finanziamenti!$C$11,Piano_SS!$C$12*Ipotesi!$C$102),0)</f>
        <v>0</v>
      </c>
      <c r="CH536" s="15" t="n">
        <f aca="false">IF(AND(AND(9&lt;&gt;8,9&lt;&gt;9,Finanziamenti!$F$10=1,OR(Parametri_v3!$C$6=0,Finanziamenti!$E$10=1)),Motore_Operativo!C536&gt;=Finanziamenti!$D$10,Motore_Operativo!C536&lt;Parametri_v3!$C$63),Finanziamenti!$C$10,0)</f>
        <v>0</v>
      </c>
    </row>
    <row r="537" customFormat="false" ht="18" hidden="false" customHeight="true" outlineLevel="0" collapsed="false">
      <c r="A537" s="68" t="n">
        <f aca="false">9</f>
        <v>9</v>
      </c>
      <c r="B537" s="68" t="n">
        <f aca="false">53</f>
        <v>53</v>
      </c>
      <c r="C537" s="18" t="n">
        <f aca="false">Motore_Operativo!C537</f>
        <v>47969</v>
      </c>
      <c r="D537" s="68" t="n">
        <f aca="false">Motore_Operativo!D537</f>
        <v>2031</v>
      </c>
      <c r="E537" s="68" t="n">
        <f aca="false">Motore_Operativo!E537</f>
        <v>5</v>
      </c>
      <c r="F537" s="15" t="n">
        <f aca="false">Motore_Operativo!AQ537+Motore_Operativo!BF537</f>
        <v>182994.354234665</v>
      </c>
      <c r="G537" s="15" t="n">
        <f aca="false">Motore_Operativo!BH537</f>
        <v>11595.8333333333</v>
      </c>
      <c r="H537" s="15" t="n">
        <f aca="false">Motore_Operativo!BI537</f>
        <v>194590.187567998</v>
      </c>
      <c r="I537" s="15" t="n">
        <f aca="false">Motore_Operativo!CA537</f>
        <v>198278.579580353</v>
      </c>
      <c r="J537" s="15" t="n">
        <f aca="false">Motore_Operativo!CC537</f>
        <v>-3688.39201235518</v>
      </c>
      <c r="K537" s="15" t="n">
        <f aca="false">Motore_Operativo!CE537</f>
        <v>4166.66666666667</v>
      </c>
      <c r="L537" s="15" t="n">
        <f aca="false">SUM(INDEX($K$485:$K$544,MAX(1,53-Parametri_v3!$C$59+1)):K537)/Parametri_v3!$C$59</f>
        <v>2928.24074074074</v>
      </c>
      <c r="M537" s="15" t="n">
        <f aca="false">J537-L537</f>
        <v>-6616.63275309592</v>
      </c>
      <c r="N537" s="15" t="n">
        <f aca="false">CD537-(CD536)</f>
        <v>0</v>
      </c>
      <c r="O537" s="15" t="n">
        <f aca="false">(BG536)*Ipotesi!$C$110/12+CH537*Parametri_v3!$C$39/12</f>
        <v>0</v>
      </c>
      <c r="P537" s="15" t="n">
        <f aca="false">M537+N537-O537</f>
        <v>-6616.63275309592</v>
      </c>
      <c r="Q537" s="15" t="n">
        <f aca="false">SUM(P533:P537)+Parametri_v3!$C$54*5/12</f>
        <v>-59115.2963486874</v>
      </c>
      <c r="R537" s="15" t="n">
        <f aca="false">Z532</f>
        <v>1100781.76028115</v>
      </c>
      <c r="S537" s="15" t="n">
        <f aca="false">AA532</f>
        <v>307724.845970214</v>
      </c>
      <c r="T537" s="15" t="n">
        <f aca="false">MIN(R537,MAX(0,Q537))</f>
        <v>0</v>
      </c>
      <c r="U537" s="15" t="n">
        <f aca="false">MIN(S537,MAX(0,Q537-T537)*Parametri_v3!$C$42)</f>
        <v>0</v>
      </c>
      <c r="V537" s="15" t="n">
        <f aca="false">MAX(0,Q537-T537-U537)*Ipotesi!$C$92</f>
        <v>0</v>
      </c>
      <c r="W537" s="15" t="n">
        <f aca="false">MAX(0,SUM(M533:M537)+Parametri_v3!$C$55*5/12)*Ipotesi!$C$93</f>
        <v>0</v>
      </c>
      <c r="X537" s="15" t="n">
        <f aca="false">V537+W537-(V536+W536)</f>
        <v>0</v>
      </c>
      <c r="Y537" s="15" t="n">
        <f aca="false">P537-X537</f>
        <v>-6616.63275309592</v>
      </c>
      <c r="Z537" s="15" t="n">
        <f aca="false">R537-T537+IF(AND(Parametri_v3!$C$40=1,D537-YEAR(Parametri_v3!$C$50)&lt;Parametri_v3!$C$41),MAX(0,-Q537),0)</f>
        <v>1100781.76028115</v>
      </c>
      <c r="AA537" s="15" t="n">
        <f aca="false">S537-U537+IF(AND(Parametri_v3!$C$40=1,D537-YEAR(Parametri_v3!$C$50)&lt;Parametri_v3!$C$41),0,MAX(0,-Q537))</f>
        <v>366840.142318902</v>
      </c>
      <c r="AB537" s="15" t="n">
        <f aca="false">F537*(1+Parametri_v3!$C$26)</f>
        <v>223253.112166291</v>
      </c>
      <c r="AC537" s="15" t="n">
        <f aca="false">(IF(53-(INT((Motore_Operativo!L537)/30))&lt;1,0,INDEX(Motore_Startup!$AB$485:$AB$544,MAX(1,53-(INT((Motore_Operativo!L537)/30)))))*(1-(MOD((Motore_Operativo!L537),30)/30))+IF(53-(INT((Motore_Operativo!L537)/30))-1&lt;1,0,INDEX(Motore_Startup!$AB$485:$AB$544,MAX(1,53-(INT((Motore_Operativo!L537)/30))-1)))*(MOD((Motore_Operativo!L537),30)/30))</f>
        <v>212091.592022539</v>
      </c>
      <c r="AD537" s="15" t="n">
        <f aca="false">(AD536)+AB537-AC537</f>
        <v>657562.398903747</v>
      </c>
      <c r="AE537" s="15" t="n">
        <f aca="false">Motore_Operativo!BH537*(1+Parametri_v3!$C$26)</f>
        <v>14146.9166666667</v>
      </c>
      <c r="AF537" s="15" t="n">
        <f aca="false">(IF(53-(INT((Parametri_v3!$C$29)/30))&lt;1,0,INDEX(Motore_Operativo!$BH$485:$BH$544,MAX(1,53-(INT((Parametri_v3!$C$29)/30)))))*(1-(MOD((Parametri_v3!$C$29),30)/30))+IF(53-(INT((Parametri_v3!$C$29)/30))-1&lt;1,0,INDEX(Motore_Operativo!$BH$485:$BH$544,MAX(1,53-(INT((Parametri_v3!$C$29)/30))-1)))*(MOD((Parametri_v3!$C$29),30)/30))*(1+Parametri_v3!$C$26)</f>
        <v>14146.9166666667</v>
      </c>
      <c r="AG537" s="15" t="n">
        <f aca="false">(AG536)+AE537-AF537</f>
        <v>14146.9166666667</v>
      </c>
      <c r="AH537" s="15" t="n">
        <f aca="false">(Motore_Operativo!CJ537)*(1+Parametri_v3!$C$27*Parametri_v3!$C$26)</f>
        <v>93537.0852450499</v>
      </c>
      <c r="AI537" s="15" t="n">
        <f aca="false">(IF(53-(INT((Ipotesi!$C$91)/30))&lt;1,0,INDEX(Motore_Startup!$AH$485:$AH$544,MAX(1,53-(INT((Ipotesi!$C$91)/30)))))*(1-(MOD((Ipotesi!$C$91),30)/30))+IF(53-(INT((Ipotesi!$C$91)/30))-1&lt;1,0,INDEX(Motore_Startup!$AH$485:$AH$544,MAX(1,53-(INT((Ipotesi!$C$91)/30))-1)))*(MOD((Ipotesi!$C$91),30)/30))</f>
        <v>92452.8997186419</v>
      </c>
      <c r="AJ537" s="15" t="n">
        <f aca="false">(AJ536)+AH537-AI537</f>
        <v>186496.973156215</v>
      </c>
      <c r="AK537" s="15" t="n">
        <f aca="false">(F537+ Motore_Operativo!BH537-(Motore_Operativo!CJ537)*Parametri_v3!$C$27-Motore_Operativo!CE537)*Parametri_v3!$C$26</f>
        <v>27157.3406127627</v>
      </c>
      <c r="AL537" s="15" t="n">
        <f aca="false">MAX(0,(AM536))</f>
        <v>26484.1405450431</v>
      </c>
      <c r="AM537" s="15" t="n">
        <f aca="false">(AM536)+AK537-AL537</f>
        <v>27157.3406127627</v>
      </c>
      <c r="AN537" s="15" t="n">
        <f aca="false">SUM(X521:X532)</f>
        <v>0</v>
      </c>
      <c r="AO537" s="15" t="n">
        <f aca="false">SUM(AP521:AP532)</f>
        <v>0</v>
      </c>
      <c r="AP537" s="15" t="n">
        <f aca="false">MAX(0,AN537)*IF(5=Parametri_v3!$C$43,Parametri_v3!$C$45,IF(5=Parametri_v3!$C$44,1-Parametri_v3!$C$45,0))</f>
        <v>0</v>
      </c>
      <c r="AQ537" s="15" t="n">
        <f aca="false">MAX(0,AP537+IF(5=Parametri_v3!$C$43,MAX(0,AN537-AO537),0)-MAX(0,-(AR536)))</f>
        <v>0</v>
      </c>
      <c r="AR537" s="15" t="n">
        <f aca="false">(AR536)+X537-AQ537</f>
        <v>0</v>
      </c>
      <c r="AS537" s="15" t="n">
        <f aca="false">Motore_Operativo!AB537-AT537+AU537</f>
        <v>113503.461904792</v>
      </c>
      <c r="AT537" s="15" t="n">
        <f aca="false">Motore_Operativo!CH537</f>
        <v>5973.86641604167</v>
      </c>
      <c r="AU537" s="15" t="n">
        <f aca="false">MIN(MAX(0,(AV536)+AT537),Parametri_v3!$C$60/12)</f>
        <v>0</v>
      </c>
      <c r="AV537" s="15" t="n">
        <f aca="false">(AV536)+AT537-AU537</f>
        <v>166924.882455208</v>
      </c>
      <c r="AW537" s="15" t="n">
        <f aca="false">IF(AND(Motore_Operativo!C537=Finanziamenti!$D$6,Finanziamenti!$F$6=1),Finanziamenti!$C$6,0)</f>
        <v>0</v>
      </c>
      <c r="AX537" s="15" t="n">
        <f aca="false">IF(AND(9&lt;&gt;7,9&lt;&gt;9,Finanziamenti!$F$8=1,OR(Parametri_v3!$C$6=0,Finanziamenti!$E$8=1),Motore_Operativo!C537=EDATE(Finanziamenti!$D$8,Ipotesi!K15*12)),Finanziamenti!$C$8*1,0)+IF(AND(9&lt;&gt;7,9&lt;&gt;9,Finanziamenti!$F$9=1,OR(Parametri_v3!$C$6=0,Finanziamenti!$E$9=1),Motore_Operativo!C537=EDATE(Finanziamenti!$D$9,Ipotesi!K15*12)),Finanziamenti!$C$9*Ipotesi!K16,0)</f>
        <v>0</v>
      </c>
      <c r="AY537" s="15" t="n">
        <f aca="false">0</f>
        <v>0</v>
      </c>
      <c r="AZ537" s="15" t="n">
        <f aca="false">Motore_Advisory!AY537*(1-Ipotesi!$C$95)*Ipotesi!$C$96</f>
        <v>0</v>
      </c>
      <c r="BA537" s="15" t="n">
        <f aca="false">MAX(0,MIN(CG537*MIN(1,IF(Motore_Operativo!C537&gt;=EDATE(Finanziamenti!$D$15,Ipotesi!K14*12),Finanziamenti!$C$15,0)+IF(Motore_Operativo!C537&gt;=EDATE(Finanziamenti!$D$16,Ipotesi!K14*12),Finanziamenti!$C$16,0)+IF(Motore_Operativo!C537&gt;=EDATE(Finanziamenti!$D$17,Ipotesi!K14*12),Finanziamenti!$C$17,0)),CA537*Ipotesi!$C$102)-(CC536))</f>
        <v>0</v>
      </c>
      <c r="BB537" s="15" t="n">
        <f aca="false">IF(AND(CF537&gt;0,Motore_Operativo!C537&gt;=IF(CF537=0,0,EDATE(CF537,Parametri_v3!$C$37)),MOD(((D537-YEAR(IF(CF537=0,0,EDATE(CF537,Parametri_v3!$C$37))))*12+E537-MONTH(IF(CF537=0,0,EDATE(CF537,Parametri_v3!$C$37)))),Parametri_v3!$C$38)=0),MIN(MAX(0,(BC536)+BA537-N537),(CC537-CD537)/(Ipotesi!$C$108*12/Parametri_v3!$C$38)),0)</f>
        <v>0</v>
      </c>
      <c r="BC537" s="15" t="n">
        <f aca="false">(BC536)+BA537-N537-BB537</f>
        <v>0</v>
      </c>
      <c r="BD537" s="15" t="n">
        <f aca="false">(BH536)+AC537+AF537-AI537-AS537-K537*(1+Parametri_v3!$C$26)-AL537-AQ537-O537+AW537+AX537+AZ537+BA537-BB537</f>
        <v>-1650996.39454073</v>
      </c>
      <c r="BE537" s="15" t="n">
        <f aca="false">MAX(0,MIN(MAX(0,CH537-(BG536)),Parametri_v3!$C$30-BD537))</f>
        <v>0</v>
      </c>
      <c r="BF537" s="15" t="n">
        <f aca="false">IF(Motore_Operativo!C537&gt;=Parametri_v3!$C$63,(BG536),MIN((BG536),MAX(0,BD537-Parametri_v3!$C$30)))</f>
        <v>0</v>
      </c>
      <c r="BG537" s="15" t="n">
        <f aca="false">(BG536)+BE537-BF537</f>
        <v>0</v>
      </c>
      <c r="BH537" s="15" t="n">
        <f aca="false">BD537+BE537-BF537-AY537</f>
        <v>-1650996.39454073</v>
      </c>
      <c r="BI537" s="15" t="n">
        <f aca="false">MAX(0,Parametri_v3!$C$30-BH537)</f>
        <v>1675996.39454073</v>
      </c>
      <c r="BJ537" s="15" t="n">
        <f aca="false">(BJ536)+K537</f>
        <v>135833.333333333</v>
      </c>
      <c r="BK537" s="15" t="n">
        <f aca="false">(BK536)+L537</f>
        <v>77881.9444444445</v>
      </c>
      <c r="BL537" s="15" t="n">
        <f aca="false">BJ537-BK537</f>
        <v>57951.3888888888</v>
      </c>
      <c r="BM537" s="15" t="n">
        <f aca="false">(BM536)+Y537</f>
        <v>-1467621.90260005</v>
      </c>
      <c r="BN537" s="15" t="n">
        <f aca="false">(BN536)+AW537+AX537+AZ537</f>
        <v>165707.016294444</v>
      </c>
      <c r="BO537" s="15" t="n">
        <f aca="false">(BO536)+AY537</f>
        <v>0</v>
      </c>
      <c r="BP537" s="15" t="n">
        <f aca="false">0</f>
        <v>0</v>
      </c>
      <c r="BQ537" s="15" t="n">
        <f aca="false">BN537+BM537-BO537</f>
        <v>-1301914.88630561</v>
      </c>
      <c r="BR537" s="15" t="n">
        <f aca="false">BH537+AD537+BL537+MAX(0,-AM537)+MAX(0,-AR537)+AG537</f>
        <v>-921335.690081424</v>
      </c>
      <c r="BS537" s="15" t="n">
        <f aca="false">AJ537+AV537+MAX(0,AM537)+MAX(0,AR537)+BC537+BG537+BQ537</f>
        <v>-921335.690081423</v>
      </c>
      <c r="BT537" s="15" t="n">
        <f aca="false">BR537-BS537</f>
        <v>0</v>
      </c>
      <c r="BU537" s="15" t="n">
        <f aca="false">BH537-(BD537+BE537-BF537-AY537)</f>
        <v>0</v>
      </c>
      <c r="BV537" s="15" t="n">
        <f aca="false">MIN(Piano_SS!$C$6,(BV536)+IF(AND(Motore_Operativo!C537&gt;=EDATE(Parametri_v3!$C$24,Ipotesi!K14*12),Motore_Operativo!C537&lt;EDATE(Parametri_v3!$C$24,Parametri_v3!$C$25+Ipotesi!K14*12)),MAX(0,(Motore_Operativo!Y537+Motore_Operativo!X537*Parametri_v3!$C$14)*(1-Parametri_v3!$C$32))*Piano_SS!$D$6,0))</f>
        <v>300000</v>
      </c>
      <c r="BW537" s="15" t="n">
        <f aca="false">MIN(Piano_SS!$C$7,(BW536)+IF(AND(Motore_Operativo!C537&gt;=EDATE(Parametri_v3!$C$24,Ipotesi!K14*12),Motore_Operativo!C537&lt;EDATE(Parametri_v3!$C$24,Parametri_v3!$C$25+Ipotesi!K14*12)),MAX(0,(IF(53-(INT((Ipotesi!$C$91)/30))&lt;1,0,INDEX(Motore_Operativo!$BN$485:$BN$544,MAX(1,53-(INT((Ipotesi!$C$91)/30)))))*(1-(MOD((Ipotesi!$C$91),30)/30))+IF(53-(INT((Ipotesi!$C$91)/30))-1&lt;1,0,INDEX(Motore_Operativo!$BN$485:$BN$544,MAX(1,53-(INT((Ipotesi!$C$91)/30))-1)))*(MOD((Ipotesi!$C$91),30)/30)))*Piano_SS!$D$7,0))</f>
        <v>41058.9230070837</v>
      </c>
      <c r="BX537" s="15" t="n">
        <f aca="false">MIN(Piano_SS!$C$8,(BX536)+IF(AND(Motore_Operativo!C537&gt;=EDATE(Parametri_v3!$C$24,Ipotesi!K14*12),Motore_Operativo!C537&lt;EDATE(Parametri_v3!$C$24,Parametri_v3!$C$25+Ipotesi!K14*12)),MAX(0,Motore_Operativo!CE537)*Piano_SS!$D$8,0))</f>
        <v>50000</v>
      </c>
      <c r="BY537" s="15" t="n">
        <f aca="false">MIN(Piano_SS!$C$9,(BY536)+IF(AND(Motore_Operativo!C537&gt;=EDATE(Parametri_v3!$C$24,Ipotesi!K14*12),Motore_Operativo!C537&lt;EDATE(Parametri_v3!$C$24,Parametri_v3!$C$25+Ipotesi!K14*12)),MAX(0,((IF(53-(INT((Ipotesi!$C$91)/30))&lt;1,0,INDEX(Motore_Operativo!$BQ$485:$BQ$544,MAX(1,53-(INT((Ipotesi!$C$91)/30)))))*(1-(MOD((Ipotesi!$C$91),30)/30))+IF(53-(INT((Ipotesi!$C$91)/30))-1&lt;1,0,INDEX(Motore_Operativo!$BQ$485:$BQ$544,MAX(1,53-(INT((Ipotesi!$C$91)/30))-1)))*(MOD((Ipotesi!$C$91),30)/30))+(IF(53-(INT((Ipotesi!$C$91)/30))&lt;1,0,INDEX(Motore_Operativo!$BR$485:$BR$544,MAX(1,53-(INT((Ipotesi!$C$91)/30)))))*(1-(MOD((Ipotesi!$C$91),30)/30))+IF(53-(INT((Ipotesi!$C$91)/30))-1&lt;1,0,INDEX(Motore_Operativo!$BR$485:$BR$544,MAX(1,53-(INT((Ipotesi!$C$91)/30))-1)))*(MOD((Ipotesi!$C$91),30)/30))))*Piano_SS!$D$9,0))</f>
        <v>40000</v>
      </c>
      <c r="BZ537" s="15" t="n">
        <f aca="false">MIN(Piano_SS!$C$10,(BZ536)+IF(AND(Motore_Operativo!C537&gt;=EDATE(Parametri_v3!$C$24,Ipotesi!K14*12),Motore_Operativo!C537&lt;EDATE(Parametri_v3!$C$24,Parametri_v3!$C$25+Ipotesi!K14*12)),MAX(0,(IF(53-(INT((Ipotesi!$C$91)/30))&lt;1,0,INDEX(Motore_Operativo!$BO$485:$BO$544,MAX(1,53-(INT((Ipotesi!$C$91)/30)))))*(1-(MOD((Ipotesi!$C$91),30)/30))+IF(53-(INT((Ipotesi!$C$91)/30))-1&lt;1,0,INDEX(Motore_Operativo!$BO$485:$BO$544,MAX(1,53-(INT((Ipotesi!$C$91)/30))-1)))*(MOD((Ipotesi!$C$91),30)/30)))*Piano_SS!$D$10,0))</f>
        <v>30000</v>
      </c>
      <c r="CA537" s="15" t="n">
        <f aca="false">SUM(BV537:BZ537)</f>
        <v>461058.923007084</v>
      </c>
      <c r="CB537" s="15" t="n">
        <f aca="false">BV537*(1-Piano_SS!$E$6)+BW537*(1-Piano_SS!$E$7)+BX537*(1-Piano_SS!$E$8)+BY537*(1-Piano_SS!$E$9)+BZ537*(1-Piano_SS!$E$10)</f>
        <v>431058.923007084</v>
      </c>
      <c r="CC537" s="15" t="n">
        <f aca="false">(CC536)+BA537</f>
        <v>0</v>
      </c>
      <c r="CD537" s="15" t="n">
        <f aca="false">IF(CA537=0,0,CC537*CB537/CA537*Ipotesi!$C$103*Parametri_v3!$C$64)</f>
        <v>0</v>
      </c>
      <c r="CE537" s="18" t="n">
        <f aca="false">IF(BA537&gt;0,Motore_Operativo!C537,(CE536))</f>
        <v>0</v>
      </c>
      <c r="CF537" s="18" t="n">
        <f aca="false">IF(AND(CC537&gt;0,OR(CC537&gt;=CG537-0.01,Motore_Operativo!C537&gt;=EDATE(MAX(Finanziamenti!$D$15:$D$17),Ipotesi!K14*12))),CE537,0)</f>
        <v>0</v>
      </c>
      <c r="CG537" s="15" t="n">
        <f aca="false">IF(AND(9&lt;&gt;6,9&lt;&gt;9,Finanziamenti!$F$11=1,OR(Parametri_v3!$C$6=0,Finanziamenti!$E$11=1)),MIN(Finanziamenti!$C$11,Piano_SS!$C$12*Ipotesi!$C$102),0)</f>
        <v>0</v>
      </c>
      <c r="CH537" s="15" t="n">
        <f aca="false">IF(AND(AND(9&lt;&gt;8,9&lt;&gt;9,Finanziamenti!$F$10=1,OR(Parametri_v3!$C$6=0,Finanziamenti!$E$10=1)),Motore_Operativo!C537&gt;=Finanziamenti!$D$10,Motore_Operativo!C537&lt;Parametri_v3!$C$63),Finanziamenti!$C$10,0)</f>
        <v>0</v>
      </c>
    </row>
    <row r="538" customFormat="false" ht="18" hidden="false" customHeight="true" outlineLevel="0" collapsed="false">
      <c r="A538" s="68" t="n">
        <f aca="false">9</f>
        <v>9</v>
      </c>
      <c r="B538" s="68" t="n">
        <f aca="false">54</f>
        <v>54</v>
      </c>
      <c r="C538" s="18" t="n">
        <f aca="false">Motore_Operativo!C538</f>
        <v>48000</v>
      </c>
      <c r="D538" s="68" t="n">
        <f aca="false">Motore_Operativo!D538</f>
        <v>2031</v>
      </c>
      <c r="E538" s="68" t="n">
        <f aca="false">Motore_Operativo!E538</f>
        <v>6</v>
      </c>
      <c r="F538" s="15" t="n">
        <f aca="false">Motore_Operativo!AQ538+Motore_Operativo!BF538</f>
        <v>186437.317884613</v>
      </c>
      <c r="G538" s="15" t="n">
        <f aca="false">Motore_Operativo!BH538</f>
        <v>11595.8333333333</v>
      </c>
      <c r="H538" s="15" t="n">
        <f aca="false">Motore_Operativo!BI538</f>
        <v>198033.151217946</v>
      </c>
      <c r="I538" s="15" t="n">
        <f aca="false">Motore_Operativo!CA538</f>
        <v>198760.594491346</v>
      </c>
      <c r="J538" s="15" t="n">
        <f aca="false">Motore_Operativo!CC538</f>
        <v>-727.443273399869</v>
      </c>
      <c r="K538" s="15" t="n">
        <f aca="false">Motore_Operativo!CE538</f>
        <v>4166.66666666667</v>
      </c>
      <c r="L538" s="15" t="n">
        <f aca="false">SUM(INDEX($K$485:$K$544,MAX(1,54-Parametri_v3!$C$59+1)):K538)/Parametri_v3!$C$59</f>
        <v>2986.11111111111</v>
      </c>
      <c r="M538" s="15" t="n">
        <f aca="false">J538-L538</f>
        <v>-3713.55438451098</v>
      </c>
      <c r="N538" s="15" t="n">
        <f aca="false">CD538-(CD537)</f>
        <v>0</v>
      </c>
      <c r="O538" s="15" t="n">
        <f aca="false">(BG537)*Ipotesi!$C$110/12+CH538*Parametri_v3!$C$39/12</f>
        <v>0</v>
      </c>
      <c r="P538" s="15" t="n">
        <f aca="false">M538+N538-O538</f>
        <v>-3713.55438451098</v>
      </c>
      <c r="Q538" s="15" t="n">
        <f aca="false">SUM(P533:P538)+Parametri_v3!$C$54*6/12</f>
        <v>-62828.8507331984</v>
      </c>
      <c r="R538" s="15" t="n">
        <f aca="false">Z532</f>
        <v>1100781.76028115</v>
      </c>
      <c r="S538" s="15" t="n">
        <f aca="false">AA532</f>
        <v>307724.845970214</v>
      </c>
      <c r="T538" s="15" t="n">
        <f aca="false">MIN(R538,MAX(0,Q538))</f>
        <v>0</v>
      </c>
      <c r="U538" s="15" t="n">
        <f aca="false">MIN(S538,MAX(0,Q538-T538)*Parametri_v3!$C$42)</f>
        <v>0</v>
      </c>
      <c r="V538" s="15" t="n">
        <f aca="false">MAX(0,Q538-T538-U538)*Ipotesi!$C$92</f>
        <v>0</v>
      </c>
      <c r="W538" s="15" t="n">
        <f aca="false">MAX(0,SUM(M533:M538)+Parametri_v3!$C$55*6/12)*Ipotesi!$C$93</f>
        <v>0</v>
      </c>
      <c r="X538" s="15" t="n">
        <f aca="false">V538+W538-(V537+W537)</f>
        <v>0</v>
      </c>
      <c r="Y538" s="15" t="n">
        <f aca="false">P538-X538</f>
        <v>-3713.55438451098</v>
      </c>
      <c r="Z538" s="15" t="n">
        <f aca="false">R538-T538+IF(AND(Parametri_v3!$C$40=1,D538-YEAR(Parametri_v3!$C$50)&lt;Parametri_v3!$C$41),MAX(0,-Q538),0)</f>
        <v>1100781.76028115</v>
      </c>
      <c r="AA538" s="15" t="n">
        <f aca="false">S538-U538+IF(AND(Parametri_v3!$C$40=1,D538-YEAR(Parametri_v3!$C$50)&lt;Parametri_v3!$C$41),0,MAX(0,-Q538))</f>
        <v>370553.696703413</v>
      </c>
      <c r="AB538" s="15" t="n">
        <f aca="false">F538*(1+Parametri_v3!$C$26)</f>
        <v>227453.527819227</v>
      </c>
      <c r="AC538" s="15" t="n">
        <f aca="false">(IF(54-(INT((Motore_Operativo!L538)/30))&lt;1,0,INDEX(Motore_Startup!$AB$485:$AB$544,MAX(1,54-(INT((Motore_Operativo!L538)/30)))))*(1-(MOD((Motore_Operativo!L538),30)/30))+IF(54-(INT((Motore_Operativo!L538)/30))-1&lt;1,0,INDEX(Motore_Startup!$AB$485:$AB$544,MAX(1,54-(INT((Motore_Operativo!L538)/30))-1)))*(MOD((Motore_Operativo!L538),30)/30))</f>
        <v>215293.63243216</v>
      </c>
      <c r="AD538" s="15" t="n">
        <f aca="false">(AD537)+AB538-AC538</f>
        <v>669722.294290815</v>
      </c>
      <c r="AE538" s="15" t="n">
        <f aca="false">Motore_Operativo!BH538*(1+Parametri_v3!$C$26)</f>
        <v>14146.9166666667</v>
      </c>
      <c r="AF538" s="15" t="n">
        <f aca="false">(IF(54-(INT((Parametri_v3!$C$29)/30))&lt;1,0,INDEX(Motore_Operativo!$BH$485:$BH$544,MAX(1,54-(INT((Parametri_v3!$C$29)/30)))))*(1-(MOD((Parametri_v3!$C$29),30)/30))+IF(54-(INT((Parametri_v3!$C$29)/30))-1&lt;1,0,INDEX(Motore_Operativo!$BH$485:$BH$544,MAX(1,54-(INT((Parametri_v3!$C$29)/30))-1)))*(MOD((Parametri_v3!$C$29),30)/30))*(1+Parametri_v3!$C$26)</f>
        <v>14146.9166666667</v>
      </c>
      <c r="AG538" s="15" t="n">
        <f aca="false">(AG537)+AE538-AF538</f>
        <v>14146.9166666667</v>
      </c>
      <c r="AH538" s="15" t="n">
        <f aca="false">(Motore_Operativo!CJ538)*(1+Parametri_v3!$C$27*Parametri_v3!$C$26)</f>
        <v>94109.2369443983</v>
      </c>
      <c r="AI538" s="15" t="n">
        <f aca="false">(IF(54-(INT((Ipotesi!$C$91)/30))&lt;1,0,INDEX(Motore_Startup!$AH$485:$AH$544,MAX(1,54-(INT((Ipotesi!$C$91)/30)))))*(1-(MOD((Ipotesi!$C$91),30)/30))+IF(54-(INT((Ipotesi!$C$91)/30))-1&lt;1,0,INDEX(Motore_Startup!$AH$485:$AH$544,MAX(1,54-(INT((Ipotesi!$C$91)/30))-1)))*(MOD((Ipotesi!$C$91),30)/30))</f>
        <v>92959.8879111646</v>
      </c>
      <c r="AJ538" s="15" t="n">
        <f aca="false">(AJ537)+AH538-AI538</f>
        <v>187646.322189448</v>
      </c>
      <c r="AK538" s="15" t="n">
        <f aca="false">(F538+ Motore_Operativo!BH538-(Motore_Operativo!CJ538)*Parametri_v3!$C$27-Motore_Operativo!CE538)*Parametri_v3!$C$26</f>
        <v>27824.6558273956</v>
      </c>
      <c r="AL538" s="15" t="n">
        <f aca="false">MAX(0,(AM537))</f>
        <v>27157.3406127627</v>
      </c>
      <c r="AM538" s="15" t="n">
        <f aca="false">(AM537)+AK538-AL538</f>
        <v>27824.6558273956</v>
      </c>
      <c r="AN538" s="15" t="n">
        <f aca="false">SUM(X521:X532)</f>
        <v>0</v>
      </c>
      <c r="AO538" s="15" t="n">
        <f aca="false">SUM(AP521:AP532)</f>
        <v>0</v>
      </c>
      <c r="AP538" s="15" t="n">
        <f aca="false">MAX(0,AN538)*IF(6=Parametri_v3!$C$43,Parametri_v3!$C$45,IF(6=Parametri_v3!$C$44,1-Parametri_v3!$C$45,0))</f>
        <v>0</v>
      </c>
      <c r="AQ538" s="15" t="n">
        <f aca="false">MAX(0,AP538+IF(6=Parametri_v3!$C$43,MAX(0,AN538-AO538),0)-MAX(0,-(AR537)))</f>
        <v>0</v>
      </c>
      <c r="AR538" s="15" t="n">
        <f aca="false">(AR537)+X538-AQ538</f>
        <v>0</v>
      </c>
      <c r="AS538" s="15" t="n">
        <f aca="false">Motore_Operativo!AB538-AT538+AU538</f>
        <v>113503.461904792</v>
      </c>
      <c r="AT538" s="15" t="n">
        <f aca="false">Motore_Operativo!CH538</f>
        <v>5973.86641604167</v>
      </c>
      <c r="AU538" s="15" t="n">
        <f aca="false">MIN(MAX(0,(AV537)+AT538),Parametri_v3!$C$60/12)</f>
        <v>0</v>
      </c>
      <c r="AV538" s="15" t="n">
        <f aca="false">(AV537)+AT538-AU538</f>
        <v>172898.74887125</v>
      </c>
      <c r="AW538" s="15" t="n">
        <f aca="false">IF(AND(Motore_Operativo!C538=Finanziamenti!$D$6,Finanziamenti!$F$6=1),Finanziamenti!$C$6,0)</f>
        <v>0</v>
      </c>
      <c r="AX538" s="15" t="n">
        <f aca="false">IF(AND(9&lt;&gt;7,9&lt;&gt;9,Finanziamenti!$F$8=1,OR(Parametri_v3!$C$6=0,Finanziamenti!$E$8=1),Motore_Operativo!C538=EDATE(Finanziamenti!$D$8,Ipotesi!K15*12)),Finanziamenti!$C$8*1,0)+IF(AND(9&lt;&gt;7,9&lt;&gt;9,Finanziamenti!$F$9=1,OR(Parametri_v3!$C$6=0,Finanziamenti!$E$9=1),Motore_Operativo!C538=EDATE(Finanziamenti!$D$9,Ipotesi!K15*12)),Finanziamenti!$C$9*Ipotesi!K16,0)</f>
        <v>0</v>
      </c>
      <c r="AY538" s="15" t="n">
        <f aca="false">0</f>
        <v>0</v>
      </c>
      <c r="AZ538" s="15" t="n">
        <f aca="false">Motore_Advisory!AY538*(1-Ipotesi!$C$95)*Ipotesi!$C$96</f>
        <v>69723.3931391231</v>
      </c>
      <c r="BA538" s="15" t="n">
        <f aca="false">MAX(0,MIN(CG538*MIN(1,IF(Motore_Operativo!C538&gt;=EDATE(Finanziamenti!$D$15,Ipotesi!K14*12),Finanziamenti!$C$15,0)+IF(Motore_Operativo!C538&gt;=EDATE(Finanziamenti!$D$16,Ipotesi!K14*12),Finanziamenti!$C$16,0)+IF(Motore_Operativo!C538&gt;=EDATE(Finanziamenti!$D$17,Ipotesi!K14*12),Finanziamenti!$C$17,0)),CA538*Ipotesi!$C$102)-(CC537))</f>
        <v>0</v>
      </c>
      <c r="BB538" s="15" t="n">
        <f aca="false">IF(AND(CF538&gt;0,Motore_Operativo!C538&gt;=IF(CF538=0,0,EDATE(CF538,Parametri_v3!$C$37)),MOD(((D538-YEAR(IF(CF538=0,0,EDATE(CF538,Parametri_v3!$C$37))))*12+E538-MONTH(IF(CF538=0,0,EDATE(CF538,Parametri_v3!$C$37)))),Parametri_v3!$C$38)=0),MIN(MAX(0,(BC537)+BA538-N538),(CC538-CD538)/(Ipotesi!$C$108*12/Parametri_v3!$C$38)),0)</f>
        <v>0</v>
      </c>
      <c r="BC538" s="15" t="n">
        <f aca="false">(BC537)+BA538-N538-BB538</f>
        <v>0</v>
      </c>
      <c r="BD538" s="15" t="n">
        <f aca="false">(BH537)+AC538+AF538-AI538-AS538-K538*(1+Parametri_v3!$C$26)-AL538-AQ538-O538+AW538+AX538+AZ538+BA538-BB538</f>
        <v>-1590536.47606483</v>
      </c>
      <c r="BE538" s="15" t="n">
        <f aca="false">MAX(0,MIN(MAX(0,CH538-(BG537)),Parametri_v3!$C$30-BD538))</f>
        <v>0</v>
      </c>
      <c r="BF538" s="15" t="n">
        <f aca="false">IF(Motore_Operativo!C538&gt;=Parametri_v3!$C$63,(BG537),MIN((BG537),MAX(0,BD538-Parametri_v3!$C$30)))</f>
        <v>0</v>
      </c>
      <c r="BG538" s="15" t="n">
        <f aca="false">(BG537)+BE538-BF538</f>
        <v>0</v>
      </c>
      <c r="BH538" s="15" t="n">
        <f aca="false">BD538+BE538-BF538-AY538</f>
        <v>-1590536.47606483</v>
      </c>
      <c r="BI538" s="15" t="n">
        <f aca="false">MAX(0,Parametri_v3!$C$30-BH538)</f>
        <v>1615536.47606483</v>
      </c>
      <c r="BJ538" s="15" t="n">
        <f aca="false">(BJ537)+K538</f>
        <v>140000</v>
      </c>
      <c r="BK538" s="15" t="n">
        <f aca="false">(BK537)+L538</f>
        <v>80868.0555555556</v>
      </c>
      <c r="BL538" s="15" t="n">
        <f aca="false">BJ538-BK538</f>
        <v>59131.9444444444</v>
      </c>
      <c r="BM538" s="15" t="n">
        <f aca="false">(BM537)+Y538</f>
        <v>-1471335.45698456</v>
      </c>
      <c r="BN538" s="15" t="n">
        <f aca="false">(BN537)+AW538+AX538+AZ538</f>
        <v>235430.409433568</v>
      </c>
      <c r="BO538" s="15" t="n">
        <f aca="false">(BO537)+AY538</f>
        <v>0</v>
      </c>
      <c r="BP538" s="15" t="n">
        <f aca="false">0</f>
        <v>0</v>
      </c>
      <c r="BQ538" s="15" t="n">
        <f aca="false">BN538+BM538-BO538</f>
        <v>-1235905.047551</v>
      </c>
      <c r="BR538" s="15" t="n">
        <f aca="false">BH538+AD538+BL538+MAX(0,-AM538)+MAX(0,-AR538)+AG538</f>
        <v>-847535.320662904</v>
      </c>
      <c r="BS538" s="15" t="n">
        <f aca="false">AJ538+AV538+MAX(0,AM538)+MAX(0,AR538)+BC538+BG538+BQ538</f>
        <v>-847535.320662902</v>
      </c>
      <c r="BT538" s="15" t="n">
        <f aca="false">BR538-BS538</f>
        <v>0</v>
      </c>
      <c r="BU538" s="15" t="n">
        <f aca="false">BH538-(BD538+BE538-BF538-AY538)</f>
        <v>0</v>
      </c>
      <c r="BV538" s="15" t="n">
        <f aca="false">MIN(Piano_SS!$C$6,(BV537)+IF(AND(Motore_Operativo!C538&gt;=EDATE(Parametri_v3!$C$24,Ipotesi!K14*12),Motore_Operativo!C538&lt;EDATE(Parametri_v3!$C$24,Parametri_v3!$C$25+Ipotesi!K14*12)),MAX(0,(Motore_Operativo!Y538+Motore_Operativo!X538*Parametri_v3!$C$14)*(1-Parametri_v3!$C$32))*Piano_SS!$D$6,0))</f>
        <v>300000</v>
      </c>
      <c r="BW538" s="15" t="n">
        <f aca="false">MIN(Piano_SS!$C$7,(BW537)+IF(AND(Motore_Operativo!C538&gt;=EDATE(Parametri_v3!$C$24,Ipotesi!K14*12),Motore_Operativo!C538&lt;EDATE(Parametri_v3!$C$24,Parametri_v3!$C$25+Ipotesi!K14*12)),MAX(0,(IF(54-(INT((Ipotesi!$C$91)/30))&lt;1,0,INDEX(Motore_Operativo!$BN$485:$BN$544,MAX(1,54-(INT((Ipotesi!$C$91)/30)))))*(1-(MOD((Ipotesi!$C$91),30)/30))+IF(54-(INT((Ipotesi!$C$91)/30))-1&lt;1,0,INDEX(Motore_Operativo!$BN$485:$BN$544,MAX(1,54-(INT((Ipotesi!$C$91)/30))-1)))*(MOD((Ipotesi!$C$91),30)/30)))*Piano_SS!$D$7,0))</f>
        <v>41058.9230070837</v>
      </c>
      <c r="BX538" s="15" t="n">
        <f aca="false">MIN(Piano_SS!$C$8,(BX537)+IF(AND(Motore_Operativo!C538&gt;=EDATE(Parametri_v3!$C$24,Ipotesi!K14*12),Motore_Operativo!C538&lt;EDATE(Parametri_v3!$C$24,Parametri_v3!$C$25+Ipotesi!K14*12)),MAX(0,Motore_Operativo!CE538)*Piano_SS!$D$8,0))</f>
        <v>50000</v>
      </c>
      <c r="BY538" s="15" t="n">
        <f aca="false">MIN(Piano_SS!$C$9,(BY537)+IF(AND(Motore_Operativo!C538&gt;=EDATE(Parametri_v3!$C$24,Ipotesi!K14*12),Motore_Operativo!C538&lt;EDATE(Parametri_v3!$C$24,Parametri_v3!$C$25+Ipotesi!K14*12)),MAX(0,((IF(54-(INT((Ipotesi!$C$91)/30))&lt;1,0,INDEX(Motore_Operativo!$BQ$485:$BQ$544,MAX(1,54-(INT((Ipotesi!$C$91)/30)))))*(1-(MOD((Ipotesi!$C$91),30)/30))+IF(54-(INT((Ipotesi!$C$91)/30))-1&lt;1,0,INDEX(Motore_Operativo!$BQ$485:$BQ$544,MAX(1,54-(INT((Ipotesi!$C$91)/30))-1)))*(MOD((Ipotesi!$C$91),30)/30))+(IF(54-(INT((Ipotesi!$C$91)/30))&lt;1,0,INDEX(Motore_Operativo!$BR$485:$BR$544,MAX(1,54-(INT((Ipotesi!$C$91)/30)))))*(1-(MOD((Ipotesi!$C$91),30)/30))+IF(54-(INT((Ipotesi!$C$91)/30))-1&lt;1,0,INDEX(Motore_Operativo!$BR$485:$BR$544,MAX(1,54-(INT((Ipotesi!$C$91)/30))-1)))*(MOD((Ipotesi!$C$91),30)/30))))*Piano_SS!$D$9,0))</f>
        <v>40000</v>
      </c>
      <c r="BZ538" s="15" t="n">
        <f aca="false">MIN(Piano_SS!$C$10,(BZ537)+IF(AND(Motore_Operativo!C538&gt;=EDATE(Parametri_v3!$C$24,Ipotesi!K14*12),Motore_Operativo!C538&lt;EDATE(Parametri_v3!$C$24,Parametri_v3!$C$25+Ipotesi!K14*12)),MAX(0,(IF(54-(INT((Ipotesi!$C$91)/30))&lt;1,0,INDEX(Motore_Operativo!$BO$485:$BO$544,MAX(1,54-(INT((Ipotesi!$C$91)/30)))))*(1-(MOD((Ipotesi!$C$91),30)/30))+IF(54-(INT((Ipotesi!$C$91)/30))-1&lt;1,0,INDEX(Motore_Operativo!$BO$485:$BO$544,MAX(1,54-(INT((Ipotesi!$C$91)/30))-1)))*(MOD((Ipotesi!$C$91),30)/30)))*Piano_SS!$D$10,0))</f>
        <v>30000</v>
      </c>
      <c r="CA538" s="15" t="n">
        <f aca="false">SUM(BV538:BZ538)</f>
        <v>461058.923007084</v>
      </c>
      <c r="CB538" s="15" t="n">
        <f aca="false">BV538*(1-Piano_SS!$E$6)+BW538*(1-Piano_SS!$E$7)+BX538*(1-Piano_SS!$E$8)+BY538*(1-Piano_SS!$E$9)+BZ538*(1-Piano_SS!$E$10)</f>
        <v>431058.923007084</v>
      </c>
      <c r="CC538" s="15" t="n">
        <f aca="false">(CC537)+BA538</f>
        <v>0</v>
      </c>
      <c r="CD538" s="15" t="n">
        <f aca="false">IF(CA538=0,0,CC538*CB538/CA538*Ipotesi!$C$103*Parametri_v3!$C$64)</f>
        <v>0</v>
      </c>
      <c r="CE538" s="18" t="n">
        <f aca="false">IF(BA538&gt;0,Motore_Operativo!C538,(CE537))</f>
        <v>0</v>
      </c>
      <c r="CF538" s="18" t="n">
        <f aca="false">IF(AND(CC538&gt;0,OR(CC538&gt;=CG538-0.01,Motore_Operativo!C538&gt;=EDATE(MAX(Finanziamenti!$D$15:$D$17),Ipotesi!K14*12))),CE538,0)</f>
        <v>0</v>
      </c>
      <c r="CG538" s="15" t="n">
        <f aca="false">IF(AND(9&lt;&gt;6,9&lt;&gt;9,Finanziamenti!$F$11=1,OR(Parametri_v3!$C$6=0,Finanziamenti!$E$11=1)),MIN(Finanziamenti!$C$11,Piano_SS!$C$12*Ipotesi!$C$102),0)</f>
        <v>0</v>
      </c>
      <c r="CH538" s="15" t="n">
        <f aca="false">IF(AND(AND(9&lt;&gt;8,9&lt;&gt;9,Finanziamenti!$F$10=1,OR(Parametri_v3!$C$6=0,Finanziamenti!$E$10=1)),Motore_Operativo!C538&gt;=Finanziamenti!$D$10,Motore_Operativo!C538&lt;Parametri_v3!$C$63),Finanziamenti!$C$10,0)</f>
        <v>0</v>
      </c>
    </row>
    <row r="539" customFormat="false" ht="18" hidden="false" customHeight="true" outlineLevel="0" collapsed="false">
      <c r="A539" s="68" t="n">
        <f aca="false">9</f>
        <v>9</v>
      </c>
      <c r="B539" s="68" t="n">
        <f aca="false">55</f>
        <v>55</v>
      </c>
      <c r="C539" s="18" t="n">
        <f aca="false">Motore_Operativo!C539</f>
        <v>48030</v>
      </c>
      <c r="D539" s="68" t="n">
        <f aca="false">Motore_Operativo!D539</f>
        <v>2031</v>
      </c>
      <c r="E539" s="68" t="n">
        <f aca="false">Motore_Operativo!E539</f>
        <v>7</v>
      </c>
      <c r="F539" s="15" t="n">
        <f aca="false">Motore_Operativo!AQ539+Motore_Operativo!BF539</f>
        <v>189850.184485802</v>
      </c>
      <c r="G539" s="15" t="n">
        <f aca="false">Motore_Operativo!BH539</f>
        <v>11595.8333333333</v>
      </c>
      <c r="H539" s="15" t="n">
        <f aca="false">Motore_Operativo!BI539</f>
        <v>201446.017819135</v>
      </c>
      <c r="I539" s="15" t="n">
        <f aca="false">Motore_Operativo!CA539</f>
        <v>199238.395815512</v>
      </c>
      <c r="J539" s="15" t="n">
        <f aca="false">Motore_Operativo!CC539</f>
        <v>2207.6220036227</v>
      </c>
      <c r="K539" s="15" t="n">
        <f aca="false">Motore_Operativo!CE539</f>
        <v>4166.66666666667</v>
      </c>
      <c r="L539" s="15" t="n">
        <f aca="false">SUM(INDEX($K$485:$K$544,MAX(1,55-Parametri_v3!$C$59+1)):K539)/Parametri_v3!$C$59</f>
        <v>3043.98148148148</v>
      </c>
      <c r="M539" s="15" t="n">
        <f aca="false">J539-L539</f>
        <v>-836.359477858779</v>
      </c>
      <c r="N539" s="15" t="n">
        <f aca="false">CD539-(CD538)</f>
        <v>0</v>
      </c>
      <c r="O539" s="15" t="n">
        <f aca="false">(BG538)*Ipotesi!$C$110/12+CH539*Parametri_v3!$C$39/12</f>
        <v>0</v>
      </c>
      <c r="P539" s="15" t="n">
        <f aca="false">M539+N539-O539</f>
        <v>-836.359477858779</v>
      </c>
      <c r="Q539" s="15" t="n">
        <f aca="false">SUM(P533:P539)+Parametri_v3!$C$54*7/12</f>
        <v>-63665.2102110572</v>
      </c>
      <c r="R539" s="15" t="n">
        <f aca="false">Z532</f>
        <v>1100781.76028115</v>
      </c>
      <c r="S539" s="15" t="n">
        <f aca="false">AA532</f>
        <v>307724.845970214</v>
      </c>
      <c r="T539" s="15" t="n">
        <f aca="false">MIN(R539,MAX(0,Q539))</f>
        <v>0</v>
      </c>
      <c r="U539" s="15" t="n">
        <f aca="false">MIN(S539,MAX(0,Q539-T539)*Parametri_v3!$C$42)</f>
        <v>0</v>
      </c>
      <c r="V539" s="15" t="n">
        <f aca="false">MAX(0,Q539-T539-U539)*Ipotesi!$C$92</f>
        <v>0</v>
      </c>
      <c r="W539" s="15" t="n">
        <f aca="false">MAX(0,SUM(M533:M539)+Parametri_v3!$C$55*7/12)*Ipotesi!$C$93</f>
        <v>0</v>
      </c>
      <c r="X539" s="15" t="n">
        <f aca="false">V539+W539-(V538+W538)</f>
        <v>0</v>
      </c>
      <c r="Y539" s="15" t="n">
        <f aca="false">P539-X539</f>
        <v>-836.359477858779</v>
      </c>
      <c r="Z539" s="15" t="n">
        <f aca="false">R539-T539+IF(AND(Parametri_v3!$C$40=1,D539-YEAR(Parametri_v3!$C$50)&lt;Parametri_v3!$C$41),MAX(0,-Q539),0)</f>
        <v>1100781.76028115</v>
      </c>
      <c r="AA539" s="15" t="n">
        <f aca="false">S539-U539+IF(AND(Parametri_v3!$C$40=1,D539-YEAR(Parametri_v3!$C$50)&lt;Parametri_v3!$C$41),0,MAX(0,-Q539))</f>
        <v>371390.056181271</v>
      </c>
      <c r="AB539" s="15" t="n">
        <f aca="false">F539*(1+Parametri_v3!$C$26)</f>
        <v>231617.225072678</v>
      </c>
      <c r="AC539" s="15" t="n">
        <f aca="false">(IF(55-(INT((Motore_Operativo!L539)/30))&lt;1,0,INDEX(Motore_Startup!$AB$485:$AB$544,MAX(1,55-(INT((Motore_Operativo!L539)/30)))))*(1-(MOD((Motore_Operativo!L539),30)/30))+IF(55-(INT((Motore_Operativo!L539)/30))-1&lt;1,0,INDEX(Motore_Startup!$AB$485:$AB$544,MAX(1,55-(INT((Motore_Operativo!L539)/30))-1)))*(MOD((Motore_Operativo!L539),30)/30))</f>
        <v>219015.654305296</v>
      </c>
      <c r="AD539" s="15" t="n">
        <f aca="false">(AD538)+AB539-AC539</f>
        <v>682323.865058196</v>
      </c>
      <c r="AE539" s="15" t="n">
        <f aca="false">Motore_Operativo!BH539*(1+Parametri_v3!$C$26)</f>
        <v>14146.9166666667</v>
      </c>
      <c r="AF539" s="15" t="n">
        <f aca="false">(IF(55-(INT((Parametri_v3!$C$29)/30))&lt;1,0,INDEX(Motore_Operativo!$BH$485:$BH$544,MAX(1,55-(INT((Parametri_v3!$C$29)/30)))))*(1-(MOD((Parametri_v3!$C$29),30)/30))+IF(55-(INT((Parametri_v3!$C$29)/30))-1&lt;1,0,INDEX(Motore_Operativo!$BH$485:$BH$544,MAX(1,55-(INT((Parametri_v3!$C$29)/30))-1)))*(MOD((Parametri_v3!$C$29),30)/30))*(1+Parametri_v3!$C$26)</f>
        <v>14146.9166666667</v>
      </c>
      <c r="AG539" s="15" t="n">
        <f aca="false">(AG538)+AE539-AF539</f>
        <v>14146.9166666667</v>
      </c>
      <c r="AH539" s="15" t="n">
        <f aca="false">(Motore_Operativo!CJ539)*(1+Parametri_v3!$C$27*Parametri_v3!$C$26)</f>
        <v>94676.3871161839</v>
      </c>
      <c r="AI539" s="15" t="n">
        <f aca="false">(IF(55-(INT((Ipotesi!$C$91)/30))&lt;1,0,INDEX(Motore_Startup!$AH$485:$AH$544,MAX(1,55-(INT((Ipotesi!$C$91)/30)))))*(1-(MOD((Ipotesi!$C$91),30)/30))+IF(55-(INT((Ipotesi!$C$91)/30))-1&lt;1,0,INDEX(Motore_Startup!$AH$485:$AH$544,MAX(1,55-(INT((Ipotesi!$C$91)/30))-1)))*(MOD((Ipotesi!$C$91),30)/30))</f>
        <v>93537.0852450499</v>
      </c>
      <c r="AJ539" s="15" t="n">
        <f aca="false">(AJ538)+AH539-AI539</f>
        <v>188785.624060582</v>
      </c>
      <c r="AK539" s="15" t="n">
        <f aca="false">(F539+ Motore_Operativo!BH539-(Motore_Operativo!CJ539)*Parametri_v3!$C$27-Motore_Operativo!CE539)*Parametri_v3!$C$26</f>
        <v>28486.1376320381</v>
      </c>
      <c r="AL539" s="15" t="n">
        <f aca="false">MAX(0,(AM538))</f>
        <v>27824.6558273956</v>
      </c>
      <c r="AM539" s="15" t="n">
        <f aca="false">(AM538)+AK539-AL539</f>
        <v>28486.1376320381</v>
      </c>
      <c r="AN539" s="15" t="n">
        <f aca="false">SUM(X521:X532)</f>
        <v>0</v>
      </c>
      <c r="AO539" s="15" t="n">
        <f aca="false">SUM(AP521:AP532)</f>
        <v>0</v>
      </c>
      <c r="AP539" s="15" t="n">
        <f aca="false">MAX(0,AN539)*IF(7=Parametri_v3!$C$43,Parametri_v3!$C$45,IF(7=Parametri_v3!$C$44,1-Parametri_v3!$C$45,0))</f>
        <v>0</v>
      </c>
      <c r="AQ539" s="15" t="n">
        <f aca="false">MAX(0,AP539+IF(7=Parametri_v3!$C$43,MAX(0,AN539-AO539),0)-MAX(0,-(AR538)))</f>
        <v>0</v>
      </c>
      <c r="AR539" s="15" t="n">
        <f aca="false">(AR538)+X539-AQ539</f>
        <v>0</v>
      </c>
      <c r="AS539" s="15" t="n">
        <f aca="false">Motore_Operativo!AB539-AT539+AU539</f>
        <v>113503.461904792</v>
      </c>
      <c r="AT539" s="15" t="n">
        <f aca="false">Motore_Operativo!CH539</f>
        <v>5973.86641604167</v>
      </c>
      <c r="AU539" s="15" t="n">
        <f aca="false">MIN(MAX(0,(AV538)+AT539),Parametri_v3!$C$60/12)</f>
        <v>0</v>
      </c>
      <c r="AV539" s="15" t="n">
        <f aca="false">(AV538)+AT539-AU539</f>
        <v>178872.615287292</v>
      </c>
      <c r="AW539" s="15" t="n">
        <f aca="false">IF(AND(Motore_Operativo!C539=Finanziamenti!$D$6,Finanziamenti!$F$6=1),Finanziamenti!$C$6,0)</f>
        <v>0</v>
      </c>
      <c r="AX539" s="15" t="n">
        <f aca="false">IF(AND(9&lt;&gt;7,9&lt;&gt;9,Finanziamenti!$F$8=1,OR(Parametri_v3!$C$6=0,Finanziamenti!$E$8=1),Motore_Operativo!C539=EDATE(Finanziamenti!$D$8,Ipotesi!K15*12)),Finanziamenti!$C$8*1,0)+IF(AND(9&lt;&gt;7,9&lt;&gt;9,Finanziamenti!$F$9=1,OR(Parametri_v3!$C$6=0,Finanziamenti!$E$9=1),Motore_Operativo!C539=EDATE(Finanziamenti!$D$9,Ipotesi!K15*12)),Finanziamenti!$C$9*Ipotesi!K16,0)</f>
        <v>0</v>
      </c>
      <c r="AY539" s="15" t="n">
        <f aca="false">0</f>
        <v>0</v>
      </c>
      <c r="AZ539" s="15" t="n">
        <f aca="false">Motore_Advisory!AY539*(1-Ipotesi!$C$95)*Ipotesi!$C$96</f>
        <v>0</v>
      </c>
      <c r="BA539" s="15" t="n">
        <f aca="false">MAX(0,MIN(CG539*MIN(1,IF(Motore_Operativo!C539&gt;=EDATE(Finanziamenti!$D$15,Ipotesi!K14*12),Finanziamenti!$C$15,0)+IF(Motore_Operativo!C539&gt;=EDATE(Finanziamenti!$D$16,Ipotesi!K14*12),Finanziamenti!$C$16,0)+IF(Motore_Operativo!C539&gt;=EDATE(Finanziamenti!$D$17,Ipotesi!K14*12),Finanziamenti!$C$17,0)),CA539*Ipotesi!$C$102)-(CC538))</f>
        <v>0</v>
      </c>
      <c r="BB539" s="15" t="n">
        <f aca="false">IF(AND(CF539&gt;0,Motore_Operativo!C539&gt;=IF(CF539=0,0,EDATE(CF539,Parametri_v3!$C$37)),MOD(((D539-YEAR(IF(CF539=0,0,EDATE(CF539,Parametri_v3!$C$37))))*12+E539-MONTH(IF(CF539=0,0,EDATE(CF539,Parametri_v3!$C$37)))),Parametri_v3!$C$38)=0),MIN(MAX(0,(BC538)+BA539-N539),(CC539-CD539)/(Ipotesi!$C$108*12/Parametri_v3!$C$38)),0)</f>
        <v>0</v>
      </c>
      <c r="BC539" s="15" t="n">
        <f aca="false">(BC538)+BA539-N539-BB539</f>
        <v>0</v>
      </c>
      <c r="BD539" s="15" t="n">
        <f aca="false">(BH538)+AC539+AF539-AI539-AS539-K539*(1+Parametri_v3!$C$26)-AL539-AQ539-O539+AW539+AX539+AZ539+BA539-BB539</f>
        <v>-1597322.44140344</v>
      </c>
      <c r="BE539" s="15" t="n">
        <f aca="false">MAX(0,MIN(MAX(0,CH539-(BG538)),Parametri_v3!$C$30-BD539))</f>
        <v>0</v>
      </c>
      <c r="BF539" s="15" t="n">
        <f aca="false">IF(Motore_Operativo!C539&gt;=Parametri_v3!$C$63,(BG538),MIN((BG538),MAX(0,BD539-Parametri_v3!$C$30)))</f>
        <v>0</v>
      </c>
      <c r="BG539" s="15" t="n">
        <f aca="false">(BG538)+BE539-BF539</f>
        <v>0</v>
      </c>
      <c r="BH539" s="15" t="n">
        <f aca="false">BD539+BE539-BF539-AY539</f>
        <v>-1597322.44140344</v>
      </c>
      <c r="BI539" s="15" t="n">
        <f aca="false">MAX(0,Parametri_v3!$C$30-BH539)</f>
        <v>1622322.44140344</v>
      </c>
      <c r="BJ539" s="15" t="n">
        <f aca="false">(BJ538)+K539</f>
        <v>144166.666666667</v>
      </c>
      <c r="BK539" s="15" t="n">
        <f aca="false">(BK538)+L539</f>
        <v>83912.0370370371</v>
      </c>
      <c r="BL539" s="15" t="n">
        <f aca="false">BJ539-BK539</f>
        <v>60254.6296296296</v>
      </c>
      <c r="BM539" s="15" t="n">
        <f aca="false">(BM538)+Y539</f>
        <v>-1472171.81646242</v>
      </c>
      <c r="BN539" s="15" t="n">
        <f aca="false">(BN538)+AW539+AX539+AZ539</f>
        <v>235430.409433568</v>
      </c>
      <c r="BO539" s="15" t="n">
        <f aca="false">(BO538)+AY539</f>
        <v>0</v>
      </c>
      <c r="BP539" s="15" t="n">
        <f aca="false">0</f>
        <v>0</v>
      </c>
      <c r="BQ539" s="15" t="n">
        <f aca="false">BN539+BM539-BO539</f>
        <v>-1236741.40702885</v>
      </c>
      <c r="BR539" s="15" t="n">
        <f aca="false">BH539+AD539+BL539+MAX(0,-AM539)+MAX(0,-AR539)+AG539</f>
        <v>-840597.030048944</v>
      </c>
      <c r="BS539" s="15" t="n">
        <f aca="false">AJ539+AV539+MAX(0,AM539)+MAX(0,AR539)+BC539+BG539+BQ539</f>
        <v>-840597.030048943</v>
      </c>
      <c r="BT539" s="15" t="n">
        <f aca="false">BR539-BS539</f>
        <v>0</v>
      </c>
      <c r="BU539" s="15" t="n">
        <f aca="false">BH539-(BD539+BE539-BF539-AY539)</f>
        <v>0</v>
      </c>
      <c r="BV539" s="15" t="n">
        <f aca="false">MIN(Piano_SS!$C$6,(BV538)+IF(AND(Motore_Operativo!C539&gt;=EDATE(Parametri_v3!$C$24,Ipotesi!K14*12),Motore_Operativo!C539&lt;EDATE(Parametri_v3!$C$24,Parametri_v3!$C$25+Ipotesi!K14*12)),MAX(0,(Motore_Operativo!Y539+Motore_Operativo!X539*Parametri_v3!$C$14)*(1-Parametri_v3!$C$32))*Piano_SS!$D$6,0))</f>
        <v>300000</v>
      </c>
      <c r="BW539" s="15" t="n">
        <f aca="false">MIN(Piano_SS!$C$7,(BW538)+IF(AND(Motore_Operativo!C539&gt;=EDATE(Parametri_v3!$C$24,Ipotesi!K14*12),Motore_Operativo!C539&lt;EDATE(Parametri_v3!$C$24,Parametri_v3!$C$25+Ipotesi!K14*12)),MAX(0,(IF(55-(INT((Ipotesi!$C$91)/30))&lt;1,0,INDEX(Motore_Operativo!$BN$485:$BN$544,MAX(1,55-(INT((Ipotesi!$C$91)/30)))))*(1-(MOD((Ipotesi!$C$91),30)/30))+IF(55-(INT((Ipotesi!$C$91)/30))-1&lt;1,0,INDEX(Motore_Operativo!$BN$485:$BN$544,MAX(1,55-(INT((Ipotesi!$C$91)/30))-1)))*(MOD((Ipotesi!$C$91),30)/30)))*Piano_SS!$D$7,0))</f>
        <v>41058.9230070837</v>
      </c>
      <c r="BX539" s="15" t="n">
        <f aca="false">MIN(Piano_SS!$C$8,(BX538)+IF(AND(Motore_Operativo!C539&gt;=EDATE(Parametri_v3!$C$24,Ipotesi!K14*12),Motore_Operativo!C539&lt;EDATE(Parametri_v3!$C$24,Parametri_v3!$C$25+Ipotesi!K14*12)),MAX(0,Motore_Operativo!CE539)*Piano_SS!$D$8,0))</f>
        <v>50000</v>
      </c>
      <c r="BY539" s="15" t="n">
        <f aca="false">MIN(Piano_SS!$C$9,(BY538)+IF(AND(Motore_Operativo!C539&gt;=EDATE(Parametri_v3!$C$24,Ipotesi!K14*12),Motore_Operativo!C539&lt;EDATE(Parametri_v3!$C$24,Parametri_v3!$C$25+Ipotesi!K14*12)),MAX(0,((IF(55-(INT((Ipotesi!$C$91)/30))&lt;1,0,INDEX(Motore_Operativo!$BQ$485:$BQ$544,MAX(1,55-(INT((Ipotesi!$C$91)/30)))))*(1-(MOD((Ipotesi!$C$91),30)/30))+IF(55-(INT((Ipotesi!$C$91)/30))-1&lt;1,0,INDEX(Motore_Operativo!$BQ$485:$BQ$544,MAX(1,55-(INT((Ipotesi!$C$91)/30))-1)))*(MOD((Ipotesi!$C$91),30)/30))+(IF(55-(INT((Ipotesi!$C$91)/30))&lt;1,0,INDEX(Motore_Operativo!$BR$485:$BR$544,MAX(1,55-(INT((Ipotesi!$C$91)/30)))))*(1-(MOD((Ipotesi!$C$91),30)/30))+IF(55-(INT((Ipotesi!$C$91)/30))-1&lt;1,0,INDEX(Motore_Operativo!$BR$485:$BR$544,MAX(1,55-(INT((Ipotesi!$C$91)/30))-1)))*(MOD((Ipotesi!$C$91),30)/30))))*Piano_SS!$D$9,0))</f>
        <v>40000</v>
      </c>
      <c r="BZ539" s="15" t="n">
        <f aca="false">MIN(Piano_SS!$C$10,(BZ538)+IF(AND(Motore_Operativo!C539&gt;=EDATE(Parametri_v3!$C$24,Ipotesi!K14*12),Motore_Operativo!C539&lt;EDATE(Parametri_v3!$C$24,Parametri_v3!$C$25+Ipotesi!K14*12)),MAX(0,(IF(55-(INT((Ipotesi!$C$91)/30))&lt;1,0,INDEX(Motore_Operativo!$BO$485:$BO$544,MAX(1,55-(INT((Ipotesi!$C$91)/30)))))*(1-(MOD((Ipotesi!$C$91),30)/30))+IF(55-(INT((Ipotesi!$C$91)/30))-1&lt;1,0,INDEX(Motore_Operativo!$BO$485:$BO$544,MAX(1,55-(INT((Ipotesi!$C$91)/30))-1)))*(MOD((Ipotesi!$C$91),30)/30)))*Piano_SS!$D$10,0))</f>
        <v>30000</v>
      </c>
      <c r="CA539" s="15" t="n">
        <f aca="false">SUM(BV539:BZ539)</f>
        <v>461058.923007084</v>
      </c>
      <c r="CB539" s="15" t="n">
        <f aca="false">BV539*(1-Piano_SS!$E$6)+BW539*(1-Piano_SS!$E$7)+BX539*(1-Piano_SS!$E$8)+BY539*(1-Piano_SS!$E$9)+BZ539*(1-Piano_SS!$E$10)</f>
        <v>431058.923007084</v>
      </c>
      <c r="CC539" s="15" t="n">
        <f aca="false">(CC538)+BA539</f>
        <v>0</v>
      </c>
      <c r="CD539" s="15" t="n">
        <f aca="false">IF(CA539=0,0,CC539*CB539/CA539*Ipotesi!$C$103*Parametri_v3!$C$64)</f>
        <v>0</v>
      </c>
      <c r="CE539" s="18" t="n">
        <f aca="false">IF(BA539&gt;0,Motore_Operativo!C539,(CE538))</f>
        <v>0</v>
      </c>
      <c r="CF539" s="18" t="n">
        <f aca="false">IF(AND(CC539&gt;0,OR(CC539&gt;=CG539-0.01,Motore_Operativo!C539&gt;=EDATE(MAX(Finanziamenti!$D$15:$D$17),Ipotesi!K14*12))),CE539,0)</f>
        <v>0</v>
      </c>
      <c r="CG539" s="15" t="n">
        <f aca="false">IF(AND(9&lt;&gt;6,9&lt;&gt;9,Finanziamenti!$F$11=1,OR(Parametri_v3!$C$6=0,Finanziamenti!$E$11=1)),MIN(Finanziamenti!$C$11,Piano_SS!$C$12*Ipotesi!$C$102),0)</f>
        <v>0</v>
      </c>
      <c r="CH539" s="15" t="n">
        <f aca="false">IF(AND(AND(9&lt;&gt;8,9&lt;&gt;9,Finanziamenti!$F$10=1,OR(Parametri_v3!$C$6=0,Finanziamenti!$E$10=1)),Motore_Operativo!C539&gt;=Finanziamenti!$D$10,Motore_Operativo!C539&lt;Parametri_v3!$C$63),Finanziamenti!$C$10,0)</f>
        <v>0</v>
      </c>
    </row>
    <row r="540" customFormat="false" ht="18" hidden="false" customHeight="true" outlineLevel="0" collapsed="false">
      <c r="A540" s="68" t="n">
        <f aca="false">9</f>
        <v>9</v>
      </c>
      <c r="B540" s="68" t="n">
        <f aca="false">56</f>
        <v>56</v>
      </c>
      <c r="C540" s="18" t="n">
        <f aca="false">Motore_Operativo!C540</f>
        <v>48061</v>
      </c>
      <c r="D540" s="68" t="n">
        <f aca="false">Motore_Operativo!D540</f>
        <v>2031</v>
      </c>
      <c r="E540" s="68" t="n">
        <f aca="false">Motore_Operativo!E540</f>
        <v>8</v>
      </c>
      <c r="F540" s="15" t="n">
        <f aca="false">Motore_Operativo!AQ540+Motore_Operativo!BF540</f>
        <v>193233.217134923</v>
      </c>
      <c r="G540" s="15" t="n">
        <f aca="false">Motore_Operativo!BH540</f>
        <v>11595.8333333333</v>
      </c>
      <c r="H540" s="15" t="n">
        <f aca="false">Motore_Operativo!BI540</f>
        <v>204829.050468256</v>
      </c>
      <c r="I540" s="15" t="n">
        <f aca="false">Motore_Operativo!CA540</f>
        <v>199712.020386389</v>
      </c>
      <c r="J540" s="15" t="n">
        <f aca="false">Motore_Operativo!CC540</f>
        <v>5117.03008186689</v>
      </c>
      <c r="K540" s="15" t="n">
        <f aca="false">Motore_Operativo!CE540</f>
        <v>4166.66666666667</v>
      </c>
      <c r="L540" s="15" t="n">
        <f aca="false">SUM(INDEX($K$485:$K$544,MAX(1,56-Parametri_v3!$C$59+1)):K540)/Parametri_v3!$C$59</f>
        <v>3101.85185185185</v>
      </c>
      <c r="M540" s="15" t="n">
        <f aca="false">J540-L540</f>
        <v>2015.17823001504</v>
      </c>
      <c r="N540" s="15" t="n">
        <f aca="false">CD540-(CD539)</f>
        <v>0</v>
      </c>
      <c r="O540" s="15" t="n">
        <f aca="false">(BG539)*Ipotesi!$C$110/12+CH540*Parametri_v3!$C$39/12</f>
        <v>0</v>
      </c>
      <c r="P540" s="15" t="n">
        <f aca="false">M540+N540-O540</f>
        <v>2015.17823001504</v>
      </c>
      <c r="Q540" s="15" t="n">
        <f aca="false">SUM(P533:P540)+Parametri_v3!$C$54*8/12</f>
        <v>-61650.0319810421</v>
      </c>
      <c r="R540" s="15" t="n">
        <f aca="false">Z532</f>
        <v>1100781.76028115</v>
      </c>
      <c r="S540" s="15" t="n">
        <f aca="false">AA532</f>
        <v>307724.845970214</v>
      </c>
      <c r="T540" s="15" t="n">
        <f aca="false">MIN(R540,MAX(0,Q540))</f>
        <v>0</v>
      </c>
      <c r="U540" s="15" t="n">
        <f aca="false">MIN(S540,MAX(0,Q540-T540)*Parametri_v3!$C$42)</f>
        <v>0</v>
      </c>
      <c r="V540" s="15" t="n">
        <f aca="false">MAX(0,Q540-T540-U540)*Ipotesi!$C$92</f>
        <v>0</v>
      </c>
      <c r="W540" s="15" t="n">
        <f aca="false">MAX(0,SUM(M533:M540)+Parametri_v3!$C$55*8/12)*Ipotesi!$C$93</f>
        <v>0</v>
      </c>
      <c r="X540" s="15" t="n">
        <f aca="false">V540+W540-(V539+W539)</f>
        <v>0</v>
      </c>
      <c r="Y540" s="15" t="n">
        <f aca="false">P540-X540</f>
        <v>2015.17823001504</v>
      </c>
      <c r="Z540" s="15" t="n">
        <f aca="false">R540-T540+IF(AND(Parametri_v3!$C$40=1,D540-YEAR(Parametri_v3!$C$50)&lt;Parametri_v3!$C$41),MAX(0,-Q540),0)</f>
        <v>1100781.76028115</v>
      </c>
      <c r="AA540" s="15" t="n">
        <f aca="false">S540-U540+IF(AND(Parametri_v3!$C$40=1,D540-YEAR(Parametri_v3!$C$50)&lt;Parametri_v3!$C$41),0,MAX(0,-Q540))</f>
        <v>369374.877951256</v>
      </c>
      <c r="AB540" s="15" t="n">
        <f aca="false">F540*(1+Parametri_v3!$C$26)</f>
        <v>235744.524904606</v>
      </c>
      <c r="AC540" s="15" t="n">
        <f aca="false">(IF(56-(INT((Motore_Operativo!L540)/30))&lt;1,0,INDEX(Motore_Startup!$AB$485:$AB$544,MAX(1,56-(INT((Motore_Operativo!L540)/30)))))*(1-(MOD((Motore_Operativo!L540),30)/30))+IF(56-(INT((Motore_Operativo!L540)/30))-1&lt;1,0,INDEX(Motore_Startup!$AB$485:$AB$544,MAX(1,56-(INT((Motore_Operativo!L540)/30))-1)))*(MOD((Motore_Operativo!L540),30)/30))</f>
        <v>223253.112166291</v>
      </c>
      <c r="AD540" s="15" t="n">
        <f aca="false">(AD539)+AB540-AC540</f>
        <v>694815.277796511</v>
      </c>
      <c r="AE540" s="15" t="n">
        <f aca="false">Motore_Operativo!BH540*(1+Parametri_v3!$C$26)</f>
        <v>14146.9166666667</v>
      </c>
      <c r="AF540" s="15" t="n">
        <f aca="false">(IF(56-(INT((Parametri_v3!$C$29)/30))&lt;1,0,INDEX(Motore_Operativo!$BH$485:$BH$544,MAX(1,56-(INT((Parametri_v3!$C$29)/30)))))*(1-(MOD((Parametri_v3!$C$29),30)/30))+IF(56-(INT((Parametri_v3!$C$29)/30))-1&lt;1,0,INDEX(Motore_Operativo!$BH$485:$BH$544,MAX(1,56-(INT((Parametri_v3!$C$29)/30))-1)))*(MOD((Parametri_v3!$C$29),30)/30))*(1+Parametri_v3!$C$26)</f>
        <v>14146.9166666667</v>
      </c>
      <c r="AG540" s="15" t="n">
        <f aca="false">(AG539)+AE540-AF540</f>
        <v>14146.9166666667</v>
      </c>
      <c r="AH540" s="15" t="n">
        <f aca="false">(Motore_Operativo!CJ540)*(1+Parametri_v3!$C$27*Parametri_v3!$C$26)</f>
        <v>95238.5794818148</v>
      </c>
      <c r="AI540" s="15" t="n">
        <f aca="false">(IF(56-(INT((Ipotesi!$C$91)/30))&lt;1,0,INDEX(Motore_Startup!$AH$485:$AH$544,MAX(1,56-(INT((Ipotesi!$C$91)/30)))))*(1-(MOD((Ipotesi!$C$91),30)/30))+IF(56-(INT((Ipotesi!$C$91)/30))-1&lt;1,0,INDEX(Motore_Startup!$AH$485:$AH$544,MAX(1,56-(INT((Ipotesi!$C$91)/30))-1)))*(MOD((Ipotesi!$C$91),30)/30))</f>
        <v>94109.2369443983</v>
      </c>
      <c r="AJ540" s="15" t="n">
        <f aca="false">(AJ539)+AH540-AI540</f>
        <v>189914.966597999</v>
      </c>
      <c r="AK540" s="15" t="n">
        <f aca="false">(F540+ Motore_Operativo!BH540-(Motore_Operativo!CJ540)*Parametri_v3!$C$27-Motore_Operativo!CE540)*Parametri_v3!$C$26</f>
        <v>29141.8370200907</v>
      </c>
      <c r="AL540" s="15" t="n">
        <f aca="false">MAX(0,(AM539))</f>
        <v>28486.1376320381</v>
      </c>
      <c r="AM540" s="15" t="n">
        <f aca="false">(AM539)+AK540-AL540</f>
        <v>29141.8370200907</v>
      </c>
      <c r="AN540" s="15" t="n">
        <f aca="false">SUM(X521:X532)</f>
        <v>0</v>
      </c>
      <c r="AO540" s="15" t="n">
        <f aca="false">SUM(AP521:AP532)</f>
        <v>0</v>
      </c>
      <c r="AP540" s="15" t="n">
        <f aca="false">MAX(0,AN540)*IF(8=Parametri_v3!$C$43,Parametri_v3!$C$45,IF(8=Parametri_v3!$C$44,1-Parametri_v3!$C$45,0))</f>
        <v>0</v>
      </c>
      <c r="AQ540" s="15" t="n">
        <f aca="false">MAX(0,AP540+IF(8=Parametri_v3!$C$43,MAX(0,AN540-AO540),0)-MAX(0,-(AR539)))</f>
        <v>0</v>
      </c>
      <c r="AR540" s="15" t="n">
        <f aca="false">(AR539)+X540-AQ540</f>
        <v>0</v>
      </c>
      <c r="AS540" s="15" t="n">
        <f aca="false">Motore_Operativo!AB540-AT540+AU540</f>
        <v>113503.461904792</v>
      </c>
      <c r="AT540" s="15" t="n">
        <f aca="false">Motore_Operativo!CH540</f>
        <v>5973.86641604167</v>
      </c>
      <c r="AU540" s="15" t="n">
        <f aca="false">MIN(MAX(0,(AV539)+AT540),Parametri_v3!$C$60/12)</f>
        <v>0</v>
      </c>
      <c r="AV540" s="15" t="n">
        <f aca="false">(AV539)+AT540-AU540</f>
        <v>184846.481703333</v>
      </c>
      <c r="AW540" s="15" t="n">
        <f aca="false">IF(AND(Motore_Operativo!C540=Finanziamenti!$D$6,Finanziamenti!$F$6=1),Finanziamenti!$C$6,0)</f>
        <v>0</v>
      </c>
      <c r="AX540" s="15" t="n">
        <f aca="false">IF(AND(9&lt;&gt;7,9&lt;&gt;9,Finanziamenti!$F$8=1,OR(Parametri_v3!$C$6=0,Finanziamenti!$E$8=1),Motore_Operativo!C540=EDATE(Finanziamenti!$D$8,Ipotesi!K15*12)),Finanziamenti!$C$8*1,0)+IF(AND(9&lt;&gt;7,9&lt;&gt;9,Finanziamenti!$F$9=1,OR(Parametri_v3!$C$6=0,Finanziamenti!$E$9=1),Motore_Operativo!C540=EDATE(Finanziamenti!$D$9,Ipotesi!K15*12)),Finanziamenti!$C$9*Ipotesi!K16,0)</f>
        <v>0</v>
      </c>
      <c r="AY540" s="15" t="n">
        <f aca="false">0</f>
        <v>0</v>
      </c>
      <c r="AZ540" s="15" t="n">
        <f aca="false">Motore_Advisory!AY540*(1-Ipotesi!$C$95)*Ipotesi!$C$96</f>
        <v>0</v>
      </c>
      <c r="BA540" s="15" t="n">
        <f aca="false">MAX(0,MIN(CG540*MIN(1,IF(Motore_Operativo!C540&gt;=EDATE(Finanziamenti!$D$15,Ipotesi!K14*12),Finanziamenti!$C$15,0)+IF(Motore_Operativo!C540&gt;=EDATE(Finanziamenti!$D$16,Ipotesi!K14*12),Finanziamenti!$C$16,0)+IF(Motore_Operativo!C540&gt;=EDATE(Finanziamenti!$D$17,Ipotesi!K14*12),Finanziamenti!$C$17,0)),CA540*Ipotesi!$C$102)-(CC539))</f>
        <v>0</v>
      </c>
      <c r="BB540" s="15" t="n">
        <f aca="false">IF(AND(CF540&gt;0,Motore_Operativo!C540&gt;=IF(CF540=0,0,EDATE(CF540,Parametri_v3!$C$37)),MOD(((D540-YEAR(IF(CF540=0,0,EDATE(CF540,Parametri_v3!$C$37))))*12+E540-MONTH(IF(CF540=0,0,EDATE(CF540,Parametri_v3!$C$37)))),Parametri_v3!$C$38)=0),MIN(MAX(0,(BC539)+BA540-N540),(CC540-CD540)/(Ipotesi!$C$108*12/Parametri_v3!$C$38)),0)</f>
        <v>0</v>
      </c>
      <c r="BC540" s="15" t="n">
        <f aca="false">(BC539)+BA540-N540-BB540</f>
        <v>0</v>
      </c>
      <c r="BD540" s="15" t="n">
        <f aca="false">(BH539)+AC540+AF540-AI540-AS540-K540*(1+Parametri_v3!$C$26)-AL540-AQ540-O540+AW540+AX540+AZ540+BA540-BB540</f>
        <v>-1601104.58238504</v>
      </c>
      <c r="BE540" s="15" t="n">
        <f aca="false">MAX(0,MIN(MAX(0,CH540-(BG539)),Parametri_v3!$C$30-BD540))</f>
        <v>0</v>
      </c>
      <c r="BF540" s="15" t="n">
        <f aca="false">IF(Motore_Operativo!C540&gt;=Parametri_v3!$C$63,(BG539),MIN((BG539),MAX(0,BD540-Parametri_v3!$C$30)))</f>
        <v>0</v>
      </c>
      <c r="BG540" s="15" t="n">
        <f aca="false">(BG539)+BE540-BF540</f>
        <v>0</v>
      </c>
      <c r="BH540" s="15" t="n">
        <f aca="false">BD540+BE540-BF540-AY540</f>
        <v>-1601104.58238504</v>
      </c>
      <c r="BI540" s="15" t="n">
        <f aca="false">MAX(0,Parametri_v3!$C$30-BH540)</f>
        <v>1626104.58238504</v>
      </c>
      <c r="BJ540" s="15" t="n">
        <f aca="false">(BJ539)+K540</f>
        <v>148333.333333333</v>
      </c>
      <c r="BK540" s="15" t="n">
        <f aca="false">(BK539)+L540</f>
        <v>87013.8888888889</v>
      </c>
      <c r="BL540" s="15" t="n">
        <f aca="false">BJ540-BK540</f>
        <v>61319.4444444444</v>
      </c>
      <c r="BM540" s="15" t="n">
        <f aca="false">(BM539)+Y540</f>
        <v>-1470156.63823241</v>
      </c>
      <c r="BN540" s="15" t="n">
        <f aca="false">(BN539)+AW540+AX540+AZ540</f>
        <v>235430.409433568</v>
      </c>
      <c r="BO540" s="15" t="n">
        <f aca="false">(BO539)+AY540</f>
        <v>0</v>
      </c>
      <c r="BP540" s="15" t="n">
        <f aca="false">0</f>
        <v>0</v>
      </c>
      <c r="BQ540" s="15" t="n">
        <f aca="false">BN540+BM540-BO540</f>
        <v>-1234726.22879884</v>
      </c>
      <c r="BR540" s="15" t="n">
        <f aca="false">BH540+AD540+BL540+MAX(0,-AM540)+MAX(0,-AR540)+AG540</f>
        <v>-830822.943477418</v>
      </c>
      <c r="BS540" s="15" t="n">
        <f aca="false">AJ540+AV540+MAX(0,AM540)+MAX(0,AR540)+BC540+BG540+BQ540</f>
        <v>-830822.943477417</v>
      </c>
      <c r="BT540" s="15" t="n">
        <f aca="false">BR540-BS540</f>
        <v>0</v>
      </c>
      <c r="BU540" s="15" t="n">
        <f aca="false">BH540-(BD540+BE540-BF540-AY540)</f>
        <v>0</v>
      </c>
      <c r="BV540" s="15" t="n">
        <f aca="false">MIN(Piano_SS!$C$6,(BV539)+IF(AND(Motore_Operativo!C540&gt;=EDATE(Parametri_v3!$C$24,Ipotesi!K14*12),Motore_Operativo!C540&lt;EDATE(Parametri_v3!$C$24,Parametri_v3!$C$25+Ipotesi!K14*12)),MAX(0,(Motore_Operativo!Y540+Motore_Operativo!X540*Parametri_v3!$C$14)*(1-Parametri_v3!$C$32))*Piano_SS!$D$6,0))</f>
        <v>300000</v>
      </c>
      <c r="BW540" s="15" t="n">
        <f aca="false">MIN(Piano_SS!$C$7,(BW539)+IF(AND(Motore_Operativo!C540&gt;=EDATE(Parametri_v3!$C$24,Ipotesi!K14*12),Motore_Operativo!C540&lt;EDATE(Parametri_v3!$C$24,Parametri_v3!$C$25+Ipotesi!K14*12)),MAX(0,(IF(56-(INT((Ipotesi!$C$91)/30))&lt;1,0,INDEX(Motore_Operativo!$BN$485:$BN$544,MAX(1,56-(INT((Ipotesi!$C$91)/30)))))*(1-(MOD((Ipotesi!$C$91),30)/30))+IF(56-(INT((Ipotesi!$C$91)/30))-1&lt;1,0,INDEX(Motore_Operativo!$BN$485:$BN$544,MAX(1,56-(INT((Ipotesi!$C$91)/30))-1)))*(MOD((Ipotesi!$C$91),30)/30)))*Piano_SS!$D$7,0))</f>
        <v>41058.9230070837</v>
      </c>
      <c r="BX540" s="15" t="n">
        <f aca="false">MIN(Piano_SS!$C$8,(BX539)+IF(AND(Motore_Operativo!C540&gt;=EDATE(Parametri_v3!$C$24,Ipotesi!K14*12),Motore_Operativo!C540&lt;EDATE(Parametri_v3!$C$24,Parametri_v3!$C$25+Ipotesi!K14*12)),MAX(0,Motore_Operativo!CE540)*Piano_SS!$D$8,0))</f>
        <v>50000</v>
      </c>
      <c r="BY540" s="15" t="n">
        <f aca="false">MIN(Piano_SS!$C$9,(BY539)+IF(AND(Motore_Operativo!C540&gt;=EDATE(Parametri_v3!$C$24,Ipotesi!K14*12),Motore_Operativo!C540&lt;EDATE(Parametri_v3!$C$24,Parametri_v3!$C$25+Ipotesi!K14*12)),MAX(0,((IF(56-(INT((Ipotesi!$C$91)/30))&lt;1,0,INDEX(Motore_Operativo!$BQ$485:$BQ$544,MAX(1,56-(INT((Ipotesi!$C$91)/30)))))*(1-(MOD((Ipotesi!$C$91),30)/30))+IF(56-(INT((Ipotesi!$C$91)/30))-1&lt;1,0,INDEX(Motore_Operativo!$BQ$485:$BQ$544,MAX(1,56-(INT((Ipotesi!$C$91)/30))-1)))*(MOD((Ipotesi!$C$91),30)/30))+(IF(56-(INT((Ipotesi!$C$91)/30))&lt;1,0,INDEX(Motore_Operativo!$BR$485:$BR$544,MAX(1,56-(INT((Ipotesi!$C$91)/30)))))*(1-(MOD((Ipotesi!$C$91),30)/30))+IF(56-(INT((Ipotesi!$C$91)/30))-1&lt;1,0,INDEX(Motore_Operativo!$BR$485:$BR$544,MAX(1,56-(INT((Ipotesi!$C$91)/30))-1)))*(MOD((Ipotesi!$C$91),30)/30))))*Piano_SS!$D$9,0))</f>
        <v>40000</v>
      </c>
      <c r="BZ540" s="15" t="n">
        <f aca="false">MIN(Piano_SS!$C$10,(BZ539)+IF(AND(Motore_Operativo!C540&gt;=EDATE(Parametri_v3!$C$24,Ipotesi!K14*12),Motore_Operativo!C540&lt;EDATE(Parametri_v3!$C$24,Parametri_v3!$C$25+Ipotesi!K14*12)),MAX(0,(IF(56-(INT((Ipotesi!$C$91)/30))&lt;1,0,INDEX(Motore_Operativo!$BO$485:$BO$544,MAX(1,56-(INT((Ipotesi!$C$91)/30)))))*(1-(MOD((Ipotesi!$C$91),30)/30))+IF(56-(INT((Ipotesi!$C$91)/30))-1&lt;1,0,INDEX(Motore_Operativo!$BO$485:$BO$544,MAX(1,56-(INT((Ipotesi!$C$91)/30))-1)))*(MOD((Ipotesi!$C$91),30)/30)))*Piano_SS!$D$10,0))</f>
        <v>30000</v>
      </c>
      <c r="CA540" s="15" t="n">
        <f aca="false">SUM(BV540:BZ540)</f>
        <v>461058.923007084</v>
      </c>
      <c r="CB540" s="15" t="n">
        <f aca="false">BV540*(1-Piano_SS!$E$6)+BW540*(1-Piano_SS!$E$7)+BX540*(1-Piano_SS!$E$8)+BY540*(1-Piano_SS!$E$9)+BZ540*(1-Piano_SS!$E$10)</f>
        <v>431058.923007084</v>
      </c>
      <c r="CC540" s="15" t="n">
        <f aca="false">(CC539)+BA540</f>
        <v>0</v>
      </c>
      <c r="CD540" s="15" t="n">
        <f aca="false">IF(CA540=0,0,CC540*CB540/CA540*Ipotesi!$C$103*Parametri_v3!$C$64)</f>
        <v>0</v>
      </c>
      <c r="CE540" s="18" t="n">
        <f aca="false">IF(BA540&gt;0,Motore_Operativo!C540,(CE539))</f>
        <v>0</v>
      </c>
      <c r="CF540" s="18" t="n">
        <f aca="false">IF(AND(CC540&gt;0,OR(CC540&gt;=CG540-0.01,Motore_Operativo!C540&gt;=EDATE(MAX(Finanziamenti!$D$15:$D$17),Ipotesi!K14*12))),CE540,0)</f>
        <v>0</v>
      </c>
      <c r="CG540" s="15" t="n">
        <f aca="false">IF(AND(9&lt;&gt;6,9&lt;&gt;9,Finanziamenti!$F$11=1,OR(Parametri_v3!$C$6=0,Finanziamenti!$E$11=1)),MIN(Finanziamenti!$C$11,Piano_SS!$C$12*Ipotesi!$C$102),0)</f>
        <v>0</v>
      </c>
      <c r="CH540" s="15" t="n">
        <f aca="false">IF(AND(AND(9&lt;&gt;8,9&lt;&gt;9,Finanziamenti!$F$10=1,OR(Parametri_v3!$C$6=0,Finanziamenti!$E$10=1)),Motore_Operativo!C540&gt;=Finanziamenti!$D$10,Motore_Operativo!C540&lt;Parametri_v3!$C$63),Finanziamenti!$C$10,0)</f>
        <v>0</v>
      </c>
    </row>
    <row r="541" customFormat="false" ht="18" hidden="false" customHeight="true" outlineLevel="0" collapsed="false">
      <c r="A541" s="68" t="n">
        <f aca="false">9</f>
        <v>9</v>
      </c>
      <c r="B541" s="68" t="n">
        <f aca="false">57</f>
        <v>57</v>
      </c>
      <c r="C541" s="18" t="n">
        <f aca="false">Motore_Operativo!C541</f>
        <v>48092</v>
      </c>
      <c r="D541" s="68" t="n">
        <f aca="false">Motore_Operativo!D541</f>
        <v>2031</v>
      </c>
      <c r="E541" s="68" t="n">
        <f aca="false">Motore_Operativo!E541</f>
        <v>9</v>
      </c>
      <c r="F541" s="15" t="n">
        <f aca="false">Motore_Operativo!AQ541+Motore_Operativo!BF541</f>
        <v>196586.676628778</v>
      </c>
      <c r="G541" s="15" t="n">
        <f aca="false">Motore_Operativo!BH541</f>
        <v>11595.8333333333</v>
      </c>
      <c r="H541" s="15" t="n">
        <f aca="false">Motore_Operativo!BI541</f>
        <v>208182.509962112</v>
      </c>
      <c r="I541" s="15" t="n">
        <f aca="false">Motore_Operativo!CA541</f>
        <v>200181.504715529</v>
      </c>
      <c r="J541" s="15" t="n">
        <f aca="false">Motore_Operativo!CC541</f>
        <v>8001.00524658262</v>
      </c>
      <c r="K541" s="15" t="n">
        <f aca="false">Motore_Operativo!CE541</f>
        <v>4166.66666666667</v>
      </c>
      <c r="L541" s="15" t="n">
        <f aca="false">SUM(INDEX($K$485:$K$544,MAX(1,57-Parametri_v3!$C$59+1)):K541)/Parametri_v3!$C$59</f>
        <v>3159.72222222222</v>
      </c>
      <c r="M541" s="15" t="n">
        <f aca="false">J541-L541</f>
        <v>4841.28302436039</v>
      </c>
      <c r="N541" s="15" t="n">
        <f aca="false">CD541-(CD540)</f>
        <v>0</v>
      </c>
      <c r="O541" s="15" t="n">
        <f aca="false">(BG540)*Ipotesi!$C$110/12+CH541*Parametri_v3!$C$39/12</f>
        <v>0</v>
      </c>
      <c r="P541" s="15" t="n">
        <f aca="false">M541+N541-O541</f>
        <v>4841.28302436039</v>
      </c>
      <c r="Q541" s="15" t="n">
        <f aca="false">SUM(P533:P541)+Parametri_v3!$C$54*9/12</f>
        <v>-56808.7489566817</v>
      </c>
      <c r="R541" s="15" t="n">
        <f aca="false">Z532</f>
        <v>1100781.76028115</v>
      </c>
      <c r="S541" s="15" t="n">
        <f aca="false">AA532</f>
        <v>307724.845970214</v>
      </c>
      <c r="T541" s="15" t="n">
        <f aca="false">MIN(R541,MAX(0,Q541))</f>
        <v>0</v>
      </c>
      <c r="U541" s="15" t="n">
        <f aca="false">MIN(S541,MAX(0,Q541-T541)*Parametri_v3!$C$42)</f>
        <v>0</v>
      </c>
      <c r="V541" s="15" t="n">
        <f aca="false">MAX(0,Q541-T541-U541)*Ipotesi!$C$92</f>
        <v>0</v>
      </c>
      <c r="W541" s="15" t="n">
        <f aca="false">MAX(0,SUM(M533:M541)+Parametri_v3!$C$55*9/12)*Ipotesi!$C$93</f>
        <v>0</v>
      </c>
      <c r="X541" s="15" t="n">
        <f aca="false">V541+W541-(V540+W540)</f>
        <v>0</v>
      </c>
      <c r="Y541" s="15" t="n">
        <f aca="false">P541-X541</f>
        <v>4841.28302436039</v>
      </c>
      <c r="Z541" s="15" t="n">
        <f aca="false">R541-T541+IF(AND(Parametri_v3!$C$40=1,D541-YEAR(Parametri_v3!$C$50)&lt;Parametri_v3!$C$41),MAX(0,-Q541),0)</f>
        <v>1100781.76028115</v>
      </c>
      <c r="AA541" s="15" t="n">
        <f aca="false">S541-U541+IF(AND(Parametri_v3!$C$40=1,D541-YEAR(Parametri_v3!$C$50)&lt;Parametri_v3!$C$41),0,MAX(0,-Q541))</f>
        <v>364533.594926896</v>
      </c>
      <c r="AB541" s="15" t="n">
        <f aca="false">F541*(1+Parametri_v3!$C$26)</f>
        <v>239835.745487109</v>
      </c>
      <c r="AC541" s="15" t="n">
        <f aca="false">(IF(57-(INT((Motore_Operativo!L541)/30))&lt;1,0,INDEX(Motore_Startup!$AB$485:$AB$544,MAX(1,57-(INT((Motore_Operativo!L541)/30)))))*(1-(MOD((Motore_Operativo!L541),30)/30))+IF(57-(INT((Motore_Operativo!L541)/30))-1&lt;1,0,INDEX(Motore_Startup!$AB$485:$AB$544,MAX(1,57-(INT((Motore_Operativo!L541)/30))-1)))*(MOD((Motore_Operativo!L541),30)/30))</f>
        <v>227453.527819227</v>
      </c>
      <c r="AD541" s="15" t="n">
        <f aca="false">(AD540)+AB541-AC541</f>
        <v>707197.495464393</v>
      </c>
      <c r="AE541" s="15" t="n">
        <f aca="false">Motore_Operativo!BH541*(1+Parametri_v3!$C$26)</f>
        <v>14146.9166666667</v>
      </c>
      <c r="AF541" s="15" t="n">
        <f aca="false">(IF(57-(INT((Parametri_v3!$C$29)/30))&lt;1,0,INDEX(Motore_Operativo!$BH$485:$BH$544,MAX(1,57-(INT((Parametri_v3!$C$29)/30)))))*(1-(MOD((Parametri_v3!$C$29),30)/30))+IF(57-(INT((Parametri_v3!$C$29)/30))-1&lt;1,0,INDEX(Motore_Operativo!$BH$485:$BH$544,MAX(1,57-(INT((Parametri_v3!$C$29)/30))-1)))*(MOD((Parametri_v3!$C$29),30)/30))*(1+Parametri_v3!$C$26)</f>
        <v>14146.9166666667</v>
      </c>
      <c r="AG541" s="15" t="n">
        <f aca="false">(AG540)+AE541-AF541</f>
        <v>14146.9166666667</v>
      </c>
      <c r="AH541" s="15" t="n">
        <f aca="false">(Motore_Operativo!CJ541)*(1+Parametri_v3!$C$27*Parametri_v3!$C$26)</f>
        <v>95795.8573805037</v>
      </c>
      <c r="AI541" s="15" t="n">
        <f aca="false">(IF(57-(INT((Ipotesi!$C$91)/30))&lt;1,0,INDEX(Motore_Startup!$AH$485:$AH$544,MAX(1,57-(INT((Ipotesi!$C$91)/30)))))*(1-(MOD((Ipotesi!$C$91),30)/30))+IF(57-(INT((Ipotesi!$C$91)/30))-1&lt;1,0,INDEX(Motore_Startup!$AH$485:$AH$544,MAX(1,57-(INT((Ipotesi!$C$91)/30))-1)))*(MOD((Ipotesi!$C$91),30)/30))</f>
        <v>94676.3871161839</v>
      </c>
      <c r="AJ541" s="15" t="n">
        <f aca="false">(AJ540)+AH541-AI541</f>
        <v>191034.436862318</v>
      </c>
      <c r="AK541" s="15" t="n">
        <f aca="false">(F541+ Motore_Operativo!BH541-(Motore_Operativo!CJ541)*Parametri_v3!$C$27-Motore_Operativo!CE541)*Parametri_v3!$C$26</f>
        <v>29791.8045391898</v>
      </c>
      <c r="AL541" s="15" t="n">
        <f aca="false">MAX(0,(AM540))</f>
        <v>29141.8370200907</v>
      </c>
      <c r="AM541" s="15" t="n">
        <f aca="false">(AM540)+AK541-AL541</f>
        <v>29791.8045391898</v>
      </c>
      <c r="AN541" s="15" t="n">
        <f aca="false">SUM(X521:X532)</f>
        <v>0</v>
      </c>
      <c r="AO541" s="15" t="n">
        <f aca="false">SUM(AP521:AP532)</f>
        <v>0</v>
      </c>
      <c r="AP541" s="15" t="n">
        <f aca="false">MAX(0,AN541)*IF(9=Parametri_v3!$C$43,Parametri_v3!$C$45,IF(9=Parametri_v3!$C$44,1-Parametri_v3!$C$45,0))</f>
        <v>0</v>
      </c>
      <c r="AQ541" s="15" t="n">
        <f aca="false">MAX(0,AP541+IF(9=Parametri_v3!$C$43,MAX(0,AN541-AO541),0)-MAX(0,-(AR540)))</f>
        <v>0</v>
      </c>
      <c r="AR541" s="15" t="n">
        <f aca="false">(AR540)+X541-AQ541</f>
        <v>0</v>
      </c>
      <c r="AS541" s="15" t="n">
        <f aca="false">Motore_Operativo!AB541-AT541+AU541</f>
        <v>113503.461904792</v>
      </c>
      <c r="AT541" s="15" t="n">
        <f aca="false">Motore_Operativo!CH541</f>
        <v>5973.86641604167</v>
      </c>
      <c r="AU541" s="15" t="n">
        <f aca="false">MIN(MAX(0,(AV540)+AT541),Parametri_v3!$C$60/12)</f>
        <v>0</v>
      </c>
      <c r="AV541" s="15" t="n">
        <f aca="false">(AV540)+AT541-AU541</f>
        <v>190820.348119375</v>
      </c>
      <c r="AW541" s="15" t="n">
        <f aca="false">IF(AND(Motore_Operativo!C541=Finanziamenti!$D$6,Finanziamenti!$F$6=1),Finanziamenti!$C$6,0)</f>
        <v>0</v>
      </c>
      <c r="AX541" s="15" t="n">
        <f aca="false">IF(AND(9&lt;&gt;7,9&lt;&gt;9,Finanziamenti!$F$8=1,OR(Parametri_v3!$C$6=0,Finanziamenti!$E$8=1),Motore_Operativo!C541=EDATE(Finanziamenti!$D$8,Ipotesi!K15*12)),Finanziamenti!$C$8*1,0)+IF(AND(9&lt;&gt;7,9&lt;&gt;9,Finanziamenti!$F$9=1,OR(Parametri_v3!$C$6=0,Finanziamenti!$E$9=1),Motore_Operativo!C541=EDATE(Finanziamenti!$D$9,Ipotesi!K15*12)),Finanziamenti!$C$9*Ipotesi!K16,0)</f>
        <v>0</v>
      </c>
      <c r="AY541" s="15" t="n">
        <f aca="false">0</f>
        <v>0</v>
      </c>
      <c r="AZ541" s="15" t="n">
        <f aca="false">Motore_Advisory!AY541*(1-Ipotesi!$C$95)*Ipotesi!$C$96</f>
        <v>0</v>
      </c>
      <c r="BA541" s="15" t="n">
        <f aca="false">MAX(0,MIN(CG541*MIN(1,IF(Motore_Operativo!C541&gt;=EDATE(Finanziamenti!$D$15,Ipotesi!K14*12),Finanziamenti!$C$15,0)+IF(Motore_Operativo!C541&gt;=EDATE(Finanziamenti!$D$16,Ipotesi!K14*12),Finanziamenti!$C$16,0)+IF(Motore_Operativo!C541&gt;=EDATE(Finanziamenti!$D$17,Ipotesi!K14*12),Finanziamenti!$C$17,0)),CA541*Ipotesi!$C$102)-(CC540))</f>
        <v>0</v>
      </c>
      <c r="BB541" s="15" t="n">
        <f aca="false">IF(AND(CF541&gt;0,Motore_Operativo!C541&gt;=IF(CF541=0,0,EDATE(CF541,Parametri_v3!$C$37)),MOD(((D541-YEAR(IF(CF541=0,0,EDATE(CF541,Parametri_v3!$C$37))))*12+E541-MONTH(IF(CF541=0,0,EDATE(CF541,Parametri_v3!$C$37)))),Parametri_v3!$C$38)=0),MIN(MAX(0,(BC540)+BA541-N541),(CC541-CD541)/(Ipotesi!$C$108*12/Parametri_v3!$C$38)),0)</f>
        <v>0</v>
      </c>
      <c r="BC541" s="15" t="n">
        <f aca="false">(BC540)+BA541-N541-BB541</f>
        <v>0</v>
      </c>
      <c r="BD541" s="15" t="n">
        <f aca="false">(BH540)+AC541+AF541-AI541-AS541-K541*(1+Parametri_v3!$C$26)-AL541-AQ541-O541+AW541+AX541+AZ541+BA541-BB541</f>
        <v>-1601909.15727355</v>
      </c>
      <c r="BE541" s="15" t="n">
        <f aca="false">MAX(0,MIN(MAX(0,CH541-(BG540)),Parametri_v3!$C$30-BD541))</f>
        <v>0</v>
      </c>
      <c r="BF541" s="15" t="n">
        <f aca="false">IF(Motore_Operativo!C541&gt;=Parametri_v3!$C$63,(BG540),MIN((BG540),MAX(0,BD541-Parametri_v3!$C$30)))</f>
        <v>0</v>
      </c>
      <c r="BG541" s="15" t="n">
        <f aca="false">(BG540)+BE541-BF541</f>
        <v>0</v>
      </c>
      <c r="BH541" s="15" t="n">
        <f aca="false">BD541+BE541-BF541-AY541</f>
        <v>-1601909.15727355</v>
      </c>
      <c r="BI541" s="15" t="n">
        <f aca="false">MAX(0,Parametri_v3!$C$30-BH541)</f>
        <v>1626909.15727355</v>
      </c>
      <c r="BJ541" s="15" t="n">
        <f aca="false">(BJ540)+K541</f>
        <v>152500</v>
      </c>
      <c r="BK541" s="15" t="n">
        <f aca="false">(BK540)+L541</f>
        <v>90173.6111111111</v>
      </c>
      <c r="BL541" s="15" t="n">
        <f aca="false">BJ541-BK541</f>
        <v>62326.3888888888</v>
      </c>
      <c r="BM541" s="15" t="n">
        <f aca="false">(BM540)+Y541</f>
        <v>-1465315.35520805</v>
      </c>
      <c r="BN541" s="15" t="n">
        <f aca="false">(BN540)+AW541+AX541+AZ541</f>
        <v>235430.409433568</v>
      </c>
      <c r="BO541" s="15" t="n">
        <f aca="false">(BO540)+AY541</f>
        <v>0</v>
      </c>
      <c r="BP541" s="15" t="n">
        <f aca="false">0</f>
        <v>0</v>
      </c>
      <c r="BQ541" s="15" t="n">
        <f aca="false">BN541+BM541-BO541</f>
        <v>-1229884.94577448</v>
      </c>
      <c r="BR541" s="15" t="n">
        <f aca="false">BH541+AD541+BL541+MAX(0,-AM541)+MAX(0,-AR541)+AG541</f>
        <v>-818238.356253597</v>
      </c>
      <c r="BS541" s="15" t="n">
        <f aca="false">AJ541+AV541+MAX(0,AM541)+MAX(0,AR541)+BC541+BG541+BQ541</f>
        <v>-818238.356253596</v>
      </c>
      <c r="BT541" s="15" t="n">
        <f aca="false">BR541-BS541</f>
        <v>0</v>
      </c>
      <c r="BU541" s="15" t="n">
        <f aca="false">BH541-(BD541+BE541-BF541-AY541)</f>
        <v>0</v>
      </c>
      <c r="BV541" s="15" t="n">
        <f aca="false">MIN(Piano_SS!$C$6,(BV540)+IF(AND(Motore_Operativo!C541&gt;=EDATE(Parametri_v3!$C$24,Ipotesi!K14*12),Motore_Operativo!C541&lt;EDATE(Parametri_v3!$C$24,Parametri_v3!$C$25+Ipotesi!K14*12)),MAX(0,(Motore_Operativo!Y541+Motore_Operativo!X541*Parametri_v3!$C$14)*(1-Parametri_v3!$C$32))*Piano_SS!$D$6,0))</f>
        <v>300000</v>
      </c>
      <c r="BW541" s="15" t="n">
        <f aca="false">MIN(Piano_SS!$C$7,(BW540)+IF(AND(Motore_Operativo!C541&gt;=EDATE(Parametri_v3!$C$24,Ipotesi!K14*12),Motore_Operativo!C541&lt;EDATE(Parametri_v3!$C$24,Parametri_v3!$C$25+Ipotesi!K14*12)),MAX(0,(IF(57-(INT((Ipotesi!$C$91)/30))&lt;1,0,INDEX(Motore_Operativo!$BN$485:$BN$544,MAX(1,57-(INT((Ipotesi!$C$91)/30)))))*(1-(MOD((Ipotesi!$C$91),30)/30))+IF(57-(INT((Ipotesi!$C$91)/30))-1&lt;1,0,INDEX(Motore_Operativo!$BN$485:$BN$544,MAX(1,57-(INT((Ipotesi!$C$91)/30))-1)))*(MOD((Ipotesi!$C$91),30)/30)))*Piano_SS!$D$7,0))</f>
        <v>41058.9230070837</v>
      </c>
      <c r="BX541" s="15" t="n">
        <f aca="false">MIN(Piano_SS!$C$8,(BX540)+IF(AND(Motore_Operativo!C541&gt;=EDATE(Parametri_v3!$C$24,Ipotesi!K14*12),Motore_Operativo!C541&lt;EDATE(Parametri_v3!$C$24,Parametri_v3!$C$25+Ipotesi!K14*12)),MAX(0,Motore_Operativo!CE541)*Piano_SS!$D$8,0))</f>
        <v>50000</v>
      </c>
      <c r="BY541" s="15" t="n">
        <f aca="false">MIN(Piano_SS!$C$9,(BY540)+IF(AND(Motore_Operativo!C541&gt;=EDATE(Parametri_v3!$C$24,Ipotesi!K14*12),Motore_Operativo!C541&lt;EDATE(Parametri_v3!$C$24,Parametri_v3!$C$25+Ipotesi!K14*12)),MAX(0,((IF(57-(INT((Ipotesi!$C$91)/30))&lt;1,0,INDEX(Motore_Operativo!$BQ$485:$BQ$544,MAX(1,57-(INT((Ipotesi!$C$91)/30)))))*(1-(MOD((Ipotesi!$C$91),30)/30))+IF(57-(INT((Ipotesi!$C$91)/30))-1&lt;1,0,INDEX(Motore_Operativo!$BQ$485:$BQ$544,MAX(1,57-(INT((Ipotesi!$C$91)/30))-1)))*(MOD((Ipotesi!$C$91),30)/30))+(IF(57-(INT((Ipotesi!$C$91)/30))&lt;1,0,INDEX(Motore_Operativo!$BR$485:$BR$544,MAX(1,57-(INT((Ipotesi!$C$91)/30)))))*(1-(MOD((Ipotesi!$C$91),30)/30))+IF(57-(INT((Ipotesi!$C$91)/30))-1&lt;1,0,INDEX(Motore_Operativo!$BR$485:$BR$544,MAX(1,57-(INT((Ipotesi!$C$91)/30))-1)))*(MOD((Ipotesi!$C$91),30)/30))))*Piano_SS!$D$9,0))</f>
        <v>40000</v>
      </c>
      <c r="BZ541" s="15" t="n">
        <f aca="false">MIN(Piano_SS!$C$10,(BZ540)+IF(AND(Motore_Operativo!C541&gt;=EDATE(Parametri_v3!$C$24,Ipotesi!K14*12),Motore_Operativo!C541&lt;EDATE(Parametri_v3!$C$24,Parametri_v3!$C$25+Ipotesi!K14*12)),MAX(0,(IF(57-(INT((Ipotesi!$C$91)/30))&lt;1,0,INDEX(Motore_Operativo!$BO$485:$BO$544,MAX(1,57-(INT((Ipotesi!$C$91)/30)))))*(1-(MOD((Ipotesi!$C$91),30)/30))+IF(57-(INT((Ipotesi!$C$91)/30))-1&lt;1,0,INDEX(Motore_Operativo!$BO$485:$BO$544,MAX(1,57-(INT((Ipotesi!$C$91)/30))-1)))*(MOD((Ipotesi!$C$91),30)/30)))*Piano_SS!$D$10,0))</f>
        <v>30000</v>
      </c>
      <c r="CA541" s="15" t="n">
        <f aca="false">SUM(BV541:BZ541)</f>
        <v>461058.923007084</v>
      </c>
      <c r="CB541" s="15" t="n">
        <f aca="false">BV541*(1-Piano_SS!$E$6)+BW541*(1-Piano_SS!$E$7)+BX541*(1-Piano_SS!$E$8)+BY541*(1-Piano_SS!$E$9)+BZ541*(1-Piano_SS!$E$10)</f>
        <v>431058.923007084</v>
      </c>
      <c r="CC541" s="15" t="n">
        <f aca="false">(CC540)+BA541</f>
        <v>0</v>
      </c>
      <c r="CD541" s="15" t="n">
        <f aca="false">IF(CA541=0,0,CC541*CB541/CA541*Ipotesi!$C$103*Parametri_v3!$C$64)</f>
        <v>0</v>
      </c>
      <c r="CE541" s="18" t="n">
        <f aca="false">IF(BA541&gt;0,Motore_Operativo!C541,(CE540))</f>
        <v>0</v>
      </c>
      <c r="CF541" s="18" t="n">
        <f aca="false">IF(AND(CC541&gt;0,OR(CC541&gt;=CG541-0.01,Motore_Operativo!C541&gt;=EDATE(MAX(Finanziamenti!$D$15:$D$17),Ipotesi!K14*12))),CE541,0)</f>
        <v>0</v>
      </c>
      <c r="CG541" s="15" t="n">
        <f aca="false">IF(AND(9&lt;&gt;6,9&lt;&gt;9,Finanziamenti!$F$11=1,OR(Parametri_v3!$C$6=0,Finanziamenti!$E$11=1)),MIN(Finanziamenti!$C$11,Piano_SS!$C$12*Ipotesi!$C$102),0)</f>
        <v>0</v>
      </c>
      <c r="CH541" s="15" t="n">
        <f aca="false">IF(AND(AND(9&lt;&gt;8,9&lt;&gt;9,Finanziamenti!$F$10=1,OR(Parametri_v3!$C$6=0,Finanziamenti!$E$10=1)),Motore_Operativo!C541&gt;=Finanziamenti!$D$10,Motore_Operativo!C541&lt;Parametri_v3!$C$63),Finanziamenti!$C$10,0)</f>
        <v>0</v>
      </c>
    </row>
    <row r="542" customFormat="false" ht="18" hidden="false" customHeight="true" outlineLevel="0" collapsed="false">
      <c r="A542" s="68" t="n">
        <f aca="false">9</f>
        <v>9</v>
      </c>
      <c r="B542" s="68" t="n">
        <f aca="false">58</f>
        <v>58</v>
      </c>
      <c r="C542" s="18" t="n">
        <f aca="false">Motore_Operativo!C542</f>
        <v>48122</v>
      </c>
      <c r="D542" s="68" t="n">
        <f aca="false">Motore_Operativo!D542</f>
        <v>2031</v>
      </c>
      <c r="E542" s="68" t="n">
        <f aca="false">Motore_Operativo!E542</f>
        <v>10</v>
      </c>
      <c r="F542" s="15" t="n">
        <f aca="false">Motore_Operativo!AQ542+Motore_Operativo!BF542</f>
        <v>199910.821484386</v>
      </c>
      <c r="G542" s="15" t="n">
        <f aca="false">Motore_Operativo!BH542</f>
        <v>11595.8333333333</v>
      </c>
      <c r="H542" s="15" t="n">
        <f aca="false">Motore_Operativo!BI542</f>
        <v>211506.654817719</v>
      </c>
      <c r="I542" s="15" t="n">
        <f aca="false">Motore_Operativo!CA542</f>
        <v>200646.884995314</v>
      </c>
      <c r="J542" s="15" t="n">
        <f aca="false">Motore_Operativo!CC542</f>
        <v>10859.7698224054</v>
      </c>
      <c r="K542" s="15" t="n">
        <f aca="false">Motore_Operativo!CE542</f>
        <v>4166.66666666667</v>
      </c>
      <c r="L542" s="15" t="n">
        <f aca="false">SUM(INDEX($K$485:$K$544,MAX(1,58-Parametri_v3!$C$59+1)):K542)/Parametri_v3!$C$59</f>
        <v>3217.59259259259</v>
      </c>
      <c r="M542" s="15" t="n">
        <f aca="false">J542-L542</f>
        <v>7642.17722981277</v>
      </c>
      <c r="N542" s="15" t="n">
        <f aca="false">CD542-(CD541)</f>
        <v>0</v>
      </c>
      <c r="O542" s="15" t="n">
        <f aca="false">(BG541)*Ipotesi!$C$110/12+CH542*Parametri_v3!$C$39/12</f>
        <v>0</v>
      </c>
      <c r="P542" s="15" t="n">
        <f aca="false">M542+N542-O542</f>
        <v>7642.17722981277</v>
      </c>
      <c r="Q542" s="15" t="n">
        <f aca="false">SUM(P533:P542)+Parametri_v3!$C$54*10/12</f>
        <v>-49166.571726869</v>
      </c>
      <c r="R542" s="15" t="n">
        <f aca="false">Z532</f>
        <v>1100781.76028115</v>
      </c>
      <c r="S542" s="15" t="n">
        <f aca="false">AA532</f>
        <v>307724.845970214</v>
      </c>
      <c r="T542" s="15" t="n">
        <f aca="false">MIN(R542,MAX(0,Q542))</f>
        <v>0</v>
      </c>
      <c r="U542" s="15" t="n">
        <f aca="false">MIN(S542,MAX(0,Q542-T542)*Parametri_v3!$C$42)</f>
        <v>0</v>
      </c>
      <c r="V542" s="15" t="n">
        <f aca="false">MAX(0,Q542-T542-U542)*Ipotesi!$C$92</f>
        <v>0</v>
      </c>
      <c r="W542" s="15" t="n">
        <f aca="false">MAX(0,SUM(M533:M542)+Parametri_v3!$C$55*10/12)*Ipotesi!$C$93</f>
        <v>0</v>
      </c>
      <c r="X542" s="15" t="n">
        <f aca="false">V542+W542-(V541+W541)</f>
        <v>0</v>
      </c>
      <c r="Y542" s="15" t="n">
        <f aca="false">P542-X542</f>
        <v>7642.17722981277</v>
      </c>
      <c r="Z542" s="15" t="n">
        <f aca="false">R542-T542+IF(AND(Parametri_v3!$C$40=1,D542-YEAR(Parametri_v3!$C$50)&lt;Parametri_v3!$C$41),MAX(0,-Q542),0)</f>
        <v>1100781.76028115</v>
      </c>
      <c r="AA542" s="15" t="n">
        <f aca="false">S542-U542+IF(AND(Parametri_v3!$C$40=1,D542-YEAR(Parametri_v3!$C$50)&lt;Parametri_v3!$C$41),0,MAX(0,-Q542))</f>
        <v>356891.417697083</v>
      </c>
      <c r="AB542" s="15" t="n">
        <f aca="false">F542*(1+Parametri_v3!$C$26)</f>
        <v>243891.202210951</v>
      </c>
      <c r="AC542" s="15" t="n">
        <f aca="false">(IF(58-(INT((Motore_Operativo!L542)/30))&lt;1,0,INDEX(Motore_Startup!$AB$485:$AB$544,MAX(1,58-(INT((Motore_Operativo!L542)/30)))))*(1-(MOD((Motore_Operativo!L542),30)/30))+IF(58-(INT((Motore_Operativo!L542)/30))-1&lt;1,0,INDEX(Motore_Startup!$AB$485:$AB$544,MAX(1,58-(INT((Motore_Operativo!L542)/30))-1)))*(MOD((Motore_Operativo!L542),30)/30))</f>
        <v>231617.225072678</v>
      </c>
      <c r="AD542" s="15" t="n">
        <f aca="false">(AD541)+AB542-AC542</f>
        <v>719471.472602666</v>
      </c>
      <c r="AE542" s="15" t="n">
        <f aca="false">Motore_Operativo!BH542*(1+Parametri_v3!$C$26)</f>
        <v>14146.9166666667</v>
      </c>
      <c r="AF542" s="15" t="n">
        <f aca="false">(IF(58-(INT((Parametri_v3!$C$29)/30))&lt;1,0,INDEX(Motore_Operativo!$BH$485:$BH$544,MAX(1,58-(INT((Parametri_v3!$C$29)/30)))))*(1-(MOD((Parametri_v3!$C$29),30)/30))+IF(58-(INT((Parametri_v3!$C$29)/30))-1&lt;1,0,INDEX(Motore_Operativo!$BH$485:$BH$544,MAX(1,58-(INT((Parametri_v3!$C$29)/30))-1)))*(MOD((Parametri_v3!$C$29),30)/30))*(1+Parametri_v3!$C$26)</f>
        <v>14146.9166666667</v>
      </c>
      <c r="AG542" s="15" t="n">
        <f aca="false">(AG541)+AE542-AF542</f>
        <v>14146.9166666667</v>
      </c>
      <c r="AH542" s="15" t="n">
        <f aca="false">(Motore_Operativo!CJ542)*(1+Parametri_v3!$C$27*Parametri_v3!$C$26)</f>
        <v>96348.2637726086</v>
      </c>
      <c r="AI542" s="15" t="n">
        <f aca="false">(IF(58-(INT((Ipotesi!$C$91)/30))&lt;1,0,INDEX(Motore_Startup!$AH$485:$AH$544,MAX(1,58-(INT((Ipotesi!$C$91)/30)))))*(1-(MOD((Ipotesi!$C$91),30)/30))+IF(58-(INT((Ipotesi!$C$91)/30))-1&lt;1,0,INDEX(Motore_Startup!$AH$485:$AH$544,MAX(1,58-(INT((Ipotesi!$C$91)/30))-1)))*(MOD((Ipotesi!$C$91),30)/30))</f>
        <v>95238.5794818148</v>
      </c>
      <c r="AJ542" s="15" t="n">
        <f aca="false">(AJ541)+AH542-AI542</f>
        <v>192144.121153112</v>
      </c>
      <c r="AK542" s="15" t="n">
        <f aca="false">(F542+ Motore_Operativo!BH542-(Motore_Operativo!CJ542)*Parametri_v3!$C$27-Motore_Operativo!CE542)*Parametri_v3!$C$26</f>
        <v>30436.0902951037</v>
      </c>
      <c r="AL542" s="15" t="n">
        <f aca="false">MAX(0,(AM541))</f>
        <v>29791.8045391898</v>
      </c>
      <c r="AM542" s="15" t="n">
        <f aca="false">(AM541)+AK542-AL542</f>
        <v>30436.0902951037</v>
      </c>
      <c r="AN542" s="15" t="n">
        <f aca="false">SUM(X521:X532)</f>
        <v>0</v>
      </c>
      <c r="AO542" s="15" t="n">
        <f aca="false">SUM(AP521:AP532)</f>
        <v>0</v>
      </c>
      <c r="AP542" s="15" t="n">
        <f aca="false">MAX(0,AN542)*IF(10=Parametri_v3!$C$43,Parametri_v3!$C$45,IF(10=Parametri_v3!$C$44,1-Parametri_v3!$C$45,0))</f>
        <v>0</v>
      </c>
      <c r="AQ542" s="15" t="n">
        <f aca="false">MAX(0,AP542+IF(10=Parametri_v3!$C$43,MAX(0,AN542-AO542),0)-MAX(0,-(AR541)))</f>
        <v>0</v>
      </c>
      <c r="AR542" s="15" t="n">
        <f aca="false">(AR541)+X542-AQ542</f>
        <v>0</v>
      </c>
      <c r="AS542" s="15" t="n">
        <f aca="false">Motore_Operativo!AB542-AT542+AU542</f>
        <v>113503.461904792</v>
      </c>
      <c r="AT542" s="15" t="n">
        <f aca="false">Motore_Operativo!CH542</f>
        <v>5973.86641604167</v>
      </c>
      <c r="AU542" s="15" t="n">
        <f aca="false">MIN(MAX(0,(AV541)+AT542),Parametri_v3!$C$60/12)</f>
        <v>0</v>
      </c>
      <c r="AV542" s="15" t="n">
        <f aca="false">(AV541)+AT542-AU542</f>
        <v>196794.214535417</v>
      </c>
      <c r="AW542" s="15" t="n">
        <f aca="false">IF(AND(Motore_Operativo!C542=Finanziamenti!$D$6,Finanziamenti!$F$6=1),Finanziamenti!$C$6,0)</f>
        <v>0</v>
      </c>
      <c r="AX542" s="15" t="n">
        <f aca="false">IF(AND(9&lt;&gt;7,9&lt;&gt;9,Finanziamenti!$F$8=1,OR(Parametri_v3!$C$6=0,Finanziamenti!$E$8=1),Motore_Operativo!C542=EDATE(Finanziamenti!$D$8,Ipotesi!K15*12)),Finanziamenti!$C$8*1,0)+IF(AND(9&lt;&gt;7,9&lt;&gt;9,Finanziamenti!$F$9=1,OR(Parametri_v3!$C$6=0,Finanziamenti!$E$9=1),Motore_Operativo!C542=EDATE(Finanziamenti!$D$9,Ipotesi!K15*12)),Finanziamenti!$C$9*Ipotesi!K16,0)</f>
        <v>0</v>
      </c>
      <c r="AY542" s="15" t="n">
        <f aca="false">0</f>
        <v>0</v>
      </c>
      <c r="AZ542" s="15" t="n">
        <f aca="false">Motore_Advisory!AY542*(1-Ipotesi!$C$95)*Ipotesi!$C$96</f>
        <v>0</v>
      </c>
      <c r="BA542" s="15" t="n">
        <f aca="false">MAX(0,MIN(CG542*MIN(1,IF(Motore_Operativo!C542&gt;=EDATE(Finanziamenti!$D$15,Ipotesi!K14*12),Finanziamenti!$C$15,0)+IF(Motore_Operativo!C542&gt;=EDATE(Finanziamenti!$D$16,Ipotesi!K14*12),Finanziamenti!$C$16,0)+IF(Motore_Operativo!C542&gt;=EDATE(Finanziamenti!$D$17,Ipotesi!K14*12),Finanziamenti!$C$17,0)),CA542*Ipotesi!$C$102)-(CC541))</f>
        <v>0</v>
      </c>
      <c r="BB542" s="15" t="n">
        <f aca="false">IF(AND(CF542&gt;0,Motore_Operativo!C542&gt;=IF(CF542=0,0,EDATE(CF542,Parametri_v3!$C$37)),MOD(((D542-YEAR(IF(CF542=0,0,EDATE(CF542,Parametri_v3!$C$37))))*12+E542-MONTH(IF(CF542=0,0,EDATE(CF542,Parametri_v3!$C$37)))),Parametri_v3!$C$38)=0),MIN(MAX(0,(BC541)+BA542-N542),(CC542-CD542)/(Ipotesi!$C$108*12/Parametri_v3!$C$38)),0)</f>
        <v>0</v>
      </c>
      <c r="BC542" s="15" t="n">
        <f aca="false">(BC541)+BA542-N542-BB542</f>
        <v>0</v>
      </c>
      <c r="BD542" s="15" t="n">
        <f aca="false">(BH541)+AC542+AF542-AI542-AS542-K542*(1+Parametri_v3!$C$26)-AL542-AQ542-O542+AW542+AX542+AZ542+BA542-BB542</f>
        <v>-1599762.19479333</v>
      </c>
      <c r="BE542" s="15" t="n">
        <f aca="false">MAX(0,MIN(MAX(0,CH542-(BG541)),Parametri_v3!$C$30-BD542))</f>
        <v>0</v>
      </c>
      <c r="BF542" s="15" t="n">
        <f aca="false">IF(Motore_Operativo!C542&gt;=Parametri_v3!$C$63,(BG541),MIN((BG541),MAX(0,BD542-Parametri_v3!$C$30)))</f>
        <v>0</v>
      </c>
      <c r="BG542" s="15" t="n">
        <f aca="false">(BG541)+BE542-BF542</f>
        <v>0</v>
      </c>
      <c r="BH542" s="15" t="n">
        <f aca="false">BD542+BE542-BF542-AY542</f>
        <v>-1599762.19479333</v>
      </c>
      <c r="BI542" s="15" t="n">
        <f aca="false">MAX(0,Parametri_v3!$C$30-BH542)</f>
        <v>1624762.19479333</v>
      </c>
      <c r="BJ542" s="15" t="n">
        <f aca="false">(BJ541)+K542</f>
        <v>156666.666666667</v>
      </c>
      <c r="BK542" s="15" t="n">
        <f aca="false">(BK541)+L542</f>
        <v>93391.2037037037</v>
      </c>
      <c r="BL542" s="15" t="n">
        <f aca="false">BJ542-BK542</f>
        <v>63275.4629629629</v>
      </c>
      <c r="BM542" s="15" t="n">
        <f aca="false">(BM541)+Y542</f>
        <v>-1457673.17797823</v>
      </c>
      <c r="BN542" s="15" t="n">
        <f aca="false">(BN541)+AW542+AX542+AZ542</f>
        <v>235430.409433568</v>
      </c>
      <c r="BO542" s="15" t="n">
        <f aca="false">(BO541)+AY542</f>
        <v>0</v>
      </c>
      <c r="BP542" s="15" t="n">
        <f aca="false">0</f>
        <v>0</v>
      </c>
      <c r="BQ542" s="15" t="n">
        <f aca="false">BN542+BM542-BO542</f>
        <v>-1222242.76854467</v>
      </c>
      <c r="BR542" s="15" t="n">
        <f aca="false">BH542+AD542+BL542+MAX(0,-AM542)+MAX(0,-AR542)+AG542</f>
        <v>-802868.342561034</v>
      </c>
      <c r="BS542" s="15" t="n">
        <f aca="false">AJ542+AV542+MAX(0,AM542)+MAX(0,AR542)+BC542+BG542+BQ542</f>
        <v>-802868.342561034</v>
      </c>
      <c r="BT542" s="15" t="n">
        <f aca="false">BR542-BS542</f>
        <v>0</v>
      </c>
      <c r="BU542" s="15" t="n">
        <f aca="false">BH542-(BD542+BE542-BF542-AY542)</f>
        <v>0</v>
      </c>
      <c r="BV542" s="15" t="n">
        <f aca="false">MIN(Piano_SS!$C$6,(BV541)+IF(AND(Motore_Operativo!C542&gt;=EDATE(Parametri_v3!$C$24,Ipotesi!K14*12),Motore_Operativo!C542&lt;EDATE(Parametri_v3!$C$24,Parametri_v3!$C$25+Ipotesi!K14*12)),MAX(0,(Motore_Operativo!Y542+Motore_Operativo!X542*Parametri_v3!$C$14)*(1-Parametri_v3!$C$32))*Piano_SS!$D$6,0))</f>
        <v>300000</v>
      </c>
      <c r="BW542" s="15" t="n">
        <f aca="false">MIN(Piano_SS!$C$7,(BW541)+IF(AND(Motore_Operativo!C542&gt;=EDATE(Parametri_v3!$C$24,Ipotesi!K14*12),Motore_Operativo!C542&lt;EDATE(Parametri_v3!$C$24,Parametri_v3!$C$25+Ipotesi!K14*12)),MAX(0,(IF(58-(INT((Ipotesi!$C$91)/30))&lt;1,0,INDEX(Motore_Operativo!$BN$485:$BN$544,MAX(1,58-(INT((Ipotesi!$C$91)/30)))))*(1-(MOD((Ipotesi!$C$91),30)/30))+IF(58-(INT((Ipotesi!$C$91)/30))-1&lt;1,0,INDEX(Motore_Operativo!$BN$485:$BN$544,MAX(1,58-(INT((Ipotesi!$C$91)/30))-1)))*(MOD((Ipotesi!$C$91),30)/30)))*Piano_SS!$D$7,0))</f>
        <v>41058.9230070837</v>
      </c>
      <c r="BX542" s="15" t="n">
        <f aca="false">MIN(Piano_SS!$C$8,(BX541)+IF(AND(Motore_Operativo!C542&gt;=EDATE(Parametri_v3!$C$24,Ipotesi!K14*12),Motore_Operativo!C542&lt;EDATE(Parametri_v3!$C$24,Parametri_v3!$C$25+Ipotesi!K14*12)),MAX(0,Motore_Operativo!CE542)*Piano_SS!$D$8,0))</f>
        <v>50000</v>
      </c>
      <c r="BY542" s="15" t="n">
        <f aca="false">MIN(Piano_SS!$C$9,(BY541)+IF(AND(Motore_Operativo!C542&gt;=EDATE(Parametri_v3!$C$24,Ipotesi!K14*12),Motore_Operativo!C542&lt;EDATE(Parametri_v3!$C$24,Parametri_v3!$C$25+Ipotesi!K14*12)),MAX(0,((IF(58-(INT((Ipotesi!$C$91)/30))&lt;1,0,INDEX(Motore_Operativo!$BQ$485:$BQ$544,MAX(1,58-(INT((Ipotesi!$C$91)/30)))))*(1-(MOD((Ipotesi!$C$91),30)/30))+IF(58-(INT((Ipotesi!$C$91)/30))-1&lt;1,0,INDEX(Motore_Operativo!$BQ$485:$BQ$544,MAX(1,58-(INT((Ipotesi!$C$91)/30))-1)))*(MOD((Ipotesi!$C$91),30)/30))+(IF(58-(INT((Ipotesi!$C$91)/30))&lt;1,0,INDEX(Motore_Operativo!$BR$485:$BR$544,MAX(1,58-(INT((Ipotesi!$C$91)/30)))))*(1-(MOD((Ipotesi!$C$91),30)/30))+IF(58-(INT((Ipotesi!$C$91)/30))-1&lt;1,0,INDEX(Motore_Operativo!$BR$485:$BR$544,MAX(1,58-(INT((Ipotesi!$C$91)/30))-1)))*(MOD((Ipotesi!$C$91),30)/30))))*Piano_SS!$D$9,0))</f>
        <v>40000</v>
      </c>
      <c r="BZ542" s="15" t="n">
        <f aca="false">MIN(Piano_SS!$C$10,(BZ541)+IF(AND(Motore_Operativo!C542&gt;=EDATE(Parametri_v3!$C$24,Ipotesi!K14*12),Motore_Operativo!C542&lt;EDATE(Parametri_v3!$C$24,Parametri_v3!$C$25+Ipotesi!K14*12)),MAX(0,(IF(58-(INT((Ipotesi!$C$91)/30))&lt;1,0,INDEX(Motore_Operativo!$BO$485:$BO$544,MAX(1,58-(INT((Ipotesi!$C$91)/30)))))*(1-(MOD((Ipotesi!$C$91),30)/30))+IF(58-(INT((Ipotesi!$C$91)/30))-1&lt;1,0,INDEX(Motore_Operativo!$BO$485:$BO$544,MAX(1,58-(INT((Ipotesi!$C$91)/30))-1)))*(MOD((Ipotesi!$C$91),30)/30)))*Piano_SS!$D$10,0))</f>
        <v>30000</v>
      </c>
      <c r="CA542" s="15" t="n">
        <f aca="false">SUM(BV542:BZ542)</f>
        <v>461058.923007084</v>
      </c>
      <c r="CB542" s="15" t="n">
        <f aca="false">BV542*(1-Piano_SS!$E$6)+BW542*(1-Piano_SS!$E$7)+BX542*(1-Piano_SS!$E$8)+BY542*(1-Piano_SS!$E$9)+BZ542*(1-Piano_SS!$E$10)</f>
        <v>431058.923007084</v>
      </c>
      <c r="CC542" s="15" t="n">
        <f aca="false">(CC541)+BA542</f>
        <v>0</v>
      </c>
      <c r="CD542" s="15" t="n">
        <f aca="false">IF(CA542=0,0,CC542*CB542/CA542*Ipotesi!$C$103*Parametri_v3!$C$64)</f>
        <v>0</v>
      </c>
      <c r="CE542" s="18" t="n">
        <f aca="false">IF(BA542&gt;0,Motore_Operativo!C542,(CE541))</f>
        <v>0</v>
      </c>
      <c r="CF542" s="18" t="n">
        <f aca="false">IF(AND(CC542&gt;0,OR(CC542&gt;=CG542-0.01,Motore_Operativo!C542&gt;=EDATE(MAX(Finanziamenti!$D$15:$D$17),Ipotesi!K14*12))),CE542,0)</f>
        <v>0</v>
      </c>
      <c r="CG542" s="15" t="n">
        <f aca="false">IF(AND(9&lt;&gt;6,9&lt;&gt;9,Finanziamenti!$F$11=1,OR(Parametri_v3!$C$6=0,Finanziamenti!$E$11=1)),MIN(Finanziamenti!$C$11,Piano_SS!$C$12*Ipotesi!$C$102),0)</f>
        <v>0</v>
      </c>
      <c r="CH542" s="15" t="n">
        <f aca="false">IF(AND(AND(9&lt;&gt;8,9&lt;&gt;9,Finanziamenti!$F$10=1,OR(Parametri_v3!$C$6=0,Finanziamenti!$E$10=1)),Motore_Operativo!C542&gt;=Finanziamenti!$D$10,Motore_Operativo!C542&lt;Parametri_v3!$C$63),Finanziamenti!$C$10,0)</f>
        <v>0</v>
      </c>
    </row>
    <row r="543" customFormat="false" ht="18" hidden="false" customHeight="true" outlineLevel="0" collapsed="false">
      <c r="A543" s="68" t="n">
        <f aca="false">9</f>
        <v>9</v>
      </c>
      <c r="B543" s="68" t="n">
        <f aca="false">59</f>
        <v>59</v>
      </c>
      <c r="C543" s="18" t="n">
        <f aca="false">Motore_Operativo!C543</f>
        <v>48153</v>
      </c>
      <c r="D543" s="68" t="n">
        <f aca="false">Motore_Operativo!D543</f>
        <v>2031</v>
      </c>
      <c r="E543" s="68" t="n">
        <f aca="false">Motore_Operativo!E543</f>
        <v>11</v>
      </c>
      <c r="F543" s="15" t="n">
        <f aca="false">Motore_Operativo!AQ543+Motore_Operativo!BF543</f>
        <v>203205.907958909</v>
      </c>
      <c r="G543" s="15" t="n">
        <f aca="false">Motore_Operativo!BH543</f>
        <v>11595.8333333333</v>
      </c>
      <c r="H543" s="15" t="n">
        <f aca="false">Motore_Operativo!BI543</f>
        <v>214801.741292243</v>
      </c>
      <c r="I543" s="15" t="n">
        <f aca="false">Motore_Operativo!CA543</f>
        <v>201108.197101747</v>
      </c>
      <c r="J543" s="15" t="n">
        <f aca="false">Motore_Operativo!CC543</f>
        <v>13693.5441904952</v>
      </c>
      <c r="K543" s="15" t="n">
        <f aca="false">Motore_Operativo!CE543</f>
        <v>4166.66666666667</v>
      </c>
      <c r="L543" s="15" t="n">
        <f aca="false">SUM(INDEX($K$485:$K$544,MAX(1,59-Parametri_v3!$C$59+1)):K543)/Parametri_v3!$C$59</f>
        <v>3275.46296296296</v>
      </c>
      <c r="M543" s="15" t="n">
        <f aca="false">J543-L543</f>
        <v>10418.0812275323</v>
      </c>
      <c r="N543" s="15" t="n">
        <f aca="false">CD543-(CD542)</f>
        <v>0</v>
      </c>
      <c r="O543" s="15" t="n">
        <f aca="false">(BG542)*Ipotesi!$C$110/12+CH543*Parametri_v3!$C$39/12</f>
        <v>0</v>
      </c>
      <c r="P543" s="15" t="n">
        <f aca="false">M543+N543-O543</f>
        <v>10418.0812275323</v>
      </c>
      <c r="Q543" s="15" t="n">
        <f aca="false">SUM(P533:P543)+Parametri_v3!$C$54*11/12</f>
        <v>-38748.4904993367</v>
      </c>
      <c r="R543" s="15" t="n">
        <f aca="false">Z532</f>
        <v>1100781.76028115</v>
      </c>
      <c r="S543" s="15" t="n">
        <f aca="false">AA532</f>
        <v>307724.845970214</v>
      </c>
      <c r="T543" s="15" t="n">
        <f aca="false">MIN(R543,MAX(0,Q543))</f>
        <v>0</v>
      </c>
      <c r="U543" s="15" t="n">
        <f aca="false">MIN(S543,MAX(0,Q543-T543)*Parametri_v3!$C$42)</f>
        <v>0</v>
      </c>
      <c r="V543" s="15" t="n">
        <f aca="false">MAX(0,Q543-T543-U543)*Ipotesi!$C$92</f>
        <v>0</v>
      </c>
      <c r="W543" s="15" t="n">
        <f aca="false">MAX(0,SUM(M533:M543)+Parametri_v3!$C$55*11/12)*Ipotesi!$C$93</f>
        <v>0</v>
      </c>
      <c r="X543" s="15" t="n">
        <f aca="false">V543+W543-(V542+W542)</f>
        <v>0</v>
      </c>
      <c r="Y543" s="15" t="n">
        <f aca="false">P543-X543</f>
        <v>10418.0812275323</v>
      </c>
      <c r="Z543" s="15" t="n">
        <f aca="false">R543-T543+IF(AND(Parametri_v3!$C$40=1,D543-YEAR(Parametri_v3!$C$50)&lt;Parametri_v3!$C$41),MAX(0,-Q543),0)</f>
        <v>1100781.76028115</v>
      </c>
      <c r="AA543" s="15" t="n">
        <f aca="false">S543-U543+IF(AND(Parametri_v3!$C$40=1,D543-YEAR(Parametri_v3!$C$50)&lt;Parametri_v3!$C$41),0,MAX(0,-Q543))</f>
        <v>346473.336469551</v>
      </c>
      <c r="AB543" s="15" t="n">
        <f aca="false">F543*(1+Parametri_v3!$C$26)</f>
        <v>247911.207709869</v>
      </c>
      <c r="AC543" s="15" t="n">
        <f aca="false">(IF(59-(INT((Motore_Operativo!L543)/30))&lt;1,0,INDEX(Motore_Startup!$AB$485:$AB$544,MAX(1,59-(INT((Motore_Operativo!L543)/30)))))*(1-(MOD((Motore_Operativo!L543),30)/30))+IF(59-(INT((Motore_Operativo!L543)/30))-1&lt;1,0,INDEX(Motore_Startup!$AB$485:$AB$544,MAX(1,59-(INT((Motore_Operativo!L543)/30))-1)))*(MOD((Motore_Operativo!L543),30)/30))</f>
        <v>235744.524904606</v>
      </c>
      <c r="AD543" s="15" t="n">
        <f aca="false">(AD542)+AB543-AC543</f>
        <v>731638.15540793</v>
      </c>
      <c r="AE543" s="15" t="n">
        <f aca="false">Motore_Operativo!BH543*(1+Parametri_v3!$C$26)</f>
        <v>14146.9166666667</v>
      </c>
      <c r="AF543" s="15" t="n">
        <f aca="false">(IF(59-(INT((Parametri_v3!$C$29)/30))&lt;1,0,INDEX(Motore_Operativo!$BH$485:$BH$544,MAX(1,59-(INT((Parametri_v3!$C$29)/30)))))*(1-(MOD((Parametri_v3!$C$29),30)/30))+IF(59-(INT((Parametri_v3!$C$29)/30))-1&lt;1,0,INDEX(Motore_Operativo!$BH$485:$BH$544,MAX(1,59-(INT((Parametri_v3!$C$29)/30))-1)))*(MOD((Parametri_v3!$C$29),30)/30))*(1+Parametri_v3!$C$26)</f>
        <v>14146.9166666667</v>
      </c>
      <c r="AG543" s="15" t="n">
        <f aca="false">(AG542)+AE543-AF543</f>
        <v>14146.9166666667</v>
      </c>
      <c r="AH543" s="15" t="n">
        <f aca="false">(Motore_Operativo!CJ543)*(1+Parametri_v3!$C$27*Parametri_v3!$C$26)</f>
        <v>96895.8412429449</v>
      </c>
      <c r="AI543" s="15" t="n">
        <f aca="false">(IF(59-(INT((Ipotesi!$C$91)/30))&lt;1,0,INDEX(Motore_Startup!$AH$485:$AH$544,MAX(1,59-(INT((Ipotesi!$C$91)/30)))))*(1-(MOD((Ipotesi!$C$91),30)/30))+IF(59-(INT((Ipotesi!$C$91)/30))-1&lt;1,0,INDEX(Motore_Startup!$AH$485:$AH$544,MAX(1,59-(INT((Ipotesi!$C$91)/30))-1)))*(MOD((Ipotesi!$C$91),30)/30))</f>
        <v>95795.8573805037</v>
      </c>
      <c r="AJ543" s="15" t="n">
        <f aca="false">(AJ542)+AH543-AI543</f>
        <v>193244.105015553</v>
      </c>
      <c r="AK543" s="15" t="n">
        <f aca="false">(F543+ Motore_Operativo!BH543-(Motore_Operativo!CJ543)*Parametri_v3!$C$27-Motore_Operativo!CE543)*Parametri_v3!$C$26</f>
        <v>31074.7439555958</v>
      </c>
      <c r="AL543" s="15" t="n">
        <f aca="false">MAX(0,(AM542))</f>
        <v>30436.0902951037</v>
      </c>
      <c r="AM543" s="15" t="n">
        <f aca="false">(AM542)+AK543-AL543</f>
        <v>31074.7439555958</v>
      </c>
      <c r="AN543" s="15" t="n">
        <f aca="false">SUM(X521:X532)</f>
        <v>0</v>
      </c>
      <c r="AO543" s="15" t="n">
        <f aca="false">SUM(AP521:AP532)</f>
        <v>0</v>
      </c>
      <c r="AP543" s="15" t="n">
        <f aca="false">MAX(0,AN543)*IF(11=Parametri_v3!$C$43,Parametri_v3!$C$45,IF(11=Parametri_v3!$C$44,1-Parametri_v3!$C$45,0))</f>
        <v>0</v>
      </c>
      <c r="AQ543" s="15" t="n">
        <f aca="false">MAX(0,AP543+IF(11=Parametri_v3!$C$43,MAX(0,AN543-AO543),0)-MAX(0,-(AR542)))</f>
        <v>0</v>
      </c>
      <c r="AR543" s="15" t="n">
        <f aca="false">(AR542)+X543-AQ543</f>
        <v>0</v>
      </c>
      <c r="AS543" s="15" t="n">
        <f aca="false">Motore_Operativo!AB543-AT543+AU543</f>
        <v>113503.461904792</v>
      </c>
      <c r="AT543" s="15" t="n">
        <f aca="false">Motore_Operativo!CH543</f>
        <v>5973.86641604167</v>
      </c>
      <c r="AU543" s="15" t="n">
        <f aca="false">MIN(MAX(0,(AV542)+AT543),Parametri_v3!$C$60/12)</f>
        <v>0</v>
      </c>
      <c r="AV543" s="15" t="n">
        <f aca="false">(AV542)+AT543-AU543</f>
        <v>202768.080951459</v>
      </c>
      <c r="AW543" s="15" t="n">
        <f aca="false">IF(AND(Motore_Operativo!C543=Finanziamenti!$D$6,Finanziamenti!$F$6=1),Finanziamenti!$C$6,0)</f>
        <v>0</v>
      </c>
      <c r="AX543" s="15" t="n">
        <f aca="false">IF(AND(9&lt;&gt;7,9&lt;&gt;9,Finanziamenti!$F$8=1,OR(Parametri_v3!$C$6=0,Finanziamenti!$E$8=1),Motore_Operativo!C543=EDATE(Finanziamenti!$D$8,Ipotesi!K15*12)),Finanziamenti!$C$8*1,0)+IF(AND(9&lt;&gt;7,9&lt;&gt;9,Finanziamenti!$F$9=1,OR(Parametri_v3!$C$6=0,Finanziamenti!$E$9=1),Motore_Operativo!C543=EDATE(Finanziamenti!$D$9,Ipotesi!K15*12)),Finanziamenti!$C$9*Ipotesi!K16,0)</f>
        <v>0</v>
      </c>
      <c r="AY543" s="15" t="n">
        <f aca="false">0</f>
        <v>0</v>
      </c>
      <c r="AZ543" s="15" t="n">
        <f aca="false">Motore_Advisory!AY543*(1-Ipotesi!$C$95)*Ipotesi!$C$96</f>
        <v>0</v>
      </c>
      <c r="BA543" s="15" t="n">
        <f aca="false">MAX(0,MIN(CG543*MIN(1,IF(Motore_Operativo!C543&gt;=EDATE(Finanziamenti!$D$15,Ipotesi!K14*12),Finanziamenti!$C$15,0)+IF(Motore_Operativo!C543&gt;=EDATE(Finanziamenti!$D$16,Ipotesi!K14*12),Finanziamenti!$C$16,0)+IF(Motore_Operativo!C543&gt;=EDATE(Finanziamenti!$D$17,Ipotesi!K14*12),Finanziamenti!$C$17,0)),CA543*Ipotesi!$C$102)-(CC542))</f>
        <v>0</v>
      </c>
      <c r="BB543" s="15" t="n">
        <f aca="false">IF(AND(CF543&gt;0,Motore_Operativo!C543&gt;=IF(CF543=0,0,EDATE(CF543,Parametri_v3!$C$37)),MOD(((D543-YEAR(IF(CF543=0,0,EDATE(CF543,Parametri_v3!$C$37))))*12+E543-MONTH(IF(CF543=0,0,EDATE(CF543,Parametri_v3!$C$37)))),Parametri_v3!$C$38)=0),MIN(MAX(0,(BC542)+BA543-N543),(CC543-CD543)/(Ipotesi!$C$108*12/Parametri_v3!$C$38)),0)</f>
        <v>0</v>
      </c>
      <c r="BC543" s="15" t="n">
        <f aca="false">(BC542)+BA543-N543-BB543</f>
        <v>0</v>
      </c>
      <c r="BD543" s="15" t="n">
        <f aca="false">(BH542)+AC543+AF543-AI543-AS543-K543*(1+Parametri_v3!$C$26)-AL543-AQ543-O543+AW543+AX543+AZ543+BA543-BB543</f>
        <v>-1594689.49613579</v>
      </c>
      <c r="BE543" s="15" t="n">
        <f aca="false">MAX(0,MIN(MAX(0,CH543-(BG542)),Parametri_v3!$C$30-BD543))</f>
        <v>0</v>
      </c>
      <c r="BF543" s="15" t="n">
        <f aca="false">IF(Motore_Operativo!C543&gt;=Parametri_v3!$C$63,(BG542),MIN((BG542),MAX(0,BD543-Parametri_v3!$C$30)))</f>
        <v>0</v>
      </c>
      <c r="BG543" s="15" t="n">
        <f aca="false">(BG542)+BE543-BF543</f>
        <v>0</v>
      </c>
      <c r="BH543" s="15" t="n">
        <f aca="false">BD543+BE543-BF543-AY543</f>
        <v>-1594689.49613579</v>
      </c>
      <c r="BI543" s="15" t="n">
        <f aca="false">MAX(0,Parametri_v3!$C$30-BH543)</f>
        <v>1619689.49613579</v>
      </c>
      <c r="BJ543" s="15" t="n">
        <f aca="false">(BJ542)+K543</f>
        <v>160833.333333333</v>
      </c>
      <c r="BK543" s="15" t="n">
        <f aca="false">(BK542)+L543</f>
        <v>96666.6666666667</v>
      </c>
      <c r="BL543" s="15" t="n">
        <f aca="false">BJ543-BK543</f>
        <v>64166.6666666665</v>
      </c>
      <c r="BM543" s="15" t="n">
        <f aca="false">(BM542)+Y543</f>
        <v>-1447255.0967507</v>
      </c>
      <c r="BN543" s="15" t="n">
        <f aca="false">(BN542)+AW543+AX543+AZ543</f>
        <v>235430.409433568</v>
      </c>
      <c r="BO543" s="15" t="n">
        <f aca="false">(BO542)+AY543</f>
        <v>0</v>
      </c>
      <c r="BP543" s="15" t="n">
        <f aca="false">0</f>
        <v>0</v>
      </c>
      <c r="BQ543" s="15" t="n">
        <f aca="false">BN543+BM543-BO543</f>
        <v>-1211824.68731713</v>
      </c>
      <c r="BR543" s="15" t="n">
        <f aca="false">BH543+AD543+BL543+MAX(0,-AM543)+MAX(0,-AR543)+AG543</f>
        <v>-784737.757394527</v>
      </c>
      <c r="BS543" s="15" t="n">
        <f aca="false">AJ543+AV543+MAX(0,AM543)+MAX(0,AR543)+BC543+BG543+BQ543</f>
        <v>-784737.757394527</v>
      </c>
      <c r="BT543" s="15" t="n">
        <f aca="false">BR543-BS543</f>
        <v>0</v>
      </c>
      <c r="BU543" s="15" t="n">
        <f aca="false">BH543-(BD543+BE543-BF543-AY543)</f>
        <v>0</v>
      </c>
      <c r="BV543" s="15" t="n">
        <f aca="false">MIN(Piano_SS!$C$6,(BV542)+IF(AND(Motore_Operativo!C543&gt;=EDATE(Parametri_v3!$C$24,Ipotesi!K14*12),Motore_Operativo!C543&lt;EDATE(Parametri_v3!$C$24,Parametri_v3!$C$25+Ipotesi!K14*12)),MAX(0,(Motore_Operativo!Y543+Motore_Operativo!X543*Parametri_v3!$C$14)*(1-Parametri_v3!$C$32))*Piano_SS!$D$6,0))</f>
        <v>300000</v>
      </c>
      <c r="BW543" s="15" t="n">
        <f aca="false">MIN(Piano_SS!$C$7,(BW542)+IF(AND(Motore_Operativo!C543&gt;=EDATE(Parametri_v3!$C$24,Ipotesi!K14*12),Motore_Operativo!C543&lt;EDATE(Parametri_v3!$C$24,Parametri_v3!$C$25+Ipotesi!K14*12)),MAX(0,(IF(59-(INT((Ipotesi!$C$91)/30))&lt;1,0,INDEX(Motore_Operativo!$BN$485:$BN$544,MAX(1,59-(INT((Ipotesi!$C$91)/30)))))*(1-(MOD((Ipotesi!$C$91),30)/30))+IF(59-(INT((Ipotesi!$C$91)/30))-1&lt;1,0,INDEX(Motore_Operativo!$BN$485:$BN$544,MAX(1,59-(INT((Ipotesi!$C$91)/30))-1)))*(MOD((Ipotesi!$C$91),30)/30)))*Piano_SS!$D$7,0))</f>
        <v>41058.9230070837</v>
      </c>
      <c r="BX543" s="15" t="n">
        <f aca="false">MIN(Piano_SS!$C$8,(BX542)+IF(AND(Motore_Operativo!C543&gt;=EDATE(Parametri_v3!$C$24,Ipotesi!K14*12),Motore_Operativo!C543&lt;EDATE(Parametri_v3!$C$24,Parametri_v3!$C$25+Ipotesi!K14*12)),MAX(0,Motore_Operativo!CE543)*Piano_SS!$D$8,0))</f>
        <v>50000</v>
      </c>
      <c r="BY543" s="15" t="n">
        <f aca="false">MIN(Piano_SS!$C$9,(BY542)+IF(AND(Motore_Operativo!C543&gt;=EDATE(Parametri_v3!$C$24,Ipotesi!K14*12),Motore_Operativo!C543&lt;EDATE(Parametri_v3!$C$24,Parametri_v3!$C$25+Ipotesi!K14*12)),MAX(0,((IF(59-(INT((Ipotesi!$C$91)/30))&lt;1,0,INDEX(Motore_Operativo!$BQ$485:$BQ$544,MAX(1,59-(INT((Ipotesi!$C$91)/30)))))*(1-(MOD((Ipotesi!$C$91),30)/30))+IF(59-(INT((Ipotesi!$C$91)/30))-1&lt;1,0,INDEX(Motore_Operativo!$BQ$485:$BQ$544,MAX(1,59-(INT((Ipotesi!$C$91)/30))-1)))*(MOD((Ipotesi!$C$91),30)/30))+(IF(59-(INT((Ipotesi!$C$91)/30))&lt;1,0,INDEX(Motore_Operativo!$BR$485:$BR$544,MAX(1,59-(INT((Ipotesi!$C$91)/30)))))*(1-(MOD((Ipotesi!$C$91),30)/30))+IF(59-(INT((Ipotesi!$C$91)/30))-1&lt;1,0,INDEX(Motore_Operativo!$BR$485:$BR$544,MAX(1,59-(INT((Ipotesi!$C$91)/30))-1)))*(MOD((Ipotesi!$C$91),30)/30))))*Piano_SS!$D$9,0))</f>
        <v>40000</v>
      </c>
      <c r="BZ543" s="15" t="n">
        <f aca="false">MIN(Piano_SS!$C$10,(BZ542)+IF(AND(Motore_Operativo!C543&gt;=EDATE(Parametri_v3!$C$24,Ipotesi!K14*12),Motore_Operativo!C543&lt;EDATE(Parametri_v3!$C$24,Parametri_v3!$C$25+Ipotesi!K14*12)),MAX(0,(IF(59-(INT((Ipotesi!$C$91)/30))&lt;1,0,INDEX(Motore_Operativo!$BO$485:$BO$544,MAX(1,59-(INT((Ipotesi!$C$91)/30)))))*(1-(MOD((Ipotesi!$C$91),30)/30))+IF(59-(INT((Ipotesi!$C$91)/30))-1&lt;1,0,INDEX(Motore_Operativo!$BO$485:$BO$544,MAX(1,59-(INT((Ipotesi!$C$91)/30))-1)))*(MOD((Ipotesi!$C$91),30)/30)))*Piano_SS!$D$10,0))</f>
        <v>30000</v>
      </c>
      <c r="CA543" s="15" t="n">
        <f aca="false">SUM(BV543:BZ543)</f>
        <v>461058.923007084</v>
      </c>
      <c r="CB543" s="15" t="n">
        <f aca="false">BV543*(1-Piano_SS!$E$6)+BW543*(1-Piano_SS!$E$7)+BX543*(1-Piano_SS!$E$8)+BY543*(1-Piano_SS!$E$9)+BZ543*(1-Piano_SS!$E$10)</f>
        <v>431058.923007084</v>
      </c>
      <c r="CC543" s="15" t="n">
        <f aca="false">(CC542)+BA543</f>
        <v>0</v>
      </c>
      <c r="CD543" s="15" t="n">
        <f aca="false">IF(CA543=0,0,CC543*CB543/CA543*Ipotesi!$C$103*Parametri_v3!$C$64)</f>
        <v>0</v>
      </c>
      <c r="CE543" s="18" t="n">
        <f aca="false">IF(BA543&gt;0,Motore_Operativo!C543,(CE542))</f>
        <v>0</v>
      </c>
      <c r="CF543" s="18" t="n">
        <f aca="false">IF(AND(CC543&gt;0,OR(CC543&gt;=CG543-0.01,Motore_Operativo!C543&gt;=EDATE(MAX(Finanziamenti!$D$15:$D$17),Ipotesi!K14*12))),CE543,0)</f>
        <v>0</v>
      </c>
      <c r="CG543" s="15" t="n">
        <f aca="false">IF(AND(9&lt;&gt;6,9&lt;&gt;9,Finanziamenti!$F$11=1,OR(Parametri_v3!$C$6=0,Finanziamenti!$E$11=1)),MIN(Finanziamenti!$C$11,Piano_SS!$C$12*Ipotesi!$C$102),0)</f>
        <v>0</v>
      </c>
      <c r="CH543" s="15" t="n">
        <f aca="false">IF(AND(AND(9&lt;&gt;8,9&lt;&gt;9,Finanziamenti!$F$10=1,OR(Parametri_v3!$C$6=0,Finanziamenti!$E$10=1)),Motore_Operativo!C543&gt;=Finanziamenti!$D$10,Motore_Operativo!C543&lt;Parametri_v3!$C$63),Finanziamenti!$C$10,0)</f>
        <v>0</v>
      </c>
    </row>
    <row r="544" customFormat="false" ht="18" hidden="false" customHeight="true" outlineLevel="0" collapsed="false">
      <c r="A544" s="68" t="n">
        <f aca="false">9</f>
        <v>9</v>
      </c>
      <c r="B544" s="68" t="n">
        <f aca="false">60</f>
        <v>60</v>
      </c>
      <c r="C544" s="18" t="n">
        <f aca="false">Motore_Operativo!C544</f>
        <v>48183</v>
      </c>
      <c r="D544" s="68" t="n">
        <f aca="false">Motore_Operativo!D544</f>
        <v>2031</v>
      </c>
      <c r="E544" s="68" t="n">
        <f aca="false">Motore_Operativo!E544</f>
        <v>12</v>
      </c>
      <c r="F544" s="15" t="n">
        <f aca="false">Motore_Operativo!AQ544+Motore_Operativo!BF544</f>
        <v>206472.19006941</v>
      </c>
      <c r="G544" s="15" t="n">
        <f aca="false">Motore_Operativo!BH544</f>
        <v>11595.8333333333</v>
      </c>
      <c r="H544" s="15" t="n">
        <f aca="false">Motore_Operativo!BI544</f>
        <v>218068.023402743</v>
      </c>
      <c r="I544" s="15" t="n">
        <f aca="false">Motore_Operativo!CA544</f>
        <v>201565.476597217</v>
      </c>
      <c r="J544" s="15" t="n">
        <f aca="false">Motore_Operativo!CC544</f>
        <v>16502.5468055258</v>
      </c>
      <c r="K544" s="15" t="n">
        <f aca="false">Motore_Operativo!CE544</f>
        <v>4166.66666666667</v>
      </c>
      <c r="L544" s="15" t="n">
        <f aca="false">SUM(INDEX($K$485:$K$544,MAX(1,60-Parametri_v3!$C$59+1)):K544)/Parametri_v3!$C$59</f>
        <v>3333.33333333333</v>
      </c>
      <c r="M544" s="15" t="n">
        <f aca="false">J544-L544</f>
        <v>13169.2134721925</v>
      </c>
      <c r="N544" s="15" t="n">
        <f aca="false">CD544-(CD543)</f>
        <v>0</v>
      </c>
      <c r="O544" s="15" t="n">
        <f aca="false">(BG543)*Ipotesi!$C$110/12+CH544*Parametri_v3!$C$39/12</f>
        <v>0</v>
      </c>
      <c r="P544" s="15" t="n">
        <f aca="false">M544+N544-O544</f>
        <v>13169.2134721925</v>
      </c>
      <c r="Q544" s="15" t="n">
        <f aca="false">SUM(P533:P544)+Parametri_v3!$C$54*12/12</f>
        <v>-25579.2770271442</v>
      </c>
      <c r="R544" s="15" t="n">
        <f aca="false">Z532</f>
        <v>1100781.76028115</v>
      </c>
      <c r="S544" s="15" t="n">
        <f aca="false">AA532</f>
        <v>307724.845970214</v>
      </c>
      <c r="T544" s="15" t="n">
        <f aca="false">MIN(R544,MAX(0,Q544))</f>
        <v>0</v>
      </c>
      <c r="U544" s="15" t="n">
        <f aca="false">MIN(S544,MAX(0,Q544-T544)*Parametri_v3!$C$42)</f>
        <v>0</v>
      </c>
      <c r="V544" s="15" t="n">
        <f aca="false">MAX(0,Q544-T544-U544)*Ipotesi!$C$92</f>
        <v>0</v>
      </c>
      <c r="W544" s="15" t="n">
        <f aca="false">MAX(0,SUM(M533:M544)+Parametri_v3!$C$55*12/12)*Ipotesi!$C$93</f>
        <v>0</v>
      </c>
      <c r="X544" s="15" t="n">
        <f aca="false">V544+W544-(V543+W543)</f>
        <v>0</v>
      </c>
      <c r="Y544" s="15" t="n">
        <f aca="false">P544-X544</f>
        <v>13169.2134721925</v>
      </c>
      <c r="Z544" s="15" t="n">
        <f aca="false">R544-T544+IF(AND(Parametri_v3!$C$40=1,D544-YEAR(Parametri_v3!$C$50)&lt;Parametri_v3!$C$41),MAX(0,-Q544),0)</f>
        <v>1100781.76028115</v>
      </c>
      <c r="AA544" s="15" t="n">
        <f aca="false">S544-U544+IF(AND(Parametri_v3!$C$40=1,D544-YEAR(Parametri_v3!$C$50)&lt;Parametri_v3!$C$41),0,MAX(0,-Q544))</f>
        <v>333304.122997358</v>
      </c>
      <c r="AB544" s="15" t="n">
        <f aca="false">F544*(1+Parametri_v3!$C$26)</f>
        <v>251896.07188468</v>
      </c>
      <c r="AC544" s="15" t="n">
        <f aca="false">(IF(60-(INT((Motore_Operativo!L544)/30))&lt;1,0,INDEX(Motore_Startup!$AB$485:$AB$544,MAX(1,60-(INT((Motore_Operativo!L544)/30)))))*(1-(MOD((Motore_Operativo!L544),30)/30))+IF(60-(INT((Motore_Operativo!L544)/30))-1&lt;1,0,INDEX(Motore_Startup!$AB$485:$AB$544,MAX(1,60-(INT((Motore_Operativo!L544)/30))-1)))*(MOD((Motore_Operativo!L544),30)/30))</f>
        <v>239835.745487109</v>
      </c>
      <c r="AD544" s="15" t="n">
        <f aca="false">(AD543)+AB544-AC544</f>
        <v>743698.4818055</v>
      </c>
      <c r="AE544" s="15" t="n">
        <f aca="false">Motore_Operativo!BH544*(1+Parametri_v3!$C$26)</f>
        <v>14146.9166666667</v>
      </c>
      <c r="AF544" s="15" t="n">
        <f aca="false">(IF(60-(INT((Parametri_v3!$C$29)/30))&lt;1,0,INDEX(Motore_Operativo!$BH$485:$BH$544,MAX(1,60-(INT((Parametri_v3!$C$29)/30)))))*(1-(MOD((Parametri_v3!$C$29),30)/30))+IF(60-(INT((Parametri_v3!$C$29)/30))-1&lt;1,0,INDEX(Motore_Operativo!$BH$485:$BH$544,MAX(1,60-(INT((Parametri_v3!$C$29)/30))-1)))*(MOD((Parametri_v3!$C$29),30)/30))*(1+Parametri_v3!$C$26)</f>
        <v>14146.9166666667</v>
      </c>
      <c r="AG544" s="15" t="n">
        <f aca="false">(AG543)+AE544-AF544</f>
        <v>14146.9166666667</v>
      </c>
      <c r="AH544" s="15" t="n">
        <f aca="false">(Motore_Operativo!CJ544)*(1+Parametri_v3!$C$27*Parametri_v3!$C$26)</f>
        <v>97438.6320040679</v>
      </c>
      <c r="AI544" s="15" t="n">
        <f aca="false">(IF(60-(INT((Ipotesi!$C$91)/30))&lt;1,0,INDEX(Motore_Startup!$AH$485:$AH$544,MAX(1,60-(INT((Ipotesi!$C$91)/30)))))*(1-(MOD((Ipotesi!$C$91),30)/30))+IF(60-(INT((Ipotesi!$C$91)/30))-1&lt;1,0,INDEX(Motore_Startup!$AH$485:$AH$544,MAX(1,60-(INT((Ipotesi!$C$91)/30))-1)))*(MOD((Ipotesi!$C$91),30)/30))</f>
        <v>96348.2637726086</v>
      </c>
      <c r="AJ544" s="15" t="n">
        <f aca="false">(AJ543)+AH544-AI544</f>
        <v>194334.473247013</v>
      </c>
      <c r="AK544" s="15" t="n">
        <f aca="false">(F544+ Motore_Operativo!BH544-(Motore_Operativo!CJ544)*Parametri_v3!$C$27-Motore_Operativo!CE544)*Parametri_v3!$C$26</f>
        <v>31707.814754253</v>
      </c>
      <c r="AL544" s="15" t="n">
        <f aca="false">MAX(0,(AM543))</f>
        <v>31074.7439555958</v>
      </c>
      <c r="AM544" s="15" t="n">
        <f aca="false">(AM543)+AK544-AL544</f>
        <v>31707.814754253</v>
      </c>
      <c r="AN544" s="15" t="n">
        <f aca="false">SUM(X521:X532)</f>
        <v>0</v>
      </c>
      <c r="AO544" s="15" t="n">
        <f aca="false">SUM(AP521:AP532)</f>
        <v>0</v>
      </c>
      <c r="AP544" s="15" t="n">
        <f aca="false">MAX(0,AN544)*IF(12=Parametri_v3!$C$43,Parametri_v3!$C$45,IF(12=Parametri_v3!$C$44,1-Parametri_v3!$C$45,0))</f>
        <v>0</v>
      </c>
      <c r="AQ544" s="15" t="n">
        <f aca="false">MAX(0,AP544+IF(12=Parametri_v3!$C$43,MAX(0,AN544-AO544),0)-MAX(0,-(AR543)))</f>
        <v>0</v>
      </c>
      <c r="AR544" s="15" t="n">
        <f aca="false">(AR543)+X544-AQ544</f>
        <v>0</v>
      </c>
      <c r="AS544" s="15" t="n">
        <f aca="false">Motore_Operativo!AB544-AT544+AU544</f>
        <v>113503.461904792</v>
      </c>
      <c r="AT544" s="15" t="n">
        <f aca="false">Motore_Operativo!CH544</f>
        <v>5973.86641604167</v>
      </c>
      <c r="AU544" s="15" t="n">
        <f aca="false">MIN(MAX(0,(AV543)+AT544),Parametri_v3!$C$60/12)</f>
        <v>0</v>
      </c>
      <c r="AV544" s="15" t="n">
        <f aca="false">(AV543)+AT544-AU544</f>
        <v>208741.9473675</v>
      </c>
      <c r="AW544" s="15" t="n">
        <f aca="false">IF(AND(Motore_Operativo!C544=Finanziamenti!$D$6,Finanziamenti!$F$6=1),Finanziamenti!$C$6,0)</f>
        <v>0</v>
      </c>
      <c r="AX544" s="15" t="n">
        <f aca="false">IF(AND(9&lt;&gt;7,9&lt;&gt;9,Finanziamenti!$F$8=1,OR(Parametri_v3!$C$6=0,Finanziamenti!$E$8=1),Motore_Operativo!C544=EDATE(Finanziamenti!$D$8,Ipotesi!K15*12)),Finanziamenti!$C$8*1,0)+IF(AND(9&lt;&gt;7,9&lt;&gt;9,Finanziamenti!$F$9=1,OR(Parametri_v3!$C$6=0,Finanziamenti!$E$9=1),Motore_Operativo!C544=EDATE(Finanziamenti!$D$9,Ipotesi!K15*12)),Finanziamenti!$C$9*Ipotesi!K16,0)</f>
        <v>0</v>
      </c>
      <c r="AY544" s="15" t="n">
        <f aca="false">0</f>
        <v>0</v>
      </c>
      <c r="AZ544" s="15" t="n">
        <f aca="false">Motore_Advisory!AY544*(1-Ipotesi!$C$95)*Ipotesi!$C$96</f>
        <v>0</v>
      </c>
      <c r="BA544" s="15" t="n">
        <f aca="false">MAX(0,MIN(CG544*MIN(1,IF(Motore_Operativo!C544&gt;=EDATE(Finanziamenti!$D$15,Ipotesi!K14*12),Finanziamenti!$C$15,0)+IF(Motore_Operativo!C544&gt;=EDATE(Finanziamenti!$D$16,Ipotesi!K14*12),Finanziamenti!$C$16,0)+IF(Motore_Operativo!C544&gt;=EDATE(Finanziamenti!$D$17,Ipotesi!K14*12),Finanziamenti!$C$17,0)),CA544*Ipotesi!$C$102)-(CC543))</f>
        <v>0</v>
      </c>
      <c r="BB544" s="15" t="n">
        <f aca="false">IF(AND(CF544&gt;0,Motore_Operativo!C544&gt;=IF(CF544=0,0,EDATE(CF544,Parametri_v3!$C$37)),MOD(((D544-YEAR(IF(CF544=0,0,EDATE(CF544,Parametri_v3!$C$37))))*12+E544-MONTH(IF(CF544=0,0,EDATE(CF544,Parametri_v3!$C$37)))),Parametri_v3!$C$38)=0),MIN(MAX(0,(BC543)+BA544-N544),(CC544-CD544)/(Ipotesi!$C$108*12/Parametri_v3!$C$38)),0)</f>
        <v>0</v>
      </c>
      <c r="BC544" s="15" t="n">
        <f aca="false">(BC543)+BA544-N544-BB544</f>
        <v>0</v>
      </c>
      <c r="BD544" s="15" t="n">
        <f aca="false">(BH543)+AC544+AF544-AI544-AS544-K544*(1+Parametri_v3!$C$26)-AL544-AQ544-O544+AW544+AX544+AZ544+BA544-BB544</f>
        <v>-1586716.63694834</v>
      </c>
      <c r="BE544" s="15" t="n">
        <f aca="false">MAX(0,MIN(MAX(0,CH544-(BG543)),Parametri_v3!$C$30-BD544))</f>
        <v>0</v>
      </c>
      <c r="BF544" s="15" t="n">
        <f aca="false">IF(Motore_Operativo!C544&gt;=Parametri_v3!$C$63,(BG543),MIN((BG543),MAX(0,BD544-Parametri_v3!$C$30)))</f>
        <v>0</v>
      </c>
      <c r="BG544" s="15" t="n">
        <f aca="false">(BG543)+BE544-BF544</f>
        <v>0</v>
      </c>
      <c r="BH544" s="15" t="n">
        <f aca="false">BD544+BE544-BF544-AY544</f>
        <v>-1586716.63694834</v>
      </c>
      <c r="BI544" s="15" t="n">
        <f aca="false">MAX(0,Parametri_v3!$C$30-BH544)</f>
        <v>1611716.63694834</v>
      </c>
      <c r="BJ544" s="15" t="n">
        <f aca="false">(BJ543)+K544</f>
        <v>165000</v>
      </c>
      <c r="BK544" s="15" t="n">
        <f aca="false">(BK543)+L544</f>
        <v>100000</v>
      </c>
      <c r="BL544" s="15" t="n">
        <f aca="false">BJ544-BK544</f>
        <v>64999.9999999999</v>
      </c>
      <c r="BM544" s="15" t="n">
        <f aca="false">(BM543)+Y544</f>
        <v>-1434085.88327851</v>
      </c>
      <c r="BN544" s="15" t="n">
        <f aca="false">(BN543)+AW544+AX544+AZ544</f>
        <v>235430.409433568</v>
      </c>
      <c r="BO544" s="15" t="n">
        <f aca="false">(BO543)+AY544</f>
        <v>0</v>
      </c>
      <c r="BP544" s="15" t="n">
        <f aca="false">0</f>
        <v>0</v>
      </c>
      <c r="BQ544" s="15" t="n">
        <f aca="false">BN544+BM544-BO544</f>
        <v>-1198655.47384494</v>
      </c>
      <c r="BR544" s="15" t="n">
        <f aca="false">BH544+AD544+BL544+MAX(0,-AM544)+MAX(0,-AR544)+AG544</f>
        <v>-763871.238476176</v>
      </c>
      <c r="BS544" s="15" t="n">
        <f aca="false">AJ544+AV544+MAX(0,AM544)+MAX(0,AR544)+BC544+BG544+BQ544</f>
        <v>-763871.238476176</v>
      </c>
      <c r="BT544" s="15" t="n">
        <f aca="false">BR544-BS544</f>
        <v>0</v>
      </c>
      <c r="BU544" s="15" t="n">
        <f aca="false">BH544-(BD544+BE544-BF544-AY544)</f>
        <v>0</v>
      </c>
      <c r="BV544" s="15" t="n">
        <f aca="false">MIN(Piano_SS!$C$6,(BV543)+IF(AND(Motore_Operativo!C544&gt;=EDATE(Parametri_v3!$C$24,Ipotesi!K14*12),Motore_Operativo!C544&lt;EDATE(Parametri_v3!$C$24,Parametri_v3!$C$25+Ipotesi!K14*12)),MAX(0,(Motore_Operativo!Y544+Motore_Operativo!X544*Parametri_v3!$C$14)*(1-Parametri_v3!$C$32))*Piano_SS!$D$6,0))</f>
        <v>300000</v>
      </c>
      <c r="BW544" s="15" t="n">
        <f aca="false">MIN(Piano_SS!$C$7,(BW543)+IF(AND(Motore_Operativo!C544&gt;=EDATE(Parametri_v3!$C$24,Ipotesi!K14*12),Motore_Operativo!C544&lt;EDATE(Parametri_v3!$C$24,Parametri_v3!$C$25+Ipotesi!K14*12)),MAX(0,(IF(60-(INT((Ipotesi!$C$91)/30))&lt;1,0,INDEX(Motore_Operativo!$BN$485:$BN$544,MAX(1,60-(INT((Ipotesi!$C$91)/30)))))*(1-(MOD((Ipotesi!$C$91),30)/30))+IF(60-(INT((Ipotesi!$C$91)/30))-1&lt;1,0,INDEX(Motore_Operativo!$BN$485:$BN$544,MAX(1,60-(INT((Ipotesi!$C$91)/30))-1)))*(MOD((Ipotesi!$C$91),30)/30)))*Piano_SS!$D$7,0))</f>
        <v>41058.9230070837</v>
      </c>
      <c r="BX544" s="15" t="n">
        <f aca="false">MIN(Piano_SS!$C$8,(BX543)+IF(AND(Motore_Operativo!C544&gt;=EDATE(Parametri_v3!$C$24,Ipotesi!K14*12),Motore_Operativo!C544&lt;EDATE(Parametri_v3!$C$24,Parametri_v3!$C$25+Ipotesi!K14*12)),MAX(0,Motore_Operativo!CE544)*Piano_SS!$D$8,0))</f>
        <v>50000</v>
      </c>
      <c r="BY544" s="15" t="n">
        <f aca="false">MIN(Piano_SS!$C$9,(BY543)+IF(AND(Motore_Operativo!C544&gt;=EDATE(Parametri_v3!$C$24,Ipotesi!K14*12),Motore_Operativo!C544&lt;EDATE(Parametri_v3!$C$24,Parametri_v3!$C$25+Ipotesi!K14*12)),MAX(0,((IF(60-(INT((Ipotesi!$C$91)/30))&lt;1,0,INDEX(Motore_Operativo!$BQ$485:$BQ$544,MAX(1,60-(INT((Ipotesi!$C$91)/30)))))*(1-(MOD((Ipotesi!$C$91),30)/30))+IF(60-(INT((Ipotesi!$C$91)/30))-1&lt;1,0,INDEX(Motore_Operativo!$BQ$485:$BQ$544,MAX(1,60-(INT((Ipotesi!$C$91)/30))-1)))*(MOD((Ipotesi!$C$91),30)/30))+(IF(60-(INT((Ipotesi!$C$91)/30))&lt;1,0,INDEX(Motore_Operativo!$BR$485:$BR$544,MAX(1,60-(INT((Ipotesi!$C$91)/30)))))*(1-(MOD((Ipotesi!$C$91),30)/30))+IF(60-(INT((Ipotesi!$C$91)/30))-1&lt;1,0,INDEX(Motore_Operativo!$BR$485:$BR$544,MAX(1,60-(INT((Ipotesi!$C$91)/30))-1)))*(MOD((Ipotesi!$C$91),30)/30))))*Piano_SS!$D$9,0))</f>
        <v>40000</v>
      </c>
      <c r="BZ544" s="15" t="n">
        <f aca="false">MIN(Piano_SS!$C$10,(BZ543)+IF(AND(Motore_Operativo!C544&gt;=EDATE(Parametri_v3!$C$24,Ipotesi!K14*12),Motore_Operativo!C544&lt;EDATE(Parametri_v3!$C$24,Parametri_v3!$C$25+Ipotesi!K14*12)),MAX(0,(IF(60-(INT((Ipotesi!$C$91)/30))&lt;1,0,INDEX(Motore_Operativo!$BO$485:$BO$544,MAX(1,60-(INT((Ipotesi!$C$91)/30)))))*(1-(MOD((Ipotesi!$C$91),30)/30))+IF(60-(INT((Ipotesi!$C$91)/30))-1&lt;1,0,INDEX(Motore_Operativo!$BO$485:$BO$544,MAX(1,60-(INT((Ipotesi!$C$91)/30))-1)))*(MOD((Ipotesi!$C$91),30)/30)))*Piano_SS!$D$10,0))</f>
        <v>30000</v>
      </c>
      <c r="CA544" s="15" t="n">
        <f aca="false">SUM(BV544:BZ544)</f>
        <v>461058.923007084</v>
      </c>
      <c r="CB544" s="15" t="n">
        <f aca="false">BV544*(1-Piano_SS!$E$6)+BW544*(1-Piano_SS!$E$7)+BX544*(1-Piano_SS!$E$8)+BY544*(1-Piano_SS!$E$9)+BZ544*(1-Piano_SS!$E$10)</f>
        <v>431058.923007084</v>
      </c>
      <c r="CC544" s="15" t="n">
        <f aca="false">(CC543)+BA544</f>
        <v>0</v>
      </c>
      <c r="CD544" s="15" t="n">
        <f aca="false">IF(CA544=0,0,CC544*CB544/CA544*Ipotesi!$C$103*Parametri_v3!$C$64)</f>
        <v>0</v>
      </c>
      <c r="CE544" s="18" t="n">
        <f aca="false">IF(BA544&gt;0,Motore_Operativo!C544,(CE543))</f>
        <v>0</v>
      </c>
      <c r="CF544" s="18" t="n">
        <f aca="false">IF(AND(CC544&gt;0,OR(CC544&gt;=CG544-0.01,Motore_Operativo!C544&gt;=EDATE(MAX(Finanziamenti!$D$15:$D$17),Ipotesi!K14*12))),CE544,0)</f>
        <v>0</v>
      </c>
      <c r="CG544" s="15" t="n">
        <f aca="false">IF(AND(9&lt;&gt;6,9&lt;&gt;9,Finanziamenti!$F$11=1,OR(Parametri_v3!$C$6=0,Finanziamenti!$E$11=1)),MIN(Finanziamenti!$C$11,Piano_SS!$C$12*Ipotesi!$C$102),0)</f>
        <v>0</v>
      </c>
      <c r="CH544" s="15" t="n">
        <f aca="false">IF(AND(AND(9&lt;&gt;8,9&lt;&gt;9,Finanziamenti!$F$10=1,OR(Parametri_v3!$C$6=0,Finanziamenti!$E$10=1)),Motore_Operativo!C544&gt;=Finanziamenti!$D$10,Motore_Operativo!C544&lt;Parametri_v3!$C$63),Finanziamenti!$C$10,0)</f>
        <v>0</v>
      </c>
    </row>
  </sheetData>
  <autoFilter ref="A4:CH544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&amp;CLexShield v3 | Proiezioni condizionate, non bilanci certificati&amp;RPagina &amp;P / &amp;N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54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3" min="1" style="1" width="18"/>
  </cols>
  <sheetData>
    <row r="1" customFormat="false" ht="30" hidden="false" customHeight="true" outlineLevel="0" collapsed="false">
      <c r="A1" s="2" t="s">
        <v>875</v>
      </c>
      <c r="B1" s="2"/>
      <c r="C1" s="2"/>
      <c r="D1" s="2"/>
      <c r="E1" s="2"/>
      <c r="F1" s="2"/>
      <c r="G1" s="2"/>
      <c r="H1" s="2"/>
    </row>
    <row r="2" customFormat="false" ht="42" hidden="false" customHeight="true" outlineLevel="0" collapsed="false">
      <c r="A2" s="3" t="s">
        <v>719</v>
      </c>
      <c r="B2" s="3"/>
      <c r="C2" s="3"/>
      <c r="D2" s="3"/>
      <c r="E2" s="3"/>
      <c r="F2" s="3"/>
      <c r="G2" s="3"/>
      <c r="H2" s="3"/>
    </row>
    <row r="4" customFormat="false" ht="64.5" hidden="false" customHeight="true" outlineLevel="0" collapsed="false">
      <c r="A4" s="4" t="s">
        <v>183</v>
      </c>
      <c r="B4" s="4" t="s">
        <v>720</v>
      </c>
      <c r="C4" s="4" t="s">
        <v>721</v>
      </c>
      <c r="D4" s="4" t="s">
        <v>77</v>
      </c>
      <c r="E4" s="4" t="s">
        <v>166</v>
      </c>
      <c r="F4" s="4" t="s">
        <v>123</v>
      </c>
      <c r="G4" s="4" t="s">
        <v>805</v>
      </c>
      <c r="H4" s="4" t="s">
        <v>806</v>
      </c>
      <c r="I4" s="4" t="s">
        <v>126</v>
      </c>
      <c r="J4" s="4" t="s">
        <v>127</v>
      </c>
      <c r="K4" s="4" t="s">
        <v>807</v>
      </c>
      <c r="L4" s="4" t="s">
        <v>128</v>
      </c>
      <c r="M4" s="4" t="s">
        <v>129</v>
      </c>
      <c r="N4" s="4" t="s">
        <v>130</v>
      </c>
      <c r="O4" s="4" t="s">
        <v>808</v>
      </c>
      <c r="P4" s="4" t="s">
        <v>132</v>
      </c>
      <c r="Q4" s="4" t="s">
        <v>809</v>
      </c>
      <c r="R4" s="4" t="s">
        <v>810</v>
      </c>
      <c r="S4" s="4" t="s">
        <v>811</v>
      </c>
      <c r="T4" s="4" t="s">
        <v>812</v>
      </c>
      <c r="U4" s="4" t="s">
        <v>813</v>
      </c>
      <c r="V4" s="4" t="s">
        <v>814</v>
      </c>
      <c r="W4" s="4" t="s">
        <v>815</v>
      </c>
      <c r="X4" s="4" t="s">
        <v>816</v>
      </c>
      <c r="Y4" s="4" t="s">
        <v>134</v>
      </c>
      <c r="Z4" s="4" t="s">
        <v>817</v>
      </c>
      <c r="AA4" s="4" t="s">
        <v>818</v>
      </c>
      <c r="AB4" s="4" t="s">
        <v>819</v>
      </c>
      <c r="AC4" s="4" t="s">
        <v>820</v>
      </c>
      <c r="AD4" s="4" t="s">
        <v>821</v>
      </c>
      <c r="AE4" s="4" t="s">
        <v>822</v>
      </c>
      <c r="AF4" s="4" t="s">
        <v>823</v>
      </c>
      <c r="AG4" s="4" t="s">
        <v>824</v>
      </c>
      <c r="AH4" s="4" t="s">
        <v>825</v>
      </c>
      <c r="AI4" s="4" t="s">
        <v>826</v>
      </c>
      <c r="AJ4" s="4" t="s">
        <v>827</v>
      </c>
      <c r="AK4" s="4" t="s">
        <v>828</v>
      </c>
      <c r="AL4" s="4" t="s">
        <v>829</v>
      </c>
      <c r="AM4" s="4" t="s">
        <v>830</v>
      </c>
      <c r="AN4" s="4" t="s">
        <v>831</v>
      </c>
      <c r="AO4" s="4" t="s">
        <v>832</v>
      </c>
      <c r="AP4" s="4" t="s">
        <v>833</v>
      </c>
      <c r="AQ4" s="4" t="s">
        <v>834</v>
      </c>
      <c r="AR4" s="4" t="s">
        <v>835</v>
      </c>
      <c r="AS4" s="4" t="s">
        <v>836</v>
      </c>
      <c r="AT4" s="4" t="s">
        <v>837</v>
      </c>
      <c r="AU4" s="4" t="s">
        <v>838</v>
      </c>
      <c r="AV4" s="4" t="s">
        <v>151</v>
      </c>
      <c r="AW4" s="4" t="s">
        <v>839</v>
      </c>
      <c r="AX4" s="4" t="s">
        <v>840</v>
      </c>
      <c r="AY4" s="4" t="s">
        <v>841</v>
      </c>
      <c r="AZ4" s="4" t="s">
        <v>842</v>
      </c>
      <c r="BA4" s="4" t="s">
        <v>843</v>
      </c>
      <c r="BB4" s="4" t="s">
        <v>844</v>
      </c>
      <c r="BC4" s="4" t="s">
        <v>845</v>
      </c>
      <c r="BD4" s="4" t="s">
        <v>846</v>
      </c>
      <c r="BE4" s="4" t="s">
        <v>847</v>
      </c>
      <c r="BF4" s="4" t="s">
        <v>848</v>
      </c>
      <c r="BG4" s="4" t="s">
        <v>876</v>
      </c>
      <c r="BH4" s="4" t="s">
        <v>850</v>
      </c>
      <c r="BI4" s="4" t="s">
        <v>851</v>
      </c>
      <c r="BJ4" s="4" t="s">
        <v>852</v>
      </c>
      <c r="BK4" s="4" t="s">
        <v>853</v>
      </c>
      <c r="BL4" s="4" t="s">
        <v>152</v>
      </c>
      <c r="BM4" s="4" t="s">
        <v>854</v>
      </c>
      <c r="BN4" s="4" t="s">
        <v>855</v>
      </c>
      <c r="BO4" s="4" t="s">
        <v>856</v>
      </c>
      <c r="BP4" s="4" t="s">
        <v>857</v>
      </c>
      <c r="BQ4" s="4" t="s">
        <v>153</v>
      </c>
      <c r="BR4" s="4" t="s">
        <v>858</v>
      </c>
      <c r="BS4" s="4" t="s">
        <v>859</v>
      </c>
      <c r="BT4" s="4" t="s">
        <v>860</v>
      </c>
      <c r="BU4" s="4" t="s">
        <v>861</v>
      </c>
      <c r="BV4" s="4" t="s">
        <v>877</v>
      </c>
    </row>
    <row r="5" customFormat="false" ht="18" hidden="false" customHeight="true" outlineLevel="0" collapsed="false">
      <c r="A5" s="68" t="n">
        <f aca="false">1</f>
        <v>1</v>
      </c>
      <c r="B5" s="68" t="n">
        <f aca="false">1</f>
        <v>1</v>
      </c>
      <c r="C5" s="18" t="n">
        <f aca="false">Motore_Operativo!C5</f>
        <v>46388</v>
      </c>
      <c r="D5" s="68" t="n">
        <f aca="false">Motore_Operativo!D5</f>
        <v>2027</v>
      </c>
      <c r="E5" s="68" t="n">
        <f aca="false">Motore_Operativo!E5</f>
        <v>1</v>
      </c>
      <c r="F5" s="15" t="n">
        <f aca="false">Motore_Operativo!AM5</f>
        <v>12500</v>
      </c>
      <c r="G5" s="15" t="n">
        <f aca="false">Motore_Operativo!BH5</f>
        <v>1250</v>
      </c>
      <c r="H5" s="15" t="n">
        <f aca="false">Motore_Operativo!AM5</f>
        <v>12500</v>
      </c>
      <c r="I5" s="15" t="n">
        <f aca="false">Motore_Operativo!CB5</f>
        <v>11520.8333333333</v>
      </c>
      <c r="J5" s="15" t="n">
        <f aca="false">Motore_Operativo!CD5</f>
        <v>979.166666666668</v>
      </c>
      <c r="K5" s="15" t="n">
        <f aca="false">Motore_Operativo!CF5</f>
        <v>250</v>
      </c>
      <c r="L5" s="15" t="n">
        <f aca="false">SUM(INDEX($K$5:$K$64,MAX(1,1-Parametri_v3!$C$59+1)):K5)/Parametri_v3!$C$59</f>
        <v>6.94444444444445</v>
      </c>
      <c r="M5" s="15" t="n">
        <f aca="false">J5-L5</f>
        <v>972.222222222223</v>
      </c>
      <c r="N5" s="15" t="n">
        <f aca="false">0</f>
        <v>0</v>
      </c>
      <c r="O5" s="15" t="n">
        <f aca="false">0</f>
        <v>0</v>
      </c>
      <c r="P5" s="15" t="n">
        <f aca="false">M5+N5-O5</f>
        <v>972.222222222223</v>
      </c>
      <c r="Q5" s="15" t="n">
        <f aca="false">SUM(P5)+Parametri_v3!$C$56*1/12</f>
        <v>972.222222222223</v>
      </c>
      <c r="R5" s="15" t="n">
        <f aca="false">0</f>
        <v>0</v>
      </c>
      <c r="S5" s="15" t="n">
        <f aca="false">0</f>
        <v>0</v>
      </c>
      <c r="T5" s="15" t="n">
        <f aca="false">MIN(R5,MAX(0,Q5))</f>
        <v>0</v>
      </c>
      <c r="U5" s="15" t="n">
        <f aca="false">MIN(S5,MAX(0,Q5-T5)*Parametri_v3!$C$42)</f>
        <v>0</v>
      </c>
      <c r="V5" s="15" t="n">
        <f aca="false">MAX(0,Q5-T5-U5)*Ipotesi!$C$92</f>
        <v>233.333333333334</v>
      </c>
      <c r="W5" s="15" t="n">
        <f aca="false">MAX(0,SUM(M5)+Parametri_v3!$C$57*1/12)*Ipotesi!$C$93</f>
        <v>37.9166666666667</v>
      </c>
      <c r="X5" s="15" t="n">
        <f aca="false">V5+W5-(0)</f>
        <v>271.25</v>
      </c>
      <c r="Y5" s="15" t="n">
        <f aca="false">P5-X5</f>
        <v>700.972222222223</v>
      </c>
      <c r="Z5" s="15" t="n">
        <f aca="false">R5-T5+IF(AND(Parametri_v3!$C$40=1,D5-YEAR(Parametri_v3!$C$50)&lt;Parametri_v3!$C$41),MAX(0,-Q5),0)</f>
        <v>0</v>
      </c>
      <c r="AA5" s="15" t="n">
        <f aca="false">S5-U5+IF(AND(Parametri_v3!$C$40=1,D5-YEAR(Parametri_v3!$C$50)&lt;Parametri_v3!$C$41),0,MAX(0,-Q5))</f>
        <v>0</v>
      </c>
      <c r="AB5" s="15" t="n">
        <f aca="false">F5*(1+Parametri_v3!$C$26)</f>
        <v>15250</v>
      </c>
      <c r="AC5" s="15" t="n">
        <f aca="false">(IF(1-(INT((Motore_Operativo!L5)/30))&lt;1,0,INDEX(Motore_Advisory!$AB$5:$AB$64,MAX(1,1-(INT((Motore_Operativo!L5)/30)))))*(1-(MOD((Motore_Operativo!L5),30)/30))+IF(1-(INT((Motore_Operativo!L5)/30))-1&lt;1,0,INDEX(Motore_Advisory!$AB$5:$AB$64,MAX(1,1-(INT((Motore_Operativo!L5)/30))-1)))*(MOD((Motore_Operativo!L5),30)/30))</f>
        <v>0</v>
      </c>
      <c r="AD5" s="15" t="n">
        <f aca="false">(0)+AB5-AC5</f>
        <v>15250</v>
      </c>
      <c r="AE5" s="15" t="n">
        <f aca="false">Motore_Operativo!BH5*(1+Parametri_v3!$C$26)</f>
        <v>1525</v>
      </c>
      <c r="AF5" s="15" t="n">
        <f aca="false">(IF(1-(INT((Parametri_v3!$C$29)/30))&lt;1,0,INDEX(Motore_Operativo!$BH$5:$BH$64,MAX(1,1-(INT((Parametri_v3!$C$29)/30)))))*(1-(MOD((Parametri_v3!$C$29),30)/30))+IF(1-(INT((Parametri_v3!$C$29)/30))-1&lt;1,0,INDEX(Motore_Operativo!$BH$5:$BH$64,MAX(1,1-(INT((Parametri_v3!$C$29)/30))-1)))*(MOD((Parametri_v3!$C$29),30)/30))*(1+Parametri_v3!$C$26)</f>
        <v>0</v>
      </c>
      <c r="AG5" s="15" t="n">
        <f aca="false">(0)+AE5-AF5</f>
        <v>1525</v>
      </c>
      <c r="AH5" s="15" t="n">
        <f aca="false">(Motore_Operativo!CK5)*(1+Parametri_v3!$C$28*Parametri_v3!$C$26)</f>
        <v>5904.5</v>
      </c>
      <c r="AI5" s="15" t="n">
        <f aca="false">(IF(1-(INT((Ipotesi!$C$91)/30))&lt;1,0,INDEX(Motore_Advisory!$AH$5:$AH$64,MAX(1,1-(INT((Ipotesi!$C$91)/30)))))*(1-(MOD((Ipotesi!$C$91),30)/30))+IF(1-(INT((Ipotesi!$C$91)/30))-1&lt;1,0,INDEX(Motore_Advisory!$AH$5:$AH$64,MAX(1,1-(INT((Ipotesi!$C$91)/30))-1)))*(MOD((Ipotesi!$C$91),30)/30))</f>
        <v>0</v>
      </c>
      <c r="AJ5" s="15" t="n">
        <f aca="false">(0)+AH5-AI5</f>
        <v>5904.5</v>
      </c>
      <c r="AK5" s="15" t="n">
        <f aca="false">(F5- Motore_Operativo!BH5-(Motore_Operativo!CK5)*Parametri_v3!$C$28-Motore_Operativo!CF5)*Parametri_v3!$C$26</f>
        <v>1536.33333333333</v>
      </c>
      <c r="AL5" s="15" t="n">
        <f aca="false">MAX(0,(0))</f>
        <v>0</v>
      </c>
      <c r="AM5" s="15" t="n">
        <f aca="false">(0)+AK5-AL5</f>
        <v>1536.33333333333</v>
      </c>
      <c r="AN5" s="15" t="n">
        <f aca="false">0</f>
        <v>0</v>
      </c>
      <c r="AO5" s="15" t="n">
        <f aca="false">0</f>
        <v>0</v>
      </c>
      <c r="AP5" s="15" t="n">
        <f aca="false">MAX(0,AN5)*IF(1=Parametri_v3!$C$43,Parametri_v3!$C$45,IF(1=Parametri_v3!$C$44,1-Parametri_v3!$C$45,0))</f>
        <v>0</v>
      </c>
      <c r="AQ5" s="15" t="n">
        <f aca="false">MAX(0,AP5+IF(1=Parametri_v3!$C$43,MAX(0,AN5-AO5),0)-MAX(0,-(0)))</f>
        <v>0</v>
      </c>
      <c r="AR5" s="15" t="n">
        <f aca="false">(0)+X5-AQ5</f>
        <v>271.25</v>
      </c>
      <c r="AS5" s="15" t="n">
        <f aca="false">Motore_Operativo!AC5-AT5+AU5</f>
        <v>4987.5</v>
      </c>
      <c r="AT5" s="15" t="n">
        <f aca="false">Motore_Operativo!CI5</f>
        <v>262.5</v>
      </c>
      <c r="AU5" s="15" t="n">
        <f aca="false">MIN(MAX(0,(0)+AT5),Parametri_v3!$C$61/12)</f>
        <v>0</v>
      </c>
      <c r="AV5" s="15" t="n">
        <f aca="false">(0)+AT5-AU5</f>
        <v>262.5</v>
      </c>
      <c r="AW5" s="15" t="n">
        <f aca="false">IF(AND(Motore_Operativo!C5=Finanziamenti!$D$7,Finanziamenti!$F$7=1),Finanziamenti!$C$7,0)</f>
        <v>20000</v>
      </c>
      <c r="AX5" s="15" t="n">
        <f aca="false">0</f>
        <v>0</v>
      </c>
      <c r="AY5" s="15" t="n">
        <f aca="false">IF(1=Parametri_v3!$C$33,MIN(MAX(0,0)*Ipotesi!$C$94,MAX(0,(0)-(0)-BP5),MAX(0,BD5-Parametri_v3!$C$31)),0)</f>
        <v>0</v>
      </c>
      <c r="AZ5" s="15" t="n">
        <f aca="false">0</f>
        <v>0</v>
      </c>
      <c r="BA5" s="15" t="n">
        <f aca="false">0</f>
        <v>0</v>
      </c>
      <c r="BB5" s="15" t="n">
        <f aca="false">0</f>
        <v>0</v>
      </c>
      <c r="BC5" s="15" t="n">
        <f aca="false">0</f>
        <v>0</v>
      </c>
      <c r="BD5" s="15" t="n">
        <f aca="false">(0)+AC5-AF5-AI5-AS5-K5*(1+Parametri_v3!$C$26)-AL5-AQ5-O5+AW5+AX5+AZ5+BA5-BB5</f>
        <v>14707.5</v>
      </c>
      <c r="BE5" s="15" t="n">
        <f aca="false">0</f>
        <v>0</v>
      </c>
      <c r="BF5" s="15" t="n">
        <f aca="false">0</f>
        <v>0</v>
      </c>
      <c r="BG5" s="15" t="n">
        <f aca="false">0</f>
        <v>0</v>
      </c>
      <c r="BH5" s="15" t="n">
        <f aca="false">BD5+BE5-BF5-AY5</f>
        <v>14707.5</v>
      </c>
      <c r="BI5" s="15" t="n">
        <f aca="false">MAX(0,Parametri_v3!$C$31-BH5)</f>
        <v>0</v>
      </c>
      <c r="BJ5" s="15" t="n">
        <f aca="false">(0)+K5</f>
        <v>250</v>
      </c>
      <c r="BK5" s="15" t="n">
        <f aca="false">(0)+L5</f>
        <v>6.94444444444445</v>
      </c>
      <c r="BL5" s="15" t="n">
        <f aca="false">BJ5-BK5</f>
        <v>243.055555555556</v>
      </c>
      <c r="BM5" s="15" t="n">
        <f aca="false">(0)+Y5</f>
        <v>700.972222222223</v>
      </c>
      <c r="BN5" s="15" t="n">
        <f aca="false">(0)+AW5+AX5+AZ5</f>
        <v>20000</v>
      </c>
      <c r="BO5" s="15" t="n">
        <f aca="false">(0)+AY5</f>
        <v>0</v>
      </c>
      <c r="BP5" s="15" t="n">
        <f aca="false">MIN(Parametri_v3!$C$36*Parametri_v3!$C$35,(0)+IF(1=1,MAX(0,0)*Parametri_v3!$C$34,0))</f>
        <v>0</v>
      </c>
      <c r="BQ5" s="15" t="n">
        <f aca="false">BN5+BM5-BO5</f>
        <v>20700.9722222222</v>
      </c>
      <c r="BR5" s="15" t="n">
        <f aca="false">BH5+AD5+BL5+MAX(0,-AM5)+MAX(0,-AR5)</f>
        <v>30200.5555555556</v>
      </c>
      <c r="BS5" s="15" t="n">
        <f aca="false">AJ5+AV5+MAX(0,AM5)+MAX(0,AR5)+BC5+BG5+BQ5+AG5</f>
        <v>30200.5555555556</v>
      </c>
      <c r="BT5" s="15" t="n">
        <f aca="false">BR5-BS5</f>
        <v>0</v>
      </c>
      <c r="BU5" s="15" t="n">
        <f aca="false">BH5-(BD5+BE5-BF5-AY5)</f>
        <v>0</v>
      </c>
      <c r="BV5" s="15" t="n">
        <f aca="false">0</f>
        <v>0</v>
      </c>
    </row>
    <row r="6" customFormat="false" ht="18" hidden="false" customHeight="true" outlineLevel="0" collapsed="false">
      <c r="A6" s="68" t="n">
        <f aca="false">1</f>
        <v>1</v>
      </c>
      <c r="B6" s="68" t="n">
        <f aca="false">2</f>
        <v>2</v>
      </c>
      <c r="C6" s="18" t="n">
        <f aca="false">Motore_Operativo!C6</f>
        <v>46419</v>
      </c>
      <c r="D6" s="68" t="n">
        <f aca="false">Motore_Operativo!D6</f>
        <v>2027</v>
      </c>
      <c r="E6" s="68" t="n">
        <f aca="false">Motore_Operativo!E6</f>
        <v>2</v>
      </c>
      <c r="F6" s="15" t="n">
        <f aca="false">Motore_Operativo!AM6</f>
        <v>12500</v>
      </c>
      <c r="G6" s="15" t="n">
        <f aca="false">Motore_Operativo!BH6</f>
        <v>1250</v>
      </c>
      <c r="H6" s="15" t="n">
        <f aca="false">Motore_Operativo!AM6</f>
        <v>12500</v>
      </c>
      <c r="I6" s="15" t="n">
        <f aca="false">Motore_Operativo!CB6</f>
        <v>11520.8333333333</v>
      </c>
      <c r="J6" s="15" t="n">
        <f aca="false">Motore_Operativo!CD6</f>
        <v>979.166666666668</v>
      </c>
      <c r="K6" s="15" t="n">
        <f aca="false">Motore_Operativo!CF6</f>
        <v>250</v>
      </c>
      <c r="L6" s="15" t="n">
        <f aca="false">SUM(INDEX($K$5:$K$64,MAX(1,2-Parametri_v3!$C$59+1)):K6)/Parametri_v3!$C$59</f>
        <v>13.8888888888889</v>
      </c>
      <c r="M6" s="15" t="n">
        <f aca="false">J6-L6</f>
        <v>965.277777777779</v>
      </c>
      <c r="N6" s="15" t="n">
        <f aca="false">0</f>
        <v>0</v>
      </c>
      <c r="O6" s="15" t="n">
        <f aca="false">0</f>
        <v>0</v>
      </c>
      <c r="P6" s="15" t="n">
        <f aca="false">M6+N6-O6</f>
        <v>965.277777777779</v>
      </c>
      <c r="Q6" s="15" t="n">
        <f aca="false">SUM(P5:P6)+Parametri_v3!$C$56*2/12</f>
        <v>1937.5</v>
      </c>
      <c r="R6" s="15" t="n">
        <f aca="false">0</f>
        <v>0</v>
      </c>
      <c r="S6" s="15" t="n">
        <f aca="false">0</f>
        <v>0</v>
      </c>
      <c r="T6" s="15" t="n">
        <f aca="false">MIN(R6,MAX(0,Q6))</f>
        <v>0</v>
      </c>
      <c r="U6" s="15" t="n">
        <f aca="false">MIN(S6,MAX(0,Q6-T6)*Parametri_v3!$C$42)</f>
        <v>0</v>
      </c>
      <c r="V6" s="15" t="n">
        <f aca="false">MAX(0,Q6-T6-U6)*Ipotesi!$C$92</f>
        <v>465.000000000001</v>
      </c>
      <c r="W6" s="15" t="n">
        <f aca="false">MAX(0,SUM(M5:M6)+Parametri_v3!$C$57*2/12)*Ipotesi!$C$93</f>
        <v>75.5625000000001</v>
      </c>
      <c r="X6" s="15" t="n">
        <f aca="false">V6+W6-(V5+W5)</f>
        <v>269.3125</v>
      </c>
      <c r="Y6" s="15" t="n">
        <f aca="false">P6-X6</f>
        <v>695.965277777779</v>
      </c>
      <c r="Z6" s="15" t="n">
        <f aca="false">R6-T6+IF(AND(Parametri_v3!$C$40=1,D6-YEAR(Parametri_v3!$C$50)&lt;Parametri_v3!$C$41),MAX(0,-Q6),0)</f>
        <v>0</v>
      </c>
      <c r="AA6" s="15" t="n">
        <f aca="false">S6-U6+IF(AND(Parametri_v3!$C$40=1,D6-YEAR(Parametri_v3!$C$50)&lt;Parametri_v3!$C$41),0,MAX(0,-Q6))</f>
        <v>0</v>
      </c>
      <c r="AB6" s="15" t="n">
        <f aca="false">F6*(1+Parametri_v3!$C$26)</f>
        <v>15250</v>
      </c>
      <c r="AC6" s="15" t="n">
        <f aca="false">(IF(2-(INT((Motore_Operativo!L6)/30))&lt;1,0,INDEX(Motore_Advisory!$AB$5:$AB$64,MAX(1,2-(INT((Motore_Operativo!L6)/30)))))*(1-(MOD((Motore_Operativo!L6),30)/30))+IF(2-(INT((Motore_Operativo!L6)/30))-1&lt;1,0,INDEX(Motore_Advisory!$AB$5:$AB$64,MAX(1,2-(INT((Motore_Operativo!L6)/30))-1)))*(MOD((Motore_Operativo!L6),30)/30))</f>
        <v>0</v>
      </c>
      <c r="AD6" s="15" t="n">
        <f aca="false">(AD5)+AB6-AC6</f>
        <v>30500</v>
      </c>
      <c r="AE6" s="15" t="n">
        <f aca="false">Motore_Operativo!BH6*(1+Parametri_v3!$C$26)</f>
        <v>1525</v>
      </c>
      <c r="AF6" s="15" t="n">
        <f aca="false">(IF(2-(INT((Parametri_v3!$C$29)/30))&lt;1,0,INDEX(Motore_Operativo!$BH$5:$BH$64,MAX(1,2-(INT((Parametri_v3!$C$29)/30)))))*(1-(MOD((Parametri_v3!$C$29),30)/30))+IF(2-(INT((Parametri_v3!$C$29)/30))-1&lt;1,0,INDEX(Motore_Operativo!$BH$5:$BH$64,MAX(1,2-(INT((Parametri_v3!$C$29)/30))-1)))*(MOD((Parametri_v3!$C$29),30)/30))*(1+Parametri_v3!$C$26)</f>
        <v>1525</v>
      </c>
      <c r="AG6" s="15" t="n">
        <f aca="false">(AG5)+AE6-AF6</f>
        <v>1525</v>
      </c>
      <c r="AH6" s="15" t="n">
        <f aca="false">(Motore_Operativo!CK6)*(1+Parametri_v3!$C$28*Parametri_v3!$C$26)</f>
        <v>5904.5</v>
      </c>
      <c r="AI6" s="15" t="n">
        <f aca="false">(IF(2-(INT((Ipotesi!$C$91)/30))&lt;1,0,INDEX(Motore_Advisory!$AH$5:$AH$64,MAX(1,2-(INT((Ipotesi!$C$91)/30)))))*(1-(MOD((Ipotesi!$C$91),30)/30))+IF(2-(INT((Ipotesi!$C$91)/30))-1&lt;1,0,INDEX(Motore_Advisory!$AH$5:$AH$64,MAX(1,2-(INT((Ipotesi!$C$91)/30))-1)))*(MOD((Ipotesi!$C$91),30)/30))</f>
        <v>0</v>
      </c>
      <c r="AJ6" s="15" t="n">
        <f aca="false">(AJ5)+AH6-AI6</f>
        <v>11809</v>
      </c>
      <c r="AK6" s="15" t="n">
        <f aca="false">(F6- Motore_Operativo!BH6-(Motore_Operativo!CK6)*Parametri_v3!$C$28-Motore_Operativo!CF6)*Parametri_v3!$C$26</f>
        <v>1536.33333333333</v>
      </c>
      <c r="AL6" s="15" t="n">
        <f aca="false">MAX(0,(AM5))</f>
        <v>1536.33333333333</v>
      </c>
      <c r="AM6" s="15" t="n">
        <f aca="false">(AM5)+AK6-AL6</f>
        <v>1536.33333333333</v>
      </c>
      <c r="AN6" s="15" t="n">
        <f aca="false">0</f>
        <v>0</v>
      </c>
      <c r="AO6" s="15" t="n">
        <f aca="false">0</f>
        <v>0</v>
      </c>
      <c r="AP6" s="15" t="n">
        <f aca="false">MAX(0,AN6)*IF(2=Parametri_v3!$C$43,Parametri_v3!$C$45,IF(2=Parametri_v3!$C$44,1-Parametri_v3!$C$45,0))</f>
        <v>0</v>
      </c>
      <c r="AQ6" s="15" t="n">
        <f aca="false">MAX(0,AP6+IF(2=Parametri_v3!$C$43,MAX(0,AN6-AO6),0)-MAX(0,-(AR5)))</f>
        <v>0</v>
      </c>
      <c r="AR6" s="15" t="n">
        <f aca="false">(AR5)+X6-AQ6</f>
        <v>540.562500000001</v>
      </c>
      <c r="AS6" s="15" t="n">
        <f aca="false">Motore_Operativo!AC6-AT6+AU6</f>
        <v>4987.5</v>
      </c>
      <c r="AT6" s="15" t="n">
        <f aca="false">Motore_Operativo!CI6</f>
        <v>262.5</v>
      </c>
      <c r="AU6" s="15" t="n">
        <f aca="false">MIN(MAX(0,(AV5)+AT6),Parametri_v3!$C$61/12)</f>
        <v>0</v>
      </c>
      <c r="AV6" s="15" t="n">
        <f aca="false">(AV5)+AT6-AU6</f>
        <v>525</v>
      </c>
      <c r="AW6" s="15" t="n">
        <f aca="false">IF(AND(Motore_Operativo!C6=Finanziamenti!$D$7,Finanziamenti!$F$7=1),Finanziamenti!$C$7,0)</f>
        <v>0</v>
      </c>
      <c r="AX6" s="15" t="n">
        <f aca="false">0</f>
        <v>0</v>
      </c>
      <c r="AY6" s="15" t="n">
        <f aca="false">IF(2=Parametri_v3!$C$33,IF(BV6&lt;MIN(12,$B6-1),0,MIN(MAX(0,0)*Ipotesi!$C$94,MAX(0,(0)-(BO5)-BP6),MAX(0,BD6-Parametri_v3!$C$31))),0)</f>
        <v>0</v>
      </c>
      <c r="AZ6" s="15" t="n">
        <f aca="false">0</f>
        <v>0</v>
      </c>
      <c r="BA6" s="15" t="n">
        <f aca="false">0</f>
        <v>0</v>
      </c>
      <c r="BB6" s="15" t="n">
        <f aca="false">0</f>
        <v>0</v>
      </c>
      <c r="BC6" s="15" t="n">
        <f aca="false">0</f>
        <v>0</v>
      </c>
      <c r="BD6" s="15" t="n">
        <f aca="false">(BH5)+AC6-AF6-AI6-AS6-K6*(1+Parametri_v3!$C$26)-AL6-AQ6-O6+AW6+AX6+AZ6+BA6-BB6</f>
        <v>6353.66666666667</v>
      </c>
      <c r="BE6" s="15" t="n">
        <f aca="false">0</f>
        <v>0</v>
      </c>
      <c r="BF6" s="15" t="n">
        <f aca="false">0</f>
        <v>0</v>
      </c>
      <c r="BG6" s="15" t="n">
        <f aca="false">0</f>
        <v>0</v>
      </c>
      <c r="BH6" s="15" t="n">
        <f aca="false">BD6+BE6-BF6-AY6</f>
        <v>6353.66666666667</v>
      </c>
      <c r="BI6" s="15" t="n">
        <f aca="false">MAX(0,Parametri_v3!$C$31-BH6)</f>
        <v>3646.33333333333</v>
      </c>
      <c r="BJ6" s="15" t="n">
        <f aca="false">(BJ5)+K6</f>
        <v>500</v>
      </c>
      <c r="BK6" s="15" t="n">
        <f aca="false">(BK5)+L6</f>
        <v>20.8333333333333</v>
      </c>
      <c r="BL6" s="15" t="n">
        <f aca="false">BJ6-BK6</f>
        <v>479.166666666667</v>
      </c>
      <c r="BM6" s="15" t="n">
        <f aca="false">(BM5)+Y6</f>
        <v>1396.9375</v>
      </c>
      <c r="BN6" s="15" t="n">
        <f aca="false">(BN5)+AW6+AX6+AZ6</f>
        <v>20000</v>
      </c>
      <c r="BO6" s="15" t="n">
        <f aca="false">(BO5)+AY6</f>
        <v>0</v>
      </c>
      <c r="BP6" s="15" t="n">
        <f aca="false">MIN(Parametri_v3!$C$36*Parametri_v3!$C$35,(BP5)+IF(2=1,MAX(0,0)*Parametri_v3!$C$34,0))</f>
        <v>0</v>
      </c>
      <c r="BQ6" s="15" t="n">
        <f aca="false">BN6+BM6-BO6</f>
        <v>21396.9375</v>
      </c>
      <c r="BR6" s="15" t="n">
        <f aca="false">BH6+AD6+BL6+MAX(0,-AM6)+MAX(0,-AR6)</f>
        <v>37332.8333333333</v>
      </c>
      <c r="BS6" s="15" t="n">
        <f aca="false">AJ6+AV6+MAX(0,AM6)+MAX(0,AR6)+BC6+BG6+BQ6+AG6</f>
        <v>37332.8333333333</v>
      </c>
      <c r="BT6" s="15" t="n">
        <f aca="false">BR6-BS6</f>
        <v>0</v>
      </c>
      <c r="BU6" s="15" t="n">
        <f aca="false">BH6-(BD6+BE6-BF6-AY6)</f>
        <v>0</v>
      </c>
      <c r="BV6" s="15" t="n">
        <f aca="false">IF(BH5&lt;Parametri_v3!$C$31,0,BV5+1)</f>
        <v>1</v>
      </c>
    </row>
    <row r="7" customFormat="false" ht="18" hidden="false" customHeight="true" outlineLevel="0" collapsed="false">
      <c r="A7" s="68" t="n">
        <f aca="false">1</f>
        <v>1</v>
      </c>
      <c r="B7" s="68" t="n">
        <f aca="false">3</f>
        <v>3</v>
      </c>
      <c r="C7" s="18" t="n">
        <f aca="false">Motore_Operativo!C7</f>
        <v>46447</v>
      </c>
      <c r="D7" s="68" t="n">
        <f aca="false">Motore_Operativo!D7</f>
        <v>2027</v>
      </c>
      <c r="E7" s="68" t="n">
        <f aca="false">Motore_Operativo!E7</f>
        <v>3</v>
      </c>
      <c r="F7" s="15" t="n">
        <f aca="false">Motore_Operativo!AM7</f>
        <v>12500</v>
      </c>
      <c r="G7" s="15" t="n">
        <f aca="false">Motore_Operativo!BH7</f>
        <v>1250</v>
      </c>
      <c r="H7" s="15" t="n">
        <f aca="false">Motore_Operativo!AM7</f>
        <v>12500</v>
      </c>
      <c r="I7" s="15" t="n">
        <f aca="false">Motore_Operativo!CB7</f>
        <v>11520.8333333333</v>
      </c>
      <c r="J7" s="15" t="n">
        <f aca="false">Motore_Operativo!CD7</f>
        <v>979.166666666668</v>
      </c>
      <c r="K7" s="15" t="n">
        <f aca="false">Motore_Operativo!CF7</f>
        <v>250</v>
      </c>
      <c r="L7" s="15" t="n">
        <f aca="false">SUM(INDEX($K$5:$K$64,MAX(1,3-Parametri_v3!$C$59+1)):K7)/Parametri_v3!$C$59</f>
        <v>20.8333333333333</v>
      </c>
      <c r="M7" s="15" t="n">
        <f aca="false">J7-L7</f>
        <v>958.333333333335</v>
      </c>
      <c r="N7" s="15" t="n">
        <f aca="false">0</f>
        <v>0</v>
      </c>
      <c r="O7" s="15" t="n">
        <f aca="false">0</f>
        <v>0</v>
      </c>
      <c r="P7" s="15" t="n">
        <f aca="false">M7+N7-O7</f>
        <v>958.333333333335</v>
      </c>
      <c r="Q7" s="15" t="n">
        <f aca="false">SUM(P5:P7)+Parametri_v3!$C$56*3/12</f>
        <v>2895.83333333334</v>
      </c>
      <c r="R7" s="15" t="n">
        <f aca="false">0</f>
        <v>0</v>
      </c>
      <c r="S7" s="15" t="n">
        <f aca="false">0</f>
        <v>0</v>
      </c>
      <c r="T7" s="15" t="n">
        <f aca="false">MIN(R7,MAX(0,Q7))</f>
        <v>0</v>
      </c>
      <c r="U7" s="15" t="n">
        <f aca="false">MIN(S7,MAX(0,Q7-T7)*Parametri_v3!$C$42)</f>
        <v>0</v>
      </c>
      <c r="V7" s="15" t="n">
        <f aca="false">MAX(0,Q7-T7-U7)*Ipotesi!$C$92</f>
        <v>695.000000000001</v>
      </c>
      <c r="W7" s="15" t="n">
        <f aca="false">MAX(0,SUM(M5:M7)+Parametri_v3!$C$57*3/12)*Ipotesi!$C$93</f>
        <v>112.9375</v>
      </c>
      <c r="X7" s="15" t="n">
        <f aca="false">V7+W7-(V6+W6)</f>
        <v>267.375</v>
      </c>
      <c r="Y7" s="15" t="n">
        <f aca="false">P7-X7</f>
        <v>690.958333333334</v>
      </c>
      <c r="Z7" s="15" t="n">
        <f aca="false">R7-T7+IF(AND(Parametri_v3!$C$40=1,D7-YEAR(Parametri_v3!$C$50)&lt;Parametri_v3!$C$41),MAX(0,-Q7),0)</f>
        <v>0</v>
      </c>
      <c r="AA7" s="15" t="n">
        <f aca="false">S7-U7+IF(AND(Parametri_v3!$C$40=1,D7-YEAR(Parametri_v3!$C$50)&lt;Parametri_v3!$C$41),0,MAX(0,-Q7))</f>
        <v>0</v>
      </c>
      <c r="AB7" s="15" t="n">
        <f aca="false">F7*(1+Parametri_v3!$C$26)</f>
        <v>15250</v>
      </c>
      <c r="AC7" s="15" t="n">
        <f aca="false">(IF(3-(INT((Motore_Operativo!L7)/30))&lt;1,0,INDEX(Motore_Advisory!$AB$5:$AB$64,MAX(1,3-(INT((Motore_Operativo!L7)/30)))))*(1-(MOD((Motore_Operativo!L7),30)/30))+IF(3-(INT((Motore_Operativo!L7)/30))-1&lt;1,0,INDEX(Motore_Advisory!$AB$5:$AB$64,MAX(1,3-(INT((Motore_Operativo!L7)/30))-1)))*(MOD((Motore_Operativo!L7),30)/30))</f>
        <v>0</v>
      </c>
      <c r="AD7" s="15" t="n">
        <f aca="false">(AD6)+AB7-AC7</f>
        <v>45750</v>
      </c>
      <c r="AE7" s="15" t="n">
        <f aca="false">Motore_Operativo!BH7*(1+Parametri_v3!$C$26)</f>
        <v>1525</v>
      </c>
      <c r="AF7" s="15" t="n">
        <f aca="false">(IF(3-(INT((Parametri_v3!$C$29)/30))&lt;1,0,INDEX(Motore_Operativo!$BH$5:$BH$64,MAX(1,3-(INT((Parametri_v3!$C$29)/30)))))*(1-(MOD((Parametri_v3!$C$29),30)/30))+IF(3-(INT((Parametri_v3!$C$29)/30))-1&lt;1,0,INDEX(Motore_Operativo!$BH$5:$BH$64,MAX(1,3-(INT((Parametri_v3!$C$29)/30))-1)))*(MOD((Parametri_v3!$C$29),30)/30))*(1+Parametri_v3!$C$26)</f>
        <v>1525</v>
      </c>
      <c r="AG7" s="15" t="n">
        <f aca="false">(AG6)+AE7-AF7</f>
        <v>1525</v>
      </c>
      <c r="AH7" s="15" t="n">
        <f aca="false">(Motore_Operativo!CK7)*(1+Parametri_v3!$C$28*Parametri_v3!$C$26)</f>
        <v>5904.5</v>
      </c>
      <c r="AI7" s="15" t="n">
        <f aca="false">(IF(3-(INT((Ipotesi!$C$91)/30))&lt;1,0,INDEX(Motore_Advisory!$AH$5:$AH$64,MAX(1,3-(INT((Ipotesi!$C$91)/30)))))*(1-(MOD((Ipotesi!$C$91),30)/30))+IF(3-(INT((Ipotesi!$C$91)/30))-1&lt;1,0,INDEX(Motore_Advisory!$AH$5:$AH$64,MAX(1,3-(INT((Ipotesi!$C$91)/30))-1)))*(MOD((Ipotesi!$C$91),30)/30))</f>
        <v>5904.5</v>
      </c>
      <c r="AJ7" s="15" t="n">
        <f aca="false">(AJ6)+AH7-AI7</f>
        <v>11809</v>
      </c>
      <c r="AK7" s="15" t="n">
        <f aca="false">(F7- Motore_Operativo!BH7-(Motore_Operativo!CK7)*Parametri_v3!$C$28-Motore_Operativo!CF7)*Parametri_v3!$C$26</f>
        <v>1536.33333333333</v>
      </c>
      <c r="AL7" s="15" t="n">
        <f aca="false">MAX(0,(AM6))</f>
        <v>1536.33333333333</v>
      </c>
      <c r="AM7" s="15" t="n">
        <f aca="false">(AM6)+AK7-AL7</f>
        <v>1536.33333333333</v>
      </c>
      <c r="AN7" s="15" t="n">
        <f aca="false">0</f>
        <v>0</v>
      </c>
      <c r="AO7" s="15" t="n">
        <f aca="false">0</f>
        <v>0</v>
      </c>
      <c r="AP7" s="15" t="n">
        <f aca="false">MAX(0,AN7)*IF(3=Parametri_v3!$C$43,Parametri_v3!$C$45,IF(3=Parametri_v3!$C$44,1-Parametri_v3!$C$45,0))</f>
        <v>0</v>
      </c>
      <c r="AQ7" s="15" t="n">
        <f aca="false">MAX(0,AP7+IF(3=Parametri_v3!$C$43,MAX(0,AN7-AO7),0)-MAX(0,-(AR6)))</f>
        <v>0</v>
      </c>
      <c r="AR7" s="15" t="n">
        <f aca="false">(AR6)+X7-AQ7</f>
        <v>807.937500000001</v>
      </c>
      <c r="AS7" s="15" t="n">
        <f aca="false">Motore_Operativo!AC7-AT7+AU7</f>
        <v>4987.5</v>
      </c>
      <c r="AT7" s="15" t="n">
        <f aca="false">Motore_Operativo!CI7</f>
        <v>262.5</v>
      </c>
      <c r="AU7" s="15" t="n">
        <f aca="false">MIN(MAX(0,(AV6)+AT7),Parametri_v3!$C$61/12)</f>
        <v>0</v>
      </c>
      <c r="AV7" s="15" t="n">
        <f aca="false">(AV6)+AT7-AU7</f>
        <v>787.5</v>
      </c>
      <c r="AW7" s="15" t="n">
        <f aca="false">IF(AND(Motore_Operativo!C7=Finanziamenti!$D$7,Finanziamenti!$F$7=1),Finanziamenti!$C$7,0)</f>
        <v>0</v>
      </c>
      <c r="AX7" s="15" t="n">
        <f aca="false">0</f>
        <v>0</v>
      </c>
      <c r="AY7" s="15" t="n">
        <f aca="false">IF(3=Parametri_v3!$C$33,IF(BV7&lt;MIN(12,$B7-1),0,MIN(MAX(0,0)*Ipotesi!$C$94,MAX(0,(0)-(BO6)-BP7),MAX(0,BD7-Parametri_v3!$C$31))),0)</f>
        <v>0</v>
      </c>
      <c r="AZ7" s="15" t="n">
        <f aca="false">0</f>
        <v>0</v>
      </c>
      <c r="BA7" s="15" t="n">
        <f aca="false">0</f>
        <v>0</v>
      </c>
      <c r="BB7" s="15" t="n">
        <f aca="false">0</f>
        <v>0</v>
      </c>
      <c r="BC7" s="15" t="n">
        <f aca="false">0</f>
        <v>0</v>
      </c>
      <c r="BD7" s="15" t="n">
        <f aca="false">(BH6)+AC7-AF7-AI7-AS7-K7*(1+Parametri_v3!$C$26)-AL7-AQ7-O7+AW7+AX7+AZ7+BA7-BB7</f>
        <v>-7904.66666666667</v>
      </c>
      <c r="BE7" s="15" t="n">
        <f aca="false">0</f>
        <v>0</v>
      </c>
      <c r="BF7" s="15" t="n">
        <f aca="false">0</f>
        <v>0</v>
      </c>
      <c r="BG7" s="15" t="n">
        <f aca="false">0</f>
        <v>0</v>
      </c>
      <c r="BH7" s="15" t="n">
        <f aca="false">BD7+BE7-BF7-AY7</f>
        <v>-7904.66666666667</v>
      </c>
      <c r="BI7" s="15" t="n">
        <f aca="false">MAX(0,Parametri_v3!$C$31-BH7)</f>
        <v>17904.6666666667</v>
      </c>
      <c r="BJ7" s="15" t="n">
        <f aca="false">(BJ6)+K7</f>
        <v>750</v>
      </c>
      <c r="BK7" s="15" t="n">
        <f aca="false">(BK6)+L7</f>
        <v>41.6666666666667</v>
      </c>
      <c r="BL7" s="15" t="n">
        <f aca="false">BJ7-BK7</f>
        <v>708.333333333333</v>
      </c>
      <c r="BM7" s="15" t="n">
        <f aca="false">(BM6)+Y7</f>
        <v>2087.89583333334</v>
      </c>
      <c r="BN7" s="15" t="n">
        <f aca="false">(BN6)+AW7+AX7+AZ7</f>
        <v>20000</v>
      </c>
      <c r="BO7" s="15" t="n">
        <f aca="false">(BO6)+AY7</f>
        <v>0</v>
      </c>
      <c r="BP7" s="15" t="n">
        <f aca="false">MIN(Parametri_v3!$C$36*Parametri_v3!$C$35,(BP6)+IF(3=1,MAX(0,0)*Parametri_v3!$C$34,0))</f>
        <v>0</v>
      </c>
      <c r="BQ7" s="15" t="n">
        <f aca="false">BN7+BM7-BO7</f>
        <v>22087.8958333333</v>
      </c>
      <c r="BR7" s="15" t="n">
        <f aca="false">BH7+AD7+BL7+MAX(0,-AM7)+MAX(0,-AR7)</f>
        <v>38553.6666666667</v>
      </c>
      <c r="BS7" s="15" t="n">
        <f aca="false">AJ7+AV7+MAX(0,AM7)+MAX(0,AR7)+BC7+BG7+BQ7+AG7</f>
        <v>38553.6666666667</v>
      </c>
      <c r="BT7" s="15" t="n">
        <f aca="false">BR7-BS7</f>
        <v>0</v>
      </c>
      <c r="BU7" s="15" t="n">
        <f aca="false">BH7-(BD7+BE7-BF7-AY7)</f>
        <v>0</v>
      </c>
      <c r="BV7" s="15" t="n">
        <f aca="false">IF(BH6&lt;Parametri_v3!$C$31,0,BV6+1)</f>
        <v>0</v>
      </c>
    </row>
    <row r="8" customFormat="false" ht="18" hidden="false" customHeight="true" outlineLevel="0" collapsed="false">
      <c r="A8" s="68" t="n">
        <f aca="false">1</f>
        <v>1</v>
      </c>
      <c r="B8" s="68" t="n">
        <f aca="false">4</f>
        <v>4</v>
      </c>
      <c r="C8" s="18" t="n">
        <f aca="false">Motore_Operativo!C8</f>
        <v>46478</v>
      </c>
      <c r="D8" s="68" t="n">
        <f aca="false">Motore_Operativo!D8</f>
        <v>2027</v>
      </c>
      <c r="E8" s="68" t="n">
        <f aca="false">Motore_Operativo!E8</f>
        <v>4</v>
      </c>
      <c r="F8" s="15" t="n">
        <f aca="false">Motore_Operativo!AM8</f>
        <v>12500</v>
      </c>
      <c r="G8" s="15" t="n">
        <f aca="false">Motore_Operativo!BH8</f>
        <v>1250</v>
      </c>
      <c r="H8" s="15" t="n">
        <f aca="false">Motore_Operativo!AM8</f>
        <v>12500</v>
      </c>
      <c r="I8" s="15" t="n">
        <f aca="false">Motore_Operativo!CB8</f>
        <v>11520.8333333333</v>
      </c>
      <c r="J8" s="15" t="n">
        <f aca="false">Motore_Operativo!CD8</f>
        <v>979.166666666668</v>
      </c>
      <c r="K8" s="15" t="n">
        <f aca="false">Motore_Operativo!CF8</f>
        <v>250</v>
      </c>
      <c r="L8" s="15" t="n">
        <f aca="false">SUM(INDEX($K$5:$K$64,MAX(1,4-Parametri_v3!$C$59+1)):K8)/Parametri_v3!$C$59</f>
        <v>27.7777777777778</v>
      </c>
      <c r="M8" s="15" t="n">
        <f aca="false">J8-L8</f>
        <v>951.38888888889</v>
      </c>
      <c r="N8" s="15" t="n">
        <f aca="false">0</f>
        <v>0</v>
      </c>
      <c r="O8" s="15" t="n">
        <f aca="false">0</f>
        <v>0</v>
      </c>
      <c r="P8" s="15" t="n">
        <f aca="false">M8+N8-O8</f>
        <v>951.38888888889</v>
      </c>
      <c r="Q8" s="15" t="n">
        <f aca="false">SUM(P5:P8)+Parametri_v3!$C$56*4/12</f>
        <v>3847.22222222223</v>
      </c>
      <c r="R8" s="15" t="n">
        <f aca="false">0</f>
        <v>0</v>
      </c>
      <c r="S8" s="15" t="n">
        <f aca="false">0</f>
        <v>0</v>
      </c>
      <c r="T8" s="15" t="n">
        <f aca="false">MIN(R8,MAX(0,Q8))</f>
        <v>0</v>
      </c>
      <c r="U8" s="15" t="n">
        <f aca="false">MIN(S8,MAX(0,Q8-T8)*Parametri_v3!$C$42)</f>
        <v>0</v>
      </c>
      <c r="V8" s="15" t="n">
        <f aca="false">MAX(0,Q8-T8-U8)*Ipotesi!$C$92</f>
        <v>923.333333333334</v>
      </c>
      <c r="W8" s="15" t="n">
        <f aca="false">MAX(0,SUM(M5:M8)+Parametri_v3!$C$57*4/12)*Ipotesi!$C$93</f>
        <v>150.041666666667</v>
      </c>
      <c r="X8" s="15" t="n">
        <f aca="false">V8+W8-(V7+W7)</f>
        <v>265.4375</v>
      </c>
      <c r="Y8" s="15" t="n">
        <f aca="false">P8-X8</f>
        <v>685.95138888889</v>
      </c>
      <c r="Z8" s="15" t="n">
        <f aca="false">R8-T8+IF(AND(Parametri_v3!$C$40=1,D8-YEAR(Parametri_v3!$C$50)&lt;Parametri_v3!$C$41),MAX(0,-Q8),0)</f>
        <v>0</v>
      </c>
      <c r="AA8" s="15" t="n">
        <f aca="false">S8-U8+IF(AND(Parametri_v3!$C$40=1,D8-YEAR(Parametri_v3!$C$50)&lt;Parametri_v3!$C$41),0,MAX(0,-Q8))</f>
        <v>0</v>
      </c>
      <c r="AB8" s="15" t="n">
        <f aca="false">F8*(1+Parametri_v3!$C$26)</f>
        <v>15250</v>
      </c>
      <c r="AC8" s="15" t="n">
        <f aca="false">(IF(4-(INT((Motore_Operativo!L8)/30))&lt;1,0,INDEX(Motore_Advisory!$AB$5:$AB$64,MAX(1,4-(INT((Motore_Operativo!L8)/30)))))*(1-(MOD((Motore_Operativo!L8),30)/30))+IF(4-(INT((Motore_Operativo!L8)/30))-1&lt;1,0,INDEX(Motore_Advisory!$AB$5:$AB$64,MAX(1,4-(INT((Motore_Operativo!L8)/30))-1)))*(MOD((Motore_Operativo!L8),30)/30))</f>
        <v>15250</v>
      </c>
      <c r="AD8" s="15" t="n">
        <f aca="false">(AD7)+AB8-AC8</f>
        <v>45750</v>
      </c>
      <c r="AE8" s="15" t="n">
        <f aca="false">Motore_Operativo!BH8*(1+Parametri_v3!$C$26)</f>
        <v>1525</v>
      </c>
      <c r="AF8" s="15" t="n">
        <f aca="false">(IF(4-(INT((Parametri_v3!$C$29)/30))&lt;1,0,INDEX(Motore_Operativo!$BH$5:$BH$64,MAX(1,4-(INT((Parametri_v3!$C$29)/30)))))*(1-(MOD((Parametri_v3!$C$29),30)/30))+IF(4-(INT((Parametri_v3!$C$29)/30))-1&lt;1,0,INDEX(Motore_Operativo!$BH$5:$BH$64,MAX(1,4-(INT((Parametri_v3!$C$29)/30))-1)))*(MOD((Parametri_v3!$C$29),30)/30))*(1+Parametri_v3!$C$26)</f>
        <v>1525</v>
      </c>
      <c r="AG8" s="15" t="n">
        <f aca="false">(AG7)+AE8-AF8</f>
        <v>1525</v>
      </c>
      <c r="AH8" s="15" t="n">
        <f aca="false">(Motore_Operativo!CK8)*(1+Parametri_v3!$C$28*Parametri_v3!$C$26)</f>
        <v>5904.5</v>
      </c>
      <c r="AI8" s="15" t="n">
        <f aca="false">(IF(4-(INT((Ipotesi!$C$91)/30))&lt;1,0,INDEX(Motore_Advisory!$AH$5:$AH$64,MAX(1,4-(INT((Ipotesi!$C$91)/30)))))*(1-(MOD((Ipotesi!$C$91),30)/30))+IF(4-(INT((Ipotesi!$C$91)/30))-1&lt;1,0,INDEX(Motore_Advisory!$AH$5:$AH$64,MAX(1,4-(INT((Ipotesi!$C$91)/30))-1)))*(MOD((Ipotesi!$C$91),30)/30))</f>
        <v>5904.5</v>
      </c>
      <c r="AJ8" s="15" t="n">
        <f aca="false">(AJ7)+AH8-AI8</f>
        <v>11809</v>
      </c>
      <c r="AK8" s="15" t="n">
        <f aca="false">(F8- Motore_Operativo!BH8-(Motore_Operativo!CK8)*Parametri_v3!$C$28-Motore_Operativo!CF8)*Parametri_v3!$C$26</f>
        <v>1536.33333333333</v>
      </c>
      <c r="AL8" s="15" t="n">
        <f aca="false">MAX(0,(AM7))</f>
        <v>1536.33333333333</v>
      </c>
      <c r="AM8" s="15" t="n">
        <f aca="false">(AM7)+AK8-AL8</f>
        <v>1536.33333333333</v>
      </c>
      <c r="AN8" s="15" t="n">
        <f aca="false">0</f>
        <v>0</v>
      </c>
      <c r="AO8" s="15" t="n">
        <f aca="false">0</f>
        <v>0</v>
      </c>
      <c r="AP8" s="15" t="n">
        <f aca="false">MAX(0,AN8)*IF(4=Parametri_v3!$C$43,Parametri_v3!$C$45,IF(4=Parametri_v3!$C$44,1-Parametri_v3!$C$45,0))</f>
        <v>0</v>
      </c>
      <c r="AQ8" s="15" t="n">
        <f aca="false">MAX(0,AP8+IF(4=Parametri_v3!$C$43,MAX(0,AN8-AO8),0)-MAX(0,-(AR7)))</f>
        <v>0</v>
      </c>
      <c r="AR8" s="15" t="n">
        <f aca="false">(AR7)+X8-AQ8</f>
        <v>1073.375</v>
      </c>
      <c r="AS8" s="15" t="n">
        <f aca="false">Motore_Operativo!AC8-AT8+AU8</f>
        <v>4987.5</v>
      </c>
      <c r="AT8" s="15" t="n">
        <f aca="false">Motore_Operativo!CI8</f>
        <v>262.5</v>
      </c>
      <c r="AU8" s="15" t="n">
        <f aca="false">MIN(MAX(0,(AV7)+AT8),Parametri_v3!$C$61/12)</f>
        <v>0</v>
      </c>
      <c r="AV8" s="15" t="n">
        <f aca="false">(AV7)+AT8-AU8</f>
        <v>1050</v>
      </c>
      <c r="AW8" s="15" t="n">
        <f aca="false">IF(AND(Motore_Operativo!C8=Finanziamenti!$D$7,Finanziamenti!$F$7=1),Finanziamenti!$C$7,0)</f>
        <v>0</v>
      </c>
      <c r="AX8" s="15" t="n">
        <f aca="false">0</f>
        <v>0</v>
      </c>
      <c r="AY8" s="15" t="n">
        <f aca="false">IF(4=Parametri_v3!$C$33,IF(BV8&lt;MIN(12,$B8-1),0,MIN(MAX(0,0)*Ipotesi!$C$94,MAX(0,(0)-(BO7)-BP8),MAX(0,BD8-Parametri_v3!$C$31))),0)</f>
        <v>0</v>
      </c>
      <c r="AZ8" s="15" t="n">
        <f aca="false">0</f>
        <v>0</v>
      </c>
      <c r="BA8" s="15" t="n">
        <f aca="false">0</f>
        <v>0</v>
      </c>
      <c r="BB8" s="15" t="n">
        <f aca="false">0</f>
        <v>0</v>
      </c>
      <c r="BC8" s="15" t="n">
        <f aca="false">0</f>
        <v>0</v>
      </c>
      <c r="BD8" s="15" t="n">
        <f aca="false">(BH7)+AC8-AF8-AI8-AS8-K8*(1+Parametri_v3!$C$26)-AL8-AQ8-O8+AW8+AX8+AZ8+BA8-BB8</f>
        <v>-6913</v>
      </c>
      <c r="BE8" s="15" t="n">
        <f aca="false">0</f>
        <v>0</v>
      </c>
      <c r="BF8" s="15" t="n">
        <f aca="false">0</f>
        <v>0</v>
      </c>
      <c r="BG8" s="15" t="n">
        <f aca="false">0</f>
        <v>0</v>
      </c>
      <c r="BH8" s="15" t="n">
        <f aca="false">BD8+BE8-BF8-AY8</f>
        <v>-6913</v>
      </c>
      <c r="BI8" s="15" t="n">
        <f aca="false">MAX(0,Parametri_v3!$C$31-BH8)</f>
        <v>16913</v>
      </c>
      <c r="BJ8" s="15" t="n">
        <f aca="false">(BJ7)+K8</f>
        <v>1000</v>
      </c>
      <c r="BK8" s="15" t="n">
        <f aca="false">(BK7)+L8</f>
        <v>69.4444444444445</v>
      </c>
      <c r="BL8" s="15" t="n">
        <f aca="false">BJ8-BK8</f>
        <v>930.555555555556</v>
      </c>
      <c r="BM8" s="15" t="n">
        <f aca="false">(BM7)+Y8</f>
        <v>2773.84722222223</v>
      </c>
      <c r="BN8" s="15" t="n">
        <f aca="false">(BN7)+AW8+AX8+AZ8</f>
        <v>20000</v>
      </c>
      <c r="BO8" s="15" t="n">
        <f aca="false">(BO7)+AY8</f>
        <v>0</v>
      </c>
      <c r="BP8" s="15" t="n">
        <f aca="false">MIN(Parametri_v3!$C$36*Parametri_v3!$C$35,(BP7)+IF(4=1,MAX(0,0)*Parametri_v3!$C$34,0))</f>
        <v>0</v>
      </c>
      <c r="BQ8" s="15" t="n">
        <f aca="false">BN8+BM8-BO8</f>
        <v>22773.8472222222</v>
      </c>
      <c r="BR8" s="15" t="n">
        <f aca="false">BH8+AD8+BL8+MAX(0,-AM8)+MAX(0,-AR8)</f>
        <v>39767.5555555556</v>
      </c>
      <c r="BS8" s="15" t="n">
        <f aca="false">AJ8+AV8+MAX(0,AM8)+MAX(0,AR8)+BC8+BG8+BQ8+AG8</f>
        <v>39767.5555555556</v>
      </c>
      <c r="BT8" s="15" t="n">
        <f aca="false">BR8-BS8</f>
        <v>0</v>
      </c>
      <c r="BU8" s="15" t="n">
        <f aca="false">BH8-(BD8+BE8-BF8-AY8)</f>
        <v>0</v>
      </c>
      <c r="BV8" s="15" t="n">
        <f aca="false">IF(BH7&lt;Parametri_v3!$C$31,0,BV7+1)</f>
        <v>0</v>
      </c>
    </row>
    <row r="9" customFormat="false" ht="18" hidden="false" customHeight="true" outlineLevel="0" collapsed="false">
      <c r="A9" s="68" t="n">
        <f aca="false">1</f>
        <v>1</v>
      </c>
      <c r="B9" s="68" t="n">
        <f aca="false">5</f>
        <v>5</v>
      </c>
      <c r="C9" s="18" t="n">
        <f aca="false">Motore_Operativo!C9</f>
        <v>46508</v>
      </c>
      <c r="D9" s="68" t="n">
        <f aca="false">Motore_Operativo!D9</f>
        <v>2027</v>
      </c>
      <c r="E9" s="68" t="n">
        <f aca="false">Motore_Operativo!E9</f>
        <v>5</v>
      </c>
      <c r="F9" s="15" t="n">
        <f aca="false">Motore_Operativo!AM9</f>
        <v>12500</v>
      </c>
      <c r="G9" s="15" t="n">
        <f aca="false">Motore_Operativo!BH9</f>
        <v>1250</v>
      </c>
      <c r="H9" s="15" t="n">
        <f aca="false">Motore_Operativo!AM9</f>
        <v>12500</v>
      </c>
      <c r="I9" s="15" t="n">
        <f aca="false">Motore_Operativo!CB9</f>
        <v>11520.8333333333</v>
      </c>
      <c r="J9" s="15" t="n">
        <f aca="false">Motore_Operativo!CD9</f>
        <v>979.166666666668</v>
      </c>
      <c r="K9" s="15" t="n">
        <f aca="false">Motore_Operativo!CF9</f>
        <v>250</v>
      </c>
      <c r="L9" s="15" t="n">
        <f aca="false">SUM(INDEX($K$5:$K$64,MAX(1,5-Parametri_v3!$C$59+1)):K9)/Parametri_v3!$C$59</f>
        <v>34.7222222222222</v>
      </c>
      <c r="M9" s="15" t="n">
        <f aca="false">J9-L9</f>
        <v>944.444444444446</v>
      </c>
      <c r="N9" s="15" t="n">
        <f aca="false">0</f>
        <v>0</v>
      </c>
      <c r="O9" s="15" t="n">
        <f aca="false">0</f>
        <v>0</v>
      </c>
      <c r="P9" s="15" t="n">
        <f aca="false">M9+N9-O9</f>
        <v>944.444444444446</v>
      </c>
      <c r="Q9" s="15" t="n">
        <f aca="false">SUM(P5:P9)+Parametri_v3!$C$56*5/12</f>
        <v>4791.66666666667</v>
      </c>
      <c r="R9" s="15" t="n">
        <f aca="false">0</f>
        <v>0</v>
      </c>
      <c r="S9" s="15" t="n">
        <f aca="false">0</f>
        <v>0</v>
      </c>
      <c r="T9" s="15" t="n">
        <f aca="false">MIN(R9,MAX(0,Q9))</f>
        <v>0</v>
      </c>
      <c r="U9" s="15" t="n">
        <f aca="false">MIN(S9,MAX(0,Q9-T9)*Parametri_v3!$C$42)</f>
        <v>0</v>
      </c>
      <c r="V9" s="15" t="n">
        <f aca="false">MAX(0,Q9-T9-U9)*Ipotesi!$C$92</f>
        <v>1150</v>
      </c>
      <c r="W9" s="15" t="n">
        <f aca="false">MAX(0,SUM(M5:M9)+Parametri_v3!$C$57*5/12)*Ipotesi!$C$93</f>
        <v>186.875</v>
      </c>
      <c r="X9" s="15" t="n">
        <f aca="false">V9+W9-(V8+W8)</f>
        <v>263.500000000001</v>
      </c>
      <c r="Y9" s="15" t="n">
        <f aca="false">P9-X9</f>
        <v>680.944444444445</v>
      </c>
      <c r="Z9" s="15" t="n">
        <f aca="false">R9-T9+IF(AND(Parametri_v3!$C$40=1,D9-YEAR(Parametri_v3!$C$50)&lt;Parametri_v3!$C$41),MAX(0,-Q9),0)</f>
        <v>0</v>
      </c>
      <c r="AA9" s="15" t="n">
        <f aca="false">S9-U9+IF(AND(Parametri_v3!$C$40=1,D9-YEAR(Parametri_v3!$C$50)&lt;Parametri_v3!$C$41),0,MAX(0,-Q9))</f>
        <v>0</v>
      </c>
      <c r="AB9" s="15" t="n">
        <f aca="false">F9*(1+Parametri_v3!$C$26)</f>
        <v>15250</v>
      </c>
      <c r="AC9" s="15" t="n">
        <f aca="false">(IF(5-(INT((Motore_Operativo!L9)/30))&lt;1,0,INDEX(Motore_Advisory!$AB$5:$AB$64,MAX(1,5-(INT((Motore_Operativo!L9)/30)))))*(1-(MOD((Motore_Operativo!L9),30)/30))+IF(5-(INT((Motore_Operativo!L9)/30))-1&lt;1,0,INDEX(Motore_Advisory!$AB$5:$AB$64,MAX(1,5-(INT((Motore_Operativo!L9)/30))-1)))*(MOD((Motore_Operativo!L9),30)/30))</f>
        <v>15250</v>
      </c>
      <c r="AD9" s="15" t="n">
        <f aca="false">(AD8)+AB9-AC9</f>
        <v>45750</v>
      </c>
      <c r="AE9" s="15" t="n">
        <f aca="false">Motore_Operativo!BH9*(1+Parametri_v3!$C$26)</f>
        <v>1525</v>
      </c>
      <c r="AF9" s="15" t="n">
        <f aca="false">(IF(5-(INT((Parametri_v3!$C$29)/30))&lt;1,0,INDEX(Motore_Operativo!$BH$5:$BH$64,MAX(1,5-(INT((Parametri_v3!$C$29)/30)))))*(1-(MOD((Parametri_v3!$C$29),30)/30))+IF(5-(INT((Parametri_v3!$C$29)/30))-1&lt;1,0,INDEX(Motore_Operativo!$BH$5:$BH$64,MAX(1,5-(INT((Parametri_v3!$C$29)/30))-1)))*(MOD((Parametri_v3!$C$29),30)/30))*(1+Parametri_v3!$C$26)</f>
        <v>1525</v>
      </c>
      <c r="AG9" s="15" t="n">
        <f aca="false">(AG8)+AE9-AF9</f>
        <v>1525</v>
      </c>
      <c r="AH9" s="15" t="n">
        <f aca="false">(Motore_Operativo!CK9)*(1+Parametri_v3!$C$28*Parametri_v3!$C$26)</f>
        <v>5904.5</v>
      </c>
      <c r="AI9" s="15" t="n">
        <f aca="false">(IF(5-(INT((Ipotesi!$C$91)/30))&lt;1,0,INDEX(Motore_Advisory!$AH$5:$AH$64,MAX(1,5-(INT((Ipotesi!$C$91)/30)))))*(1-(MOD((Ipotesi!$C$91),30)/30))+IF(5-(INT((Ipotesi!$C$91)/30))-1&lt;1,0,INDEX(Motore_Advisory!$AH$5:$AH$64,MAX(1,5-(INT((Ipotesi!$C$91)/30))-1)))*(MOD((Ipotesi!$C$91),30)/30))</f>
        <v>5904.5</v>
      </c>
      <c r="AJ9" s="15" t="n">
        <f aca="false">(AJ8)+AH9-AI9</f>
        <v>11809</v>
      </c>
      <c r="AK9" s="15" t="n">
        <f aca="false">(F9- Motore_Operativo!BH9-(Motore_Operativo!CK9)*Parametri_v3!$C$28-Motore_Operativo!CF9)*Parametri_v3!$C$26</f>
        <v>1536.33333333333</v>
      </c>
      <c r="AL9" s="15" t="n">
        <f aca="false">MAX(0,(AM8))</f>
        <v>1536.33333333333</v>
      </c>
      <c r="AM9" s="15" t="n">
        <f aca="false">(AM8)+AK9-AL9</f>
        <v>1536.33333333333</v>
      </c>
      <c r="AN9" s="15" t="n">
        <f aca="false">0</f>
        <v>0</v>
      </c>
      <c r="AO9" s="15" t="n">
        <f aca="false">0</f>
        <v>0</v>
      </c>
      <c r="AP9" s="15" t="n">
        <f aca="false">MAX(0,AN9)*IF(5=Parametri_v3!$C$43,Parametri_v3!$C$45,IF(5=Parametri_v3!$C$44,1-Parametri_v3!$C$45,0))</f>
        <v>0</v>
      </c>
      <c r="AQ9" s="15" t="n">
        <f aca="false">MAX(0,AP9+IF(5=Parametri_v3!$C$43,MAX(0,AN9-AO9),0)-MAX(0,-(AR8)))</f>
        <v>0</v>
      </c>
      <c r="AR9" s="15" t="n">
        <f aca="false">(AR8)+X9-AQ9</f>
        <v>1336.875</v>
      </c>
      <c r="AS9" s="15" t="n">
        <f aca="false">Motore_Operativo!AC9-AT9+AU9</f>
        <v>4987.5</v>
      </c>
      <c r="AT9" s="15" t="n">
        <f aca="false">Motore_Operativo!CI9</f>
        <v>262.5</v>
      </c>
      <c r="AU9" s="15" t="n">
        <f aca="false">MIN(MAX(0,(AV8)+AT9),Parametri_v3!$C$61/12)</f>
        <v>0</v>
      </c>
      <c r="AV9" s="15" t="n">
        <f aca="false">(AV8)+AT9-AU9</f>
        <v>1312.5</v>
      </c>
      <c r="AW9" s="15" t="n">
        <f aca="false">IF(AND(Motore_Operativo!C9=Finanziamenti!$D$7,Finanziamenti!$F$7=1),Finanziamenti!$C$7,0)</f>
        <v>0</v>
      </c>
      <c r="AX9" s="15" t="n">
        <f aca="false">0</f>
        <v>0</v>
      </c>
      <c r="AY9" s="15" t="n">
        <f aca="false">IF(5=Parametri_v3!$C$33,IF(BV9&lt;MIN(12,$B9-1),0,MIN(MAX(0,0)*Ipotesi!$C$94,MAX(0,(0)-(BO8)-BP9),MAX(0,BD9-Parametri_v3!$C$31))),0)</f>
        <v>0</v>
      </c>
      <c r="AZ9" s="15" t="n">
        <f aca="false">0</f>
        <v>0</v>
      </c>
      <c r="BA9" s="15" t="n">
        <f aca="false">0</f>
        <v>0</v>
      </c>
      <c r="BB9" s="15" t="n">
        <f aca="false">0</f>
        <v>0</v>
      </c>
      <c r="BC9" s="15" t="n">
        <f aca="false">0</f>
        <v>0</v>
      </c>
      <c r="BD9" s="15" t="n">
        <f aca="false">(BH8)+AC9-AF9-AI9-AS9-K9*(1+Parametri_v3!$C$26)-AL9-AQ9-O9+AW9+AX9+AZ9+BA9-BB9</f>
        <v>-5921.33333333333</v>
      </c>
      <c r="BE9" s="15" t="n">
        <f aca="false">0</f>
        <v>0</v>
      </c>
      <c r="BF9" s="15" t="n">
        <f aca="false">0</f>
        <v>0</v>
      </c>
      <c r="BG9" s="15" t="n">
        <f aca="false">0</f>
        <v>0</v>
      </c>
      <c r="BH9" s="15" t="n">
        <f aca="false">BD9+BE9-BF9-AY9</f>
        <v>-5921.33333333333</v>
      </c>
      <c r="BI9" s="15" t="n">
        <f aca="false">MAX(0,Parametri_v3!$C$31-BH9)</f>
        <v>15921.3333333333</v>
      </c>
      <c r="BJ9" s="15" t="n">
        <f aca="false">(BJ8)+K9</f>
        <v>1250</v>
      </c>
      <c r="BK9" s="15" t="n">
        <f aca="false">(BK8)+L9</f>
        <v>104.166666666667</v>
      </c>
      <c r="BL9" s="15" t="n">
        <f aca="false">BJ9-BK9</f>
        <v>1145.83333333333</v>
      </c>
      <c r="BM9" s="15" t="n">
        <f aca="false">(BM8)+Y9</f>
        <v>3454.79166666667</v>
      </c>
      <c r="BN9" s="15" t="n">
        <f aca="false">(BN8)+AW9+AX9+AZ9</f>
        <v>20000</v>
      </c>
      <c r="BO9" s="15" t="n">
        <f aca="false">(BO8)+AY9</f>
        <v>0</v>
      </c>
      <c r="BP9" s="15" t="n">
        <f aca="false">MIN(Parametri_v3!$C$36*Parametri_v3!$C$35,(BP8)+IF(5=1,MAX(0,0)*Parametri_v3!$C$34,0))</f>
        <v>0</v>
      </c>
      <c r="BQ9" s="15" t="n">
        <f aca="false">BN9+BM9-BO9</f>
        <v>23454.7916666667</v>
      </c>
      <c r="BR9" s="15" t="n">
        <f aca="false">BH9+AD9+BL9+MAX(0,-AM9)+MAX(0,-AR9)</f>
        <v>40974.5</v>
      </c>
      <c r="BS9" s="15" t="n">
        <f aca="false">AJ9+AV9+MAX(0,AM9)+MAX(0,AR9)+BC9+BG9+BQ9+AG9</f>
        <v>40974.5</v>
      </c>
      <c r="BT9" s="15" t="n">
        <f aca="false">BR9-BS9</f>
        <v>0</v>
      </c>
      <c r="BU9" s="15" t="n">
        <f aca="false">BH9-(BD9+BE9-BF9-AY9)</f>
        <v>0</v>
      </c>
      <c r="BV9" s="15" t="n">
        <f aca="false">IF(BH8&lt;Parametri_v3!$C$31,0,BV8+1)</f>
        <v>0</v>
      </c>
    </row>
    <row r="10" customFormat="false" ht="18" hidden="false" customHeight="true" outlineLevel="0" collapsed="false">
      <c r="A10" s="68" t="n">
        <f aca="false">1</f>
        <v>1</v>
      </c>
      <c r="B10" s="68" t="n">
        <f aca="false">6</f>
        <v>6</v>
      </c>
      <c r="C10" s="18" t="n">
        <f aca="false">Motore_Operativo!C10</f>
        <v>46539</v>
      </c>
      <c r="D10" s="68" t="n">
        <f aca="false">Motore_Operativo!D10</f>
        <v>2027</v>
      </c>
      <c r="E10" s="68" t="n">
        <f aca="false">Motore_Operativo!E10</f>
        <v>6</v>
      </c>
      <c r="F10" s="15" t="n">
        <f aca="false">Motore_Operativo!AM10</f>
        <v>12500</v>
      </c>
      <c r="G10" s="15" t="n">
        <f aca="false">Motore_Operativo!BH10</f>
        <v>1250</v>
      </c>
      <c r="H10" s="15" t="n">
        <f aca="false">Motore_Operativo!AM10</f>
        <v>12500</v>
      </c>
      <c r="I10" s="15" t="n">
        <f aca="false">Motore_Operativo!CB10</f>
        <v>11520.8333333333</v>
      </c>
      <c r="J10" s="15" t="n">
        <f aca="false">Motore_Operativo!CD10</f>
        <v>979.166666666668</v>
      </c>
      <c r="K10" s="15" t="n">
        <f aca="false">Motore_Operativo!CF10</f>
        <v>250</v>
      </c>
      <c r="L10" s="15" t="n">
        <f aca="false">SUM(INDEX($K$5:$K$64,MAX(1,6-Parametri_v3!$C$59+1)):K10)/Parametri_v3!$C$59</f>
        <v>41.6666666666667</v>
      </c>
      <c r="M10" s="15" t="n">
        <f aca="false">J10-L10</f>
        <v>937.500000000001</v>
      </c>
      <c r="N10" s="15" t="n">
        <f aca="false">0</f>
        <v>0</v>
      </c>
      <c r="O10" s="15" t="n">
        <f aca="false">0</f>
        <v>0</v>
      </c>
      <c r="P10" s="15" t="n">
        <f aca="false">M10+N10-O10</f>
        <v>937.500000000001</v>
      </c>
      <c r="Q10" s="15" t="n">
        <f aca="false">SUM(P5:P10)+Parametri_v3!$C$56*6/12</f>
        <v>5729.16666666667</v>
      </c>
      <c r="R10" s="15" t="n">
        <f aca="false">0</f>
        <v>0</v>
      </c>
      <c r="S10" s="15" t="n">
        <f aca="false">0</f>
        <v>0</v>
      </c>
      <c r="T10" s="15" t="n">
        <f aca="false">MIN(R10,MAX(0,Q10))</f>
        <v>0</v>
      </c>
      <c r="U10" s="15" t="n">
        <f aca="false">MIN(S10,MAX(0,Q10-T10)*Parametri_v3!$C$42)</f>
        <v>0</v>
      </c>
      <c r="V10" s="15" t="n">
        <f aca="false">MAX(0,Q10-T10-U10)*Ipotesi!$C$92</f>
        <v>1375</v>
      </c>
      <c r="W10" s="15" t="n">
        <f aca="false">MAX(0,SUM(M5:M10)+Parametri_v3!$C$57*6/12)*Ipotesi!$C$93</f>
        <v>223.4375</v>
      </c>
      <c r="X10" s="15" t="n">
        <f aca="false">V10+W10-(V9+W9)</f>
        <v>261.5625</v>
      </c>
      <c r="Y10" s="15" t="n">
        <f aca="false">P10-X10</f>
        <v>675.937500000001</v>
      </c>
      <c r="Z10" s="15" t="n">
        <f aca="false">R10-T10+IF(AND(Parametri_v3!$C$40=1,D10-YEAR(Parametri_v3!$C$50)&lt;Parametri_v3!$C$41),MAX(0,-Q10),0)</f>
        <v>0</v>
      </c>
      <c r="AA10" s="15" t="n">
        <f aca="false">S10-U10+IF(AND(Parametri_v3!$C$40=1,D10-YEAR(Parametri_v3!$C$50)&lt;Parametri_v3!$C$41),0,MAX(0,-Q10))</f>
        <v>0</v>
      </c>
      <c r="AB10" s="15" t="n">
        <f aca="false">F10*(1+Parametri_v3!$C$26)</f>
        <v>15250</v>
      </c>
      <c r="AC10" s="15" t="n">
        <f aca="false">(IF(6-(INT((Motore_Operativo!L10)/30))&lt;1,0,INDEX(Motore_Advisory!$AB$5:$AB$64,MAX(1,6-(INT((Motore_Operativo!L10)/30)))))*(1-(MOD((Motore_Operativo!L10),30)/30))+IF(6-(INT((Motore_Operativo!L10)/30))-1&lt;1,0,INDEX(Motore_Advisory!$AB$5:$AB$64,MAX(1,6-(INT((Motore_Operativo!L10)/30))-1)))*(MOD((Motore_Operativo!L10),30)/30))</f>
        <v>15250</v>
      </c>
      <c r="AD10" s="15" t="n">
        <f aca="false">(AD9)+AB10-AC10</f>
        <v>45750</v>
      </c>
      <c r="AE10" s="15" t="n">
        <f aca="false">Motore_Operativo!BH10*(1+Parametri_v3!$C$26)</f>
        <v>1525</v>
      </c>
      <c r="AF10" s="15" t="n">
        <f aca="false">(IF(6-(INT((Parametri_v3!$C$29)/30))&lt;1,0,INDEX(Motore_Operativo!$BH$5:$BH$64,MAX(1,6-(INT((Parametri_v3!$C$29)/30)))))*(1-(MOD((Parametri_v3!$C$29),30)/30))+IF(6-(INT((Parametri_v3!$C$29)/30))-1&lt;1,0,INDEX(Motore_Operativo!$BH$5:$BH$64,MAX(1,6-(INT((Parametri_v3!$C$29)/30))-1)))*(MOD((Parametri_v3!$C$29),30)/30))*(1+Parametri_v3!$C$26)</f>
        <v>1525</v>
      </c>
      <c r="AG10" s="15" t="n">
        <f aca="false">(AG9)+AE10-AF10</f>
        <v>1525</v>
      </c>
      <c r="AH10" s="15" t="n">
        <f aca="false">(Motore_Operativo!CK10)*(1+Parametri_v3!$C$28*Parametri_v3!$C$26)</f>
        <v>5904.5</v>
      </c>
      <c r="AI10" s="15" t="n">
        <f aca="false">(IF(6-(INT((Ipotesi!$C$91)/30))&lt;1,0,INDEX(Motore_Advisory!$AH$5:$AH$64,MAX(1,6-(INT((Ipotesi!$C$91)/30)))))*(1-(MOD((Ipotesi!$C$91),30)/30))+IF(6-(INT((Ipotesi!$C$91)/30))-1&lt;1,0,INDEX(Motore_Advisory!$AH$5:$AH$64,MAX(1,6-(INT((Ipotesi!$C$91)/30))-1)))*(MOD((Ipotesi!$C$91),30)/30))</f>
        <v>5904.5</v>
      </c>
      <c r="AJ10" s="15" t="n">
        <f aca="false">(AJ9)+AH10-AI10</f>
        <v>11809</v>
      </c>
      <c r="AK10" s="15" t="n">
        <f aca="false">(F10- Motore_Operativo!BH10-(Motore_Operativo!CK10)*Parametri_v3!$C$28-Motore_Operativo!CF10)*Parametri_v3!$C$26</f>
        <v>1536.33333333333</v>
      </c>
      <c r="AL10" s="15" t="n">
        <f aca="false">MAX(0,(AM9))</f>
        <v>1536.33333333333</v>
      </c>
      <c r="AM10" s="15" t="n">
        <f aca="false">(AM9)+AK10-AL10</f>
        <v>1536.33333333333</v>
      </c>
      <c r="AN10" s="15" t="n">
        <f aca="false">0</f>
        <v>0</v>
      </c>
      <c r="AO10" s="15" t="n">
        <f aca="false">0</f>
        <v>0</v>
      </c>
      <c r="AP10" s="15" t="n">
        <f aca="false">MAX(0,AN10)*IF(6=Parametri_v3!$C$43,Parametri_v3!$C$45,IF(6=Parametri_v3!$C$44,1-Parametri_v3!$C$45,0))</f>
        <v>0</v>
      </c>
      <c r="AQ10" s="15" t="n">
        <f aca="false">MAX(0,AP10+IF(6=Parametri_v3!$C$43,MAX(0,AN10-AO10),0)-MAX(0,-(AR9)))</f>
        <v>0</v>
      </c>
      <c r="AR10" s="15" t="n">
        <f aca="false">(AR9)+X10-AQ10</f>
        <v>1598.4375</v>
      </c>
      <c r="AS10" s="15" t="n">
        <f aca="false">Motore_Operativo!AC10-AT10+AU10</f>
        <v>4987.5</v>
      </c>
      <c r="AT10" s="15" t="n">
        <f aca="false">Motore_Operativo!CI10</f>
        <v>262.5</v>
      </c>
      <c r="AU10" s="15" t="n">
        <f aca="false">MIN(MAX(0,(AV9)+AT10),Parametri_v3!$C$61/12)</f>
        <v>0</v>
      </c>
      <c r="AV10" s="15" t="n">
        <f aca="false">(AV9)+AT10-AU10</f>
        <v>1575</v>
      </c>
      <c r="AW10" s="15" t="n">
        <f aca="false">IF(AND(Motore_Operativo!C10=Finanziamenti!$D$7,Finanziamenti!$F$7=1),Finanziamenti!$C$7,0)</f>
        <v>0</v>
      </c>
      <c r="AX10" s="15" t="n">
        <f aca="false">0</f>
        <v>0</v>
      </c>
      <c r="AY10" s="15" t="n">
        <f aca="false">IF(6=Parametri_v3!$C$33,IF(BV10&lt;MIN(12,$B10-1),0,MIN(MAX(0,0)*Ipotesi!$C$94,MAX(0,(0)-(BO9)-BP10),MAX(0,BD10-Parametri_v3!$C$31))),0)</f>
        <v>0</v>
      </c>
      <c r="AZ10" s="15" t="n">
        <f aca="false">0</f>
        <v>0</v>
      </c>
      <c r="BA10" s="15" t="n">
        <f aca="false">0</f>
        <v>0</v>
      </c>
      <c r="BB10" s="15" t="n">
        <f aca="false">0</f>
        <v>0</v>
      </c>
      <c r="BC10" s="15" t="n">
        <f aca="false">0</f>
        <v>0</v>
      </c>
      <c r="BD10" s="15" t="n">
        <f aca="false">(BH9)+AC10-AF10-AI10-AS10-K10*(1+Parametri_v3!$C$26)-AL10-AQ10-O10+AW10+AX10+AZ10+BA10-BB10</f>
        <v>-4929.66666666666</v>
      </c>
      <c r="BE10" s="15" t="n">
        <f aca="false">0</f>
        <v>0</v>
      </c>
      <c r="BF10" s="15" t="n">
        <f aca="false">0</f>
        <v>0</v>
      </c>
      <c r="BG10" s="15" t="n">
        <f aca="false">0</f>
        <v>0</v>
      </c>
      <c r="BH10" s="15" t="n">
        <f aca="false">BD10+BE10-BF10-AY10</f>
        <v>-4929.66666666666</v>
      </c>
      <c r="BI10" s="15" t="n">
        <f aca="false">MAX(0,Parametri_v3!$C$31-BH10)</f>
        <v>14929.6666666667</v>
      </c>
      <c r="BJ10" s="15" t="n">
        <f aca="false">(BJ9)+K10</f>
        <v>1500</v>
      </c>
      <c r="BK10" s="15" t="n">
        <f aca="false">(BK9)+L10</f>
        <v>145.833333333333</v>
      </c>
      <c r="BL10" s="15" t="n">
        <f aca="false">BJ10-BK10</f>
        <v>1354.16666666667</v>
      </c>
      <c r="BM10" s="15" t="n">
        <f aca="false">(BM9)+Y10</f>
        <v>4130.72916666667</v>
      </c>
      <c r="BN10" s="15" t="n">
        <f aca="false">(BN9)+AW10+AX10+AZ10</f>
        <v>20000</v>
      </c>
      <c r="BO10" s="15" t="n">
        <f aca="false">(BO9)+AY10</f>
        <v>0</v>
      </c>
      <c r="BP10" s="15" t="n">
        <f aca="false">MIN(Parametri_v3!$C$36*Parametri_v3!$C$35,(BP9)+IF(6=1,MAX(0,0)*Parametri_v3!$C$34,0))</f>
        <v>0</v>
      </c>
      <c r="BQ10" s="15" t="n">
        <f aca="false">BN10+BM10-BO10</f>
        <v>24130.7291666667</v>
      </c>
      <c r="BR10" s="15" t="n">
        <f aca="false">BH10+AD10+BL10+MAX(0,-AM10)+MAX(0,-AR10)</f>
        <v>42174.5</v>
      </c>
      <c r="BS10" s="15" t="n">
        <f aca="false">AJ10+AV10+MAX(0,AM10)+MAX(0,AR10)+BC10+BG10+BQ10+AG10</f>
        <v>42174.5</v>
      </c>
      <c r="BT10" s="15" t="n">
        <f aca="false">BR10-BS10</f>
        <v>0</v>
      </c>
      <c r="BU10" s="15" t="n">
        <f aca="false">BH10-(BD10+BE10-BF10-AY10)</f>
        <v>0</v>
      </c>
      <c r="BV10" s="15" t="n">
        <f aca="false">IF(BH9&lt;Parametri_v3!$C$31,0,BV9+1)</f>
        <v>0</v>
      </c>
    </row>
    <row r="11" customFormat="false" ht="18" hidden="false" customHeight="true" outlineLevel="0" collapsed="false">
      <c r="A11" s="68" t="n">
        <f aca="false">1</f>
        <v>1</v>
      </c>
      <c r="B11" s="68" t="n">
        <f aca="false">7</f>
        <v>7</v>
      </c>
      <c r="C11" s="18" t="n">
        <f aca="false">Motore_Operativo!C11</f>
        <v>46569</v>
      </c>
      <c r="D11" s="68" t="n">
        <f aca="false">Motore_Operativo!D11</f>
        <v>2027</v>
      </c>
      <c r="E11" s="68" t="n">
        <f aca="false">Motore_Operativo!E11</f>
        <v>7</v>
      </c>
      <c r="F11" s="15" t="n">
        <f aca="false">Motore_Operativo!AM11</f>
        <v>12500</v>
      </c>
      <c r="G11" s="15" t="n">
        <f aca="false">Motore_Operativo!BH11</f>
        <v>1250</v>
      </c>
      <c r="H11" s="15" t="n">
        <f aca="false">Motore_Operativo!AM11</f>
        <v>12500</v>
      </c>
      <c r="I11" s="15" t="n">
        <f aca="false">Motore_Operativo!CB11</f>
        <v>11520.8333333333</v>
      </c>
      <c r="J11" s="15" t="n">
        <f aca="false">Motore_Operativo!CD11</f>
        <v>979.166666666668</v>
      </c>
      <c r="K11" s="15" t="n">
        <f aca="false">Motore_Operativo!CF11</f>
        <v>250</v>
      </c>
      <c r="L11" s="15" t="n">
        <f aca="false">SUM(INDEX($K$5:$K$64,MAX(1,7-Parametri_v3!$C$59+1)):K11)/Parametri_v3!$C$59</f>
        <v>48.6111111111111</v>
      </c>
      <c r="M11" s="15" t="n">
        <f aca="false">J11-L11</f>
        <v>930.555555555557</v>
      </c>
      <c r="N11" s="15" t="n">
        <f aca="false">0</f>
        <v>0</v>
      </c>
      <c r="O11" s="15" t="n">
        <f aca="false">0</f>
        <v>0</v>
      </c>
      <c r="P11" s="15" t="n">
        <f aca="false">M11+N11-O11</f>
        <v>930.555555555557</v>
      </c>
      <c r="Q11" s="15" t="n">
        <f aca="false">SUM(P5:P11)+Parametri_v3!$C$56*7/12</f>
        <v>6659.72222222223</v>
      </c>
      <c r="R11" s="15" t="n">
        <f aca="false">0</f>
        <v>0</v>
      </c>
      <c r="S11" s="15" t="n">
        <f aca="false">0</f>
        <v>0</v>
      </c>
      <c r="T11" s="15" t="n">
        <f aca="false">MIN(R11,MAX(0,Q11))</f>
        <v>0</v>
      </c>
      <c r="U11" s="15" t="n">
        <f aca="false">MIN(S11,MAX(0,Q11-T11)*Parametri_v3!$C$42)</f>
        <v>0</v>
      </c>
      <c r="V11" s="15" t="n">
        <f aca="false">MAX(0,Q11-T11-U11)*Ipotesi!$C$92</f>
        <v>1598.33333333334</v>
      </c>
      <c r="W11" s="15" t="n">
        <f aca="false">MAX(0,SUM(M5:M11)+Parametri_v3!$C$57*7/12)*Ipotesi!$C$93</f>
        <v>259.729166666667</v>
      </c>
      <c r="X11" s="15" t="n">
        <f aca="false">V11+W11-(V10+W10)</f>
        <v>259.625</v>
      </c>
      <c r="Y11" s="15" t="n">
        <f aca="false">P11-X11</f>
        <v>670.930555555556</v>
      </c>
      <c r="Z11" s="15" t="n">
        <f aca="false">R11-T11+IF(AND(Parametri_v3!$C$40=1,D11-YEAR(Parametri_v3!$C$50)&lt;Parametri_v3!$C$41),MAX(0,-Q11),0)</f>
        <v>0</v>
      </c>
      <c r="AA11" s="15" t="n">
        <f aca="false">S11-U11+IF(AND(Parametri_v3!$C$40=1,D11-YEAR(Parametri_v3!$C$50)&lt;Parametri_v3!$C$41),0,MAX(0,-Q11))</f>
        <v>0</v>
      </c>
      <c r="AB11" s="15" t="n">
        <f aca="false">F11*(1+Parametri_v3!$C$26)</f>
        <v>15250</v>
      </c>
      <c r="AC11" s="15" t="n">
        <f aca="false">(IF(7-(INT((Motore_Operativo!L11)/30))&lt;1,0,INDEX(Motore_Advisory!$AB$5:$AB$64,MAX(1,7-(INT((Motore_Operativo!L11)/30)))))*(1-(MOD((Motore_Operativo!L11),30)/30))+IF(7-(INT((Motore_Operativo!L11)/30))-1&lt;1,0,INDEX(Motore_Advisory!$AB$5:$AB$64,MAX(1,7-(INT((Motore_Operativo!L11)/30))-1)))*(MOD((Motore_Operativo!L11),30)/30))</f>
        <v>15250</v>
      </c>
      <c r="AD11" s="15" t="n">
        <f aca="false">(AD10)+AB11-AC11</f>
        <v>45750</v>
      </c>
      <c r="AE11" s="15" t="n">
        <f aca="false">Motore_Operativo!BH11*(1+Parametri_v3!$C$26)</f>
        <v>1525</v>
      </c>
      <c r="AF11" s="15" t="n">
        <f aca="false">(IF(7-(INT((Parametri_v3!$C$29)/30))&lt;1,0,INDEX(Motore_Operativo!$BH$5:$BH$64,MAX(1,7-(INT((Parametri_v3!$C$29)/30)))))*(1-(MOD((Parametri_v3!$C$29),30)/30))+IF(7-(INT((Parametri_v3!$C$29)/30))-1&lt;1,0,INDEX(Motore_Operativo!$BH$5:$BH$64,MAX(1,7-(INT((Parametri_v3!$C$29)/30))-1)))*(MOD((Parametri_v3!$C$29),30)/30))*(1+Parametri_v3!$C$26)</f>
        <v>1525</v>
      </c>
      <c r="AG11" s="15" t="n">
        <f aca="false">(AG10)+AE11-AF11</f>
        <v>1525</v>
      </c>
      <c r="AH11" s="15" t="n">
        <f aca="false">(Motore_Operativo!CK11)*(1+Parametri_v3!$C$28*Parametri_v3!$C$26)</f>
        <v>5904.5</v>
      </c>
      <c r="AI11" s="15" t="n">
        <f aca="false">(IF(7-(INT((Ipotesi!$C$91)/30))&lt;1,0,INDEX(Motore_Advisory!$AH$5:$AH$64,MAX(1,7-(INT((Ipotesi!$C$91)/30)))))*(1-(MOD((Ipotesi!$C$91),30)/30))+IF(7-(INT((Ipotesi!$C$91)/30))-1&lt;1,0,INDEX(Motore_Advisory!$AH$5:$AH$64,MAX(1,7-(INT((Ipotesi!$C$91)/30))-1)))*(MOD((Ipotesi!$C$91),30)/30))</f>
        <v>5904.5</v>
      </c>
      <c r="AJ11" s="15" t="n">
        <f aca="false">(AJ10)+AH11-AI11</f>
        <v>11809</v>
      </c>
      <c r="AK11" s="15" t="n">
        <f aca="false">(F11- Motore_Operativo!BH11-(Motore_Operativo!CK11)*Parametri_v3!$C$28-Motore_Operativo!CF11)*Parametri_v3!$C$26</f>
        <v>1536.33333333333</v>
      </c>
      <c r="AL11" s="15" t="n">
        <f aca="false">MAX(0,(AM10))</f>
        <v>1536.33333333333</v>
      </c>
      <c r="AM11" s="15" t="n">
        <f aca="false">(AM10)+AK11-AL11</f>
        <v>1536.33333333333</v>
      </c>
      <c r="AN11" s="15" t="n">
        <f aca="false">0</f>
        <v>0</v>
      </c>
      <c r="AO11" s="15" t="n">
        <f aca="false">0</f>
        <v>0</v>
      </c>
      <c r="AP11" s="15" t="n">
        <f aca="false">MAX(0,AN11)*IF(7=Parametri_v3!$C$43,Parametri_v3!$C$45,IF(7=Parametri_v3!$C$44,1-Parametri_v3!$C$45,0))</f>
        <v>0</v>
      </c>
      <c r="AQ11" s="15" t="n">
        <f aca="false">MAX(0,AP11+IF(7=Parametri_v3!$C$43,MAX(0,AN11-AO11),0)-MAX(0,-(AR10)))</f>
        <v>0</v>
      </c>
      <c r="AR11" s="15" t="n">
        <f aca="false">(AR10)+X11-AQ11</f>
        <v>1858.0625</v>
      </c>
      <c r="AS11" s="15" t="n">
        <f aca="false">Motore_Operativo!AC11-AT11+AU11</f>
        <v>4987.5</v>
      </c>
      <c r="AT11" s="15" t="n">
        <f aca="false">Motore_Operativo!CI11</f>
        <v>262.5</v>
      </c>
      <c r="AU11" s="15" t="n">
        <f aca="false">MIN(MAX(0,(AV10)+AT11),Parametri_v3!$C$61/12)</f>
        <v>0</v>
      </c>
      <c r="AV11" s="15" t="n">
        <f aca="false">(AV10)+AT11-AU11</f>
        <v>1837.5</v>
      </c>
      <c r="AW11" s="15" t="n">
        <f aca="false">IF(AND(Motore_Operativo!C11=Finanziamenti!$D$7,Finanziamenti!$F$7=1),Finanziamenti!$C$7,0)</f>
        <v>0</v>
      </c>
      <c r="AX11" s="15" t="n">
        <f aca="false">0</f>
        <v>0</v>
      </c>
      <c r="AY11" s="15" t="n">
        <f aca="false">IF(7=Parametri_v3!$C$33,IF(BV11&lt;MIN(12,$B11-1),0,MIN(MAX(0,0)*Ipotesi!$C$94,MAX(0,(0)-(BO10)-BP11),MAX(0,BD11-Parametri_v3!$C$31))),0)</f>
        <v>0</v>
      </c>
      <c r="AZ11" s="15" t="n">
        <f aca="false">0</f>
        <v>0</v>
      </c>
      <c r="BA11" s="15" t="n">
        <f aca="false">0</f>
        <v>0</v>
      </c>
      <c r="BB11" s="15" t="n">
        <f aca="false">0</f>
        <v>0</v>
      </c>
      <c r="BC11" s="15" t="n">
        <f aca="false">0</f>
        <v>0</v>
      </c>
      <c r="BD11" s="15" t="n">
        <f aca="false">(BH10)+AC11-AF11-AI11-AS11-K11*(1+Parametri_v3!$C$26)-AL11-AQ11-O11+AW11+AX11+AZ11+BA11-BB11</f>
        <v>-3937.99999999999</v>
      </c>
      <c r="BE11" s="15" t="n">
        <f aca="false">0</f>
        <v>0</v>
      </c>
      <c r="BF11" s="15" t="n">
        <f aca="false">0</f>
        <v>0</v>
      </c>
      <c r="BG11" s="15" t="n">
        <f aca="false">0</f>
        <v>0</v>
      </c>
      <c r="BH11" s="15" t="n">
        <f aca="false">BD11+BE11-BF11-AY11</f>
        <v>-3937.99999999999</v>
      </c>
      <c r="BI11" s="15" t="n">
        <f aca="false">MAX(0,Parametri_v3!$C$31-BH11)</f>
        <v>13938</v>
      </c>
      <c r="BJ11" s="15" t="n">
        <f aca="false">(BJ10)+K11</f>
        <v>1750</v>
      </c>
      <c r="BK11" s="15" t="n">
        <f aca="false">(BK10)+L11</f>
        <v>194.444444444444</v>
      </c>
      <c r="BL11" s="15" t="n">
        <f aca="false">BJ11-BK11</f>
        <v>1555.55555555556</v>
      </c>
      <c r="BM11" s="15" t="n">
        <f aca="false">(BM10)+Y11</f>
        <v>4801.65972222223</v>
      </c>
      <c r="BN11" s="15" t="n">
        <f aca="false">(BN10)+AW11+AX11+AZ11</f>
        <v>20000</v>
      </c>
      <c r="BO11" s="15" t="n">
        <f aca="false">(BO10)+AY11</f>
        <v>0</v>
      </c>
      <c r="BP11" s="15" t="n">
        <f aca="false">MIN(Parametri_v3!$C$36*Parametri_v3!$C$35,(BP10)+IF(7=1,MAX(0,0)*Parametri_v3!$C$34,0))</f>
        <v>0</v>
      </c>
      <c r="BQ11" s="15" t="n">
        <f aca="false">BN11+BM11-BO11</f>
        <v>24801.6597222222</v>
      </c>
      <c r="BR11" s="15" t="n">
        <f aca="false">BH11+AD11+BL11+MAX(0,-AM11)+MAX(0,-AR11)</f>
        <v>43367.5555555556</v>
      </c>
      <c r="BS11" s="15" t="n">
        <f aca="false">AJ11+AV11+MAX(0,AM11)+MAX(0,AR11)+BC11+BG11+BQ11+AG11</f>
        <v>43367.5555555556</v>
      </c>
      <c r="BT11" s="15" t="n">
        <f aca="false">BR11-BS11</f>
        <v>0</v>
      </c>
      <c r="BU11" s="15" t="n">
        <f aca="false">BH11-(BD11+BE11-BF11-AY11)</f>
        <v>0</v>
      </c>
      <c r="BV11" s="15" t="n">
        <f aca="false">IF(BH10&lt;Parametri_v3!$C$31,0,BV10+1)</f>
        <v>0</v>
      </c>
    </row>
    <row r="12" customFormat="false" ht="18" hidden="false" customHeight="true" outlineLevel="0" collapsed="false">
      <c r="A12" s="68" t="n">
        <f aca="false">1</f>
        <v>1</v>
      </c>
      <c r="B12" s="68" t="n">
        <f aca="false">8</f>
        <v>8</v>
      </c>
      <c r="C12" s="18" t="n">
        <f aca="false">Motore_Operativo!C12</f>
        <v>46600</v>
      </c>
      <c r="D12" s="68" t="n">
        <f aca="false">Motore_Operativo!D12</f>
        <v>2027</v>
      </c>
      <c r="E12" s="68" t="n">
        <f aca="false">Motore_Operativo!E12</f>
        <v>8</v>
      </c>
      <c r="F12" s="15" t="n">
        <f aca="false">Motore_Operativo!AM12</f>
        <v>12500</v>
      </c>
      <c r="G12" s="15" t="n">
        <f aca="false">Motore_Operativo!BH12</f>
        <v>1250</v>
      </c>
      <c r="H12" s="15" t="n">
        <f aca="false">Motore_Operativo!AM12</f>
        <v>12500</v>
      </c>
      <c r="I12" s="15" t="n">
        <f aca="false">Motore_Operativo!CB12</f>
        <v>11520.8333333333</v>
      </c>
      <c r="J12" s="15" t="n">
        <f aca="false">Motore_Operativo!CD12</f>
        <v>979.166666666668</v>
      </c>
      <c r="K12" s="15" t="n">
        <f aca="false">Motore_Operativo!CF12</f>
        <v>250</v>
      </c>
      <c r="L12" s="15" t="n">
        <f aca="false">SUM(INDEX($K$5:$K$64,MAX(1,8-Parametri_v3!$C$59+1)):K12)/Parametri_v3!$C$59</f>
        <v>55.5555555555556</v>
      </c>
      <c r="M12" s="15" t="n">
        <f aca="false">J12-L12</f>
        <v>923.611111111112</v>
      </c>
      <c r="N12" s="15" t="n">
        <f aca="false">0</f>
        <v>0</v>
      </c>
      <c r="O12" s="15" t="n">
        <f aca="false">0</f>
        <v>0</v>
      </c>
      <c r="P12" s="15" t="n">
        <f aca="false">M12+N12-O12</f>
        <v>923.611111111112</v>
      </c>
      <c r="Q12" s="15" t="n">
        <f aca="false">SUM(P5:P12)+Parametri_v3!$C$56*8/12</f>
        <v>7583.33333333334</v>
      </c>
      <c r="R12" s="15" t="n">
        <f aca="false">0</f>
        <v>0</v>
      </c>
      <c r="S12" s="15" t="n">
        <f aca="false">0</f>
        <v>0</v>
      </c>
      <c r="T12" s="15" t="n">
        <f aca="false">MIN(R12,MAX(0,Q12))</f>
        <v>0</v>
      </c>
      <c r="U12" s="15" t="n">
        <f aca="false">MIN(S12,MAX(0,Q12-T12)*Parametri_v3!$C$42)</f>
        <v>0</v>
      </c>
      <c r="V12" s="15" t="n">
        <f aca="false">MAX(0,Q12-T12-U12)*Ipotesi!$C$92</f>
        <v>1820</v>
      </c>
      <c r="W12" s="15" t="n">
        <f aca="false">MAX(0,SUM(M5:M12)+Parametri_v3!$C$57*8/12)*Ipotesi!$C$93</f>
        <v>295.75</v>
      </c>
      <c r="X12" s="15" t="n">
        <f aca="false">V12+W12-(V11+W11)</f>
        <v>257.6875</v>
      </c>
      <c r="Y12" s="15" t="n">
        <f aca="false">P12-X12</f>
        <v>665.923611111112</v>
      </c>
      <c r="Z12" s="15" t="n">
        <f aca="false">R12-T12+IF(AND(Parametri_v3!$C$40=1,D12-YEAR(Parametri_v3!$C$50)&lt;Parametri_v3!$C$41),MAX(0,-Q12),0)</f>
        <v>0</v>
      </c>
      <c r="AA12" s="15" t="n">
        <f aca="false">S12-U12+IF(AND(Parametri_v3!$C$40=1,D12-YEAR(Parametri_v3!$C$50)&lt;Parametri_v3!$C$41),0,MAX(0,-Q12))</f>
        <v>0</v>
      </c>
      <c r="AB12" s="15" t="n">
        <f aca="false">F12*(1+Parametri_v3!$C$26)</f>
        <v>15250</v>
      </c>
      <c r="AC12" s="15" t="n">
        <f aca="false">(IF(8-(INT((Motore_Operativo!L12)/30))&lt;1,0,INDEX(Motore_Advisory!$AB$5:$AB$64,MAX(1,8-(INT((Motore_Operativo!L12)/30)))))*(1-(MOD((Motore_Operativo!L12),30)/30))+IF(8-(INT((Motore_Operativo!L12)/30))-1&lt;1,0,INDEX(Motore_Advisory!$AB$5:$AB$64,MAX(1,8-(INT((Motore_Operativo!L12)/30))-1)))*(MOD((Motore_Operativo!L12),30)/30))</f>
        <v>15250</v>
      </c>
      <c r="AD12" s="15" t="n">
        <f aca="false">(AD11)+AB12-AC12</f>
        <v>45750</v>
      </c>
      <c r="AE12" s="15" t="n">
        <f aca="false">Motore_Operativo!BH12*(1+Parametri_v3!$C$26)</f>
        <v>1525</v>
      </c>
      <c r="AF12" s="15" t="n">
        <f aca="false">(IF(8-(INT((Parametri_v3!$C$29)/30))&lt;1,0,INDEX(Motore_Operativo!$BH$5:$BH$64,MAX(1,8-(INT((Parametri_v3!$C$29)/30)))))*(1-(MOD((Parametri_v3!$C$29),30)/30))+IF(8-(INT((Parametri_v3!$C$29)/30))-1&lt;1,0,INDEX(Motore_Operativo!$BH$5:$BH$64,MAX(1,8-(INT((Parametri_v3!$C$29)/30))-1)))*(MOD((Parametri_v3!$C$29),30)/30))*(1+Parametri_v3!$C$26)</f>
        <v>1525</v>
      </c>
      <c r="AG12" s="15" t="n">
        <f aca="false">(AG11)+AE12-AF12</f>
        <v>1525</v>
      </c>
      <c r="AH12" s="15" t="n">
        <f aca="false">(Motore_Operativo!CK12)*(1+Parametri_v3!$C$28*Parametri_v3!$C$26)</f>
        <v>5904.5</v>
      </c>
      <c r="AI12" s="15" t="n">
        <f aca="false">(IF(8-(INT((Ipotesi!$C$91)/30))&lt;1,0,INDEX(Motore_Advisory!$AH$5:$AH$64,MAX(1,8-(INT((Ipotesi!$C$91)/30)))))*(1-(MOD((Ipotesi!$C$91),30)/30))+IF(8-(INT((Ipotesi!$C$91)/30))-1&lt;1,0,INDEX(Motore_Advisory!$AH$5:$AH$64,MAX(1,8-(INT((Ipotesi!$C$91)/30))-1)))*(MOD((Ipotesi!$C$91),30)/30))</f>
        <v>5904.5</v>
      </c>
      <c r="AJ12" s="15" t="n">
        <f aca="false">(AJ11)+AH12-AI12</f>
        <v>11809</v>
      </c>
      <c r="AK12" s="15" t="n">
        <f aca="false">(F12- Motore_Operativo!BH12-(Motore_Operativo!CK12)*Parametri_v3!$C$28-Motore_Operativo!CF12)*Parametri_v3!$C$26</f>
        <v>1536.33333333333</v>
      </c>
      <c r="AL12" s="15" t="n">
        <f aca="false">MAX(0,(AM11))</f>
        <v>1536.33333333333</v>
      </c>
      <c r="AM12" s="15" t="n">
        <f aca="false">(AM11)+AK12-AL12</f>
        <v>1536.33333333333</v>
      </c>
      <c r="AN12" s="15" t="n">
        <f aca="false">0</f>
        <v>0</v>
      </c>
      <c r="AO12" s="15" t="n">
        <f aca="false">0</f>
        <v>0</v>
      </c>
      <c r="AP12" s="15" t="n">
        <f aca="false">MAX(0,AN12)*IF(8=Parametri_v3!$C$43,Parametri_v3!$C$45,IF(8=Parametri_v3!$C$44,1-Parametri_v3!$C$45,0))</f>
        <v>0</v>
      </c>
      <c r="AQ12" s="15" t="n">
        <f aca="false">MAX(0,AP12+IF(8=Parametri_v3!$C$43,MAX(0,AN12-AO12),0)-MAX(0,-(AR11)))</f>
        <v>0</v>
      </c>
      <c r="AR12" s="15" t="n">
        <f aca="false">(AR11)+X12-AQ12</f>
        <v>2115.75</v>
      </c>
      <c r="AS12" s="15" t="n">
        <f aca="false">Motore_Operativo!AC12-AT12+AU12</f>
        <v>4987.5</v>
      </c>
      <c r="AT12" s="15" t="n">
        <f aca="false">Motore_Operativo!CI12</f>
        <v>262.5</v>
      </c>
      <c r="AU12" s="15" t="n">
        <f aca="false">MIN(MAX(0,(AV11)+AT12),Parametri_v3!$C$61/12)</f>
        <v>0</v>
      </c>
      <c r="AV12" s="15" t="n">
        <f aca="false">(AV11)+AT12-AU12</f>
        <v>2100</v>
      </c>
      <c r="AW12" s="15" t="n">
        <f aca="false">IF(AND(Motore_Operativo!C12=Finanziamenti!$D$7,Finanziamenti!$F$7=1),Finanziamenti!$C$7,0)</f>
        <v>0</v>
      </c>
      <c r="AX12" s="15" t="n">
        <f aca="false">0</f>
        <v>0</v>
      </c>
      <c r="AY12" s="15" t="n">
        <f aca="false">IF(8=Parametri_v3!$C$33,IF(BV12&lt;MIN(12,$B12-1),0,MIN(MAX(0,0)*Ipotesi!$C$94,MAX(0,(0)-(BO11)-BP12),MAX(0,BD12-Parametri_v3!$C$31))),0)</f>
        <v>0</v>
      </c>
      <c r="AZ12" s="15" t="n">
        <f aca="false">0</f>
        <v>0</v>
      </c>
      <c r="BA12" s="15" t="n">
        <f aca="false">0</f>
        <v>0</v>
      </c>
      <c r="BB12" s="15" t="n">
        <f aca="false">0</f>
        <v>0</v>
      </c>
      <c r="BC12" s="15" t="n">
        <f aca="false">0</f>
        <v>0</v>
      </c>
      <c r="BD12" s="15" t="n">
        <f aca="false">(BH11)+AC12-AF12-AI12-AS12-K12*(1+Parametri_v3!$C$26)-AL12-AQ12-O12+AW12+AX12+AZ12+BA12-BB12</f>
        <v>-2946.33333333333</v>
      </c>
      <c r="BE12" s="15" t="n">
        <f aca="false">0</f>
        <v>0</v>
      </c>
      <c r="BF12" s="15" t="n">
        <f aca="false">0</f>
        <v>0</v>
      </c>
      <c r="BG12" s="15" t="n">
        <f aca="false">0</f>
        <v>0</v>
      </c>
      <c r="BH12" s="15" t="n">
        <f aca="false">BD12+BE12-BF12-AY12</f>
        <v>-2946.33333333333</v>
      </c>
      <c r="BI12" s="15" t="n">
        <f aca="false">MAX(0,Parametri_v3!$C$31-BH12)</f>
        <v>12946.3333333333</v>
      </c>
      <c r="BJ12" s="15" t="n">
        <f aca="false">(BJ11)+K12</f>
        <v>2000</v>
      </c>
      <c r="BK12" s="15" t="n">
        <f aca="false">(BK11)+L12</f>
        <v>250</v>
      </c>
      <c r="BL12" s="15" t="n">
        <f aca="false">BJ12-BK12</f>
        <v>1750</v>
      </c>
      <c r="BM12" s="15" t="n">
        <f aca="false">(BM11)+Y12</f>
        <v>5467.58333333334</v>
      </c>
      <c r="BN12" s="15" t="n">
        <f aca="false">(BN11)+AW12+AX12+AZ12</f>
        <v>20000</v>
      </c>
      <c r="BO12" s="15" t="n">
        <f aca="false">(BO11)+AY12</f>
        <v>0</v>
      </c>
      <c r="BP12" s="15" t="n">
        <f aca="false">MIN(Parametri_v3!$C$36*Parametri_v3!$C$35,(BP11)+IF(8=1,MAX(0,0)*Parametri_v3!$C$34,0))</f>
        <v>0</v>
      </c>
      <c r="BQ12" s="15" t="n">
        <f aca="false">BN12+BM12-BO12</f>
        <v>25467.5833333333</v>
      </c>
      <c r="BR12" s="15" t="n">
        <f aca="false">BH12+AD12+BL12+MAX(0,-AM12)+MAX(0,-AR12)</f>
        <v>44553.6666666667</v>
      </c>
      <c r="BS12" s="15" t="n">
        <f aca="false">AJ12+AV12+MAX(0,AM12)+MAX(0,AR12)+BC12+BG12+BQ12+AG12</f>
        <v>44553.6666666667</v>
      </c>
      <c r="BT12" s="15" t="n">
        <f aca="false">BR12-BS12</f>
        <v>0</v>
      </c>
      <c r="BU12" s="15" t="n">
        <f aca="false">BH12-(BD12+BE12-BF12-AY12)</f>
        <v>0</v>
      </c>
      <c r="BV12" s="15" t="n">
        <f aca="false">IF(BH11&lt;Parametri_v3!$C$31,0,BV11+1)</f>
        <v>0</v>
      </c>
    </row>
    <row r="13" customFormat="false" ht="18" hidden="false" customHeight="true" outlineLevel="0" collapsed="false">
      <c r="A13" s="68" t="n">
        <f aca="false">1</f>
        <v>1</v>
      </c>
      <c r="B13" s="68" t="n">
        <f aca="false">9</f>
        <v>9</v>
      </c>
      <c r="C13" s="18" t="n">
        <f aca="false">Motore_Operativo!C13</f>
        <v>46631</v>
      </c>
      <c r="D13" s="68" t="n">
        <f aca="false">Motore_Operativo!D13</f>
        <v>2027</v>
      </c>
      <c r="E13" s="68" t="n">
        <f aca="false">Motore_Operativo!E13</f>
        <v>9</v>
      </c>
      <c r="F13" s="15" t="n">
        <f aca="false">Motore_Operativo!AM13</f>
        <v>12500</v>
      </c>
      <c r="G13" s="15" t="n">
        <f aca="false">Motore_Operativo!BH13</f>
        <v>1250</v>
      </c>
      <c r="H13" s="15" t="n">
        <f aca="false">Motore_Operativo!AM13</f>
        <v>12500</v>
      </c>
      <c r="I13" s="15" t="n">
        <f aca="false">Motore_Operativo!CB13</f>
        <v>11520.8333333333</v>
      </c>
      <c r="J13" s="15" t="n">
        <f aca="false">Motore_Operativo!CD13</f>
        <v>979.166666666668</v>
      </c>
      <c r="K13" s="15" t="n">
        <f aca="false">Motore_Operativo!CF13</f>
        <v>250</v>
      </c>
      <c r="L13" s="15" t="n">
        <f aca="false">SUM(INDEX($K$5:$K$64,MAX(1,9-Parametri_v3!$C$59+1)):K13)/Parametri_v3!$C$59</f>
        <v>62.5</v>
      </c>
      <c r="M13" s="15" t="n">
        <f aca="false">J13-L13</f>
        <v>916.666666666668</v>
      </c>
      <c r="N13" s="15" t="n">
        <f aca="false">0</f>
        <v>0</v>
      </c>
      <c r="O13" s="15" t="n">
        <f aca="false">0</f>
        <v>0</v>
      </c>
      <c r="P13" s="15" t="n">
        <f aca="false">M13+N13-O13</f>
        <v>916.666666666668</v>
      </c>
      <c r="Q13" s="15" t="n">
        <f aca="false">SUM(P5:P13)+Parametri_v3!$C$56*9/12</f>
        <v>8500.00000000001</v>
      </c>
      <c r="R13" s="15" t="n">
        <f aca="false">0</f>
        <v>0</v>
      </c>
      <c r="S13" s="15" t="n">
        <f aca="false">0</f>
        <v>0</v>
      </c>
      <c r="T13" s="15" t="n">
        <f aca="false">MIN(R13,MAX(0,Q13))</f>
        <v>0</v>
      </c>
      <c r="U13" s="15" t="n">
        <f aca="false">MIN(S13,MAX(0,Q13-T13)*Parametri_v3!$C$42)</f>
        <v>0</v>
      </c>
      <c r="V13" s="15" t="n">
        <f aca="false">MAX(0,Q13-T13-U13)*Ipotesi!$C$92</f>
        <v>2040</v>
      </c>
      <c r="W13" s="15" t="n">
        <f aca="false">MAX(0,SUM(M5:M13)+Parametri_v3!$C$57*9/12)*Ipotesi!$C$93</f>
        <v>331.5</v>
      </c>
      <c r="X13" s="15" t="n">
        <f aca="false">V13+W13-(V12+W12)</f>
        <v>255.75</v>
      </c>
      <c r="Y13" s="15" t="n">
        <f aca="false">P13-X13</f>
        <v>660.916666666668</v>
      </c>
      <c r="Z13" s="15" t="n">
        <f aca="false">R13-T13+IF(AND(Parametri_v3!$C$40=1,D13-YEAR(Parametri_v3!$C$50)&lt;Parametri_v3!$C$41),MAX(0,-Q13),0)</f>
        <v>0</v>
      </c>
      <c r="AA13" s="15" t="n">
        <f aca="false">S13-U13+IF(AND(Parametri_v3!$C$40=1,D13-YEAR(Parametri_v3!$C$50)&lt;Parametri_v3!$C$41),0,MAX(0,-Q13))</f>
        <v>0</v>
      </c>
      <c r="AB13" s="15" t="n">
        <f aca="false">F13*(1+Parametri_v3!$C$26)</f>
        <v>15250</v>
      </c>
      <c r="AC13" s="15" t="n">
        <f aca="false">(IF(9-(INT((Motore_Operativo!L13)/30))&lt;1,0,INDEX(Motore_Advisory!$AB$5:$AB$64,MAX(1,9-(INT((Motore_Operativo!L13)/30)))))*(1-(MOD((Motore_Operativo!L13),30)/30))+IF(9-(INT((Motore_Operativo!L13)/30))-1&lt;1,0,INDEX(Motore_Advisory!$AB$5:$AB$64,MAX(1,9-(INT((Motore_Operativo!L13)/30))-1)))*(MOD((Motore_Operativo!L13),30)/30))</f>
        <v>15250</v>
      </c>
      <c r="AD13" s="15" t="n">
        <f aca="false">(AD12)+AB13-AC13</f>
        <v>45750</v>
      </c>
      <c r="AE13" s="15" t="n">
        <f aca="false">Motore_Operativo!BH13*(1+Parametri_v3!$C$26)</f>
        <v>1525</v>
      </c>
      <c r="AF13" s="15" t="n">
        <f aca="false">(IF(9-(INT((Parametri_v3!$C$29)/30))&lt;1,0,INDEX(Motore_Operativo!$BH$5:$BH$64,MAX(1,9-(INT((Parametri_v3!$C$29)/30)))))*(1-(MOD((Parametri_v3!$C$29),30)/30))+IF(9-(INT((Parametri_v3!$C$29)/30))-1&lt;1,0,INDEX(Motore_Operativo!$BH$5:$BH$64,MAX(1,9-(INT((Parametri_v3!$C$29)/30))-1)))*(MOD((Parametri_v3!$C$29),30)/30))*(1+Parametri_v3!$C$26)</f>
        <v>1525</v>
      </c>
      <c r="AG13" s="15" t="n">
        <f aca="false">(AG12)+AE13-AF13</f>
        <v>1525</v>
      </c>
      <c r="AH13" s="15" t="n">
        <f aca="false">(Motore_Operativo!CK13)*(1+Parametri_v3!$C$28*Parametri_v3!$C$26)</f>
        <v>5904.5</v>
      </c>
      <c r="AI13" s="15" t="n">
        <f aca="false">(IF(9-(INT((Ipotesi!$C$91)/30))&lt;1,0,INDEX(Motore_Advisory!$AH$5:$AH$64,MAX(1,9-(INT((Ipotesi!$C$91)/30)))))*(1-(MOD((Ipotesi!$C$91),30)/30))+IF(9-(INT((Ipotesi!$C$91)/30))-1&lt;1,0,INDEX(Motore_Advisory!$AH$5:$AH$64,MAX(1,9-(INT((Ipotesi!$C$91)/30))-1)))*(MOD((Ipotesi!$C$91),30)/30))</f>
        <v>5904.5</v>
      </c>
      <c r="AJ13" s="15" t="n">
        <f aca="false">(AJ12)+AH13-AI13</f>
        <v>11809</v>
      </c>
      <c r="AK13" s="15" t="n">
        <f aca="false">(F13- Motore_Operativo!BH13-(Motore_Operativo!CK13)*Parametri_v3!$C$28-Motore_Operativo!CF13)*Parametri_v3!$C$26</f>
        <v>1536.33333333333</v>
      </c>
      <c r="AL13" s="15" t="n">
        <f aca="false">MAX(0,(AM12))</f>
        <v>1536.33333333333</v>
      </c>
      <c r="AM13" s="15" t="n">
        <f aca="false">(AM12)+AK13-AL13</f>
        <v>1536.33333333333</v>
      </c>
      <c r="AN13" s="15" t="n">
        <f aca="false">0</f>
        <v>0</v>
      </c>
      <c r="AO13" s="15" t="n">
        <f aca="false">0</f>
        <v>0</v>
      </c>
      <c r="AP13" s="15" t="n">
        <f aca="false">MAX(0,AN13)*IF(9=Parametri_v3!$C$43,Parametri_v3!$C$45,IF(9=Parametri_v3!$C$44,1-Parametri_v3!$C$45,0))</f>
        <v>0</v>
      </c>
      <c r="AQ13" s="15" t="n">
        <f aca="false">MAX(0,AP13+IF(9=Parametri_v3!$C$43,MAX(0,AN13-AO13),0)-MAX(0,-(AR12)))</f>
        <v>0</v>
      </c>
      <c r="AR13" s="15" t="n">
        <f aca="false">(AR12)+X13-AQ13</f>
        <v>2371.5</v>
      </c>
      <c r="AS13" s="15" t="n">
        <f aca="false">Motore_Operativo!AC13-AT13+AU13</f>
        <v>4987.5</v>
      </c>
      <c r="AT13" s="15" t="n">
        <f aca="false">Motore_Operativo!CI13</f>
        <v>262.5</v>
      </c>
      <c r="AU13" s="15" t="n">
        <f aca="false">MIN(MAX(0,(AV12)+AT13),Parametri_v3!$C$61/12)</f>
        <v>0</v>
      </c>
      <c r="AV13" s="15" t="n">
        <f aca="false">(AV12)+AT13-AU13</f>
        <v>2362.5</v>
      </c>
      <c r="AW13" s="15" t="n">
        <f aca="false">IF(AND(Motore_Operativo!C13=Finanziamenti!$D$7,Finanziamenti!$F$7=1),Finanziamenti!$C$7,0)</f>
        <v>0</v>
      </c>
      <c r="AX13" s="15" t="n">
        <f aca="false">0</f>
        <v>0</v>
      </c>
      <c r="AY13" s="15" t="n">
        <f aca="false">IF(9=Parametri_v3!$C$33,IF(BV13&lt;MIN(12,$B13-1),0,MIN(MAX(0,0)*Ipotesi!$C$94,MAX(0,(0)-(BO12)-BP13),MAX(0,BD13-Parametri_v3!$C$31))),0)</f>
        <v>0</v>
      </c>
      <c r="AZ13" s="15" t="n">
        <f aca="false">0</f>
        <v>0</v>
      </c>
      <c r="BA13" s="15" t="n">
        <f aca="false">0</f>
        <v>0</v>
      </c>
      <c r="BB13" s="15" t="n">
        <f aca="false">0</f>
        <v>0</v>
      </c>
      <c r="BC13" s="15" t="n">
        <f aca="false">0</f>
        <v>0</v>
      </c>
      <c r="BD13" s="15" t="n">
        <f aca="false">(BH12)+AC13-AF13-AI13-AS13-K13*(1+Parametri_v3!$C$26)-AL13-AQ13-O13+AW13+AX13+AZ13+BA13-BB13</f>
        <v>-1954.66666666666</v>
      </c>
      <c r="BE13" s="15" t="n">
        <f aca="false">0</f>
        <v>0</v>
      </c>
      <c r="BF13" s="15" t="n">
        <f aca="false">0</f>
        <v>0</v>
      </c>
      <c r="BG13" s="15" t="n">
        <f aca="false">0</f>
        <v>0</v>
      </c>
      <c r="BH13" s="15" t="n">
        <f aca="false">BD13+BE13-BF13-AY13</f>
        <v>-1954.66666666666</v>
      </c>
      <c r="BI13" s="15" t="n">
        <f aca="false">MAX(0,Parametri_v3!$C$31-BH13)</f>
        <v>11954.6666666667</v>
      </c>
      <c r="BJ13" s="15" t="n">
        <f aca="false">(BJ12)+K13</f>
        <v>2250</v>
      </c>
      <c r="BK13" s="15" t="n">
        <f aca="false">(BK12)+L13</f>
        <v>312.5</v>
      </c>
      <c r="BL13" s="15" t="n">
        <f aca="false">BJ13-BK13</f>
        <v>1937.5</v>
      </c>
      <c r="BM13" s="15" t="n">
        <f aca="false">(BM12)+Y13</f>
        <v>6128.50000000001</v>
      </c>
      <c r="BN13" s="15" t="n">
        <f aca="false">(BN12)+AW13+AX13+AZ13</f>
        <v>20000</v>
      </c>
      <c r="BO13" s="15" t="n">
        <f aca="false">(BO12)+AY13</f>
        <v>0</v>
      </c>
      <c r="BP13" s="15" t="n">
        <f aca="false">MIN(Parametri_v3!$C$36*Parametri_v3!$C$35,(BP12)+IF(9=1,MAX(0,0)*Parametri_v3!$C$34,0))</f>
        <v>0</v>
      </c>
      <c r="BQ13" s="15" t="n">
        <f aca="false">BN13+BM13-BO13</f>
        <v>26128.5</v>
      </c>
      <c r="BR13" s="15" t="n">
        <f aca="false">BH13+AD13+BL13+MAX(0,-AM13)+MAX(0,-AR13)</f>
        <v>45732.8333333333</v>
      </c>
      <c r="BS13" s="15" t="n">
        <f aca="false">AJ13+AV13+MAX(0,AM13)+MAX(0,AR13)+BC13+BG13+BQ13+AG13</f>
        <v>45732.8333333333</v>
      </c>
      <c r="BT13" s="15" t="n">
        <f aca="false">BR13-BS13</f>
        <v>0</v>
      </c>
      <c r="BU13" s="15" t="n">
        <f aca="false">BH13-(BD13+BE13-BF13-AY13)</f>
        <v>0</v>
      </c>
      <c r="BV13" s="15" t="n">
        <f aca="false">IF(BH12&lt;Parametri_v3!$C$31,0,BV12+1)</f>
        <v>0</v>
      </c>
    </row>
    <row r="14" customFormat="false" ht="18" hidden="false" customHeight="true" outlineLevel="0" collapsed="false">
      <c r="A14" s="68" t="n">
        <f aca="false">1</f>
        <v>1</v>
      </c>
      <c r="B14" s="68" t="n">
        <f aca="false">10</f>
        <v>10</v>
      </c>
      <c r="C14" s="18" t="n">
        <f aca="false">Motore_Operativo!C14</f>
        <v>46661</v>
      </c>
      <c r="D14" s="68" t="n">
        <f aca="false">Motore_Operativo!D14</f>
        <v>2027</v>
      </c>
      <c r="E14" s="68" t="n">
        <f aca="false">Motore_Operativo!E14</f>
        <v>10</v>
      </c>
      <c r="F14" s="15" t="n">
        <f aca="false">Motore_Operativo!AM14</f>
        <v>12500</v>
      </c>
      <c r="G14" s="15" t="n">
        <f aca="false">Motore_Operativo!BH14</f>
        <v>1250</v>
      </c>
      <c r="H14" s="15" t="n">
        <f aca="false">Motore_Operativo!AM14</f>
        <v>12500</v>
      </c>
      <c r="I14" s="15" t="n">
        <f aca="false">Motore_Operativo!CB14</f>
        <v>11520.8333333333</v>
      </c>
      <c r="J14" s="15" t="n">
        <f aca="false">Motore_Operativo!CD14</f>
        <v>979.166666666668</v>
      </c>
      <c r="K14" s="15" t="n">
        <f aca="false">Motore_Operativo!CF14</f>
        <v>250</v>
      </c>
      <c r="L14" s="15" t="n">
        <f aca="false">SUM(INDEX($K$5:$K$64,MAX(1,10-Parametri_v3!$C$59+1)):K14)/Parametri_v3!$C$59</f>
        <v>69.4444444444444</v>
      </c>
      <c r="M14" s="15" t="n">
        <f aca="false">J14-L14</f>
        <v>909.722222222223</v>
      </c>
      <c r="N14" s="15" t="n">
        <f aca="false">0</f>
        <v>0</v>
      </c>
      <c r="O14" s="15" t="n">
        <f aca="false">0</f>
        <v>0</v>
      </c>
      <c r="P14" s="15" t="n">
        <f aca="false">M14+N14-O14</f>
        <v>909.722222222223</v>
      </c>
      <c r="Q14" s="15" t="n">
        <f aca="false">SUM(P5:P14)+Parametri_v3!$C$56*10/12</f>
        <v>9409.72222222223</v>
      </c>
      <c r="R14" s="15" t="n">
        <f aca="false">0</f>
        <v>0</v>
      </c>
      <c r="S14" s="15" t="n">
        <f aca="false">0</f>
        <v>0</v>
      </c>
      <c r="T14" s="15" t="n">
        <f aca="false">MIN(R14,MAX(0,Q14))</f>
        <v>0</v>
      </c>
      <c r="U14" s="15" t="n">
        <f aca="false">MIN(S14,MAX(0,Q14-T14)*Parametri_v3!$C$42)</f>
        <v>0</v>
      </c>
      <c r="V14" s="15" t="n">
        <f aca="false">MAX(0,Q14-T14-U14)*Ipotesi!$C$92</f>
        <v>2258.33333333334</v>
      </c>
      <c r="W14" s="15" t="n">
        <f aca="false">MAX(0,SUM(M5:M14)+Parametri_v3!$C$57*10/12)*Ipotesi!$C$93</f>
        <v>366.979166666667</v>
      </c>
      <c r="X14" s="15" t="n">
        <f aca="false">V14+W14-(V13+W13)</f>
        <v>253.8125</v>
      </c>
      <c r="Y14" s="15" t="n">
        <f aca="false">P14-X14</f>
        <v>655.909722222223</v>
      </c>
      <c r="Z14" s="15" t="n">
        <f aca="false">R14-T14+IF(AND(Parametri_v3!$C$40=1,D14-YEAR(Parametri_v3!$C$50)&lt;Parametri_v3!$C$41),MAX(0,-Q14),0)</f>
        <v>0</v>
      </c>
      <c r="AA14" s="15" t="n">
        <f aca="false">S14-U14+IF(AND(Parametri_v3!$C$40=1,D14-YEAR(Parametri_v3!$C$50)&lt;Parametri_v3!$C$41),0,MAX(0,-Q14))</f>
        <v>0</v>
      </c>
      <c r="AB14" s="15" t="n">
        <f aca="false">F14*(1+Parametri_v3!$C$26)</f>
        <v>15250</v>
      </c>
      <c r="AC14" s="15" t="n">
        <f aca="false">(IF(10-(INT((Motore_Operativo!L14)/30))&lt;1,0,INDEX(Motore_Advisory!$AB$5:$AB$64,MAX(1,10-(INT((Motore_Operativo!L14)/30)))))*(1-(MOD((Motore_Operativo!L14),30)/30))+IF(10-(INT((Motore_Operativo!L14)/30))-1&lt;1,0,INDEX(Motore_Advisory!$AB$5:$AB$64,MAX(1,10-(INT((Motore_Operativo!L14)/30))-1)))*(MOD((Motore_Operativo!L14),30)/30))</f>
        <v>15250</v>
      </c>
      <c r="AD14" s="15" t="n">
        <f aca="false">(AD13)+AB14-AC14</f>
        <v>45750</v>
      </c>
      <c r="AE14" s="15" t="n">
        <f aca="false">Motore_Operativo!BH14*(1+Parametri_v3!$C$26)</f>
        <v>1525</v>
      </c>
      <c r="AF14" s="15" t="n">
        <f aca="false">(IF(10-(INT((Parametri_v3!$C$29)/30))&lt;1,0,INDEX(Motore_Operativo!$BH$5:$BH$64,MAX(1,10-(INT((Parametri_v3!$C$29)/30)))))*(1-(MOD((Parametri_v3!$C$29),30)/30))+IF(10-(INT((Parametri_v3!$C$29)/30))-1&lt;1,0,INDEX(Motore_Operativo!$BH$5:$BH$64,MAX(1,10-(INT((Parametri_v3!$C$29)/30))-1)))*(MOD((Parametri_v3!$C$29),30)/30))*(1+Parametri_v3!$C$26)</f>
        <v>1525</v>
      </c>
      <c r="AG14" s="15" t="n">
        <f aca="false">(AG13)+AE14-AF14</f>
        <v>1525</v>
      </c>
      <c r="AH14" s="15" t="n">
        <f aca="false">(Motore_Operativo!CK14)*(1+Parametri_v3!$C$28*Parametri_v3!$C$26)</f>
        <v>5904.5</v>
      </c>
      <c r="AI14" s="15" t="n">
        <f aca="false">(IF(10-(INT((Ipotesi!$C$91)/30))&lt;1,0,INDEX(Motore_Advisory!$AH$5:$AH$64,MAX(1,10-(INT((Ipotesi!$C$91)/30)))))*(1-(MOD((Ipotesi!$C$91),30)/30))+IF(10-(INT((Ipotesi!$C$91)/30))-1&lt;1,0,INDEX(Motore_Advisory!$AH$5:$AH$64,MAX(1,10-(INT((Ipotesi!$C$91)/30))-1)))*(MOD((Ipotesi!$C$91),30)/30))</f>
        <v>5904.5</v>
      </c>
      <c r="AJ14" s="15" t="n">
        <f aca="false">(AJ13)+AH14-AI14</f>
        <v>11809</v>
      </c>
      <c r="AK14" s="15" t="n">
        <f aca="false">(F14- Motore_Operativo!BH14-(Motore_Operativo!CK14)*Parametri_v3!$C$28-Motore_Operativo!CF14)*Parametri_v3!$C$26</f>
        <v>1536.33333333333</v>
      </c>
      <c r="AL14" s="15" t="n">
        <f aca="false">MAX(0,(AM13))</f>
        <v>1536.33333333333</v>
      </c>
      <c r="AM14" s="15" t="n">
        <f aca="false">(AM13)+AK14-AL14</f>
        <v>1536.33333333333</v>
      </c>
      <c r="AN14" s="15" t="n">
        <f aca="false">0</f>
        <v>0</v>
      </c>
      <c r="AO14" s="15" t="n">
        <f aca="false">0</f>
        <v>0</v>
      </c>
      <c r="AP14" s="15" t="n">
        <f aca="false">MAX(0,AN14)*IF(10=Parametri_v3!$C$43,Parametri_v3!$C$45,IF(10=Parametri_v3!$C$44,1-Parametri_v3!$C$45,0))</f>
        <v>0</v>
      </c>
      <c r="AQ14" s="15" t="n">
        <f aca="false">MAX(0,AP14+IF(10=Parametri_v3!$C$43,MAX(0,AN14-AO14),0)-MAX(0,-(AR13)))</f>
        <v>0</v>
      </c>
      <c r="AR14" s="15" t="n">
        <f aca="false">(AR13)+X14-AQ14</f>
        <v>2625.3125</v>
      </c>
      <c r="AS14" s="15" t="n">
        <f aca="false">Motore_Operativo!AC14-AT14+AU14</f>
        <v>4987.5</v>
      </c>
      <c r="AT14" s="15" t="n">
        <f aca="false">Motore_Operativo!CI14</f>
        <v>262.5</v>
      </c>
      <c r="AU14" s="15" t="n">
        <f aca="false">MIN(MAX(0,(AV13)+AT14),Parametri_v3!$C$61/12)</f>
        <v>0</v>
      </c>
      <c r="AV14" s="15" t="n">
        <f aca="false">(AV13)+AT14-AU14</f>
        <v>2625</v>
      </c>
      <c r="AW14" s="15" t="n">
        <f aca="false">IF(AND(Motore_Operativo!C14=Finanziamenti!$D$7,Finanziamenti!$F$7=1),Finanziamenti!$C$7,0)</f>
        <v>0</v>
      </c>
      <c r="AX14" s="15" t="n">
        <f aca="false">0</f>
        <v>0</v>
      </c>
      <c r="AY14" s="15" t="n">
        <f aca="false">IF(10=Parametri_v3!$C$33,IF(BV14&lt;MIN(12,$B14-1),0,MIN(MAX(0,0)*Ipotesi!$C$94,MAX(0,(0)-(BO13)-BP14),MAX(0,BD14-Parametri_v3!$C$31))),0)</f>
        <v>0</v>
      </c>
      <c r="AZ14" s="15" t="n">
        <f aca="false">0</f>
        <v>0</v>
      </c>
      <c r="BA14" s="15" t="n">
        <f aca="false">0</f>
        <v>0</v>
      </c>
      <c r="BB14" s="15" t="n">
        <f aca="false">0</f>
        <v>0</v>
      </c>
      <c r="BC14" s="15" t="n">
        <f aca="false">0</f>
        <v>0</v>
      </c>
      <c r="BD14" s="15" t="n">
        <f aca="false">(BH13)+AC14-AF14-AI14-AS14-K14*(1+Parametri_v3!$C$26)-AL14-AQ14-O14+AW14+AX14+AZ14+BA14-BB14</f>
        <v>-962.999999999991</v>
      </c>
      <c r="BE14" s="15" t="n">
        <f aca="false">0</f>
        <v>0</v>
      </c>
      <c r="BF14" s="15" t="n">
        <f aca="false">0</f>
        <v>0</v>
      </c>
      <c r="BG14" s="15" t="n">
        <f aca="false">0</f>
        <v>0</v>
      </c>
      <c r="BH14" s="15" t="n">
        <f aca="false">BD14+BE14-BF14-AY14</f>
        <v>-962.999999999991</v>
      </c>
      <c r="BI14" s="15" t="n">
        <f aca="false">MAX(0,Parametri_v3!$C$31-BH14)</f>
        <v>10963</v>
      </c>
      <c r="BJ14" s="15" t="n">
        <f aca="false">(BJ13)+K14</f>
        <v>2500</v>
      </c>
      <c r="BK14" s="15" t="n">
        <f aca="false">(BK13)+L14</f>
        <v>381.944444444444</v>
      </c>
      <c r="BL14" s="15" t="n">
        <f aca="false">BJ14-BK14</f>
        <v>2118.05555555556</v>
      </c>
      <c r="BM14" s="15" t="n">
        <f aca="false">(BM13)+Y14</f>
        <v>6784.40972222223</v>
      </c>
      <c r="BN14" s="15" t="n">
        <f aca="false">(BN13)+AW14+AX14+AZ14</f>
        <v>20000</v>
      </c>
      <c r="BO14" s="15" t="n">
        <f aca="false">(BO13)+AY14</f>
        <v>0</v>
      </c>
      <c r="BP14" s="15" t="n">
        <f aca="false">MIN(Parametri_v3!$C$36*Parametri_v3!$C$35,(BP13)+IF(10=1,MAX(0,0)*Parametri_v3!$C$34,0))</f>
        <v>0</v>
      </c>
      <c r="BQ14" s="15" t="n">
        <f aca="false">BN14+BM14-BO14</f>
        <v>26784.4097222222</v>
      </c>
      <c r="BR14" s="15" t="n">
        <f aca="false">BH14+AD14+BL14+MAX(0,-AM14)+MAX(0,-AR14)</f>
        <v>46905.0555555556</v>
      </c>
      <c r="BS14" s="15" t="n">
        <f aca="false">AJ14+AV14+MAX(0,AM14)+MAX(0,AR14)+BC14+BG14+BQ14+AG14</f>
        <v>46905.0555555556</v>
      </c>
      <c r="BT14" s="15" t="n">
        <f aca="false">BR14-BS14</f>
        <v>0</v>
      </c>
      <c r="BU14" s="15" t="n">
        <f aca="false">BH14-(BD14+BE14-BF14-AY14)</f>
        <v>0</v>
      </c>
      <c r="BV14" s="15" t="n">
        <f aca="false">IF(BH13&lt;Parametri_v3!$C$31,0,BV13+1)</f>
        <v>0</v>
      </c>
    </row>
    <row r="15" customFormat="false" ht="18" hidden="false" customHeight="true" outlineLevel="0" collapsed="false">
      <c r="A15" s="68" t="n">
        <f aca="false">1</f>
        <v>1</v>
      </c>
      <c r="B15" s="68" t="n">
        <f aca="false">11</f>
        <v>11</v>
      </c>
      <c r="C15" s="18" t="n">
        <f aca="false">Motore_Operativo!C15</f>
        <v>46692</v>
      </c>
      <c r="D15" s="68" t="n">
        <f aca="false">Motore_Operativo!D15</f>
        <v>2027</v>
      </c>
      <c r="E15" s="68" t="n">
        <f aca="false">Motore_Operativo!E15</f>
        <v>11</v>
      </c>
      <c r="F15" s="15" t="n">
        <f aca="false">Motore_Operativo!AM15</f>
        <v>12500</v>
      </c>
      <c r="G15" s="15" t="n">
        <f aca="false">Motore_Operativo!BH15</f>
        <v>1250</v>
      </c>
      <c r="H15" s="15" t="n">
        <f aca="false">Motore_Operativo!AM15</f>
        <v>12500</v>
      </c>
      <c r="I15" s="15" t="n">
        <f aca="false">Motore_Operativo!CB15</f>
        <v>11520.8333333333</v>
      </c>
      <c r="J15" s="15" t="n">
        <f aca="false">Motore_Operativo!CD15</f>
        <v>979.166666666668</v>
      </c>
      <c r="K15" s="15" t="n">
        <f aca="false">Motore_Operativo!CF15</f>
        <v>250</v>
      </c>
      <c r="L15" s="15" t="n">
        <f aca="false">SUM(INDEX($K$5:$K$64,MAX(1,11-Parametri_v3!$C$59+1)):K15)/Parametri_v3!$C$59</f>
        <v>76.3888888888889</v>
      </c>
      <c r="M15" s="15" t="n">
        <f aca="false">J15-L15</f>
        <v>902.777777777779</v>
      </c>
      <c r="N15" s="15" t="n">
        <f aca="false">0</f>
        <v>0</v>
      </c>
      <c r="O15" s="15" t="n">
        <f aca="false">0</f>
        <v>0</v>
      </c>
      <c r="P15" s="15" t="n">
        <f aca="false">M15+N15-O15</f>
        <v>902.777777777779</v>
      </c>
      <c r="Q15" s="15" t="n">
        <f aca="false">SUM(P5:P15)+Parametri_v3!$C$56*11/12</f>
        <v>10312.5</v>
      </c>
      <c r="R15" s="15" t="n">
        <f aca="false">0</f>
        <v>0</v>
      </c>
      <c r="S15" s="15" t="n">
        <f aca="false">0</f>
        <v>0</v>
      </c>
      <c r="T15" s="15" t="n">
        <f aca="false">MIN(R15,MAX(0,Q15))</f>
        <v>0</v>
      </c>
      <c r="U15" s="15" t="n">
        <f aca="false">MIN(S15,MAX(0,Q15-T15)*Parametri_v3!$C$42)</f>
        <v>0</v>
      </c>
      <c r="V15" s="15" t="n">
        <f aca="false">MAX(0,Q15-T15-U15)*Ipotesi!$C$92</f>
        <v>2475</v>
      </c>
      <c r="W15" s="15" t="n">
        <f aca="false">MAX(0,SUM(M5:M15)+Parametri_v3!$C$57*11/12)*Ipotesi!$C$93</f>
        <v>402.187500000001</v>
      </c>
      <c r="X15" s="15" t="n">
        <f aca="false">V15+W15-(V14+W14)</f>
        <v>251.875000000001</v>
      </c>
      <c r="Y15" s="15" t="n">
        <f aca="false">P15-X15</f>
        <v>650.902777777778</v>
      </c>
      <c r="Z15" s="15" t="n">
        <f aca="false">R15-T15+IF(AND(Parametri_v3!$C$40=1,D15-YEAR(Parametri_v3!$C$50)&lt;Parametri_v3!$C$41),MAX(0,-Q15),0)</f>
        <v>0</v>
      </c>
      <c r="AA15" s="15" t="n">
        <f aca="false">S15-U15+IF(AND(Parametri_v3!$C$40=1,D15-YEAR(Parametri_v3!$C$50)&lt;Parametri_v3!$C$41),0,MAX(0,-Q15))</f>
        <v>0</v>
      </c>
      <c r="AB15" s="15" t="n">
        <f aca="false">F15*(1+Parametri_v3!$C$26)</f>
        <v>15250</v>
      </c>
      <c r="AC15" s="15" t="n">
        <f aca="false">(IF(11-(INT((Motore_Operativo!L15)/30))&lt;1,0,INDEX(Motore_Advisory!$AB$5:$AB$64,MAX(1,11-(INT((Motore_Operativo!L15)/30)))))*(1-(MOD((Motore_Operativo!L15),30)/30))+IF(11-(INT((Motore_Operativo!L15)/30))-1&lt;1,0,INDEX(Motore_Advisory!$AB$5:$AB$64,MAX(1,11-(INT((Motore_Operativo!L15)/30))-1)))*(MOD((Motore_Operativo!L15),30)/30))</f>
        <v>15250</v>
      </c>
      <c r="AD15" s="15" t="n">
        <f aca="false">(AD14)+AB15-AC15</f>
        <v>45750</v>
      </c>
      <c r="AE15" s="15" t="n">
        <f aca="false">Motore_Operativo!BH15*(1+Parametri_v3!$C$26)</f>
        <v>1525</v>
      </c>
      <c r="AF15" s="15" t="n">
        <f aca="false">(IF(11-(INT((Parametri_v3!$C$29)/30))&lt;1,0,INDEX(Motore_Operativo!$BH$5:$BH$64,MAX(1,11-(INT((Parametri_v3!$C$29)/30)))))*(1-(MOD((Parametri_v3!$C$29),30)/30))+IF(11-(INT((Parametri_v3!$C$29)/30))-1&lt;1,0,INDEX(Motore_Operativo!$BH$5:$BH$64,MAX(1,11-(INT((Parametri_v3!$C$29)/30))-1)))*(MOD((Parametri_v3!$C$29),30)/30))*(1+Parametri_v3!$C$26)</f>
        <v>1525</v>
      </c>
      <c r="AG15" s="15" t="n">
        <f aca="false">(AG14)+AE15-AF15</f>
        <v>1525</v>
      </c>
      <c r="AH15" s="15" t="n">
        <f aca="false">(Motore_Operativo!CK15)*(1+Parametri_v3!$C$28*Parametri_v3!$C$26)</f>
        <v>5904.5</v>
      </c>
      <c r="AI15" s="15" t="n">
        <f aca="false">(IF(11-(INT((Ipotesi!$C$91)/30))&lt;1,0,INDEX(Motore_Advisory!$AH$5:$AH$64,MAX(1,11-(INT((Ipotesi!$C$91)/30)))))*(1-(MOD((Ipotesi!$C$91),30)/30))+IF(11-(INT((Ipotesi!$C$91)/30))-1&lt;1,0,INDEX(Motore_Advisory!$AH$5:$AH$64,MAX(1,11-(INT((Ipotesi!$C$91)/30))-1)))*(MOD((Ipotesi!$C$91),30)/30))</f>
        <v>5904.5</v>
      </c>
      <c r="AJ15" s="15" t="n">
        <f aca="false">(AJ14)+AH15-AI15</f>
        <v>11809</v>
      </c>
      <c r="AK15" s="15" t="n">
        <f aca="false">(F15- Motore_Operativo!BH15-(Motore_Operativo!CK15)*Parametri_v3!$C$28-Motore_Operativo!CF15)*Parametri_v3!$C$26</f>
        <v>1536.33333333333</v>
      </c>
      <c r="AL15" s="15" t="n">
        <f aca="false">MAX(0,(AM14))</f>
        <v>1536.33333333333</v>
      </c>
      <c r="AM15" s="15" t="n">
        <f aca="false">(AM14)+AK15-AL15</f>
        <v>1536.33333333333</v>
      </c>
      <c r="AN15" s="15" t="n">
        <f aca="false">0</f>
        <v>0</v>
      </c>
      <c r="AO15" s="15" t="n">
        <f aca="false">0</f>
        <v>0</v>
      </c>
      <c r="AP15" s="15" t="n">
        <f aca="false">MAX(0,AN15)*IF(11=Parametri_v3!$C$43,Parametri_v3!$C$45,IF(11=Parametri_v3!$C$44,1-Parametri_v3!$C$45,0))</f>
        <v>0</v>
      </c>
      <c r="AQ15" s="15" t="n">
        <f aca="false">MAX(0,AP15+IF(11=Parametri_v3!$C$43,MAX(0,AN15-AO15),0)-MAX(0,-(AR14)))</f>
        <v>0</v>
      </c>
      <c r="AR15" s="15" t="n">
        <f aca="false">(AR14)+X15-AQ15</f>
        <v>2877.1875</v>
      </c>
      <c r="AS15" s="15" t="n">
        <f aca="false">Motore_Operativo!AC15-AT15+AU15</f>
        <v>4987.5</v>
      </c>
      <c r="AT15" s="15" t="n">
        <f aca="false">Motore_Operativo!CI15</f>
        <v>262.5</v>
      </c>
      <c r="AU15" s="15" t="n">
        <f aca="false">MIN(MAX(0,(AV14)+AT15),Parametri_v3!$C$61/12)</f>
        <v>0</v>
      </c>
      <c r="AV15" s="15" t="n">
        <f aca="false">(AV14)+AT15-AU15</f>
        <v>2887.5</v>
      </c>
      <c r="AW15" s="15" t="n">
        <f aca="false">IF(AND(Motore_Operativo!C15=Finanziamenti!$D$7,Finanziamenti!$F$7=1),Finanziamenti!$C$7,0)</f>
        <v>0</v>
      </c>
      <c r="AX15" s="15" t="n">
        <f aca="false">0</f>
        <v>0</v>
      </c>
      <c r="AY15" s="15" t="n">
        <f aca="false">IF(11=Parametri_v3!$C$33,IF(BV15&lt;MIN(12,$B15-1),0,MIN(MAX(0,0)*Ipotesi!$C$94,MAX(0,(0)-(BO14)-BP15),MAX(0,BD15-Parametri_v3!$C$31))),0)</f>
        <v>0</v>
      </c>
      <c r="AZ15" s="15" t="n">
        <f aca="false">0</f>
        <v>0</v>
      </c>
      <c r="BA15" s="15" t="n">
        <f aca="false">0</f>
        <v>0</v>
      </c>
      <c r="BB15" s="15" t="n">
        <f aca="false">0</f>
        <v>0</v>
      </c>
      <c r="BC15" s="15" t="n">
        <f aca="false">0</f>
        <v>0</v>
      </c>
      <c r="BD15" s="15" t="n">
        <f aca="false">(BH14)+AC15-AF15-AI15-AS15-K15*(1+Parametri_v3!$C$26)-AL15-AQ15-O15+AW15+AX15+AZ15+BA15-BB15</f>
        <v>28.6666666666774</v>
      </c>
      <c r="BE15" s="15" t="n">
        <f aca="false">0</f>
        <v>0</v>
      </c>
      <c r="BF15" s="15" t="n">
        <f aca="false">0</f>
        <v>0</v>
      </c>
      <c r="BG15" s="15" t="n">
        <f aca="false">0</f>
        <v>0</v>
      </c>
      <c r="BH15" s="15" t="n">
        <f aca="false">BD15+BE15-BF15-AY15</f>
        <v>28.6666666666774</v>
      </c>
      <c r="BI15" s="15" t="n">
        <f aca="false">MAX(0,Parametri_v3!$C$31-BH15)</f>
        <v>9971.33333333332</v>
      </c>
      <c r="BJ15" s="15" t="n">
        <f aca="false">(BJ14)+K15</f>
        <v>2750</v>
      </c>
      <c r="BK15" s="15" t="n">
        <f aca="false">(BK14)+L15</f>
        <v>458.333333333333</v>
      </c>
      <c r="BL15" s="15" t="n">
        <f aca="false">BJ15-BK15</f>
        <v>2291.66666666667</v>
      </c>
      <c r="BM15" s="15" t="n">
        <f aca="false">(BM14)+Y15</f>
        <v>7435.31250000001</v>
      </c>
      <c r="BN15" s="15" t="n">
        <f aca="false">(BN14)+AW15+AX15+AZ15</f>
        <v>20000</v>
      </c>
      <c r="BO15" s="15" t="n">
        <f aca="false">(BO14)+AY15</f>
        <v>0</v>
      </c>
      <c r="BP15" s="15" t="n">
        <f aca="false">MIN(Parametri_v3!$C$36*Parametri_v3!$C$35,(BP14)+IF(11=1,MAX(0,0)*Parametri_v3!$C$34,0))</f>
        <v>0</v>
      </c>
      <c r="BQ15" s="15" t="n">
        <f aca="false">BN15+BM15-BO15</f>
        <v>27435.3125</v>
      </c>
      <c r="BR15" s="15" t="n">
        <f aca="false">BH15+AD15+BL15+MAX(0,-AM15)+MAX(0,-AR15)</f>
        <v>48070.3333333333</v>
      </c>
      <c r="BS15" s="15" t="n">
        <f aca="false">AJ15+AV15+MAX(0,AM15)+MAX(0,AR15)+BC15+BG15+BQ15+AG15</f>
        <v>48070.3333333333</v>
      </c>
      <c r="BT15" s="15" t="n">
        <f aca="false">BR15-BS15</f>
        <v>0</v>
      </c>
      <c r="BU15" s="15" t="n">
        <f aca="false">BH15-(BD15+BE15-BF15-AY15)</f>
        <v>0</v>
      </c>
      <c r="BV15" s="15" t="n">
        <f aca="false">IF(BH14&lt;Parametri_v3!$C$31,0,BV14+1)</f>
        <v>0</v>
      </c>
    </row>
    <row r="16" customFormat="false" ht="18" hidden="false" customHeight="true" outlineLevel="0" collapsed="false">
      <c r="A16" s="68" t="n">
        <f aca="false">1</f>
        <v>1</v>
      </c>
      <c r="B16" s="68" t="n">
        <f aca="false">12</f>
        <v>12</v>
      </c>
      <c r="C16" s="18" t="n">
        <f aca="false">Motore_Operativo!C16</f>
        <v>46722</v>
      </c>
      <c r="D16" s="68" t="n">
        <f aca="false">Motore_Operativo!D16</f>
        <v>2027</v>
      </c>
      <c r="E16" s="68" t="n">
        <f aca="false">Motore_Operativo!E16</f>
        <v>12</v>
      </c>
      <c r="F16" s="15" t="n">
        <f aca="false">Motore_Operativo!AM16</f>
        <v>12500</v>
      </c>
      <c r="G16" s="15" t="n">
        <f aca="false">Motore_Operativo!BH16</f>
        <v>1250</v>
      </c>
      <c r="H16" s="15" t="n">
        <f aca="false">Motore_Operativo!AM16</f>
        <v>12500</v>
      </c>
      <c r="I16" s="15" t="n">
        <f aca="false">Motore_Operativo!CB16</f>
        <v>11520.8333333333</v>
      </c>
      <c r="J16" s="15" t="n">
        <f aca="false">Motore_Operativo!CD16</f>
        <v>979.166666666668</v>
      </c>
      <c r="K16" s="15" t="n">
        <f aca="false">Motore_Operativo!CF16</f>
        <v>250</v>
      </c>
      <c r="L16" s="15" t="n">
        <f aca="false">SUM(INDEX($K$5:$K$64,MAX(1,12-Parametri_v3!$C$59+1)):K16)/Parametri_v3!$C$59</f>
        <v>83.3333333333333</v>
      </c>
      <c r="M16" s="15" t="n">
        <f aca="false">J16-L16</f>
        <v>895.833333333335</v>
      </c>
      <c r="N16" s="15" t="n">
        <f aca="false">0</f>
        <v>0</v>
      </c>
      <c r="O16" s="15" t="n">
        <f aca="false">0</f>
        <v>0</v>
      </c>
      <c r="P16" s="15" t="n">
        <f aca="false">M16+N16-O16</f>
        <v>895.833333333335</v>
      </c>
      <c r="Q16" s="15" t="n">
        <f aca="false">SUM(P5:P16)+Parametri_v3!$C$56*12/12</f>
        <v>11208.3333333333</v>
      </c>
      <c r="R16" s="15" t="n">
        <f aca="false">0</f>
        <v>0</v>
      </c>
      <c r="S16" s="15" t="n">
        <f aca="false">0</f>
        <v>0</v>
      </c>
      <c r="T16" s="15" t="n">
        <f aca="false">MIN(R16,MAX(0,Q16))</f>
        <v>0</v>
      </c>
      <c r="U16" s="15" t="n">
        <f aca="false">MIN(S16,MAX(0,Q16-T16)*Parametri_v3!$C$42)</f>
        <v>0</v>
      </c>
      <c r="V16" s="15" t="n">
        <f aca="false">MAX(0,Q16-T16-U16)*Ipotesi!$C$92</f>
        <v>2690</v>
      </c>
      <c r="W16" s="15" t="n">
        <f aca="false">MAX(0,SUM(M5:M16)+Parametri_v3!$C$57*12/12)*Ipotesi!$C$93</f>
        <v>437.125000000001</v>
      </c>
      <c r="X16" s="15" t="n">
        <f aca="false">V16+W16-(V15+W15)</f>
        <v>249.9375</v>
      </c>
      <c r="Y16" s="15" t="n">
        <f aca="false">P16-X16</f>
        <v>645.895833333335</v>
      </c>
      <c r="Z16" s="15" t="n">
        <f aca="false">R16-T16+IF(AND(Parametri_v3!$C$40=1,D16-YEAR(Parametri_v3!$C$50)&lt;Parametri_v3!$C$41),MAX(0,-Q16),0)</f>
        <v>0</v>
      </c>
      <c r="AA16" s="15" t="n">
        <f aca="false">S16-U16+IF(AND(Parametri_v3!$C$40=1,D16-YEAR(Parametri_v3!$C$50)&lt;Parametri_v3!$C$41),0,MAX(0,-Q16))</f>
        <v>0</v>
      </c>
      <c r="AB16" s="15" t="n">
        <f aca="false">F16*(1+Parametri_v3!$C$26)</f>
        <v>15250</v>
      </c>
      <c r="AC16" s="15" t="n">
        <f aca="false">(IF(12-(INT((Motore_Operativo!L16)/30))&lt;1,0,INDEX(Motore_Advisory!$AB$5:$AB$64,MAX(1,12-(INT((Motore_Operativo!L16)/30)))))*(1-(MOD((Motore_Operativo!L16),30)/30))+IF(12-(INT((Motore_Operativo!L16)/30))-1&lt;1,0,INDEX(Motore_Advisory!$AB$5:$AB$64,MAX(1,12-(INT((Motore_Operativo!L16)/30))-1)))*(MOD((Motore_Operativo!L16),30)/30))</f>
        <v>15250</v>
      </c>
      <c r="AD16" s="15" t="n">
        <f aca="false">(AD15)+AB16-AC16</f>
        <v>45750</v>
      </c>
      <c r="AE16" s="15" t="n">
        <f aca="false">Motore_Operativo!BH16*(1+Parametri_v3!$C$26)</f>
        <v>1525</v>
      </c>
      <c r="AF16" s="15" t="n">
        <f aca="false">(IF(12-(INT((Parametri_v3!$C$29)/30))&lt;1,0,INDEX(Motore_Operativo!$BH$5:$BH$64,MAX(1,12-(INT((Parametri_v3!$C$29)/30)))))*(1-(MOD((Parametri_v3!$C$29),30)/30))+IF(12-(INT((Parametri_v3!$C$29)/30))-1&lt;1,0,INDEX(Motore_Operativo!$BH$5:$BH$64,MAX(1,12-(INT((Parametri_v3!$C$29)/30))-1)))*(MOD((Parametri_v3!$C$29),30)/30))*(1+Parametri_v3!$C$26)</f>
        <v>1525</v>
      </c>
      <c r="AG16" s="15" t="n">
        <f aca="false">(AG15)+AE16-AF16</f>
        <v>1525</v>
      </c>
      <c r="AH16" s="15" t="n">
        <f aca="false">(Motore_Operativo!CK16)*(1+Parametri_v3!$C$28*Parametri_v3!$C$26)</f>
        <v>5904.5</v>
      </c>
      <c r="AI16" s="15" t="n">
        <f aca="false">(IF(12-(INT((Ipotesi!$C$91)/30))&lt;1,0,INDEX(Motore_Advisory!$AH$5:$AH$64,MAX(1,12-(INT((Ipotesi!$C$91)/30)))))*(1-(MOD((Ipotesi!$C$91),30)/30))+IF(12-(INT((Ipotesi!$C$91)/30))-1&lt;1,0,INDEX(Motore_Advisory!$AH$5:$AH$64,MAX(1,12-(INT((Ipotesi!$C$91)/30))-1)))*(MOD((Ipotesi!$C$91),30)/30))</f>
        <v>5904.5</v>
      </c>
      <c r="AJ16" s="15" t="n">
        <f aca="false">(AJ15)+AH16-AI16</f>
        <v>11809</v>
      </c>
      <c r="AK16" s="15" t="n">
        <f aca="false">(F16- Motore_Operativo!BH16-(Motore_Operativo!CK16)*Parametri_v3!$C$28-Motore_Operativo!CF16)*Parametri_v3!$C$26</f>
        <v>1536.33333333333</v>
      </c>
      <c r="AL16" s="15" t="n">
        <f aca="false">MAX(0,(AM15))</f>
        <v>1536.33333333333</v>
      </c>
      <c r="AM16" s="15" t="n">
        <f aca="false">(AM15)+AK16-AL16</f>
        <v>1536.33333333333</v>
      </c>
      <c r="AN16" s="15" t="n">
        <f aca="false">0</f>
        <v>0</v>
      </c>
      <c r="AO16" s="15" t="n">
        <f aca="false">0</f>
        <v>0</v>
      </c>
      <c r="AP16" s="15" t="n">
        <f aca="false">MAX(0,AN16)*IF(12=Parametri_v3!$C$43,Parametri_v3!$C$45,IF(12=Parametri_v3!$C$44,1-Parametri_v3!$C$45,0))</f>
        <v>0</v>
      </c>
      <c r="AQ16" s="15" t="n">
        <f aca="false">MAX(0,AP16+IF(12=Parametri_v3!$C$43,MAX(0,AN16-AO16),0)-MAX(0,-(AR15)))</f>
        <v>0</v>
      </c>
      <c r="AR16" s="15" t="n">
        <f aca="false">(AR15)+X16-AQ16</f>
        <v>3127.125</v>
      </c>
      <c r="AS16" s="15" t="n">
        <f aca="false">Motore_Operativo!AC16-AT16+AU16</f>
        <v>4987.5</v>
      </c>
      <c r="AT16" s="15" t="n">
        <f aca="false">Motore_Operativo!CI16</f>
        <v>262.5</v>
      </c>
      <c r="AU16" s="15" t="n">
        <f aca="false">MIN(MAX(0,(AV15)+AT16),Parametri_v3!$C$61/12)</f>
        <v>0</v>
      </c>
      <c r="AV16" s="15" t="n">
        <f aca="false">(AV15)+AT16-AU16</f>
        <v>3150</v>
      </c>
      <c r="AW16" s="15" t="n">
        <f aca="false">IF(AND(Motore_Operativo!C16=Finanziamenti!$D$7,Finanziamenti!$F$7=1),Finanziamenti!$C$7,0)</f>
        <v>0</v>
      </c>
      <c r="AX16" s="15" t="n">
        <f aca="false">0</f>
        <v>0</v>
      </c>
      <c r="AY16" s="15" t="n">
        <f aca="false">IF(12=Parametri_v3!$C$33,IF(BV16&lt;MIN(12,$B16-1),0,MIN(MAX(0,0)*Ipotesi!$C$94,MAX(0,(0)-(BO15)-BP16),MAX(0,BD16-Parametri_v3!$C$31))),0)</f>
        <v>0</v>
      </c>
      <c r="AZ16" s="15" t="n">
        <f aca="false">0</f>
        <v>0</v>
      </c>
      <c r="BA16" s="15" t="n">
        <f aca="false">0</f>
        <v>0</v>
      </c>
      <c r="BB16" s="15" t="n">
        <f aca="false">0</f>
        <v>0</v>
      </c>
      <c r="BC16" s="15" t="n">
        <f aca="false">0</f>
        <v>0</v>
      </c>
      <c r="BD16" s="15" t="n">
        <f aca="false">(BH15)+AC16-AF16-AI16-AS16-K16*(1+Parametri_v3!$C$26)-AL16-AQ16-O16+AW16+AX16+AZ16+BA16-BB16</f>
        <v>1020.33333333335</v>
      </c>
      <c r="BE16" s="15" t="n">
        <f aca="false">0</f>
        <v>0</v>
      </c>
      <c r="BF16" s="15" t="n">
        <f aca="false">0</f>
        <v>0</v>
      </c>
      <c r="BG16" s="15" t="n">
        <f aca="false">0</f>
        <v>0</v>
      </c>
      <c r="BH16" s="15" t="n">
        <f aca="false">BD16+BE16-BF16-AY16</f>
        <v>1020.33333333335</v>
      </c>
      <c r="BI16" s="15" t="n">
        <f aca="false">MAX(0,Parametri_v3!$C$31-BH16)</f>
        <v>8979.66666666666</v>
      </c>
      <c r="BJ16" s="15" t="n">
        <f aca="false">(BJ15)+K16</f>
        <v>3000</v>
      </c>
      <c r="BK16" s="15" t="n">
        <f aca="false">(BK15)+L16</f>
        <v>541.666666666667</v>
      </c>
      <c r="BL16" s="15" t="n">
        <f aca="false">BJ16-BK16</f>
        <v>2458.33333333333</v>
      </c>
      <c r="BM16" s="15" t="n">
        <f aca="false">(BM15)+Y16</f>
        <v>8081.20833333335</v>
      </c>
      <c r="BN16" s="15" t="n">
        <f aca="false">(BN15)+AW16+AX16+AZ16</f>
        <v>20000</v>
      </c>
      <c r="BO16" s="15" t="n">
        <f aca="false">(BO15)+AY16</f>
        <v>0</v>
      </c>
      <c r="BP16" s="15" t="n">
        <f aca="false">MIN(Parametri_v3!$C$36*Parametri_v3!$C$35,(BP15)+IF(12=1,MAX(0,0)*Parametri_v3!$C$34,0))</f>
        <v>0</v>
      </c>
      <c r="BQ16" s="15" t="n">
        <f aca="false">BN16+BM16-BO16</f>
        <v>28081.2083333333</v>
      </c>
      <c r="BR16" s="15" t="n">
        <f aca="false">BH16+AD16+BL16+MAX(0,-AM16)+MAX(0,-AR16)</f>
        <v>49228.6666666667</v>
      </c>
      <c r="BS16" s="15" t="n">
        <f aca="false">AJ16+AV16+MAX(0,AM16)+MAX(0,AR16)+BC16+BG16+BQ16+AG16</f>
        <v>49228.6666666667</v>
      </c>
      <c r="BT16" s="15" t="n">
        <f aca="false">BR16-BS16</f>
        <v>0</v>
      </c>
      <c r="BU16" s="15" t="n">
        <f aca="false">BH16-(BD16+BE16-BF16-AY16)</f>
        <v>0</v>
      </c>
      <c r="BV16" s="15" t="n">
        <f aca="false">IF(BH15&lt;Parametri_v3!$C$31,0,BV15+1)</f>
        <v>0</v>
      </c>
    </row>
    <row r="17" customFormat="false" ht="18" hidden="false" customHeight="true" outlineLevel="0" collapsed="false">
      <c r="A17" s="68" t="n">
        <f aca="false">1</f>
        <v>1</v>
      </c>
      <c r="B17" s="68" t="n">
        <f aca="false">13</f>
        <v>13</v>
      </c>
      <c r="C17" s="18" t="n">
        <f aca="false">Motore_Operativo!C17</f>
        <v>46753</v>
      </c>
      <c r="D17" s="68" t="n">
        <f aca="false">Motore_Operativo!D17</f>
        <v>2028</v>
      </c>
      <c r="E17" s="68" t="n">
        <f aca="false">Motore_Operativo!E17</f>
        <v>1</v>
      </c>
      <c r="F17" s="15" t="n">
        <f aca="false">Motore_Operativo!AM17</f>
        <v>29375</v>
      </c>
      <c r="G17" s="15" t="n">
        <f aca="false">Motore_Operativo!BH17</f>
        <v>2937.5</v>
      </c>
      <c r="H17" s="15" t="n">
        <f aca="false">Motore_Operativo!AM17</f>
        <v>29375</v>
      </c>
      <c r="I17" s="15" t="n">
        <f aca="false">Motore_Operativo!CB17</f>
        <v>28148.3333333333</v>
      </c>
      <c r="J17" s="15" t="n">
        <f aca="false">Motore_Operativo!CD17</f>
        <v>1226.66666666667</v>
      </c>
      <c r="K17" s="15" t="n">
        <f aca="false">Motore_Operativo!CF17</f>
        <v>416.666666666667</v>
      </c>
      <c r="L17" s="15" t="n">
        <f aca="false">SUM(INDEX($K$5:$K$64,MAX(1,13-Parametri_v3!$C$59+1)):K17)/Parametri_v3!$C$59</f>
        <v>94.9074074074074</v>
      </c>
      <c r="M17" s="15" t="n">
        <f aca="false">J17-L17</f>
        <v>1131.75925925926</v>
      </c>
      <c r="N17" s="15" t="n">
        <f aca="false">0</f>
        <v>0</v>
      </c>
      <c r="O17" s="15" t="n">
        <f aca="false">0</f>
        <v>0</v>
      </c>
      <c r="P17" s="15" t="n">
        <f aca="false">M17+N17-O17</f>
        <v>1131.75925925926</v>
      </c>
      <c r="Q17" s="15" t="n">
        <f aca="false">SUM(P17)+Parametri_v3!$C$56*1/12</f>
        <v>1131.75925925926</v>
      </c>
      <c r="R17" s="15" t="n">
        <f aca="false">Z16</f>
        <v>0</v>
      </c>
      <c r="S17" s="15" t="n">
        <f aca="false">AA16</f>
        <v>0</v>
      </c>
      <c r="T17" s="15" t="n">
        <f aca="false">MIN(R17,MAX(0,Q17))</f>
        <v>0</v>
      </c>
      <c r="U17" s="15" t="n">
        <f aca="false">MIN(S17,MAX(0,Q17-T17)*Parametri_v3!$C$42)</f>
        <v>0</v>
      </c>
      <c r="V17" s="15" t="n">
        <f aca="false">MAX(0,Q17-T17-U17)*Ipotesi!$C$92</f>
        <v>271.622222222223</v>
      </c>
      <c r="W17" s="15" t="n">
        <f aca="false">MAX(0,SUM(M17)+Parametri_v3!$C$57*1/12)*Ipotesi!$C$93</f>
        <v>44.1386111111112</v>
      </c>
      <c r="X17" s="15" t="n">
        <f aca="false">V17+W17-(0)</f>
        <v>315.760833333334</v>
      </c>
      <c r="Y17" s="15" t="n">
        <f aca="false">P17-X17</f>
        <v>815.998425925927</v>
      </c>
      <c r="Z17" s="15" t="n">
        <f aca="false">R17-T17+IF(AND(Parametri_v3!$C$40=1,D17-YEAR(Parametri_v3!$C$50)&lt;Parametri_v3!$C$41),MAX(0,-Q17),0)</f>
        <v>0</v>
      </c>
      <c r="AA17" s="15" t="n">
        <f aca="false">S17-U17+IF(AND(Parametri_v3!$C$40=1,D17-YEAR(Parametri_v3!$C$50)&lt;Parametri_v3!$C$41),0,MAX(0,-Q17))</f>
        <v>0</v>
      </c>
      <c r="AB17" s="15" t="n">
        <f aca="false">F17*(1+Parametri_v3!$C$26)</f>
        <v>35837.5</v>
      </c>
      <c r="AC17" s="15" t="n">
        <f aca="false">(IF(13-(INT((Motore_Operativo!L17)/30))&lt;1,0,INDEX(Motore_Advisory!$AB$5:$AB$64,MAX(1,13-(INT((Motore_Operativo!L17)/30)))))*(1-(MOD((Motore_Operativo!L17),30)/30))+IF(13-(INT((Motore_Operativo!L17)/30))-1&lt;1,0,INDEX(Motore_Advisory!$AB$5:$AB$64,MAX(1,13-(INT((Motore_Operativo!L17)/30))-1)))*(MOD((Motore_Operativo!L17),30)/30))</f>
        <v>15250</v>
      </c>
      <c r="AD17" s="15" t="n">
        <f aca="false">(AD16)+AB17-AC17</f>
        <v>66337.5</v>
      </c>
      <c r="AE17" s="15" t="n">
        <f aca="false">Motore_Operativo!BH17*(1+Parametri_v3!$C$26)</f>
        <v>3583.75</v>
      </c>
      <c r="AF17" s="15" t="n">
        <f aca="false">(IF(13-(INT((Parametri_v3!$C$29)/30))&lt;1,0,INDEX(Motore_Operativo!$BH$5:$BH$64,MAX(1,13-(INT((Parametri_v3!$C$29)/30)))))*(1-(MOD((Parametri_v3!$C$29),30)/30))+IF(13-(INT((Parametri_v3!$C$29)/30))-1&lt;1,0,INDEX(Motore_Operativo!$BH$5:$BH$64,MAX(1,13-(INT((Parametri_v3!$C$29)/30))-1)))*(MOD((Parametri_v3!$C$29),30)/30))*(1+Parametri_v3!$C$26)</f>
        <v>1525</v>
      </c>
      <c r="AG17" s="15" t="n">
        <f aca="false">(AG16)+AE17-AF17</f>
        <v>3583.75</v>
      </c>
      <c r="AH17" s="15" t="n">
        <f aca="false">(Motore_Operativo!CK17)*(1+Parametri_v3!$C$28*Parametri_v3!$C$26)</f>
        <v>10873.1</v>
      </c>
      <c r="AI17" s="15" t="n">
        <f aca="false">(IF(13-(INT((Ipotesi!$C$91)/30))&lt;1,0,INDEX(Motore_Advisory!$AH$5:$AH$64,MAX(1,13-(INT((Ipotesi!$C$91)/30)))))*(1-(MOD((Ipotesi!$C$91),30)/30))+IF(13-(INT((Ipotesi!$C$91)/30))-1&lt;1,0,INDEX(Motore_Advisory!$AH$5:$AH$64,MAX(1,13-(INT((Ipotesi!$C$91)/30))-1)))*(MOD((Ipotesi!$C$91),30)/30))</f>
        <v>5904.5</v>
      </c>
      <c r="AJ17" s="15" t="n">
        <f aca="false">(AJ16)+AH17-AI17</f>
        <v>16777.6</v>
      </c>
      <c r="AK17" s="15" t="n">
        <f aca="false">(F17- Motore_Operativo!BH17-(Motore_Operativo!CK17)*Parametri_v3!$C$28-Motore_Operativo!CF17)*Parametri_v3!$C$26</f>
        <v>4097.31666666667</v>
      </c>
      <c r="AL17" s="15" t="n">
        <f aca="false">MAX(0,(AM16))</f>
        <v>1536.33333333333</v>
      </c>
      <c r="AM17" s="15" t="n">
        <f aca="false">(AM16)+AK17-AL17</f>
        <v>4097.31666666667</v>
      </c>
      <c r="AN17" s="15" t="n">
        <f aca="false">SUM(X5:X16)</f>
        <v>3127.125</v>
      </c>
      <c r="AO17" s="15" t="n">
        <f aca="false">SUM(AP5:AP16)</f>
        <v>0</v>
      </c>
      <c r="AP17" s="15" t="n">
        <f aca="false">MAX(0,AN17)*IF(1=Parametri_v3!$C$43,Parametri_v3!$C$45,IF(1=Parametri_v3!$C$44,1-Parametri_v3!$C$45,0))</f>
        <v>0</v>
      </c>
      <c r="AQ17" s="15" t="n">
        <f aca="false">MAX(0,AP17+IF(1=Parametri_v3!$C$43,MAX(0,AN17-AO17),0)-MAX(0,-(AR16)))</f>
        <v>0</v>
      </c>
      <c r="AR17" s="15" t="n">
        <f aca="false">(AR16)+X17-AQ17</f>
        <v>3442.88583333334</v>
      </c>
      <c r="AS17" s="15" t="n">
        <f aca="false">Motore_Operativo!AC17-AT17+AU17</f>
        <v>15166.75</v>
      </c>
      <c r="AT17" s="15" t="n">
        <f aca="false">Motore_Operativo!CI17</f>
        <v>798.25</v>
      </c>
      <c r="AU17" s="15" t="n">
        <f aca="false">MIN(MAX(0,(AV16)+AT17),Parametri_v3!$C$61/12)</f>
        <v>0</v>
      </c>
      <c r="AV17" s="15" t="n">
        <f aca="false">(AV16)+AT17-AU17</f>
        <v>3948.25</v>
      </c>
      <c r="AW17" s="15" t="n">
        <f aca="false">IF(AND(Motore_Operativo!C17=Finanziamenti!$D$7,Finanziamenti!$F$7=1),Finanziamenti!$C$7,0)</f>
        <v>0</v>
      </c>
      <c r="AX17" s="15" t="n">
        <f aca="false">0</f>
        <v>0</v>
      </c>
      <c r="AY17" s="15" t="n">
        <f aca="false">IF(1=Parametri_v3!$C$33,IF(BV17&lt;MIN(12,$B17-1),0,MIN(MAX(0,SUM(Y5:Y16))*Ipotesi!$C$94,MAX(0,(BM16)-(BO16)-BP17),MAX(0,BD17-Parametri_v3!$C$31))),0)</f>
        <v>0</v>
      </c>
      <c r="AZ17" s="15" t="n">
        <f aca="false">0</f>
        <v>0</v>
      </c>
      <c r="BA17" s="15" t="n">
        <f aca="false">0</f>
        <v>0</v>
      </c>
      <c r="BB17" s="15" t="n">
        <f aca="false">0</f>
        <v>0</v>
      </c>
      <c r="BC17" s="15" t="n">
        <f aca="false">0</f>
        <v>0</v>
      </c>
      <c r="BD17" s="15" t="n">
        <f aca="false">(BH16)+AC17-AF17-AI17-AS17-K17*(1+Parametri_v3!$C$26)-AL17-AQ17-O17+AW17+AX17+AZ17+BA17-BB17</f>
        <v>-8370.58333333332</v>
      </c>
      <c r="BE17" s="15" t="n">
        <f aca="false">0</f>
        <v>0</v>
      </c>
      <c r="BF17" s="15" t="n">
        <f aca="false">0</f>
        <v>0</v>
      </c>
      <c r="BG17" s="15" t="n">
        <f aca="false">0</f>
        <v>0</v>
      </c>
      <c r="BH17" s="15" t="n">
        <f aca="false">BD17+BE17-BF17-AY17</f>
        <v>-8370.58333333332</v>
      </c>
      <c r="BI17" s="15" t="n">
        <f aca="false">MAX(0,Parametri_v3!$C$31-BH17)</f>
        <v>18370.5833333333</v>
      </c>
      <c r="BJ17" s="15" t="n">
        <f aca="false">(BJ16)+K17</f>
        <v>3416.66666666667</v>
      </c>
      <c r="BK17" s="15" t="n">
        <f aca="false">(BK16)+L17</f>
        <v>636.574074074074</v>
      </c>
      <c r="BL17" s="15" t="n">
        <f aca="false">BJ17-BK17</f>
        <v>2780.09259259259</v>
      </c>
      <c r="BM17" s="15" t="n">
        <f aca="false">(BM16)+Y17</f>
        <v>8897.20675925927</v>
      </c>
      <c r="BN17" s="15" t="n">
        <f aca="false">(BN16)+AW17+AX17+AZ17</f>
        <v>20000</v>
      </c>
      <c r="BO17" s="15" t="n">
        <f aca="false">(BO16)+AY17</f>
        <v>0</v>
      </c>
      <c r="BP17" s="15" t="n">
        <f aca="false">MIN(Parametri_v3!$C$36*Parametri_v3!$C$35,(BP16)+IF(1=1,MAX(0,SUM(Y5:Y16))*Parametri_v3!$C$34,0))</f>
        <v>404.060416666667</v>
      </c>
      <c r="BQ17" s="15" t="n">
        <f aca="false">BN17+BM17-BO17</f>
        <v>28897.2067592593</v>
      </c>
      <c r="BR17" s="15" t="n">
        <f aca="false">BH17+AD17+BL17+MAX(0,-AM17)+MAX(0,-AR17)</f>
        <v>60747.0092592593</v>
      </c>
      <c r="BS17" s="15" t="n">
        <f aca="false">AJ17+AV17+MAX(0,AM17)+MAX(0,AR17)+BC17+BG17+BQ17+AG17</f>
        <v>60747.0092592593</v>
      </c>
      <c r="BT17" s="15" t="n">
        <f aca="false">BR17-BS17</f>
        <v>0</v>
      </c>
      <c r="BU17" s="15" t="n">
        <f aca="false">BH17-(BD17+BE17-BF17-AY17)</f>
        <v>0</v>
      </c>
      <c r="BV17" s="15" t="n">
        <f aca="false">IF(BH16&lt;Parametri_v3!$C$31,0,BV16+1)</f>
        <v>0</v>
      </c>
    </row>
    <row r="18" customFormat="false" ht="18" hidden="false" customHeight="true" outlineLevel="0" collapsed="false">
      <c r="A18" s="68" t="n">
        <f aca="false">1</f>
        <v>1</v>
      </c>
      <c r="B18" s="68" t="n">
        <f aca="false">14</f>
        <v>14</v>
      </c>
      <c r="C18" s="18" t="n">
        <f aca="false">Motore_Operativo!C18</f>
        <v>46784</v>
      </c>
      <c r="D18" s="68" t="n">
        <f aca="false">Motore_Operativo!D18</f>
        <v>2028</v>
      </c>
      <c r="E18" s="68" t="n">
        <f aca="false">Motore_Operativo!E18</f>
        <v>2</v>
      </c>
      <c r="F18" s="15" t="n">
        <f aca="false">Motore_Operativo!AM18</f>
        <v>29375</v>
      </c>
      <c r="G18" s="15" t="n">
        <f aca="false">Motore_Operativo!BH18</f>
        <v>2937.5</v>
      </c>
      <c r="H18" s="15" t="n">
        <f aca="false">Motore_Operativo!AM18</f>
        <v>29375</v>
      </c>
      <c r="I18" s="15" t="n">
        <f aca="false">Motore_Operativo!CB18</f>
        <v>28148.3333333333</v>
      </c>
      <c r="J18" s="15" t="n">
        <f aca="false">Motore_Operativo!CD18</f>
        <v>1226.66666666667</v>
      </c>
      <c r="K18" s="15" t="n">
        <f aca="false">Motore_Operativo!CF18</f>
        <v>416.666666666667</v>
      </c>
      <c r="L18" s="15" t="n">
        <f aca="false">SUM(INDEX($K$5:$K$64,MAX(1,14-Parametri_v3!$C$59+1)):K18)/Parametri_v3!$C$59</f>
        <v>106.481481481481</v>
      </c>
      <c r="M18" s="15" t="n">
        <f aca="false">J18-L18</f>
        <v>1120.18518518519</v>
      </c>
      <c r="N18" s="15" t="n">
        <f aca="false">0</f>
        <v>0</v>
      </c>
      <c r="O18" s="15" t="n">
        <f aca="false">0</f>
        <v>0</v>
      </c>
      <c r="P18" s="15" t="n">
        <f aca="false">M18+N18-O18</f>
        <v>1120.18518518519</v>
      </c>
      <c r="Q18" s="15" t="n">
        <f aca="false">SUM(P17:P18)+Parametri_v3!$C$56*2/12</f>
        <v>2251.94444444445</v>
      </c>
      <c r="R18" s="15" t="n">
        <f aca="false">Z16</f>
        <v>0</v>
      </c>
      <c r="S18" s="15" t="n">
        <f aca="false">AA16</f>
        <v>0</v>
      </c>
      <c r="T18" s="15" t="n">
        <f aca="false">MIN(R18,MAX(0,Q18))</f>
        <v>0</v>
      </c>
      <c r="U18" s="15" t="n">
        <f aca="false">MIN(S18,MAX(0,Q18-T18)*Parametri_v3!$C$42)</f>
        <v>0</v>
      </c>
      <c r="V18" s="15" t="n">
        <f aca="false">MAX(0,Q18-T18-U18)*Ipotesi!$C$92</f>
        <v>540.466666666667</v>
      </c>
      <c r="W18" s="15" t="n">
        <f aca="false">MAX(0,SUM(M17:M18)+Parametri_v3!$C$57*2/12)*Ipotesi!$C$93</f>
        <v>87.8258333333334</v>
      </c>
      <c r="X18" s="15" t="n">
        <f aca="false">V18+W18-(V17+W17)</f>
        <v>312.531666666667</v>
      </c>
      <c r="Y18" s="15" t="n">
        <f aca="false">P18-X18</f>
        <v>807.653518518519</v>
      </c>
      <c r="Z18" s="15" t="n">
        <f aca="false">R18-T18+IF(AND(Parametri_v3!$C$40=1,D18-YEAR(Parametri_v3!$C$50)&lt;Parametri_v3!$C$41),MAX(0,-Q18),0)</f>
        <v>0</v>
      </c>
      <c r="AA18" s="15" t="n">
        <f aca="false">S18-U18+IF(AND(Parametri_v3!$C$40=1,D18-YEAR(Parametri_v3!$C$50)&lt;Parametri_v3!$C$41),0,MAX(0,-Q18))</f>
        <v>0</v>
      </c>
      <c r="AB18" s="15" t="n">
        <f aca="false">F18*(1+Parametri_v3!$C$26)</f>
        <v>35837.5</v>
      </c>
      <c r="AC18" s="15" t="n">
        <f aca="false">(IF(14-(INT((Motore_Operativo!L18)/30))&lt;1,0,INDEX(Motore_Advisory!$AB$5:$AB$64,MAX(1,14-(INT((Motore_Operativo!L18)/30)))))*(1-(MOD((Motore_Operativo!L18),30)/30))+IF(14-(INT((Motore_Operativo!L18)/30))-1&lt;1,0,INDEX(Motore_Advisory!$AB$5:$AB$64,MAX(1,14-(INT((Motore_Operativo!L18)/30))-1)))*(MOD((Motore_Operativo!L18),30)/30))</f>
        <v>15250</v>
      </c>
      <c r="AD18" s="15" t="n">
        <f aca="false">(AD17)+AB18-AC18</f>
        <v>86925</v>
      </c>
      <c r="AE18" s="15" t="n">
        <f aca="false">Motore_Operativo!BH18*(1+Parametri_v3!$C$26)</f>
        <v>3583.75</v>
      </c>
      <c r="AF18" s="15" t="n">
        <f aca="false">(IF(14-(INT((Parametri_v3!$C$29)/30))&lt;1,0,INDEX(Motore_Operativo!$BH$5:$BH$64,MAX(1,14-(INT((Parametri_v3!$C$29)/30)))))*(1-(MOD((Parametri_v3!$C$29),30)/30))+IF(14-(INT((Parametri_v3!$C$29)/30))-1&lt;1,0,INDEX(Motore_Operativo!$BH$5:$BH$64,MAX(1,14-(INT((Parametri_v3!$C$29)/30))-1)))*(MOD((Parametri_v3!$C$29),30)/30))*(1+Parametri_v3!$C$26)</f>
        <v>3583.75</v>
      </c>
      <c r="AG18" s="15" t="n">
        <f aca="false">(AG17)+AE18-AF18</f>
        <v>3583.75</v>
      </c>
      <c r="AH18" s="15" t="n">
        <f aca="false">(Motore_Operativo!CK18)*(1+Parametri_v3!$C$28*Parametri_v3!$C$26)</f>
        <v>10873.1</v>
      </c>
      <c r="AI18" s="15" t="n">
        <f aca="false">(IF(14-(INT((Ipotesi!$C$91)/30))&lt;1,0,INDEX(Motore_Advisory!$AH$5:$AH$64,MAX(1,14-(INT((Ipotesi!$C$91)/30)))))*(1-(MOD((Ipotesi!$C$91),30)/30))+IF(14-(INT((Ipotesi!$C$91)/30))-1&lt;1,0,INDEX(Motore_Advisory!$AH$5:$AH$64,MAX(1,14-(INT((Ipotesi!$C$91)/30))-1)))*(MOD((Ipotesi!$C$91),30)/30))</f>
        <v>5904.5</v>
      </c>
      <c r="AJ18" s="15" t="n">
        <f aca="false">(AJ17)+AH18-AI18</f>
        <v>21746.2</v>
      </c>
      <c r="AK18" s="15" t="n">
        <f aca="false">(F18- Motore_Operativo!BH18-(Motore_Operativo!CK18)*Parametri_v3!$C$28-Motore_Operativo!CF18)*Parametri_v3!$C$26</f>
        <v>4097.31666666667</v>
      </c>
      <c r="AL18" s="15" t="n">
        <f aca="false">MAX(0,(AM17))</f>
        <v>4097.31666666667</v>
      </c>
      <c r="AM18" s="15" t="n">
        <f aca="false">(AM17)+AK18-AL18</f>
        <v>4097.31666666667</v>
      </c>
      <c r="AN18" s="15" t="n">
        <f aca="false">SUM(X5:X16)</f>
        <v>3127.125</v>
      </c>
      <c r="AO18" s="15" t="n">
        <f aca="false">SUM(AP5:AP16)</f>
        <v>0</v>
      </c>
      <c r="AP18" s="15" t="n">
        <f aca="false">MAX(0,AN18)*IF(2=Parametri_v3!$C$43,Parametri_v3!$C$45,IF(2=Parametri_v3!$C$44,1-Parametri_v3!$C$45,0))</f>
        <v>0</v>
      </c>
      <c r="AQ18" s="15" t="n">
        <f aca="false">MAX(0,AP18+IF(2=Parametri_v3!$C$43,MAX(0,AN18-AO18),0)-MAX(0,-(AR17)))</f>
        <v>0</v>
      </c>
      <c r="AR18" s="15" t="n">
        <f aca="false">(AR17)+X18-AQ18</f>
        <v>3755.4175</v>
      </c>
      <c r="AS18" s="15" t="n">
        <f aca="false">Motore_Operativo!AC18-AT18+AU18</f>
        <v>15166.75</v>
      </c>
      <c r="AT18" s="15" t="n">
        <f aca="false">Motore_Operativo!CI18</f>
        <v>798.25</v>
      </c>
      <c r="AU18" s="15" t="n">
        <f aca="false">MIN(MAX(0,(AV17)+AT18),Parametri_v3!$C$61/12)</f>
        <v>0</v>
      </c>
      <c r="AV18" s="15" t="n">
        <f aca="false">(AV17)+AT18-AU18</f>
        <v>4746.5</v>
      </c>
      <c r="AW18" s="15" t="n">
        <f aca="false">IF(AND(Motore_Operativo!C18=Finanziamenti!$D$7,Finanziamenti!$F$7=1),Finanziamenti!$C$7,0)</f>
        <v>0</v>
      </c>
      <c r="AX18" s="15" t="n">
        <f aca="false">0</f>
        <v>0</v>
      </c>
      <c r="AY18" s="15" t="n">
        <f aca="false">IF(2=Parametri_v3!$C$33,IF(BV18&lt;MIN(12,$B18-1),0,MIN(MAX(0,SUM(Y5:Y16))*Ipotesi!$C$94,MAX(0,(BM16)-(BO17)-BP18),MAX(0,BD18-Parametri_v3!$C$31))),0)</f>
        <v>0</v>
      </c>
      <c r="AZ18" s="15" t="n">
        <f aca="false">0</f>
        <v>0</v>
      </c>
      <c r="BA18" s="15" t="n">
        <f aca="false">0</f>
        <v>0</v>
      </c>
      <c r="BB18" s="15" t="n">
        <f aca="false">0</f>
        <v>0</v>
      </c>
      <c r="BC18" s="15" t="n">
        <f aca="false">0</f>
        <v>0</v>
      </c>
      <c r="BD18" s="15" t="n">
        <f aca="false">(BH17)+AC18-AF18-AI18-AS18-K18*(1+Parametri_v3!$C$26)-AL18-AQ18-O18+AW18+AX18+AZ18+BA18-BB18</f>
        <v>-22381.2333333333</v>
      </c>
      <c r="BE18" s="15" t="n">
        <f aca="false">0</f>
        <v>0</v>
      </c>
      <c r="BF18" s="15" t="n">
        <f aca="false">0</f>
        <v>0</v>
      </c>
      <c r="BG18" s="15" t="n">
        <f aca="false">0</f>
        <v>0</v>
      </c>
      <c r="BH18" s="15" t="n">
        <f aca="false">BD18+BE18-BF18-AY18</f>
        <v>-22381.2333333333</v>
      </c>
      <c r="BI18" s="15" t="n">
        <f aca="false">MAX(0,Parametri_v3!$C$31-BH18)</f>
        <v>32381.2333333333</v>
      </c>
      <c r="BJ18" s="15" t="n">
        <f aca="false">(BJ17)+K18</f>
        <v>3833.33333333333</v>
      </c>
      <c r="BK18" s="15" t="n">
        <f aca="false">(BK17)+L18</f>
        <v>743.055555555556</v>
      </c>
      <c r="BL18" s="15" t="n">
        <f aca="false">BJ18-BK18</f>
        <v>3090.27777777778</v>
      </c>
      <c r="BM18" s="15" t="n">
        <f aca="false">(BM17)+Y18</f>
        <v>9704.86027777779</v>
      </c>
      <c r="BN18" s="15" t="n">
        <f aca="false">(BN17)+AW18+AX18+AZ18</f>
        <v>20000</v>
      </c>
      <c r="BO18" s="15" t="n">
        <f aca="false">(BO17)+AY18</f>
        <v>0</v>
      </c>
      <c r="BP18" s="15" t="n">
        <f aca="false">MIN(Parametri_v3!$C$36*Parametri_v3!$C$35,(BP17)+IF(2=1,MAX(0,SUM(Y5:Y16))*Parametri_v3!$C$34,0))</f>
        <v>404.060416666667</v>
      </c>
      <c r="BQ18" s="15" t="n">
        <f aca="false">BN18+BM18-BO18</f>
        <v>29704.8602777778</v>
      </c>
      <c r="BR18" s="15" t="n">
        <f aca="false">BH18+AD18+BL18+MAX(0,-AM18)+MAX(0,-AR18)</f>
        <v>67634.0444444445</v>
      </c>
      <c r="BS18" s="15" t="n">
        <f aca="false">AJ18+AV18+MAX(0,AM18)+MAX(0,AR18)+BC18+BG18+BQ18+AG18</f>
        <v>67634.0444444444</v>
      </c>
      <c r="BT18" s="15" t="n">
        <f aca="false">BR18-BS18</f>
        <v>0</v>
      </c>
      <c r="BU18" s="15" t="n">
        <f aca="false">BH18-(BD18+BE18-BF18-AY18)</f>
        <v>0</v>
      </c>
      <c r="BV18" s="15" t="n">
        <f aca="false">IF(BH17&lt;Parametri_v3!$C$31,0,BV17+1)</f>
        <v>0</v>
      </c>
    </row>
    <row r="19" customFormat="false" ht="18" hidden="false" customHeight="true" outlineLevel="0" collapsed="false">
      <c r="A19" s="68" t="n">
        <f aca="false">1</f>
        <v>1</v>
      </c>
      <c r="B19" s="68" t="n">
        <f aca="false">15</f>
        <v>15</v>
      </c>
      <c r="C19" s="18" t="n">
        <f aca="false">Motore_Operativo!C19</f>
        <v>46813</v>
      </c>
      <c r="D19" s="68" t="n">
        <f aca="false">Motore_Operativo!D19</f>
        <v>2028</v>
      </c>
      <c r="E19" s="68" t="n">
        <f aca="false">Motore_Operativo!E19</f>
        <v>3</v>
      </c>
      <c r="F19" s="15" t="n">
        <f aca="false">Motore_Operativo!AM19</f>
        <v>29375</v>
      </c>
      <c r="G19" s="15" t="n">
        <f aca="false">Motore_Operativo!BH19</f>
        <v>2937.5</v>
      </c>
      <c r="H19" s="15" t="n">
        <f aca="false">Motore_Operativo!AM19</f>
        <v>29375</v>
      </c>
      <c r="I19" s="15" t="n">
        <f aca="false">Motore_Operativo!CB19</f>
        <v>28148.3333333333</v>
      </c>
      <c r="J19" s="15" t="n">
        <f aca="false">Motore_Operativo!CD19</f>
        <v>1226.66666666667</v>
      </c>
      <c r="K19" s="15" t="n">
        <f aca="false">Motore_Operativo!CF19</f>
        <v>416.666666666667</v>
      </c>
      <c r="L19" s="15" t="n">
        <f aca="false">SUM(INDEX($K$5:$K$64,MAX(1,15-Parametri_v3!$C$59+1)):K19)/Parametri_v3!$C$59</f>
        <v>118.055555555556</v>
      </c>
      <c r="M19" s="15" t="n">
        <f aca="false">J19-L19</f>
        <v>1108.61111111111</v>
      </c>
      <c r="N19" s="15" t="n">
        <f aca="false">0</f>
        <v>0</v>
      </c>
      <c r="O19" s="15" t="n">
        <f aca="false">0</f>
        <v>0</v>
      </c>
      <c r="P19" s="15" t="n">
        <f aca="false">M19+N19-O19</f>
        <v>1108.61111111111</v>
      </c>
      <c r="Q19" s="15" t="n">
        <f aca="false">SUM(P17:P19)+Parametri_v3!$C$56*3/12</f>
        <v>3360.55555555556</v>
      </c>
      <c r="R19" s="15" t="n">
        <f aca="false">Z16</f>
        <v>0</v>
      </c>
      <c r="S19" s="15" t="n">
        <f aca="false">AA16</f>
        <v>0</v>
      </c>
      <c r="T19" s="15" t="n">
        <f aca="false">MIN(R19,MAX(0,Q19))</f>
        <v>0</v>
      </c>
      <c r="U19" s="15" t="n">
        <f aca="false">MIN(S19,MAX(0,Q19-T19)*Parametri_v3!$C$42)</f>
        <v>0</v>
      </c>
      <c r="V19" s="15" t="n">
        <f aca="false">MAX(0,Q19-T19-U19)*Ipotesi!$C$92</f>
        <v>806.533333333334</v>
      </c>
      <c r="W19" s="15" t="n">
        <f aca="false">MAX(0,SUM(M17:M19)+Parametri_v3!$C$57*3/12)*Ipotesi!$C$93</f>
        <v>131.061666666667</v>
      </c>
      <c r="X19" s="15" t="n">
        <f aca="false">V19+W19-(V18+W18)</f>
        <v>309.3025</v>
      </c>
      <c r="Y19" s="15" t="n">
        <f aca="false">P19-X19</f>
        <v>799.308611111112</v>
      </c>
      <c r="Z19" s="15" t="n">
        <f aca="false">R19-T19+IF(AND(Parametri_v3!$C$40=1,D19-YEAR(Parametri_v3!$C$50)&lt;Parametri_v3!$C$41),MAX(0,-Q19),0)</f>
        <v>0</v>
      </c>
      <c r="AA19" s="15" t="n">
        <f aca="false">S19-U19+IF(AND(Parametri_v3!$C$40=1,D19-YEAR(Parametri_v3!$C$50)&lt;Parametri_v3!$C$41),0,MAX(0,-Q19))</f>
        <v>0</v>
      </c>
      <c r="AB19" s="15" t="n">
        <f aca="false">F19*(1+Parametri_v3!$C$26)</f>
        <v>35837.5</v>
      </c>
      <c r="AC19" s="15" t="n">
        <f aca="false">(IF(15-(INT((Motore_Operativo!L19)/30))&lt;1,0,INDEX(Motore_Advisory!$AB$5:$AB$64,MAX(1,15-(INT((Motore_Operativo!L19)/30)))))*(1-(MOD((Motore_Operativo!L19),30)/30))+IF(15-(INT((Motore_Operativo!L19)/30))-1&lt;1,0,INDEX(Motore_Advisory!$AB$5:$AB$64,MAX(1,15-(INT((Motore_Operativo!L19)/30))-1)))*(MOD((Motore_Operativo!L19),30)/30))</f>
        <v>15250</v>
      </c>
      <c r="AD19" s="15" t="n">
        <f aca="false">(AD18)+AB19-AC19</f>
        <v>107512.5</v>
      </c>
      <c r="AE19" s="15" t="n">
        <f aca="false">Motore_Operativo!BH19*(1+Parametri_v3!$C$26)</f>
        <v>3583.75</v>
      </c>
      <c r="AF19" s="15" t="n">
        <f aca="false">(IF(15-(INT((Parametri_v3!$C$29)/30))&lt;1,0,INDEX(Motore_Operativo!$BH$5:$BH$64,MAX(1,15-(INT((Parametri_v3!$C$29)/30)))))*(1-(MOD((Parametri_v3!$C$29),30)/30))+IF(15-(INT((Parametri_v3!$C$29)/30))-1&lt;1,0,INDEX(Motore_Operativo!$BH$5:$BH$64,MAX(1,15-(INT((Parametri_v3!$C$29)/30))-1)))*(MOD((Parametri_v3!$C$29),30)/30))*(1+Parametri_v3!$C$26)</f>
        <v>3583.75</v>
      </c>
      <c r="AG19" s="15" t="n">
        <f aca="false">(AG18)+AE19-AF19</f>
        <v>3583.75</v>
      </c>
      <c r="AH19" s="15" t="n">
        <f aca="false">(Motore_Operativo!CK19)*(1+Parametri_v3!$C$28*Parametri_v3!$C$26)</f>
        <v>10873.1</v>
      </c>
      <c r="AI19" s="15" t="n">
        <f aca="false">(IF(15-(INT((Ipotesi!$C$91)/30))&lt;1,0,INDEX(Motore_Advisory!$AH$5:$AH$64,MAX(1,15-(INT((Ipotesi!$C$91)/30)))))*(1-(MOD((Ipotesi!$C$91),30)/30))+IF(15-(INT((Ipotesi!$C$91)/30))-1&lt;1,0,INDEX(Motore_Advisory!$AH$5:$AH$64,MAX(1,15-(INT((Ipotesi!$C$91)/30))-1)))*(MOD((Ipotesi!$C$91),30)/30))</f>
        <v>10873.1</v>
      </c>
      <c r="AJ19" s="15" t="n">
        <f aca="false">(AJ18)+AH19-AI19</f>
        <v>21746.2</v>
      </c>
      <c r="AK19" s="15" t="n">
        <f aca="false">(F19- Motore_Operativo!BH19-(Motore_Operativo!CK19)*Parametri_v3!$C$28-Motore_Operativo!CF19)*Parametri_v3!$C$26</f>
        <v>4097.31666666667</v>
      </c>
      <c r="AL19" s="15" t="n">
        <f aca="false">MAX(0,(AM18))</f>
        <v>4097.31666666667</v>
      </c>
      <c r="AM19" s="15" t="n">
        <f aca="false">(AM18)+AK19-AL19</f>
        <v>4097.31666666667</v>
      </c>
      <c r="AN19" s="15" t="n">
        <f aca="false">SUM(X5:X16)</f>
        <v>3127.125</v>
      </c>
      <c r="AO19" s="15" t="n">
        <f aca="false">SUM(AP5:AP16)</f>
        <v>0</v>
      </c>
      <c r="AP19" s="15" t="n">
        <f aca="false">MAX(0,AN19)*IF(3=Parametri_v3!$C$43,Parametri_v3!$C$45,IF(3=Parametri_v3!$C$44,1-Parametri_v3!$C$45,0))</f>
        <v>0</v>
      </c>
      <c r="AQ19" s="15" t="n">
        <f aca="false">MAX(0,AP19+IF(3=Parametri_v3!$C$43,MAX(0,AN19-AO19),0)-MAX(0,-(AR18)))</f>
        <v>0</v>
      </c>
      <c r="AR19" s="15" t="n">
        <f aca="false">(AR18)+X19-AQ19</f>
        <v>4064.72000000001</v>
      </c>
      <c r="AS19" s="15" t="n">
        <f aca="false">Motore_Operativo!AC19-AT19+AU19</f>
        <v>15166.75</v>
      </c>
      <c r="AT19" s="15" t="n">
        <f aca="false">Motore_Operativo!CI19</f>
        <v>798.25</v>
      </c>
      <c r="AU19" s="15" t="n">
        <f aca="false">MIN(MAX(0,(AV18)+AT19),Parametri_v3!$C$61/12)</f>
        <v>0</v>
      </c>
      <c r="AV19" s="15" t="n">
        <f aca="false">(AV18)+AT19-AU19</f>
        <v>5544.75</v>
      </c>
      <c r="AW19" s="15" t="n">
        <f aca="false">IF(AND(Motore_Operativo!C19=Finanziamenti!$D$7,Finanziamenti!$F$7=1),Finanziamenti!$C$7,0)</f>
        <v>0</v>
      </c>
      <c r="AX19" s="15" t="n">
        <f aca="false">0</f>
        <v>0</v>
      </c>
      <c r="AY19" s="15" t="n">
        <f aca="false">IF(3=Parametri_v3!$C$33,IF(BV19&lt;MIN(12,$B19-1),0,MIN(MAX(0,SUM(Y5:Y16))*Ipotesi!$C$94,MAX(0,(BM16)-(BO18)-BP19),MAX(0,BD19-Parametri_v3!$C$31))),0)</f>
        <v>0</v>
      </c>
      <c r="AZ19" s="15" t="n">
        <f aca="false">0</f>
        <v>0</v>
      </c>
      <c r="BA19" s="15" t="n">
        <f aca="false">0</f>
        <v>0</v>
      </c>
      <c r="BB19" s="15" t="n">
        <f aca="false">0</f>
        <v>0</v>
      </c>
      <c r="BC19" s="15" t="n">
        <f aca="false">0</f>
        <v>0</v>
      </c>
      <c r="BD19" s="15" t="n">
        <f aca="false">(BH18)+AC19-AF19-AI19-AS19-K19*(1+Parametri_v3!$C$26)-AL19-AQ19-O19+AW19+AX19+AZ19+BA19-BB19</f>
        <v>-41360.4833333333</v>
      </c>
      <c r="BE19" s="15" t="n">
        <f aca="false">0</f>
        <v>0</v>
      </c>
      <c r="BF19" s="15" t="n">
        <f aca="false">0</f>
        <v>0</v>
      </c>
      <c r="BG19" s="15" t="n">
        <f aca="false">0</f>
        <v>0</v>
      </c>
      <c r="BH19" s="15" t="n">
        <f aca="false">BD19+BE19-BF19-AY19</f>
        <v>-41360.4833333333</v>
      </c>
      <c r="BI19" s="15" t="n">
        <f aca="false">MAX(0,Parametri_v3!$C$31-BH19)</f>
        <v>51360.4833333333</v>
      </c>
      <c r="BJ19" s="15" t="n">
        <f aca="false">(BJ18)+K19</f>
        <v>4250</v>
      </c>
      <c r="BK19" s="15" t="n">
        <f aca="false">(BK18)+L19</f>
        <v>861.111111111111</v>
      </c>
      <c r="BL19" s="15" t="n">
        <f aca="false">BJ19-BK19</f>
        <v>3388.88888888889</v>
      </c>
      <c r="BM19" s="15" t="n">
        <f aca="false">(BM18)+Y19</f>
        <v>10504.1688888889</v>
      </c>
      <c r="BN19" s="15" t="n">
        <f aca="false">(BN18)+AW19+AX19+AZ19</f>
        <v>20000</v>
      </c>
      <c r="BO19" s="15" t="n">
        <f aca="false">(BO18)+AY19</f>
        <v>0</v>
      </c>
      <c r="BP19" s="15" t="n">
        <f aca="false">MIN(Parametri_v3!$C$36*Parametri_v3!$C$35,(BP18)+IF(3=1,MAX(0,SUM(Y5:Y16))*Parametri_v3!$C$34,0))</f>
        <v>404.060416666667</v>
      </c>
      <c r="BQ19" s="15" t="n">
        <f aca="false">BN19+BM19-BO19</f>
        <v>30504.1688888889</v>
      </c>
      <c r="BR19" s="15" t="n">
        <f aca="false">BH19+AD19+BL19+MAX(0,-AM19)+MAX(0,-AR19)</f>
        <v>69540.9055555556</v>
      </c>
      <c r="BS19" s="15" t="n">
        <f aca="false">AJ19+AV19+MAX(0,AM19)+MAX(0,AR19)+BC19+BG19+BQ19+AG19</f>
        <v>69540.9055555556</v>
      </c>
      <c r="BT19" s="15" t="n">
        <f aca="false">BR19-BS19</f>
        <v>0</v>
      </c>
      <c r="BU19" s="15" t="n">
        <f aca="false">BH19-(BD19+BE19-BF19-AY19)</f>
        <v>0</v>
      </c>
      <c r="BV19" s="15" t="n">
        <f aca="false">IF(BH18&lt;Parametri_v3!$C$31,0,BV18+1)</f>
        <v>0</v>
      </c>
    </row>
    <row r="20" customFormat="false" ht="18" hidden="false" customHeight="true" outlineLevel="0" collapsed="false">
      <c r="A20" s="68" t="n">
        <f aca="false">1</f>
        <v>1</v>
      </c>
      <c r="B20" s="68" t="n">
        <f aca="false">16</f>
        <v>16</v>
      </c>
      <c r="C20" s="18" t="n">
        <f aca="false">Motore_Operativo!C20</f>
        <v>46844</v>
      </c>
      <c r="D20" s="68" t="n">
        <f aca="false">Motore_Operativo!D20</f>
        <v>2028</v>
      </c>
      <c r="E20" s="68" t="n">
        <f aca="false">Motore_Operativo!E20</f>
        <v>4</v>
      </c>
      <c r="F20" s="15" t="n">
        <f aca="false">Motore_Operativo!AM20</f>
        <v>29375</v>
      </c>
      <c r="G20" s="15" t="n">
        <f aca="false">Motore_Operativo!BH20</f>
        <v>2937.5</v>
      </c>
      <c r="H20" s="15" t="n">
        <f aca="false">Motore_Operativo!AM20</f>
        <v>29375</v>
      </c>
      <c r="I20" s="15" t="n">
        <f aca="false">Motore_Operativo!CB20</f>
        <v>28148.3333333333</v>
      </c>
      <c r="J20" s="15" t="n">
        <f aca="false">Motore_Operativo!CD20</f>
        <v>1226.66666666667</v>
      </c>
      <c r="K20" s="15" t="n">
        <f aca="false">Motore_Operativo!CF20</f>
        <v>416.666666666667</v>
      </c>
      <c r="L20" s="15" t="n">
        <f aca="false">SUM(INDEX($K$5:$K$64,MAX(1,16-Parametri_v3!$C$59+1)):K20)/Parametri_v3!$C$59</f>
        <v>129.62962962963</v>
      </c>
      <c r="M20" s="15" t="n">
        <f aca="false">J20-L20</f>
        <v>1097.03703703704</v>
      </c>
      <c r="N20" s="15" t="n">
        <f aca="false">0</f>
        <v>0</v>
      </c>
      <c r="O20" s="15" t="n">
        <f aca="false">0</f>
        <v>0</v>
      </c>
      <c r="P20" s="15" t="n">
        <f aca="false">M20+N20-O20</f>
        <v>1097.03703703704</v>
      </c>
      <c r="Q20" s="15" t="n">
        <f aca="false">SUM(P17:P20)+Parametri_v3!$C$56*4/12</f>
        <v>4457.5925925926</v>
      </c>
      <c r="R20" s="15" t="n">
        <f aca="false">Z16</f>
        <v>0</v>
      </c>
      <c r="S20" s="15" t="n">
        <f aca="false">AA16</f>
        <v>0</v>
      </c>
      <c r="T20" s="15" t="n">
        <f aca="false">MIN(R20,MAX(0,Q20))</f>
        <v>0</v>
      </c>
      <c r="U20" s="15" t="n">
        <f aca="false">MIN(S20,MAX(0,Q20-T20)*Parametri_v3!$C$42)</f>
        <v>0</v>
      </c>
      <c r="V20" s="15" t="n">
        <f aca="false">MAX(0,Q20-T20-U20)*Ipotesi!$C$92</f>
        <v>1069.82222222222</v>
      </c>
      <c r="W20" s="15" t="n">
        <f aca="false">MAX(0,SUM(M17:M20)+Parametri_v3!$C$57*4/12)*Ipotesi!$C$93</f>
        <v>173.846111111111</v>
      </c>
      <c r="X20" s="15" t="n">
        <f aca="false">V20+W20-(V19+W19)</f>
        <v>306.073333333334</v>
      </c>
      <c r="Y20" s="15" t="n">
        <f aca="false">P20-X20</f>
        <v>790.963703703705</v>
      </c>
      <c r="Z20" s="15" t="n">
        <f aca="false">R20-T20+IF(AND(Parametri_v3!$C$40=1,D20-YEAR(Parametri_v3!$C$50)&lt;Parametri_v3!$C$41),MAX(0,-Q20),0)</f>
        <v>0</v>
      </c>
      <c r="AA20" s="15" t="n">
        <f aca="false">S20-U20+IF(AND(Parametri_v3!$C$40=1,D20-YEAR(Parametri_v3!$C$50)&lt;Parametri_v3!$C$41),0,MAX(0,-Q20))</f>
        <v>0</v>
      </c>
      <c r="AB20" s="15" t="n">
        <f aca="false">F20*(1+Parametri_v3!$C$26)</f>
        <v>35837.5</v>
      </c>
      <c r="AC20" s="15" t="n">
        <f aca="false">(IF(16-(INT((Motore_Operativo!L20)/30))&lt;1,0,INDEX(Motore_Advisory!$AB$5:$AB$64,MAX(1,16-(INT((Motore_Operativo!L20)/30)))))*(1-(MOD((Motore_Operativo!L20),30)/30))+IF(16-(INT((Motore_Operativo!L20)/30))-1&lt;1,0,INDEX(Motore_Advisory!$AB$5:$AB$64,MAX(1,16-(INT((Motore_Operativo!L20)/30))-1)))*(MOD((Motore_Operativo!L20),30)/30))</f>
        <v>35837.5</v>
      </c>
      <c r="AD20" s="15" t="n">
        <f aca="false">(AD19)+AB20-AC20</f>
        <v>107512.5</v>
      </c>
      <c r="AE20" s="15" t="n">
        <f aca="false">Motore_Operativo!BH20*(1+Parametri_v3!$C$26)</f>
        <v>3583.75</v>
      </c>
      <c r="AF20" s="15" t="n">
        <f aca="false">(IF(16-(INT((Parametri_v3!$C$29)/30))&lt;1,0,INDEX(Motore_Operativo!$BH$5:$BH$64,MAX(1,16-(INT((Parametri_v3!$C$29)/30)))))*(1-(MOD((Parametri_v3!$C$29),30)/30))+IF(16-(INT((Parametri_v3!$C$29)/30))-1&lt;1,0,INDEX(Motore_Operativo!$BH$5:$BH$64,MAX(1,16-(INT((Parametri_v3!$C$29)/30))-1)))*(MOD((Parametri_v3!$C$29),30)/30))*(1+Parametri_v3!$C$26)</f>
        <v>3583.75</v>
      </c>
      <c r="AG20" s="15" t="n">
        <f aca="false">(AG19)+AE20-AF20</f>
        <v>3583.75</v>
      </c>
      <c r="AH20" s="15" t="n">
        <f aca="false">(Motore_Operativo!CK20)*(1+Parametri_v3!$C$28*Parametri_v3!$C$26)</f>
        <v>10873.1</v>
      </c>
      <c r="AI20" s="15" t="n">
        <f aca="false">(IF(16-(INT((Ipotesi!$C$91)/30))&lt;1,0,INDEX(Motore_Advisory!$AH$5:$AH$64,MAX(1,16-(INT((Ipotesi!$C$91)/30)))))*(1-(MOD((Ipotesi!$C$91),30)/30))+IF(16-(INT((Ipotesi!$C$91)/30))-1&lt;1,0,INDEX(Motore_Advisory!$AH$5:$AH$64,MAX(1,16-(INT((Ipotesi!$C$91)/30))-1)))*(MOD((Ipotesi!$C$91),30)/30))</f>
        <v>10873.1</v>
      </c>
      <c r="AJ20" s="15" t="n">
        <f aca="false">(AJ19)+AH20-AI20</f>
        <v>21746.2</v>
      </c>
      <c r="AK20" s="15" t="n">
        <f aca="false">(F20- Motore_Operativo!BH20-(Motore_Operativo!CK20)*Parametri_v3!$C$28-Motore_Operativo!CF20)*Parametri_v3!$C$26</f>
        <v>4097.31666666667</v>
      </c>
      <c r="AL20" s="15" t="n">
        <f aca="false">MAX(0,(AM19))</f>
        <v>4097.31666666667</v>
      </c>
      <c r="AM20" s="15" t="n">
        <f aca="false">(AM19)+AK20-AL20</f>
        <v>4097.31666666667</v>
      </c>
      <c r="AN20" s="15" t="n">
        <f aca="false">SUM(X5:X16)</f>
        <v>3127.125</v>
      </c>
      <c r="AO20" s="15" t="n">
        <f aca="false">SUM(AP5:AP16)</f>
        <v>0</v>
      </c>
      <c r="AP20" s="15" t="n">
        <f aca="false">MAX(0,AN20)*IF(4=Parametri_v3!$C$43,Parametri_v3!$C$45,IF(4=Parametri_v3!$C$44,1-Parametri_v3!$C$45,0))</f>
        <v>0</v>
      </c>
      <c r="AQ20" s="15" t="n">
        <f aca="false">MAX(0,AP20+IF(4=Parametri_v3!$C$43,MAX(0,AN20-AO20),0)-MAX(0,-(AR19)))</f>
        <v>0</v>
      </c>
      <c r="AR20" s="15" t="n">
        <f aca="false">(AR19)+X20-AQ20</f>
        <v>4370.79333333334</v>
      </c>
      <c r="AS20" s="15" t="n">
        <f aca="false">Motore_Operativo!AC20-AT20+AU20</f>
        <v>15166.75</v>
      </c>
      <c r="AT20" s="15" t="n">
        <f aca="false">Motore_Operativo!CI20</f>
        <v>798.25</v>
      </c>
      <c r="AU20" s="15" t="n">
        <f aca="false">MIN(MAX(0,(AV19)+AT20),Parametri_v3!$C$61/12)</f>
        <v>0</v>
      </c>
      <c r="AV20" s="15" t="n">
        <f aca="false">(AV19)+AT20-AU20</f>
        <v>6343</v>
      </c>
      <c r="AW20" s="15" t="n">
        <f aca="false">IF(AND(Motore_Operativo!C20=Finanziamenti!$D$7,Finanziamenti!$F$7=1),Finanziamenti!$C$7,0)</f>
        <v>0</v>
      </c>
      <c r="AX20" s="15" t="n">
        <f aca="false">0</f>
        <v>0</v>
      </c>
      <c r="AY20" s="15" t="n">
        <f aca="false">IF(4=Parametri_v3!$C$33,IF(BV20&lt;MIN(12,$B20-1),0,MIN(MAX(0,SUM(Y5:Y16))*Ipotesi!$C$94,MAX(0,(BM16)-(BO19)-BP20),MAX(0,BD20-Parametri_v3!$C$31))),0)</f>
        <v>0</v>
      </c>
      <c r="AZ20" s="15" t="n">
        <f aca="false">0</f>
        <v>0</v>
      </c>
      <c r="BA20" s="15" t="n">
        <f aca="false">0</f>
        <v>0</v>
      </c>
      <c r="BB20" s="15" t="n">
        <f aca="false">0</f>
        <v>0</v>
      </c>
      <c r="BC20" s="15" t="n">
        <f aca="false">0</f>
        <v>0</v>
      </c>
      <c r="BD20" s="15" t="n">
        <f aca="false">(BH19)+AC20-AF20-AI20-AS20-K20*(1+Parametri_v3!$C$26)-AL20-AQ20-O20+AW20+AX20+AZ20+BA20-BB20</f>
        <v>-39752.2333333333</v>
      </c>
      <c r="BE20" s="15" t="n">
        <f aca="false">0</f>
        <v>0</v>
      </c>
      <c r="BF20" s="15" t="n">
        <f aca="false">0</f>
        <v>0</v>
      </c>
      <c r="BG20" s="15" t="n">
        <f aca="false">0</f>
        <v>0</v>
      </c>
      <c r="BH20" s="15" t="n">
        <f aca="false">BD20+BE20-BF20-AY20</f>
        <v>-39752.2333333333</v>
      </c>
      <c r="BI20" s="15" t="n">
        <f aca="false">MAX(0,Parametri_v3!$C$31-BH20)</f>
        <v>49752.2333333333</v>
      </c>
      <c r="BJ20" s="15" t="n">
        <f aca="false">(BJ19)+K20</f>
        <v>4666.66666666667</v>
      </c>
      <c r="BK20" s="15" t="n">
        <f aca="false">(BK19)+L20</f>
        <v>990.740740740741</v>
      </c>
      <c r="BL20" s="15" t="n">
        <f aca="false">BJ20-BK20</f>
        <v>3675.92592592593</v>
      </c>
      <c r="BM20" s="15" t="n">
        <f aca="false">(BM19)+Y20</f>
        <v>11295.1325925926</v>
      </c>
      <c r="BN20" s="15" t="n">
        <f aca="false">(BN19)+AW20+AX20+AZ20</f>
        <v>20000</v>
      </c>
      <c r="BO20" s="15" t="n">
        <f aca="false">(BO19)+AY20</f>
        <v>0</v>
      </c>
      <c r="BP20" s="15" t="n">
        <f aca="false">MIN(Parametri_v3!$C$36*Parametri_v3!$C$35,(BP19)+IF(4=1,MAX(0,SUM(Y5:Y16))*Parametri_v3!$C$34,0))</f>
        <v>404.060416666667</v>
      </c>
      <c r="BQ20" s="15" t="n">
        <f aca="false">BN20+BM20-BO20</f>
        <v>31295.1325925926</v>
      </c>
      <c r="BR20" s="15" t="n">
        <f aca="false">BH20+AD20+BL20+MAX(0,-AM20)+MAX(0,-AR20)</f>
        <v>71436.1925925926</v>
      </c>
      <c r="BS20" s="15" t="n">
        <f aca="false">AJ20+AV20+MAX(0,AM20)+MAX(0,AR20)+BC20+BG20+BQ20+AG20</f>
        <v>71436.1925925926</v>
      </c>
      <c r="BT20" s="15" t="n">
        <f aca="false">BR20-BS20</f>
        <v>0</v>
      </c>
      <c r="BU20" s="15" t="n">
        <f aca="false">BH20-(BD20+BE20-BF20-AY20)</f>
        <v>0</v>
      </c>
      <c r="BV20" s="15" t="n">
        <f aca="false">IF(BH19&lt;Parametri_v3!$C$31,0,BV19+1)</f>
        <v>0</v>
      </c>
    </row>
    <row r="21" customFormat="false" ht="18" hidden="false" customHeight="true" outlineLevel="0" collapsed="false">
      <c r="A21" s="68" t="n">
        <f aca="false">1</f>
        <v>1</v>
      </c>
      <c r="B21" s="68" t="n">
        <f aca="false">17</f>
        <v>17</v>
      </c>
      <c r="C21" s="18" t="n">
        <f aca="false">Motore_Operativo!C21</f>
        <v>46874</v>
      </c>
      <c r="D21" s="68" t="n">
        <f aca="false">Motore_Operativo!D21</f>
        <v>2028</v>
      </c>
      <c r="E21" s="68" t="n">
        <f aca="false">Motore_Operativo!E21</f>
        <v>5</v>
      </c>
      <c r="F21" s="15" t="n">
        <f aca="false">Motore_Operativo!AM21</f>
        <v>29375</v>
      </c>
      <c r="G21" s="15" t="n">
        <f aca="false">Motore_Operativo!BH21</f>
        <v>2937.5</v>
      </c>
      <c r="H21" s="15" t="n">
        <f aca="false">Motore_Operativo!AM21</f>
        <v>29375</v>
      </c>
      <c r="I21" s="15" t="n">
        <f aca="false">Motore_Operativo!CB21</f>
        <v>28148.3333333333</v>
      </c>
      <c r="J21" s="15" t="n">
        <f aca="false">Motore_Operativo!CD21</f>
        <v>1226.66666666667</v>
      </c>
      <c r="K21" s="15" t="n">
        <f aca="false">Motore_Operativo!CF21</f>
        <v>416.666666666667</v>
      </c>
      <c r="L21" s="15" t="n">
        <f aca="false">SUM(INDEX($K$5:$K$64,MAX(1,17-Parametri_v3!$C$59+1)):K21)/Parametri_v3!$C$59</f>
        <v>141.203703703704</v>
      </c>
      <c r="M21" s="15" t="n">
        <f aca="false">J21-L21</f>
        <v>1085.46296296296</v>
      </c>
      <c r="N21" s="15" t="n">
        <f aca="false">0</f>
        <v>0</v>
      </c>
      <c r="O21" s="15" t="n">
        <f aca="false">0</f>
        <v>0</v>
      </c>
      <c r="P21" s="15" t="n">
        <f aca="false">M21+N21-O21</f>
        <v>1085.46296296296</v>
      </c>
      <c r="Q21" s="15" t="n">
        <f aca="false">SUM(P17:P21)+Parametri_v3!$C$56*5/12</f>
        <v>5543.05555555556</v>
      </c>
      <c r="R21" s="15" t="n">
        <f aca="false">Z16</f>
        <v>0</v>
      </c>
      <c r="S21" s="15" t="n">
        <f aca="false">AA16</f>
        <v>0</v>
      </c>
      <c r="T21" s="15" t="n">
        <f aca="false">MIN(R21,MAX(0,Q21))</f>
        <v>0</v>
      </c>
      <c r="U21" s="15" t="n">
        <f aca="false">MIN(S21,MAX(0,Q21-T21)*Parametri_v3!$C$42)</f>
        <v>0</v>
      </c>
      <c r="V21" s="15" t="n">
        <f aca="false">MAX(0,Q21-T21-U21)*Ipotesi!$C$92</f>
        <v>1330.33333333333</v>
      </c>
      <c r="W21" s="15" t="n">
        <f aca="false">MAX(0,SUM(M17:M21)+Parametri_v3!$C$57*5/12)*Ipotesi!$C$93</f>
        <v>216.179166666667</v>
      </c>
      <c r="X21" s="15" t="n">
        <f aca="false">V21+W21-(V20+W20)</f>
        <v>302.844166666667</v>
      </c>
      <c r="Y21" s="15" t="n">
        <f aca="false">P21-X21</f>
        <v>782.618796296297</v>
      </c>
      <c r="Z21" s="15" t="n">
        <f aca="false">R21-T21+IF(AND(Parametri_v3!$C$40=1,D21-YEAR(Parametri_v3!$C$50)&lt;Parametri_v3!$C$41),MAX(0,-Q21),0)</f>
        <v>0</v>
      </c>
      <c r="AA21" s="15" t="n">
        <f aca="false">S21-U21+IF(AND(Parametri_v3!$C$40=1,D21-YEAR(Parametri_v3!$C$50)&lt;Parametri_v3!$C$41),0,MAX(0,-Q21))</f>
        <v>0</v>
      </c>
      <c r="AB21" s="15" t="n">
        <f aca="false">F21*(1+Parametri_v3!$C$26)</f>
        <v>35837.5</v>
      </c>
      <c r="AC21" s="15" t="n">
        <f aca="false">(IF(17-(INT((Motore_Operativo!L21)/30))&lt;1,0,INDEX(Motore_Advisory!$AB$5:$AB$64,MAX(1,17-(INT((Motore_Operativo!L21)/30)))))*(1-(MOD((Motore_Operativo!L21),30)/30))+IF(17-(INT((Motore_Operativo!L21)/30))-1&lt;1,0,INDEX(Motore_Advisory!$AB$5:$AB$64,MAX(1,17-(INT((Motore_Operativo!L21)/30))-1)))*(MOD((Motore_Operativo!L21),30)/30))</f>
        <v>35837.5</v>
      </c>
      <c r="AD21" s="15" t="n">
        <f aca="false">(AD20)+AB21-AC21</f>
        <v>107512.5</v>
      </c>
      <c r="AE21" s="15" t="n">
        <f aca="false">Motore_Operativo!BH21*(1+Parametri_v3!$C$26)</f>
        <v>3583.75</v>
      </c>
      <c r="AF21" s="15" t="n">
        <f aca="false">(IF(17-(INT((Parametri_v3!$C$29)/30))&lt;1,0,INDEX(Motore_Operativo!$BH$5:$BH$64,MAX(1,17-(INT((Parametri_v3!$C$29)/30)))))*(1-(MOD((Parametri_v3!$C$29),30)/30))+IF(17-(INT((Parametri_v3!$C$29)/30))-1&lt;1,0,INDEX(Motore_Operativo!$BH$5:$BH$64,MAX(1,17-(INT((Parametri_v3!$C$29)/30))-1)))*(MOD((Parametri_v3!$C$29),30)/30))*(1+Parametri_v3!$C$26)</f>
        <v>3583.75</v>
      </c>
      <c r="AG21" s="15" t="n">
        <f aca="false">(AG20)+AE21-AF21</f>
        <v>3583.75</v>
      </c>
      <c r="AH21" s="15" t="n">
        <f aca="false">(Motore_Operativo!CK21)*(1+Parametri_v3!$C$28*Parametri_v3!$C$26)</f>
        <v>10873.1</v>
      </c>
      <c r="AI21" s="15" t="n">
        <f aca="false">(IF(17-(INT((Ipotesi!$C$91)/30))&lt;1,0,INDEX(Motore_Advisory!$AH$5:$AH$64,MAX(1,17-(INT((Ipotesi!$C$91)/30)))))*(1-(MOD((Ipotesi!$C$91),30)/30))+IF(17-(INT((Ipotesi!$C$91)/30))-1&lt;1,0,INDEX(Motore_Advisory!$AH$5:$AH$64,MAX(1,17-(INT((Ipotesi!$C$91)/30))-1)))*(MOD((Ipotesi!$C$91),30)/30))</f>
        <v>10873.1</v>
      </c>
      <c r="AJ21" s="15" t="n">
        <f aca="false">(AJ20)+AH21-AI21</f>
        <v>21746.2</v>
      </c>
      <c r="AK21" s="15" t="n">
        <f aca="false">(F21- Motore_Operativo!BH21-(Motore_Operativo!CK21)*Parametri_v3!$C$28-Motore_Operativo!CF21)*Parametri_v3!$C$26</f>
        <v>4097.31666666667</v>
      </c>
      <c r="AL21" s="15" t="n">
        <f aca="false">MAX(0,(AM20))</f>
        <v>4097.31666666667</v>
      </c>
      <c r="AM21" s="15" t="n">
        <f aca="false">(AM20)+AK21-AL21</f>
        <v>4097.31666666667</v>
      </c>
      <c r="AN21" s="15" t="n">
        <f aca="false">SUM(X5:X16)</f>
        <v>3127.125</v>
      </c>
      <c r="AO21" s="15" t="n">
        <f aca="false">SUM(AP5:AP16)</f>
        <v>0</v>
      </c>
      <c r="AP21" s="15" t="n">
        <f aca="false">MAX(0,AN21)*IF(5=Parametri_v3!$C$43,Parametri_v3!$C$45,IF(5=Parametri_v3!$C$44,1-Parametri_v3!$C$45,0))</f>
        <v>0</v>
      </c>
      <c r="AQ21" s="15" t="n">
        <f aca="false">MAX(0,AP21+IF(5=Parametri_v3!$C$43,MAX(0,AN21-AO21),0)-MAX(0,-(AR20)))</f>
        <v>0</v>
      </c>
      <c r="AR21" s="15" t="n">
        <f aca="false">(AR20)+X21-AQ21</f>
        <v>4673.63750000001</v>
      </c>
      <c r="AS21" s="15" t="n">
        <f aca="false">Motore_Operativo!AC21-AT21+AU21</f>
        <v>15166.75</v>
      </c>
      <c r="AT21" s="15" t="n">
        <f aca="false">Motore_Operativo!CI21</f>
        <v>798.25</v>
      </c>
      <c r="AU21" s="15" t="n">
        <f aca="false">MIN(MAX(0,(AV20)+AT21),Parametri_v3!$C$61/12)</f>
        <v>0</v>
      </c>
      <c r="AV21" s="15" t="n">
        <f aca="false">(AV20)+AT21-AU21</f>
        <v>7141.25</v>
      </c>
      <c r="AW21" s="15" t="n">
        <f aca="false">IF(AND(Motore_Operativo!C21=Finanziamenti!$D$7,Finanziamenti!$F$7=1),Finanziamenti!$C$7,0)</f>
        <v>0</v>
      </c>
      <c r="AX21" s="15" t="n">
        <f aca="false">0</f>
        <v>0</v>
      </c>
      <c r="AY21" s="15" t="n">
        <f aca="false">IF(5=Parametri_v3!$C$33,IF(BV21&lt;MIN(12,$B21-1),0,MIN(MAX(0,SUM(Y5:Y16))*Ipotesi!$C$94,MAX(0,(BM16)-(BO20)-BP21),MAX(0,BD21-Parametri_v3!$C$31))),0)</f>
        <v>0</v>
      </c>
      <c r="AZ21" s="15" t="n">
        <f aca="false">0</f>
        <v>0</v>
      </c>
      <c r="BA21" s="15" t="n">
        <f aca="false">0</f>
        <v>0</v>
      </c>
      <c r="BB21" s="15" t="n">
        <f aca="false">0</f>
        <v>0</v>
      </c>
      <c r="BC21" s="15" t="n">
        <f aca="false">0</f>
        <v>0</v>
      </c>
      <c r="BD21" s="15" t="n">
        <f aca="false">(BH20)+AC21-AF21-AI21-AS21-K21*(1+Parametri_v3!$C$26)-AL21-AQ21-O21+AW21+AX21+AZ21+BA21-BB21</f>
        <v>-38143.9833333333</v>
      </c>
      <c r="BE21" s="15" t="n">
        <f aca="false">0</f>
        <v>0</v>
      </c>
      <c r="BF21" s="15" t="n">
        <f aca="false">0</f>
        <v>0</v>
      </c>
      <c r="BG21" s="15" t="n">
        <f aca="false">0</f>
        <v>0</v>
      </c>
      <c r="BH21" s="15" t="n">
        <f aca="false">BD21+BE21-BF21-AY21</f>
        <v>-38143.9833333333</v>
      </c>
      <c r="BI21" s="15" t="n">
        <f aca="false">MAX(0,Parametri_v3!$C$31-BH21)</f>
        <v>48143.9833333333</v>
      </c>
      <c r="BJ21" s="15" t="n">
        <f aca="false">(BJ20)+K21</f>
        <v>5083.33333333333</v>
      </c>
      <c r="BK21" s="15" t="n">
        <f aca="false">(BK20)+L21</f>
        <v>1131.94444444444</v>
      </c>
      <c r="BL21" s="15" t="n">
        <f aca="false">BJ21-BK21</f>
        <v>3951.38888888889</v>
      </c>
      <c r="BM21" s="15" t="n">
        <f aca="false">(BM20)+Y21</f>
        <v>12077.7513888889</v>
      </c>
      <c r="BN21" s="15" t="n">
        <f aca="false">(BN20)+AW21+AX21+AZ21</f>
        <v>20000</v>
      </c>
      <c r="BO21" s="15" t="n">
        <f aca="false">(BO20)+AY21</f>
        <v>0</v>
      </c>
      <c r="BP21" s="15" t="n">
        <f aca="false">MIN(Parametri_v3!$C$36*Parametri_v3!$C$35,(BP20)+IF(5=1,MAX(0,SUM(Y5:Y16))*Parametri_v3!$C$34,0))</f>
        <v>404.060416666667</v>
      </c>
      <c r="BQ21" s="15" t="n">
        <f aca="false">BN21+BM21-BO21</f>
        <v>32077.7513888889</v>
      </c>
      <c r="BR21" s="15" t="n">
        <f aca="false">BH21+AD21+BL21+MAX(0,-AM21)+MAX(0,-AR21)</f>
        <v>73319.9055555556</v>
      </c>
      <c r="BS21" s="15" t="n">
        <f aca="false">AJ21+AV21+MAX(0,AM21)+MAX(0,AR21)+BC21+BG21+BQ21+AG21</f>
        <v>73319.9055555556</v>
      </c>
      <c r="BT21" s="15" t="n">
        <f aca="false">BR21-BS21</f>
        <v>0</v>
      </c>
      <c r="BU21" s="15" t="n">
        <f aca="false">BH21-(BD21+BE21-BF21-AY21)</f>
        <v>0</v>
      </c>
      <c r="BV21" s="15" t="n">
        <f aca="false">IF(BH20&lt;Parametri_v3!$C$31,0,BV20+1)</f>
        <v>0</v>
      </c>
    </row>
    <row r="22" customFormat="false" ht="18" hidden="false" customHeight="true" outlineLevel="0" collapsed="false">
      <c r="A22" s="68" t="n">
        <f aca="false">1</f>
        <v>1</v>
      </c>
      <c r="B22" s="68" t="n">
        <f aca="false">18</f>
        <v>18</v>
      </c>
      <c r="C22" s="18" t="n">
        <f aca="false">Motore_Operativo!C22</f>
        <v>46905</v>
      </c>
      <c r="D22" s="68" t="n">
        <f aca="false">Motore_Operativo!D22</f>
        <v>2028</v>
      </c>
      <c r="E22" s="68" t="n">
        <f aca="false">Motore_Operativo!E22</f>
        <v>6</v>
      </c>
      <c r="F22" s="15" t="n">
        <f aca="false">Motore_Operativo!AM22</f>
        <v>29375</v>
      </c>
      <c r="G22" s="15" t="n">
        <f aca="false">Motore_Operativo!BH22</f>
        <v>2937.5</v>
      </c>
      <c r="H22" s="15" t="n">
        <f aca="false">Motore_Operativo!AM22</f>
        <v>29375</v>
      </c>
      <c r="I22" s="15" t="n">
        <f aca="false">Motore_Operativo!CB22</f>
        <v>28148.3333333333</v>
      </c>
      <c r="J22" s="15" t="n">
        <f aca="false">Motore_Operativo!CD22</f>
        <v>1226.66666666667</v>
      </c>
      <c r="K22" s="15" t="n">
        <f aca="false">Motore_Operativo!CF22</f>
        <v>416.666666666667</v>
      </c>
      <c r="L22" s="15" t="n">
        <f aca="false">SUM(INDEX($K$5:$K$64,MAX(1,18-Parametri_v3!$C$59+1)):K22)/Parametri_v3!$C$59</f>
        <v>152.777777777778</v>
      </c>
      <c r="M22" s="15" t="n">
        <f aca="false">J22-L22</f>
        <v>1073.88888888889</v>
      </c>
      <c r="N22" s="15" t="n">
        <f aca="false">0</f>
        <v>0</v>
      </c>
      <c r="O22" s="15" t="n">
        <f aca="false">0</f>
        <v>0</v>
      </c>
      <c r="P22" s="15" t="n">
        <f aca="false">M22+N22-O22</f>
        <v>1073.88888888889</v>
      </c>
      <c r="Q22" s="15" t="n">
        <f aca="false">SUM(P17:P22)+Parametri_v3!$C$56*6/12</f>
        <v>6616.94444444445</v>
      </c>
      <c r="R22" s="15" t="n">
        <f aca="false">Z16</f>
        <v>0</v>
      </c>
      <c r="S22" s="15" t="n">
        <f aca="false">AA16</f>
        <v>0</v>
      </c>
      <c r="T22" s="15" t="n">
        <f aca="false">MIN(R22,MAX(0,Q22))</f>
        <v>0</v>
      </c>
      <c r="U22" s="15" t="n">
        <f aca="false">MIN(S22,MAX(0,Q22-T22)*Parametri_v3!$C$42)</f>
        <v>0</v>
      </c>
      <c r="V22" s="15" t="n">
        <f aca="false">MAX(0,Q22-T22-U22)*Ipotesi!$C$92</f>
        <v>1588.06666666667</v>
      </c>
      <c r="W22" s="15" t="n">
        <f aca="false">MAX(0,SUM(M17:M22)+Parametri_v3!$C$57*6/12)*Ipotesi!$C$93</f>
        <v>258.060833333334</v>
      </c>
      <c r="X22" s="15" t="n">
        <f aca="false">V22+W22-(V21+W21)</f>
        <v>299.615</v>
      </c>
      <c r="Y22" s="15" t="n">
        <f aca="false">P22-X22</f>
        <v>774.27388888889</v>
      </c>
      <c r="Z22" s="15" t="n">
        <f aca="false">R22-T22+IF(AND(Parametri_v3!$C$40=1,D22-YEAR(Parametri_v3!$C$50)&lt;Parametri_v3!$C$41),MAX(0,-Q22),0)</f>
        <v>0</v>
      </c>
      <c r="AA22" s="15" t="n">
        <f aca="false">S22-U22+IF(AND(Parametri_v3!$C$40=1,D22-YEAR(Parametri_v3!$C$50)&lt;Parametri_v3!$C$41),0,MAX(0,-Q22))</f>
        <v>0</v>
      </c>
      <c r="AB22" s="15" t="n">
        <f aca="false">F22*(1+Parametri_v3!$C$26)</f>
        <v>35837.5</v>
      </c>
      <c r="AC22" s="15" t="n">
        <f aca="false">(IF(18-(INT((Motore_Operativo!L22)/30))&lt;1,0,INDEX(Motore_Advisory!$AB$5:$AB$64,MAX(1,18-(INT((Motore_Operativo!L22)/30)))))*(1-(MOD((Motore_Operativo!L22),30)/30))+IF(18-(INT((Motore_Operativo!L22)/30))-1&lt;1,0,INDEX(Motore_Advisory!$AB$5:$AB$64,MAX(1,18-(INT((Motore_Operativo!L22)/30))-1)))*(MOD((Motore_Operativo!L22),30)/30))</f>
        <v>35837.5</v>
      </c>
      <c r="AD22" s="15" t="n">
        <f aca="false">(AD21)+AB22-AC22</f>
        <v>107512.5</v>
      </c>
      <c r="AE22" s="15" t="n">
        <f aca="false">Motore_Operativo!BH22*(1+Parametri_v3!$C$26)</f>
        <v>3583.75</v>
      </c>
      <c r="AF22" s="15" t="n">
        <f aca="false">(IF(18-(INT((Parametri_v3!$C$29)/30))&lt;1,0,INDEX(Motore_Operativo!$BH$5:$BH$64,MAX(1,18-(INT((Parametri_v3!$C$29)/30)))))*(1-(MOD((Parametri_v3!$C$29),30)/30))+IF(18-(INT((Parametri_v3!$C$29)/30))-1&lt;1,0,INDEX(Motore_Operativo!$BH$5:$BH$64,MAX(1,18-(INT((Parametri_v3!$C$29)/30))-1)))*(MOD((Parametri_v3!$C$29),30)/30))*(1+Parametri_v3!$C$26)</f>
        <v>3583.75</v>
      </c>
      <c r="AG22" s="15" t="n">
        <f aca="false">(AG21)+AE22-AF22</f>
        <v>3583.75</v>
      </c>
      <c r="AH22" s="15" t="n">
        <f aca="false">(Motore_Operativo!CK22)*(1+Parametri_v3!$C$28*Parametri_v3!$C$26)</f>
        <v>10873.1</v>
      </c>
      <c r="AI22" s="15" t="n">
        <f aca="false">(IF(18-(INT((Ipotesi!$C$91)/30))&lt;1,0,INDEX(Motore_Advisory!$AH$5:$AH$64,MAX(1,18-(INT((Ipotesi!$C$91)/30)))))*(1-(MOD((Ipotesi!$C$91),30)/30))+IF(18-(INT((Ipotesi!$C$91)/30))-1&lt;1,0,INDEX(Motore_Advisory!$AH$5:$AH$64,MAX(1,18-(INT((Ipotesi!$C$91)/30))-1)))*(MOD((Ipotesi!$C$91),30)/30))</f>
        <v>10873.1</v>
      </c>
      <c r="AJ22" s="15" t="n">
        <f aca="false">(AJ21)+AH22-AI22</f>
        <v>21746.2</v>
      </c>
      <c r="AK22" s="15" t="n">
        <f aca="false">(F22- Motore_Operativo!BH22-(Motore_Operativo!CK22)*Parametri_v3!$C$28-Motore_Operativo!CF22)*Parametri_v3!$C$26</f>
        <v>4097.31666666667</v>
      </c>
      <c r="AL22" s="15" t="n">
        <f aca="false">MAX(0,(AM21))</f>
        <v>4097.31666666667</v>
      </c>
      <c r="AM22" s="15" t="n">
        <f aca="false">(AM21)+AK22-AL22</f>
        <v>4097.31666666667</v>
      </c>
      <c r="AN22" s="15" t="n">
        <f aca="false">SUM(X5:X16)</f>
        <v>3127.125</v>
      </c>
      <c r="AO22" s="15" t="n">
        <f aca="false">SUM(AP5:AP16)</f>
        <v>0</v>
      </c>
      <c r="AP22" s="15" t="n">
        <f aca="false">MAX(0,AN22)*IF(6=Parametri_v3!$C$43,Parametri_v3!$C$45,IF(6=Parametri_v3!$C$44,1-Parametri_v3!$C$45,0))</f>
        <v>1250.85</v>
      </c>
      <c r="AQ22" s="15" t="n">
        <f aca="false">MAX(0,AP22+IF(6=Parametri_v3!$C$43,MAX(0,AN22-AO22),0)-MAX(0,-(AR21)))</f>
        <v>4377.97500000001</v>
      </c>
      <c r="AR22" s="15" t="n">
        <f aca="false">(AR21)+X22-AQ22</f>
        <v>595.277500000002</v>
      </c>
      <c r="AS22" s="15" t="n">
        <f aca="false">Motore_Operativo!AC22-AT22+AU22</f>
        <v>15166.75</v>
      </c>
      <c r="AT22" s="15" t="n">
        <f aca="false">Motore_Operativo!CI22</f>
        <v>798.25</v>
      </c>
      <c r="AU22" s="15" t="n">
        <f aca="false">MIN(MAX(0,(AV21)+AT22),Parametri_v3!$C$61/12)</f>
        <v>0</v>
      </c>
      <c r="AV22" s="15" t="n">
        <f aca="false">(AV21)+AT22-AU22</f>
        <v>7939.5</v>
      </c>
      <c r="AW22" s="15" t="n">
        <f aca="false">IF(AND(Motore_Operativo!C22=Finanziamenti!$D$7,Finanziamenti!$F$7=1),Finanziamenti!$C$7,0)</f>
        <v>0</v>
      </c>
      <c r="AX22" s="15" t="n">
        <f aca="false">0</f>
        <v>0</v>
      </c>
      <c r="AY22" s="15" t="n">
        <f aca="false">IF(6=Parametri_v3!$C$33,IF(BV22&lt;MIN(12,$B22-1),0,MIN(MAX(0,SUM(Y5:Y16))*Ipotesi!$C$94,MAX(0,(BM16)-(BO21)-BP22),MAX(0,BD22-Parametri_v3!$C$31))),0)</f>
        <v>0</v>
      </c>
      <c r="AZ22" s="15" t="n">
        <f aca="false">0</f>
        <v>0</v>
      </c>
      <c r="BA22" s="15" t="n">
        <f aca="false">0</f>
        <v>0</v>
      </c>
      <c r="BB22" s="15" t="n">
        <f aca="false">0</f>
        <v>0</v>
      </c>
      <c r="BC22" s="15" t="n">
        <f aca="false">0</f>
        <v>0</v>
      </c>
      <c r="BD22" s="15" t="n">
        <f aca="false">(BH21)+AC22-AF22-AI22-AS22-K22*(1+Parametri_v3!$C$26)-AL22-AQ22-O22+AW22+AX22+AZ22+BA22-BB22</f>
        <v>-40913.7083333333</v>
      </c>
      <c r="BE22" s="15" t="n">
        <f aca="false">0</f>
        <v>0</v>
      </c>
      <c r="BF22" s="15" t="n">
        <f aca="false">0</f>
        <v>0</v>
      </c>
      <c r="BG22" s="15" t="n">
        <f aca="false">0</f>
        <v>0</v>
      </c>
      <c r="BH22" s="15" t="n">
        <f aca="false">BD22+BE22-BF22-AY22</f>
        <v>-40913.7083333333</v>
      </c>
      <c r="BI22" s="15" t="n">
        <f aca="false">MAX(0,Parametri_v3!$C$31-BH22)</f>
        <v>50913.7083333333</v>
      </c>
      <c r="BJ22" s="15" t="n">
        <f aca="false">(BJ21)+K22</f>
        <v>5500</v>
      </c>
      <c r="BK22" s="15" t="n">
        <f aca="false">(BK21)+L22</f>
        <v>1284.72222222222</v>
      </c>
      <c r="BL22" s="15" t="n">
        <f aca="false">BJ22-BK22</f>
        <v>4215.27777777778</v>
      </c>
      <c r="BM22" s="15" t="n">
        <f aca="false">(BM21)+Y22</f>
        <v>12852.0252777778</v>
      </c>
      <c r="BN22" s="15" t="n">
        <f aca="false">(BN21)+AW22+AX22+AZ22</f>
        <v>20000</v>
      </c>
      <c r="BO22" s="15" t="n">
        <f aca="false">(BO21)+AY22</f>
        <v>0</v>
      </c>
      <c r="BP22" s="15" t="n">
        <f aca="false">MIN(Parametri_v3!$C$36*Parametri_v3!$C$35,(BP21)+IF(6=1,MAX(0,SUM(Y5:Y16))*Parametri_v3!$C$34,0))</f>
        <v>404.060416666667</v>
      </c>
      <c r="BQ22" s="15" t="n">
        <f aca="false">BN22+BM22-BO22</f>
        <v>32852.0252777778</v>
      </c>
      <c r="BR22" s="15" t="n">
        <f aca="false">BH22+AD22+BL22+MAX(0,-AM22)+MAX(0,-AR22)</f>
        <v>70814.0694444445</v>
      </c>
      <c r="BS22" s="15" t="n">
        <f aca="false">AJ22+AV22+MAX(0,AM22)+MAX(0,AR22)+BC22+BG22+BQ22+AG22</f>
        <v>70814.0694444445</v>
      </c>
      <c r="BT22" s="15" t="n">
        <f aca="false">BR22-BS22</f>
        <v>0</v>
      </c>
      <c r="BU22" s="15" t="n">
        <f aca="false">BH22-(BD22+BE22-BF22-AY22)</f>
        <v>0</v>
      </c>
      <c r="BV22" s="15" t="n">
        <f aca="false">IF(BH21&lt;Parametri_v3!$C$31,0,BV21+1)</f>
        <v>0</v>
      </c>
    </row>
    <row r="23" customFormat="false" ht="18" hidden="false" customHeight="true" outlineLevel="0" collapsed="false">
      <c r="A23" s="68" t="n">
        <f aca="false">1</f>
        <v>1</v>
      </c>
      <c r="B23" s="68" t="n">
        <f aca="false">19</f>
        <v>19</v>
      </c>
      <c r="C23" s="18" t="n">
        <f aca="false">Motore_Operativo!C23</f>
        <v>46935</v>
      </c>
      <c r="D23" s="68" t="n">
        <f aca="false">Motore_Operativo!D23</f>
        <v>2028</v>
      </c>
      <c r="E23" s="68" t="n">
        <f aca="false">Motore_Operativo!E23</f>
        <v>7</v>
      </c>
      <c r="F23" s="15" t="n">
        <f aca="false">Motore_Operativo!AM23</f>
        <v>29375</v>
      </c>
      <c r="G23" s="15" t="n">
        <f aca="false">Motore_Operativo!BH23</f>
        <v>2937.5</v>
      </c>
      <c r="H23" s="15" t="n">
        <f aca="false">Motore_Operativo!AM23</f>
        <v>29375</v>
      </c>
      <c r="I23" s="15" t="n">
        <f aca="false">Motore_Operativo!CB23</f>
        <v>28148.3333333333</v>
      </c>
      <c r="J23" s="15" t="n">
        <f aca="false">Motore_Operativo!CD23</f>
        <v>1226.66666666667</v>
      </c>
      <c r="K23" s="15" t="n">
        <f aca="false">Motore_Operativo!CF23</f>
        <v>416.666666666667</v>
      </c>
      <c r="L23" s="15" t="n">
        <f aca="false">SUM(INDEX($K$5:$K$64,MAX(1,19-Parametri_v3!$C$59+1)):K23)/Parametri_v3!$C$59</f>
        <v>164.351851851852</v>
      </c>
      <c r="M23" s="15" t="n">
        <f aca="false">J23-L23</f>
        <v>1062.31481481482</v>
      </c>
      <c r="N23" s="15" t="n">
        <f aca="false">0</f>
        <v>0</v>
      </c>
      <c r="O23" s="15" t="n">
        <f aca="false">0</f>
        <v>0</v>
      </c>
      <c r="P23" s="15" t="n">
        <f aca="false">M23+N23-O23</f>
        <v>1062.31481481482</v>
      </c>
      <c r="Q23" s="15" t="n">
        <f aca="false">SUM(P17:P23)+Parametri_v3!$C$56*7/12</f>
        <v>7679.25925925927</v>
      </c>
      <c r="R23" s="15" t="n">
        <f aca="false">Z16</f>
        <v>0</v>
      </c>
      <c r="S23" s="15" t="n">
        <f aca="false">AA16</f>
        <v>0</v>
      </c>
      <c r="T23" s="15" t="n">
        <f aca="false">MIN(R23,MAX(0,Q23))</f>
        <v>0</v>
      </c>
      <c r="U23" s="15" t="n">
        <f aca="false">MIN(S23,MAX(0,Q23-T23)*Parametri_v3!$C$42)</f>
        <v>0</v>
      </c>
      <c r="V23" s="15" t="n">
        <f aca="false">MAX(0,Q23-T23-U23)*Ipotesi!$C$92</f>
        <v>1843.02222222222</v>
      </c>
      <c r="W23" s="15" t="n">
        <f aca="false">MAX(0,SUM(M17:M23)+Parametri_v3!$C$57*7/12)*Ipotesi!$C$93</f>
        <v>299.491111111112</v>
      </c>
      <c r="X23" s="15" t="n">
        <f aca="false">V23+W23-(V22+W22)</f>
        <v>296.385833333334</v>
      </c>
      <c r="Y23" s="15" t="n">
        <f aca="false">P23-X23</f>
        <v>765.928981481482</v>
      </c>
      <c r="Z23" s="15" t="n">
        <f aca="false">R23-T23+IF(AND(Parametri_v3!$C$40=1,D23-YEAR(Parametri_v3!$C$50)&lt;Parametri_v3!$C$41),MAX(0,-Q23),0)</f>
        <v>0</v>
      </c>
      <c r="AA23" s="15" t="n">
        <f aca="false">S23-U23+IF(AND(Parametri_v3!$C$40=1,D23-YEAR(Parametri_v3!$C$50)&lt;Parametri_v3!$C$41),0,MAX(0,-Q23))</f>
        <v>0</v>
      </c>
      <c r="AB23" s="15" t="n">
        <f aca="false">F23*(1+Parametri_v3!$C$26)</f>
        <v>35837.5</v>
      </c>
      <c r="AC23" s="15" t="n">
        <f aca="false">(IF(19-(INT((Motore_Operativo!L23)/30))&lt;1,0,INDEX(Motore_Advisory!$AB$5:$AB$64,MAX(1,19-(INT((Motore_Operativo!L23)/30)))))*(1-(MOD((Motore_Operativo!L23),30)/30))+IF(19-(INT((Motore_Operativo!L23)/30))-1&lt;1,0,INDEX(Motore_Advisory!$AB$5:$AB$64,MAX(1,19-(INT((Motore_Operativo!L23)/30))-1)))*(MOD((Motore_Operativo!L23),30)/30))</f>
        <v>35837.5</v>
      </c>
      <c r="AD23" s="15" t="n">
        <f aca="false">(AD22)+AB23-AC23</f>
        <v>107512.5</v>
      </c>
      <c r="AE23" s="15" t="n">
        <f aca="false">Motore_Operativo!BH23*(1+Parametri_v3!$C$26)</f>
        <v>3583.75</v>
      </c>
      <c r="AF23" s="15" t="n">
        <f aca="false">(IF(19-(INT((Parametri_v3!$C$29)/30))&lt;1,0,INDEX(Motore_Operativo!$BH$5:$BH$64,MAX(1,19-(INT((Parametri_v3!$C$29)/30)))))*(1-(MOD((Parametri_v3!$C$29),30)/30))+IF(19-(INT((Parametri_v3!$C$29)/30))-1&lt;1,0,INDEX(Motore_Operativo!$BH$5:$BH$64,MAX(1,19-(INT((Parametri_v3!$C$29)/30))-1)))*(MOD((Parametri_v3!$C$29),30)/30))*(1+Parametri_v3!$C$26)</f>
        <v>3583.75</v>
      </c>
      <c r="AG23" s="15" t="n">
        <f aca="false">(AG22)+AE23-AF23</f>
        <v>3583.75</v>
      </c>
      <c r="AH23" s="15" t="n">
        <f aca="false">(Motore_Operativo!CK23)*(1+Parametri_v3!$C$28*Parametri_v3!$C$26)</f>
        <v>10873.1</v>
      </c>
      <c r="AI23" s="15" t="n">
        <f aca="false">(IF(19-(INT((Ipotesi!$C$91)/30))&lt;1,0,INDEX(Motore_Advisory!$AH$5:$AH$64,MAX(1,19-(INT((Ipotesi!$C$91)/30)))))*(1-(MOD((Ipotesi!$C$91),30)/30))+IF(19-(INT((Ipotesi!$C$91)/30))-1&lt;1,0,INDEX(Motore_Advisory!$AH$5:$AH$64,MAX(1,19-(INT((Ipotesi!$C$91)/30))-1)))*(MOD((Ipotesi!$C$91),30)/30))</f>
        <v>10873.1</v>
      </c>
      <c r="AJ23" s="15" t="n">
        <f aca="false">(AJ22)+AH23-AI23</f>
        <v>21746.2</v>
      </c>
      <c r="AK23" s="15" t="n">
        <f aca="false">(F23- Motore_Operativo!BH23-(Motore_Operativo!CK23)*Parametri_v3!$C$28-Motore_Operativo!CF23)*Parametri_v3!$C$26</f>
        <v>4097.31666666667</v>
      </c>
      <c r="AL23" s="15" t="n">
        <f aca="false">MAX(0,(AM22))</f>
        <v>4097.31666666667</v>
      </c>
      <c r="AM23" s="15" t="n">
        <f aca="false">(AM22)+AK23-AL23</f>
        <v>4097.31666666667</v>
      </c>
      <c r="AN23" s="15" t="n">
        <f aca="false">SUM(X5:X16)</f>
        <v>3127.125</v>
      </c>
      <c r="AO23" s="15" t="n">
        <f aca="false">SUM(AP5:AP16)</f>
        <v>0</v>
      </c>
      <c r="AP23" s="15" t="n">
        <f aca="false">MAX(0,AN23)*IF(7=Parametri_v3!$C$43,Parametri_v3!$C$45,IF(7=Parametri_v3!$C$44,1-Parametri_v3!$C$45,0))</f>
        <v>0</v>
      </c>
      <c r="AQ23" s="15" t="n">
        <f aca="false">MAX(0,AP23+IF(7=Parametri_v3!$C$43,MAX(0,AN23-AO23),0)-MAX(0,-(AR22)))</f>
        <v>0</v>
      </c>
      <c r="AR23" s="15" t="n">
        <f aca="false">(AR22)+X23-AQ23</f>
        <v>891.663333333336</v>
      </c>
      <c r="AS23" s="15" t="n">
        <f aca="false">Motore_Operativo!AC23-AT23+AU23</f>
        <v>15166.75</v>
      </c>
      <c r="AT23" s="15" t="n">
        <f aca="false">Motore_Operativo!CI23</f>
        <v>798.25</v>
      </c>
      <c r="AU23" s="15" t="n">
        <f aca="false">MIN(MAX(0,(AV22)+AT23),Parametri_v3!$C$61/12)</f>
        <v>0</v>
      </c>
      <c r="AV23" s="15" t="n">
        <f aca="false">(AV22)+AT23-AU23</f>
        <v>8737.75</v>
      </c>
      <c r="AW23" s="15" t="n">
        <f aca="false">IF(AND(Motore_Operativo!C23=Finanziamenti!$D$7,Finanziamenti!$F$7=1),Finanziamenti!$C$7,0)</f>
        <v>0</v>
      </c>
      <c r="AX23" s="15" t="n">
        <f aca="false">0</f>
        <v>0</v>
      </c>
      <c r="AY23" s="15" t="n">
        <f aca="false">IF(7=Parametri_v3!$C$33,IF(BV23&lt;MIN(12,$B23-1),0,MIN(MAX(0,SUM(Y5:Y16))*Ipotesi!$C$94,MAX(0,(BM16)-(BO22)-BP23),MAX(0,BD23-Parametri_v3!$C$31))),0)</f>
        <v>0</v>
      </c>
      <c r="AZ23" s="15" t="n">
        <f aca="false">0</f>
        <v>0</v>
      </c>
      <c r="BA23" s="15" t="n">
        <f aca="false">0</f>
        <v>0</v>
      </c>
      <c r="BB23" s="15" t="n">
        <f aca="false">0</f>
        <v>0</v>
      </c>
      <c r="BC23" s="15" t="n">
        <f aca="false">0</f>
        <v>0</v>
      </c>
      <c r="BD23" s="15" t="n">
        <f aca="false">(BH22)+AC23-AF23-AI23-AS23-K23*(1+Parametri_v3!$C$26)-AL23-AQ23-O23+AW23+AX23+AZ23+BA23-BB23</f>
        <v>-39305.4583333333</v>
      </c>
      <c r="BE23" s="15" t="n">
        <f aca="false">0</f>
        <v>0</v>
      </c>
      <c r="BF23" s="15" t="n">
        <f aca="false">0</f>
        <v>0</v>
      </c>
      <c r="BG23" s="15" t="n">
        <f aca="false">0</f>
        <v>0</v>
      </c>
      <c r="BH23" s="15" t="n">
        <f aca="false">BD23+BE23-BF23-AY23</f>
        <v>-39305.4583333333</v>
      </c>
      <c r="BI23" s="15" t="n">
        <f aca="false">MAX(0,Parametri_v3!$C$31-BH23)</f>
        <v>49305.4583333333</v>
      </c>
      <c r="BJ23" s="15" t="n">
        <f aca="false">(BJ22)+K23</f>
        <v>5916.66666666667</v>
      </c>
      <c r="BK23" s="15" t="n">
        <f aca="false">(BK22)+L23</f>
        <v>1449.07407407407</v>
      </c>
      <c r="BL23" s="15" t="n">
        <f aca="false">BJ23-BK23</f>
        <v>4467.59259259259</v>
      </c>
      <c r="BM23" s="15" t="n">
        <f aca="false">(BM22)+Y23</f>
        <v>13617.9542592593</v>
      </c>
      <c r="BN23" s="15" t="n">
        <f aca="false">(BN22)+AW23+AX23+AZ23</f>
        <v>20000</v>
      </c>
      <c r="BO23" s="15" t="n">
        <f aca="false">(BO22)+AY23</f>
        <v>0</v>
      </c>
      <c r="BP23" s="15" t="n">
        <f aca="false">MIN(Parametri_v3!$C$36*Parametri_v3!$C$35,(BP22)+IF(7=1,MAX(0,SUM(Y5:Y16))*Parametri_v3!$C$34,0))</f>
        <v>404.060416666667</v>
      </c>
      <c r="BQ23" s="15" t="n">
        <f aca="false">BN23+BM23-BO23</f>
        <v>33617.9542592593</v>
      </c>
      <c r="BR23" s="15" t="n">
        <f aca="false">BH23+AD23+BL23+MAX(0,-AM23)+MAX(0,-AR23)</f>
        <v>72674.6342592593</v>
      </c>
      <c r="BS23" s="15" t="n">
        <f aca="false">AJ23+AV23+MAX(0,AM23)+MAX(0,AR23)+BC23+BG23+BQ23+AG23</f>
        <v>72674.6342592593</v>
      </c>
      <c r="BT23" s="15" t="n">
        <f aca="false">BR23-BS23</f>
        <v>0</v>
      </c>
      <c r="BU23" s="15" t="n">
        <f aca="false">BH23-(BD23+BE23-BF23-AY23)</f>
        <v>0</v>
      </c>
      <c r="BV23" s="15" t="n">
        <f aca="false">IF(BH22&lt;Parametri_v3!$C$31,0,BV22+1)</f>
        <v>0</v>
      </c>
    </row>
    <row r="24" customFormat="false" ht="18" hidden="false" customHeight="true" outlineLevel="0" collapsed="false">
      <c r="A24" s="68" t="n">
        <f aca="false">1</f>
        <v>1</v>
      </c>
      <c r="B24" s="68" t="n">
        <f aca="false">20</f>
        <v>20</v>
      </c>
      <c r="C24" s="18" t="n">
        <f aca="false">Motore_Operativo!C24</f>
        <v>46966</v>
      </c>
      <c r="D24" s="68" t="n">
        <f aca="false">Motore_Operativo!D24</f>
        <v>2028</v>
      </c>
      <c r="E24" s="68" t="n">
        <f aca="false">Motore_Operativo!E24</f>
        <v>8</v>
      </c>
      <c r="F24" s="15" t="n">
        <f aca="false">Motore_Operativo!AM24</f>
        <v>29375</v>
      </c>
      <c r="G24" s="15" t="n">
        <f aca="false">Motore_Operativo!BH24</f>
        <v>2937.5</v>
      </c>
      <c r="H24" s="15" t="n">
        <f aca="false">Motore_Operativo!AM24</f>
        <v>29375</v>
      </c>
      <c r="I24" s="15" t="n">
        <f aca="false">Motore_Operativo!CB24</f>
        <v>28148.3333333333</v>
      </c>
      <c r="J24" s="15" t="n">
        <f aca="false">Motore_Operativo!CD24</f>
        <v>1226.66666666667</v>
      </c>
      <c r="K24" s="15" t="n">
        <f aca="false">Motore_Operativo!CF24</f>
        <v>416.666666666667</v>
      </c>
      <c r="L24" s="15" t="n">
        <f aca="false">SUM(INDEX($K$5:$K$64,MAX(1,20-Parametri_v3!$C$59+1)):K24)/Parametri_v3!$C$59</f>
        <v>175.925925925926</v>
      </c>
      <c r="M24" s="15" t="n">
        <f aca="false">J24-L24</f>
        <v>1050.74074074074</v>
      </c>
      <c r="N24" s="15" t="n">
        <f aca="false">0</f>
        <v>0</v>
      </c>
      <c r="O24" s="15" t="n">
        <f aca="false">0</f>
        <v>0</v>
      </c>
      <c r="P24" s="15" t="n">
        <f aca="false">M24+N24-O24</f>
        <v>1050.74074074074</v>
      </c>
      <c r="Q24" s="15" t="n">
        <f aca="false">SUM(P17:P24)+Parametri_v3!$C$56*8/12</f>
        <v>8730.00000000001</v>
      </c>
      <c r="R24" s="15" t="n">
        <f aca="false">Z16</f>
        <v>0</v>
      </c>
      <c r="S24" s="15" t="n">
        <f aca="false">AA16</f>
        <v>0</v>
      </c>
      <c r="T24" s="15" t="n">
        <f aca="false">MIN(R24,MAX(0,Q24))</f>
        <v>0</v>
      </c>
      <c r="U24" s="15" t="n">
        <f aca="false">MIN(S24,MAX(0,Q24-T24)*Parametri_v3!$C$42)</f>
        <v>0</v>
      </c>
      <c r="V24" s="15" t="n">
        <f aca="false">MAX(0,Q24-T24-U24)*Ipotesi!$C$92</f>
        <v>2095.2</v>
      </c>
      <c r="W24" s="15" t="n">
        <f aca="false">MAX(0,SUM(M17:M24)+Parametri_v3!$C$57*8/12)*Ipotesi!$C$93</f>
        <v>340.47</v>
      </c>
      <c r="X24" s="15" t="n">
        <f aca="false">V24+W24-(V23+W23)</f>
        <v>293.156666666667</v>
      </c>
      <c r="Y24" s="15" t="n">
        <f aca="false">P24-X24</f>
        <v>757.584074074075</v>
      </c>
      <c r="Z24" s="15" t="n">
        <f aca="false">R24-T24+IF(AND(Parametri_v3!$C$40=1,D24-YEAR(Parametri_v3!$C$50)&lt;Parametri_v3!$C$41),MAX(0,-Q24),0)</f>
        <v>0</v>
      </c>
      <c r="AA24" s="15" t="n">
        <f aca="false">S24-U24+IF(AND(Parametri_v3!$C$40=1,D24-YEAR(Parametri_v3!$C$50)&lt;Parametri_v3!$C$41),0,MAX(0,-Q24))</f>
        <v>0</v>
      </c>
      <c r="AB24" s="15" t="n">
        <f aca="false">F24*(1+Parametri_v3!$C$26)</f>
        <v>35837.5</v>
      </c>
      <c r="AC24" s="15" t="n">
        <f aca="false">(IF(20-(INT((Motore_Operativo!L24)/30))&lt;1,0,INDEX(Motore_Advisory!$AB$5:$AB$64,MAX(1,20-(INT((Motore_Operativo!L24)/30)))))*(1-(MOD((Motore_Operativo!L24),30)/30))+IF(20-(INT((Motore_Operativo!L24)/30))-1&lt;1,0,INDEX(Motore_Advisory!$AB$5:$AB$64,MAX(1,20-(INT((Motore_Operativo!L24)/30))-1)))*(MOD((Motore_Operativo!L24),30)/30))</f>
        <v>35837.5</v>
      </c>
      <c r="AD24" s="15" t="n">
        <f aca="false">(AD23)+AB24-AC24</f>
        <v>107512.5</v>
      </c>
      <c r="AE24" s="15" t="n">
        <f aca="false">Motore_Operativo!BH24*(1+Parametri_v3!$C$26)</f>
        <v>3583.75</v>
      </c>
      <c r="AF24" s="15" t="n">
        <f aca="false">(IF(20-(INT((Parametri_v3!$C$29)/30))&lt;1,0,INDEX(Motore_Operativo!$BH$5:$BH$64,MAX(1,20-(INT((Parametri_v3!$C$29)/30)))))*(1-(MOD((Parametri_v3!$C$29),30)/30))+IF(20-(INT((Parametri_v3!$C$29)/30))-1&lt;1,0,INDEX(Motore_Operativo!$BH$5:$BH$64,MAX(1,20-(INT((Parametri_v3!$C$29)/30))-1)))*(MOD((Parametri_v3!$C$29),30)/30))*(1+Parametri_v3!$C$26)</f>
        <v>3583.75</v>
      </c>
      <c r="AG24" s="15" t="n">
        <f aca="false">(AG23)+AE24-AF24</f>
        <v>3583.75</v>
      </c>
      <c r="AH24" s="15" t="n">
        <f aca="false">(Motore_Operativo!CK24)*(1+Parametri_v3!$C$28*Parametri_v3!$C$26)</f>
        <v>10873.1</v>
      </c>
      <c r="AI24" s="15" t="n">
        <f aca="false">(IF(20-(INT((Ipotesi!$C$91)/30))&lt;1,0,INDEX(Motore_Advisory!$AH$5:$AH$64,MAX(1,20-(INT((Ipotesi!$C$91)/30)))))*(1-(MOD((Ipotesi!$C$91),30)/30))+IF(20-(INT((Ipotesi!$C$91)/30))-1&lt;1,0,INDEX(Motore_Advisory!$AH$5:$AH$64,MAX(1,20-(INT((Ipotesi!$C$91)/30))-1)))*(MOD((Ipotesi!$C$91),30)/30))</f>
        <v>10873.1</v>
      </c>
      <c r="AJ24" s="15" t="n">
        <f aca="false">(AJ23)+AH24-AI24</f>
        <v>21746.2</v>
      </c>
      <c r="AK24" s="15" t="n">
        <f aca="false">(F24- Motore_Operativo!BH24-(Motore_Operativo!CK24)*Parametri_v3!$C$28-Motore_Operativo!CF24)*Parametri_v3!$C$26</f>
        <v>4097.31666666667</v>
      </c>
      <c r="AL24" s="15" t="n">
        <f aca="false">MAX(0,(AM23))</f>
        <v>4097.31666666667</v>
      </c>
      <c r="AM24" s="15" t="n">
        <f aca="false">(AM23)+AK24-AL24</f>
        <v>4097.31666666667</v>
      </c>
      <c r="AN24" s="15" t="n">
        <f aca="false">SUM(X5:X16)</f>
        <v>3127.125</v>
      </c>
      <c r="AO24" s="15" t="n">
        <f aca="false">SUM(AP5:AP16)</f>
        <v>0</v>
      </c>
      <c r="AP24" s="15" t="n">
        <f aca="false">MAX(0,AN24)*IF(8=Parametri_v3!$C$43,Parametri_v3!$C$45,IF(8=Parametri_v3!$C$44,1-Parametri_v3!$C$45,0))</f>
        <v>0</v>
      </c>
      <c r="AQ24" s="15" t="n">
        <f aca="false">MAX(0,AP24+IF(8=Parametri_v3!$C$43,MAX(0,AN24-AO24),0)-MAX(0,-(AR23)))</f>
        <v>0</v>
      </c>
      <c r="AR24" s="15" t="n">
        <f aca="false">(AR23)+X24-AQ24</f>
        <v>1184.82</v>
      </c>
      <c r="AS24" s="15" t="n">
        <f aca="false">Motore_Operativo!AC24-AT24+AU24</f>
        <v>15166.75</v>
      </c>
      <c r="AT24" s="15" t="n">
        <f aca="false">Motore_Operativo!CI24</f>
        <v>798.25</v>
      </c>
      <c r="AU24" s="15" t="n">
        <f aca="false">MIN(MAX(0,(AV23)+AT24),Parametri_v3!$C$61/12)</f>
        <v>0</v>
      </c>
      <c r="AV24" s="15" t="n">
        <f aca="false">(AV23)+AT24-AU24</f>
        <v>9536</v>
      </c>
      <c r="AW24" s="15" t="n">
        <f aca="false">IF(AND(Motore_Operativo!C24=Finanziamenti!$D$7,Finanziamenti!$F$7=1),Finanziamenti!$C$7,0)</f>
        <v>0</v>
      </c>
      <c r="AX24" s="15" t="n">
        <f aca="false">0</f>
        <v>0</v>
      </c>
      <c r="AY24" s="15" t="n">
        <f aca="false">IF(8=Parametri_v3!$C$33,IF(BV24&lt;MIN(12,$B24-1),0,MIN(MAX(0,SUM(Y5:Y16))*Ipotesi!$C$94,MAX(0,(BM16)-(BO23)-BP24),MAX(0,BD24-Parametri_v3!$C$31))),0)</f>
        <v>0</v>
      </c>
      <c r="AZ24" s="15" t="n">
        <f aca="false">0</f>
        <v>0</v>
      </c>
      <c r="BA24" s="15" t="n">
        <f aca="false">0</f>
        <v>0</v>
      </c>
      <c r="BB24" s="15" t="n">
        <f aca="false">0</f>
        <v>0</v>
      </c>
      <c r="BC24" s="15" t="n">
        <f aca="false">0</f>
        <v>0</v>
      </c>
      <c r="BD24" s="15" t="n">
        <f aca="false">(BH23)+AC24-AF24-AI24-AS24-K24*(1+Parametri_v3!$C$26)-AL24-AQ24-O24+AW24+AX24+AZ24+BA24-BB24</f>
        <v>-37697.2083333333</v>
      </c>
      <c r="BE24" s="15" t="n">
        <f aca="false">0</f>
        <v>0</v>
      </c>
      <c r="BF24" s="15" t="n">
        <f aca="false">0</f>
        <v>0</v>
      </c>
      <c r="BG24" s="15" t="n">
        <f aca="false">0</f>
        <v>0</v>
      </c>
      <c r="BH24" s="15" t="n">
        <f aca="false">BD24+BE24-BF24-AY24</f>
        <v>-37697.2083333333</v>
      </c>
      <c r="BI24" s="15" t="n">
        <f aca="false">MAX(0,Parametri_v3!$C$31-BH24)</f>
        <v>47697.2083333333</v>
      </c>
      <c r="BJ24" s="15" t="n">
        <f aca="false">(BJ23)+K24</f>
        <v>6333.33333333334</v>
      </c>
      <c r="BK24" s="15" t="n">
        <f aca="false">(BK23)+L24</f>
        <v>1625</v>
      </c>
      <c r="BL24" s="15" t="n">
        <f aca="false">BJ24-BK24</f>
        <v>4708.33333333334</v>
      </c>
      <c r="BM24" s="15" t="n">
        <f aca="false">(BM23)+Y24</f>
        <v>14375.5383333334</v>
      </c>
      <c r="BN24" s="15" t="n">
        <f aca="false">(BN23)+AW24+AX24+AZ24</f>
        <v>20000</v>
      </c>
      <c r="BO24" s="15" t="n">
        <f aca="false">(BO23)+AY24</f>
        <v>0</v>
      </c>
      <c r="BP24" s="15" t="n">
        <f aca="false">MIN(Parametri_v3!$C$36*Parametri_v3!$C$35,(BP23)+IF(8=1,MAX(0,SUM(Y5:Y16))*Parametri_v3!$C$34,0))</f>
        <v>404.060416666667</v>
      </c>
      <c r="BQ24" s="15" t="n">
        <f aca="false">BN24+BM24-BO24</f>
        <v>34375.5383333334</v>
      </c>
      <c r="BR24" s="15" t="n">
        <f aca="false">BH24+AD24+BL24+MAX(0,-AM24)+MAX(0,-AR24)</f>
        <v>74523.625</v>
      </c>
      <c r="BS24" s="15" t="n">
        <f aca="false">AJ24+AV24+MAX(0,AM24)+MAX(0,AR24)+BC24+BG24+BQ24+AG24</f>
        <v>74523.625</v>
      </c>
      <c r="BT24" s="15" t="n">
        <f aca="false">BR24-BS24</f>
        <v>0</v>
      </c>
      <c r="BU24" s="15" t="n">
        <f aca="false">BH24-(BD24+BE24-BF24-AY24)</f>
        <v>0</v>
      </c>
      <c r="BV24" s="15" t="n">
        <f aca="false">IF(BH23&lt;Parametri_v3!$C$31,0,BV23+1)</f>
        <v>0</v>
      </c>
    </row>
    <row r="25" customFormat="false" ht="18" hidden="false" customHeight="true" outlineLevel="0" collapsed="false">
      <c r="A25" s="68" t="n">
        <f aca="false">1</f>
        <v>1</v>
      </c>
      <c r="B25" s="68" t="n">
        <f aca="false">21</f>
        <v>21</v>
      </c>
      <c r="C25" s="18" t="n">
        <f aca="false">Motore_Operativo!C25</f>
        <v>46997</v>
      </c>
      <c r="D25" s="68" t="n">
        <f aca="false">Motore_Operativo!D25</f>
        <v>2028</v>
      </c>
      <c r="E25" s="68" t="n">
        <f aca="false">Motore_Operativo!E25</f>
        <v>9</v>
      </c>
      <c r="F25" s="15" t="n">
        <f aca="false">Motore_Operativo!AM25</f>
        <v>29375</v>
      </c>
      <c r="G25" s="15" t="n">
        <f aca="false">Motore_Operativo!BH25</f>
        <v>2937.5</v>
      </c>
      <c r="H25" s="15" t="n">
        <f aca="false">Motore_Operativo!AM25</f>
        <v>29375</v>
      </c>
      <c r="I25" s="15" t="n">
        <f aca="false">Motore_Operativo!CB25</f>
        <v>28148.3333333333</v>
      </c>
      <c r="J25" s="15" t="n">
        <f aca="false">Motore_Operativo!CD25</f>
        <v>1226.66666666667</v>
      </c>
      <c r="K25" s="15" t="n">
        <f aca="false">Motore_Operativo!CF25</f>
        <v>416.666666666667</v>
      </c>
      <c r="L25" s="15" t="n">
        <f aca="false">SUM(INDEX($K$5:$K$64,MAX(1,21-Parametri_v3!$C$59+1)):K25)/Parametri_v3!$C$59</f>
        <v>187.5</v>
      </c>
      <c r="M25" s="15" t="n">
        <f aca="false">J25-L25</f>
        <v>1039.16666666667</v>
      </c>
      <c r="N25" s="15" t="n">
        <f aca="false">0</f>
        <v>0</v>
      </c>
      <c r="O25" s="15" t="n">
        <f aca="false">0</f>
        <v>0</v>
      </c>
      <c r="P25" s="15" t="n">
        <f aca="false">M25+N25-O25</f>
        <v>1039.16666666667</v>
      </c>
      <c r="Q25" s="15" t="n">
        <f aca="false">SUM(P17:P25)+Parametri_v3!$C$56*9/12</f>
        <v>9769.16666666668</v>
      </c>
      <c r="R25" s="15" t="n">
        <f aca="false">Z16</f>
        <v>0</v>
      </c>
      <c r="S25" s="15" t="n">
        <f aca="false">AA16</f>
        <v>0</v>
      </c>
      <c r="T25" s="15" t="n">
        <f aca="false">MIN(R25,MAX(0,Q25))</f>
        <v>0</v>
      </c>
      <c r="U25" s="15" t="n">
        <f aca="false">MIN(S25,MAX(0,Q25-T25)*Parametri_v3!$C$42)</f>
        <v>0</v>
      </c>
      <c r="V25" s="15" t="n">
        <f aca="false">MAX(0,Q25-T25-U25)*Ipotesi!$C$92</f>
        <v>2344.6</v>
      </c>
      <c r="W25" s="15" t="n">
        <f aca="false">MAX(0,SUM(M17:M25)+Parametri_v3!$C$57*9/12)*Ipotesi!$C$93</f>
        <v>380.9975</v>
      </c>
      <c r="X25" s="15" t="n">
        <f aca="false">V25+W25-(V24+W24)</f>
        <v>289.9275</v>
      </c>
      <c r="Y25" s="15" t="n">
        <f aca="false">P25-X25</f>
        <v>749.239166666668</v>
      </c>
      <c r="Z25" s="15" t="n">
        <f aca="false">R25-T25+IF(AND(Parametri_v3!$C$40=1,D25-YEAR(Parametri_v3!$C$50)&lt;Parametri_v3!$C$41),MAX(0,-Q25),0)</f>
        <v>0</v>
      </c>
      <c r="AA25" s="15" t="n">
        <f aca="false">S25-U25+IF(AND(Parametri_v3!$C$40=1,D25-YEAR(Parametri_v3!$C$50)&lt;Parametri_v3!$C$41),0,MAX(0,-Q25))</f>
        <v>0</v>
      </c>
      <c r="AB25" s="15" t="n">
        <f aca="false">F25*(1+Parametri_v3!$C$26)</f>
        <v>35837.5</v>
      </c>
      <c r="AC25" s="15" t="n">
        <f aca="false">(IF(21-(INT((Motore_Operativo!L25)/30))&lt;1,0,INDEX(Motore_Advisory!$AB$5:$AB$64,MAX(1,21-(INT((Motore_Operativo!L25)/30)))))*(1-(MOD((Motore_Operativo!L25),30)/30))+IF(21-(INT((Motore_Operativo!L25)/30))-1&lt;1,0,INDEX(Motore_Advisory!$AB$5:$AB$64,MAX(1,21-(INT((Motore_Operativo!L25)/30))-1)))*(MOD((Motore_Operativo!L25),30)/30))</f>
        <v>35837.5</v>
      </c>
      <c r="AD25" s="15" t="n">
        <f aca="false">(AD24)+AB25-AC25</f>
        <v>107512.5</v>
      </c>
      <c r="AE25" s="15" t="n">
        <f aca="false">Motore_Operativo!BH25*(1+Parametri_v3!$C$26)</f>
        <v>3583.75</v>
      </c>
      <c r="AF25" s="15" t="n">
        <f aca="false">(IF(21-(INT((Parametri_v3!$C$29)/30))&lt;1,0,INDEX(Motore_Operativo!$BH$5:$BH$64,MAX(1,21-(INT((Parametri_v3!$C$29)/30)))))*(1-(MOD((Parametri_v3!$C$29),30)/30))+IF(21-(INT((Parametri_v3!$C$29)/30))-1&lt;1,0,INDEX(Motore_Operativo!$BH$5:$BH$64,MAX(1,21-(INT((Parametri_v3!$C$29)/30))-1)))*(MOD((Parametri_v3!$C$29),30)/30))*(1+Parametri_v3!$C$26)</f>
        <v>3583.75</v>
      </c>
      <c r="AG25" s="15" t="n">
        <f aca="false">(AG24)+AE25-AF25</f>
        <v>3583.75</v>
      </c>
      <c r="AH25" s="15" t="n">
        <f aca="false">(Motore_Operativo!CK25)*(1+Parametri_v3!$C$28*Parametri_v3!$C$26)</f>
        <v>10873.1</v>
      </c>
      <c r="AI25" s="15" t="n">
        <f aca="false">(IF(21-(INT((Ipotesi!$C$91)/30))&lt;1,0,INDEX(Motore_Advisory!$AH$5:$AH$64,MAX(1,21-(INT((Ipotesi!$C$91)/30)))))*(1-(MOD((Ipotesi!$C$91),30)/30))+IF(21-(INT((Ipotesi!$C$91)/30))-1&lt;1,0,INDEX(Motore_Advisory!$AH$5:$AH$64,MAX(1,21-(INT((Ipotesi!$C$91)/30))-1)))*(MOD((Ipotesi!$C$91),30)/30))</f>
        <v>10873.1</v>
      </c>
      <c r="AJ25" s="15" t="n">
        <f aca="false">(AJ24)+AH25-AI25</f>
        <v>21746.2</v>
      </c>
      <c r="AK25" s="15" t="n">
        <f aca="false">(F25- Motore_Operativo!BH25-(Motore_Operativo!CK25)*Parametri_v3!$C$28-Motore_Operativo!CF25)*Parametri_v3!$C$26</f>
        <v>4097.31666666667</v>
      </c>
      <c r="AL25" s="15" t="n">
        <f aca="false">MAX(0,(AM24))</f>
        <v>4097.31666666667</v>
      </c>
      <c r="AM25" s="15" t="n">
        <f aca="false">(AM24)+AK25-AL25</f>
        <v>4097.31666666667</v>
      </c>
      <c r="AN25" s="15" t="n">
        <f aca="false">SUM(X5:X16)</f>
        <v>3127.125</v>
      </c>
      <c r="AO25" s="15" t="n">
        <f aca="false">SUM(AP5:AP16)</f>
        <v>0</v>
      </c>
      <c r="AP25" s="15" t="n">
        <f aca="false">MAX(0,AN25)*IF(9=Parametri_v3!$C$43,Parametri_v3!$C$45,IF(9=Parametri_v3!$C$44,1-Parametri_v3!$C$45,0))</f>
        <v>0</v>
      </c>
      <c r="AQ25" s="15" t="n">
        <f aca="false">MAX(0,AP25+IF(9=Parametri_v3!$C$43,MAX(0,AN25-AO25),0)-MAX(0,-(AR24)))</f>
        <v>0</v>
      </c>
      <c r="AR25" s="15" t="n">
        <f aca="false">(AR24)+X25-AQ25</f>
        <v>1474.7475</v>
      </c>
      <c r="AS25" s="15" t="n">
        <f aca="false">Motore_Operativo!AC25-AT25+AU25</f>
        <v>15166.75</v>
      </c>
      <c r="AT25" s="15" t="n">
        <f aca="false">Motore_Operativo!CI25</f>
        <v>798.25</v>
      </c>
      <c r="AU25" s="15" t="n">
        <f aca="false">MIN(MAX(0,(AV24)+AT25),Parametri_v3!$C$61/12)</f>
        <v>0</v>
      </c>
      <c r="AV25" s="15" t="n">
        <f aca="false">(AV24)+AT25-AU25</f>
        <v>10334.25</v>
      </c>
      <c r="AW25" s="15" t="n">
        <f aca="false">IF(AND(Motore_Operativo!C25=Finanziamenti!$D$7,Finanziamenti!$F$7=1),Finanziamenti!$C$7,0)</f>
        <v>0</v>
      </c>
      <c r="AX25" s="15" t="n">
        <f aca="false">0</f>
        <v>0</v>
      </c>
      <c r="AY25" s="15" t="n">
        <f aca="false">IF(9=Parametri_v3!$C$33,IF(BV25&lt;MIN(12,$B25-1),0,MIN(MAX(0,SUM(Y5:Y16))*Ipotesi!$C$94,MAX(0,(BM16)-(BO24)-BP25),MAX(0,BD25-Parametri_v3!$C$31))),0)</f>
        <v>0</v>
      </c>
      <c r="AZ25" s="15" t="n">
        <f aca="false">0</f>
        <v>0</v>
      </c>
      <c r="BA25" s="15" t="n">
        <f aca="false">0</f>
        <v>0</v>
      </c>
      <c r="BB25" s="15" t="n">
        <f aca="false">0</f>
        <v>0</v>
      </c>
      <c r="BC25" s="15" t="n">
        <f aca="false">0</f>
        <v>0</v>
      </c>
      <c r="BD25" s="15" t="n">
        <f aca="false">(BH24)+AC25-AF25-AI25-AS25-K25*(1+Parametri_v3!$C$26)-AL25-AQ25-O25+AW25+AX25+AZ25+BA25-BB25</f>
        <v>-36088.9583333333</v>
      </c>
      <c r="BE25" s="15" t="n">
        <f aca="false">0</f>
        <v>0</v>
      </c>
      <c r="BF25" s="15" t="n">
        <f aca="false">0</f>
        <v>0</v>
      </c>
      <c r="BG25" s="15" t="n">
        <f aca="false">0</f>
        <v>0</v>
      </c>
      <c r="BH25" s="15" t="n">
        <f aca="false">BD25+BE25-BF25-AY25</f>
        <v>-36088.9583333333</v>
      </c>
      <c r="BI25" s="15" t="n">
        <f aca="false">MAX(0,Parametri_v3!$C$31-BH25)</f>
        <v>46088.9583333333</v>
      </c>
      <c r="BJ25" s="15" t="n">
        <f aca="false">(BJ24)+K25</f>
        <v>6750</v>
      </c>
      <c r="BK25" s="15" t="n">
        <f aca="false">(BK24)+L25</f>
        <v>1812.5</v>
      </c>
      <c r="BL25" s="15" t="n">
        <f aca="false">BJ25-BK25</f>
        <v>4937.5</v>
      </c>
      <c r="BM25" s="15" t="n">
        <f aca="false">(BM24)+Y25</f>
        <v>15124.7775</v>
      </c>
      <c r="BN25" s="15" t="n">
        <f aca="false">(BN24)+AW25+AX25+AZ25</f>
        <v>20000</v>
      </c>
      <c r="BO25" s="15" t="n">
        <f aca="false">(BO24)+AY25</f>
        <v>0</v>
      </c>
      <c r="BP25" s="15" t="n">
        <f aca="false">MIN(Parametri_v3!$C$36*Parametri_v3!$C$35,(BP24)+IF(9=1,MAX(0,SUM(Y5:Y16))*Parametri_v3!$C$34,0))</f>
        <v>404.060416666667</v>
      </c>
      <c r="BQ25" s="15" t="n">
        <f aca="false">BN25+BM25-BO25</f>
        <v>35124.7775</v>
      </c>
      <c r="BR25" s="15" t="n">
        <f aca="false">BH25+AD25+BL25+MAX(0,-AM25)+MAX(0,-AR25)</f>
        <v>76361.0416666667</v>
      </c>
      <c r="BS25" s="15" t="n">
        <f aca="false">AJ25+AV25+MAX(0,AM25)+MAX(0,AR25)+BC25+BG25+BQ25+AG25</f>
        <v>76361.0416666667</v>
      </c>
      <c r="BT25" s="15" t="n">
        <f aca="false">BR25-BS25</f>
        <v>0</v>
      </c>
      <c r="BU25" s="15" t="n">
        <f aca="false">BH25-(BD25+BE25-BF25-AY25)</f>
        <v>0</v>
      </c>
      <c r="BV25" s="15" t="n">
        <f aca="false">IF(BH24&lt;Parametri_v3!$C$31,0,BV24+1)</f>
        <v>0</v>
      </c>
    </row>
    <row r="26" customFormat="false" ht="18" hidden="false" customHeight="true" outlineLevel="0" collapsed="false">
      <c r="A26" s="68" t="n">
        <f aca="false">1</f>
        <v>1</v>
      </c>
      <c r="B26" s="68" t="n">
        <f aca="false">22</f>
        <v>22</v>
      </c>
      <c r="C26" s="18" t="n">
        <f aca="false">Motore_Operativo!C26</f>
        <v>47027</v>
      </c>
      <c r="D26" s="68" t="n">
        <f aca="false">Motore_Operativo!D26</f>
        <v>2028</v>
      </c>
      <c r="E26" s="68" t="n">
        <f aca="false">Motore_Operativo!E26</f>
        <v>10</v>
      </c>
      <c r="F26" s="15" t="n">
        <f aca="false">Motore_Operativo!AM26</f>
        <v>29375</v>
      </c>
      <c r="G26" s="15" t="n">
        <f aca="false">Motore_Operativo!BH26</f>
        <v>2937.5</v>
      </c>
      <c r="H26" s="15" t="n">
        <f aca="false">Motore_Operativo!AM26</f>
        <v>29375</v>
      </c>
      <c r="I26" s="15" t="n">
        <f aca="false">Motore_Operativo!CB26</f>
        <v>28148.3333333333</v>
      </c>
      <c r="J26" s="15" t="n">
        <f aca="false">Motore_Operativo!CD26</f>
        <v>1226.66666666667</v>
      </c>
      <c r="K26" s="15" t="n">
        <f aca="false">Motore_Operativo!CF26</f>
        <v>416.666666666667</v>
      </c>
      <c r="L26" s="15" t="n">
        <f aca="false">SUM(INDEX($K$5:$K$64,MAX(1,22-Parametri_v3!$C$59+1)):K26)/Parametri_v3!$C$59</f>
        <v>199.074074074074</v>
      </c>
      <c r="M26" s="15" t="n">
        <f aca="false">J26-L26</f>
        <v>1027.59259259259</v>
      </c>
      <c r="N26" s="15" t="n">
        <f aca="false">0</f>
        <v>0</v>
      </c>
      <c r="O26" s="15" t="n">
        <f aca="false">0</f>
        <v>0</v>
      </c>
      <c r="P26" s="15" t="n">
        <f aca="false">M26+N26-O26</f>
        <v>1027.59259259259</v>
      </c>
      <c r="Q26" s="15" t="n">
        <f aca="false">SUM(P17:P26)+Parametri_v3!$C$56*10/12</f>
        <v>10796.7592592593</v>
      </c>
      <c r="R26" s="15" t="n">
        <f aca="false">Z16</f>
        <v>0</v>
      </c>
      <c r="S26" s="15" t="n">
        <f aca="false">AA16</f>
        <v>0</v>
      </c>
      <c r="T26" s="15" t="n">
        <f aca="false">MIN(R26,MAX(0,Q26))</f>
        <v>0</v>
      </c>
      <c r="U26" s="15" t="n">
        <f aca="false">MIN(S26,MAX(0,Q26-T26)*Parametri_v3!$C$42)</f>
        <v>0</v>
      </c>
      <c r="V26" s="15" t="n">
        <f aca="false">MAX(0,Q26-T26-U26)*Ipotesi!$C$92</f>
        <v>2591.22222222223</v>
      </c>
      <c r="W26" s="15" t="n">
        <f aca="false">MAX(0,SUM(M17:M26)+Parametri_v3!$C$57*10/12)*Ipotesi!$C$93</f>
        <v>421.073611111112</v>
      </c>
      <c r="X26" s="15" t="n">
        <f aca="false">V26+W26-(V25+W25)</f>
        <v>286.698333333334</v>
      </c>
      <c r="Y26" s="15" t="n">
        <f aca="false">P26-X26</f>
        <v>740.89425925926</v>
      </c>
      <c r="Z26" s="15" t="n">
        <f aca="false">R26-T26+IF(AND(Parametri_v3!$C$40=1,D26-YEAR(Parametri_v3!$C$50)&lt;Parametri_v3!$C$41),MAX(0,-Q26),0)</f>
        <v>0</v>
      </c>
      <c r="AA26" s="15" t="n">
        <f aca="false">S26-U26+IF(AND(Parametri_v3!$C$40=1,D26-YEAR(Parametri_v3!$C$50)&lt;Parametri_v3!$C$41),0,MAX(0,-Q26))</f>
        <v>0</v>
      </c>
      <c r="AB26" s="15" t="n">
        <f aca="false">F26*(1+Parametri_v3!$C$26)</f>
        <v>35837.5</v>
      </c>
      <c r="AC26" s="15" t="n">
        <f aca="false">(IF(22-(INT((Motore_Operativo!L26)/30))&lt;1,0,INDEX(Motore_Advisory!$AB$5:$AB$64,MAX(1,22-(INT((Motore_Operativo!L26)/30)))))*(1-(MOD((Motore_Operativo!L26),30)/30))+IF(22-(INT((Motore_Operativo!L26)/30))-1&lt;1,0,INDEX(Motore_Advisory!$AB$5:$AB$64,MAX(1,22-(INT((Motore_Operativo!L26)/30))-1)))*(MOD((Motore_Operativo!L26),30)/30))</f>
        <v>35837.5</v>
      </c>
      <c r="AD26" s="15" t="n">
        <f aca="false">(AD25)+AB26-AC26</f>
        <v>107512.5</v>
      </c>
      <c r="AE26" s="15" t="n">
        <f aca="false">Motore_Operativo!BH26*(1+Parametri_v3!$C$26)</f>
        <v>3583.75</v>
      </c>
      <c r="AF26" s="15" t="n">
        <f aca="false">(IF(22-(INT((Parametri_v3!$C$29)/30))&lt;1,0,INDEX(Motore_Operativo!$BH$5:$BH$64,MAX(1,22-(INT((Parametri_v3!$C$29)/30)))))*(1-(MOD((Parametri_v3!$C$29),30)/30))+IF(22-(INT((Parametri_v3!$C$29)/30))-1&lt;1,0,INDEX(Motore_Operativo!$BH$5:$BH$64,MAX(1,22-(INT((Parametri_v3!$C$29)/30))-1)))*(MOD((Parametri_v3!$C$29),30)/30))*(1+Parametri_v3!$C$26)</f>
        <v>3583.75</v>
      </c>
      <c r="AG26" s="15" t="n">
        <f aca="false">(AG25)+AE26-AF26</f>
        <v>3583.75</v>
      </c>
      <c r="AH26" s="15" t="n">
        <f aca="false">(Motore_Operativo!CK26)*(1+Parametri_v3!$C$28*Parametri_v3!$C$26)</f>
        <v>10873.1</v>
      </c>
      <c r="AI26" s="15" t="n">
        <f aca="false">(IF(22-(INT((Ipotesi!$C$91)/30))&lt;1,0,INDEX(Motore_Advisory!$AH$5:$AH$64,MAX(1,22-(INT((Ipotesi!$C$91)/30)))))*(1-(MOD((Ipotesi!$C$91),30)/30))+IF(22-(INT((Ipotesi!$C$91)/30))-1&lt;1,0,INDEX(Motore_Advisory!$AH$5:$AH$64,MAX(1,22-(INT((Ipotesi!$C$91)/30))-1)))*(MOD((Ipotesi!$C$91),30)/30))</f>
        <v>10873.1</v>
      </c>
      <c r="AJ26" s="15" t="n">
        <f aca="false">(AJ25)+AH26-AI26</f>
        <v>21746.2</v>
      </c>
      <c r="AK26" s="15" t="n">
        <f aca="false">(F26- Motore_Operativo!BH26-(Motore_Operativo!CK26)*Parametri_v3!$C$28-Motore_Operativo!CF26)*Parametri_v3!$C$26</f>
        <v>4097.31666666667</v>
      </c>
      <c r="AL26" s="15" t="n">
        <f aca="false">MAX(0,(AM25))</f>
        <v>4097.31666666667</v>
      </c>
      <c r="AM26" s="15" t="n">
        <f aca="false">(AM25)+AK26-AL26</f>
        <v>4097.31666666667</v>
      </c>
      <c r="AN26" s="15" t="n">
        <f aca="false">SUM(X5:X16)</f>
        <v>3127.125</v>
      </c>
      <c r="AO26" s="15" t="n">
        <f aca="false">SUM(AP5:AP16)</f>
        <v>0</v>
      </c>
      <c r="AP26" s="15" t="n">
        <f aca="false">MAX(0,AN26)*IF(10=Parametri_v3!$C$43,Parametri_v3!$C$45,IF(10=Parametri_v3!$C$44,1-Parametri_v3!$C$45,0))</f>
        <v>0</v>
      </c>
      <c r="AQ26" s="15" t="n">
        <f aca="false">MAX(0,AP26+IF(10=Parametri_v3!$C$43,MAX(0,AN26-AO26),0)-MAX(0,-(AR25)))</f>
        <v>0</v>
      </c>
      <c r="AR26" s="15" t="n">
        <f aca="false">(AR25)+X26-AQ26</f>
        <v>1761.44583333334</v>
      </c>
      <c r="AS26" s="15" t="n">
        <f aca="false">Motore_Operativo!AC26-AT26+AU26</f>
        <v>15166.75</v>
      </c>
      <c r="AT26" s="15" t="n">
        <f aca="false">Motore_Operativo!CI26</f>
        <v>798.25</v>
      </c>
      <c r="AU26" s="15" t="n">
        <f aca="false">MIN(MAX(0,(AV25)+AT26),Parametri_v3!$C$61/12)</f>
        <v>0</v>
      </c>
      <c r="AV26" s="15" t="n">
        <f aca="false">(AV25)+AT26-AU26</f>
        <v>11132.5</v>
      </c>
      <c r="AW26" s="15" t="n">
        <f aca="false">IF(AND(Motore_Operativo!C26=Finanziamenti!$D$7,Finanziamenti!$F$7=1),Finanziamenti!$C$7,0)</f>
        <v>0</v>
      </c>
      <c r="AX26" s="15" t="n">
        <f aca="false">0</f>
        <v>0</v>
      </c>
      <c r="AY26" s="15" t="n">
        <f aca="false">IF(10=Parametri_v3!$C$33,IF(BV26&lt;MIN(12,$B26-1),0,MIN(MAX(0,SUM(Y5:Y16))*Ipotesi!$C$94,MAX(0,(BM16)-(BO25)-BP26),MAX(0,BD26-Parametri_v3!$C$31))),0)</f>
        <v>0</v>
      </c>
      <c r="AZ26" s="15" t="n">
        <f aca="false">0</f>
        <v>0</v>
      </c>
      <c r="BA26" s="15" t="n">
        <f aca="false">0</f>
        <v>0</v>
      </c>
      <c r="BB26" s="15" t="n">
        <f aca="false">0</f>
        <v>0</v>
      </c>
      <c r="BC26" s="15" t="n">
        <f aca="false">0</f>
        <v>0</v>
      </c>
      <c r="BD26" s="15" t="n">
        <f aca="false">(BH25)+AC26-AF26-AI26-AS26-K26*(1+Parametri_v3!$C$26)-AL26-AQ26-O26+AW26+AX26+AZ26+BA26-BB26</f>
        <v>-34480.7083333333</v>
      </c>
      <c r="BE26" s="15" t="n">
        <f aca="false">0</f>
        <v>0</v>
      </c>
      <c r="BF26" s="15" t="n">
        <f aca="false">0</f>
        <v>0</v>
      </c>
      <c r="BG26" s="15" t="n">
        <f aca="false">0</f>
        <v>0</v>
      </c>
      <c r="BH26" s="15" t="n">
        <f aca="false">BD26+BE26-BF26-AY26</f>
        <v>-34480.7083333333</v>
      </c>
      <c r="BI26" s="15" t="n">
        <f aca="false">MAX(0,Parametri_v3!$C$31-BH26)</f>
        <v>44480.7083333333</v>
      </c>
      <c r="BJ26" s="15" t="n">
        <f aca="false">(BJ25)+K26</f>
        <v>7166.66666666667</v>
      </c>
      <c r="BK26" s="15" t="n">
        <f aca="false">(BK25)+L26</f>
        <v>2011.57407407407</v>
      </c>
      <c r="BL26" s="15" t="n">
        <f aca="false">BJ26-BK26</f>
        <v>5155.0925925926</v>
      </c>
      <c r="BM26" s="15" t="n">
        <f aca="false">(BM25)+Y26</f>
        <v>15865.6717592593</v>
      </c>
      <c r="BN26" s="15" t="n">
        <f aca="false">(BN25)+AW26+AX26+AZ26</f>
        <v>20000</v>
      </c>
      <c r="BO26" s="15" t="n">
        <f aca="false">(BO25)+AY26</f>
        <v>0</v>
      </c>
      <c r="BP26" s="15" t="n">
        <f aca="false">MIN(Parametri_v3!$C$36*Parametri_v3!$C$35,(BP25)+IF(10=1,MAX(0,SUM(Y5:Y16))*Parametri_v3!$C$34,0))</f>
        <v>404.060416666667</v>
      </c>
      <c r="BQ26" s="15" t="n">
        <f aca="false">BN26+BM26-BO26</f>
        <v>35865.6717592593</v>
      </c>
      <c r="BR26" s="15" t="n">
        <f aca="false">BH26+AD26+BL26+MAX(0,-AM26)+MAX(0,-AR26)</f>
        <v>78186.8842592593</v>
      </c>
      <c r="BS26" s="15" t="n">
        <f aca="false">AJ26+AV26+MAX(0,AM26)+MAX(0,AR26)+BC26+BG26+BQ26+AG26</f>
        <v>78186.8842592593</v>
      </c>
      <c r="BT26" s="15" t="n">
        <f aca="false">BR26-BS26</f>
        <v>0</v>
      </c>
      <c r="BU26" s="15" t="n">
        <f aca="false">BH26-(BD26+BE26-BF26-AY26)</f>
        <v>0</v>
      </c>
      <c r="BV26" s="15" t="n">
        <f aca="false">IF(BH25&lt;Parametri_v3!$C$31,0,BV25+1)</f>
        <v>0</v>
      </c>
    </row>
    <row r="27" customFormat="false" ht="18" hidden="false" customHeight="true" outlineLevel="0" collapsed="false">
      <c r="A27" s="68" t="n">
        <f aca="false">1</f>
        <v>1</v>
      </c>
      <c r="B27" s="68" t="n">
        <f aca="false">23</f>
        <v>23</v>
      </c>
      <c r="C27" s="18" t="n">
        <f aca="false">Motore_Operativo!C27</f>
        <v>47058</v>
      </c>
      <c r="D27" s="68" t="n">
        <f aca="false">Motore_Operativo!D27</f>
        <v>2028</v>
      </c>
      <c r="E27" s="68" t="n">
        <f aca="false">Motore_Operativo!E27</f>
        <v>11</v>
      </c>
      <c r="F27" s="15" t="n">
        <f aca="false">Motore_Operativo!AM27</f>
        <v>29375</v>
      </c>
      <c r="G27" s="15" t="n">
        <f aca="false">Motore_Operativo!BH27</f>
        <v>2937.5</v>
      </c>
      <c r="H27" s="15" t="n">
        <f aca="false">Motore_Operativo!AM27</f>
        <v>29375</v>
      </c>
      <c r="I27" s="15" t="n">
        <f aca="false">Motore_Operativo!CB27</f>
        <v>28148.3333333333</v>
      </c>
      <c r="J27" s="15" t="n">
        <f aca="false">Motore_Operativo!CD27</f>
        <v>1226.66666666667</v>
      </c>
      <c r="K27" s="15" t="n">
        <f aca="false">Motore_Operativo!CF27</f>
        <v>416.666666666667</v>
      </c>
      <c r="L27" s="15" t="n">
        <f aca="false">SUM(INDEX($K$5:$K$64,MAX(1,23-Parametri_v3!$C$59+1)):K27)/Parametri_v3!$C$59</f>
        <v>210.648148148148</v>
      </c>
      <c r="M27" s="15" t="n">
        <f aca="false">J27-L27</f>
        <v>1016.01851851852</v>
      </c>
      <c r="N27" s="15" t="n">
        <f aca="false">0</f>
        <v>0</v>
      </c>
      <c r="O27" s="15" t="n">
        <f aca="false">0</f>
        <v>0</v>
      </c>
      <c r="P27" s="15" t="n">
        <f aca="false">M27+N27-O27</f>
        <v>1016.01851851852</v>
      </c>
      <c r="Q27" s="15" t="n">
        <f aca="false">SUM(P17:P27)+Parametri_v3!$C$56*11/12</f>
        <v>11812.7777777778</v>
      </c>
      <c r="R27" s="15" t="n">
        <f aca="false">Z16</f>
        <v>0</v>
      </c>
      <c r="S27" s="15" t="n">
        <f aca="false">AA16</f>
        <v>0</v>
      </c>
      <c r="T27" s="15" t="n">
        <f aca="false">MIN(R27,MAX(0,Q27))</f>
        <v>0</v>
      </c>
      <c r="U27" s="15" t="n">
        <f aca="false">MIN(S27,MAX(0,Q27-T27)*Parametri_v3!$C$42)</f>
        <v>0</v>
      </c>
      <c r="V27" s="15" t="n">
        <f aca="false">MAX(0,Q27-T27-U27)*Ipotesi!$C$92</f>
        <v>2835.06666666667</v>
      </c>
      <c r="W27" s="15" t="n">
        <f aca="false">MAX(0,SUM(M17:M27)+Parametri_v3!$C$57*11/12)*Ipotesi!$C$93</f>
        <v>460.698333333334</v>
      </c>
      <c r="X27" s="15" t="n">
        <f aca="false">V27+W27-(V26+W26)</f>
        <v>283.469166666667</v>
      </c>
      <c r="Y27" s="15" t="n">
        <f aca="false">P27-X27</f>
        <v>732.549351851853</v>
      </c>
      <c r="Z27" s="15" t="n">
        <f aca="false">R27-T27+IF(AND(Parametri_v3!$C$40=1,D27-YEAR(Parametri_v3!$C$50)&lt;Parametri_v3!$C$41),MAX(0,-Q27),0)</f>
        <v>0</v>
      </c>
      <c r="AA27" s="15" t="n">
        <f aca="false">S27-U27+IF(AND(Parametri_v3!$C$40=1,D27-YEAR(Parametri_v3!$C$50)&lt;Parametri_v3!$C$41),0,MAX(0,-Q27))</f>
        <v>0</v>
      </c>
      <c r="AB27" s="15" t="n">
        <f aca="false">F27*(1+Parametri_v3!$C$26)</f>
        <v>35837.5</v>
      </c>
      <c r="AC27" s="15" t="n">
        <f aca="false">(IF(23-(INT((Motore_Operativo!L27)/30))&lt;1,0,INDEX(Motore_Advisory!$AB$5:$AB$64,MAX(1,23-(INT((Motore_Operativo!L27)/30)))))*(1-(MOD((Motore_Operativo!L27),30)/30))+IF(23-(INT((Motore_Operativo!L27)/30))-1&lt;1,0,INDEX(Motore_Advisory!$AB$5:$AB$64,MAX(1,23-(INT((Motore_Operativo!L27)/30))-1)))*(MOD((Motore_Operativo!L27),30)/30))</f>
        <v>35837.5</v>
      </c>
      <c r="AD27" s="15" t="n">
        <f aca="false">(AD26)+AB27-AC27</f>
        <v>107512.5</v>
      </c>
      <c r="AE27" s="15" t="n">
        <f aca="false">Motore_Operativo!BH27*(1+Parametri_v3!$C$26)</f>
        <v>3583.75</v>
      </c>
      <c r="AF27" s="15" t="n">
        <f aca="false">(IF(23-(INT((Parametri_v3!$C$29)/30))&lt;1,0,INDEX(Motore_Operativo!$BH$5:$BH$64,MAX(1,23-(INT((Parametri_v3!$C$29)/30)))))*(1-(MOD((Parametri_v3!$C$29),30)/30))+IF(23-(INT((Parametri_v3!$C$29)/30))-1&lt;1,0,INDEX(Motore_Operativo!$BH$5:$BH$64,MAX(1,23-(INT((Parametri_v3!$C$29)/30))-1)))*(MOD((Parametri_v3!$C$29),30)/30))*(1+Parametri_v3!$C$26)</f>
        <v>3583.75</v>
      </c>
      <c r="AG27" s="15" t="n">
        <f aca="false">(AG26)+AE27-AF27</f>
        <v>3583.75</v>
      </c>
      <c r="AH27" s="15" t="n">
        <f aca="false">(Motore_Operativo!CK27)*(1+Parametri_v3!$C$28*Parametri_v3!$C$26)</f>
        <v>10873.1</v>
      </c>
      <c r="AI27" s="15" t="n">
        <f aca="false">(IF(23-(INT((Ipotesi!$C$91)/30))&lt;1,0,INDEX(Motore_Advisory!$AH$5:$AH$64,MAX(1,23-(INT((Ipotesi!$C$91)/30)))))*(1-(MOD((Ipotesi!$C$91),30)/30))+IF(23-(INT((Ipotesi!$C$91)/30))-1&lt;1,0,INDEX(Motore_Advisory!$AH$5:$AH$64,MAX(1,23-(INT((Ipotesi!$C$91)/30))-1)))*(MOD((Ipotesi!$C$91),30)/30))</f>
        <v>10873.1</v>
      </c>
      <c r="AJ27" s="15" t="n">
        <f aca="false">(AJ26)+AH27-AI27</f>
        <v>21746.2</v>
      </c>
      <c r="AK27" s="15" t="n">
        <f aca="false">(F27- Motore_Operativo!BH27-(Motore_Operativo!CK27)*Parametri_v3!$C$28-Motore_Operativo!CF27)*Parametri_v3!$C$26</f>
        <v>4097.31666666667</v>
      </c>
      <c r="AL27" s="15" t="n">
        <f aca="false">MAX(0,(AM26))</f>
        <v>4097.31666666667</v>
      </c>
      <c r="AM27" s="15" t="n">
        <f aca="false">(AM26)+AK27-AL27</f>
        <v>4097.31666666667</v>
      </c>
      <c r="AN27" s="15" t="n">
        <f aca="false">SUM(X5:X16)</f>
        <v>3127.125</v>
      </c>
      <c r="AO27" s="15" t="n">
        <f aca="false">SUM(AP5:AP16)</f>
        <v>0</v>
      </c>
      <c r="AP27" s="15" t="n">
        <f aca="false">MAX(0,AN27)*IF(11=Parametri_v3!$C$43,Parametri_v3!$C$45,IF(11=Parametri_v3!$C$44,1-Parametri_v3!$C$45,0))</f>
        <v>1876.275</v>
      </c>
      <c r="AQ27" s="15" t="n">
        <f aca="false">MAX(0,AP27+IF(11=Parametri_v3!$C$43,MAX(0,AN27-AO27),0)-MAX(0,-(AR26)))</f>
        <v>1876.275</v>
      </c>
      <c r="AR27" s="15" t="n">
        <f aca="false">(AR26)+X27-AQ27</f>
        <v>168.640000000001</v>
      </c>
      <c r="AS27" s="15" t="n">
        <f aca="false">Motore_Operativo!AC27-AT27+AU27</f>
        <v>15166.75</v>
      </c>
      <c r="AT27" s="15" t="n">
        <f aca="false">Motore_Operativo!CI27</f>
        <v>798.25</v>
      </c>
      <c r="AU27" s="15" t="n">
        <f aca="false">MIN(MAX(0,(AV26)+AT27),Parametri_v3!$C$61/12)</f>
        <v>0</v>
      </c>
      <c r="AV27" s="15" t="n">
        <f aca="false">(AV26)+AT27-AU27</f>
        <v>11930.75</v>
      </c>
      <c r="AW27" s="15" t="n">
        <f aca="false">IF(AND(Motore_Operativo!C27=Finanziamenti!$D$7,Finanziamenti!$F$7=1),Finanziamenti!$C$7,0)</f>
        <v>0</v>
      </c>
      <c r="AX27" s="15" t="n">
        <f aca="false">0</f>
        <v>0</v>
      </c>
      <c r="AY27" s="15" t="n">
        <f aca="false">IF(11=Parametri_v3!$C$33,IF(BV27&lt;MIN(12,$B27-1),0,MIN(MAX(0,SUM(Y5:Y16))*Ipotesi!$C$94,MAX(0,(BM16)-(BO26)-BP27),MAX(0,BD27-Parametri_v3!$C$31))),0)</f>
        <v>0</v>
      </c>
      <c r="AZ27" s="15" t="n">
        <f aca="false">0</f>
        <v>0</v>
      </c>
      <c r="BA27" s="15" t="n">
        <f aca="false">0</f>
        <v>0</v>
      </c>
      <c r="BB27" s="15" t="n">
        <f aca="false">0</f>
        <v>0</v>
      </c>
      <c r="BC27" s="15" t="n">
        <f aca="false">0</f>
        <v>0</v>
      </c>
      <c r="BD27" s="15" t="n">
        <f aca="false">(BH26)+AC27-AF27-AI27-AS27-K27*(1+Parametri_v3!$C$26)-AL27-AQ27-O27+AW27+AX27+AZ27+BA27-BB27</f>
        <v>-34748.7333333333</v>
      </c>
      <c r="BE27" s="15" t="n">
        <f aca="false">0</f>
        <v>0</v>
      </c>
      <c r="BF27" s="15" t="n">
        <f aca="false">0</f>
        <v>0</v>
      </c>
      <c r="BG27" s="15" t="n">
        <f aca="false">0</f>
        <v>0</v>
      </c>
      <c r="BH27" s="15" t="n">
        <f aca="false">BD27+BE27-BF27-AY27</f>
        <v>-34748.7333333333</v>
      </c>
      <c r="BI27" s="15" t="n">
        <f aca="false">MAX(0,Parametri_v3!$C$31-BH27)</f>
        <v>44748.7333333333</v>
      </c>
      <c r="BJ27" s="15" t="n">
        <f aca="false">(BJ26)+K27</f>
        <v>7583.33333333334</v>
      </c>
      <c r="BK27" s="15" t="n">
        <f aca="false">(BK26)+L27</f>
        <v>2222.22222222222</v>
      </c>
      <c r="BL27" s="15" t="n">
        <f aca="false">BJ27-BK27</f>
        <v>5361.11111111111</v>
      </c>
      <c r="BM27" s="15" t="n">
        <f aca="false">(BM26)+Y27</f>
        <v>16598.2211111111</v>
      </c>
      <c r="BN27" s="15" t="n">
        <f aca="false">(BN26)+AW27+AX27+AZ27</f>
        <v>20000</v>
      </c>
      <c r="BO27" s="15" t="n">
        <f aca="false">(BO26)+AY27</f>
        <v>0</v>
      </c>
      <c r="BP27" s="15" t="n">
        <f aca="false">MIN(Parametri_v3!$C$36*Parametri_v3!$C$35,(BP26)+IF(11=1,MAX(0,SUM(Y5:Y16))*Parametri_v3!$C$34,0))</f>
        <v>404.060416666667</v>
      </c>
      <c r="BQ27" s="15" t="n">
        <f aca="false">BN27+BM27-BO27</f>
        <v>36598.2211111111</v>
      </c>
      <c r="BR27" s="15" t="n">
        <f aca="false">BH27+AD27+BL27+MAX(0,-AM27)+MAX(0,-AR27)</f>
        <v>78124.8777777778</v>
      </c>
      <c r="BS27" s="15" t="n">
        <f aca="false">AJ27+AV27+MAX(0,AM27)+MAX(0,AR27)+BC27+BG27+BQ27+AG27</f>
        <v>78124.8777777778</v>
      </c>
      <c r="BT27" s="15" t="n">
        <f aca="false">BR27-BS27</f>
        <v>0</v>
      </c>
      <c r="BU27" s="15" t="n">
        <f aca="false">BH27-(BD27+BE27-BF27-AY27)</f>
        <v>0</v>
      </c>
      <c r="BV27" s="15" t="n">
        <f aca="false">IF(BH26&lt;Parametri_v3!$C$31,0,BV26+1)</f>
        <v>0</v>
      </c>
    </row>
    <row r="28" customFormat="false" ht="18" hidden="false" customHeight="true" outlineLevel="0" collapsed="false">
      <c r="A28" s="68" t="n">
        <f aca="false">1</f>
        <v>1</v>
      </c>
      <c r="B28" s="68" t="n">
        <f aca="false">24</f>
        <v>24</v>
      </c>
      <c r="C28" s="18" t="n">
        <f aca="false">Motore_Operativo!C28</f>
        <v>47088</v>
      </c>
      <c r="D28" s="68" t="n">
        <f aca="false">Motore_Operativo!D28</f>
        <v>2028</v>
      </c>
      <c r="E28" s="68" t="n">
        <f aca="false">Motore_Operativo!E28</f>
        <v>12</v>
      </c>
      <c r="F28" s="15" t="n">
        <f aca="false">Motore_Operativo!AM28</f>
        <v>29375</v>
      </c>
      <c r="G28" s="15" t="n">
        <f aca="false">Motore_Operativo!BH28</f>
        <v>2937.5</v>
      </c>
      <c r="H28" s="15" t="n">
        <f aca="false">Motore_Operativo!AM28</f>
        <v>29375</v>
      </c>
      <c r="I28" s="15" t="n">
        <f aca="false">Motore_Operativo!CB28</f>
        <v>28148.3333333333</v>
      </c>
      <c r="J28" s="15" t="n">
        <f aca="false">Motore_Operativo!CD28</f>
        <v>1226.66666666667</v>
      </c>
      <c r="K28" s="15" t="n">
        <f aca="false">Motore_Operativo!CF28</f>
        <v>416.666666666667</v>
      </c>
      <c r="L28" s="15" t="n">
        <f aca="false">SUM(INDEX($K$5:$K$64,MAX(1,24-Parametri_v3!$C$59+1)):K28)/Parametri_v3!$C$59</f>
        <v>222.222222222222</v>
      </c>
      <c r="M28" s="15" t="n">
        <f aca="false">J28-L28</f>
        <v>1004.44444444445</v>
      </c>
      <c r="N28" s="15" t="n">
        <f aca="false">0</f>
        <v>0</v>
      </c>
      <c r="O28" s="15" t="n">
        <f aca="false">0</f>
        <v>0</v>
      </c>
      <c r="P28" s="15" t="n">
        <f aca="false">M28+N28-O28</f>
        <v>1004.44444444445</v>
      </c>
      <c r="Q28" s="15" t="n">
        <f aca="false">SUM(P17:P28)+Parametri_v3!$C$56*12/12</f>
        <v>12817.2222222222</v>
      </c>
      <c r="R28" s="15" t="n">
        <f aca="false">Z16</f>
        <v>0</v>
      </c>
      <c r="S28" s="15" t="n">
        <f aca="false">AA16</f>
        <v>0</v>
      </c>
      <c r="T28" s="15" t="n">
        <f aca="false">MIN(R28,MAX(0,Q28))</f>
        <v>0</v>
      </c>
      <c r="U28" s="15" t="n">
        <f aca="false">MIN(S28,MAX(0,Q28-T28)*Parametri_v3!$C$42)</f>
        <v>0</v>
      </c>
      <c r="V28" s="15" t="n">
        <f aca="false">MAX(0,Q28-T28-U28)*Ipotesi!$C$92</f>
        <v>3076.13333333334</v>
      </c>
      <c r="W28" s="15" t="n">
        <f aca="false">MAX(0,SUM(M17:M28)+Parametri_v3!$C$57*12/12)*Ipotesi!$C$93</f>
        <v>499.871666666667</v>
      </c>
      <c r="X28" s="15" t="n">
        <f aca="false">V28+W28-(V27+W27)</f>
        <v>280.240000000001</v>
      </c>
      <c r="Y28" s="15" t="n">
        <f aca="false">P28-X28</f>
        <v>724.204444444445</v>
      </c>
      <c r="Z28" s="15" t="n">
        <f aca="false">R28-T28+IF(AND(Parametri_v3!$C$40=1,D28-YEAR(Parametri_v3!$C$50)&lt;Parametri_v3!$C$41),MAX(0,-Q28),0)</f>
        <v>0</v>
      </c>
      <c r="AA28" s="15" t="n">
        <f aca="false">S28-U28+IF(AND(Parametri_v3!$C$40=1,D28-YEAR(Parametri_v3!$C$50)&lt;Parametri_v3!$C$41),0,MAX(0,-Q28))</f>
        <v>0</v>
      </c>
      <c r="AB28" s="15" t="n">
        <f aca="false">F28*(1+Parametri_v3!$C$26)</f>
        <v>35837.5</v>
      </c>
      <c r="AC28" s="15" t="n">
        <f aca="false">(IF(24-(INT((Motore_Operativo!L28)/30))&lt;1,0,INDEX(Motore_Advisory!$AB$5:$AB$64,MAX(1,24-(INT((Motore_Operativo!L28)/30)))))*(1-(MOD((Motore_Operativo!L28),30)/30))+IF(24-(INT((Motore_Operativo!L28)/30))-1&lt;1,0,INDEX(Motore_Advisory!$AB$5:$AB$64,MAX(1,24-(INT((Motore_Operativo!L28)/30))-1)))*(MOD((Motore_Operativo!L28),30)/30))</f>
        <v>35837.5</v>
      </c>
      <c r="AD28" s="15" t="n">
        <f aca="false">(AD27)+AB28-AC28</f>
        <v>107512.5</v>
      </c>
      <c r="AE28" s="15" t="n">
        <f aca="false">Motore_Operativo!BH28*(1+Parametri_v3!$C$26)</f>
        <v>3583.75</v>
      </c>
      <c r="AF28" s="15" t="n">
        <f aca="false">(IF(24-(INT((Parametri_v3!$C$29)/30))&lt;1,0,INDEX(Motore_Operativo!$BH$5:$BH$64,MAX(1,24-(INT((Parametri_v3!$C$29)/30)))))*(1-(MOD((Parametri_v3!$C$29),30)/30))+IF(24-(INT((Parametri_v3!$C$29)/30))-1&lt;1,0,INDEX(Motore_Operativo!$BH$5:$BH$64,MAX(1,24-(INT((Parametri_v3!$C$29)/30))-1)))*(MOD((Parametri_v3!$C$29),30)/30))*(1+Parametri_v3!$C$26)</f>
        <v>3583.75</v>
      </c>
      <c r="AG28" s="15" t="n">
        <f aca="false">(AG27)+AE28-AF28</f>
        <v>3583.75</v>
      </c>
      <c r="AH28" s="15" t="n">
        <f aca="false">(Motore_Operativo!CK28)*(1+Parametri_v3!$C$28*Parametri_v3!$C$26)</f>
        <v>10873.1</v>
      </c>
      <c r="AI28" s="15" t="n">
        <f aca="false">(IF(24-(INT((Ipotesi!$C$91)/30))&lt;1,0,INDEX(Motore_Advisory!$AH$5:$AH$64,MAX(1,24-(INT((Ipotesi!$C$91)/30)))))*(1-(MOD((Ipotesi!$C$91),30)/30))+IF(24-(INT((Ipotesi!$C$91)/30))-1&lt;1,0,INDEX(Motore_Advisory!$AH$5:$AH$64,MAX(1,24-(INT((Ipotesi!$C$91)/30))-1)))*(MOD((Ipotesi!$C$91),30)/30))</f>
        <v>10873.1</v>
      </c>
      <c r="AJ28" s="15" t="n">
        <f aca="false">(AJ27)+AH28-AI28</f>
        <v>21746.2</v>
      </c>
      <c r="AK28" s="15" t="n">
        <f aca="false">(F28- Motore_Operativo!BH28-(Motore_Operativo!CK28)*Parametri_v3!$C$28-Motore_Operativo!CF28)*Parametri_v3!$C$26</f>
        <v>4097.31666666667</v>
      </c>
      <c r="AL28" s="15" t="n">
        <f aca="false">MAX(0,(AM27))</f>
        <v>4097.31666666667</v>
      </c>
      <c r="AM28" s="15" t="n">
        <f aca="false">(AM27)+AK28-AL28</f>
        <v>4097.31666666667</v>
      </c>
      <c r="AN28" s="15" t="n">
        <f aca="false">SUM(X5:X16)</f>
        <v>3127.125</v>
      </c>
      <c r="AO28" s="15" t="n">
        <f aca="false">SUM(AP5:AP16)</f>
        <v>0</v>
      </c>
      <c r="AP28" s="15" t="n">
        <f aca="false">MAX(0,AN28)*IF(12=Parametri_v3!$C$43,Parametri_v3!$C$45,IF(12=Parametri_v3!$C$44,1-Parametri_v3!$C$45,0))</f>
        <v>0</v>
      </c>
      <c r="AQ28" s="15" t="n">
        <f aca="false">MAX(0,AP28+IF(12=Parametri_v3!$C$43,MAX(0,AN28-AO28),0)-MAX(0,-(AR27)))</f>
        <v>0</v>
      </c>
      <c r="AR28" s="15" t="n">
        <f aca="false">(AR27)+X28-AQ28</f>
        <v>448.880000000002</v>
      </c>
      <c r="AS28" s="15" t="n">
        <f aca="false">Motore_Operativo!AC28-AT28+AU28</f>
        <v>15166.75</v>
      </c>
      <c r="AT28" s="15" t="n">
        <f aca="false">Motore_Operativo!CI28</f>
        <v>798.25</v>
      </c>
      <c r="AU28" s="15" t="n">
        <f aca="false">MIN(MAX(0,(AV27)+AT28),Parametri_v3!$C$61/12)</f>
        <v>0</v>
      </c>
      <c r="AV28" s="15" t="n">
        <f aca="false">(AV27)+AT28-AU28</f>
        <v>12729</v>
      </c>
      <c r="AW28" s="15" t="n">
        <f aca="false">IF(AND(Motore_Operativo!C28=Finanziamenti!$D$7,Finanziamenti!$F$7=1),Finanziamenti!$C$7,0)</f>
        <v>0</v>
      </c>
      <c r="AX28" s="15" t="n">
        <f aca="false">0</f>
        <v>0</v>
      </c>
      <c r="AY28" s="15" t="n">
        <f aca="false">IF(12=Parametri_v3!$C$33,IF(BV28&lt;MIN(12,$B28-1),0,MIN(MAX(0,SUM(Y5:Y16))*Ipotesi!$C$94,MAX(0,(BM16)-(BO27)-BP28),MAX(0,BD28-Parametri_v3!$C$31))),0)</f>
        <v>0</v>
      </c>
      <c r="AZ28" s="15" t="n">
        <f aca="false">0</f>
        <v>0</v>
      </c>
      <c r="BA28" s="15" t="n">
        <f aca="false">0</f>
        <v>0</v>
      </c>
      <c r="BB28" s="15" t="n">
        <f aca="false">0</f>
        <v>0</v>
      </c>
      <c r="BC28" s="15" t="n">
        <f aca="false">0</f>
        <v>0</v>
      </c>
      <c r="BD28" s="15" t="n">
        <f aca="false">(BH27)+AC28-AF28-AI28-AS28-K28*(1+Parametri_v3!$C$26)-AL28-AQ28-O28+AW28+AX28+AZ28+BA28-BB28</f>
        <v>-33140.4833333333</v>
      </c>
      <c r="BE28" s="15" t="n">
        <f aca="false">0</f>
        <v>0</v>
      </c>
      <c r="BF28" s="15" t="n">
        <f aca="false">0</f>
        <v>0</v>
      </c>
      <c r="BG28" s="15" t="n">
        <f aca="false">0</f>
        <v>0</v>
      </c>
      <c r="BH28" s="15" t="n">
        <f aca="false">BD28+BE28-BF28-AY28</f>
        <v>-33140.4833333333</v>
      </c>
      <c r="BI28" s="15" t="n">
        <f aca="false">MAX(0,Parametri_v3!$C$31-BH28)</f>
        <v>43140.4833333333</v>
      </c>
      <c r="BJ28" s="15" t="n">
        <f aca="false">(BJ27)+K28</f>
        <v>8000</v>
      </c>
      <c r="BK28" s="15" t="n">
        <f aca="false">(BK27)+L28</f>
        <v>2444.44444444445</v>
      </c>
      <c r="BL28" s="15" t="n">
        <f aca="false">BJ28-BK28</f>
        <v>5555.55555555556</v>
      </c>
      <c r="BM28" s="15" t="n">
        <f aca="false">(BM27)+Y28</f>
        <v>17322.4255555556</v>
      </c>
      <c r="BN28" s="15" t="n">
        <f aca="false">(BN27)+AW28+AX28+AZ28</f>
        <v>20000</v>
      </c>
      <c r="BO28" s="15" t="n">
        <f aca="false">(BO27)+AY28</f>
        <v>0</v>
      </c>
      <c r="BP28" s="15" t="n">
        <f aca="false">MIN(Parametri_v3!$C$36*Parametri_v3!$C$35,(BP27)+IF(12=1,MAX(0,SUM(Y5:Y16))*Parametri_v3!$C$34,0))</f>
        <v>404.060416666667</v>
      </c>
      <c r="BQ28" s="15" t="n">
        <f aca="false">BN28+BM28-BO28</f>
        <v>37322.4255555556</v>
      </c>
      <c r="BR28" s="15" t="n">
        <f aca="false">BH28+AD28+BL28+MAX(0,-AM28)+MAX(0,-AR28)</f>
        <v>79927.5722222223</v>
      </c>
      <c r="BS28" s="15" t="n">
        <f aca="false">AJ28+AV28+MAX(0,AM28)+MAX(0,AR28)+BC28+BG28+BQ28+AG28</f>
        <v>79927.5722222222</v>
      </c>
      <c r="BT28" s="15" t="n">
        <f aca="false">BR28-BS28</f>
        <v>0</v>
      </c>
      <c r="BU28" s="15" t="n">
        <f aca="false">BH28-(BD28+BE28-BF28-AY28)</f>
        <v>0</v>
      </c>
      <c r="BV28" s="15" t="n">
        <f aca="false">IF(BH27&lt;Parametri_v3!$C$31,0,BV27+1)</f>
        <v>0</v>
      </c>
    </row>
    <row r="29" customFormat="false" ht="18" hidden="false" customHeight="true" outlineLevel="0" collapsed="false">
      <c r="A29" s="68" t="n">
        <f aca="false">1</f>
        <v>1</v>
      </c>
      <c r="B29" s="68" t="n">
        <f aca="false">25</f>
        <v>25</v>
      </c>
      <c r="C29" s="18" t="n">
        <f aca="false">Motore_Operativo!C29</f>
        <v>47119</v>
      </c>
      <c r="D29" s="68" t="n">
        <f aca="false">Motore_Operativo!D29</f>
        <v>2029</v>
      </c>
      <c r="E29" s="68" t="n">
        <f aca="false">Motore_Operativo!E29</f>
        <v>1</v>
      </c>
      <c r="F29" s="15" t="n">
        <f aca="false">Motore_Operativo!AM29</f>
        <v>49500</v>
      </c>
      <c r="G29" s="15" t="n">
        <f aca="false">Motore_Operativo!BH29</f>
        <v>4950</v>
      </c>
      <c r="H29" s="15" t="n">
        <f aca="false">Motore_Operativo!AM29</f>
        <v>49500</v>
      </c>
      <c r="I29" s="15" t="n">
        <f aca="false">Motore_Operativo!CB29</f>
        <v>44499.8958333333</v>
      </c>
      <c r="J29" s="15" t="n">
        <f aca="false">Motore_Operativo!CD29</f>
        <v>5000.10416666667</v>
      </c>
      <c r="K29" s="15" t="n">
        <f aca="false">Motore_Operativo!CF29</f>
        <v>416.666666666667</v>
      </c>
      <c r="L29" s="15" t="n">
        <f aca="false">SUM(INDEX($K$5:$K$64,MAX(1,25-Parametri_v3!$C$59+1)):K29)/Parametri_v3!$C$59</f>
        <v>233.796296296296</v>
      </c>
      <c r="M29" s="15" t="n">
        <f aca="false">J29-L29</f>
        <v>4766.30787037038</v>
      </c>
      <c r="N29" s="15" t="n">
        <f aca="false">0</f>
        <v>0</v>
      </c>
      <c r="O29" s="15" t="n">
        <f aca="false">0</f>
        <v>0</v>
      </c>
      <c r="P29" s="15" t="n">
        <f aca="false">M29+N29-O29</f>
        <v>4766.30787037038</v>
      </c>
      <c r="Q29" s="15" t="n">
        <f aca="false">SUM(P29)+Parametri_v3!$C$56*1/12</f>
        <v>4766.30787037038</v>
      </c>
      <c r="R29" s="15" t="n">
        <f aca="false">Z28</f>
        <v>0</v>
      </c>
      <c r="S29" s="15" t="n">
        <f aca="false">AA28</f>
        <v>0</v>
      </c>
      <c r="T29" s="15" t="n">
        <f aca="false">MIN(R29,MAX(0,Q29))</f>
        <v>0</v>
      </c>
      <c r="U29" s="15" t="n">
        <f aca="false">MIN(S29,MAX(0,Q29-T29)*Parametri_v3!$C$42)</f>
        <v>0</v>
      </c>
      <c r="V29" s="15" t="n">
        <f aca="false">MAX(0,Q29-T29-U29)*Ipotesi!$C$92</f>
        <v>1143.91388888889</v>
      </c>
      <c r="W29" s="15" t="n">
        <f aca="false">MAX(0,SUM(M29)+Parametri_v3!$C$57*1/12)*Ipotesi!$C$93</f>
        <v>185.886006944445</v>
      </c>
      <c r="X29" s="15" t="n">
        <f aca="false">V29+W29-(0)</f>
        <v>1329.79989583333</v>
      </c>
      <c r="Y29" s="15" t="n">
        <f aca="false">P29-X29</f>
        <v>3436.50797453704</v>
      </c>
      <c r="Z29" s="15" t="n">
        <f aca="false">R29-T29+IF(AND(Parametri_v3!$C$40=1,D29-YEAR(Parametri_v3!$C$50)&lt;Parametri_v3!$C$41),MAX(0,-Q29),0)</f>
        <v>0</v>
      </c>
      <c r="AA29" s="15" t="n">
        <f aca="false">S29-U29+IF(AND(Parametri_v3!$C$40=1,D29-YEAR(Parametri_v3!$C$50)&lt;Parametri_v3!$C$41),0,MAX(0,-Q29))</f>
        <v>0</v>
      </c>
      <c r="AB29" s="15" t="n">
        <f aca="false">F29*(1+Parametri_v3!$C$26)</f>
        <v>60390</v>
      </c>
      <c r="AC29" s="15" t="n">
        <f aca="false">(IF(25-(INT((Motore_Operativo!L29)/30))&lt;1,0,INDEX(Motore_Advisory!$AB$5:$AB$64,MAX(1,25-(INT((Motore_Operativo!L29)/30)))))*(1-(MOD((Motore_Operativo!L29),30)/30))+IF(25-(INT((Motore_Operativo!L29)/30))-1&lt;1,0,INDEX(Motore_Advisory!$AB$5:$AB$64,MAX(1,25-(INT((Motore_Operativo!L29)/30))-1)))*(MOD((Motore_Operativo!L29),30)/30))</f>
        <v>35837.5</v>
      </c>
      <c r="AD29" s="15" t="n">
        <f aca="false">(AD28)+AB29-AC29</f>
        <v>132065</v>
      </c>
      <c r="AE29" s="15" t="n">
        <f aca="false">Motore_Operativo!BH29*(1+Parametri_v3!$C$26)</f>
        <v>6039</v>
      </c>
      <c r="AF29" s="15" t="n">
        <f aca="false">(IF(25-(INT((Parametri_v3!$C$29)/30))&lt;1,0,INDEX(Motore_Operativo!$BH$5:$BH$64,MAX(1,25-(INT((Parametri_v3!$C$29)/30)))))*(1-(MOD((Parametri_v3!$C$29),30)/30))+IF(25-(INT((Parametri_v3!$C$29)/30))-1&lt;1,0,INDEX(Motore_Operativo!$BH$5:$BH$64,MAX(1,25-(INT((Parametri_v3!$C$29)/30))-1)))*(MOD((Parametri_v3!$C$29),30)/30))*(1+Parametri_v3!$C$26)</f>
        <v>3583.75</v>
      </c>
      <c r="AG29" s="15" t="n">
        <f aca="false">(AG28)+AE29-AF29</f>
        <v>6039</v>
      </c>
      <c r="AH29" s="15" t="n">
        <f aca="false">(Motore_Operativo!CK29)*(1+Parametri_v3!$C$28*Parametri_v3!$C$26)</f>
        <v>16619.82</v>
      </c>
      <c r="AI29" s="15" t="n">
        <f aca="false">(IF(25-(INT((Ipotesi!$C$91)/30))&lt;1,0,INDEX(Motore_Advisory!$AH$5:$AH$64,MAX(1,25-(INT((Ipotesi!$C$91)/30)))))*(1-(MOD((Ipotesi!$C$91),30)/30))+IF(25-(INT((Ipotesi!$C$91)/30))-1&lt;1,0,INDEX(Motore_Advisory!$AH$5:$AH$64,MAX(1,25-(INT((Ipotesi!$C$91)/30))-1)))*(MOD((Ipotesi!$C$91),30)/30))</f>
        <v>10873.1</v>
      </c>
      <c r="AJ29" s="15" t="n">
        <f aca="false">(AJ28)+AH29-AI29</f>
        <v>27492.92</v>
      </c>
      <c r="AK29" s="15" t="n">
        <f aca="false">(F29- Motore_Operativo!BH29-(Motore_Operativo!CK29)*Parametri_v3!$C$28-Motore_Operativo!CF29)*Parametri_v3!$C$26</f>
        <v>7222.01333333333</v>
      </c>
      <c r="AL29" s="15" t="n">
        <f aca="false">MAX(0,(AM28))</f>
        <v>4097.31666666667</v>
      </c>
      <c r="AM29" s="15" t="n">
        <f aca="false">(AM28)+AK29-AL29</f>
        <v>7222.01333333333</v>
      </c>
      <c r="AN29" s="15" t="n">
        <f aca="false">SUM(X17:X28)</f>
        <v>3576.005</v>
      </c>
      <c r="AO29" s="15" t="n">
        <f aca="false">SUM(AP17:AP28)</f>
        <v>3127.125</v>
      </c>
      <c r="AP29" s="15" t="n">
        <f aca="false">MAX(0,AN29)*IF(1=Parametri_v3!$C$43,Parametri_v3!$C$45,IF(1=Parametri_v3!$C$44,1-Parametri_v3!$C$45,0))</f>
        <v>0</v>
      </c>
      <c r="AQ29" s="15" t="n">
        <f aca="false">MAX(0,AP29+IF(1=Parametri_v3!$C$43,MAX(0,AN29-AO29),0)-MAX(0,-(AR28)))</f>
        <v>0</v>
      </c>
      <c r="AR29" s="15" t="n">
        <f aca="false">(AR28)+X29-AQ29</f>
        <v>1778.67989583334</v>
      </c>
      <c r="AS29" s="15" t="n">
        <f aca="false">Motore_Operativo!AC29-AT29+AU29</f>
        <v>24146.5260416667</v>
      </c>
      <c r="AT29" s="15" t="n">
        <f aca="false">Motore_Operativo!CI29</f>
        <v>1270.86979166667</v>
      </c>
      <c r="AU29" s="15" t="n">
        <f aca="false">MIN(MAX(0,(AV28)+AT29),Parametri_v3!$C$61/12)</f>
        <v>0</v>
      </c>
      <c r="AV29" s="15" t="n">
        <f aca="false">(AV28)+AT29-AU29</f>
        <v>13999.8697916667</v>
      </c>
      <c r="AW29" s="15" t="n">
        <f aca="false">IF(AND(Motore_Operativo!C29=Finanziamenti!$D$7,Finanziamenti!$F$7=1),Finanziamenti!$C$7,0)</f>
        <v>0</v>
      </c>
      <c r="AX29" s="15" t="n">
        <f aca="false">0</f>
        <v>0</v>
      </c>
      <c r="AY29" s="15" t="n">
        <f aca="false">IF(1=Parametri_v3!$C$33,IF(BV29&lt;MIN(12,$B29-1),0,MIN(MAX(0,SUM(Y17:Y28))*Ipotesi!$C$94,MAX(0,(BM28)-(BO28)-BP29),MAX(0,BD29-Parametri_v3!$C$31))),0)</f>
        <v>0</v>
      </c>
      <c r="AZ29" s="15" t="n">
        <f aca="false">0</f>
        <v>0</v>
      </c>
      <c r="BA29" s="15" t="n">
        <f aca="false">0</f>
        <v>0</v>
      </c>
      <c r="BB29" s="15" t="n">
        <f aca="false">0</f>
        <v>0</v>
      </c>
      <c r="BC29" s="15" t="n">
        <f aca="false">0</f>
        <v>0</v>
      </c>
      <c r="BD29" s="15" t="n">
        <f aca="false">(BH28)+AC29-AF29-AI29-AS29-K29*(1+Parametri_v3!$C$26)-AL29-AQ29-O29+AW29+AX29+AZ29+BA29-BB29</f>
        <v>-40512.009375</v>
      </c>
      <c r="BE29" s="15" t="n">
        <f aca="false">0</f>
        <v>0</v>
      </c>
      <c r="BF29" s="15" t="n">
        <f aca="false">0</f>
        <v>0</v>
      </c>
      <c r="BG29" s="15" t="n">
        <f aca="false">0</f>
        <v>0</v>
      </c>
      <c r="BH29" s="15" t="n">
        <f aca="false">BD29+BE29-BF29-AY29</f>
        <v>-40512.009375</v>
      </c>
      <c r="BI29" s="15" t="n">
        <f aca="false">MAX(0,Parametri_v3!$C$31-BH29)</f>
        <v>50512.009375</v>
      </c>
      <c r="BJ29" s="15" t="n">
        <f aca="false">(BJ28)+K29</f>
        <v>8416.66666666667</v>
      </c>
      <c r="BK29" s="15" t="n">
        <f aca="false">(BK28)+L29</f>
        <v>2678.24074074074</v>
      </c>
      <c r="BL29" s="15" t="n">
        <f aca="false">BJ29-BK29</f>
        <v>5738.42592592593</v>
      </c>
      <c r="BM29" s="15" t="n">
        <f aca="false">(BM28)+Y29</f>
        <v>20758.9335300926</v>
      </c>
      <c r="BN29" s="15" t="n">
        <f aca="false">(BN28)+AW29+AX29+AZ29</f>
        <v>20000</v>
      </c>
      <c r="BO29" s="15" t="n">
        <f aca="false">(BO28)+AY29</f>
        <v>0</v>
      </c>
      <c r="BP29" s="15" t="n">
        <f aca="false">MIN(Parametri_v3!$C$36*Parametri_v3!$C$35,(BP28)+IF(1=1,MAX(0,SUM(Y17:Y28))*Parametri_v3!$C$34,0))</f>
        <v>866.121277777779</v>
      </c>
      <c r="BQ29" s="15" t="n">
        <f aca="false">BN29+BM29-BO29</f>
        <v>40758.9335300926</v>
      </c>
      <c r="BR29" s="15" t="n">
        <f aca="false">BH29+AD29+BL29+MAX(0,-AM29)+MAX(0,-AR29)</f>
        <v>97291.416550926</v>
      </c>
      <c r="BS29" s="15" t="n">
        <f aca="false">AJ29+AV29+MAX(0,AM29)+MAX(0,AR29)+BC29+BG29+BQ29+AG29</f>
        <v>97291.416550926</v>
      </c>
      <c r="BT29" s="15" t="n">
        <f aca="false">BR29-BS29</f>
        <v>0</v>
      </c>
      <c r="BU29" s="15" t="n">
        <f aca="false">BH29-(BD29+BE29-BF29-AY29)</f>
        <v>0</v>
      </c>
      <c r="BV29" s="15" t="n">
        <f aca="false">IF(BH28&lt;Parametri_v3!$C$31,0,BV28+1)</f>
        <v>0</v>
      </c>
    </row>
    <row r="30" customFormat="false" ht="18" hidden="false" customHeight="true" outlineLevel="0" collapsed="false">
      <c r="A30" s="68" t="n">
        <f aca="false">1</f>
        <v>1</v>
      </c>
      <c r="B30" s="68" t="n">
        <f aca="false">26</f>
        <v>26</v>
      </c>
      <c r="C30" s="18" t="n">
        <f aca="false">Motore_Operativo!C30</f>
        <v>47150</v>
      </c>
      <c r="D30" s="68" t="n">
        <f aca="false">Motore_Operativo!D30</f>
        <v>2029</v>
      </c>
      <c r="E30" s="68" t="n">
        <f aca="false">Motore_Operativo!E30</f>
        <v>2</v>
      </c>
      <c r="F30" s="15" t="n">
        <f aca="false">Motore_Operativo!AM30</f>
        <v>49500</v>
      </c>
      <c r="G30" s="15" t="n">
        <f aca="false">Motore_Operativo!BH30</f>
        <v>4950</v>
      </c>
      <c r="H30" s="15" t="n">
        <f aca="false">Motore_Operativo!AM30</f>
        <v>49500</v>
      </c>
      <c r="I30" s="15" t="n">
        <f aca="false">Motore_Operativo!CB30</f>
        <v>44499.8958333333</v>
      </c>
      <c r="J30" s="15" t="n">
        <f aca="false">Motore_Operativo!CD30</f>
        <v>5000.10416666667</v>
      </c>
      <c r="K30" s="15" t="n">
        <f aca="false">Motore_Operativo!CF30</f>
        <v>416.666666666667</v>
      </c>
      <c r="L30" s="15" t="n">
        <f aca="false">SUM(INDEX($K$5:$K$64,MAX(1,26-Parametri_v3!$C$59+1)):K30)/Parametri_v3!$C$59</f>
        <v>245.37037037037</v>
      </c>
      <c r="M30" s="15" t="n">
        <f aca="false">J30-L30</f>
        <v>4754.7337962963</v>
      </c>
      <c r="N30" s="15" t="n">
        <f aca="false">0</f>
        <v>0</v>
      </c>
      <c r="O30" s="15" t="n">
        <f aca="false">0</f>
        <v>0</v>
      </c>
      <c r="P30" s="15" t="n">
        <f aca="false">M30+N30-O30</f>
        <v>4754.7337962963</v>
      </c>
      <c r="Q30" s="15" t="n">
        <f aca="false">SUM(P29:P30)+Parametri_v3!$C$56*2/12</f>
        <v>9521.04166666668</v>
      </c>
      <c r="R30" s="15" t="n">
        <f aca="false">Z28</f>
        <v>0</v>
      </c>
      <c r="S30" s="15" t="n">
        <f aca="false">AA28</f>
        <v>0</v>
      </c>
      <c r="T30" s="15" t="n">
        <f aca="false">MIN(R30,MAX(0,Q30))</f>
        <v>0</v>
      </c>
      <c r="U30" s="15" t="n">
        <f aca="false">MIN(S30,MAX(0,Q30-T30)*Parametri_v3!$C$42)</f>
        <v>0</v>
      </c>
      <c r="V30" s="15" t="n">
        <f aca="false">MAX(0,Q30-T30-U30)*Ipotesi!$C$92</f>
        <v>2285.05</v>
      </c>
      <c r="W30" s="15" t="n">
        <f aca="false">MAX(0,SUM(M29:M30)+Parametri_v3!$C$57*2/12)*Ipotesi!$C$93</f>
        <v>371.320625</v>
      </c>
      <c r="X30" s="15" t="n">
        <f aca="false">V30+W30-(V29+W29)</f>
        <v>1326.57072916667</v>
      </c>
      <c r="Y30" s="15" t="n">
        <f aca="false">P30-X30</f>
        <v>3428.16306712963</v>
      </c>
      <c r="Z30" s="15" t="n">
        <f aca="false">R30-T30+IF(AND(Parametri_v3!$C$40=1,D30-YEAR(Parametri_v3!$C$50)&lt;Parametri_v3!$C$41),MAX(0,-Q30),0)</f>
        <v>0</v>
      </c>
      <c r="AA30" s="15" t="n">
        <f aca="false">S30-U30+IF(AND(Parametri_v3!$C$40=1,D30-YEAR(Parametri_v3!$C$50)&lt;Parametri_v3!$C$41),0,MAX(0,-Q30))</f>
        <v>0</v>
      </c>
      <c r="AB30" s="15" t="n">
        <f aca="false">F30*(1+Parametri_v3!$C$26)</f>
        <v>60390</v>
      </c>
      <c r="AC30" s="15" t="n">
        <f aca="false">(IF(26-(INT((Motore_Operativo!L30)/30))&lt;1,0,INDEX(Motore_Advisory!$AB$5:$AB$64,MAX(1,26-(INT((Motore_Operativo!L30)/30)))))*(1-(MOD((Motore_Operativo!L30),30)/30))+IF(26-(INT((Motore_Operativo!L30)/30))-1&lt;1,0,INDEX(Motore_Advisory!$AB$5:$AB$64,MAX(1,26-(INT((Motore_Operativo!L30)/30))-1)))*(MOD((Motore_Operativo!L30),30)/30))</f>
        <v>35837.5</v>
      </c>
      <c r="AD30" s="15" t="n">
        <f aca="false">(AD29)+AB30-AC30</f>
        <v>156617.5</v>
      </c>
      <c r="AE30" s="15" t="n">
        <f aca="false">Motore_Operativo!BH30*(1+Parametri_v3!$C$26)</f>
        <v>6039</v>
      </c>
      <c r="AF30" s="15" t="n">
        <f aca="false">(IF(26-(INT((Parametri_v3!$C$29)/30))&lt;1,0,INDEX(Motore_Operativo!$BH$5:$BH$64,MAX(1,26-(INT((Parametri_v3!$C$29)/30)))))*(1-(MOD((Parametri_v3!$C$29),30)/30))+IF(26-(INT((Parametri_v3!$C$29)/30))-1&lt;1,0,INDEX(Motore_Operativo!$BH$5:$BH$64,MAX(1,26-(INT((Parametri_v3!$C$29)/30))-1)))*(MOD((Parametri_v3!$C$29),30)/30))*(1+Parametri_v3!$C$26)</f>
        <v>6039</v>
      </c>
      <c r="AG30" s="15" t="n">
        <f aca="false">(AG29)+AE30-AF30</f>
        <v>6039</v>
      </c>
      <c r="AH30" s="15" t="n">
        <f aca="false">(Motore_Operativo!CK30)*(1+Parametri_v3!$C$28*Parametri_v3!$C$26)</f>
        <v>16619.82</v>
      </c>
      <c r="AI30" s="15" t="n">
        <f aca="false">(IF(26-(INT((Ipotesi!$C$91)/30))&lt;1,0,INDEX(Motore_Advisory!$AH$5:$AH$64,MAX(1,26-(INT((Ipotesi!$C$91)/30)))))*(1-(MOD((Ipotesi!$C$91),30)/30))+IF(26-(INT((Ipotesi!$C$91)/30))-1&lt;1,0,INDEX(Motore_Advisory!$AH$5:$AH$64,MAX(1,26-(INT((Ipotesi!$C$91)/30))-1)))*(MOD((Ipotesi!$C$91),30)/30))</f>
        <v>10873.1</v>
      </c>
      <c r="AJ30" s="15" t="n">
        <f aca="false">(AJ29)+AH30-AI30</f>
        <v>33239.64</v>
      </c>
      <c r="AK30" s="15" t="n">
        <f aca="false">(F30- Motore_Operativo!BH30-(Motore_Operativo!CK30)*Parametri_v3!$C$28-Motore_Operativo!CF30)*Parametri_v3!$C$26</f>
        <v>7222.01333333333</v>
      </c>
      <c r="AL30" s="15" t="n">
        <f aca="false">MAX(0,(AM29))</f>
        <v>7222.01333333333</v>
      </c>
      <c r="AM30" s="15" t="n">
        <f aca="false">(AM29)+AK30-AL30</f>
        <v>7222.01333333333</v>
      </c>
      <c r="AN30" s="15" t="n">
        <f aca="false">SUM(X17:X28)</f>
        <v>3576.005</v>
      </c>
      <c r="AO30" s="15" t="n">
        <f aca="false">SUM(AP17:AP28)</f>
        <v>3127.125</v>
      </c>
      <c r="AP30" s="15" t="n">
        <f aca="false">MAX(0,AN30)*IF(2=Parametri_v3!$C$43,Parametri_v3!$C$45,IF(2=Parametri_v3!$C$44,1-Parametri_v3!$C$45,0))</f>
        <v>0</v>
      </c>
      <c r="AQ30" s="15" t="n">
        <f aca="false">MAX(0,AP30+IF(2=Parametri_v3!$C$43,MAX(0,AN30-AO30),0)-MAX(0,-(AR29)))</f>
        <v>0</v>
      </c>
      <c r="AR30" s="15" t="n">
        <f aca="false">(AR29)+X30-AQ30</f>
        <v>3105.250625</v>
      </c>
      <c r="AS30" s="15" t="n">
        <f aca="false">Motore_Operativo!AC30-AT30+AU30</f>
        <v>24146.5260416667</v>
      </c>
      <c r="AT30" s="15" t="n">
        <f aca="false">Motore_Operativo!CI30</f>
        <v>1270.86979166667</v>
      </c>
      <c r="AU30" s="15" t="n">
        <f aca="false">MIN(MAX(0,(AV29)+AT30),Parametri_v3!$C$61/12)</f>
        <v>0</v>
      </c>
      <c r="AV30" s="15" t="n">
        <f aca="false">(AV29)+AT30-AU30</f>
        <v>15270.7395833333</v>
      </c>
      <c r="AW30" s="15" t="n">
        <f aca="false">IF(AND(Motore_Operativo!C30=Finanziamenti!$D$7,Finanziamenti!$F$7=1),Finanziamenti!$C$7,0)</f>
        <v>0</v>
      </c>
      <c r="AX30" s="15" t="n">
        <f aca="false">0</f>
        <v>0</v>
      </c>
      <c r="AY30" s="15" t="n">
        <f aca="false">IF(2=Parametri_v3!$C$33,IF(BV30&lt;MIN(12,$B30-1),0,MIN(MAX(0,SUM(Y17:Y28))*Ipotesi!$C$94,MAX(0,(BM28)-(BO29)-BP30),MAX(0,BD30-Parametri_v3!$C$31))),0)</f>
        <v>0</v>
      </c>
      <c r="AZ30" s="15" t="n">
        <f aca="false">0</f>
        <v>0</v>
      </c>
      <c r="BA30" s="15" t="n">
        <f aca="false">0</f>
        <v>0</v>
      </c>
      <c r="BB30" s="15" t="n">
        <f aca="false">0</f>
        <v>0</v>
      </c>
      <c r="BC30" s="15" t="n">
        <f aca="false">0</f>
        <v>0</v>
      </c>
      <c r="BD30" s="15" t="n">
        <f aca="false">(BH29)+AC30-AF30-AI30-AS30-K30*(1+Parametri_v3!$C$26)-AL30-AQ30-O30+AW30+AX30+AZ30+BA30-BB30</f>
        <v>-53463.4820833333</v>
      </c>
      <c r="BE30" s="15" t="n">
        <f aca="false">0</f>
        <v>0</v>
      </c>
      <c r="BF30" s="15" t="n">
        <f aca="false">0</f>
        <v>0</v>
      </c>
      <c r="BG30" s="15" t="n">
        <f aca="false">0</f>
        <v>0</v>
      </c>
      <c r="BH30" s="15" t="n">
        <f aca="false">BD30+BE30-BF30-AY30</f>
        <v>-53463.4820833333</v>
      </c>
      <c r="BI30" s="15" t="n">
        <f aca="false">MAX(0,Parametri_v3!$C$31-BH30)</f>
        <v>63463.4820833333</v>
      </c>
      <c r="BJ30" s="15" t="n">
        <f aca="false">(BJ29)+K30</f>
        <v>8833.33333333334</v>
      </c>
      <c r="BK30" s="15" t="n">
        <f aca="false">(BK29)+L30</f>
        <v>2923.61111111111</v>
      </c>
      <c r="BL30" s="15" t="n">
        <f aca="false">BJ30-BK30</f>
        <v>5909.72222222222</v>
      </c>
      <c r="BM30" s="15" t="n">
        <f aca="false">(BM29)+Y30</f>
        <v>24187.0965972223</v>
      </c>
      <c r="BN30" s="15" t="n">
        <f aca="false">(BN29)+AW30+AX30+AZ30</f>
        <v>20000</v>
      </c>
      <c r="BO30" s="15" t="n">
        <f aca="false">(BO29)+AY30</f>
        <v>0</v>
      </c>
      <c r="BP30" s="15" t="n">
        <f aca="false">MIN(Parametri_v3!$C$36*Parametri_v3!$C$35,(BP29)+IF(2=1,MAX(0,SUM(Y17:Y28))*Parametri_v3!$C$34,0))</f>
        <v>866.121277777779</v>
      </c>
      <c r="BQ30" s="15" t="n">
        <f aca="false">BN30+BM30-BO30</f>
        <v>44187.0965972223</v>
      </c>
      <c r="BR30" s="15" t="n">
        <f aca="false">BH30+AD30+BL30+MAX(0,-AM30)+MAX(0,-AR30)</f>
        <v>109063.740138889</v>
      </c>
      <c r="BS30" s="15" t="n">
        <f aca="false">AJ30+AV30+MAX(0,AM30)+MAX(0,AR30)+BC30+BG30+BQ30+AG30</f>
        <v>109063.740138889</v>
      </c>
      <c r="BT30" s="15" t="n">
        <f aca="false">BR30-BS30</f>
        <v>0</v>
      </c>
      <c r="BU30" s="15" t="n">
        <f aca="false">BH30-(BD30+BE30-BF30-AY30)</f>
        <v>0</v>
      </c>
      <c r="BV30" s="15" t="n">
        <f aca="false">IF(BH29&lt;Parametri_v3!$C$31,0,BV29+1)</f>
        <v>0</v>
      </c>
    </row>
    <row r="31" customFormat="false" ht="18" hidden="false" customHeight="true" outlineLevel="0" collapsed="false">
      <c r="A31" s="68" t="n">
        <f aca="false">1</f>
        <v>1</v>
      </c>
      <c r="B31" s="68" t="n">
        <f aca="false">27</f>
        <v>27</v>
      </c>
      <c r="C31" s="18" t="n">
        <f aca="false">Motore_Operativo!C31</f>
        <v>47178</v>
      </c>
      <c r="D31" s="68" t="n">
        <f aca="false">Motore_Operativo!D31</f>
        <v>2029</v>
      </c>
      <c r="E31" s="68" t="n">
        <f aca="false">Motore_Operativo!E31</f>
        <v>3</v>
      </c>
      <c r="F31" s="15" t="n">
        <f aca="false">Motore_Operativo!AM31</f>
        <v>49500</v>
      </c>
      <c r="G31" s="15" t="n">
        <f aca="false">Motore_Operativo!BH31</f>
        <v>4950</v>
      </c>
      <c r="H31" s="15" t="n">
        <f aca="false">Motore_Operativo!AM31</f>
        <v>49500</v>
      </c>
      <c r="I31" s="15" t="n">
        <f aca="false">Motore_Operativo!CB31</f>
        <v>44499.8958333333</v>
      </c>
      <c r="J31" s="15" t="n">
        <f aca="false">Motore_Operativo!CD31</f>
        <v>5000.10416666667</v>
      </c>
      <c r="K31" s="15" t="n">
        <f aca="false">Motore_Operativo!CF31</f>
        <v>416.666666666667</v>
      </c>
      <c r="L31" s="15" t="n">
        <f aca="false">SUM(INDEX($K$5:$K$64,MAX(1,27-Parametri_v3!$C$59+1)):K31)/Parametri_v3!$C$59</f>
        <v>256.944444444444</v>
      </c>
      <c r="M31" s="15" t="n">
        <f aca="false">J31-L31</f>
        <v>4743.15972222223</v>
      </c>
      <c r="N31" s="15" t="n">
        <f aca="false">0</f>
        <v>0</v>
      </c>
      <c r="O31" s="15" t="n">
        <f aca="false">0</f>
        <v>0</v>
      </c>
      <c r="P31" s="15" t="n">
        <f aca="false">M31+N31-O31</f>
        <v>4743.15972222223</v>
      </c>
      <c r="Q31" s="15" t="n">
        <f aca="false">SUM(P29:P31)+Parametri_v3!$C$56*3/12</f>
        <v>14264.2013888889</v>
      </c>
      <c r="R31" s="15" t="n">
        <f aca="false">Z28</f>
        <v>0</v>
      </c>
      <c r="S31" s="15" t="n">
        <f aca="false">AA28</f>
        <v>0</v>
      </c>
      <c r="T31" s="15" t="n">
        <f aca="false">MIN(R31,MAX(0,Q31))</f>
        <v>0</v>
      </c>
      <c r="U31" s="15" t="n">
        <f aca="false">MIN(S31,MAX(0,Q31-T31)*Parametri_v3!$C$42)</f>
        <v>0</v>
      </c>
      <c r="V31" s="15" t="n">
        <f aca="false">MAX(0,Q31-T31-U31)*Ipotesi!$C$92</f>
        <v>3423.40833333334</v>
      </c>
      <c r="W31" s="15" t="n">
        <f aca="false">MAX(0,SUM(M29:M31)+Parametri_v3!$C$57*3/12)*Ipotesi!$C$93</f>
        <v>556.303854166667</v>
      </c>
      <c r="X31" s="15" t="n">
        <f aca="false">V31+W31-(V30+W30)</f>
        <v>1323.3415625</v>
      </c>
      <c r="Y31" s="15" t="n">
        <f aca="false">P31-X31</f>
        <v>3419.81815972223</v>
      </c>
      <c r="Z31" s="15" t="n">
        <f aca="false">R31-T31+IF(AND(Parametri_v3!$C$40=1,D31-YEAR(Parametri_v3!$C$50)&lt;Parametri_v3!$C$41),MAX(0,-Q31),0)</f>
        <v>0</v>
      </c>
      <c r="AA31" s="15" t="n">
        <f aca="false">S31-U31+IF(AND(Parametri_v3!$C$40=1,D31-YEAR(Parametri_v3!$C$50)&lt;Parametri_v3!$C$41),0,MAX(0,-Q31))</f>
        <v>0</v>
      </c>
      <c r="AB31" s="15" t="n">
        <f aca="false">F31*(1+Parametri_v3!$C$26)</f>
        <v>60390</v>
      </c>
      <c r="AC31" s="15" t="n">
        <f aca="false">(IF(27-(INT((Motore_Operativo!L31)/30))&lt;1,0,INDEX(Motore_Advisory!$AB$5:$AB$64,MAX(1,27-(INT((Motore_Operativo!L31)/30)))))*(1-(MOD((Motore_Operativo!L31),30)/30))+IF(27-(INT((Motore_Operativo!L31)/30))-1&lt;1,0,INDEX(Motore_Advisory!$AB$5:$AB$64,MAX(1,27-(INT((Motore_Operativo!L31)/30))-1)))*(MOD((Motore_Operativo!L31),30)/30))</f>
        <v>35837.5</v>
      </c>
      <c r="AD31" s="15" t="n">
        <f aca="false">(AD30)+AB31-AC31</f>
        <v>181170</v>
      </c>
      <c r="AE31" s="15" t="n">
        <f aca="false">Motore_Operativo!BH31*(1+Parametri_v3!$C$26)</f>
        <v>6039</v>
      </c>
      <c r="AF31" s="15" t="n">
        <f aca="false">(IF(27-(INT((Parametri_v3!$C$29)/30))&lt;1,0,INDEX(Motore_Operativo!$BH$5:$BH$64,MAX(1,27-(INT((Parametri_v3!$C$29)/30)))))*(1-(MOD((Parametri_v3!$C$29),30)/30))+IF(27-(INT((Parametri_v3!$C$29)/30))-1&lt;1,0,INDEX(Motore_Operativo!$BH$5:$BH$64,MAX(1,27-(INT((Parametri_v3!$C$29)/30))-1)))*(MOD((Parametri_v3!$C$29),30)/30))*(1+Parametri_v3!$C$26)</f>
        <v>6039</v>
      </c>
      <c r="AG31" s="15" t="n">
        <f aca="false">(AG30)+AE31-AF31</f>
        <v>6039</v>
      </c>
      <c r="AH31" s="15" t="n">
        <f aca="false">(Motore_Operativo!CK31)*(1+Parametri_v3!$C$28*Parametri_v3!$C$26)</f>
        <v>16619.82</v>
      </c>
      <c r="AI31" s="15" t="n">
        <f aca="false">(IF(27-(INT((Ipotesi!$C$91)/30))&lt;1,0,INDEX(Motore_Advisory!$AH$5:$AH$64,MAX(1,27-(INT((Ipotesi!$C$91)/30)))))*(1-(MOD((Ipotesi!$C$91),30)/30))+IF(27-(INT((Ipotesi!$C$91)/30))-1&lt;1,0,INDEX(Motore_Advisory!$AH$5:$AH$64,MAX(1,27-(INT((Ipotesi!$C$91)/30))-1)))*(MOD((Ipotesi!$C$91),30)/30))</f>
        <v>16619.82</v>
      </c>
      <c r="AJ31" s="15" t="n">
        <f aca="false">(AJ30)+AH31-AI31</f>
        <v>33239.64</v>
      </c>
      <c r="AK31" s="15" t="n">
        <f aca="false">(F31- Motore_Operativo!BH31-(Motore_Operativo!CK31)*Parametri_v3!$C$28-Motore_Operativo!CF31)*Parametri_v3!$C$26</f>
        <v>7222.01333333333</v>
      </c>
      <c r="AL31" s="15" t="n">
        <f aca="false">MAX(0,(AM30))</f>
        <v>7222.01333333333</v>
      </c>
      <c r="AM31" s="15" t="n">
        <f aca="false">(AM30)+AK31-AL31</f>
        <v>7222.01333333333</v>
      </c>
      <c r="AN31" s="15" t="n">
        <f aca="false">SUM(X17:X28)</f>
        <v>3576.005</v>
      </c>
      <c r="AO31" s="15" t="n">
        <f aca="false">SUM(AP17:AP28)</f>
        <v>3127.125</v>
      </c>
      <c r="AP31" s="15" t="n">
        <f aca="false">MAX(0,AN31)*IF(3=Parametri_v3!$C$43,Parametri_v3!$C$45,IF(3=Parametri_v3!$C$44,1-Parametri_v3!$C$45,0))</f>
        <v>0</v>
      </c>
      <c r="AQ31" s="15" t="n">
        <f aca="false">MAX(0,AP31+IF(3=Parametri_v3!$C$43,MAX(0,AN31-AO31),0)-MAX(0,-(AR30)))</f>
        <v>0</v>
      </c>
      <c r="AR31" s="15" t="n">
        <f aca="false">(AR30)+X31-AQ31</f>
        <v>4428.59218750001</v>
      </c>
      <c r="AS31" s="15" t="n">
        <f aca="false">Motore_Operativo!AC31-AT31+AU31</f>
        <v>24146.5260416667</v>
      </c>
      <c r="AT31" s="15" t="n">
        <f aca="false">Motore_Operativo!CI31</f>
        <v>1270.86979166667</v>
      </c>
      <c r="AU31" s="15" t="n">
        <f aca="false">MIN(MAX(0,(AV30)+AT31),Parametri_v3!$C$61/12)</f>
        <v>0</v>
      </c>
      <c r="AV31" s="15" t="n">
        <f aca="false">(AV30)+AT31-AU31</f>
        <v>16541.609375</v>
      </c>
      <c r="AW31" s="15" t="n">
        <f aca="false">IF(AND(Motore_Operativo!C31=Finanziamenti!$D$7,Finanziamenti!$F$7=1),Finanziamenti!$C$7,0)</f>
        <v>0</v>
      </c>
      <c r="AX31" s="15" t="n">
        <f aca="false">0</f>
        <v>0</v>
      </c>
      <c r="AY31" s="15" t="n">
        <f aca="false">IF(3=Parametri_v3!$C$33,IF(BV31&lt;MIN(12,$B31-1),0,MIN(MAX(0,SUM(Y17:Y28))*Ipotesi!$C$94,MAX(0,(BM28)-(BO30)-BP31),MAX(0,BD31-Parametri_v3!$C$31))),0)</f>
        <v>0</v>
      </c>
      <c r="AZ31" s="15" t="n">
        <f aca="false">0</f>
        <v>0</v>
      </c>
      <c r="BA31" s="15" t="n">
        <f aca="false">0</f>
        <v>0</v>
      </c>
      <c r="BB31" s="15" t="n">
        <f aca="false">0</f>
        <v>0</v>
      </c>
      <c r="BC31" s="15" t="n">
        <f aca="false">0</f>
        <v>0</v>
      </c>
      <c r="BD31" s="15" t="n">
        <f aca="false">(BH30)+AC31-AF31-AI31-AS31-K31*(1+Parametri_v3!$C$26)-AL31-AQ31-O31+AW31+AX31+AZ31+BA31-BB31</f>
        <v>-72161.6747916666</v>
      </c>
      <c r="BE31" s="15" t="n">
        <f aca="false">0</f>
        <v>0</v>
      </c>
      <c r="BF31" s="15" t="n">
        <f aca="false">0</f>
        <v>0</v>
      </c>
      <c r="BG31" s="15" t="n">
        <f aca="false">0</f>
        <v>0</v>
      </c>
      <c r="BH31" s="15" t="n">
        <f aca="false">BD31+BE31-BF31-AY31</f>
        <v>-72161.6747916666</v>
      </c>
      <c r="BI31" s="15" t="n">
        <f aca="false">MAX(0,Parametri_v3!$C$31-BH31)</f>
        <v>82161.6747916666</v>
      </c>
      <c r="BJ31" s="15" t="n">
        <f aca="false">(BJ30)+K31</f>
        <v>9250</v>
      </c>
      <c r="BK31" s="15" t="n">
        <f aca="false">(BK30)+L31</f>
        <v>3180.55555555556</v>
      </c>
      <c r="BL31" s="15" t="n">
        <f aca="false">BJ31-BK31</f>
        <v>6069.44444444445</v>
      </c>
      <c r="BM31" s="15" t="n">
        <f aca="false">(BM30)+Y31</f>
        <v>27606.9147569445</v>
      </c>
      <c r="BN31" s="15" t="n">
        <f aca="false">(BN30)+AW31+AX31+AZ31</f>
        <v>20000</v>
      </c>
      <c r="BO31" s="15" t="n">
        <f aca="false">(BO30)+AY31</f>
        <v>0</v>
      </c>
      <c r="BP31" s="15" t="n">
        <f aca="false">MIN(Parametri_v3!$C$36*Parametri_v3!$C$35,(BP30)+IF(3=1,MAX(0,SUM(Y17:Y28))*Parametri_v3!$C$34,0))</f>
        <v>866.121277777779</v>
      </c>
      <c r="BQ31" s="15" t="n">
        <f aca="false">BN31+BM31-BO31</f>
        <v>47606.9147569445</v>
      </c>
      <c r="BR31" s="15" t="n">
        <f aca="false">BH31+AD31+BL31+MAX(0,-AM31)+MAX(0,-AR31)</f>
        <v>115077.769652778</v>
      </c>
      <c r="BS31" s="15" t="n">
        <f aca="false">AJ31+AV31+MAX(0,AM31)+MAX(0,AR31)+BC31+BG31+BQ31+AG31</f>
        <v>115077.769652778</v>
      </c>
      <c r="BT31" s="15" t="n">
        <f aca="false">BR31-BS31</f>
        <v>0</v>
      </c>
      <c r="BU31" s="15" t="n">
        <f aca="false">BH31-(BD31+BE31-BF31-AY31)</f>
        <v>0</v>
      </c>
      <c r="BV31" s="15" t="n">
        <f aca="false">IF(BH30&lt;Parametri_v3!$C$31,0,BV30+1)</f>
        <v>0</v>
      </c>
    </row>
    <row r="32" customFormat="false" ht="18" hidden="false" customHeight="true" outlineLevel="0" collapsed="false">
      <c r="A32" s="68" t="n">
        <f aca="false">1</f>
        <v>1</v>
      </c>
      <c r="B32" s="68" t="n">
        <f aca="false">28</f>
        <v>28</v>
      </c>
      <c r="C32" s="18" t="n">
        <f aca="false">Motore_Operativo!C32</f>
        <v>47209</v>
      </c>
      <c r="D32" s="68" t="n">
        <f aca="false">Motore_Operativo!D32</f>
        <v>2029</v>
      </c>
      <c r="E32" s="68" t="n">
        <f aca="false">Motore_Operativo!E32</f>
        <v>4</v>
      </c>
      <c r="F32" s="15" t="n">
        <f aca="false">Motore_Operativo!AM32</f>
        <v>49500</v>
      </c>
      <c r="G32" s="15" t="n">
        <f aca="false">Motore_Operativo!BH32</f>
        <v>4950</v>
      </c>
      <c r="H32" s="15" t="n">
        <f aca="false">Motore_Operativo!AM32</f>
        <v>49500</v>
      </c>
      <c r="I32" s="15" t="n">
        <f aca="false">Motore_Operativo!CB32</f>
        <v>44499.8958333333</v>
      </c>
      <c r="J32" s="15" t="n">
        <f aca="false">Motore_Operativo!CD32</f>
        <v>5000.10416666667</v>
      </c>
      <c r="K32" s="15" t="n">
        <f aca="false">Motore_Operativo!CF32</f>
        <v>416.666666666667</v>
      </c>
      <c r="L32" s="15" t="n">
        <f aca="false">SUM(INDEX($K$5:$K$64,MAX(1,28-Parametri_v3!$C$59+1)):K32)/Parametri_v3!$C$59</f>
        <v>268.518518518519</v>
      </c>
      <c r="M32" s="15" t="n">
        <f aca="false">J32-L32</f>
        <v>4731.58564814815</v>
      </c>
      <c r="N32" s="15" t="n">
        <f aca="false">0</f>
        <v>0</v>
      </c>
      <c r="O32" s="15" t="n">
        <f aca="false">0</f>
        <v>0</v>
      </c>
      <c r="P32" s="15" t="n">
        <f aca="false">M32+N32-O32</f>
        <v>4731.58564814815</v>
      </c>
      <c r="Q32" s="15" t="n">
        <f aca="false">SUM(P29:P32)+Parametri_v3!$C$56*4/12</f>
        <v>18995.7870370371</v>
      </c>
      <c r="R32" s="15" t="n">
        <f aca="false">Z28</f>
        <v>0</v>
      </c>
      <c r="S32" s="15" t="n">
        <f aca="false">AA28</f>
        <v>0</v>
      </c>
      <c r="T32" s="15" t="n">
        <f aca="false">MIN(R32,MAX(0,Q32))</f>
        <v>0</v>
      </c>
      <c r="U32" s="15" t="n">
        <f aca="false">MIN(S32,MAX(0,Q32-T32)*Parametri_v3!$C$42)</f>
        <v>0</v>
      </c>
      <c r="V32" s="15" t="n">
        <f aca="false">MAX(0,Q32-T32-U32)*Ipotesi!$C$92</f>
        <v>4558.98888888889</v>
      </c>
      <c r="W32" s="15" t="n">
        <f aca="false">MAX(0,SUM(M29:M32)+Parametri_v3!$C$57*4/12)*Ipotesi!$C$93</f>
        <v>740.835694444445</v>
      </c>
      <c r="X32" s="15" t="n">
        <f aca="false">V32+W32-(V31+W31)</f>
        <v>1320.11239583334</v>
      </c>
      <c r="Y32" s="15" t="n">
        <f aca="false">P32-X32</f>
        <v>3411.47325231482</v>
      </c>
      <c r="Z32" s="15" t="n">
        <f aca="false">R32-T32+IF(AND(Parametri_v3!$C$40=1,D32-YEAR(Parametri_v3!$C$50)&lt;Parametri_v3!$C$41),MAX(0,-Q32),0)</f>
        <v>0</v>
      </c>
      <c r="AA32" s="15" t="n">
        <f aca="false">S32-U32+IF(AND(Parametri_v3!$C$40=1,D32-YEAR(Parametri_v3!$C$50)&lt;Parametri_v3!$C$41),0,MAX(0,-Q32))</f>
        <v>0</v>
      </c>
      <c r="AB32" s="15" t="n">
        <f aca="false">F32*(1+Parametri_v3!$C$26)</f>
        <v>60390</v>
      </c>
      <c r="AC32" s="15" t="n">
        <f aca="false">(IF(28-(INT((Motore_Operativo!L32)/30))&lt;1,0,INDEX(Motore_Advisory!$AB$5:$AB$64,MAX(1,28-(INT((Motore_Operativo!L32)/30)))))*(1-(MOD((Motore_Operativo!L32),30)/30))+IF(28-(INT((Motore_Operativo!L32)/30))-1&lt;1,0,INDEX(Motore_Advisory!$AB$5:$AB$64,MAX(1,28-(INT((Motore_Operativo!L32)/30))-1)))*(MOD((Motore_Operativo!L32),30)/30))</f>
        <v>60390</v>
      </c>
      <c r="AD32" s="15" t="n">
        <f aca="false">(AD31)+AB32-AC32</f>
        <v>181170</v>
      </c>
      <c r="AE32" s="15" t="n">
        <f aca="false">Motore_Operativo!BH32*(1+Parametri_v3!$C$26)</f>
        <v>6039</v>
      </c>
      <c r="AF32" s="15" t="n">
        <f aca="false">(IF(28-(INT((Parametri_v3!$C$29)/30))&lt;1,0,INDEX(Motore_Operativo!$BH$5:$BH$64,MAX(1,28-(INT((Parametri_v3!$C$29)/30)))))*(1-(MOD((Parametri_v3!$C$29),30)/30))+IF(28-(INT((Parametri_v3!$C$29)/30))-1&lt;1,0,INDEX(Motore_Operativo!$BH$5:$BH$64,MAX(1,28-(INT((Parametri_v3!$C$29)/30))-1)))*(MOD((Parametri_v3!$C$29),30)/30))*(1+Parametri_v3!$C$26)</f>
        <v>6039</v>
      </c>
      <c r="AG32" s="15" t="n">
        <f aca="false">(AG31)+AE32-AF32</f>
        <v>6039</v>
      </c>
      <c r="AH32" s="15" t="n">
        <f aca="false">(Motore_Operativo!CK32)*(1+Parametri_v3!$C$28*Parametri_v3!$C$26)</f>
        <v>16619.82</v>
      </c>
      <c r="AI32" s="15" t="n">
        <f aca="false">(IF(28-(INT((Ipotesi!$C$91)/30))&lt;1,0,INDEX(Motore_Advisory!$AH$5:$AH$64,MAX(1,28-(INT((Ipotesi!$C$91)/30)))))*(1-(MOD((Ipotesi!$C$91),30)/30))+IF(28-(INT((Ipotesi!$C$91)/30))-1&lt;1,0,INDEX(Motore_Advisory!$AH$5:$AH$64,MAX(1,28-(INT((Ipotesi!$C$91)/30))-1)))*(MOD((Ipotesi!$C$91),30)/30))</f>
        <v>16619.82</v>
      </c>
      <c r="AJ32" s="15" t="n">
        <f aca="false">(AJ31)+AH32-AI32</f>
        <v>33239.64</v>
      </c>
      <c r="AK32" s="15" t="n">
        <f aca="false">(F32- Motore_Operativo!BH32-(Motore_Operativo!CK32)*Parametri_v3!$C$28-Motore_Operativo!CF32)*Parametri_v3!$C$26</f>
        <v>7222.01333333333</v>
      </c>
      <c r="AL32" s="15" t="n">
        <f aca="false">MAX(0,(AM31))</f>
        <v>7222.01333333333</v>
      </c>
      <c r="AM32" s="15" t="n">
        <f aca="false">(AM31)+AK32-AL32</f>
        <v>7222.01333333333</v>
      </c>
      <c r="AN32" s="15" t="n">
        <f aca="false">SUM(X17:X28)</f>
        <v>3576.005</v>
      </c>
      <c r="AO32" s="15" t="n">
        <f aca="false">SUM(AP17:AP28)</f>
        <v>3127.125</v>
      </c>
      <c r="AP32" s="15" t="n">
        <f aca="false">MAX(0,AN32)*IF(4=Parametri_v3!$C$43,Parametri_v3!$C$45,IF(4=Parametri_v3!$C$44,1-Parametri_v3!$C$45,0))</f>
        <v>0</v>
      </c>
      <c r="AQ32" s="15" t="n">
        <f aca="false">MAX(0,AP32+IF(4=Parametri_v3!$C$43,MAX(0,AN32-AO32),0)-MAX(0,-(AR31)))</f>
        <v>0</v>
      </c>
      <c r="AR32" s="15" t="n">
        <f aca="false">(AR31)+X32-AQ32</f>
        <v>5748.70458333334</v>
      </c>
      <c r="AS32" s="15" t="n">
        <f aca="false">Motore_Operativo!AC32-AT32+AU32</f>
        <v>24146.5260416667</v>
      </c>
      <c r="AT32" s="15" t="n">
        <f aca="false">Motore_Operativo!CI32</f>
        <v>1270.86979166667</v>
      </c>
      <c r="AU32" s="15" t="n">
        <f aca="false">MIN(MAX(0,(AV31)+AT32),Parametri_v3!$C$61/12)</f>
        <v>0</v>
      </c>
      <c r="AV32" s="15" t="n">
        <f aca="false">(AV31)+AT32-AU32</f>
        <v>17812.4791666667</v>
      </c>
      <c r="AW32" s="15" t="n">
        <f aca="false">IF(AND(Motore_Operativo!C32=Finanziamenti!$D$7,Finanziamenti!$F$7=1),Finanziamenti!$C$7,0)</f>
        <v>0</v>
      </c>
      <c r="AX32" s="15" t="n">
        <f aca="false">0</f>
        <v>0</v>
      </c>
      <c r="AY32" s="15" t="n">
        <f aca="false">IF(4=Parametri_v3!$C$33,IF(BV32&lt;MIN(12,$B32-1),0,MIN(MAX(0,SUM(Y17:Y28))*Ipotesi!$C$94,MAX(0,(BM28)-(BO31)-BP32),MAX(0,BD32-Parametri_v3!$C$31))),0)</f>
        <v>0</v>
      </c>
      <c r="AZ32" s="15" t="n">
        <f aca="false">0</f>
        <v>0</v>
      </c>
      <c r="BA32" s="15" t="n">
        <f aca="false">0</f>
        <v>0</v>
      </c>
      <c r="BB32" s="15" t="n">
        <f aca="false">0</f>
        <v>0</v>
      </c>
      <c r="BC32" s="15" t="n">
        <f aca="false">0</f>
        <v>0</v>
      </c>
      <c r="BD32" s="15" t="n">
        <f aca="false">(BH31)+AC32-AF32-AI32-AS32-K32*(1+Parametri_v3!$C$26)-AL32-AQ32-O32+AW32+AX32+AZ32+BA32-BB32</f>
        <v>-66307.3675</v>
      </c>
      <c r="BE32" s="15" t="n">
        <f aca="false">0</f>
        <v>0</v>
      </c>
      <c r="BF32" s="15" t="n">
        <f aca="false">0</f>
        <v>0</v>
      </c>
      <c r="BG32" s="15" t="n">
        <f aca="false">0</f>
        <v>0</v>
      </c>
      <c r="BH32" s="15" t="n">
        <f aca="false">BD32+BE32-BF32-AY32</f>
        <v>-66307.3675</v>
      </c>
      <c r="BI32" s="15" t="n">
        <f aca="false">MAX(0,Parametri_v3!$C$31-BH32)</f>
        <v>76307.3675</v>
      </c>
      <c r="BJ32" s="15" t="n">
        <f aca="false">(BJ31)+K32</f>
        <v>9666.66666666667</v>
      </c>
      <c r="BK32" s="15" t="n">
        <f aca="false">(BK31)+L32</f>
        <v>3449.07407407407</v>
      </c>
      <c r="BL32" s="15" t="n">
        <f aca="false">BJ32-BK32</f>
        <v>6217.59259259259</v>
      </c>
      <c r="BM32" s="15" t="n">
        <f aca="false">(BM31)+Y32</f>
        <v>31018.3880092593</v>
      </c>
      <c r="BN32" s="15" t="n">
        <f aca="false">(BN31)+AW32+AX32+AZ32</f>
        <v>20000</v>
      </c>
      <c r="BO32" s="15" t="n">
        <f aca="false">(BO31)+AY32</f>
        <v>0</v>
      </c>
      <c r="BP32" s="15" t="n">
        <f aca="false">MIN(Parametri_v3!$C$36*Parametri_v3!$C$35,(BP31)+IF(4=1,MAX(0,SUM(Y17:Y28))*Parametri_v3!$C$34,0))</f>
        <v>866.121277777779</v>
      </c>
      <c r="BQ32" s="15" t="n">
        <f aca="false">BN32+BM32-BO32</f>
        <v>51018.3880092593</v>
      </c>
      <c r="BR32" s="15" t="n">
        <f aca="false">BH32+AD32+BL32+MAX(0,-AM32)+MAX(0,-AR32)</f>
        <v>121080.225092593</v>
      </c>
      <c r="BS32" s="15" t="n">
        <f aca="false">AJ32+AV32+MAX(0,AM32)+MAX(0,AR32)+BC32+BG32+BQ32+AG32</f>
        <v>121080.225092593</v>
      </c>
      <c r="BT32" s="15" t="n">
        <f aca="false">BR32-BS32</f>
        <v>0</v>
      </c>
      <c r="BU32" s="15" t="n">
        <f aca="false">BH32-(BD32+BE32-BF32-AY32)</f>
        <v>0</v>
      </c>
      <c r="BV32" s="15" t="n">
        <f aca="false">IF(BH31&lt;Parametri_v3!$C$31,0,BV31+1)</f>
        <v>0</v>
      </c>
    </row>
    <row r="33" customFormat="false" ht="18" hidden="false" customHeight="true" outlineLevel="0" collapsed="false">
      <c r="A33" s="68" t="n">
        <f aca="false">1</f>
        <v>1</v>
      </c>
      <c r="B33" s="68" t="n">
        <f aca="false">29</f>
        <v>29</v>
      </c>
      <c r="C33" s="18" t="n">
        <f aca="false">Motore_Operativo!C33</f>
        <v>47239</v>
      </c>
      <c r="D33" s="68" t="n">
        <f aca="false">Motore_Operativo!D33</f>
        <v>2029</v>
      </c>
      <c r="E33" s="68" t="n">
        <f aca="false">Motore_Operativo!E33</f>
        <v>5</v>
      </c>
      <c r="F33" s="15" t="n">
        <f aca="false">Motore_Operativo!AM33</f>
        <v>49500</v>
      </c>
      <c r="G33" s="15" t="n">
        <f aca="false">Motore_Operativo!BH33</f>
        <v>4950</v>
      </c>
      <c r="H33" s="15" t="n">
        <f aca="false">Motore_Operativo!AM33</f>
        <v>49500</v>
      </c>
      <c r="I33" s="15" t="n">
        <f aca="false">Motore_Operativo!CB33</f>
        <v>44499.8958333333</v>
      </c>
      <c r="J33" s="15" t="n">
        <f aca="false">Motore_Operativo!CD33</f>
        <v>5000.10416666667</v>
      </c>
      <c r="K33" s="15" t="n">
        <f aca="false">Motore_Operativo!CF33</f>
        <v>416.666666666667</v>
      </c>
      <c r="L33" s="15" t="n">
        <f aca="false">SUM(INDEX($K$5:$K$64,MAX(1,29-Parametri_v3!$C$59+1)):K33)/Parametri_v3!$C$59</f>
        <v>280.092592592593</v>
      </c>
      <c r="M33" s="15" t="n">
        <f aca="false">J33-L33</f>
        <v>4720.01157407408</v>
      </c>
      <c r="N33" s="15" t="n">
        <f aca="false">0</f>
        <v>0</v>
      </c>
      <c r="O33" s="15" t="n">
        <f aca="false">0</f>
        <v>0</v>
      </c>
      <c r="P33" s="15" t="n">
        <f aca="false">M33+N33-O33</f>
        <v>4720.01157407408</v>
      </c>
      <c r="Q33" s="15" t="n">
        <f aca="false">SUM(P29:P33)+Parametri_v3!$C$56*5/12</f>
        <v>23715.7986111111</v>
      </c>
      <c r="R33" s="15" t="n">
        <f aca="false">Z28</f>
        <v>0</v>
      </c>
      <c r="S33" s="15" t="n">
        <f aca="false">AA28</f>
        <v>0</v>
      </c>
      <c r="T33" s="15" t="n">
        <f aca="false">MIN(R33,MAX(0,Q33))</f>
        <v>0</v>
      </c>
      <c r="U33" s="15" t="n">
        <f aca="false">MIN(S33,MAX(0,Q33-T33)*Parametri_v3!$C$42)</f>
        <v>0</v>
      </c>
      <c r="V33" s="15" t="n">
        <f aca="false">MAX(0,Q33-T33-U33)*Ipotesi!$C$92</f>
        <v>5691.79166666667</v>
      </c>
      <c r="W33" s="15" t="n">
        <f aca="false">MAX(0,SUM(M29:M33)+Parametri_v3!$C$57*5/12)*Ipotesi!$C$93</f>
        <v>924.916145833334</v>
      </c>
      <c r="X33" s="15" t="n">
        <f aca="false">V33+W33-(V32+W32)</f>
        <v>1316.88322916667</v>
      </c>
      <c r="Y33" s="15" t="n">
        <f aca="false">P33-X33</f>
        <v>3403.12834490741</v>
      </c>
      <c r="Z33" s="15" t="n">
        <f aca="false">R33-T33+IF(AND(Parametri_v3!$C$40=1,D33-YEAR(Parametri_v3!$C$50)&lt;Parametri_v3!$C$41),MAX(0,-Q33),0)</f>
        <v>0</v>
      </c>
      <c r="AA33" s="15" t="n">
        <f aca="false">S33-U33+IF(AND(Parametri_v3!$C$40=1,D33-YEAR(Parametri_v3!$C$50)&lt;Parametri_v3!$C$41),0,MAX(0,-Q33))</f>
        <v>0</v>
      </c>
      <c r="AB33" s="15" t="n">
        <f aca="false">F33*(1+Parametri_v3!$C$26)</f>
        <v>60390</v>
      </c>
      <c r="AC33" s="15" t="n">
        <f aca="false">(IF(29-(INT((Motore_Operativo!L33)/30))&lt;1,0,INDEX(Motore_Advisory!$AB$5:$AB$64,MAX(1,29-(INT((Motore_Operativo!L33)/30)))))*(1-(MOD((Motore_Operativo!L33),30)/30))+IF(29-(INT((Motore_Operativo!L33)/30))-1&lt;1,0,INDEX(Motore_Advisory!$AB$5:$AB$64,MAX(1,29-(INT((Motore_Operativo!L33)/30))-1)))*(MOD((Motore_Operativo!L33),30)/30))</f>
        <v>60390</v>
      </c>
      <c r="AD33" s="15" t="n">
        <f aca="false">(AD32)+AB33-AC33</f>
        <v>181170</v>
      </c>
      <c r="AE33" s="15" t="n">
        <f aca="false">Motore_Operativo!BH33*(1+Parametri_v3!$C$26)</f>
        <v>6039</v>
      </c>
      <c r="AF33" s="15" t="n">
        <f aca="false">(IF(29-(INT((Parametri_v3!$C$29)/30))&lt;1,0,INDEX(Motore_Operativo!$BH$5:$BH$64,MAX(1,29-(INT((Parametri_v3!$C$29)/30)))))*(1-(MOD((Parametri_v3!$C$29),30)/30))+IF(29-(INT((Parametri_v3!$C$29)/30))-1&lt;1,0,INDEX(Motore_Operativo!$BH$5:$BH$64,MAX(1,29-(INT((Parametri_v3!$C$29)/30))-1)))*(MOD((Parametri_v3!$C$29),30)/30))*(1+Parametri_v3!$C$26)</f>
        <v>6039</v>
      </c>
      <c r="AG33" s="15" t="n">
        <f aca="false">(AG32)+AE33-AF33</f>
        <v>6039</v>
      </c>
      <c r="AH33" s="15" t="n">
        <f aca="false">(Motore_Operativo!CK33)*(1+Parametri_v3!$C$28*Parametri_v3!$C$26)</f>
        <v>16619.82</v>
      </c>
      <c r="AI33" s="15" t="n">
        <f aca="false">(IF(29-(INT((Ipotesi!$C$91)/30))&lt;1,0,INDEX(Motore_Advisory!$AH$5:$AH$64,MAX(1,29-(INT((Ipotesi!$C$91)/30)))))*(1-(MOD((Ipotesi!$C$91),30)/30))+IF(29-(INT((Ipotesi!$C$91)/30))-1&lt;1,0,INDEX(Motore_Advisory!$AH$5:$AH$64,MAX(1,29-(INT((Ipotesi!$C$91)/30))-1)))*(MOD((Ipotesi!$C$91),30)/30))</f>
        <v>16619.82</v>
      </c>
      <c r="AJ33" s="15" t="n">
        <f aca="false">(AJ32)+AH33-AI33</f>
        <v>33239.64</v>
      </c>
      <c r="AK33" s="15" t="n">
        <f aca="false">(F33- Motore_Operativo!BH33-(Motore_Operativo!CK33)*Parametri_v3!$C$28-Motore_Operativo!CF33)*Parametri_v3!$C$26</f>
        <v>7222.01333333333</v>
      </c>
      <c r="AL33" s="15" t="n">
        <f aca="false">MAX(0,(AM32))</f>
        <v>7222.01333333333</v>
      </c>
      <c r="AM33" s="15" t="n">
        <f aca="false">(AM32)+AK33-AL33</f>
        <v>7222.01333333333</v>
      </c>
      <c r="AN33" s="15" t="n">
        <f aca="false">SUM(X17:X28)</f>
        <v>3576.005</v>
      </c>
      <c r="AO33" s="15" t="n">
        <f aca="false">SUM(AP17:AP28)</f>
        <v>3127.125</v>
      </c>
      <c r="AP33" s="15" t="n">
        <f aca="false">MAX(0,AN33)*IF(5=Parametri_v3!$C$43,Parametri_v3!$C$45,IF(5=Parametri_v3!$C$44,1-Parametri_v3!$C$45,0))</f>
        <v>0</v>
      </c>
      <c r="AQ33" s="15" t="n">
        <f aca="false">MAX(0,AP33+IF(5=Parametri_v3!$C$43,MAX(0,AN33-AO33),0)-MAX(0,-(AR32)))</f>
        <v>0</v>
      </c>
      <c r="AR33" s="15" t="n">
        <f aca="false">(AR32)+X33-AQ33</f>
        <v>7065.58781250001</v>
      </c>
      <c r="AS33" s="15" t="n">
        <f aca="false">Motore_Operativo!AC33-AT33+AU33</f>
        <v>24146.5260416667</v>
      </c>
      <c r="AT33" s="15" t="n">
        <f aca="false">Motore_Operativo!CI33</f>
        <v>1270.86979166667</v>
      </c>
      <c r="AU33" s="15" t="n">
        <f aca="false">MIN(MAX(0,(AV32)+AT33),Parametri_v3!$C$61/12)</f>
        <v>0</v>
      </c>
      <c r="AV33" s="15" t="n">
        <f aca="false">(AV32)+AT33-AU33</f>
        <v>19083.3489583333</v>
      </c>
      <c r="AW33" s="15" t="n">
        <f aca="false">IF(AND(Motore_Operativo!C33=Finanziamenti!$D$7,Finanziamenti!$F$7=1),Finanziamenti!$C$7,0)</f>
        <v>0</v>
      </c>
      <c r="AX33" s="15" t="n">
        <f aca="false">0</f>
        <v>0</v>
      </c>
      <c r="AY33" s="15" t="n">
        <f aca="false">IF(5=Parametri_v3!$C$33,IF(BV33&lt;MIN(12,$B33-1),0,MIN(MAX(0,SUM(Y17:Y28))*Ipotesi!$C$94,MAX(0,(BM28)-(BO32)-BP33),MAX(0,BD33-Parametri_v3!$C$31))),0)</f>
        <v>0</v>
      </c>
      <c r="AZ33" s="15" t="n">
        <f aca="false">0</f>
        <v>0</v>
      </c>
      <c r="BA33" s="15" t="n">
        <f aca="false">0</f>
        <v>0</v>
      </c>
      <c r="BB33" s="15" t="n">
        <f aca="false">0</f>
        <v>0</v>
      </c>
      <c r="BC33" s="15" t="n">
        <f aca="false">0</f>
        <v>0</v>
      </c>
      <c r="BD33" s="15" t="n">
        <f aca="false">(BH32)+AC33-AF33-AI33-AS33-K33*(1+Parametri_v3!$C$26)-AL33-AQ33-O33+AW33+AX33+AZ33+BA33-BB33</f>
        <v>-60453.0602083333</v>
      </c>
      <c r="BE33" s="15" t="n">
        <f aca="false">0</f>
        <v>0</v>
      </c>
      <c r="BF33" s="15" t="n">
        <f aca="false">0</f>
        <v>0</v>
      </c>
      <c r="BG33" s="15" t="n">
        <f aca="false">0</f>
        <v>0</v>
      </c>
      <c r="BH33" s="15" t="n">
        <f aca="false">BD33+BE33-BF33-AY33</f>
        <v>-60453.0602083333</v>
      </c>
      <c r="BI33" s="15" t="n">
        <f aca="false">MAX(0,Parametri_v3!$C$31-BH33)</f>
        <v>70453.0602083333</v>
      </c>
      <c r="BJ33" s="15" t="n">
        <f aca="false">(BJ32)+K33</f>
        <v>10083.3333333333</v>
      </c>
      <c r="BK33" s="15" t="n">
        <f aca="false">(BK32)+L33</f>
        <v>3729.16666666667</v>
      </c>
      <c r="BL33" s="15" t="n">
        <f aca="false">BJ33-BK33</f>
        <v>6354.16666666667</v>
      </c>
      <c r="BM33" s="15" t="n">
        <f aca="false">(BM32)+Y33</f>
        <v>34421.5163541667</v>
      </c>
      <c r="BN33" s="15" t="n">
        <f aca="false">(BN32)+AW33+AX33+AZ33</f>
        <v>20000</v>
      </c>
      <c r="BO33" s="15" t="n">
        <f aca="false">(BO32)+AY33</f>
        <v>0</v>
      </c>
      <c r="BP33" s="15" t="n">
        <f aca="false">MIN(Parametri_v3!$C$36*Parametri_v3!$C$35,(BP32)+IF(5=1,MAX(0,SUM(Y17:Y28))*Parametri_v3!$C$34,0))</f>
        <v>866.121277777779</v>
      </c>
      <c r="BQ33" s="15" t="n">
        <f aca="false">BN33+BM33-BO33</f>
        <v>54421.5163541667</v>
      </c>
      <c r="BR33" s="15" t="n">
        <f aca="false">BH33+AD33+BL33+MAX(0,-AM33)+MAX(0,-AR33)</f>
        <v>127071.106458333</v>
      </c>
      <c r="BS33" s="15" t="n">
        <f aca="false">AJ33+AV33+MAX(0,AM33)+MAX(0,AR33)+BC33+BG33+BQ33+AG33</f>
        <v>127071.106458333</v>
      </c>
      <c r="BT33" s="15" t="n">
        <f aca="false">BR33-BS33</f>
        <v>0</v>
      </c>
      <c r="BU33" s="15" t="n">
        <f aca="false">BH33-(BD33+BE33-BF33-AY33)</f>
        <v>0</v>
      </c>
      <c r="BV33" s="15" t="n">
        <f aca="false">IF(BH32&lt;Parametri_v3!$C$31,0,BV32+1)</f>
        <v>0</v>
      </c>
    </row>
    <row r="34" customFormat="false" ht="18" hidden="false" customHeight="true" outlineLevel="0" collapsed="false">
      <c r="A34" s="68" t="n">
        <f aca="false">1</f>
        <v>1</v>
      </c>
      <c r="B34" s="68" t="n">
        <f aca="false">30</f>
        <v>30</v>
      </c>
      <c r="C34" s="18" t="n">
        <f aca="false">Motore_Operativo!C34</f>
        <v>47270</v>
      </c>
      <c r="D34" s="68" t="n">
        <f aca="false">Motore_Operativo!D34</f>
        <v>2029</v>
      </c>
      <c r="E34" s="68" t="n">
        <f aca="false">Motore_Operativo!E34</f>
        <v>6</v>
      </c>
      <c r="F34" s="15" t="n">
        <f aca="false">Motore_Operativo!AM34</f>
        <v>49500</v>
      </c>
      <c r="G34" s="15" t="n">
        <f aca="false">Motore_Operativo!BH34</f>
        <v>4950</v>
      </c>
      <c r="H34" s="15" t="n">
        <f aca="false">Motore_Operativo!AM34</f>
        <v>49500</v>
      </c>
      <c r="I34" s="15" t="n">
        <f aca="false">Motore_Operativo!CB34</f>
        <v>44499.8958333333</v>
      </c>
      <c r="J34" s="15" t="n">
        <f aca="false">Motore_Operativo!CD34</f>
        <v>5000.10416666667</v>
      </c>
      <c r="K34" s="15" t="n">
        <f aca="false">Motore_Operativo!CF34</f>
        <v>416.666666666667</v>
      </c>
      <c r="L34" s="15" t="n">
        <f aca="false">SUM(INDEX($K$5:$K$64,MAX(1,30-Parametri_v3!$C$59+1)):K34)/Parametri_v3!$C$59</f>
        <v>291.666666666667</v>
      </c>
      <c r="M34" s="15" t="n">
        <f aca="false">J34-L34</f>
        <v>4708.43750000001</v>
      </c>
      <c r="N34" s="15" t="n">
        <f aca="false">0</f>
        <v>0</v>
      </c>
      <c r="O34" s="15" t="n">
        <f aca="false">0</f>
        <v>0</v>
      </c>
      <c r="P34" s="15" t="n">
        <f aca="false">M34+N34-O34</f>
        <v>4708.43750000001</v>
      </c>
      <c r="Q34" s="15" t="n">
        <f aca="false">SUM(P29:P34)+Parametri_v3!$C$56*6/12</f>
        <v>28424.2361111111</v>
      </c>
      <c r="R34" s="15" t="n">
        <f aca="false">Z28</f>
        <v>0</v>
      </c>
      <c r="S34" s="15" t="n">
        <f aca="false">AA28</f>
        <v>0</v>
      </c>
      <c r="T34" s="15" t="n">
        <f aca="false">MIN(R34,MAX(0,Q34))</f>
        <v>0</v>
      </c>
      <c r="U34" s="15" t="n">
        <f aca="false">MIN(S34,MAX(0,Q34-T34)*Parametri_v3!$C$42)</f>
        <v>0</v>
      </c>
      <c r="V34" s="15" t="n">
        <f aca="false">MAX(0,Q34-T34-U34)*Ipotesi!$C$92</f>
        <v>6821.81666666667</v>
      </c>
      <c r="W34" s="15" t="n">
        <f aca="false">MAX(0,SUM(M29:M34)+Parametri_v3!$C$57*6/12)*Ipotesi!$C$93</f>
        <v>1108.54520833333</v>
      </c>
      <c r="X34" s="15" t="n">
        <f aca="false">V34+W34-(V33+W33)</f>
        <v>1313.6540625</v>
      </c>
      <c r="Y34" s="15" t="n">
        <f aca="false">P34-X34</f>
        <v>3394.7834375</v>
      </c>
      <c r="Z34" s="15" t="n">
        <f aca="false">R34-T34+IF(AND(Parametri_v3!$C$40=1,D34-YEAR(Parametri_v3!$C$50)&lt;Parametri_v3!$C$41),MAX(0,-Q34),0)</f>
        <v>0</v>
      </c>
      <c r="AA34" s="15" t="n">
        <f aca="false">S34-U34+IF(AND(Parametri_v3!$C$40=1,D34-YEAR(Parametri_v3!$C$50)&lt;Parametri_v3!$C$41),0,MAX(0,-Q34))</f>
        <v>0</v>
      </c>
      <c r="AB34" s="15" t="n">
        <f aca="false">F34*(1+Parametri_v3!$C$26)</f>
        <v>60390</v>
      </c>
      <c r="AC34" s="15" t="n">
        <f aca="false">(IF(30-(INT((Motore_Operativo!L34)/30))&lt;1,0,INDEX(Motore_Advisory!$AB$5:$AB$64,MAX(1,30-(INT((Motore_Operativo!L34)/30)))))*(1-(MOD((Motore_Operativo!L34),30)/30))+IF(30-(INT((Motore_Operativo!L34)/30))-1&lt;1,0,INDEX(Motore_Advisory!$AB$5:$AB$64,MAX(1,30-(INT((Motore_Operativo!L34)/30))-1)))*(MOD((Motore_Operativo!L34),30)/30))</f>
        <v>60390</v>
      </c>
      <c r="AD34" s="15" t="n">
        <f aca="false">(AD33)+AB34-AC34</f>
        <v>181170</v>
      </c>
      <c r="AE34" s="15" t="n">
        <f aca="false">Motore_Operativo!BH34*(1+Parametri_v3!$C$26)</f>
        <v>6039</v>
      </c>
      <c r="AF34" s="15" t="n">
        <f aca="false">(IF(30-(INT((Parametri_v3!$C$29)/30))&lt;1,0,INDEX(Motore_Operativo!$BH$5:$BH$64,MAX(1,30-(INT((Parametri_v3!$C$29)/30)))))*(1-(MOD((Parametri_v3!$C$29),30)/30))+IF(30-(INT((Parametri_v3!$C$29)/30))-1&lt;1,0,INDEX(Motore_Operativo!$BH$5:$BH$64,MAX(1,30-(INT((Parametri_v3!$C$29)/30))-1)))*(MOD((Parametri_v3!$C$29),30)/30))*(1+Parametri_v3!$C$26)</f>
        <v>6039</v>
      </c>
      <c r="AG34" s="15" t="n">
        <f aca="false">(AG33)+AE34-AF34</f>
        <v>6039</v>
      </c>
      <c r="AH34" s="15" t="n">
        <f aca="false">(Motore_Operativo!CK34)*(1+Parametri_v3!$C$28*Parametri_v3!$C$26)</f>
        <v>16619.82</v>
      </c>
      <c r="AI34" s="15" t="n">
        <f aca="false">(IF(30-(INT((Ipotesi!$C$91)/30))&lt;1,0,INDEX(Motore_Advisory!$AH$5:$AH$64,MAX(1,30-(INT((Ipotesi!$C$91)/30)))))*(1-(MOD((Ipotesi!$C$91),30)/30))+IF(30-(INT((Ipotesi!$C$91)/30))-1&lt;1,0,INDEX(Motore_Advisory!$AH$5:$AH$64,MAX(1,30-(INT((Ipotesi!$C$91)/30))-1)))*(MOD((Ipotesi!$C$91),30)/30))</f>
        <v>16619.82</v>
      </c>
      <c r="AJ34" s="15" t="n">
        <f aca="false">(AJ33)+AH34-AI34</f>
        <v>33239.64</v>
      </c>
      <c r="AK34" s="15" t="n">
        <f aca="false">(F34- Motore_Operativo!BH34-(Motore_Operativo!CK34)*Parametri_v3!$C$28-Motore_Operativo!CF34)*Parametri_v3!$C$26</f>
        <v>7222.01333333333</v>
      </c>
      <c r="AL34" s="15" t="n">
        <f aca="false">MAX(0,(AM33))</f>
        <v>7222.01333333333</v>
      </c>
      <c r="AM34" s="15" t="n">
        <f aca="false">(AM33)+AK34-AL34</f>
        <v>7222.01333333333</v>
      </c>
      <c r="AN34" s="15" t="n">
        <f aca="false">SUM(X17:X28)</f>
        <v>3576.005</v>
      </c>
      <c r="AO34" s="15" t="n">
        <f aca="false">SUM(AP17:AP28)</f>
        <v>3127.125</v>
      </c>
      <c r="AP34" s="15" t="n">
        <f aca="false">MAX(0,AN34)*IF(6=Parametri_v3!$C$43,Parametri_v3!$C$45,IF(6=Parametri_v3!$C$44,1-Parametri_v3!$C$45,0))</f>
        <v>1430.402</v>
      </c>
      <c r="AQ34" s="15" t="n">
        <f aca="false">MAX(0,AP34+IF(6=Parametri_v3!$C$43,MAX(0,AN34-AO34),0)-MAX(0,-(AR33)))</f>
        <v>1879.282</v>
      </c>
      <c r="AR34" s="15" t="n">
        <f aca="false">(AR33)+X34-AQ34</f>
        <v>6499.95987500001</v>
      </c>
      <c r="AS34" s="15" t="n">
        <f aca="false">Motore_Operativo!AC34-AT34+AU34</f>
        <v>24146.5260416667</v>
      </c>
      <c r="AT34" s="15" t="n">
        <f aca="false">Motore_Operativo!CI34</f>
        <v>1270.86979166667</v>
      </c>
      <c r="AU34" s="15" t="n">
        <f aca="false">MIN(MAX(0,(AV33)+AT34),Parametri_v3!$C$61/12)</f>
        <v>0</v>
      </c>
      <c r="AV34" s="15" t="n">
        <f aca="false">(AV33)+AT34-AU34</f>
        <v>20354.21875</v>
      </c>
      <c r="AW34" s="15" t="n">
        <f aca="false">IF(AND(Motore_Operativo!C34=Finanziamenti!$D$7,Finanziamenti!$F$7=1),Finanziamenti!$C$7,0)</f>
        <v>0</v>
      </c>
      <c r="AX34" s="15" t="n">
        <f aca="false">0</f>
        <v>0</v>
      </c>
      <c r="AY34" s="15" t="n">
        <f aca="false">IF(6=Parametri_v3!$C$33,IF(BV34&lt;MIN(12,$B34-1),0,MIN(MAX(0,SUM(Y17:Y28))*Ipotesi!$C$94,MAX(0,(BM28)-(BO33)-BP34),MAX(0,BD34-Parametri_v3!$C$31))),0)</f>
        <v>0</v>
      </c>
      <c r="AZ34" s="15" t="n">
        <f aca="false">0</f>
        <v>0</v>
      </c>
      <c r="BA34" s="15" t="n">
        <f aca="false">0</f>
        <v>0</v>
      </c>
      <c r="BB34" s="15" t="n">
        <f aca="false">0</f>
        <v>0</v>
      </c>
      <c r="BC34" s="15" t="n">
        <f aca="false">0</f>
        <v>0</v>
      </c>
      <c r="BD34" s="15" t="n">
        <f aca="false">(BH33)+AC34-AF34-AI34-AS34-K34*(1+Parametri_v3!$C$26)-AL34-AQ34-O34+AW34+AX34+AZ34+BA34-BB34</f>
        <v>-56478.0349166666</v>
      </c>
      <c r="BE34" s="15" t="n">
        <f aca="false">0</f>
        <v>0</v>
      </c>
      <c r="BF34" s="15" t="n">
        <f aca="false">0</f>
        <v>0</v>
      </c>
      <c r="BG34" s="15" t="n">
        <f aca="false">0</f>
        <v>0</v>
      </c>
      <c r="BH34" s="15" t="n">
        <f aca="false">BD34+BE34-BF34-AY34</f>
        <v>-56478.0349166666</v>
      </c>
      <c r="BI34" s="15" t="n">
        <f aca="false">MAX(0,Parametri_v3!$C$31-BH34)</f>
        <v>66478.0349166666</v>
      </c>
      <c r="BJ34" s="15" t="n">
        <f aca="false">(BJ33)+K34</f>
        <v>10500</v>
      </c>
      <c r="BK34" s="15" t="n">
        <f aca="false">(BK33)+L34</f>
        <v>4020.83333333333</v>
      </c>
      <c r="BL34" s="15" t="n">
        <f aca="false">BJ34-BK34</f>
        <v>6479.16666666667</v>
      </c>
      <c r="BM34" s="15" t="n">
        <f aca="false">(BM33)+Y34</f>
        <v>37816.2997916667</v>
      </c>
      <c r="BN34" s="15" t="n">
        <f aca="false">(BN33)+AW34+AX34+AZ34</f>
        <v>20000</v>
      </c>
      <c r="BO34" s="15" t="n">
        <f aca="false">(BO33)+AY34</f>
        <v>0</v>
      </c>
      <c r="BP34" s="15" t="n">
        <f aca="false">MIN(Parametri_v3!$C$36*Parametri_v3!$C$35,(BP33)+IF(6=1,MAX(0,SUM(Y17:Y28))*Parametri_v3!$C$34,0))</f>
        <v>866.121277777779</v>
      </c>
      <c r="BQ34" s="15" t="n">
        <f aca="false">BN34+BM34-BO34</f>
        <v>57816.2997916667</v>
      </c>
      <c r="BR34" s="15" t="n">
        <f aca="false">BH34+AD34+BL34+MAX(0,-AM34)+MAX(0,-AR34)</f>
        <v>131171.13175</v>
      </c>
      <c r="BS34" s="15" t="n">
        <f aca="false">AJ34+AV34+MAX(0,AM34)+MAX(0,AR34)+BC34+BG34+BQ34+AG34</f>
        <v>131171.13175</v>
      </c>
      <c r="BT34" s="15" t="n">
        <f aca="false">BR34-BS34</f>
        <v>0</v>
      </c>
      <c r="BU34" s="15" t="n">
        <f aca="false">BH34-(BD34+BE34-BF34-AY34)</f>
        <v>0</v>
      </c>
      <c r="BV34" s="15" t="n">
        <f aca="false">IF(BH33&lt;Parametri_v3!$C$31,0,BV33+1)</f>
        <v>0</v>
      </c>
    </row>
    <row r="35" customFormat="false" ht="18" hidden="false" customHeight="true" outlineLevel="0" collapsed="false">
      <c r="A35" s="68" t="n">
        <f aca="false">1</f>
        <v>1</v>
      </c>
      <c r="B35" s="68" t="n">
        <f aca="false">31</f>
        <v>31</v>
      </c>
      <c r="C35" s="18" t="n">
        <f aca="false">Motore_Operativo!C35</f>
        <v>47300</v>
      </c>
      <c r="D35" s="68" t="n">
        <f aca="false">Motore_Operativo!D35</f>
        <v>2029</v>
      </c>
      <c r="E35" s="68" t="n">
        <f aca="false">Motore_Operativo!E35</f>
        <v>7</v>
      </c>
      <c r="F35" s="15" t="n">
        <f aca="false">Motore_Operativo!AM35</f>
        <v>49500</v>
      </c>
      <c r="G35" s="15" t="n">
        <f aca="false">Motore_Operativo!BH35</f>
        <v>4950</v>
      </c>
      <c r="H35" s="15" t="n">
        <f aca="false">Motore_Operativo!AM35</f>
        <v>49500</v>
      </c>
      <c r="I35" s="15" t="n">
        <f aca="false">Motore_Operativo!CB35</f>
        <v>44499.8958333333</v>
      </c>
      <c r="J35" s="15" t="n">
        <f aca="false">Motore_Operativo!CD35</f>
        <v>5000.10416666667</v>
      </c>
      <c r="K35" s="15" t="n">
        <f aca="false">Motore_Operativo!CF35</f>
        <v>416.666666666667</v>
      </c>
      <c r="L35" s="15" t="n">
        <f aca="false">SUM(INDEX($K$5:$K$64,MAX(1,31-Parametri_v3!$C$59+1)):K35)/Parametri_v3!$C$59</f>
        <v>303.240740740741</v>
      </c>
      <c r="M35" s="15" t="n">
        <f aca="false">J35-L35</f>
        <v>4696.86342592593</v>
      </c>
      <c r="N35" s="15" t="n">
        <f aca="false">0</f>
        <v>0</v>
      </c>
      <c r="O35" s="15" t="n">
        <f aca="false">0</f>
        <v>0</v>
      </c>
      <c r="P35" s="15" t="n">
        <f aca="false">M35+N35-O35</f>
        <v>4696.86342592593</v>
      </c>
      <c r="Q35" s="15" t="n">
        <f aca="false">SUM(P29:P35)+Parametri_v3!$C$56*7/12</f>
        <v>33121.0995370371</v>
      </c>
      <c r="R35" s="15" t="n">
        <f aca="false">Z28</f>
        <v>0</v>
      </c>
      <c r="S35" s="15" t="n">
        <f aca="false">AA28</f>
        <v>0</v>
      </c>
      <c r="T35" s="15" t="n">
        <f aca="false">MIN(R35,MAX(0,Q35))</f>
        <v>0</v>
      </c>
      <c r="U35" s="15" t="n">
        <f aca="false">MIN(S35,MAX(0,Q35-T35)*Parametri_v3!$C$42)</f>
        <v>0</v>
      </c>
      <c r="V35" s="15" t="n">
        <f aca="false">MAX(0,Q35-T35-U35)*Ipotesi!$C$92</f>
        <v>7949.0638888889</v>
      </c>
      <c r="W35" s="15" t="n">
        <f aca="false">MAX(0,SUM(M29:M35)+Parametri_v3!$C$57*7/12)*Ipotesi!$C$93</f>
        <v>1291.72288194445</v>
      </c>
      <c r="X35" s="15" t="n">
        <f aca="false">V35+W35-(V34+W34)</f>
        <v>1310.42489583333</v>
      </c>
      <c r="Y35" s="15" t="n">
        <f aca="false">P35-X35</f>
        <v>3386.4385300926</v>
      </c>
      <c r="Z35" s="15" t="n">
        <f aca="false">R35-T35+IF(AND(Parametri_v3!$C$40=1,D35-YEAR(Parametri_v3!$C$50)&lt;Parametri_v3!$C$41),MAX(0,-Q35),0)</f>
        <v>0</v>
      </c>
      <c r="AA35" s="15" t="n">
        <f aca="false">S35-U35+IF(AND(Parametri_v3!$C$40=1,D35-YEAR(Parametri_v3!$C$50)&lt;Parametri_v3!$C$41),0,MAX(0,-Q35))</f>
        <v>0</v>
      </c>
      <c r="AB35" s="15" t="n">
        <f aca="false">F35*(1+Parametri_v3!$C$26)</f>
        <v>60390</v>
      </c>
      <c r="AC35" s="15" t="n">
        <f aca="false">(IF(31-(INT((Motore_Operativo!L35)/30))&lt;1,0,INDEX(Motore_Advisory!$AB$5:$AB$64,MAX(1,31-(INT((Motore_Operativo!L35)/30)))))*(1-(MOD((Motore_Operativo!L35),30)/30))+IF(31-(INT((Motore_Operativo!L35)/30))-1&lt;1,0,INDEX(Motore_Advisory!$AB$5:$AB$64,MAX(1,31-(INT((Motore_Operativo!L35)/30))-1)))*(MOD((Motore_Operativo!L35),30)/30))</f>
        <v>60390</v>
      </c>
      <c r="AD35" s="15" t="n">
        <f aca="false">(AD34)+AB35-AC35</f>
        <v>181170</v>
      </c>
      <c r="AE35" s="15" t="n">
        <f aca="false">Motore_Operativo!BH35*(1+Parametri_v3!$C$26)</f>
        <v>6039</v>
      </c>
      <c r="AF35" s="15" t="n">
        <f aca="false">(IF(31-(INT((Parametri_v3!$C$29)/30))&lt;1,0,INDEX(Motore_Operativo!$BH$5:$BH$64,MAX(1,31-(INT((Parametri_v3!$C$29)/30)))))*(1-(MOD((Parametri_v3!$C$29),30)/30))+IF(31-(INT((Parametri_v3!$C$29)/30))-1&lt;1,0,INDEX(Motore_Operativo!$BH$5:$BH$64,MAX(1,31-(INT((Parametri_v3!$C$29)/30))-1)))*(MOD((Parametri_v3!$C$29),30)/30))*(1+Parametri_v3!$C$26)</f>
        <v>6039</v>
      </c>
      <c r="AG35" s="15" t="n">
        <f aca="false">(AG34)+AE35-AF35</f>
        <v>6039</v>
      </c>
      <c r="AH35" s="15" t="n">
        <f aca="false">(Motore_Operativo!CK35)*(1+Parametri_v3!$C$28*Parametri_v3!$C$26)</f>
        <v>16619.82</v>
      </c>
      <c r="AI35" s="15" t="n">
        <f aca="false">(IF(31-(INT((Ipotesi!$C$91)/30))&lt;1,0,INDEX(Motore_Advisory!$AH$5:$AH$64,MAX(1,31-(INT((Ipotesi!$C$91)/30)))))*(1-(MOD((Ipotesi!$C$91),30)/30))+IF(31-(INT((Ipotesi!$C$91)/30))-1&lt;1,0,INDEX(Motore_Advisory!$AH$5:$AH$64,MAX(1,31-(INT((Ipotesi!$C$91)/30))-1)))*(MOD((Ipotesi!$C$91),30)/30))</f>
        <v>16619.82</v>
      </c>
      <c r="AJ35" s="15" t="n">
        <f aca="false">(AJ34)+AH35-AI35</f>
        <v>33239.64</v>
      </c>
      <c r="AK35" s="15" t="n">
        <f aca="false">(F35- Motore_Operativo!BH35-(Motore_Operativo!CK35)*Parametri_v3!$C$28-Motore_Operativo!CF35)*Parametri_v3!$C$26</f>
        <v>7222.01333333333</v>
      </c>
      <c r="AL35" s="15" t="n">
        <f aca="false">MAX(0,(AM34))</f>
        <v>7222.01333333333</v>
      </c>
      <c r="AM35" s="15" t="n">
        <f aca="false">(AM34)+AK35-AL35</f>
        <v>7222.01333333333</v>
      </c>
      <c r="AN35" s="15" t="n">
        <f aca="false">SUM(X17:X28)</f>
        <v>3576.005</v>
      </c>
      <c r="AO35" s="15" t="n">
        <f aca="false">SUM(AP17:AP28)</f>
        <v>3127.125</v>
      </c>
      <c r="AP35" s="15" t="n">
        <f aca="false">MAX(0,AN35)*IF(7=Parametri_v3!$C$43,Parametri_v3!$C$45,IF(7=Parametri_v3!$C$44,1-Parametri_v3!$C$45,0))</f>
        <v>0</v>
      </c>
      <c r="AQ35" s="15" t="n">
        <f aca="false">MAX(0,AP35+IF(7=Parametri_v3!$C$43,MAX(0,AN35-AO35),0)-MAX(0,-(AR34)))</f>
        <v>0</v>
      </c>
      <c r="AR35" s="15" t="n">
        <f aca="false">(AR34)+X35-AQ35</f>
        <v>7810.38477083334</v>
      </c>
      <c r="AS35" s="15" t="n">
        <f aca="false">Motore_Operativo!AC35-AT35+AU35</f>
        <v>24146.5260416667</v>
      </c>
      <c r="AT35" s="15" t="n">
        <f aca="false">Motore_Operativo!CI35</f>
        <v>1270.86979166667</v>
      </c>
      <c r="AU35" s="15" t="n">
        <f aca="false">MIN(MAX(0,(AV34)+AT35),Parametri_v3!$C$61/12)</f>
        <v>0</v>
      </c>
      <c r="AV35" s="15" t="n">
        <f aca="false">(AV34)+AT35-AU35</f>
        <v>21625.0885416667</v>
      </c>
      <c r="AW35" s="15" t="n">
        <f aca="false">IF(AND(Motore_Operativo!C35=Finanziamenti!$D$7,Finanziamenti!$F$7=1),Finanziamenti!$C$7,0)</f>
        <v>0</v>
      </c>
      <c r="AX35" s="15" t="n">
        <f aca="false">0</f>
        <v>0</v>
      </c>
      <c r="AY35" s="15" t="n">
        <f aca="false">IF(7=Parametri_v3!$C$33,IF(BV35&lt;MIN(12,$B35-1),0,MIN(MAX(0,SUM(Y17:Y28))*Ipotesi!$C$94,MAX(0,(BM28)-(BO34)-BP35),MAX(0,BD35-Parametri_v3!$C$31))),0)</f>
        <v>0</v>
      </c>
      <c r="AZ35" s="15" t="n">
        <f aca="false">0</f>
        <v>0</v>
      </c>
      <c r="BA35" s="15" t="n">
        <f aca="false">0</f>
        <v>0</v>
      </c>
      <c r="BB35" s="15" t="n">
        <f aca="false">0</f>
        <v>0</v>
      </c>
      <c r="BC35" s="15" t="n">
        <f aca="false">0</f>
        <v>0</v>
      </c>
      <c r="BD35" s="15" t="n">
        <f aca="false">(BH34)+AC35-AF35-AI35-AS35-K35*(1+Parametri_v3!$C$26)-AL35-AQ35-O35+AW35+AX35+AZ35+BA35-BB35</f>
        <v>-50623.727625</v>
      </c>
      <c r="BE35" s="15" t="n">
        <f aca="false">0</f>
        <v>0</v>
      </c>
      <c r="BF35" s="15" t="n">
        <f aca="false">0</f>
        <v>0</v>
      </c>
      <c r="BG35" s="15" t="n">
        <f aca="false">0</f>
        <v>0</v>
      </c>
      <c r="BH35" s="15" t="n">
        <f aca="false">BD35+BE35-BF35-AY35</f>
        <v>-50623.727625</v>
      </c>
      <c r="BI35" s="15" t="n">
        <f aca="false">MAX(0,Parametri_v3!$C$31-BH35)</f>
        <v>60623.727625</v>
      </c>
      <c r="BJ35" s="15" t="n">
        <f aca="false">(BJ34)+K35</f>
        <v>10916.6666666667</v>
      </c>
      <c r="BK35" s="15" t="n">
        <f aca="false">(BK34)+L35</f>
        <v>4324.07407407407</v>
      </c>
      <c r="BL35" s="15" t="n">
        <f aca="false">BJ35-BK35</f>
        <v>6592.59259259259</v>
      </c>
      <c r="BM35" s="15" t="n">
        <f aca="false">(BM34)+Y35</f>
        <v>41202.7383217593</v>
      </c>
      <c r="BN35" s="15" t="n">
        <f aca="false">(BN34)+AW35+AX35+AZ35</f>
        <v>20000</v>
      </c>
      <c r="BO35" s="15" t="n">
        <f aca="false">(BO34)+AY35</f>
        <v>0</v>
      </c>
      <c r="BP35" s="15" t="n">
        <f aca="false">MIN(Parametri_v3!$C$36*Parametri_v3!$C$35,(BP34)+IF(7=1,MAX(0,SUM(Y17:Y28))*Parametri_v3!$C$34,0))</f>
        <v>866.121277777779</v>
      </c>
      <c r="BQ35" s="15" t="n">
        <f aca="false">BN35+BM35-BO35</f>
        <v>61202.7383217593</v>
      </c>
      <c r="BR35" s="15" t="n">
        <f aca="false">BH35+AD35+BL35+MAX(0,-AM35)+MAX(0,-AR35)</f>
        <v>137138.864967593</v>
      </c>
      <c r="BS35" s="15" t="n">
        <f aca="false">AJ35+AV35+MAX(0,AM35)+MAX(0,AR35)+BC35+BG35+BQ35+AG35</f>
        <v>137138.864967593</v>
      </c>
      <c r="BT35" s="15" t="n">
        <f aca="false">BR35-BS35</f>
        <v>0</v>
      </c>
      <c r="BU35" s="15" t="n">
        <f aca="false">BH35-(BD35+BE35-BF35-AY35)</f>
        <v>0</v>
      </c>
      <c r="BV35" s="15" t="n">
        <f aca="false">IF(BH34&lt;Parametri_v3!$C$31,0,BV34+1)</f>
        <v>0</v>
      </c>
    </row>
    <row r="36" customFormat="false" ht="18" hidden="false" customHeight="true" outlineLevel="0" collapsed="false">
      <c r="A36" s="68" t="n">
        <f aca="false">1</f>
        <v>1</v>
      </c>
      <c r="B36" s="68" t="n">
        <f aca="false">32</f>
        <v>32</v>
      </c>
      <c r="C36" s="18" t="n">
        <f aca="false">Motore_Operativo!C36</f>
        <v>47331</v>
      </c>
      <c r="D36" s="68" t="n">
        <f aca="false">Motore_Operativo!D36</f>
        <v>2029</v>
      </c>
      <c r="E36" s="68" t="n">
        <f aca="false">Motore_Operativo!E36</f>
        <v>8</v>
      </c>
      <c r="F36" s="15" t="n">
        <f aca="false">Motore_Operativo!AM36</f>
        <v>49500</v>
      </c>
      <c r="G36" s="15" t="n">
        <f aca="false">Motore_Operativo!BH36</f>
        <v>4950</v>
      </c>
      <c r="H36" s="15" t="n">
        <f aca="false">Motore_Operativo!AM36</f>
        <v>49500</v>
      </c>
      <c r="I36" s="15" t="n">
        <f aca="false">Motore_Operativo!CB36</f>
        <v>44499.8958333333</v>
      </c>
      <c r="J36" s="15" t="n">
        <f aca="false">Motore_Operativo!CD36</f>
        <v>5000.10416666667</v>
      </c>
      <c r="K36" s="15" t="n">
        <f aca="false">Motore_Operativo!CF36</f>
        <v>416.666666666667</v>
      </c>
      <c r="L36" s="15" t="n">
        <f aca="false">SUM(INDEX($K$5:$K$64,MAX(1,32-Parametri_v3!$C$59+1)):K36)/Parametri_v3!$C$59</f>
        <v>314.814814814815</v>
      </c>
      <c r="M36" s="15" t="n">
        <f aca="false">J36-L36</f>
        <v>4685.28935185186</v>
      </c>
      <c r="N36" s="15" t="n">
        <f aca="false">0</f>
        <v>0</v>
      </c>
      <c r="O36" s="15" t="n">
        <f aca="false">0</f>
        <v>0</v>
      </c>
      <c r="P36" s="15" t="n">
        <f aca="false">M36+N36-O36</f>
        <v>4685.28935185186</v>
      </c>
      <c r="Q36" s="15" t="n">
        <f aca="false">SUM(P29:P36)+Parametri_v3!$C$56*8/12</f>
        <v>37806.3888888889</v>
      </c>
      <c r="R36" s="15" t="n">
        <f aca="false">Z28</f>
        <v>0</v>
      </c>
      <c r="S36" s="15" t="n">
        <f aca="false">AA28</f>
        <v>0</v>
      </c>
      <c r="T36" s="15" t="n">
        <f aca="false">MIN(R36,MAX(0,Q36))</f>
        <v>0</v>
      </c>
      <c r="U36" s="15" t="n">
        <f aca="false">MIN(S36,MAX(0,Q36-T36)*Parametri_v3!$C$42)</f>
        <v>0</v>
      </c>
      <c r="V36" s="15" t="n">
        <f aca="false">MAX(0,Q36-T36-U36)*Ipotesi!$C$92</f>
        <v>9073.53333333334</v>
      </c>
      <c r="W36" s="15" t="n">
        <f aca="false">MAX(0,SUM(M29:M36)+Parametri_v3!$C$57*8/12)*Ipotesi!$C$93</f>
        <v>1474.44916666667</v>
      </c>
      <c r="X36" s="15" t="n">
        <f aca="false">V36+W36-(V35+W35)</f>
        <v>1307.19572916667</v>
      </c>
      <c r="Y36" s="15" t="n">
        <f aca="false">P36-X36</f>
        <v>3378.09362268519</v>
      </c>
      <c r="Z36" s="15" t="n">
        <f aca="false">R36-T36+IF(AND(Parametri_v3!$C$40=1,D36-YEAR(Parametri_v3!$C$50)&lt;Parametri_v3!$C$41),MAX(0,-Q36),0)</f>
        <v>0</v>
      </c>
      <c r="AA36" s="15" t="n">
        <f aca="false">S36-U36+IF(AND(Parametri_v3!$C$40=1,D36-YEAR(Parametri_v3!$C$50)&lt;Parametri_v3!$C$41),0,MAX(0,-Q36))</f>
        <v>0</v>
      </c>
      <c r="AB36" s="15" t="n">
        <f aca="false">F36*(1+Parametri_v3!$C$26)</f>
        <v>60390</v>
      </c>
      <c r="AC36" s="15" t="n">
        <f aca="false">(IF(32-(INT((Motore_Operativo!L36)/30))&lt;1,0,INDEX(Motore_Advisory!$AB$5:$AB$64,MAX(1,32-(INT((Motore_Operativo!L36)/30)))))*(1-(MOD((Motore_Operativo!L36),30)/30))+IF(32-(INT((Motore_Operativo!L36)/30))-1&lt;1,0,INDEX(Motore_Advisory!$AB$5:$AB$64,MAX(1,32-(INT((Motore_Operativo!L36)/30))-1)))*(MOD((Motore_Operativo!L36),30)/30))</f>
        <v>60390</v>
      </c>
      <c r="AD36" s="15" t="n">
        <f aca="false">(AD35)+AB36-AC36</f>
        <v>181170</v>
      </c>
      <c r="AE36" s="15" t="n">
        <f aca="false">Motore_Operativo!BH36*(1+Parametri_v3!$C$26)</f>
        <v>6039</v>
      </c>
      <c r="AF36" s="15" t="n">
        <f aca="false">(IF(32-(INT((Parametri_v3!$C$29)/30))&lt;1,0,INDEX(Motore_Operativo!$BH$5:$BH$64,MAX(1,32-(INT((Parametri_v3!$C$29)/30)))))*(1-(MOD((Parametri_v3!$C$29),30)/30))+IF(32-(INT((Parametri_v3!$C$29)/30))-1&lt;1,0,INDEX(Motore_Operativo!$BH$5:$BH$64,MAX(1,32-(INT((Parametri_v3!$C$29)/30))-1)))*(MOD((Parametri_v3!$C$29),30)/30))*(1+Parametri_v3!$C$26)</f>
        <v>6039</v>
      </c>
      <c r="AG36" s="15" t="n">
        <f aca="false">(AG35)+AE36-AF36</f>
        <v>6039</v>
      </c>
      <c r="AH36" s="15" t="n">
        <f aca="false">(Motore_Operativo!CK36)*(1+Parametri_v3!$C$28*Parametri_v3!$C$26)</f>
        <v>16619.82</v>
      </c>
      <c r="AI36" s="15" t="n">
        <f aca="false">(IF(32-(INT((Ipotesi!$C$91)/30))&lt;1,0,INDEX(Motore_Advisory!$AH$5:$AH$64,MAX(1,32-(INT((Ipotesi!$C$91)/30)))))*(1-(MOD((Ipotesi!$C$91),30)/30))+IF(32-(INT((Ipotesi!$C$91)/30))-1&lt;1,0,INDEX(Motore_Advisory!$AH$5:$AH$64,MAX(1,32-(INT((Ipotesi!$C$91)/30))-1)))*(MOD((Ipotesi!$C$91),30)/30))</f>
        <v>16619.82</v>
      </c>
      <c r="AJ36" s="15" t="n">
        <f aca="false">(AJ35)+AH36-AI36</f>
        <v>33239.64</v>
      </c>
      <c r="AK36" s="15" t="n">
        <f aca="false">(F36- Motore_Operativo!BH36-(Motore_Operativo!CK36)*Parametri_v3!$C$28-Motore_Operativo!CF36)*Parametri_v3!$C$26</f>
        <v>7222.01333333333</v>
      </c>
      <c r="AL36" s="15" t="n">
        <f aca="false">MAX(0,(AM35))</f>
        <v>7222.01333333333</v>
      </c>
      <c r="AM36" s="15" t="n">
        <f aca="false">(AM35)+AK36-AL36</f>
        <v>7222.01333333333</v>
      </c>
      <c r="AN36" s="15" t="n">
        <f aca="false">SUM(X17:X28)</f>
        <v>3576.005</v>
      </c>
      <c r="AO36" s="15" t="n">
        <f aca="false">SUM(AP17:AP28)</f>
        <v>3127.125</v>
      </c>
      <c r="AP36" s="15" t="n">
        <f aca="false">MAX(0,AN36)*IF(8=Parametri_v3!$C$43,Parametri_v3!$C$45,IF(8=Parametri_v3!$C$44,1-Parametri_v3!$C$45,0))</f>
        <v>0</v>
      </c>
      <c r="AQ36" s="15" t="n">
        <f aca="false">MAX(0,AP36+IF(8=Parametri_v3!$C$43,MAX(0,AN36-AO36),0)-MAX(0,-(AR35)))</f>
        <v>0</v>
      </c>
      <c r="AR36" s="15" t="n">
        <f aca="false">(AR35)+X36-AQ36</f>
        <v>9117.58050000001</v>
      </c>
      <c r="AS36" s="15" t="n">
        <f aca="false">Motore_Operativo!AC36-AT36+AU36</f>
        <v>24146.5260416667</v>
      </c>
      <c r="AT36" s="15" t="n">
        <f aca="false">Motore_Operativo!CI36</f>
        <v>1270.86979166667</v>
      </c>
      <c r="AU36" s="15" t="n">
        <f aca="false">MIN(MAX(0,(AV35)+AT36),Parametri_v3!$C$61/12)</f>
        <v>0</v>
      </c>
      <c r="AV36" s="15" t="n">
        <f aca="false">(AV35)+AT36-AU36</f>
        <v>22895.9583333333</v>
      </c>
      <c r="AW36" s="15" t="n">
        <f aca="false">IF(AND(Motore_Operativo!C36=Finanziamenti!$D$7,Finanziamenti!$F$7=1),Finanziamenti!$C$7,0)</f>
        <v>0</v>
      </c>
      <c r="AX36" s="15" t="n">
        <f aca="false">0</f>
        <v>0</v>
      </c>
      <c r="AY36" s="15" t="n">
        <f aca="false">IF(8=Parametri_v3!$C$33,IF(BV36&lt;MIN(12,$B36-1),0,MIN(MAX(0,SUM(Y17:Y28))*Ipotesi!$C$94,MAX(0,(BM28)-(BO35)-BP36),MAX(0,BD36-Parametri_v3!$C$31))),0)</f>
        <v>0</v>
      </c>
      <c r="AZ36" s="15" t="n">
        <f aca="false">0</f>
        <v>0</v>
      </c>
      <c r="BA36" s="15" t="n">
        <f aca="false">0</f>
        <v>0</v>
      </c>
      <c r="BB36" s="15" t="n">
        <f aca="false">0</f>
        <v>0</v>
      </c>
      <c r="BC36" s="15" t="n">
        <f aca="false">0</f>
        <v>0</v>
      </c>
      <c r="BD36" s="15" t="n">
        <f aca="false">(BH35)+AC36-AF36-AI36-AS36-K36*(1+Parametri_v3!$C$26)-AL36-AQ36-O36+AW36+AX36+AZ36+BA36-BB36</f>
        <v>-44769.4203333333</v>
      </c>
      <c r="BE36" s="15" t="n">
        <f aca="false">0</f>
        <v>0</v>
      </c>
      <c r="BF36" s="15" t="n">
        <f aca="false">0</f>
        <v>0</v>
      </c>
      <c r="BG36" s="15" t="n">
        <f aca="false">0</f>
        <v>0</v>
      </c>
      <c r="BH36" s="15" t="n">
        <f aca="false">BD36+BE36-BF36-AY36</f>
        <v>-44769.4203333333</v>
      </c>
      <c r="BI36" s="15" t="n">
        <f aca="false">MAX(0,Parametri_v3!$C$31-BH36)</f>
        <v>54769.4203333333</v>
      </c>
      <c r="BJ36" s="15" t="n">
        <f aca="false">(BJ35)+K36</f>
        <v>11333.3333333333</v>
      </c>
      <c r="BK36" s="15" t="n">
        <f aca="false">(BK35)+L36</f>
        <v>4638.88888888889</v>
      </c>
      <c r="BL36" s="15" t="n">
        <f aca="false">BJ36-BK36</f>
        <v>6694.44444444444</v>
      </c>
      <c r="BM36" s="15" t="n">
        <f aca="false">(BM35)+Y36</f>
        <v>44580.8319444445</v>
      </c>
      <c r="BN36" s="15" t="n">
        <f aca="false">(BN35)+AW36+AX36+AZ36</f>
        <v>20000</v>
      </c>
      <c r="BO36" s="15" t="n">
        <f aca="false">(BO35)+AY36</f>
        <v>0</v>
      </c>
      <c r="BP36" s="15" t="n">
        <f aca="false">MIN(Parametri_v3!$C$36*Parametri_v3!$C$35,(BP35)+IF(8=1,MAX(0,SUM(Y17:Y28))*Parametri_v3!$C$34,0))</f>
        <v>866.121277777779</v>
      </c>
      <c r="BQ36" s="15" t="n">
        <f aca="false">BN36+BM36-BO36</f>
        <v>64580.8319444445</v>
      </c>
      <c r="BR36" s="15" t="n">
        <f aca="false">BH36+AD36+BL36+MAX(0,-AM36)+MAX(0,-AR36)</f>
        <v>143095.024111111</v>
      </c>
      <c r="BS36" s="15" t="n">
        <f aca="false">AJ36+AV36+MAX(0,AM36)+MAX(0,AR36)+BC36+BG36+BQ36+AG36</f>
        <v>143095.024111111</v>
      </c>
      <c r="BT36" s="15" t="n">
        <f aca="false">BR36-BS36</f>
        <v>0</v>
      </c>
      <c r="BU36" s="15" t="n">
        <f aca="false">BH36-(BD36+BE36-BF36-AY36)</f>
        <v>0</v>
      </c>
      <c r="BV36" s="15" t="n">
        <f aca="false">IF(BH35&lt;Parametri_v3!$C$31,0,BV35+1)</f>
        <v>0</v>
      </c>
    </row>
    <row r="37" customFormat="false" ht="18" hidden="false" customHeight="true" outlineLevel="0" collapsed="false">
      <c r="A37" s="68" t="n">
        <f aca="false">1</f>
        <v>1</v>
      </c>
      <c r="B37" s="68" t="n">
        <f aca="false">33</f>
        <v>33</v>
      </c>
      <c r="C37" s="18" t="n">
        <f aca="false">Motore_Operativo!C37</f>
        <v>47362</v>
      </c>
      <c r="D37" s="68" t="n">
        <f aca="false">Motore_Operativo!D37</f>
        <v>2029</v>
      </c>
      <c r="E37" s="68" t="n">
        <f aca="false">Motore_Operativo!E37</f>
        <v>9</v>
      </c>
      <c r="F37" s="15" t="n">
        <f aca="false">Motore_Operativo!AM37</f>
        <v>49500</v>
      </c>
      <c r="G37" s="15" t="n">
        <f aca="false">Motore_Operativo!BH37</f>
        <v>4950</v>
      </c>
      <c r="H37" s="15" t="n">
        <f aca="false">Motore_Operativo!AM37</f>
        <v>49500</v>
      </c>
      <c r="I37" s="15" t="n">
        <f aca="false">Motore_Operativo!CB37</f>
        <v>44499.8958333333</v>
      </c>
      <c r="J37" s="15" t="n">
        <f aca="false">Motore_Operativo!CD37</f>
        <v>5000.10416666667</v>
      </c>
      <c r="K37" s="15" t="n">
        <f aca="false">Motore_Operativo!CF37</f>
        <v>416.666666666667</v>
      </c>
      <c r="L37" s="15" t="n">
        <f aca="false">SUM(INDEX($K$5:$K$64,MAX(1,33-Parametri_v3!$C$59+1)):K37)/Parametri_v3!$C$59</f>
        <v>326.388888888889</v>
      </c>
      <c r="M37" s="15" t="n">
        <f aca="false">J37-L37</f>
        <v>4673.71527777778</v>
      </c>
      <c r="N37" s="15" t="n">
        <f aca="false">0</f>
        <v>0</v>
      </c>
      <c r="O37" s="15" t="n">
        <f aca="false">0</f>
        <v>0</v>
      </c>
      <c r="P37" s="15" t="n">
        <f aca="false">M37+N37-O37</f>
        <v>4673.71527777778</v>
      </c>
      <c r="Q37" s="15" t="n">
        <f aca="false">SUM(P29:P37)+Parametri_v3!$C$56*9/12</f>
        <v>42480.1041666667</v>
      </c>
      <c r="R37" s="15" t="n">
        <f aca="false">Z28</f>
        <v>0</v>
      </c>
      <c r="S37" s="15" t="n">
        <f aca="false">AA28</f>
        <v>0</v>
      </c>
      <c r="T37" s="15" t="n">
        <f aca="false">MIN(R37,MAX(0,Q37))</f>
        <v>0</v>
      </c>
      <c r="U37" s="15" t="n">
        <f aca="false">MIN(S37,MAX(0,Q37-T37)*Parametri_v3!$C$42)</f>
        <v>0</v>
      </c>
      <c r="V37" s="15" t="n">
        <f aca="false">MAX(0,Q37-T37-U37)*Ipotesi!$C$92</f>
        <v>10195.225</v>
      </c>
      <c r="W37" s="15" t="n">
        <f aca="false">MAX(0,SUM(M29:M37)+Parametri_v3!$C$57*9/12)*Ipotesi!$C$93</f>
        <v>1656.7240625</v>
      </c>
      <c r="X37" s="15" t="n">
        <f aca="false">V37+W37-(V36+W36)</f>
        <v>1303.9665625</v>
      </c>
      <c r="Y37" s="15" t="n">
        <f aca="false">P37-X37</f>
        <v>3369.74871527778</v>
      </c>
      <c r="Z37" s="15" t="n">
        <f aca="false">R37-T37+IF(AND(Parametri_v3!$C$40=1,D37-YEAR(Parametri_v3!$C$50)&lt;Parametri_v3!$C$41),MAX(0,-Q37),0)</f>
        <v>0</v>
      </c>
      <c r="AA37" s="15" t="n">
        <f aca="false">S37-U37+IF(AND(Parametri_v3!$C$40=1,D37-YEAR(Parametri_v3!$C$50)&lt;Parametri_v3!$C$41),0,MAX(0,-Q37))</f>
        <v>0</v>
      </c>
      <c r="AB37" s="15" t="n">
        <f aca="false">F37*(1+Parametri_v3!$C$26)</f>
        <v>60390</v>
      </c>
      <c r="AC37" s="15" t="n">
        <f aca="false">(IF(33-(INT((Motore_Operativo!L37)/30))&lt;1,0,INDEX(Motore_Advisory!$AB$5:$AB$64,MAX(1,33-(INT((Motore_Operativo!L37)/30)))))*(1-(MOD((Motore_Operativo!L37),30)/30))+IF(33-(INT((Motore_Operativo!L37)/30))-1&lt;1,0,INDEX(Motore_Advisory!$AB$5:$AB$64,MAX(1,33-(INT((Motore_Operativo!L37)/30))-1)))*(MOD((Motore_Operativo!L37),30)/30))</f>
        <v>60390</v>
      </c>
      <c r="AD37" s="15" t="n">
        <f aca="false">(AD36)+AB37-AC37</f>
        <v>181170</v>
      </c>
      <c r="AE37" s="15" t="n">
        <f aca="false">Motore_Operativo!BH37*(1+Parametri_v3!$C$26)</f>
        <v>6039</v>
      </c>
      <c r="AF37" s="15" t="n">
        <f aca="false">(IF(33-(INT((Parametri_v3!$C$29)/30))&lt;1,0,INDEX(Motore_Operativo!$BH$5:$BH$64,MAX(1,33-(INT((Parametri_v3!$C$29)/30)))))*(1-(MOD((Parametri_v3!$C$29),30)/30))+IF(33-(INT((Parametri_v3!$C$29)/30))-1&lt;1,0,INDEX(Motore_Operativo!$BH$5:$BH$64,MAX(1,33-(INT((Parametri_v3!$C$29)/30))-1)))*(MOD((Parametri_v3!$C$29),30)/30))*(1+Parametri_v3!$C$26)</f>
        <v>6039</v>
      </c>
      <c r="AG37" s="15" t="n">
        <f aca="false">(AG36)+AE37-AF37</f>
        <v>6039</v>
      </c>
      <c r="AH37" s="15" t="n">
        <f aca="false">(Motore_Operativo!CK37)*(1+Parametri_v3!$C$28*Parametri_v3!$C$26)</f>
        <v>16619.82</v>
      </c>
      <c r="AI37" s="15" t="n">
        <f aca="false">(IF(33-(INT((Ipotesi!$C$91)/30))&lt;1,0,INDEX(Motore_Advisory!$AH$5:$AH$64,MAX(1,33-(INT((Ipotesi!$C$91)/30)))))*(1-(MOD((Ipotesi!$C$91),30)/30))+IF(33-(INT((Ipotesi!$C$91)/30))-1&lt;1,0,INDEX(Motore_Advisory!$AH$5:$AH$64,MAX(1,33-(INT((Ipotesi!$C$91)/30))-1)))*(MOD((Ipotesi!$C$91),30)/30))</f>
        <v>16619.82</v>
      </c>
      <c r="AJ37" s="15" t="n">
        <f aca="false">(AJ36)+AH37-AI37</f>
        <v>33239.64</v>
      </c>
      <c r="AK37" s="15" t="n">
        <f aca="false">(F37- Motore_Operativo!BH37-(Motore_Operativo!CK37)*Parametri_v3!$C$28-Motore_Operativo!CF37)*Parametri_v3!$C$26</f>
        <v>7222.01333333333</v>
      </c>
      <c r="AL37" s="15" t="n">
        <f aca="false">MAX(0,(AM36))</f>
        <v>7222.01333333333</v>
      </c>
      <c r="AM37" s="15" t="n">
        <f aca="false">(AM36)+AK37-AL37</f>
        <v>7222.01333333333</v>
      </c>
      <c r="AN37" s="15" t="n">
        <f aca="false">SUM(X17:X28)</f>
        <v>3576.005</v>
      </c>
      <c r="AO37" s="15" t="n">
        <f aca="false">SUM(AP17:AP28)</f>
        <v>3127.125</v>
      </c>
      <c r="AP37" s="15" t="n">
        <f aca="false">MAX(0,AN37)*IF(9=Parametri_v3!$C$43,Parametri_v3!$C$45,IF(9=Parametri_v3!$C$44,1-Parametri_v3!$C$45,0))</f>
        <v>0</v>
      </c>
      <c r="AQ37" s="15" t="n">
        <f aca="false">MAX(0,AP37+IF(9=Parametri_v3!$C$43,MAX(0,AN37-AO37),0)-MAX(0,-(AR36)))</f>
        <v>0</v>
      </c>
      <c r="AR37" s="15" t="n">
        <f aca="false">(AR36)+X37-AQ37</f>
        <v>10421.5470625</v>
      </c>
      <c r="AS37" s="15" t="n">
        <f aca="false">Motore_Operativo!AC37-AT37+AU37</f>
        <v>24146.5260416667</v>
      </c>
      <c r="AT37" s="15" t="n">
        <f aca="false">Motore_Operativo!CI37</f>
        <v>1270.86979166667</v>
      </c>
      <c r="AU37" s="15" t="n">
        <f aca="false">MIN(MAX(0,(AV36)+AT37),Parametri_v3!$C$61/12)</f>
        <v>0</v>
      </c>
      <c r="AV37" s="15" t="n">
        <f aca="false">(AV36)+AT37-AU37</f>
        <v>24166.828125</v>
      </c>
      <c r="AW37" s="15" t="n">
        <f aca="false">IF(AND(Motore_Operativo!C37=Finanziamenti!$D$7,Finanziamenti!$F$7=1),Finanziamenti!$C$7,0)</f>
        <v>0</v>
      </c>
      <c r="AX37" s="15" t="n">
        <f aca="false">0</f>
        <v>0</v>
      </c>
      <c r="AY37" s="15" t="n">
        <f aca="false">IF(9=Parametri_v3!$C$33,IF(BV37&lt;MIN(12,$B37-1),0,MIN(MAX(0,SUM(Y17:Y28))*Ipotesi!$C$94,MAX(0,(BM28)-(BO36)-BP37),MAX(0,BD37-Parametri_v3!$C$31))),0)</f>
        <v>0</v>
      </c>
      <c r="AZ37" s="15" t="n">
        <f aca="false">0</f>
        <v>0</v>
      </c>
      <c r="BA37" s="15" t="n">
        <f aca="false">0</f>
        <v>0</v>
      </c>
      <c r="BB37" s="15" t="n">
        <f aca="false">0</f>
        <v>0</v>
      </c>
      <c r="BC37" s="15" t="n">
        <f aca="false">0</f>
        <v>0</v>
      </c>
      <c r="BD37" s="15" t="n">
        <f aca="false">(BH36)+AC37-AF37-AI37-AS37-K37*(1+Parametri_v3!$C$26)-AL37-AQ37-O37+AW37+AX37+AZ37+BA37-BB37</f>
        <v>-38915.1130416666</v>
      </c>
      <c r="BE37" s="15" t="n">
        <f aca="false">0</f>
        <v>0</v>
      </c>
      <c r="BF37" s="15" t="n">
        <f aca="false">0</f>
        <v>0</v>
      </c>
      <c r="BG37" s="15" t="n">
        <f aca="false">0</f>
        <v>0</v>
      </c>
      <c r="BH37" s="15" t="n">
        <f aca="false">BD37+BE37-BF37-AY37</f>
        <v>-38915.1130416666</v>
      </c>
      <c r="BI37" s="15" t="n">
        <f aca="false">MAX(0,Parametri_v3!$C$31-BH37)</f>
        <v>48915.1130416666</v>
      </c>
      <c r="BJ37" s="15" t="n">
        <f aca="false">(BJ36)+K37</f>
        <v>11750</v>
      </c>
      <c r="BK37" s="15" t="n">
        <f aca="false">(BK36)+L37</f>
        <v>4965.27777777778</v>
      </c>
      <c r="BL37" s="15" t="n">
        <f aca="false">BJ37-BK37</f>
        <v>6784.72222222222</v>
      </c>
      <c r="BM37" s="15" t="n">
        <f aca="false">(BM36)+Y37</f>
        <v>47950.5806597223</v>
      </c>
      <c r="BN37" s="15" t="n">
        <f aca="false">(BN36)+AW37+AX37+AZ37</f>
        <v>20000</v>
      </c>
      <c r="BO37" s="15" t="n">
        <f aca="false">(BO36)+AY37</f>
        <v>0</v>
      </c>
      <c r="BP37" s="15" t="n">
        <f aca="false">MIN(Parametri_v3!$C$36*Parametri_v3!$C$35,(BP36)+IF(9=1,MAX(0,SUM(Y17:Y28))*Parametri_v3!$C$34,0))</f>
        <v>866.121277777779</v>
      </c>
      <c r="BQ37" s="15" t="n">
        <f aca="false">BN37+BM37-BO37</f>
        <v>67950.5806597223</v>
      </c>
      <c r="BR37" s="15" t="n">
        <f aca="false">BH37+AD37+BL37+MAX(0,-AM37)+MAX(0,-AR37)</f>
        <v>149039.609180556</v>
      </c>
      <c r="BS37" s="15" t="n">
        <f aca="false">AJ37+AV37+MAX(0,AM37)+MAX(0,AR37)+BC37+BG37+BQ37+AG37</f>
        <v>149039.609180556</v>
      </c>
      <c r="BT37" s="15" t="n">
        <f aca="false">BR37-BS37</f>
        <v>0</v>
      </c>
      <c r="BU37" s="15" t="n">
        <f aca="false">BH37-(BD37+BE37-BF37-AY37)</f>
        <v>0</v>
      </c>
      <c r="BV37" s="15" t="n">
        <f aca="false">IF(BH36&lt;Parametri_v3!$C$31,0,BV36+1)</f>
        <v>0</v>
      </c>
    </row>
    <row r="38" customFormat="false" ht="18" hidden="false" customHeight="true" outlineLevel="0" collapsed="false">
      <c r="A38" s="68" t="n">
        <f aca="false">1</f>
        <v>1</v>
      </c>
      <c r="B38" s="68" t="n">
        <f aca="false">34</f>
        <v>34</v>
      </c>
      <c r="C38" s="18" t="n">
        <f aca="false">Motore_Operativo!C38</f>
        <v>47392</v>
      </c>
      <c r="D38" s="68" t="n">
        <f aca="false">Motore_Operativo!D38</f>
        <v>2029</v>
      </c>
      <c r="E38" s="68" t="n">
        <f aca="false">Motore_Operativo!E38</f>
        <v>10</v>
      </c>
      <c r="F38" s="15" t="n">
        <f aca="false">Motore_Operativo!AM38</f>
        <v>49500</v>
      </c>
      <c r="G38" s="15" t="n">
        <f aca="false">Motore_Operativo!BH38</f>
        <v>4950</v>
      </c>
      <c r="H38" s="15" t="n">
        <f aca="false">Motore_Operativo!AM38</f>
        <v>49500</v>
      </c>
      <c r="I38" s="15" t="n">
        <f aca="false">Motore_Operativo!CB38</f>
        <v>44499.8958333333</v>
      </c>
      <c r="J38" s="15" t="n">
        <f aca="false">Motore_Operativo!CD38</f>
        <v>5000.10416666667</v>
      </c>
      <c r="K38" s="15" t="n">
        <f aca="false">Motore_Operativo!CF38</f>
        <v>416.666666666667</v>
      </c>
      <c r="L38" s="15" t="n">
        <f aca="false">SUM(INDEX($K$5:$K$64,MAX(1,34-Parametri_v3!$C$59+1)):K38)/Parametri_v3!$C$59</f>
        <v>337.962962962963</v>
      </c>
      <c r="M38" s="15" t="n">
        <f aca="false">J38-L38</f>
        <v>4662.14120370371</v>
      </c>
      <c r="N38" s="15" t="n">
        <f aca="false">0</f>
        <v>0</v>
      </c>
      <c r="O38" s="15" t="n">
        <f aca="false">0</f>
        <v>0</v>
      </c>
      <c r="P38" s="15" t="n">
        <f aca="false">M38+N38-O38</f>
        <v>4662.14120370371</v>
      </c>
      <c r="Q38" s="15" t="n">
        <f aca="false">SUM(P29:P38)+Parametri_v3!$C$56*10/12</f>
        <v>47142.2453703704</v>
      </c>
      <c r="R38" s="15" t="n">
        <f aca="false">Z28</f>
        <v>0</v>
      </c>
      <c r="S38" s="15" t="n">
        <f aca="false">AA28</f>
        <v>0</v>
      </c>
      <c r="T38" s="15" t="n">
        <f aca="false">MIN(R38,MAX(0,Q38))</f>
        <v>0</v>
      </c>
      <c r="U38" s="15" t="n">
        <f aca="false">MIN(S38,MAX(0,Q38-T38)*Parametri_v3!$C$42)</f>
        <v>0</v>
      </c>
      <c r="V38" s="15" t="n">
        <f aca="false">MAX(0,Q38-T38-U38)*Ipotesi!$C$92</f>
        <v>11314.1388888889</v>
      </c>
      <c r="W38" s="15" t="n">
        <f aca="false">MAX(0,SUM(M29:M38)+Parametri_v3!$C$57*10/12)*Ipotesi!$C$93</f>
        <v>1838.54756944445</v>
      </c>
      <c r="X38" s="15" t="n">
        <f aca="false">V38+W38-(V37+W37)</f>
        <v>1300.73739583334</v>
      </c>
      <c r="Y38" s="15" t="n">
        <f aca="false">P38-X38</f>
        <v>3361.40380787037</v>
      </c>
      <c r="Z38" s="15" t="n">
        <f aca="false">R38-T38+IF(AND(Parametri_v3!$C$40=1,D38-YEAR(Parametri_v3!$C$50)&lt;Parametri_v3!$C$41),MAX(0,-Q38),0)</f>
        <v>0</v>
      </c>
      <c r="AA38" s="15" t="n">
        <f aca="false">S38-U38+IF(AND(Parametri_v3!$C$40=1,D38-YEAR(Parametri_v3!$C$50)&lt;Parametri_v3!$C$41),0,MAX(0,-Q38))</f>
        <v>0</v>
      </c>
      <c r="AB38" s="15" t="n">
        <f aca="false">F38*(1+Parametri_v3!$C$26)</f>
        <v>60390</v>
      </c>
      <c r="AC38" s="15" t="n">
        <f aca="false">(IF(34-(INT((Motore_Operativo!L38)/30))&lt;1,0,INDEX(Motore_Advisory!$AB$5:$AB$64,MAX(1,34-(INT((Motore_Operativo!L38)/30)))))*(1-(MOD((Motore_Operativo!L38),30)/30))+IF(34-(INT((Motore_Operativo!L38)/30))-1&lt;1,0,INDEX(Motore_Advisory!$AB$5:$AB$64,MAX(1,34-(INT((Motore_Operativo!L38)/30))-1)))*(MOD((Motore_Operativo!L38),30)/30))</f>
        <v>60390</v>
      </c>
      <c r="AD38" s="15" t="n">
        <f aca="false">(AD37)+AB38-AC38</f>
        <v>181170</v>
      </c>
      <c r="AE38" s="15" t="n">
        <f aca="false">Motore_Operativo!BH38*(1+Parametri_v3!$C$26)</f>
        <v>6039</v>
      </c>
      <c r="AF38" s="15" t="n">
        <f aca="false">(IF(34-(INT((Parametri_v3!$C$29)/30))&lt;1,0,INDEX(Motore_Operativo!$BH$5:$BH$64,MAX(1,34-(INT((Parametri_v3!$C$29)/30)))))*(1-(MOD((Parametri_v3!$C$29),30)/30))+IF(34-(INT((Parametri_v3!$C$29)/30))-1&lt;1,0,INDEX(Motore_Operativo!$BH$5:$BH$64,MAX(1,34-(INT((Parametri_v3!$C$29)/30))-1)))*(MOD((Parametri_v3!$C$29),30)/30))*(1+Parametri_v3!$C$26)</f>
        <v>6039</v>
      </c>
      <c r="AG38" s="15" t="n">
        <f aca="false">(AG37)+AE38-AF38</f>
        <v>6039</v>
      </c>
      <c r="AH38" s="15" t="n">
        <f aca="false">(Motore_Operativo!CK38)*(1+Parametri_v3!$C$28*Parametri_v3!$C$26)</f>
        <v>16619.82</v>
      </c>
      <c r="AI38" s="15" t="n">
        <f aca="false">(IF(34-(INT((Ipotesi!$C$91)/30))&lt;1,0,INDEX(Motore_Advisory!$AH$5:$AH$64,MAX(1,34-(INT((Ipotesi!$C$91)/30)))))*(1-(MOD((Ipotesi!$C$91),30)/30))+IF(34-(INT((Ipotesi!$C$91)/30))-1&lt;1,0,INDEX(Motore_Advisory!$AH$5:$AH$64,MAX(1,34-(INT((Ipotesi!$C$91)/30))-1)))*(MOD((Ipotesi!$C$91),30)/30))</f>
        <v>16619.82</v>
      </c>
      <c r="AJ38" s="15" t="n">
        <f aca="false">(AJ37)+AH38-AI38</f>
        <v>33239.64</v>
      </c>
      <c r="AK38" s="15" t="n">
        <f aca="false">(F38- Motore_Operativo!BH38-(Motore_Operativo!CK38)*Parametri_v3!$C$28-Motore_Operativo!CF38)*Parametri_v3!$C$26</f>
        <v>7222.01333333333</v>
      </c>
      <c r="AL38" s="15" t="n">
        <f aca="false">MAX(0,(AM37))</f>
        <v>7222.01333333333</v>
      </c>
      <c r="AM38" s="15" t="n">
        <f aca="false">(AM37)+AK38-AL38</f>
        <v>7222.01333333333</v>
      </c>
      <c r="AN38" s="15" t="n">
        <f aca="false">SUM(X17:X28)</f>
        <v>3576.005</v>
      </c>
      <c r="AO38" s="15" t="n">
        <f aca="false">SUM(AP17:AP28)</f>
        <v>3127.125</v>
      </c>
      <c r="AP38" s="15" t="n">
        <f aca="false">MAX(0,AN38)*IF(10=Parametri_v3!$C$43,Parametri_v3!$C$45,IF(10=Parametri_v3!$C$44,1-Parametri_v3!$C$45,0))</f>
        <v>0</v>
      </c>
      <c r="AQ38" s="15" t="n">
        <f aca="false">MAX(0,AP38+IF(10=Parametri_v3!$C$43,MAX(0,AN38-AO38),0)-MAX(0,-(AR37)))</f>
        <v>0</v>
      </c>
      <c r="AR38" s="15" t="n">
        <f aca="false">(AR37)+X38-AQ38</f>
        <v>11722.2844583333</v>
      </c>
      <c r="AS38" s="15" t="n">
        <f aca="false">Motore_Operativo!AC38-AT38+AU38</f>
        <v>24146.5260416667</v>
      </c>
      <c r="AT38" s="15" t="n">
        <f aca="false">Motore_Operativo!CI38</f>
        <v>1270.86979166667</v>
      </c>
      <c r="AU38" s="15" t="n">
        <f aca="false">MIN(MAX(0,(AV37)+AT38),Parametri_v3!$C$61/12)</f>
        <v>0</v>
      </c>
      <c r="AV38" s="15" t="n">
        <f aca="false">(AV37)+AT38-AU38</f>
        <v>25437.6979166667</v>
      </c>
      <c r="AW38" s="15" t="n">
        <f aca="false">IF(AND(Motore_Operativo!C38=Finanziamenti!$D$7,Finanziamenti!$F$7=1),Finanziamenti!$C$7,0)</f>
        <v>0</v>
      </c>
      <c r="AX38" s="15" t="n">
        <f aca="false">0</f>
        <v>0</v>
      </c>
      <c r="AY38" s="15" t="n">
        <f aca="false">IF(10=Parametri_v3!$C$33,IF(BV38&lt;MIN(12,$B38-1),0,MIN(MAX(0,SUM(Y17:Y28))*Ipotesi!$C$94,MAX(0,(BM28)-(BO37)-BP38),MAX(0,BD38-Parametri_v3!$C$31))),0)</f>
        <v>0</v>
      </c>
      <c r="AZ38" s="15" t="n">
        <f aca="false">0</f>
        <v>0</v>
      </c>
      <c r="BA38" s="15" t="n">
        <f aca="false">0</f>
        <v>0</v>
      </c>
      <c r="BB38" s="15" t="n">
        <f aca="false">0</f>
        <v>0</v>
      </c>
      <c r="BC38" s="15" t="n">
        <f aca="false">0</f>
        <v>0</v>
      </c>
      <c r="BD38" s="15" t="n">
        <f aca="false">(BH37)+AC38-AF38-AI38-AS38-K38*(1+Parametri_v3!$C$26)-AL38-AQ38-O38+AW38+AX38+AZ38+BA38-BB38</f>
        <v>-33060.80575</v>
      </c>
      <c r="BE38" s="15" t="n">
        <f aca="false">0</f>
        <v>0</v>
      </c>
      <c r="BF38" s="15" t="n">
        <f aca="false">0</f>
        <v>0</v>
      </c>
      <c r="BG38" s="15" t="n">
        <f aca="false">0</f>
        <v>0</v>
      </c>
      <c r="BH38" s="15" t="n">
        <f aca="false">BD38+BE38-BF38-AY38</f>
        <v>-33060.80575</v>
      </c>
      <c r="BI38" s="15" t="n">
        <f aca="false">MAX(0,Parametri_v3!$C$31-BH38)</f>
        <v>43060.80575</v>
      </c>
      <c r="BJ38" s="15" t="n">
        <f aca="false">(BJ37)+K38</f>
        <v>12166.6666666667</v>
      </c>
      <c r="BK38" s="15" t="n">
        <f aca="false">(BK37)+L38</f>
        <v>5303.24074074074</v>
      </c>
      <c r="BL38" s="15" t="n">
        <f aca="false">BJ38-BK38</f>
        <v>6863.42592592592</v>
      </c>
      <c r="BM38" s="15" t="n">
        <f aca="false">(BM37)+Y38</f>
        <v>51311.9844675927</v>
      </c>
      <c r="BN38" s="15" t="n">
        <f aca="false">(BN37)+AW38+AX38+AZ38</f>
        <v>20000</v>
      </c>
      <c r="BO38" s="15" t="n">
        <f aca="false">(BO37)+AY38</f>
        <v>0</v>
      </c>
      <c r="BP38" s="15" t="n">
        <f aca="false">MIN(Parametri_v3!$C$36*Parametri_v3!$C$35,(BP37)+IF(10=1,MAX(0,SUM(Y17:Y28))*Parametri_v3!$C$34,0))</f>
        <v>866.121277777779</v>
      </c>
      <c r="BQ38" s="15" t="n">
        <f aca="false">BN38+BM38-BO38</f>
        <v>71311.9844675926</v>
      </c>
      <c r="BR38" s="15" t="n">
        <f aca="false">BH38+AD38+BL38+MAX(0,-AM38)+MAX(0,-AR38)</f>
        <v>154972.620175926</v>
      </c>
      <c r="BS38" s="15" t="n">
        <f aca="false">AJ38+AV38+MAX(0,AM38)+MAX(0,AR38)+BC38+BG38+BQ38+AG38</f>
        <v>154972.620175926</v>
      </c>
      <c r="BT38" s="15" t="n">
        <f aca="false">BR38-BS38</f>
        <v>0</v>
      </c>
      <c r="BU38" s="15" t="n">
        <f aca="false">BH38-(BD38+BE38-BF38-AY38)</f>
        <v>0</v>
      </c>
      <c r="BV38" s="15" t="n">
        <f aca="false">IF(BH37&lt;Parametri_v3!$C$31,0,BV37+1)</f>
        <v>0</v>
      </c>
    </row>
    <row r="39" customFormat="false" ht="18" hidden="false" customHeight="true" outlineLevel="0" collapsed="false">
      <c r="A39" s="68" t="n">
        <f aca="false">1</f>
        <v>1</v>
      </c>
      <c r="B39" s="68" t="n">
        <f aca="false">35</f>
        <v>35</v>
      </c>
      <c r="C39" s="18" t="n">
        <f aca="false">Motore_Operativo!C39</f>
        <v>47423</v>
      </c>
      <c r="D39" s="68" t="n">
        <f aca="false">Motore_Operativo!D39</f>
        <v>2029</v>
      </c>
      <c r="E39" s="68" t="n">
        <f aca="false">Motore_Operativo!E39</f>
        <v>11</v>
      </c>
      <c r="F39" s="15" t="n">
        <f aca="false">Motore_Operativo!AM39</f>
        <v>49500</v>
      </c>
      <c r="G39" s="15" t="n">
        <f aca="false">Motore_Operativo!BH39</f>
        <v>4950</v>
      </c>
      <c r="H39" s="15" t="n">
        <f aca="false">Motore_Operativo!AM39</f>
        <v>49500</v>
      </c>
      <c r="I39" s="15" t="n">
        <f aca="false">Motore_Operativo!CB39</f>
        <v>44499.8958333333</v>
      </c>
      <c r="J39" s="15" t="n">
        <f aca="false">Motore_Operativo!CD39</f>
        <v>5000.10416666667</v>
      </c>
      <c r="K39" s="15" t="n">
        <f aca="false">Motore_Operativo!CF39</f>
        <v>416.666666666667</v>
      </c>
      <c r="L39" s="15" t="n">
        <f aca="false">SUM(INDEX($K$5:$K$64,MAX(1,35-Parametri_v3!$C$59+1)):K39)/Parametri_v3!$C$59</f>
        <v>349.537037037037</v>
      </c>
      <c r="M39" s="15" t="n">
        <f aca="false">J39-L39</f>
        <v>4650.56712962963</v>
      </c>
      <c r="N39" s="15" t="n">
        <f aca="false">0</f>
        <v>0</v>
      </c>
      <c r="O39" s="15" t="n">
        <f aca="false">0</f>
        <v>0</v>
      </c>
      <c r="P39" s="15" t="n">
        <f aca="false">M39+N39-O39</f>
        <v>4650.56712962963</v>
      </c>
      <c r="Q39" s="15" t="n">
        <f aca="false">SUM(P29:P39)+Parametri_v3!$C$56*11/12</f>
        <v>51792.8125000001</v>
      </c>
      <c r="R39" s="15" t="n">
        <f aca="false">Z28</f>
        <v>0</v>
      </c>
      <c r="S39" s="15" t="n">
        <f aca="false">AA28</f>
        <v>0</v>
      </c>
      <c r="T39" s="15" t="n">
        <f aca="false">MIN(R39,MAX(0,Q39))</f>
        <v>0</v>
      </c>
      <c r="U39" s="15" t="n">
        <f aca="false">MIN(S39,MAX(0,Q39-T39)*Parametri_v3!$C$42)</f>
        <v>0</v>
      </c>
      <c r="V39" s="15" t="n">
        <f aca="false">MAX(0,Q39-T39-U39)*Ipotesi!$C$92</f>
        <v>12430.275</v>
      </c>
      <c r="W39" s="15" t="n">
        <f aca="false">MAX(0,SUM(M29:M39)+Parametri_v3!$C$57*11/12)*Ipotesi!$C$93</f>
        <v>2019.9196875</v>
      </c>
      <c r="X39" s="15" t="n">
        <f aca="false">V39+W39-(V38+W38)</f>
        <v>1297.50822916667</v>
      </c>
      <c r="Y39" s="15" t="n">
        <f aca="false">P39-X39</f>
        <v>3353.05890046297</v>
      </c>
      <c r="Z39" s="15" t="n">
        <f aca="false">R39-T39+IF(AND(Parametri_v3!$C$40=1,D39-YEAR(Parametri_v3!$C$50)&lt;Parametri_v3!$C$41),MAX(0,-Q39),0)</f>
        <v>0</v>
      </c>
      <c r="AA39" s="15" t="n">
        <f aca="false">S39-U39+IF(AND(Parametri_v3!$C$40=1,D39-YEAR(Parametri_v3!$C$50)&lt;Parametri_v3!$C$41),0,MAX(0,-Q39))</f>
        <v>0</v>
      </c>
      <c r="AB39" s="15" t="n">
        <f aca="false">F39*(1+Parametri_v3!$C$26)</f>
        <v>60390</v>
      </c>
      <c r="AC39" s="15" t="n">
        <f aca="false">(IF(35-(INT((Motore_Operativo!L39)/30))&lt;1,0,INDEX(Motore_Advisory!$AB$5:$AB$64,MAX(1,35-(INT((Motore_Operativo!L39)/30)))))*(1-(MOD((Motore_Operativo!L39),30)/30))+IF(35-(INT((Motore_Operativo!L39)/30))-1&lt;1,0,INDEX(Motore_Advisory!$AB$5:$AB$64,MAX(1,35-(INT((Motore_Operativo!L39)/30))-1)))*(MOD((Motore_Operativo!L39),30)/30))</f>
        <v>60390</v>
      </c>
      <c r="AD39" s="15" t="n">
        <f aca="false">(AD38)+AB39-AC39</f>
        <v>181170</v>
      </c>
      <c r="AE39" s="15" t="n">
        <f aca="false">Motore_Operativo!BH39*(1+Parametri_v3!$C$26)</f>
        <v>6039</v>
      </c>
      <c r="AF39" s="15" t="n">
        <f aca="false">(IF(35-(INT((Parametri_v3!$C$29)/30))&lt;1,0,INDEX(Motore_Operativo!$BH$5:$BH$64,MAX(1,35-(INT((Parametri_v3!$C$29)/30)))))*(1-(MOD((Parametri_v3!$C$29),30)/30))+IF(35-(INT((Parametri_v3!$C$29)/30))-1&lt;1,0,INDEX(Motore_Operativo!$BH$5:$BH$64,MAX(1,35-(INT((Parametri_v3!$C$29)/30))-1)))*(MOD((Parametri_v3!$C$29),30)/30))*(1+Parametri_v3!$C$26)</f>
        <v>6039</v>
      </c>
      <c r="AG39" s="15" t="n">
        <f aca="false">(AG38)+AE39-AF39</f>
        <v>6039</v>
      </c>
      <c r="AH39" s="15" t="n">
        <f aca="false">(Motore_Operativo!CK39)*(1+Parametri_v3!$C$28*Parametri_v3!$C$26)</f>
        <v>16619.82</v>
      </c>
      <c r="AI39" s="15" t="n">
        <f aca="false">(IF(35-(INT((Ipotesi!$C$91)/30))&lt;1,0,INDEX(Motore_Advisory!$AH$5:$AH$64,MAX(1,35-(INT((Ipotesi!$C$91)/30)))))*(1-(MOD((Ipotesi!$C$91),30)/30))+IF(35-(INT((Ipotesi!$C$91)/30))-1&lt;1,0,INDEX(Motore_Advisory!$AH$5:$AH$64,MAX(1,35-(INT((Ipotesi!$C$91)/30))-1)))*(MOD((Ipotesi!$C$91),30)/30))</f>
        <v>16619.82</v>
      </c>
      <c r="AJ39" s="15" t="n">
        <f aca="false">(AJ38)+AH39-AI39</f>
        <v>33239.64</v>
      </c>
      <c r="AK39" s="15" t="n">
        <f aca="false">(F39- Motore_Operativo!BH39-(Motore_Operativo!CK39)*Parametri_v3!$C$28-Motore_Operativo!CF39)*Parametri_v3!$C$26</f>
        <v>7222.01333333333</v>
      </c>
      <c r="AL39" s="15" t="n">
        <f aca="false">MAX(0,(AM38))</f>
        <v>7222.01333333333</v>
      </c>
      <c r="AM39" s="15" t="n">
        <f aca="false">(AM38)+AK39-AL39</f>
        <v>7222.01333333333</v>
      </c>
      <c r="AN39" s="15" t="n">
        <f aca="false">SUM(X17:X28)</f>
        <v>3576.005</v>
      </c>
      <c r="AO39" s="15" t="n">
        <f aca="false">SUM(AP17:AP28)</f>
        <v>3127.125</v>
      </c>
      <c r="AP39" s="15" t="n">
        <f aca="false">MAX(0,AN39)*IF(11=Parametri_v3!$C$43,Parametri_v3!$C$45,IF(11=Parametri_v3!$C$44,1-Parametri_v3!$C$45,0))</f>
        <v>2145.603</v>
      </c>
      <c r="AQ39" s="15" t="n">
        <f aca="false">MAX(0,AP39+IF(11=Parametri_v3!$C$43,MAX(0,AN39-AO39),0)-MAX(0,-(AR38)))</f>
        <v>2145.603</v>
      </c>
      <c r="AR39" s="15" t="n">
        <f aca="false">(AR38)+X39-AQ39</f>
        <v>10874.1896875</v>
      </c>
      <c r="AS39" s="15" t="n">
        <f aca="false">Motore_Operativo!AC39-AT39+AU39</f>
        <v>24146.5260416667</v>
      </c>
      <c r="AT39" s="15" t="n">
        <f aca="false">Motore_Operativo!CI39</f>
        <v>1270.86979166667</v>
      </c>
      <c r="AU39" s="15" t="n">
        <f aca="false">MIN(MAX(0,(AV38)+AT39),Parametri_v3!$C$61/12)</f>
        <v>0</v>
      </c>
      <c r="AV39" s="15" t="n">
        <f aca="false">(AV38)+AT39-AU39</f>
        <v>26708.5677083333</v>
      </c>
      <c r="AW39" s="15" t="n">
        <f aca="false">IF(AND(Motore_Operativo!C39=Finanziamenti!$D$7,Finanziamenti!$F$7=1),Finanziamenti!$C$7,0)</f>
        <v>0</v>
      </c>
      <c r="AX39" s="15" t="n">
        <f aca="false">0</f>
        <v>0</v>
      </c>
      <c r="AY39" s="15" t="n">
        <f aca="false">IF(11=Parametri_v3!$C$33,IF(BV39&lt;MIN(12,$B39-1),0,MIN(MAX(0,SUM(Y17:Y28))*Ipotesi!$C$94,MAX(0,(BM28)-(BO38)-BP39),MAX(0,BD39-Parametri_v3!$C$31))),0)</f>
        <v>0</v>
      </c>
      <c r="AZ39" s="15" t="n">
        <f aca="false">0</f>
        <v>0</v>
      </c>
      <c r="BA39" s="15" t="n">
        <f aca="false">0</f>
        <v>0</v>
      </c>
      <c r="BB39" s="15" t="n">
        <f aca="false">0</f>
        <v>0</v>
      </c>
      <c r="BC39" s="15" t="n">
        <f aca="false">0</f>
        <v>0</v>
      </c>
      <c r="BD39" s="15" t="n">
        <f aca="false">(BH38)+AC39-AF39-AI39-AS39-K39*(1+Parametri_v3!$C$26)-AL39-AQ39-O39+AW39+AX39+AZ39+BA39-BB39</f>
        <v>-29352.1014583333</v>
      </c>
      <c r="BE39" s="15" t="n">
        <f aca="false">0</f>
        <v>0</v>
      </c>
      <c r="BF39" s="15" t="n">
        <f aca="false">0</f>
        <v>0</v>
      </c>
      <c r="BG39" s="15" t="n">
        <f aca="false">0</f>
        <v>0</v>
      </c>
      <c r="BH39" s="15" t="n">
        <f aca="false">BD39+BE39-BF39-AY39</f>
        <v>-29352.1014583333</v>
      </c>
      <c r="BI39" s="15" t="n">
        <f aca="false">MAX(0,Parametri_v3!$C$31-BH39)</f>
        <v>39352.1014583333</v>
      </c>
      <c r="BJ39" s="15" t="n">
        <f aca="false">(BJ38)+K39</f>
        <v>12583.3333333333</v>
      </c>
      <c r="BK39" s="15" t="n">
        <f aca="false">(BK38)+L39</f>
        <v>5652.77777777778</v>
      </c>
      <c r="BL39" s="15" t="n">
        <f aca="false">BJ39-BK39</f>
        <v>6930.55555555555</v>
      </c>
      <c r="BM39" s="15" t="n">
        <f aca="false">(BM38)+Y39</f>
        <v>54665.0433680556</v>
      </c>
      <c r="BN39" s="15" t="n">
        <f aca="false">(BN38)+AW39+AX39+AZ39</f>
        <v>20000</v>
      </c>
      <c r="BO39" s="15" t="n">
        <f aca="false">(BO38)+AY39</f>
        <v>0</v>
      </c>
      <c r="BP39" s="15" t="n">
        <f aca="false">MIN(Parametri_v3!$C$36*Parametri_v3!$C$35,(BP38)+IF(11=1,MAX(0,SUM(Y17:Y28))*Parametri_v3!$C$34,0))</f>
        <v>866.121277777779</v>
      </c>
      <c r="BQ39" s="15" t="n">
        <f aca="false">BN39+BM39-BO39</f>
        <v>74665.0433680556</v>
      </c>
      <c r="BR39" s="15" t="n">
        <f aca="false">BH39+AD39+BL39+MAX(0,-AM39)+MAX(0,-AR39)</f>
        <v>158748.454097222</v>
      </c>
      <c r="BS39" s="15" t="n">
        <f aca="false">AJ39+AV39+MAX(0,AM39)+MAX(0,AR39)+BC39+BG39+BQ39+AG39</f>
        <v>158748.454097222</v>
      </c>
      <c r="BT39" s="15" t="n">
        <f aca="false">BR39-BS39</f>
        <v>0</v>
      </c>
      <c r="BU39" s="15" t="n">
        <f aca="false">BH39-(BD39+BE39-BF39-AY39)</f>
        <v>0</v>
      </c>
      <c r="BV39" s="15" t="n">
        <f aca="false">IF(BH38&lt;Parametri_v3!$C$31,0,BV38+1)</f>
        <v>0</v>
      </c>
    </row>
    <row r="40" customFormat="false" ht="18" hidden="false" customHeight="true" outlineLevel="0" collapsed="false">
      <c r="A40" s="68" t="n">
        <f aca="false">1</f>
        <v>1</v>
      </c>
      <c r="B40" s="68" t="n">
        <f aca="false">36</f>
        <v>36</v>
      </c>
      <c r="C40" s="18" t="n">
        <f aca="false">Motore_Operativo!C40</f>
        <v>47453</v>
      </c>
      <c r="D40" s="68" t="n">
        <f aca="false">Motore_Operativo!D40</f>
        <v>2029</v>
      </c>
      <c r="E40" s="68" t="n">
        <f aca="false">Motore_Operativo!E40</f>
        <v>12</v>
      </c>
      <c r="F40" s="15" t="n">
        <f aca="false">Motore_Operativo!AM40</f>
        <v>49500</v>
      </c>
      <c r="G40" s="15" t="n">
        <f aca="false">Motore_Operativo!BH40</f>
        <v>4950</v>
      </c>
      <c r="H40" s="15" t="n">
        <f aca="false">Motore_Operativo!AM40</f>
        <v>49500</v>
      </c>
      <c r="I40" s="15" t="n">
        <f aca="false">Motore_Operativo!CB40</f>
        <v>44499.8958333333</v>
      </c>
      <c r="J40" s="15" t="n">
        <f aca="false">Motore_Operativo!CD40</f>
        <v>5000.10416666667</v>
      </c>
      <c r="K40" s="15" t="n">
        <f aca="false">Motore_Operativo!CF40</f>
        <v>416.666666666667</v>
      </c>
      <c r="L40" s="15" t="n">
        <f aca="false">SUM(INDEX($K$5:$K$64,MAX(1,36-Parametri_v3!$C$59+1)):K40)/Parametri_v3!$C$59</f>
        <v>361.111111111111</v>
      </c>
      <c r="M40" s="15" t="n">
        <f aca="false">J40-L40</f>
        <v>4638.99305555556</v>
      </c>
      <c r="N40" s="15" t="n">
        <f aca="false">0</f>
        <v>0</v>
      </c>
      <c r="O40" s="15" t="n">
        <f aca="false">0</f>
        <v>0</v>
      </c>
      <c r="P40" s="15" t="n">
        <f aca="false">M40+N40-O40</f>
        <v>4638.99305555556</v>
      </c>
      <c r="Q40" s="15" t="n">
        <f aca="false">SUM(P29:P40)+Parametri_v3!$C$56*12/12</f>
        <v>56431.8055555556</v>
      </c>
      <c r="R40" s="15" t="n">
        <f aca="false">Z28</f>
        <v>0</v>
      </c>
      <c r="S40" s="15" t="n">
        <f aca="false">AA28</f>
        <v>0</v>
      </c>
      <c r="T40" s="15" t="n">
        <f aca="false">MIN(R40,MAX(0,Q40))</f>
        <v>0</v>
      </c>
      <c r="U40" s="15" t="n">
        <f aca="false">MIN(S40,MAX(0,Q40-T40)*Parametri_v3!$C$42)</f>
        <v>0</v>
      </c>
      <c r="V40" s="15" t="n">
        <f aca="false">MAX(0,Q40-T40-U40)*Ipotesi!$C$92</f>
        <v>13543.6333333333</v>
      </c>
      <c r="W40" s="15" t="n">
        <f aca="false">MAX(0,SUM(M29:M40)+Parametri_v3!$C$57*12/12)*Ipotesi!$C$93</f>
        <v>2200.84041666667</v>
      </c>
      <c r="X40" s="15" t="n">
        <f aca="false">V40+W40-(V39+W39)</f>
        <v>1294.2790625</v>
      </c>
      <c r="Y40" s="15" t="n">
        <f aca="false">P40-X40</f>
        <v>3344.71399305556</v>
      </c>
      <c r="Z40" s="15" t="n">
        <f aca="false">R40-T40+IF(AND(Parametri_v3!$C$40=1,D40-YEAR(Parametri_v3!$C$50)&lt;Parametri_v3!$C$41),MAX(0,-Q40),0)</f>
        <v>0</v>
      </c>
      <c r="AA40" s="15" t="n">
        <f aca="false">S40-U40+IF(AND(Parametri_v3!$C$40=1,D40-YEAR(Parametri_v3!$C$50)&lt;Parametri_v3!$C$41),0,MAX(0,-Q40))</f>
        <v>0</v>
      </c>
      <c r="AB40" s="15" t="n">
        <f aca="false">F40*(1+Parametri_v3!$C$26)</f>
        <v>60390</v>
      </c>
      <c r="AC40" s="15" t="n">
        <f aca="false">(IF(36-(INT((Motore_Operativo!L40)/30))&lt;1,0,INDEX(Motore_Advisory!$AB$5:$AB$64,MAX(1,36-(INT((Motore_Operativo!L40)/30)))))*(1-(MOD((Motore_Operativo!L40),30)/30))+IF(36-(INT((Motore_Operativo!L40)/30))-1&lt;1,0,INDEX(Motore_Advisory!$AB$5:$AB$64,MAX(1,36-(INT((Motore_Operativo!L40)/30))-1)))*(MOD((Motore_Operativo!L40),30)/30))</f>
        <v>60390</v>
      </c>
      <c r="AD40" s="15" t="n">
        <f aca="false">(AD39)+AB40-AC40</f>
        <v>181170</v>
      </c>
      <c r="AE40" s="15" t="n">
        <f aca="false">Motore_Operativo!BH40*(1+Parametri_v3!$C$26)</f>
        <v>6039</v>
      </c>
      <c r="AF40" s="15" t="n">
        <f aca="false">(IF(36-(INT((Parametri_v3!$C$29)/30))&lt;1,0,INDEX(Motore_Operativo!$BH$5:$BH$64,MAX(1,36-(INT((Parametri_v3!$C$29)/30)))))*(1-(MOD((Parametri_v3!$C$29),30)/30))+IF(36-(INT((Parametri_v3!$C$29)/30))-1&lt;1,0,INDEX(Motore_Operativo!$BH$5:$BH$64,MAX(1,36-(INT((Parametri_v3!$C$29)/30))-1)))*(MOD((Parametri_v3!$C$29),30)/30))*(1+Parametri_v3!$C$26)</f>
        <v>6039</v>
      </c>
      <c r="AG40" s="15" t="n">
        <f aca="false">(AG39)+AE40-AF40</f>
        <v>6039</v>
      </c>
      <c r="AH40" s="15" t="n">
        <f aca="false">(Motore_Operativo!CK40)*(1+Parametri_v3!$C$28*Parametri_v3!$C$26)</f>
        <v>16619.82</v>
      </c>
      <c r="AI40" s="15" t="n">
        <f aca="false">(IF(36-(INT((Ipotesi!$C$91)/30))&lt;1,0,INDEX(Motore_Advisory!$AH$5:$AH$64,MAX(1,36-(INT((Ipotesi!$C$91)/30)))))*(1-(MOD((Ipotesi!$C$91),30)/30))+IF(36-(INT((Ipotesi!$C$91)/30))-1&lt;1,0,INDEX(Motore_Advisory!$AH$5:$AH$64,MAX(1,36-(INT((Ipotesi!$C$91)/30))-1)))*(MOD((Ipotesi!$C$91),30)/30))</f>
        <v>16619.82</v>
      </c>
      <c r="AJ40" s="15" t="n">
        <f aca="false">(AJ39)+AH40-AI40</f>
        <v>33239.64</v>
      </c>
      <c r="AK40" s="15" t="n">
        <f aca="false">(F40- Motore_Operativo!BH40-(Motore_Operativo!CK40)*Parametri_v3!$C$28-Motore_Operativo!CF40)*Parametri_v3!$C$26</f>
        <v>7222.01333333333</v>
      </c>
      <c r="AL40" s="15" t="n">
        <f aca="false">MAX(0,(AM39))</f>
        <v>7222.01333333333</v>
      </c>
      <c r="AM40" s="15" t="n">
        <f aca="false">(AM39)+AK40-AL40</f>
        <v>7222.01333333333</v>
      </c>
      <c r="AN40" s="15" t="n">
        <f aca="false">SUM(X17:X28)</f>
        <v>3576.005</v>
      </c>
      <c r="AO40" s="15" t="n">
        <f aca="false">SUM(AP17:AP28)</f>
        <v>3127.125</v>
      </c>
      <c r="AP40" s="15" t="n">
        <f aca="false">MAX(0,AN40)*IF(12=Parametri_v3!$C$43,Parametri_v3!$C$45,IF(12=Parametri_v3!$C$44,1-Parametri_v3!$C$45,0))</f>
        <v>0</v>
      </c>
      <c r="AQ40" s="15" t="n">
        <f aca="false">MAX(0,AP40+IF(12=Parametri_v3!$C$43,MAX(0,AN40-AO40),0)-MAX(0,-(AR39)))</f>
        <v>0</v>
      </c>
      <c r="AR40" s="15" t="n">
        <f aca="false">(AR39)+X40-AQ40</f>
        <v>12168.46875</v>
      </c>
      <c r="AS40" s="15" t="n">
        <f aca="false">Motore_Operativo!AC40-AT40+AU40</f>
        <v>24146.5260416667</v>
      </c>
      <c r="AT40" s="15" t="n">
        <f aca="false">Motore_Operativo!CI40</f>
        <v>1270.86979166667</v>
      </c>
      <c r="AU40" s="15" t="n">
        <f aca="false">MIN(MAX(0,(AV39)+AT40),Parametri_v3!$C$61/12)</f>
        <v>0</v>
      </c>
      <c r="AV40" s="15" t="n">
        <f aca="false">(AV39)+AT40-AU40</f>
        <v>27979.4375</v>
      </c>
      <c r="AW40" s="15" t="n">
        <f aca="false">IF(AND(Motore_Operativo!C40=Finanziamenti!$D$7,Finanziamenti!$F$7=1),Finanziamenti!$C$7,0)</f>
        <v>0</v>
      </c>
      <c r="AX40" s="15" t="n">
        <f aca="false">0</f>
        <v>0</v>
      </c>
      <c r="AY40" s="15" t="n">
        <f aca="false">IF(12=Parametri_v3!$C$33,IF(BV40&lt;MIN(12,$B40-1),0,MIN(MAX(0,SUM(Y17:Y28))*Ipotesi!$C$94,MAX(0,(BM28)-(BO39)-BP40),MAX(0,BD40-Parametri_v3!$C$31))),0)</f>
        <v>0</v>
      </c>
      <c r="AZ40" s="15" t="n">
        <f aca="false">0</f>
        <v>0</v>
      </c>
      <c r="BA40" s="15" t="n">
        <f aca="false">0</f>
        <v>0</v>
      </c>
      <c r="BB40" s="15" t="n">
        <f aca="false">0</f>
        <v>0</v>
      </c>
      <c r="BC40" s="15" t="n">
        <f aca="false">0</f>
        <v>0</v>
      </c>
      <c r="BD40" s="15" t="n">
        <f aca="false">(BH39)+AC40-AF40-AI40-AS40-K40*(1+Parametri_v3!$C$26)-AL40-AQ40-O40+AW40+AX40+AZ40+BA40-BB40</f>
        <v>-23497.7941666666</v>
      </c>
      <c r="BE40" s="15" t="n">
        <f aca="false">0</f>
        <v>0</v>
      </c>
      <c r="BF40" s="15" t="n">
        <f aca="false">0</f>
        <v>0</v>
      </c>
      <c r="BG40" s="15" t="n">
        <f aca="false">0</f>
        <v>0</v>
      </c>
      <c r="BH40" s="15" t="n">
        <f aca="false">BD40+BE40-BF40-AY40</f>
        <v>-23497.7941666666</v>
      </c>
      <c r="BI40" s="15" t="n">
        <f aca="false">MAX(0,Parametri_v3!$C$31-BH40)</f>
        <v>33497.7941666666</v>
      </c>
      <c r="BJ40" s="15" t="n">
        <f aca="false">(BJ39)+K40</f>
        <v>13000</v>
      </c>
      <c r="BK40" s="15" t="n">
        <f aca="false">(BK39)+L40</f>
        <v>6013.88888888889</v>
      </c>
      <c r="BL40" s="15" t="n">
        <f aca="false">BJ40-BK40</f>
        <v>6986.11111111111</v>
      </c>
      <c r="BM40" s="15" t="n">
        <f aca="false">(BM39)+Y40</f>
        <v>58009.7573611112</v>
      </c>
      <c r="BN40" s="15" t="n">
        <f aca="false">(BN39)+AW40+AX40+AZ40</f>
        <v>20000</v>
      </c>
      <c r="BO40" s="15" t="n">
        <f aca="false">(BO39)+AY40</f>
        <v>0</v>
      </c>
      <c r="BP40" s="15" t="n">
        <f aca="false">MIN(Parametri_v3!$C$36*Parametri_v3!$C$35,(BP39)+IF(12=1,MAX(0,SUM(Y17:Y28))*Parametri_v3!$C$34,0))</f>
        <v>866.121277777779</v>
      </c>
      <c r="BQ40" s="15" t="n">
        <f aca="false">BN40+BM40-BO40</f>
        <v>78009.7573611112</v>
      </c>
      <c r="BR40" s="15" t="n">
        <f aca="false">BH40+AD40+BL40+MAX(0,-AM40)+MAX(0,-AR40)</f>
        <v>164658.316944445</v>
      </c>
      <c r="BS40" s="15" t="n">
        <f aca="false">AJ40+AV40+MAX(0,AM40)+MAX(0,AR40)+BC40+BG40+BQ40+AG40</f>
        <v>164658.316944445</v>
      </c>
      <c r="BT40" s="15" t="n">
        <f aca="false">BR40-BS40</f>
        <v>0</v>
      </c>
      <c r="BU40" s="15" t="n">
        <f aca="false">BH40-(BD40+BE40-BF40-AY40)</f>
        <v>0</v>
      </c>
      <c r="BV40" s="15" t="n">
        <f aca="false">IF(BH39&lt;Parametri_v3!$C$31,0,BV39+1)</f>
        <v>0</v>
      </c>
    </row>
    <row r="41" customFormat="false" ht="18" hidden="false" customHeight="true" outlineLevel="0" collapsed="false">
      <c r="A41" s="68" t="n">
        <f aca="false">1</f>
        <v>1</v>
      </c>
      <c r="B41" s="68" t="n">
        <f aca="false">37</f>
        <v>37</v>
      </c>
      <c r="C41" s="18" t="n">
        <f aca="false">Motore_Operativo!C41</f>
        <v>47484</v>
      </c>
      <c r="D41" s="68" t="n">
        <f aca="false">Motore_Operativo!D41</f>
        <v>2030</v>
      </c>
      <c r="E41" s="68" t="n">
        <f aca="false">Motore_Operativo!E41</f>
        <v>1</v>
      </c>
      <c r="F41" s="15" t="n">
        <f aca="false">Motore_Operativo!AM41</f>
        <v>69062.5</v>
      </c>
      <c r="G41" s="15" t="n">
        <f aca="false">Motore_Operativo!BH41</f>
        <v>6906.25</v>
      </c>
      <c r="H41" s="15" t="n">
        <f aca="false">Motore_Operativo!AM41</f>
        <v>69062.5</v>
      </c>
      <c r="I41" s="15" t="n">
        <f aca="false">Motore_Operativo!CB41</f>
        <v>59191.5067083333</v>
      </c>
      <c r="J41" s="15" t="n">
        <f aca="false">Motore_Operativo!CD41</f>
        <v>9870.99329166667</v>
      </c>
      <c r="K41" s="15" t="n">
        <f aca="false">Motore_Operativo!CF41</f>
        <v>666.666666666667</v>
      </c>
      <c r="L41" s="15" t="n">
        <f aca="false">SUM(INDEX($K$5:$K$64,MAX(1,37-Parametri_v3!$C$59+1)):K41)/Parametri_v3!$C$59</f>
        <v>372.685185185185</v>
      </c>
      <c r="M41" s="15" t="n">
        <f aca="false">J41-L41</f>
        <v>9498.30810648149</v>
      </c>
      <c r="N41" s="15" t="n">
        <f aca="false">0</f>
        <v>0</v>
      </c>
      <c r="O41" s="15" t="n">
        <f aca="false">0</f>
        <v>0</v>
      </c>
      <c r="P41" s="15" t="n">
        <f aca="false">M41+N41-O41</f>
        <v>9498.30810648149</v>
      </c>
      <c r="Q41" s="15" t="n">
        <f aca="false">SUM(P41)+Parametri_v3!$C$56*1/12</f>
        <v>9498.30810648149</v>
      </c>
      <c r="R41" s="15" t="n">
        <f aca="false">Z40</f>
        <v>0</v>
      </c>
      <c r="S41" s="15" t="n">
        <f aca="false">AA40</f>
        <v>0</v>
      </c>
      <c r="T41" s="15" t="n">
        <f aca="false">MIN(R41,MAX(0,Q41))</f>
        <v>0</v>
      </c>
      <c r="U41" s="15" t="n">
        <f aca="false">MIN(S41,MAX(0,Q41-T41)*Parametri_v3!$C$42)</f>
        <v>0</v>
      </c>
      <c r="V41" s="15" t="n">
        <f aca="false">MAX(0,Q41-T41-U41)*Ipotesi!$C$92</f>
        <v>2279.59394555556</v>
      </c>
      <c r="W41" s="15" t="n">
        <f aca="false">MAX(0,SUM(M41)+Parametri_v3!$C$57*1/12)*Ipotesi!$C$93</f>
        <v>370.434016152778</v>
      </c>
      <c r="X41" s="15" t="n">
        <f aca="false">V41+W41-(0)</f>
        <v>2650.02796170834</v>
      </c>
      <c r="Y41" s="15" t="n">
        <f aca="false">P41-X41</f>
        <v>6848.28014477315</v>
      </c>
      <c r="Z41" s="15" t="n">
        <f aca="false">R41-T41+IF(AND(Parametri_v3!$C$40=1,D41-YEAR(Parametri_v3!$C$50)&lt;Parametri_v3!$C$41),MAX(0,-Q41),0)</f>
        <v>0</v>
      </c>
      <c r="AA41" s="15" t="n">
        <f aca="false">S41-U41+IF(AND(Parametri_v3!$C$40=1,D41-YEAR(Parametri_v3!$C$50)&lt;Parametri_v3!$C$41),0,MAX(0,-Q41))</f>
        <v>0</v>
      </c>
      <c r="AB41" s="15" t="n">
        <f aca="false">F41*(1+Parametri_v3!$C$26)</f>
        <v>84256.25</v>
      </c>
      <c r="AC41" s="15" t="n">
        <f aca="false">(IF(37-(INT((Motore_Operativo!L41)/30))&lt;1,0,INDEX(Motore_Advisory!$AB$5:$AB$64,MAX(1,37-(INT((Motore_Operativo!L41)/30)))))*(1-(MOD((Motore_Operativo!L41),30)/30))+IF(37-(INT((Motore_Operativo!L41)/30))-1&lt;1,0,INDEX(Motore_Advisory!$AB$5:$AB$64,MAX(1,37-(INT((Motore_Operativo!L41)/30))-1)))*(MOD((Motore_Operativo!L41),30)/30))</f>
        <v>60390</v>
      </c>
      <c r="AD41" s="15" t="n">
        <f aca="false">(AD40)+AB41-AC41</f>
        <v>205036.25</v>
      </c>
      <c r="AE41" s="15" t="n">
        <f aca="false">Motore_Operativo!BH41*(1+Parametri_v3!$C$26)</f>
        <v>8425.625</v>
      </c>
      <c r="AF41" s="15" t="n">
        <f aca="false">(IF(37-(INT((Parametri_v3!$C$29)/30))&lt;1,0,INDEX(Motore_Operativo!$BH$5:$BH$64,MAX(1,37-(INT((Parametri_v3!$C$29)/30)))))*(1-(MOD((Parametri_v3!$C$29),30)/30))+IF(37-(INT((Parametri_v3!$C$29)/30))-1&lt;1,0,INDEX(Motore_Operativo!$BH$5:$BH$64,MAX(1,37-(INT((Parametri_v3!$C$29)/30))-1)))*(MOD((Parametri_v3!$C$29),30)/30))*(1+Parametri_v3!$C$26)</f>
        <v>6039</v>
      </c>
      <c r="AG41" s="15" t="n">
        <f aca="false">(AG40)+AE41-AF41</f>
        <v>8425.625</v>
      </c>
      <c r="AH41" s="15" t="n">
        <f aca="false">(Motore_Operativo!CK41)*(1+Parametri_v3!$C$28*Parametri_v3!$C$26)</f>
        <v>21704.55</v>
      </c>
      <c r="AI41" s="15" t="n">
        <f aca="false">(IF(37-(INT((Ipotesi!$C$91)/30))&lt;1,0,INDEX(Motore_Advisory!$AH$5:$AH$64,MAX(1,37-(INT((Ipotesi!$C$91)/30)))))*(1-(MOD((Ipotesi!$C$91),30)/30))+IF(37-(INT((Ipotesi!$C$91)/30))-1&lt;1,0,INDEX(Motore_Advisory!$AH$5:$AH$64,MAX(1,37-(INT((Ipotesi!$C$91)/30))-1)))*(MOD((Ipotesi!$C$91),30)/30))</f>
        <v>16619.82</v>
      </c>
      <c r="AJ41" s="15" t="n">
        <f aca="false">(AJ40)+AH41-AI41</f>
        <v>38324.37</v>
      </c>
      <c r="AK41" s="15" t="n">
        <f aca="false">(F41- Motore_Operativo!BH41-(Motore_Operativo!CK41)*Parametri_v3!$C$28-Motore_Operativo!CF41)*Parametri_v3!$C$26</f>
        <v>10279.4083333333</v>
      </c>
      <c r="AL41" s="15" t="n">
        <f aca="false">MAX(0,(AM40))</f>
        <v>7222.01333333333</v>
      </c>
      <c r="AM41" s="15" t="n">
        <f aca="false">(AM40)+AK41-AL41</f>
        <v>10279.4083333333</v>
      </c>
      <c r="AN41" s="15" t="n">
        <f aca="false">SUM(X29:X40)</f>
        <v>15744.47375</v>
      </c>
      <c r="AO41" s="15" t="n">
        <f aca="false">SUM(AP29:AP40)</f>
        <v>3576.005</v>
      </c>
      <c r="AP41" s="15" t="n">
        <f aca="false">MAX(0,AN41)*IF(1=Parametri_v3!$C$43,Parametri_v3!$C$45,IF(1=Parametri_v3!$C$44,1-Parametri_v3!$C$45,0))</f>
        <v>0</v>
      </c>
      <c r="AQ41" s="15" t="n">
        <f aca="false">MAX(0,AP41+IF(1=Parametri_v3!$C$43,MAX(0,AN41-AO41),0)-MAX(0,-(AR40)))</f>
        <v>0</v>
      </c>
      <c r="AR41" s="15" t="n">
        <f aca="false">(AR40)+X41-AQ41</f>
        <v>14818.4967117083</v>
      </c>
      <c r="AS41" s="15" t="n">
        <f aca="false">Motore_Operativo!AC41-AT41+AU41</f>
        <v>32137.5563729167</v>
      </c>
      <c r="AT41" s="15" t="n">
        <f aca="false">Motore_Operativo!CI41</f>
        <v>1691.45033541667</v>
      </c>
      <c r="AU41" s="15" t="n">
        <f aca="false">MIN(MAX(0,(AV40)+AT41),Parametri_v3!$C$61/12)</f>
        <v>0</v>
      </c>
      <c r="AV41" s="15" t="n">
        <f aca="false">(AV40)+AT41-AU41</f>
        <v>29670.8878354167</v>
      </c>
      <c r="AW41" s="15" t="n">
        <f aca="false">IF(AND(Motore_Operativo!C41=Finanziamenti!$D$7,Finanziamenti!$F$7=1),Finanziamenti!$C$7,0)</f>
        <v>0</v>
      </c>
      <c r="AX41" s="15" t="n">
        <f aca="false">0</f>
        <v>0</v>
      </c>
      <c r="AY41" s="15" t="n">
        <f aca="false">IF(1=Parametri_v3!$C$33,IF(BV41&lt;MIN(12,$B41-1),0,MIN(MAX(0,SUM(Y29:Y40))*Ipotesi!$C$94,MAX(0,(BM40)-(BO40)-BP41),MAX(0,BD41-Parametri_v3!$C$31))),0)</f>
        <v>0</v>
      </c>
      <c r="AZ41" s="15" t="n">
        <f aca="false">0</f>
        <v>0</v>
      </c>
      <c r="BA41" s="15" t="n">
        <f aca="false">0</f>
        <v>0</v>
      </c>
      <c r="BB41" s="15" t="n">
        <f aca="false">0</f>
        <v>0</v>
      </c>
      <c r="BC41" s="15" t="n">
        <f aca="false">0</f>
        <v>0</v>
      </c>
      <c r="BD41" s="15" t="n">
        <f aca="false">(BH40)+AC41-AF41-AI41-AS41-K41*(1+Parametri_v3!$C$26)-AL41-AQ41-O41+AW41+AX41+AZ41+BA41-BB41</f>
        <v>-25939.5172062499</v>
      </c>
      <c r="BE41" s="15" t="n">
        <f aca="false">0</f>
        <v>0</v>
      </c>
      <c r="BF41" s="15" t="n">
        <f aca="false">0</f>
        <v>0</v>
      </c>
      <c r="BG41" s="15" t="n">
        <f aca="false">0</f>
        <v>0</v>
      </c>
      <c r="BH41" s="15" t="n">
        <f aca="false">BD41+BE41-BF41-AY41</f>
        <v>-25939.5172062499</v>
      </c>
      <c r="BI41" s="15" t="n">
        <f aca="false">MAX(0,Parametri_v3!$C$31-BH41)</f>
        <v>35939.5172062499</v>
      </c>
      <c r="BJ41" s="15" t="n">
        <f aca="false">(BJ40)+K41</f>
        <v>13666.6666666667</v>
      </c>
      <c r="BK41" s="15" t="n">
        <f aca="false">(BK40)+L41</f>
        <v>6386.57407407407</v>
      </c>
      <c r="BL41" s="15" t="n">
        <f aca="false">BJ41-BK41</f>
        <v>7280.09259259259</v>
      </c>
      <c r="BM41" s="15" t="n">
        <f aca="false">(BM40)+Y41</f>
        <v>64858.0375058843</v>
      </c>
      <c r="BN41" s="15" t="n">
        <f aca="false">(BN40)+AW41+AX41+AZ41</f>
        <v>20000</v>
      </c>
      <c r="BO41" s="15" t="n">
        <f aca="false">(BO40)+AY41</f>
        <v>0</v>
      </c>
      <c r="BP41" s="15" t="n">
        <f aca="false">MIN(Parametri_v3!$C$36*Parametri_v3!$C$35,(BP40)+IF(1=1,MAX(0,SUM(Y29:Y40))*Parametri_v3!$C$34,0))</f>
        <v>2000</v>
      </c>
      <c r="BQ41" s="15" t="n">
        <f aca="false">BN41+BM41-BO41</f>
        <v>84858.0375058843</v>
      </c>
      <c r="BR41" s="15" t="n">
        <f aca="false">BH41+AD41+BL41+MAX(0,-AM41)+MAX(0,-AR41)</f>
        <v>186376.825386343</v>
      </c>
      <c r="BS41" s="15" t="n">
        <f aca="false">AJ41+AV41+MAX(0,AM41)+MAX(0,AR41)+BC41+BG41+BQ41+AG41</f>
        <v>186376.825386343</v>
      </c>
      <c r="BT41" s="15" t="n">
        <f aca="false">BR41-BS41</f>
        <v>0</v>
      </c>
      <c r="BU41" s="15" t="n">
        <f aca="false">BH41-(BD41+BE41-BF41-AY41)</f>
        <v>0</v>
      </c>
      <c r="BV41" s="15" t="n">
        <f aca="false">IF(BH40&lt;Parametri_v3!$C$31,0,BV40+1)</f>
        <v>0</v>
      </c>
    </row>
    <row r="42" customFormat="false" ht="18" hidden="false" customHeight="true" outlineLevel="0" collapsed="false">
      <c r="A42" s="68" t="n">
        <f aca="false">1</f>
        <v>1</v>
      </c>
      <c r="B42" s="68" t="n">
        <f aca="false">38</f>
        <v>38</v>
      </c>
      <c r="C42" s="18" t="n">
        <f aca="false">Motore_Operativo!C42</f>
        <v>47515</v>
      </c>
      <c r="D42" s="68" t="n">
        <f aca="false">Motore_Operativo!D42</f>
        <v>2030</v>
      </c>
      <c r="E42" s="68" t="n">
        <f aca="false">Motore_Operativo!E42</f>
        <v>2</v>
      </c>
      <c r="F42" s="15" t="n">
        <f aca="false">Motore_Operativo!AM42</f>
        <v>69062.5</v>
      </c>
      <c r="G42" s="15" t="n">
        <f aca="false">Motore_Operativo!BH42</f>
        <v>6906.25</v>
      </c>
      <c r="H42" s="15" t="n">
        <f aca="false">Motore_Operativo!AM42</f>
        <v>69062.5</v>
      </c>
      <c r="I42" s="15" t="n">
        <f aca="false">Motore_Operativo!CB42</f>
        <v>59191.5067083333</v>
      </c>
      <c r="J42" s="15" t="n">
        <f aca="false">Motore_Operativo!CD42</f>
        <v>9870.99329166667</v>
      </c>
      <c r="K42" s="15" t="n">
        <f aca="false">Motore_Operativo!CF42</f>
        <v>666.666666666667</v>
      </c>
      <c r="L42" s="15" t="n">
        <f aca="false">SUM(INDEX($K$5:$K$64,MAX(1,38-Parametri_v3!$C$59+1)):K42)/Parametri_v3!$C$59</f>
        <v>384.259259259259</v>
      </c>
      <c r="M42" s="15" t="n">
        <f aca="false">J42-L42</f>
        <v>9486.73403240741</v>
      </c>
      <c r="N42" s="15" t="n">
        <f aca="false">0</f>
        <v>0</v>
      </c>
      <c r="O42" s="15" t="n">
        <f aca="false">0</f>
        <v>0</v>
      </c>
      <c r="P42" s="15" t="n">
        <f aca="false">M42+N42-O42</f>
        <v>9486.73403240741</v>
      </c>
      <c r="Q42" s="15" t="n">
        <f aca="false">SUM(P41:P42)+Parametri_v3!$C$56*2/12</f>
        <v>18985.0421388889</v>
      </c>
      <c r="R42" s="15" t="n">
        <f aca="false">Z40</f>
        <v>0</v>
      </c>
      <c r="S42" s="15" t="n">
        <f aca="false">AA40</f>
        <v>0</v>
      </c>
      <c r="T42" s="15" t="n">
        <f aca="false">MIN(R42,MAX(0,Q42))</f>
        <v>0</v>
      </c>
      <c r="U42" s="15" t="n">
        <f aca="false">MIN(S42,MAX(0,Q42-T42)*Parametri_v3!$C$42)</f>
        <v>0</v>
      </c>
      <c r="V42" s="15" t="n">
        <f aca="false">MAX(0,Q42-T42-U42)*Ipotesi!$C$92</f>
        <v>4556.41011333334</v>
      </c>
      <c r="W42" s="15" t="n">
        <f aca="false">MAX(0,SUM(M41:M42)+Parametri_v3!$C$57*2/12)*Ipotesi!$C$93</f>
        <v>740.416643416667</v>
      </c>
      <c r="X42" s="15" t="n">
        <f aca="false">V42+W42-(V41+W41)</f>
        <v>2646.79879504167</v>
      </c>
      <c r="Y42" s="15" t="n">
        <f aca="false">P42-X42</f>
        <v>6839.93523736575</v>
      </c>
      <c r="Z42" s="15" t="n">
        <f aca="false">R42-T42+IF(AND(Parametri_v3!$C$40=1,D42-YEAR(Parametri_v3!$C$50)&lt;Parametri_v3!$C$41),MAX(0,-Q42),0)</f>
        <v>0</v>
      </c>
      <c r="AA42" s="15" t="n">
        <f aca="false">S42-U42+IF(AND(Parametri_v3!$C$40=1,D42-YEAR(Parametri_v3!$C$50)&lt;Parametri_v3!$C$41),0,MAX(0,-Q42))</f>
        <v>0</v>
      </c>
      <c r="AB42" s="15" t="n">
        <f aca="false">F42*(1+Parametri_v3!$C$26)</f>
        <v>84256.25</v>
      </c>
      <c r="AC42" s="15" t="n">
        <f aca="false">(IF(38-(INT((Motore_Operativo!L42)/30))&lt;1,0,INDEX(Motore_Advisory!$AB$5:$AB$64,MAX(1,38-(INT((Motore_Operativo!L42)/30)))))*(1-(MOD((Motore_Operativo!L42),30)/30))+IF(38-(INT((Motore_Operativo!L42)/30))-1&lt;1,0,INDEX(Motore_Advisory!$AB$5:$AB$64,MAX(1,38-(INT((Motore_Operativo!L42)/30))-1)))*(MOD((Motore_Operativo!L42),30)/30))</f>
        <v>60390</v>
      </c>
      <c r="AD42" s="15" t="n">
        <f aca="false">(AD41)+AB42-AC42</f>
        <v>228902.5</v>
      </c>
      <c r="AE42" s="15" t="n">
        <f aca="false">Motore_Operativo!BH42*(1+Parametri_v3!$C$26)</f>
        <v>8425.625</v>
      </c>
      <c r="AF42" s="15" t="n">
        <f aca="false">(IF(38-(INT((Parametri_v3!$C$29)/30))&lt;1,0,INDEX(Motore_Operativo!$BH$5:$BH$64,MAX(1,38-(INT((Parametri_v3!$C$29)/30)))))*(1-(MOD((Parametri_v3!$C$29),30)/30))+IF(38-(INT((Parametri_v3!$C$29)/30))-1&lt;1,0,INDEX(Motore_Operativo!$BH$5:$BH$64,MAX(1,38-(INT((Parametri_v3!$C$29)/30))-1)))*(MOD((Parametri_v3!$C$29),30)/30))*(1+Parametri_v3!$C$26)</f>
        <v>8425.625</v>
      </c>
      <c r="AG42" s="15" t="n">
        <f aca="false">(AG41)+AE42-AF42</f>
        <v>8425.625</v>
      </c>
      <c r="AH42" s="15" t="n">
        <f aca="false">(Motore_Operativo!CK42)*(1+Parametri_v3!$C$28*Parametri_v3!$C$26)</f>
        <v>21704.55</v>
      </c>
      <c r="AI42" s="15" t="n">
        <f aca="false">(IF(38-(INT((Ipotesi!$C$91)/30))&lt;1,0,INDEX(Motore_Advisory!$AH$5:$AH$64,MAX(1,38-(INT((Ipotesi!$C$91)/30)))))*(1-(MOD((Ipotesi!$C$91),30)/30))+IF(38-(INT((Ipotesi!$C$91)/30))-1&lt;1,0,INDEX(Motore_Advisory!$AH$5:$AH$64,MAX(1,38-(INT((Ipotesi!$C$91)/30))-1)))*(MOD((Ipotesi!$C$91),30)/30))</f>
        <v>16619.82</v>
      </c>
      <c r="AJ42" s="15" t="n">
        <f aca="false">(AJ41)+AH42-AI42</f>
        <v>43409.1</v>
      </c>
      <c r="AK42" s="15" t="n">
        <f aca="false">(F42- Motore_Operativo!BH42-(Motore_Operativo!CK42)*Parametri_v3!$C$28-Motore_Operativo!CF42)*Parametri_v3!$C$26</f>
        <v>10279.4083333333</v>
      </c>
      <c r="AL42" s="15" t="n">
        <f aca="false">MAX(0,(AM41))</f>
        <v>10279.4083333333</v>
      </c>
      <c r="AM42" s="15" t="n">
        <f aca="false">(AM41)+AK42-AL42</f>
        <v>10279.4083333333</v>
      </c>
      <c r="AN42" s="15" t="n">
        <f aca="false">SUM(X29:X40)</f>
        <v>15744.47375</v>
      </c>
      <c r="AO42" s="15" t="n">
        <f aca="false">SUM(AP29:AP40)</f>
        <v>3576.005</v>
      </c>
      <c r="AP42" s="15" t="n">
        <f aca="false">MAX(0,AN42)*IF(2=Parametri_v3!$C$43,Parametri_v3!$C$45,IF(2=Parametri_v3!$C$44,1-Parametri_v3!$C$45,0))</f>
        <v>0</v>
      </c>
      <c r="AQ42" s="15" t="n">
        <f aca="false">MAX(0,AP42+IF(2=Parametri_v3!$C$43,MAX(0,AN42-AO42),0)-MAX(0,-(AR41)))</f>
        <v>0</v>
      </c>
      <c r="AR42" s="15" t="n">
        <f aca="false">(AR41)+X42-AQ42</f>
        <v>17465.29550675</v>
      </c>
      <c r="AS42" s="15" t="n">
        <f aca="false">Motore_Operativo!AC42-AT42+AU42</f>
        <v>32137.5563729167</v>
      </c>
      <c r="AT42" s="15" t="n">
        <f aca="false">Motore_Operativo!CI42</f>
        <v>1691.45033541667</v>
      </c>
      <c r="AU42" s="15" t="n">
        <f aca="false">MIN(MAX(0,(AV41)+AT42),Parametri_v3!$C$61/12)</f>
        <v>0</v>
      </c>
      <c r="AV42" s="15" t="n">
        <f aca="false">(AV41)+AT42-AU42</f>
        <v>31362.3381708333</v>
      </c>
      <c r="AW42" s="15" t="n">
        <f aca="false">IF(AND(Motore_Operativo!C42=Finanziamenti!$D$7,Finanziamenti!$F$7=1),Finanziamenti!$C$7,0)</f>
        <v>0</v>
      </c>
      <c r="AX42" s="15" t="n">
        <f aca="false">0</f>
        <v>0</v>
      </c>
      <c r="AY42" s="15" t="n">
        <f aca="false">IF(2=Parametri_v3!$C$33,IF(BV42&lt;MIN(12,$B42-1),0,MIN(MAX(0,SUM(Y29:Y40))*Ipotesi!$C$94,MAX(0,(BM40)-(BO41)-BP42),MAX(0,BD42-Parametri_v3!$C$31))),0)</f>
        <v>0</v>
      </c>
      <c r="AZ42" s="15" t="n">
        <f aca="false">0</f>
        <v>0</v>
      </c>
      <c r="BA42" s="15" t="n">
        <f aca="false">0</f>
        <v>0</v>
      </c>
      <c r="BB42" s="15" t="n">
        <f aca="false">0</f>
        <v>0</v>
      </c>
      <c r="BC42" s="15" t="n">
        <f aca="false">0</f>
        <v>0</v>
      </c>
      <c r="BD42" s="15" t="n">
        <f aca="false">(BH41)+AC42-AF42-AI42-AS42-K42*(1+Parametri_v3!$C$26)-AL42-AQ42-O42+AW42+AX42+AZ42+BA42-BB42</f>
        <v>-33825.2602458333</v>
      </c>
      <c r="BE42" s="15" t="n">
        <f aca="false">0</f>
        <v>0</v>
      </c>
      <c r="BF42" s="15" t="n">
        <f aca="false">0</f>
        <v>0</v>
      </c>
      <c r="BG42" s="15" t="n">
        <f aca="false">0</f>
        <v>0</v>
      </c>
      <c r="BH42" s="15" t="n">
        <f aca="false">BD42+BE42-BF42-AY42</f>
        <v>-33825.2602458333</v>
      </c>
      <c r="BI42" s="15" t="n">
        <f aca="false">MAX(0,Parametri_v3!$C$31-BH42)</f>
        <v>43825.2602458333</v>
      </c>
      <c r="BJ42" s="15" t="n">
        <f aca="false">(BJ41)+K42</f>
        <v>14333.3333333333</v>
      </c>
      <c r="BK42" s="15" t="n">
        <f aca="false">(BK41)+L42</f>
        <v>6770.83333333333</v>
      </c>
      <c r="BL42" s="15" t="n">
        <f aca="false">BJ42-BK42</f>
        <v>7562.5</v>
      </c>
      <c r="BM42" s="15" t="n">
        <f aca="false">(BM41)+Y42</f>
        <v>71697.9727432501</v>
      </c>
      <c r="BN42" s="15" t="n">
        <f aca="false">(BN41)+AW42+AX42+AZ42</f>
        <v>20000</v>
      </c>
      <c r="BO42" s="15" t="n">
        <f aca="false">(BO41)+AY42</f>
        <v>0</v>
      </c>
      <c r="BP42" s="15" t="n">
        <f aca="false">MIN(Parametri_v3!$C$36*Parametri_v3!$C$35,(BP41)+IF(2=1,MAX(0,SUM(Y29:Y40))*Parametri_v3!$C$34,0))</f>
        <v>2000</v>
      </c>
      <c r="BQ42" s="15" t="n">
        <f aca="false">BN42+BM42-BO42</f>
        <v>91697.9727432501</v>
      </c>
      <c r="BR42" s="15" t="n">
        <f aca="false">BH42+AD42+BL42+MAX(0,-AM42)+MAX(0,-AR42)</f>
        <v>202639.739754167</v>
      </c>
      <c r="BS42" s="15" t="n">
        <f aca="false">AJ42+AV42+MAX(0,AM42)+MAX(0,AR42)+BC42+BG42+BQ42+AG42</f>
        <v>202639.739754167</v>
      </c>
      <c r="BT42" s="15" t="n">
        <f aca="false">BR42-BS42</f>
        <v>0</v>
      </c>
      <c r="BU42" s="15" t="n">
        <f aca="false">BH42-(BD42+BE42-BF42-AY42)</f>
        <v>0</v>
      </c>
      <c r="BV42" s="15" t="n">
        <f aca="false">IF(BH41&lt;Parametri_v3!$C$31,0,BV41+1)</f>
        <v>0</v>
      </c>
    </row>
    <row r="43" customFormat="false" ht="18" hidden="false" customHeight="true" outlineLevel="0" collapsed="false">
      <c r="A43" s="68" t="n">
        <f aca="false">1</f>
        <v>1</v>
      </c>
      <c r="B43" s="68" t="n">
        <f aca="false">39</f>
        <v>39</v>
      </c>
      <c r="C43" s="18" t="n">
        <f aca="false">Motore_Operativo!C43</f>
        <v>47543</v>
      </c>
      <c r="D43" s="68" t="n">
        <f aca="false">Motore_Operativo!D43</f>
        <v>2030</v>
      </c>
      <c r="E43" s="68" t="n">
        <f aca="false">Motore_Operativo!E43</f>
        <v>3</v>
      </c>
      <c r="F43" s="15" t="n">
        <f aca="false">Motore_Operativo!AM43</f>
        <v>69062.5</v>
      </c>
      <c r="G43" s="15" t="n">
        <f aca="false">Motore_Operativo!BH43</f>
        <v>6906.25</v>
      </c>
      <c r="H43" s="15" t="n">
        <f aca="false">Motore_Operativo!AM43</f>
        <v>69062.5</v>
      </c>
      <c r="I43" s="15" t="n">
        <f aca="false">Motore_Operativo!CB43</f>
        <v>59191.5067083333</v>
      </c>
      <c r="J43" s="15" t="n">
        <f aca="false">Motore_Operativo!CD43</f>
        <v>9870.99329166667</v>
      </c>
      <c r="K43" s="15" t="n">
        <f aca="false">Motore_Operativo!CF43</f>
        <v>666.666666666667</v>
      </c>
      <c r="L43" s="15" t="n">
        <f aca="false">SUM(INDEX($K$5:$K$64,MAX(1,39-Parametri_v3!$C$59+1)):K43)/Parametri_v3!$C$59</f>
        <v>395.833333333333</v>
      </c>
      <c r="M43" s="15" t="n">
        <f aca="false">J43-L43</f>
        <v>9475.15995833334</v>
      </c>
      <c r="N43" s="15" t="n">
        <f aca="false">0</f>
        <v>0</v>
      </c>
      <c r="O43" s="15" t="n">
        <f aca="false">0</f>
        <v>0</v>
      </c>
      <c r="P43" s="15" t="n">
        <f aca="false">M43+N43-O43</f>
        <v>9475.15995833334</v>
      </c>
      <c r="Q43" s="15" t="n">
        <f aca="false">SUM(P41:P43)+Parametri_v3!$C$56*3/12</f>
        <v>28460.2020972222</v>
      </c>
      <c r="R43" s="15" t="n">
        <f aca="false">Z40</f>
        <v>0</v>
      </c>
      <c r="S43" s="15" t="n">
        <f aca="false">AA40</f>
        <v>0</v>
      </c>
      <c r="T43" s="15" t="n">
        <f aca="false">MIN(R43,MAX(0,Q43))</f>
        <v>0</v>
      </c>
      <c r="U43" s="15" t="n">
        <f aca="false">MIN(S43,MAX(0,Q43-T43)*Parametri_v3!$C$42)</f>
        <v>0</v>
      </c>
      <c r="V43" s="15" t="n">
        <f aca="false">MAX(0,Q43-T43-U43)*Ipotesi!$C$92</f>
        <v>6830.44850333334</v>
      </c>
      <c r="W43" s="15" t="n">
        <f aca="false">MAX(0,SUM(M41:M43)+Parametri_v3!$C$57*3/12)*Ipotesi!$C$93</f>
        <v>1109.94788179167</v>
      </c>
      <c r="X43" s="15" t="n">
        <f aca="false">V43+W43-(V42+W42)</f>
        <v>2643.569628375</v>
      </c>
      <c r="Y43" s="15" t="n">
        <f aca="false">P43-X43</f>
        <v>6831.59032995834</v>
      </c>
      <c r="Z43" s="15" t="n">
        <f aca="false">R43-T43+IF(AND(Parametri_v3!$C$40=1,D43-YEAR(Parametri_v3!$C$50)&lt;Parametri_v3!$C$41),MAX(0,-Q43),0)</f>
        <v>0</v>
      </c>
      <c r="AA43" s="15" t="n">
        <f aca="false">S43-U43+IF(AND(Parametri_v3!$C$40=1,D43-YEAR(Parametri_v3!$C$50)&lt;Parametri_v3!$C$41),0,MAX(0,-Q43))</f>
        <v>0</v>
      </c>
      <c r="AB43" s="15" t="n">
        <f aca="false">F43*(1+Parametri_v3!$C$26)</f>
        <v>84256.25</v>
      </c>
      <c r="AC43" s="15" t="n">
        <f aca="false">(IF(39-(INT((Motore_Operativo!L43)/30))&lt;1,0,INDEX(Motore_Advisory!$AB$5:$AB$64,MAX(1,39-(INT((Motore_Operativo!L43)/30)))))*(1-(MOD((Motore_Operativo!L43),30)/30))+IF(39-(INT((Motore_Operativo!L43)/30))-1&lt;1,0,INDEX(Motore_Advisory!$AB$5:$AB$64,MAX(1,39-(INT((Motore_Operativo!L43)/30))-1)))*(MOD((Motore_Operativo!L43),30)/30))</f>
        <v>60390</v>
      </c>
      <c r="AD43" s="15" t="n">
        <f aca="false">(AD42)+AB43-AC43</f>
        <v>252768.75</v>
      </c>
      <c r="AE43" s="15" t="n">
        <f aca="false">Motore_Operativo!BH43*(1+Parametri_v3!$C$26)</f>
        <v>8425.625</v>
      </c>
      <c r="AF43" s="15" t="n">
        <f aca="false">(IF(39-(INT((Parametri_v3!$C$29)/30))&lt;1,0,INDEX(Motore_Operativo!$BH$5:$BH$64,MAX(1,39-(INT((Parametri_v3!$C$29)/30)))))*(1-(MOD((Parametri_v3!$C$29),30)/30))+IF(39-(INT((Parametri_v3!$C$29)/30))-1&lt;1,0,INDEX(Motore_Operativo!$BH$5:$BH$64,MAX(1,39-(INT((Parametri_v3!$C$29)/30))-1)))*(MOD((Parametri_v3!$C$29),30)/30))*(1+Parametri_v3!$C$26)</f>
        <v>8425.625</v>
      </c>
      <c r="AG43" s="15" t="n">
        <f aca="false">(AG42)+AE43-AF43</f>
        <v>8425.625</v>
      </c>
      <c r="AH43" s="15" t="n">
        <f aca="false">(Motore_Operativo!CK43)*(1+Parametri_v3!$C$28*Parametri_v3!$C$26)</f>
        <v>21704.55</v>
      </c>
      <c r="AI43" s="15" t="n">
        <f aca="false">(IF(39-(INT((Ipotesi!$C$91)/30))&lt;1,0,INDEX(Motore_Advisory!$AH$5:$AH$64,MAX(1,39-(INT((Ipotesi!$C$91)/30)))))*(1-(MOD((Ipotesi!$C$91),30)/30))+IF(39-(INT((Ipotesi!$C$91)/30))-1&lt;1,0,INDEX(Motore_Advisory!$AH$5:$AH$64,MAX(1,39-(INT((Ipotesi!$C$91)/30))-1)))*(MOD((Ipotesi!$C$91),30)/30))</f>
        <v>21704.55</v>
      </c>
      <c r="AJ43" s="15" t="n">
        <f aca="false">(AJ42)+AH43-AI43</f>
        <v>43409.1</v>
      </c>
      <c r="AK43" s="15" t="n">
        <f aca="false">(F43- Motore_Operativo!BH43-(Motore_Operativo!CK43)*Parametri_v3!$C$28-Motore_Operativo!CF43)*Parametri_v3!$C$26</f>
        <v>10279.4083333333</v>
      </c>
      <c r="AL43" s="15" t="n">
        <f aca="false">MAX(0,(AM42))</f>
        <v>10279.4083333333</v>
      </c>
      <c r="AM43" s="15" t="n">
        <f aca="false">(AM42)+AK43-AL43</f>
        <v>10279.4083333333</v>
      </c>
      <c r="AN43" s="15" t="n">
        <f aca="false">SUM(X29:X40)</f>
        <v>15744.47375</v>
      </c>
      <c r="AO43" s="15" t="n">
        <f aca="false">SUM(AP29:AP40)</f>
        <v>3576.005</v>
      </c>
      <c r="AP43" s="15" t="n">
        <f aca="false">MAX(0,AN43)*IF(3=Parametri_v3!$C$43,Parametri_v3!$C$45,IF(3=Parametri_v3!$C$44,1-Parametri_v3!$C$45,0))</f>
        <v>0</v>
      </c>
      <c r="AQ43" s="15" t="n">
        <f aca="false">MAX(0,AP43+IF(3=Parametri_v3!$C$43,MAX(0,AN43-AO43),0)-MAX(0,-(AR42)))</f>
        <v>0</v>
      </c>
      <c r="AR43" s="15" t="n">
        <f aca="false">(AR42)+X43-AQ43</f>
        <v>20108.865135125</v>
      </c>
      <c r="AS43" s="15" t="n">
        <f aca="false">Motore_Operativo!AC43-AT43+AU43</f>
        <v>32137.5563729167</v>
      </c>
      <c r="AT43" s="15" t="n">
        <f aca="false">Motore_Operativo!CI43</f>
        <v>1691.45033541667</v>
      </c>
      <c r="AU43" s="15" t="n">
        <f aca="false">MIN(MAX(0,(AV42)+AT43),Parametri_v3!$C$61/12)</f>
        <v>0</v>
      </c>
      <c r="AV43" s="15" t="n">
        <f aca="false">(AV42)+AT43-AU43</f>
        <v>33053.78850625</v>
      </c>
      <c r="AW43" s="15" t="n">
        <f aca="false">IF(AND(Motore_Operativo!C43=Finanziamenti!$D$7,Finanziamenti!$F$7=1),Finanziamenti!$C$7,0)</f>
        <v>0</v>
      </c>
      <c r="AX43" s="15" t="n">
        <f aca="false">0</f>
        <v>0</v>
      </c>
      <c r="AY43" s="15" t="n">
        <f aca="false">IF(3=Parametri_v3!$C$33,IF(BV43&lt;MIN(12,$B43-1),0,MIN(MAX(0,SUM(Y29:Y40))*Ipotesi!$C$94,MAX(0,(BM40)-(BO42)-BP43),MAX(0,BD43-Parametri_v3!$C$31))),0)</f>
        <v>0</v>
      </c>
      <c r="AZ43" s="15" t="n">
        <f aca="false">0</f>
        <v>0</v>
      </c>
      <c r="BA43" s="15" t="n">
        <f aca="false">0</f>
        <v>0</v>
      </c>
      <c r="BB43" s="15" t="n">
        <f aca="false">0</f>
        <v>0</v>
      </c>
      <c r="BC43" s="15" t="n">
        <f aca="false">0</f>
        <v>0</v>
      </c>
      <c r="BD43" s="15" t="n">
        <f aca="false">(BH42)+AC43-AF43-AI43-AS43-K43*(1+Parametri_v3!$C$26)-AL43-AQ43-O43+AW43+AX43+AZ43+BA43-BB43</f>
        <v>-46795.7332854166</v>
      </c>
      <c r="BE43" s="15" t="n">
        <f aca="false">0</f>
        <v>0</v>
      </c>
      <c r="BF43" s="15" t="n">
        <f aca="false">0</f>
        <v>0</v>
      </c>
      <c r="BG43" s="15" t="n">
        <f aca="false">0</f>
        <v>0</v>
      </c>
      <c r="BH43" s="15" t="n">
        <f aca="false">BD43+BE43-BF43-AY43</f>
        <v>-46795.7332854166</v>
      </c>
      <c r="BI43" s="15" t="n">
        <f aca="false">MAX(0,Parametri_v3!$C$31-BH43)</f>
        <v>56795.7332854166</v>
      </c>
      <c r="BJ43" s="15" t="n">
        <f aca="false">(BJ42)+K43</f>
        <v>15000</v>
      </c>
      <c r="BK43" s="15" t="n">
        <f aca="false">(BK42)+L43</f>
        <v>7166.66666666667</v>
      </c>
      <c r="BL43" s="15" t="n">
        <f aca="false">BJ43-BK43</f>
        <v>7833.33333333333</v>
      </c>
      <c r="BM43" s="15" t="n">
        <f aca="false">(BM42)+Y43</f>
        <v>78529.5630732084</v>
      </c>
      <c r="BN43" s="15" t="n">
        <f aca="false">(BN42)+AW43+AX43+AZ43</f>
        <v>20000</v>
      </c>
      <c r="BO43" s="15" t="n">
        <f aca="false">(BO42)+AY43</f>
        <v>0</v>
      </c>
      <c r="BP43" s="15" t="n">
        <f aca="false">MIN(Parametri_v3!$C$36*Parametri_v3!$C$35,(BP42)+IF(3=1,MAX(0,SUM(Y29:Y40))*Parametri_v3!$C$34,0))</f>
        <v>2000</v>
      </c>
      <c r="BQ43" s="15" t="n">
        <f aca="false">BN43+BM43-BO43</f>
        <v>98529.5630732084</v>
      </c>
      <c r="BR43" s="15" t="n">
        <f aca="false">BH43+AD43+BL43+MAX(0,-AM43)+MAX(0,-AR43)</f>
        <v>213806.350047917</v>
      </c>
      <c r="BS43" s="15" t="n">
        <f aca="false">AJ43+AV43+MAX(0,AM43)+MAX(0,AR43)+BC43+BG43+BQ43+AG43</f>
        <v>213806.350047917</v>
      </c>
      <c r="BT43" s="15" t="n">
        <f aca="false">BR43-BS43</f>
        <v>0</v>
      </c>
      <c r="BU43" s="15" t="n">
        <f aca="false">BH43-(BD43+BE43-BF43-AY43)</f>
        <v>0</v>
      </c>
      <c r="BV43" s="15" t="n">
        <f aca="false">IF(BH42&lt;Parametri_v3!$C$31,0,BV42+1)</f>
        <v>0</v>
      </c>
    </row>
    <row r="44" customFormat="false" ht="18" hidden="false" customHeight="true" outlineLevel="0" collapsed="false">
      <c r="A44" s="68" t="n">
        <f aca="false">1</f>
        <v>1</v>
      </c>
      <c r="B44" s="68" t="n">
        <f aca="false">40</f>
        <v>40</v>
      </c>
      <c r="C44" s="18" t="n">
        <f aca="false">Motore_Operativo!C44</f>
        <v>47574</v>
      </c>
      <c r="D44" s="68" t="n">
        <f aca="false">Motore_Operativo!D44</f>
        <v>2030</v>
      </c>
      <c r="E44" s="68" t="n">
        <f aca="false">Motore_Operativo!E44</f>
        <v>4</v>
      </c>
      <c r="F44" s="15" t="n">
        <f aca="false">Motore_Operativo!AM44</f>
        <v>69062.5</v>
      </c>
      <c r="G44" s="15" t="n">
        <f aca="false">Motore_Operativo!BH44</f>
        <v>6906.25</v>
      </c>
      <c r="H44" s="15" t="n">
        <f aca="false">Motore_Operativo!AM44</f>
        <v>69062.5</v>
      </c>
      <c r="I44" s="15" t="n">
        <f aca="false">Motore_Operativo!CB44</f>
        <v>59191.5067083333</v>
      </c>
      <c r="J44" s="15" t="n">
        <f aca="false">Motore_Operativo!CD44</f>
        <v>9870.99329166667</v>
      </c>
      <c r="K44" s="15" t="n">
        <f aca="false">Motore_Operativo!CF44</f>
        <v>666.666666666667</v>
      </c>
      <c r="L44" s="15" t="n">
        <f aca="false">SUM(INDEX($K$5:$K$64,MAX(1,40-Parametri_v3!$C$59+1)):K44)/Parametri_v3!$C$59</f>
        <v>407.407407407407</v>
      </c>
      <c r="M44" s="15" t="n">
        <f aca="false">J44-L44</f>
        <v>9463.58588425927</v>
      </c>
      <c r="N44" s="15" t="n">
        <f aca="false">0</f>
        <v>0</v>
      </c>
      <c r="O44" s="15" t="n">
        <f aca="false">0</f>
        <v>0</v>
      </c>
      <c r="P44" s="15" t="n">
        <f aca="false">M44+N44-O44</f>
        <v>9463.58588425927</v>
      </c>
      <c r="Q44" s="15" t="n">
        <f aca="false">SUM(P41:P44)+Parametri_v3!$C$56*4/12</f>
        <v>37923.7879814815</v>
      </c>
      <c r="R44" s="15" t="n">
        <f aca="false">Z40</f>
        <v>0</v>
      </c>
      <c r="S44" s="15" t="n">
        <f aca="false">AA40</f>
        <v>0</v>
      </c>
      <c r="T44" s="15" t="n">
        <f aca="false">MIN(R44,MAX(0,Q44))</f>
        <v>0</v>
      </c>
      <c r="U44" s="15" t="n">
        <f aca="false">MIN(S44,MAX(0,Q44-T44)*Parametri_v3!$C$42)</f>
        <v>0</v>
      </c>
      <c r="V44" s="15" t="n">
        <f aca="false">MAX(0,Q44-T44-U44)*Ipotesi!$C$92</f>
        <v>9101.70911555556</v>
      </c>
      <c r="W44" s="15" t="n">
        <f aca="false">MAX(0,SUM(M41:M44)+Parametri_v3!$C$57*4/12)*Ipotesi!$C$93</f>
        <v>1479.02773127778</v>
      </c>
      <c r="X44" s="15" t="n">
        <f aca="false">V44+W44-(V43+W43)</f>
        <v>2640.34046170834</v>
      </c>
      <c r="Y44" s="15" t="n">
        <f aca="false">P44-X44</f>
        <v>6823.24542255093</v>
      </c>
      <c r="Z44" s="15" t="n">
        <f aca="false">R44-T44+IF(AND(Parametri_v3!$C$40=1,D44-YEAR(Parametri_v3!$C$50)&lt;Parametri_v3!$C$41),MAX(0,-Q44),0)</f>
        <v>0</v>
      </c>
      <c r="AA44" s="15" t="n">
        <f aca="false">S44-U44+IF(AND(Parametri_v3!$C$40=1,D44-YEAR(Parametri_v3!$C$50)&lt;Parametri_v3!$C$41),0,MAX(0,-Q44))</f>
        <v>0</v>
      </c>
      <c r="AB44" s="15" t="n">
        <f aca="false">F44*(1+Parametri_v3!$C$26)</f>
        <v>84256.25</v>
      </c>
      <c r="AC44" s="15" t="n">
        <f aca="false">(IF(40-(INT((Motore_Operativo!L44)/30))&lt;1,0,INDEX(Motore_Advisory!$AB$5:$AB$64,MAX(1,40-(INT((Motore_Operativo!L44)/30)))))*(1-(MOD((Motore_Operativo!L44),30)/30))+IF(40-(INT((Motore_Operativo!L44)/30))-1&lt;1,0,INDEX(Motore_Advisory!$AB$5:$AB$64,MAX(1,40-(INT((Motore_Operativo!L44)/30))-1)))*(MOD((Motore_Operativo!L44),30)/30))</f>
        <v>84256.25</v>
      </c>
      <c r="AD44" s="15" t="n">
        <f aca="false">(AD43)+AB44-AC44</f>
        <v>252768.75</v>
      </c>
      <c r="AE44" s="15" t="n">
        <f aca="false">Motore_Operativo!BH44*(1+Parametri_v3!$C$26)</f>
        <v>8425.625</v>
      </c>
      <c r="AF44" s="15" t="n">
        <f aca="false">(IF(40-(INT((Parametri_v3!$C$29)/30))&lt;1,0,INDEX(Motore_Operativo!$BH$5:$BH$64,MAX(1,40-(INT((Parametri_v3!$C$29)/30)))))*(1-(MOD((Parametri_v3!$C$29),30)/30))+IF(40-(INT((Parametri_v3!$C$29)/30))-1&lt;1,0,INDEX(Motore_Operativo!$BH$5:$BH$64,MAX(1,40-(INT((Parametri_v3!$C$29)/30))-1)))*(MOD((Parametri_v3!$C$29),30)/30))*(1+Parametri_v3!$C$26)</f>
        <v>8425.625</v>
      </c>
      <c r="AG44" s="15" t="n">
        <f aca="false">(AG43)+AE44-AF44</f>
        <v>8425.625</v>
      </c>
      <c r="AH44" s="15" t="n">
        <f aca="false">(Motore_Operativo!CK44)*(1+Parametri_v3!$C$28*Parametri_v3!$C$26)</f>
        <v>21704.55</v>
      </c>
      <c r="AI44" s="15" t="n">
        <f aca="false">(IF(40-(INT((Ipotesi!$C$91)/30))&lt;1,0,INDEX(Motore_Advisory!$AH$5:$AH$64,MAX(1,40-(INT((Ipotesi!$C$91)/30)))))*(1-(MOD((Ipotesi!$C$91),30)/30))+IF(40-(INT((Ipotesi!$C$91)/30))-1&lt;1,0,INDEX(Motore_Advisory!$AH$5:$AH$64,MAX(1,40-(INT((Ipotesi!$C$91)/30))-1)))*(MOD((Ipotesi!$C$91),30)/30))</f>
        <v>21704.55</v>
      </c>
      <c r="AJ44" s="15" t="n">
        <f aca="false">(AJ43)+AH44-AI44</f>
        <v>43409.1</v>
      </c>
      <c r="AK44" s="15" t="n">
        <f aca="false">(F44- Motore_Operativo!BH44-(Motore_Operativo!CK44)*Parametri_v3!$C$28-Motore_Operativo!CF44)*Parametri_v3!$C$26</f>
        <v>10279.4083333333</v>
      </c>
      <c r="AL44" s="15" t="n">
        <f aca="false">MAX(0,(AM43))</f>
        <v>10279.4083333333</v>
      </c>
      <c r="AM44" s="15" t="n">
        <f aca="false">(AM43)+AK44-AL44</f>
        <v>10279.4083333333</v>
      </c>
      <c r="AN44" s="15" t="n">
        <f aca="false">SUM(X29:X40)</f>
        <v>15744.47375</v>
      </c>
      <c r="AO44" s="15" t="n">
        <f aca="false">SUM(AP29:AP40)</f>
        <v>3576.005</v>
      </c>
      <c r="AP44" s="15" t="n">
        <f aca="false">MAX(0,AN44)*IF(4=Parametri_v3!$C$43,Parametri_v3!$C$45,IF(4=Parametri_v3!$C$44,1-Parametri_v3!$C$45,0))</f>
        <v>0</v>
      </c>
      <c r="AQ44" s="15" t="n">
        <f aca="false">MAX(0,AP44+IF(4=Parametri_v3!$C$43,MAX(0,AN44-AO44),0)-MAX(0,-(AR43)))</f>
        <v>0</v>
      </c>
      <c r="AR44" s="15" t="n">
        <f aca="false">(AR43)+X44-AQ44</f>
        <v>22749.2055968334</v>
      </c>
      <c r="AS44" s="15" t="n">
        <f aca="false">Motore_Operativo!AC44-AT44+AU44</f>
        <v>32137.5563729167</v>
      </c>
      <c r="AT44" s="15" t="n">
        <f aca="false">Motore_Operativo!CI44</f>
        <v>1691.45033541667</v>
      </c>
      <c r="AU44" s="15" t="n">
        <f aca="false">MIN(MAX(0,(AV43)+AT44),Parametri_v3!$C$61/12)</f>
        <v>0</v>
      </c>
      <c r="AV44" s="15" t="n">
        <f aca="false">(AV43)+AT44-AU44</f>
        <v>34745.2388416667</v>
      </c>
      <c r="AW44" s="15" t="n">
        <f aca="false">IF(AND(Motore_Operativo!C44=Finanziamenti!$D$7,Finanziamenti!$F$7=1),Finanziamenti!$C$7,0)</f>
        <v>0</v>
      </c>
      <c r="AX44" s="15" t="n">
        <f aca="false">0</f>
        <v>0</v>
      </c>
      <c r="AY44" s="15" t="n">
        <f aca="false">IF(4=Parametri_v3!$C$33,IF(BV44&lt;MIN(12,$B44-1),0,MIN(MAX(0,SUM(Y29:Y40))*Ipotesi!$C$94,MAX(0,(BM40)-(BO43)-BP44),MAX(0,BD44-Parametri_v3!$C$31))),0)</f>
        <v>0</v>
      </c>
      <c r="AZ44" s="15" t="n">
        <f aca="false">0</f>
        <v>0</v>
      </c>
      <c r="BA44" s="15" t="n">
        <f aca="false">0</f>
        <v>0</v>
      </c>
      <c r="BB44" s="15" t="n">
        <f aca="false">0</f>
        <v>0</v>
      </c>
      <c r="BC44" s="15" t="n">
        <f aca="false">0</f>
        <v>0</v>
      </c>
      <c r="BD44" s="15" t="n">
        <f aca="false">(BH43)+AC44-AF44-AI44-AS44-K44*(1+Parametri_v3!$C$26)-AL44-AQ44-O44+AW44+AX44+AZ44+BA44-BB44</f>
        <v>-35899.9563249999</v>
      </c>
      <c r="BE44" s="15" t="n">
        <f aca="false">0</f>
        <v>0</v>
      </c>
      <c r="BF44" s="15" t="n">
        <f aca="false">0</f>
        <v>0</v>
      </c>
      <c r="BG44" s="15" t="n">
        <f aca="false">0</f>
        <v>0</v>
      </c>
      <c r="BH44" s="15" t="n">
        <f aca="false">BD44+BE44-BF44-AY44</f>
        <v>-35899.9563249999</v>
      </c>
      <c r="BI44" s="15" t="n">
        <f aca="false">MAX(0,Parametri_v3!$C$31-BH44)</f>
        <v>45899.9563249999</v>
      </c>
      <c r="BJ44" s="15" t="n">
        <f aca="false">(BJ43)+K44</f>
        <v>15666.6666666667</v>
      </c>
      <c r="BK44" s="15" t="n">
        <f aca="false">(BK43)+L44</f>
        <v>7574.07407407407</v>
      </c>
      <c r="BL44" s="15" t="n">
        <f aca="false">BJ44-BK44</f>
        <v>8092.59259259259</v>
      </c>
      <c r="BM44" s="15" t="n">
        <f aca="false">(BM43)+Y44</f>
        <v>85352.8084957594</v>
      </c>
      <c r="BN44" s="15" t="n">
        <f aca="false">(BN43)+AW44+AX44+AZ44</f>
        <v>20000</v>
      </c>
      <c r="BO44" s="15" t="n">
        <f aca="false">(BO43)+AY44</f>
        <v>0</v>
      </c>
      <c r="BP44" s="15" t="n">
        <f aca="false">MIN(Parametri_v3!$C$36*Parametri_v3!$C$35,(BP43)+IF(4=1,MAX(0,SUM(Y29:Y40))*Parametri_v3!$C$34,0))</f>
        <v>2000</v>
      </c>
      <c r="BQ44" s="15" t="n">
        <f aca="false">BN44+BM44-BO44</f>
        <v>105352.808495759</v>
      </c>
      <c r="BR44" s="15" t="n">
        <f aca="false">BH44+AD44+BL44+MAX(0,-AM44)+MAX(0,-AR44)</f>
        <v>224961.386267593</v>
      </c>
      <c r="BS44" s="15" t="n">
        <f aca="false">AJ44+AV44+MAX(0,AM44)+MAX(0,AR44)+BC44+BG44+BQ44+AG44</f>
        <v>224961.386267593</v>
      </c>
      <c r="BT44" s="15" t="n">
        <f aca="false">BR44-BS44</f>
        <v>0</v>
      </c>
      <c r="BU44" s="15" t="n">
        <f aca="false">BH44-(BD44+BE44-BF44-AY44)</f>
        <v>0</v>
      </c>
      <c r="BV44" s="15" t="n">
        <f aca="false">IF(BH43&lt;Parametri_v3!$C$31,0,BV43+1)</f>
        <v>0</v>
      </c>
    </row>
    <row r="45" customFormat="false" ht="18" hidden="false" customHeight="true" outlineLevel="0" collapsed="false">
      <c r="A45" s="68" t="n">
        <f aca="false">1</f>
        <v>1</v>
      </c>
      <c r="B45" s="68" t="n">
        <f aca="false">41</f>
        <v>41</v>
      </c>
      <c r="C45" s="18" t="n">
        <f aca="false">Motore_Operativo!C45</f>
        <v>47604</v>
      </c>
      <c r="D45" s="68" t="n">
        <f aca="false">Motore_Operativo!D45</f>
        <v>2030</v>
      </c>
      <c r="E45" s="68" t="n">
        <f aca="false">Motore_Operativo!E45</f>
        <v>5</v>
      </c>
      <c r="F45" s="15" t="n">
        <f aca="false">Motore_Operativo!AM45</f>
        <v>69062.5</v>
      </c>
      <c r="G45" s="15" t="n">
        <f aca="false">Motore_Operativo!BH45</f>
        <v>6906.25</v>
      </c>
      <c r="H45" s="15" t="n">
        <f aca="false">Motore_Operativo!AM45</f>
        <v>69062.5</v>
      </c>
      <c r="I45" s="15" t="n">
        <f aca="false">Motore_Operativo!CB45</f>
        <v>59191.5067083333</v>
      </c>
      <c r="J45" s="15" t="n">
        <f aca="false">Motore_Operativo!CD45</f>
        <v>9870.99329166667</v>
      </c>
      <c r="K45" s="15" t="n">
        <f aca="false">Motore_Operativo!CF45</f>
        <v>666.666666666667</v>
      </c>
      <c r="L45" s="15" t="n">
        <f aca="false">SUM(INDEX($K$5:$K$64,MAX(1,41-Parametri_v3!$C$59+1)):K45)/Parametri_v3!$C$59</f>
        <v>418.981481481482</v>
      </c>
      <c r="M45" s="15" t="n">
        <f aca="false">J45-L45</f>
        <v>9452.01181018519</v>
      </c>
      <c r="N45" s="15" t="n">
        <f aca="false">0</f>
        <v>0</v>
      </c>
      <c r="O45" s="15" t="n">
        <f aca="false">0</f>
        <v>0</v>
      </c>
      <c r="P45" s="15" t="n">
        <f aca="false">M45+N45-O45</f>
        <v>9452.01181018519</v>
      </c>
      <c r="Q45" s="15" t="n">
        <f aca="false">SUM(P41:P45)+Parametri_v3!$C$56*5/12</f>
        <v>47375.7997916667</v>
      </c>
      <c r="R45" s="15" t="n">
        <f aca="false">Z40</f>
        <v>0</v>
      </c>
      <c r="S45" s="15" t="n">
        <f aca="false">AA40</f>
        <v>0</v>
      </c>
      <c r="T45" s="15" t="n">
        <f aca="false">MIN(R45,MAX(0,Q45))</f>
        <v>0</v>
      </c>
      <c r="U45" s="15" t="n">
        <f aca="false">MIN(S45,MAX(0,Q45-T45)*Parametri_v3!$C$42)</f>
        <v>0</v>
      </c>
      <c r="V45" s="15" t="n">
        <f aca="false">MAX(0,Q45-T45-U45)*Ipotesi!$C$92</f>
        <v>11370.19195</v>
      </c>
      <c r="W45" s="15" t="n">
        <f aca="false">MAX(0,SUM(M41:M45)+Parametri_v3!$C$57*5/12)*Ipotesi!$C$93</f>
        <v>1847.656191875</v>
      </c>
      <c r="X45" s="15" t="n">
        <f aca="false">V45+W45-(V44+W44)</f>
        <v>2637.11129504167</v>
      </c>
      <c r="Y45" s="15" t="n">
        <f aca="false">P45-X45</f>
        <v>6814.90051514352</v>
      </c>
      <c r="Z45" s="15" t="n">
        <f aca="false">R45-T45+IF(AND(Parametri_v3!$C$40=1,D45-YEAR(Parametri_v3!$C$50)&lt;Parametri_v3!$C$41),MAX(0,-Q45),0)</f>
        <v>0</v>
      </c>
      <c r="AA45" s="15" t="n">
        <f aca="false">S45-U45+IF(AND(Parametri_v3!$C$40=1,D45-YEAR(Parametri_v3!$C$50)&lt;Parametri_v3!$C$41),0,MAX(0,-Q45))</f>
        <v>0</v>
      </c>
      <c r="AB45" s="15" t="n">
        <f aca="false">F45*(1+Parametri_v3!$C$26)</f>
        <v>84256.25</v>
      </c>
      <c r="AC45" s="15" t="n">
        <f aca="false">(IF(41-(INT((Motore_Operativo!L45)/30))&lt;1,0,INDEX(Motore_Advisory!$AB$5:$AB$64,MAX(1,41-(INT((Motore_Operativo!L45)/30)))))*(1-(MOD((Motore_Operativo!L45),30)/30))+IF(41-(INT((Motore_Operativo!L45)/30))-1&lt;1,0,INDEX(Motore_Advisory!$AB$5:$AB$64,MAX(1,41-(INT((Motore_Operativo!L45)/30))-1)))*(MOD((Motore_Operativo!L45),30)/30))</f>
        <v>84256.25</v>
      </c>
      <c r="AD45" s="15" t="n">
        <f aca="false">(AD44)+AB45-AC45</f>
        <v>252768.75</v>
      </c>
      <c r="AE45" s="15" t="n">
        <f aca="false">Motore_Operativo!BH45*(1+Parametri_v3!$C$26)</f>
        <v>8425.625</v>
      </c>
      <c r="AF45" s="15" t="n">
        <f aca="false">(IF(41-(INT((Parametri_v3!$C$29)/30))&lt;1,0,INDEX(Motore_Operativo!$BH$5:$BH$64,MAX(1,41-(INT((Parametri_v3!$C$29)/30)))))*(1-(MOD((Parametri_v3!$C$29),30)/30))+IF(41-(INT((Parametri_v3!$C$29)/30))-1&lt;1,0,INDEX(Motore_Operativo!$BH$5:$BH$64,MAX(1,41-(INT((Parametri_v3!$C$29)/30))-1)))*(MOD((Parametri_v3!$C$29),30)/30))*(1+Parametri_v3!$C$26)</f>
        <v>8425.625</v>
      </c>
      <c r="AG45" s="15" t="n">
        <f aca="false">(AG44)+AE45-AF45</f>
        <v>8425.625</v>
      </c>
      <c r="AH45" s="15" t="n">
        <f aca="false">(Motore_Operativo!CK45)*(1+Parametri_v3!$C$28*Parametri_v3!$C$26)</f>
        <v>21704.55</v>
      </c>
      <c r="AI45" s="15" t="n">
        <f aca="false">(IF(41-(INT((Ipotesi!$C$91)/30))&lt;1,0,INDEX(Motore_Advisory!$AH$5:$AH$64,MAX(1,41-(INT((Ipotesi!$C$91)/30)))))*(1-(MOD((Ipotesi!$C$91),30)/30))+IF(41-(INT((Ipotesi!$C$91)/30))-1&lt;1,0,INDEX(Motore_Advisory!$AH$5:$AH$64,MAX(1,41-(INT((Ipotesi!$C$91)/30))-1)))*(MOD((Ipotesi!$C$91),30)/30))</f>
        <v>21704.55</v>
      </c>
      <c r="AJ45" s="15" t="n">
        <f aca="false">(AJ44)+AH45-AI45</f>
        <v>43409.1</v>
      </c>
      <c r="AK45" s="15" t="n">
        <f aca="false">(F45- Motore_Operativo!BH45-(Motore_Operativo!CK45)*Parametri_v3!$C$28-Motore_Operativo!CF45)*Parametri_v3!$C$26</f>
        <v>10279.4083333333</v>
      </c>
      <c r="AL45" s="15" t="n">
        <f aca="false">MAX(0,(AM44))</f>
        <v>10279.4083333333</v>
      </c>
      <c r="AM45" s="15" t="n">
        <f aca="false">(AM44)+AK45-AL45</f>
        <v>10279.4083333333</v>
      </c>
      <c r="AN45" s="15" t="n">
        <f aca="false">SUM(X29:X40)</f>
        <v>15744.47375</v>
      </c>
      <c r="AO45" s="15" t="n">
        <f aca="false">SUM(AP29:AP40)</f>
        <v>3576.005</v>
      </c>
      <c r="AP45" s="15" t="n">
        <f aca="false">MAX(0,AN45)*IF(5=Parametri_v3!$C$43,Parametri_v3!$C$45,IF(5=Parametri_v3!$C$44,1-Parametri_v3!$C$45,0))</f>
        <v>0</v>
      </c>
      <c r="AQ45" s="15" t="n">
        <f aca="false">MAX(0,AP45+IF(5=Parametri_v3!$C$43,MAX(0,AN45-AO45),0)-MAX(0,-(AR44)))</f>
        <v>0</v>
      </c>
      <c r="AR45" s="15" t="n">
        <f aca="false">(AR44)+X45-AQ45</f>
        <v>25386.316891875</v>
      </c>
      <c r="AS45" s="15" t="n">
        <f aca="false">Motore_Operativo!AC45-AT45+AU45</f>
        <v>32137.5563729167</v>
      </c>
      <c r="AT45" s="15" t="n">
        <f aca="false">Motore_Operativo!CI45</f>
        <v>1691.45033541667</v>
      </c>
      <c r="AU45" s="15" t="n">
        <f aca="false">MIN(MAX(0,(AV44)+AT45),Parametri_v3!$C$61/12)</f>
        <v>0</v>
      </c>
      <c r="AV45" s="15" t="n">
        <f aca="false">(AV44)+AT45-AU45</f>
        <v>36436.6891770833</v>
      </c>
      <c r="AW45" s="15" t="n">
        <f aca="false">IF(AND(Motore_Operativo!C45=Finanziamenti!$D$7,Finanziamenti!$F$7=1),Finanziamenti!$C$7,0)</f>
        <v>0</v>
      </c>
      <c r="AX45" s="15" t="n">
        <f aca="false">0</f>
        <v>0</v>
      </c>
      <c r="AY45" s="15" t="n">
        <f aca="false">IF(5=Parametri_v3!$C$33,IF(BV45&lt;MIN(12,$B45-1),0,MIN(MAX(0,SUM(Y29:Y40))*Ipotesi!$C$94,MAX(0,(BM40)-(BO44)-BP45),MAX(0,BD45-Parametri_v3!$C$31))),0)</f>
        <v>0</v>
      </c>
      <c r="AZ45" s="15" t="n">
        <f aca="false">0</f>
        <v>0</v>
      </c>
      <c r="BA45" s="15" t="n">
        <f aca="false">0</f>
        <v>0</v>
      </c>
      <c r="BB45" s="15" t="n">
        <f aca="false">0</f>
        <v>0</v>
      </c>
      <c r="BC45" s="15" t="n">
        <f aca="false">0</f>
        <v>0</v>
      </c>
      <c r="BD45" s="15" t="n">
        <f aca="false">(BH44)+AC45-AF45-AI45-AS45-K45*(1+Parametri_v3!$C$26)-AL45-AQ45-O45+AW45+AX45+AZ45+BA45-BB45</f>
        <v>-25004.1793645833</v>
      </c>
      <c r="BE45" s="15" t="n">
        <f aca="false">0</f>
        <v>0</v>
      </c>
      <c r="BF45" s="15" t="n">
        <f aca="false">0</f>
        <v>0</v>
      </c>
      <c r="BG45" s="15" t="n">
        <f aca="false">0</f>
        <v>0</v>
      </c>
      <c r="BH45" s="15" t="n">
        <f aca="false">BD45+BE45-BF45-AY45</f>
        <v>-25004.1793645833</v>
      </c>
      <c r="BI45" s="15" t="n">
        <f aca="false">MAX(0,Parametri_v3!$C$31-BH45)</f>
        <v>35004.1793645833</v>
      </c>
      <c r="BJ45" s="15" t="n">
        <f aca="false">(BJ44)+K45</f>
        <v>16333.3333333333</v>
      </c>
      <c r="BK45" s="15" t="n">
        <f aca="false">(BK44)+L45</f>
        <v>7993.05555555556</v>
      </c>
      <c r="BL45" s="15" t="n">
        <f aca="false">BJ45-BK45</f>
        <v>8340.27777777777</v>
      </c>
      <c r="BM45" s="15" t="n">
        <f aca="false">(BM44)+Y45</f>
        <v>92167.7090109029</v>
      </c>
      <c r="BN45" s="15" t="n">
        <f aca="false">(BN44)+AW45+AX45+AZ45</f>
        <v>20000</v>
      </c>
      <c r="BO45" s="15" t="n">
        <f aca="false">(BO44)+AY45</f>
        <v>0</v>
      </c>
      <c r="BP45" s="15" t="n">
        <f aca="false">MIN(Parametri_v3!$C$36*Parametri_v3!$C$35,(BP44)+IF(5=1,MAX(0,SUM(Y29:Y40))*Parametri_v3!$C$34,0))</f>
        <v>2000</v>
      </c>
      <c r="BQ45" s="15" t="n">
        <f aca="false">BN45+BM45-BO45</f>
        <v>112167.709010903</v>
      </c>
      <c r="BR45" s="15" t="n">
        <f aca="false">BH45+AD45+BL45+MAX(0,-AM45)+MAX(0,-AR45)</f>
        <v>236104.848413195</v>
      </c>
      <c r="BS45" s="15" t="n">
        <f aca="false">AJ45+AV45+MAX(0,AM45)+MAX(0,AR45)+BC45+BG45+BQ45+AG45</f>
        <v>236104.848413195</v>
      </c>
      <c r="BT45" s="15" t="n">
        <f aca="false">BR45-BS45</f>
        <v>0</v>
      </c>
      <c r="BU45" s="15" t="n">
        <f aca="false">BH45-(BD45+BE45-BF45-AY45)</f>
        <v>0</v>
      </c>
      <c r="BV45" s="15" t="n">
        <f aca="false">IF(BH44&lt;Parametri_v3!$C$31,0,BV44+1)</f>
        <v>0</v>
      </c>
    </row>
    <row r="46" customFormat="false" ht="18" hidden="false" customHeight="true" outlineLevel="0" collapsed="false">
      <c r="A46" s="68" t="n">
        <f aca="false">1</f>
        <v>1</v>
      </c>
      <c r="B46" s="68" t="n">
        <f aca="false">42</f>
        <v>42</v>
      </c>
      <c r="C46" s="18" t="n">
        <f aca="false">Motore_Operativo!C46</f>
        <v>47635</v>
      </c>
      <c r="D46" s="68" t="n">
        <f aca="false">Motore_Operativo!D46</f>
        <v>2030</v>
      </c>
      <c r="E46" s="68" t="n">
        <f aca="false">Motore_Operativo!E46</f>
        <v>6</v>
      </c>
      <c r="F46" s="15" t="n">
        <f aca="false">Motore_Operativo!AM46</f>
        <v>69062.5</v>
      </c>
      <c r="G46" s="15" t="n">
        <f aca="false">Motore_Operativo!BH46</f>
        <v>6906.25</v>
      </c>
      <c r="H46" s="15" t="n">
        <f aca="false">Motore_Operativo!AM46</f>
        <v>69062.5</v>
      </c>
      <c r="I46" s="15" t="n">
        <f aca="false">Motore_Operativo!CB46</f>
        <v>59191.5067083333</v>
      </c>
      <c r="J46" s="15" t="n">
        <f aca="false">Motore_Operativo!CD46</f>
        <v>9870.99329166667</v>
      </c>
      <c r="K46" s="15" t="n">
        <f aca="false">Motore_Operativo!CF46</f>
        <v>666.666666666667</v>
      </c>
      <c r="L46" s="15" t="n">
        <f aca="false">SUM(INDEX($K$5:$K$64,MAX(1,42-Parametri_v3!$C$59+1)):K46)/Parametri_v3!$C$59</f>
        <v>430.555555555556</v>
      </c>
      <c r="M46" s="15" t="n">
        <f aca="false">J46-L46</f>
        <v>9440.43773611112</v>
      </c>
      <c r="N46" s="15" t="n">
        <f aca="false">0</f>
        <v>0</v>
      </c>
      <c r="O46" s="15" t="n">
        <f aca="false">0</f>
        <v>0</v>
      </c>
      <c r="P46" s="15" t="n">
        <f aca="false">M46+N46-O46</f>
        <v>9440.43773611112</v>
      </c>
      <c r="Q46" s="15" t="n">
        <f aca="false">SUM(P41:P46)+Parametri_v3!$C$56*6/12</f>
        <v>56816.2375277778</v>
      </c>
      <c r="R46" s="15" t="n">
        <f aca="false">Z40</f>
        <v>0</v>
      </c>
      <c r="S46" s="15" t="n">
        <f aca="false">AA40</f>
        <v>0</v>
      </c>
      <c r="T46" s="15" t="n">
        <f aca="false">MIN(R46,MAX(0,Q46))</f>
        <v>0</v>
      </c>
      <c r="U46" s="15" t="n">
        <f aca="false">MIN(S46,MAX(0,Q46-T46)*Parametri_v3!$C$42)</f>
        <v>0</v>
      </c>
      <c r="V46" s="15" t="n">
        <f aca="false">MAX(0,Q46-T46-U46)*Ipotesi!$C$92</f>
        <v>13635.8970066667</v>
      </c>
      <c r="W46" s="15" t="n">
        <f aca="false">MAX(0,SUM(M41:M46)+Parametri_v3!$C$57*6/12)*Ipotesi!$C$93</f>
        <v>2215.83326358334</v>
      </c>
      <c r="X46" s="15" t="n">
        <f aca="false">V46+W46-(V45+W45)</f>
        <v>2633.882128375</v>
      </c>
      <c r="Y46" s="15" t="n">
        <f aca="false">P46-X46</f>
        <v>6806.55560773612</v>
      </c>
      <c r="Z46" s="15" t="n">
        <f aca="false">R46-T46+IF(AND(Parametri_v3!$C$40=1,D46-YEAR(Parametri_v3!$C$50)&lt;Parametri_v3!$C$41),MAX(0,-Q46),0)</f>
        <v>0</v>
      </c>
      <c r="AA46" s="15" t="n">
        <f aca="false">S46-U46+IF(AND(Parametri_v3!$C$40=1,D46-YEAR(Parametri_v3!$C$50)&lt;Parametri_v3!$C$41),0,MAX(0,-Q46))</f>
        <v>0</v>
      </c>
      <c r="AB46" s="15" t="n">
        <f aca="false">F46*(1+Parametri_v3!$C$26)</f>
        <v>84256.25</v>
      </c>
      <c r="AC46" s="15" t="n">
        <f aca="false">(IF(42-(INT((Motore_Operativo!L46)/30))&lt;1,0,INDEX(Motore_Advisory!$AB$5:$AB$64,MAX(1,42-(INT((Motore_Operativo!L46)/30)))))*(1-(MOD((Motore_Operativo!L46),30)/30))+IF(42-(INT((Motore_Operativo!L46)/30))-1&lt;1,0,INDEX(Motore_Advisory!$AB$5:$AB$64,MAX(1,42-(INT((Motore_Operativo!L46)/30))-1)))*(MOD((Motore_Operativo!L46),30)/30))</f>
        <v>84256.25</v>
      </c>
      <c r="AD46" s="15" t="n">
        <f aca="false">(AD45)+AB46-AC46</f>
        <v>252768.75</v>
      </c>
      <c r="AE46" s="15" t="n">
        <f aca="false">Motore_Operativo!BH46*(1+Parametri_v3!$C$26)</f>
        <v>8425.625</v>
      </c>
      <c r="AF46" s="15" t="n">
        <f aca="false">(IF(42-(INT((Parametri_v3!$C$29)/30))&lt;1,0,INDEX(Motore_Operativo!$BH$5:$BH$64,MAX(1,42-(INT((Parametri_v3!$C$29)/30)))))*(1-(MOD((Parametri_v3!$C$29),30)/30))+IF(42-(INT((Parametri_v3!$C$29)/30))-1&lt;1,0,INDEX(Motore_Operativo!$BH$5:$BH$64,MAX(1,42-(INT((Parametri_v3!$C$29)/30))-1)))*(MOD((Parametri_v3!$C$29),30)/30))*(1+Parametri_v3!$C$26)</f>
        <v>8425.625</v>
      </c>
      <c r="AG46" s="15" t="n">
        <f aca="false">(AG45)+AE46-AF46</f>
        <v>8425.625</v>
      </c>
      <c r="AH46" s="15" t="n">
        <f aca="false">(Motore_Operativo!CK46)*(1+Parametri_v3!$C$28*Parametri_v3!$C$26)</f>
        <v>21704.55</v>
      </c>
      <c r="AI46" s="15" t="n">
        <f aca="false">(IF(42-(INT((Ipotesi!$C$91)/30))&lt;1,0,INDEX(Motore_Advisory!$AH$5:$AH$64,MAX(1,42-(INT((Ipotesi!$C$91)/30)))))*(1-(MOD((Ipotesi!$C$91),30)/30))+IF(42-(INT((Ipotesi!$C$91)/30))-1&lt;1,0,INDEX(Motore_Advisory!$AH$5:$AH$64,MAX(1,42-(INT((Ipotesi!$C$91)/30))-1)))*(MOD((Ipotesi!$C$91),30)/30))</f>
        <v>21704.55</v>
      </c>
      <c r="AJ46" s="15" t="n">
        <f aca="false">(AJ45)+AH46-AI46</f>
        <v>43409.1</v>
      </c>
      <c r="AK46" s="15" t="n">
        <f aca="false">(F46- Motore_Operativo!BH46-(Motore_Operativo!CK46)*Parametri_v3!$C$28-Motore_Operativo!CF46)*Parametri_v3!$C$26</f>
        <v>10279.4083333333</v>
      </c>
      <c r="AL46" s="15" t="n">
        <f aca="false">MAX(0,(AM45))</f>
        <v>10279.4083333333</v>
      </c>
      <c r="AM46" s="15" t="n">
        <f aca="false">(AM45)+AK46-AL46</f>
        <v>10279.4083333333</v>
      </c>
      <c r="AN46" s="15" t="n">
        <f aca="false">SUM(X29:X40)</f>
        <v>15744.47375</v>
      </c>
      <c r="AO46" s="15" t="n">
        <f aca="false">SUM(AP29:AP40)</f>
        <v>3576.005</v>
      </c>
      <c r="AP46" s="15" t="n">
        <f aca="false">MAX(0,AN46)*IF(6=Parametri_v3!$C$43,Parametri_v3!$C$45,IF(6=Parametri_v3!$C$44,1-Parametri_v3!$C$45,0))</f>
        <v>6297.78950000001</v>
      </c>
      <c r="AQ46" s="15" t="n">
        <f aca="false">MAX(0,AP46+IF(6=Parametri_v3!$C$43,MAX(0,AN46-AO46),0)-MAX(0,-(AR45)))</f>
        <v>18466.25825</v>
      </c>
      <c r="AR46" s="15" t="n">
        <f aca="false">(AR45)+X46-AQ46</f>
        <v>9553.94077025</v>
      </c>
      <c r="AS46" s="15" t="n">
        <f aca="false">Motore_Operativo!AC46-AT46+AU46</f>
        <v>32137.5563729167</v>
      </c>
      <c r="AT46" s="15" t="n">
        <f aca="false">Motore_Operativo!CI46</f>
        <v>1691.45033541667</v>
      </c>
      <c r="AU46" s="15" t="n">
        <f aca="false">MIN(MAX(0,(AV45)+AT46),Parametri_v3!$C$61/12)</f>
        <v>0</v>
      </c>
      <c r="AV46" s="15" t="n">
        <f aca="false">(AV45)+AT46-AU46</f>
        <v>38128.1395125</v>
      </c>
      <c r="AW46" s="15" t="n">
        <f aca="false">IF(AND(Motore_Operativo!C46=Finanziamenti!$D$7,Finanziamenti!$F$7=1),Finanziamenti!$C$7,0)</f>
        <v>0</v>
      </c>
      <c r="AX46" s="15" t="n">
        <f aca="false">0</f>
        <v>0</v>
      </c>
      <c r="AY46" s="15" t="n">
        <f aca="false">IF(6=Parametri_v3!$C$33,IF(BV46&lt;MIN(12,$B46-1),0,MIN(MAX(0,SUM(Y29:Y40))*Ipotesi!$C$94,MAX(0,(BM40)-(BO45)-BP46),MAX(0,BD46-Parametri_v3!$C$31))),0)</f>
        <v>0</v>
      </c>
      <c r="AZ46" s="15" t="n">
        <f aca="false">0</f>
        <v>0</v>
      </c>
      <c r="BA46" s="15" t="n">
        <f aca="false">0</f>
        <v>0</v>
      </c>
      <c r="BB46" s="15" t="n">
        <f aca="false">0</f>
        <v>0</v>
      </c>
      <c r="BC46" s="15" t="n">
        <f aca="false">0</f>
        <v>0</v>
      </c>
      <c r="BD46" s="15" t="n">
        <f aca="false">(BH45)+AC46-AF46-AI46-AS46-K46*(1+Parametri_v3!$C$26)-AL46-AQ46-O46+AW46+AX46+AZ46+BA46-BB46</f>
        <v>-32574.6606541666</v>
      </c>
      <c r="BE46" s="15" t="n">
        <f aca="false">0</f>
        <v>0</v>
      </c>
      <c r="BF46" s="15" t="n">
        <f aca="false">0</f>
        <v>0</v>
      </c>
      <c r="BG46" s="15" t="n">
        <f aca="false">0</f>
        <v>0</v>
      </c>
      <c r="BH46" s="15" t="n">
        <f aca="false">BD46+BE46-BF46-AY46</f>
        <v>-32574.6606541666</v>
      </c>
      <c r="BI46" s="15" t="n">
        <f aca="false">MAX(0,Parametri_v3!$C$31-BH46)</f>
        <v>42574.6606541666</v>
      </c>
      <c r="BJ46" s="15" t="n">
        <f aca="false">(BJ45)+K46</f>
        <v>17000</v>
      </c>
      <c r="BK46" s="15" t="n">
        <f aca="false">(BK45)+L46</f>
        <v>8423.61111111111</v>
      </c>
      <c r="BL46" s="15" t="n">
        <f aca="false">BJ46-BK46</f>
        <v>8576.38888888888</v>
      </c>
      <c r="BM46" s="15" t="n">
        <f aca="false">(BM45)+Y46</f>
        <v>98974.264618639</v>
      </c>
      <c r="BN46" s="15" t="n">
        <f aca="false">(BN45)+AW46+AX46+AZ46</f>
        <v>20000</v>
      </c>
      <c r="BO46" s="15" t="n">
        <f aca="false">(BO45)+AY46</f>
        <v>0</v>
      </c>
      <c r="BP46" s="15" t="n">
        <f aca="false">MIN(Parametri_v3!$C$36*Parametri_v3!$C$35,(BP45)+IF(6=1,MAX(0,SUM(Y29:Y40))*Parametri_v3!$C$34,0))</f>
        <v>2000</v>
      </c>
      <c r="BQ46" s="15" t="n">
        <f aca="false">BN46+BM46-BO46</f>
        <v>118974.264618639</v>
      </c>
      <c r="BR46" s="15" t="n">
        <f aca="false">BH46+AD46+BL46+MAX(0,-AM46)+MAX(0,-AR46)</f>
        <v>228770.478234722</v>
      </c>
      <c r="BS46" s="15" t="n">
        <f aca="false">AJ46+AV46+MAX(0,AM46)+MAX(0,AR46)+BC46+BG46+BQ46+AG46</f>
        <v>228770.478234722</v>
      </c>
      <c r="BT46" s="15" t="n">
        <f aca="false">BR46-BS46</f>
        <v>0</v>
      </c>
      <c r="BU46" s="15" t="n">
        <f aca="false">BH46-(BD46+BE46-BF46-AY46)</f>
        <v>0</v>
      </c>
      <c r="BV46" s="15" t="n">
        <f aca="false">IF(BH45&lt;Parametri_v3!$C$31,0,BV45+1)</f>
        <v>0</v>
      </c>
    </row>
    <row r="47" customFormat="false" ht="18" hidden="false" customHeight="true" outlineLevel="0" collapsed="false">
      <c r="A47" s="68" t="n">
        <f aca="false">1</f>
        <v>1</v>
      </c>
      <c r="B47" s="68" t="n">
        <f aca="false">43</f>
        <v>43</v>
      </c>
      <c r="C47" s="18" t="n">
        <f aca="false">Motore_Operativo!C47</f>
        <v>47665</v>
      </c>
      <c r="D47" s="68" t="n">
        <f aca="false">Motore_Operativo!D47</f>
        <v>2030</v>
      </c>
      <c r="E47" s="68" t="n">
        <f aca="false">Motore_Operativo!E47</f>
        <v>7</v>
      </c>
      <c r="F47" s="15" t="n">
        <f aca="false">Motore_Operativo!AM47</f>
        <v>69062.5</v>
      </c>
      <c r="G47" s="15" t="n">
        <f aca="false">Motore_Operativo!BH47</f>
        <v>6906.25</v>
      </c>
      <c r="H47" s="15" t="n">
        <f aca="false">Motore_Operativo!AM47</f>
        <v>69062.5</v>
      </c>
      <c r="I47" s="15" t="n">
        <f aca="false">Motore_Operativo!CB47</f>
        <v>59191.5067083333</v>
      </c>
      <c r="J47" s="15" t="n">
        <f aca="false">Motore_Operativo!CD47</f>
        <v>9870.99329166667</v>
      </c>
      <c r="K47" s="15" t="n">
        <f aca="false">Motore_Operativo!CF47</f>
        <v>666.666666666667</v>
      </c>
      <c r="L47" s="15" t="n">
        <f aca="false">SUM(INDEX($K$5:$K$64,MAX(1,43-Parametri_v3!$C$59+1)):K47)/Parametri_v3!$C$59</f>
        <v>442.12962962963</v>
      </c>
      <c r="M47" s="15" t="n">
        <f aca="false">J47-L47</f>
        <v>9428.86366203704</v>
      </c>
      <c r="N47" s="15" t="n">
        <f aca="false">0</f>
        <v>0</v>
      </c>
      <c r="O47" s="15" t="n">
        <f aca="false">0</f>
        <v>0</v>
      </c>
      <c r="P47" s="15" t="n">
        <f aca="false">M47+N47-O47</f>
        <v>9428.86366203704</v>
      </c>
      <c r="Q47" s="15" t="n">
        <f aca="false">SUM(P41:P47)+Parametri_v3!$C$56*7/12</f>
        <v>66245.1011898149</v>
      </c>
      <c r="R47" s="15" t="n">
        <f aca="false">Z40</f>
        <v>0</v>
      </c>
      <c r="S47" s="15" t="n">
        <f aca="false">AA40</f>
        <v>0</v>
      </c>
      <c r="T47" s="15" t="n">
        <f aca="false">MIN(R47,MAX(0,Q47))</f>
        <v>0</v>
      </c>
      <c r="U47" s="15" t="n">
        <f aca="false">MIN(S47,MAX(0,Q47-T47)*Parametri_v3!$C$42)</f>
        <v>0</v>
      </c>
      <c r="V47" s="15" t="n">
        <f aca="false">MAX(0,Q47-T47-U47)*Ipotesi!$C$92</f>
        <v>15898.8242855556</v>
      </c>
      <c r="W47" s="15" t="n">
        <f aca="false">MAX(0,SUM(M41:M47)+Parametri_v3!$C$57*7/12)*Ipotesi!$C$93</f>
        <v>2583.55894640278</v>
      </c>
      <c r="X47" s="15" t="n">
        <f aca="false">V47+W47-(V46+W46)</f>
        <v>2630.65296170834</v>
      </c>
      <c r="Y47" s="15" t="n">
        <f aca="false">P47-X47</f>
        <v>6798.21070032871</v>
      </c>
      <c r="Z47" s="15" t="n">
        <f aca="false">R47-T47+IF(AND(Parametri_v3!$C$40=1,D47-YEAR(Parametri_v3!$C$50)&lt;Parametri_v3!$C$41),MAX(0,-Q47),0)</f>
        <v>0</v>
      </c>
      <c r="AA47" s="15" t="n">
        <f aca="false">S47-U47+IF(AND(Parametri_v3!$C$40=1,D47-YEAR(Parametri_v3!$C$50)&lt;Parametri_v3!$C$41),0,MAX(0,-Q47))</f>
        <v>0</v>
      </c>
      <c r="AB47" s="15" t="n">
        <f aca="false">F47*(1+Parametri_v3!$C$26)</f>
        <v>84256.25</v>
      </c>
      <c r="AC47" s="15" t="n">
        <f aca="false">(IF(43-(INT((Motore_Operativo!L47)/30))&lt;1,0,INDEX(Motore_Advisory!$AB$5:$AB$64,MAX(1,43-(INT((Motore_Operativo!L47)/30)))))*(1-(MOD((Motore_Operativo!L47),30)/30))+IF(43-(INT((Motore_Operativo!L47)/30))-1&lt;1,0,INDEX(Motore_Advisory!$AB$5:$AB$64,MAX(1,43-(INT((Motore_Operativo!L47)/30))-1)))*(MOD((Motore_Operativo!L47),30)/30))</f>
        <v>84256.25</v>
      </c>
      <c r="AD47" s="15" t="n">
        <f aca="false">(AD46)+AB47-AC47</f>
        <v>252768.75</v>
      </c>
      <c r="AE47" s="15" t="n">
        <f aca="false">Motore_Operativo!BH47*(1+Parametri_v3!$C$26)</f>
        <v>8425.625</v>
      </c>
      <c r="AF47" s="15" t="n">
        <f aca="false">(IF(43-(INT((Parametri_v3!$C$29)/30))&lt;1,0,INDEX(Motore_Operativo!$BH$5:$BH$64,MAX(1,43-(INT((Parametri_v3!$C$29)/30)))))*(1-(MOD((Parametri_v3!$C$29),30)/30))+IF(43-(INT((Parametri_v3!$C$29)/30))-1&lt;1,0,INDEX(Motore_Operativo!$BH$5:$BH$64,MAX(1,43-(INT((Parametri_v3!$C$29)/30))-1)))*(MOD((Parametri_v3!$C$29),30)/30))*(1+Parametri_v3!$C$26)</f>
        <v>8425.625</v>
      </c>
      <c r="AG47" s="15" t="n">
        <f aca="false">(AG46)+AE47-AF47</f>
        <v>8425.625</v>
      </c>
      <c r="AH47" s="15" t="n">
        <f aca="false">(Motore_Operativo!CK47)*(1+Parametri_v3!$C$28*Parametri_v3!$C$26)</f>
        <v>21704.55</v>
      </c>
      <c r="AI47" s="15" t="n">
        <f aca="false">(IF(43-(INT((Ipotesi!$C$91)/30))&lt;1,0,INDEX(Motore_Advisory!$AH$5:$AH$64,MAX(1,43-(INT((Ipotesi!$C$91)/30)))))*(1-(MOD((Ipotesi!$C$91),30)/30))+IF(43-(INT((Ipotesi!$C$91)/30))-1&lt;1,0,INDEX(Motore_Advisory!$AH$5:$AH$64,MAX(1,43-(INT((Ipotesi!$C$91)/30))-1)))*(MOD((Ipotesi!$C$91),30)/30))</f>
        <v>21704.55</v>
      </c>
      <c r="AJ47" s="15" t="n">
        <f aca="false">(AJ46)+AH47-AI47</f>
        <v>43409.1</v>
      </c>
      <c r="AK47" s="15" t="n">
        <f aca="false">(F47- Motore_Operativo!BH47-(Motore_Operativo!CK47)*Parametri_v3!$C$28-Motore_Operativo!CF47)*Parametri_v3!$C$26</f>
        <v>10279.4083333333</v>
      </c>
      <c r="AL47" s="15" t="n">
        <f aca="false">MAX(0,(AM46))</f>
        <v>10279.4083333333</v>
      </c>
      <c r="AM47" s="15" t="n">
        <f aca="false">(AM46)+AK47-AL47</f>
        <v>10279.4083333333</v>
      </c>
      <c r="AN47" s="15" t="n">
        <f aca="false">SUM(X29:X40)</f>
        <v>15744.47375</v>
      </c>
      <c r="AO47" s="15" t="n">
        <f aca="false">SUM(AP29:AP40)</f>
        <v>3576.005</v>
      </c>
      <c r="AP47" s="15" t="n">
        <f aca="false">MAX(0,AN47)*IF(7=Parametri_v3!$C$43,Parametri_v3!$C$45,IF(7=Parametri_v3!$C$44,1-Parametri_v3!$C$45,0))</f>
        <v>0</v>
      </c>
      <c r="AQ47" s="15" t="n">
        <f aca="false">MAX(0,AP47+IF(7=Parametri_v3!$C$43,MAX(0,AN47-AO47),0)-MAX(0,-(AR46)))</f>
        <v>0</v>
      </c>
      <c r="AR47" s="15" t="n">
        <f aca="false">(AR46)+X47-AQ47</f>
        <v>12184.5937319583</v>
      </c>
      <c r="AS47" s="15" t="n">
        <f aca="false">Motore_Operativo!AC47-AT47+AU47</f>
        <v>32137.5563729167</v>
      </c>
      <c r="AT47" s="15" t="n">
        <f aca="false">Motore_Operativo!CI47</f>
        <v>1691.45033541667</v>
      </c>
      <c r="AU47" s="15" t="n">
        <f aca="false">MIN(MAX(0,(AV46)+AT47),Parametri_v3!$C$61/12)</f>
        <v>0</v>
      </c>
      <c r="AV47" s="15" t="n">
        <f aca="false">(AV46)+AT47-AU47</f>
        <v>39819.5898479167</v>
      </c>
      <c r="AW47" s="15" t="n">
        <f aca="false">IF(AND(Motore_Operativo!C47=Finanziamenti!$D$7,Finanziamenti!$F$7=1),Finanziamenti!$C$7,0)</f>
        <v>0</v>
      </c>
      <c r="AX47" s="15" t="n">
        <f aca="false">0</f>
        <v>0</v>
      </c>
      <c r="AY47" s="15" t="n">
        <f aca="false">IF(7=Parametri_v3!$C$33,IF(BV47&lt;MIN(12,$B47-1),0,MIN(MAX(0,SUM(Y29:Y40))*Ipotesi!$C$94,MAX(0,(BM40)-(BO46)-BP47),MAX(0,BD47-Parametri_v3!$C$31))),0)</f>
        <v>0</v>
      </c>
      <c r="AZ47" s="15" t="n">
        <f aca="false">0</f>
        <v>0</v>
      </c>
      <c r="BA47" s="15" t="n">
        <f aca="false">0</f>
        <v>0</v>
      </c>
      <c r="BB47" s="15" t="n">
        <f aca="false">0</f>
        <v>0</v>
      </c>
      <c r="BC47" s="15" t="n">
        <f aca="false">0</f>
        <v>0</v>
      </c>
      <c r="BD47" s="15" t="n">
        <f aca="false">(BH46)+AC47-AF47-AI47-AS47-K47*(1+Parametri_v3!$C$26)-AL47-AQ47-O47+AW47+AX47+AZ47+BA47-BB47</f>
        <v>-21678.8836937499</v>
      </c>
      <c r="BE47" s="15" t="n">
        <f aca="false">0</f>
        <v>0</v>
      </c>
      <c r="BF47" s="15" t="n">
        <f aca="false">0</f>
        <v>0</v>
      </c>
      <c r="BG47" s="15" t="n">
        <f aca="false">0</f>
        <v>0</v>
      </c>
      <c r="BH47" s="15" t="n">
        <f aca="false">BD47+BE47-BF47-AY47</f>
        <v>-21678.8836937499</v>
      </c>
      <c r="BI47" s="15" t="n">
        <f aca="false">MAX(0,Parametri_v3!$C$31-BH47)</f>
        <v>31678.8836937499</v>
      </c>
      <c r="BJ47" s="15" t="n">
        <f aca="false">(BJ46)+K47</f>
        <v>17666.6666666667</v>
      </c>
      <c r="BK47" s="15" t="n">
        <f aca="false">(BK46)+L47</f>
        <v>8865.74074074074</v>
      </c>
      <c r="BL47" s="15" t="n">
        <f aca="false">BJ47-BK47</f>
        <v>8800.92592592592</v>
      </c>
      <c r="BM47" s="15" t="n">
        <f aca="false">(BM46)+Y47</f>
        <v>105772.475318968</v>
      </c>
      <c r="BN47" s="15" t="n">
        <f aca="false">(BN46)+AW47+AX47+AZ47</f>
        <v>20000</v>
      </c>
      <c r="BO47" s="15" t="n">
        <f aca="false">(BO46)+AY47</f>
        <v>0</v>
      </c>
      <c r="BP47" s="15" t="n">
        <f aca="false">MIN(Parametri_v3!$C$36*Parametri_v3!$C$35,(BP46)+IF(7=1,MAX(0,SUM(Y29:Y40))*Parametri_v3!$C$34,0))</f>
        <v>2000</v>
      </c>
      <c r="BQ47" s="15" t="n">
        <f aca="false">BN47+BM47-BO47</f>
        <v>125772.475318968</v>
      </c>
      <c r="BR47" s="15" t="n">
        <f aca="false">BH47+AD47+BL47+MAX(0,-AM47)+MAX(0,-AR47)</f>
        <v>239890.792232176</v>
      </c>
      <c r="BS47" s="15" t="n">
        <f aca="false">AJ47+AV47+MAX(0,AM47)+MAX(0,AR47)+BC47+BG47+BQ47+AG47</f>
        <v>239890.792232176</v>
      </c>
      <c r="BT47" s="15" t="n">
        <f aca="false">BR47-BS47</f>
        <v>0</v>
      </c>
      <c r="BU47" s="15" t="n">
        <f aca="false">BH47-(BD47+BE47-BF47-AY47)</f>
        <v>0</v>
      </c>
      <c r="BV47" s="15" t="n">
        <f aca="false">IF(BH46&lt;Parametri_v3!$C$31,0,BV46+1)</f>
        <v>0</v>
      </c>
    </row>
    <row r="48" customFormat="false" ht="18" hidden="false" customHeight="true" outlineLevel="0" collapsed="false">
      <c r="A48" s="68" t="n">
        <f aca="false">1</f>
        <v>1</v>
      </c>
      <c r="B48" s="68" t="n">
        <f aca="false">44</f>
        <v>44</v>
      </c>
      <c r="C48" s="18" t="n">
        <f aca="false">Motore_Operativo!C48</f>
        <v>47696</v>
      </c>
      <c r="D48" s="68" t="n">
        <f aca="false">Motore_Operativo!D48</f>
        <v>2030</v>
      </c>
      <c r="E48" s="68" t="n">
        <f aca="false">Motore_Operativo!E48</f>
        <v>8</v>
      </c>
      <c r="F48" s="15" t="n">
        <f aca="false">Motore_Operativo!AM48</f>
        <v>69062.5</v>
      </c>
      <c r="G48" s="15" t="n">
        <f aca="false">Motore_Operativo!BH48</f>
        <v>6906.25</v>
      </c>
      <c r="H48" s="15" t="n">
        <f aca="false">Motore_Operativo!AM48</f>
        <v>69062.5</v>
      </c>
      <c r="I48" s="15" t="n">
        <f aca="false">Motore_Operativo!CB48</f>
        <v>59191.5067083333</v>
      </c>
      <c r="J48" s="15" t="n">
        <f aca="false">Motore_Operativo!CD48</f>
        <v>9870.99329166667</v>
      </c>
      <c r="K48" s="15" t="n">
        <f aca="false">Motore_Operativo!CF48</f>
        <v>666.666666666667</v>
      </c>
      <c r="L48" s="15" t="n">
        <f aca="false">SUM(INDEX($K$5:$K$64,MAX(1,44-Parametri_v3!$C$59+1)):K48)/Parametri_v3!$C$59</f>
        <v>453.703703703704</v>
      </c>
      <c r="M48" s="15" t="n">
        <f aca="false">J48-L48</f>
        <v>9417.28958796297</v>
      </c>
      <c r="N48" s="15" t="n">
        <f aca="false">0</f>
        <v>0</v>
      </c>
      <c r="O48" s="15" t="n">
        <f aca="false">0</f>
        <v>0</v>
      </c>
      <c r="P48" s="15" t="n">
        <f aca="false">M48+N48-O48</f>
        <v>9417.28958796297</v>
      </c>
      <c r="Q48" s="15" t="n">
        <f aca="false">SUM(P41:P48)+Parametri_v3!$C$56*8/12</f>
        <v>75662.3907777778</v>
      </c>
      <c r="R48" s="15" t="n">
        <f aca="false">Z40</f>
        <v>0</v>
      </c>
      <c r="S48" s="15" t="n">
        <f aca="false">AA40</f>
        <v>0</v>
      </c>
      <c r="T48" s="15" t="n">
        <f aca="false">MIN(R48,MAX(0,Q48))</f>
        <v>0</v>
      </c>
      <c r="U48" s="15" t="n">
        <f aca="false">MIN(S48,MAX(0,Q48-T48)*Parametri_v3!$C$42)</f>
        <v>0</v>
      </c>
      <c r="V48" s="15" t="n">
        <f aca="false">MAX(0,Q48-T48-U48)*Ipotesi!$C$92</f>
        <v>18158.9737866667</v>
      </c>
      <c r="W48" s="15" t="n">
        <f aca="false">MAX(0,SUM(M41:M48)+Parametri_v3!$C$57*8/12)*Ipotesi!$C$93</f>
        <v>2950.83324033334</v>
      </c>
      <c r="X48" s="15" t="n">
        <f aca="false">V48+W48-(V47+W47)</f>
        <v>2627.42379504166</v>
      </c>
      <c r="Y48" s="15" t="n">
        <f aca="false">P48-X48</f>
        <v>6789.8657929213</v>
      </c>
      <c r="Z48" s="15" t="n">
        <f aca="false">R48-T48+IF(AND(Parametri_v3!$C$40=1,D48-YEAR(Parametri_v3!$C$50)&lt;Parametri_v3!$C$41),MAX(0,-Q48),0)</f>
        <v>0</v>
      </c>
      <c r="AA48" s="15" t="n">
        <f aca="false">S48-U48+IF(AND(Parametri_v3!$C$40=1,D48-YEAR(Parametri_v3!$C$50)&lt;Parametri_v3!$C$41),0,MAX(0,-Q48))</f>
        <v>0</v>
      </c>
      <c r="AB48" s="15" t="n">
        <f aca="false">F48*(1+Parametri_v3!$C$26)</f>
        <v>84256.25</v>
      </c>
      <c r="AC48" s="15" t="n">
        <f aca="false">(IF(44-(INT((Motore_Operativo!L48)/30))&lt;1,0,INDEX(Motore_Advisory!$AB$5:$AB$64,MAX(1,44-(INT((Motore_Operativo!L48)/30)))))*(1-(MOD((Motore_Operativo!L48),30)/30))+IF(44-(INT((Motore_Operativo!L48)/30))-1&lt;1,0,INDEX(Motore_Advisory!$AB$5:$AB$64,MAX(1,44-(INT((Motore_Operativo!L48)/30))-1)))*(MOD((Motore_Operativo!L48),30)/30))</f>
        <v>84256.25</v>
      </c>
      <c r="AD48" s="15" t="n">
        <f aca="false">(AD47)+AB48-AC48</f>
        <v>252768.75</v>
      </c>
      <c r="AE48" s="15" t="n">
        <f aca="false">Motore_Operativo!BH48*(1+Parametri_v3!$C$26)</f>
        <v>8425.625</v>
      </c>
      <c r="AF48" s="15" t="n">
        <f aca="false">(IF(44-(INT((Parametri_v3!$C$29)/30))&lt;1,0,INDEX(Motore_Operativo!$BH$5:$BH$64,MAX(1,44-(INT((Parametri_v3!$C$29)/30)))))*(1-(MOD((Parametri_v3!$C$29),30)/30))+IF(44-(INT((Parametri_v3!$C$29)/30))-1&lt;1,0,INDEX(Motore_Operativo!$BH$5:$BH$64,MAX(1,44-(INT((Parametri_v3!$C$29)/30))-1)))*(MOD((Parametri_v3!$C$29),30)/30))*(1+Parametri_v3!$C$26)</f>
        <v>8425.625</v>
      </c>
      <c r="AG48" s="15" t="n">
        <f aca="false">(AG47)+AE48-AF48</f>
        <v>8425.625</v>
      </c>
      <c r="AH48" s="15" t="n">
        <f aca="false">(Motore_Operativo!CK48)*(1+Parametri_v3!$C$28*Parametri_v3!$C$26)</f>
        <v>21704.55</v>
      </c>
      <c r="AI48" s="15" t="n">
        <f aca="false">(IF(44-(INT((Ipotesi!$C$91)/30))&lt;1,0,INDEX(Motore_Advisory!$AH$5:$AH$64,MAX(1,44-(INT((Ipotesi!$C$91)/30)))))*(1-(MOD((Ipotesi!$C$91),30)/30))+IF(44-(INT((Ipotesi!$C$91)/30))-1&lt;1,0,INDEX(Motore_Advisory!$AH$5:$AH$64,MAX(1,44-(INT((Ipotesi!$C$91)/30))-1)))*(MOD((Ipotesi!$C$91),30)/30))</f>
        <v>21704.55</v>
      </c>
      <c r="AJ48" s="15" t="n">
        <f aca="false">(AJ47)+AH48-AI48</f>
        <v>43409.1</v>
      </c>
      <c r="AK48" s="15" t="n">
        <f aca="false">(F48- Motore_Operativo!BH48-(Motore_Operativo!CK48)*Parametri_v3!$C$28-Motore_Operativo!CF48)*Parametri_v3!$C$26</f>
        <v>10279.4083333333</v>
      </c>
      <c r="AL48" s="15" t="n">
        <f aca="false">MAX(0,(AM47))</f>
        <v>10279.4083333333</v>
      </c>
      <c r="AM48" s="15" t="n">
        <f aca="false">(AM47)+AK48-AL48</f>
        <v>10279.4083333333</v>
      </c>
      <c r="AN48" s="15" t="n">
        <f aca="false">SUM(X29:X40)</f>
        <v>15744.47375</v>
      </c>
      <c r="AO48" s="15" t="n">
        <f aca="false">SUM(AP29:AP40)</f>
        <v>3576.005</v>
      </c>
      <c r="AP48" s="15" t="n">
        <f aca="false">MAX(0,AN48)*IF(8=Parametri_v3!$C$43,Parametri_v3!$C$45,IF(8=Parametri_v3!$C$44,1-Parametri_v3!$C$45,0))</f>
        <v>0</v>
      </c>
      <c r="AQ48" s="15" t="n">
        <f aca="false">MAX(0,AP48+IF(8=Parametri_v3!$C$43,MAX(0,AN48-AO48),0)-MAX(0,-(AR47)))</f>
        <v>0</v>
      </c>
      <c r="AR48" s="15" t="n">
        <f aca="false">(AR47)+X48-AQ48</f>
        <v>14812.017527</v>
      </c>
      <c r="AS48" s="15" t="n">
        <f aca="false">Motore_Operativo!AC48-AT48+AU48</f>
        <v>32137.5563729167</v>
      </c>
      <c r="AT48" s="15" t="n">
        <f aca="false">Motore_Operativo!CI48</f>
        <v>1691.45033541667</v>
      </c>
      <c r="AU48" s="15" t="n">
        <f aca="false">MIN(MAX(0,(AV47)+AT48),Parametri_v3!$C$61/12)</f>
        <v>0</v>
      </c>
      <c r="AV48" s="15" t="n">
        <f aca="false">(AV47)+AT48-AU48</f>
        <v>41511.0401833333</v>
      </c>
      <c r="AW48" s="15" t="n">
        <f aca="false">IF(AND(Motore_Operativo!C48=Finanziamenti!$D$7,Finanziamenti!$F$7=1),Finanziamenti!$C$7,0)</f>
        <v>0</v>
      </c>
      <c r="AX48" s="15" t="n">
        <f aca="false">0</f>
        <v>0</v>
      </c>
      <c r="AY48" s="15" t="n">
        <f aca="false">IF(8=Parametri_v3!$C$33,IF(BV48&lt;MIN(12,$B48-1),0,MIN(MAX(0,SUM(Y29:Y40))*Ipotesi!$C$94,MAX(0,(BM40)-(BO47)-BP48),MAX(0,BD48-Parametri_v3!$C$31))),0)</f>
        <v>0</v>
      </c>
      <c r="AZ48" s="15" t="n">
        <f aca="false">0</f>
        <v>0</v>
      </c>
      <c r="BA48" s="15" t="n">
        <f aca="false">0</f>
        <v>0</v>
      </c>
      <c r="BB48" s="15" t="n">
        <f aca="false">0</f>
        <v>0</v>
      </c>
      <c r="BC48" s="15" t="n">
        <f aca="false">0</f>
        <v>0</v>
      </c>
      <c r="BD48" s="15" t="n">
        <f aca="false">(BH47)+AC48-AF48-AI48-AS48-K48*(1+Parametri_v3!$C$26)-AL48-AQ48-O48+AW48+AX48+AZ48+BA48-BB48</f>
        <v>-10783.1067333333</v>
      </c>
      <c r="BE48" s="15" t="n">
        <f aca="false">0</f>
        <v>0</v>
      </c>
      <c r="BF48" s="15" t="n">
        <f aca="false">0</f>
        <v>0</v>
      </c>
      <c r="BG48" s="15" t="n">
        <f aca="false">0</f>
        <v>0</v>
      </c>
      <c r="BH48" s="15" t="n">
        <f aca="false">BD48+BE48-BF48-AY48</f>
        <v>-10783.1067333333</v>
      </c>
      <c r="BI48" s="15" t="n">
        <f aca="false">MAX(0,Parametri_v3!$C$31-BH48)</f>
        <v>20783.1067333333</v>
      </c>
      <c r="BJ48" s="15" t="n">
        <f aca="false">(BJ47)+K48</f>
        <v>18333.3333333333</v>
      </c>
      <c r="BK48" s="15" t="n">
        <f aca="false">(BK47)+L48</f>
        <v>9319.44444444444</v>
      </c>
      <c r="BL48" s="15" t="n">
        <f aca="false">BJ48-BK48</f>
        <v>9013.88888888889</v>
      </c>
      <c r="BM48" s="15" t="n">
        <f aca="false">(BM47)+Y48</f>
        <v>112562.341111889</v>
      </c>
      <c r="BN48" s="15" t="n">
        <f aca="false">(BN47)+AW48+AX48+AZ48</f>
        <v>20000</v>
      </c>
      <c r="BO48" s="15" t="n">
        <f aca="false">(BO47)+AY48</f>
        <v>0</v>
      </c>
      <c r="BP48" s="15" t="n">
        <f aca="false">MIN(Parametri_v3!$C$36*Parametri_v3!$C$35,(BP47)+IF(8=1,MAX(0,SUM(Y29:Y40))*Parametri_v3!$C$34,0))</f>
        <v>2000</v>
      </c>
      <c r="BQ48" s="15" t="n">
        <f aca="false">BN48+BM48-BO48</f>
        <v>132562.341111889</v>
      </c>
      <c r="BR48" s="15" t="n">
        <f aca="false">BH48+AD48+BL48+MAX(0,-AM48)+MAX(0,-AR48)</f>
        <v>250999.532155556</v>
      </c>
      <c r="BS48" s="15" t="n">
        <f aca="false">AJ48+AV48+MAX(0,AM48)+MAX(0,AR48)+BC48+BG48+BQ48+AG48</f>
        <v>250999.532155556</v>
      </c>
      <c r="BT48" s="15" t="n">
        <f aca="false">BR48-BS48</f>
        <v>0</v>
      </c>
      <c r="BU48" s="15" t="n">
        <f aca="false">BH48-(BD48+BE48-BF48-AY48)</f>
        <v>0</v>
      </c>
      <c r="BV48" s="15" t="n">
        <f aca="false">IF(BH47&lt;Parametri_v3!$C$31,0,BV47+1)</f>
        <v>0</v>
      </c>
    </row>
    <row r="49" customFormat="false" ht="18" hidden="false" customHeight="true" outlineLevel="0" collapsed="false">
      <c r="A49" s="68" t="n">
        <f aca="false">1</f>
        <v>1</v>
      </c>
      <c r="B49" s="68" t="n">
        <f aca="false">45</f>
        <v>45</v>
      </c>
      <c r="C49" s="18" t="n">
        <f aca="false">Motore_Operativo!C49</f>
        <v>47727</v>
      </c>
      <c r="D49" s="68" t="n">
        <f aca="false">Motore_Operativo!D49</f>
        <v>2030</v>
      </c>
      <c r="E49" s="68" t="n">
        <f aca="false">Motore_Operativo!E49</f>
        <v>9</v>
      </c>
      <c r="F49" s="15" t="n">
        <f aca="false">Motore_Operativo!AM49</f>
        <v>69062.5</v>
      </c>
      <c r="G49" s="15" t="n">
        <f aca="false">Motore_Operativo!BH49</f>
        <v>6906.25</v>
      </c>
      <c r="H49" s="15" t="n">
        <f aca="false">Motore_Operativo!AM49</f>
        <v>69062.5</v>
      </c>
      <c r="I49" s="15" t="n">
        <f aca="false">Motore_Operativo!CB49</f>
        <v>59191.5067083333</v>
      </c>
      <c r="J49" s="15" t="n">
        <f aca="false">Motore_Operativo!CD49</f>
        <v>9870.99329166667</v>
      </c>
      <c r="K49" s="15" t="n">
        <f aca="false">Motore_Operativo!CF49</f>
        <v>666.666666666667</v>
      </c>
      <c r="L49" s="15" t="n">
        <f aca="false">SUM(INDEX($K$5:$K$64,MAX(1,45-Parametri_v3!$C$59+1)):K49)/Parametri_v3!$C$59</f>
        <v>465.277777777778</v>
      </c>
      <c r="M49" s="15" t="n">
        <f aca="false">J49-L49</f>
        <v>9405.7155138889</v>
      </c>
      <c r="N49" s="15" t="n">
        <f aca="false">0</f>
        <v>0</v>
      </c>
      <c r="O49" s="15" t="n">
        <f aca="false">0</f>
        <v>0</v>
      </c>
      <c r="P49" s="15" t="n">
        <f aca="false">M49+N49-O49</f>
        <v>9405.7155138889</v>
      </c>
      <c r="Q49" s="15" t="n">
        <f aca="false">SUM(P41:P49)+Parametri_v3!$C$56*9/12</f>
        <v>85068.1062916667</v>
      </c>
      <c r="R49" s="15" t="n">
        <f aca="false">Z40</f>
        <v>0</v>
      </c>
      <c r="S49" s="15" t="n">
        <f aca="false">AA40</f>
        <v>0</v>
      </c>
      <c r="T49" s="15" t="n">
        <f aca="false">MIN(R49,MAX(0,Q49))</f>
        <v>0</v>
      </c>
      <c r="U49" s="15" t="n">
        <f aca="false">MIN(S49,MAX(0,Q49-T49)*Parametri_v3!$C$42)</f>
        <v>0</v>
      </c>
      <c r="V49" s="15" t="n">
        <f aca="false">MAX(0,Q49-T49-U49)*Ipotesi!$C$92</f>
        <v>20416.34551</v>
      </c>
      <c r="W49" s="15" t="n">
        <f aca="false">MAX(0,SUM(M41:M49)+Parametri_v3!$C$57*9/12)*Ipotesi!$C$93</f>
        <v>3317.656145375</v>
      </c>
      <c r="X49" s="15" t="n">
        <f aca="false">V49+W49-(V48+W48)</f>
        <v>2624.194628375</v>
      </c>
      <c r="Y49" s="15" t="n">
        <f aca="false">P49-X49</f>
        <v>6781.5208855139</v>
      </c>
      <c r="Z49" s="15" t="n">
        <f aca="false">R49-T49+IF(AND(Parametri_v3!$C$40=1,D49-YEAR(Parametri_v3!$C$50)&lt;Parametri_v3!$C$41),MAX(0,-Q49),0)</f>
        <v>0</v>
      </c>
      <c r="AA49" s="15" t="n">
        <f aca="false">S49-U49+IF(AND(Parametri_v3!$C$40=1,D49-YEAR(Parametri_v3!$C$50)&lt;Parametri_v3!$C$41),0,MAX(0,-Q49))</f>
        <v>0</v>
      </c>
      <c r="AB49" s="15" t="n">
        <f aca="false">F49*(1+Parametri_v3!$C$26)</f>
        <v>84256.25</v>
      </c>
      <c r="AC49" s="15" t="n">
        <f aca="false">(IF(45-(INT((Motore_Operativo!L49)/30))&lt;1,0,INDEX(Motore_Advisory!$AB$5:$AB$64,MAX(1,45-(INT((Motore_Operativo!L49)/30)))))*(1-(MOD((Motore_Operativo!L49),30)/30))+IF(45-(INT((Motore_Operativo!L49)/30))-1&lt;1,0,INDEX(Motore_Advisory!$AB$5:$AB$64,MAX(1,45-(INT((Motore_Operativo!L49)/30))-1)))*(MOD((Motore_Operativo!L49),30)/30))</f>
        <v>84256.25</v>
      </c>
      <c r="AD49" s="15" t="n">
        <f aca="false">(AD48)+AB49-AC49</f>
        <v>252768.75</v>
      </c>
      <c r="AE49" s="15" t="n">
        <f aca="false">Motore_Operativo!BH49*(1+Parametri_v3!$C$26)</f>
        <v>8425.625</v>
      </c>
      <c r="AF49" s="15" t="n">
        <f aca="false">(IF(45-(INT((Parametri_v3!$C$29)/30))&lt;1,0,INDEX(Motore_Operativo!$BH$5:$BH$64,MAX(1,45-(INT((Parametri_v3!$C$29)/30)))))*(1-(MOD((Parametri_v3!$C$29),30)/30))+IF(45-(INT((Parametri_v3!$C$29)/30))-1&lt;1,0,INDEX(Motore_Operativo!$BH$5:$BH$64,MAX(1,45-(INT((Parametri_v3!$C$29)/30))-1)))*(MOD((Parametri_v3!$C$29),30)/30))*(1+Parametri_v3!$C$26)</f>
        <v>8425.625</v>
      </c>
      <c r="AG49" s="15" t="n">
        <f aca="false">(AG48)+AE49-AF49</f>
        <v>8425.625</v>
      </c>
      <c r="AH49" s="15" t="n">
        <f aca="false">(Motore_Operativo!CK49)*(1+Parametri_v3!$C$28*Parametri_v3!$C$26)</f>
        <v>21704.55</v>
      </c>
      <c r="AI49" s="15" t="n">
        <f aca="false">(IF(45-(INT((Ipotesi!$C$91)/30))&lt;1,0,INDEX(Motore_Advisory!$AH$5:$AH$64,MAX(1,45-(INT((Ipotesi!$C$91)/30)))))*(1-(MOD((Ipotesi!$C$91),30)/30))+IF(45-(INT((Ipotesi!$C$91)/30))-1&lt;1,0,INDEX(Motore_Advisory!$AH$5:$AH$64,MAX(1,45-(INT((Ipotesi!$C$91)/30))-1)))*(MOD((Ipotesi!$C$91),30)/30))</f>
        <v>21704.55</v>
      </c>
      <c r="AJ49" s="15" t="n">
        <f aca="false">(AJ48)+AH49-AI49</f>
        <v>43409.1</v>
      </c>
      <c r="AK49" s="15" t="n">
        <f aca="false">(F49- Motore_Operativo!BH49-(Motore_Operativo!CK49)*Parametri_v3!$C$28-Motore_Operativo!CF49)*Parametri_v3!$C$26</f>
        <v>10279.4083333333</v>
      </c>
      <c r="AL49" s="15" t="n">
        <f aca="false">MAX(0,(AM48))</f>
        <v>10279.4083333333</v>
      </c>
      <c r="AM49" s="15" t="n">
        <f aca="false">(AM48)+AK49-AL49</f>
        <v>10279.4083333333</v>
      </c>
      <c r="AN49" s="15" t="n">
        <f aca="false">SUM(X29:X40)</f>
        <v>15744.47375</v>
      </c>
      <c r="AO49" s="15" t="n">
        <f aca="false">SUM(AP29:AP40)</f>
        <v>3576.005</v>
      </c>
      <c r="AP49" s="15" t="n">
        <f aca="false">MAX(0,AN49)*IF(9=Parametri_v3!$C$43,Parametri_v3!$C$45,IF(9=Parametri_v3!$C$44,1-Parametri_v3!$C$45,0))</f>
        <v>0</v>
      </c>
      <c r="AQ49" s="15" t="n">
        <f aca="false">MAX(0,AP49+IF(9=Parametri_v3!$C$43,MAX(0,AN49-AO49),0)-MAX(0,-(AR48)))</f>
        <v>0</v>
      </c>
      <c r="AR49" s="15" t="n">
        <f aca="false">(AR48)+X49-AQ49</f>
        <v>17436.212155375</v>
      </c>
      <c r="AS49" s="15" t="n">
        <f aca="false">Motore_Operativo!AC49-AT49+AU49</f>
        <v>32137.5563729167</v>
      </c>
      <c r="AT49" s="15" t="n">
        <f aca="false">Motore_Operativo!CI49</f>
        <v>1691.45033541667</v>
      </c>
      <c r="AU49" s="15" t="n">
        <f aca="false">MIN(MAX(0,(AV48)+AT49),Parametri_v3!$C$61/12)</f>
        <v>0</v>
      </c>
      <c r="AV49" s="15" t="n">
        <f aca="false">(AV48)+AT49-AU49</f>
        <v>43202.49051875</v>
      </c>
      <c r="AW49" s="15" t="n">
        <f aca="false">IF(AND(Motore_Operativo!C49=Finanziamenti!$D$7,Finanziamenti!$F$7=1),Finanziamenti!$C$7,0)</f>
        <v>0</v>
      </c>
      <c r="AX49" s="15" t="n">
        <f aca="false">0</f>
        <v>0</v>
      </c>
      <c r="AY49" s="15" t="n">
        <f aca="false">IF(9=Parametri_v3!$C$33,IF(BV49&lt;MIN(12,$B49-1),0,MIN(MAX(0,SUM(Y29:Y40))*Ipotesi!$C$94,MAX(0,(BM40)-(BO48)-BP49),MAX(0,BD49-Parametri_v3!$C$31))),0)</f>
        <v>0</v>
      </c>
      <c r="AZ49" s="15" t="n">
        <f aca="false">0</f>
        <v>0</v>
      </c>
      <c r="BA49" s="15" t="n">
        <f aca="false">0</f>
        <v>0</v>
      </c>
      <c r="BB49" s="15" t="n">
        <f aca="false">0</f>
        <v>0</v>
      </c>
      <c r="BC49" s="15" t="n">
        <f aca="false">0</f>
        <v>0</v>
      </c>
      <c r="BD49" s="15" t="n">
        <f aca="false">(BH48)+AC49-AF49-AI49-AS49-K49*(1+Parametri_v3!$C$26)-AL49-AQ49-O49+AW49+AX49+AZ49+BA49-BB49</f>
        <v>112.670227083414</v>
      </c>
      <c r="BE49" s="15" t="n">
        <f aca="false">0</f>
        <v>0</v>
      </c>
      <c r="BF49" s="15" t="n">
        <f aca="false">0</f>
        <v>0</v>
      </c>
      <c r="BG49" s="15" t="n">
        <f aca="false">0</f>
        <v>0</v>
      </c>
      <c r="BH49" s="15" t="n">
        <f aca="false">BD49+BE49-BF49-AY49</f>
        <v>112.670227083414</v>
      </c>
      <c r="BI49" s="15" t="n">
        <f aca="false">MAX(0,Parametri_v3!$C$31-BH49)</f>
        <v>9887.32977291659</v>
      </c>
      <c r="BJ49" s="15" t="n">
        <f aca="false">(BJ48)+K49</f>
        <v>19000</v>
      </c>
      <c r="BK49" s="15" t="n">
        <f aca="false">(BK48)+L49</f>
        <v>9784.72222222222</v>
      </c>
      <c r="BL49" s="15" t="n">
        <f aca="false">BJ49-BK49</f>
        <v>9215.27777777778</v>
      </c>
      <c r="BM49" s="15" t="n">
        <f aca="false">(BM48)+Y49</f>
        <v>119343.861997403</v>
      </c>
      <c r="BN49" s="15" t="n">
        <f aca="false">(BN48)+AW49+AX49+AZ49</f>
        <v>20000</v>
      </c>
      <c r="BO49" s="15" t="n">
        <f aca="false">(BO48)+AY49</f>
        <v>0</v>
      </c>
      <c r="BP49" s="15" t="n">
        <f aca="false">MIN(Parametri_v3!$C$36*Parametri_v3!$C$35,(BP48)+IF(9=1,MAX(0,SUM(Y29:Y40))*Parametri_v3!$C$34,0))</f>
        <v>2000</v>
      </c>
      <c r="BQ49" s="15" t="n">
        <f aca="false">BN49+BM49-BO49</f>
        <v>139343.861997403</v>
      </c>
      <c r="BR49" s="15" t="n">
        <f aca="false">BH49+AD49+BL49+MAX(0,-AM49)+MAX(0,-AR49)</f>
        <v>262096.698004861</v>
      </c>
      <c r="BS49" s="15" t="n">
        <f aca="false">AJ49+AV49+MAX(0,AM49)+MAX(0,AR49)+BC49+BG49+BQ49+AG49</f>
        <v>262096.698004861</v>
      </c>
      <c r="BT49" s="15" t="n">
        <f aca="false">BR49-BS49</f>
        <v>0</v>
      </c>
      <c r="BU49" s="15" t="n">
        <f aca="false">BH49-(BD49+BE49-BF49-AY49)</f>
        <v>0</v>
      </c>
      <c r="BV49" s="15" t="n">
        <f aca="false">IF(BH48&lt;Parametri_v3!$C$31,0,BV48+1)</f>
        <v>0</v>
      </c>
    </row>
    <row r="50" customFormat="false" ht="18" hidden="false" customHeight="true" outlineLevel="0" collapsed="false">
      <c r="A50" s="68" t="n">
        <f aca="false">1</f>
        <v>1</v>
      </c>
      <c r="B50" s="68" t="n">
        <f aca="false">46</f>
        <v>46</v>
      </c>
      <c r="C50" s="18" t="n">
        <f aca="false">Motore_Operativo!C50</f>
        <v>47757</v>
      </c>
      <c r="D50" s="68" t="n">
        <f aca="false">Motore_Operativo!D50</f>
        <v>2030</v>
      </c>
      <c r="E50" s="68" t="n">
        <f aca="false">Motore_Operativo!E50</f>
        <v>10</v>
      </c>
      <c r="F50" s="15" t="n">
        <f aca="false">Motore_Operativo!AM50</f>
        <v>69062.5</v>
      </c>
      <c r="G50" s="15" t="n">
        <f aca="false">Motore_Operativo!BH50</f>
        <v>6906.25</v>
      </c>
      <c r="H50" s="15" t="n">
        <f aca="false">Motore_Operativo!AM50</f>
        <v>69062.5</v>
      </c>
      <c r="I50" s="15" t="n">
        <f aca="false">Motore_Operativo!CB50</f>
        <v>59191.5067083333</v>
      </c>
      <c r="J50" s="15" t="n">
        <f aca="false">Motore_Operativo!CD50</f>
        <v>9870.99329166667</v>
      </c>
      <c r="K50" s="15" t="n">
        <f aca="false">Motore_Operativo!CF50</f>
        <v>666.666666666667</v>
      </c>
      <c r="L50" s="15" t="n">
        <f aca="false">SUM(INDEX($K$5:$K$64,MAX(1,46-Parametri_v3!$C$59+1)):K50)/Parametri_v3!$C$59</f>
        <v>476.851851851852</v>
      </c>
      <c r="M50" s="15" t="n">
        <f aca="false">J50-L50</f>
        <v>9394.14143981482</v>
      </c>
      <c r="N50" s="15" t="n">
        <f aca="false">0</f>
        <v>0</v>
      </c>
      <c r="O50" s="15" t="n">
        <f aca="false">0</f>
        <v>0</v>
      </c>
      <c r="P50" s="15" t="n">
        <f aca="false">M50+N50-O50</f>
        <v>9394.14143981482</v>
      </c>
      <c r="Q50" s="15" t="n">
        <f aca="false">SUM(P41:P50)+Parametri_v3!$C$56*10/12</f>
        <v>94462.2477314816</v>
      </c>
      <c r="R50" s="15" t="n">
        <f aca="false">Z40</f>
        <v>0</v>
      </c>
      <c r="S50" s="15" t="n">
        <f aca="false">AA40</f>
        <v>0</v>
      </c>
      <c r="T50" s="15" t="n">
        <f aca="false">MIN(R50,MAX(0,Q50))</f>
        <v>0</v>
      </c>
      <c r="U50" s="15" t="n">
        <f aca="false">MIN(S50,MAX(0,Q50-T50)*Parametri_v3!$C$42)</f>
        <v>0</v>
      </c>
      <c r="V50" s="15" t="n">
        <f aca="false">MAX(0,Q50-T50-U50)*Ipotesi!$C$92</f>
        <v>22670.9394555556</v>
      </c>
      <c r="W50" s="15" t="n">
        <f aca="false">MAX(0,SUM(M41:M50)+Parametri_v3!$C$57*10/12)*Ipotesi!$C$93</f>
        <v>3684.02766152778</v>
      </c>
      <c r="X50" s="15" t="n">
        <f aca="false">V50+W50-(V49+W49)</f>
        <v>2620.96546170834</v>
      </c>
      <c r="Y50" s="15" t="n">
        <f aca="false">P50-X50</f>
        <v>6773.17597810648</v>
      </c>
      <c r="Z50" s="15" t="n">
        <f aca="false">R50-T50+IF(AND(Parametri_v3!$C$40=1,D50-YEAR(Parametri_v3!$C$50)&lt;Parametri_v3!$C$41),MAX(0,-Q50),0)</f>
        <v>0</v>
      </c>
      <c r="AA50" s="15" t="n">
        <f aca="false">S50-U50+IF(AND(Parametri_v3!$C$40=1,D50-YEAR(Parametri_v3!$C$50)&lt;Parametri_v3!$C$41),0,MAX(0,-Q50))</f>
        <v>0</v>
      </c>
      <c r="AB50" s="15" t="n">
        <f aca="false">F50*(1+Parametri_v3!$C$26)</f>
        <v>84256.25</v>
      </c>
      <c r="AC50" s="15" t="n">
        <f aca="false">(IF(46-(INT((Motore_Operativo!L50)/30))&lt;1,0,INDEX(Motore_Advisory!$AB$5:$AB$64,MAX(1,46-(INT((Motore_Operativo!L50)/30)))))*(1-(MOD((Motore_Operativo!L50),30)/30))+IF(46-(INT((Motore_Operativo!L50)/30))-1&lt;1,0,INDEX(Motore_Advisory!$AB$5:$AB$64,MAX(1,46-(INT((Motore_Operativo!L50)/30))-1)))*(MOD((Motore_Operativo!L50),30)/30))</f>
        <v>84256.25</v>
      </c>
      <c r="AD50" s="15" t="n">
        <f aca="false">(AD49)+AB50-AC50</f>
        <v>252768.75</v>
      </c>
      <c r="AE50" s="15" t="n">
        <f aca="false">Motore_Operativo!BH50*(1+Parametri_v3!$C$26)</f>
        <v>8425.625</v>
      </c>
      <c r="AF50" s="15" t="n">
        <f aca="false">(IF(46-(INT((Parametri_v3!$C$29)/30))&lt;1,0,INDEX(Motore_Operativo!$BH$5:$BH$64,MAX(1,46-(INT((Parametri_v3!$C$29)/30)))))*(1-(MOD((Parametri_v3!$C$29),30)/30))+IF(46-(INT((Parametri_v3!$C$29)/30))-1&lt;1,0,INDEX(Motore_Operativo!$BH$5:$BH$64,MAX(1,46-(INT((Parametri_v3!$C$29)/30))-1)))*(MOD((Parametri_v3!$C$29),30)/30))*(1+Parametri_v3!$C$26)</f>
        <v>8425.625</v>
      </c>
      <c r="AG50" s="15" t="n">
        <f aca="false">(AG49)+AE50-AF50</f>
        <v>8425.625</v>
      </c>
      <c r="AH50" s="15" t="n">
        <f aca="false">(Motore_Operativo!CK50)*(1+Parametri_v3!$C$28*Parametri_v3!$C$26)</f>
        <v>21704.55</v>
      </c>
      <c r="AI50" s="15" t="n">
        <f aca="false">(IF(46-(INT((Ipotesi!$C$91)/30))&lt;1,0,INDEX(Motore_Advisory!$AH$5:$AH$64,MAX(1,46-(INT((Ipotesi!$C$91)/30)))))*(1-(MOD((Ipotesi!$C$91),30)/30))+IF(46-(INT((Ipotesi!$C$91)/30))-1&lt;1,0,INDEX(Motore_Advisory!$AH$5:$AH$64,MAX(1,46-(INT((Ipotesi!$C$91)/30))-1)))*(MOD((Ipotesi!$C$91),30)/30))</f>
        <v>21704.55</v>
      </c>
      <c r="AJ50" s="15" t="n">
        <f aca="false">(AJ49)+AH50-AI50</f>
        <v>43409.1</v>
      </c>
      <c r="AK50" s="15" t="n">
        <f aca="false">(F50- Motore_Operativo!BH50-(Motore_Operativo!CK50)*Parametri_v3!$C$28-Motore_Operativo!CF50)*Parametri_v3!$C$26</f>
        <v>10279.4083333333</v>
      </c>
      <c r="AL50" s="15" t="n">
        <f aca="false">MAX(0,(AM49))</f>
        <v>10279.4083333333</v>
      </c>
      <c r="AM50" s="15" t="n">
        <f aca="false">(AM49)+AK50-AL50</f>
        <v>10279.4083333333</v>
      </c>
      <c r="AN50" s="15" t="n">
        <f aca="false">SUM(X29:X40)</f>
        <v>15744.47375</v>
      </c>
      <c r="AO50" s="15" t="n">
        <f aca="false">SUM(AP29:AP40)</f>
        <v>3576.005</v>
      </c>
      <c r="AP50" s="15" t="n">
        <f aca="false">MAX(0,AN50)*IF(10=Parametri_v3!$C$43,Parametri_v3!$C$45,IF(10=Parametri_v3!$C$44,1-Parametri_v3!$C$45,0))</f>
        <v>0</v>
      </c>
      <c r="AQ50" s="15" t="n">
        <f aca="false">MAX(0,AP50+IF(10=Parametri_v3!$C$43,MAX(0,AN50-AO50),0)-MAX(0,-(AR49)))</f>
        <v>0</v>
      </c>
      <c r="AR50" s="15" t="n">
        <f aca="false">(AR49)+X50-AQ50</f>
        <v>20057.1776170833</v>
      </c>
      <c r="AS50" s="15" t="n">
        <f aca="false">Motore_Operativo!AC50-AT50+AU50</f>
        <v>32137.5563729167</v>
      </c>
      <c r="AT50" s="15" t="n">
        <f aca="false">Motore_Operativo!CI50</f>
        <v>1691.45033541667</v>
      </c>
      <c r="AU50" s="15" t="n">
        <f aca="false">MIN(MAX(0,(AV49)+AT50),Parametri_v3!$C$61/12)</f>
        <v>0</v>
      </c>
      <c r="AV50" s="15" t="n">
        <f aca="false">(AV49)+AT50-AU50</f>
        <v>44893.9408541667</v>
      </c>
      <c r="AW50" s="15" t="n">
        <f aca="false">IF(AND(Motore_Operativo!C50=Finanziamenti!$D$7,Finanziamenti!$F$7=1),Finanziamenti!$C$7,0)</f>
        <v>0</v>
      </c>
      <c r="AX50" s="15" t="n">
        <f aca="false">0</f>
        <v>0</v>
      </c>
      <c r="AY50" s="15" t="n">
        <f aca="false">IF(10=Parametri_v3!$C$33,IF(BV50&lt;MIN(12,$B50-1),0,MIN(MAX(0,SUM(Y29:Y40))*Ipotesi!$C$94,MAX(0,(BM40)-(BO49)-BP50),MAX(0,BD50-Parametri_v3!$C$31))),0)</f>
        <v>0</v>
      </c>
      <c r="AZ50" s="15" t="n">
        <f aca="false">0</f>
        <v>0</v>
      </c>
      <c r="BA50" s="15" t="n">
        <f aca="false">0</f>
        <v>0</v>
      </c>
      <c r="BB50" s="15" t="n">
        <f aca="false">0</f>
        <v>0</v>
      </c>
      <c r="BC50" s="15" t="n">
        <f aca="false">0</f>
        <v>0</v>
      </c>
      <c r="BD50" s="15" t="n">
        <f aca="false">(BH49)+AC50-AF50-AI50-AS50-K50*(1+Parametri_v3!$C$26)-AL50-AQ50-O50+AW50+AX50+AZ50+BA50-BB50</f>
        <v>11008.4471875001</v>
      </c>
      <c r="BE50" s="15" t="n">
        <f aca="false">0</f>
        <v>0</v>
      </c>
      <c r="BF50" s="15" t="n">
        <f aca="false">0</f>
        <v>0</v>
      </c>
      <c r="BG50" s="15" t="n">
        <f aca="false">0</f>
        <v>0</v>
      </c>
      <c r="BH50" s="15" t="n">
        <f aca="false">BD50+BE50-BF50-AY50</f>
        <v>11008.4471875001</v>
      </c>
      <c r="BI50" s="15" t="n">
        <f aca="false">MAX(0,Parametri_v3!$C$31-BH50)</f>
        <v>0</v>
      </c>
      <c r="BJ50" s="15" t="n">
        <f aca="false">(BJ49)+K50</f>
        <v>19666.6666666667</v>
      </c>
      <c r="BK50" s="15" t="n">
        <f aca="false">(BK49)+L50</f>
        <v>10261.5740740741</v>
      </c>
      <c r="BL50" s="15" t="n">
        <f aca="false">BJ50-BK50</f>
        <v>9405.09259259259</v>
      </c>
      <c r="BM50" s="15" t="n">
        <f aca="false">(BM49)+Y50</f>
        <v>126117.037975509</v>
      </c>
      <c r="BN50" s="15" t="n">
        <f aca="false">(BN49)+AW50+AX50+AZ50</f>
        <v>20000</v>
      </c>
      <c r="BO50" s="15" t="n">
        <f aca="false">(BO49)+AY50</f>
        <v>0</v>
      </c>
      <c r="BP50" s="15" t="n">
        <f aca="false">MIN(Parametri_v3!$C$36*Parametri_v3!$C$35,(BP49)+IF(10=1,MAX(0,SUM(Y29:Y40))*Parametri_v3!$C$34,0))</f>
        <v>2000</v>
      </c>
      <c r="BQ50" s="15" t="n">
        <f aca="false">BN50+BM50-BO50</f>
        <v>146117.037975509</v>
      </c>
      <c r="BR50" s="15" t="n">
        <f aca="false">BH50+AD50+BL50+MAX(0,-AM50)+MAX(0,-AR50)</f>
        <v>273182.289780093</v>
      </c>
      <c r="BS50" s="15" t="n">
        <f aca="false">AJ50+AV50+MAX(0,AM50)+MAX(0,AR50)+BC50+BG50+BQ50+AG50</f>
        <v>273182.289780093</v>
      </c>
      <c r="BT50" s="15" t="n">
        <f aca="false">BR50-BS50</f>
        <v>0</v>
      </c>
      <c r="BU50" s="15" t="n">
        <f aca="false">BH50-(BD50+BE50-BF50-AY50)</f>
        <v>0</v>
      </c>
      <c r="BV50" s="15" t="n">
        <f aca="false">IF(BH49&lt;Parametri_v3!$C$31,0,BV49+1)</f>
        <v>0</v>
      </c>
    </row>
    <row r="51" customFormat="false" ht="18" hidden="false" customHeight="true" outlineLevel="0" collapsed="false">
      <c r="A51" s="68" t="n">
        <f aca="false">1</f>
        <v>1</v>
      </c>
      <c r="B51" s="68" t="n">
        <f aca="false">47</f>
        <v>47</v>
      </c>
      <c r="C51" s="18" t="n">
        <f aca="false">Motore_Operativo!C51</f>
        <v>47788</v>
      </c>
      <c r="D51" s="68" t="n">
        <f aca="false">Motore_Operativo!D51</f>
        <v>2030</v>
      </c>
      <c r="E51" s="68" t="n">
        <f aca="false">Motore_Operativo!E51</f>
        <v>11</v>
      </c>
      <c r="F51" s="15" t="n">
        <f aca="false">Motore_Operativo!AM51</f>
        <v>69062.5</v>
      </c>
      <c r="G51" s="15" t="n">
        <f aca="false">Motore_Operativo!BH51</f>
        <v>6906.25</v>
      </c>
      <c r="H51" s="15" t="n">
        <f aca="false">Motore_Operativo!AM51</f>
        <v>69062.5</v>
      </c>
      <c r="I51" s="15" t="n">
        <f aca="false">Motore_Operativo!CB51</f>
        <v>59191.5067083333</v>
      </c>
      <c r="J51" s="15" t="n">
        <f aca="false">Motore_Operativo!CD51</f>
        <v>9870.99329166667</v>
      </c>
      <c r="K51" s="15" t="n">
        <f aca="false">Motore_Operativo!CF51</f>
        <v>666.666666666667</v>
      </c>
      <c r="L51" s="15" t="n">
        <f aca="false">SUM(INDEX($K$5:$K$64,MAX(1,47-Parametri_v3!$C$59+1)):K51)/Parametri_v3!$C$59</f>
        <v>488.425925925926</v>
      </c>
      <c r="M51" s="15" t="n">
        <f aca="false">J51-L51</f>
        <v>9382.56736574075</v>
      </c>
      <c r="N51" s="15" t="n">
        <f aca="false">0</f>
        <v>0</v>
      </c>
      <c r="O51" s="15" t="n">
        <f aca="false">0</f>
        <v>0</v>
      </c>
      <c r="P51" s="15" t="n">
        <f aca="false">M51+N51-O51</f>
        <v>9382.56736574075</v>
      </c>
      <c r="Q51" s="15" t="n">
        <f aca="false">SUM(P41:P51)+Parametri_v3!$C$56*11/12</f>
        <v>103844.815097222</v>
      </c>
      <c r="R51" s="15" t="n">
        <f aca="false">Z40</f>
        <v>0</v>
      </c>
      <c r="S51" s="15" t="n">
        <f aca="false">AA40</f>
        <v>0</v>
      </c>
      <c r="T51" s="15" t="n">
        <f aca="false">MIN(R51,MAX(0,Q51))</f>
        <v>0</v>
      </c>
      <c r="U51" s="15" t="n">
        <f aca="false">MIN(S51,MAX(0,Q51-T51)*Parametri_v3!$C$42)</f>
        <v>0</v>
      </c>
      <c r="V51" s="15" t="n">
        <f aca="false">MAX(0,Q51-T51-U51)*Ipotesi!$C$92</f>
        <v>24922.7556233334</v>
      </c>
      <c r="W51" s="15" t="n">
        <f aca="false">MAX(0,SUM(M41:M51)+Parametri_v3!$C$57*11/12)*Ipotesi!$C$93</f>
        <v>4049.94778879167</v>
      </c>
      <c r="X51" s="15" t="n">
        <f aca="false">V51+W51-(V50+W50)</f>
        <v>2617.73629504167</v>
      </c>
      <c r="Y51" s="15" t="n">
        <f aca="false">P51-X51</f>
        <v>6764.83107069908</v>
      </c>
      <c r="Z51" s="15" t="n">
        <f aca="false">R51-T51+IF(AND(Parametri_v3!$C$40=1,D51-YEAR(Parametri_v3!$C$50)&lt;Parametri_v3!$C$41),MAX(0,-Q51),0)</f>
        <v>0</v>
      </c>
      <c r="AA51" s="15" t="n">
        <f aca="false">S51-U51+IF(AND(Parametri_v3!$C$40=1,D51-YEAR(Parametri_v3!$C$50)&lt;Parametri_v3!$C$41),0,MAX(0,-Q51))</f>
        <v>0</v>
      </c>
      <c r="AB51" s="15" t="n">
        <f aca="false">F51*(1+Parametri_v3!$C$26)</f>
        <v>84256.25</v>
      </c>
      <c r="AC51" s="15" t="n">
        <f aca="false">(IF(47-(INT((Motore_Operativo!L51)/30))&lt;1,0,INDEX(Motore_Advisory!$AB$5:$AB$64,MAX(1,47-(INT((Motore_Operativo!L51)/30)))))*(1-(MOD((Motore_Operativo!L51),30)/30))+IF(47-(INT((Motore_Operativo!L51)/30))-1&lt;1,0,INDEX(Motore_Advisory!$AB$5:$AB$64,MAX(1,47-(INT((Motore_Operativo!L51)/30))-1)))*(MOD((Motore_Operativo!L51),30)/30))</f>
        <v>84256.25</v>
      </c>
      <c r="AD51" s="15" t="n">
        <f aca="false">(AD50)+AB51-AC51</f>
        <v>252768.75</v>
      </c>
      <c r="AE51" s="15" t="n">
        <f aca="false">Motore_Operativo!BH51*(1+Parametri_v3!$C$26)</f>
        <v>8425.625</v>
      </c>
      <c r="AF51" s="15" t="n">
        <f aca="false">(IF(47-(INT((Parametri_v3!$C$29)/30))&lt;1,0,INDEX(Motore_Operativo!$BH$5:$BH$64,MAX(1,47-(INT((Parametri_v3!$C$29)/30)))))*(1-(MOD((Parametri_v3!$C$29),30)/30))+IF(47-(INT((Parametri_v3!$C$29)/30))-1&lt;1,0,INDEX(Motore_Operativo!$BH$5:$BH$64,MAX(1,47-(INT((Parametri_v3!$C$29)/30))-1)))*(MOD((Parametri_v3!$C$29),30)/30))*(1+Parametri_v3!$C$26)</f>
        <v>8425.625</v>
      </c>
      <c r="AG51" s="15" t="n">
        <f aca="false">(AG50)+AE51-AF51</f>
        <v>8425.625</v>
      </c>
      <c r="AH51" s="15" t="n">
        <f aca="false">(Motore_Operativo!CK51)*(1+Parametri_v3!$C$28*Parametri_v3!$C$26)</f>
        <v>21704.55</v>
      </c>
      <c r="AI51" s="15" t="n">
        <f aca="false">(IF(47-(INT((Ipotesi!$C$91)/30))&lt;1,0,INDEX(Motore_Advisory!$AH$5:$AH$64,MAX(1,47-(INT((Ipotesi!$C$91)/30)))))*(1-(MOD((Ipotesi!$C$91),30)/30))+IF(47-(INT((Ipotesi!$C$91)/30))-1&lt;1,0,INDEX(Motore_Advisory!$AH$5:$AH$64,MAX(1,47-(INT((Ipotesi!$C$91)/30))-1)))*(MOD((Ipotesi!$C$91),30)/30))</f>
        <v>21704.55</v>
      </c>
      <c r="AJ51" s="15" t="n">
        <f aca="false">(AJ50)+AH51-AI51</f>
        <v>43409.1</v>
      </c>
      <c r="AK51" s="15" t="n">
        <f aca="false">(F51- Motore_Operativo!BH51-(Motore_Operativo!CK51)*Parametri_v3!$C$28-Motore_Operativo!CF51)*Parametri_v3!$C$26</f>
        <v>10279.4083333333</v>
      </c>
      <c r="AL51" s="15" t="n">
        <f aca="false">MAX(0,(AM50))</f>
        <v>10279.4083333333</v>
      </c>
      <c r="AM51" s="15" t="n">
        <f aca="false">(AM50)+AK51-AL51</f>
        <v>10279.4083333333</v>
      </c>
      <c r="AN51" s="15" t="n">
        <f aca="false">SUM(X29:X40)</f>
        <v>15744.47375</v>
      </c>
      <c r="AO51" s="15" t="n">
        <f aca="false">SUM(AP29:AP40)</f>
        <v>3576.005</v>
      </c>
      <c r="AP51" s="15" t="n">
        <f aca="false">MAX(0,AN51)*IF(11=Parametri_v3!$C$43,Parametri_v3!$C$45,IF(11=Parametri_v3!$C$44,1-Parametri_v3!$C$45,0))</f>
        <v>9446.68425000001</v>
      </c>
      <c r="AQ51" s="15" t="n">
        <f aca="false">MAX(0,AP51+IF(11=Parametri_v3!$C$43,MAX(0,AN51-AO51),0)-MAX(0,-(AR50)))</f>
        <v>9446.68425000001</v>
      </c>
      <c r="AR51" s="15" t="n">
        <f aca="false">(AR50)+X51-AQ51</f>
        <v>13228.229662125</v>
      </c>
      <c r="AS51" s="15" t="n">
        <f aca="false">Motore_Operativo!AC51-AT51+AU51</f>
        <v>32137.5563729167</v>
      </c>
      <c r="AT51" s="15" t="n">
        <f aca="false">Motore_Operativo!CI51</f>
        <v>1691.45033541667</v>
      </c>
      <c r="AU51" s="15" t="n">
        <f aca="false">MIN(MAX(0,(AV50)+AT51),Parametri_v3!$C$61/12)</f>
        <v>0</v>
      </c>
      <c r="AV51" s="15" t="n">
        <f aca="false">(AV50)+AT51-AU51</f>
        <v>46585.3911895833</v>
      </c>
      <c r="AW51" s="15" t="n">
        <f aca="false">IF(AND(Motore_Operativo!C51=Finanziamenti!$D$7,Finanziamenti!$F$7=1),Finanziamenti!$C$7,0)</f>
        <v>0</v>
      </c>
      <c r="AX51" s="15" t="n">
        <f aca="false">0</f>
        <v>0</v>
      </c>
      <c r="AY51" s="15" t="n">
        <f aca="false">IF(11=Parametri_v3!$C$33,IF(BV51&lt;MIN(12,$B51-1),0,MIN(MAX(0,SUM(Y29:Y40))*Ipotesi!$C$94,MAX(0,(BM40)-(BO50)-BP51),MAX(0,BD51-Parametri_v3!$C$31))),0)</f>
        <v>0</v>
      </c>
      <c r="AZ51" s="15" t="n">
        <f aca="false">0</f>
        <v>0</v>
      </c>
      <c r="BA51" s="15" t="n">
        <f aca="false">0</f>
        <v>0</v>
      </c>
      <c r="BB51" s="15" t="n">
        <f aca="false">0</f>
        <v>0</v>
      </c>
      <c r="BC51" s="15" t="n">
        <f aca="false">0</f>
        <v>0</v>
      </c>
      <c r="BD51" s="15" t="n">
        <f aca="false">(BH50)+AC51-AF51-AI51-AS51-K51*(1+Parametri_v3!$C$26)-AL51-AQ51-O51+AW51+AX51+AZ51+BA51-BB51</f>
        <v>12457.5398979168</v>
      </c>
      <c r="BE51" s="15" t="n">
        <f aca="false">0</f>
        <v>0</v>
      </c>
      <c r="BF51" s="15" t="n">
        <f aca="false">0</f>
        <v>0</v>
      </c>
      <c r="BG51" s="15" t="n">
        <f aca="false">0</f>
        <v>0</v>
      </c>
      <c r="BH51" s="15" t="n">
        <f aca="false">BD51+BE51-BF51-AY51</f>
        <v>12457.5398979168</v>
      </c>
      <c r="BI51" s="15" t="n">
        <f aca="false">MAX(0,Parametri_v3!$C$31-BH51)</f>
        <v>0</v>
      </c>
      <c r="BJ51" s="15" t="n">
        <f aca="false">(BJ50)+K51</f>
        <v>20333.3333333333</v>
      </c>
      <c r="BK51" s="15" t="n">
        <f aca="false">(BK50)+L51</f>
        <v>10750</v>
      </c>
      <c r="BL51" s="15" t="n">
        <f aca="false">BJ51-BK51</f>
        <v>9583.33333333333</v>
      </c>
      <c r="BM51" s="15" t="n">
        <f aca="false">(BM50)+Y51</f>
        <v>132881.869046208</v>
      </c>
      <c r="BN51" s="15" t="n">
        <f aca="false">(BN50)+AW51+AX51+AZ51</f>
        <v>20000</v>
      </c>
      <c r="BO51" s="15" t="n">
        <f aca="false">(BO50)+AY51</f>
        <v>0</v>
      </c>
      <c r="BP51" s="15" t="n">
        <f aca="false">MIN(Parametri_v3!$C$36*Parametri_v3!$C$35,(BP50)+IF(11=1,MAX(0,SUM(Y29:Y40))*Parametri_v3!$C$34,0))</f>
        <v>2000</v>
      </c>
      <c r="BQ51" s="15" t="n">
        <f aca="false">BN51+BM51-BO51</f>
        <v>152881.869046208</v>
      </c>
      <c r="BR51" s="15" t="n">
        <f aca="false">BH51+AD51+BL51+MAX(0,-AM51)+MAX(0,-AR51)</f>
        <v>274809.62323125</v>
      </c>
      <c r="BS51" s="15" t="n">
        <f aca="false">AJ51+AV51+MAX(0,AM51)+MAX(0,AR51)+BC51+BG51+BQ51+AG51</f>
        <v>274809.62323125</v>
      </c>
      <c r="BT51" s="15" t="n">
        <f aca="false">BR51-BS51</f>
        <v>0</v>
      </c>
      <c r="BU51" s="15" t="n">
        <f aca="false">BH51-(BD51+BE51-BF51-AY51)</f>
        <v>0</v>
      </c>
      <c r="BV51" s="15" t="n">
        <f aca="false">IF(BH50&lt;Parametri_v3!$C$31,0,BV50+1)</f>
        <v>1</v>
      </c>
    </row>
    <row r="52" customFormat="false" ht="18" hidden="false" customHeight="true" outlineLevel="0" collapsed="false">
      <c r="A52" s="68" t="n">
        <f aca="false">1</f>
        <v>1</v>
      </c>
      <c r="B52" s="68" t="n">
        <f aca="false">48</f>
        <v>48</v>
      </c>
      <c r="C52" s="18" t="n">
        <f aca="false">Motore_Operativo!C52</f>
        <v>47818</v>
      </c>
      <c r="D52" s="68" t="n">
        <f aca="false">Motore_Operativo!D52</f>
        <v>2030</v>
      </c>
      <c r="E52" s="68" t="n">
        <f aca="false">Motore_Operativo!E52</f>
        <v>12</v>
      </c>
      <c r="F52" s="15" t="n">
        <f aca="false">Motore_Operativo!AM52</f>
        <v>69062.5</v>
      </c>
      <c r="G52" s="15" t="n">
        <f aca="false">Motore_Operativo!BH52</f>
        <v>6906.25</v>
      </c>
      <c r="H52" s="15" t="n">
        <f aca="false">Motore_Operativo!AM52</f>
        <v>69062.5</v>
      </c>
      <c r="I52" s="15" t="n">
        <f aca="false">Motore_Operativo!CB52</f>
        <v>59191.5067083333</v>
      </c>
      <c r="J52" s="15" t="n">
        <f aca="false">Motore_Operativo!CD52</f>
        <v>9870.99329166667</v>
      </c>
      <c r="K52" s="15" t="n">
        <f aca="false">Motore_Operativo!CF52</f>
        <v>666.666666666667</v>
      </c>
      <c r="L52" s="15" t="n">
        <f aca="false">SUM(INDEX($K$5:$K$64,MAX(1,48-Parametri_v3!$C$59+1)):K52)/Parametri_v3!$C$59</f>
        <v>500</v>
      </c>
      <c r="M52" s="15" t="n">
        <f aca="false">J52-L52</f>
        <v>9370.99329166667</v>
      </c>
      <c r="N52" s="15" t="n">
        <f aca="false">0</f>
        <v>0</v>
      </c>
      <c r="O52" s="15" t="n">
        <f aca="false">0</f>
        <v>0</v>
      </c>
      <c r="P52" s="15" t="n">
        <f aca="false">M52+N52-O52</f>
        <v>9370.99329166667</v>
      </c>
      <c r="Q52" s="15" t="n">
        <f aca="false">SUM(P41:P52)+Parametri_v3!$C$56*12/12</f>
        <v>113215.808388889</v>
      </c>
      <c r="R52" s="15" t="n">
        <f aca="false">Z40</f>
        <v>0</v>
      </c>
      <c r="S52" s="15" t="n">
        <f aca="false">AA40</f>
        <v>0</v>
      </c>
      <c r="T52" s="15" t="n">
        <f aca="false">MIN(R52,MAX(0,Q52))</f>
        <v>0</v>
      </c>
      <c r="U52" s="15" t="n">
        <f aca="false">MIN(S52,MAX(0,Q52-T52)*Parametri_v3!$C$42)</f>
        <v>0</v>
      </c>
      <c r="V52" s="15" t="n">
        <f aca="false">MAX(0,Q52-T52-U52)*Ipotesi!$C$92</f>
        <v>27171.7940133334</v>
      </c>
      <c r="W52" s="15" t="n">
        <f aca="false">MAX(0,SUM(M41:M52)+Parametri_v3!$C$57*12/12)*Ipotesi!$C$93</f>
        <v>4415.41652716667</v>
      </c>
      <c r="X52" s="15" t="n">
        <f aca="false">V52+W52-(V51+W51)</f>
        <v>2614.507128375</v>
      </c>
      <c r="Y52" s="15" t="n">
        <f aca="false">P52-X52</f>
        <v>6756.48616329167</v>
      </c>
      <c r="Z52" s="15" t="n">
        <f aca="false">R52-T52+IF(AND(Parametri_v3!$C$40=1,D52-YEAR(Parametri_v3!$C$50)&lt;Parametri_v3!$C$41),MAX(0,-Q52),0)</f>
        <v>0</v>
      </c>
      <c r="AA52" s="15" t="n">
        <f aca="false">S52-U52+IF(AND(Parametri_v3!$C$40=1,D52-YEAR(Parametri_v3!$C$50)&lt;Parametri_v3!$C$41),0,MAX(0,-Q52))</f>
        <v>0</v>
      </c>
      <c r="AB52" s="15" t="n">
        <f aca="false">F52*(1+Parametri_v3!$C$26)</f>
        <v>84256.25</v>
      </c>
      <c r="AC52" s="15" t="n">
        <f aca="false">(IF(48-(INT((Motore_Operativo!L52)/30))&lt;1,0,INDEX(Motore_Advisory!$AB$5:$AB$64,MAX(1,48-(INT((Motore_Operativo!L52)/30)))))*(1-(MOD((Motore_Operativo!L52),30)/30))+IF(48-(INT((Motore_Operativo!L52)/30))-1&lt;1,0,INDEX(Motore_Advisory!$AB$5:$AB$64,MAX(1,48-(INT((Motore_Operativo!L52)/30))-1)))*(MOD((Motore_Operativo!L52),30)/30))</f>
        <v>84256.25</v>
      </c>
      <c r="AD52" s="15" t="n">
        <f aca="false">(AD51)+AB52-AC52</f>
        <v>252768.75</v>
      </c>
      <c r="AE52" s="15" t="n">
        <f aca="false">Motore_Operativo!BH52*(1+Parametri_v3!$C$26)</f>
        <v>8425.625</v>
      </c>
      <c r="AF52" s="15" t="n">
        <f aca="false">(IF(48-(INT((Parametri_v3!$C$29)/30))&lt;1,0,INDEX(Motore_Operativo!$BH$5:$BH$64,MAX(1,48-(INT((Parametri_v3!$C$29)/30)))))*(1-(MOD((Parametri_v3!$C$29),30)/30))+IF(48-(INT((Parametri_v3!$C$29)/30))-1&lt;1,0,INDEX(Motore_Operativo!$BH$5:$BH$64,MAX(1,48-(INT((Parametri_v3!$C$29)/30))-1)))*(MOD((Parametri_v3!$C$29),30)/30))*(1+Parametri_v3!$C$26)</f>
        <v>8425.625</v>
      </c>
      <c r="AG52" s="15" t="n">
        <f aca="false">(AG51)+AE52-AF52</f>
        <v>8425.625</v>
      </c>
      <c r="AH52" s="15" t="n">
        <f aca="false">(Motore_Operativo!CK52)*(1+Parametri_v3!$C$28*Parametri_v3!$C$26)</f>
        <v>21704.55</v>
      </c>
      <c r="AI52" s="15" t="n">
        <f aca="false">(IF(48-(INT((Ipotesi!$C$91)/30))&lt;1,0,INDEX(Motore_Advisory!$AH$5:$AH$64,MAX(1,48-(INT((Ipotesi!$C$91)/30)))))*(1-(MOD((Ipotesi!$C$91),30)/30))+IF(48-(INT((Ipotesi!$C$91)/30))-1&lt;1,0,INDEX(Motore_Advisory!$AH$5:$AH$64,MAX(1,48-(INT((Ipotesi!$C$91)/30))-1)))*(MOD((Ipotesi!$C$91),30)/30))</f>
        <v>21704.55</v>
      </c>
      <c r="AJ52" s="15" t="n">
        <f aca="false">(AJ51)+AH52-AI52</f>
        <v>43409.1</v>
      </c>
      <c r="AK52" s="15" t="n">
        <f aca="false">(F52- Motore_Operativo!BH52-(Motore_Operativo!CK52)*Parametri_v3!$C$28-Motore_Operativo!CF52)*Parametri_v3!$C$26</f>
        <v>10279.4083333333</v>
      </c>
      <c r="AL52" s="15" t="n">
        <f aca="false">MAX(0,(AM51))</f>
        <v>10279.4083333333</v>
      </c>
      <c r="AM52" s="15" t="n">
        <f aca="false">(AM51)+AK52-AL52</f>
        <v>10279.4083333333</v>
      </c>
      <c r="AN52" s="15" t="n">
        <f aca="false">SUM(X29:X40)</f>
        <v>15744.47375</v>
      </c>
      <c r="AO52" s="15" t="n">
        <f aca="false">SUM(AP29:AP40)</f>
        <v>3576.005</v>
      </c>
      <c r="AP52" s="15" t="n">
        <f aca="false">MAX(0,AN52)*IF(12=Parametri_v3!$C$43,Parametri_v3!$C$45,IF(12=Parametri_v3!$C$44,1-Parametri_v3!$C$45,0))</f>
        <v>0</v>
      </c>
      <c r="AQ52" s="15" t="n">
        <f aca="false">MAX(0,AP52+IF(12=Parametri_v3!$C$43,MAX(0,AN52-AO52),0)-MAX(0,-(AR51)))</f>
        <v>0</v>
      </c>
      <c r="AR52" s="15" t="n">
        <f aca="false">(AR51)+X52-AQ52</f>
        <v>15842.7367905</v>
      </c>
      <c r="AS52" s="15" t="n">
        <f aca="false">Motore_Operativo!AC52-AT52+AU52</f>
        <v>32137.5563729167</v>
      </c>
      <c r="AT52" s="15" t="n">
        <f aca="false">Motore_Operativo!CI52</f>
        <v>1691.45033541667</v>
      </c>
      <c r="AU52" s="15" t="n">
        <f aca="false">MIN(MAX(0,(AV51)+AT52),Parametri_v3!$C$61/12)</f>
        <v>0</v>
      </c>
      <c r="AV52" s="15" t="n">
        <f aca="false">(AV51)+AT52-AU52</f>
        <v>48276.841525</v>
      </c>
      <c r="AW52" s="15" t="n">
        <f aca="false">IF(AND(Motore_Operativo!C52=Finanziamenti!$D$7,Finanziamenti!$F$7=1),Finanziamenti!$C$7,0)</f>
        <v>0</v>
      </c>
      <c r="AX52" s="15" t="n">
        <f aca="false">0</f>
        <v>0</v>
      </c>
      <c r="AY52" s="15" t="n">
        <f aca="false">IF(12=Parametri_v3!$C$33,IF(BV52&lt;MIN(12,$B52-1),0,MIN(MAX(0,SUM(Y29:Y40))*Ipotesi!$C$94,MAX(0,(BM40)-(BO51)-BP52),MAX(0,BD52-Parametri_v3!$C$31))),0)</f>
        <v>0</v>
      </c>
      <c r="AZ52" s="15" t="n">
        <f aca="false">0</f>
        <v>0</v>
      </c>
      <c r="BA52" s="15" t="n">
        <f aca="false">0</f>
        <v>0</v>
      </c>
      <c r="BB52" s="15" t="n">
        <f aca="false">0</f>
        <v>0</v>
      </c>
      <c r="BC52" s="15" t="n">
        <f aca="false">0</f>
        <v>0</v>
      </c>
      <c r="BD52" s="15" t="n">
        <f aca="false">(BH51)+AC52-AF52-AI52-AS52-K52*(1+Parametri_v3!$C$26)-AL52-AQ52-O52+AW52+AX52+AZ52+BA52-BB52</f>
        <v>23353.3168583334</v>
      </c>
      <c r="BE52" s="15" t="n">
        <f aca="false">0</f>
        <v>0</v>
      </c>
      <c r="BF52" s="15" t="n">
        <f aca="false">0</f>
        <v>0</v>
      </c>
      <c r="BG52" s="15" t="n">
        <f aca="false">0</f>
        <v>0</v>
      </c>
      <c r="BH52" s="15" t="n">
        <f aca="false">BD52+BE52-BF52-AY52</f>
        <v>23353.3168583334</v>
      </c>
      <c r="BI52" s="15" t="n">
        <f aca="false">MAX(0,Parametri_v3!$C$31-BH52)</f>
        <v>0</v>
      </c>
      <c r="BJ52" s="15" t="n">
        <f aca="false">(BJ51)+K52</f>
        <v>21000</v>
      </c>
      <c r="BK52" s="15" t="n">
        <f aca="false">(BK51)+L52</f>
        <v>11250</v>
      </c>
      <c r="BL52" s="15" t="n">
        <f aca="false">BJ52-BK52</f>
        <v>9750</v>
      </c>
      <c r="BM52" s="15" t="n">
        <f aca="false">(BM51)+Y52</f>
        <v>139638.3552095</v>
      </c>
      <c r="BN52" s="15" t="n">
        <f aca="false">(BN51)+AW52+AX52+AZ52</f>
        <v>20000</v>
      </c>
      <c r="BO52" s="15" t="n">
        <f aca="false">(BO51)+AY52</f>
        <v>0</v>
      </c>
      <c r="BP52" s="15" t="n">
        <f aca="false">MIN(Parametri_v3!$C$36*Parametri_v3!$C$35,(BP51)+IF(12=1,MAX(0,SUM(Y29:Y40))*Parametri_v3!$C$34,0))</f>
        <v>2000</v>
      </c>
      <c r="BQ52" s="15" t="n">
        <f aca="false">BN52+BM52-BO52</f>
        <v>159638.3552095</v>
      </c>
      <c r="BR52" s="15" t="n">
        <f aca="false">BH52+AD52+BL52+MAX(0,-AM52)+MAX(0,-AR52)</f>
        <v>285872.066858333</v>
      </c>
      <c r="BS52" s="15" t="n">
        <f aca="false">AJ52+AV52+MAX(0,AM52)+MAX(0,AR52)+BC52+BG52+BQ52+AG52</f>
        <v>285872.066858334</v>
      </c>
      <c r="BT52" s="15" t="n">
        <f aca="false">BR52-BS52</f>
        <v>0</v>
      </c>
      <c r="BU52" s="15" t="n">
        <f aca="false">BH52-(BD52+BE52-BF52-AY52)</f>
        <v>0</v>
      </c>
      <c r="BV52" s="15" t="n">
        <f aca="false">IF(BH51&lt;Parametri_v3!$C$31,0,BV51+1)</f>
        <v>2</v>
      </c>
    </row>
    <row r="53" customFormat="false" ht="18" hidden="false" customHeight="true" outlineLevel="0" collapsed="false">
      <c r="A53" s="68" t="n">
        <f aca="false">1</f>
        <v>1</v>
      </c>
      <c r="B53" s="68" t="n">
        <f aca="false">49</f>
        <v>49</v>
      </c>
      <c r="C53" s="18" t="n">
        <f aca="false">Motore_Operativo!C53</f>
        <v>47849</v>
      </c>
      <c r="D53" s="68" t="n">
        <f aca="false">Motore_Operativo!D53</f>
        <v>2031</v>
      </c>
      <c r="E53" s="68" t="n">
        <f aca="false">Motore_Operativo!E53</f>
        <v>1</v>
      </c>
      <c r="F53" s="15" t="n">
        <f aca="false">Motore_Operativo!AM53</f>
        <v>86968.75</v>
      </c>
      <c r="G53" s="15" t="n">
        <f aca="false">Motore_Operativo!BH53</f>
        <v>8696.875</v>
      </c>
      <c r="H53" s="15" t="n">
        <f aca="false">Motore_Operativo!AM53</f>
        <v>86968.75</v>
      </c>
      <c r="I53" s="15" t="n">
        <f aca="false">Motore_Operativo!CB53</f>
        <v>74987.1389275</v>
      </c>
      <c r="J53" s="15" t="n">
        <f aca="false">Motore_Operativo!CD53</f>
        <v>11981.6110725</v>
      </c>
      <c r="K53" s="15" t="n">
        <f aca="false">Motore_Operativo!CF53</f>
        <v>666.666666666667</v>
      </c>
      <c r="L53" s="15" t="n">
        <f aca="false">SUM(INDEX($K$5:$K$64,MAX(1,49-Parametri_v3!$C$59+1)):K53)/Parametri_v3!$C$59</f>
        <v>506.944444444444</v>
      </c>
      <c r="M53" s="15" t="n">
        <f aca="false">J53-L53</f>
        <v>11474.6666280556</v>
      </c>
      <c r="N53" s="15" t="n">
        <f aca="false">0</f>
        <v>0</v>
      </c>
      <c r="O53" s="15" t="n">
        <f aca="false">0</f>
        <v>0</v>
      </c>
      <c r="P53" s="15" t="n">
        <f aca="false">M53+N53-O53</f>
        <v>11474.6666280556</v>
      </c>
      <c r="Q53" s="15" t="n">
        <f aca="false">SUM(P53)+Parametri_v3!$C$56*1/12</f>
        <v>11474.6666280556</v>
      </c>
      <c r="R53" s="15" t="n">
        <f aca="false">Z52</f>
        <v>0</v>
      </c>
      <c r="S53" s="15" t="n">
        <f aca="false">AA52</f>
        <v>0</v>
      </c>
      <c r="T53" s="15" t="n">
        <f aca="false">MIN(R53,MAX(0,Q53))</f>
        <v>0</v>
      </c>
      <c r="U53" s="15" t="n">
        <f aca="false">MIN(S53,MAX(0,Q53-T53)*Parametri_v3!$C$42)</f>
        <v>0</v>
      </c>
      <c r="V53" s="15" t="n">
        <f aca="false">MAX(0,Q53-T53-U53)*Ipotesi!$C$92</f>
        <v>2753.91999073333</v>
      </c>
      <c r="W53" s="15" t="n">
        <f aca="false">MAX(0,SUM(M53)+Parametri_v3!$C$57*1/12)*Ipotesi!$C$93</f>
        <v>447.511998494167</v>
      </c>
      <c r="X53" s="15" t="n">
        <f aca="false">V53+W53-(0)</f>
        <v>3201.4319892275</v>
      </c>
      <c r="Y53" s="15" t="n">
        <f aca="false">P53-X53</f>
        <v>8273.23463882806</v>
      </c>
      <c r="Z53" s="15" t="n">
        <f aca="false">R53-T53+IF(AND(Parametri_v3!$C$40=1,D53-YEAR(Parametri_v3!$C$50)&lt;Parametri_v3!$C$41),MAX(0,-Q53),0)</f>
        <v>0</v>
      </c>
      <c r="AA53" s="15" t="n">
        <f aca="false">S53-U53+IF(AND(Parametri_v3!$C$40=1,D53-YEAR(Parametri_v3!$C$50)&lt;Parametri_v3!$C$41),0,MAX(0,-Q53))</f>
        <v>0</v>
      </c>
      <c r="AB53" s="15" t="n">
        <f aca="false">F53*(1+Parametri_v3!$C$26)</f>
        <v>106101.875</v>
      </c>
      <c r="AC53" s="15" t="n">
        <f aca="false">(IF(49-(INT((Motore_Operativo!L53)/30))&lt;1,0,INDEX(Motore_Advisory!$AB$5:$AB$64,MAX(1,49-(INT((Motore_Operativo!L53)/30)))))*(1-(MOD((Motore_Operativo!L53),30)/30))+IF(49-(INT((Motore_Operativo!L53)/30))-1&lt;1,0,INDEX(Motore_Advisory!$AB$5:$AB$64,MAX(1,49-(INT((Motore_Operativo!L53)/30))-1)))*(MOD((Motore_Operativo!L53),30)/30))</f>
        <v>84256.25</v>
      </c>
      <c r="AD53" s="15" t="n">
        <f aca="false">(AD52)+AB53-AC53</f>
        <v>274614.375</v>
      </c>
      <c r="AE53" s="15" t="n">
        <f aca="false">Motore_Operativo!BH53*(1+Parametri_v3!$C$26)</f>
        <v>10610.1875</v>
      </c>
      <c r="AF53" s="15" t="n">
        <f aca="false">(IF(49-(INT((Parametri_v3!$C$29)/30))&lt;1,0,INDEX(Motore_Operativo!$BH$5:$BH$64,MAX(1,49-(INT((Parametri_v3!$C$29)/30)))))*(1-(MOD((Parametri_v3!$C$29),30)/30))+IF(49-(INT((Parametri_v3!$C$29)/30))-1&lt;1,0,INDEX(Motore_Operativo!$BH$5:$BH$64,MAX(1,49-(INT((Parametri_v3!$C$29)/30))-1)))*(MOD((Parametri_v3!$C$29),30)/30))*(1+Parametri_v3!$C$26)</f>
        <v>8425.625</v>
      </c>
      <c r="AG53" s="15" t="n">
        <f aca="false">(AG52)+AE53-AF53</f>
        <v>10610.1875</v>
      </c>
      <c r="AH53" s="15" t="n">
        <f aca="false">(Motore_Operativo!CK53)*(1+Parametri_v3!$C$28*Parametri_v3!$C$26)</f>
        <v>25785.515</v>
      </c>
      <c r="AI53" s="15" t="n">
        <f aca="false">(IF(49-(INT((Ipotesi!$C$91)/30))&lt;1,0,INDEX(Motore_Advisory!$AH$5:$AH$64,MAX(1,49-(INT((Ipotesi!$C$91)/30)))))*(1-(MOD((Ipotesi!$C$91),30)/30))+IF(49-(INT((Ipotesi!$C$91)/30))-1&lt;1,0,INDEX(Motore_Advisory!$AH$5:$AH$64,MAX(1,49-(INT((Ipotesi!$C$91)/30))-1)))*(MOD((Ipotesi!$C$91),30)/30))</f>
        <v>21704.55</v>
      </c>
      <c r="AJ53" s="15" t="n">
        <f aca="false">(AJ52)+AH53-AI53</f>
        <v>47490.065</v>
      </c>
      <c r="AK53" s="15" t="n">
        <f aca="false">(F53- Motore_Operativo!BH53-(Motore_Operativo!CK53)*Parametri_v3!$C$28-Motore_Operativo!CF53)*Parametri_v3!$C$26</f>
        <v>13214.0891666667</v>
      </c>
      <c r="AL53" s="15" t="n">
        <f aca="false">MAX(0,(AM52))</f>
        <v>10279.4083333333</v>
      </c>
      <c r="AM53" s="15" t="n">
        <f aca="false">(AM52)+AK53-AL53</f>
        <v>13214.0891666667</v>
      </c>
      <c r="AN53" s="15" t="n">
        <f aca="false">SUM(X41:X52)</f>
        <v>31587.2105405</v>
      </c>
      <c r="AO53" s="15" t="n">
        <f aca="false">SUM(AP41:AP52)</f>
        <v>15744.47375</v>
      </c>
      <c r="AP53" s="15" t="n">
        <f aca="false">MAX(0,AN53)*IF(1=Parametri_v3!$C$43,Parametri_v3!$C$45,IF(1=Parametri_v3!$C$44,1-Parametri_v3!$C$45,0))</f>
        <v>0</v>
      </c>
      <c r="AQ53" s="15" t="n">
        <f aca="false">MAX(0,AP53+IF(1=Parametri_v3!$C$43,MAX(0,AN53-AO53),0)-MAX(0,-(AR52)))</f>
        <v>0</v>
      </c>
      <c r="AR53" s="15" t="n">
        <f aca="false">(AR52)+X53-AQ53</f>
        <v>19044.1687797275</v>
      </c>
      <c r="AS53" s="15" t="n">
        <f aca="false">Motore_Operativo!AC53-AT53+AU53</f>
        <v>42145.6153144583</v>
      </c>
      <c r="AT53" s="15" t="n">
        <f aca="false">Motore_Operativo!CI53</f>
        <v>2218.19027970833</v>
      </c>
      <c r="AU53" s="15" t="n">
        <f aca="false">MIN(MAX(0,(AV52)+AT53),Parametri_v3!$C$61/12)</f>
        <v>0</v>
      </c>
      <c r="AV53" s="15" t="n">
        <f aca="false">(AV52)+AT53-AU53</f>
        <v>50495.0318047083</v>
      </c>
      <c r="AW53" s="15" t="n">
        <f aca="false">IF(AND(Motore_Operativo!C53=Finanziamenti!$D$7,Finanziamenti!$F$7=1),Finanziamenti!$C$7,0)</f>
        <v>0</v>
      </c>
      <c r="AX53" s="15" t="n">
        <f aca="false">0</f>
        <v>0</v>
      </c>
      <c r="AY53" s="15" t="n">
        <f aca="false">IF(1=Parametri_v3!$C$33,IF(BV53&lt;MIN(12,$B53-1),0,MIN(MAX(0,SUM(Y41:Y52))*Ipotesi!$C$94,MAX(0,(BM52)-(BO52)-BP53),MAX(0,BD53-Parametri_v3!$C$31))),0)</f>
        <v>0</v>
      </c>
      <c r="AZ53" s="15" t="n">
        <f aca="false">0</f>
        <v>0</v>
      </c>
      <c r="BA53" s="15" t="n">
        <f aca="false">0</f>
        <v>0</v>
      </c>
      <c r="BB53" s="15" t="n">
        <f aca="false">0</f>
        <v>0</v>
      </c>
      <c r="BC53" s="15" t="n">
        <f aca="false">0</f>
        <v>0</v>
      </c>
      <c r="BD53" s="15" t="n">
        <f aca="false">(BH52)+AC53-AF53-AI53-AS53-K53*(1+Parametri_v3!$C$26)-AL53-AQ53-O53+AW53+AX53+AZ53+BA53-BB53</f>
        <v>24241.0348772084</v>
      </c>
      <c r="BE53" s="15" t="n">
        <f aca="false">0</f>
        <v>0</v>
      </c>
      <c r="BF53" s="15" t="n">
        <f aca="false">0</f>
        <v>0</v>
      </c>
      <c r="BG53" s="15" t="n">
        <f aca="false">0</f>
        <v>0</v>
      </c>
      <c r="BH53" s="15" t="n">
        <f aca="false">BD53+BE53-BF53-AY53</f>
        <v>24241.0348772084</v>
      </c>
      <c r="BI53" s="15" t="n">
        <f aca="false">MAX(0,Parametri_v3!$C$31-BH53)</f>
        <v>0</v>
      </c>
      <c r="BJ53" s="15" t="n">
        <f aca="false">(BJ52)+K53</f>
        <v>21666.6666666667</v>
      </c>
      <c r="BK53" s="15" t="n">
        <f aca="false">(BK52)+L53</f>
        <v>11756.9444444444</v>
      </c>
      <c r="BL53" s="15" t="n">
        <f aca="false">BJ53-BK53</f>
        <v>9909.72222222222</v>
      </c>
      <c r="BM53" s="15" t="n">
        <f aca="false">(BM52)+Y53</f>
        <v>147911.589848328</v>
      </c>
      <c r="BN53" s="15" t="n">
        <f aca="false">(BN52)+AW53+AX53+AZ53</f>
        <v>20000</v>
      </c>
      <c r="BO53" s="15" t="n">
        <f aca="false">(BO52)+AY53</f>
        <v>0</v>
      </c>
      <c r="BP53" s="15" t="n">
        <f aca="false">MIN(Parametri_v3!$C$36*Parametri_v3!$C$35,(BP52)+IF(1=1,MAX(0,SUM(Y41:Y52))*Parametri_v3!$C$34,0))</f>
        <v>2000</v>
      </c>
      <c r="BQ53" s="15" t="n">
        <f aca="false">BN53+BM53-BO53</f>
        <v>167911.589848328</v>
      </c>
      <c r="BR53" s="15" t="n">
        <f aca="false">BH53+AD53+BL53+MAX(0,-AM53)+MAX(0,-AR53)</f>
        <v>308765.132099431</v>
      </c>
      <c r="BS53" s="15" t="n">
        <f aca="false">AJ53+AV53+MAX(0,AM53)+MAX(0,AR53)+BC53+BG53+BQ53+AG53</f>
        <v>308765.132099431</v>
      </c>
      <c r="BT53" s="15" t="n">
        <f aca="false">BR53-BS53</f>
        <v>0</v>
      </c>
      <c r="BU53" s="15" t="n">
        <f aca="false">BH53-(BD53+BE53-BF53-AY53)</f>
        <v>0</v>
      </c>
      <c r="BV53" s="15" t="n">
        <f aca="false">IF(BH52&lt;Parametri_v3!$C$31,0,BV52+1)</f>
        <v>3</v>
      </c>
    </row>
    <row r="54" customFormat="false" ht="18" hidden="false" customHeight="true" outlineLevel="0" collapsed="false">
      <c r="A54" s="68" t="n">
        <f aca="false">1</f>
        <v>1</v>
      </c>
      <c r="B54" s="68" t="n">
        <f aca="false">50</f>
        <v>50</v>
      </c>
      <c r="C54" s="18" t="n">
        <f aca="false">Motore_Operativo!C54</f>
        <v>47880</v>
      </c>
      <c r="D54" s="68" t="n">
        <f aca="false">Motore_Operativo!D54</f>
        <v>2031</v>
      </c>
      <c r="E54" s="68" t="n">
        <f aca="false">Motore_Operativo!E54</f>
        <v>2</v>
      </c>
      <c r="F54" s="15" t="n">
        <f aca="false">Motore_Operativo!AM54</f>
        <v>86968.75</v>
      </c>
      <c r="G54" s="15" t="n">
        <f aca="false">Motore_Operativo!BH54</f>
        <v>8696.875</v>
      </c>
      <c r="H54" s="15" t="n">
        <f aca="false">Motore_Operativo!AM54</f>
        <v>86968.75</v>
      </c>
      <c r="I54" s="15" t="n">
        <f aca="false">Motore_Operativo!CB54</f>
        <v>74987.1389275</v>
      </c>
      <c r="J54" s="15" t="n">
        <f aca="false">Motore_Operativo!CD54</f>
        <v>11981.6110725</v>
      </c>
      <c r="K54" s="15" t="n">
        <f aca="false">Motore_Operativo!CF54</f>
        <v>666.666666666667</v>
      </c>
      <c r="L54" s="15" t="n">
        <f aca="false">SUM(INDEX($K$5:$K$64,MAX(1,50-Parametri_v3!$C$59+1)):K54)/Parametri_v3!$C$59</f>
        <v>513.888888888889</v>
      </c>
      <c r="M54" s="15" t="n">
        <f aca="false">J54-L54</f>
        <v>11467.7221836111</v>
      </c>
      <c r="N54" s="15" t="n">
        <f aca="false">0</f>
        <v>0</v>
      </c>
      <c r="O54" s="15" t="n">
        <f aca="false">0</f>
        <v>0</v>
      </c>
      <c r="P54" s="15" t="n">
        <f aca="false">M54+N54-O54</f>
        <v>11467.7221836111</v>
      </c>
      <c r="Q54" s="15" t="n">
        <f aca="false">SUM(P53:P54)+Parametri_v3!$C$56*2/12</f>
        <v>22942.3888116667</v>
      </c>
      <c r="R54" s="15" t="n">
        <f aca="false">Z52</f>
        <v>0</v>
      </c>
      <c r="S54" s="15" t="n">
        <f aca="false">AA52</f>
        <v>0</v>
      </c>
      <c r="T54" s="15" t="n">
        <f aca="false">MIN(R54,MAX(0,Q54))</f>
        <v>0</v>
      </c>
      <c r="U54" s="15" t="n">
        <f aca="false">MIN(S54,MAX(0,Q54-T54)*Parametri_v3!$C$42)</f>
        <v>0</v>
      </c>
      <c r="V54" s="15" t="n">
        <f aca="false">MAX(0,Q54-T54-U54)*Ipotesi!$C$92</f>
        <v>5506.1733148</v>
      </c>
      <c r="W54" s="15" t="n">
        <f aca="false">MAX(0,SUM(M53:M54)+Parametri_v3!$C$57*2/12)*Ipotesi!$C$93</f>
        <v>894.753163655</v>
      </c>
      <c r="X54" s="15" t="n">
        <f aca="false">V54+W54-(V53+W53)</f>
        <v>3199.4944892275</v>
      </c>
      <c r="Y54" s="15" t="n">
        <f aca="false">P54-X54</f>
        <v>8268.22769438362</v>
      </c>
      <c r="Z54" s="15" t="n">
        <f aca="false">R54-T54+IF(AND(Parametri_v3!$C$40=1,D54-YEAR(Parametri_v3!$C$50)&lt;Parametri_v3!$C$41),MAX(0,-Q54),0)</f>
        <v>0</v>
      </c>
      <c r="AA54" s="15" t="n">
        <f aca="false">S54-U54+IF(AND(Parametri_v3!$C$40=1,D54-YEAR(Parametri_v3!$C$50)&lt;Parametri_v3!$C$41),0,MAX(0,-Q54))</f>
        <v>0</v>
      </c>
      <c r="AB54" s="15" t="n">
        <f aca="false">F54*(1+Parametri_v3!$C$26)</f>
        <v>106101.875</v>
      </c>
      <c r="AC54" s="15" t="n">
        <f aca="false">(IF(50-(INT((Motore_Operativo!L54)/30))&lt;1,0,INDEX(Motore_Advisory!$AB$5:$AB$64,MAX(1,50-(INT((Motore_Operativo!L54)/30)))))*(1-(MOD((Motore_Operativo!L54),30)/30))+IF(50-(INT((Motore_Operativo!L54)/30))-1&lt;1,0,INDEX(Motore_Advisory!$AB$5:$AB$64,MAX(1,50-(INT((Motore_Operativo!L54)/30))-1)))*(MOD((Motore_Operativo!L54),30)/30))</f>
        <v>84256.25</v>
      </c>
      <c r="AD54" s="15" t="n">
        <f aca="false">(AD53)+AB54-AC54</f>
        <v>296460</v>
      </c>
      <c r="AE54" s="15" t="n">
        <f aca="false">Motore_Operativo!BH54*(1+Parametri_v3!$C$26)</f>
        <v>10610.1875</v>
      </c>
      <c r="AF54" s="15" t="n">
        <f aca="false">(IF(50-(INT((Parametri_v3!$C$29)/30))&lt;1,0,INDEX(Motore_Operativo!$BH$5:$BH$64,MAX(1,50-(INT((Parametri_v3!$C$29)/30)))))*(1-(MOD((Parametri_v3!$C$29),30)/30))+IF(50-(INT((Parametri_v3!$C$29)/30))-1&lt;1,0,INDEX(Motore_Operativo!$BH$5:$BH$64,MAX(1,50-(INT((Parametri_v3!$C$29)/30))-1)))*(MOD((Parametri_v3!$C$29),30)/30))*(1+Parametri_v3!$C$26)</f>
        <v>10610.1875</v>
      </c>
      <c r="AG54" s="15" t="n">
        <f aca="false">(AG53)+AE54-AF54</f>
        <v>10610.1875</v>
      </c>
      <c r="AH54" s="15" t="n">
        <f aca="false">(Motore_Operativo!CK54)*(1+Parametri_v3!$C$28*Parametri_v3!$C$26)</f>
        <v>25785.515</v>
      </c>
      <c r="AI54" s="15" t="n">
        <f aca="false">(IF(50-(INT((Ipotesi!$C$91)/30))&lt;1,0,INDEX(Motore_Advisory!$AH$5:$AH$64,MAX(1,50-(INT((Ipotesi!$C$91)/30)))))*(1-(MOD((Ipotesi!$C$91),30)/30))+IF(50-(INT((Ipotesi!$C$91)/30))-1&lt;1,0,INDEX(Motore_Advisory!$AH$5:$AH$64,MAX(1,50-(INT((Ipotesi!$C$91)/30))-1)))*(MOD((Ipotesi!$C$91),30)/30))</f>
        <v>21704.55</v>
      </c>
      <c r="AJ54" s="15" t="n">
        <f aca="false">(AJ53)+AH54-AI54</f>
        <v>51571.03</v>
      </c>
      <c r="AK54" s="15" t="n">
        <f aca="false">(F54- Motore_Operativo!BH54-(Motore_Operativo!CK54)*Parametri_v3!$C$28-Motore_Operativo!CF54)*Parametri_v3!$C$26</f>
        <v>13214.0891666667</v>
      </c>
      <c r="AL54" s="15" t="n">
        <f aca="false">MAX(0,(AM53))</f>
        <v>13214.0891666667</v>
      </c>
      <c r="AM54" s="15" t="n">
        <f aca="false">(AM53)+AK54-AL54</f>
        <v>13214.0891666667</v>
      </c>
      <c r="AN54" s="15" t="n">
        <f aca="false">SUM(X41:X52)</f>
        <v>31587.2105405</v>
      </c>
      <c r="AO54" s="15" t="n">
        <f aca="false">SUM(AP41:AP52)</f>
        <v>15744.47375</v>
      </c>
      <c r="AP54" s="15" t="n">
        <f aca="false">MAX(0,AN54)*IF(2=Parametri_v3!$C$43,Parametri_v3!$C$45,IF(2=Parametri_v3!$C$44,1-Parametri_v3!$C$45,0))</f>
        <v>0</v>
      </c>
      <c r="AQ54" s="15" t="n">
        <f aca="false">MAX(0,AP54+IF(2=Parametri_v3!$C$43,MAX(0,AN54-AO54),0)-MAX(0,-(AR53)))</f>
        <v>0</v>
      </c>
      <c r="AR54" s="15" t="n">
        <f aca="false">(AR53)+X54-AQ54</f>
        <v>22243.663268955</v>
      </c>
      <c r="AS54" s="15" t="n">
        <f aca="false">Motore_Operativo!AC54-AT54+AU54</f>
        <v>42145.6153144583</v>
      </c>
      <c r="AT54" s="15" t="n">
        <f aca="false">Motore_Operativo!CI54</f>
        <v>2218.19027970833</v>
      </c>
      <c r="AU54" s="15" t="n">
        <f aca="false">MIN(MAX(0,(AV53)+AT54),Parametri_v3!$C$61/12)</f>
        <v>0</v>
      </c>
      <c r="AV54" s="15" t="n">
        <f aca="false">(AV53)+AT54-AU54</f>
        <v>52713.2220844167</v>
      </c>
      <c r="AW54" s="15" t="n">
        <f aca="false">IF(AND(Motore_Operativo!C54=Finanziamenti!$D$7,Finanziamenti!$F$7=1),Finanziamenti!$C$7,0)</f>
        <v>0</v>
      </c>
      <c r="AX54" s="15" t="n">
        <f aca="false">0</f>
        <v>0</v>
      </c>
      <c r="AY54" s="15" t="n">
        <f aca="false">IF(2=Parametri_v3!$C$33,IF(BV54&lt;MIN(12,$B54-1),0,MIN(MAX(0,SUM(Y41:Y52))*Ipotesi!$C$94,MAX(0,(BM52)-(BO53)-BP54),MAX(0,BD54-Parametri_v3!$C$31))),0)</f>
        <v>0</v>
      </c>
      <c r="AZ54" s="15" t="n">
        <f aca="false">0</f>
        <v>0</v>
      </c>
      <c r="BA54" s="15" t="n">
        <f aca="false">0</f>
        <v>0</v>
      </c>
      <c r="BB54" s="15" t="n">
        <f aca="false">0</f>
        <v>0</v>
      </c>
      <c r="BC54" s="15" t="n">
        <f aca="false">0</f>
        <v>0</v>
      </c>
      <c r="BD54" s="15" t="n">
        <f aca="false">(BH53)+AC54-AF54-AI54-AS54-K54*(1+Parametri_v3!$C$26)-AL54-AQ54-O54+AW54+AX54+AZ54+BA54-BB54</f>
        <v>20009.5095627501</v>
      </c>
      <c r="BE54" s="15" t="n">
        <f aca="false">0</f>
        <v>0</v>
      </c>
      <c r="BF54" s="15" t="n">
        <f aca="false">0</f>
        <v>0</v>
      </c>
      <c r="BG54" s="15" t="n">
        <f aca="false">0</f>
        <v>0</v>
      </c>
      <c r="BH54" s="15" t="n">
        <f aca="false">BD54+BE54-BF54-AY54</f>
        <v>20009.5095627501</v>
      </c>
      <c r="BI54" s="15" t="n">
        <f aca="false">MAX(0,Parametri_v3!$C$31-BH54)</f>
        <v>0</v>
      </c>
      <c r="BJ54" s="15" t="n">
        <f aca="false">(BJ53)+K54</f>
        <v>22333.3333333333</v>
      </c>
      <c r="BK54" s="15" t="n">
        <f aca="false">(BK53)+L54</f>
        <v>12270.8333333333</v>
      </c>
      <c r="BL54" s="15" t="n">
        <f aca="false">BJ54-BK54</f>
        <v>10062.5</v>
      </c>
      <c r="BM54" s="15" t="n">
        <f aca="false">(BM53)+Y54</f>
        <v>156179.817542712</v>
      </c>
      <c r="BN54" s="15" t="n">
        <f aca="false">(BN53)+AW54+AX54+AZ54</f>
        <v>20000</v>
      </c>
      <c r="BO54" s="15" t="n">
        <f aca="false">(BO53)+AY54</f>
        <v>0</v>
      </c>
      <c r="BP54" s="15" t="n">
        <f aca="false">MIN(Parametri_v3!$C$36*Parametri_v3!$C$35,(BP53)+IF(2=1,MAX(0,SUM(Y41:Y52))*Parametri_v3!$C$34,0))</f>
        <v>2000</v>
      </c>
      <c r="BQ54" s="15" t="n">
        <f aca="false">BN54+BM54-BO54</f>
        <v>176179.817542712</v>
      </c>
      <c r="BR54" s="15" t="n">
        <f aca="false">BH54+AD54+BL54+MAX(0,-AM54)+MAX(0,-AR54)</f>
        <v>326532.00956275</v>
      </c>
      <c r="BS54" s="15" t="n">
        <f aca="false">AJ54+AV54+MAX(0,AM54)+MAX(0,AR54)+BC54+BG54+BQ54+AG54</f>
        <v>326532.00956275</v>
      </c>
      <c r="BT54" s="15" t="n">
        <f aca="false">BR54-BS54</f>
        <v>0</v>
      </c>
      <c r="BU54" s="15" t="n">
        <f aca="false">BH54-(BD54+BE54-BF54-AY54)</f>
        <v>0</v>
      </c>
      <c r="BV54" s="15" t="n">
        <f aca="false">IF(BH53&lt;Parametri_v3!$C$31,0,BV53+1)</f>
        <v>4</v>
      </c>
    </row>
    <row r="55" customFormat="false" ht="18" hidden="false" customHeight="true" outlineLevel="0" collapsed="false">
      <c r="A55" s="68" t="n">
        <f aca="false">1</f>
        <v>1</v>
      </c>
      <c r="B55" s="68" t="n">
        <f aca="false">51</f>
        <v>51</v>
      </c>
      <c r="C55" s="18" t="n">
        <f aca="false">Motore_Operativo!C55</f>
        <v>47908</v>
      </c>
      <c r="D55" s="68" t="n">
        <f aca="false">Motore_Operativo!D55</f>
        <v>2031</v>
      </c>
      <c r="E55" s="68" t="n">
        <f aca="false">Motore_Operativo!E55</f>
        <v>3</v>
      </c>
      <c r="F55" s="15" t="n">
        <f aca="false">Motore_Operativo!AM55</f>
        <v>86968.75</v>
      </c>
      <c r="G55" s="15" t="n">
        <f aca="false">Motore_Operativo!BH55</f>
        <v>8696.875</v>
      </c>
      <c r="H55" s="15" t="n">
        <f aca="false">Motore_Operativo!AM55</f>
        <v>86968.75</v>
      </c>
      <c r="I55" s="15" t="n">
        <f aca="false">Motore_Operativo!CB55</f>
        <v>74987.1389275</v>
      </c>
      <c r="J55" s="15" t="n">
        <f aca="false">Motore_Operativo!CD55</f>
        <v>11981.6110725</v>
      </c>
      <c r="K55" s="15" t="n">
        <f aca="false">Motore_Operativo!CF55</f>
        <v>666.666666666667</v>
      </c>
      <c r="L55" s="15" t="n">
        <f aca="false">SUM(INDEX($K$5:$K$64,MAX(1,51-Parametri_v3!$C$59+1)):K55)/Parametri_v3!$C$59</f>
        <v>520.833333333333</v>
      </c>
      <c r="M55" s="15" t="n">
        <f aca="false">J55-L55</f>
        <v>11460.7777391667</v>
      </c>
      <c r="N55" s="15" t="n">
        <f aca="false">0</f>
        <v>0</v>
      </c>
      <c r="O55" s="15" t="n">
        <f aca="false">0</f>
        <v>0</v>
      </c>
      <c r="P55" s="15" t="n">
        <f aca="false">M55+N55-O55</f>
        <v>11460.7777391667</v>
      </c>
      <c r="Q55" s="15" t="n">
        <f aca="false">SUM(P53:P55)+Parametri_v3!$C$56*3/12</f>
        <v>34403.1665508333</v>
      </c>
      <c r="R55" s="15" t="n">
        <f aca="false">Z52</f>
        <v>0</v>
      </c>
      <c r="S55" s="15" t="n">
        <f aca="false">AA52</f>
        <v>0</v>
      </c>
      <c r="T55" s="15" t="n">
        <f aca="false">MIN(R55,MAX(0,Q55))</f>
        <v>0</v>
      </c>
      <c r="U55" s="15" t="n">
        <f aca="false">MIN(S55,MAX(0,Q55-T55)*Parametri_v3!$C$42)</f>
        <v>0</v>
      </c>
      <c r="V55" s="15" t="n">
        <f aca="false">MAX(0,Q55-T55-U55)*Ipotesi!$C$92</f>
        <v>8256.7599722</v>
      </c>
      <c r="W55" s="15" t="n">
        <f aca="false">MAX(0,SUM(M53:M55)+Parametri_v3!$C$57*3/12)*Ipotesi!$C$93</f>
        <v>1341.7234954825</v>
      </c>
      <c r="X55" s="15" t="n">
        <f aca="false">V55+W55-(V54+W54)</f>
        <v>3197.5569892275</v>
      </c>
      <c r="Y55" s="15" t="n">
        <f aca="false">P55-X55</f>
        <v>8263.22074993917</v>
      </c>
      <c r="Z55" s="15" t="n">
        <f aca="false">R55-T55+IF(AND(Parametri_v3!$C$40=1,D55-YEAR(Parametri_v3!$C$50)&lt;Parametri_v3!$C$41),MAX(0,-Q55),0)</f>
        <v>0</v>
      </c>
      <c r="AA55" s="15" t="n">
        <f aca="false">S55-U55+IF(AND(Parametri_v3!$C$40=1,D55-YEAR(Parametri_v3!$C$50)&lt;Parametri_v3!$C$41),0,MAX(0,-Q55))</f>
        <v>0</v>
      </c>
      <c r="AB55" s="15" t="n">
        <f aca="false">F55*(1+Parametri_v3!$C$26)</f>
        <v>106101.875</v>
      </c>
      <c r="AC55" s="15" t="n">
        <f aca="false">(IF(51-(INT((Motore_Operativo!L55)/30))&lt;1,0,INDEX(Motore_Advisory!$AB$5:$AB$64,MAX(1,51-(INT((Motore_Operativo!L55)/30)))))*(1-(MOD((Motore_Operativo!L55),30)/30))+IF(51-(INT((Motore_Operativo!L55)/30))-1&lt;1,0,INDEX(Motore_Advisory!$AB$5:$AB$64,MAX(1,51-(INT((Motore_Operativo!L55)/30))-1)))*(MOD((Motore_Operativo!L55),30)/30))</f>
        <v>84256.25</v>
      </c>
      <c r="AD55" s="15" t="n">
        <f aca="false">(AD54)+AB55-AC55</f>
        <v>318305.625</v>
      </c>
      <c r="AE55" s="15" t="n">
        <f aca="false">Motore_Operativo!BH55*(1+Parametri_v3!$C$26)</f>
        <v>10610.1875</v>
      </c>
      <c r="AF55" s="15" t="n">
        <f aca="false">(IF(51-(INT((Parametri_v3!$C$29)/30))&lt;1,0,INDEX(Motore_Operativo!$BH$5:$BH$64,MAX(1,51-(INT((Parametri_v3!$C$29)/30)))))*(1-(MOD((Parametri_v3!$C$29),30)/30))+IF(51-(INT((Parametri_v3!$C$29)/30))-1&lt;1,0,INDEX(Motore_Operativo!$BH$5:$BH$64,MAX(1,51-(INT((Parametri_v3!$C$29)/30))-1)))*(MOD((Parametri_v3!$C$29),30)/30))*(1+Parametri_v3!$C$26)</f>
        <v>10610.1875</v>
      </c>
      <c r="AG55" s="15" t="n">
        <f aca="false">(AG54)+AE55-AF55</f>
        <v>10610.1875</v>
      </c>
      <c r="AH55" s="15" t="n">
        <f aca="false">(Motore_Operativo!CK55)*(1+Parametri_v3!$C$28*Parametri_v3!$C$26)</f>
        <v>25785.515</v>
      </c>
      <c r="AI55" s="15" t="n">
        <f aca="false">(IF(51-(INT((Ipotesi!$C$91)/30))&lt;1,0,INDEX(Motore_Advisory!$AH$5:$AH$64,MAX(1,51-(INT((Ipotesi!$C$91)/30)))))*(1-(MOD((Ipotesi!$C$91),30)/30))+IF(51-(INT((Ipotesi!$C$91)/30))-1&lt;1,0,INDEX(Motore_Advisory!$AH$5:$AH$64,MAX(1,51-(INT((Ipotesi!$C$91)/30))-1)))*(MOD((Ipotesi!$C$91),30)/30))</f>
        <v>25785.515</v>
      </c>
      <c r="AJ55" s="15" t="n">
        <f aca="false">(AJ54)+AH55-AI55</f>
        <v>51571.03</v>
      </c>
      <c r="AK55" s="15" t="n">
        <f aca="false">(F55- Motore_Operativo!BH55-(Motore_Operativo!CK55)*Parametri_v3!$C$28-Motore_Operativo!CF55)*Parametri_v3!$C$26</f>
        <v>13214.0891666667</v>
      </c>
      <c r="AL55" s="15" t="n">
        <f aca="false">MAX(0,(AM54))</f>
        <v>13214.0891666667</v>
      </c>
      <c r="AM55" s="15" t="n">
        <f aca="false">(AM54)+AK55-AL55</f>
        <v>13214.0891666667</v>
      </c>
      <c r="AN55" s="15" t="n">
        <f aca="false">SUM(X41:X52)</f>
        <v>31587.2105405</v>
      </c>
      <c r="AO55" s="15" t="n">
        <f aca="false">SUM(AP41:AP52)</f>
        <v>15744.47375</v>
      </c>
      <c r="AP55" s="15" t="n">
        <f aca="false">MAX(0,AN55)*IF(3=Parametri_v3!$C$43,Parametri_v3!$C$45,IF(3=Parametri_v3!$C$44,1-Parametri_v3!$C$45,0))</f>
        <v>0</v>
      </c>
      <c r="AQ55" s="15" t="n">
        <f aca="false">MAX(0,AP55+IF(3=Parametri_v3!$C$43,MAX(0,AN55-AO55),0)-MAX(0,-(AR54)))</f>
        <v>0</v>
      </c>
      <c r="AR55" s="15" t="n">
        <f aca="false">(AR54)+X55-AQ55</f>
        <v>25441.2202581825</v>
      </c>
      <c r="AS55" s="15" t="n">
        <f aca="false">Motore_Operativo!AC55-AT55+AU55</f>
        <v>42145.6153144583</v>
      </c>
      <c r="AT55" s="15" t="n">
        <f aca="false">Motore_Operativo!CI55</f>
        <v>2218.19027970833</v>
      </c>
      <c r="AU55" s="15" t="n">
        <f aca="false">MIN(MAX(0,(AV54)+AT55),Parametri_v3!$C$61/12)</f>
        <v>0</v>
      </c>
      <c r="AV55" s="15" t="n">
        <f aca="false">(AV54)+AT55-AU55</f>
        <v>54931.412364125</v>
      </c>
      <c r="AW55" s="15" t="n">
        <f aca="false">IF(AND(Motore_Operativo!C55=Finanziamenti!$D$7,Finanziamenti!$F$7=1),Finanziamenti!$C$7,0)</f>
        <v>0</v>
      </c>
      <c r="AX55" s="15" t="n">
        <f aca="false">0</f>
        <v>0</v>
      </c>
      <c r="AY55" s="15" t="n">
        <f aca="false">IF(3=Parametri_v3!$C$33,IF(BV55&lt;MIN(12,$B55-1),0,MIN(MAX(0,SUM(Y41:Y52))*Ipotesi!$C$94,MAX(0,(BM52)-(BO54)-BP55),MAX(0,BD55-Parametri_v3!$C$31))),0)</f>
        <v>0</v>
      </c>
      <c r="AZ55" s="15" t="n">
        <f aca="false">0</f>
        <v>0</v>
      </c>
      <c r="BA55" s="15" t="n">
        <f aca="false">0</f>
        <v>0</v>
      </c>
      <c r="BB55" s="15" t="n">
        <f aca="false">0</f>
        <v>0</v>
      </c>
      <c r="BC55" s="15" t="n">
        <f aca="false">0</f>
        <v>0</v>
      </c>
      <c r="BD55" s="15" t="n">
        <f aca="false">(BH54)+AC55-AF55-AI55-AS55-K55*(1+Parametri_v3!$C$26)-AL55-AQ55-O55+AW55+AX55+AZ55+BA55-BB55</f>
        <v>11697.0192482917</v>
      </c>
      <c r="BE55" s="15" t="n">
        <f aca="false">0</f>
        <v>0</v>
      </c>
      <c r="BF55" s="15" t="n">
        <f aca="false">0</f>
        <v>0</v>
      </c>
      <c r="BG55" s="15" t="n">
        <f aca="false">0</f>
        <v>0</v>
      </c>
      <c r="BH55" s="15" t="n">
        <f aca="false">BD55+BE55-BF55-AY55</f>
        <v>11697.0192482917</v>
      </c>
      <c r="BI55" s="15" t="n">
        <f aca="false">MAX(0,Parametri_v3!$C$31-BH55)</f>
        <v>0</v>
      </c>
      <c r="BJ55" s="15" t="n">
        <f aca="false">(BJ54)+K55</f>
        <v>23000</v>
      </c>
      <c r="BK55" s="15" t="n">
        <f aca="false">(BK54)+L55</f>
        <v>12791.6666666667</v>
      </c>
      <c r="BL55" s="15" t="n">
        <f aca="false">BJ55-BK55</f>
        <v>10208.3333333333</v>
      </c>
      <c r="BM55" s="15" t="n">
        <f aca="false">(BM54)+Y55</f>
        <v>164443.038292651</v>
      </c>
      <c r="BN55" s="15" t="n">
        <f aca="false">(BN54)+AW55+AX55+AZ55</f>
        <v>20000</v>
      </c>
      <c r="BO55" s="15" t="n">
        <f aca="false">(BO54)+AY55</f>
        <v>0</v>
      </c>
      <c r="BP55" s="15" t="n">
        <f aca="false">MIN(Parametri_v3!$C$36*Parametri_v3!$C$35,(BP54)+IF(3=1,MAX(0,SUM(Y41:Y52))*Parametri_v3!$C$34,0))</f>
        <v>2000</v>
      </c>
      <c r="BQ55" s="15" t="n">
        <f aca="false">BN55+BM55-BO55</f>
        <v>184443.038292651</v>
      </c>
      <c r="BR55" s="15" t="n">
        <f aca="false">BH55+AD55+BL55+MAX(0,-AM55)+MAX(0,-AR55)</f>
        <v>340210.977581625</v>
      </c>
      <c r="BS55" s="15" t="n">
        <f aca="false">AJ55+AV55+MAX(0,AM55)+MAX(0,AR55)+BC55+BG55+BQ55+AG55</f>
        <v>340210.977581625</v>
      </c>
      <c r="BT55" s="15" t="n">
        <f aca="false">BR55-BS55</f>
        <v>0</v>
      </c>
      <c r="BU55" s="15" t="n">
        <f aca="false">BH55-(BD55+BE55-BF55-AY55)</f>
        <v>0</v>
      </c>
      <c r="BV55" s="15" t="n">
        <f aca="false">IF(BH54&lt;Parametri_v3!$C$31,0,BV54+1)</f>
        <v>5</v>
      </c>
    </row>
    <row r="56" customFormat="false" ht="18" hidden="false" customHeight="true" outlineLevel="0" collapsed="false">
      <c r="A56" s="68" t="n">
        <f aca="false">1</f>
        <v>1</v>
      </c>
      <c r="B56" s="68" t="n">
        <f aca="false">52</f>
        <v>52</v>
      </c>
      <c r="C56" s="18" t="n">
        <f aca="false">Motore_Operativo!C56</f>
        <v>47939</v>
      </c>
      <c r="D56" s="68" t="n">
        <f aca="false">Motore_Operativo!D56</f>
        <v>2031</v>
      </c>
      <c r="E56" s="68" t="n">
        <f aca="false">Motore_Operativo!E56</f>
        <v>4</v>
      </c>
      <c r="F56" s="15" t="n">
        <f aca="false">Motore_Operativo!AM56</f>
        <v>86968.75</v>
      </c>
      <c r="G56" s="15" t="n">
        <f aca="false">Motore_Operativo!BH56</f>
        <v>8696.875</v>
      </c>
      <c r="H56" s="15" t="n">
        <f aca="false">Motore_Operativo!AM56</f>
        <v>86968.75</v>
      </c>
      <c r="I56" s="15" t="n">
        <f aca="false">Motore_Operativo!CB56</f>
        <v>74987.1389275</v>
      </c>
      <c r="J56" s="15" t="n">
        <f aca="false">Motore_Operativo!CD56</f>
        <v>11981.6110725</v>
      </c>
      <c r="K56" s="15" t="n">
        <f aca="false">Motore_Operativo!CF56</f>
        <v>666.666666666667</v>
      </c>
      <c r="L56" s="15" t="n">
        <f aca="false">SUM(INDEX($K$5:$K$64,MAX(1,52-Parametri_v3!$C$59+1)):K56)/Parametri_v3!$C$59</f>
        <v>527.777777777778</v>
      </c>
      <c r="M56" s="15" t="n">
        <f aca="false">J56-L56</f>
        <v>11453.8332947222</v>
      </c>
      <c r="N56" s="15" t="n">
        <f aca="false">0</f>
        <v>0</v>
      </c>
      <c r="O56" s="15" t="n">
        <f aca="false">0</f>
        <v>0</v>
      </c>
      <c r="P56" s="15" t="n">
        <f aca="false">M56+N56-O56</f>
        <v>11453.8332947222</v>
      </c>
      <c r="Q56" s="15" t="n">
        <f aca="false">SUM(P53:P56)+Parametri_v3!$C$56*4/12</f>
        <v>45856.9998455556</v>
      </c>
      <c r="R56" s="15" t="n">
        <f aca="false">Z52</f>
        <v>0</v>
      </c>
      <c r="S56" s="15" t="n">
        <f aca="false">AA52</f>
        <v>0</v>
      </c>
      <c r="T56" s="15" t="n">
        <f aca="false">MIN(R56,MAX(0,Q56))</f>
        <v>0</v>
      </c>
      <c r="U56" s="15" t="n">
        <f aca="false">MIN(S56,MAX(0,Q56-T56)*Parametri_v3!$C$42)</f>
        <v>0</v>
      </c>
      <c r="V56" s="15" t="n">
        <f aca="false">MAX(0,Q56-T56-U56)*Ipotesi!$C$92</f>
        <v>11005.6799629333</v>
      </c>
      <c r="W56" s="15" t="n">
        <f aca="false">MAX(0,SUM(M53:M56)+Parametri_v3!$C$57*4/12)*Ipotesi!$C$93</f>
        <v>1788.42299397667</v>
      </c>
      <c r="X56" s="15" t="n">
        <f aca="false">V56+W56-(V55+W55)</f>
        <v>3195.6194892275</v>
      </c>
      <c r="Y56" s="15" t="n">
        <f aca="false">P56-X56</f>
        <v>8258.21380549473</v>
      </c>
      <c r="Z56" s="15" t="n">
        <f aca="false">R56-T56+IF(AND(Parametri_v3!$C$40=1,D56-YEAR(Parametri_v3!$C$50)&lt;Parametri_v3!$C$41),MAX(0,-Q56),0)</f>
        <v>0</v>
      </c>
      <c r="AA56" s="15" t="n">
        <f aca="false">S56-U56+IF(AND(Parametri_v3!$C$40=1,D56-YEAR(Parametri_v3!$C$50)&lt;Parametri_v3!$C$41),0,MAX(0,-Q56))</f>
        <v>0</v>
      </c>
      <c r="AB56" s="15" t="n">
        <f aca="false">F56*(1+Parametri_v3!$C$26)</f>
        <v>106101.875</v>
      </c>
      <c r="AC56" s="15" t="n">
        <f aca="false">(IF(52-(INT((Motore_Operativo!L56)/30))&lt;1,0,INDEX(Motore_Advisory!$AB$5:$AB$64,MAX(1,52-(INT((Motore_Operativo!L56)/30)))))*(1-(MOD((Motore_Operativo!L56),30)/30))+IF(52-(INT((Motore_Operativo!L56)/30))-1&lt;1,0,INDEX(Motore_Advisory!$AB$5:$AB$64,MAX(1,52-(INT((Motore_Operativo!L56)/30))-1)))*(MOD((Motore_Operativo!L56),30)/30))</f>
        <v>106101.875</v>
      </c>
      <c r="AD56" s="15" t="n">
        <f aca="false">(AD55)+AB56-AC56</f>
        <v>318305.625</v>
      </c>
      <c r="AE56" s="15" t="n">
        <f aca="false">Motore_Operativo!BH56*(1+Parametri_v3!$C$26)</f>
        <v>10610.1875</v>
      </c>
      <c r="AF56" s="15" t="n">
        <f aca="false">(IF(52-(INT((Parametri_v3!$C$29)/30))&lt;1,0,INDEX(Motore_Operativo!$BH$5:$BH$64,MAX(1,52-(INT((Parametri_v3!$C$29)/30)))))*(1-(MOD((Parametri_v3!$C$29),30)/30))+IF(52-(INT((Parametri_v3!$C$29)/30))-1&lt;1,0,INDEX(Motore_Operativo!$BH$5:$BH$64,MAX(1,52-(INT((Parametri_v3!$C$29)/30))-1)))*(MOD((Parametri_v3!$C$29),30)/30))*(1+Parametri_v3!$C$26)</f>
        <v>10610.1875</v>
      </c>
      <c r="AG56" s="15" t="n">
        <f aca="false">(AG55)+AE56-AF56</f>
        <v>10610.1875</v>
      </c>
      <c r="AH56" s="15" t="n">
        <f aca="false">(Motore_Operativo!CK56)*(1+Parametri_v3!$C$28*Parametri_v3!$C$26)</f>
        <v>25785.515</v>
      </c>
      <c r="AI56" s="15" t="n">
        <f aca="false">(IF(52-(INT((Ipotesi!$C$91)/30))&lt;1,0,INDEX(Motore_Advisory!$AH$5:$AH$64,MAX(1,52-(INT((Ipotesi!$C$91)/30)))))*(1-(MOD((Ipotesi!$C$91),30)/30))+IF(52-(INT((Ipotesi!$C$91)/30))-1&lt;1,0,INDEX(Motore_Advisory!$AH$5:$AH$64,MAX(1,52-(INT((Ipotesi!$C$91)/30))-1)))*(MOD((Ipotesi!$C$91),30)/30))</f>
        <v>25785.515</v>
      </c>
      <c r="AJ56" s="15" t="n">
        <f aca="false">(AJ55)+AH56-AI56</f>
        <v>51571.03</v>
      </c>
      <c r="AK56" s="15" t="n">
        <f aca="false">(F56- Motore_Operativo!BH56-(Motore_Operativo!CK56)*Parametri_v3!$C$28-Motore_Operativo!CF56)*Parametri_v3!$C$26</f>
        <v>13214.0891666667</v>
      </c>
      <c r="AL56" s="15" t="n">
        <f aca="false">MAX(0,(AM55))</f>
        <v>13214.0891666667</v>
      </c>
      <c r="AM56" s="15" t="n">
        <f aca="false">(AM55)+AK56-AL56</f>
        <v>13214.0891666667</v>
      </c>
      <c r="AN56" s="15" t="n">
        <f aca="false">SUM(X41:X52)</f>
        <v>31587.2105405</v>
      </c>
      <c r="AO56" s="15" t="n">
        <f aca="false">SUM(AP41:AP52)</f>
        <v>15744.47375</v>
      </c>
      <c r="AP56" s="15" t="n">
        <f aca="false">MAX(0,AN56)*IF(4=Parametri_v3!$C$43,Parametri_v3!$C$45,IF(4=Parametri_v3!$C$44,1-Parametri_v3!$C$45,0))</f>
        <v>0</v>
      </c>
      <c r="AQ56" s="15" t="n">
        <f aca="false">MAX(0,AP56+IF(4=Parametri_v3!$C$43,MAX(0,AN56-AO56),0)-MAX(0,-(AR55)))</f>
        <v>0</v>
      </c>
      <c r="AR56" s="15" t="n">
        <f aca="false">(AR55)+X56-AQ56</f>
        <v>28636.83974741</v>
      </c>
      <c r="AS56" s="15" t="n">
        <f aca="false">Motore_Operativo!AC56-AT56+AU56</f>
        <v>42145.6153144583</v>
      </c>
      <c r="AT56" s="15" t="n">
        <f aca="false">Motore_Operativo!CI56</f>
        <v>2218.19027970833</v>
      </c>
      <c r="AU56" s="15" t="n">
        <f aca="false">MIN(MAX(0,(AV55)+AT56),Parametri_v3!$C$61/12)</f>
        <v>0</v>
      </c>
      <c r="AV56" s="15" t="n">
        <f aca="false">(AV55)+AT56-AU56</f>
        <v>57149.6026438333</v>
      </c>
      <c r="AW56" s="15" t="n">
        <f aca="false">IF(AND(Motore_Operativo!C56=Finanziamenti!$D$7,Finanziamenti!$F$7=1),Finanziamenti!$C$7,0)</f>
        <v>0</v>
      </c>
      <c r="AX56" s="15" t="n">
        <f aca="false">0</f>
        <v>0</v>
      </c>
      <c r="AY56" s="15" t="n">
        <f aca="false">IF(4=Parametri_v3!$C$33,IF(BV56&lt;MIN(12,$B56-1),0,MIN(MAX(0,SUM(Y41:Y52))*Ipotesi!$C$94,MAX(0,(BM52)-(BO55)-BP56),MAX(0,BD56-Parametri_v3!$C$31))),0)</f>
        <v>0</v>
      </c>
      <c r="AZ56" s="15" t="n">
        <f aca="false">0</f>
        <v>0</v>
      </c>
      <c r="BA56" s="15" t="n">
        <f aca="false">0</f>
        <v>0</v>
      </c>
      <c r="BB56" s="15" t="n">
        <f aca="false">0</f>
        <v>0</v>
      </c>
      <c r="BC56" s="15" t="n">
        <f aca="false">0</f>
        <v>0</v>
      </c>
      <c r="BD56" s="15" t="n">
        <f aca="false">(BH55)+AC56-AF56-AI56-AS56-K56*(1+Parametri_v3!$C$26)-AL56-AQ56-O56+AW56+AX56+AZ56+BA56-BB56</f>
        <v>25230.1539338334</v>
      </c>
      <c r="BE56" s="15" t="n">
        <f aca="false">0</f>
        <v>0</v>
      </c>
      <c r="BF56" s="15" t="n">
        <f aca="false">0</f>
        <v>0</v>
      </c>
      <c r="BG56" s="15" t="n">
        <f aca="false">0</f>
        <v>0</v>
      </c>
      <c r="BH56" s="15" t="n">
        <f aca="false">BD56+BE56-BF56-AY56</f>
        <v>25230.1539338334</v>
      </c>
      <c r="BI56" s="15" t="n">
        <f aca="false">MAX(0,Parametri_v3!$C$31-BH56)</f>
        <v>0</v>
      </c>
      <c r="BJ56" s="15" t="n">
        <f aca="false">(BJ55)+K56</f>
        <v>23666.6666666667</v>
      </c>
      <c r="BK56" s="15" t="n">
        <f aca="false">(BK55)+L56</f>
        <v>13319.4444444444</v>
      </c>
      <c r="BL56" s="15" t="n">
        <f aca="false">BJ56-BK56</f>
        <v>10347.2222222222</v>
      </c>
      <c r="BM56" s="15" t="n">
        <f aca="false">(BM55)+Y56</f>
        <v>172701.252098146</v>
      </c>
      <c r="BN56" s="15" t="n">
        <f aca="false">(BN55)+AW56+AX56+AZ56</f>
        <v>20000</v>
      </c>
      <c r="BO56" s="15" t="n">
        <f aca="false">(BO55)+AY56</f>
        <v>0</v>
      </c>
      <c r="BP56" s="15" t="n">
        <f aca="false">MIN(Parametri_v3!$C$36*Parametri_v3!$C$35,(BP55)+IF(4=1,MAX(0,SUM(Y41:Y52))*Parametri_v3!$C$34,0))</f>
        <v>2000</v>
      </c>
      <c r="BQ56" s="15" t="n">
        <f aca="false">BN56+BM56-BO56</f>
        <v>192701.252098146</v>
      </c>
      <c r="BR56" s="15" t="n">
        <f aca="false">BH56+AD56+BL56+MAX(0,-AM56)+MAX(0,-AR56)</f>
        <v>353883.001156056</v>
      </c>
      <c r="BS56" s="15" t="n">
        <f aca="false">AJ56+AV56+MAX(0,AM56)+MAX(0,AR56)+BC56+BG56+BQ56+AG56</f>
        <v>353883.001156056</v>
      </c>
      <c r="BT56" s="15" t="n">
        <f aca="false">BR56-BS56</f>
        <v>0</v>
      </c>
      <c r="BU56" s="15" t="n">
        <f aca="false">BH56-(BD56+BE56-BF56-AY56)</f>
        <v>0</v>
      </c>
      <c r="BV56" s="15" t="n">
        <f aca="false">IF(BH55&lt;Parametri_v3!$C$31,0,BV55+1)</f>
        <v>6</v>
      </c>
    </row>
    <row r="57" customFormat="false" ht="18" hidden="false" customHeight="true" outlineLevel="0" collapsed="false">
      <c r="A57" s="68" t="n">
        <f aca="false">1</f>
        <v>1</v>
      </c>
      <c r="B57" s="68" t="n">
        <f aca="false">53</f>
        <v>53</v>
      </c>
      <c r="C57" s="18" t="n">
        <f aca="false">Motore_Operativo!C57</f>
        <v>47969</v>
      </c>
      <c r="D57" s="68" t="n">
        <f aca="false">Motore_Operativo!D57</f>
        <v>2031</v>
      </c>
      <c r="E57" s="68" t="n">
        <f aca="false">Motore_Operativo!E57</f>
        <v>5</v>
      </c>
      <c r="F57" s="15" t="n">
        <f aca="false">Motore_Operativo!AM57</f>
        <v>86968.75</v>
      </c>
      <c r="G57" s="15" t="n">
        <f aca="false">Motore_Operativo!BH57</f>
        <v>8696.875</v>
      </c>
      <c r="H57" s="15" t="n">
        <f aca="false">Motore_Operativo!AM57</f>
        <v>86968.75</v>
      </c>
      <c r="I57" s="15" t="n">
        <f aca="false">Motore_Operativo!CB57</f>
        <v>74987.1389275</v>
      </c>
      <c r="J57" s="15" t="n">
        <f aca="false">Motore_Operativo!CD57</f>
        <v>11981.6110725</v>
      </c>
      <c r="K57" s="15" t="n">
        <f aca="false">Motore_Operativo!CF57</f>
        <v>666.666666666667</v>
      </c>
      <c r="L57" s="15" t="n">
        <f aca="false">SUM(INDEX($K$5:$K$64,MAX(1,53-Parametri_v3!$C$59+1)):K57)/Parametri_v3!$C$59</f>
        <v>534.722222222222</v>
      </c>
      <c r="M57" s="15" t="n">
        <f aca="false">J57-L57</f>
        <v>11446.8888502778</v>
      </c>
      <c r="N57" s="15" t="n">
        <f aca="false">0</f>
        <v>0</v>
      </c>
      <c r="O57" s="15" t="n">
        <f aca="false">0</f>
        <v>0</v>
      </c>
      <c r="P57" s="15" t="n">
        <f aca="false">M57+N57-O57</f>
        <v>11446.8888502778</v>
      </c>
      <c r="Q57" s="15" t="n">
        <f aca="false">SUM(P53:P57)+Parametri_v3!$C$56*5/12</f>
        <v>57303.8886958333</v>
      </c>
      <c r="R57" s="15" t="n">
        <f aca="false">Z52</f>
        <v>0</v>
      </c>
      <c r="S57" s="15" t="n">
        <f aca="false">AA52</f>
        <v>0</v>
      </c>
      <c r="T57" s="15" t="n">
        <f aca="false">MIN(R57,MAX(0,Q57))</f>
        <v>0</v>
      </c>
      <c r="U57" s="15" t="n">
        <f aca="false">MIN(S57,MAX(0,Q57-T57)*Parametri_v3!$C$42)</f>
        <v>0</v>
      </c>
      <c r="V57" s="15" t="n">
        <f aca="false">MAX(0,Q57-T57-U57)*Ipotesi!$C$92</f>
        <v>13752.933287</v>
      </c>
      <c r="W57" s="15" t="n">
        <f aca="false">MAX(0,SUM(M53:M57)+Parametri_v3!$C$57*5/12)*Ipotesi!$C$93</f>
        <v>2234.8516591375</v>
      </c>
      <c r="X57" s="15" t="n">
        <f aca="false">V57+W57-(V56+W56)</f>
        <v>3193.6819892275</v>
      </c>
      <c r="Y57" s="15" t="n">
        <f aca="false">P57-X57</f>
        <v>8253.20686105028</v>
      </c>
      <c r="Z57" s="15" t="n">
        <f aca="false">R57-T57+IF(AND(Parametri_v3!$C$40=1,D57-YEAR(Parametri_v3!$C$50)&lt;Parametri_v3!$C$41),MAX(0,-Q57),0)</f>
        <v>0</v>
      </c>
      <c r="AA57" s="15" t="n">
        <f aca="false">S57-U57+IF(AND(Parametri_v3!$C$40=1,D57-YEAR(Parametri_v3!$C$50)&lt;Parametri_v3!$C$41),0,MAX(0,-Q57))</f>
        <v>0</v>
      </c>
      <c r="AB57" s="15" t="n">
        <f aca="false">F57*(1+Parametri_v3!$C$26)</f>
        <v>106101.875</v>
      </c>
      <c r="AC57" s="15" t="n">
        <f aca="false">(IF(53-(INT((Motore_Operativo!L57)/30))&lt;1,0,INDEX(Motore_Advisory!$AB$5:$AB$64,MAX(1,53-(INT((Motore_Operativo!L57)/30)))))*(1-(MOD((Motore_Operativo!L57),30)/30))+IF(53-(INT((Motore_Operativo!L57)/30))-1&lt;1,0,INDEX(Motore_Advisory!$AB$5:$AB$64,MAX(1,53-(INT((Motore_Operativo!L57)/30))-1)))*(MOD((Motore_Operativo!L57),30)/30))</f>
        <v>106101.875</v>
      </c>
      <c r="AD57" s="15" t="n">
        <f aca="false">(AD56)+AB57-AC57</f>
        <v>318305.625</v>
      </c>
      <c r="AE57" s="15" t="n">
        <f aca="false">Motore_Operativo!BH57*(1+Parametri_v3!$C$26)</f>
        <v>10610.1875</v>
      </c>
      <c r="AF57" s="15" t="n">
        <f aca="false">(IF(53-(INT((Parametri_v3!$C$29)/30))&lt;1,0,INDEX(Motore_Operativo!$BH$5:$BH$64,MAX(1,53-(INT((Parametri_v3!$C$29)/30)))))*(1-(MOD((Parametri_v3!$C$29),30)/30))+IF(53-(INT((Parametri_v3!$C$29)/30))-1&lt;1,0,INDEX(Motore_Operativo!$BH$5:$BH$64,MAX(1,53-(INT((Parametri_v3!$C$29)/30))-1)))*(MOD((Parametri_v3!$C$29),30)/30))*(1+Parametri_v3!$C$26)</f>
        <v>10610.1875</v>
      </c>
      <c r="AG57" s="15" t="n">
        <f aca="false">(AG56)+AE57-AF57</f>
        <v>10610.1875</v>
      </c>
      <c r="AH57" s="15" t="n">
        <f aca="false">(Motore_Operativo!CK57)*(1+Parametri_v3!$C$28*Parametri_v3!$C$26)</f>
        <v>25785.515</v>
      </c>
      <c r="AI57" s="15" t="n">
        <f aca="false">(IF(53-(INT((Ipotesi!$C$91)/30))&lt;1,0,INDEX(Motore_Advisory!$AH$5:$AH$64,MAX(1,53-(INT((Ipotesi!$C$91)/30)))))*(1-(MOD((Ipotesi!$C$91),30)/30))+IF(53-(INT((Ipotesi!$C$91)/30))-1&lt;1,0,INDEX(Motore_Advisory!$AH$5:$AH$64,MAX(1,53-(INT((Ipotesi!$C$91)/30))-1)))*(MOD((Ipotesi!$C$91),30)/30))</f>
        <v>25785.515</v>
      </c>
      <c r="AJ57" s="15" t="n">
        <f aca="false">(AJ56)+AH57-AI57</f>
        <v>51571.03</v>
      </c>
      <c r="AK57" s="15" t="n">
        <f aca="false">(F57- Motore_Operativo!BH57-(Motore_Operativo!CK57)*Parametri_v3!$C$28-Motore_Operativo!CF57)*Parametri_v3!$C$26</f>
        <v>13214.0891666667</v>
      </c>
      <c r="AL57" s="15" t="n">
        <f aca="false">MAX(0,(AM56))</f>
        <v>13214.0891666667</v>
      </c>
      <c r="AM57" s="15" t="n">
        <f aca="false">(AM56)+AK57-AL57</f>
        <v>13214.0891666667</v>
      </c>
      <c r="AN57" s="15" t="n">
        <f aca="false">SUM(X41:X52)</f>
        <v>31587.2105405</v>
      </c>
      <c r="AO57" s="15" t="n">
        <f aca="false">SUM(AP41:AP52)</f>
        <v>15744.47375</v>
      </c>
      <c r="AP57" s="15" t="n">
        <f aca="false">MAX(0,AN57)*IF(5=Parametri_v3!$C$43,Parametri_v3!$C$45,IF(5=Parametri_v3!$C$44,1-Parametri_v3!$C$45,0))</f>
        <v>0</v>
      </c>
      <c r="AQ57" s="15" t="n">
        <f aca="false">MAX(0,AP57+IF(5=Parametri_v3!$C$43,MAX(0,AN57-AO57),0)-MAX(0,-(AR56)))</f>
        <v>0</v>
      </c>
      <c r="AR57" s="15" t="n">
        <f aca="false">(AR56)+X57-AQ57</f>
        <v>31830.5217366375</v>
      </c>
      <c r="AS57" s="15" t="n">
        <f aca="false">Motore_Operativo!AC57-AT57+AU57</f>
        <v>42145.6153144583</v>
      </c>
      <c r="AT57" s="15" t="n">
        <f aca="false">Motore_Operativo!CI57</f>
        <v>2218.19027970833</v>
      </c>
      <c r="AU57" s="15" t="n">
        <f aca="false">MIN(MAX(0,(AV56)+AT57),Parametri_v3!$C$61/12)</f>
        <v>0</v>
      </c>
      <c r="AV57" s="15" t="n">
        <f aca="false">(AV56)+AT57-AU57</f>
        <v>59367.7929235417</v>
      </c>
      <c r="AW57" s="15" t="n">
        <f aca="false">IF(AND(Motore_Operativo!C57=Finanziamenti!$D$7,Finanziamenti!$F$7=1),Finanziamenti!$C$7,0)</f>
        <v>0</v>
      </c>
      <c r="AX57" s="15" t="n">
        <f aca="false">0</f>
        <v>0</v>
      </c>
      <c r="AY57" s="15" t="n">
        <f aca="false">IF(5=Parametri_v3!$C$33,IF(BV57&lt;MIN(12,$B57-1),0,MIN(MAX(0,SUM(Y41:Y52))*Ipotesi!$C$94,MAX(0,(BM52)-(BO56)-BP57),MAX(0,BD57-Parametri_v3!$C$31))),0)</f>
        <v>0</v>
      </c>
      <c r="AZ57" s="15" t="n">
        <f aca="false">0</f>
        <v>0</v>
      </c>
      <c r="BA57" s="15" t="n">
        <f aca="false">0</f>
        <v>0</v>
      </c>
      <c r="BB57" s="15" t="n">
        <f aca="false">0</f>
        <v>0</v>
      </c>
      <c r="BC57" s="15" t="n">
        <f aca="false">0</f>
        <v>0</v>
      </c>
      <c r="BD57" s="15" t="n">
        <f aca="false">(BH56)+AC57-AF57-AI57-AS57-K57*(1+Parametri_v3!$C$26)-AL57-AQ57-O57+AW57+AX57+AZ57+BA57-BB57</f>
        <v>38763.2886193751</v>
      </c>
      <c r="BE57" s="15" t="n">
        <f aca="false">0</f>
        <v>0</v>
      </c>
      <c r="BF57" s="15" t="n">
        <f aca="false">0</f>
        <v>0</v>
      </c>
      <c r="BG57" s="15" t="n">
        <f aca="false">0</f>
        <v>0</v>
      </c>
      <c r="BH57" s="15" t="n">
        <f aca="false">BD57+BE57-BF57-AY57</f>
        <v>38763.2886193751</v>
      </c>
      <c r="BI57" s="15" t="n">
        <f aca="false">MAX(0,Parametri_v3!$C$31-BH57)</f>
        <v>0</v>
      </c>
      <c r="BJ57" s="15" t="n">
        <f aca="false">(BJ56)+K57</f>
        <v>24333.3333333333</v>
      </c>
      <c r="BK57" s="15" t="n">
        <f aca="false">(BK56)+L57</f>
        <v>13854.1666666667</v>
      </c>
      <c r="BL57" s="15" t="n">
        <f aca="false">BJ57-BK57</f>
        <v>10479.1666666667</v>
      </c>
      <c r="BM57" s="15" t="n">
        <f aca="false">(BM56)+Y57</f>
        <v>180954.458959196</v>
      </c>
      <c r="BN57" s="15" t="n">
        <f aca="false">(BN56)+AW57+AX57+AZ57</f>
        <v>20000</v>
      </c>
      <c r="BO57" s="15" t="n">
        <f aca="false">(BO56)+AY57</f>
        <v>0</v>
      </c>
      <c r="BP57" s="15" t="n">
        <f aca="false">MIN(Parametri_v3!$C$36*Parametri_v3!$C$35,(BP56)+IF(5=1,MAX(0,SUM(Y41:Y52))*Parametri_v3!$C$34,0))</f>
        <v>2000</v>
      </c>
      <c r="BQ57" s="15" t="n">
        <f aca="false">BN57+BM57-BO57</f>
        <v>200954.458959196</v>
      </c>
      <c r="BR57" s="15" t="n">
        <f aca="false">BH57+AD57+BL57+MAX(0,-AM57)+MAX(0,-AR57)</f>
        <v>367548.080286042</v>
      </c>
      <c r="BS57" s="15" t="n">
        <f aca="false">AJ57+AV57+MAX(0,AM57)+MAX(0,AR57)+BC57+BG57+BQ57+AG57</f>
        <v>367548.080286042</v>
      </c>
      <c r="BT57" s="15" t="n">
        <f aca="false">BR57-BS57</f>
        <v>0</v>
      </c>
      <c r="BU57" s="15" t="n">
        <f aca="false">BH57-(BD57+BE57-BF57-AY57)</f>
        <v>0</v>
      </c>
      <c r="BV57" s="15" t="n">
        <f aca="false">IF(BH56&lt;Parametri_v3!$C$31,0,BV56+1)</f>
        <v>7</v>
      </c>
    </row>
    <row r="58" customFormat="false" ht="18" hidden="false" customHeight="true" outlineLevel="0" collapsed="false">
      <c r="A58" s="68" t="n">
        <f aca="false">1</f>
        <v>1</v>
      </c>
      <c r="B58" s="68" t="n">
        <f aca="false">54</f>
        <v>54</v>
      </c>
      <c r="C58" s="18" t="n">
        <f aca="false">Motore_Operativo!C58</f>
        <v>48000</v>
      </c>
      <c r="D58" s="68" t="n">
        <f aca="false">Motore_Operativo!D58</f>
        <v>2031</v>
      </c>
      <c r="E58" s="68" t="n">
        <f aca="false">Motore_Operativo!E58</f>
        <v>6</v>
      </c>
      <c r="F58" s="15" t="n">
        <f aca="false">Motore_Operativo!AM58</f>
        <v>86968.75</v>
      </c>
      <c r="G58" s="15" t="n">
        <f aca="false">Motore_Operativo!BH58</f>
        <v>8696.875</v>
      </c>
      <c r="H58" s="15" t="n">
        <f aca="false">Motore_Operativo!AM58</f>
        <v>86968.75</v>
      </c>
      <c r="I58" s="15" t="n">
        <f aca="false">Motore_Operativo!CB58</f>
        <v>74987.1389275</v>
      </c>
      <c r="J58" s="15" t="n">
        <f aca="false">Motore_Operativo!CD58</f>
        <v>11981.6110725</v>
      </c>
      <c r="K58" s="15" t="n">
        <f aca="false">Motore_Operativo!CF58</f>
        <v>666.666666666667</v>
      </c>
      <c r="L58" s="15" t="n">
        <f aca="false">SUM(INDEX($K$5:$K$64,MAX(1,54-Parametri_v3!$C$59+1)):K58)/Parametri_v3!$C$59</f>
        <v>541.666666666667</v>
      </c>
      <c r="M58" s="15" t="n">
        <f aca="false">J58-L58</f>
        <v>11439.9444058333</v>
      </c>
      <c r="N58" s="15" t="n">
        <f aca="false">0</f>
        <v>0</v>
      </c>
      <c r="O58" s="15" t="n">
        <f aca="false">0</f>
        <v>0</v>
      </c>
      <c r="P58" s="15" t="n">
        <f aca="false">M58+N58-O58</f>
        <v>11439.9444058333</v>
      </c>
      <c r="Q58" s="15" t="n">
        <f aca="false">SUM(P53:P58)+Parametri_v3!$C$56*6/12</f>
        <v>68743.8331016667</v>
      </c>
      <c r="R58" s="15" t="n">
        <f aca="false">Z52</f>
        <v>0</v>
      </c>
      <c r="S58" s="15" t="n">
        <f aca="false">AA52</f>
        <v>0</v>
      </c>
      <c r="T58" s="15" t="n">
        <f aca="false">MIN(R58,MAX(0,Q58))</f>
        <v>0</v>
      </c>
      <c r="U58" s="15" t="n">
        <f aca="false">MIN(S58,MAX(0,Q58-T58)*Parametri_v3!$C$42)</f>
        <v>0</v>
      </c>
      <c r="V58" s="15" t="n">
        <f aca="false">MAX(0,Q58-T58-U58)*Ipotesi!$C$92</f>
        <v>16498.5199444</v>
      </c>
      <c r="W58" s="15" t="n">
        <f aca="false">MAX(0,SUM(M53:M58)+Parametri_v3!$C$57*6/12)*Ipotesi!$C$93</f>
        <v>2681.009490965</v>
      </c>
      <c r="X58" s="15" t="n">
        <f aca="false">V58+W58-(V57+W57)</f>
        <v>3191.7444892275</v>
      </c>
      <c r="Y58" s="15" t="n">
        <f aca="false">P58-X58</f>
        <v>8248.19991660584</v>
      </c>
      <c r="Z58" s="15" t="n">
        <f aca="false">R58-T58+IF(AND(Parametri_v3!$C$40=1,D58-YEAR(Parametri_v3!$C$50)&lt;Parametri_v3!$C$41),MAX(0,-Q58),0)</f>
        <v>0</v>
      </c>
      <c r="AA58" s="15" t="n">
        <f aca="false">S58-U58+IF(AND(Parametri_v3!$C$40=1,D58-YEAR(Parametri_v3!$C$50)&lt;Parametri_v3!$C$41),0,MAX(0,-Q58))</f>
        <v>0</v>
      </c>
      <c r="AB58" s="15" t="n">
        <f aca="false">F58*(1+Parametri_v3!$C$26)</f>
        <v>106101.875</v>
      </c>
      <c r="AC58" s="15" t="n">
        <f aca="false">(IF(54-(INT((Motore_Operativo!L58)/30))&lt;1,0,INDEX(Motore_Advisory!$AB$5:$AB$64,MAX(1,54-(INT((Motore_Operativo!L58)/30)))))*(1-(MOD((Motore_Operativo!L58),30)/30))+IF(54-(INT((Motore_Operativo!L58)/30))-1&lt;1,0,INDEX(Motore_Advisory!$AB$5:$AB$64,MAX(1,54-(INT((Motore_Operativo!L58)/30))-1)))*(MOD((Motore_Operativo!L58),30)/30))</f>
        <v>106101.875</v>
      </c>
      <c r="AD58" s="15" t="n">
        <f aca="false">(AD57)+AB58-AC58</f>
        <v>318305.625</v>
      </c>
      <c r="AE58" s="15" t="n">
        <f aca="false">Motore_Operativo!BH58*(1+Parametri_v3!$C$26)</f>
        <v>10610.1875</v>
      </c>
      <c r="AF58" s="15" t="n">
        <f aca="false">(IF(54-(INT((Parametri_v3!$C$29)/30))&lt;1,0,INDEX(Motore_Operativo!$BH$5:$BH$64,MAX(1,54-(INT((Parametri_v3!$C$29)/30)))))*(1-(MOD((Parametri_v3!$C$29),30)/30))+IF(54-(INT((Parametri_v3!$C$29)/30))-1&lt;1,0,INDEX(Motore_Operativo!$BH$5:$BH$64,MAX(1,54-(INT((Parametri_v3!$C$29)/30))-1)))*(MOD((Parametri_v3!$C$29),30)/30))*(1+Parametri_v3!$C$26)</f>
        <v>10610.1875</v>
      </c>
      <c r="AG58" s="15" t="n">
        <f aca="false">(AG57)+AE58-AF58</f>
        <v>10610.1875</v>
      </c>
      <c r="AH58" s="15" t="n">
        <f aca="false">(Motore_Operativo!CK58)*(1+Parametri_v3!$C$28*Parametri_v3!$C$26)</f>
        <v>25785.515</v>
      </c>
      <c r="AI58" s="15" t="n">
        <f aca="false">(IF(54-(INT((Ipotesi!$C$91)/30))&lt;1,0,INDEX(Motore_Advisory!$AH$5:$AH$64,MAX(1,54-(INT((Ipotesi!$C$91)/30)))))*(1-(MOD((Ipotesi!$C$91),30)/30))+IF(54-(INT((Ipotesi!$C$91)/30))-1&lt;1,0,INDEX(Motore_Advisory!$AH$5:$AH$64,MAX(1,54-(INT((Ipotesi!$C$91)/30))-1)))*(MOD((Ipotesi!$C$91),30)/30))</f>
        <v>25785.515</v>
      </c>
      <c r="AJ58" s="15" t="n">
        <f aca="false">(AJ57)+AH58-AI58</f>
        <v>51571.03</v>
      </c>
      <c r="AK58" s="15" t="n">
        <f aca="false">(F58- Motore_Operativo!BH58-(Motore_Operativo!CK58)*Parametri_v3!$C$28-Motore_Operativo!CF58)*Parametri_v3!$C$26</f>
        <v>13214.0891666667</v>
      </c>
      <c r="AL58" s="15" t="n">
        <f aca="false">MAX(0,(AM57))</f>
        <v>13214.0891666667</v>
      </c>
      <c r="AM58" s="15" t="n">
        <f aca="false">(AM57)+AK58-AL58</f>
        <v>13214.0891666667</v>
      </c>
      <c r="AN58" s="15" t="n">
        <f aca="false">SUM(X41:X52)</f>
        <v>31587.2105405</v>
      </c>
      <c r="AO58" s="15" t="n">
        <f aca="false">SUM(AP41:AP52)</f>
        <v>15744.47375</v>
      </c>
      <c r="AP58" s="15" t="n">
        <f aca="false">MAX(0,AN58)*IF(6=Parametri_v3!$C$43,Parametri_v3!$C$45,IF(6=Parametri_v3!$C$44,1-Parametri_v3!$C$45,0))</f>
        <v>12634.8842162</v>
      </c>
      <c r="AQ58" s="15" t="n">
        <f aca="false">MAX(0,AP58+IF(6=Parametri_v3!$C$43,MAX(0,AN58-AO58),0)-MAX(0,-(AR57)))</f>
        <v>28477.6210067</v>
      </c>
      <c r="AR58" s="15" t="n">
        <f aca="false">(AR57)+X58-AQ58</f>
        <v>6544.645219165</v>
      </c>
      <c r="AS58" s="15" t="n">
        <f aca="false">Motore_Operativo!AC58-AT58+AU58</f>
        <v>42145.6153144583</v>
      </c>
      <c r="AT58" s="15" t="n">
        <f aca="false">Motore_Operativo!CI58</f>
        <v>2218.19027970833</v>
      </c>
      <c r="AU58" s="15" t="n">
        <f aca="false">MIN(MAX(0,(AV57)+AT58),Parametri_v3!$C$61/12)</f>
        <v>0</v>
      </c>
      <c r="AV58" s="15" t="n">
        <f aca="false">(AV57)+AT58-AU58</f>
        <v>61585.98320325</v>
      </c>
      <c r="AW58" s="15" t="n">
        <f aca="false">IF(AND(Motore_Operativo!C58=Finanziamenti!$D$7,Finanziamenti!$F$7=1),Finanziamenti!$C$7,0)</f>
        <v>0</v>
      </c>
      <c r="AX58" s="15" t="n">
        <f aca="false">0</f>
        <v>0</v>
      </c>
      <c r="AY58" s="15" t="n">
        <f aca="false">IF(6=Parametri_v3!$C$33,IF(BV58&lt;MIN(12,$B58-1),0,MIN(MAX(0,SUM(Y41:Y52))*Ipotesi!$C$94,MAX(0,(BM52)-(BO57)-BP58),MAX(0,BD58-Parametri_v3!$C$31))),0)</f>
        <v>0</v>
      </c>
      <c r="AZ58" s="15" t="n">
        <f aca="false">0</f>
        <v>0</v>
      </c>
      <c r="BA58" s="15" t="n">
        <f aca="false">0</f>
        <v>0</v>
      </c>
      <c r="BB58" s="15" t="n">
        <f aca="false">0</f>
        <v>0</v>
      </c>
      <c r="BC58" s="15" t="n">
        <f aca="false">0</f>
        <v>0</v>
      </c>
      <c r="BD58" s="15" t="n">
        <f aca="false">(BH57)+AC58-AF58-AI58-AS58-K58*(1+Parametri_v3!$C$26)-AL58-AQ58-O58+AW58+AX58+AZ58+BA58-BB58</f>
        <v>23818.8022982167</v>
      </c>
      <c r="BE58" s="15" t="n">
        <f aca="false">0</f>
        <v>0</v>
      </c>
      <c r="BF58" s="15" t="n">
        <f aca="false">0</f>
        <v>0</v>
      </c>
      <c r="BG58" s="15" t="n">
        <f aca="false">0</f>
        <v>0</v>
      </c>
      <c r="BH58" s="15" t="n">
        <f aca="false">BD58+BE58-BF58-AY58</f>
        <v>23818.8022982167</v>
      </c>
      <c r="BI58" s="15" t="n">
        <f aca="false">MAX(0,Parametri_v3!$C$31-BH58)</f>
        <v>0</v>
      </c>
      <c r="BJ58" s="15" t="n">
        <f aca="false">(BJ57)+K58</f>
        <v>25000</v>
      </c>
      <c r="BK58" s="15" t="n">
        <f aca="false">(BK57)+L58</f>
        <v>14395.8333333333</v>
      </c>
      <c r="BL58" s="15" t="n">
        <f aca="false">BJ58-BK58</f>
        <v>10604.1666666667</v>
      </c>
      <c r="BM58" s="15" t="n">
        <f aca="false">(BM57)+Y58</f>
        <v>189202.658875802</v>
      </c>
      <c r="BN58" s="15" t="n">
        <f aca="false">(BN57)+AW58+AX58+AZ58</f>
        <v>20000</v>
      </c>
      <c r="BO58" s="15" t="n">
        <f aca="false">(BO57)+AY58</f>
        <v>0</v>
      </c>
      <c r="BP58" s="15" t="n">
        <f aca="false">MIN(Parametri_v3!$C$36*Parametri_v3!$C$35,(BP57)+IF(6=1,MAX(0,SUM(Y41:Y52))*Parametri_v3!$C$34,0))</f>
        <v>2000</v>
      </c>
      <c r="BQ58" s="15" t="n">
        <f aca="false">BN58+BM58-BO58</f>
        <v>209202.658875802</v>
      </c>
      <c r="BR58" s="15" t="n">
        <f aca="false">BH58+AD58+BL58+MAX(0,-AM58)+MAX(0,-AR58)</f>
        <v>352728.593964883</v>
      </c>
      <c r="BS58" s="15" t="n">
        <f aca="false">AJ58+AV58+MAX(0,AM58)+MAX(0,AR58)+BC58+BG58+BQ58+AG58</f>
        <v>352728.593964884</v>
      </c>
      <c r="BT58" s="15" t="n">
        <f aca="false">BR58-BS58</f>
        <v>0</v>
      </c>
      <c r="BU58" s="15" t="n">
        <f aca="false">BH58-(BD58+BE58-BF58-AY58)</f>
        <v>0</v>
      </c>
      <c r="BV58" s="15" t="n">
        <f aca="false">IF(BH57&lt;Parametri_v3!$C$31,0,BV57+1)</f>
        <v>8</v>
      </c>
    </row>
    <row r="59" customFormat="false" ht="18" hidden="false" customHeight="true" outlineLevel="0" collapsed="false">
      <c r="A59" s="68" t="n">
        <f aca="false">1</f>
        <v>1</v>
      </c>
      <c r="B59" s="68" t="n">
        <f aca="false">55</f>
        <v>55</v>
      </c>
      <c r="C59" s="18" t="n">
        <f aca="false">Motore_Operativo!C59</f>
        <v>48030</v>
      </c>
      <c r="D59" s="68" t="n">
        <f aca="false">Motore_Operativo!D59</f>
        <v>2031</v>
      </c>
      <c r="E59" s="68" t="n">
        <f aca="false">Motore_Operativo!E59</f>
        <v>7</v>
      </c>
      <c r="F59" s="15" t="n">
        <f aca="false">Motore_Operativo!AM59</f>
        <v>86968.75</v>
      </c>
      <c r="G59" s="15" t="n">
        <f aca="false">Motore_Operativo!BH59</f>
        <v>8696.875</v>
      </c>
      <c r="H59" s="15" t="n">
        <f aca="false">Motore_Operativo!AM59</f>
        <v>86968.75</v>
      </c>
      <c r="I59" s="15" t="n">
        <f aca="false">Motore_Operativo!CB59</f>
        <v>74987.1389275</v>
      </c>
      <c r="J59" s="15" t="n">
        <f aca="false">Motore_Operativo!CD59</f>
        <v>11981.6110725</v>
      </c>
      <c r="K59" s="15" t="n">
        <f aca="false">Motore_Operativo!CF59</f>
        <v>666.666666666667</v>
      </c>
      <c r="L59" s="15" t="n">
        <f aca="false">SUM(INDEX($K$5:$K$64,MAX(1,55-Parametri_v3!$C$59+1)):K59)/Parametri_v3!$C$59</f>
        <v>548.611111111111</v>
      </c>
      <c r="M59" s="15" t="n">
        <f aca="false">J59-L59</f>
        <v>11432.9999613889</v>
      </c>
      <c r="N59" s="15" t="n">
        <f aca="false">0</f>
        <v>0</v>
      </c>
      <c r="O59" s="15" t="n">
        <f aca="false">0</f>
        <v>0</v>
      </c>
      <c r="P59" s="15" t="n">
        <f aca="false">M59+N59-O59</f>
        <v>11432.9999613889</v>
      </c>
      <c r="Q59" s="15" t="n">
        <f aca="false">SUM(P53:P59)+Parametri_v3!$C$56*7/12</f>
        <v>80176.8330630556</v>
      </c>
      <c r="R59" s="15" t="n">
        <f aca="false">Z52</f>
        <v>0</v>
      </c>
      <c r="S59" s="15" t="n">
        <f aca="false">AA52</f>
        <v>0</v>
      </c>
      <c r="T59" s="15" t="n">
        <f aca="false">MIN(R59,MAX(0,Q59))</f>
        <v>0</v>
      </c>
      <c r="U59" s="15" t="n">
        <f aca="false">MIN(S59,MAX(0,Q59-T59)*Parametri_v3!$C$42)</f>
        <v>0</v>
      </c>
      <c r="V59" s="15" t="n">
        <f aca="false">MAX(0,Q59-T59-U59)*Ipotesi!$C$92</f>
        <v>19242.4399351333</v>
      </c>
      <c r="W59" s="15" t="n">
        <f aca="false">MAX(0,SUM(M53:M59)+Parametri_v3!$C$57*7/12)*Ipotesi!$C$93</f>
        <v>3126.89648945917</v>
      </c>
      <c r="X59" s="15" t="n">
        <f aca="false">V59+W59-(V58+W58)</f>
        <v>3189.80698922751</v>
      </c>
      <c r="Y59" s="15" t="n">
        <f aca="false">P59-X59</f>
        <v>8243.19297216139</v>
      </c>
      <c r="Z59" s="15" t="n">
        <f aca="false">R59-T59+IF(AND(Parametri_v3!$C$40=1,D59-YEAR(Parametri_v3!$C$50)&lt;Parametri_v3!$C$41),MAX(0,-Q59),0)</f>
        <v>0</v>
      </c>
      <c r="AA59" s="15" t="n">
        <f aca="false">S59-U59+IF(AND(Parametri_v3!$C$40=1,D59-YEAR(Parametri_v3!$C$50)&lt;Parametri_v3!$C$41),0,MAX(0,-Q59))</f>
        <v>0</v>
      </c>
      <c r="AB59" s="15" t="n">
        <f aca="false">F59*(1+Parametri_v3!$C$26)</f>
        <v>106101.875</v>
      </c>
      <c r="AC59" s="15" t="n">
        <f aca="false">(IF(55-(INT((Motore_Operativo!L59)/30))&lt;1,0,INDEX(Motore_Advisory!$AB$5:$AB$64,MAX(1,55-(INT((Motore_Operativo!L59)/30)))))*(1-(MOD((Motore_Operativo!L59),30)/30))+IF(55-(INT((Motore_Operativo!L59)/30))-1&lt;1,0,INDEX(Motore_Advisory!$AB$5:$AB$64,MAX(1,55-(INT((Motore_Operativo!L59)/30))-1)))*(MOD((Motore_Operativo!L59),30)/30))</f>
        <v>106101.875</v>
      </c>
      <c r="AD59" s="15" t="n">
        <f aca="false">(AD58)+AB59-AC59</f>
        <v>318305.625</v>
      </c>
      <c r="AE59" s="15" t="n">
        <f aca="false">Motore_Operativo!BH59*(1+Parametri_v3!$C$26)</f>
        <v>10610.1875</v>
      </c>
      <c r="AF59" s="15" t="n">
        <f aca="false">(IF(55-(INT((Parametri_v3!$C$29)/30))&lt;1,0,INDEX(Motore_Operativo!$BH$5:$BH$64,MAX(1,55-(INT((Parametri_v3!$C$29)/30)))))*(1-(MOD((Parametri_v3!$C$29),30)/30))+IF(55-(INT((Parametri_v3!$C$29)/30))-1&lt;1,0,INDEX(Motore_Operativo!$BH$5:$BH$64,MAX(1,55-(INT((Parametri_v3!$C$29)/30))-1)))*(MOD((Parametri_v3!$C$29),30)/30))*(1+Parametri_v3!$C$26)</f>
        <v>10610.1875</v>
      </c>
      <c r="AG59" s="15" t="n">
        <f aca="false">(AG58)+AE59-AF59</f>
        <v>10610.1875</v>
      </c>
      <c r="AH59" s="15" t="n">
        <f aca="false">(Motore_Operativo!CK59)*(1+Parametri_v3!$C$28*Parametri_v3!$C$26)</f>
        <v>25785.515</v>
      </c>
      <c r="AI59" s="15" t="n">
        <f aca="false">(IF(55-(INT((Ipotesi!$C$91)/30))&lt;1,0,INDEX(Motore_Advisory!$AH$5:$AH$64,MAX(1,55-(INT((Ipotesi!$C$91)/30)))))*(1-(MOD((Ipotesi!$C$91),30)/30))+IF(55-(INT((Ipotesi!$C$91)/30))-1&lt;1,0,INDEX(Motore_Advisory!$AH$5:$AH$64,MAX(1,55-(INT((Ipotesi!$C$91)/30))-1)))*(MOD((Ipotesi!$C$91),30)/30))</f>
        <v>25785.515</v>
      </c>
      <c r="AJ59" s="15" t="n">
        <f aca="false">(AJ58)+AH59-AI59</f>
        <v>51571.03</v>
      </c>
      <c r="AK59" s="15" t="n">
        <f aca="false">(F59- Motore_Operativo!BH59-(Motore_Operativo!CK59)*Parametri_v3!$C$28-Motore_Operativo!CF59)*Parametri_v3!$C$26</f>
        <v>13214.0891666667</v>
      </c>
      <c r="AL59" s="15" t="n">
        <f aca="false">MAX(0,(AM58))</f>
        <v>13214.0891666667</v>
      </c>
      <c r="AM59" s="15" t="n">
        <f aca="false">(AM58)+AK59-AL59</f>
        <v>13214.0891666667</v>
      </c>
      <c r="AN59" s="15" t="n">
        <f aca="false">SUM(X41:X52)</f>
        <v>31587.2105405</v>
      </c>
      <c r="AO59" s="15" t="n">
        <f aca="false">SUM(AP41:AP52)</f>
        <v>15744.47375</v>
      </c>
      <c r="AP59" s="15" t="n">
        <f aca="false">MAX(0,AN59)*IF(7=Parametri_v3!$C$43,Parametri_v3!$C$45,IF(7=Parametri_v3!$C$44,1-Parametri_v3!$C$45,0))</f>
        <v>0</v>
      </c>
      <c r="AQ59" s="15" t="n">
        <f aca="false">MAX(0,AP59+IF(7=Parametri_v3!$C$43,MAX(0,AN59-AO59),0)-MAX(0,-(AR58)))</f>
        <v>0</v>
      </c>
      <c r="AR59" s="15" t="n">
        <f aca="false">(AR58)+X59-AQ59</f>
        <v>9734.4522083925</v>
      </c>
      <c r="AS59" s="15" t="n">
        <f aca="false">Motore_Operativo!AC59-AT59+AU59</f>
        <v>42145.6153144583</v>
      </c>
      <c r="AT59" s="15" t="n">
        <f aca="false">Motore_Operativo!CI59</f>
        <v>2218.19027970833</v>
      </c>
      <c r="AU59" s="15" t="n">
        <f aca="false">MIN(MAX(0,(AV58)+AT59),Parametri_v3!$C$61/12)</f>
        <v>0</v>
      </c>
      <c r="AV59" s="15" t="n">
        <f aca="false">(AV58)+AT59-AU59</f>
        <v>63804.1734829583</v>
      </c>
      <c r="AW59" s="15" t="n">
        <f aca="false">IF(AND(Motore_Operativo!C59=Finanziamenti!$D$7,Finanziamenti!$F$7=1),Finanziamenti!$C$7,0)</f>
        <v>0</v>
      </c>
      <c r="AX59" s="15" t="n">
        <f aca="false">0</f>
        <v>0</v>
      </c>
      <c r="AY59" s="15" t="n">
        <f aca="false">IF(7=Parametri_v3!$C$33,IF(BV59&lt;MIN(12,$B59-1),0,MIN(MAX(0,SUM(Y41:Y52))*Ipotesi!$C$94,MAX(0,(BM52)-(BO58)-BP59),MAX(0,BD59-Parametri_v3!$C$31))),0)</f>
        <v>0</v>
      </c>
      <c r="AZ59" s="15" t="n">
        <f aca="false">0</f>
        <v>0</v>
      </c>
      <c r="BA59" s="15" t="n">
        <f aca="false">0</f>
        <v>0</v>
      </c>
      <c r="BB59" s="15" t="n">
        <f aca="false">0</f>
        <v>0</v>
      </c>
      <c r="BC59" s="15" t="n">
        <f aca="false">0</f>
        <v>0</v>
      </c>
      <c r="BD59" s="15" t="n">
        <f aca="false">(BH58)+AC59-AF59-AI59-AS59-K59*(1+Parametri_v3!$C$26)-AL59-AQ59-O59+AW59+AX59+AZ59+BA59-BB59</f>
        <v>37351.9369837584</v>
      </c>
      <c r="BE59" s="15" t="n">
        <f aca="false">0</f>
        <v>0</v>
      </c>
      <c r="BF59" s="15" t="n">
        <f aca="false">0</f>
        <v>0</v>
      </c>
      <c r="BG59" s="15" t="n">
        <f aca="false">0</f>
        <v>0</v>
      </c>
      <c r="BH59" s="15" t="n">
        <f aca="false">BD59+BE59-BF59-AY59</f>
        <v>37351.9369837584</v>
      </c>
      <c r="BI59" s="15" t="n">
        <f aca="false">MAX(0,Parametri_v3!$C$31-BH59)</f>
        <v>0</v>
      </c>
      <c r="BJ59" s="15" t="n">
        <f aca="false">(BJ58)+K59</f>
        <v>25666.6666666667</v>
      </c>
      <c r="BK59" s="15" t="n">
        <f aca="false">(BK58)+L59</f>
        <v>14944.4444444444</v>
      </c>
      <c r="BL59" s="15" t="n">
        <f aca="false">BJ59-BK59</f>
        <v>10722.2222222222</v>
      </c>
      <c r="BM59" s="15" t="n">
        <f aca="false">(BM58)+Y59</f>
        <v>197445.851847963</v>
      </c>
      <c r="BN59" s="15" t="n">
        <f aca="false">(BN58)+AW59+AX59+AZ59</f>
        <v>20000</v>
      </c>
      <c r="BO59" s="15" t="n">
        <f aca="false">(BO58)+AY59</f>
        <v>0</v>
      </c>
      <c r="BP59" s="15" t="n">
        <f aca="false">MIN(Parametri_v3!$C$36*Parametri_v3!$C$35,(BP58)+IF(7=1,MAX(0,SUM(Y41:Y52))*Parametri_v3!$C$34,0))</f>
        <v>2000</v>
      </c>
      <c r="BQ59" s="15" t="n">
        <f aca="false">BN59+BM59-BO59</f>
        <v>217445.851847963</v>
      </c>
      <c r="BR59" s="15" t="n">
        <f aca="false">BH59+AD59+BL59+MAX(0,-AM59)+MAX(0,-AR59)</f>
        <v>366379.784205981</v>
      </c>
      <c r="BS59" s="15" t="n">
        <f aca="false">AJ59+AV59+MAX(0,AM59)+MAX(0,AR59)+BC59+BG59+BQ59+AG59</f>
        <v>366379.784205981</v>
      </c>
      <c r="BT59" s="15" t="n">
        <f aca="false">BR59-BS59</f>
        <v>0</v>
      </c>
      <c r="BU59" s="15" t="n">
        <f aca="false">BH59-(BD59+BE59-BF59-AY59)</f>
        <v>0</v>
      </c>
      <c r="BV59" s="15" t="n">
        <f aca="false">IF(BH58&lt;Parametri_v3!$C$31,0,BV58+1)</f>
        <v>9</v>
      </c>
    </row>
    <row r="60" customFormat="false" ht="18" hidden="false" customHeight="true" outlineLevel="0" collapsed="false">
      <c r="A60" s="68" t="n">
        <f aca="false">1</f>
        <v>1</v>
      </c>
      <c r="B60" s="68" t="n">
        <f aca="false">56</f>
        <v>56</v>
      </c>
      <c r="C60" s="18" t="n">
        <f aca="false">Motore_Operativo!C60</f>
        <v>48061</v>
      </c>
      <c r="D60" s="68" t="n">
        <f aca="false">Motore_Operativo!D60</f>
        <v>2031</v>
      </c>
      <c r="E60" s="68" t="n">
        <f aca="false">Motore_Operativo!E60</f>
        <v>8</v>
      </c>
      <c r="F60" s="15" t="n">
        <f aca="false">Motore_Operativo!AM60</f>
        <v>86968.75</v>
      </c>
      <c r="G60" s="15" t="n">
        <f aca="false">Motore_Operativo!BH60</f>
        <v>8696.875</v>
      </c>
      <c r="H60" s="15" t="n">
        <f aca="false">Motore_Operativo!AM60</f>
        <v>86968.75</v>
      </c>
      <c r="I60" s="15" t="n">
        <f aca="false">Motore_Operativo!CB60</f>
        <v>74987.1389275</v>
      </c>
      <c r="J60" s="15" t="n">
        <f aca="false">Motore_Operativo!CD60</f>
        <v>11981.6110725</v>
      </c>
      <c r="K60" s="15" t="n">
        <f aca="false">Motore_Operativo!CF60</f>
        <v>666.666666666667</v>
      </c>
      <c r="L60" s="15" t="n">
        <f aca="false">SUM(INDEX($K$5:$K$64,MAX(1,56-Parametri_v3!$C$59+1)):K60)/Parametri_v3!$C$59</f>
        <v>555.555555555556</v>
      </c>
      <c r="M60" s="15" t="n">
        <f aca="false">J60-L60</f>
        <v>11426.0555169444</v>
      </c>
      <c r="N60" s="15" t="n">
        <f aca="false">0</f>
        <v>0</v>
      </c>
      <c r="O60" s="15" t="n">
        <f aca="false">0</f>
        <v>0</v>
      </c>
      <c r="P60" s="15" t="n">
        <f aca="false">M60+N60-O60</f>
        <v>11426.0555169444</v>
      </c>
      <c r="Q60" s="15" t="n">
        <f aca="false">SUM(P53:P60)+Parametri_v3!$C$56*8/12</f>
        <v>91602.88858</v>
      </c>
      <c r="R60" s="15" t="n">
        <f aca="false">Z52</f>
        <v>0</v>
      </c>
      <c r="S60" s="15" t="n">
        <f aca="false">AA52</f>
        <v>0</v>
      </c>
      <c r="T60" s="15" t="n">
        <f aca="false">MIN(R60,MAX(0,Q60))</f>
        <v>0</v>
      </c>
      <c r="U60" s="15" t="n">
        <f aca="false">MIN(S60,MAX(0,Q60-T60)*Parametri_v3!$C$42)</f>
        <v>0</v>
      </c>
      <c r="V60" s="15" t="n">
        <f aca="false">MAX(0,Q60-T60-U60)*Ipotesi!$C$92</f>
        <v>21984.6932592</v>
      </c>
      <c r="W60" s="15" t="n">
        <f aca="false">MAX(0,SUM(M53:M60)+Parametri_v3!$C$57*8/12)*Ipotesi!$C$93</f>
        <v>3572.51265462</v>
      </c>
      <c r="X60" s="15" t="n">
        <f aca="false">V60+W60-(V59+W59)</f>
        <v>3187.8694892275</v>
      </c>
      <c r="Y60" s="15" t="n">
        <f aca="false">P60-X60</f>
        <v>8238.18602771695</v>
      </c>
      <c r="Z60" s="15" t="n">
        <f aca="false">R60-T60+IF(AND(Parametri_v3!$C$40=1,D60-YEAR(Parametri_v3!$C$50)&lt;Parametri_v3!$C$41),MAX(0,-Q60),0)</f>
        <v>0</v>
      </c>
      <c r="AA60" s="15" t="n">
        <f aca="false">S60-U60+IF(AND(Parametri_v3!$C$40=1,D60-YEAR(Parametri_v3!$C$50)&lt;Parametri_v3!$C$41),0,MAX(0,-Q60))</f>
        <v>0</v>
      </c>
      <c r="AB60" s="15" t="n">
        <f aca="false">F60*(1+Parametri_v3!$C$26)</f>
        <v>106101.875</v>
      </c>
      <c r="AC60" s="15" t="n">
        <f aca="false">(IF(56-(INT((Motore_Operativo!L60)/30))&lt;1,0,INDEX(Motore_Advisory!$AB$5:$AB$64,MAX(1,56-(INT((Motore_Operativo!L60)/30)))))*(1-(MOD((Motore_Operativo!L60),30)/30))+IF(56-(INT((Motore_Operativo!L60)/30))-1&lt;1,0,INDEX(Motore_Advisory!$AB$5:$AB$64,MAX(1,56-(INT((Motore_Operativo!L60)/30))-1)))*(MOD((Motore_Operativo!L60),30)/30))</f>
        <v>106101.875</v>
      </c>
      <c r="AD60" s="15" t="n">
        <f aca="false">(AD59)+AB60-AC60</f>
        <v>318305.625</v>
      </c>
      <c r="AE60" s="15" t="n">
        <f aca="false">Motore_Operativo!BH60*(1+Parametri_v3!$C$26)</f>
        <v>10610.1875</v>
      </c>
      <c r="AF60" s="15" t="n">
        <f aca="false">(IF(56-(INT((Parametri_v3!$C$29)/30))&lt;1,0,INDEX(Motore_Operativo!$BH$5:$BH$64,MAX(1,56-(INT((Parametri_v3!$C$29)/30)))))*(1-(MOD((Parametri_v3!$C$29),30)/30))+IF(56-(INT((Parametri_v3!$C$29)/30))-1&lt;1,0,INDEX(Motore_Operativo!$BH$5:$BH$64,MAX(1,56-(INT((Parametri_v3!$C$29)/30))-1)))*(MOD((Parametri_v3!$C$29),30)/30))*(1+Parametri_v3!$C$26)</f>
        <v>10610.1875</v>
      </c>
      <c r="AG60" s="15" t="n">
        <f aca="false">(AG59)+AE60-AF60</f>
        <v>10610.1875</v>
      </c>
      <c r="AH60" s="15" t="n">
        <f aca="false">(Motore_Operativo!CK60)*(1+Parametri_v3!$C$28*Parametri_v3!$C$26)</f>
        <v>25785.515</v>
      </c>
      <c r="AI60" s="15" t="n">
        <f aca="false">(IF(56-(INT((Ipotesi!$C$91)/30))&lt;1,0,INDEX(Motore_Advisory!$AH$5:$AH$64,MAX(1,56-(INT((Ipotesi!$C$91)/30)))))*(1-(MOD((Ipotesi!$C$91),30)/30))+IF(56-(INT((Ipotesi!$C$91)/30))-1&lt;1,0,INDEX(Motore_Advisory!$AH$5:$AH$64,MAX(1,56-(INT((Ipotesi!$C$91)/30))-1)))*(MOD((Ipotesi!$C$91),30)/30))</f>
        <v>25785.515</v>
      </c>
      <c r="AJ60" s="15" t="n">
        <f aca="false">(AJ59)+AH60-AI60</f>
        <v>51571.03</v>
      </c>
      <c r="AK60" s="15" t="n">
        <f aca="false">(F60- Motore_Operativo!BH60-(Motore_Operativo!CK60)*Parametri_v3!$C$28-Motore_Operativo!CF60)*Parametri_v3!$C$26</f>
        <v>13214.0891666667</v>
      </c>
      <c r="AL60" s="15" t="n">
        <f aca="false">MAX(0,(AM59))</f>
        <v>13214.0891666667</v>
      </c>
      <c r="AM60" s="15" t="n">
        <f aca="false">(AM59)+AK60-AL60</f>
        <v>13214.0891666667</v>
      </c>
      <c r="AN60" s="15" t="n">
        <f aca="false">SUM(X41:X52)</f>
        <v>31587.2105405</v>
      </c>
      <c r="AO60" s="15" t="n">
        <f aca="false">SUM(AP41:AP52)</f>
        <v>15744.47375</v>
      </c>
      <c r="AP60" s="15" t="n">
        <f aca="false">MAX(0,AN60)*IF(8=Parametri_v3!$C$43,Parametri_v3!$C$45,IF(8=Parametri_v3!$C$44,1-Parametri_v3!$C$45,0))</f>
        <v>0</v>
      </c>
      <c r="AQ60" s="15" t="n">
        <f aca="false">MAX(0,AP60+IF(8=Parametri_v3!$C$43,MAX(0,AN60-AO60),0)-MAX(0,-(AR59)))</f>
        <v>0</v>
      </c>
      <c r="AR60" s="15" t="n">
        <f aca="false">(AR59)+X60-AQ60</f>
        <v>12922.32169762</v>
      </c>
      <c r="AS60" s="15" t="n">
        <f aca="false">Motore_Operativo!AC60-AT60+AU60</f>
        <v>42145.6153144583</v>
      </c>
      <c r="AT60" s="15" t="n">
        <f aca="false">Motore_Operativo!CI60</f>
        <v>2218.19027970833</v>
      </c>
      <c r="AU60" s="15" t="n">
        <f aca="false">MIN(MAX(0,(AV59)+AT60),Parametri_v3!$C$61/12)</f>
        <v>0</v>
      </c>
      <c r="AV60" s="15" t="n">
        <f aca="false">(AV59)+AT60-AU60</f>
        <v>66022.3637626667</v>
      </c>
      <c r="AW60" s="15" t="n">
        <f aca="false">IF(AND(Motore_Operativo!C60=Finanziamenti!$D$7,Finanziamenti!$F$7=1),Finanziamenti!$C$7,0)</f>
        <v>0</v>
      </c>
      <c r="AX60" s="15" t="n">
        <f aca="false">0</f>
        <v>0</v>
      </c>
      <c r="AY60" s="15" t="n">
        <f aca="false">IF(8=Parametri_v3!$C$33,IF(BV60&lt;MIN(12,$B60-1),0,MIN(MAX(0,SUM(Y41:Y52))*Ipotesi!$C$94,MAX(0,(BM52)-(BO59)-BP60),MAX(0,BD60-Parametri_v3!$C$31))),0)</f>
        <v>0</v>
      </c>
      <c r="AZ60" s="15" t="n">
        <f aca="false">0</f>
        <v>0</v>
      </c>
      <c r="BA60" s="15" t="n">
        <f aca="false">0</f>
        <v>0</v>
      </c>
      <c r="BB60" s="15" t="n">
        <f aca="false">0</f>
        <v>0</v>
      </c>
      <c r="BC60" s="15" t="n">
        <f aca="false">0</f>
        <v>0</v>
      </c>
      <c r="BD60" s="15" t="n">
        <f aca="false">(BH59)+AC60-AF60-AI60-AS60-K60*(1+Parametri_v3!$C$26)-AL60-AQ60-O60+AW60+AX60+AZ60+BA60-BB60</f>
        <v>50885.0716693001</v>
      </c>
      <c r="BE60" s="15" t="n">
        <f aca="false">0</f>
        <v>0</v>
      </c>
      <c r="BF60" s="15" t="n">
        <f aca="false">0</f>
        <v>0</v>
      </c>
      <c r="BG60" s="15" t="n">
        <f aca="false">0</f>
        <v>0</v>
      </c>
      <c r="BH60" s="15" t="n">
        <f aca="false">BD60+BE60-BF60-AY60</f>
        <v>50885.0716693001</v>
      </c>
      <c r="BI60" s="15" t="n">
        <f aca="false">MAX(0,Parametri_v3!$C$31-BH60)</f>
        <v>0</v>
      </c>
      <c r="BJ60" s="15" t="n">
        <f aca="false">(BJ59)+K60</f>
        <v>26333.3333333333</v>
      </c>
      <c r="BK60" s="15" t="n">
        <f aca="false">(BK59)+L60</f>
        <v>15500</v>
      </c>
      <c r="BL60" s="15" t="n">
        <f aca="false">BJ60-BK60</f>
        <v>10833.3333333333</v>
      </c>
      <c r="BM60" s="15" t="n">
        <f aca="false">(BM59)+Y60</f>
        <v>205684.03787568</v>
      </c>
      <c r="BN60" s="15" t="n">
        <f aca="false">(BN59)+AW60+AX60+AZ60</f>
        <v>20000</v>
      </c>
      <c r="BO60" s="15" t="n">
        <f aca="false">(BO59)+AY60</f>
        <v>0</v>
      </c>
      <c r="BP60" s="15" t="n">
        <f aca="false">MIN(Parametri_v3!$C$36*Parametri_v3!$C$35,(BP59)+IF(8=1,MAX(0,SUM(Y41:Y52))*Parametri_v3!$C$34,0))</f>
        <v>2000</v>
      </c>
      <c r="BQ60" s="15" t="n">
        <f aca="false">BN60+BM60-BO60</f>
        <v>225684.03787568</v>
      </c>
      <c r="BR60" s="15" t="n">
        <f aca="false">BH60+AD60+BL60+MAX(0,-AM60)+MAX(0,-AR60)</f>
        <v>380024.030002633</v>
      </c>
      <c r="BS60" s="15" t="n">
        <f aca="false">AJ60+AV60+MAX(0,AM60)+MAX(0,AR60)+BC60+BG60+BQ60+AG60</f>
        <v>380024.030002633</v>
      </c>
      <c r="BT60" s="15" t="n">
        <f aca="false">BR60-BS60</f>
        <v>0</v>
      </c>
      <c r="BU60" s="15" t="n">
        <f aca="false">BH60-(BD60+BE60-BF60-AY60)</f>
        <v>0</v>
      </c>
      <c r="BV60" s="15" t="n">
        <f aca="false">IF(BH59&lt;Parametri_v3!$C$31,0,BV59+1)</f>
        <v>10</v>
      </c>
    </row>
    <row r="61" customFormat="false" ht="18" hidden="false" customHeight="true" outlineLevel="0" collapsed="false">
      <c r="A61" s="68" t="n">
        <f aca="false">1</f>
        <v>1</v>
      </c>
      <c r="B61" s="68" t="n">
        <f aca="false">57</f>
        <v>57</v>
      </c>
      <c r="C61" s="18" t="n">
        <f aca="false">Motore_Operativo!C61</f>
        <v>48092</v>
      </c>
      <c r="D61" s="68" t="n">
        <f aca="false">Motore_Operativo!D61</f>
        <v>2031</v>
      </c>
      <c r="E61" s="68" t="n">
        <f aca="false">Motore_Operativo!E61</f>
        <v>9</v>
      </c>
      <c r="F61" s="15" t="n">
        <f aca="false">Motore_Operativo!AM61</f>
        <v>86968.75</v>
      </c>
      <c r="G61" s="15" t="n">
        <f aca="false">Motore_Operativo!BH61</f>
        <v>8696.875</v>
      </c>
      <c r="H61" s="15" t="n">
        <f aca="false">Motore_Operativo!AM61</f>
        <v>86968.75</v>
      </c>
      <c r="I61" s="15" t="n">
        <f aca="false">Motore_Operativo!CB61</f>
        <v>74987.1389275</v>
      </c>
      <c r="J61" s="15" t="n">
        <f aca="false">Motore_Operativo!CD61</f>
        <v>11981.6110725</v>
      </c>
      <c r="K61" s="15" t="n">
        <f aca="false">Motore_Operativo!CF61</f>
        <v>666.666666666667</v>
      </c>
      <c r="L61" s="15" t="n">
        <f aca="false">SUM(INDEX($K$5:$K$64,MAX(1,57-Parametri_v3!$C$59+1)):K61)/Parametri_v3!$C$59</f>
        <v>562.5</v>
      </c>
      <c r="M61" s="15" t="n">
        <f aca="false">J61-L61</f>
        <v>11419.1110725</v>
      </c>
      <c r="N61" s="15" t="n">
        <f aca="false">0</f>
        <v>0</v>
      </c>
      <c r="O61" s="15" t="n">
        <f aca="false">0</f>
        <v>0</v>
      </c>
      <c r="P61" s="15" t="n">
        <f aca="false">M61+N61-O61</f>
        <v>11419.1110725</v>
      </c>
      <c r="Q61" s="15" t="n">
        <f aca="false">SUM(P53:P61)+Parametri_v3!$C$56*9/12</f>
        <v>103021.9996525</v>
      </c>
      <c r="R61" s="15" t="n">
        <f aca="false">Z52</f>
        <v>0</v>
      </c>
      <c r="S61" s="15" t="n">
        <f aca="false">AA52</f>
        <v>0</v>
      </c>
      <c r="T61" s="15" t="n">
        <f aca="false">MIN(R61,MAX(0,Q61))</f>
        <v>0</v>
      </c>
      <c r="U61" s="15" t="n">
        <f aca="false">MIN(S61,MAX(0,Q61-T61)*Parametri_v3!$C$42)</f>
        <v>0</v>
      </c>
      <c r="V61" s="15" t="n">
        <f aca="false">MAX(0,Q61-T61-U61)*Ipotesi!$C$92</f>
        <v>24725.2799166</v>
      </c>
      <c r="W61" s="15" t="n">
        <f aca="false">MAX(0,SUM(M53:M61)+Parametri_v3!$C$57*9/12)*Ipotesi!$C$93</f>
        <v>4017.8579864475</v>
      </c>
      <c r="X61" s="15" t="n">
        <f aca="false">V61+W61-(V60+W60)</f>
        <v>3185.9319892275</v>
      </c>
      <c r="Y61" s="15" t="n">
        <f aca="false">P61-X61</f>
        <v>8233.1790832725</v>
      </c>
      <c r="Z61" s="15" t="n">
        <f aca="false">R61-T61+IF(AND(Parametri_v3!$C$40=1,D61-YEAR(Parametri_v3!$C$50)&lt;Parametri_v3!$C$41),MAX(0,-Q61),0)</f>
        <v>0</v>
      </c>
      <c r="AA61" s="15" t="n">
        <f aca="false">S61-U61+IF(AND(Parametri_v3!$C$40=1,D61-YEAR(Parametri_v3!$C$50)&lt;Parametri_v3!$C$41),0,MAX(0,-Q61))</f>
        <v>0</v>
      </c>
      <c r="AB61" s="15" t="n">
        <f aca="false">F61*(1+Parametri_v3!$C$26)</f>
        <v>106101.875</v>
      </c>
      <c r="AC61" s="15" t="n">
        <f aca="false">(IF(57-(INT((Motore_Operativo!L61)/30))&lt;1,0,INDEX(Motore_Advisory!$AB$5:$AB$64,MAX(1,57-(INT((Motore_Operativo!L61)/30)))))*(1-(MOD((Motore_Operativo!L61),30)/30))+IF(57-(INT((Motore_Operativo!L61)/30))-1&lt;1,0,INDEX(Motore_Advisory!$AB$5:$AB$64,MAX(1,57-(INT((Motore_Operativo!L61)/30))-1)))*(MOD((Motore_Operativo!L61),30)/30))</f>
        <v>106101.875</v>
      </c>
      <c r="AD61" s="15" t="n">
        <f aca="false">(AD60)+AB61-AC61</f>
        <v>318305.625</v>
      </c>
      <c r="AE61" s="15" t="n">
        <f aca="false">Motore_Operativo!BH61*(1+Parametri_v3!$C$26)</f>
        <v>10610.1875</v>
      </c>
      <c r="AF61" s="15" t="n">
        <f aca="false">(IF(57-(INT((Parametri_v3!$C$29)/30))&lt;1,0,INDEX(Motore_Operativo!$BH$5:$BH$64,MAX(1,57-(INT((Parametri_v3!$C$29)/30)))))*(1-(MOD((Parametri_v3!$C$29),30)/30))+IF(57-(INT((Parametri_v3!$C$29)/30))-1&lt;1,0,INDEX(Motore_Operativo!$BH$5:$BH$64,MAX(1,57-(INT((Parametri_v3!$C$29)/30))-1)))*(MOD((Parametri_v3!$C$29),30)/30))*(1+Parametri_v3!$C$26)</f>
        <v>10610.1875</v>
      </c>
      <c r="AG61" s="15" t="n">
        <f aca="false">(AG60)+AE61-AF61</f>
        <v>10610.1875</v>
      </c>
      <c r="AH61" s="15" t="n">
        <f aca="false">(Motore_Operativo!CK61)*(1+Parametri_v3!$C$28*Parametri_v3!$C$26)</f>
        <v>25785.515</v>
      </c>
      <c r="AI61" s="15" t="n">
        <f aca="false">(IF(57-(INT((Ipotesi!$C$91)/30))&lt;1,0,INDEX(Motore_Advisory!$AH$5:$AH$64,MAX(1,57-(INT((Ipotesi!$C$91)/30)))))*(1-(MOD((Ipotesi!$C$91),30)/30))+IF(57-(INT((Ipotesi!$C$91)/30))-1&lt;1,0,INDEX(Motore_Advisory!$AH$5:$AH$64,MAX(1,57-(INT((Ipotesi!$C$91)/30))-1)))*(MOD((Ipotesi!$C$91),30)/30))</f>
        <v>25785.515</v>
      </c>
      <c r="AJ61" s="15" t="n">
        <f aca="false">(AJ60)+AH61-AI61</f>
        <v>51571.03</v>
      </c>
      <c r="AK61" s="15" t="n">
        <f aca="false">(F61- Motore_Operativo!BH61-(Motore_Operativo!CK61)*Parametri_v3!$C$28-Motore_Operativo!CF61)*Parametri_v3!$C$26</f>
        <v>13214.0891666667</v>
      </c>
      <c r="AL61" s="15" t="n">
        <f aca="false">MAX(0,(AM60))</f>
        <v>13214.0891666667</v>
      </c>
      <c r="AM61" s="15" t="n">
        <f aca="false">(AM60)+AK61-AL61</f>
        <v>13214.0891666667</v>
      </c>
      <c r="AN61" s="15" t="n">
        <f aca="false">SUM(X41:X52)</f>
        <v>31587.2105405</v>
      </c>
      <c r="AO61" s="15" t="n">
        <f aca="false">SUM(AP41:AP52)</f>
        <v>15744.47375</v>
      </c>
      <c r="AP61" s="15" t="n">
        <f aca="false">MAX(0,AN61)*IF(9=Parametri_v3!$C$43,Parametri_v3!$C$45,IF(9=Parametri_v3!$C$44,1-Parametri_v3!$C$45,0))</f>
        <v>0</v>
      </c>
      <c r="AQ61" s="15" t="n">
        <f aca="false">MAX(0,AP61+IF(9=Parametri_v3!$C$43,MAX(0,AN61-AO61),0)-MAX(0,-(AR60)))</f>
        <v>0</v>
      </c>
      <c r="AR61" s="15" t="n">
        <f aca="false">(AR60)+X61-AQ61</f>
        <v>16108.2536868475</v>
      </c>
      <c r="AS61" s="15" t="n">
        <f aca="false">Motore_Operativo!AC61-AT61+AU61</f>
        <v>42145.6153144583</v>
      </c>
      <c r="AT61" s="15" t="n">
        <f aca="false">Motore_Operativo!CI61</f>
        <v>2218.19027970833</v>
      </c>
      <c r="AU61" s="15" t="n">
        <f aca="false">MIN(MAX(0,(AV60)+AT61),Parametri_v3!$C$61/12)</f>
        <v>0</v>
      </c>
      <c r="AV61" s="15" t="n">
        <f aca="false">(AV60)+AT61-AU61</f>
        <v>68240.554042375</v>
      </c>
      <c r="AW61" s="15" t="n">
        <f aca="false">IF(AND(Motore_Operativo!C61=Finanziamenti!$D$7,Finanziamenti!$F$7=1),Finanziamenti!$C$7,0)</f>
        <v>0</v>
      </c>
      <c r="AX61" s="15" t="n">
        <f aca="false">0</f>
        <v>0</v>
      </c>
      <c r="AY61" s="15" t="n">
        <f aca="false">IF(9=Parametri_v3!$C$33,IF(BV61&lt;MIN(12,$B61-1),0,MIN(MAX(0,SUM(Y41:Y52))*Ipotesi!$C$94,MAX(0,(BM52)-(BO60)-BP61),MAX(0,BD61-Parametri_v3!$C$31))),0)</f>
        <v>0</v>
      </c>
      <c r="AZ61" s="15" t="n">
        <f aca="false">0</f>
        <v>0</v>
      </c>
      <c r="BA61" s="15" t="n">
        <f aca="false">0</f>
        <v>0</v>
      </c>
      <c r="BB61" s="15" t="n">
        <f aca="false">0</f>
        <v>0</v>
      </c>
      <c r="BC61" s="15" t="n">
        <f aca="false">0</f>
        <v>0</v>
      </c>
      <c r="BD61" s="15" t="n">
        <f aca="false">(BH60)+AC61-AF61-AI61-AS61-K61*(1+Parametri_v3!$C$26)-AL61-AQ61-O61+AW61+AX61+AZ61+BA61-BB61</f>
        <v>64418.2063548418</v>
      </c>
      <c r="BE61" s="15" t="n">
        <f aca="false">0</f>
        <v>0</v>
      </c>
      <c r="BF61" s="15" t="n">
        <f aca="false">0</f>
        <v>0</v>
      </c>
      <c r="BG61" s="15" t="n">
        <f aca="false">0</f>
        <v>0</v>
      </c>
      <c r="BH61" s="15" t="n">
        <f aca="false">BD61+BE61-BF61-AY61</f>
        <v>64418.2063548418</v>
      </c>
      <c r="BI61" s="15" t="n">
        <f aca="false">MAX(0,Parametri_v3!$C$31-BH61)</f>
        <v>0</v>
      </c>
      <c r="BJ61" s="15" t="n">
        <f aca="false">(BJ60)+K61</f>
        <v>27000</v>
      </c>
      <c r="BK61" s="15" t="n">
        <f aca="false">(BK60)+L61</f>
        <v>16062.5</v>
      </c>
      <c r="BL61" s="15" t="n">
        <f aca="false">BJ61-BK61</f>
        <v>10937.5</v>
      </c>
      <c r="BM61" s="15" t="n">
        <f aca="false">(BM60)+Y61</f>
        <v>213917.216958953</v>
      </c>
      <c r="BN61" s="15" t="n">
        <f aca="false">(BN60)+AW61+AX61+AZ61</f>
        <v>20000</v>
      </c>
      <c r="BO61" s="15" t="n">
        <f aca="false">(BO60)+AY61</f>
        <v>0</v>
      </c>
      <c r="BP61" s="15" t="n">
        <f aca="false">MIN(Parametri_v3!$C$36*Parametri_v3!$C$35,(BP60)+IF(9=1,MAX(0,SUM(Y41:Y52))*Parametri_v3!$C$34,0))</f>
        <v>2000</v>
      </c>
      <c r="BQ61" s="15" t="n">
        <f aca="false">BN61+BM61-BO61</f>
        <v>233917.216958953</v>
      </c>
      <c r="BR61" s="15" t="n">
        <f aca="false">BH61+AD61+BL61+MAX(0,-AM61)+MAX(0,-AR61)</f>
        <v>393661.331354842</v>
      </c>
      <c r="BS61" s="15" t="n">
        <f aca="false">AJ61+AV61+MAX(0,AM61)+MAX(0,AR61)+BC61+BG61+BQ61+AG61</f>
        <v>393661.331354842</v>
      </c>
      <c r="BT61" s="15" t="n">
        <f aca="false">BR61-BS61</f>
        <v>0</v>
      </c>
      <c r="BU61" s="15" t="n">
        <f aca="false">BH61-(BD61+BE61-BF61-AY61)</f>
        <v>0</v>
      </c>
      <c r="BV61" s="15" t="n">
        <f aca="false">IF(BH60&lt;Parametri_v3!$C$31,0,BV60+1)</f>
        <v>11</v>
      </c>
    </row>
    <row r="62" customFormat="false" ht="18" hidden="false" customHeight="true" outlineLevel="0" collapsed="false">
      <c r="A62" s="68" t="n">
        <f aca="false">1</f>
        <v>1</v>
      </c>
      <c r="B62" s="68" t="n">
        <f aca="false">58</f>
        <v>58</v>
      </c>
      <c r="C62" s="18" t="n">
        <f aca="false">Motore_Operativo!C62</f>
        <v>48122</v>
      </c>
      <c r="D62" s="68" t="n">
        <f aca="false">Motore_Operativo!D62</f>
        <v>2031</v>
      </c>
      <c r="E62" s="68" t="n">
        <f aca="false">Motore_Operativo!E62</f>
        <v>10</v>
      </c>
      <c r="F62" s="15" t="n">
        <f aca="false">Motore_Operativo!AM62</f>
        <v>86968.75</v>
      </c>
      <c r="G62" s="15" t="n">
        <f aca="false">Motore_Operativo!BH62</f>
        <v>8696.875</v>
      </c>
      <c r="H62" s="15" t="n">
        <f aca="false">Motore_Operativo!AM62</f>
        <v>86968.75</v>
      </c>
      <c r="I62" s="15" t="n">
        <f aca="false">Motore_Operativo!CB62</f>
        <v>74987.1389275</v>
      </c>
      <c r="J62" s="15" t="n">
        <f aca="false">Motore_Operativo!CD62</f>
        <v>11981.6110725</v>
      </c>
      <c r="K62" s="15" t="n">
        <f aca="false">Motore_Operativo!CF62</f>
        <v>666.666666666667</v>
      </c>
      <c r="L62" s="15" t="n">
        <f aca="false">SUM(INDEX($K$5:$K$64,MAX(1,58-Parametri_v3!$C$59+1)):K62)/Parametri_v3!$C$59</f>
        <v>569.444444444445</v>
      </c>
      <c r="M62" s="15" t="n">
        <f aca="false">J62-L62</f>
        <v>11412.1666280556</v>
      </c>
      <c r="N62" s="15" t="n">
        <f aca="false">0</f>
        <v>0</v>
      </c>
      <c r="O62" s="15" t="n">
        <f aca="false">0</f>
        <v>0</v>
      </c>
      <c r="P62" s="15" t="n">
        <f aca="false">M62+N62-O62</f>
        <v>11412.1666280556</v>
      </c>
      <c r="Q62" s="15" t="n">
        <f aca="false">SUM(P53:P62)+Parametri_v3!$C$56*10/12</f>
        <v>114434.166280556</v>
      </c>
      <c r="R62" s="15" t="n">
        <f aca="false">Z52</f>
        <v>0</v>
      </c>
      <c r="S62" s="15" t="n">
        <f aca="false">AA52</f>
        <v>0</v>
      </c>
      <c r="T62" s="15" t="n">
        <f aca="false">MIN(R62,MAX(0,Q62))</f>
        <v>0</v>
      </c>
      <c r="U62" s="15" t="n">
        <f aca="false">MIN(S62,MAX(0,Q62-T62)*Parametri_v3!$C$42)</f>
        <v>0</v>
      </c>
      <c r="V62" s="15" t="n">
        <f aca="false">MAX(0,Q62-T62-U62)*Ipotesi!$C$92</f>
        <v>27464.1999073333</v>
      </c>
      <c r="W62" s="15" t="n">
        <f aca="false">MAX(0,SUM(M53:M62)+Parametri_v3!$C$57*10/12)*Ipotesi!$C$93</f>
        <v>4462.93248494167</v>
      </c>
      <c r="X62" s="15" t="n">
        <f aca="false">V62+W62-(V61+W61)</f>
        <v>3183.9944892275</v>
      </c>
      <c r="Y62" s="15" t="n">
        <f aca="false">P62-X62</f>
        <v>8228.17213882806</v>
      </c>
      <c r="Z62" s="15" t="n">
        <f aca="false">R62-T62+IF(AND(Parametri_v3!$C$40=1,D62-YEAR(Parametri_v3!$C$50)&lt;Parametri_v3!$C$41),MAX(0,-Q62),0)</f>
        <v>0</v>
      </c>
      <c r="AA62" s="15" t="n">
        <f aca="false">S62-U62+IF(AND(Parametri_v3!$C$40=1,D62-YEAR(Parametri_v3!$C$50)&lt;Parametri_v3!$C$41),0,MAX(0,-Q62))</f>
        <v>0</v>
      </c>
      <c r="AB62" s="15" t="n">
        <f aca="false">F62*(1+Parametri_v3!$C$26)</f>
        <v>106101.875</v>
      </c>
      <c r="AC62" s="15" t="n">
        <f aca="false">(IF(58-(INT((Motore_Operativo!L62)/30))&lt;1,0,INDEX(Motore_Advisory!$AB$5:$AB$64,MAX(1,58-(INT((Motore_Operativo!L62)/30)))))*(1-(MOD((Motore_Operativo!L62),30)/30))+IF(58-(INT((Motore_Operativo!L62)/30))-1&lt;1,0,INDEX(Motore_Advisory!$AB$5:$AB$64,MAX(1,58-(INT((Motore_Operativo!L62)/30))-1)))*(MOD((Motore_Operativo!L62),30)/30))</f>
        <v>106101.875</v>
      </c>
      <c r="AD62" s="15" t="n">
        <f aca="false">(AD61)+AB62-AC62</f>
        <v>318305.625</v>
      </c>
      <c r="AE62" s="15" t="n">
        <f aca="false">Motore_Operativo!BH62*(1+Parametri_v3!$C$26)</f>
        <v>10610.1875</v>
      </c>
      <c r="AF62" s="15" t="n">
        <f aca="false">(IF(58-(INT((Parametri_v3!$C$29)/30))&lt;1,0,INDEX(Motore_Operativo!$BH$5:$BH$64,MAX(1,58-(INT((Parametri_v3!$C$29)/30)))))*(1-(MOD((Parametri_v3!$C$29),30)/30))+IF(58-(INT((Parametri_v3!$C$29)/30))-1&lt;1,0,INDEX(Motore_Operativo!$BH$5:$BH$64,MAX(1,58-(INT((Parametri_v3!$C$29)/30))-1)))*(MOD((Parametri_v3!$C$29),30)/30))*(1+Parametri_v3!$C$26)</f>
        <v>10610.1875</v>
      </c>
      <c r="AG62" s="15" t="n">
        <f aca="false">(AG61)+AE62-AF62</f>
        <v>10610.1875</v>
      </c>
      <c r="AH62" s="15" t="n">
        <f aca="false">(Motore_Operativo!CK62)*(1+Parametri_v3!$C$28*Parametri_v3!$C$26)</f>
        <v>25785.515</v>
      </c>
      <c r="AI62" s="15" t="n">
        <f aca="false">(IF(58-(INT((Ipotesi!$C$91)/30))&lt;1,0,INDEX(Motore_Advisory!$AH$5:$AH$64,MAX(1,58-(INT((Ipotesi!$C$91)/30)))))*(1-(MOD((Ipotesi!$C$91),30)/30))+IF(58-(INT((Ipotesi!$C$91)/30))-1&lt;1,0,INDEX(Motore_Advisory!$AH$5:$AH$64,MAX(1,58-(INT((Ipotesi!$C$91)/30))-1)))*(MOD((Ipotesi!$C$91),30)/30))</f>
        <v>25785.515</v>
      </c>
      <c r="AJ62" s="15" t="n">
        <f aca="false">(AJ61)+AH62-AI62</f>
        <v>51571.03</v>
      </c>
      <c r="AK62" s="15" t="n">
        <f aca="false">(F62- Motore_Operativo!BH62-(Motore_Operativo!CK62)*Parametri_v3!$C$28-Motore_Operativo!CF62)*Parametri_v3!$C$26</f>
        <v>13214.0891666667</v>
      </c>
      <c r="AL62" s="15" t="n">
        <f aca="false">MAX(0,(AM61))</f>
        <v>13214.0891666667</v>
      </c>
      <c r="AM62" s="15" t="n">
        <f aca="false">(AM61)+AK62-AL62</f>
        <v>13214.0891666667</v>
      </c>
      <c r="AN62" s="15" t="n">
        <f aca="false">SUM(X41:X52)</f>
        <v>31587.2105405</v>
      </c>
      <c r="AO62" s="15" t="n">
        <f aca="false">SUM(AP41:AP52)</f>
        <v>15744.47375</v>
      </c>
      <c r="AP62" s="15" t="n">
        <f aca="false">MAX(0,AN62)*IF(10=Parametri_v3!$C$43,Parametri_v3!$C$45,IF(10=Parametri_v3!$C$44,1-Parametri_v3!$C$45,0))</f>
        <v>0</v>
      </c>
      <c r="AQ62" s="15" t="n">
        <f aca="false">MAX(0,AP62+IF(10=Parametri_v3!$C$43,MAX(0,AN62-AO62),0)-MAX(0,-(AR61)))</f>
        <v>0</v>
      </c>
      <c r="AR62" s="15" t="n">
        <f aca="false">(AR61)+X62-AQ62</f>
        <v>19292.248176075</v>
      </c>
      <c r="AS62" s="15" t="n">
        <f aca="false">Motore_Operativo!AC62-AT62+AU62</f>
        <v>42145.6153144583</v>
      </c>
      <c r="AT62" s="15" t="n">
        <f aca="false">Motore_Operativo!CI62</f>
        <v>2218.19027970833</v>
      </c>
      <c r="AU62" s="15" t="n">
        <f aca="false">MIN(MAX(0,(AV61)+AT62),Parametri_v3!$C$61/12)</f>
        <v>0</v>
      </c>
      <c r="AV62" s="15" t="n">
        <f aca="false">(AV61)+AT62-AU62</f>
        <v>70458.7443220833</v>
      </c>
      <c r="AW62" s="15" t="n">
        <f aca="false">IF(AND(Motore_Operativo!C62=Finanziamenti!$D$7,Finanziamenti!$F$7=1),Finanziamenti!$C$7,0)</f>
        <v>0</v>
      </c>
      <c r="AX62" s="15" t="n">
        <f aca="false">0</f>
        <v>0</v>
      </c>
      <c r="AY62" s="15" t="n">
        <f aca="false">IF(10=Parametri_v3!$C$33,IF(BV62&lt;MIN(12,$B62-1),0,MIN(MAX(0,SUM(Y41:Y52))*Ipotesi!$C$94,MAX(0,(BM52)-(BO61)-BP62),MAX(0,BD62-Parametri_v3!$C$31))),0)</f>
        <v>0</v>
      </c>
      <c r="AZ62" s="15" t="n">
        <f aca="false">0</f>
        <v>0</v>
      </c>
      <c r="BA62" s="15" t="n">
        <f aca="false">0</f>
        <v>0</v>
      </c>
      <c r="BB62" s="15" t="n">
        <f aca="false">0</f>
        <v>0</v>
      </c>
      <c r="BC62" s="15" t="n">
        <f aca="false">0</f>
        <v>0</v>
      </c>
      <c r="BD62" s="15" t="n">
        <f aca="false">(BH61)+AC62-AF62-AI62-AS62-K62*(1+Parametri_v3!$C$26)-AL62-AQ62-O62+AW62+AX62+AZ62+BA62-BB62</f>
        <v>77951.3410403834</v>
      </c>
      <c r="BE62" s="15" t="n">
        <f aca="false">0</f>
        <v>0</v>
      </c>
      <c r="BF62" s="15" t="n">
        <f aca="false">0</f>
        <v>0</v>
      </c>
      <c r="BG62" s="15" t="n">
        <f aca="false">0</f>
        <v>0</v>
      </c>
      <c r="BH62" s="15" t="n">
        <f aca="false">BD62+BE62-BF62-AY62</f>
        <v>77951.3410403834</v>
      </c>
      <c r="BI62" s="15" t="n">
        <f aca="false">MAX(0,Parametri_v3!$C$31-BH62)</f>
        <v>0</v>
      </c>
      <c r="BJ62" s="15" t="n">
        <f aca="false">(BJ61)+K62</f>
        <v>27666.6666666667</v>
      </c>
      <c r="BK62" s="15" t="n">
        <f aca="false">(BK61)+L62</f>
        <v>16631.9444444444</v>
      </c>
      <c r="BL62" s="15" t="n">
        <f aca="false">BJ62-BK62</f>
        <v>11034.7222222222</v>
      </c>
      <c r="BM62" s="15" t="n">
        <f aca="false">(BM61)+Y62</f>
        <v>222145.389097781</v>
      </c>
      <c r="BN62" s="15" t="n">
        <f aca="false">(BN61)+AW62+AX62+AZ62</f>
        <v>20000</v>
      </c>
      <c r="BO62" s="15" t="n">
        <f aca="false">(BO61)+AY62</f>
        <v>0</v>
      </c>
      <c r="BP62" s="15" t="n">
        <f aca="false">MIN(Parametri_v3!$C$36*Parametri_v3!$C$35,(BP61)+IF(10=1,MAX(0,SUM(Y41:Y52))*Parametri_v3!$C$34,0))</f>
        <v>2000</v>
      </c>
      <c r="BQ62" s="15" t="n">
        <f aca="false">BN62+BM62-BO62</f>
        <v>242145.389097781</v>
      </c>
      <c r="BR62" s="15" t="n">
        <f aca="false">BH62+AD62+BL62+MAX(0,-AM62)+MAX(0,-AR62)</f>
        <v>407291.688262606</v>
      </c>
      <c r="BS62" s="15" t="n">
        <f aca="false">AJ62+AV62+MAX(0,AM62)+MAX(0,AR62)+BC62+BG62+BQ62+AG62</f>
        <v>407291.688262606</v>
      </c>
      <c r="BT62" s="15" t="n">
        <f aca="false">BR62-BS62</f>
        <v>0</v>
      </c>
      <c r="BU62" s="15" t="n">
        <f aca="false">BH62-(BD62+BE62-BF62-AY62)</f>
        <v>0</v>
      </c>
      <c r="BV62" s="15" t="n">
        <f aca="false">IF(BH61&lt;Parametri_v3!$C$31,0,BV61+1)</f>
        <v>12</v>
      </c>
    </row>
    <row r="63" customFormat="false" ht="18" hidden="false" customHeight="true" outlineLevel="0" collapsed="false">
      <c r="A63" s="68" t="n">
        <f aca="false">1</f>
        <v>1</v>
      </c>
      <c r="B63" s="68" t="n">
        <f aca="false">59</f>
        <v>59</v>
      </c>
      <c r="C63" s="18" t="n">
        <f aca="false">Motore_Operativo!C63</f>
        <v>48153</v>
      </c>
      <c r="D63" s="68" t="n">
        <f aca="false">Motore_Operativo!D63</f>
        <v>2031</v>
      </c>
      <c r="E63" s="68" t="n">
        <f aca="false">Motore_Operativo!E63</f>
        <v>11</v>
      </c>
      <c r="F63" s="15" t="n">
        <f aca="false">Motore_Operativo!AM63</f>
        <v>86968.75</v>
      </c>
      <c r="G63" s="15" t="n">
        <f aca="false">Motore_Operativo!BH63</f>
        <v>8696.875</v>
      </c>
      <c r="H63" s="15" t="n">
        <f aca="false">Motore_Operativo!AM63</f>
        <v>86968.75</v>
      </c>
      <c r="I63" s="15" t="n">
        <f aca="false">Motore_Operativo!CB63</f>
        <v>74987.1389275</v>
      </c>
      <c r="J63" s="15" t="n">
        <f aca="false">Motore_Operativo!CD63</f>
        <v>11981.6110725</v>
      </c>
      <c r="K63" s="15" t="n">
        <f aca="false">Motore_Operativo!CF63</f>
        <v>666.666666666667</v>
      </c>
      <c r="L63" s="15" t="n">
        <f aca="false">SUM(INDEX($K$5:$K$64,MAX(1,59-Parametri_v3!$C$59+1)):K63)/Parametri_v3!$C$59</f>
        <v>576.388888888889</v>
      </c>
      <c r="M63" s="15" t="n">
        <f aca="false">J63-L63</f>
        <v>11405.2221836111</v>
      </c>
      <c r="N63" s="15" t="n">
        <f aca="false">0</f>
        <v>0</v>
      </c>
      <c r="O63" s="15" t="n">
        <f aca="false">0</f>
        <v>0</v>
      </c>
      <c r="P63" s="15" t="n">
        <f aca="false">M63+N63-O63</f>
        <v>11405.2221836111</v>
      </c>
      <c r="Q63" s="15" t="n">
        <f aca="false">SUM(P53:P63)+Parametri_v3!$C$56*11/12</f>
        <v>125839.388464167</v>
      </c>
      <c r="R63" s="15" t="n">
        <f aca="false">Z52</f>
        <v>0</v>
      </c>
      <c r="S63" s="15" t="n">
        <f aca="false">AA52</f>
        <v>0</v>
      </c>
      <c r="T63" s="15" t="n">
        <f aca="false">MIN(R63,MAX(0,Q63))</f>
        <v>0</v>
      </c>
      <c r="U63" s="15" t="n">
        <f aca="false">MIN(S63,MAX(0,Q63-T63)*Parametri_v3!$C$42)</f>
        <v>0</v>
      </c>
      <c r="V63" s="15" t="n">
        <f aca="false">MAX(0,Q63-T63-U63)*Ipotesi!$C$92</f>
        <v>30201.4532314</v>
      </c>
      <c r="W63" s="15" t="n">
        <f aca="false">MAX(0,SUM(M53:M63)+Parametri_v3!$C$57*11/12)*Ipotesi!$C$93</f>
        <v>4907.7361501025</v>
      </c>
      <c r="X63" s="15" t="n">
        <f aca="false">V63+W63-(V62+W62)</f>
        <v>3182.0569892275</v>
      </c>
      <c r="Y63" s="15" t="n">
        <f aca="false">P63-X63</f>
        <v>8223.16519438361</v>
      </c>
      <c r="Z63" s="15" t="n">
        <f aca="false">R63-T63+IF(AND(Parametri_v3!$C$40=1,D63-YEAR(Parametri_v3!$C$50)&lt;Parametri_v3!$C$41),MAX(0,-Q63),0)</f>
        <v>0</v>
      </c>
      <c r="AA63" s="15" t="n">
        <f aca="false">S63-U63+IF(AND(Parametri_v3!$C$40=1,D63-YEAR(Parametri_v3!$C$50)&lt;Parametri_v3!$C$41),0,MAX(0,-Q63))</f>
        <v>0</v>
      </c>
      <c r="AB63" s="15" t="n">
        <f aca="false">F63*(1+Parametri_v3!$C$26)</f>
        <v>106101.875</v>
      </c>
      <c r="AC63" s="15" t="n">
        <f aca="false">(IF(59-(INT((Motore_Operativo!L63)/30))&lt;1,0,INDEX(Motore_Advisory!$AB$5:$AB$64,MAX(1,59-(INT((Motore_Operativo!L63)/30)))))*(1-(MOD((Motore_Operativo!L63),30)/30))+IF(59-(INT((Motore_Operativo!L63)/30))-1&lt;1,0,INDEX(Motore_Advisory!$AB$5:$AB$64,MAX(1,59-(INT((Motore_Operativo!L63)/30))-1)))*(MOD((Motore_Operativo!L63),30)/30))</f>
        <v>106101.875</v>
      </c>
      <c r="AD63" s="15" t="n">
        <f aca="false">(AD62)+AB63-AC63</f>
        <v>318305.625</v>
      </c>
      <c r="AE63" s="15" t="n">
        <f aca="false">Motore_Operativo!BH63*(1+Parametri_v3!$C$26)</f>
        <v>10610.1875</v>
      </c>
      <c r="AF63" s="15" t="n">
        <f aca="false">(IF(59-(INT((Parametri_v3!$C$29)/30))&lt;1,0,INDEX(Motore_Operativo!$BH$5:$BH$64,MAX(1,59-(INT((Parametri_v3!$C$29)/30)))))*(1-(MOD((Parametri_v3!$C$29),30)/30))+IF(59-(INT((Parametri_v3!$C$29)/30))-1&lt;1,0,INDEX(Motore_Operativo!$BH$5:$BH$64,MAX(1,59-(INT((Parametri_v3!$C$29)/30))-1)))*(MOD((Parametri_v3!$C$29),30)/30))*(1+Parametri_v3!$C$26)</f>
        <v>10610.1875</v>
      </c>
      <c r="AG63" s="15" t="n">
        <f aca="false">(AG62)+AE63-AF63</f>
        <v>10610.1875</v>
      </c>
      <c r="AH63" s="15" t="n">
        <f aca="false">(Motore_Operativo!CK63)*(1+Parametri_v3!$C$28*Parametri_v3!$C$26)</f>
        <v>25785.515</v>
      </c>
      <c r="AI63" s="15" t="n">
        <f aca="false">(IF(59-(INT((Ipotesi!$C$91)/30))&lt;1,0,INDEX(Motore_Advisory!$AH$5:$AH$64,MAX(1,59-(INT((Ipotesi!$C$91)/30)))))*(1-(MOD((Ipotesi!$C$91),30)/30))+IF(59-(INT((Ipotesi!$C$91)/30))-1&lt;1,0,INDEX(Motore_Advisory!$AH$5:$AH$64,MAX(1,59-(INT((Ipotesi!$C$91)/30))-1)))*(MOD((Ipotesi!$C$91),30)/30))</f>
        <v>25785.515</v>
      </c>
      <c r="AJ63" s="15" t="n">
        <f aca="false">(AJ62)+AH63-AI63</f>
        <v>51571.03</v>
      </c>
      <c r="AK63" s="15" t="n">
        <f aca="false">(F63- Motore_Operativo!BH63-(Motore_Operativo!CK63)*Parametri_v3!$C$28-Motore_Operativo!CF63)*Parametri_v3!$C$26</f>
        <v>13214.0891666667</v>
      </c>
      <c r="AL63" s="15" t="n">
        <f aca="false">MAX(0,(AM62))</f>
        <v>13214.0891666667</v>
      </c>
      <c r="AM63" s="15" t="n">
        <f aca="false">(AM62)+AK63-AL63</f>
        <v>13214.0891666667</v>
      </c>
      <c r="AN63" s="15" t="n">
        <f aca="false">SUM(X41:X52)</f>
        <v>31587.2105405</v>
      </c>
      <c r="AO63" s="15" t="n">
        <f aca="false">SUM(AP41:AP52)</f>
        <v>15744.47375</v>
      </c>
      <c r="AP63" s="15" t="n">
        <f aca="false">MAX(0,AN63)*IF(11=Parametri_v3!$C$43,Parametri_v3!$C$45,IF(11=Parametri_v3!$C$44,1-Parametri_v3!$C$45,0))</f>
        <v>18952.3263243</v>
      </c>
      <c r="AQ63" s="15" t="n">
        <f aca="false">MAX(0,AP63+IF(11=Parametri_v3!$C$43,MAX(0,AN63-AO63),0)-MAX(0,-(AR62)))</f>
        <v>18952.3263243</v>
      </c>
      <c r="AR63" s="15" t="n">
        <f aca="false">(AR62)+X63-AQ63</f>
        <v>3521.9788410025</v>
      </c>
      <c r="AS63" s="15" t="n">
        <f aca="false">Motore_Operativo!AC63-AT63+AU63</f>
        <v>42145.6153144583</v>
      </c>
      <c r="AT63" s="15" t="n">
        <f aca="false">Motore_Operativo!CI63</f>
        <v>2218.19027970833</v>
      </c>
      <c r="AU63" s="15" t="n">
        <f aca="false">MIN(MAX(0,(AV62)+AT63),Parametri_v3!$C$61/12)</f>
        <v>0</v>
      </c>
      <c r="AV63" s="15" t="n">
        <f aca="false">(AV62)+AT63-AU63</f>
        <v>72676.9346017917</v>
      </c>
      <c r="AW63" s="15" t="n">
        <f aca="false">IF(AND(Motore_Operativo!C63=Finanziamenti!$D$7,Finanziamenti!$F$7=1),Finanziamenti!$C$7,0)</f>
        <v>0</v>
      </c>
      <c r="AX63" s="15" t="n">
        <f aca="false">0</f>
        <v>0</v>
      </c>
      <c r="AY63" s="15" t="n">
        <f aca="false">IF(11=Parametri_v3!$C$33,IF(BV63&lt;MIN(12,$B63-1),0,MIN(MAX(0,SUM(Y41:Y52))*Ipotesi!$C$94,MAX(0,(BM52)-(BO62)-BP63),MAX(0,BD63-Parametri_v3!$C$31))),0)</f>
        <v>0</v>
      </c>
      <c r="AZ63" s="15" t="n">
        <f aca="false">0</f>
        <v>0</v>
      </c>
      <c r="BA63" s="15" t="n">
        <f aca="false">0</f>
        <v>0</v>
      </c>
      <c r="BB63" s="15" t="n">
        <f aca="false">0</f>
        <v>0</v>
      </c>
      <c r="BC63" s="15" t="n">
        <f aca="false">0</f>
        <v>0</v>
      </c>
      <c r="BD63" s="15" t="n">
        <f aca="false">(BH62)+AC63-AF63-AI63-AS63-K63*(1+Parametri_v3!$C$26)-AL63-AQ63-O63+AW63+AX63+AZ63+BA63-BB63</f>
        <v>72532.1494016251</v>
      </c>
      <c r="BE63" s="15" t="n">
        <f aca="false">0</f>
        <v>0</v>
      </c>
      <c r="BF63" s="15" t="n">
        <f aca="false">0</f>
        <v>0</v>
      </c>
      <c r="BG63" s="15" t="n">
        <f aca="false">0</f>
        <v>0</v>
      </c>
      <c r="BH63" s="15" t="n">
        <f aca="false">BD63+BE63-BF63-AY63</f>
        <v>72532.1494016251</v>
      </c>
      <c r="BI63" s="15" t="n">
        <f aca="false">MAX(0,Parametri_v3!$C$31-BH63)</f>
        <v>0</v>
      </c>
      <c r="BJ63" s="15" t="n">
        <f aca="false">(BJ62)+K63</f>
        <v>28333.3333333333</v>
      </c>
      <c r="BK63" s="15" t="n">
        <f aca="false">(BK62)+L63</f>
        <v>17208.3333333333</v>
      </c>
      <c r="BL63" s="15" t="n">
        <f aca="false">BJ63-BK63</f>
        <v>11125</v>
      </c>
      <c r="BM63" s="15" t="n">
        <f aca="false">(BM62)+Y63</f>
        <v>230368.554292164</v>
      </c>
      <c r="BN63" s="15" t="n">
        <f aca="false">(BN62)+AW63+AX63+AZ63</f>
        <v>20000</v>
      </c>
      <c r="BO63" s="15" t="n">
        <f aca="false">(BO62)+AY63</f>
        <v>0</v>
      </c>
      <c r="BP63" s="15" t="n">
        <f aca="false">MIN(Parametri_v3!$C$36*Parametri_v3!$C$35,(BP62)+IF(11=1,MAX(0,SUM(Y41:Y52))*Parametri_v3!$C$34,0))</f>
        <v>2000</v>
      </c>
      <c r="BQ63" s="15" t="n">
        <f aca="false">BN63+BM63-BO63</f>
        <v>250368.554292164</v>
      </c>
      <c r="BR63" s="15" t="n">
        <f aca="false">BH63+AD63+BL63+MAX(0,-AM63)+MAX(0,-AR63)</f>
        <v>401962.774401625</v>
      </c>
      <c r="BS63" s="15" t="n">
        <f aca="false">AJ63+AV63+MAX(0,AM63)+MAX(0,AR63)+BC63+BG63+BQ63+AG63</f>
        <v>401962.774401625</v>
      </c>
      <c r="BT63" s="15" t="n">
        <f aca="false">BR63-BS63</f>
        <v>0</v>
      </c>
      <c r="BU63" s="15" t="n">
        <f aca="false">BH63-(BD63+BE63-BF63-AY63)</f>
        <v>0</v>
      </c>
      <c r="BV63" s="15" t="n">
        <f aca="false">IF(BH62&lt;Parametri_v3!$C$31,0,BV62+1)</f>
        <v>13</v>
      </c>
    </row>
    <row r="64" customFormat="false" ht="18" hidden="false" customHeight="true" outlineLevel="0" collapsed="false">
      <c r="A64" s="68" t="n">
        <f aca="false">1</f>
        <v>1</v>
      </c>
      <c r="B64" s="68" t="n">
        <f aca="false">60</f>
        <v>60</v>
      </c>
      <c r="C64" s="18" t="n">
        <f aca="false">Motore_Operativo!C64</f>
        <v>48183</v>
      </c>
      <c r="D64" s="68" t="n">
        <f aca="false">Motore_Operativo!D64</f>
        <v>2031</v>
      </c>
      <c r="E64" s="68" t="n">
        <f aca="false">Motore_Operativo!E64</f>
        <v>12</v>
      </c>
      <c r="F64" s="15" t="n">
        <f aca="false">Motore_Operativo!AM64</f>
        <v>86968.75</v>
      </c>
      <c r="G64" s="15" t="n">
        <f aca="false">Motore_Operativo!BH64</f>
        <v>8696.875</v>
      </c>
      <c r="H64" s="15" t="n">
        <f aca="false">Motore_Operativo!AM64</f>
        <v>86968.75</v>
      </c>
      <c r="I64" s="15" t="n">
        <f aca="false">Motore_Operativo!CB64</f>
        <v>74987.1389275</v>
      </c>
      <c r="J64" s="15" t="n">
        <f aca="false">Motore_Operativo!CD64</f>
        <v>11981.6110725</v>
      </c>
      <c r="K64" s="15" t="n">
        <f aca="false">Motore_Operativo!CF64</f>
        <v>666.666666666667</v>
      </c>
      <c r="L64" s="15" t="n">
        <f aca="false">SUM(INDEX($K$5:$K$64,MAX(1,60-Parametri_v3!$C$59+1)):K64)/Parametri_v3!$C$59</f>
        <v>583.333333333333</v>
      </c>
      <c r="M64" s="15" t="n">
        <f aca="false">J64-L64</f>
        <v>11398.2777391667</v>
      </c>
      <c r="N64" s="15" t="n">
        <f aca="false">0</f>
        <v>0</v>
      </c>
      <c r="O64" s="15" t="n">
        <f aca="false">0</f>
        <v>0</v>
      </c>
      <c r="P64" s="15" t="n">
        <f aca="false">M64+N64-O64</f>
        <v>11398.2777391667</v>
      </c>
      <c r="Q64" s="15" t="n">
        <f aca="false">SUM(P53:P64)+Parametri_v3!$C$56*12/12</f>
        <v>137237.666203333</v>
      </c>
      <c r="R64" s="15" t="n">
        <f aca="false">Z52</f>
        <v>0</v>
      </c>
      <c r="S64" s="15" t="n">
        <f aca="false">AA52</f>
        <v>0</v>
      </c>
      <c r="T64" s="15" t="n">
        <f aca="false">MIN(R64,MAX(0,Q64))</f>
        <v>0</v>
      </c>
      <c r="U64" s="15" t="n">
        <f aca="false">MIN(S64,MAX(0,Q64-T64)*Parametri_v3!$C$42)</f>
        <v>0</v>
      </c>
      <c r="V64" s="15" t="n">
        <f aca="false">MAX(0,Q64-T64-U64)*Ipotesi!$C$92</f>
        <v>32937.0398888</v>
      </c>
      <c r="W64" s="15" t="n">
        <f aca="false">MAX(0,SUM(M53:M64)+Parametri_v3!$C$57*12/12)*Ipotesi!$C$93</f>
        <v>5352.26898193</v>
      </c>
      <c r="X64" s="15" t="n">
        <f aca="false">V64+W64-(V63+W63)</f>
        <v>3180.1194892275</v>
      </c>
      <c r="Y64" s="15" t="n">
        <f aca="false">P64-X64</f>
        <v>8218.15824993917</v>
      </c>
      <c r="Z64" s="15" t="n">
        <f aca="false">R64-T64+IF(AND(Parametri_v3!$C$40=1,D64-YEAR(Parametri_v3!$C$50)&lt;Parametri_v3!$C$41),MAX(0,-Q64),0)</f>
        <v>0</v>
      </c>
      <c r="AA64" s="15" t="n">
        <f aca="false">S64-U64+IF(AND(Parametri_v3!$C$40=1,D64-YEAR(Parametri_v3!$C$50)&lt;Parametri_v3!$C$41),0,MAX(0,-Q64))</f>
        <v>0</v>
      </c>
      <c r="AB64" s="15" t="n">
        <f aca="false">F64*(1+Parametri_v3!$C$26)</f>
        <v>106101.875</v>
      </c>
      <c r="AC64" s="15" t="n">
        <f aca="false">(IF(60-(INT((Motore_Operativo!L64)/30))&lt;1,0,INDEX(Motore_Advisory!$AB$5:$AB$64,MAX(1,60-(INT((Motore_Operativo!L64)/30)))))*(1-(MOD((Motore_Operativo!L64),30)/30))+IF(60-(INT((Motore_Operativo!L64)/30))-1&lt;1,0,INDEX(Motore_Advisory!$AB$5:$AB$64,MAX(1,60-(INT((Motore_Operativo!L64)/30))-1)))*(MOD((Motore_Operativo!L64),30)/30))</f>
        <v>106101.875</v>
      </c>
      <c r="AD64" s="15" t="n">
        <f aca="false">(AD63)+AB64-AC64</f>
        <v>318305.625</v>
      </c>
      <c r="AE64" s="15" t="n">
        <f aca="false">Motore_Operativo!BH64*(1+Parametri_v3!$C$26)</f>
        <v>10610.1875</v>
      </c>
      <c r="AF64" s="15" t="n">
        <f aca="false">(IF(60-(INT((Parametri_v3!$C$29)/30))&lt;1,0,INDEX(Motore_Operativo!$BH$5:$BH$64,MAX(1,60-(INT((Parametri_v3!$C$29)/30)))))*(1-(MOD((Parametri_v3!$C$29),30)/30))+IF(60-(INT((Parametri_v3!$C$29)/30))-1&lt;1,0,INDEX(Motore_Operativo!$BH$5:$BH$64,MAX(1,60-(INT((Parametri_v3!$C$29)/30))-1)))*(MOD((Parametri_v3!$C$29),30)/30))*(1+Parametri_v3!$C$26)</f>
        <v>10610.1875</v>
      </c>
      <c r="AG64" s="15" t="n">
        <f aca="false">(AG63)+AE64-AF64</f>
        <v>10610.1875</v>
      </c>
      <c r="AH64" s="15" t="n">
        <f aca="false">(Motore_Operativo!CK64)*(1+Parametri_v3!$C$28*Parametri_v3!$C$26)</f>
        <v>25785.515</v>
      </c>
      <c r="AI64" s="15" t="n">
        <f aca="false">(IF(60-(INT((Ipotesi!$C$91)/30))&lt;1,0,INDEX(Motore_Advisory!$AH$5:$AH$64,MAX(1,60-(INT((Ipotesi!$C$91)/30)))))*(1-(MOD((Ipotesi!$C$91),30)/30))+IF(60-(INT((Ipotesi!$C$91)/30))-1&lt;1,0,INDEX(Motore_Advisory!$AH$5:$AH$64,MAX(1,60-(INT((Ipotesi!$C$91)/30))-1)))*(MOD((Ipotesi!$C$91),30)/30))</f>
        <v>25785.515</v>
      </c>
      <c r="AJ64" s="15" t="n">
        <f aca="false">(AJ63)+AH64-AI64</f>
        <v>51571.03</v>
      </c>
      <c r="AK64" s="15" t="n">
        <f aca="false">(F64- Motore_Operativo!BH64-(Motore_Operativo!CK64)*Parametri_v3!$C$28-Motore_Operativo!CF64)*Parametri_v3!$C$26</f>
        <v>13214.0891666667</v>
      </c>
      <c r="AL64" s="15" t="n">
        <f aca="false">MAX(0,(AM63))</f>
        <v>13214.0891666667</v>
      </c>
      <c r="AM64" s="15" t="n">
        <f aca="false">(AM63)+AK64-AL64</f>
        <v>13214.0891666667</v>
      </c>
      <c r="AN64" s="15" t="n">
        <f aca="false">SUM(X41:X52)</f>
        <v>31587.2105405</v>
      </c>
      <c r="AO64" s="15" t="n">
        <f aca="false">SUM(AP41:AP52)</f>
        <v>15744.47375</v>
      </c>
      <c r="AP64" s="15" t="n">
        <f aca="false">MAX(0,AN64)*IF(12=Parametri_v3!$C$43,Parametri_v3!$C$45,IF(12=Parametri_v3!$C$44,1-Parametri_v3!$C$45,0))</f>
        <v>0</v>
      </c>
      <c r="AQ64" s="15" t="n">
        <f aca="false">MAX(0,AP64+IF(12=Parametri_v3!$C$43,MAX(0,AN64-AO64),0)-MAX(0,-(AR63)))</f>
        <v>0</v>
      </c>
      <c r="AR64" s="15" t="n">
        <f aca="false">(AR63)+X64-AQ64</f>
        <v>6702.09833023</v>
      </c>
      <c r="AS64" s="15" t="n">
        <f aca="false">Motore_Operativo!AC64-AT64+AU64</f>
        <v>42145.6153144583</v>
      </c>
      <c r="AT64" s="15" t="n">
        <f aca="false">Motore_Operativo!CI64</f>
        <v>2218.19027970833</v>
      </c>
      <c r="AU64" s="15" t="n">
        <f aca="false">MIN(MAX(0,(AV63)+AT64),Parametri_v3!$C$61/12)</f>
        <v>0</v>
      </c>
      <c r="AV64" s="15" t="n">
        <f aca="false">(AV63)+AT64-AU64</f>
        <v>74895.1248815</v>
      </c>
      <c r="AW64" s="15" t="n">
        <f aca="false">IF(AND(Motore_Operativo!C64=Finanziamenti!$D$7,Finanziamenti!$F$7=1),Finanziamenti!$C$7,0)</f>
        <v>0</v>
      </c>
      <c r="AX64" s="15" t="n">
        <f aca="false">0</f>
        <v>0</v>
      </c>
      <c r="AY64" s="15" t="n">
        <f aca="false">IF(12=Parametri_v3!$C$33,IF(BV64&lt;MIN(12,$B64-1),0,MIN(MAX(0,SUM(Y41:Y52))*Ipotesi!$C$94,MAX(0,(BM52)-(BO63)-BP64),MAX(0,BD64-Parametri_v3!$C$31))),0)</f>
        <v>0</v>
      </c>
      <c r="AZ64" s="15" t="n">
        <f aca="false">0</f>
        <v>0</v>
      </c>
      <c r="BA64" s="15" t="n">
        <f aca="false">0</f>
        <v>0</v>
      </c>
      <c r="BB64" s="15" t="n">
        <f aca="false">0</f>
        <v>0</v>
      </c>
      <c r="BC64" s="15" t="n">
        <f aca="false">0</f>
        <v>0</v>
      </c>
      <c r="BD64" s="15" t="n">
        <f aca="false">(BH63)+AC64-AF64-AI64-AS64-K64*(1+Parametri_v3!$C$26)-AL64-AQ64-O64+AW64+AX64+AZ64+BA64-BB64</f>
        <v>86065.2840871668</v>
      </c>
      <c r="BE64" s="15" t="n">
        <f aca="false">0</f>
        <v>0</v>
      </c>
      <c r="BF64" s="15" t="n">
        <f aca="false">0</f>
        <v>0</v>
      </c>
      <c r="BG64" s="15" t="n">
        <f aca="false">0</f>
        <v>0</v>
      </c>
      <c r="BH64" s="15" t="n">
        <f aca="false">BD64+BE64-BF64-AY64</f>
        <v>86065.2840871668</v>
      </c>
      <c r="BI64" s="15" t="n">
        <f aca="false">MAX(0,Parametri_v3!$C$31-BH64)</f>
        <v>0</v>
      </c>
      <c r="BJ64" s="15" t="n">
        <f aca="false">(BJ63)+K64</f>
        <v>29000</v>
      </c>
      <c r="BK64" s="15" t="n">
        <f aca="false">(BK63)+L64</f>
        <v>17791.6666666667</v>
      </c>
      <c r="BL64" s="15" t="n">
        <f aca="false">BJ64-BK64</f>
        <v>11208.3333333334</v>
      </c>
      <c r="BM64" s="15" t="n">
        <f aca="false">(BM63)+Y64</f>
        <v>238586.712542104</v>
      </c>
      <c r="BN64" s="15" t="n">
        <f aca="false">(BN63)+AW64+AX64+AZ64</f>
        <v>20000</v>
      </c>
      <c r="BO64" s="15" t="n">
        <f aca="false">(BO63)+AY64</f>
        <v>0</v>
      </c>
      <c r="BP64" s="15" t="n">
        <f aca="false">MIN(Parametri_v3!$C$36*Parametri_v3!$C$35,(BP63)+IF(12=1,MAX(0,SUM(Y41:Y52))*Parametri_v3!$C$34,0))</f>
        <v>2000</v>
      </c>
      <c r="BQ64" s="15" t="n">
        <f aca="false">BN64+BM64-BO64</f>
        <v>258586.712542104</v>
      </c>
      <c r="BR64" s="15" t="n">
        <f aca="false">BH64+AD64+BL64+MAX(0,-AM64)+MAX(0,-AR64)</f>
        <v>415579.2424205</v>
      </c>
      <c r="BS64" s="15" t="n">
        <f aca="false">AJ64+AV64+MAX(0,AM64)+MAX(0,AR64)+BC64+BG64+BQ64+AG64</f>
        <v>415579.2424205</v>
      </c>
      <c r="BT64" s="15" t="n">
        <f aca="false">BR64-BS64</f>
        <v>0</v>
      </c>
      <c r="BU64" s="15" t="n">
        <f aca="false">BH64-(BD64+BE64-BF64-AY64)</f>
        <v>0</v>
      </c>
      <c r="BV64" s="15" t="n">
        <f aca="false">IF(BH63&lt;Parametri_v3!$C$31,0,BV63+1)</f>
        <v>14</v>
      </c>
    </row>
    <row r="65" customFormat="false" ht="18" hidden="false" customHeight="true" outlineLevel="0" collapsed="false">
      <c r="A65" s="68" t="n">
        <f aca="false">2</f>
        <v>2</v>
      </c>
      <c r="B65" s="68" t="n">
        <f aca="false">1</f>
        <v>1</v>
      </c>
      <c r="C65" s="18" t="n">
        <f aca="false">Motore_Operativo!C65</f>
        <v>46388</v>
      </c>
      <c r="D65" s="68" t="n">
        <f aca="false">Motore_Operativo!D65</f>
        <v>2027</v>
      </c>
      <c r="E65" s="68" t="n">
        <f aca="false">Motore_Operativo!E65</f>
        <v>1</v>
      </c>
      <c r="F65" s="15" t="n">
        <f aca="false">Motore_Operativo!AM65</f>
        <v>16210.5263157895</v>
      </c>
      <c r="G65" s="15" t="n">
        <f aca="false">Motore_Operativo!BH65</f>
        <v>1621.05263157895</v>
      </c>
      <c r="H65" s="15" t="n">
        <f aca="false">Motore_Operativo!AM65</f>
        <v>16210.5263157895</v>
      </c>
      <c r="I65" s="15" t="n">
        <f aca="false">Motore_Operativo!CB65</f>
        <v>12114.5175438596</v>
      </c>
      <c r="J65" s="15" t="n">
        <f aca="false">Motore_Operativo!CD65</f>
        <v>4096.00877192982</v>
      </c>
      <c r="K65" s="15" t="n">
        <f aca="false">Motore_Operativo!CF65</f>
        <v>250</v>
      </c>
      <c r="L65" s="15" t="n">
        <f aca="false">SUM(INDEX($K$65:$K$124,MAX(1,1-Parametri_v3!$C$59+1)):K65)/Parametri_v3!$C$59</f>
        <v>6.94444444444445</v>
      </c>
      <c r="M65" s="15" t="n">
        <f aca="false">J65-L65</f>
        <v>4089.06432748538</v>
      </c>
      <c r="N65" s="15" t="n">
        <f aca="false">0</f>
        <v>0</v>
      </c>
      <c r="O65" s="15" t="n">
        <f aca="false">0</f>
        <v>0</v>
      </c>
      <c r="P65" s="15" t="n">
        <f aca="false">M65+N65-O65</f>
        <v>4089.06432748538</v>
      </c>
      <c r="Q65" s="15" t="n">
        <f aca="false">SUM(P65)+Parametri_v3!$C$56*1/12</f>
        <v>4089.06432748538</v>
      </c>
      <c r="R65" s="15" t="n">
        <f aca="false">0</f>
        <v>0</v>
      </c>
      <c r="S65" s="15" t="n">
        <f aca="false">0</f>
        <v>0</v>
      </c>
      <c r="T65" s="15" t="n">
        <f aca="false">MIN(R65,MAX(0,Q65))</f>
        <v>0</v>
      </c>
      <c r="U65" s="15" t="n">
        <f aca="false">MIN(S65,MAX(0,Q65-T65)*Parametri_v3!$C$42)</f>
        <v>0</v>
      </c>
      <c r="V65" s="15" t="n">
        <f aca="false">MAX(0,Q65-T65-U65)*Ipotesi!$C$92</f>
        <v>981.375438596491</v>
      </c>
      <c r="W65" s="15" t="n">
        <f aca="false">MAX(0,SUM(M65)+Parametri_v3!$C$57*1/12)*Ipotesi!$C$93</f>
        <v>159.47350877193</v>
      </c>
      <c r="X65" s="15" t="n">
        <f aca="false">V65+W65-(0)</f>
        <v>1140.84894736842</v>
      </c>
      <c r="Y65" s="15" t="n">
        <f aca="false">P65-X65</f>
        <v>2948.21538011696</v>
      </c>
      <c r="Z65" s="15" t="n">
        <f aca="false">R65-T65+IF(AND(Parametri_v3!$C$40=1,D65-YEAR(Parametri_v3!$C$50)&lt;Parametri_v3!$C$41),MAX(0,-Q65),0)</f>
        <v>0</v>
      </c>
      <c r="AA65" s="15" t="n">
        <f aca="false">S65-U65+IF(AND(Parametri_v3!$C$40=1,D65-YEAR(Parametri_v3!$C$50)&lt;Parametri_v3!$C$41),0,MAX(0,-Q65))</f>
        <v>0</v>
      </c>
      <c r="AB65" s="15" t="n">
        <f aca="false">F65*(1+Parametri_v3!$C$26)</f>
        <v>19776.8421052632</v>
      </c>
      <c r="AC65" s="15" t="n">
        <f aca="false">(IF(1-(INT((Motore_Operativo!L65)/30))&lt;1,0,INDEX(Motore_Advisory!$AB$65:$AB$124,MAX(1,1-(INT((Motore_Operativo!L65)/30)))))*(1-(MOD((Motore_Operativo!L65),30)/30))+IF(1-(INT((Motore_Operativo!L65)/30))-1&lt;1,0,INDEX(Motore_Advisory!$AB$65:$AB$124,MAX(1,1-(INT((Motore_Operativo!L65)/30))-1)))*(MOD((Motore_Operativo!L65),30)/30))</f>
        <v>0</v>
      </c>
      <c r="AD65" s="15" t="n">
        <f aca="false">(0)+AB65-AC65</f>
        <v>19776.8421052632</v>
      </c>
      <c r="AE65" s="15" t="n">
        <f aca="false">Motore_Operativo!BH65*(1+Parametri_v3!$C$26)</f>
        <v>1977.68421052632</v>
      </c>
      <c r="AF65" s="15" t="n">
        <f aca="false">(IF(1-(INT((Parametri_v3!$C$29)/30))&lt;1,0,INDEX(Motore_Operativo!$BH$65:$BH$124,MAX(1,1-(INT((Parametri_v3!$C$29)/30)))))*(1-(MOD((Parametri_v3!$C$29),30)/30))+IF(1-(INT((Parametri_v3!$C$29)/30))-1&lt;1,0,INDEX(Motore_Operativo!$BH$65:$BH$124,MAX(1,1-(INT((Parametri_v3!$C$29)/30))-1)))*(MOD((Parametri_v3!$C$29),30)/30))*(1+Parametri_v3!$C$26)</f>
        <v>0</v>
      </c>
      <c r="AG65" s="15" t="n">
        <f aca="false">(0)+AE65-AF65</f>
        <v>1977.68421052632</v>
      </c>
      <c r="AH65" s="15" t="n">
        <f aca="false">(Motore_Operativo!CK65)*(1+Parametri_v3!$C$28*Parametri_v3!$C$26)</f>
        <v>6166.3147368421</v>
      </c>
      <c r="AI65" s="15" t="n">
        <f aca="false">(IF(1-(INT((Ipotesi!$C$91)/30))&lt;1,0,INDEX(Motore_Advisory!$AH$65:$AH$124,MAX(1,1-(INT((Ipotesi!$C$91)/30)))))*(1-(MOD((Ipotesi!$C$91),30)/30))+IF(1-(INT((Ipotesi!$C$91)/30))-1&lt;1,0,INDEX(Motore_Advisory!$AH$65:$AH$124,MAX(1,1-(INT((Ipotesi!$C$91)/30))-1)))*(MOD((Ipotesi!$C$91),30)/30))</f>
        <v>0</v>
      </c>
      <c r="AJ65" s="15" t="n">
        <f aca="false">(0)+AH65-AI65</f>
        <v>6166.3147368421</v>
      </c>
      <c r="AK65" s="15" t="n">
        <f aca="false">(F65- Motore_Operativo!BH65-(Motore_Operativo!CK65)*Parametri_v3!$C$28-Motore_Operativo!CF65)*Parametri_v3!$C$26</f>
        <v>2231.83438596491</v>
      </c>
      <c r="AL65" s="15" t="n">
        <f aca="false">MAX(0,(0))</f>
        <v>0</v>
      </c>
      <c r="AM65" s="15" t="n">
        <f aca="false">(0)+AK65-AL65</f>
        <v>2231.83438596491</v>
      </c>
      <c r="AN65" s="15" t="n">
        <f aca="false">0</f>
        <v>0</v>
      </c>
      <c r="AO65" s="15" t="n">
        <f aca="false">0</f>
        <v>0</v>
      </c>
      <c r="AP65" s="15" t="n">
        <f aca="false">MAX(0,AN65)*IF(1=Parametri_v3!$C$43,Parametri_v3!$C$45,IF(1=Parametri_v3!$C$44,1-Parametri_v3!$C$45,0))</f>
        <v>0</v>
      </c>
      <c r="AQ65" s="15" t="n">
        <f aca="false">MAX(0,AP65+IF(1=Parametri_v3!$C$43,MAX(0,AN65-AO65),0)-MAX(0,-(0)))</f>
        <v>0</v>
      </c>
      <c r="AR65" s="15" t="n">
        <f aca="false">(0)+X65-AQ65</f>
        <v>1140.84894736842</v>
      </c>
      <c r="AS65" s="15" t="n">
        <f aca="false">Motore_Operativo!AC65-AT65+AU65</f>
        <v>4987.5</v>
      </c>
      <c r="AT65" s="15" t="n">
        <f aca="false">Motore_Operativo!CI65</f>
        <v>262.5</v>
      </c>
      <c r="AU65" s="15" t="n">
        <f aca="false">MIN(MAX(0,(0)+AT65),Parametri_v3!$C$61/12)</f>
        <v>0</v>
      </c>
      <c r="AV65" s="15" t="n">
        <f aca="false">(0)+AT65-AU65</f>
        <v>262.5</v>
      </c>
      <c r="AW65" s="15" t="n">
        <f aca="false">IF(AND(Motore_Operativo!C65=Finanziamenti!$D$7,Finanziamenti!$F$7=1),Finanziamenti!$C$7,0)</f>
        <v>20000</v>
      </c>
      <c r="AX65" s="15" t="n">
        <f aca="false">0</f>
        <v>0</v>
      </c>
      <c r="AY65" s="15" t="n">
        <f aca="false">IF(1=Parametri_v3!$C$33,MIN(MAX(0,0)*Ipotesi!$C$94,MAX(0,(0)-(0)-BP65),MAX(0,BD65-Parametri_v3!$C$31)),0)</f>
        <v>0</v>
      </c>
      <c r="AZ65" s="15" t="n">
        <f aca="false">0</f>
        <v>0</v>
      </c>
      <c r="BA65" s="15" t="n">
        <f aca="false">0</f>
        <v>0</v>
      </c>
      <c r="BB65" s="15" t="n">
        <f aca="false">0</f>
        <v>0</v>
      </c>
      <c r="BC65" s="15" t="n">
        <f aca="false">0</f>
        <v>0</v>
      </c>
      <c r="BD65" s="15" t="n">
        <f aca="false">(0)+AC65-AF65-AI65-AS65-K65*(1+Parametri_v3!$C$26)-AL65-AQ65-O65+AW65+AX65+AZ65+BA65-BB65</f>
        <v>14707.5</v>
      </c>
      <c r="BE65" s="15" t="n">
        <f aca="false">0</f>
        <v>0</v>
      </c>
      <c r="BF65" s="15" t="n">
        <f aca="false">0</f>
        <v>0</v>
      </c>
      <c r="BG65" s="15" t="n">
        <f aca="false">0</f>
        <v>0</v>
      </c>
      <c r="BH65" s="15" t="n">
        <f aca="false">BD65+BE65-BF65-AY65</f>
        <v>14707.5</v>
      </c>
      <c r="BI65" s="15" t="n">
        <f aca="false">MAX(0,Parametri_v3!$C$31-BH65)</f>
        <v>0</v>
      </c>
      <c r="BJ65" s="15" t="n">
        <f aca="false">(0)+K65</f>
        <v>250</v>
      </c>
      <c r="BK65" s="15" t="n">
        <f aca="false">(0)+L65</f>
        <v>6.94444444444445</v>
      </c>
      <c r="BL65" s="15" t="n">
        <f aca="false">BJ65-BK65</f>
        <v>243.055555555556</v>
      </c>
      <c r="BM65" s="15" t="n">
        <f aca="false">(0)+Y65</f>
        <v>2948.21538011696</v>
      </c>
      <c r="BN65" s="15" t="n">
        <f aca="false">(0)+AW65+AX65+AZ65</f>
        <v>20000</v>
      </c>
      <c r="BO65" s="15" t="n">
        <f aca="false">(0)+AY65</f>
        <v>0</v>
      </c>
      <c r="BP65" s="15" t="n">
        <f aca="false">MIN(Parametri_v3!$C$36*Parametri_v3!$C$35,(0)+IF(1=1,MAX(0,0)*Parametri_v3!$C$34,0))</f>
        <v>0</v>
      </c>
      <c r="BQ65" s="15" t="n">
        <f aca="false">BN65+BM65-BO65</f>
        <v>22948.215380117</v>
      </c>
      <c r="BR65" s="15" t="n">
        <f aca="false">BH65+AD65+BL65+MAX(0,-AM65)+MAX(0,-AR65)</f>
        <v>34727.3976608187</v>
      </c>
      <c r="BS65" s="15" t="n">
        <f aca="false">AJ65+AV65+MAX(0,AM65)+MAX(0,AR65)+BC65+BG65+BQ65+AG65</f>
        <v>34727.3976608187</v>
      </c>
      <c r="BT65" s="15" t="n">
        <f aca="false">BR65-BS65</f>
        <v>0</v>
      </c>
      <c r="BU65" s="15" t="n">
        <f aca="false">BH65-(BD65+BE65-BF65-AY65)</f>
        <v>0</v>
      </c>
      <c r="BV65" s="15" t="n">
        <f aca="false">0</f>
        <v>0</v>
      </c>
    </row>
    <row r="66" customFormat="false" ht="18" hidden="false" customHeight="true" outlineLevel="0" collapsed="false">
      <c r="A66" s="68" t="n">
        <f aca="false">2</f>
        <v>2</v>
      </c>
      <c r="B66" s="68" t="n">
        <f aca="false">2</f>
        <v>2</v>
      </c>
      <c r="C66" s="18" t="n">
        <f aca="false">Motore_Operativo!C66</f>
        <v>46419</v>
      </c>
      <c r="D66" s="68" t="n">
        <f aca="false">Motore_Operativo!D66</f>
        <v>2027</v>
      </c>
      <c r="E66" s="68" t="n">
        <f aca="false">Motore_Operativo!E66</f>
        <v>2</v>
      </c>
      <c r="F66" s="15" t="n">
        <f aca="false">Motore_Operativo!AM66</f>
        <v>16210.5263157895</v>
      </c>
      <c r="G66" s="15" t="n">
        <f aca="false">Motore_Operativo!BH66</f>
        <v>1621.05263157895</v>
      </c>
      <c r="H66" s="15" t="n">
        <f aca="false">Motore_Operativo!AM66</f>
        <v>16210.5263157895</v>
      </c>
      <c r="I66" s="15" t="n">
        <f aca="false">Motore_Operativo!CB66</f>
        <v>12114.5175438596</v>
      </c>
      <c r="J66" s="15" t="n">
        <f aca="false">Motore_Operativo!CD66</f>
        <v>4096.00877192982</v>
      </c>
      <c r="K66" s="15" t="n">
        <f aca="false">Motore_Operativo!CF66</f>
        <v>250</v>
      </c>
      <c r="L66" s="15" t="n">
        <f aca="false">SUM(INDEX($K$65:$K$124,MAX(1,2-Parametri_v3!$C$59+1)):K66)/Parametri_v3!$C$59</f>
        <v>13.8888888888889</v>
      </c>
      <c r="M66" s="15" t="n">
        <f aca="false">J66-L66</f>
        <v>4082.11988304094</v>
      </c>
      <c r="N66" s="15" t="n">
        <f aca="false">0</f>
        <v>0</v>
      </c>
      <c r="O66" s="15" t="n">
        <f aca="false">0</f>
        <v>0</v>
      </c>
      <c r="P66" s="15" t="n">
        <f aca="false">M66+N66-O66</f>
        <v>4082.11988304094</v>
      </c>
      <c r="Q66" s="15" t="n">
        <f aca="false">SUM(P65:P66)+Parametri_v3!$C$56*2/12</f>
        <v>8171.18421052632</v>
      </c>
      <c r="R66" s="15" t="n">
        <f aca="false">0</f>
        <v>0</v>
      </c>
      <c r="S66" s="15" t="n">
        <f aca="false">0</f>
        <v>0</v>
      </c>
      <c r="T66" s="15" t="n">
        <f aca="false">MIN(R66,MAX(0,Q66))</f>
        <v>0</v>
      </c>
      <c r="U66" s="15" t="n">
        <f aca="false">MIN(S66,MAX(0,Q66-T66)*Parametri_v3!$C$42)</f>
        <v>0</v>
      </c>
      <c r="V66" s="15" t="n">
        <f aca="false">MAX(0,Q66-T66-U66)*Ipotesi!$C$92</f>
        <v>1961.08421052632</v>
      </c>
      <c r="W66" s="15" t="n">
        <f aca="false">MAX(0,SUM(M65:M66)+Parametri_v3!$C$57*2/12)*Ipotesi!$C$93</f>
        <v>318.676184210526</v>
      </c>
      <c r="X66" s="15" t="n">
        <f aca="false">V66+W66-(V65+W65)</f>
        <v>1138.91144736842</v>
      </c>
      <c r="Y66" s="15" t="n">
        <f aca="false">P66-X66</f>
        <v>2943.20843567251</v>
      </c>
      <c r="Z66" s="15" t="n">
        <f aca="false">R66-T66+IF(AND(Parametri_v3!$C$40=1,D66-YEAR(Parametri_v3!$C$50)&lt;Parametri_v3!$C$41),MAX(0,-Q66),0)</f>
        <v>0</v>
      </c>
      <c r="AA66" s="15" t="n">
        <f aca="false">S66-U66+IF(AND(Parametri_v3!$C$40=1,D66-YEAR(Parametri_v3!$C$50)&lt;Parametri_v3!$C$41),0,MAX(0,-Q66))</f>
        <v>0</v>
      </c>
      <c r="AB66" s="15" t="n">
        <f aca="false">F66*(1+Parametri_v3!$C$26)</f>
        <v>19776.8421052632</v>
      </c>
      <c r="AC66" s="15" t="n">
        <f aca="false">(IF(2-(INT((Motore_Operativo!L66)/30))&lt;1,0,INDEX(Motore_Advisory!$AB$65:$AB$124,MAX(1,2-(INT((Motore_Operativo!L66)/30)))))*(1-(MOD((Motore_Operativo!L66),30)/30))+IF(2-(INT((Motore_Operativo!L66)/30))-1&lt;1,0,INDEX(Motore_Advisory!$AB$65:$AB$124,MAX(1,2-(INT((Motore_Operativo!L66)/30))-1)))*(MOD((Motore_Operativo!L66),30)/30))</f>
        <v>0</v>
      </c>
      <c r="AD66" s="15" t="n">
        <f aca="false">(AD65)+AB66-AC66</f>
        <v>39553.6842105263</v>
      </c>
      <c r="AE66" s="15" t="n">
        <f aca="false">Motore_Operativo!BH66*(1+Parametri_v3!$C$26)</f>
        <v>1977.68421052632</v>
      </c>
      <c r="AF66" s="15" t="n">
        <f aca="false">(IF(2-(INT((Parametri_v3!$C$29)/30))&lt;1,0,INDEX(Motore_Operativo!$BH$65:$BH$124,MAX(1,2-(INT((Parametri_v3!$C$29)/30)))))*(1-(MOD((Parametri_v3!$C$29),30)/30))+IF(2-(INT((Parametri_v3!$C$29)/30))-1&lt;1,0,INDEX(Motore_Operativo!$BH$65:$BH$124,MAX(1,2-(INT((Parametri_v3!$C$29)/30))-1)))*(MOD((Parametri_v3!$C$29),30)/30))*(1+Parametri_v3!$C$26)</f>
        <v>1977.68421052632</v>
      </c>
      <c r="AG66" s="15" t="n">
        <f aca="false">(AG65)+AE66-AF66</f>
        <v>1977.68421052632</v>
      </c>
      <c r="AH66" s="15" t="n">
        <f aca="false">(Motore_Operativo!CK66)*(1+Parametri_v3!$C$28*Parametri_v3!$C$26)</f>
        <v>6166.3147368421</v>
      </c>
      <c r="AI66" s="15" t="n">
        <f aca="false">(IF(2-(INT((Ipotesi!$C$91)/30))&lt;1,0,INDEX(Motore_Advisory!$AH$65:$AH$124,MAX(1,2-(INT((Ipotesi!$C$91)/30)))))*(1-(MOD((Ipotesi!$C$91),30)/30))+IF(2-(INT((Ipotesi!$C$91)/30))-1&lt;1,0,INDEX(Motore_Advisory!$AH$65:$AH$124,MAX(1,2-(INT((Ipotesi!$C$91)/30))-1)))*(MOD((Ipotesi!$C$91),30)/30))</f>
        <v>0</v>
      </c>
      <c r="AJ66" s="15" t="n">
        <f aca="false">(AJ65)+AH66-AI66</f>
        <v>12332.6294736842</v>
      </c>
      <c r="AK66" s="15" t="n">
        <f aca="false">(F66- Motore_Operativo!BH66-(Motore_Operativo!CK66)*Parametri_v3!$C$28-Motore_Operativo!CF66)*Parametri_v3!$C$26</f>
        <v>2231.83438596491</v>
      </c>
      <c r="AL66" s="15" t="n">
        <f aca="false">MAX(0,(AM65))</f>
        <v>2231.83438596491</v>
      </c>
      <c r="AM66" s="15" t="n">
        <f aca="false">(AM65)+AK66-AL66</f>
        <v>2231.83438596491</v>
      </c>
      <c r="AN66" s="15" t="n">
        <f aca="false">0</f>
        <v>0</v>
      </c>
      <c r="AO66" s="15" t="n">
        <f aca="false">0</f>
        <v>0</v>
      </c>
      <c r="AP66" s="15" t="n">
        <f aca="false">MAX(0,AN66)*IF(2=Parametri_v3!$C$43,Parametri_v3!$C$45,IF(2=Parametri_v3!$C$44,1-Parametri_v3!$C$45,0))</f>
        <v>0</v>
      </c>
      <c r="AQ66" s="15" t="n">
        <f aca="false">MAX(0,AP66+IF(2=Parametri_v3!$C$43,MAX(0,AN66-AO66),0)-MAX(0,-(AR65)))</f>
        <v>0</v>
      </c>
      <c r="AR66" s="15" t="n">
        <f aca="false">(AR65)+X66-AQ66</f>
        <v>2279.76039473684</v>
      </c>
      <c r="AS66" s="15" t="n">
        <f aca="false">Motore_Operativo!AC66-AT66+AU66</f>
        <v>4987.5</v>
      </c>
      <c r="AT66" s="15" t="n">
        <f aca="false">Motore_Operativo!CI66</f>
        <v>262.5</v>
      </c>
      <c r="AU66" s="15" t="n">
        <f aca="false">MIN(MAX(0,(AV65)+AT66),Parametri_v3!$C$61/12)</f>
        <v>0</v>
      </c>
      <c r="AV66" s="15" t="n">
        <f aca="false">(AV65)+AT66-AU66</f>
        <v>525</v>
      </c>
      <c r="AW66" s="15" t="n">
        <f aca="false">IF(AND(Motore_Operativo!C66=Finanziamenti!$D$7,Finanziamenti!$F$7=1),Finanziamenti!$C$7,0)</f>
        <v>0</v>
      </c>
      <c r="AX66" s="15" t="n">
        <f aca="false">0</f>
        <v>0</v>
      </c>
      <c r="AY66" s="15" t="n">
        <f aca="false">IF(2=Parametri_v3!$C$33,IF(BV66&lt;MIN(12,$B66-1),0,MIN(MAX(0,0)*Ipotesi!$C$94,MAX(0,(0)-(BO65)-BP66),MAX(0,BD66-Parametri_v3!$C$31))),0)</f>
        <v>0</v>
      </c>
      <c r="AZ66" s="15" t="n">
        <f aca="false">0</f>
        <v>0</v>
      </c>
      <c r="BA66" s="15" t="n">
        <f aca="false">0</f>
        <v>0</v>
      </c>
      <c r="BB66" s="15" t="n">
        <f aca="false">0</f>
        <v>0</v>
      </c>
      <c r="BC66" s="15" t="n">
        <f aca="false">0</f>
        <v>0</v>
      </c>
      <c r="BD66" s="15" t="n">
        <f aca="false">(BH65)+AC66-AF66-AI66-AS66-K66*(1+Parametri_v3!$C$26)-AL66-AQ66-O66+AW66+AX66+AZ66+BA66-BB66</f>
        <v>5205.48140350877</v>
      </c>
      <c r="BE66" s="15" t="n">
        <f aca="false">0</f>
        <v>0</v>
      </c>
      <c r="BF66" s="15" t="n">
        <f aca="false">0</f>
        <v>0</v>
      </c>
      <c r="BG66" s="15" t="n">
        <f aca="false">0</f>
        <v>0</v>
      </c>
      <c r="BH66" s="15" t="n">
        <f aca="false">BD66+BE66-BF66-AY66</f>
        <v>5205.48140350877</v>
      </c>
      <c r="BI66" s="15" t="n">
        <f aca="false">MAX(0,Parametri_v3!$C$31-BH66)</f>
        <v>4794.51859649123</v>
      </c>
      <c r="BJ66" s="15" t="n">
        <f aca="false">(BJ65)+K66</f>
        <v>500</v>
      </c>
      <c r="BK66" s="15" t="n">
        <f aca="false">(BK65)+L66</f>
        <v>20.8333333333333</v>
      </c>
      <c r="BL66" s="15" t="n">
        <f aca="false">BJ66-BK66</f>
        <v>479.166666666667</v>
      </c>
      <c r="BM66" s="15" t="n">
        <f aca="false">(BM65)+Y66</f>
        <v>5891.42381578947</v>
      </c>
      <c r="BN66" s="15" t="n">
        <f aca="false">(BN65)+AW66+AX66+AZ66</f>
        <v>20000</v>
      </c>
      <c r="BO66" s="15" t="n">
        <f aca="false">(BO65)+AY66</f>
        <v>0</v>
      </c>
      <c r="BP66" s="15" t="n">
        <f aca="false">MIN(Parametri_v3!$C$36*Parametri_v3!$C$35,(BP65)+IF(2=1,MAX(0,0)*Parametri_v3!$C$34,0))</f>
        <v>0</v>
      </c>
      <c r="BQ66" s="15" t="n">
        <f aca="false">BN66+BM66-BO66</f>
        <v>25891.4238157895</v>
      </c>
      <c r="BR66" s="15" t="n">
        <f aca="false">BH66+AD66+BL66+MAX(0,-AM66)+MAX(0,-AR66)</f>
        <v>45238.3322807018</v>
      </c>
      <c r="BS66" s="15" t="n">
        <f aca="false">AJ66+AV66+MAX(0,AM66)+MAX(0,AR66)+BC66+BG66+BQ66+AG66</f>
        <v>45238.3322807018</v>
      </c>
      <c r="BT66" s="15" t="n">
        <f aca="false">BR66-BS66</f>
        <v>0</v>
      </c>
      <c r="BU66" s="15" t="n">
        <f aca="false">BH66-(BD66+BE66-BF66-AY66)</f>
        <v>0</v>
      </c>
      <c r="BV66" s="15" t="n">
        <f aca="false">IF(BH65&lt;Parametri_v3!$C$31,0,BV65+1)</f>
        <v>1</v>
      </c>
    </row>
    <row r="67" customFormat="false" ht="18" hidden="false" customHeight="true" outlineLevel="0" collapsed="false">
      <c r="A67" s="68" t="n">
        <f aca="false">2</f>
        <v>2</v>
      </c>
      <c r="B67" s="68" t="n">
        <f aca="false">3</f>
        <v>3</v>
      </c>
      <c r="C67" s="18" t="n">
        <f aca="false">Motore_Operativo!C67</f>
        <v>46447</v>
      </c>
      <c r="D67" s="68" t="n">
        <f aca="false">Motore_Operativo!D67</f>
        <v>2027</v>
      </c>
      <c r="E67" s="68" t="n">
        <f aca="false">Motore_Operativo!E67</f>
        <v>3</v>
      </c>
      <c r="F67" s="15" t="n">
        <f aca="false">Motore_Operativo!AM67</f>
        <v>16210.5263157895</v>
      </c>
      <c r="G67" s="15" t="n">
        <f aca="false">Motore_Operativo!BH67</f>
        <v>1621.05263157895</v>
      </c>
      <c r="H67" s="15" t="n">
        <f aca="false">Motore_Operativo!AM67</f>
        <v>16210.5263157895</v>
      </c>
      <c r="I67" s="15" t="n">
        <f aca="false">Motore_Operativo!CB67</f>
        <v>12114.5175438596</v>
      </c>
      <c r="J67" s="15" t="n">
        <f aca="false">Motore_Operativo!CD67</f>
        <v>4096.00877192982</v>
      </c>
      <c r="K67" s="15" t="n">
        <f aca="false">Motore_Operativo!CF67</f>
        <v>250</v>
      </c>
      <c r="L67" s="15" t="n">
        <f aca="false">SUM(INDEX($K$65:$K$124,MAX(1,3-Parametri_v3!$C$59+1)):K67)/Parametri_v3!$C$59</f>
        <v>20.8333333333333</v>
      </c>
      <c r="M67" s="15" t="n">
        <f aca="false">J67-L67</f>
        <v>4075.17543859649</v>
      </c>
      <c r="N67" s="15" t="n">
        <f aca="false">0</f>
        <v>0</v>
      </c>
      <c r="O67" s="15" t="n">
        <f aca="false">0</f>
        <v>0</v>
      </c>
      <c r="P67" s="15" t="n">
        <f aca="false">M67+N67-O67</f>
        <v>4075.17543859649</v>
      </c>
      <c r="Q67" s="15" t="n">
        <f aca="false">SUM(P65:P67)+Parametri_v3!$C$56*3/12</f>
        <v>12246.3596491228</v>
      </c>
      <c r="R67" s="15" t="n">
        <f aca="false">0</f>
        <v>0</v>
      </c>
      <c r="S67" s="15" t="n">
        <f aca="false">0</f>
        <v>0</v>
      </c>
      <c r="T67" s="15" t="n">
        <f aca="false">MIN(R67,MAX(0,Q67))</f>
        <v>0</v>
      </c>
      <c r="U67" s="15" t="n">
        <f aca="false">MIN(S67,MAX(0,Q67-T67)*Parametri_v3!$C$42)</f>
        <v>0</v>
      </c>
      <c r="V67" s="15" t="n">
        <f aca="false">MAX(0,Q67-T67-U67)*Ipotesi!$C$92</f>
        <v>2939.12631578947</v>
      </c>
      <c r="W67" s="15" t="n">
        <f aca="false">MAX(0,SUM(M65:M67)+Parametri_v3!$C$57*3/12)*Ipotesi!$C$93</f>
        <v>477.608026315789</v>
      </c>
      <c r="X67" s="15" t="n">
        <f aca="false">V67+W67-(V66+W66)</f>
        <v>1136.97394736842</v>
      </c>
      <c r="Y67" s="15" t="n">
        <f aca="false">P67-X67</f>
        <v>2938.20149122807</v>
      </c>
      <c r="Z67" s="15" t="n">
        <f aca="false">R67-T67+IF(AND(Parametri_v3!$C$40=1,D67-YEAR(Parametri_v3!$C$50)&lt;Parametri_v3!$C$41),MAX(0,-Q67),0)</f>
        <v>0</v>
      </c>
      <c r="AA67" s="15" t="n">
        <f aca="false">S67-U67+IF(AND(Parametri_v3!$C$40=1,D67-YEAR(Parametri_v3!$C$50)&lt;Parametri_v3!$C$41),0,MAX(0,-Q67))</f>
        <v>0</v>
      </c>
      <c r="AB67" s="15" t="n">
        <f aca="false">F67*(1+Parametri_v3!$C$26)</f>
        <v>19776.8421052632</v>
      </c>
      <c r="AC67" s="15" t="n">
        <f aca="false">(IF(3-(INT((Motore_Operativo!L67)/30))&lt;1,0,INDEX(Motore_Advisory!$AB$65:$AB$124,MAX(1,3-(INT((Motore_Operativo!L67)/30)))))*(1-(MOD((Motore_Operativo!L67),30)/30))+IF(3-(INT((Motore_Operativo!L67)/30))-1&lt;1,0,INDEX(Motore_Advisory!$AB$65:$AB$124,MAX(1,3-(INT((Motore_Operativo!L67)/30))-1)))*(MOD((Motore_Operativo!L67),30)/30))</f>
        <v>0</v>
      </c>
      <c r="AD67" s="15" t="n">
        <f aca="false">(AD66)+AB67-AC67</f>
        <v>59330.5263157895</v>
      </c>
      <c r="AE67" s="15" t="n">
        <f aca="false">Motore_Operativo!BH67*(1+Parametri_v3!$C$26)</f>
        <v>1977.68421052632</v>
      </c>
      <c r="AF67" s="15" t="n">
        <f aca="false">(IF(3-(INT((Parametri_v3!$C$29)/30))&lt;1,0,INDEX(Motore_Operativo!$BH$65:$BH$124,MAX(1,3-(INT((Parametri_v3!$C$29)/30)))))*(1-(MOD((Parametri_v3!$C$29),30)/30))+IF(3-(INT((Parametri_v3!$C$29)/30))-1&lt;1,0,INDEX(Motore_Operativo!$BH$65:$BH$124,MAX(1,3-(INT((Parametri_v3!$C$29)/30))-1)))*(MOD((Parametri_v3!$C$29),30)/30))*(1+Parametri_v3!$C$26)</f>
        <v>1977.68421052632</v>
      </c>
      <c r="AG67" s="15" t="n">
        <f aca="false">(AG66)+AE67-AF67</f>
        <v>1977.68421052632</v>
      </c>
      <c r="AH67" s="15" t="n">
        <f aca="false">(Motore_Operativo!CK67)*(1+Parametri_v3!$C$28*Parametri_v3!$C$26)</f>
        <v>6166.3147368421</v>
      </c>
      <c r="AI67" s="15" t="n">
        <f aca="false">(IF(3-(INT((Ipotesi!$C$91)/30))&lt;1,0,INDEX(Motore_Advisory!$AH$65:$AH$124,MAX(1,3-(INT((Ipotesi!$C$91)/30)))))*(1-(MOD((Ipotesi!$C$91),30)/30))+IF(3-(INT((Ipotesi!$C$91)/30))-1&lt;1,0,INDEX(Motore_Advisory!$AH$65:$AH$124,MAX(1,3-(INT((Ipotesi!$C$91)/30))-1)))*(MOD((Ipotesi!$C$91),30)/30))</f>
        <v>6166.3147368421</v>
      </c>
      <c r="AJ67" s="15" t="n">
        <f aca="false">(AJ66)+AH67-AI67</f>
        <v>12332.6294736842</v>
      </c>
      <c r="AK67" s="15" t="n">
        <f aca="false">(F67- Motore_Operativo!BH67-(Motore_Operativo!CK67)*Parametri_v3!$C$28-Motore_Operativo!CF67)*Parametri_v3!$C$26</f>
        <v>2231.83438596491</v>
      </c>
      <c r="AL67" s="15" t="n">
        <f aca="false">MAX(0,(AM66))</f>
        <v>2231.83438596491</v>
      </c>
      <c r="AM67" s="15" t="n">
        <f aca="false">(AM66)+AK67-AL67</f>
        <v>2231.83438596491</v>
      </c>
      <c r="AN67" s="15" t="n">
        <f aca="false">0</f>
        <v>0</v>
      </c>
      <c r="AO67" s="15" t="n">
        <f aca="false">0</f>
        <v>0</v>
      </c>
      <c r="AP67" s="15" t="n">
        <f aca="false">MAX(0,AN67)*IF(3=Parametri_v3!$C$43,Parametri_v3!$C$45,IF(3=Parametri_v3!$C$44,1-Parametri_v3!$C$45,0))</f>
        <v>0</v>
      </c>
      <c r="AQ67" s="15" t="n">
        <f aca="false">MAX(0,AP67+IF(3=Parametri_v3!$C$43,MAX(0,AN67-AO67),0)-MAX(0,-(AR66)))</f>
        <v>0</v>
      </c>
      <c r="AR67" s="15" t="n">
        <f aca="false">(AR66)+X67-AQ67</f>
        <v>3416.73434210526</v>
      </c>
      <c r="AS67" s="15" t="n">
        <f aca="false">Motore_Operativo!AC67-AT67+AU67</f>
        <v>4987.5</v>
      </c>
      <c r="AT67" s="15" t="n">
        <f aca="false">Motore_Operativo!CI67</f>
        <v>262.5</v>
      </c>
      <c r="AU67" s="15" t="n">
        <f aca="false">MIN(MAX(0,(AV66)+AT67),Parametri_v3!$C$61/12)</f>
        <v>0</v>
      </c>
      <c r="AV67" s="15" t="n">
        <f aca="false">(AV66)+AT67-AU67</f>
        <v>787.5</v>
      </c>
      <c r="AW67" s="15" t="n">
        <f aca="false">IF(AND(Motore_Operativo!C67=Finanziamenti!$D$7,Finanziamenti!$F$7=1),Finanziamenti!$C$7,0)</f>
        <v>0</v>
      </c>
      <c r="AX67" s="15" t="n">
        <f aca="false">0</f>
        <v>0</v>
      </c>
      <c r="AY67" s="15" t="n">
        <f aca="false">IF(3=Parametri_v3!$C$33,IF(BV67&lt;MIN(12,$B67-1),0,MIN(MAX(0,0)*Ipotesi!$C$94,MAX(0,(0)-(BO66)-BP67),MAX(0,BD67-Parametri_v3!$C$31))),0)</f>
        <v>0</v>
      </c>
      <c r="AZ67" s="15" t="n">
        <f aca="false">0</f>
        <v>0</v>
      </c>
      <c r="BA67" s="15" t="n">
        <f aca="false">0</f>
        <v>0</v>
      </c>
      <c r="BB67" s="15" t="n">
        <f aca="false">0</f>
        <v>0</v>
      </c>
      <c r="BC67" s="15" t="n">
        <f aca="false">0</f>
        <v>0</v>
      </c>
      <c r="BD67" s="15" t="n">
        <f aca="false">(BH66)+AC67-AF67-AI67-AS67-K67*(1+Parametri_v3!$C$26)-AL67-AQ67-O67+AW67+AX67+AZ67+BA67-BB67</f>
        <v>-10462.8519298246</v>
      </c>
      <c r="BE67" s="15" t="n">
        <f aca="false">0</f>
        <v>0</v>
      </c>
      <c r="BF67" s="15" t="n">
        <f aca="false">0</f>
        <v>0</v>
      </c>
      <c r="BG67" s="15" t="n">
        <f aca="false">0</f>
        <v>0</v>
      </c>
      <c r="BH67" s="15" t="n">
        <f aca="false">BD67+BE67-BF67-AY67</f>
        <v>-10462.8519298246</v>
      </c>
      <c r="BI67" s="15" t="n">
        <f aca="false">MAX(0,Parametri_v3!$C$31-BH67)</f>
        <v>20462.8519298246</v>
      </c>
      <c r="BJ67" s="15" t="n">
        <f aca="false">(BJ66)+K67</f>
        <v>750</v>
      </c>
      <c r="BK67" s="15" t="n">
        <f aca="false">(BK66)+L67</f>
        <v>41.6666666666667</v>
      </c>
      <c r="BL67" s="15" t="n">
        <f aca="false">BJ67-BK67</f>
        <v>708.333333333333</v>
      </c>
      <c r="BM67" s="15" t="n">
        <f aca="false">(BM66)+Y67</f>
        <v>8829.62530701754</v>
      </c>
      <c r="BN67" s="15" t="n">
        <f aca="false">(BN66)+AW67+AX67+AZ67</f>
        <v>20000</v>
      </c>
      <c r="BO67" s="15" t="n">
        <f aca="false">(BO66)+AY67</f>
        <v>0</v>
      </c>
      <c r="BP67" s="15" t="n">
        <f aca="false">MIN(Parametri_v3!$C$36*Parametri_v3!$C$35,(BP66)+IF(3=1,MAX(0,0)*Parametri_v3!$C$34,0))</f>
        <v>0</v>
      </c>
      <c r="BQ67" s="15" t="n">
        <f aca="false">BN67+BM67-BO67</f>
        <v>28829.6253070175</v>
      </c>
      <c r="BR67" s="15" t="n">
        <f aca="false">BH67+AD67+BL67+MAX(0,-AM67)+MAX(0,-AR67)</f>
        <v>49576.0077192982</v>
      </c>
      <c r="BS67" s="15" t="n">
        <f aca="false">AJ67+AV67+MAX(0,AM67)+MAX(0,AR67)+BC67+BG67+BQ67+AG67</f>
        <v>49576.0077192982</v>
      </c>
      <c r="BT67" s="15" t="n">
        <f aca="false">BR67-BS67</f>
        <v>0</v>
      </c>
      <c r="BU67" s="15" t="n">
        <f aca="false">BH67-(BD67+BE67-BF67-AY67)</f>
        <v>0</v>
      </c>
      <c r="BV67" s="15" t="n">
        <f aca="false">IF(BH66&lt;Parametri_v3!$C$31,0,BV66+1)</f>
        <v>0</v>
      </c>
    </row>
    <row r="68" customFormat="false" ht="18" hidden="false" customHeight="true" outlineLevel="0" collapsed="false">
      <c r="A68" s="68" t="n">
        <f aca="false">2</f>
        <v>2</v>
      </c>
      <c r="B68" s="68" t="n">
        <f aca="false">4</f>
        <v>4</v>
      </c>
      <c r="C68" s="18" t="n">
        <f aca="false">Motore_Operativo!C68</f>
        <v>46478</v>
      </c>
      <c r="D68" s="68" t="n">
        <f aca="false">Motore_Operativo!D68</f>
        <v>2027</v>
      </c>
      <c r="E68" s="68" t="n">
        <f aca="false">Motore_Operativo!E68</f>
        <v>4</v>
      </c>
      <c r="F68" s="15" t="n">
        <f aca="false">Motore_Operativo!AM68</f>
        <v>16210.5263157895</v>
      </c>
      <c r="G68" s="15" t="n">
        <f aca="false">Motore_Operativo!BH68</f>
        <v>1621.05263157895</v>
      </c>
      <c r="H68" s="15" t="n">
        <f aca="false">Motore_Operativo!AM68</f>
        <v>16210.5263157895</v>
      </c>
      <c r="I68" s="15" t="n">
        <f aca="false">Motore_Operativo!CB68</f>
        <v>12114.5175438596</v>
      </c>
      <c r="J68" s="15" t="n">
        <f aca="false">Motore_Operativo!CD68</f>
        <v>4096.00877192982</v>
      </c>
      <c r="K68" s="15" t="n">
        <f aca="false">Motore_Operativo!CF68</f>
        <v>250</v>
      </c>
      <c r="L68" s="15" t="n">
        <f aca="false">SUM(INDEX($K$65:$K$124,MAX(1,4-Parametri_v3!$C$59+1)):K68)/Parametri_v3!$C$59</f>
        <v>27.7777777777778</v>
      </c>
      <c r="M68" s="15" t="n">
        <f aca="false">J68-L68</f>
        <v>4068.23099415205</v>
      </c>
      <c r="N68" s="15" t="n">
        <f aca="false">0</f>
        <v>0</v>
      </c>
      <c r="O68" s="15" t="n">
        <f aca="false">0</f>
        <v>0</v>
      </c>
      <c r="P68" s="15" t="n">
        <f aca="false">M68+N68-O68</f>
        <v>4068.23099415205</v>
      </c>
      <c r="Q68" s="15" t="n">
        <f aca="false">SUM(P65:P68)+Parametri_v3!$C$56*4/12</f>
        <v>16314.5906432749</v>
      </c>
      <c r="R68" s="15" t="n">
        <f aca="false">0</f>
        <v>0</v>
      </c>
      <c r="S68" s="15" t="n">
        <f aca="false">0</f>
        <v>0</v>
      </c>
      <c r="T68" s="15" t="n">
        <f aca="false">MIN(R68,MAX(0,Q68))</f>
        <v>0</v>
      </c>
      <c r="U68" s="15" t="n">
        <f aca="false">MIN(S68,MAX(0,Q68-T68)*Parametri_v3!$C$42)</f>
        <v>0</v>
      </c>
      <c r="V68" s="15" t="n">
        <f aca="false">MAX(0,Q68-T68-U68)*Ipotesi!$C$92</f>
        <v>3915.50175438597</v>
      </c>
      <c r="W68" s="15" t="n">
        <f aca="false">MAX(0,SUM(M65:M68)+Parametri_v3!$C$57*4/12)*Ipotesi!$C$93</f>
        <v>636.269035087719</v>
      </c>
      <c r="X68" s="15" t="n">
        <f aca="false">V68+W68-(V67+W67)</f>
        <v>1135.03644736842</v>
      </c>
      <c r="Y68" s="15" t="n">
        <f aca="false">P68-X68</f>
        <v>2933.19454678363</v>
      </c>
      <c r="Z68" s="15" t="n">
        <f aca="false">R68-T68+IF(AND(Parametri_v3!$C$40=1,D68-YEAR(Parametri_v3!$C$50)&lt;Parametri_v3!$C$41),MAX(0,-Q68),0)</f>
        <v>0</v>
      </c>
      <c r="AA68" s="15" t="n">
        <f aca="false">S68-U68+IF(AND(Parametri_v3!$C$40=1,D68-YEAR(Parametri_v3!$C$50)&lt;Parametri_v3!$C$41),0,MAX(0,-Q68))</f>
        <v>0</v>
      </c>
      <c r="AB68" s="15" t="n">
        <f aca="false">F68*(1+Parametri_v3!$C$26)</f>
        <v>19776.8421052632</v>
      </c>
      <c r="AC68" s="15" t="n">
        <f aca="false">(IF(4-(INT((Motore_Operativo!L68)/30))&lt;1,0,INDEX(Motore_Advisory!$AB$65:$AB$124,MAX(1,4-(INT((Motore_Operativo!L68)/30)))))*(1-(MOD((Motore_Operativo!L68),30)/30))+IF(4-(INT((Motore_Operativo!L68)/30))-1&lt;1,0,INDEX(Motore_Advisory!$AB$65:$AB$124,MAX(1,4-(INT((Motore_Operativo!L68)/30))-1)))*(MOD((Motore_Operativo!L68),30)/30))</f>
        <v>19776.8421052632</v>
      </c>
      <c r="AD68" s="15" t="n">
        <f aca="false">(AD67)+AB68-AC68</f>
        <v>59330.5263157895</v>
      </c>
      <c r="AE68" s="15" t="n">
        <f aca="false">Motore_Operativo!BH68*(1+Parametri_v3!$C$26)</f>
        <v>1977.68421052632</v>
      </c>
      <c r="AF68" s="15" t="n">
        <f aca="false">(IF(4-(INT((Parametri_v3!$C$29)/30))&lt;1,0,INDEX(Motore_Operativo!$BH$65:$BH$124,MAX(1,4-(INT((Parametri_v3!$C$29)/30)))))*(1-(MOD((Parametri_v3!$C$29),30)/30))+IF(4-(INT((Parametri_v3!$C$29)/30))-1&lt;1,0,INDEX(Motore_Operativo!$BH$65:$BH$124,MAX(1,4-(INT((Parametri_v3!$C$29)/30))-1)))*(MOD((Parametri_v3!$C$29),30)/30))*(1+Parametri_v3!$C$26)</f>
        <v>1977.68421052632</v>
      </c>
      <c r="AG68" s="15" t="n">
        <f aca="false">(AG67)+AE68-AF68</f>
        <v>1977.68421052632</v>
      </c>
      <c r="AH68" s="15" t="n">
        <f aca="false">(Motore_Operativo!CK68)*(1+Parametri_v3!$C$28*Parametri_v3!$C$26)</f>
        <v>6166.3147368421</v>
      </c>
      <c r="AI68" s="15" t="n">
        <f aca="false">(IF(4-(INT((Ipotesi!$C$91)/30))&lt;1,0,INDEX(Motore_Advisory!$AH$65:$AH$124,MAX(1,4-(INT((Ipotesi!$C$91)/30)))))*(1-(MOD((Ipotesi!$C$91),30)/30))+IF(4-(INT((Ipotesi!$C$91)/30))-1&lt;1,0,INDEX(Motore_Advisory!$AH$65:$AH$124,MAX(1,4-(INT((Ipotesi!$C$91)/30))-1)))*(MOD((Ipotesi!$C$91),30)/30))</f>
        <v>6166.3147368421</v>
      </c>
      <c r="AJ68" s="15" t="n">
        <f aca="false">(AJ67)+AH68-AI68</f>
        <v>12332.6294736842</v>
      </c>
      <c r="AK68" s="15" t="n">
        <f aca="false">(F68- Motore_Operativo!BH68-(Motore_Operativo!CK68)*Parametri_v3!$C$28-Motore_Operativo!CF68)*Parametri_v3!$C$26</f>
        <v>2231.83438596491</v>
      </c>
      <c r="AL68" s="15" t="n">
        <f aca="false">MAX(0,(AM67))</f>
        <v>2231.83438596491</v>
      </c>
      <c r="AM68" s="15" t="n">
        <f aca="false">(AM67)+AK68-AL68</f>
        <v>2231.83438596491</v>
      </c>
      <c r="AN68" s="15" t="n">
        <f aca="false">0</f>
        <v>0</v>
      </c>
      <c r="AO68" s="15" t="n">
        <f aca="false">0</f>
        <v>0</v>
      </c>
      <c r="AP68" s="15" t="n">
        <f aca="false">MAX(0,AN68)*IF(4=Parametri_v3!$C$43,Parametri_v3!$C$45,IF(4=Parametri_v3!$C$44,1-Parametri_v3!$C$45,0))</f>
        <v>0</v>
      </c>
      <c r="AQ68" s="15" t="n">
        <f aca="false">MAX(0,AP68+IF(4=Parametri_v3!$C$43,MAX(0,AN68-AO68),0)-MAX(0,-(AR67)))</f>
        <v>0</v>
      </c>
      <c r="AR68" s="15" t="n">
        <f aca="false">(AR67)+X68-AQ68</f>
        <v>4551.77078947368</v>
      </c>
      <c r="AS68" s="15" t="n">
        <f aca="false">Motore_Operativo!AC68-AT68+AU68</f>
        <v>4987.5</v>
      </c>
      <c r="AT68" s="15" t="n">
        <f aca="false">Motore_Operativo!CI68</f>
        <v>262.5</v>
      </c>
      <c r="AU68" s="15" t="n">
        <f aca="false">MIN(MAX(0,(AV67)+AT68),Parametri_v3!$C$61/12)</f>
        <v>0</v>
      </c>
      <c r="AV68" s="15" t="n">
        <f aca="false">(AV67)+AT68-AU68</f>
        <v>1050</v>
      </c>
      <c r="AW68" s="15" t="n">
        <f aca="false">IF(AND(Motore_Operativo!C68=Finanziamenti!$D$7,Finanziamenti!$F$7=1),Finanziamenti!$C$7,0)</f>
        <v>0</v>
      </c>
      <c r="AX68" s="15" t="n">
        <f aca="false">0</f>
        <v>0</v>
      </c>
      <c r="AY68" s="15" t="n">
        <f aca="false">IF(4=Parametri_v3!$C$33,IF(BV68&lt;MIN(12,$B68-1),0,MIN(MAX(0,0)*Ipotesi!$C$94,MAX(0,(0)-(BO67)-BP68),MAX(0,BD68-Parametri_v3!$C$31))),0)</f>
        <v>0</v>
      </c>
      <c r="AZ68" s="15" t="n">
        <f aca="false">0</f>
        <v>0</v>
      </c>
      <c r="BA68" s="15" t="n">
        <f aca="false">0</f>
        <v>0</v>
      </c>
      <c r="BB68" s="15" t="n">
        <f aca="false">0</f>
        <v>0</v>
      </c>
      <c r="BC68" s="15" t="n">
        <f aca="false">0</f>
        <v>0</v>
      </c>
      <c r="BD68" s="15" t="n">
        <f aca="false">(BH67)+AC68-AF68-AI68-AS68-K68*(1+Parametri_v3!$C$26)-AL68-AQ68-O68+AW68+AX68+AZ68+BA68-BB68</f>
        <v>-6354.34315789474</v>
      </c>
      <c r="BE68" s="15" t="n">
        <f aca="false">0</f>
        <v>0</v>
      </c>
      <c r="BF68" s="15" t="n">
        <f aca="false">0</f>
        <v>0</v>
      </c>
      <c r="BG68" s="15" t="n">
        <f aca="false">0</f>
        <v>0</v>
      </c>
      <c r="BH68" s="15" t="n">
        <f aca="false">BD68+BE68-BF68-AY68</f>
        <v>-6354.34315789474</v>
      </c>
      <c r="BI68" s="15" t="n">
        <f aca="false">MAX(0,Parametri_v3!$C$31-BH68)</f>
        <v>16354.3431578947</v>
      </c>
      <c r="BJ68" s="15" t="n">
        <f aca="false">(BJ67)+K68</f>
        <v>1000</v>
      </c>
      <c r="BK68" s="15" t="n">
        <f aca="false">(BK67)+L68</f>
        <v>69.4444444444445</v>
      </c>
      <c r="BL68" s="15" t="n">
        <f aca="false">BJ68-BK68</f>
        <v>930.555555555556</v>
      </c>
      <c r="BM68" s="15" t="n">
        <f aca="false">(BM67)+Y68</f>
        <v>11762.8198538012</v>
      </c>
      <c r="BN68" s="15" t="n">
        <f aca="false">(BN67)+AW68+AX68+AZ68</f>
        <v>20000</v>
      </c>
      <c r="BO68" s="15" t="n">
        <f aca="false">(BO67)+AY68</f>
        <v>0</v>
      </c>
      <c r="BP68" s="15" t="n">
        <f aca="false">MIN(Parametri_v3!$C$36*Parametri_v3!$C$35,(BP67)+IF(4=1,MAX(0,0)*Parametri_v3!$C$34,0))</f>
        <v>0</v>
      </c>
      <c r="BQ68" s="15" t="n">
        <f aca="false">BN68+BM68-BO68</f>
        <v>31762.8198538012</v>
      </c>
      <c r="BR68" s="15" t="n">
        <f aca="false">BH68+AD68+BL68+MAX(0,-AM68)+MAX(0,-AR68)</f>
        <v>53906.7387134503</v>
      </c>
      <c r="BS68" s="15" t="n">
        <f aca="false">AJ68+AV68+MAX(0,AM68)+MAX(0,AR68)+BC68+BG68+BQ68+AG68</f>
        <v>53906.7387134503</v>
      </c>
      <c r="BT68" s="15" t="n">
        <f aca="false">BR68-BS68</f>
        <v>0</v>
      </c>
      <c r="BU68" s="15" t="n">
        <f aca="false">BH68-(BD68+BE68-BF68-AY68)</f>
        <v>0</v>
      </c>
      <c r="BV68" s="15" t="n">
        <f aca="false">IF(BH67&lt;Parametri_v3!$C$31,0,BV67+1)</f>
        <v>0</v>
      </c>
    </row>
    <row r="69" customFormat="false" ht="18" hidden="false" customHeight="true" outlineLevel="0" collapsed="false">
      <c r="A69" s="68" t="n">
        <f aca="false">2</f>
        <v>2</v>
      </c>
      <c r="B69" s="68" t="n">
        <f aca="false">5</f>
        <v>5</v>
      </c>
      <c r="C69" s="18" t="n">
        <f aca="false">Motore_Operativo!C69</f>
        <v>46508</v>
      </c>
      <c r="D69" s="68" t="n">
        <f aca="false">Motore_Operativo!D69</f>
        <v>2027</v>
      </c>
      <c r="E69" s="68" t="n">
        <f aca="false">Motore_Operativo!E69</f>
        <v>5</v>
      </c>
      <c r="F69" s="15" t="n">
        <f aca="false">Motore_Operativo!AM69</f>
        <v>16210.5263157895</v>
      </c>
      <c r="G69" s="15" t="n">
        <f aca="false">Motore_Operativo!BH69</f>
        <v>1621.05263157895</v>
      </c>
      <c r="H69" s="15" t="n">
        <f aca="false">Motore_Operativo!AM69</f>
        <v>16210.5263157895</v>
      </c>
      <c r="I69" s="15" t="n">
        <f aca="false">Motore_Operativo!CB69</f>
        <v>12114.5175438596</v>
      </c>
      <c r="J69" s="15" t="n">
        <f aca="false">Motore_Operativo!CD69</f>
        <v>4096.00877192982</v>
      </c>
      <c r="K69" s="15" t="n">
        <f aca="false">Motore_Operativo!CF69</f>
        <v>250</v>
      </c>
      <c r="L69" s="15" t="n">
        <f aca="false">SUM(INDEX($K$65:$K$124,MAX(1,5-Parametri_v3!$C$59+1)):K69)/Parametri_v3!$C$59</f>
        <v>34.7222222222222</v>
      </c>
      <c r="M69" s="15" t="n">
        <f aca="false">J69-L69</f>
        <v>4061.2865497076</v>
      </c>
      <c r="N69" s="15" t="n">
        <f aca="false">0</f>
        <v>0</v>
      </c>
      <c r="O69" s="15" t="n">
        <f aca="false">0</f>
        <v>0</v>
      </c>
      <c r="P69" s="15" t="n">
        <f aca="false">M69+N69-O69</f>
        <v>4061.2865497076</v>
      </c>
      <c r="Q69" s="15" t="n">
        <f aca="false">SUM(P65:P69)+Parametri_v3!$C$56*5/12</f>
        <v>20375.8771929825</v>
      </c>
      <c r="R69" s="15" t="n">
        <f aca="false">0</f>
        <v>0</v>
      </c>
      <c r="S69" s="15" t="n">
        <f aca="false">0</f>
        <v>0</v>
      </c>
      <c r="T69" s="15" t="n">
        <f aca="false">MIN(R69,MAX(0,Q69))</f>
        <v>0</v>
      </c>
      <c r="U69" s="15" t="n">
        <f aca="false">MIN(S69,MAX(0,Q69-T69)*Parametri_v3!$C$42)</f>
        <v>0</v>
      </c>
      <c r="V69" s="15" t="n">
        <f aca="false">MAX(0,Q69-T69-U69)*Ipotesi!$C$92</f>
        <v>4890.21052631579</v>
      </c>
      <c r="W69" s="15" t="n">
        <f aca="false">MAX(0,SUM(M65:M69)+Parametri_v3!$C$57*5/12)*Ipotesi!$C$93</f>
        <v>794.659210526316</v>
      </c>
      <c r="X69" s="15" t="n">
        <f aca="false">V69+W69-(V68+W68)</f>
        <v>1133.09894736842</v>
      </c>
      <c r="Y69" s="15" t="n">
        <f aca="false">P69-X69</f>
        <v>2928.18760233918</v>
      </c>
      <c r="Z69" s="15" t="n">
        <f aca="false">R69-T69+IF(AND(Parametri_v3!$C$40=1,D69-YEAR(Parametri_v3!$C$50)&lt;Parametri_v3!$C$41),MAX(0,-Q69),0)</f>
        <v>0</v>
      </c>
      <c r="AA69" s="15" t="n">
        <f aca="false">S69-U69+IF(AND(Parametri_v3!$C$40=1,D69-YEAR(Parametri_v3!$C$50)&lt;Parametri_v3!$C$41),0,MAX(0,-Q69))</f>
        <v>0</v>
      </c>
      <c r="AB69" s="15" t="n">
        <f aca="false">F69*(1+Parametri_v3!$C$26)</f>
        <v>19776.8421052632</v>
      </c>
      <c r="AC69" s="15" t="n">
        <f aca="false">(IF(5-(INT((Motore_Operativo!L69)/30))&lt;1,0,INDEX(Motore_Advisory!$AB$65:$AB$124,MAX(1,5-(INT((Motore_Operativo!L69)/30)))))*(1-(MOD((Motore_Operativo!L69),30)/30))+IF(5-(INT((Motore_Operativo!L69)/30))-1&lt;1,0,INDEX(Motore_Advisory!$AB$65:$AB$124,MAX(1,5-(INT((Motore_Operativo!L69)/30))-1)))*(MOD((Motore_Operativo!L69),30)/30))</f>
        <v>19776.8421052632</v>
      </c>
      <c r="AD69" s="15" t="n">
        <f aca="false">(AD68)+AB69-AC69</f>
        <v>59330.5263157895</v>
      </c>
      <c r="AE69" s="15" t="n">
        <f aca="false">Motore_Operativo!BH69*(1+Parametri_v3!$C$26)</f>
        <v>1977.68421052632</v>
      </c>
      <c r="AF69" s="15" t="n">
        <f aca="false">(IF(5-(INT((Parametri_v3!$C$29)/30))&lt;1,0,INDEX(Motore_Operativo!$BH$65:$BH$124,MAX(1,5-(INT((Parametri_v3!$C$29)/30)))))*(1-(MOD((Parametri_v3!$C$29),30)/30))+IF(5-(INT((Parametri_v3!$C$29)/30))-1&lt;1,0,INDEX(Motore_Operativo!$BH$65:$BH$124,MAX(1,5-(INT((Parametri_v3!$C$29)/30))-1)))*(MOD((Parametri_v3!$C$29),30)/30))*(1+Parametri_v3!$C$26)</f>
        <v>1977.68421052632</v>
      </c>
      <c r="AG69" s="15" t="n">
        <f aca="false">(AG68)+AE69-AF69</f>
        <v>1977.68421052632</v>
      </c>
      <c r="AH69" s="15" t="n">
        <f aca="false">(Motore_Operativo!CK69)*(1+Parametri_v3!$C$28*Parametri_v3!$C$26)</f>
        <v>6166.3147368421</v>
      </c>
      <c r="AI69" s="15" t="n">
        <f aca="false">(IF(5-(INT((Ipotesi!$C$91)/30))&lt;1,0,INDEX(Motore_Advisory!$AH$65:$AH$124,MAX(1,5-(INT((Ipotesi!$C$91)/30)))))*(1-(MOD((Ipotesi!$C$91),30)/30))+IF(5-(INT((Ipotesi!$C$91)/30))-1&lt;1,0,INDEX(Motore_Advisory!$AH$65:$AH$124,MAX(1,5-(INT((Ipotesi!$C$91)/30))-1)))*(MOD((Ipotesi!$C$91),30)/30))</f>
        <v>6166.3147368421</v>
      </c>
      <c r="AJ69" s="15" t="n">
        <f aca="false">(AJ68)+AH69-AI69</f>
        <v>12332.6294736842</v>
      </c>
      <c r="AK69" s="15" t="n">
        <f aca="false">(F69- Motore_Operativo!BH69-(Motore_Operativo!CK69)*Parametri_v3!$C$28-Motore_Operativo!CF69)*Parametri_v3!$C$26</f>
        <v>2231.83438596491</v>
      </c>
      <c r="AL69" s="15" t="n">
        <f aca="false">MAX(0,(AM68))</f>
        <v>2231.83438596491</v>
      </c>
      <c r="AM69" s="15" t="n">
        <f aca="false">(AM68)+AK69-AL69</f>
        <v>2231.83438596491</v>
      </c>
      <c r="AN69" s="15" t="n">
        <f aca="false">0</f>
        <v>0</v>
      </c>
      <c r="AO69" s="15" t="n">
        <f aca="false">0</f>
        <v>0</v>
      </c>
      <c r="AP69" s="15" t="n">
        <f aca="false">MAX(0,AN69)*IF(5=Parametri_v3!$C$43,Parametri_v3!$C$45,IF(5=Parametri_v3!$C$44,1-Parametri_v3!$C$45,0))</f>
        <v>0</v>
      </c>
      <c r="AQ69" s="15" t="n">
        <f aca="false">MAX(0,AP69+IF(5=Parametri_v3!$C$43,MAX(0,AN69-AO69),0)-MAX(0,-(AR68)))</f>
        <v>0</v>
      </c>
      <c r="AR69" s="15" t="n">
        <f aca="false">(AR68)+X69-AQ69</f>
        <v>5684.86973684211</v>
      </c>
      <c r="AS69" s="15" t="n">
        <f aca="false">Motore_Operativo!AC69-AT69+AU69</f>
        <v>4987.5</v>
      </c>
      <c r="AT69" s="15" t="n">
        <f aca="false">Motore_Operativo!CI69</f>
        <v>262.5</v>
      </c>
      <c r="AU69" s="15" t="n">
        <f aca="false">MIN(MAX(0,(AV68)+AT69),Parametri_v3!$C$61/12)</f>
        <v>0</v>
      </c>
      <c r="AV69" s="15" t="n">
        <f aca="false">(AV68)+AT69-AU69</f>
        <v>1312.5</v>
      </c>
      <c r="AW69" s="15" t="n">
        <f aca="false">IF(AND(Motore_Operativo!C69=Finanziamenti!$D$7,Finanziamenti!$F$7=1),Finanziamenti!$C$7,0)</f>
        <v>0</v>
      </c>
      <c r="AX69" s="15" t="n">
        <f aca="false">0</f>
        <v>0</v>
      </c>
      <c r="AY69" s="15" t="n">
        <f aca="false">IF(5=Parametri_v3!$C$33,IF(BV69&lt;MIN(12,$B69-1),0,MIN(MAX(0,0)*Ipotesi!$C$94,MAX(0,(0)-(BO68)-BP69),MAX(0,BD69-Parametri_v3!$C$31))),0)</f>
        <v>0</v>
      </c>
      <c r="AZ69" s="15" t="n">
        <f aca="false">0</f>
        <v>0</v>
      </c>
      <c r="BA69" s="15" t="n">
        <f aca="false">0</f>
        <v>0</v>
      </c>
      <c r="BB69" s="15" t="n">
        <f aca="false">0</f>
        <v>0</v>
      </c>
      <c r="BC69" s="15" t="n">
        <f aca="false">0</f>
        <v>0</v>
      </c>
      <c r="BD69" s="15" t="n">
        <f aca="false">(BH68)+AC69-AF69-AI69-AS69-K69*(1+Parametri_v3!$C$26)-AL69-AQ69-O69+AW69+AX69+AZ69+BA69-BB69</f>
        <v>-2245.83438596491</v>
      </c>
      <c r="BE69" s="15" t="n">
        <f aca="false">0</f>
        <v>0</v>
      </c>
      <c r="BF69" s="15" t="n">
        <f aca="false">0</f>
        <v>0</v>
      </c>
      <c r="BG69" s="15" t="n">
        <f aca="false">0</f>
        <v>0</v>
      </c>
      <c r="BH69" s="15" t="n">
        <f aca="false">BD69+BE69-BF69-AY69</f>
        <v>-2245.83438596491</v>
      </c>
      <c r="BI69" s="15" t="n">
        <f aca="false">MAX(0,Parametri_v3!$C$31-BH69)</f>
        <v>12245.8343859649</v>
      </c>
      <c r="BJ69" s="15" t="n">
        <f aca="false">(BJ68)+K69</f>
        <v>1250</v>
      </c>
      <c r="BK69" s="15" t="n">
        <f aca="false">(BK68)+L69</f>
        <v>104.166666666667</v>
      </c>
      <c r="BL69" s="15" t="n">
        <f aca="false">BJ69-BK69</f>
        <v>1145.83333333333</v>
      </c>
      <c r="BM69" s="15" t="n">
        <f aca="false">(BM68)+Y69</f>
        <v>14691.0074561403</v>
      </c>
      <c r="BN69" s="15" t="n">
        <f aca="false">(BN68)+AW69+AX69+AZ69</f>
        <v>20000</v>
      </c>
      <c r="BO69" s="15" t="n">
        <f aca="false">(BO68)+AY69</f>
        <v>0</v>
      </c>
      <c r="BP69" s="15" t="n">
        <f aca="false">MIN(Parametri_v3!$C$36*Parametri_v3!$C$35,(BP68)+IF(5=1,MAX(0,0)*Parametri_v3!$C$34,0))</f>
        <v>0</v>
      </c>
      <c r="BQ69" s="15" t="n">
        <f aca="false">BN69+BM69-BO69</f>
        <v>34691.0074561403</v>
      </c>
      <c r="BR69" s="15" t="n">
        <f aca="false">BH69+AD69+BL69+MAX(0,-AM69)+MAX(0,-AR69)</f>
        <v>58230.5252631579</v>
      </c>
      <c r="BS69" s="15" t="n">
        <f aca="false">AJ69+AV69+MAX(0,AM69)+MAX(0,AR69)+BC69+BG69+BQ69+AG69</f>
        <v>58230.5252631579</v>
      </c>
      <c r="BT69" s="15" t="n">
        <f aca="false">BR69-BS69</f>
        <v>0</v>
      </c>
      <c r="BU69" s="15" t="n">
        <f aca="false">BH69-(BD69+BE69-BF69-AY69)</f>
        <v>0</v>
      </c>
      <c r="BV69" s="15" t="n">
        <f aca="false">IF(BH68&lt;Parametri_v3!$C$31,0,BV68+1)</f>
        <v>0</v>
      </c>
    </row>
    <row r="70" customFormat="false" ht="18" hidden="false" customHeight="true" outlineLevel="0" collapsed="false">
      <c r="A70" s="68" t="n">
        <f aca="false">2</f>
        <v>2</v>
      </c>
      <c r="B70" s="68" t="n">
        <f aca="false">6</f>
        <v>6</v>
      </c>
      <c r="C70" s="18" t="n">
        <f aca="false">Motore_Operativo!C70</f>
        <v>46539</v>
      </c>
      <c r="D70" s="68" t="n">
        <f aca="false">Motore_Operativo!D70</f>
        <v>2027</v>
      </c>
      <c r="E70" s="68" t="n">
        <f aca="false">Motore_Operativo!E70</f>
        <v>6</v>
      </c>
      <c r="F70" s="15" t="n">
        <f aca="false">Motore_Operativo!AM70</f>
        <v>16210.5263157895</v>
      </c>
      <c r="G70" s="15" t="n">
        <f aca="false">Motore_Operativo!BH70</f>
        <v>1621.05263157895</v>
      </c>
      <c r="H70" s="15" t="n">
        <f aca="false">Motore_Operativo!AM70</f>
        <v>16210.5263157895</v>
      </c>
      <c r="I70" s="15" t="n">
        <f aca="false">Motore_Operativo!CB70</f>
        <v>12114.5175438596</v>
      </c>
      <c r="J70" s="15" t="n">
        <f aca="false">Motore_Operativo!CD70</f>
        <v>4096.00877192982</v>
      </c>
      <c r="K70" s="15" t="n">
        <f aca="false">Motore_Operativo!CF70</f>
        <v>250</v>
      </c>
      <c r="L70" s="15" t="n">
        <f aca="false">SUM(INDEX($K$65:$K$124,MAX(1,6-Parametri_v3!$C$59+1)):K70)/Parametri_v3!$C$59</f>
        <v>41.6666666666667</v>
      </c>
      <c r="M70" s="15" t="n">
        <f aca="false">J70-L70</f>
        <v>4054.34210526316</v>
      </c>
      <c r="N70" s="15" t="n">
        <f aca="false">0</f>
        <v>0</v>
      </c>
      <c r="O70" s="15" t="n">
        <f aca="false">0</f>
        <v>0</v>
      </c>
      <c r="P70" s="15" t="n">
        <f aca="false">M70+N70-O70</f>
        <v>4054.34210526316</v>
      </c>
      <c r="Q70" s="15" t="n">
        <f aca="false">SUM(P65:P70)+Parametri_v3!$C$56*6/12</f>
        <v>24430.2192982456</v>
      </c>
      <c r="R70" s="15" t="n">
        <f aca="false">0</f>
        <v>0</v>
      </c>
      <c r="S70" s="15" t="n">
        <f aca="false">0</f>
        <v>0</v>
      </c>
      <c r="T70" s="15" t="n">
        <f aca="false">MIN(R70,MAX(0,Q70))</f>
        <v>0</v>
      </c>
      <c r="U70" s="15" t="n">
        <f aca="false">MIN(S70,MAX(0,Q70-T70)*Parametri_v3!$C$42)</f>
        <v>0</v>
      </c>
      <c r="V70" s="15" t="n">
        <f aca="false">MAX(0,Q70-T70-U70)*Ipotesi!$C$92</f>
        <v>5863.25263157895</v>
      </c>
      <c r="W70" s="15" t="n">
        <f aca="false">MAX(0,SUM(M65:M70)+Parametri_v3!$C$57*6/12)*Ipotesi!$C$93</f>
        <v>952.778552631579</v>
      </c>
      <c r="X70" s="15" t="n">
        <f aca="false">V70+W70-(V69+W69)</f>
        <v>1131.16144736842</v>
      </c>
      <c r="Y70" s="15" t="n">
        <f aca="false">P70-X70</f>
        <v>2923.18065789474</v>
      </c>
      <c r="Z70" s="15" t="n">
        <f aca="false">R70-T70+IF(AND(Parametri_v3!$C$40=1,D70-YEAR(Parametri_v3!$C$50)&lt;Parametri_v3!$C$41),MAX(0,-Q70),0)</f>
        <v>0</v>
      </c>
      <c r="AA70" s="15" t="n">
        <f aca="false">S70-U70+IF(AND(Parametri_v3!$C$40=1,D70-YEAR(Parametri_v3!$C$50)&lt;Parametri_v3!$C$41),0,MAX(0,-Q70))</f>
        <v>0</v>
      </c>
      <c r="AB70" s="15" t="n">
        <f aca="false">F70*(1+Parametri_v3!$C$26)</f>
        <v>19776.8421052632</v>
      </c>
      <c r="AC70" s="15" t="n">
        <f aca="false">(IF(6-(INT((Motore_Operativo!L70)/30))&lt;1,0,INDEX(Motore_Advisory!$AB$65:$AB$124,MAX(1,6-(INT((Motore_Operativo!L70)/30)))))*(1-(MOD((Motore_Operativo!L70),30)/30))+IF(6-(INT((Motore_Operativo!L70)/30))-1&lt;1,0,INDEX(Motore_Advisory!$AB$65:$AB$124,MAX(1,6-(INT((Motore_Operativo!L70)/30))-1)))*(MOD((Motore_Operativo!L70),30)/30))</f>
        <v>19776.8421052632</v>
      </c>
      <c r="AD70" s="15" t="n">
        <f aca="false">(AD69)+AB70-AC70</f>
        <v>59330.5263157895</v>
      </c>
      <c r="AE70" s="15" t="n">
        <f aca="false">Motore_Operativo!BH70*(1+Parametri_v3!$C$26)</f>
        <v>1977.68421052632</v>
      </c>
      <c r="AF70" s="15" t="n">
        <f aca="false">(IF(6-(INT((Parametri_v3!$C$29)/30))&lt;1,0,INDEX(Motore_Operativo!$BH$65:$BH$124,MAX(1,6-(INT((Parametri_v3!$C$29)/30)))))*(1-(MOD((Parametri_v3!$C$29),30)/30))+IF(6-(INT((Parametri_v3!$C$29)/30))-1&lt;1,0,INDEX(Motore_Operativo!$BH$65:$BH$124,MAX(1,6-(INT((Parametri_v3!$C$29)/30))-1)))*(MOD((Parametri_v3!$C$29),30)/30))*(1+Parametri_v3!$C$26)</f>
        <v>1977.68421052632</v>
      </c>
      <c r="AG70" s="15" t="n">
        <f aca="false">(AG69)+AE70-AF70</f>
        <v>1977.68421052632</v>
      </c>
      <c r="AH70" s="15" t="n">
        <f aca="false">(Motore_Operativo!CK70)*(1+Parametri_v3!$C$28*Parametri_v3!$C$26)</f>
        <v>6166.3147368421</v>
      </c>
      <c r="AI70" s="15" t="n">
        <f aca="false">(IF(6-(INT((Ipotesi!$C$91)/30))&lt;1,0,INDEX(Motore_Advisory!$AH$65:$AH$124,MAX(1,6-(INT((Ipotesi!$C$91)/30)))))*(1-(MOD((Ipotesi!$C$91),30)/30))+IF(6-(INT((Ipotesi!$C$91)/30))-1&lt;1,0,INDEX(Motore_Advisory!$AH$65:$AH$124,MAX(1,6-(INT((Ipotesi!$C$91)/30))-1)))*(MOD((Ipotesi!$C$91),30)/30))</f>
        <v>6166.3147368421</v>
      </c>
      <c r="AJ70" s="15" t="n">
        <f aca="false">(AJ69)+AH70-AI70</f>
        <v>12332.6294736842</v>
      </c>
      <c r="AK70" s="15" t="n">
        <f aca="false">(F70- Motore_Operativo!BH70-(Motore_Operativo!CK70)*Parametri_v3!$C$28-Motore_Operativo!CF70)*Parametri_v3!$C$26</f>
        <v>2231.83438596491</v>
      </c>
      <c r="AL70" s="15" t="n">
        <f aca="false">MAX(0,(AM69))</f>
        <v>2231.83438596491</v>
      </c>
      <c r="AM70" s="15" t="n">
        <f aca="false">(AM69)+AK70-AL70</f>
        <v>2231.83438596491</v>
      </c>
      <c r="AN70" s="15" t="n">
        <f aca="false">0</f>
        <v>0</v>
      </c>
      <c r="AO70" s="15" t="n">
        <f aca="false">0</f>
        <v>0</v>
      </c>
      <c r="AP70" s="15" t="n">
        <f aca="false">MAX(0,AN70)*IF(6=Parametri_v3!$C$43,Parametri_v3!$C$45,IF(6=Parametri_v3!$C$44,1-Parametri_v3!$C$45,0))</f>
        <v>0</v>
      </c>
      <c r="AQ70" s="15" t="n">
        <f aca="false">MAX(0,AP70+IF(6=Parametri_v3!$C$43,MAX(0,AN70-AO70),0)-MAX(0,-(AR69)))</f>
        <v>0</v>
      </c>
      <c r="AR70" s="15" t="n">
        <f aca="false">(AR69)+X70-AQ70</f>
        <v>6816.03118421053</v>
      </c>
      <c r="AS70" s="15" t="n">
        <f aca="false">Motore_Operativo!AC70-AT70+AU70</f>
        <v>4987.5</v>
      </c>
      <c r="AT70" s="15" t="n">
        <f aca="false">Motore_Operativo!CI70</f>
        <v>262.5</v>
      </c>
      <c r="AU70" s="15" t="n">
        <f aca="false">MIN(MAX(0,(AV69)+AT70),Parametri_v3!$C$61/12)</f>
        <v>0</v>
      </c>
      <c r="AV70" s="15" t="n">
        <f aca="false">(AV69)+AT70-AU70</f>
        <v>1575</v>
      </c>
      <c r="AW70" s="15" t="n">
        <f aca="false">IF(AND(Motore_Operativo!C70=Finanziamenti!$D$7,Finanziamenti!$F$7=1),Finanziamenti!$C$7,0)</f>
        <v>0</v>
      </c>
      <c r="AX70" s="15" t="n">
        <f aca="false">0</f>
        <v>0</v>
      </c>
      <c r="AY70" s="15" t="n">
        <f aca="false">IF(6=Parametri_v3!$C$33,IF(BV70&lt;MIN(12,$B70-1),0,MIN(MAX(0,0)*Ipotesi!$C$94,MAX(0,(0)-(BO69)-BP70),MAX(0,BD70-Parametri_v3!$C$31))),0)</f>
        <v>0</v>
      </c>
      <c r="AZ70" s="15" t="n">
        <f aca="false">0</f>
        <v>0</v>
      </c>
      <c r="BA70" s="15" t="n">
        <f aca="false">0</f>
        <v>0</v>
      </c>
      <c r="BB70" s="15" t="n">
        <f aca="false">0</f>
        <v>0</v>
      </c>
      <c r="BC70" s="15" t="n">
        <f aca="false">0</f>
        <v>0</v>
      </c>
      <c r="BD70" s="15" t="n">
        <f aca="false">(BH69)+AC70-AF70-AI70-AS70-K70*(1+Parametri_v3!$C$26)-AL70-AQ70-O70+AW70+AX70+AZ70+BA70-BB70</f>
        <v>1862.67438596491</v>
      </c>
      <c r="BE70" s="15" t="n">
        <f aca="false">0</f>
        <v>0</v>
      </c>
      <c r="BF70" s="15" t="n">
        <f aca="false">0</f>
        <v>0</v>
      </c>
      <c r="BG70" s="15" t="n">
        <f aca="false">0</f>
        <v>0</v>
      </c>
      <c r="BH70" s="15" t="n">
        <f aca="false">BD70+BE70-BF70-AY70</f>
        <v>1862.67438596491</v>
      </c>
      <c r="BI70" s="15" t="n">
        <f aca="false">MAX(0,Parametri_v3!$C$31-BH70)</f>
        <v>8137.32561403509</v>
      </c>
      <c r="BJ70" s="15" t="n">
        <f aca="false">(BJ69)+K70</f>
        <v>1500</v>
      </c>
      <c r="BK70" s="15" t="n">
        <f aca="false">(BK69)+L70</f>
        <v>145.833333333333</v>
      </c>
      <c r="BL70" s="15" t="n">
        <f aca="false">BJ70-BK70</f>
        <v>1354.16666666667</v>
      </c>
      <c r="BM70" s="15" t="n">
        <f aca="false">(BM69)+Y70</f>
        <v>17614.1881140351</v>
      </c>
      <c r="BN70" s="15" t="n">
        <f aca="false">(BN69)+AW70+AX70+AZ70</f>
        <v>20000</v>
      </c>
      <c r="BO70" s="15" t="n">
        <f aca="false">(BO69)+AY70</f>
        <v>0</v>
      </c>
      <c r="BP70" s="15" t="n">
        <f aca="false">MIN(Parametri_v3!$C$36*Parametri_v3!$C$35,(BP69)+IF(6=1,MAX(0,0)*Parametri_v3!$C$34,0))</f>
        <v>0</v>
      </c>
      <c r="BQ70" s="15" t="n">
        <f aca="false">BN70+BM70-BO70</f>
        <v>37614.1881140351</v>
      </c>
      <c r="BR70" s="15" t="n">
        <f aca="false">BH70+AD70+BL70+MAX(0,-AM70)+MAX(0,-AR70)</f>
        <v>62547.367368421</v>
      </c>
      <c r="BS70" s="15" t="n">
        <f aca="false">AJ70+AV70+MAX(0,AM70)+MAX(0,AR70)+BC70+BG70+BQ70+AG70</f>
        <v>62547.367368421</v>
      </c>
      <c r="BT70" s="15" t="n">
        <f aca="false">BR70-BS70</f>
        <v>0</v>
      </c>
      <c r="BU70" s="15" t="n">
        <f aca="false">BH70-(BD70+BE70-BF70-AY70)</f>
        <v>0</v>
      </c>
      <c r="BV70" s="15" t="n">
        <f aca="false">IF(BH69&lt;Parametri_v3!$C$31,0,BV69+1)</f>
        <v>0</v>
      </c>
    </row>
    <row r="71" customFormat="false" ht="18" hidden="false" customHeight="true" outlineLevel="0" collapsed="false">
      <c r="A71" s="68" t="n">
        <f aca="false">2</f>
        <v>2</v>
      </c>
      <c r="B71" s="68" t="n">
        <f aca="false">7</f>
        <v>7</v>
      </c>
      <c r="C71" s="18" t="n">
        <f aca="false">Motore_Operativo!C71</f>
        <v>46569</v>
      </c>
      <c r="D71" s="68" t="n">
        <f aca="false">Motore_Operativo!D71</f>
        <v>2027</v>
      </c>
      <c r="E71" s="68" t="n">
        <f aca="false">Motore_Operativo!E71</f>
        <v>7</v>
      </c>
      <c r="F71" s="15" t="n">
        <f aca="false">Motore_Operativo!AM71</f>
        <v>16210.5263157895</v>
      </c>
      <c r="G71" s="15" t="n">
        <f aca="false">Motore_Operativo!BH71</f>
        <v>1621.05263157895</v>
      </c>
      <c r="H71" s="15" t="n">
        <f aca="false">Motore_Operativo!AM71</f>
        <v>16210.5263157895</v>
      </c>
      <c r="I71" s="15" t="n">
        <f aca="false">Motore_Operativo!CB71</f>
        <v>12114.5175438596</v>
      </c>
      <c r="J71" s="15" t="n">
        <f aca="false">Motore_Operativo!CD71</f>
        <v>4096.00877192982</v>
      </c>
      <c r="K71" s="15" t="n">
        <f aca="false">Motore_Operativo!CF71</f>
        <v>250</v>
      </c>
      <c r="L71" s="15" t="n">
        <f aca="false">SUM(INDEX($K$65:$K$124,MAX(1,7-Parametri_v3!$C$59+1)):K71)/Parametri_v3!$C$59</f>
        <v>48.6111111111111</v>
      </c>
      <c r="M71" s="15" t="n">
        <f aca="false">J71-L71</f>
        <v>4047.39766081871</v>
      </c>
      <c r="N71" s="15" t="n">
        <f aca="false">0</f>
        <v>0</v>
      </c>
      <c r="O71" s="15" t="n">
        <f aca="false">0</f>
        <v>0</v>
      </c>
      <c r="P71" s="15" t="n">
        <f aca="false">M71+N71-O71</f>
        <v>4047.39766081871</v>
      </c>
      <c r="Q71" s="15" t="n">
        <f aca="false">SUM(P65:P71)+Parametri_v3!$C$56*7/12</f>
        <v>28477.6169590643</v>
      </c>
      <c r="R71" s="15" t="n">
        <f aca="false">0</f>
        <v>0</v>
      </c>
      <c r="S71" s="15" t="n">
        <f aca="false">0</f>
        <v>0</v>
      </c>
      <c r="T71" s="15" t="n">
        <f aca="false">MIN(R71,MAX(0,Q71))</f>
        <v>0</v>
      </c>
      <c r="U71" s="15" t="n">
        <f aca="false">MIN(S71,MAX(0,Q71-T71)*Parametri_v3!$C$42)</f>
        <v>0</v>
      </c>
      <c r="V71" s="15" t="n">
        <f aca="false">MAX(0,Q71-T71-U71)*Ipotesi!$C$92</f>
        <v>6834.62807017544</v>
      </c>
      <c r="W71" s="15" t="n">
        <f aca="false">MAX(0,SUM(M65:M71)+Parametri_v3!$C$57*7/12)*Ipotesi!$C$93</f>
        <v>1110.62706140351</v>
      </c>
      <c r="X71" s="15" t="n">
        <f aca="false">V71+W71-(V70+W70)</f>
        <v>1129.22394736842</v>
      </c>
      <c r="Y71" s="15" t="n">
        <f aca="false">P71-X71</f>
        <v>2918.17371345029</v>
      </c>
      <c r="Z71" s="15" t="n">
        <f aca="false">R71-T71+IF(AND(Parametri_v3!$C$40=1,D71-YEAR(Parametri_v3!$C$50)&lt;Parametri_v3!$C$41),MAX(0,-Q71),0)</f>
        <v>0</v>
      </c>
      <c r="AA71" s="15" t="n">
        <f aca="false">S71-U71+IF(AND(Parametri_v3!$C$40=1,D71-YEAR(Parametri_v3!$C$50)&lt;Parametri_v3!$C$41),0,MAX(0,-Q71))</f>
        <v>0</v>
      </c>
      <c r="AB71" s="15" t="n">
        <f aca="false">F71*(1+Parametri_v3!$C$26)</f>
        <v>19776.8421052632</v>
      </c>
      <c r="AC71" s="15" t="n">
        <f aca="false">(IF(7-(INT((Motore_Operativo!L71)/30))&lt;1,0,INDEX(Motore_Advisory!$AB$65:$AB$124,MAX(1,7-(INT((Motore_Operativo!L71)/30)))))*(1-(MOD((Motore_Operativo!L71),30)/30))+IF(7-(INT((Motore_Operativo!L71)/30))-1&lt;1,0,INDEX(Motore_Advisory!$AB$65:$AB$124,MAX(1,7-(INT((Motore_Operativo!L71)/30))-1)))*(MOD((Motore_Operativo!L71),30)/30))</f>
        <v>19776.8421052632</v>
      </c>
      <c r="AD71" s="15" t="n">
        <f aca="false">(AD70)+AB71-AC71</f>
        <v>59330.5263157895</v>
      </c>
      <c r="AE71" s="15" t="n">
        <f aca="false">Motore_Operativo!BH71*(1+Parametri_v3!$C$26)</f>
        <v>1977.68421052632</v>
      </c>
      <c r="AF71" s="15" t="n">
        <f aca="false">(IF(7-(INT((Parametri_v3!$C$29)/30))&lt;1,0,INDEX(Motore_Operativo!$BH$65:$BH$124,MAX(1,7-(INT((Parametri_v3!$C$29)/30)))))*(1-(MOD((Parametri_v3!$C$29),30)/30))+IF(7-(INT((Parametri_v3!$C$29)/30))-1&lt;1,0,INDEX(Motore_Operativo!$BH$65:$BH$124,MAX(1,7-(INT((Parametri_v3!$C$29)/30))-1)))*(MOD((Parametri_v3!$C$29),30)/30))*(1+Parametri_v3!$C$26)</f>
        <v>1977.68421052632</v>
      </c>
      <c r="AG71" s="15" t="n">
        <f aca="false">(AG70)+AE71-AF71</f>
        <v>1977.68421052632</v>
      </c>
      <c r="AH71" s="15" t="n">
        <f aca="false">(Motore_Operativo!CK71)*(1+Parametri_v3!$C$28*Parametri_v3!$C$26)</f>
        <v>6166.3147368421</v>
      </c>
      <c r="AI71" s="15" t="n">
        <f aca="false">(IF(7-(INT((Ipotesi!$C$91)/30))&lt;1,0,INDEX(Motore_Advisory!$AH$65:$AH$124,MAX(1,7-(INT((Ipotesi!$C$91)/30)))))*(1-(MOD((Ipotesi!$C$91),30)/30))+IF(7-(INT((Ipotesi!$C$91)/30))-1&lt;1,0,INDEX(Motore_Advisory!$AH$65:$AH$124,MAX(1,7-(INT((Ipotesi!$C$91)/30))-1)))*(MOD((Ipotesi!$C$91),30)/30))</f>
        <v>6166.3147368421</v>
      </c>
      <c r="AJ71" s="15" t="n">
        <f aca="false">(AJ70)+AH71-AI71</f>
        <v>12332.6294736842</v>
      </c>
      <c r="AK71" s="15" t="n">
        <f aca="false">(F71- Motore_Operativo!BH71-(Motore_Operativo!CK71)*Parametri_v3!$C$28-Motore_Operativo!CF71)*Parametri_v3!$C$26</f>
        <v>2231.83438596491</v>
      </c>
      <c r="AL71" s="15" t="n">
        <f aca="false">MAX(0,(AM70))</f>
        <v>2231.83438596491</v>
      </c>
      <c r="AM71" s="15" t="n">
        <f aca="false">(AM70)+AK71-AL71</f>
        <v>2231.83438596491</v>
      </c>
      <c r="AN71" s="15" t="n">
        <f aca="false">0</f>
        <v>0</v>
      </c>
      <c r="AO71" s="15" t="n">
        <f aca="false">0</f>
        <v>0</v>
      </c>
      <c r="AP71" s="15" t="n">
        <f aca="false">MAX(0,AN71)*IF(7=Parametri_v3!$C$43,Parametri_v3!$C$45,IF(7=Parametri_v3!$C$44,1-Parametri_v3!$C$45,0))</f>
        <v>0</v>
      </c>
      <c r="AQ71" s="15" t="n">
        <f aca="false">MAX(0,AP71+IF(7=Parametri_v3!$C$43,MAX(0,AN71-AO71),0)-MAX(0,-(AR70)))</f>
        <v>0</v>
      </c>
      <c r="AR71" s="15" t="n">
        <f aca="false">(AR70)+X71-AQ71</f>
        <v>7945.25513157895</v>
      </c>
      <c r="AS71" s="15" t="n">
        <f aca="false">Motore_Operativo!AC71-AT71+AU71</f>
        <v>4987.5</v>
      </c>
      <c r="AT71" s="15" t="n">
        <f aca="false">Motore_Operativo!CI71</f>
        <v>262.5</v>
      </c>
      <c r="AU71" s="15" t="n">
        <f aca="false">MIN(MAX(0,(AV70)+AT71),Parametri_v3!$C$61/12)</f>
        <v>0</v>
      </c>
      <c r="AV71" s="15" t="n">
        <f aca="false">(AV70)+AT71-AU71</f>
        <v>1837.5</v>
      </c>
      <c r="AW71" s="15" t="n">
        <f aca="false">IF(AND(Motore_Operativo!C71=Finanziamenti!$D$7,Finanziamenti!$F$7=1),Finanziamenti!$C$7,0)</f>
        <v>0</v>
      </c>
      <c r="AX71" s="15" t="n">
        <f aca="false">0</f>
        <v>0</v>
      </c>
      <c r="AY71" s="15" t="n">
        <f aca="false">IF(7=Parametri_v3!$C$33,IF(BV71&lt;MIN(12,$B71-1),0,MIN(MAX(0,0)*Ipotesi!$C$94,MAX(0,(0)-(BO70)-BP71),MAX(0,BD71-Parametri_v3!$C$31))),0)</f>
        <v>0</v>
      </c>
      <c r="AZ71" s="15" t="n">
        <f aca="false">0</f>
        <v>0</v>
      </c>
      <c r="BA71" s="15" t="n">
        <f aca="false">0</f>
        <v>0</v>
      </c>
      <c r="BB71" s="15" t="n">
        <f aca="false">0</f>
        <v>0</v>
      </c>
      <c r="BC71" s="15" t="n">
        <f aca="false">0</f>
        <v>0</v>
      </c>
      <c r="BD71" s="15" t="n">
        <f aca="false">(BH70)+AC71-AF71-AI71-AS71-K71*(1+Parametri_v3!$C$26)-AL71-AQ71-O71+AW71+AX71+AZ71+BA71-BB71</f>
        <v>5971.18315789473</v>
      </c>
      <c r="BE71" s="15" t="n">
        <f aca="false">0</f>
        <v>0</v>
      </c>
      <c r="BF71" s="15" t="n">
        <f aca="false">0</f>
        <v>0</v>
      </c>
      <c r="BG71" s="15" t="n">
        <f aca="false">0</f>
        <v>0</v>
      </c>
      <c r="BH71" s="15" t="n">
        <f aca="false">BD71+BE71-BF71-AY71</f>
        <v>5971.18315789473</v>
      </c>
      <c r="BI71" s="15" t="n">
        <f aca="false">MAX(0,Parametri_v3!$C$31-BH71)</f>
        <v>4028.81684210527</v>
      </c>
      <c r="BJ71" s="15" t="n">
        <f aca="false">(BJ70)+K71</f>
        <v>1750</v>
      </c>
      <c r="BK71" s="15" t="n">
        <f aca="false">(BK70)+L71</f>
        <v>194.444444444444</v>
      </c>
      <c r="BL71" s="15" t="n">
        <f aca="false">BJ71-BK71</f>
        <v>1555.55555555556</v>
      </c>
      <c r="BM71" s="15" t="n">
        <f aca="false">(BM70)+Y71</f>
        <v>20532.3618274854</v>
      </c>
      <c r="BN71" s="15" t="n">
        <f aca="false">(BN70)+AW71+AX71+AZ71</f>
        <v>20000</v>
      </c>
      <c r="BO71" s="15" t="n">
        <f aca="false">(BO70)+AY71</f>
        <v>0</v>
      </c>
      <c r="BP71" s="15" t="n">
        <f aca="false">MIN(Parametri_v3!$C$36*Parametri_v3!$C$35,(BP70)+IF(7=1,MAX(0,0)*Parametri_v3!$C$34,0))</f>
        <v>0</v>
      </c>
      <c r="BQ71" s="15" t="n">
        <f aca="false">BN71+BM71-BO71</f>
        <v>40532.3618274854</v>
      </c>
      <c r="BR71" s="15" t="n">
        <f aca="false">BH71+AD71+BL71+MAX(0,-AM71)+MAX(0,-AR71)</f>
        <v>66857.2650292398</v>
      </c>
      <c r="BS71" s="15" t="n">
        <f aca="false">AJ71+AV71+MAX(0,AM71)+MAX(0,AR71)+BC71+BG71+BQ71+AG71</f>
        <v>66857.2650292398</v>
      </c>
      <c r="BT71" s="15" t="n">
        <f aca="false">BR71-BS71</f>
        <v>0</v>
      </c>
      <c r="BU71" s="15" t="n">
        <f aca="false">BH71-(BD71+BE71-BF71-AY71)</f>
        <v>0</v>
      </c>
      <c r="BV71" s="15" t="n">
        <f aca="false">IF(BH70&lt;Parametri_v3!$C$31,0,BV70+1)</f>
        <v>0</v>
      </c>
    </row>
    <row r="72" customFormat="false" ht="18" hidden="false" customHeight="true" outlineLevel="0" collapsed="false">
      <c r="A72" s="68" t="n">
        <f aca="false">2</f>
        <v>2</v>
      </c>
      <c r="B72" s="68" t="n">
        <f aca="false">8</f>
        <v>8</v>
      </c>
      <c r="C72" s="18" t="n">
        <f aca="false">Motore_Operativo!C72</f>
        <v>46600</v>
      </c>
      <c r="D72" s="68" t="n">
        <f aca="false">Motore_Operativo!D72</f>
        <v>2027</v>
      </c>
      <c r="E72" s="68" t="n">
        <f aca="false">Motore_Operativo!E72</f>
        <v>8</v>
      </c>
      <c r="F72" s="15" t="n">
        <f aca="false">Motore_Operativo!AM72</f>
        <v>16210.5263157895</v>
      </c>
      <c r="G72" s="15" t="n">
        <f aca="false">Motore_Operativo!BH72</f>
        <v>1621.05263157895</v>
      </c>
      <c r="H72" s="15" t="n">
        <f aca="false">Motore_Operativo!AM72</f>
        <v>16210.5263157895</v>
      </c>
      <c r="I72" s="15" t="n">
        <f aca="false">Motore_Operativo!CB72</f>
        <v>12114.5175438596</v>
      </c>
      <c r="J72" s="15" t="n">
        <f aca="false">Motore_Operativo!CD72</f>
        <v>4096.00877192982</v>
      </c>
      <c r="K72" s="15" t="n">
        <f aca="false">Motore_Operativo!CF72</f>
        <v>250</v>
      </c>
      <c r="L72" s="15" t="n">
        <f aca="false">SUM(INDEX($K$65:$K$124,MAX(1,8-Parametri_v3!$C$59+1)):K72)/Parametri_v3!$C$59</f>
        <v>55.5555555555556</v>
      </c>
      <c r="M72" s="15" t="n">
        <f aca="false">J72-L72</f>
        <v>4040.45321637427</v>
      </c>
      <c r="N72" s="15" t="n">
        <f aca="false">0</f>
        <v>0</v>
      </c>
      <c r="O72" s="15" t="n">
        <f aca="false">0</f>
        <v>0</v>
      </c>
      <c r="P72" s="15" t="n">
        <f aca="false">M72+N72-O72</f>
        <v>4040.45321637427</v>
      </c>
      <c r="Q72" s="15" t="n">
        <f aca="false">SUM(P65:P72)+Parametri_v3!$C$56*8/12</f>
        <v>32518.0701754386</v>
      </c>
      <c r="R72" s="15" t="n">
        <f aca="false">0</f>
        <v>0</v>
      </c>
      <c r="S72" s="15" t="n">
        <f aca="false">0</f>
        <v>0</v>
      </c>
      <c r="T72" s="15" t="n">
        <f aca="false">MIN(R72,MAX(0,Q72))</f>
        <v>0</v>
      </c>
      <c r="U72" s="15" t="n">
        <f aca="false">MIN(S72,MAX(0,Q72-T72)*Parametri_v3!$C$42)</f>
        <v>0</v>
      </c>
      <c r="V72" s="15" t="n">
        <f aca="false">MAX(0,Q72-T72-U72)*Ipotesi!$C$92</f>
        <v>7804.33684210526</v>
      </c>
      <c r="W72" s="15" t="n">
        <f aca="false">MAX(0,SUM(M65:M72)+Parametri_v3!$C$57*8/12)*Ipotesi!$C$93</f>
        <v>1268.20473684211</v>
      </c>
      <c r="X72" s="15" t="n">
        <f aca="false">V72+W72-(V71+W71)</f>
        <v>1127.28644736842</v>
      </c>
      <c r="Y72" s="15" t="n">
        <f aca="false">P72-X72</f>
        <v>2913.16676900585</v>
      </c>
      <c r="Z72" s="15" t="n">
        <f aca="false">R72-T72+IF(AND(Parametri_v3!$C$40=1,D72-YEAR(Parametri_v3!$C$50)&lt;Parametri_v3!$C$41),MAX(0,-Q72),0)</f>
        <v>0</v>
      </c>
      <c r="AA72" s="15" t="n">
        <f aca="false">S72-U72+IF(AND(Parametri_v3!$C$40=1,D72-YEAR(Parametri_v3!$C$50)&lt;Parametri_v3!$C$41),0,MAX(0,-Q72))</f>
        <v>0</v>
      </c>
      <c r="AB72" s="15" t="n">
        <f aca="false">F72*(1+Parametri_v3!$C$26)</f>
        <v>19776.8421052632</v>
      </c>
      <c r="AC72" s="15" t="n">
        <f aca="false">(IF(8-(INT((Motore_Operativo!L72)/30))&lt;1,0,INDEX(Motore_Advisory!$AB$65:$AB$124,MAX(1,8-(INT((Motore_Operativo!L72)/30)))))*(1-(MOD((Motore_Operativo!L72),30)/30))+IF(8-(INT((Motore_Operativo!L72)/30))-1&lt;1,0,INDEX(Motore_Advisory!$AB$65:$AB$124,MAX(1,8-(INT((Motore_Operativo!L72)/30))-1)))*(MOD((Motore_Operativo!L72),30)/30))</f>
        <v>19776.8421052632</v>
      </c>
      <c r="AD72" s="15" t="n">
        <f aca="false">(AD71)+AB72-AC72</f>
        <v>59330.5263157895</v>
      </c>
      <c r="AE72" s="15" t="n">
        <f aca="false">Motore_Operativo!BH72*(1+Parametri_v3!$C$26)</f>
        <v>1977.68421052632</v>
      </c>
      <c r="AF72" s="15" t="n">
        <f aca="false">(IF(8-(INT((Parametri_v3!$C$29)/30))&lt;1,0,INDEX(Motore_Operativo!$BH$65:$BH$124,MAX(1,8-(INT((Parametri_v3!$C$29)/30)))))*(1-(MOD((Parametri_v3!$C$29),30)/30))+IF(8-(INT((Parametri_v3!$C$29)/30))-1&lt;1,0,INDEX(Motore_Operativo!$BH$65:$BH$124,MAX(1,8-(INT((Parametri_v3!$C$29)/30))-1)))*(MOD((Parametri_v3!$C$29),30)/30))*(1+Parametri_v3!$C$26)</f>
        <v>1977.68421052632</v>
      </c>
      <c r="AG72" s="15" t="n">
        <f aca="false">(AG71)+AE72-AF72</f>
        <v>1977.68421052632</v>
      </c>
      <c r="AH72" s="15" t="n">
        <f aca="false">(Motore_Operativo!CK72)*(1+Parametri_v3!$C$28*Parametri_v3!$C$26)</f>
        <v>6166.3147368421</v>
      </c>
      <c r="AI72" s="15" t="n">
        <f aca="false">(IF(8-(INT((Ipotesi!$C$91)/30))&lt;1,0,INDEX(Motore_Advisory!$AH$65:$AH$124,MAX(1,8-(INT((Ipotesi!$C$91)/30)))))*(1-(MOD((Ipotesi!$C$91),30)/30))+IF(8-(INT((Ipotesi!$C$91)/30))-1&lt;1,0,INDEX(Motore_Advisory!$AH$65:$AH$124,MAX(1,8-(INT((Ipotesi!$C$91)/30))-1)))*(MOD((Ipotesi!$C$91),30)/30))</f>
        <v>6166.3147368421</v>
      </c>
      <c r="AJ72" s="15" t="n">
        <f aca="false">(AJ71)+AH72-AI72</f>
        <v>12332.6294736842</v>
      </c>
      <c r="AK72" s="15" t="n">
        <f aca="false">(F72- Motore_Operativo!BH72-(Motore_Operativo!CK72)*Parametri_v3!$C$28-Motore_Operativo!CF72)*Parametri_v3!$C$26</f>
        <v>2231.83438596491</v>
      </c>
      <c r="AL72" s="15" t="n">
        <f aca="false">MAX(0,(AM71))</f>
        <v>2231.83438596491</v>
      </c>
      <c r="AM72" s="15" t="n">
        <f aca="false">(AM71)+AK72-AL72</f>
        <v>2231.83438596491</v>
      </c>
      <c r="AN72" s="15" t="n">
        <f aca="false">0</f>
        <v>0</v>
      </c>
      <c r="AO72" s="15" t="n">
        <f aca="false">0</f>
        <v>0</v>
      </c>
      <c r="AP72" s="15" t="n">
        <f aca="false">MAX(0,AN72)*IF(8=Parametri_v3!$C$43,Parametri_v3!$C$45,IF(8=Parametri_v3!$C$44,1-Parametri_v3!$C$45,0))</f>
        <v>0</v>
      </c>
      <c r="AQ72" s="15" t="n">
        <f aca="false">MAX(0,AP72+IF(8=Parametri_v3!$C$43,MAX(0,AN72-AO72),0)-MAX(0,-(AR71)))</f>
        <v>0</v>
      </c>
      <c r="AR72" s="15" t="n">
        <f aca="false">(AR71)+X72-AQ72</f>
        <v>9072.54157894737</v>
      </c>
      <c r="AS72" s="15" t="n">
        <f aca="false">Motore_Operativo!AC72-AT72+AU72</f>
        <v>4987.5</v>
      </c>
      <c r="AT72" s="15" t="n">
        <f aca="false">Motore_Operativo!CI72</f>
        <v>262.5</v>
      </c>
      <c r="AU72" s="15" t="n">
        <f aca="false">MIN(MAX(0,(AV71)+AT72),Parametri_v3!$C$61/12)</f>
        <v>0</v>
      </c>
      <c r="AV72" s="15" t="n">
        <f aca="false">(AV71)+AT72-AU72</f>
        <v>2100</v>
      </c>
      <c r="AW72" s="15" t="n">
        <f aca="false">IF(AND(Motore_Operativo!C72=Finanziamenti!$D$7,Finanziamenti!$F$7=1),Finanziamenti!$C$7,0)</f>
        <v>0</v>
      </c>
      <c r="AX72" s="15" t="n">
        <f aca="false">0</f>
        <v>0</v>
      </c>
      <c r="AY72" s="15" t="n">
        <f aca="false">IF(8=Parametri_v3!$C$33,IF(BV72&lt;MIN(12,$B72-1),0,MIN(MAX(0,0)*Ipotesi!$C$94,MAX(0,(0)-(BO71)-BP72),MAX(0,BD72-Parametri_v3!$C$31))),0)</f>
        <v>0</v>
      </c>
      <c r="AZ72" s="15" t="n">
        <f aca="false">0</f>
        <v>0</v>
      </c>
      <c r="BA72" s="15" t="n">
        <f aca="false">0</f>
        <v>0</v>
      </c>
      <c r="BB72" s="15" t="n">
        <f aca="false">0</f>
        <v>0</v>
      </c>
      <c r="BC72" s="15" t="n">
        <f aca="false">0</f>
        <v>0</v>
      </c>
      <c r="BD72" s="15" t="n">
        <f aca="false">(BH71)+AC72-AF72-AI72-AS72-K72*(1+Parametri_v3!$C$26)-AL72-AQ72-O72+AW72+AX72+AZ72+BA72-BB72</f>
        <v>10079.6919298246</v>
      </c>
      <c r="BE72" s="15" t="n">
        <f aca="false">0</f>
        <v>0</v>
      </c>
      <c r="BF72" s="15" t="n">
        <f aca="false">0</f>
        <v>0</v>
      </c>
      <c r="BG72" s="15" t="n">
        <f aca="false">0</f>
        <v>0</v>
      </c>
      <c r="BH72" s="15" t="n">
        <f aca="false">BD72+BE72-BF72-AY72</f>
        <v>10079.6919298246</v>
      </c>
      <c r="BI72" s="15" t="n">
        <f aca="false">MAX(0,Parametri_v3!$C$31-BH72)</f>
        <v>0</v>
      </c>
      <c r="BJ72" s="15" t="n">
        <f aca="false">(BJ71)+K72</f>
        <v>2000</v>
      </c>
      <c r="BK72" s="15" t="n">
        <f aca="false">(BK71)+L72</f>
        <v>250</v>
      </c>
      <c r="BL72" s="15" t="n">
        <f aca="false">BJ72-BK72</f>
        <v>1750</v>
      </c>
      <c r="BM72" s="15" t="n">
        <f aca="false">(BM71)+Y72</f>
        <v>23445.5285964912</v>
      </c>
      <c r="BN72" s="15" t="n">
        <f aca="false">(BN71)+AW72+AX72+AZ72</f>
        <v>20000</v>
      </c>
      <c r="BO72" s="15" t="n">
        <f aca="false">(BO71)+AY72</f>
        <v>0</v>
      </c>
      <c r="BP72" s="15" t="n">
        <f aca="false">MIN(Parametri_v3!$C$36*Parametri_v3!$C$35,(BP71)+IF(8=1,MAX(0,0)*Parametri_v3!$C$34,0))</f>
        <v>0</v>
      </c>
      <c r="BQ72" s="15" t="n">
        <f aca="false">BN72+BM72-BO72</f>
        <v>43445.5285964912</v>
      </c>
      <c r="BR72" s="15" t="n">
        <f aca="false">BH72+AD72+BL72+MAX(0,-AM72)+MAX(0,-AR72)</f>
        <v>71160.218245614</v>
      </c>
      <c r="BS72" s="15" t="n">
        <f aca="false">AJ72+AV72+MAX(0,AM72)+MAX(0,AR72)+BC72+BG72+BQ72+AG72</f>
        <v>71160.218245614</v>
      </c>
      <c r="BT72" s="15" t="n">
        <f aca="false">BR72-BS72</f>
        <v>0</v>
      </c>
      <c r="BU72" s="15" t="n">
        <f aca="false">BH72-(BD72+BE72-BF72-AY72)</f>
        <v>0</v>
      </c>
      <c r="BV72" s="15" t="n">
        <f aca="false">IF(BH71&lt;Parametri_v3!$C$31,0,BV71+1)</f>
        <v>0</v>
      </c>
    </row>
    <row r="73" customFormat="false" ht="18" hidden="false" customHeight="true" outlineLevel="0" collapsed="false">
      <c r="A73" s="68" t="n">
        <f aca="false">2</f>
        <v>2</v>
      </c>
      <c r="B73" s="68" t="n">
        <f aca="false">9</f>
        <v>9</v>
      </c>
      <c r="C73" s="18" t="n">
        <f aca="false">Motore_Operativo!C73</f>
        <v>46631</v>
      </c>
      <c r="D73" s="68" t="n">
        <f aca="false">Motore_Operativo!D73</f>
        <v>2027</v>
      </c>
      <c r="E73" s="68" t="n">
        <f aca="false">Motore_Operativo!E73</f>
        <v>9</v>
      </c>
      <c r="F73" s="15" t="n">
        <f aca="false">Motore_Operativo!AM73</f>
        <v>16210.5263157895</v>
      </c>
      <c r="G73" s="15" t="n">
        <f aca="false">Motore_Operativo!BH73</f>
        <v>1621.05263157895</v>
      </c>
      <c r="H73" s="15" t="n">
        <f aca="false">Motore_Operativo!AM73</f>
        <v>16210.5263157895</v>
      </c>
      <c r="I73" s="15" t="n">
        <f aca="false">Motore_Operativo!CB73</f>
        <v>12114.5175438596</v>
      </c>
      <c r="J73" s="15" t="n">
        <f aca="false">Motore_Operativo!CD73</f>
        <v>4096.00877192982</v>
      </c>
      <c r="K73" s="15" t="n">
        <f aca="false">Motore_Operativo!CF73</f>
        <v>250</v>
      </c>
      <c r="L73" s="15" t="n">
        <f aca="false">SUM(INDEX($K$65:$K$124,MAX(1,9-Parametri_v3!$C$59+1)):K73)/Parametri_v3!$C$59</f>
        <v>62.5</v>
      </c>
      <c r="M73" s="15" t="n">
        <f aca="false">J73-L73</f>
        <v>4033.50877192982</v>
      </c>
      <c r="N73" s="15" t="n">
        <f aca="false">0</f>
        <v>0</v>
      </c>
      <c r="O73" s="15" t="n">
        <f aca="false">0</f>
        <v>0</v>
      </c>
      <c r="P73" s="15" t="n">
        <f aca="false">M73+N73-O73</f>
        <v>4033.50877192982</v>
      </c>
      <c r="Q73" s="15" t="n">
        <f aca="false">SUM(P65:P73)+Parametri_v3!$C$56*9/12</f>
        <v>36551.5789473684</v>
      </c>
      <c r="R73" s="15" t="n">
        <f aca="false">0</f>
        <v>0</v>
      </c>
      <c r="S73" s="15" t="n">
        <f aca="false">0</f>
        <v>0</v>
      </c>
      <c r="T73" s="15" t="n">
        <f aca="false">MIN(R73,MAX(0,Q73))</f>
        <v>0</v>
      </c>
      <c r="U73" s="15" t="n">
        <f aca="false">MIN(S73,MAX(0,Q73-T73)*Parametri_v3!$C$42)</f>
        <v>0</v>
      </c>
      <c r="V73" s="15" t="n">
        <f aca="false">MAX(0,Q73-T73-U73)*Ipotesi!$C$92</f>
        <v>8772.37894736842</v>
      </c>
      <c r="W73" s="15" t="n">
        <f aca="false">MAX(0,SUM(M65:M73)+Parametri_v3!$C$57*9/12)*Ipotesi!$C$93</f>
        <v>1425.51157894737</v>
      </c>
      <c r="X73" s="15" t="n">
        <f aca="false">V73+W73-(V72+W72)</f>
        <v>1125.34894736842</v>
      </c>
      <c r="Y73" s="15" t="n">
        <f aca="false">P73-X73</f>
        <v>2908.1598245614</v>
      </c>
      <c r="Z73" s="15" t="n">
        <f aca="false">R73-T73+IF(AND(Parametri_v3!$C$40=1,D73-YEAR(Parametri_v3!$C$50)&lt;Parametri_v3!$C$41),MAX(0,-Q73),0)</f>
        <v>0</v>
      </c>
      <c r="AA73" s="15" t="n">
        <f aca="false">S73-U73+IF(AND(Parametri_v3!$C$40=1,D73-YEAR(Parametri_v3!$C$50)&lt;Parametri_v3!$C$41),0,MAX(0,-Q73))</f>
        <v>0</v>
      </c>
      <c r="AB73" s="15" t="n">
        <f aca="false">F73*(1+Parametri_v3!$C$26)</f>
        <v>19776.8421052632</v>
      </c>
      <c r="AC73" s="15" t="n">
        <f aca="false">(IF(9-(INT((Motore_Operativo!L73)/30))&lt;1,0,INDEX(Motore_Advisory!$AB$65:$AB$124,MAX(1,9-(INT((Motore_Operativo!L73)/30)))))*(1-(MOD((Motore_Operativo!L73),30)/30))+IF(9-(INT((Motore_Operativo!L73)/30))-1&lt;1,0,INDEX(Motore_Advisory!$AB$65:$AB$124,MAX(1,9-(INT((Motore_Operativo!L73)/30))-1)))*(MOD((Motore_Operativo!L73),30)/30))</f>
        <v>19776.8421052632</v>
      </c>
      <c r="AD73" s="15" t="n">
        <f aca="false">(AD72)+AB73-AC73</f>
        <v>59330.5263157895</v>
      </c>
      <c r="AE73" s="15" t="n">
        <f aca="false">Motore_Operativo!BH73*(1+Parametri_v3!$C$26)</f>
        <v>1977.68421052632</v>
      </c>
      <c r="AF73" s="15" t="n">
        <f aca="false">(IF(9-(INT((Parametri_v3!$C$29)/30))&lt;1,0,INDEX(Motore_Operativo!$BH$65:$BH$124,MAX(1,9-(INT((Parametri_v3!$C$29)/30)))))*(1-(MOD((Parametri_v3!$C$29),30)/30))+IF(9-(INT((Parametri_v3!$C$29)/30))-1&lt;1,0,INDEX(Motore_Operativo!$BH$65:$BH$124,MAX(1,9-(INT((Parametri_v3!$C$29)/30))-1)))*(MOD((Parametri_v3!$C$29),30)/30))*(1+Parametri_v3!$C$26)</f>
        <v>1977.68421052632</v>
      </c>
      <c r="AG73" s="15" t="n">
        <f aca="false">(AG72)+AE73-AF73</f>
        <v>1977.68421052632</v>
      </c>
      <c r="AH73" s="15" t="n">
        <f aca="false">(Motore_Operativo!CK73)*(1+Parametri_v3!$C$28*Parametri_v3!$C$26)</f>
        <v>6166.3147368421</v>
      </c>
      <c r="AI73" s="15" t="n">
        <f aca="false">(IF(9-(INT((Ipotesi!$C$91)/30))&lt;1,0,INDEX(Motore_Advisory!$AH$65:$AH$124,MAX(1,9-(INT((Ipotesi!$C$91)/30)))))*(1-(MOD((Ipotesi!$C$91),30)/30))+IF(9-(INT((Ipotesi!$C$91)/30))-1&lt;1,0,INDEX(Motore_Advisory!$AH$65:$AH$124,MAX(1,9-(INT((Ipotesi!$C$91)/30))-1)))*(MOD((Ipotesi!$C$91),30)/30))</f>
        <v>6166.3147368421</v>
      </c>
      <c r="AJ73" s="15" t="n">
        <f aca="false">(AJ72)+AH73-AI73</f>
        <v>12332.6294736842</v>
      </c>
      <c r="AK73" s="15" t="n">
        <f aca="false">(F73- Motore_Operativo!BH73-(Motore_Operativo!CK73)*Parametri_v3!$C$28-Motore_Operativo!CF73)*Parametri_v3!$C$26</f>
        <v>2231.83438596491</v>
      </c>
      <c r="AL73" s="15" t="n">
        <f aca="false">MAX(0,(AM72))</f>
        <v>2231.83438596491</v>
      </c>
      <c r="AM73" s="15" t="n">
        <f aca="false">(AM72)+AK73-AL73</f>
        <v>2231.83438596491</v>
      </c>
      <c r="AN73" s="15" t="n">
        <f aca="false">0</f>
        <v>0</v>
      </c>
      <c r="AO73" s="15" t="n">
        <f aca="false">0</f>
        <v>0</v>
      </c>
      <c r="AP73" s="15" t="n">
        <f aca="false">MAX(0,AN73)*IF(9=Parametri_v3!$C$43,Parametri_v3!$C$45,IF(9=Parametri_v3!$C$44,1-Parametri_v3!$C$45,0))</f>
        <v>0</v>
      </c>
      <c r="AQ73" s="15" t="n">
        <f aca="false">MAX(0,AP73+IF(9=Parametri_v3!$C$43,MAX(0,AN73-AO73),0)-MAX(0,-(AR72)))</f>
        <v>0</v>
      </c>
      <c r="AR73" s="15" t="n">
        <f aca="false">(AR72)+X73-AQ73</f>
        <v>10197.8905263158</v>
      </c>
      <c r="AS73" s="15" t="n">
        <f aca="false">Motore_Operativo!AC73-AT73+AU73</f>
        <v>4987.5</v>
      </c>
      <c r="AT73" s="15" t="n">
        <f aca="false">Motore_Operativo!CI73</f>
        <v>262.5</v>
      </c>
      <c r="AU73" s="15" t="n">
        <f aca="false">MIN(MAX(0,(AV72)+AT73),Parametri_v3!$C$61/12)</f>
        <v>0</v>
      </c>
      <c r="AV73" s="15" t="n">
        <f aca="false">(AV72)+AT73-AU73</f>
        <v>2362.5</v>
      </c>
      <c r="AW73" s="15" t="n">
        <f aca="false">IF(AND(Motore_Operativo!C73=Finanziamenti!$D$7,Finanziamenti!$F$7=1),Finanziamenti!$C$7,0)</f>
        <v>0</v>
      </c>
      <c r="AX73" s="15" t="n">
        <f aca="false">0</f>
        <v>0</v>
      </c>
      <c r="AY73" s="15" t="n">
        <f aca="false">IF(9=Parametri_v3!$C$33,IF(BV73&lt;MIN(12,$B73-1),0,MIN(MAX(0,0)*Ipotesi!$C$94,MAX(0,(0)-(BO72)-BP73),MAX(0,BD73-Parametri_v3!$C$31))),0)</f>
        <v>0</v>
      </c>
      <c r="AZ73" s="15" t="n">
        <f aca="false">0</f>
        <v>0</v>
      </c>
      <c r="BA73" s="15" t="n">
        <f aca="false">0</f>
        <v>0</v>
      </c>
      <c r="BB73" s="15" t="n">
        <f aca="false">0</f>
        <v>0</v>
      </c>
      <c r="BC73" s="15" t="n">
        <f aca="false">0</f>
        <v>0</v>
      </c>
      <c r="BD73" s="15" t="n">
        <f aca="false">(BH72)+AC73-AF73-AI73-AS73-K73*(1+Parametri_v3!$C$26)-AL73-AQ73-O73+AW73+AX73+AZ73+BA73-BB73</f>
        <v>14188.2007017544</v>
      </c>
      <c r="BE73" s="15" t="n">
        <f aca="false">0</f>
        <v>0</v>
      </c>
      <c r="BF73" s="15" t="n">
        <f aca="false">0</f>
        <v>0</v>
      </c>
      <c r="BG73" s="15" t="n">
        <f aca="false">0</f>
        <v>0</v>
      </c>
      <c r="BH73" s="15" t="n">
        <f aca="false">BD73+BE73-BF73-AY73</f>
        <v>14188.2007017544</v>
      </c>
      <c r="BI73" s="15" t="n">
        <f aca="false">MAX(0,Parametri_v3!$C$31-BH73)</f>
        <v>0</v>
      </c>
      <c r="BJ73" s="15" t="n">
        <f aca="false">(BJ72)+K73</f>
        <v>2250</v>
      </c>
      <c r="BK73" s="15" t="n">
        <f aca="false">(BK72)+L73</f>
        <v>312.5</v>
      </c>
      <c r="BL73" s="15" t="n">
        <f aca="false">BJ73-BK73</f>
        <v>1937.5</v>
      </c>
      <c r="BM73" s="15" t="n">
        <f aca="false">(BM72)+Y73</f>
        <v>26353.6884210526</v>
      </c>
      <c r="BN73" s="15" t="n">
        <f aca="false">(BN72)+AW73+AX73+AZ73</f>
        <v>20000</v>
      </c>
      <c r="BO73" s="15" t="n">
        <f aca="false">(BO72)+AY73</f>
        <v>0</v>
      </c>
      <c r="BP73" s="15" t="n">
        <f aca="false">MIN(Parametri_v3!$C$36*Parametri_v3!$C$35,(BP72)+IF(9=1,MAX(0,0)*Parametri_v3!$C$34,0))</f>
        <v>0</v>
      </c>
      <c r="BQ73" s="15" t="n">
        <f aca="false">BN73+BM73-BO73</f>
        <v>46353.6884210526</v>
      </c>
      <c r="BR73" s="15" t="n">
        <f aca="false">BH73+AD73+BL73+MAX(0,-AM73)+MAX(0,-AR73)</f>
        <v>75456.2270175439</v>
      </c>
      <c r="BS73" s="15" t="n">
        <f aca="false">AJ73+AV73+MAX(0,AM73)+MAX(0,AR73)+BC73+BG73+BQ73+AG73</f>
        <v>75456.2270175439</v>
      </c>
      <c r="BT73" s="15" t="n">
        <f aca="false">BR73-BS73</f>
        <v>0</v>
      </c>
      <c r="BU73" s="15" t="n">
        <f aca="false">BH73-(BD73+BE73-BF73-AY73)</f>
        <v>0</v>
      </c>
      <c r="BV73" s="15" t="n">
        <f aca="false">IF(BH72&lt;Parametri_v3!$C$31,0,BV72+1)</f>
        <v>1</v>
      </c>
    </row>
    <row r="74" customFormat="false" ht="18" hidden="false" customHeight="true" outlineLevel="0" collapsed="false">
      <c r="A74" s="68" t="n">
        <f aca="false">2</f>
        <v>2</v>
      </c>
      <c r="B74" s="68" t="n">
        <f aca="false">10</f>
        <v>10</v>
      </c>
      <c r="C74" s="18" t="n">
        <f aca="false">Motore_Operativo!C74</f>
        <v>46661</v>
      </c>
      <c r="D74" s="68" t="n">
        <f aca="false">Motore_Operativo!D74</f>
        <v>2027</v>
      </c>
      <c r="E74" s="68" t="n">
        <f aca="false">Motore_Operativo!E74</f>
        <v>10</v>
      </c>
      <c r="F74" s="15" t="n">
        <f aca="false">Motore_Operativo!AM74</f>
        <v>16210.5263157895</v>
      </c>
      <c r="G74" s="15" t="n">
        <f aca="false">Motore_Operativo!BH74</f>
        <v>1621.05263157895</v>
      </c>
      <c r="H74" s="15" t="n">
        <f aca="false">Motore_Operativo!AM74</f>
        <v>16210.5263157895</v>
      </c>
      <c r="I74" s="15" t="n">
        <f aca="false">Motore_Operativo!CB74</f>
        <v>12114.5175438596</v>
      </c>
      <c r="J74" s="15" t="n">
        <f aca="false">Motore_Operativo!CD74</f>
        <v>4096.00877192982</v>
      </c>
      <c r="K74" s="15" t="n">
        <f aca="false">Motore_Operativo!CF74</f>
        <v>250</v>
      </c>
      <c r="L74" s="15" t="n">
        <f aca="false">SUM(INDEX($K$65:$K$124,MAX(1,10-Parametri_v3!$C$59+1)):K74)/Parametri_v3!$C$59</f>
        <v>69.4444444444444</v>
      </c>
      <c r="M74" s="15" t="n">
        <f aca="false">J74-L74</f>
        <v>4026.56432748538</v>
      </c>
      <c r="N74" s="15" t="n">
        <f aca="false">0</f>
        <v>0</v>
      </c>
      <c r="O74" s="15" t="n">
        <f aca="false">0</f>
        <v>0</v>
      </c>
      <c r="P74" s="15" t="n">
        <f aca="false">M74+N74-O74</f>
        <v>4026.56432748538</v>
      </c>
      <c r="Q74" s="15" t="n">
        <f aca="false">SUM(P65:P74)+Parametri_v3!$C$56*10/12</f>
        <v>40578.1432748538</v>
      </c>
      <c r="R74" s="15" t="n">
        <f aca="false">0</f>
        <v>0</v>
      </c>
      <c r="S74" s="15" t="n">
        <f aca="false">0</f>
        <v>0</v>
      </c>
      <c r="T74" s="15" t="n">
        <f aca="false">MIN(R74,MAX(0,Q74))</f>
        <v>0</v>
      </c>
      <c r="U74" s="15" t="n">
        <f aca="false">MIN(S74,MAX(0,Q74-T74)*Parametri_v3!$C$42)</f>
        <v>0</v>
      </c>
      <c r="V74" s="15" t="n">
        <f aca="false">MAX(0,Q74-T74-U74)*Ipotesi!$C$92</f>
        <v>9738.75438596491</v>
      </c>
      <c r="W74" s="15" t="n">
        <f aca="false">MAX(0,SUM(M65:M74)+Parametri_v3!$C$57*10/12)*Ipotesi!$C$93</f>
        <v>1582.5475877193</v>
      </c>
      <c r="X74" s="15" t="n">
        <f aca="false">V74+W74-(V73+W73)</f>
        <v>1123.41144736842</v>
      </c>
      <c r="Y74" s="15" t="n">
        <f aca="false">P74-X74</f>
        <v>2903.15288011696</v>
      </c>
      <c r="Z74" s="15" t="n">
        <f aca="false">R74-T74+IF(AND(Parametri_v3!$C$40=1,D74-YEAR(Parametri_v3!$C$50)&lt;Parametri_v3!$C$41),MAX(0,-Q74),0)</f>
        <v>0</v>
      </c>
      <c r="AA74" s="15" t="n">
        <f aca="false">S74-U74+IF(AND(Parametri_v3!$C$40=1,D74-YEAR(Parametri_v3!$C$50)&lt;Parametri_v3!$C$41),0,MAX(0,-Q74))</f>
        <v>0</v>
      </c>
      <c r="AB74" s="15" t="n">
        <f aca="false">F74*(1+Parametri_v3!$C$26)</f>
        <v>19776.8421052632</v>
      </c>
      <c r="AC74" s="15" t="n">
        <f aca="false">(IF(10-(INT((Motore_Operativo!L74)/30))&lt;1,0,INDEX(Motore_Advisory!$AB$65:$AB$124,MAX(1,10-(INT((Motore_Operativo!L74)/30)))))*(1-(MOD((Motore_Operativo!L74),30)/30))+IF(10-(INT((Motore_Operativo!L74)/30))-1&lt;1,0,INDEX(Motore_Advisory!$AB$65:$AB$124,MAX(1,10-(INT((Motore_Operativo!L74)/30))-1)))*(MOD((Motore_Operativo!L74),30)/30))</f>
        <v>19776.8421052632</v>
      </c>
      <c r="AD74" s="15" t="n">
        <f aca="false">(AD73)+AB74-AC74</f>
        <v>59330.5263157895</v>
      </c>
      <c r="AE74" s="15" t="n">
        <f aca="false">Motore_Operativo!BH74*(1+Parametri_v3!$C$26)</f>
        <v>1977.68421052632</v>
      </c>
      <c r="AF74" s="15" t="n">
        <f aca="false">(IF(10-(INT((Parametri_v3!$C$29)/30))&lt;1,0,INDEX(Motore_Operativo!$BH$65:$BH$124,MAX(1,10-(INT((Parametri_v3!$C$29)/30)))))*(1-(MOD((Parametri_v3!$C$29),30)/30))+IF(10-(INT((Parametri_v3!$C$29)/30))-1&lt;1,0,INDEX(Motore_Operativo!$BH$65:$BH$124,MAX(1,10-(INT((Parametri_v3!$C$29)/30))-1)))*(MOD((Parametri_v3!$C$29),30)/30))*(1+Parametri_v3!$C$26)</f>
        <v>1977.68421052632</v>
      </c>
      <c r="AG74" s="15" t="n">
        <f aca="false">(AG73)+AE74-AF74</f>
        <v>1977.68421052632</v>
      </c>
      <c r="AH74" s="15" t="n">
        <f aca="false">(Motore_Operativo!CK74)*(1+Parametri_v3!$C$28*Parametri_v3!$C$26)</f>
        <v>6166.3147368421</v>
      </c>
      <c r="AI74" s="15" t="n">
        <f aca="false">(IF(10-(INT((Ipotesi!$C$91)/30))&lt;1,0,INDEX(Motore_Advisory!$AH$65:$AH$124,MAX(1,10-(INT((Ipotesi!$C$91)/30)))))*(1-(MOD((Ipotesi!$C$91),30)/30))+IF(10-(INT((Ipotesi!$C$91)/30))-1&lt;1,0,INDEX(Motore_Advisory!$AH$65:$AH$124,MAX(1,10-(INT((Ipotesi!$C$91)/30))-1)))*(MOD((Ipotesi!$C$91),30)/30))</f>
        <v>6166.3147368421</v>
      </c>
      <c r="AJ74" s="15" t="n">
        <f aca="false">(AJ73)+AH74-AI74</f>
        <v>12332.6294736842</v>
      </c>
      <c r="AK74" s="15" t="n">
        <f aca="false">(F74- Motore_Operativo!BH74-(Motore_Operativo!CK74)*Parametri_v3!$C$28-Motore_Operativo!CF74)*Parametri_v3!$C$26</f>
        <v>2231.83438596491</v>
      </c>
      <c r="AL74" s="15" t="n">
        <f aca="false">MAX(0,(AM73))</f>
        <v>2231.83438596491</v>
      </c>
      <c r="AM74" s="15" t="n">
        <f aca="false">(AM73)+AK74-AL74</f>
        <v>2231.83438596491</v>
      </c>
      <c r="AN74" s="15" t="n">
        <f aca="false">0</f>
        <v>0</v>
      </c>
      <c r="AO74" s="15" t="n">
        <f aca="false">0</f>
        <v>0</v>
      </c>
      <c r="AP74" s="15" t="n">
        <f aca="false">MAX(0,AN74)*IF(10=Parametri_v3!$C$43,Parametri_v3!$C$45,IF(10=Parametri_v3!$C$44,1-Parametri_v3!$C$45,0))</f>
        <v>0</v>
      </c>
      <c r="AQ74" s="15" t="n">
        <f aca="false">MAX(0,AP74+IF(10=Parametri_v3!$C$43,MAX(0,AN74-AO74),0)-MAX(0,-(AR73)))</f>
        <v>0</v>
      </c>
      <c r="AR74" s="15" t="n">
        <f aca="false">(AR73)+X74-AQ74</f>
        <v>11321.3019736842</v>
      </c>
      <c r="AS74" s="15" t="n">
        <f aca="false">Motore_Operativo!AC74-AT74+AU74</f>
        <v>4987.5</v>
      </c>
      <c r="AT74" s="15" t="n">
        <f aca="false">Motore_Operativo!CI74</f>
        <v>262.5</v>
      </c>
      <c r="AU74" s="15" t="n">
        <f aca="false">MIN(MAX(0,(AV73)+AT74),Parametri_v3!$C$61/12)</f>
        <v>0</v>
      </c>
      <c r="AV74" s="15" t="n">
        <f aca="false">(AV73)+AT74-AU74</f>
        <v>2625</v>
      </c>
      <c r="AW74" s="15" t="n">
        <f aca="false">IF(AND(Motore_Operativo!C74=Finanziamenti!$D$7,Finanziamenti!$F$7=1),Finanziamenti!$C$7,0)</f>
        <v>0</v>
      </c>
      <c r="AX74" s="15" t="n">
        <f aca="false">0</f>
        <v>0</v>
      </c>
      <c r="AY74" s="15" t="n">
        <f aca="false">IF(10=Parametri_v3!$C$33,IF(BV74&lt;MIN(12,$B74-1),0,MIN(MAX(0,0)*Ipotesi!$C$94,MAX(0,(0)-(BO73)-BP74),MAX(0,BD74-Parametri_v3!$C$31))),0)</f>
        <v>0</v>
      </c>
      <c r="AZ74" s="15" t="n">
        <f aca="false">0</f>
        <v>0</v>
      </c>
      <c r="BA74" s="15" t="n">
        <f aca="false">0</f>
        <v>0</v>
      </c>
      <c r="BB74" s="15" t="n">
        <f aca="false">0</f>
        <v>0</v>
      </c>
      <c r="BC74" s="15" t="n">
        <f aca="false">0</f>
        <v>0</v>
      </c>
      <c r="BD74" s="15" t="n">
        <f aca="false">(BH73)+AC74-AF74-AI74-AS74-K74*(1+Parametri_v3!$C$26)-AL74-AQ74-O74+AW74+AX74+AZ74+BA74-BB74</f>
        <v>18296.7094736842</v>
      </c>
      <c r="BE74" s="15" t="n">
        <f aca="false">0</f>
        <v>0</v>
      </c>
      <c r="BF74" s="15" t="n">
        <f aca="false">0</f>
        <v>0</v>
      </c>
      <c r="BG74" s="15" t="n">
        <f aca="false">0</f>
        <v>0</v>
      </c>
      <c r="BH74" s="15" t="n">
        <f aca="false">BD74+BE74-BF74-AY74</f>
        <v>18296.7094736842</v>
      </c>
      <c r="BI74" s="15" t="n">
        <f aca="false">MAX(0,Parametri_v3!$C$31-BH74)</f>
        <v>0</v>
      </c>
      <c r="BJ74" s="15" t="n">
        <f aca="false">(BJ73)+K74</f>
        <v>2500</v>
      </c>
      <c r="BK74" s="15" t="n">
        <f aca="false">(BK73)+L74</f>
        <v>381.944444444444</v>
      </c>
      <c r="BL74" s="15" t="n">
        <f aca="false">BJ74-BK74</f>
        <v>2118.05555555556</v>
      </c>
      <c r="BM74" s="15" t="n">
        <f aca="false">(BM73)+Y74</f>
        <v>29256.8413011696</v>
      </c>
      <c r="BN74" s="15" t="n">
        <f aca="false">(BN73)+AW74+AX74+AZ74</f>
        <v>20000</v>
      </c>
      <c r="BO74" s="15" t="n">
        <f aca="false">(BO73)+AY74</f>
        <v>0</v>
      </c>
      <c r="BP74" s="15" t="n">
        <f aca="false">MIN(Parametri_v3!$C$36*Parametri_v3!$C$35,(BP73)+IF(10=1,MAX(0,0)*Parametri_v3!$C$34,0))</f>
        <v>0</v>
      </c>
      <c r="BQ74" s="15" t="n">
        <f aca="false">BN74+BM74-BO74</f>
        <v>49256.8413011696</v>
      </c>
      <c r="BR74" s="15" t="n">
        <f aca="false">BH74+AD74+BL74+MAX(0,-AM74)+MAX(0,-AR74)</f>
        <v>79745.2913450292</v>
      </c>
      <c r="BS74" s="15" t="n">
        <f aca="false">AJ74+AV74+MAX(0,AM74)+MAX(0,AR74)+BC74+BG74+BQ74+AG74</f>
        <v>79745.2913450292</v>
      </c>
      <c r="BT74" s="15" t="n">
        <f aca="false">BR74-BS74</f>
        <v>0</v>
      </c>
      <c r="BU74" s="15" t="n">
        <f aca="false">BH74-(BD74+BE74-BF74-AY74)</f>
        <v>0</v>
      </c>
      <c r="BV74" s="15" t="n">
        <f aca="false">IF(BH73&lt;Parametri_v3!$C$31,0,BV73+1)</f>
        <v>2</v>
      </c>
    </row>
    <row r="75" customFormat="false" ht="18" hidden="false" customHeight="true" outlineLevel="0" collapsed="false">
      <c r="A75" s="68" t="n">
        <f aca="false">2</f>
        <v>2</v>
      </c>
      <c r="B75" s="68" t="n">
        <f aca="false">11</f>
        <v>11</v>
      </c>
      <c r="C75" s="18" t="n">
        <f aca="false">Motore_Operativo!C75</f>
        <v>46692</v>
      </c>
      <c r="D75" s="68" t="n">
        <f aca="false">Motore_Operativo!D75</f>
        <v>2027</v>
      </c>
      <c r="E75" s="68" t="n">
        <f aca="false">Motore_Operativo!E75</f>
        <v>11</v>
      </c>
      <c r="F75" s="15" t="n">
        <f aca="false">Motore_Operativo!AM75</f>
        <v>16210.5263157895</v>
      </c>
      <c r="G75" s="15" t="n">
        <f aca="false">Motore_Operativo!BH75</f>
        <v>1621.05263157895</v>
      </c>
      <c r="H75" s="15" t="n">
        <f aca="false">Motore_Operativo!AM75</f>
        <v>16210.5263157895</v>
      </c>
      <c r="I75" s="15" t="n">
        <f aca="false">Motore_Operativo!CB75</f>
        <v>12114.5175438596</v>
      </c>
      <c r="J75" s="15" t="n">
        <f aca="false">Motore_Operativo!CD75</f>
        <v>4096.00877192982</v>
      </c>
      <c r="K75" s="15" t="n">
        <f aca="false">Motore_Operativo!CF75</f>
        <v>250</v>
      </c>
      <c r="L75" s="15" t="n">
        <f aca="false">SUM(INDEX($K$65:$K$124,MAX(1,11-Parametri_v3!$C$59+1)):K75)/Parametri_v3!$C$59</f>
        <v>76.3888888888889</v>
      </c>
      <c r="M75" s="15" t="n">
        <f aca="false">J75-L75</f>
        <v>4019.61988304094</v>
      </c>
      <c r="N75" s="15" t="n">
        <f aca="false">0</f>
        <v>0</v>
      </c>
      <c r="O75" s="15" t="n">
        <f aca="false">0</f>
        <v>0</v>
      </c>
      <c r="P75" s="15" t="n">
        <f aca="false">M75+N75-O75</f>
        <v>4019.61988304094</v>
      </c>
      <c r="Q75" s="15" t="n">
        <f aca="false">SUM(P65:P75)+Parametri_v3!$C$56*11/12</f>
        <v>44597.7631578947</v>
      </c>
      <c r="R75" s="15" t="n">
        <f aca="false">0</f>
        <v>0</v>
      </c>
      <c r="S75" s="15" t="n">
        <f aca="false">0</f>
        <v>0</v>
      </c>
      <c r="T75" s="15" t="n">
        <f aca="false">MIN(R75,MAX(0,Q75))</f>
        <v>0</v>
      </c>
      <c r="U75" s="15" t="n">
        <f aca="false">MIN(S75,MAX(0,Q75-T75)*Parametri_v3!$C$42)</f>
        <v>0</v>
      </c>
      <c r="V75" s="15" t="n">
        <f aca="false">MAX(0,Q75-T75-U75)*Ipotesi!$C$92</f>
        <v>10703.4631578947</v>
      </c>
      <c r="W75" s="15" t="n">
        <f aca="false">MAX(0,SUM(M65:M75)+Parametri_v3!$C$57*11/12)*Ipotesi!$C$93</f>
        <v>1739.31276315789</v>
      </c>
      <c r="X75" s="15" t="n">
        <f aca="false">V75+W75-(V74+W74)</f>
        <v>1121.47394736842</v>
      </c>
      <c r="Y75" s="15" t="n">
        <f aca="false">P75-X75</f>
        <v>2898.14593567252</v>
      </c>
      <c r="Z75" s="15" t="n">
        <f aca="false">R75-T75+IF(AND(Parametri_v3!$C$40=1,D75-YEAR(Parametri_v3!$C$50)&lt;Parametri_v3!$C$41),MAX(0,-Q75),0)</f>
        <v>0</v>
      </c>
      <c r="AA75" s="15" t="n">
        <f aca="false">S75-U75+IF(AND(Parametri_v3!$C$40=1,D75-YEAR(Parametri_v3!$C$50)&lt;Parametri_v3!$C$41),0,MAX(0,-Q75))</f>
        <v>0</v>
      </c>
      <c r="AB75" s="15" t="n">
        <f aca="false">F75*(1+Parametri_v3!$C$26)</f>
        <v>19776.8421052632</v>
      </c>
      <c r="AC75" s="15" t="n">
        <f aca="false">(IF(11-(INT((Motore_Operativo!L75)/30))&lt;1,0,INDEX(Motore_Advisory!$AB$65:$AB$124,MAX(1,11-(INT((Motore_Operativo!L75)/30)))))*(1-(MOD((Motore_Operativo!L75),30)/30))+IF(11-(INT((Motore_Operativo!L75)/30))-1&lt;1,0,INDEX(Motore_Advisory!$AB$65:$AB$124,MAX(1,11-(INT((Motore_Operativo!L75)/30))-1)))*(MOD((Motore_Operativo!L75),30)/30))</f>
        <v>19776.8421052632</v>
      </c>
      <c r="AD75" s="15" t="n">
        <f aca="false">(AD74)+AB75-AC75</f>
        <v>59330.5263157895</v>
      </c>
      <c r="AE75" s="15" t="n">
        <f aca="false">Motore_Operativo!BH75*(1+Parametri_v3!$C$26)</f>
        <v>1977.68421052632</v>
      </c>
      <c r="AF75" s="15" t="n">
        <f aca="false">(IF(11-(INT((Parametri_v3!$C$29)/30))&lt;1,0,INDEX(Motore_Operativo!$BH$65:$BH$124,MAX(1,11-(INT((Parametri_v3!$C$29)/30)))))*(1-(MOD((Parametri_v3!$C$29),30)/30))+IF(11-(INT((Parametri_v3!$C$29)/30))-1&lt;1,0,INDEX(Motore_Operativo!$BH$65:$BH$124,MAX(1,11-(INT((Parametri_v3!$C$29)/30))-1)))*(MOD((Parametri_v3!$C$29),30)/30))*(1+Parametri_v3!$C$26)</f>
        <v>1977.68421052632</v>
      </c>
      <c r="AG75" s="15" t="n">
        <f aca="false">(AG74)+AE75-AF75</f>
        <v>1977.68421052632</v>
      </c>
      <c r="AH75" s="15" t="n">
        <f aca="false">(Motore_Operativo!CK75)*(1+Parametri_v3!$C$28*Parametri_v3!$C$26)</f>
        <v>6166.3147368421</v>
      </c>
      <c r="AI75" s="15" t="n">
        <f aca="false">(IF(11-(INT((Ipotesi!$C$91)/30))&lt;1,0,INDEX(Motore_Advisory!$AH$65:$AH$124,MAX(1,11-(INT((Ipotesi!$C$91)/30)))))*(1-(MOD((Ipotesi!$C$91),30)/30))+IF(11-(INT((Ipotesi!$C$91)/30))-1&lt;1,0,INDEX(Motore_Advisory!$AH$65:$AH$124,MAX(1,11-(INT((Ipotesi!$C$91)/30))-1)))*(MOD((Ipotesi!$C$91),30)/30))</f>
        <v>6166.3147368421</v>
      </c>
      <c r="AJ75" s="15" t="n">
        <f aca="false">(AJ74)+AH75-AI75</f>
        <v>12332.6294736842</v>
      </c>
      <c r="AK75" s="15" t="n">
        <f aca="false">(F75- Motore_Operativo!BH75-(Motore_Operativo!CK75)*Parametri_v3!$C$28-Motore_Operativo!CF75)*Parametri_v3!$C$26</f>
        <v>2231.83438596491</v>
      </c>
      <c r="AL75" s="15" t="n">
        <f aca="false">MAX(0,(AM74))</f>
        <v>2231.83438596491</v>
      </c>
      <c r="AM75" s="15" t="n">
        <f aca="false">(AM74)+AK75-AL75</f>
        <v>2231.83438596491</v>
      </c>
      <c r="AN75" s="15" t="n">
        <f aca="false">0</f>
        <v>0</v>
      </c>
      <c r="AO75" s="15" t="n">
        <f aca="false">0</f>
        <v>0</v>
      </c>
      <c r="AP75" s="15" t="n">
        <f aca="false">MAX(0,AN75)*IF(11=Parametri_v3!$C$43,Parametri_v3!$C$45,IF(11=Parametri_v3!$C$44,1-Parametri_v3!$C$45,0))</f>
        <v>0</v>
      </c>
      <c r="AQ75" s="15" t="n">
        <f aca="false">MAX(0,AP75+IF(11=Parametri_v3!$C$43,MAX(0,AN75-AO75),0)-MAX(0,-(AR74)))</f>
        <v>0</v>
      </c>
      <c r="AR75" s="15" t="n">
        <f aca="false">(AR74)+X75-AQ75</f>
        <v>12442.7759210526</v>
      </c>
      <c r="AS75" s="15" t="n">
        <f aca="false">Motore_Operativo!AC75-AT75+AU75</f>
        <v>4987.5</v>
      </c>
      <c r="AT75" s="15" t="n">
        <f aca="false">Motore_Operativo!CI75</f>
        <v>262.5</v>
      </c>
      <c r="AU75" s="15" t="n">
        <f aca="false">MIN(MAX(0,(AV74)+AT75),Parametri_v3!$C$61/12)</f>
        <v>0</v>
      </c>
      <c r="AV75" s="15" t="n">
        <f aca="false">(AV74)+AT75-AU75</f>
        <v>2887.5</v>
      </c>
      <c r="AW75" s="15" t="n">
        <f aca="false">IF(AND(Motore_Operativo!C75=Finanziamenti!$D$7,Finanziamenti!$F$7=1),Finanziamenti!$C$7,0)</f>
        <v>0</v>
      </c>
      <c r="AX75" s="15" t="n">
        <f aca="false">0</f>
        <v>0</v>
      </c>
      <c r="AY75" s="15" t="n">
        <f aca="false">IF(11=Parametri_v3!$C$33,IF(BV75&lt;MIN(12,$B75-1),0,MIN(MAX(0,0)*Ipotesi!$C$94,MAX(0,(0)-(BO74)-BP75),MAX(0,BD75-Parametri_v3!$C$31))),0)</f>
        <v>0</v>
      </c>
      <c r="AZ75" s="15" t="n">
        <f aca="false">0</f>
        <v>0</v>
      </c>
      <c r="BA75" s="15" t="n">
        <f aca="false">0</f>
        <v>0</v>
      </c>
      <c r="BB75" s="15" t="n">
        <f aca="false">0</f>
        <v>0</v>
      </c>
      <c r="BC75" s="15" t="n">
        <f aca="false">0</f>
        <v>0</v>
      </c>
      <c r="BD75" s="15" t="n">
        <f aca="false">(BH74)+AC75-AF75-AI75-AS75-K75*(1+Parametri_v3!$C$26)-AL75-AQ75-O75+AW75+AX75+AZ75+BA75-BB75</f>
        <v>22405.218245614</v>
      </c>
      <c r="BE75" s="15" t="n">
        <f aca="false">0</f>
        <v>0</v>
      </c>
      <c r="BF75" s="15" t="n">
        <f aca="false">0</f>
        <v>0</v>
      </c>
      <c r="BG75" s="15" t="n">
        <f aca="false">0</f>
        <v>0</v>
      </c>
      <c r="BH75" s="15" t="n">
        <f aca="false">BD75+BE75-BF75-AY75</f>
        <v>22405.218245614</v>
      </c>
      <c r="BI75" s="15" t="n">
        <f aca="false">MAX(0,Parametri_v3!$C$31-BH75)</f>
        <v>0</v>
      </c>
      <c r="BJ75" s="15" t="n">
        <f aca="false">(BJ74)+K75</f>
        <v>2750</v>
      </c>
      <c r="BK75" s="15" t="n">
        <f aca="false">(BK74)+L75</f>
        <v>458.333333333333</v>
      </c>
      <c r="BL75" s="15" t="n">
        <f aca="false">BJ75-BK75</f>
        <v>2291.66666666667</v>
      </c>
      <c r="BM75" s="15" t="n">
        <f aca="false">(BM74)+Y75</f>
        <v>32154.9872368421</v>
      </c>
      <c r="BN75" s="15" t="n">
        <f aca="false">(BN74)+AW75+AX75+AZ75</f>
        <v>20000</v>
      </c>
      <c r="BO75" s="15" t="n">
        <f aca="false">(BO74)+AY75</f>
        <v>0</v>
      </c>
      <c r="BP75" s="15" t="n">
        <f aca="false">MIN(Parametri_v3!$C$36*Parametri_v3!$C$35,(BP74)+IF(11=1,MAX(0,0)*Parametri_v3!$C$34,0))</f>
        <v>0</v>
      </c>
      <c r="BQ75" s="15" t="n">
        <f aca="false">BN75+BM75-BO75</f>
        <v>52154.9872368421</v>
      </c>
      <c r="BR75" s="15" t="n">
        <f aca="false">BH75+AD75+BL75+MAX(0,-AM75)+MAX(0,-AR75)</f>
        <v>84027.4112280702</v>
      </c>
      <c r="BS75" s="15" t="n">
        <f aca="false">AJ75+AV75+MAX(0,AM75)+MAX(0,AR75)+BC75+BG75+BQ75+AG75</f>
        <v>84027.4112280702</v>
      </c>
      <c r="BT75" s="15" t="n">
        <f aca="false">BR75-BS75</f>
        <v>0</v>
      </c>
      <c r="BU75" s="15" t="n">
        <f aca="false">BH75-(BD75+BE75-BF75-AY75)</f>
        <v>0</v>
      </c>
      <c r="BV75" s="15" t="n">
        <f aca="false">IF(BH74&lt;Parametri_v3!$C$31,0,BV74+1)</f>
        <v>3</v>
      </c>
    </row>
    <row r="76" customFormat="false" ht="18" hidden="false" customHeight="true" outlineLevel="0" collapsed="false">
      <c r="A76" s="68" t="n">
        <f aca="false">2</f>
        <v>2</v>
      </c>
      <c r="B76" s="68" t="n">
        <f aca="false">12</f>
        <v>12</v>
      </c>
      <c r="C76" s="18" t="n">
        <f aca="false">Motore_Operativo!C76</f>
        <v>46722</v>
      </c>
      <c r="D76" s="68" t="n">
        <f aca="false">Motore_Operativo!D76</f>
        <v>2027</v>
      </c>
      <c r="E76" s="68" t="n">
        <f aca="false">Motore_Operativo!E76</f>
        <v>12</v>
      </c>
      <c r="F76" s="15" t="n">
        <f aca="false">Motore_Operativo!AM76</f>
        <v>16210.5263157895</v>
      </c>
      <c r="G76" s="15" t="n">
        <f aca="false">Motore_Operativo!BH76</f>
        <v>1621.05263157895</v>
      </c>
      <c r="H76" s="15" t="n">
        <f aca="false">Motore_Operativo!AM76</f>
        <v>16210.5263157895</v>
      </c>
      <c r="I76" s="15" t="n">
        <f aca="false">Motore_Operativo!CB76</f>
        <v>12114.5175438596</v>
      </c>
      <c r="J76" s="15" t="n">
        <f aca="false">Motore_Operativo!CD76</f>
        <v>4096.00877192982</v>
      </c>
      <c r="K76" s="15" t="n">
        <f aca="false">Motore_Operativo!CF76</f>
        <v>250</v>
      </c>
      <c r="L76" s="15" t="n">
        <f aca="false">SUM(INDEX($K$65:$K$124,MAX(1,12-Parametri_v3!$C$59+1)):K76)/Parametri_v3!$C$59</f>
        <v>83.3333333333333</v>
      </c>
      <c r="M76" s="15" t="n">
        <f aca="false">J76-L76</f>
        <v>4012.67543859649</v>
      </c>
      <c r="N76" s="15" t="n">
        <f aca="false">0</f>
        <v>0</v>
      </c>
      <c r="O76" s="15" t="n">
        <f aca="false">0</f>
        <v>0</v>
      </c>
      <c r="P76" s="15" t="n">
        <f aca="false">M76+N76-O76</f>
        <v>4012.67543859649</v>
      </c>
      <c r="Q76" s="15" t="n">
        <f aca="false">SUM(P65:P76)+Parametri_v3!$C$56*12/12</f>
        <v>48610.4385964912</v>
      </c>
      <c r="R76" s="15" t="n">
        <f aca="false">0</f>
        <v>0</v>
      </c>
      <c r="S76" s="15" t="n">
        <f aca="false">0</f>
        <v>0</v>
      </c>
      <c r="T76" s="15" t="n">
        <f aca="false">MIN(R76,MAX(0,Q76))</f>
        <v>0</v>
      </c>
      <c r="U76" s="15" t="n">
        <f aca="false">MIN(S76,MAX(0,Q76-T76)*Parametri_v3!$C$42)</f>
        <v>0</v>
      </c>
      <c r="V76" s="15" t="n">
        <f aca="false">MAX(0,Q76-T76-U76)*Ipotesi!$C$92</f>
        <v>11666.5052631579</v>
      </c>
      <c r="W76" s="15" t="n">
        <f aca="false">MAX(0,SUM(M65:M76)+Parametri_v3!$C$57*12/12)*Ipotesi!$C$93</f>
        <v>1895.80710526316</v>
      </c>
      <c r="X76" s="15" t="n">
        <f aca="false">V76+W76-(V75+W75)</f>
        <v>1119.53644736842</v>
      </c>
      <c r="Y76" s="15" t="n">
        <f aca="false">P76-X76</f>
        <v>2893.13899122807</v>
      </c>
      <c r="Z76" s="15" t="n">
        <f aca="false">R76-T76+IF(AND(Parametri_v3!$C$40=1,D76-YEAR(Parametri_v3!$C$50)&lt;Parametri_v3!$C$41),MAX(0,-Q76),0)</f>
        <v>0</v>
      </c>
      <c r="AA76" s="15" t="n">
        <f aca="false">S76-U76+IF(AND(Parametri_v3!$C$40=1,D76-YEAR(Parametri_v3!$C$50)&lt;Parametri_v3!$C$41),0,MAX(0,-Q76))</f>
        <v>0</v>
      </c>
      <c r="AB76" s="15" t="n">
        <f aca="false">F76*(1+Parametri_v3!$C$26)</f>
        <v>19776.8421052632</v>
      </c>
      <c r="AC76" s="15" t="n">
        <f aca="false">(IF(12-(INT((Motore_Operativo!L76)/30))&lt;1,0,INDEX(Motore_Advisory!$AB$65:$AB$124,MAX(1,12-(INT((Motore_Operativo!L76)/30)))))*(1-(MOD((Motore_Operativo!L76),30)/30))+IF(12-(INT((Motore_Operativo!L76)/30))-1&lt;1,0,INDEX(Motore_Advisory!$AB$65:$AB$124,MAX(1,12-(INT((Motore_Operativo!L76)/30))-1)))*(MOD((Motore_Operativo!L76),30)/30))</f>
        <v>19776.8421052632</v>
      </c>
      <c r="AD76" s="15" t="n">
        <f aca="false">(AD75)+AB76-AC76</f>
        <v>59330.5263157895</v>
      </c>
      <c r="AE76" s="15" t="n">
        <f aca="false">Motore_Operativo!BH76*(1+Parametri_v3!$C$26)</f>
        <v>1977.68421052632</v>
      </c>
      <c r="AF76" s="15" t="n">
        <f aca="false">(IF(12-(INT((Parametri_v3!$C$29)/30))&lt;1,0,INDEX(Motore_Operativo!$BH$65:$BH$124,MAX(1,12-(INT((Parametri_v3!$C$29)/30)))))*(1-(MOD((Parametri_v3!$C$29),30)/30))+IF(12-(INT((Parametri_v3!$C$29)/30))-1&lt;1,0,INDEX(Motore_Operativo!$BH$65:$BH$124,MAX(1,12-(INT((Parametri_v3!$C$29)/30))-1)))*(MOD((Parametri_v3!$C$29),30)/30))*(1+Parametri_v3!$C$26)</f>
        <v>1977.68421052632</v>
      </c>
      <c r="AG76" s="15" t="n">
        <f aca="false">(AG75)+AE76-AF76</f>
        <v>1977.68421052632</v>
      </c>
      <c r="AH76" s="15" t="n">
        <f aca="false">(Motore_Operativo!CK76)*(1+Parametri_v3!$C$28*Parametri_v3!$C$26)</f>
        <v>6166.3147368421</v>
      </c>
      <c r="AI76" s="15" t="n">
        <f aca="false">(IF(12-(INT((Ipotesi!$C$91)/30))&lt;1,0,INDEX(Motore_Advisory!$AH$65:$AH$124,MAX(1,12-(INT((Ipotesi!$C$91)/30)))))*(1-(MOD((Ipotesi!$C$91),30)/30))+IF(12-(INT((Ipotesi!$C$91)/30))-1&lt;1,0,INDEX(Motore_Advisory!$AH$65:$AH$124,MAX(1,12-(INT((Ipotesi!$C$91)/30))-1)))*(MOD((Ipotesi!$C$91),30)/30))</f>
        <v>6166.3147368421</v>
      </c>
      <c r="AJ76" s="15" t="n">
        <f aca="false">(AJ75)+AH76-AI76</f>
        <v>12332.6294736842</v>
      </c>
      <c r="AK76" s="15" t="n">
        <f aca="false">(F76- Motore_Operativo!BH76-(Motore_Operativo!CK76)*Parametri_v3!$C$28-Motore_Operativo!CF76)*Parametri_v3!$C$26</f>
        <v>2231.83438596491</v>
      </c>
      <c r="AL76" s="15" t="n">
        <f aca="false">MAX(0,(AM75))</f>
        <v>2231.83438596491</v>
      </c>
      <c r="AM76" s="15" t="n">
        <f aca="false">(AM75)+AK76-AL76</f>
        <v>2231.83438596491</v>
      </c>
      <c r="AN76" s="15" t="n">
        <f aca="false">0</f>
        <v>0</v>
      </c>
      <c r="AO76" s="15" t="n">
        <f aca="false">0</f>
        <v>0</v>
      </c>
      <c r="AP76" s="15" t="n">
        <f aca="false">MAX(0,AN76)*IF(12=Parametri_v3!$C$43,Parametri_v3!$C$45,IF(12=Parametri_v3!$C$44,1-Parametri_v3!$C$45,0))</f>
        <v>0</v>
      </c>
      <c r="AQ76" s="15" t="n">
        <f aca="false">MAX(0,AP76+IF(12=Parametri_v3!$C$43,MAX(0,AN76-AO76),0)-MAX(0,-(AR75)))</f>
        <v>0</v>
      </c>
      <c r="AR76" s="15" t="n">
        <f aca="false">(AR75)+X76-AQ76</f>
        <v>13562.3123684211</v>
      </c>
      <c r="AS76" s="15" t="n">
        <f aca="false">Motore_Operativo!AC76-AT76+AU76</f>
        <v>4987.5</v>
      </c>
      <c r="AT76" s="15" t="n">
        <f aca="false">Motore_Operativo!CI76</f>
        <v>262.5</v>
      </c>
      <c r="AU76" s="15" t="n">
        <f aca="false">MIN(MAX(0,(AV75)+AT76),Parametri_v3!$C$61/12)</f>
        <v>0</v>
      </c>
      <c r="AV76" s="15" t="n">
        <f aca="false">(AV75)+AT76-AU76</f>
        <v>3150</v>
      </c>
      <c r="AW76" s="15" t="n">
        <f aca="false">IF(AND(Motore_Operativo!C76=Finanziamenti!$D$7,Finanziamenti!$F$7=1),Finanziamenti!$C$7,0)</f>
        <v>0</v>
      </c>
      <c r="AX76" s="15" t="n">
        <f aca="false">0</f>
        <v>0</v>
      </c>
      <c r="AY76" s="15" t="n">
        <f aca="false">IF(12=Parametri_v3!$C$33,IF(BV76&lt;MIN(12,$B76-1),0,MIN(MAX(0,0)*Ipotesi!$C$94,MAX(0,(0)-(BO75)-BP76),MAX(0,BD76-Parametri_v3!$C$31))),0)</f>
        <v>0</v>
      </c>
      <c r="AZ76" s="15" t="n">
        <f aca="false">0</f>
        <v>0</v>
      </c>
      <c r="BA76" s="15" t="n">
        <f aca="false">0</f>
        <v>0</v>
      </c>
      <c r="BB76" s="15" t="n">
        <f aca="false">0</f>
        <v>0</v>
      </c>
      <c r="BC76" s="15" t="n">
        <f aca="false">0</f>
        <v>0</v>
      </c>
      <c r="BD76" s="15" t="n">
        <f aca="false">(BH75)+AC76-AF76-AI76-AS76-K76*(1+Parametri_v3!$C$26)-AL76-AQ76-O76+AW76+AX76+AZ76+BA76-BB76</f>
        <v>26513.7270175439</v>
      </c>
      <c r="BE76" s="15" t="n">
        <f aca="false">0</f>
        <v>0</v>
      </c>
      <c r="BF76" s="15" t="n">
        <f aca="false">0</f>
        <v>0</v>
      </c>
      <c r="BG76" s="15" t="n">
        <f aca="false">0</f>
        <v>0</v>
      </c>
      <c r="BH76" s="15" t="n">
        <f aca="false">BD76+BE76-BF76-AY76</f>
        <v>26513.7270175439</v>
      </c>
      <c r="BI76" s="15" t="n">
        <f aca="false">MAX(0,Parametri_v3!$C$31-BH76)</f>
        <v>0</v>
      </c>
      <c r="BJ76" s="15" t="n">
        <f aca="false">(BJ75)+K76</f>
        <v>3000</v>
      </c>
      <c r="BK76" s="15" t="n">
        <f aca="false">(BK75)+L76</f>
        <v>541.666666666667</v>
      </c>
      <c r="BL76" s="15" t="n">
        <f aca="false">BJ76-BK76</f>
        <v>2458.33333333333</v>
      </c>
      <c r="BM76" s="15" t="n">
        <f aca="false">(BM75)+Y76</f>
        <v>35048.1262280702</v>
      </c>
      <c r="BN76" s="15" t="n">
        <f aca="false">(BN75)+AW76+AX76+AZ76</f>
        <v>20000</v>
      </c>
      <c r="BO76" s="15" t="n">
        <f aca="false">(BO75)+AY76</f>
        <v>0</v>
      </c>
      <c r="BP76" s="15" t="n">
        <f aca="false">MIN(Parametri_v3!$C$36*Parametri_v3!$C$35,(BP75)+IF(12=1,MAX(0,0)*Parametri_v3!$C$34,0))</f>
        <v>0</v>
      </c>
      <c r="BQ76" s="15" t="n">
        <f aca="false">BN76+BM76-BO76</f>
        <v>55048.1262280702</v>
      </c>
      <c r="BR76" s="15" t="n">
        <f aca="false">BH76+AD76+BL76+MAX(0,-AM76)+MAX(0,-AR76)</f>
        <v>88302.5866666666</v>
      </c>
      <c r="BS76" s="15" t="n">
        <f aca="false">AJ76+AV76+MAX(0,AM76)+MAX(0,AR76)+BC76+BG76+BQ76+AG76</f>
        <v>88302.5866666667</v>
      </c>
      <c r="BT76" s="15" t="n">
        <f aca="false">BR76-BS76</f>
        <v>0</v>
      </c>
      <c r="BU76" s="15" t="n">
        <f aca="false">BH76-(BD76+BE76-BF76-AY76)</f>
        <v>0</v>
      </c>
      <c r="BV76" s="15" t="n">
        <f aca="false">IF(BH75&lt;Parametri_v3!$C$31,0,BV75+1)</f>
        <v>4</v>
      </c>
    </row>
    <row r="77" customFormat="false" ht="18" hidden="false" customHeight="true" outlineLevel="0" collapsed="false">
      <c r="A77" s="68" t="n">
        <f aca="false">2</f>
        <v>2</v>
      </c>
      <c r="B77" s="68" t="n">
        <f aca="false">13</f>
        <v>13</v>
      </c>
      <c r="C77" s="18" t="n">
        <f aca="false">Motore_Operativo!C77</f>
        <v>46753</v>
      </c>
      <c r="D77" s="68" t="n">
        <f aca="false">Motore_Operativo!D77</f>
        <v>2028</v>
      </c>
      <c r="E77" s="68" t="n">
        <f aca="false">Motore_Operativo!E77</f>
        <v>1</v>
      </c>
      <c r="F77" s="15" t="n">
        <f aca="false">Motore_Operativo!AM77</f>
        <v>33981.220657277</v>
      </c>
      <c r="G77" s="15" t="n">
        <f aca="false">Motore_Operativo!BH77</f>
        <v>3398.1220657277</v>
      </c>
      <c r="H77" s="15" t="n">
        <f aca="false">Motore_Operativo!AM77</f>
        <v>33981.220657277</v>
      </c>
      <c r="I77" s="15" t="n">
        <f aca="false">Motore_Operativo!CB77</f>
        <v>28885.3286384976</v>
      </c>
      <c r="J77" s="15" t="n">
        <f aca="false">Motore_Operativo!CD77</f>
        <v>5095.89201877934</v>
      </c>
      <c r="K77" s="15" t="n">
        <f aca="false">Motore_Operativo!CF77</f>
        <v>416.666666666667</v>
      </c>
      <c r="L77" s="15" t="n">
        <f aca="false">SUM(INDEX($K$65:$K$124,MAX(1,13-Parametri_v3!$C$59+1)):K77)/Parametri_v3!$C$59</f>
        <v>94.9074074074074</v>
      </c>
      <c r="M77" s="15" t="n">
        <f aca="false">J77-L77</f>
        <v>5000.98461137193</v>
      </c>
      <c r="N77" s="15" t="n">
        <f aca="false">0</f>
        <v>0</v>
      </c>
      <c r="O77" s="15" t="n">
        <f aca="false">0</f>
        <v>0</v>
      </c>
      <c r="P77" s="15" t="n">
        <f aca="false">M77+N77-O77</f>
        <v>5000.98461137193</v>
      </c>
      <c r="Q77" s="15" t="n">
        <f aca="false">SUM(P77)+Parametri_v3!$C$56*1/12</f>
        <v>5000.98461137193</v>
      </c>
      <c r="R77" s="15" t="n">
        <f aca="false">Z76</f>
        <v>0</v>
      </c>
      <c r="S77" s="15" t="n">
        <f aca="false">AA76</f>
        <v>0</v>
      </c>
      <c r="T77" s="15" t="n">
        <f aca="false">MIN(R77,MAX(0,Q77))</f>
        <v>0</v>
      </c>
      <c r="U77" s="15" t="n">
        <f aca="false">MIN(S77,MAX(0,Q77-T77)*Parametri_v3!$C$42)</f>
        <v>0</v>
      </c>
      <c r="V77" s="15" t="n">
        <f aca="false">MAX(0,Q77-T77-U77)*Ipotesi!$C$92</f>
        <v>1200.23630672926</v>
      </c>
      <c r="W77" s="15" t="n">
        <f aca="false">MAX(0,SUM(M77)+Parametri_v3!$C$57*1/12)*Ipotesi!$C$93</f>
        <v>195.038399843505</v>
      </c>
      <c r="X77" s="15" t="n">
        <f aca="false">V77+W77-(0)</f>
        <v>1395.27470657277</v>
      </c>
      <c r="Y77" s="15" t="n">
        <f aca="false">P77-X77</f>
        <v>3605.70990479916</v>
      </c>
      <c r="Z77" s="15" t="n">
        <f aca="false">R77-T77+IF(AND(Parametri_v3!$C$40=1,D77-YEAR(Parametri_v3!$C$50)&lt;Parametri_v3!$C$41),MAX(0,-Q77),0)</f>
        <v>0</v>
      </c>
      <c r="AA77" s="15" t="n">
        <f aca="false">S77-U77+IF(AND(Parametri_v3!$C$40=1,D77-YEAR(Parametri_v3!$C$50)&lt;Parametri_v3!$C$41),0,MAX(0,-Q77))</f>
        <v>0</v>
      </c>
      <c r="AB77" s="15" t="n">
        <f aca="false">F77*(1+Parametri_v3!$C$26)</f>
        <v>41457.0892018779</v>
      </c>
      <c r="AC77" s="15" t="n">
        <f aca="false">(IF(13-(INT((Motore_Operativo!L77)/30))&lt;1,0,INDEX(Motore_Advisory!$AB$65:$AB$124,MAX(1,13-(INT((Motore_Operativo!L77)/30)))))*(1-(MOD((Motore_Operativo!L77),30)/30))+IF(13-(INT((Motore_Operativo!L77)/30))-1&lt;1,0,INDEX(Motore_Advisory!$AB$65:$AB$124,MAX(1,13-(INT((Motore_Operativo!L77)/30))-1)))*(MOD((Motore_Operativo!L77),30)/30))</f>
        <v>19776.8421052632</v>
      </c>
      <c r="AD77" s="15" t="n">
        <f aca="false">(AD76)+AB77-AC77</f>
        <v>81010.7734124042</v>
      </c>
      <c r="AE77" s="15" t="n">
        <f aca="false">Motore_Operativo!BH77*(1+Parametri_v3!$C$26)</f>
        <v>4145.70892018779</v>
      </c>
      <c r="AF77" s="15" t="n">
        <f aca="false">(IF(13-(INT((Parametri_v3!$C$29)/30))&lt;1,0,INDEX(Motore_Operativo!$BH$65:$BH$124,MAX(1,13-(INT((Parametri_v3!$C$29)/30)))))*(1-(MOD((Parametri_v3!$C$29),30)/30))+IF(13-(INT((Parametri_v3!$C$29)/30))-1&lt;1,0,INDEX(Motore_Operativo!$BH$65:$BH$124,MAX(1,13-(INT((Parametri_v3!$C$29)/30))-1)))*(MOD((Parametri_v3!$C$29),30)/30))*(1+Parametri_v3!$C$26)</f>
        <v>1977.68421052632</v>
      </c>
      <c r="AG77" s="15" t="n">
        <f aca="false">(AG76)+AE77-AF77</f>
        <v>4145.70892018779</v>
      </c>
      <c r="AH77" s="15" t="n">
        <f aca="false">(Motore_Operativo!CK77)*(1+Parametri_v3!$C$28*Parametri_v3!$C$26)</f>
        <v>11198.1149295775</v>
      </c>
      <c r="AI77" s="15" t="n">
        <f aca="false">(IF(13-(INT((Ipotesi!$C$91)/30))&lt;1,0,INDEX(Motore_Advisory!$AH$65:$AH$124,MAX(1,13-(INT((Ipotesi!$C$91)/30)))))*(1-(MOD((Ipotesi!$C$91),30)/30))+IF(13-(INT((Ipotesi!$C$91)/30))-1&lt;1,0,INDEX(Motore_Advisory!$AH$65:$AH$124,MAX(1,13-(INT((Ipotesi!$C$91)/30))-1)))*(MOD((Ipotesi!$C$91),30)/30))</f>
        <v>6166.3147368421</v>
      </c>
      <c r="AJ77" s="15" t="n">
        <f aca="false">(AJ76)+AH77-AI77</f>
        <v>17364.4296664196</v>
      </c>
      <c r="AK77" s="15" t="n">
        <f aca="false">(F77- Motore_Operativo!BH77-(Motore_Operativo!CK77)*Parametri_v3!$C$28-Motore_Operativo!CF77)*Parametri_v3!$C$26</f>
        <v>4960.70666666667</v>
      </c>
      <c r="AL77" s="15" t="n">
        <f aca="false">MAX(0,(AM76))</f>
        <v>2231.83438596491</v>
      </c>
      <c r="AM77" s="15" t="n">
        <f aca="false">(AM76)+AK77-AL77</f>
        <v>4960.70666666667</v>
      </c>
      <c r="AN77" s="15" t="n">
        <f aca="false">SUM(X65:X76)</f>
        <v>13562.3123684211</v>
      </c>
      <c r="AO77" s="15" t="n">
        <f aca="false">SUM(AP65:AP76)</f>
        <v>0</v>
      </c>
      <c r="AP77" s="15" t="n">
        <f aca="false">MAX(0,AN77)*IF(1=Parametri_v3!$C$43,Parametri_v3!$C$45,IF(1=Parametri_v3!$C$44,1-Parametri_v3!$C$45,0))</f>
        <v>0</v>
      </c>
      <c r="AQ77" s="15" t="n">
        <f aca="false">MAX(0,AP77+IF(1=Parametri_v3!$C$43,MAX(0,AN77-AO77),0)-MAX(0,-(AR76)))</f>
        <v>0</v>
      </c>
      <c r="AR77" s="15" t="n">
        <f aca="false">(AR76)+X77-AQ77</f>
        <v>14957.5870749938</v>
      </c>
      <c r="AS77" s="15" t="n">
        <f aca="false">Motore_Operativo!AC77-AT77+AU77</f>
        <v>15166.75</v>
      </c>
      <c r="AT77" s="15" t="n">
        <f aca="false">Motore_Operativo!CI77</f>
        <v>798.25</v>
      </c>
      <c r="AU77" s="15" t="n">
        <f aca="false">MIN(MAX(0,(AV76)+AT77),Parametri_v3!$C$61/12)</f>
        <v>0</v>
      </c>
      <c r="AV77" s="15" t="n">
        <f aca="false">(AV76)+AT77-AU77</f>
        <v>3948.25</v>
      </c>
      <c r="AW77" s="15" t="n">
        <f aca="false">IF(AND(Motore_Operativo!C77=Finanziamenti!$D$7,Finanziamenti!$F$7=1),Finanziamenti!$C$7,0)</f>
        <v>0</v>
      </c>
      <c r="AX77" s="15" t="n">
        <f aca="false">0</f>
        <v>0</v>
      </c>
      <c r="AY77" s="15" t="n">
        <f aca="false">IF(1=Parametri_v3!$C$33,IF(BV77&lt;MIN(12,$B77-1),0,MIN(MAX(0,SUM(Y65:Y76))*Ipotesi!$C$94,MAX(0,(BM76)-(BO76)-BP77),MAX(0,BD77-Parametri_v3!$C$31))),0)</f>
        <v>0</v>
      </c>
      <c r="AZ77" s="15" t="n">
        <f aca="false">0</f>
        <v>0</v>
      </c>
      <c r="BA77" s="15" t="n">
        <f aca="false">0</f>
        <v>0</v>
      </c>
      <c r="BB77" s="15" t="n">
        <f aca="false">0</f>
        <v>0</v>
      </c>
      <c r="BC77" s="15" t="n">
        <f aca="false">0</f>
        <v>0</v>
      </c>
      <c r="BD77" s="15" t="n">
        <f aca="false">(BH76)+AC77-AF77-AI77-AS77-K77*(1+Parametri_v3!$C$26)-AL77-AQ77-O77+AW77+AX77+AZ77+BA77-BB77</f>
        <v>20239.6524561403</v>
      </c>
      <c r="BE77" s="15" t="n">
        <f aca="false">0</f>
        <v>0</v>
      </c>
      <c r="BF77" s="15" t="n">
        <f aca="false">0</f>
        <v>0</v>
      </c>
      <c r="BG77" s="15" t="n">
        <f aca="false">0</f>
        <v>0</v>
      </c>
      <c r="BH77" s="15" t="n">
        <f aca="false">BD77+BE77-BF77-AY77</f>
        <v>20239.6524561403</v>
      </c>
      <c r="BI77" s="15" t="n">
        <f aca="false">MAX(0,Parametri_v3!$C$31-BH77)</f>
        <v>0</v>
      </c>
      <c r="BJ77" s="15" t="n">
        <f aca="false">(BJ76)+K77</f>
        <v>3416.66666666667</v>
      </c>
      <c r="BK77" s="15" t="n">
        <f aca="false">(BK76)+L77</f>
        <v>636.574074074074</v>
      </c>
      <c r="BL77" s="15" t="n">
        <f aca="false">BJ77-BK77</f>
        <v>2780.09259259259</v>
      </c>
      <c r="BM77" s="15" t="n">
        <f aca="false">(BM76)+Y77</f>
        <v>38653.8361328693</v>
      </c>
      <c r="BN77" s="15" t="n">
        <f aca="false">(BN76)+AW77+AX77+AZ77</f>
        <v>20000</v>
      </c>
      <c r="BO77" s="15" t="n">
        <f aca="false">(BO76)+AY77</f>
        <v>0</v>
      </c>
      <c r="BP77" s="15" t="n">
        <f aca="false">MIN(Parametri_v3!$C$36*Parametri_v3!$C$35,(BP76)+IF(1=1,MAX(0,SUM(Y65:Y76))*Parametri_v3!$C$34,0))</f>
        <v>1752.40631140351</v>
      </c>
      <c r="BQ77" s="15" t="n">
        <f aca="false">BN77+BM77-BO77</f>
        <v>58653.8361328693</v>
      </c>
      <c r="BR77" s="15" t="n">
        <f aca="false">BH77+AD77+BL77+MAX(0,-AM77)+MAX(0,-AR77)</f>
        <v>104030.518461137</v>
      </c>
      <c r="BS77" s="15" t="n">
        <f aca="false">AJ77+AV77+MAX(0,AM77)+MAX(0,AR77)+BC77+BG77+BQ77+AG77</f>
        <v>104030.518461137</v>
      </c>
      <c r="BT77" s="15" t="n">
        <f aca="false">BR77-BS77</f>
        <v>0</v>
      </c>
      <c r="BU77" s="15" t="n">
        <f aca="false">BH77-(BD77+BE77-BF77-AY77)</f>
        <v>0</v>
      </c>
      <c r="BV77" s="15" t="n">
        <f aca="false">IF(BH76&lt;Parametri_v3!$C$31,0,BV76+1)</f>
        <v>5</v>
      </c>
    </row>
    <row r="78" customFormat="false" ht="18" hidden="false" customHeight="true" outlineLevel="0" collapsed="false">
      <c r="A78" s="68" t="n">
        <f aca="false">2</f>
        <v>2</v>
      </c>
      <c r="B78" s="68" t="n">
        <f aca="false">14</f>
        <v>14</v>
      </c>
      <c r="C78" s="18" t="n">
        <f aca="false">Motore_Operativo!C78</f>
        <v>46784</v>
      </c>
      <c r="D78" s="68" t="n">
        <f aca="false">Motore_Operativo!D78</f>
        <v>2028</v>
      </c>
      <c r="E78" s="68" t="n">
        <f aca="false">Motore_Operativo!E78</f>
        <v>2</v>
      </c>
      <c r="F78" s="15" t="n">
        <f aca="false">Motore_Operativo!AM78</f>
        <v>33981.220657277</v>
      </c>
      <c r="G78" s="15" t="n">
        <f aca="false">Motore_Operativo!BH78</f>
        <v>3398.1220657277</v>
      </c>
      <c r="H78" s="15" t="n">
        <f aca="false">Motore_Operativo!AM78</f>
        <v>33981.220657277</v>
      </c>
      <c r="I78" s="15" t="n">
        <f aca="false">Motore_Operativo!CB78</f>
        <v>28885.3286384976</v>
      </c>
      <c r="J78" s="15" t="n">
        <f aca="false">Motore_Operativo!CD78</f>
        <v>5095.89201877934</v>
      </c>
      <c r="K78" s="15" t="n">
        <f aca="false">Motore_Operativo!CF78</f>
        <v>416.666666666667</v>
      </c>
      <c r="L78" s="15" t="n">
        <f aca="false">SUM(INDEX($K$65:$K$124,MAX(1,14-Parametri_v3!$C$59+1)):K78)/Parametri_v3!$C$59</f>
        <v>106.481481481481</v>
      </c>
      <c r="M78" s="15" t="n">
        <f aca="false">J78-L78</f>
        <v>4989.41053729786</v>
      </c>
      <c r="N78" s="15" t="n">
        <f aca="false">0</f>
        <v>0</v>
      </c>
      <c r="O78" s="15" t="n">
        <f aca="false">0</f>
        <v>0</v>
      </c>
      <c r="P78" s="15" t="n">
        <f aca="false">M78+N78-O78</f>
        <v>4989.41053729786</v>
      </c>
      <c r="Q78" s="15" t="n">
        <f aca="false">SUM(P77:P78)+Parametri_v3!$C$56*2/12</f>
        <v>9990.39514866979</v>
      </c>
      <c r="R78" s="15" t="n">
        <f aca="false">Z76</f>
        <v>0</v>
      </c>
      <c r="S78" s="15" t="n">
        <f aca="false">AA76</f>
        <v>0</v>
      </c>
      <c r="T78" s="15" t="n">
        <f aca="false">MIN(R78,MAX(0,Q78))</f>
        <v>0</v>
      </c>
      <c r="U78" s="15" t="n">
        <f aca="false">MIN(S78,MAX(0,Q78-T78)*Parametri_v3!$C$42)</f>
        <v>0</v>
      </c>
      <c r="V78" s="15" t="n">
        <f aca="false">MAX(0,Q78-T78-U78)*Ipotesi!$C$92</f>
        <v>2397.69483568075</v>
      </c>
      <c r="W78" s="15" t="n">
        <f aca="false">MAX(0,SUM(M77:M78)+Parametri_v3!$C$57*2/12)*Ipotesi!$C$93</f>
        <v>389.625410798122</v>
      </c>
      <c r="X78" s="15" t="n">
        <f aca="false">V78+W78-(V77+W77)</f>
        <v>1392.0455399061</v>
      </c>
      <c r="Y78" s="15" t="n">
        <f aca="false">P78-X78</f>
        <v>3597.36499739176</v>
      </c>
      <c r="Z78" s="15" t="n">
        <f aca="false">R78-T78+IF(AND(Parametri_v3!$C$40=1,D78-YEAR(Parametri_v3!$C$50)&lt;Parametri_v3!$C$41),MAX(0,-Q78),0)</f>
        <v>0</v>
      </c>
      <c r="AA78" s="15" t="n">
        <f aca="false">S78-U78+IF(AND(Parametri_v3!$C$40=1,D78-YEAR(Parametri_v3!$C$50)&lt;Parametri_v3!$C$41),0,MAX(0,-Q78))</f>
        <v>0</v>
      </c>
      <c r="AB78" s="15" t="n">
        <f aca="false">F78*(1+Parametri_v3!$C$26)</f>
        <v>41457.0892018779</v>
      </c>
      <c r="AC78" s="15" t="n">
        <f aca="false">(IF(14-(INT((Motore_Operativo!L78)/30))&lt;1,0,INDEX(Motore_Advisory!$AB$65:$AB$124,MAX(1,14-(INT((Motore_Operativo!L78)/30)))))*(1-(MOD((Motore_Operativo!L78),30)/30))+IF(14-(INT((Motore_Operativo!L78)/30))-1&lt;1,0,INDEX(Motore_Advisory!$AB$65:$AB$124,MAX(1,14-(INT((Motore_Operativo!L78)/30))-1)))*(MOD((Motore_Operativo!L78),30)/30))</f>
        <v>19776.8421052632</v>
      </c>
      <c r="AD78" s="15" t="n">
        <f aca="false">(AD77)+AB78-AC78</f>
        <v>102691.020509019</v>
      </c>
      <c r="AE78" s="15" t="n">
        <f aca="false">Motore_Operativo!BH78*(1+Parametri_v3!$C$26)</f>
        <v>4145.70892018779</v>
      </c>
      <c r="AF78" s="15" t="n">
        <f aca="false">(IF(14-(INT((Parametri_v3!$C$29)/30))&lt;1,0,INDEX(Motore_Operativo!$BH$65:$BH$124,MAX(1,14-(INT((Parametri_v3!$C$29)/30)))))*(1-(MOD((Parametri_v3!$C$29),30)/30))+IF(14-(INT((Parametri_v3!$C$29)/30))-1&lt;1,0,INDEX(Motore_Operativo!$BH$65:$BH$124,MAX(1,14-(INT((Parametri_v3!$C$29)/30))-1)))*(MOD((Parametri_v3!$C$29),30)/30))*(1+Parametri_v3!$C$26)</f>
        <v>4145.70892018779</v>
      </c>
      <c r="AG78" s="15" t="n">
        <f aca="false">(AG77)+AE78-AF78</f>
        <v>4145.70892018779</v>
      </c>
      <c r="AH78" s="15" t="n">
        <f aca="false">(Motore_Operativo!CK78)*(1+Parametri_v3!$C$28*Parametri_v3!$C$26)</f>
        <v>11198.1149295775</v>
      </c>
      <c r="AI78" s="15" t="n">
        <f aca="false">(IF(14-(INT((Ipotesi!$C$91)/30))&lt;1,0,INDEX(Motore_Advisory!$AH$65:$AH$124,MAX(1,14-(INT((Ipotesi!$C$91)/30)))))*(1-(MOD((Ipotesi!$C$91),30)/30))+IF(14-(INT((Ipotesi!$C$91)/30))-1&lt;1,0,INDEX(Motore_Advisory!$AH$65:$AH$124,MAX(1,14-(INT((Ipotesi!$C$91)/30))-1)))*(MOD((Ipotesi!$C$91),30)/30))</f>
        <v>6166.3147368421</v>
      </c>
      <c r="AJ78" s="15" t="n">
        <f aca="false">(AJ77)+AH78-AI78</f>
        <v>22396.2298591549</v>
      </c>
      <c r="AK78" s="15" t="n">
        <f aca="false">(F78- Motore_Operativo!BH78-(Motore_Operativo!CK78)*Parametri_v3!$C$28-Motore_Operativo!CF78)*Parametri_v3!$C$26</f>
        <v>4960.70666666667</v>
      </c>
      <c r="AL78" s="15" t="n">
        <f aca="false">MAX(0,(AM77))</f>
        <v>4960.70666666667</v>
      </c>
      <c r="AM78" s="15" t="n">
        <f aca="false">(AM77)+AK78-AL78</f>
        <v>4960.70666666667</v>
      </c>
      <c r="AN78" s="15" t="n">
        <f aca="false">SUM(X65:X76)</f>
        <v>13562.3123684211</v>
      </c>
      <c r="AO78" s="15" t="n">
        <f aca="false">SUM(AP65:AP76)</f>
        <v>0</v>
      </c>
      <c r="AP78" s="15" t="n">
        <f aca="false">MAX(0,AN78)*IF(2=Parametri_v3!$C$43,Parametri_v3!$C$45,IF(2=Parametri_v3!$C$44,1-Parametri_v3!$C$45,0))</f>
        <v>0</v>
      </c>
      <c r="AQ78" s="15" t="n">
        <f aca="false">MAX(0,AP78+IF(2=Parametri_v3!$C$43,MAX(0,AN78-AO78),0)-MAX(0,-(AR77)))</f>
        <v>0</v>
      </c>
      <c r="AR78" s="15" t="n">
        <f aca="false">(AR77)+X78-AQ78</f>
        <v>16349.6326148999</v>
      </c>
      <c r="AS78" s="15" t="n">
        <f aca="false">Motore_Operativo!AC78-AT78+AU78</f>
        <v>15166.75</v>
      </c>
      <c r="AT78" s="15" t="n">
        <f aca="false">Motore_Operativo!CI78</f>
        <v>798.25</v>
      </c>
      <c r="AU78" s="15" t="n">
        <f aca="false">MIN(MAX(0,(AV77)+AT78),Parametri_v3!$C$61/12)</f>
        <v>0</v>
      </c>
      <c r="AV78" s="15" t="n">
        <f aca="false">(AV77)+AT78-AU78</f>
        <v>4746.5</v>
      </c>
      <c r="AW78" s="15" t="n">
        <f aca="false">IF(AND(Motore_Operativo!C78=Finanziamenti!$D$7,Finanziamenti!$F$7=1),Finanziamenti!$C$7,0)</f>
        <v>0</v>
      </c>
      <c r="AX78" s="15" t="n">
        <f aca="false">0</f>
        <v>0</v>
      </c>
      <c r="AY78" s="15" t="n">
        <f aca="false">IF(2=Parametri_v3!$C$33,IF(BV78&lt;MIN(12,$B78-1),0,MIN(MAX(0,SUM(Y65:Y76))*Ipotesi!$C$94,MAX(0,(BM76)-(BO77)-BP78),MAX(0,BD78-Parametri_v3!$C$31))),0)</f>
        <v>0</v>
      </c>
      <c r="AZ78" s="15" t="n">
        <f aca="false">0</f>
        <v>0</v>
      </c>
      <c r="BA78" s="15" t="n">
        <f aca="false">0</f>
        <v>0</v>
      </c>
      <c r="BB78" s="15" t="n">
        <f aca="false">0</f>
        <v>0</v>
      </c>
      <c r="BC78" s="15" t="n">
        <f aca="false">0</f>
        <v>0</v>
      </c>
      <c r="BD78" s="15" t="n">
        <f aca="false">(BH77)+AC78-AF78-AI78-AS78-K78*(1+Parametri_v3!$C$26)-AL78-AQ78-O78+AW78+AX78+AZ78+BA78-BB78</f>
        <v>9068.6809043736</v>
      </c>
      <c r="BE78" s="15" t="n">
        <f aca="false">0</f>
        <v>0</v>
      </c>
      <c r="BF78" s="15" t="n">
        <f aca="false">0</f>
        <v>0</v>
      </c>
      <c r="BG78" s="15" t="n">
        <f aca="false">0</f>
        <v>0</v>
      </c>
      <c r="BH78" s="15" t="n">
        <f aca="false">BD78+BE78-BF78-AY78</f>
        <v>9068.6809043736</v>
      </c>
      <c r="BI78" s="15" t="n">
        <f aca="false">MAX(0,Parametri_v3!$C$31-BH78)</f>
        <v>931.319095626399</v>
      </c>
      <c r="BJ78" s="15" t="n">
        <f aca="false">(BJ77)+K78</f>
        <v>3833.33333333333</v>
      </c>
      <c r="BK78" s="15" t="n">
        <f aca="false">(BK77)+L78</f>
        <v>743.055555555556</v>
      </c>
      <c r="BL78" s="15" t="n">
        <f aca="false">BJ78-BK78</f>
        <v>3090.27777777778</v>
      </c>
      <c r="BM78" s="15" t="n">
        <f aca="false">(BM77)+Y78</f>
        <v>42251.2011302611</v>
      </c>
      <c r="BN78" s="15" t="n">
        <f aca="false">(BN77)+AW78+AX78+AZ78</f>
        <v>20000</v>
      </c>
      <c r="BO78" s="15" t="n">
        <f aca="false">(BO77)+AY78</f>
        <v>0</v>
      </c>
      <c r="BP78" s="15" t="n">
        <f aca="false">MIN(Parametri_v3!$C$36*Parametri_v3!$C$35,(BP77)+IF(2=1,MAX(0,SUM(Y65:Y76))*Parametri_v3!$C$34,0))</f>
        <v>1752.40631140351</v>
      </c>
      <c r="BQ78" s="15" t="n">
        <f aca="false">BN78+BM78-BO78</f>
        <v>62251.2011302611</v>
      </c>
      <c r="BR78" s="15" t="n">
        <f aca="false">BH78+AD78+BL78+MAX(0,-AM78)+MAX(0,-AR78)</f>
        <v>114849.97919117</v>
      </c>
      <c r="BS78" s="15" t="n">
        <f aca="false">AJ78+AV78+MAX(0,AM78)+MAX(0,AR78)+BC78+BG78+BQ78+AG78</f>
        <v>114849.97919117</v>
      </c>
      <c r="BT78" s="15" t="n">
        <f aca="false">BR78-BS78</f>
        <v>0</v>
      </c>
      <c r="BU78" s="15" t="n">
        <f aca="false">BH78-(BD78+BE78-BF78-AY78)</f>
        <v>0</v>
      </c>
      <c r="BV78" s="15" t="n">
        <f aca="false">IF(BH77&lt;Parametri_v3!$C$31,0,BV77+1)</f>
        <v>6</v>
      </c>
    </row>
    <row r="79" customFormat="false" ht="18" hidden="false" customHeight="true" outlineLevel="0" collapsed="false">
      <c r="A79" s="68" t="n">
        <f aca="false">2</f>
        <v>2</v>
      </c>
      <c r="B79" s="68" t="n">
        <f aca="false">15</f>
        <v>15</v>
      </c>
      <c r="C79" s="18" t="n">
        <f aca="false">Motore_Operativo!C79</f>
        <v>46813</v>
      </c>
      <c r="D79" s="68" t="n">
        <f aca="false">Motore_Operativo!D79</f>
        <v>2028</v>
      </c>
      <c r="E79" s="68" t="n">
        <f aca="false">Motore_Operativo!E79</f>
        <v>3</v>
      </c>
      <c r="F79" s="15" t="n">
        <f aca="false">Motore_Operativo!AM79</f>
        <v>33981.220657277</v>
      </c>
      <c r="G79" s="15" t="n">
        <f aca="false">Motore_Operativo!BH79</f>
        <v>3398.1220657277</v>
      </c>
      <c r="H79" s="15" t="n">
        <f aca="false">Motore_Operativo!AM79</f>
        <v>33981.220657277</v>
      </c>
      <c r="I79" s="15" t="n">
        <f aca="false">Motore_Operativo!CB79</f>
        <v>28885.3286384976</v>
      </c>
      <c r="J79" s="15" t="n">
        <f aca="false">Motore_Operativo!CD79</f>
        <v>5095.89201877934</v>
      </c>
      <c r="K79" s="15" t="n">
        <f aca="false">Motore_Operativo!CF79</f>
        <v>416.666666666667</v>
      </c>
      <c r="L79" s="15" t="n">
        <f aca="false">SUM(INDEX($K$65:$K$124,MAX(1,15-Parametri_v3!$C$59+1)):K79)/Parametri_v3!$C$59</f>
        <v>118.055555555556</v>
      </c>
      <c r="M79" s="15" t="n">
        <f aca="false">J79-L79</f>
        <v>4977.83646322379</v>
      </c>
      <c r="N79" s="15" t="n">
        <f aca="false">0</f>
        <v>0</v>
      </c>
      <c r="O79" s="15" t="n">
        <f aca="false">0</f>
        <v>0</v>
      </c>
      <c r="P79" s="15" t="n">
        <f aca="false">M79+N79-O79</f>
        <v>4977.83646322379</v>
      </c>
      <c r="Q79" s="15" t="n">
        <f aca="false">SUM(P77:P79)+Parametri_v3!$C$56*3/12</f>
        <v>14968.2316118936</v>
      </c>
      <c r="R79" s="15" t="n">
        <f aca="false">Z76</f>
        <v>0</v>
      </c>
      <c r="S79" s="15" t="n">
        <f aca="false">AA76</f>
        <v>0</v>
      </c>
      <c r="T79" s="15" t="n">
        <f aca="false">MIN(R79,MAX(0,Q79))</f>
        <v>0</v>
      </c>
      <c r="U79" s="15" t="n">
        <f aca="false">MIN(S79,MAX(0,Q79-T79)*Parametri_v3!$C$42)</f>
        <v>0</v>
      </c>
      <c r="V79" s="15" t="n">
        <f aca="false">MAX(0,Q79-T79-U79)*Ipotesi!$C$92</f>
        <v>3592.37558685446</v>
      </c>
      <c r="W79" s="15" t="n">
        <f aca="false">MAX(0,SUM(M77:M79)+Parametri_v3!$C$57*3/12)*Ipotesi!$C$93</f>
        <v>583.76103286385</v>
      </c>
      <c r="X79" s="15" t="n">
        <f aca="false">V79+W79-(V78+W78)</f>
        <v>1388.81637323944</v>
      </c>
      <c r="Y79" s="15" t="n">
        <f aca="false">P79-X79</f>
        <v>3589.02008998435</v>
      </c>
      <c r="Z79" s="15" t="n">
        <f aca="false">R79-T79+IF(AND(Parametri_v3!$C$40=1,D79-YEAR(Parametri_v3!$C$50)&lt;Parametri_v3!$C$41),MAX(0,-Q79),0)</f>
        <v>0</v>
      </c>
      <c r="AA79" s="15" t="n">
        <f aca="false">S79-U79+IF(AND(Parametri_v3!$C$40=1,D79-YEAR(Parametri_v3!$C$50)&lt;Parametri_v3!$C$41),0,MAX(0,-Q79))</f>
        <v>0</v>
      </c>
      <c r="AB79" s="15" t="n">
        <f aca="false">F79*(1+Parametri_v3!$C$26)</f>
        <v>41457.0892018779</v>
      </c>
      <c r="AC79" s="15" t="n">
        <f aca="false">(IF(15-(INT((Motore_Operativo!L79)/30))&lt;1,0,INDEX(Motore_Advisory!$AB$65:$AB$124,MAX(1,15-(INT((Motore_Operativo!L79)/30)))))*(1-(MOD((Motore_Operativo!L79),30)/30))+IF(15-(INT((Motore_Operativo!L79)/30))-1&lt;1,0,INDEX(Motore_Advisory!$AB$65:$AB$124,MAX(1,15-(INT((Motore_Operativo!L79)/30))-1)))*(MOD((Motore_Operativo!L79),30)/30))</f>
        <v>19776.8421052632</v>
      </c>
      <c r="AD79" s="15" t="n">
        <f aca="false">(AD78)+AB79-AC79</f>
        <v>124371.267605634</v>
      </c>
      <c r="AE79" s="15" t="n">
        <f aca="false">Motore_Operativo!BH79*(1+Parametri_v3!$C$26)</f>
        <v>4145.70892018779</v>
      </c>
      <c r="AF79" s="15" t="n">
        <f aca="false">(IF(15-(INT((Parametri_v3!$C$29)/30))&lt;1,0,INDEX(Motore_Operativo!$BH$65:$BH$124,MAX(1,15-(INT((Parametri_v3!$C$29)/30)))))*(1-(MOD((Parametri_v3!$C$29),30)/30))+IF(15-(INT((Parametri_v3!$C$29)/30))-1&lt;1,0,INDEX(Motore_Operativo!$BH$65:$BH$124,MAX(1,15-(INT((Parametri_v3!$C$29)/30))-1)))*(MOD((Parametri_v3!$C$29),30)/30))*(1+Parametri_v3!$C$26)</f>
        <v>4145.70892018779</v>
      </c>
      <c r="AG79" s="15" t="n">
        <f aca="false">(AG78)+AE79-AF79</f>
        <v>4145.70892018779</v>
      </c>
      <c r="AH79" s="15" t="n">
        <f aca="false">(Motore_Operativo!CK79)*(1+Parametri_v3!$C$28*Parametri_v3!$C$26)</f>
        <v>11198.1149295775</v>
      </c>
      <c r="AI79" s="15" t="n">
        <f aca="false">(IF(15-(INT((Ipotesi!$C$91)/30))&lt;1,0,INDEX(Motore_Advisory!$AH$65:$AH$124,MAX(1,15-(INT((Ipotesi!$C$91)/30)))))*(1-(MOD((Ipotesi!$C$91),30)/30))+IF(15-(INT((Ipotesi!$C$91)/30))-1&lt;1,0,INDEX(Motore_Advisory!$AH$65:$AH$124,MAX(1,15-(INT((Ipotesi!$C$91)/30))-1)))*(MOD((Ipotesi!$C$91),30)/30))</f>
        <v>11198.1149295775</v>
      </c>
      <c r="AJ79" s="15" t="n">
        <f aca="false">(AJ78)+AH79-AI79</f>
        <v>22396.2298591549</v>
      </c>
      <c r="AK79" s="15" t="n">
        <f aca="false">(F79- Motore_Operativo!BH79-(Motore_Operativo!CK79)*Parametri_v3!$C$28-Motore_Operativo!CF79)*Parametri_v3!$C$26</f>
        <v>4960.70666666667</v>
      </c>
      <c r="AL79" s="15" t="n">
        <f aca="false">MAX(0,(AM78))</f>
        <v>4960.70666666667</v>
      </c>
      <c r="AM79" s="15" t="n">
        <f aca="false">(AM78)+AK79-AL79</f>
        <v>4960.70666666667</v>
      </c>
      <c r="AN79" s="15" t="n">
        <f aca="false">SUM(X65:X76)</f>
        <v>13562.3123684211</v>
      </c>
      <c r="AO79" s="15" t="n">
        <f aca="false">SUM(AP65:AP76)</f>
        <v>0</v>
      </c>
      <c r="AP79" s="15" t="n">
        <f aca="false">MAX(0,AN79)*IF(3=Parametri_v3!$C$43,Parametri_v3!$C$45,IF(3=Parametri_v3!$C$44,1-Parametri_v3!$C$45,0))</f>
        <v>0</v>
      </c>
      <c r="AQ79" s="15" t="n">
        <f aca="false">MAX(0,AP79+IF(3=Parametri_v3!$C$43,MAX(0,AN79-AO79),0)-MAX(0,-(AR78)))</f>
        <v>0</v>
      </c>
      <c r="AR79" s="15" t="n">
        <f aca="false">(AR78)+X79-AQ79</f>
        <v>17738.4489881394</v>
      </c>
      <c r="AS79" s="15" t="n">
        <f aca="false">Motore_Operativo!AC79-AT79+AU79</f>
        <v>15166.75</v>
      </c>
      <c r="AT79" s="15" t="n">
        <f aca="false">Motore_Operativo!CI79</f>
        <v>798.25</v>
      </c>
      <c r="AU79" s="15" t="n">
        <f aca="false">MIN(MAX(0,(AV78)+AT79),Parametri_v3!$C$61/12)</f>
        <v>0</v>
      </c>
      <c r="AV79" s="15" t="n">
        <f aca="false">(AV78)+AT79-AU79</f>
        <v>5544.75</v>
      </c>
      <c r="AW79" s="15" t="n">
        <f aca="false">IF(AND(Motore_Operativo!C79=Finanziamenti!$D$7,Finanziamenti!$F$7=1),Finanziamenti!$C$7,0)</f>
        <v>0</v>
      </c>
      <c r="AX79" s="15" t="n">
        <f aca="false">0</f>
        <v>0</v>
      </c>
      <c r="AY79" s="15" t="n">
        <f aca="false">IF(3=Parametri_v3!$C$33,IF(BV79&lt;MIN(12,$B79-1),0,MIN(MAX(0,SUM(Y65:Y76))*Ipotesi!$C$94,MAX(0,(BM76)-(BO78)-BP79),MAX(0,BD79-Parametri_v3!$C$31))),0)</f>
        <v>0</v>
      </c>
      <c r="AZ79" s="15" t="n">
        <f aca="false">0</f>
        <v>0</v>
      </c>
      <c r="BA79" s="15" t="n">
        <f aca="false">0</f>
        <v>0</v>
      </c>
      <c r="BB79" s="15" t="n">
        <f aca="false">0</f>
        <v>0</v>
      </c>
      <c r="BC79" s="15" t="n">
        <f aca="false">0</f>
        <v>0</v>
      </c>
      <c r="BD79" s="15" t="n">
        <f aca="false">(BH78)+AC79-AF79-AI79-AS79-K79*(1+Parametri_v3!$C$26)-AL79-AQ79-O79+AW79+AX79+AZ79+BA79-BB79</f>
        <v>-7134.09084012849</v>
      </c>
      <c r="BE79" s="15" t="n">
        <f aca="false">0</f>
        <v>0</v>
      </c>
      <c r="BF79" s="15" t="n">
        <f aca="false">0</f>
        <v>0</v>
      </c>
      <c r="BG79" s="15" t="n">
        <f aca="false">0</f>
        <v>0</v>
      </c>
      <c r="BH79" s="15" t="n">
        <f aca="false">BD79+BE79-BF79-AY79</f>
        <v>-7134.09084012849</v>
      </c>
      <c r="BI79" s="15" t="n">
        <f aca="false">MAX(0,Parametri_v3!$C$31-BH79)</f>
        <v>17134.0908401285</v>
      </c>
      <c r="BJ79" s="15" t="n">
        <f aca="false">(BJ78)+K79</f>
        <v>4250</v>
      </c>
      <c r="BK79" s="15" t="n">
        <f aca="false">(BK78)+L79</f>
        <v>861.111111111111</v>
      </c>
      <c r="BL79" s="15" t="n">
        <f aca="false">BJ79-BK79</f>
        <v>3388.88888888889</v>
      </c>
      <c r="BM79" s="15" t="n">
        <f aca="false">(BM78)+Y79</f>
        <v>45840.2212202454</v>
      </c>
      <c r="BN79" s="15" t="n">
        <f aca="false">(BN78)+AW79+AX79+AZ79</f>
        <v>20000</v>
      </c>
      <c r="BO79" s="15" t="n">
        <f aca="false">(BO78)+AY79</f>
        <v>0</v>
      </c>
      <c r="BP79" s="15" t="n">
        <f aca="false">MIN(Parametri_v3!$C$36*Parametri_v3!$C$35,(BP78)+IF(3=1,MAX(0,SUM(Y65:Y76))*Parametri_v3!$C$34,0))</f>
        <v>1752.40631140351</v>
      </c>
      <c r="BQ79" s="15" t="n">
        <f aca="false">BN79+BM79-BO79</f>
        <v>65840.2212202454</v>
      </c>
      <c r="BR79" s="15" t="n">
        <f aca="false">BH79+AD79+BL79+MAX(0,-AM79)+MAX(0,-AR79)</f>
        <v>120626.065654394</v>
      </c>
      <c r="BS79" s="15" t="n">
        <f aca="false">AJ79+AV79+MAX(0,AM79)+MAX(0,AR79)+BC79+BG79+BQ79+AG79</f>
        <v>120626.065654394</v>
      </c>
      <c r="BT79" s="15" t="n">
        <f aca="false">BR79-BS79</f>
        <v>0</v>
      </c>
      <c r="BU79" s="15" t="n">
        <f aca="false">BH79-(BD79+BE79-BF79-AY79)</f>
        <v>0</v>
      </c>
      <c r="BV79" s="15" t="n">
        <f aca="false">IF(BH78&lt;Parametri_v3!$C$31,0,BV78+1)</f>
        <v>0</v>
      </c>
    </row>
    <row r="80" customFormat="false" ht="18" hidden="false" customHeight="true" outlineLevel="0" collapsed="false">
      <c r="A80" s="68" t="n">
        <f aca="false">2</f>
        <v>2</v>
      </c>
      <c r="B80" s="68" t="n">
        <f aca="false">16</f>
        <v>16</v>
      </c>
      <c r="C80" s="18" t="n">
        <f aca="false">Motore_Operativo!C80</f>
        <v>46844</v>
      </c>
      <c r="D80" s="68" t="n">
        <f aca="false">Motore_Operativo!D80</f>
        <v>2028</v>
      </c>
      <c r="E80" s="68" t="n">
        <f aca="false">Motore_Operativo!E80</f>
        <v>4</v>
      </c>
      <c r="F80" s="15" t="n">
        <f aca="false">Motore_Operativo!AM80</f>
        <v>33981.220657277</v>
      </c>
      <c r="G80" s="15" t="n">
        <f aca="false">Motore_Operativo!BH80</f>
        <v>3398.1220657277</v>
      </c>
      <c r="H80" s="15" t="n">
        <f aca="false">Motore_Operativo!AM80</f>
        <v>33981.220657277</v>
      </c>
      <c r="I80" s="15" t="n">
        <f aca="false">Motore_Operativo!CB80</f>
        <v>28885.3286384976</v>
      </c>
      <c r="J80" s="15" t="n">
        <f aca="false">Motore_Operativo!CD80</f>
        <v>5095.89201877934</v>
      </c>
      <c r="K80" s="15" t="n">
        <f aca="false">Motore_Operativo!CF80</f>
        <v>416.666666666667</v>
      </c>
      <c r="L80" s="15" t="n">
        <f aca="false">SUM(INDEX($K$65:$K$124,MAX(1,16-Parametri_v3!$C$59+1)):K80)/Parametri_v3!$C$59</f>
        <v>129.62962962963</v>
      </c>
      <c r="M80" s="15" t="n">
        <f aca="false">J80-L80</f>
        <v>4966.26238914971</v>
      </c>
      <c r="N80" s="15" t="n">
        <f aca="false">0</f>
        <v>0</v>
      </c>
      <c r="O80" s="15" t="n">
        <f aca="false">0</f>
        <v>0</v>
      </c>
      <c r="P80" s="15" t="n">
        <f aca="false">M80+N80-O80</f>
        <v>4966.26238914971</v>
      </c>
      <c r="Q80" s="15" t="n">
        <f aca="false">SUM(P77:P80)+Parametri_v3!$C$56*4/12</f>
        <v>19934.4940010433</v>
      </c>
      <c r="R80" s="15" t="n">
        <f aca="false">Z76</f>
        <v>0</v>
      </c>
      <c r="S80" s="15" t="n">
        <f aca="false">AA76</f>
        <v>0</v>
      </c>
      <c r="T80" s="15" t="n">
        <f aca="false">MIN(R80,MAX(0,Q80))</f>
        <v>0</v>
      </c>
      <c r="U80" s="15" t="n">
        <f aca="false">MIN(S80,MAX(0,Q80-T80)*Parametri_v3!$C$42)</f>
        <v>0</v>
      </c>
      <c r="V80" s="15" t="n">
        <f aca="false">MAX(0,Q80-T80-U80)*Ipotesi!$C$92</f>
        <v>4784.27856025039</v>
      </c>
      <c r="W80" s="15" t="n">
        <f aca="false">MAX(0,SUM(M77:M80)+Parametri_v3!$C$57*4/12)*Ipotesi!$C$93</f>
        <v>777.445266040688</v>
      </c>
      <c r="X80" s="15" t="n">
        <f aca="false">V80+W80-(V79+W79)</f>
        <v>1385.58720657277</v>
      </c>
      <c r="Y80" s="15" t="n">
        <f aca="false">P80-X80</f>
        <v>3580.67518257694</v>
      </c>
      <c r="Z80" s="15" t="n">
        <f aca="false">R80-T80+IF(AND(Parametri_v3!$C$40=1,D80-YEAR(Parametri_v3!$C$50)&lt;Parametri_v3!$C$41),MAX(0,-Q80),0)</f>
        <v>0</v>
      </c>
      <c r="AA80" s="15" t="n">
        <f aca="false">S80-U80+IF(AND(Parametri_v3!$C$40=1,D80-YEAR(Parametri_v3!$C$50)&lt;Parametri_v3!$C$41),0,MAX(0,-Q80))</f>
        <v>0</v>
      </c>
      <c r="AB80" s="15" t="n">
        <f aca="false">F80*(1+Parametri_v3!$C$26)</f>
        <v>41457.0892018779</v>
      </c>
      <c r="AC80" s="15" t="n">
        <f aca="false">(IF(16-(INT((Motore_Operativo!L80)/30))&lt;1,0,INDEX(Motore_Advisory!$AB$65:$AB$124,MAX(1,16-(INT((Motore_Operativo!L80)/30)))))*(1-(MOD((Motore_Operativo!L80),30)/30))+IF(16-(INT((Motore_Operativo!L80)/30))-1&lt;1,0,INDEX(Motore_Advisory!$AB$65:$AB$124,MAX(1,16-(INT((Motore_Operativo!L80)/30))-1)))*(MOD((Motore_Operativo!L80),30)/30))</f>
        <v>41457.0892018779</v>
      </c>
      <c r="AD80" s="15" t="n">
        <f aca="false">(AD79)+AB80-AC80</f>
        <v>124371.267605634</v>
      </c>
      <c r="AE80" s="15" t="n">
        <f aca="false">Motore_Operativo!BH80*(1+Parametri_v3!$C$26)</f>
        <v>4145.70892018779</v>
      </c>
      <c r="AF80" s="15" t="n">
        <f aca="false">(IF(16-(INT((Parametri_v3!$C$29)/30))&lt;1,0,INDEX(Motore_Operativo!$BH$65:$BH$124,MAX(1,16-(INT((Parametri_v3!$C$29)/30)))))*(1-(MOD((Parametri_v3!$C$29),30)/30))+IF(16-(INT((Parametri_v3!$C$29)/30))-1&lt;1,0,INDEX(Motore_Operativo!$BH$65:$BH$124,MAX(1,16-(INT((Parametri_v3!$C$29)/30))-1)))*(MOD((Parametri_v3!$C$29),30)/30))*(1+Parametri_v3!$C$26)</f>
        <v>4145.70892018779</v>
      </c>
      <c r="AG80" s="15" t="n">
        <f aca="false">(AG79)+AE80-AF80</f>
        <v>4145.70892018779</v>
      </c>
      <c r="AH80" s="15" t="n">
        <f aca="false">(Motore_Operativo!CK80)*(1+Parametri_v3!$C$28*Parametri_v3!$C$26)</f>
        <v>11198.1149295775</v>
      </c>
      <c r="AI80" s="15" t="n">
        <f aca="false">(IF(16-(INT((Ipotesi!$C$91)/30))&lt;1,0,INDEX(Motore_Advisory!$AH$65:$AH$124,MAX(1,16-(INT((Ipotesi!$C$91)/30)))))*(1-(MOD((Ipotesi!$C$91),30)/30))+IF(16-(INT((Ipotesi!$C$91)/30))-1&lt;1,0,INDEX(Motore_Advisory!$AH$65:$AH$124,MAX(1,16-(INT((Ipotesi!$C$91)/30))-1)))*(MOD((Ipotesi!$C$91),30)/30))</f>
        <v>11198.1149295775</v>
      </c>
      <c r="AJ80" s="15" t="n">
        <f aca="false">(AJ79)+AH80-AI80</f>
        <v>22396.2298591549</v>
      </c>
      <c r="AK80" s="15" t="n">
        <f aca="false">(F80- Motore_Operativo!BH80-(Motore_Operativo!CK80)*Parametri_v3!$C$28-Motore_Operativo!CF80)*Parametri_v3!$C$26</f>
        <v>4960.70666666667</v>
      </c>
      <c r="AL80" s="15" t="n">
        <f aca="false">MAX(0,(AM79))</f>
        <v>4960.70666666667</v>
      </c>
      <c r="AM80" s="15" t="n">
        <f aca="false">(AM79)+AK80-AL80</f>
        <v>4960.70666666667</v>
      </c>
      <c r="AN80" s="15" t="n">
        <f aca="false">SUM(X65:X76)</f>
        <v>13562.3123684211</v>
      </c>
      <c r="AO80" s="15" t="n">
        <f aca="false">SUM(AP65:AP76)</f>
        <v>0</v>
      </c>
      <c r="AP80" s="15" t="n">
        <f aca="false">MAX(0,AN80)*IF(4=Parametri_v3!$C$43,Parametri_v3!$C$45,IF(4=Parametri_v3!$C$44,1-Parametri_v3!$C$45,0))</f>
        <v>0</v>
      </c>
      <c r="AQ80" s="15" t="n">
        <f aca="false">MAX(0,AP80+IF(4=Parametri_v3!$C$43,MAX(0,AN80-AO80),0)-MAX(0,-(AR79)))</f>
        <v>0</v>
      </c>
      <c r="AR80" s="15" t="n">
        <f aca="false">(AR79)+X80-AQ80</f>
        <v>19124.0361947121</v>
      </c>
      <c r="AS80" s="15" t="n">
        <f aca="false">Motore_Operativo!AC80-AT80+AU80</f>
        <v>15166.75</v>
      </c>
      <c r="AT80" s="15" t="n">
        <f aca="false">Motore_Operativo!CI80</f>
        <v>798.25</v>
      </c>
      <c r="AU80" s="15" t="n">
        <f aca="false">MIN(MAX(0,(AV79)+AT80),Parametri_v3!$C$61/12)</f>
        <v>0</v>
      </c>
      <c r="AV80" s="15" t="n">
        <f aca="false">(AV79)+AT80-AU80</f>
        <v>6343</v>
      </c>
      <c r="AW80" s="15" t="n">
        <f aca="false">IF(AND(Motore_Operativo!C80=Finanziamenti!$D$7,Finanziamenti!$F$7=1),Finanziamenti!$C$7,0)</f>
        <v>0</v>
      </c>
      <c r="AX80" s="15" t="n">
        <f aca="false">0</f>
        <v>0</v>
      </c>
      <c r="AY80" s="15" t="n">
        <f aca="false">IF(4=Parametri_v3!$C$33,IF(BV80&lt;MIN(12,$B80-1),0,MIN(MAX(0,SUM(Y65:Y76))*Ipotesi!$C$94,MAX(0,(BM76)-(BO79)-BP80),MAX(0,BD80-Parametri_v3!$C$31))),0)</f>
        <v>0</v>
      </c>
      <c r="AZ80" s="15" t="n">
        <f aca="false">0</f>
        <v>0</v>
      </c>
      <c r="BA80" s="15" t="n">
        <f aca="false">0</f>
        <v>0</v>
      </c>
      <c r="BB80" s="15" t="n">
        <f aca="false">0</f>
        <v>0</v>
      </c>
      <c r="BC80" s="15" t="n">
        <f aca="false">0</f>
        <v>0</v>
      </c>
      <c r="BD80" s="15" t="n">
        <f aca="false">(BH79)+AC80-AF80-AI80-AS80-K80*(1+Parametri_v3!$C$26)-AL80-AQ80-O80+AW80+AX80+AZ80+BA80-BB80</f>
        <v>-1656.61548801582</v>
      </c>
      <c r="BE80" s="15" t="n">
        <f aca="false">0</f>
        <v>0</v>
      </c>
      <c r="BF80" s="15" t="n">
        <f aca="false">0</f>
        <v>0</v>
      </c>
      <c r="BG80" s="15" t="n">
        <f aca="false">0</f>
        <v>0</v>
      </c>
      <c r="BH80" s="15" t="n">
        <f aca="false">BD80+BE80-BF80-AY80</f>
        <v>-1656.61548801582</v>
      </c>
      <c r="BI80" s="15" t="n">
        <f aca="false">MAX(0,Parametri_v3!$C$31-BH80)</f>
        <v>11656.6154880158</v>
      </c>
      <c r="BJ80" s="15" t="n">
        <f aca="false">(BJ79)+K80</f>
        <v>4666.66666666667</v>
      </c>
      <c r="BK80" s="15" t="n">
        <f aca="false">(BK79)+L80</f>
        <v>990.740740740741</v>
      </c>
      <c r="BL80" s="15" t="n">
        <f aca="false">BJ80-BK80</f>
        <v>3675.92592592593</v>
      </c>
      <c r="BM80" s="15" t="n">
        <f aca="false">(BM79)+Y80</f>
        <v>49420.8964028224</v>
      </c>
      <c r="BN80" s="15" t="n">
        <f aca="false">(BN79)+AW80+AX80+AZ80</f>
        <v>20000</v>
      </c>
      <c r="BO80" s="15" t="n">
        <f aca="false">(BO79)+AY80</f>
        <v>0</v>
      </c>
      <c r="BP80" s="15" t="n">
        <f aca="false">MIN(Parametri_v3!$C$36*Parametri_v3!$C$35,(BP79)+IF(4=1,MAX(0,SUM(Y65:Y76))*Parametri_v3!$C$34,0))</f>
        <v>1752.40631140351</v>
      </c>
      <c r="BQ80" s="15" t="n">
        <f aca="false">BN80+BM80-BO80</f>
        <v>69420.8964028224</v>
      </c>
      <c r="BR80" s="15" t="n">
        <f aca="false">BH80+AD80+BL80+MAX(0,-AM80)+MAX(0,-AR80)</f>
        <v>126390.578043544</v>
      </c>
      <c r="BS80" s="15" t="n">
        <f aca="false">AJ80+AV80+MAX(0,AM80)+MAX(0,AR80)+BC80+BG80+BQ80+AG80</f>
        <v>126390.578043544</v>
      </c>
      <c r="BT80" s="15" t="n">
        <f aca="false">BR80-BS80</f>
        <v>0</v>
      </c>
      <c r="BU80" s="15" t="n">
        <f aca="false">BH80-(BD80+BE80-BF80-AY80)</f>
        <v>0</v>
      </c>
      <c r="BV80" s="15" t="n">
        <f aca="false">IF(BH79&lt;Parametri_v3!$C$31,0,BV79+1)</f>
        <v>0</v>
      </c>
    </row>
    <row r="81" customFormat="false" ht="18" hidden="false" customHeight="true" outlineLevel="0" collapsed="false">
      <c r="A81" s="68" t="n">
        <f aca="false">2</f>
        <v>2</v>
      </c>
      <c r="B81" s="68" t="n">
        <f aca="false">17</f>
        <v>17</v>
      </c>
      <c r="C81" s="18" t="n">
        <f aca="false">Motore_Operativo!C81</f>
        <v>46874</v>
      </c>
      <c r="D81" s="68" t="n">
        <f aca="false">Motore_Operativo!D81</f>
        <v>2028</v>
      </c>
      <c r="E81" s="68" t="n">
        <f aca="false">Motore_Operativo!E81</f>
        <v>5</v>
      </c>
      <c r="F81" s="15" t="n">
        <f aca="false">Motore_Operativo!AM81</f>
        <v>33981.220657277</v>
      </c>
      <c r="G81" s="15" t="n">
        <f aca="false">Motore_Operativo!BH81</f>
        <v>3398.1220657277</v>
      </c>
      <c r="H81" s="15" t="n">
        <f aca="false">Motore_Operativo!AM81</f>
        <v>33981.220657277</v>
      </c>
      <c r="I81" s="15" t="n">
        <f aca="false">Motore_Operativo!CB81</f>
        <v>28885.3286384976</v>
      </c>
      <c r="J81" s="15" t="n">
        <f aca="false">Motore_Operativo!CD81</f>
        <v>5095.89201877934</v>
      </c>
      <c r="K81" s="15" t="n">
        <f aca="false">Motore_Operativo!CF81</f>
        <v>416.666666666667</v>
      </c>
      <c r="L81" s="15" t="n">
        <f aca="false">SUM(INDEX($K$65:$K$124,MAX(1,17-Parametri_v3!$C$59+1)):K81)/Parametri_v3!$C$59</f>
        <v>141.203703703704</v>
      </c>
      <c r="M81" s="15" t="n">
        <f aca="false">J81-L81</f>
        <v>4954.68831507564</v>
      </c>
      <c r="N81" s="15" t="n">
        <f aca="false">0</f>
        <v>0</v>
      </c>
      <c r="O81" s="15" t="n">
        <f aca="false">0</f>
        <v>0</v>
      </c>
      <c r="P81" s="15" t="n">
        <f aca="false">M81+N81-O81</f>
        <v>4954.68831507564</v>
      </c>
      <c r="Q81" s="15" t="n">
        <f aca="false">SUM(P77:P81)+Parametri_v3!$C$56*5/12</f>
        <v>24889.1823161189</v>
      </c>
      <c r="R81" s="15" t="n">
        <f aca="false">Z76</f>
        <v>0</v>
      </c>
      <c r="S81" s="15" t="n">
        <f aca="false">AA76</f>
        <v>0</v>
      </c>
      <c r="T81" s="15" t="n">
        <f aca="false">MIN(R81,MAX(0,Q81))</f>
        <v>0</v>
      </c>
      <c r="U81" s="15" t="n">
        <f aca="false">MIN(S81,MAX(0,Q81-T81)*Parametri_v3!$C$42)</f>
        <v>0</v>
      </c>
      <c r="V81" s="15" t="n">
        <f aca="false">MAX(0,Q81-T81-U81)*Ipotesi!$C$92</f>
        <v>5973.40375586854</v>
      </c>
      <c r="W81" s="15" t="n">
        <f aca="false">MAX(0,SUM(M77:M81)+Parametri_v3!$C$57*5/12)*Ipotesi!$C$93</f>
        <v>970.678110328638</v>
      </c>
      <c r="X81" s="15" t="n">
        <f aca="false">V81+W81-(V80+W80)</f>
        <v>1382.3580399061</v>
      </c>
      <c r="Y81" s="15" t="n">
        <f aca="false">P81-X81</f>
        <v>3572.33027516954</v>
      </c>
      <c r="Z81" s="15" t="n">
        <f aca="false">R81-T81+IF(AND(Parametri_v3!$C$40=1,D81-YEAR(Parametri_v3!$C$50)&lt;Parametri_v3!$C$41),MAX(0,-Q81),0)</f>
        <v>0</v>
      </c>
      <c r="AA81" s="15" t="n">
        <f aca="false">S81-U81+IF(AND(Parametri_v3!$C$40=1,D81-YEAR(Parametri_v3!$C$50)&lt;Parametri_v3!$C$41),0,MAX(0,-Q81))</f>
        <v>0</v>
      </c>
      <c r="AB81" s="15" t="n">
        <f aca="false">F81*(1+Parametri_v3!$C$26)</f>
        <v>41457.0892018779</v>
      </c>
      <c r="AC81" s="15" t="n">
        <f aca="false">(IF(17-(INT((Motore_Operativo!L81)/30))&lt;1,0,INDEX(Motore_Advisory!$AB$65:$AB$124,MAX(1,17-(INT((Motore_Operativo!L81)/30)))))*(1-(MOD((Motore_Operativo!L81),30)/30))+IF(17-(INT((Motore_Operativo!L81)/30))-1&lt;1,0,INDEX(Motore_Advisory!$AB$65:$AB$124,MAX(1,17-(INT((Motore_Operativo!L81)/30))-1)))*(MOD((Motore_Operativo!L81),30)/30))</f>
        <v>41457.0892018779</v>
      </c>
      <c r="AD81" s="15" t="n">
        <f aca="false">(AD80)+AB81-AC81</f>
        <v>124371.267605634</v>
      </c>
      <c r="AE81" s="15" t="n">
        <f aca="false">Motore_Operativo!BH81*(1+Parametri_v3!$C$26)</f>
        <v>4145.70892018779</v>
      </c>
      <c r="AF81" s="15" t="n">
        <f aca="false">(IF(17-(INT((Parametri_v3!$C$29)/30))&lt;1,0,INDEX(Motore_Operativo!$BH$65:$BH$124,MAX(1,17-(INT((Parametri_v3!$C$29)/30)))))*(1-(MOD((Parametri_v3!$C$29),30)/30))+IF(17-(INT((Parametri_v3!$C$29)/30))-1&lt;1,0,INDEX(Motore_Operativo!$BH$65:$BH$124,MAX(1,17-(INT((Parametri_v3!$C$29)/30))-1)))*(MOD((Parametri_v3!$C$29),30)/30))*(1+Parametri_v3!$C$26)</f>
        <v>4145.70892018779</v>
      </c>
      <c r="AG81" s="15" t="n">
        <f aca="false">(AG80)+AE81-AF81</f>
        <v>4145.70892018779</v>
      </c>
      <c r="AH81" s="15" t="n">
        <f aca="false">(Motore_Operativo!CK81)*(1+Parametri_v3!$C$28*Parametri_v3!$C$26)</f>
        <v>11198.1149295775</v>
      </c>
      <c r="AI81" s="15" t="n">
        <f aca="false">(IF(17-(INT((Ipotesi!$C$91)/30))&lt;1,0,INDEX(Motore_Advisory!$AH$65:$AH$124,MAX(1,17-(INT((Ipotesi!$C$91)/30)))))*(1-(MOD((Ipotesi!$C$91),30)/30))+IF(17-(INT((Ipotesi!$C$91)/30))-1&lt;1,0,INDEX(Motore_Advisory!$AH$65:$AH$124,MAX(1,17-(INT((Ipotesi!$C$91)/30))-1)))*(MOD((Ipotesi!$C$91),30)/30))</f>
        <v>11198.1149295775</v>
      </c>
      <c r="AJ81" s="15" t="n">
        <f aca="false">(AJ80)+AH81-AI81</f>
        <v>22396.2298591549</v>
      </c>
      <c r="AK81" s="15" t="n">
        <f aca="false">(F81- Motore_Operativo!BH81-(Motore_Operativo!CK81)*Parametri_v3!$C$28-Motore_Operativo!CF81)*Parametri_v3!$C$26</f>
        <v>4960.70666666667</v>
      </c>
      <c r="AL81" s="15" t="n">
        <f aca="false">MAX(0,(AM80))</f>
        <v>4960.70666666667</v>
      </c>
      <c r="AM81" s="15" t="n">
        <f aca="false">(AM80)+AK81-AL81</f>
        <v>4960.70666666667</v>
      </c>
      <c r="AN81" s="15" t="n">
        <f aca="false">SUM(X65:X76)</f>
        <v>13562.3123684211</v>
      </c>
      <c r="AO81" s="15" t="n">
        <f aca="false">SUM(AP65:AP76)</f>
        <v>0</v>
      </c>
      <c r="AP81" s="15" t="n">
        <f aca="false">MAX(0,AN81)*IF(5=Parametri_v3!$C$43,Parametri_v3!$C$45,IF(5=Parametri_v3!$C$44,1-Parametri_v3!$C$45,0))</f>
        <v>0</v>
      </c>
      <c r="AQ81" s="15" t="n">
        <f aca="false">MAX(0,AP81+IF(5=Parametri_v3!$C$43,MAX(0,AN81-AO81),0)-MAX(0,-(AR80)))</f>
        <v>0</v>
      </c>
      <c r="AR81" s="15" t="n">
        <f aca="false">(AR80)+X81-AQ81</f>
        <v>20506.3942346182</v>
      </c>
      <c r="AS81" s="15" t="n">
        <f aca="false">Motore_Operativo!AC81-AT81+AU81</f>
        <v>15166.75</v>
      </c>
      <c r="AT81" s="15" t="n">
        <f aca="false">Motore_Operativo!CI81</f>
        <v>798.25</v>
      </c>
      <c r="AU81" s="15" t="n">
        <f aca="false">MIN(MAX(0,(AV80)+AT81),Parametri_v3!$C$61/12)</f>
        <v>0</v>
      </c>
      <c r="AV81" s="15" t="n">
        <f aca="false">(AV80)+AT81-AU81</f>
        <v>7141.25</v>
      </c>
      <c r="AW81" s="15" t="n">
        <f aca="false">IF(AND(Motore_Operativo!C81=Finanziamenti!$D$7,Finanziamenti!$F$7=1),Finanziamenti!$C$7,0)</f>
        <v>0</v>
      </c>
      <c r="AX81" s="15" t="n">
        <f aca="false">0</f>
        <v>0</v>
      </c>
      <c r="AY81" s="15" t="n">
        <f aca="false">IF(5=Parametri_v3!$C$33,IF(BV81&lt;MIN(12,$B81-1),0,MIN(MAX(0,SUM(Y65:Y76))*Ipotesi!$C$94,MAX(0,(BM76)-(BO80)-BP81),MAX(0,BD81-Parametri_v3!$C$31))),0)</f>
        <v>0</v>
      </c>
      <c r="AZ81" s="15" t="n">
        <f aca="false">0</f>
        <v>0</v>
      </c>
      <c r="BA81" s="15" t="n">
        <f aca="false">0</f>
        <v>0</v>
      </c>
      <c r="BB81" s="15" t="n">
        <f aca="false">0</f>
        <v>0</v>
      </c>
      <c r="BC81" s="15" t="n">
        <f aca="false">0</f>
        <v>0</v>
      </c>
      <c r="BD81" s="15" t="n">
        <f aca="false">(BH80)+AC81-AF81-AI81-AS81-K81*(1+Parametri_v3!$C$26)-AL81-AQ81-O81+AW81+AX81+AZ81+BA81-BB81</f>
        <v>3820.85986409685</v>
      </c>
      <c r="BE81" s="15" t="n">
        <f aca="false">0</f>
        <v>0</v>
      </c>
      <c r="BF81" s="15" t="n">
        <f aca="false">0</f>
        <v>0</v>
      </c>
      <c r="BG81" s="15" t="n">
        <f aca="false">0</f>
        <v>0</v>
      </c>
      <c r="BH81" s="15" t="n">
        <f aca="false">BD81+BE81-BF81-AY81</f>
        <v>3820.85986409685</v>
      </c>
      <c r="BI81" s="15" t="n">
        <f aca="false">MAX(0,Parametri_v3!$C$31-BH81)</f>
        <v>6179.14013590315</v>
      </c>
      <c r="BJ81" s="15" t="n">
        <f aca="false">(BJ80)+K81</f>
        <v>5083.33333333333</v>
      </c>
      <c r="BK81" s="15" t="n">
        <f aca="false">(BK80)+L81</f>
        <v>1131.94444444444</v>
      </c>
      <c r="BL81" s="15" t="n">
        <f aca="false">BJ81-BK81</f>
        <v>3951.38888888889</v>
      </c>
      <c r="BM81" s="15" t="n">
        <f aca="false">(BM80)+Y81</f>
        <v>52993.2266779919</v>
      </c>
      <c r="BN81" s="15" t="n">
        <f aca="false">(BN80)+AW81+AX81+AZ81</f>
        <v>20000</v>
      </c>
      <c r="BO81" s="15" t="n">
        <f aca="false">(BO80)+AY81</f>
        <v>0</v>
      </c>
      <c r="BP81" s="15" t="n">
        <f aca="false">MIN(Parametri_v3!$C$36*Parametri_v3!$C$35,(BP80)+IF(5=1,MAX(0,SUM(Y65:Y76))*Parametri_v3!$C$34,0))</f>
        <v>1752.40631140351</v>
      </c>
      <c r="BQ81" s="15" t="n">
        <f aca="false">BN81+BM81-BO81</f>
        <v>72993.2266779919</v>
      </c>
      <c r="BR81" s="15" t="n">
        <f aca="false">BH81+AD81+BL81+MAX(0,-AM81)+MAX(0,-AR81)</f>
        <v>132143.51635862</v>
      </c>
      <c r="BS81" s="15" t="n">
        <f aca="false">AJ81+AV81+MAX(0,AM81)+MAX(0,AR81)+BC81+BG81+BQ81+AG81</f>
        <v>132143.51635862</v>
      </c>
      <c r="BT81" s="15" t="n">
        <f aca="false">BR81-BS81</f>
        <v>0</v>
      </c>
      <c r="BU81" s="15" t="n">
        <f aca="false">BH81-(BD81+BE81-BF81-AY81)</f>
        <v>0</v>
      </c>
      <c r="BV81" s="15" t="n">
        <f aca="false">IF(BH80&lt;Parametri_v3!$C$31,0,BV80+1)</f>
        <v>0</v>
      </c>
    </row>
    <row r="82" customFormat="false" ht="18" hidden="false" customHeight="true" outlineLevel="0" collapsed="false">
      <c r="A82" s="68" t="n">
        <f aca="false">2</f>
        <v>2</v>
      </c>
      <c r="B82" s="68" t="n">
        <f aca="false">18</f>
        <v>18</v>
      </c>
      <c r="C82" s="18" t="n">
        <f aca="false">Motore_Operativo!C82</f>
        <v>46905</v>
      </c>
      <c r="D82" s="68" t="n">
        <f aca="false">Motore_Operativo!D82</f>
        <v>2028</v>
      </c>
      <c r="E82" s="68" t="n">
        <f aca="false">Motore_Operativo!E82</f>
        <v>6</v>
      </c>
      <c r="F82" s="15" t="n">
        <f aca="false">Motore_Operativo!AM82</f>
        <v>33981.220657277</v>
      </c>
      <c r="G82" s="15" t="n">
        <f aca="false">Motore_Operativo!BH82</f>
        <v>3398.1220657277</v>
      </c>
      <c r="H82" s="15" t="n">
        <f aca="false">Motore_Operativo!AM82</f>
        <v>33981.220657277</v>
      </c>
      <c r="I82" s="15" t="n">
        <f aca="false">Motore_Operativo!CB82</f>
        <v>28885.3286384976</v>
      </c>
      <c r="J82" s="15" t="n">
        <f aca="false">Motore_Operativo!CD82</f>
        <v>5095.89201877934</v>
      </c>
      <c r="K82" s="15" t="n">
        <f aca="false">Motore_Operativo!CF82</f>
        <v>416.666666666667</v>
      </c>
      <c r="L82" s="15" t="n">
        <f aca="false">SUM(INDEX($K$65:$K$124,MAX(1,18-Parametri_v3!$C$59+1)):K82)/Parametri_v3!$C$59</f>
        <v>152.777777777778</v>
      </c>
      <c r="M82" s="15" t="n">
        <f aca="false">J82-L82</f>
        <v>4943.11424100156</v>
      </c>
      <c r="N82" s="15" t="n">
        <f aca="false">0</f>
        <v>0</v>
      </c>
      <c r="O82" s="15" t="n">
        <f aca="false">0</f>
        <v>0</v>
      </c>
      <c r="P82" s="15" t="n">
        <f aca="false">M82+N82-O82</f>
        <v>4943.11424100156</v>
      </c>
      <c r="Q82" s="15" t="n">
        <f aca="false">SUM(P77:P82)+Parametri_v3!$C$56*6/12</f>
        <v>29832.2965571205</v>
      </c>
      <c r="R82" s="15" t="n">
        <f aca="false">Z76</f>
        <v>0</v>
      </c>
      <c r="S82" s="15" t="n">
        <f aca="false">AA76</f>
        <v>0</v>
      </c>
      <c r="T82" s="15" t="n">
        <f aca="false">MIN(R82,MAX(0,Q82))</f>
        <v>0</v>
      </c>
      <c r="U82" s="15" t="n">
        <f aca="false">MIN(S82,MAX(0,Q82-T82)*Parametri_v3!$C$42)</f>
        <v>0</v>
      </c>
      <c r="V82" s="15" t="n">
        <f aca="false">MAX(0,Q82-T82-U82)*Ipotesi!$C$92</f>
        <v>7159.75117370892</v>
      </c>
      <c r="W82" s="15" t="n">
        <f aca="false">MAX(0,SUM(M77:M82)+Parametri_v3!$C$57*6/12)*Ipotesi!$C$93</f>
        <v>1163.4595657277</v>
      </c>
      <c r="X82" s="15" t="n">
        <f aca="false">V82+W82-(V81+W81)</f>
        <v>1379.12887323944</v>
      </c>
      <c r="Y82" s="15" t="n">
        <f aca="false">P82-X82</f>
        <v>3563.98536776213</v>
      </c>
      <c r="Z82" s="15" t="n">
        <f aca="false">R82-T82+IF(AND(Parametri_v3!$C$40=1,D82-YEAR(Parametri_v3!$C$50)&lt;Parametri_v3!$C$41),MAX(0,-Q82),0)</f>
        <v>0</v>
      </c>
      <c r="AA82" s="15" t="n">
        <f aca="false">S82-U82+IF(AND(Parametri_v3!$C$40=1,D82-YEAR(Parametri_v3!$C$50)&lt;Parametri_v3!$C$41),0,MAX(0,-Q82))</f>
        <v>0</v>
      </c>
      <c r="AB82" s="15" t="n">
        <f aca="false">F82*(1+Parametri_v3!$C$26)</f>
        <v>41457.0892018779</v>
      </c>
      <c r="AC82" s="15" t="n">
        <f aca="false">(IF(18-(INT((Motore_Operativo!L82)/30))&lt;1,0,INDEX(Motore_Advisory!$AB$65:$AB$124,MAX(1,18-(INT((Motore_Operativo!L82)/30)))))*(1-(MOD((Motore_Operativo!L82),30)/30))+IF(18-(INT((Motore_Operativo!L82)/30))-1&lt;1,0,INDEX(Motore_Advisory!$AB$65:$AB$124,MAX(1,18-(INT((Motore_Operativo!L82)/30))-1)))*(MOD((Motore_Operativo!L82),30)/30))</f>
        <v>41457.0892018779</v>
      </c>
      <c r="AD82" s="15" t="n">
        <f aca="false">(AD81)+AB82-AC82</f>
        <v>124371.267605634</v>
      </c>
      <c r="AE82" s="15" t="n">
        <f aca="false">Motore_Operativo!BH82*(1+Parametri_v3!$C$26)</f>
        <v>4145.70892018779</v>
      </c>
      <c r="AF82" s="15" t="n">
        <f aca="false">(IF(18-(INT((Parametri_v3!$C$29)/30))&lt;1,0,INDEX(Motore_Operativo!$BH$65:$BH$124,MAX(1,18-(INT((Parametri_v3!$C$29)/30)))))*(1-(MOD((Parametri_v3!$C$29),30)/30))+IF(18-(INT((Parametri_v3!$C$29)/30))-1&lt;1,0,INDEX(Motore_Operativo!$BH$65:$BH$124,MAX(1,18-(INT((Parametri_v3!$C$29)/30))-1)))*(MOD((Parametri_v3!$C$29),30)/30))*(1+Parametri_v3!$C$26)</f>
        <v>4145.70892018779</v>
      </c>
      <c r="AG82" s="15" t="n">
        <f aca="false">(AG81)+AE82-AF82</f>
        <v>4145.70892018779</v>
      </c>
      <c r="AH82" s="15" t="n">
        <f aca="false">(Motore_Operativo!CK82)*(1+Parametri_v3!$C$28*Parametri_v3!$C$26)</f>
        <v>11198.1149295775</v>
      </c>
      <c r="AI82" s="15" t="n">
        <f aca="false">(IF(18-(INT((Ipotesi!$C$91)/30))&lt;1,0,INDEX(Motore_Advisory!$AH$65:$AH$124,MAX(1,18-(INT((Ipotesi!$C$91)/30)))))*(1-(MOD((Ipotesi!$C$91),30)/30))+IF(18-(INT((Ipotesi!$C$91)/30))-1&lt;1,0,INDEX(Motore_Advisory!$AH$65:$AH$124,MAX(1,18-(INT((Ipotesi!$C$91)/30))-1)))*(MOD((Ipotesi!$C$91),30)/30))</f>
        <v>11198.1149295775</v>
      </c>
      <c r="AJ82" s="15" t="n">
        <f aca="false">(AJ81)+AH82-AI82</f>
        <v>22396.2298591549</v>
      </c>
      <c r="AK82" s="15" t="n">
        <f aca="false">(F82- Motore_Operativo!BH82-(Motore_Operativo!CK82)*Parametri_v3!$C$28-Motore_Operativo!CF82)*Parametri_v3!$C$26</f>
        <v>4960.70666666667</v>
      </c>
      <c r="AL82" s="15" t="n">
        <f aca="false">MAX(0,(AM81))</f>
        <v>4960.70666666667</v>
      </c>
      <c r="AM82" s="15" t="n">
        <f aca="false">(AM81)+AK82-AL82</f>
        <v>4960.70666666667</v>
      </c>
      <c r="AN82" s="15" t="n">
        <f aca="false">SUM(X65:X76)</f>
        <v>13562.3123684211</v>
      </c>
      <c r="AO82" s="15" t="n">
        <f aca="false">SUM(AP65:AP76)</f>
        <v>0</v>
      </c>
      <c r="AP82" s="15" t="n">
        <f aca="false">MAX(0,AN82)*IF(6=Parametri_v3!$C$43,Parametri_v3!$C$45,IF(6=Parametri_v3!$C$44,1-Parametri_v3!$C$45,0))</f>
        <v>5424.92494736842</v>
      </c>
      <c r="AQ82" s="15" t="n">
        <f aca="false">MAX(0,AP82+IF(6=Parametri_v3!$C$43,MAX(0,AN82-AO82),0)-MAX(0,-(AR81)))</f>
        <v>18987.2373157895</v>
      </c>
      <c r="AR82" s="15" t="n">
        <f aca="false">(AR81)+X82-AQ82</f>
        <v>2898.2857920682</v>
      </c>
      <c r="AS82" s="15" t="n">
        <f aca="false">Motore_Operativo!AC82-AT82+AU82</f>
        <v>15166.75</v>
      </c>
      <c r="AT82" s="15" t="n">
        <f aca="false">Motore_Operativo!CI82</f>
        <v>798.25</v>
      </c>
      <c r="AU82" s="15" t="n">
        <f aca="false">MIN(MAX(0,(AV81)+AT82),Parametri_v3!$C$61/12)</f>
        <v>0</v>
      </c>
      <c r="AV82" s="15" t="n">
        <f aca="false">(AV81)+AT82-AU82</f>
        <v>7939.5</v>
      </c>
      <c r="AW82" s="15" t="n">
        <f aca="false">IF(AND(Motore_Operativo!C82=Finanziamenti!$D$7,Finanziamenti!$F$7=1),Finanziamenti!$C$7,0)</f>
        <v>0</v>
      </c>
      <c r="AX82" s="15" t="n">
        <f aca="false">0</f>
        <v>0</v>
      </c>
      <c r="AY82" s="15" t="n">
        <f aca="false">IF(6=Parametri_v3!$C$33,IF(BV82&lt;MIN(12,$B82-1),0,MIN(MAX(0,SUM(Y65:Y76))*Ipotesi!$C$94,MAX(0,(BM76)-(BO81)-BP82),MAX(0,BD82-Parametri_v3!$C$31))),0)</f>
        <v>0</v>
      </c>
      <c r="AZ82" s="15" t="n">
        <f aca="false">0</f>
        <v>0</v>
      </c>
      <c r="BA82" s="15" t="n">
        <f aca="false">0</f>
        <v>0</v>
      </c>
      <c r="BB82" s="15" t="n">
        <f aca="false">0</f>
        <v>0</v>
      </c>
      <c r="BC82" s="15" t="n">
        <f aca="false">0</f>
        <v>0</v>
      </c>
      <c r="BD82" s="15" t="n">
        <f aca="false">(BH81)+AC82-AF82-AI82-AS82-K82*(1+Parametri_v3!$C$26)-AL82-AQ82-O82+AW82+AX82+AZ82+BA82-BB82</f>
        <v>-9688.90209957994</v>
      </c>
      <c r="BE82" s="15" t="n">
        <f aca="false">0</f>
        <v>0</v>
      </c>
      <c r="BF82" s="15" t="n">
        <f aca="false">0</f>
        <v>0</v>
      </c>
      <c r="BG82" s="15" t="n">
        <f aca="false">0</f>
        <v>0</v>
      </c>
      <c r="BH82" s="15" t="n">
        <f aca="false">BD82+BE82-BF82-AY82</f>
        <v>-9688.90209957994</v>
      </c>
      <c r="BI82" s="15" t="n">
        <f aca="false">MAX(0,Parametri_v3!$C$31-BH82)</f>
        <v>19688.9020995799</v>
      </c>
      <c r="BJ82" s="15" t="n">
        <f aca="false">(BJ81)+K82</f>
        <v>5500</v>
      </c>
      <c r="BK82" s="15" t="n">
        <f aca="false">(BK81)+L82</f>
        <v>1284.72222222222</v>
      </c>
      <c r="BL82" s="15" t="n">
        <f aca="false">BJ82-BK82</f>
        <v>4215.27777777778</v>
      </c>
      <c r="BM82" s="15" t="n">
        <f aca="false">(BM81)+Y82</f>
        <v>56557.212045754</v>
      </c>
      <c r="BN82" s="15" t="n">
        <f aca="false">(BN81)+AW82+AX82+AZ82</f>
        <v>20000</v>
      </c>
      <c r="BO82" s="15" t="n">
        <f aca="false">(BO81)+AY82</f>
        <v>0</v>
      </c>
      <c r="BP82" s="15" t="n">
        <f aca="false">MIN(Parametri_v3!$C$36*Parametri_v3!$C$35,(BP81)+IF(6=1,MAX(0,SUM(Y65:Y76))*Parametri_v3!$C$34,0))</f>
        <v>1752.40631140351</v>
      </c>
      <c r="BQ82" s="15" t="n">
        <f aca="false">BN82+BM82-BO82</f>
        <v>76557.212045754</v>
      </c>
      <c r="BR82" s="15" t="n">
        <f aca="false">BH82+AD82+BL82+MAX(0,-AM82)+MAX(0,-AR82)</f>
        <v>118897.643283832</v>
      </c>
      <c r="BS82" s="15" t="n">
        <f aca="false">AJ82+AV82+MAX(0,AM82)+MAX(0,AR82)+BC82+BG82+BQ82+AG82</f>
        <v>118897.643283832</v>
      </c>
      <c r="BT82" s="15" t="n">
        <f aca="false">BR82-BS82</f>
        <v>0</v>
      </c>
      <c r="BU82" s="15" t="n">
        <f aca="false">BH82-(BD82+BE82-BF82-AY82)</f>
        <v>0</v>
      </c>
      <c r="BV82" s="15" t="n">
        <f aca="false">IF(BH81&lt;Parametri_v3!$C$31,0,BV81+1)</f>
        <v>0</v>
      </c>
    </row>
    <row r="83" customFormat="false" ht="18" hidden="false" customHeight="true" outlineLevel="0" collapsed="false">
      <c r="A83" s="68" t="n">
        <f aca="false">2</f>
        <v>2</v>
      </c>
      <c r="B83" s="68" t="n">
        <f aca="false">19</f>
        <v>19</v>
      </c>
      <c r="C83" s="18" t="n">
        <f aca="false">Motore_Operativo!C83</f>
        <v>46935</v>
      </c>
      <c r="D83" s="68" t="n">
        <f aca="false">Motore_Operativo!D83</f>
        <v>2028</v>
      </c>
      <c r="E83" s="68" t="n">
        <f aca="false">Motore_Operativo!E83</f>
        <v>7</v>
      </c>
      <c r="F83" s="15" t="n">
        <f aca="false">Motore_Operativo!AM83</f>
        <v>33981.220657277</v>
      </c>
      <c r="G83" s="15" t="n">
        <f aca="false">Motore_Operativo!BH83</f>
        <v>3398.1220657277</v>
      </c>
      <c r="H83" s="15" t="n">
        <f aca="false">Motore_Operativo!AM83</f>
        <v>33981.220657277</v>
      </c>
      <c r="I83" s="15" t="n">
        <f aca="false">Motore_Operativo!CB83</f>
        <v>28885.3286384976</v>
      </c>
      <c r="J83" s="15" t="n">
        <f aca="false">Motore_Operativo!CD83</f>
        <v>5095.89201877934</v>
      </c>
      <c r="K83" s="15" t="n">
        <f aca="false">Motore_Operativo!CF83</f>
        <v>416.666666666667</v>
      </c>
      <c r="L83" s="15" t="n">
        <f aca="false">SUM(INDEX($K$65:$K$124,MAX(1,19-Parametri_v3!$C$59+1)):K83)/Parametri_v3!$C$59</f>
        <v>164.351851851852</v>
      </c>
      <c r="M83" s="15" t="n">
        <f aca="false">J83-L83</f>
        <v>4931.54016692749</v>
      </c>
      <c r="N83" s="15" t="n">
        <f aca="false">0</f>
        <v>0</v>
      </c>
      <c r="O83" s="15" t="n">
        <f aca="false">0</f>
        <v>0</v>
      </c>
      <c r="P83" s="15" t="n">
        <f aca="false">M83+N83-O83</f>
        <v>4931.54016692749</v>
      </c>
      <c r="Q83" s="15" t="n">
        <f aca="false">SUM(P77:P83)+Parametri_v3!$C$56*7/12</f>
        <v>34763.836724048</v>
      </c>
      <c r="R83" s="15" t="n">
        <f aca="false">Z76</f>
        <v>0</v>
      </c>
      <c r="S83" s="15" t="n">
        <f aca="false">AA76</f>
        <v>0</v>
      </c>
      <c r="T83" s="15" t="n">
        <f aca="false">MIN(R83,MAX(0,Q83))</f>
        <v>0</v>
      </c>
      <c r="U83" s="15" t="n">
        <f aca="false">MIN(S83,MAX(0,Q83-T83)*Parametri_v3!$C$42)</f>
        <v>0</v>
      </c>
      <c r="V83" s="15" t="n">
        <f aca="false">MAX(0,Q83-T83-U83)*Ipotesi!$C$92</f>
        <v>8343.32081377151</v>
      </c>
      <c r="W83" s="15" t="n">
        <f aca="false">MAX(0,SUM(M77:M83)+Parametri_v3!$C$57*7/12)*Ipotesi!$C$93</f>
        <v>1355.78963223787</v>
      </c>
      <c r="X83" s="15" t="n">
        <f aca="false">V83+W83-(V82+W82)</f>
        <v>1375.89970657277</v>
      </c>
      <c r="Y83" s="15" t="n">
        <f aca="false">P83-X83</f>
        <v>3555.64046035472</v>
      </c>
      <c r="Z83" s="15" t="n">
        <f aca="false">R83-T83+IF(AND(Parametri_v3!$C$40=1,D83-YEAR(Parametri_v3!$C$50)&lt;Parametri_v3!$C$41),MAX(0,-Q83),0)</f>
        <v>0</v>
      </c>
      <c r="AA83" s="15" t="n">
        <f aca="false">S83-U83+IF(AND(Parametri_v3!$C$40=1,D83-YEAR(Parametri_v3!$C$50)&lt;Parametri_v3!$C$41),0,MAX(0,-Q83))</f>
        <v>0</v>
      </c>
      <c r="AB83" s="15" t="n">
        <f aca="false">F83*(1+Parametri_v3!$C$26)</f>
        <v>41457.0892018779</v>
      </c>
      <c r="AC83" s="15" t="n">
        <f aca="false">(IF(19-(INT((Motore_Operativo!L83)/30))&lt;1,0,INDEX(Motore_Advisory!$AB$65:$AB$124,MAX(1,19-(INT((Motore_Operativo!L83)/30)))))*(1-(MOD((Motore_Operativo!L83),30)/30))+IF(19-(INT((Motore_Operativo!L83)/30))-1&lt;1,0,INDEX(Motore_Advisory!$AB$65:$AB$124,MAX(1,19-(INT((Motore_Operativo!L83)/30))-1)))*(MOD((Motore_Operativo!L83),30)/30))</f>
        <v>41457.0892018779</v>
      </c>
      <c r="AD83" s="15" t="n">
        <f aca="false">(AD82)+AB83-AC83</f>
        <v>124371.267605634</v>
      </c>
      <c r="AE83" s="15" t="n">
        <f aca="false">Motore_Operativo!BH83*(1+Parametri_v3!$C$26)</f>
        <v>4145.70892018779</v>
      </c>
      <c r="AF83" s="15" t="n">
        <f aca="false">(IF(19-(INT((Parametri_v3!$C$29)/30))&lt;1,0,INDEX(Motore_Operativo!$BH$65:$BH$124,MAX(1,19-(INT((Parametri_v3!$C$29)/30)))))*(1-(MOD((Parametri_v3!$C$29),30)/30))+IF(19-(INT((Parametri_v3!$C$29)/30))-1&lt;1,0,INDEX(Motore_Operativo!$BH$65:$BH$124,MAX(1,19-(INT((Parametri_v3!$C$29)/30))-1)))*(MOD((Parametri_v3!$C$29),30)/30))*(1+Parametri_v3!$C$26)</f>
        <v>4145.70892018779</v>
      </c>
      <c r="AG83" s="15" t="n">
        <f aca="false">(AG82)+AE83-AF83</f>
        <v>4145.70892018779</v>
      </c>
      <c r="AH83" s="15" t="n">
        <f aca="false">(Motore_Operativo!CK83)*(1+Parametri_v3!$C$28*Parametri_v3!$C$26)</f>
        <v>11198.1149295775</v>
      </c>
      <c r="AI83" s="15" t="n">
        <f aca="false">(IF(19-(INT((Ipotesi!$C$91)/30))&lt;1,0,INDEX(Motore_Advisory!$AH$65:$AH$124,MAX(1,19-(INT((Ipotesi!$C$91)/30)))))*(1-(MOD((Ipotesi!$C$91),30)/30))+IF(19-(INT((Ipotesi!$C$91)/30))-1&lt;1,0,INDEX(Motore_Advisory!$AH$65:$AH$124,MAX(1,19-(INT((Ipotesi!$C$91)/30))-1)))*(MOD((Ipotesi!$C$91),30)/30))</f>
        <v>11198.1149295775</v>
      </c>
      <c r="AJ83" s="15" t="n">
        <f aca="false">(AJ82)+AH83-AI83</f>
        <v>22396.2298591549</v>
      </c>
      <c r="AK83" s="15" t="n">
        <f aca="false">(F83- Motore_Operativo!BH83-(Motore_Operativo!CK83)*Parametri_v3!$C$28-Motore_Operativo!CF83)*Parametri_v3!$C$26</f>
        <v>4960.70666666667</v>
      </c>
      <c r="AL83" s="15" t="n">
        <f aca="false">MAX(0,(AM82))</f>
        <v>4960.70666666667</v>
      </c>
      <c r="AM83" s="15" t="n">
        <f aca="false">(AM82)+AK83-AL83</f>
        <v>4960.70666666667</v>
      </c>
      <c r="AN83" s="15" t="n">
        <f aca="false">SUM(X65:X76)</f>
        <v>13562.3123684211</v>
      </c>
      <c r="AO83" s="15" t="n">
        <f aca="false">SUM(AP65:AP76)</f>
        <v>0</v>
      </c>
      <c r="AP83" s="15" t="n">
        <f aca="false">MAX(0,AN83)*IF(7=Parametri_v3!$C$43,Parametri_v3!$C$45,IF(7=Parametri_v3!$C$44,1-Parametri_v3!$C$45,0))</f>
        <v>0</v>
      </c>
      <c r="AQ83" s="15" t="n">
        <f aca="false">MAX(0,AP83+IF(7=Parametri_v3!$C$43,MAX(0,AN83-AO83),0)-MAX(0,-(AR82)))</f>
        <v>0</v>
      </c>
      <c r="AR83" s="15" t="n">
        <f aca="false">(AR82)+X83-AQ83</f>
        <v>4274.18549864096</v>
      </c>
      <c r="AS83" s="15" t="n">
        <f aca="false">Motore_Operativo!AC83-AT83+AU83</f>
        <v>15166.75</v>
      </c>
      <c r="AT83" s="15" t="n">
        <f aca="false">Motore_Operativo!CI83</f>
        <v>798.25</v>
      </c>
      <c r="AU83" s="15" t="n">
        <f aca="false">MIN(MAX(0,(AV82)+AT83),Parametri_v3!$C$61/12)</f>
        <v>0</v>
      </c>
      <c r="AV83" s="15" t="n">
        <f aca="false">(AV82)+AT83-AU83</f>
        <v>8737.75</v>
      </c>
      <c r="AW83" s="15" t="n">
        <f aca="false">IF(AND(Motore_Operativo!C83=Finanziamenti!$D$7,Finanziamenti!$F$7=1),Finanziamenti!$C$7,0)</f>
        <v>0</v>
      </c>
      <c r="AX83" s="15" t="n">
        <f aca="false">0</f>
        <v>0</v>
      </c>
      <c r="AY83" s="15" t="n">
        <f aca="false">IF(7=Parametri_v3!$C$33,IF(BV83&lt;MIN(12,$B83-1),0,MIN(MAX(0,SUM(Y65:Y76))*Ipotesi!$C$94,MAX(0,(BM76)-(BO82)-BP83),MAX(0,BD83-Parametri_v3!$C$31))),0)</f>
        <v>0</v>
      </c>
      <c r="AZ83" s="15" t="n">
        <f aca="false">0</f>
        <v>0</v>
      </c>
      <c r="BA83" s="15" t="n">
        <f aca="false">0</f>
        <v>0</v>
      </c>
      <c r="BB83" s="15" t="n">
        <f aca="false">0</f>
        <v>0</v>
      </c>
      <c r="BC83" s="15" t="n">
        <f aca="false">0</f>
        <v>0</v>
      </c>
      <c r="BD83" s="15" t="n">
        <f aca="false">(BH82)+AC83-AF83-AI83-AS83-K83*(1+Parametri_v3!$C$26)-AL83-AQ83-O83+AW83+AX83+AZ83+BA83-BB83</f>
        <v>-4211.42674746727</v>
      </c>
      <c r="BE83" s="15" t="n">
        <f aca="false">0</f>
        <v>0</v>
      </c>
      <c r="BF83" s="15" t="n">
        <f aca="false">0</f>
        <v>0</v>
      </c>
      <c r="BG83" s="15" t="n">
        <f aca="false">0</f>
        <v>0</v>
      </c>
      <c r="BH83" s="15" t="n">
        <f aca="false">BD83+BE83-BF83-AY83</f>
        <v>-4211.42674746727</v>
      </c>
      <c r="BI83" s="15" t="n">
        <f aca="false">MAX(0,Parametri_v3!$C$31-BH83)</f>
        <v>14211.4267474673</v>
      </c>
      <c r="BJ83" s="15" t="n">
        <f aca="false">(BJ82)+K83</f>
        <v>5916.66666666667</v>
      </c>
      <c r="BK83" s="15" t="n">
        <f aca="false">(BK82)+L83</f>
        <v>1449.07407407407</v>
      </c>
      <c r="BL83" s="15" t="n">
        <f aca="false">BJ83-BK83</f>
        <v>4467.59259259259</v>
      </c>
      <c r="BM83" s="15" t="n">
        <f aca="false">(BM82)+Y83</f>
        <v>60112.8525061088</v>
      </c>
      <c r="BN83" s="15" t="n">
        <f aca="false">(BN82)+AW83+AX83+AZ83</f>
        <v>20000</v>
      </c>
      <c r="BO83" s="15" t="n">
        <f aca="false">(BO82)+AY83</f>
        <v>0</v>
      </c>
      <c r="BP83" s="15" t="n">
        <f aca="false">MIN(Parametri_v3!$C$36*Parametri_v3!$C$35,(BP82)+IF(7=1,MAX(0,SUM(Y65:Y76))*Parametri_v3!$C$34,0))</f>
        <v>1752.40631140351</v>
      </c>
      <c r="BQ83" s="15" t="n">
        <f aca="false">BN83+BM83-BO83</f>
        <v>80112.8525061088</v>
      </c>
      <c r="BR83" s="15" t="n">
        <f aca="false">BH83+AD83+BL83+MAX(0,-AM83)+MAX(0,-AR83)</f>
        <v>124627.433450759</v>
      </c>
      <c r="BS83" s="15" t="n">
        <f aca="false">AJ83+AV83+MAX(0,AM83)+MAX(0,AR83)+BC83+BG83+BQ83+AG83</f>
        <v>124627.433450759</v>
      </c>
      <c r="BT83" s="15" t="n">
        <f aca="false">BR83-BS83</f>
        <v>0</v>
      </c>
      <c r="BU83" s="15" t="n">
        <f aca="false">BH83-(BD83+BE83-BF83-AY83)</f>
        <v>0</v>
      </c>
      <c r="BV83" s="15" t="n">
        <f aca="false">IF(BH82&lt;Parametri_v3!$C$31,0,BV82+1)</f>
        <v>0</v>
      </c>
    </row>
    <row r="84" customFormat="false" ht="18" hidden="false" customHeight="true" outlineLevel="0" collapsed="false">
      <c r="A84" s="68" t="n">
        <f aca="false">2</f>
        <v>2</v>
      </c>
      <c r="B84" s="68" t="n">
        <f aca="false">20</f>
        <v>20</v>
      </c>
      <c r="C84" s="18" t="n">
        <f aca="false">Motore_Operativo!C84</f>
        <v>46966</v>
      </c>
      <c r="D84" s="68" t="n">
        <f aca="false">Motore_Operativo!D84</f>
        <v>2028</v>
      </c>
      <c r="E84" s="68" t="n">
        <f aca="false">Motore_Operativo!E84</f>
        <v>8</v>
      </c>
      <c r="F84" s="15" t="n">
        <f aca="false">Motore_Operativo!AM84</f>
        <v>33981.220657277</v>
      </c>
      <c r="G84" s="15" t="n">
        <f aca="false">Motore_Operativo!BH84</f>
        <v>3398.1220657277</v>
      </c>
      <c r="H84" s="15" t="n">
        <f aca="false">Motore_Operativo!AM84</f>
        <v>33981.220657277</v>
      </c>
      <c r="I84" s="15" t="n">
        <f aca="false">Motore_Operativo!CB84</f>
        <v>28885.3286384976</v>
      </c>
      <c r="J84" s="15" t="n">
        <f aca="false">Motore_Operativo!CD84</f>
        <v>5095.89201877934</v>
      </c>
      <c r="K84" s="15" t="n">
        <f aca="false">Motore_Operativo!CF84</f>
        <v>416.666666666667</v>
      </c>
      <c r="L84" s="15" t="n">
        <f aca="false">SUM(INDEX($K$65:$K$124,MAX(1,20-Parametri_v3!$C$59+1)):K84)/Parametri_v3!$C$59</f>
        <v>175.925925925926</v>
      </c>
      <c r="M84" s="15" t="n">
        <f aca="false">J84-L84</f>
        <v>4919.96609285342</v>
      </c>
      <c r="N84" s="15" t="n">
        <f aca="false">0</f>
        <v>0</v>
      </c>
      <c r="O84" s="15" t="n">
        <f aca="false">0</f>
        <v>0</v>
      </c>
      <c r="P84" s="15" t="n">
        <f aca="false">M84+N84-O84</f>
        <v>4919.96609285342</v>
      </c>
      <c r="Q84" s="15" t="n">
        <f aca="false">SUM(P77:P84)+Parametri_v3!$C$56*8/12</f>
        <v>39683.8028169014</v>
      </c>
      <c r="R84" s="15" t="n">
        <f aca="false">Z76</f>
        <v>0</v>
      </c>
      <c r="S84" s="15" t="n">
        <f aca="false">AA76</f>
        <v>0</v>
      </c>
      <c r="T84" s="15" t="n">
        <f aca="false">MIN(R84,MAX(0,Q84))</f>
        <v>0</v>
      </c>
      <c r="U84" s="15" t="n">
        <f aca="false">MIN(S84,MAX(0,Q84-T84)*Parametri_v3!$C$42)</f>
        <v>0</v>
      </c>
      <c r="V84" s="15" t="n">
        <f aca="false">MAX(0,Q84-T84-U84)*Ipotesi!$C$92</f>
        <v>9524.11267605633</v>
      </c>
      <c r="W84" s="15" t="n">
        <f aca="false">MAX(0,SUM(M77:M84)+Parametri_v3!$C$57*8/12)*Ipotesi!$C$93</f>
        <v>1547.66830985915</v>
      </c>
      <c r="X84" s="15" t="n">
        <f aca="false">V84+W84-(V83+W83)</f>
        <v>1372.6705399061</v>
      </c>
      <c r="Y84" s="15" t="n">
        <f aca="false">P84-X84</f>
        <v>3547.29555294731</v>
      </c>
      <c r="Z84" s="15" t="n">
        <f aca="false">R84-T84+IF(AND(Parametri_v3!$C$40=1,D84-YEAR(Parametri_v3!$C$50)&lt;Parametri_v3!$C$41),MAX(0,-Q84),0)</f>
        <v>0</v>
      </c>
      <c r="AA84" s="15" t="n">
        <f aca="false">S84-U84+IF(AND(Parametri_v3!$C$40=1,D84-YEAR(Parametri_v3!$C$50)&lt;Parametri_v3!$C$41),0,MAX(0,-Q84))</f>
        <v>0</v>
      </c>
      <c r="AB84" s="15" t="n">
        <f aca="false">F84*(1+Parametri_v3!$C$26)</f>
        <v>41457.0892018779</v>
      </c>
      <c r="AC84" s="15" t="n">
        <f aca="false">(IF(20-(INT((Motore_Operativo!L84)/30))&lt;1,0,INDEX(Motore_Advisory!$AB$65:$AB$124,MAX(1,20-(INT((Motore_Operativo!L84)/30)))))*(1-(MOD((Motore_Operativo!L84),30)/30))+IF(20-(INT((Motore_Operativo!L84)/30))-1&lt;1,0,INDEX(Motore_Advisory!$AB$65:$AB$124,MAX(1,20-(INT((Motore_Operativo!L84)/30))-1)))*(MOD((Motore_Operativo!L84),30)/30))</f>
        <v>41457.0892018779</v>
      </c>
      <c r="AD84" s="15" t="n">
        <f aca="false">(AD83)+AB84-AC84</f>
        <v>124371.267605634</v>
      </c>
      <c r="AE84" s="15" t="n">
        <f aca="false">Motore_Operativo!BH84*(1+Parametri_v3!$C$26)</f>
        <v>4145.70892018779</v>
      </c>
      <c r="AF84" s="15" t="n">
        <f aca="false">(IF(20-(INT((Parametri_v3!$C$29)/30))&lt;1,0,INDEX(Motore_Operativo!$BH$65:$BH$124,MAX(1,20-(INT((Parametri_v3!$C$29)/30)))))*(1-(MOD((Parametri_v3!$C$29),30)/30))+IF(20-(INT((Parametri_v3!$C$29)/30))-1&lt;1,0,INDEX(Motore_Operativo!$BH$65:$BH$124,MAX(1,20-(INT((Parametri_v3!$C$29)/30))-1)))*(MOD((Parametri_v3!$C$29),30)/30))*(1+Parametri_v3!$C$26)</f>
        <v>4145.70892018779</v>
      </c>
      <c r="AG84" s="15" t="n">
        <f aca="false">(AG83)+AE84-AF84</f>
        <v>4145.70892018779</v>
      </c>
      <c r="AH84" s="15" t="n">
        <f aca="false">(Motore_Operativo!CK84)*(1+Parametri_v3!$C$28*Parametri_v3!$C$26)</f>
        <v>11198.1149295775</v>
      </c>
      <c r="AI84" s="15" t="n">
        <f aca="false">(IF(20-(INT((Ipotesi!$C$91)/30))&lt;1,0,INDEX(Motore_Advisory!$AH$65:$AH$124,MAX(1,20-(INT((Ipotesi!$C$91)/30)))))*(1-(MOD((Ipotesi!$C$91),30)/30))+IF(20-(INT((Ipotesi!$C$91)/30))-1&lt;1,0,INDEX(Motore_Advisory!$AH$65:$AH$124,MAX(1,20-(INT((Ipotesi!$C$91)/30))-1)))*(MOD((Ipotesi!$C$91),30)/30))</f>
        <v>11198.1149295775</v>
      </c>
      <c r="AJ84" s="15" t="n">
        <f aca="false">(AJ83)+AH84-AI84</f>
        <v>22396.2298591549</v>
      </c>
      <c r="AK84" s="15" t="n">
        <f aca="false">(F84- Motore_Operativo!BH84-(Motore_Operativo!CK84)*Parametri_v3!$C$28-Motore_Operativo!CF84)*Parametri_v3!$C$26</f>
        <v>4960.70666666667</v>
      </c>
      <c r="AL84" s="15" t="n">
        <f aca="false">MAX(0,(AM83))</f>
        <v>4960.70666666667</v>
      </c>
      <c r="AM84" s="15" t="n">
        <f aca="false">(AM83)+AK84-AL84</f>
        <v>4960.70666666667</v>
      </c>
      <c r="AN84" s="15" t="n">
        <f aca="false">SUM(X65:X76)</f>
        <v>13562.3123684211</v>
      </c>
      <c r="AO84" s="15" t="n">
        <f aca="false">SUM(AP65:AP76)</f>
        <v>0</v>
      </c>
      <c r="AP84" s="15" t="n">
        <f aca="false">MAX(0,AN84)*IF(8=Parametri_v3!$C$43,Parametri_v3!$C$45,IF(8=Parametri_v3!$C$44,1-Parametri_v3!$C$45,0))</f>
        <v>0</v>
      </c>
      <c r="AQ84" s="15" t="n">
        <f aca="false">MAX(0,AP84+IF(8=Parametri_v3!$C$43,MAX(0,AN84-AO84),0)-MAX(0,-(AR83)))</f>
        <v>0</v>
      </c>
      <c r="AR84" s="15" t="n">
        <f aca="false">(AR83)+X84-AQ84</f>
        <v>5646.85603854707</v>
      </c>
      <c r="AS84" s="15" t="n">
        <f aca="false">Motore_Operativo!AC84-AT84+AU84</f>
        <v>15166.75</v>
      </c>
      <c r="AT84" s="15" t="n">
        <f aca="false">Motore_Operativo!CI84</f>
        <v>798.25</v>
      </c>
      <c r="AU84" s="15" t="n">
        <f aca="false">MIN(MAX(0,(AV83)+AT84),Parametri_v3!$C$61/12)</f>
        <v>0</v>
      </c>
      <c r="AV84" s="15" t="n">
        <f aca="false">(AV83)+AT84-AU84</f>
        <v>9536</v>
      </c>
      <c r="AW84" s="15" t="n">
        <f aca="false">IF(AND(Motore_Operativo!C84=Finanziamenti!$D$7,Finanziamenti!$F$7=1),Finanziamenti!$C$7,0)</f>
        <v>0</v>
      </c>
      <c r="AX84" s="15" t="n">
        <f aca="false">0</f>
        <v>0</v>
      </c>
      <c r="AY84" s="15" t="n">
        <f aca="false">IF(8=Parametri_v3!$C$33,IF(BV84&lt;MIN(12,$B84-1),0,MIN(MAX(0,SUM(Y65:Y76))*Ipotesi!$C$94,MAX(0,(BM76)-(BO83)-BP84),MAX(0,BD84-Parametri_v3!$C$31))),0)</f>
        <v>0</v>
      </c>
      <c r="AZ84" s="15" t="n">
        <f aca="false">0</f>
        <v>0</v>
      </c>
      <c r="BA84" s="15" t="n">
        <f aca="false">0</f>
        <v>0</v>
      </c>
      <c r="BB84" s="15" t="n">
        <f aca="false">0</f>
        <v>0</v>
      </c>
      <c r="BC84" s="15" t="n">
        <f aca="false">0</f>
        <v>0</v>
      </c>
      <c r="BD84" s="15" t="n">
        <f aca="false">(BH83)+AC84-AF84-AI84-AS84-K84*(1+Parametri_v3!$C$26)-AL84-AQ84-O84+AW84+AX84+AZ84+BA84-BB84</f>
        <v>1266.0486046454</v>
      </c>
      <c r="BE84" s="15" t="n">
        <f aca="false">0</f>
        <v>0</v>
      </c>
      <c r="BF84" s="15" t="n">
        <f aca="false">0</f>
        <v>0</v>
      </c>
      <c r="BG84" s="15" t="n">
        <f aca="false">0</f>
        <v>0</v>
      </c>
      <c r="BH84" s="15" t="n">
        <f aca="false">BD84+BE84-BF84-AY84</f>
        <v>1266.0486046454</v>
      </c>
      <c r="BI84" s="15" t="n">
        <f aca="false">MAX(0,Parametri_v3!$C$31-BH84)</f>
        <v>8733.9513953546</v>
      </c>
      <c r="BJ84" s="15" t="n">
        <f aca="false">(BJ83)+K84</f>
        <v>6333.33333333334</v>
      </c>
      <c r="BK84" s="15" t="n">
        <f aca="false">(BK83)+L84</f>
        <v>1625</v>
      </c>
      <c r="BL84" s="15" t="n">
        <f aca="false">BJ84-BK84</f>
        <v>4708.33333333334</v>
      </c>
      <c r="BM84" s="15" t="n">
        <f aca="false">(BM83)+Y84</f>
        <v>63660.1480590561</v>
      </c>
      <c r="BN84" s="15" t="n">
        <f aca="false">(BN83)+AW84+AX84+AZ84</f>
        <v>20000</v>
      </c>
      <c r="BO84" s="15" t="n">
        <f aca="false">(BO83)+AY84</f>
        <v>0</v>
      </c>
      <c r="BP84" s="15" t="n">
        <f aca="false">MIN(Parametri_v3!$C$36*Parametri_v3!$C$35,(BP83)+IF(8=1,MAX(0,SUM(Y65:Y76))*Parametri_v3!$C$34,0))</f>
        <v>1752.40631140351</v>
      </c>
      <c r="BQ84" s="15" t="n">
        <f aca="false">BN84+BM84-BO84</f>
        <v>83660.1480590561</v>
      </c>
      <c r="BR84" s="15" t="n">
        <f aca="false">BH84+AD84+BL84+MAX(0,-AM84)+MAX(0,-AR84)</f>
        <v>130345.649543613</v>
      </c>
      <c r="BS84" s="15" t="n">
        <f aca="false">AJ84+AV84+MAX(0,AM84)+MAX(0,AR84)+BC84+BG84+BQ84+AG84</f>
        <v>130345.649543613</v>
      </c>
      <c r="BT84" s="15" t="n">
        <f aca="false">BR84-BS84</f>
        <v>0</v>
      </c>
      <c r="BU84" s="15" t="n">
        <f aca="false">BH84-(BD84+BE84-BF84-AY84)</f>
        <v>0</v>
      </c>
      <c r="BV84" s="15" t="n">
        <f aca="false">IF(BH83&lt;Parametri_v3!$C$31,0,BV83+1)</f>
        <v>0</v>
      </c>
    </row>
    <row r="85" customFormat="false" ht="18" hidden="false" customHeight="true" outlineLevel="0" collapsed="false">
      <c r="A85" s="68" t="n">
        <f aca="false">2</f>
        <v>2</v>
      </c>
      <c r="B85" s="68" t="n">
        <f aca="false">21</f>
        <v>21</v>
      </c>
      <c r="C85" s="18" t="n">
        <f aca="false">Motore_Operativo!C85</f>
        <v>46997</v>
      </c>
      <c r="D85" s="68" t="n">
        <f aca="false">Motore_Operativo!D85</f>
        <v>2028</v>
      </c>
      <c r="E85" s="68" t="n">
        <f aca="false">Motore_Operativo!E85</f>
        <v>9</v>
      </c>
      <c r="F85" s="15" t="n">
        <f aca="false">Motore_Operativo!AM85</f>
        <v>33981.220657277</v>
      </c>
      <c r="G85" s="15" t="n">
        <f aca="false">Motore_Operativo!BH85</f>
        <v>3398.1220657277</v>
      </c>
      <c r="H85" s="15" t="n">
        <f aca="false">Motore_Operativo!AM85</f>
        <v>33981.220657277</v>
      </c>
      <c r="I85" s="15" t="n">
        <f aca="false">Motore_Operativo!CB85</f>
        <v>28885.3286384976</v>
      </c>
      <c r="J85" s="15" t="n">
        <f aca="false">Motore_Operativo!CD85</f>
        <v>5095.89201877934</v>
      </c>
      <c r="K85" s="15" t="n">
        <f aca="false">Motore_Operativo!CF85</f>
        <v>416.666666666667</v>
      </c>
      <c r="L85" s="15" t="n">
        <f aca="false">SUM(INDEX($K$65:$K$124,MAX(1,21-Parametri_v3!$C$59+1)):K85)/Parametri_v3!$C$59</f>
        <v>187.5</v>
      </c>
      <c r="M85" s="15" t="n">
        <f aca="false">J85-L85</f>
        <v>4908.39201877934</v>
      </c>
      <c r="N85" s="15" t="n">
        <f aca="false">0</f>
        <v>0</v>
      </c>
      <c r="O85" s="15" t="n">
        <f aca="false">0</f>
        <v>0</v>
      </c>
      <c r="P85" s="15" t="n">
        <f aca="false">M85+N85-O85</f>
        <v>4908.39201877934</v>
      </c>
      <c r="Q85" s="15" t="n">
        <f aca="false">SUM(P77:P85)+Parametri_v3!$C$56*9/12</f>
        <v>44592.1948356807</v>
      </c>
      <c r="R85" s="15" t="n">
        <f aca="false">Z76</f>
        <v>0</v>
      </c>
      <c r="S85" s="15" t="n">
        <f aca="false">AA76</f>
        <v>0</v>
      </c>
      <c r="T85" s="15" t="n">
        <f aca="false">MIN(R85,MAX(0,Q85))</f>
        <v>0</v>
      </c>
      <c r="U85" s="15" t="n">
        <f aca="false">MIN(S85,MAX(0,Q85-T85)*Parametri_v3!$C$42)</f>
        <v>0</v>
      </c>
      <c r="V85" s="15" t="n">
        <f aca="false">MAX(0,Q85-T85-U85)*Ipotesi!$C$92</f>
        <v>10702.1267605634</v>
      </c>
      <c r="W85" s="15" t="n">
        <f aca="false">MAX(0,SUM(M77:M85)+Parametri_v3!$C$57*9/12)*Ipotesi!$C$93</f>
        <v>1739.09559859155</v>
      </c>
      <c r="X85" s="15" t="n">
        <f aca="false">V85+W85-(V84+W84)</f>
        <v>1369.44137323944</v>
      </c>
      <c r="Y85" s="15" t="n">
        <f aca="false">P85-X85</f>
        <v>3538.95064553991</v>
      </c>
      <c r="Z85" s="15" t="n">
        <f aca="false">R85-T85+IF(AND(Parametri_v3!$C$40=1,D85-YEAR(Parametri_v3!$C$50)&lt;Parametri_v3!$C$41),MAX(0,-Q85),0)</f>
        <v>0</v>
      </c>
      <c r="AA85" s="15" t="n">
        <f aca="false">S85-U85+IF(AND(Parametri_v3!$C$40=1,D85-YEAR(Parametri_v3!$C$50)&lt;Parametri_v3!$C$41),0,MAX(0,-Q85))</f>
        <v>0</v>
      </c>
      <c r="AB85" s="15" t="n">
        <f aca="false">F85*(1+Parametri_v3!$C$26)</f>
        <v>41457.0892018779</v>
      </c>
      <c r="AC85" s="15" t="n">
        <f aca="false">(IF(21-(INT((Motore_Operativo!L85)/30))&lt;1,0,INDEX(Motore_Advisory!$AB$65:$AB$124,MAX(1,21-(INT((Motore_Operativo!L85)/30)))))*(1-(MOD((Motore_Operativo!L85),30)/30))+IF(21-(INT((Motore_Operativo!L85)/30))-1&lt;1,0,INDEX(Motore_Advisory!$AB$65:$AB$124,MAX(1,21-(INT((Motore_Operativo!L85)/30))-1)))*(MOD((Motore_Operativo!L85),30)/30))</f>
        <v>41457.0892018779</v>
      </c>
      <c r="AD85" s="15" t="n">
        <f aca="false">(AD84)+AB85-AC85</f>
        <v>124371.267605634</v>
      </c>
      <c r="AE85" s="15" t="n">
        <f aca="false">Motore_Operativo!BH85*(1+Parametri_v3!$C$26)</f>
        <v>4145.70892018779</v>
      </c>
      <c r="AF85" s="15" t="n">
        <f aca="false">(IF(21-(INT((Parametri_v3!$C$29)/30))&lt;1,0,INDEX(Motore_Operativo!$BH$65:$BH$124,MAX(1,21-(INT((Parametri_v3!$C$29)/30)))))*(1-(MOD((Parametri_v3!$C$29),30)/30))+IF(21-(INT((Parametri_v3!$C$29)/30))-1&lt;1,0,INDEX(Motore_Operativo!$BH$65:$BH$124,MAX(1,21-(INT((Parametri_v3!$C$29)/30))-1)))*(MOD((Parametri_v3!$C$29),30)/30))*(1+Parametri_v3!$C$26)</f>
        <v>4145.70892018779</v>
      </c>
      <c r="AG85" s="15" t="n">
        <f aca="false">(AG84)+AE85-AF85</f>
        <v>4145.70892018779</v>
      </c>
      <c r="AH85" s="15" t="n">
        <f aca="false">(Motore_Operativo!CK85)*(1+Parametri_v3!$C$28*Parametri_v3!$C$26)</f>
        <v>11198.1149295775</v>
      </c>
      <c r="AI85" s="15" t="n">
        <f aca="false">(IF(21-(INT((Ipotesi!$C$91)/30))&lt;1,0,INDEX(Motore_Advisory!$AH$65:$AH$124,MAX(1,21-(INT((Ipotesi!$C$91)/30)))))*(1-(MOD((Ipotesi!$C$91),30)/30))+IF(21-(INT((Ipotesi!$C$91)/30))-1&lt;1,0,INDEX(Motore_Advisory!$AH$65:$AH$124,MAX(1,21-(INT((Ipotesi!$C$91)/30))-1)))*(MOD((Ipotesi!$C$91),30)/30))</f>
        <v>11198.1149295775</v>
      </c>
      <c r="AJ85" s="15" t="n">
        <f aca="false">(AJ84)+AH85-AI85</f>
        <v>22396.2298591549</v>
      </c>
      <c r="AK85" s="15" t="n">
        <f aca="false">(F85- Motore_Operativo!BH85-(Motore_Operativo!CK85)*Parametri_v3!$C$28-Motore_Operativo!CF85)*Parametri_v3!$C$26</f>
        <v>4960.70666666667</v>
      </c>
      <c r="AL85" s="15" t="n">
        <f aca="false">MAX(0,(AM84))</f>
        <v>4960.70666666667</v>
      </c>
      <c r="AM85" s="15" t="n">
        <f aca="false">(AM84)+AK85-AL85</f>
        <v>4960.70666666667</v>
      </c>
      <c r="AN85" s="15" t="n">
        <f aca="false">SUM(X65:X76)</f>
        <v>13562.3123684211</v>
      </c>
      <c r="AO85" s="15" t="n">
        <f aca="false">SUM(AP65:AP76)</f>
        <v>0</v>
      </c>
      <c r="AP85" s="15" t="n">
        <f aca="false">MAX(0,AN85)*IF(9=Parametri_v3!$C$43,Parametri_v3!$C$45,IF(9=Parametri_v3!$C$44,1-Parametri_v3!$C$45,0))</f>
        <v>0</v>
      </c>
      <c r="AQ85" s="15" t="n">
        <f aca="false">MAX(0,AP85+IF(9=Parametri_v3!$C$43,MAX(0,AN85-AO85),0)-MAX(0,-(AR84)))</f>
        <v>0</v>
      </c>
      <c r="AR85" s="15" t="n">
        <f aca="false">(AR84)+X85-AQ85</f>
        <v>7016.2974117865</v>
      </c>
      <c r="AS85" s="15" t="n">
        <f aca="false">Motore_Operativo!AC85-AT85+AU85</f>
        <v>15166.75</v>
      </c>
      <c r="AT85" s="15" t="n">
        <f aca="false">Motore_Operativo!CI85</f>
        <v>798.25</v>
      </c>
      <c r="AU85" s="15" t="n">
        <f aca="false">MIN(MAX(0,(AV84)+AT85),Parametri_v3!$C$61/12)</f>
        <v>0</v>
      </c>
      <c r="AV85" s="15" t="n">
        <f aca="false">(AV84)+AT85-AU85</f>
        <v>10334.25</v>
      </c>
      <c r="AW85" s="15" t="n">
        <f aca="false">IF(AND(Motore_Operativo!C85=Finanziamenti!$D$7,Finanziamenti!$F$7=1),Finanziamenti!$C$7,0)</f>
        <v>0</v>
      </c>
      <c r="AX85" s="15" t="n">
        <f aca="false">0</f>
        <v>0</v>
      </c>
      <c r="AY85" s="15" t="n">
        <f aca="false">IF(9=Parametri_v3!$C$33,IF(BV85&lt;MIN(12,$B85-1),0,MIN(MAX(0,SUM(Y65:Y76))*Ipotesi!$C$94,MAX(0,(BM76)-(BO84)-BP85),MAX(0,BD85-Parametri_v3!$C$31))),0)</f>
        <v>0</v>
      </c>
      <c r="AZ85" s="15" t="n">
        <f aca="false">0</f>
        <v>0</v>
      </c>
      <c r="BA85" s="15" t="n">
        <f aca="false">0</f>
        <v>0</v>
      </c>
      <c r="BB85" s="15" t="n">
        <f aca="false">0</f>
        <v>0</v>
      </c>
      <c r="BC85" s="15" t="n">
        <f aca="false">0</f>
        <v>0</v>
      </c>
      <c r="BD85" s="15" t="n">
        <f aca="false">(BH84)+AC85-AF85-AI85-AS85-K85*(1+Parametri_v3!$C$26)-AL85-AQ85-O85+AW85+AX85+AZ85+BA85-BB85</f>
        <v>6743.52395675808</v>
      </c>
      <c r="BE85" s="15" t="n">
        <f aca="false">0</f>
        <v>0</v>
      </c>
      <c r="BF85" s="15" t="n">
        <f aca="false">0</f>
        <v>0</v>
      </c>
      <c r="BG85" s="15" t="n">
        <f aca="false">0</f>
        <v>0</v>
      </c>
      <c r="BH85" s="15" t="n">
        <f aca="false">BD85+BE85-BF85-AY85</f>
        <v>6743.52395675808</v>
      </c>
      <c r="BI85" s="15" t="n">
        <f aca="false">MAX(0,Parametri_v3!$C$31-BH85)</f>
        <v>3256.47604324192</v>
      </c>
      <c r="BJ85" s="15" t="n">
        <f aca="false">(BJ84)+K85</f>
        <v>6750</v>
      </c>
      <c r="BK85" s="15" t="n">
        <f aca="false">(BK84)+L85</f>
        <v>1812.5</v>
      </c>
      <c r="BL85" s="15" t="n">
        <f aca="false">BJ85-BK85</f>
        <v>4937.5</v>
      </c>
      <c r="BM85" s="15" t="n">
        <f aca="false">(BM84)+Y85</f>
        <v>67199.098704596</v>
      </c>
      <c r="BN85" s="15" t="n">
        <f aca="false">(BN84)+AW85+AX85+AZ85</f>
        <v>20000</v>
      </c>
      <c r="BO85" s="15" t="n">
        <f aca="false">(BO84)+AY85</f>
        <v>0</v>
      </c>
      <c r="BP85" s="15" t="n">
        <f aca="false">MIN(Parametri_v3!$C$36*Parametri_v3!$C$35,(BP84)+IF(9=1,MAX(0,SUM(Y65:Y76))*Parametri_v3!$C$34,0))</f>
        <v>1752.40631140351</v>
      </c>
      <c r="BQ85" s="15" t="n">
        <f aca="false">BN85+BM85-BO85</f>
        <v>87199.098704596</v>
      </c>
      <c r="BR85" s="15" t="n">
        <f aca="false">BH85+AD85+BL85+MAX(0,-AM85)+MAX(0,-AR85)</f>
        <v>136052.291562392</v>
      </c>
      <c r="BS85" s="15" t="n">
        <f aca="false">AJ85+AV85+MAX(0,AM85)+MAX(0,AR85)+BC85+BG85+BQ85+AG85</f>
        <v>136052.291562392</v>
      </c>
      <c r="BT85" s="15" t="n">
        <f aca="false">BR85-BS85</f>
        <v>0</v>
      </c>
      <c r="BU85" s="15" t="n">
        <f aca="false">BH85-(BD85+BE85-BF85-AY85)</f>
        <v>0</v>
      </c>
      <c r="BV85" s="15" t="n">
        <f aca="false">IF(BH84&lt;Parametri_v3!$C$31,0,BV84+1)</f>
        <v>0</v>
      </c>
    </row>
    <row r="86" customFormat="false" ht="18" hidden="false" customHeight="true" outlineLevel="0" collapsed="false">
      <c r="A86" s="68" t="n">
        <f aca="false">2</f>
        <v>2</v>
      </c>
      <c r="B86" s="68" t="n">
        <f aca="false">22</f>
        <v>22</v>
      </c>
      <c r="C86" s="18" t="n">
        <f aca="false">Motore_Operativo!C86</f>
        <v>47027</v>
      </c>
      <c r="D86" s="68" t="n">
        <f aca="false">Motore_Operativo!D86</f>
        <v>2028</v>
      </c>
      <c r="E86" s="68" t="n">
        <f aca="false">Motore_Operativo!E86</f>
        <v>10</v>
      </c>
      <c r="F86" s="15" t="n">
        <f aca="false">Motore_Operativo!AM86</f>
        <v>33981.220657277</v>
      </c>
      <c r="G86" s="15" t="n">
        <f aca="false">Motore_Operativo!BH86</f>
        <v>3398.1220657277</v>
      </c>
      <c r="H86" s="15" t="n">
        <f aca="false">Motore_Operativo!AM86</f>
        <v>33981.220657277</v>
      </c>
      <c r="I86" s="15" t="n">
        <f aca="false">Motore_Operativo!CB86</f>
        <v>28885.3286384976</v>
      </c>
      <c r="J86" s="15" t="n">
        <f aca="false">Motore_Operativo!CD86</f>
        <v>5095.89201877934</v>
      </c>
      <c r="K86" s="15" t="n">
        <f aca="false">Motore_Operativo!CF86</f>
        <v>416.666666666667</v>
      </c>
      <c r="L86" s="15" t="n">
        <f aca="false">SUM(INDEX($K$65:$K$124,MAX(1,22-Parametri_v3!$C$59+1)):K86)/Parametri_v3!$C$59</f>
        <v>199.074074074074</v>
      </c>
      <c r="M86" s="15" t="n">
        <f aca="false">J86-L86</f>
        <v>4896.81794470527</v>
      </c>
      <c r="N86" s="15" t="n">
        <f aca="false">0</f>
        <v>0</v>
      </c>
      <c r="O86" s="15" t="n">
        <f aca="false">0</f>
        <v>0</v>
      </c>
      <c r="P86" s="15" t="n">
        <f aca="false">M86+N86-O86</f>
        <v>4896.81794470527</v>
      </c>
      <c r="Q86" s="15" t="n">
        <f aca="false">SUM(P77:P86)+Parametri_v3!$C$56*10/12</f>
        <v>49489.012780386</v>
      </c>
      <c r="R86" s="15" t="n">
        <f aca="false">Z76</f>
        <v>0</v>
      </c>
      <c r="S86" s="15" t="n">
        <f aca="false">AA76</f>
        <v>0</v>
      </c>
      <c r="T86" s="15" t="n">
        <f aca="false">MIN(R86,MAX(0,Q86))</f>
        <v>0</v>
      </c>
      <c r="U86" s="15" t="n">
        <f aca="false">MIN(S86,MAX(0,Q86-T86)*Parametri_v3!$C$42)</f>
        <v>0</v>
      </c>
      <c r="V86" s="15" t="n">
        <f aca="false">MAX(0,Q86-T86-U86)*Ipotesi!$C$92</f>
        <v>11877.3630672926</v>
      </c>
      <c r="W86" s="15" t="n">
        <f aca="false">MAX(0,SUM(M77:M86)+Parametri_v3!$C$57*10/12)*Ipotesi!$C$93</f>
        <v>1930.07149843505</v>
      </c>
      <c r="X86" s="15" t="n">
        <f aca="false">V86+W86-(V85+W85)</f>
        <v>1366.21220657277</v>
      </c>
      <c r="Y86" s="15" t="n">
        <f aca="false">P86-X86</f>
        <v>3530.6057381325</v>
      </c>
      <c r="Z86" s="15" t="n">
        <f aca="false">R86-T86+IF(AND(Parametri_v3!$C$40=1,D86-YEAR(Parametri_v3!$C$50)&lt;Parametri_v3!$C$41),MAX(0,-Q86),0)</f>
        <v>0</v>
      </c>
      <c r="AA86" s="15" t="n">
        <f aca="false">S86-U86+IF(AND(Parametri_v3!$C$40=1,D86-YEAR(Parametri_v3!$C$50)&lt;Parametri_v3!$C$41),0,MAX(0,-Q86))</f>
        <v>0</v>
      </c>
      <c r="AB86" s="15" t="n">
        <f aca="false">F86*(1+Parametri_v3!$C$26)</f>
        <v>41457.0892018779</v>
      </c>
      <c r="AC86" s="15" t="n">
        <f aca="false">(IF(22-(INT((Motore_Operativo!L86)/30))&lt;1,0,INDEX(Motore_Advisory!$AB$65:$AB$124,MAX(1,22-(INT((Motore_Operativo!L86)/30)))))*(1-(MOD((Motore_Operativo!L86),30)/30))+IF(22-(INT((Motore_Operativo!L86)/30))-1&lt;1,0,INDEX(Motore_Advisory!$AB$65:$AB$124,MAX(1,22-(INT((Motore_Operativo!L86)/30))-1)))*(MOD((Motore_Operativo!L86),30)/30))</f>
        <v>41457.0892018779</v>
      </c>
      <c r="AD86" s="15" t="n">
        <f aca="false">(AD85)+AB86-AC86</f>
        <v>124371.267605634</v>
      </c>
      <c r="AE86" s="15" t="n">
        <f aca="false">Motore_Operativo!BH86*(1+Parametri_v3!$C$26)</f>
        <v>4145.70892018779</v>
      </c>
      <c r="AF86" s="15" t="n">
        <f aca="false">(IF(22-(INT((Parametri_v3!$C$29)/30))&lt;1,0,INDEX(Motore_Operativo!$BH$65:$BH$124,MAX(1,22-(INT((Parametri_v3!$C$29)/30)))))*(1-(MOD((Parametri_v3!$C$29),30)/30))+IF(22-(INT((Parametri_v3!$C$29)/30))-1&lt;1,0,INDEX(Motore_Operativo!$BH$65:$BH$124,MAX(1,22-(INT((Parametri_v3!$C$29)/30))-1)))*(MOD((Parametri_v3!$C$29),30)/30))*(1+Parametri_v3!$C$26)</f>
        <v>4145.70892018779</v>
      </c>
      <c r="AG86" s="15" t="n">
        <f aca="false">(AG85)+AE86-AF86</f>
        <v>4145.70892018779</v>
      </c>
      <c r="AH86" s="15" t="n">
        <f aca="false">(Motore_Operativo!CK86)*(1+Parametri_v3!$C$28*Parametri_v3!$C$26)</f>
        <v>11198.1149295775</v>
      </c>
      <c r="AI86" s="15" t="n">
        <f aca="false">(IF(22-(INT((Ipotesi!$C$91)/30))&lt;1,0,INDEX(Motore_Advisory!$AH$65:$AH$124,MAX(1,22-(INT((Ipotesi!$C$91)/30)))))*(1-(MOD((Ipotesi!$C$91),30)/30))+IF(22-(INT((Ipotesi!$C$91)/30))-1&lt;1,0,INDEX(Motore_Advisory!$AH$65:$AH$124,MAX(1,22-(INT((Ipotesi!$C$91)/30))-1)))*(MOD((Ipotesi!$C$91),30)/30))</f>
        <v>11198.1149295775</v>
      </c>
      <c r="AJ86" s="15" t="n">
        <f aca="false">(AJ85)+AH86-AI86</f>
        <v>22396.2298591549</v>
      </c>
      <c r="AK86" s="15" t="n">
        <f aca="false">(F86- Motore_Operativo!BH86-(Motore_Operativo!CK86)*Parametri_v3!$C$28-Motore_Operativo!CF86)*Parametri_v3!$C$26</f>
        <v>4960.70666666667</v>
      </c>
      <c r="AL86" s="15" t="n">
        <f aca="false">MAX(0,(AM85))</f>
        <v>4960.70666666667</v>
      </c>
      <c r="AM86" s="15" t="n">
        <f aca="false">(AM85)+AK86-AL86</f>
        <v>4960.70666666667</v>
      </c>
      <c r="AN86" s="15" t="n">
        <f aca="false">SUM(X65:X76)</f>
        <v>13562.3123684211</v>
      </c>
      <c r="AO86" s="15" t="n">
        <f aca="false">SUM(AP65:AP76)</f>
        <v>0</v>
      </c>
      <c r="AP86" s="15" t="n">
        <f aca="false">MAX(0,AN86)*IF(10=Parametri_v3!$C$43,Parametri_v3!$C$45,IF(10=Parametri_v3!$C$44,1-Parametri_v3!$C$45,0))</f>
        <v>0</v>
      </c>
      <c r="AQ86" s="15" t="n">
        <f aca="false">MAX(0,AP86+IF(10=Parametri_v3!$C$43,MAX(0,AN86-AO86),0)-MAX(0,-(AR85)))</f>
        <v>0</v>
      </c>
      <c r="AR86" s="15" t="n">
        <f aca="false">(AR85)+X86-AQ86</f>
        <v>8382.50961835927</v>
      </c>
      <c r="AS86" s="15" t="n">
        <f aca="false">Motore_Operativo!AC86-AT86+AU86</f>
        <v>15166.75</v>
      </c>
      <c r="AT86" s="15" t="n">
        <f aca="false">Motore_Operativo!CI86</f>
        <v>798.25</v>
      </c>
      <c r="AU86" s="15" t="n">
        <f aca="false">MIN(MAX(0,(AV85)+AT86),Parametri_v3!$C$61/12)</f>
        <v>0</v>
      </c>
      <c r="AV86" s="15" t="n">
        <f aca="false">(AV85)+AT86-AU86</f>
        <v>11132.5</v>
      </c>
      <c r="AW86" s="15" t="n">
        <f aca="false">IF(AND(Motore_Operativo!C86=Finanziamenti!$D$7,Finanziamenti!$F$7=1),Finanziamenti!$C$7,0)</f>
        <v>0</v>
      </c>
      <c r="AX86" s="15" t="n">
        <f aca="false">0</f>
        <v>0</v>
      </c>
      <c r="AY86" s="15" t="n">
        <f aca="false">IF(10=Parametri_v3!$C$33,IF(BV86&lt;MIN(12,$B86-1),0,MIN(MAX(0,SUM(Y65:Y76))*Ipotesi!$C$94,MAX(0,(BM76)-(BO85)-BP86),MAX(0,BD86-Parametri_v3!$C$31))),0)</f>
        <v>0</v>
      </c>
      <c r="AZ86" s="15" t="n">
        <f aca="false">0</f>
        <v>0</v>
      </c>
      <c r="BA86" s="15" t="n">
        <f aca="false">0</f>
        <v>0</v>
      </c>
      <c r="BB86" s="15" t="n">
        <f aca="false">0</f>
        <v>0</v>
      </c>
      <c r="BC86" s="15" t="n">
        <f aca="false">0</f>
        <v>0</v>
      </c>
      <c r="BD86" s="15" t="n">
        <f aca="false">(BH85)+AC86-AF86-AI86-AS86-K86*(1+Parametri_v3!$C$26)-AL86-AQ86-O86+AW86+AX86+AZ86+BA86-BB86</f>
        <v>12220.9993088708</v>
      </c>
      <c r="BE86" s="15" t="n">
        <f aca="false">0</f>
        <v>0</v>
      </c>
      <c r="BF86" s="15" t="n">
        <f aca="false">0</f>
        <v>0</v>
      </c>
      <c r="BG86" s="15" t="n">
        <f aca="false">0</f>
        <v>0</v>
      </c>
      <c r="BH86" s="15" t="n">
        <f aca="false">BD86+BE86-BF86-AY86</f>
        <v>12220.9993088708</v>
      </c>
      <c r="BI86" s="15" t="n">
        <f aca="false">MAX(0,Parametri_v3!$C$31-BH86)</f>
        <v>0</v>
      </c>
      <c r="BJ86" s="15" t="n">
        <f aca="false">(BJ85)+K86</f>
        <v>7166.66666666667</v>
      </c>
      <c r="BK86" s="15" t="n">
        <f aca="false">(BK85)+L86</f>
        <v>2011.57407407407</v>
      </c>
      <c r="BL86" s="15" t="n">
        <f aca="false">BJ86-BK86</f>
        <v>5155.0925925926</v>
      </c>
      <c r="BM86" s="15" t="n">
        <f aca="false">(BM85)+Y86</f>
        <v>70729.7044427285</v>
      </c>
      <c r="BN86" s="15" t="n">
        <f aca="false">(BN85)+AW86+AX86+AZ86</f>
        <v>20000</v>
      </c>
      <c r="BO86" s="15" t="n">
        <f aca="false">(BO85)+AY86</f>
        <v>0</v>
      </c>
      <c r="BP86" s="15" t="n">
        <f aca="false">MIN(Parametri_v3!$C$36*Parametri_v3!$C$35,(BP85)+IF(10=1,MAX(0,SUM(Y65:Y76))*Parametri_v3!$C$34,0))</f>
        <v>1752.40631140351</v>
      </c>
      <c r="BQ86" s="15" t="n">
        <f aca="false">BN86+BM86-BO86</f>
        <v>90729.7044427285</v>
      </c>
      <c r="BR86" s="15" t="n">
        <f aca="false">BH86+AD86+BL86+MAX(0,-AM86)+MAX(0,-AR86)</f>
        <v>141747.359507097</v>
      </c>
      <c r="BS86" s="15" t="n">
        <f aca="false">AJ86+AV86+MAX(0,AM86)+MAX(0,AR86)+BC86+BG86+BQ86+AG86</f>
        <v>141747.359507097</v>
      </c>
      <c r="BT86" s="15" t="n">
        <f aca="false">BR86-BS86</f>
        <v>0</v>
      </c>
      <c r="BU86" s="15" t="n">
        <f aca="false">BH86-(BD86+BE86-BF86-AY86)</f>
        <v>0</v>
      </c>
      <c r="BV86" s="15" t="n">
        <f aca="false">IF(BH85&lt;Parametri_v3!$C$31,0,BV85+1)</f>
        <v>0</v>
      </c>
    </row>
    <row r="87" customFormat="false" ht="18" hidden="false" customHeight="true" outlineLevel="0" collapsed="false">
      <c r="A87" s="68" t="n">
        <f aca="false">2</f>
        <v>2</v>
      </c>
      <c r="B87" s="68" t="n">
        <f aca="false">23</f>
        <v>23</v>
      </c>
      <c r="C87" s="18" t="n">
        <f aca="false">Motore_Operativo!C87</f>
        <v>47058</v>
      </c>
      <c r="D87" s="68" t="n">
        <f aca="false">Motore_Operativo!D87</f>
        <v>2028</v>
      </c>
      <c r="E87" s="68" t="n">
        <f aca="false">Motore_Operativo!E87</f>
        <v>11</v>
      </c>
      <c r="F87" s="15" t="n">
        <f aca="false">Motore_Operativo!AM87</f>
        <v>33981.220657277</v>
      </c>
      <c r="G87" s="15" t="n">
        <f aca="false">Motore_Operativo!BH87</f>
        <v>3398.1220657277</v>
      </c>
      <c r="H87" s="15" t="n">
        <f aca="false">Motore_Operativo!AM87</f>
        <v>33981.220657277</v>
      </c>
      <c r="I87" s="15" t="n">
        <f aca="false">Motore_Operativo!CB87</f>
        <v>28885.3286384976</v>
      </c>
      <c r="J87" s="15" t="n">
        <f aca="false">Motore_Operativo!CD87</f>
        <v>5095.89201877934</v>
      </c>
      <c r="K87" s="15" t="n">
        <f aca="false">Motore_Operativo!CF87</f>
        <v>416.666666666667</v>
      </c>
      <c r="L87" s="15" t="n">
        <f aca="false">SUM(INDEX($K$65:$K$124,MAX(1,23-Parametri_v3!$C$59+1)):K87)/Parametri_v3!$C$59</f>
        <v>210.648148148148</v>
      </c>
      <c r="M87" s="15" t="n">
        <f aca="false">J87-L87</f>
        <v>4885.24387063119</v>
      </c>
      <c r="N87" s="15" t="n">
        <f aca="false">0</f>
        <v>0</v>
      </c>
      <c r="O87" s="15" t="n">
        <f aca="false">0</f>
        <v>0</v>
      </c>
      <c r="P87" s="15" t="n">
        <f aca="false">M87+N87-O87</f>
        <v>4885.24387063119</v>
      </c>
      <c r="Q87" s="15" t="n">
        <f aca="false">SUM(P77:P87)+Parametri_v3!$C$56*11/12</f>
        <v>54374.2566510172</v>
      </c>
      <c r="R87" s="15" t="n">
        <f aca="false">Z76</f>
        <v>0</v>
      </c>
      <c r="S87" s="15" t="n">
        <f aca="false">AA76</f>
        <v>0</v>
      </c>
      <c r="T87" s="15" t="n">
        <f aca="false">MIN(R87,MAX(0,Q87))</f>
        <v>0</v>
      </c>
      <c r="U87" s="15" t="n">
        <f aca="false">MIN(S87,MAX(0,Q87-T87)*Parametri_v3!$C$42)</f>
        <v>0</v>
      </c>
      <c r="V87" s="15" t="n">
        <f aca="false">MAX(0,Q87-T87-U87)*Ipotesi!$C$92</f>
        <v>13049.8215962441</v>
      </c>
      <c r="W87" s="15" t="n">
        <f aca="false">MAX(0,SUM(M77:M87)+Parametri_v3!$C$57*11/12)*Ipotesi!$C$93</f>
        <v>2120.59600938967</v>
      </c>
      <c r="X87" s="15" t="n">
        <f aca="false">V87+W87-(V86+W86)</f>
        <v>1362.9830399061</v>
      </c>
      <c r="Y87" s="15" t="n">
        <f aca="false">P87-X87</f>
        <v>3522.26083072509</v>
      </c>
      <c r="Z87" s="15" t="n">
        <f aca="false">R87-T87+IF(AND(Parametri_v3!$C$40=1,D87-YEAR(Parametri_v3!$C$50)&lt;Parametri_v3!$C$41),MAX(0,-Q87),0)</f>
        <v>0</v>
      </c>
      <c r="AA87" s="15" t="n">
        <f aca="false">S87-U87+IF(AND(Parametri_v3!$C$40=1,D87-YEAR(Parametri_v3!$C$50)&lt;Parametri_v3!$C$41),0,MAX(0,-Q87))</f>
        <v>0</v>
      </c>
      <c r="AB87" s="15" t="n">
        <f aca="false">F87*(1+Parametri_v3!$C$26)</f>
        <v>41457.0892018779</v>
      </c>
      <c r="AC87" s="15" t="n">
        <f aca="false">(IF(23-(INT((Motore_Operativo!L87)/30))&lt;1,0,INDEX(Motore_Advisory!$AB$65:$AB$124,MAX(1,23-(INT((Motore_Operativo!L87)/30)))))*(1-(MOD((Motore_Operativo!L87),30)/30))+IF(23-(INT((Motore_Operativo!L87)/30))-1&lt;1,0,INDEX(Motore_Advisory!$AB$65:$AB$124,MAX(1,23-(INT((Motore_Operativo!L87)/30))-1)))*(MOD((Motore_Operativo!L87),30)/30))</f>
        <v>41457.0892018779</v>
      </c>
      <c r="AD87" s="15" t="n">
        <f aca="false">(AD86)+AB87-AC87</f>
        <v>124371.267605634</v>
      </c>
      <c r="AE87" s="15" t="n">
        <f aca="false">Motore_Operativo!BH87*(1+Parametri_v3!$C$26)</f>
        <v>4145.70892018779</v>
      </c>
      <c r="AF87" s="15" t="n">
        <f aca="false">(IF(23-(INT((Parametri_v3!$C$29)/30))&lt;1,0,INDEX(Motore_Operativo!$BH$65:$BH$124,MAX(1,23-(INT((Parametri_v3!$C$29)/30)))))*(1-(MOD((Parametri_v3!$C$29),30)/30))+IF(23-(INT((Parametri_v3!$C$29)/30))-1&lt;1,0,INDEX(Motore_Operativo!$BH$65:$BH$124,MAX(1,23-(INT((Parametri_v3!$C$29)/30))-1)))*(MOD((Parametri_v3!$C$29),30)/30))*(1+Parametri_v3!$C$26)</f>
        <v>4145.70892018779</v>
      </c>
      <c r="AG87" s="15" t="n">
        <f aca="false">(AG86)+AE87-AF87</f>
        <v>4145.70892018779</v>
      </c>
      <c r="AH87" s="15" t="n">
        <f aca="false">(Motore_Operativo!CK87)*(1+Parametri_v3!$C$28*Parametri_v3!$C$26)</f>
        <v>11198.1149295775</v>
      </c>
      <c r="AI87" s="15" t="n">
        <f aca="false">(IF(23-(INT((Ipotesi!$C$91)/30))&lt;1,0,INDEX(Motore_Advisory!$AH$65:$AH$124,MAX(1,23-(INT((Ipotesi!$C$91)/30)))))*(1-(MOD((Ipotesi!$C$91),30)/30))+IF(23-(INT((Ipotesi!$C$91)/30))-1&lt;1,0,INDEX(Motore_Advisory!$AH$65:$AH$124,MAX(1,23-(INT((Ipotesi!$C$91)/30))-1)))*(MOD((Ipotesi!$C$91),30)/30))</f>
        <v>11198.1149295775</v>
      </c>
      <c r="AJ87" s="15" t="n">
        <f aca="false">(AJ86)+AH87-AI87</f>
        <v>22396.2298591549</v>
      </c>
      <c r="AK87" s="15" t="n">
        <f aca="false">(F87- Motore_Operativo!BH87-(Motore_Operativo!CK87)*Parametri_v3!$C$28-Motore_Operativo!CF87)*Parametri_v3!$C$26</f>
        <v>4960.70666666667</v>
      </c>
      <c r="AL87" s="15" t="n">
        <f aca="false">MAX(0,(AM86))</f>
        <v>4960.70666666667</v>
      </c>
      <c r="AM87" s="15" t="n">
        <f aca="false">(AM86)+AK87-AL87</f>
        <v>4960.70666666667</v>
      </c>
      <c r="AN87" s="15" t="n">
        <f aca="false">SUM(X65:X76)</f>
        <v>13562.3123684211</v>
      </c>
      <c r="AO87" s="15" t="n">
        <f aca="false">SUM(AP65:AP76)</f>
        <v>0</v>
      </c>
      <c r="AP87" s="15" t="n">
        <f aca="false">MAX(0,AN87)*IF(11=Parametri_v3!$C$43,Parametri_v3!$C$45,IF(11=Parametri_v3!$C$44,1-Parametri_v3!$C$45,0))</f>
        <v>8137.38742105263</v>
      </c>
      <c r="AQ87" s="15" t="n">
        <f aca="false">MAX(0,AP87+IF(11=Parametri_v3!$C$43,MAX(0,AN87-AO87),0)-MAX(0,-(AR86)))</f>
        <v>8137.38742105263</v>
      </c>
      <c r="AR87" s="15" t="n">
        <f aca="false">(AR86)+X87-AQ87</f>
        <v>1608.10523721275</v>
      </c>
      <c r="AS87" s="15" t="n">
        <f aca="false">Motore_Operativo!AC87-AT87+AU87</f>
        <v>15166.75</v>
      </c>
      <c r="AT87" s="15" t="n">
        <f aca="false">Motore_Operativo!CI87</f>
        <v>798.25</v>
      </c>
      <c r="AU87" s="15" t="n">
        <f aca="false">MIN(MAX(0,(AV86)+AT87),Parametri_v3!$C$61/12)</f>
        <v>0</v>
      </c>
      <c r="AV87" s="15" t="n">
        <f aca="false">(AV86)+AT87-AU87</f>
        <v>11930.75</v>
      </c>
      <c r="AW87" s="15" t="n">
        <f aca="false">IF(AND(Motore_Operativo!C87=Finanziamenti!$D$7,Finanziamenti!$F$7=1),Finanziamenti!$C$7,0)</f>
        <v>0</v>
      </c>
      <c r="AX87" s="15" t="n">
        <f aca="false">0</f>
        <v>0</v>
      </c>
      <c r="AY87" s="15" t="n">
        <f aca="false">IF(11=Parametri_v3!$C$33,IF(BV87&lt;MIN(12,$B87-1),0,MIN(MAX(0,SUM(Y65:Y76))*Ipotesi!$C$94,MAX(0,(BM76)-(BO86)-BP87),MAX(0,BD87-Parametri_v3!$C$31))),0)</f>
        <v>0</v>
      </c>
      <c r="AZ87" s="15" t="n">
        <f aca="false">0</f>
        <v>0</v>
      </c>
      <c r="BA87" s="15" t="n">
        <f aca="false">0</f>
        <v>0</v>
      </c>
      <c r="BB87" s="15" t="n">
        <f aca="false">0</f>
        <v>0</v>
      </c>
      <c r="BC87" s="15" t="n">
        <f aca="false">0</f>
        <v>0</v>
      </c>
      <c r="BD87" s="15" t="n">
        <f aca="false">(BH86)+AC87-AF87-AI87-AS87-K87*(1+Parametri_v3!$C$26)-AL87-AQ87-O87+AW87+AX87+AZ87+BA87-BB87</f>
        <v>9561.08723993079</v>
      </c>
      <c r="BE87" s="15" t="n">
        <f aca="false">0</f>
        <v>0</v>
      </c>
      <c r="BF87" s="15" t="n">
        <f aca="false">0</f>
        <v>0</v>
      </c>
      <c r="BG87" s="15" t="n">
        <f aca="false">0</f>
        <v>0</v>
      </c>
      <c r="BH87" s="15" t="n">
        <f aca="false">BD87+BE87-BF87-AY87</f>
        <v>9561.08723993079</v>
      </c>
      <c r="BI87" s="15" t="n">
        <f aca="false">MAX(0,Parametri_v3!$C$31-BH87)</f>
        <v>438.912760069208</v>
      </c>
      <c r="BJ87" s="15" t="n">
        <f aca="false">(BJ86)+K87</f>
        <v>7583.33333333334</v>
      </c>
      <c r="BK87" s="15" t="n">
        <f aca="false">(BK86)+L87</f>
        <v>2222.22222222222</v>
      </c>
      <c r="BL87" s="15" t="n">
        <f aca="false">BJ87-BK87</f>
        <v>5361.11111111111</v>
      </c>
      <c r="BM87" s="15" t="n">
        <f aca="false">(BM86)+Y87</f>
        <v>74251.9652734536</v>
      </c>
      <c r="BN87" s="15" t="n">
        <f aca="false">(BN86)+AW87+AX87+AZ87</f>
        <v>20000</v>
      </c>
      <c r="BO87" s="15" t="n">
        <f aca="false">(BO86)+AY87</f>
        <v>0</v>
      </c>
      <c r="BP87" s="15" t="n">
        <f aca="false">MIN(Parametri_v3!$C$36*Parametri_v3!$C$35,(BP86)+IF(11=1,MAX(0,SUM(Y65:Y76))*Parametri_v3!$C$34,0))</f>
        <v>1752.40631140351</v>
      </c>
      <c r="BQ87" s="15" t="n">
        <f aca="false">BN87+BM87-BO87</f>
        <v>94251.9652734536</v>
      </c>
      <c r="BR87" s="15" t="n">
        <f aca="false">BH87+AD87+BL87+MAX(0,-AM87)+MAX(0,-AR87)</f>
        <v>139293.465956676</v>
      </c>
      <c r="BS87" s="15" t="n">
        <f aca="false">AJ87+AV87+MAX(0,AM87)+MAX(0,AR87)+BC87+BG87+BQ87+AG87</f>
        <v>139293.465956676</v>
      </c>
      <c r="BT87" s="15" t="n">
        <f aca="false">BR87-BS87</f>
        <v>0</v>
      </c>
      <c r="BU87" s="15" t="n">
        <f aca="false">BH87-(BD87+BE87-BF87-AY87)</f>
        <v>0</v>
      </c>
      <c r="BV87" s="15" t="n">
        <f aca="false">IF(BH86&lt;Parametri_v3!$C$31,0,BV86+1)</f>
        <v>1</v>
      </c>
    </row>
    <row r="88" customFormat="false" ht="18" hidden="false" customHeight="true" outlineLevel="0" collapsed="false">
      <c r="A88" s="68" t="n">
        <f aca="false">2</f>
        <v>2</v>
      </c>
      <c r="B88" s="68" t="n">
        <f aca="false">24</f>
        <v>24</v>
      </c>
      <c r="C88" s="18" t="n">
        <f aca="false">Motore_Operativo!C88</f>
        <v>47088</v>
      </c>
      <c r="D88" s="68" t="n">
        <f aca="false">Motore_Operativo!D88</f>
        <v>2028</v>
      </c>
      <c r="E88" s="68" t="n">
        <f aca="false">Motore_Operativo!E88</f>
        <v>12</v>
      </c>
      <c r="F88" s="15" t="n">
        <f aca="false">Motore_Operativo!AM88</f>
        <v>33981.220657277</v>
      </c>
      <c r="G88" s="15" t="n">
        <f aca="false">Motore_Operativo!BH88</f>
        <v>3398.1220657277</v>
      </c>
      <c r="H88" s="15" t="n">
        <f aca="false">Motore_Operativo!AM88</f>
        <v>33981.220657277</v>
      </c>
      <c r="I88" s="15" t="n">
        <f aca="false">Motore_Operativo!CB88</f>
        <v>28885.3286384976</v>
      </c>
      <c r="J88" s="15" t="n">
        <f aca="false">Motore_Operativo!CD88</f>
        <v>5095.89201877934</v>
      </c>
      <c r="K88" s="15" t="n">
        <f aca="false">Motore_Operativo!CF88</f>
        <v>416.666666666667</v>
      </c>
      <c r="L88" s="15" t="n">
        <f aca="false">SUM(INDEX($K$65:$K$124,MAX(1,24-Parametri_v3!$C$59+1)):K88)/Parametri_v3!$C$59</f>
        <v>222.222222222222</v>
      </c>
      <c r="M88" s="15" t="n">
        <f aca="false">J88-L88</f>
        <v>4873.66979655712</v>
      </c>
      <c r="N88" s="15" t="n">
        <f aca="false">0</f>
        <v>0</v>
      </c>
      <c r="O88" s="15" t="n">
        <f aca="false">0</f>
        <v>0</v>
      </c>
      <c r="P88" s="15" t="n">
        <f aca="false">M88+N88-O88</f>
        <v>4873.66979655712</v>
      </c>
      <c r="Q88" s="15" t="n">
        <f aca="false">SUM(P77:P88)+Parametri_v3!$C$56*12/12</f>
        <v>59247.9264475743</v>
      </c>
      <c r="R88" s="15" t="n">
        <f aca="false">Z76</f>
        <v>0</v>
      </c>
      <c r="S88" s="15" t="n">
        <f aca="false">AA76</f>
        <v>0</v>
      </c>
      <c r="T88" s="15" t="n">
        <f aca="false">MIN(R88,MAX(0,Q88))</f>
        <v>0</v>
      </c>
      <c r="U88" s="15" t="n">
        <f aca="false">MIN(S88,MAX(0,Q88-T88)*Parametri_v3!$C$42)</f>
        <v>0</v>
      </c>
      <c r="V88" s="15" t="n">
        <f aca="false">MAX(0,Q88-T88-U88)*Ipotesi!$C$92</f>
        <v>14219.5023474178</v>
      </c>
      <c r="W88" s="15" t="n">
        <f aca="false">MAX(0,SUM(M77:M88)+Parametri_v3!$C$57*12/12)*Ipotesi!$C$93</f>
        <v>2310.6691314554</v>
      </c>
      <c r="X88" s="15" t="n">
        <f aca="false">V88+W88-(V87+W87)</f>
        <v>1359.75387323944</v>
      </c>
      <c r="Y88" s="15" t="n">
        <f aca="false">P88-X88</f>
        <v>3513.91592331768</v>
      </c>
      <c r="Z88" s="15" t="n">
        <f aca="false">R88-T88+IF(AND(Parametri_v3!$C$40=1,D88-YEAR(Parametri_v3!$C$50)&lt;Parametri_v3!$C$41),MAX(0,-Q88),0)</f>
        <v>0</v>
      </c>
      <c r="AA88" s="15" t="n">
        <f aca="false">S88-U88+IF(AND(Parametri_v3!$C$40=1,D88-YEAR(Parametri_v3!$C$50)&lt;Parametri_v3!$C$41),0,MAX(0,-Q88))</f>
        <v>0</v>
      </c>
      <c r="AB88" s="15" t="n">
        <f aca="false">F88*(1+Parametri_v3!$C$26)</f>
        <v>41457.0892018779</v>
      </c>
      <c r="AC88" s="15" t="n">
        <f aca="false">(IF(24-(INT((Motore_Operativo!L88)/30))&lt;1,0,INDEX(Motore_Advisory!$AB$65:$AB$124,MAX(1,24-(INT((Motore_Operativo!L88)/30)))))*(1-(MOD((Motore_Operativo!L88),30)/30))+IF(24-(INT((Motore_Operativo!L88)/30))-1&lt;1,0,INDEX(Motore_Advisory!$AB$65:$AB$124,MAX(1,24-(INT((Motore_Operativo!L88)/30))-1)))*(MOD((Motore_Operativo!L88),30)/30))</f>
        <v>41457.0892018779</v>
      </c>
      <c r="AD88" s="15" t="n">
        <f aca="false">(AD87)+AB88-AC88</f>
        <v>124371.267605634</v>
      </c>
      <c r="AE88" s="15" t="n">
        <f aca="false">Motore_Operativo!BH88*(1+Parametri_v3!$C$26)</f>
        <v>4145.70892018779</v>
      </c>
      <c r="AF88" s="15" t="n">
        <f aca="false">(IF(24-(INT((Parametri_v3!$C$29)/30))&lt;1,0,INDEX(Motore_Operativo!$BH$65:$BH$124,MAX(1,24-(INT((Parametri_v3!$C$29)/30)))))*(1-(MOD((Parametri_v3!$C$29),30)/30))+IF(24-(INT((Parametri_v3!$C$29)/30))-1&lt;1,0,INDEX(Motore_Operativo!$BH$65:$BH$124,MAX(1,24-(INT((Parametri_v3!$C$29)/30))-1)))*(MOD((Parametri_v3!$C$29),30)/30))*(1+Parametri_v3!$C$26)</f>
        <v>4145.70892018779</v>
      </c>
      <c r="AG88" s="15" t="n">
        <f aca="false">(AG87)+AE88-AF88</f>
        <v>4145.70892018779</v>
      </c>
      <c r="AH88" s="15" t="n">
        <f aca="false">(Motore_Operativo!CK88)*(1+Parametri_v3!$C$28*Parametri_v3!$C$26)</f>
        <v>11198.1149295775</v>
      </c>
      <c r="AI88" s="15" t="n">
        <f aca="false">(IF(24-(INT((Ipotesi!$C$91)/30))&lt;1,0,INDEX(Motore_Advisory!$AH$65:$AH$124,MAX(1,24-(INT((Ipotesi!$C$91)/30)))))*(1-(MOD((Ipotesi!$C$91),30)/30))+IF(24-(INT((Ipotesi!$C$91)/30))-1&lt;1,0,INDEX(Motore_Advisory!$AH$65:$AH$124,MAX(1,24-(INT((Ipotesi!$C$91)/30))-1)))*(MOD((Ipotesi!$C$91),30)/30))</f>
        <v>11198.1149295775</v>
      </c>
      <c r="AJ88" s="15" t="n">
        <f aca="false">(AJ87)+AH88-AI88</f>
        <v>22396.2298591549</v>
      </c>
      <c r="AK88" s="15" t="n">
        <f aca="false">(F88- Motore_Operativo!BH88-(Motore_Operativo!CK88)*Parametri_v3!$C$28-Motore_Operativo!CF88)*Parametri_v3!$C$26</f>
        <v>4960.70666666667</v>
      </c>
      <c r="AL88" s="15" t="n">
        <f aca="false">MAX(0,(AM87))</f>
        <v>4960.70666666667</v>
      </c>
      <c r="AM88" s="15" t="n">
        <f aca="false">(AM87)+AK88-AL88</f>
        <v>4960.70666666667</v>
      </c>
      <c r="AN88" s="15" t="n">
        <f aca="false">SUM(X65:X76)</f>
        <v>13562.3123684211</v>
      </c>
      <c r="AO88" s="15" t="n">
        <f aca="false">SUM(AP65:AP76)</f>
        <v>0</v>
      </c>
      <c r="AP88" s="15" t="n">
        <f aca="false">MAX(0,AN88)*IF(12=Parametri_v3!$C$43,Parametri_v3!$C$45,IF(12=Parametri_v3!$C$44,1-Parametri_v3!$C$45,0))</f>
        <v>0</v>
      </c>
      <c r="AQ88" s="15" t="n">
        <f aca="false">MAX(0,AP88+IF(12=Parametri_v3!$C$43,MAX(0,AN88-AO88),0)-MAX(0,-(AR87)))</f>
        <v>0</v>
      </c>
      <c r="AR88" s="15" t="n">
        <f aca="false">(AR87)+X88-AQ88</f>
        <v>2967.85911045218</v>
      </c>
      <c r="AS88" s="15" t="n">
        <f aca="false">Motore_Operativo!AC88-AT88+AU88</f>
        <v>15166.75</v>
      </c>
      <c r="AT88" s="15" t="n">
        <f aca="false">Motore_Operativo!CI88</f>
        <v>798.25</v>
      </c>
      <c r="AU88" s="15" t="n">
        <f aca="false">MIN(MAX(0,(AV87)+AT88),Parametri_v3!$C$61/12)</f>
        <v>0</v>
      </c>
      <c r="AV88" s="15" t="n">
        <f aca="false">(AV87)+AT88-AU88</f>
        <v>12729</v>
      </c>
      <c r="AW88" s="15" t="n">
        <f aca="false">IF(AND(Motore_Operativo!C88=Finanziamenti!$D$7,Finanziamenti!$F$7=1),Finanziamenti!$C$7,0)</f>
        <v>0</v>
      </c>
      <c r="AX88" s="15" t="n">
        <f aca="false">0</f>
        <v>0</v>
      </c>
      <c r="AY88" s="15" t="n">
        <f aca="false">IF(12=Parametri_v3!$C$33,IF(BV88&lt;MIN(12,$B88-1),0,MIN(MAX(0,SUM(Y65:Y76))*Ipotesi!$C$94,MAX(0,(BM76)-(BO87)-BP88),MAX(0,BD88-Parametri_v3!$C$31))),0)</f>
        <v>0</v>
      </c>
      <c r="AZ88" s="15" t="n">
        <f aca="false">0</f>
        <v>0</v>
      </c>
      <c r="BA88" s="15" t="n">
        <f aca="false">0</f>
        <v>0</v>
      </c>
      <c r="BB88" s="15" t="n">
        <f aca="false">0</f>
        <v>0</v>
      </c>
      <c r="BC88" s="15" t="n">
        <f aca="false">0</f>
        <v>0</v>
      </c>
      <c r="BD88" s="15" t="n">
        <f aca="false">(BH87)+AC88-AF88-AI88-AS88-K88*(1+Parametri_v3!$C$26)-AL88-AQ88-O88+AW88+AX88+AZ88+BA88-BB88</f>
        <v>15038.5625920435</v>
      </c>
      <c r="BE88" s="15" t="n">
        <f aca="false">0</f>
        <v>0</v>
      </c>
      <c r="BF88" s="15" t="n">
        <f aca="false">0</f>
        <v>0</v>
      </c>
      <c r="BG88" s="15" t="n">
        <f aca="false">0</f>
        <v>0</v>
      </c>
      <c r="BH88" s="15" t="n">
        <f aca="false">BD88+BE88-BF88-AY88</f>
        <v>15038.5625920435</v>
      </c>
      <c r="BI88" s="15" t="n">
        <f aca="false">MAX(0,Parametri_v3!$C$31-BH88)</f>
        <v>0</v>
      </c>
      <c r="BJ88" s="15" t="n">
        <f aca="false">(BJ87)+K88</f>
        <v>8000</v>
      </c>
      <c r="BK88" s="15" t="n">
        <f aca="false">(BK87)+L88</f>
        <v>2444.44444444445</v>
      </c>
      <c r="BL88" s="15" t="n">
        <f aca="false">BJ88-BK88</f>
        <v>5555.55555555556</v>
      </c>
      <c r="BM88" s="15" t="n">
        <f aca="false">(BM87)+Y88</f>
        <v>77765.8811967713</v>
      </c>
      <c r="BN88" s="15" t="n">
        <f aca="false">(BN87)+AW88+AX88+AZ88</f>
        <v>20000</v>
      </c>
      <c r="BO88" s="15" t="n">
        <f aca="false">(BO87)+AY88</f>
        <v>0</v>
      </c>
      <c r="BP88" s="15" t="n">
        <f aca="false">MIN(Parametri_v3!$C$36*Parametri_v3!$C$35,(BP87)+IF(12=1,MAX(0,SUM(Y65:Y76))*Parametri_v3!$C$34,0))</f>
        <v>1752.40631140351</v>
      </c>
      <c r="BQ88" s="15" t="n">
        <f aca="false">BN88+BM88-BO88</f>
        <v>97765.8811967713</v>
      </c>
      <c r="BR88" s="15" t="n">
        <f aca="false">BH88+AD88+BL88+MAX(0,-AM88)+MAX(0,-AR88)</f>
        <v>144965.385753233</v>
      </c>
      <c r="BS88" s="15" t="n">
        <f aca="false">AJ88+AV88+MAX(0,AM88)+MAX(0,AR88)+BC88+BG88+BQ88+AG88</f>
        <v>144965.385753233</v>
      </c>
      <c r="BT88" s="15" t="n">
        <f aca="false">BR88-BS88</f>
        <v>0</v>
      </c>
      <c r="BU88" s="15" t="n">
        <f aca="false">BH88-(BD88+BE88-BF88-AY88)</f>
        <v>0</v>
      </c>
      <c r="BV88" s="15" t="n">
        <f aca="false">IF(BH87&lt;Parametri_v3!$C$31,0,BV87+1)</f>
        <v>0</v>
      </c>
    </row>
    <row r="89" customFormat="false" ht="18" hidden="false" customHeight="true" outlineLevel="0" collapsed="false">
      <c r="A89" s="68" t="n">
        <f aca="false">2</f>
        <v>2</v>
      </c>
      <c r="B89" s="68" t="n">
        <f aca="false">25</f>
        <v>25</v>
      </c>
      <c r="C89" s="18" t="n">
        <f aca="false">Motore_Operativo!C89</f>
        <v>47119</v>
      </c>
      <c r="D89" s="68" t="n">
        <f aca="false">Motore_Operativo!D89</f>
        <v>2029</v>
      </c>
      <c r="E89" s="68" t="n">
        <f aca="false">Motore_Operativo!E89</f>
        <v>1</v>
      </c>
      <c r="F89" s="15" t="n">
        <f aca="false">Motore_Operativo!AM89</f>
        <v>60500</v>
      </c>
      <c r="G89" s="15" t="n">
        <f aca="false">Motore_Operativo!BH89</f>
        <v>6050</v>
      </c>
      <c r="H89" s="15" t="n">
        <f aca="false">Motore_Operativo!AM89</f>
        <v>60500</v>
      </c>
      <c r="I89" s="15" t="n">
        <f aca="false">Motore_Operativo!CB89</f>
        <v>46259.8958333333</v>
      </c>
      <c r="J89" s="15" t="n">
        <f aca="false">Motore_Operativo!CD89</f>
        <v>14240.1041666667</v>
      </c>
      <c r="K89" s="15" t="n">
        <f aca="false">Motore_Operativo!CF89</f>
        <v>416.666666666667</v>
      </c>
      <c r="L89" s="15" t="n">
        <f aca="false">SUM(INDEX($K$65:$K$124,MAX(1,25-Parametri_v3!$C$59+1)):K89)/Parametri_v3!$C$59</f>
        <v>233.796296296296</v>
      </c>
      <c r="M89" s="15" t="n">
        <f aca="false">J89-L89</f>
        <v>14006.3078703704</v>
      </c>
      <c r="N89" s="15" t="n">
        <f aca="false">0</f>
        <v>0</v>
      </c>
      <c r="O89" s="15" t="n">
        <f aca="false">0</f>
        <v>0</v>
      </c>
      <c r="P89" s="15" t="n">
        <f aca="false">M89+N89-O89</f>
        <v>14006.3078703704</v>
      </c>
      <c r="Q89" s="15" t="n">
        <f aca="false">SUM(P89)+Parametri_v3!$C$56*1/12</f>
        <v>14006.3078703704</v>
      </c>
      <c r="R89" s="15" t="n">
        <f aca="false">Z88</f>
        <v>0</v>
      </c>
      <c r="S89" s="15" t="n">
        <f aca="false">AA88</f>
        <v>0</v>
      </c>
      <c r="T89" s="15" t="n">
        <f aca="false">MIN(R89,MAX(0,Q89))</f>
        <v>0</v>
      </c>
      <c r="U89" s="15" t="n">
        <f aca="false">MIN(S89,MAX(0,Q89-T89)*Parametri_v3!$C$42)</f>
        <v>0</v>
      </c>
      <c r="V89" s="15" t="n">
        <f aca="false">MAX(0,Q89-T89-U89)*Ipotesi!$C$92</f>
        <v>3361.51388888889</v>
      </c>
      <c r="W89" s="15" t="n">
        <f aca="false">MAX(0,SUM(M89)+Parametri_v3!$C$57*1/12)*Ipotesi!$C$93</f>
        <v>546.246006944445</v>
      </c>
      <c r="X89" s="15" t="n">
        <f aca="false">V89+W89-(0)</f>
        <v>3907.75989583333</v>
      </c>
      <c r="Y89" s="15" t="n">
        <f aca="false">P89-X89</f>
        <v>10098.547974537</v>
      </c>
      <c r="Z89" s="15" t="n">
        <f aca="false">R89-T89+IF(AND(Parametri_v3!$C$40=1,D89-YEAR(Parametri_v3!$C$50)&lt;Parametri_v3!$C$41),MAX(0,-Q89),0)</f>
        <v>0</v>
      </c>
      <c r="AA89" s="15" t="n">
        <f aca="false">S89-U89+IF(AND(Parametri_v3!$C$40=1,D89-YEAR(Parametri_v3!$C$50)&lt;Parametri_v3!$C$41),0,MAX(0,-Q89))</f>
        <v>0</v>
      </c>
      <c r="AB89" s="15" t="n">
        <f aca="false">F89*(1+Parametri_v3!$C$26)</f>
        <v>73810</v>
      </c>
      <c r="AC89" s="15" t="n">
        <f aca="false">(IF(25-(INT((Motore_Operativo!L89)/30))&lt;1,0,INDEX(Motore_Advisory!$AB$65:$AB$124,MAX(1,25-(INT((Motore_Operativo!L89)/30)))))*(1-(MOD((Motore_Operativo!L89),30)/30))+IF(25-(INT((Motore_Operativo!L89)/30))-1&lt;1,0,INDEX(Motore_Advisory!$AB$65:$AB$124,MAX(1,25-(INT((Motore_Operativo!L89)/30))-1)))*(MOD((Motore_Operativo!L89),30)/30))</f>
        <v>41457.0892018779</v>
      </c>
      <c r="AD89" s="15" t="n">
        <f aca="false">(AD88)+AB89-AC89</f>
        <v>156724.178403756</v>
      </c>
      <c r="AE89" s="15" t="n">
        <f aca="false">Motore_Operativo!BH89*(1+Parametri_v3!$C$26)</f>
        <v>7381</v>
      </c>
      <c r="AF89" s="15" t="n">
        <f aca="false">(IF(25-(INT((Parametri_v3!$C$29)/30))&lt;1,0,INDEX(Motore_Operativo!$BH$65:$BH$124,MAX(1,25-(INT((Parametri_v3!$C$29)/30)))))*(1-(MOD((Parametri_v3!$C$29),30)/30))+IF(25-(INT((Parametri_v3!$C$29)/30))-1&lt;1,0,INDEX(Motore_Operativo!$BH$65:$BH$124,MAX(1,25-(INT((Parametri_v3!$C$29)/30))-1)))*(MOD((Parametri_v3!$C$29),30)/30))*(1+Parametri_v3!$C$26)</f>
        <v>4145.70892018779</v>
      </c>
      <c r="AG89" s="15" t="n">
        <f aca="false">(AG88)+AE89-AF89</f>
        <v>7381</v>
      </c>
      <c r="AH89" s="15" t="n">
        <f aca="false">(Motore_Operativo!CK89)*(1+Parametri_v3!$C$28*Parametri_v3!$C$26)</f>
        <v>17395.98</v>
      </c>
      <c r="AI89" s="15" t="n">
        <f aca="false">(IF(25-(INT((Ipotesi!$C$91)/30))&lt;1,0,INDEX(Motore_Advisory!$AH$65:$AH$124,MAX(1,25-(INT((Ipotesi!$C$91)/30)))))*(1-(MOD((Ipotesi!$C$91),30)/30))+IF(25-(INT((Ipotesi!$C$91)/30))-1&lt;1,0,INDEX(Motore_Advisory!$AH$65:$AH$124,MAX(1,25-(INT((Ipotesi!$C$91)/30))-1)))*(MOD((Ipotesi!$C$91),30)/30))</f>
        <v>11198.1149295775</v>
      </c>
      <c r="AJ89" s="15" t="n">
        <f aca="false">(AJ88)+AH89-AI89</f>
        <v>28594.0949295775</v>
      </c>
      <c r="AK89" s="15" t="n">
        <f aca="false">(F89- Motore_Operativo!BH89-(Motore_Operativo!CK89)*Parametri_v3!$C$28-Motore_Operativo!CF89)*Parametri_v3!$C$26</f>
        <v>9283.85333333333</v>
      </c>
      <c r="AL89" s="15" t="n">
        <f aca="false">MAX(0,(AM88))</f>
        <v>4960.70666666667</v>
      </c>
      <c r="AM89" s="15" t="n">
        <f aca="false">(AM88)+AK89-AL89</f>
        <v>9283.85333333333</v>
      </c>
      <c r="AN89" s="15" t="n">
        <f aca="false">SUM(X77:X88)</f>
        <v>16530.1714788732</v>
      </c>
      <c r="AO89" s="15" t="n">
        <f aca="false">SUM(AP77:AP88)</f>
        <v>13562.3123684211</v>
      </c>
      <c r="AP89" s="15" t="n">
        <f aca="false">MAX(0,AN89)*IF(1=Parametri_v3!$C$43,Parametri_v3!$C$45,IF(1=Parametri_v3!$C$44,1-Parametri_v3!$C$45,0))</f>
        <v>0</v>
      </c>
      <c r="AQ89" s="15" t="n">
        <f aca="false">MAX(0,AP89+IF(1=Parametri_v3!$C$43,MAX(0,AN89-AO89),0)-MAX(0,-(AR88)))</f>
        <v>0</v>
      </c>
      <c r="AR89" s="15" t="n">
        <f aca="false">(AR88)+X89-AQ89</f>
        <v>6875.61900628552</v>
      </c>
      <c r="AS89" s="15" t="n">
        <f aca="false">Motore_Operativo!AC89-AT89+AU89</f>
        <v>24146.5260416667</v>
      </c>
      <c r="AT89" s="15" t="n">
        <f aca="false">Motore_Operativo!CI89</f>
        <v>1270.86979166667</v>
      </c>
      <c r="AU89" s="15" t="n">
        <f aca="false">MIN(MAX(0,(AV88)+AT89),Parametri_v3!$C$61/12)</f>
        <v>0</v>
      </c>
      <c r="AV89" s="15" t="n">
        <f aca="false">(AV88)+AT89-AU89</f>
        <v>13999.8697916667</v>
      </c>
      <c r="AW89" s="15" t="n">
        <f aca="false">IF(AND(Motore_Operativo!C89=Finanziamenti!$D$7,Finanziamenti!$F$7=1),Finanziamenti!$C$7,0)</f>
        <v>0</v>
      </c>
      <c r="AX89" s="15" t="n">
        <f aca="false">0</f>
        <v>0</v>
      </c>
      <c r="AY89" s="15" t="n">
        <f aca="false">IF(1=Parametri_v3!$C$33,IF(BV89&lt;MIN(12,$B89-1),0,MIN(MAX(0,SUM(Y77:Y88))*Ipotesi!$C$94,MAX(0,(BM88)-(BO88)-BP89),MAX(0,BD89-Parametri_v3!$C$31))),0)</f>
        <v>0</v>
      </c>
      <c r="AZ89" s="15" t="n">
        <f aca="false">0</f>
        <v>0</v>
      </c>
      <c r="BA89" s="15" t="n">
        <f aca="false">0</f>
        <v>0</v>
      </c>
      <c r="BB89" s="15" t="n">
        <f aca="false">0</f>
        <v>0</v>
      </c>
      <c r="BC89" s="15" t="n">
        <f aca="false">0</f>
        <v>0</v>
      </c>
      <c r="BD89" s="15" t="n">
        <f aca="false">(BH88)+AC89-AF89-AI89-AS89-K89*(1+Parametri_v3!$C$26)-AL89-AQ89-O89+AW89+AX89+AZ89+BA89-BB89</f>
        <v>11536.2619024895</v>
      </c>
      <c r="BE89" s="15" t="n">
        <f aca="false">0</f>
        <v>0</v>
      </c>
      <c r="BF89" s="15" t="n">
        <f aca="false">0</f>
        <v>0</v>
      </c>
      <c r="BG89" s="15" t="n">
        <f aca="false">0</f>
        <v>0</v>
      </c>
      <c r="BH89" s="15" t="n">
        <f aca="false">BD89+BE89-BF89-AY89</f>
        <v>11536.2619024895</v>
      </c>
      <c r="BI89" s="15" t="n">
        <f aca="false">MAX(0,Parametri_v3!$C$31-BH89)</f>
        <v>0</v>
      </c>
      <c r="BJ89" s="15" t="n">
        <f aca="false">(BJ88)+K89</f>
        <v>8416.66666666667</v>
      </c>
      <c r="BK89" s="15" t="n">
        <f aca="false">(BK88)+L89</f>
        <v>2678.24074074074</v>
      </c>
      <c r="BL89" s="15" t="n">
        <f aca="false">BJ89-BK89</f>
        <v>5738.42592592593</v>
      </c>
      <c r="BM89" s="15" t="n">
        <f aca="false">(BM88)+Y89</f>
        <v>87864.4291713083</v>
      </c>
      <c r="BN89" s="15" t="n">
        <f aca="false">(BN88)+AW89+AX89+AZ89</f>
        <v>20000</v>
      </c>
      <c r="BO89" s="15" t="n">
        <f aca="false">(BO88)+AY89</f>
        <v>0</v>
      </c>
      <c r="BP89" s="15" t="n">
        <f aca="false">MIN(Parametri_v3!$C$36*Parametri_v3!$C$35,(BP88)+IF(1=1,MAX(0,SUM(Y77:Y88))*Parametri_v3!$C$34,0))</f>
        <v>2000</v>
      </c>
      <c r="BQ89" s="15" t="n">
        <f aca="false">BN89+BM89-BO89</f>
        <v>107864.429171308</v>
      </c>
      <c r="BR89" s="15" t="n">
        <f aca="false">BH89+AD89+BL89+MAX(0,-AM89)+MAX(0,-AR89)</f>
        <v>173998.866232171</v>
      </c>
      <c r="BS89" s="15" t="n">
        <f aca="false">AJ89+AV89+MAX(0,AM89)+MAX(0,AR89)+BC89+BG89+BQ89+AG89</f>
        <v>173998.866232171</v>
      </c>
      <c r="BT89" s="15" t="n">
        <f aca="false">BR89-BS89</f>
        <v>0</v>
      </c>
      <c r="BU89" s="15" t="n">
        <f aca="false">BH89-(BD89+BE89-BF89-AY89)</f>
        <v>0</v>
      </c>
      <c r="BV89" s="15" t="n">
        <f aca="false">IF(BH88&lt;Parametri_v3!$C$31,0,BV88+1)</f>
        <v>1</v>
      </c>
    </row>
    <row r="90" customFormat="false" ht="18" hidden="false" customHeight="true" outlineLevel="0" collapsed="false">
      <c r="A90" s="68" t="n">
        <f aca="false">2</f>
        <v>2</v>
      </c>
      <c r="B90" s="68" t="n">
        <f aca="false">26</f>
        <v>26</v>
      </c>
      <c r="C90" s="18" t="n">
        <f aca="false">Motore_Operativo!C90</f>
        <v>47150</v>
      </c>
      <c r="D90" s="68" t="n">
        <f aca="false">Motore_Operativo!D90</f>
        <v>2029</v>
      </c>
      <c r="E90" s="68" t="n">
        <f aca="false">Motore_Operativo!E90</f>
        <v>2</v>
      </c>
      <c r="F90" s="15" t="n">
        <f aca="false">Motore_Operativo!AM90</f>
        <v>60500</v>
      </c>
      <c r="G90" s="15" t="n">
        <f aca="false">Motore_Operativo!BH90</f>
        <v>6050</v>
      </c>
      <c r="H90" s="15" t="n">
        <f aca="false">Motore_Operativo!AM90</f>
        <v>60500</v>
      </c>
      <c r="I90" s="15" t="n">
        <f aca="false">Motore_Operativo!CB90</f>
        <v>46259.8958333333</v>
      </c>
      <c r="J90" s="15" t="n">
        <f aca="false">Motore_Operativo!CD90</f>
        <v>14240.1041666667</v>
      </c>
      <c r="K90" s="15" t="n">
        <f aca="false">Motore_Operativo!CF90</f>
        <v>416.666666666667</v>
      </c>
      <c r="L90" s="15" t="n">
        <f aca="false">SUM(INDEX($K$65:$K$124,MAX(1,26-Parametri_v3!$C$59+1)):K90)/Parametri_v3!$C$59</f>
        <v>245.37037037037</v>
      </c>
      <c r="M90" s="15" t="n">
        <f aca="false">J90-L90</f>
        <v>13994.7337962963</v>
      </c>
      <c r="N90" s="15" t="n">
        <f aca="false">0</f>
        <v>0</v>
      </c>
      <c r="O90" s="15" t="n">
        <f aca="false">0</f>
        <v>0</v>
      </c>
      <c r="P90" s="15" t="n">
        <f aca="false">M90+N90-O90</f>
        <v>13994.7337962963</v>
      </c>
      <c r="Q90" s="15" t="n">
        <f aca="false">SUM(P89:P90)+Parametri_v3!$C$56*2/12</f>
        <v>28001.0416666667</v>
      </c>
      <c r="R90" s="15" t="n">
        <f aca="false">Z88</f>
        <v>0</v>
      </c>
      <c r="S90" s="15" t="n">
        <f aca="false">AA88</f>
        <v>0</v>
      </c>
      <c r="T90" s="15" t="n">
        <f aca="false">MIN(R90,MAX(0,Q90))</f>
        <v>0</v>
      </c>
      <c r="U90" s="15" t="n">
        <f aca="false">MIN(S90,MAX(0,Q90-T90)*Parametri_v3!$C$42)</f>
        <v>0</v>
      </c>
      <c r="V90" s="15" t="n">
        <f aca="false">MAX(0,Q90-T90-U90)*Ipotesi!$C$92</f>
        <v>6720.25</v>
      </c>
      <c r="W90" s="15" t="n">
        <f aca="false">MAX(0,SUM(M89:M90)+Parametri_v3!$C$57*2/12)*Ipotesi!$C$93</f>
        <v>1092.040625</v>
      </c>
      <c r="X90" s="15" t="n">
        <f aca="false">V90+W90-(V89+W89)</f>
        <v>3904.53072916667</v>
      </c>
      <c r="Y90" s="15" t="n">
        <f aca="false">P90-X90</f>
        <v>10090.2030671296</v>
      </c>
      <c r="Z90" s="15" t="n">
        <f aca="false">R90-T90+IF(AND(Parametri_v3!$C$40=1,D90-YEAR(Parametri_v3!$C$50)&lt;Parametri_v3!$C$41),MAX(0,-Q90),0)</f>
        <v>0</v>
      </c>
      <c r="AA90" s="15" t="n">
        <f aca="false">S90-U90+IF(AND(Parametri_v3!$C$40=1,D90-YEAR(Parametri_v3!$C$50)&lt;Parametri_v3!$C$41),0,MAX(0,-Q90))</f>
        <v>0</v>
      </c>
      <c r="AB90" s="15" t="n">
        <f aca="false">F90*(1+Parametri_v3!$C$26)</f>
        <v>73810</v>
      </c>
      <c r="AC90" s="15" t="n">
        <f aca="false">(IF(26-(INT((Motore_Operativo!L90)/30))&lt;1,0,INDEX(Motore_Advisory!$AB$65:$AB$124,MAX(1,26-(INT((Motore_Operativo!L90)/30)))))*(1-(MOD((Motore_Operativo!L90),30)/30))+IF(26-(INT((Motore_Operativo!L90)/30))-1&lt;1,0,INDEX(Motore_Advisory!$AB$65:$AB$124,MAX(1,26-(INT((Motore_Operativo!L90)/30))-1)))*(MOD((Motore_Operativo!L90),30)/30))</f>
        <v>41457.0892018779</v>
      </c>
      <c r="AD90" s="15" t="n">
        <f aca="false">(AD89)+AB90-AC90</f>
        <v>189077.089201878</v>
      </c>
      <c r="AE90" s="15" t="n">
        <f aca="false">Motore_Operativo!BH90*(1+Parametri_v3!$C$26)</f>
        <v>7381</v>
      </c>
      <c r="AF90" s="15" t="n">
        <f aca="false">(IF(26-(INT((Parametri_v3!$C$29)/30))&lt;1,0,INDEX(Motore_Operativo!$BH$65:$BH$124,MAX(1,26-(INT((Parametri_v3!$C$29)/30)))))*(1-(MOD((Parametri_v3!$C$29),30)/30))+IF(26-(INT((Parametri_v3!$C$29)/30))-1&lt;1,0,INDEX(Motore_Operativo!$BH$65:$BH$124,MAX(1,26-(INT((Parametri_v3!$C$29)/30))-1)))*(MOD((Parametri_v3!$C$29),30)/30))*(1+Parametri_v3!$C$26)</f>
        <v>7381</v>
      </c>
      <c r="AG90" s="15" t="n">
        <f aca="false">(AG89)+AE90-AF90</f>
        <v>7381</v>
      </c>
      <c r="AH90" s="15" t="n">
        <f aca="false">(Motore_Operativo!CK90)*(1+Parametri_v3!$C$28*Parametri_v3!$C$26)</f>
        <v>17395.98</v>
      </c>
      <c r="AI90" s="15" t="n">
        <f aca="false">(IF(26-(INT((Ipotesi!$C$91)/30))&lt;1,0,INDEX(Motore_Advisory!$AH$65:$AH$124,MAX(1,26-(INT((Ipotesi!$C$91)/30)))))*(1-(MOD((Ipotesi!$C$91),30)/30))+IF(26-(INT((Ipotesi!$C$91)/30))-1&lt;1,0,INDEX(Motore_Advisory!$AH$65:$AH$124,MAX(1,26-(INT((Ipotesi!$C$91)/30))-1)))*(MOD((Ipotesi!$C$91),30)/30))</f>
        <v>11198.1149295775</v>
      </c>
      <c r="AJ90" s="15" t="n">
        <f aca="false">(AJ89)+AH90-AI90</f>
        <v>34791.96</v>
      </c>
      <c r="AK90" s="15" t="n">
        <f aca="false">(F90- Motore_Operativo!BH90-(Motore_Operativo!CK90)*Parametri_v3!$C$28-Motore_Operativo!CF90)*Parametri_v3!$C$26</f>
        <v>9283.85333333333</v>
      </c>
      <c r="AL90" s="15" t="n">
        <f aca="false">MAX(0,(AM89))</f>
        <v>9283.85333333333</v>
      </c>
      <c r="AM90" s="15" t="n">
        <f aca="false">(AM89)+AK90-AL90</f>
        <v>9283.85333333333</v>
      </c>
      <c r="AN90" s="15" t="n">
        <f aca="false">SUM(X77:X88)</f>
        <v>16530.1714788732</v>
      </c>
      <c r="AO90" s="15" t="n">
        <f aca="false">SUM(AP77:AP88)</f>
        <v>13562.3123684211</v>
      </c>
      <c r="AP90" s="15" t="n">
        <f aca="false">MAX(0,AN90)*IF(2=Parametri_v3!$C$43,Parametri_v3!$C$45,IF(2=Parametri_v3!$C$44,1-Parametri_v3!$C$45,0))</f>
        <v>0</v>
      </c>
      <c r="AQ90" s="15" t="n">
        <f aca="false">MAX(0,AP90+IF(2=Parametri_v3!$C$43,MAX(0,AN90-AO90),0)-MAX(0,-(AR89)))</f>
        <v>0</v>
      </c>
      <c r="AR90" s="15" t="n">
        <f aca="false">(AR89)+X90-AQ90</f>
        <v>10780.1497354522</v>
      </c>
      <c r="AS90" s="15" t="n">
        <f aca="false">Motore_Operativo!AC90-AT90+AU90</f>
        <v>24146.5260416667</v>
      </c>
      <c r="AT90" s="15" t="n">
        <f aca="false">Motore_Operativo!CI90</f>
        <v>1270.86979166667</v>
      </c>
      <c r="AU90" s="15" t="n">
        <f aca="false">MIN(MAX(0,(AV89)+AT90),Parametri_v3!$C$61/12)</f>
        <v>0</v>
      </c>
      <c r="AV90" s="15" t="n">
        <f aca="false">(AV89)+AT90-AU90</f>
        <v>15270.7395833333</v>
      </c>
      <c r="AW90" s="15" t="n">
        <f aca="false">IF(AND(Motore_Operativo!C90=Finanziamenti!$D$7,Finanziamenti!$F$7=1),Finanziamenti!$C$7,0)</f>
        <v>0</v>
      </c>
      <c r="AX90" s="15" t="n">
        <f aca="false">0</f>
        <v>0</v>
      </c>
      <c r="AY90" s="15" t="n">
        <f aca="false">IF(2=Parametri_v3!$C$33,IF(BV90&lt;MIN(12,$B90-1),0,MIN(MAX(0,SUM(Y77:Y88))*Ipotesi!$C$94,MAX(0,(BM88)-(BO89)-BP90),MAX(0,BD90-Parametri_v3!$C$31))),0)</f>
        <v>0</v>
      </c>
      <c r="AZ90" s="15" t="n">
        <f aca="false">0</f>
        <v>0</v>
      </c>
      <c r="BA90" s="15" t="n">
        <f aca="false">0</f>
        <v>0</v>
      </c>
      <c r="BB90" s="15" t="n">
        <f aca="false">0</f>
        <v>0</v>
      </c>
      <c r="BC90" s="15" t="n">
        <f aca="false">0</f>
        <v>0</v>
      </c>
      <c r="BD90" s="15" t="n">
        <f aca="false">(BH89)+AC90-AF90-AI90-AS90-K90*(1+Parametri_v3!$C$26)-AL90-AQ90-O90+AW90+AX90+AZ90+BA90-BB90</f>
        <v>475.523466456609</v>
      </c>
      <c r="BE90" s="15" t="n">
        <f aca="false">0</f>
        <v>0</v>
      </c>
      <c r="BF90" s="15" t="n">
        <f aca="false">0</f>
        <v>0</v>
      </c>
      <c r="BG90" s="15" t="n">
        <f aca="false">0</f>
        <v>0</v>
      </c>
      <c r="BH90" s="15" t="n">
        <f aca="false">BD90+BE90-BF90-AY90</f>
        <v>475.523466456609</v>
      </c>
      <c r="BI90" s="15" t="n">
        <f aca="false">MAX(0,Parametri_v3!$C$31-BH90)</f>
        <v>9524.47653354339</v>
      </c>
      <c r="BJ90" s="15" t="n">
        <f aca="false">(BJ89)+K90</f>
        <v>8833.33333333334</v>
      </c>
      <c r="BK90" s="15" t="n">
        <f aca="false">(BK89)+L90</f>
        <v>2923.61111111111</v>
      </c>
      <c r="BL90" s="15" t="n">
        <f aca="false">BJ90-BK90</f>
        <v>5909.72222222222</v>
      </c>
      <c r="BM90" s="15" t="n">
        <f aca="false">(BM89)+Y90</f>
        <v>97954.6322384379</v>
      </c>
      <c r="BN90" s="15" t="n">
        <f aca="false">(BN89)+AW90+AX90+AZ90</f>
        <v>20000</v>
      </c>
      <c r="BO90" s="15" t="n">
        <f aca="false">(BO89)+AY90</f>
        <v>0</v>
      </c>
      <c r="BP90" s="15" t="n">
        <f aca="false">MIN(Parametri_v3!$C$36*Parametri_v3!$C$35,(BP89)+IF(2=1,MAX(0,SUM(Y77:Y88))*Parametri_v3!$C$34,0))</f>
        <v>2000</v>
      </c>
      <c r="BQ90" s="15" t="n">
        <f aca="false">BN90+BM90-BO90</f>
        <v>117954.632238438</v>
      </c>
      <c r="BR90" s="15" t="n">
        <f aca="false">BH90+AD90+BL90+MAX(0,-AM90)+MAX(0,-AR90)</f>
        <v>195462.334890557</v>
      </c>
      <c r="BS90" s="15" t="n">
        <f aca="false">AJ90+AV90+MAX(0,AM90)+MAX(0,AR90)+BC90+BG90+BQ90+AG90</f>
        <v>195462.334890557</v>
      </c>
      <c r="BT90" s="15" t="n">
        <f aca="false">BR90-BS90</f>
        <v>0</v>
      </c>
      <c r="BU90" s="15" t="n">
        <f aca="false">BH90-(BD90+BE90-BF90-AY90)</f>
        <v>0</v>
      </c>
      <c r="BV90" s="15" t="n">
        <f aca="false">IF(BH89&lt;Parametri_v3!$C$31,0,BV89+1)</f>
        <v>2</v>
      </c>
    </row>
    <row r="91" customFormat="false" ht="18" hidden="false" customHeight="true" outlineLevel="0" collapsed="false">
      <c r="A91" s="68" t="n">
        <f aca="false">2</f>
        <v>2</v>
      </c>
      <c r="B91" s="68" t="n">
        <f aca="false">27</f>
        <v>27</v>
      </c>
      <c r="C91" s="18" t="n">
        <f aca="false">Motore_Operativo!C91</f>
        <v>47178</v>
      </c>
      <c r="D91" s="68" t="n">
        <f aca="false">Motore_Operativo!D91</f>
        <v>2029</v>
      </c>
      <c r="E91" s="68" t="n">
        <f aca="false">Motore_Operativo!E91</f>
        <v>3</v>
      </c>
      <c r="F91" s="15" t="n">
        <f aca="false">Motore_Operativo!AM91</f>
        <v>60500</v>
      </c>
      <c r="G91" s="15" t="n">
        <f aca="false">Motore_Operativo!BH91</f>
        <v>6050</v>
      </c>
      <c r="H91" s="15" t="n">
        <f aca="false">Motore_Operativo!AM91</f>
        <v>60500</v>
      </c>
      <c r="I91" s="15" t="n">
        <f aca="false">Motore_Operativo!CB91</f>
        <v>46259.8958333333</v>
      </c>
      <c r="J91" s="15" t="n">
        <f aca="false">Motore_Operativo!CD91</f>
        <v>14240.1041666667</v>
      </c>
      <c r="K91" s="15" t="n">
        <f aca="false">Motore_Operativo!CF91</f>
        <v>416.666666666667</v>
      </c>
      <c r="L91" s="15" t="n">
        <f aca="false">SUM(INDEX($K$65:$K$124,MAX(1,27-Parametri_v3!$C$59+1)):K91)/Parametri_v3!$C$59</f>
        <v>256.944444444444</v>
      </c>
      <c r="M91" s="15" t="n">
        <f aca="false">J91-L91</f>
        <v>13983.1597222222</v>
      </c>
      <c r="N91" s="15" t="n">
        <f aca="false">0</f>
        <v>0</v>
      </c>
      <c r="O91" s="15" t="n">
        <f aca="false">0</f>
        <v>0</v>
      </c>
      <c r="P91" s="15" t="n">
        <f aca="false">M91+N91-O91</f>
        <v>13983.1597222222</v>
      </c>
      <c r="Q91" s="15" t="n">
        <f aca="false">SUM(P89:P91)+Parametri_v3!$C$56*3/12</f>
        <v>41984.2013888889</v>
      </c>
      <c r="R91" s="15" t="n">
        <f aca="false">Z88</f>
        <v>0</v>
      </c>
      <c r="S91" s="15" t="n">
        <f aca="false">AA88</f>
        <v>0</v>
      </c>
      <c r="T91" s="15" t="n">
        <f aca="false">MIN(R91,MAX(0,Q91))</f>
        <v>0</v>
      </c>
      <c r="U91" s="15" t="n">
        <f aca="false">MIN(S91,MAX(0,Q91-T91)*Parametri_v3!$C$42)</f>
        <v>0</v>
      </c>
      <c r="V91" s="15" t="n">
        <f aca="false">MAX(0,Q91-T91-U91)*Ipotesi!$C$92</f>
        <v>10076.2083333333</v>
      </c>
      <c r="W91" s="15" t="n">
        <f aca="false">MAX(0,SUM(M89:M91)+Parametri_v3!$C$57*3/12)*Ipotesi!$C$93</f>
        <v>1637.38385416667</v>
      </c>
      <c r="X91" s="15" t="n">
        <f aca="false">V91+W91-(V90+W90)</f>
        <v>3901.3015625</v>
      </c>
      <c r="Y91" s="15" t="n">
        <f aca="false">P91-X91</f>
        <v>10081.8581597222</v>
      </c>
      <c r="Z91" s="15" t="n">
        <f aca="false">R91-T91+IF(AND(Parametri_v3!$C$40=1,D91-YEAR(Parametri_v3!$C$50)&lt;Parametri_v3!$C$41),MAX(0,-Q91),0)</f>
        <v>0</v>
      </c>
      <c r="AA91" s="15" t="n">
        <f aca="false">S91-U91+IF(AND(Parametri_v3!$C$40=1,D91-YEAR(Parametri_v3!$C$50)&lt;Parametri_v3!$C$41),0,MAX(0,-Q91))</f>
        <v>0</v>
      </c>
      <c r="AB91" s="15" t="n">
        <f aca="false">F91*(1+Parametri_v3!$C$26)</f>
        <v>73810</v>
      </c>
      <c r="AC91" s="15" t="n">
        <f aca="false">(IF(27-(INT((Motore_Operativo!L91)/30))&lt;1,0,INDEX(Motore_Advisory!$AB$65:$AB$124,MAX(1,27-(INT((Motore_Operativo!L91)/30)))))*(1-(MOD((Motore_Operativo!L91),30)/30))+IF(27-(INT((Motore_Operativo!L91)/30))-1&lt;1,0,INDEX(Motore_Advisory!$AB$65:$AB$124,MAX(1,27-(INT((Motore_Operativo!L91)/30))-1)))*(MOD((Motore_Operativo!L91),30)/30))</f>
        <v>41457.0892018779</v>
      </c>
      <c r="AD91" s="15" t="n">
        <f aca="false">(AD90)+AB91-AC91</f>
        <v>221430</v>
      </c>
      <c r="AE91" s="15" t="n">
        <f aca="false">Motore_Operativo!BH91*(1+Parametri_v3!$C$26)</f>
        <v>7381</v>
      </c>
      <c r="AF91" s="15" t="n">
        <f aca="false">(IF(27-(INT((Parametri_v3!$C$29)/30))&lt;1,0,INDEX(Motore_Operativo!$BH$65:$BH$124,MAX(1,27-(INT((Parametri_v3!$C$29)/30)))))*(1-(MOD((Parametri_v3!$C$29),30)/30))+IF(27-(INT((Parametri_v3!$C$29)/30))-1&lt;1,0,INDEX(Motore_Operativo!$BH$65:$BH$124,MAX(1,27-(INT((Parametri_v3!$C$29)/30))-1)))*(MOD((Parametri_v3!$C$29),30)/30))*(1+Parametri_v3!$C$26)</f>
        <v>7381</v>
      </c>
      <c r="AG91" s="15" t="n">
        <f aca="false">(AG90)+AE91-AF91</f>
        <v>7381</v>
      </c>
      <c r="AH91" s="15" t="n">
        <f aca="false">(Motore_Operativo!CK91)*(1+Parametri_v3!$C$28*Parametri_v3!$C$26)</f>
        <v>17395.98</v>
      </c>
      <c r="AI91" s="15" t="n">
        <f aca="false">(IF(27-(INT((Ipotesi!$C$91)/30))&lt;1,0,INDEX(Motore_Advisory!$AH$65:$AH$124,MAX(1,27-(INT((Ipotesi!$C$91)/30)))))*(1-(MOD((Ipotesi!$C$91),30)/30))+IF(27-(INT((Ipotesi!$C$91)/30))-1&lt;1,0,INDEX(Motore_Advisory!$AH$65:$AH$124,MAX(1,27-(INT((Ipotesi!$C$91)/30))-1)))*(MOD((Ipotesi!$C$91),30)/30))</f>
        <v>17395.98</v>
      </c>
      <c r="AJ91" s="15" t="n">
        <f aca="false">(AJ90)+AH91-AI91</f>
        <v>34791.96</v>
      </c>
      <c r="AK91" s="15" t="n">
        <f aca="false">(F91- Motore_Operativo!BH91-(Motore_Operativo!CK91)*Parametri_v3!$C$28-Motore_Operativo!CF91)*Parametri_v3!$C$26</f>
        <v>9283.85333333333</v>
      </c>
      <c r="AL91" s="15" t="n">
        <f aca="false">MAX(0,(AM90))</f>
        <v>9283.85333333333</v>
      </c>
      <c r="AM91" s="15" t="n">
        <f aca="false">(AM90)+AK91-AL91</f>
        <v>9283.85333333333</v>
      </c>
      <c r="AN91" s="15" t="n">
        <f aca="false">SUM(X77:X88)</f>
        <v>16530.1714788732</v>
      </c>
      <c r="AO91" s="15" t="n">
        <f aca="false">SUM(AP77:AP88)</f>
        <v>13562.3123684211</v>
      </c>
      <c r="AP91" s="15" t="n">
        <f aca="false">MAX(0,AN91)*IF(3=Parametri_v3!$C$43,Parametri_v3!$C$45,IF(3=Parametri_v3!$C$44,1-Parametri_v3!$C$45,0))</f>
        <v>0</v>
      </c>
      <c r="AQ91" s="15" t="n">
        <f aca="false">MAX(0,AP91+IF(3=Parametri_v3!$C$43,MAX(0,AN91-AO91),0)-MAX(0,-(AR90)))</f>
        <v>0</v>
      </c>
      <c r="AR91" s="15" t="n">
        <f aca="false">(AR90)+X91-AQ91</f>
        <v>14681.4512979522</v>
      </c>
      <c r="AS91" s="15" t="n">
        <f aca="false">Motore_Operativo!AC91-AT91+AU91</f>
        <v>24146.5260416667</v>
      </c>
      <c r="AT91" s="15" t="n">
        <f aca="false">Motore_Operativo!CI91</f>
        <v>1270.86979166667</v>
      </c>
      <c r="AU91" s="15" t="n">
        <f aca="false">MIN(MAX(0,(AV90)+AT91),Parametri_v3!$C$61/12)</f>
        <v>0</v>
      </c>
      <c r="AV91" s="15" t="n">
        <f aca="false">(AV90)+AT91-AU91</f>
        <v>16541.609375</v>
      </c>
      <c r="AW91" s="15" t="n">
        <f aca="false">IF(AND(Motore_Operativo!C91=Finanziamenti!$D$7,Finanziamenti!$F$7=1),Finanziamenti!$C$7,0)</f>
        <v>0</v>
      </c>
      <c r="AX91" s="15" t="n">
        <f aca="false">0</f>
        <v>0</v>
      </c>
      <c r="AY91" s="15" t="n">
        <f aca="false">IF(3=Parametri_v3!$C$33,IF(BV91&lt;MIN(12,$B91-1),0,MIN(MAX(0,SUM(Y77:Y88))*Ipotesi!$C$94,MAX(0,(BM88)-(BO90)-BP91),MAX(0,BD91-Parametri_v3!$C$31))),0)</f>
        <v>0</v>
      </c>
      <c r="AZ91" s="15" t="n">
        <f aca="false">0</f>
        <v>0</v>
      </c>
      <c r="BA91" s="15" t="n">
        <f aca="false">0</f>
        <v>0</v>
      </c>
      <c r="BB91" s="15" t="n">
        <f aca="false">0</f>
        <v>0</v>
      </c>
      <c r="BC91" s="15" t="n">
        <f aca="false">0</f>
        <v>0</v>
      </c>
      <c r="BD91" s="15" t="n">
        <f aca="false">(BH90)+AC91-AF91-AI91-AS91-K91*(1+Parametri_v3!$C$26)-AL91-AQ91-O91+AW91+AX91+AZ91+BA91-BB91</f>
        <v>-16783.0800399988</v>
      </c>
      <c r="BE91" s="15" t="n">
        <f aca="false">0</f>
        <v>0</v>
      </c>
      <c r="BF91" s="15" t="n">
        <f aca="false">0</f>
        <v>0</v>
      </c>
      <c r="BG91" s="15" t="n">
        <f aca="false">0</f>
        <v>0</v>
      </c>
      <c r="BH91" s="15" t="n">
        <f aca="false">BD91+BE91-BF91-AY91</f>
        <v>-16783.0800399988</v>
      </c>
      <c r="BI91" s="15" t="n">
        <f aca="false">MAX(0,Parametri_v3!$C$31-BH91)</f>
        <v>26783.0800399988</v>
      </c>
      <c r="BJ91" s="15" t="n">
        <f aca="false">(BJ90)+K91</f>
        <v>9250</v>
      </c>
      <c r="BK91" s="15" t="n">
        <f aca="false">(BK90)+L91</f>
        <v>3180.55555555556</v>
      </c>
      <c r="BL91" s="15" t="n">
        <f aca="false">BJ91-BK91</f>
        <v>6069.44444444445</v>
      </c>
      <c r="BM91" s="15" t="n">
        <f aca="false">(BM90)+Y91</f>
        <v>108036.49039816</v>
      </c>
      <c r="BN91" s="15" t="n">
        <f aca="false">(BN90)+AW91+AX91+AZ91</f>
        <v>20000</v>
      </c>
      <c r="BO91" s="15" t="n">
        <f aca="false">(BO90)+AY91</f>
        <v>0</v>
      </c>
      <c r="BP91" s="15" t="n">
        <f aca="false">MIN(Parametri_v3!$C$36*Parametri_v3!$C$35,(BP90)+IF(3=1,MAX(0,SUM(Y77:Y88))*Parametri_v3!$C$34,0))</f>
        <v>2000</v>
      </c>
      <c r="BQ91" s="15" t="n">
        <f aca="false">BN91+BM91-BO91</f>
        <v>128036.49039816</v>
      </c>
      <c r="BR91" s="15" t="n">
        <f aca="false">BH91+AD91+BL91+MAX(0,-AM91)+MAX(0,-AR91)</f>
        <v>210716.364404446</v>
      </c>
      <c r="BS91" s="15" t="n">
        <f aca="false">AJ91+AV91+MAX(0,AM91)+MAX(0,AR91)+BC91+BG91+BQ91+AG91</f>
        <v>210716.364404446</v>
      </c>
      <c r="BT91" s="15" t="n">
        <f aca="false">BR91-BS91</f>
        <v>0</v>
      </c>
      <c r="BU91" s="15" t="n">
        <f aca="false">BH91-(BD91+BE91-BF91-AY91)</f>
        <v>0</v>
      </c>
      <c r="BV91" s="15" t="n">
        <f aca="false">IF(BH90&lt;Parametri_v3!$C$31,0,BV90+1)</f>
        <v>0</v>
      </c>
    </row>
    <row r="92" customFormat="false" ht="18" hidden="false" customHeight="true" outlineLevel="0" collapsed="false">
      <c r="A92" s="68" t="n">
        <f aca="false">2</f>
        <v>2</v>
      </c>
      <c r="B92" s="68" t="n">
        <f aca="false">28</f>
        <v>28</v>
      </c>
      <c r="C92" s="18" t="n">
        <f aca="false">Motore_Operativo!C92</f>
        <v>47209</v>
      </c>
      <c r="D92" s="68" t="n">
        <f aca="false">Motore_Operativo!D92</f>
        <v>2029</v>
      </c>
      <c r="E92" s="68" t="n">
        <f aca="false">Motore_Operativo!E92</f>
        <v>4</v>
      </c>
      <c r="F92" s="15" t="n">
        <f aca="false">Motore_Operativo!AM92</f>
        <v>60500</v>
      </c>
      <c r="G92" s="15" t="n">
        <f aca="false">Motore_Operativo!BH92</f>
        <v>6050</v>
      </c>
      <c r="H92" s="15" t="n">
        <f aca="false">Motore_Operativo!AM92</f>
        <v>60500</v>
      </c>
      <c r="I92" s="15" t="n">
        <f aca="false">Motore_Operativo!CB92</f>
        <v>46259.8958333333</v>
      </c>
      <c r="J92" s="15" t="n">
        <f aca="false">Motore_Operativo!CD92</f>
        <v>14240.1041666667</v>
      </c>
      <c r="K92" s="15" t="n">
        <f aca="false">Motore_Operativo!CF92</f>
        <v>416.666666666667</v>
      </c>
      <c r="L92" s="15" t="n">
        <f aca="false">SUM(INDEX($K$65:$K$124,MAX(1,28-Parametri_v3!$C$59+1)):K92)/Parametri_v3!$C$59</f>
        <v>268.518518518519</v>
      </c>
      <c r="M92" s="15" t="n">
        <f aca="false">J92-L92</f>
        <v>13971.5856481482</v>
      </c>
      <c r="N92" s="15" t="n">
        <f aca="false">0</f>
        <v>0</v>
      </c>
      <c r="O92" s="15" t="n">
        <f aca="false">0</f>
        <v>0</v>
      </c>
      <c r="P92" s="15" t="n">
        <f aca="false">M92+N92-O92</f>
        <v>13971.5856481482</v>
      </c>
      <c r="Q92" s="15" t="n">
        <f aca="false">SUM(P89:P92)+Parametri_v3!$C$56*4/12</f>
        <v>55955.7870370371</v>
      </c>
      <c r="R92" s="15" t="n">
        <f aca="false">Z88</f>
        <v>0</v>
      </c>
      <c r="S92" s="15" t="n">
        <f aca="false">AA88</f>
        <v>0</v>
      </c>
      <c r="T92" s="15" t="n">
        <f aca="false">MIN(R92,MAX(0,Q92))</f>
        <v>0</v>
      </c>
      <c r="U92" s="15" t="n">
        <f aca="false">MIN(S92,MAX(0,Q92-T92)*Parametri_v3!$C$42)</f>
        <v>0</v>
      </c>
      <c r="V92" s="15" t="n">
        <f aca="false">MAX(0,Q92-T92-U92)*Ipotesi!$C$92</f>
        <v>13429.3888888889</v>
      </c>
      <c r="W92" s="15" t="n">
        <f aca="false">MAX(0,SUM(M89:M92)+Parametri_v3!$C$57*4/12)*Ipotesi!$C$93</f>
        <v>2182.27569444445</v>
      </c>
      <c r="X92" s="15" t="n">
        <f aca="false">V92+W92-(V91+W91)</f>
        <v>3898.07239583333</v>
      </c>
      <c r="Y92" s="15" t="n">
        <f aca="false">P92-X92</f>
        <v>10073.5132523148</v>
      </c>
      <c r="Z92" s="15" t="n">
        <f aca="false">R92-T92+IF(AND(Parametri_v3!$C$40=1,D92-YEAR(Parametri_v3!$C$50)&lt;Parametri_v3!$C$41),MAX(0,-Q92),0)</f>
        <v>0</v>
      </c>
      <c r="AA92" s="15" t="n">
        <f aca="false">S92-U92+IF(AND(Parametri_v3!$C$40=1,D92-YEAR(Parametri_v3!$C$50)&lt;Parametri_v3!$C$41),0,MAX(0,-Q92))</f>
        <v>0</v>
      </c>
      <c r="AB92" s="15" t="n">
        <f aca="false">F92*(1+Parametri_v3!$C$26)</f>
        <v>73810</v>
      </c>
      <c r="AC92" s="15" t="n">
        <f aca="false">(IF(28-(INT((Motore_Operativo!L92)/30))&lt;1,0,INDEX(Motore_Advisory!$AB$65:$AB$124,MAX(1,28-(INT((Motore_Operativo!L92)/30)))))*(1-(MOD((Motore_Operativo!L92),30)/30))+IF(28-(INT((Motore_Operativo!L92)/30))-1&lt;1,0,INDEX(Motore_Advisory!$AB$65:$AB$124,MAX(1,28-(INT((Motore_Operativo!L92)/30))-1)))*(MOD((Motore_Operativo!L92),30)/30))</f>
        <v>73810</v>
      </c>
      <c r="AD92" s="15" t="n">
        <f aca="false">(AD91)+AB92-AC92</f>
        <v>221430</v>
      </c>
      <c r="AE92" s="15" t="n">
        <f aca="false">Motore_Operativo!BH92*(1+Parametri_v3!$C$26)</f>
        <v>7381</v>
      </c>
      <c r="AF92" s="15" t="n">
        <f aca="false">(IF(28-(INT((Parametri_v3!$C$29)/30))&lt;1,0,INDEX(Motore_Operativo!$BH$65:$BH$124,MAX(1,28-(INT((Parametri_v3!$C$29)/30)))))*(1-(MOD((Parametri_v3!$C$29),30)/30))+IF(28-(INT((Parametri_v3!$C$29)/30))-1&lt;1,0,INDEX(Motore_Operativo!$BH$65:$BH$124,MAX(1,28-(INT((Parametri_v3!$C$29)/30))-1)))*(MOD((Parametri_v3!$C$29),30)/30))*(1+Parametri_v3!$C$26)</f>
        <v>7381</v>
      </c>
      <c r="AG92" s="15" t="n">
        <f aca="false">(AG91)+AE92-AF92</f>
        <v>7381</v>
      </c>
      <c r="AH92" s="15" t="n">
        <f aca="false">(Motore_Operativo!CK92)*(1+Parametri_v3!$C$28*Parametri_v3!$C$26)</f>
        <v>17395.98</v>
      </c>
      <c r="AI92" s="15" t="n">
        <f aca="false">(IF(28-(INT((Ipotesi!$C$91)/30))&lt;1,0,INDEX(Motore_Advisory!$AH$65:$AH$124,MAX(1,28-(INT((Ipotesi!$C$91)/30)))))*(1-(MOD((Ipotesi!$C$91),30)/30))+IF(28-(INT((Ipotesi!$C$91)/30))-1&lt;1,0,INDEX(Motore_Advisory!$AH$65:$AH$124,MAX(1,28-(INT((Ipotesi!$C$91)/30))-1)))*(MOD((Ipotesi!$C$91),30)/30))</f>
        <v>17395.98</v>
      </c>
      <c r="AJ92" s="15" t="n">
        <f aca="false">(AJ91)+AH92-AI92</f>
        <v>34791.96</v>
      </c>
      <c r="AK92" s="15" t="n">
        <f aca="false">(F92- Motore_Operativo!BH92-(Motore_Operativo!CK92)*Parametri_v3!$C$28-Motore_Operativo!CF92)*Parametri_v3!$C$26</f>
        <v>9283.85333333333</v>
      </c>
      <c r="AL92" s="15" t="n">
        <f aca="false">MAX(0,(AM91))</f>
        <v>9283.85333333333</v>
      </c>
      <c r="AM92" s="15" t="n">
        <f aca="false">(AM91)+AK92-AL92</f>
        <v>9283.85333333333</v>
      </c>
      <c r="AN92" s="15" t="n">
        <f aca="false">SUM(X77:X88)</f>
        <v>16530.1714788732</v>
      </c>
      <c r="AO92" s="15" t="n">
        <f aca="false">SUM(AP77:AP88)</f>
        <v>13562.3123684211</v>
      </c>
      <c r="AP92" s="15" t="n">
        <f aca="false">MAX(0,AN92)*IF(4=Parametri_v3!$C$43,Parametri_v3!$C$45,IF(4=Parametri_v3!$C$44,1-Parametri_v3!$C$45,0))</f>
        <v>0</v>
      </c>
      <c r="AQ92" s="15" t="n">
        <f aca="false">MAX(0,AP92+IF(4=Parametri_v3!$C$43,MAX(0,AN92-AO92),0)-MAX(0,-(AR91)))</f>
        <v>0</v>
      </c>
      <c r="AR92" s="15" t="n">
        <f aca="false">(AR91)+X92-AQ92</f>
        <v>18579.5236937855</v>
      </c>
      <c r="AS92" s="15" t="n">
        <f aca="false">Motore_Operativo!AC92-AT92+AU92</f>
        <v>24146.5260416667</v>
      </c>
      <c r="AT92" s="15" t="n">
        <f aca="false">Motore_Operativo!CI92</f>
        <v>1270.86979166667</v>
      </c>
      <c r="AU92" s="15" t="n">
        <f aca="false">MIN(MAX(0,(AV91)+AT92),Parametri_v3!$C$61/12)</f>
        <v>0</v>
      </c>
      <c r="AV92" s="15" t="n">
        <f aca="false">(AV91)+AT92-AU92</f>
        <v>17812.4791666667</v>
      </c>
      <c r="AW92" s="15" t="n">
        <f aca="false">IF(AND(Motore_Operativo!C92=Finanziamenti!$D$7,Finanziamenti!$F$7=1),Finanziamenti!$C$7,0)</f>
        <v>0</v>
      </c>
      <c r="AX92" s="15" t="n">
        <f aca="false">0</f>
        <v>0</v>
      </c>
      <c r="AY92" s="15" t="n">
        <f aca="false">IF(4=Parametri_v3!$C$33,IF(BV92&lt;MIN(12,$B92-1),0,MIN(MAX(0,SUM(Y77:Y88))*Ipotesi!$C$94,MAX(0,(BM88)-(BO91)-BP92),MAX(0,BD92-Parametri_v3!$C$31))),0)</f>
        <v>0</v>
      </c>
      <c r="AZ92" s="15" t="n">
        <f aca="false">0</f>
        <v>0</v>
      </c>
      <c r="BA92" s="15" t="n">
        <f aca="false">0</f>
        <v>0</v>
      </c>
      <c r="BB92" s="15" t="n">
        <f aca="false">0</f>
        <v>0</v>
      </c>
      <c r="BC92" s="15" t="n">
        <f aca="false">0</f>
        <v>0</v>
      </c>
      <c r="BD92" s="15" t="n">
        <f aca="false">(BH91)+AC92-AF92-AI92-AS92-K92*(1+Parametri_v3!$C$26)-AL92-AQ92-O92+AW92+AX92+AZ92+BA92-BB92</f>
        <v>-1688.77274833214</v>
      </c>
      <c r="BE92" s="15" t="n">
        <f aca="false">0</f>
        <v>0</v>
      </c>
      <c r="BF92" s="15" t="n">
        <f aca="false">0</f>
        <v>0</v>
      </c>
      <c r="BG92" s="15" t="n">
        <f aca="false">0</f>
        <v>0</v>
      </c>
      <c r="BH92" s="15" t="n">
        <f aca="false">BD92+BE92-BF92-AY92</f>
        <v>-1688.77274833214</v>
      </c>
      <c r="BI92" s="15" t="n">
        <f aca="false">MAX(0,Parametri_v3!$C$31-BH92)</f>
        <v>11688.7727483321</v>
      </c>
      <c r="BJ92" s="15" t="n">
        <f aca="false">(BJ91)+K92</f>
        <v>9666.66666666667</v>
      </c>
      <c r="BK92" s="15" t="n">
        <f aca="false">(BK91)+L92</f>
        <v>3449.07407407407</v>
      </c>
      <c r="BL92" s="15" t="n">
        <f aca="false">BJ92-BK92</f>
        <v>6217.59259259259</v>
      </c>
      <c r="BM92" s="15" t="n">
        <f aca="false">(BM91)+Y92</f>
        <v>118110.003650475</v>
      </c>
      <c r="BN92" s="15" t="n">
        <f aca="false">(BN91)+AW92+AX92+AZ92</f>
        <v>20000</v>
      </c>
      <c r="BO92" s="15" t="n">
        <f aca="false">(BO91)+AY92</f>
        <v>0</v>
      </c>
      <c r="BP92" s="15" t="n">
        <f aca="false">MIN(Parametri_v3!$C$36*Parametri_v3!$C$35,(BP91)+IF(4=1,MAX(0,SUM(Y77:Y88))*Parametri_v3!$C$34,0))</f>
        <v>2000</v>
      </c>
      <c r="BQ92" s="15" t="n">
        <f aca="false">BN92+BM92-BO92</f>
        <v>138110.003650475</v>
      </c>
      <c r="BR92" s="15" t="n">
        <f aca="false">BH92+AD92+BL92+MAX(0,-AM92)+MAX(0,-AR92)</f>
        <v>225958.81984426</v>
      </c>
      <c r="BS92" s="15" t="n">
        <f aca="false">AJ92+AV92+MAX(0,AM92)+MAX(0,AR92)+BC92+BG92+BQ92+AG92</f>
        <v>225958.819844261</v>
      </c>
      <c r="BT92" s="15" t="n">
        <f aca="false">BR92-BS92</f>
        <v>0</v>
      </c>
      <c r="BU92" s="15" t="n">
        <f aca="false">BH92-(BD92+BE92-BF92-AY92)</f>
        <v>0</v>
      </c>
      <c r="BV92" s="15" t="n">
        <f aca="false">IF(BH91&lt;Parametri_v3!$C$31,0,BV91+1)</f>
        <v>0</v>
      </c>
    </row>
    <row r="93" customFormat="false" ht="18" hidden="false" customHeight="true" outlineLevel="0" collapsed="false">
      <c r="A93" s="68" t="n">
        <f aca="false">2</f>
        <v>2</v>
      </c>
      <c r="B93" s="68" t="n">
        <f aca="false">29</f>
        <v>29</v>
      </c>
      <c r="C93" s="18" t="n">
        <f aca="false">Motore_Operativo!C93</f>
        <v>47239</v>
      </c>
      <c r="D93" s="68" t="n">
        <f aca="false">Motore_Operativo!D93</f>
        <v>2029</v>
      </c>
      <c r="E93" s="68" t="n">
        <f aca="false">Motore_Operativo!E93</f>
        <v>5</v>
      </c>
      <c r="F93" s="15" t="n">
        <f aca="false">Motore_Operativo!AM93</f>
        <v>60500</v>
      </c>
      <c r="G93" s="15" t="n">
        <f aca="false">Motore_Operativo!BH93</f>
        <v>6050</v>
      </c>
      <c r="H93" s="15" t="n">
        <f aca="false">Motore_Operativo!AM93</f>
        <v>60500</v>
      </c>
      <c r="I93" s="15" t="n">
        <f aca="false">Motore_Operativo!CB93</f>
        <v>46259.8958333333</v>
      </c>
      <c r="J93" s="15" t="n">
        <f aca="false">Motore_Operativo!CD93</f>
        <v>14240.1041666667</v>
      </c>
      <c r="K93" s="15" t="n">
        <f aca="false">Motore_Operativo!CF93</f>
        <v>416.666666666667</v>
      </c>
      <c r="L93" s="15" t="n">
        <f aca="false">SUM(INDEX($K$65:$K$124,MAX(1,29-Parametri_v3!$C$59+1)):K93)/Parametri_v3!$C$59</f>
        <v>280.092592592593</v>
      </c>
      <c r="M93" s="15" t="n">
        <f aca="false">J93-L93</f>
        <v>13960.0115740741</v>
      </c>
      <c r="N93" s="15" t="n">
        <f aca="false">0</f>
        <v>0</v>
      </c>
      <c r="O93" s="15" t="n">
        <f aca="false">0</f>
        <v>0</v>
      </c>
      <c r="P93" s="15" t="n">
        <f aca="false">M93+N93-O93</f>
        <v>13960.0115740741</v>
      </c>
      <c r="Q93" s="15" t="n">
        <f aca="false">SUM(P89:P93)+Parametri_v3!$C$56*5/12</f>
        <v>69915.7986111111</v>
      </c>
      <c r="R93" s="15" t="n">
        <f aca="false">Z88</f>
        <v>0</v>
      </c>
      <c r="S93" s="15" t="n">
        <f aca="false">AA88</f>
        <v>0</v>
      </c>
      <c r="T93" s="15" t="n">
        <f aca="false">MIN(R93,MAX(0,Q93))</f>
        <v>0</v>
      </c>
      <c r="U93" s="15" t="n">
        <f aca="false">MIN(S93,MAX(0,Q93-T93)*Parametri_v3!$C$42)</f>
        <v>0</v>
      </c>
      <c r="V93" s="15" t="n">
        <f aca="false">MAX(0,Q93-T93-U93)*Ipotesi!$C$92</f>
        <v>16779.7916666667</v>
      </c>
      <c r="W93" s="15" t="n">
        <f aca="false">MAX(0,SUM(M89:M93)+Parametri_v3!$C$57*5/12)*Ipotesi!$C$93</f>
        <v>2726.71614583333</v>
      </c>
      <c r="X93" s="15" t="n">
        <f aca="false">V93+W93-(V92+W92)</f>
        <v>3894.84322916667</v>
      </c>
      <c r="Y93" s="15" t="n">
        <f aca="false">P93-X93</f>
        <v>10065.1683449074</v>
      </c>
      <c r="Z93" s="15" t="n">
        <f aca="false">R93-T93+IF(AND(Parametri_v3!$C$40=1,D93-YEAR(Parametri_v3!$C$50)&lt;Parametri_v3!$C$41),MAX(0,-Q93),0)</f>
        <v>0</v>
      </c>
      <c r="AA93" s="15" t="n">
        <f aca="false">S93-U93+IF(AND(Parametri_v3!$C$40=1,D93-YEAR(Parametri_v3!$C$50)&lt;Parametri_v3!$C$41),0,MAX(0,-Q93))</f>
        <v>0</v>
      </c>
      <c r="AB93" s="15" t="n">
        <f aca="false">F93*(1+Parametri_v3!$C$26)</f>
        <v>73810</v>
      </c>
      <c r="AC93" s="15" t="n">
        <f aca="false">(IF(29-(INT((Motore_Operativo!L93)/30))&lt;1,0,INDEX(Motore_Advisory!$AB$65:$AB$124,MAX(1,29-(INT((Motore_Operativo!L93)/30)))))*(1-(MOD((Motore_Operativo!L93),30)/30))+IF(29-(INT((Motore_Operativo!L93)/30))-1&lt;1,0,INDEX(Motore_Advisory!$AB$65:$AB$124,MAX(1,29-(INT((Motore_Operativo!L93)/30))-1)))*(MOD((Motore_Operativo!L93),30)/30))</f>
        <v>73810</v>
      </c>
      <c r="AD93" s="15" t="n">
        <f aca="false">(AD92)+AB93-AC93</f>
        <v>221430</v>
      </c>
      <c r="AE93" s="15" t="n">
        <f aca="false">Motore_Operativo!BH93*(1+Parametri_v3!$C$26)</f>
        <v>7381</v>
      </c>
      <c r="AF93" s="15" t="n">
        <f aca="false">(IF(29-(INT((Parametri_v3!$C$29)/30))&lt;1,0,INDEX(Motore_Operativo!$BH$65:$BH$124,MAX(1,29-(INT((Parametri_v3!$C$29)/30)))))*(1-(MOD((Parametri_v3!$C$29),30)/30))+IF(29-(INT((Parametri_v3!$C$29)/30))-1&lt;1,0,INDEX(Motore_Operativo!$BH$65:$BH$124,MAX(1,29-(INT((Parametri_v3!$C$29)/30))-1)))*(MOD((Parametri_v3!$C$29),30)/30))*(1+Parametri_v3!$C$26)</f>
        <v>7381</v>
      </c>
      <c r="AG93" s="15" t="n">
        <f aca="false">(AG92)+AE93-AF93</f>
        <v>7381</v>
      </c>
      <c r="AH93" s="15" t="n">
        <f aca="false">(Motore_Operativo!CK93)*(1+Parametri_v3!$C$28*Parametri_v3!$C$26)</f>
        <v>17395.98</v>
      </c>
      <c r="AI93" s="15" t="n">
        <f aca="false">(IF(29-(INT((Ipotesi!$C$91)/30))&lt;1,0,INDEX(Motore_Advisory!$AH$65:$AH$124,MAX(1,29-(INT((Ipotesi!$C$91)/30)))))*(1-(MOD((Ipotesi!$C$91),30)/30))+IF(29-(INT((Ipotesi!$C$91)/30))-1&lt;1,0,INDEX(Motore_Advisory!$AH$65:$AH$124,MAX(1,29-(INT((Ipotesi!$C$91)/30))-1)))*(MOD((Ipotesi!$C$91),30)/30))</f>
        <v>17395.98</v>
      </c>
      <c r="AJ93" s="15" t="n">
        <f aca="false">(AJ92)+AH93-AI93</f>
        <v>34791.96</v>
      </c>
      <c r="AK93" s="15" t="n">
        <f aca="false">(F93- Motore_Operativo!BH93-(Motore_Operativo!CK93)*Parametri_v3!$C$28-Motore_Operativo!CF93)*Parametri_v3!$C$26</f>
        <v>9283.85333333333</v>
      </c>
      <c r="AL93" s="15" t="n">
        <f aca="false">MAX(0,(AM92))</f>
        <v>9283.85333333333</v>
      </c>
      <c r="AM93" s="15" t="n">
        <f aca="false">(AM92)+AK93-AL93</f>
        <v>9283.85333333333</v>
      </c>
      <c r="AN93" s="15" t="n">
        <f aca="false">SUM(X77:X88)</f>
        <v>16530.1714788732</v>
      </c>
      <c r="AO93" s="15" t="n">
        <f aca="false">SUM(AP77:AP88)</f>
        <v>13562.3123684211</v>
      </c>
      <c r="AP93" s="15" t="n">
        <f aca="false">MAX(0,AN93)*IF(5=Parametri_v3!$C$43,Parametri_v3!$C$45,IF(5=Parametri_v3!$C$44,1-Parametri_v3!$C$45,0))</f>
        <v>0</v>
      </c>
      <c r="AQ93" s="15" t="n">
        <f aca="false">MAX(0,AP93+IF(5=Parametri_v3!$C$43,MAX(0,AN93-AO93),0)-MAX(0,-(AR92)))</f>
        <v>0</v>
      </c>
      <c r="AR93" s="15" t="n">
        <f aca="false">(AR92)+X93-AQ93</f>
        <v>22474.3669229522</v>
      </c>
      <c r="AS93" s="15" t="n">
        <f aca="false">Motore_Operativo!AC93-AT93+AU93</f>
        <v>24146.5260416667</v>
      </c>
      <c r="AT93" s="15" t="n">
        <f aca="false">Motore_Operativo!CI93</f>
        <v>1270.86979166667</v>
      </c>
      <c r="AU93" s="15" t="n">
        <f aca="false">MIN(MAX(0,(AV92)+AT93),Parametri_v3!$C$61/12)</f>
        <v>0</v>
      </c>
      <c r="AV93" s="15" t="n">
        <f aca="false">(AV92)+AT93-AU93</f>
        <v>19083.3489583333</v>
      </c>
      <c r="AW93" s="15" t="n">
        <f aca="false">IF(AND(Motore_Operativo!C93=Finanziamenti!$D$7,Finanziamenti!$F$7=1),Finanziamenti!$C$7,0)</f>
        <v>0</v>
      </c>
      <c r="AX93" s="15" t="n">
        <f aca="false">0</f>
        <v>0</v>
      </c>
      <c r="AY93" s="15" t="n">
        <f aca="false">IF(5=Parametri_v3!$C$33,IF(BV93&lt;MIN(12,$B93-1),0,MIN(MAX(0,SUM(Y77:Y88))*Ipotesi!$C$94,MAX(0,(BM88)-(BO92)-BP93),MAX(0,BD93-Parametri_v3!$C$31))),0)</f>
        <v>0</v>
      </c>
      <c r="AZ93" s="15" t="n">
        <f aca="false">0</f>
        <v>0</v>
      </c>
      <c r="BA93" s="15" t="n">
        <f aca="false">0</f>
        <v>0</v>
      </c>
      <c r="BB93" s="15" t="n">
        <f aca="false">0</f>
        <v>0</v>
      </c>
      <c r="BC93" s="15" t="n">
        <f aca="false">0</f>
        <v>0</v>
      </c>
      <c r="BD93" s="15" t="n">
        <f aca="false">(BH92)+AC93-AF93-AI93-AS93-K93*(1+Parametri_v3!$C$26)-AL93-AQ93-O93+AW93+AX93+AZ93+BA93-BB93</f>
        <v>13405.5345433345</v>
      </c>
      <c r="BE93" s="15" t="n">
        <f aca="false">0</f>
        <v>0</v>
      </c>
      <c r="BF93" s="15" t="n">
        <f aca="false">0</f>
        <v>0</v>
      </c>
      <c r="BG93" s="15" t="n">
        <f aca="false">0</f>
        <v>0</v>
      </c>
      <c r="BH93" s="15" t="n">
        <f aca="false">BD93+BE93-BF93-AY93</f>
        <v>13405.5345433345</v>
      </c>
      <c r="BI93" s="15" t="n">
        <f aca="false">MAX(0,Parametri_v3!$C$31-BH93)</f>
        <v>0</v>
      </c>
      <c r="BJ93" s="15" t="n">
        <f aca="false">(BJ92)+K93</f>
        <v>10083.3333333333</v>
      </c>
      <c r="BK93" s="15" t="n">
        <f aca="false">(BK92)+L93</f>
        <v>3729.16666666667</v>
      </c>
      <c r="BL93" s="15" t="n">
        <f aca="false">BJ93-BK93</f>
        <v>6354.16666666667</v>
      </c>
      <c r="BM93" s="15" t="n">
        <f aca="false">(BM92)+Y93</f>
        <v>128175.171995382</v>
      </c>
      <c r="BN93" s="15" t="n">
        <f aca="false">(BN92)+AW93+AX93+AZ93</f>
        <v>20000</v>
      </c>
      <c r="BO93" s="15" t="n">
        <f aca="false">(BO92)+AY93</f>
        <v>0</v>
      </c>
      <c r="BP93" s="15" t="n">
        <f aca="false">MIN(Parametri_v3!$C$36*Parametri_v3!$C$35,(BP92)+IF(5=1,MAX(0,SUM(Y77:Y88))*Parametri_v3!$C$34,0))</f>
        <v>2000</v>
      </c>
      <c r="BQ93" s="15" t="n">
        <f aca="false">BN93+BM93-BO93</f>
        <v>148175.171995382</v>
      </c>
      <c r="BR93" s="15" t="n">
        <f aca="false">BH93+AD93+BL93+MAX(0,-AM93)+MAX(0,-AR93)</f>
        <v>241189.701210001</v>
      </c>
      <c r="BS93" s="15" t="n">
        <f aca="false">AJ93+AV93+MAX(0,AM93)+MAX(0,AR93)+BC93+BG93+BQ93+AG93</f>
        <v>241189.701210001</v>
      </c>
      <c r="BT93" s="15" t="n">
        <f aca="false">BR93-BS93</f>
        <v>0</v>
      </c>
      <c r="BU93" s="15" t="n">
        <f aca="false">BH93-(BD93+BE93-BF93-AY93)</f>
        <v>0</v>
      </c>
      <c r="BV93" s="15" t="n">
        <f aca="false">IF(BH92&lt;Parametri_v3!$C$31,0,BV92+1)</f>
        <v>0</v>
      </c>
    </row>
    <row r="94" customFormat="false" ht="18" hidden="false" customHeight="true" outlineLevel="0" collapsed="false">
      <c r="A94" s="68" t="n">
        <f aca="false">2</f>
        <v>2</v>
      </c>
      <c r="B94" s="68" t="n">
        <f aca="false">30</f>
        <v>30</v>
      </c>
      <c r="C94" s="18" t="n">
        <f aca="false">Motore_Operativo!C94</f>
        <v>47270</v>
      </c>
      <c r="D94" s="68" t="n">
        <f aca="false">Motore_Operativo!D94</f>
        <v>2029</v>
      </c>
      <c r="E94" s="68" t="n">
        <f aca="false">Motore_Operativo!E94</f>
        <v>6</v>
      </c>
      <c r="F94" s="15" t="n">
        <f aca="false">Motore_Operativo!AM94</f>
        <v>60500</v>
      </c>
      <c r="G94" s="15" t="n">
        <f aca="false">Motore_Operativo!BH94</f>
        <v>6050</v>
      </c>
      <c r="H94" s="15" t="n">
        <f aca="false">Motore_Operativo!AM94</f>
        <v>60500</v>
      </c>
      <c r="I94" s="15" t="n">
        <f aca="false">Motore_Operativo!CB94</f>
        <v>46259.8958333333</v>
      </c>
      <c r="J94" s="15" t="n">
        <f aca="false">Motore_Operativo!CD94</f>
        <v>14240.1041666667</v>
      </c>
      <c r="K94" s="15" t="n">
        <f aca="false">Motore_Operativo!CF94</f>
        <v>416.666666666667</v>
      </c>
      <c r="L94" s="15" t="n">
        <f aca="false">SUM(INDEX($K$65:$K$124,MAX(1,30-Parametri_v3!$C$59+1)):K94)/Parametri_v3!$C$59</f>
        <v>291.666666666667</v>
      </c>
      <c r="M94" s="15" t="n">
        <f aca="false">J94-L94</f>
        <v>13948.4375</v>
      </c>
      <c r="N94" s="15" t="n">
        <f aca="false">0</f>
        <v>0</v>
      </c>
      <c r="O94" s="15" t="n">
        <f aca="false">0</f>
        <v>0</v>
      </c>
      <c r="P94" s="15" t="n">
        <f aca="false">M94+N94-O94</f>
        <v>13948.4375</v>
      </c>
      <c r="Q94" s="15" t="n">
        <f aca="false">SUM(P89:P94)+Parametri_v3!$C$56*6/12</f>
        <v>83864.2361111111</v>
      </c>
      <c r="R94" s="15" t="n">
        <f aca="false">Z88</f>
        <v>0</v>
      </c>
      <c r="S94" s="15" t="n">
        <f aca="false">AA88</f>
        <v>0</v>
      </c>
      <c r="T94" s="15" t="n">
        <f aca="false">MIN(R94,MAX(0,Q94))</f>
        <v>0</v>
      </c>
      <c r="U94" s="15" t="n">
        <f aca="false">MIN(S94,MAX(0,Q94-T94)*Parametri_v3!$C$42)</f>
        <v>0</v>
      </c>
      <c r="V94" s="15" t="n">
        <f aca="false">MAX(0,Q94-T94-U94)*Ipotesi!$C$92</f>
        <v>20127.4166666667</v>
      </c>
      <c r="W94" s="15" t="n">
        <f aca="false">MAX(0,SUM(M89:M94)+Parametri_v3!$C$57*6/12)*Ipotesi!$C$93</f>
        <v>3270.70520833333</v>
      </c>
      <c r="X94" s="15" t="n">
        <f aca="false">V94+W94-(V93+W93)</f>
        <v>3891.6140625</v>
      </c>
      <c r="Y94" s="15" t="n">
        <f aca="false">P94-X94</f>
        <v>10056.8234375</v>
      </c>
      <c r="Z94" s="15" t="n">
        <f aca="false">R94-T94+IF(AND(Parametri_v3!$C$40=1,D94-YEAR(Parametri_v3!$C$50)&lt;Parametri_v3!$C$41),MAX(0,-Q94),0)</f>
        <v>0</v>
      </c>
      <c r="AA94" s="15" t="n">
        <f aca="false">S94-U94+IF(AND(Parametri_v3!$C$40=1,D94-YEAR(Parametri_v3!$C$50)&lt;Parametri_v3!$C$41),0,MAX(0,-Q94))</f>
        <v>0</v>
      </c>
      <c r="AB94" s="15" t="n">
        <f aca="false">F94*(1+Parametri_v3!$C$26)</f>
        <v>73810</v>
      </c>
      <c r="AC94" s="15" t="n">
        <f aca="false">(IF(30-(INT((Motore_Operativo!L94)/30))&lt;1,0,INDEX(Motore_Advisory!$AB$65:$AB$124,MAX(1,30-(INT((Motore_Operativo!L94)/30)))))*(1-(MOD((Motore_Operativo!L94),30)/30))+IF(30-(INT((Motore_Operativo!L94)/30))-1&lt;1,0,INDEX(Motore_Advisory!$AB$65:$AB$124,MAX(1,30-(INT((Motore_Operativo!L94)/30))-1)))*(MOD((Motore_Operativo!L94),30)/30))</f>
        <v>73810</v>
      </c>
      <c r="AD94" s="15" t="n">
        <f aca="false">(AD93)+AB94-AC94</f>
        <v>221430</v>
      </c>
      <c r="AE94" s="15" t="n">
        <f aca="false">Motore_Operativo!BH94*(1+Parametri_v3!$C$26)</f>
        <v>7381</v>
      </c>
      <c r="AF94" s="15" t="n">
        <f aca="false">(IF(30-(INT((Parametri_v3!$C$29)/30))&lt;1,0,INDEX(Motore_Operativo!$BH$65:$BH$124,MAX(1,30-(INT((Parametri_v3!$C$29)/30)))))*(1-(MOD((Parametri_v3!$C$29),30)/30))+IF(30-(INT((Parametri_v3!$C$29)/30))-1&lt;1,0,INDEX(Motore_Operativo!$BH$65:$BH$124,MAX(1,30-(INT((Parametri_v3!$C$29)/30))-1)))*(MOD((Parametri_v3!$C$29),30)/30))*(1+Parametri_v3!$C$26)</f>
        <v>7381</v>
      </c>
      <c r="AG94" s="15" t="n">
        <f aca="false">(AG93)+AE94-AF94</f>
        <v>7381</v>
      </c>
      <c r="AH94" s="15" t="n">
        <f aca="false">(Motore_Operativo!CK94)*(1+Parametri_v3!$C$28*Parametri_v3!$C$26)</f>
        <v>17395.98</v>
      </c>
      <c r="AI94" s="15" t="n">
        <f aca="false">(IF(30-(INT((Ipotesi!$C$91)/30))&lt;1,0,INDEX(Motore_Advisory!$AH$65:$AH$124,MAX(1,30-(INT((Ipotesi!$C$91)/30)))))*(1-(MOD((Ipotesi!$C$91),30)/30))+IF(30-(INT((Ipotesi!$C$91)/30))-1&lt;1,0,INDEX(Motore_Advisory!$AH$65:$AH$124,MAX(1,30-(INT((Ipotesi!$C$91)/30))-1)))*(MOD((Ipotesi!$C$91),30)/30))</f>
        <v>17395.98</v>
      </c>
      <c r="AJ94" s="15" t="n">
        <f aca="false">(AJ93)+AH94-AI94</f>
        <v>34791.96</v>
      </c>
      <c r="AK94" s="15" t="n">
        <f aca="false">(F94- Motore_Operativo!BH94-(Motore_Operativo!CK94)*Parametri_v3!$C$28-Motore_Operativo!CF94)*Parametri_v3!$C$26</f>
        <v>9283.85333333333</v>
      </c>
      <c r="AL94" s="15" t="n">
        <f aca="false">MAX(0,(AM93))</f>
        <v>9283.85333333333</v>
      </c>
      <c r="AM94" s="15" t="n">
        <f aca="false">(AM93)+AK94-AL94</f>
        <v>9283.85333333333</v>
      </c>
      <c r="AN94" s="15" t="n">
        <f aca="false">SUM(X77:X88)</f>
        <v>16530.1714788732</v>
      </c>
      <c r="AO94" s="15" t="n">
        <f aca="false">SUM(AP77:AP88)</f>
        <v>13562.3123684211</v>
      </c>
      <c r="AP94" s="15" t="n">
        <f aca="false">MAX(0,AN94)*IF(6=Parametri_v3!$C$43,Parametri_v3!$C$45,IF(6=Parametri_v3!$C$44,1-Parametri_v3!$C$45,0))</f>
        <v>6612.06859154929</v>
      </c>
      <c r="AQ94" s="15" t="n">
        <f aca="false">MAX(0,AP94+IF(6=Parametri_v3!$C$43,MAX(0,AN94-AO94),0)-MAX(0,-(AR93)))</f>
        <v>9579.92770200147</v>
      </c>
      <c r="AR94" s="15" t="n">
        <f aca="false">(AR93)+X94-AQ94</f>
        <v>16786.0532834507</v>
      </c>
      <c r="AS94" s="15" t="n">
        <f aca="false">Motore_Operativo!AC94-AT94+AU94</f>
        <v>24146.5260416667</v>
      </c>
      <c r="AT94" s="15" t="n">
        <f aca="false">Motore_Operativo!CI94</f>
        <v>1270.86979166667</v>
      </c>
      <c r="AU94" s="15" t="n">
        <f aca="false">MIN(MAX(0,(AV93)+AT94),Parametri_v3!$C$61/12)</f>
        <v>0</v>
      </c>
      <c r="AV94" s="15" t="n">
        <f aca="false">(AV93)+AT94-AU94</f>
        <v>20354.21875</v>
      </c>
      <c r="AW94" s="15" t="n">
        <f aca="false">IF(AND(Motore_Operativo!C94=Finanziamenti!$D$7,Finanziamenti!$F$7=1),Finanziamenti!$C$7,0)</f>
        <v>0</v>
      </c>
      <c r="AX94" s="15" t="n">
        <f aca="false">0</f>
        <v>0</v>
      </c>
      <c r="AY94" s="15" t="n">
        <f aca="false">IF(6=Parametri_v3!$C$33,IF(BV94&lt;MIN(12,$B94-1),0,MIN(MAX(0,SUM(Y77:Y88))*Ipotesi!$C$94,MAX(0,(BM88)-(BO93)-BP94),MAX(0,BD94-Parametri_v3!$C$31))),0)</f>
        <v>0</v>
      </c>
      <c r="AZ94" s="15" t="n">
        <f aca="false">0</f>
        <v>0</v>
      </c>
      <c r="BA94" s="15" t="n">
        <f aca="false">0</f>
        <v>0</v>
      </c>
      <c r="BB94" s="15" t="n">
        <f aca="false">0</f>
        <v>0</v>
      </c>
      <c r="BC94" s="15" t="n">
        <f aca="false">0</f>
        <v>0</v>
      </c>
      <c r="BD94" s="15" t="n">
        <f aca="false">(BH93)+AC94-AF94-AI94-AS94-K94*(1+Parametri_v3!$C$26)-AL94-AQ94-O94+AW94+AX94+AZ94+BA94-BB94</f>
        <v>18919.9141329997</v>
      </c>
      <c r="BE94" s="15" t="n">
        <f aca="false">0</f>
        <v>0</v>
      </c>
      <c r="BF94" s="15" t="n">
        <f aca="false">0</f>
        <v>0</v>
      </c>
      <c r="BG94" s="15" t="n">
        <f aca="false">0</f>
        <v>0</v>
      </c>
      <c r="BH94" s="15" t="n">
        <f aca="false">BD94+BE94-BF94-AY94</f>
        <v>18919.9141329997</v>
      </c>
      <c r="BI94" s="15" t="n">
        <f aca="false">MAX(0,Parametri_v3!$C$31-BH94)</f>
        <v>0</v>
      </c>
      <c r="BJ94" s="15" t="n">
        <f aca="false">(BJ93)+K94</f>
        <v>10500</v>
      </c>
      <c r="BK94" s="15" t="n">
        <f aca="false">(BK93)+L94</f>
        <v>4020.83333333333</v>
      </c>
      <c r="BL94" s="15" t="n">
        <f aca="false">BJ94-BK94</f>
        <v>6479.16666666667</v>
      </c>
      <c r="BM94" s="15" t="n">
        <f aca="false">(BM93)+Y94</f>
        <v>138231.995432882</v>
      </c>
      <c r="BN94" s="15" t="n">
        <f aca="false">(BN93)+AW94+AX94+AZ94</f>
        <v>20000</v>
      </c>
      <c r="BO94" s="15" t="n">
        <f aca="false">(BO93)+AY94</f>
        <v>0</v>
      </c>
      <c r="BP94" s="15" t="n">
        <f aca="false">MIN(Parametri_v3!$C$36*Parametri_v3!$C$35,(BP93)+IF(6=1,MAX(0,SUM(Y77:Y88))*Parametri_v3!$C$34,0))</f>
        <v>2000</v>
      </c>
      <c r="BQ94" s="15" t="n">
        <f aca="false">BN94+BM94-BO94</f>
        <v>158231.995432882</v>
      </c>
      <c r="BR94" s="15" t="n">
        <f aca="false">BH94+AD94+BL94+MAX(0,-AM94)+MAX(0,-AR94)</f>
        <v>246829.080799666</v>
      </c>
      <c r="BS94" s="15" t="n">
        <f aca="false">AJ94+AV94+MAX(0,AM94)+MAX(0,AR94)+BC94+BG94+BQ94+AG94</f>
        <v>246829.080799666</v>
      </c>
      <c r="BT94" s="15" t="n">
        <f aca="false">BR94-BS94</f>
        <v>0</v>
      </c>
      <c r="BU94" s="15" t="n">
        <f aca="false">BH94-(BD94+BE94-BF94-AY94)</f>
        <v>0</v>
      </c>
      <c r="BV94" s="15" t="n">
        <f aca="false">IF(BH93&lt;Parametri_v3!$C$31,0,BV93+1)</f>
        <v>1</v>
      </c>
    </row>
    <row r="95" customFormat="false" ht="18" hidden="false" customHeight="true" outlineLevel="0" collapsed="false">
      <c r="A95" s="68" t="n">
        <f aca="false">2</f>
        <v>2</v>
      </c>
      <c r="B95" s="68" t="n">
        <f aca="false">31</f>
        <v>31</v>
      </c>
      <c r="C95" s="18" t="n">
        <f aca="false">Motore_Operativo!C95</f>
        <v>47300</v>
      </c>
      <c r="D95" s="68" t="n">
        <f aca="false">Motore_Operativo!D95</f>
        <v>2029</v>
      </c>
      <c r="E95" s="68" t="n">
        <f aca="false">Motore_Operativo!E95</f>
        <v>7</v>
      </c>
      <c r="F95" s="15" t="n">
        <f aca="false">Motore_Operativo!AM95</f>
        <v>60500</v>
      </c>
      <c r="G95" s="15" t="n">
        <f aca="false">Motore_Operativo!BH95</f>
        <v>6050</v>
      </c>
      <c r="H95" s="15" t="n">
        <f aca="false">Motore_Operativo!AM95</f>
        <v>60500</v>
      </c>
      <c r="I95" s="15" t="n">
        <f aca="false">Motore_Operativo!CB95</f>
        <v>46259.8958333333</v>
      </c>
      <c r="J95" s="15" t="n">
        <f aca="false">Motore_Operativo!CD95</f>
        <v>14240.1041666667</v>
      </c>
      <c r="K95" s="15" t="n">
        <f aca="false">Motore_Operativo!CF95</f>
        <v>416.666666666667</v>
      </c>
      <c r="L95" s="15" t="n">
        <f aca="false">SUM(INDEX($K$65:$K$124,MAX(1,31-Parametri_v3!$C$59+1)):K95)/Parametri_v3!$C$59</f>
        <v>303.240740740741</v>
      </c>
      <c r="M95" s="15" t="n">
        <f aca="false">J95-L95</f>
        <v>13936.8634259259</v>
      </c>
      <c r="N95" s="15" t="n">
        <f aca="false">0</f>
        <v>0</v>
      </c>
      <c r="O95" s="15" t="n">
        <f aca="false">0</f>
        <v>0</v>
      </c>
      <c r="P95" s="15" t="n">
        <f aca="false">M95+N95-O95</f>
        <v>13936.8634259259</v>
      </c>
      <c r="Q95" s="15" t="n">
        <f aca="false">SUM(P89:P95)+Parametri_v3!$C$56*7/12</f>
        <v>97801.0995370371</v>
      </c>
      <c r="R95" s="15" t="n">
        <f aca="false">Z88</f>
        <v>0</v>
      </c>
      <c r="S95" s="15" t="n">
        <f aca="false">AA88</f>
        <v>0</v>
      </c>
      <c r="T95" s="15" t="n">
        <f aca="false">MIN(R95,MAX(0,Q95))</f>
        <v>0</v>
      </c>
      <c r="U95" s="15" t="n">
        <f aca="false">MIN(S95,MAX(0,Q95-T95)*Parametri_v3!$C$42)</f>
        <v>0</v>
      </c>
      <c r="V95" s="15" t="n">
        <f aca="false">MAX(0,Q95-T95-U95)*Ipotesi!$C$92</f>
        <v>23472.2638888889</v>
      </c>
      <c r="W95" s="15" t="n">
        <f aca="false">MAX(0,SUM(M89:M95)+Parametri_v3!$C$57*7/12)*Ipotesi!$C$93</f>
        <v>3814.24288194445</v>
      </c>
      <c r="X95" s="15" t="n">
        <f aca="false">V95+W95-(V94+W94)</f>
        <v>3888.38489583334</v>
      </c>
      <c r="Y95" s="15" t="n">
        <f aca="false">P95-X95</f>
        <v>10048.4785300926</v>
      </c>
      <c r="Z95" s="15" t="n">
        <f aca="false">R95-T95+IF(AND(Parametri_v3!$C$40=1,D95-YEAR(Parametri_v3!$C$50)&lt;Parametri_v3!$C$41),MAX(0,-Q95),0)</f>
        <v>0</v>
      </c>
      <c r="AA95" s="15" t="n">
        <f aca="false">S95-U95+IF(AND(Parametri_v3!$C$40=1,D95-YEAR(Parametri_v3!$C$50)&lt;Parametri_v3!$C$41),0,MAX(0,-Q95))</f>
        <v>0</v>
      </c>
      <c r="AB95" s="15" t="n">
        <f aca="false">F95*(1+Parametri_v3!$C$26)</f>
        <v>73810</v>
      </c>
      <c r="AC95" s="15" t="n">
        <f aca="false">(IF(31-(INT((Motore_Operativo!L95)/30))&lt;1,0,INDEX(Motore_Advisory!$AB$65:$AB$124,MAX(1,31-(INT((Motore_Operativo!L95)/30)))))*(1-(MOD((Motore_Operativo!L95),30)/30))+IF(31-(INT((Motore_Operativo!L95)/30))-1&lt;1,0,INDEX(Motore_Advisory!$AB$65:$AB$124,MAX(1,31-(INT((Motore_Operativo!L95)/30))-1)))*(MOD((Motore_Operativo!L95),30)/30))</f>
        <v>73810</v>
      </c>
      <c r="AD95" s="15" t="n">
        <f aca="false">(AD94)+AB95-AC95</f>
        <v>221430</v>
      </c>
      <c r="AE95" s="15" t="n">
        <f aca="false">Motore_Operativo!BH95*(1+Parametri_v3!$C$26)</f>
        <v>7381</v>
      </c>
      <c r="AF95" s="15" t="n">
        <f aca="false">(IF(31-(INT((Parametri_v3!$C$29)/30))&lt;1,0,INDEX(Motore_Operativo!$BH$65:$BH$124,MAX(1,31-(INT((Parametri_v3!$C$29)/30)))))*(1-(MOD((Parametri_v3!$C$29),30)/30))+IF(31-(INT((Parametri_v3!$C$29)/30))-1&lt;1,0,INDEX(Motore_Operativo!$BH$65:$BH$124,MAX(1,31-(INT((Parametri_v3!$C$29)/30))-1)))*(MOD((Parametri_v3!$C$29),30)/30))*(1+Parametri_v3!$C$26)</f>
        <v>7381</v>
      </c>
      <c r="AG95" s="15" t="n">
        <f aca="false">(AG94)+AE95-AF95</f>
        <v>7381</v>
      </c>
      <c r="AH95" s="15" t="n">
        <f aca="false">(Motore_Operativo!CK95)*(1+Parametri_v3!$C$28*Parametri_v3!$C$26)</f>
        <v>17395.98</v>
      </c>
      <c r="AI95" s="15" t="n">
        <f aca="false">(IF(31-(INT((Ipotesi!$C$91)/30))&lt;1,0,INDEX(Motore_Advisory!$AH$65:$AH$124,MAX(1,31-(INT((Ipotesi!$C$91)/30)))))*(1-(MOD((Ipotesi!$C$91),30)/30))+IF(31-(INT((Ipotesi!$C$91)/30))-1&lt;1,0,INDEX(Motore_Advisory!$AH$65:$AH$124,MAX(1,31-(INT((Ipotesi!$C$91)/30))-1)))*(MOD((Ipotesi!$C$91),30)/30))</f>
        <v>17395.98</v>
      </c>
      <c r="AJ95" s="15" t="n">
        <f aca="false">(AJ94)+AH95-AI95</f>
        <v>34791.96</v>
      </c>
      <c r="AK95" s="15" t="n">
        <f aca="false">(F95- Motore_Operativo!BH95-(Motore_Operativo!CK95)*Parametri_v3!$C$28-Motore_Operativo!CF95)*Parametri_v3!$C$26</f>
        <v>9283.85333333333</v>
      </c>
      <c r="AL95" s="15" t="n">
        <f aca="false">MAX(0,(AM94))</f>
        <v>9283.85333333333</v>
      </c>
      <c r="AM95" s="15" t="n">
        <f aca="false">(AM94)+AK95-AL95</f>
        <v>9283.85333333333</v>
      </c>
      <c r="AN95" s="15" t="n">
        <f aca="false">SUM(X77:X88)</f>
        <v>16530.1714788732</v>
      </c>
      <c r="AO95" s="15" t="n">
        <f aca="false">SUM(AP77:AP88)</f>
        <v>13562.3123684211</v>
      </c>
      <c r="AP95" s="15" t="n">
        <f aca="false">MAX(0,AN95)*IF(7=Parametri_v3!$C$43,Parametri_v3!$C$45,IF(7=Parametri_v3!$C$44,1-Parametri_v3!$C$45,0))</f>
        <v>0</v>
      </c>
      <c r="AQ95" s="15" t="n">
        <f aca="false">MAX(0,AP95+IF(7=Parametri_v3!$C$43,MAX(0,AN95-AO95),0)-MAX(0,-(AR94)))</f>
        <v>0</v>
      </c>
      <c r="AR95" s="15" t="n">
        <f aca="false">(AR94)+X95-AQ95</f>
        <v>20674.438179284</v>
      </c>
      <c r="AS95" s="15" t="n">
        <f aca="false">Motore_Operativo!AC95-AT95+AU95</f>
        <v>24146.5260416667</v>
      </c>
      <c r="AT95" s="15" t="n">
        <f aca="false">Motore_Operativo!CI95</f>
        <v>1270.86979166667</v>
      </c>
      <c r="AU95" s="15" t="n">
        <f aca="false">MIN(MAX(0,(AV94)+AT95),Parametri_v3!$C$61/12)</f>
        <v>0</v>
      </c>
      <c r="AV95" s="15" t="n">
        <f aca="false">(AV94)+AT95-AU95</f>
        <v>21625.0885416667</v>
      </c>
      <c r="AW95" s="15" t="n">
        <f aca="false">IF(AND(Motore_Operativo!C95=Finanziamenti!$D$7,Finanziamenti!$F$7=1),Finanziamenti!$C$7,0)</f>
        <v>0</v>
      </c>
      <c r="AX95" s="15" t="n">
        <f aca="false">0</f>
        <v>0</v>
      </c>
      <c r="AY95" s="15" t="n">
        <f aca="false">IF(7=Parametri_v3!$C$33,IF(BV95&lt;MIN(12,$B95-1),0,MIN(MAX(0,SUM(Y77:Y88))*Ipotesi!$C$94,MAX(0,(BM88)-(BO94)-BP95),MAX(0,BD95-Parametri_v3!$C$31))),0)</f>
        <v>0</v>
      </c>
      <c r="AZ95" s="15" t="n">
        <f aca="false">0</f>
        <v>0</v>
      </c>
      <c r="BA95" s="15" t="n">
        <f aca="false">0</f>
        <v>0</v>
      </c>
      <c r="BB95" s="15" t="n">
        <f aca="false">0</f>
        <v>0</v>
      </c>
      <c r="BC95" s="15" t="n">
        <f aca="false">0</f>
        <v>0</v>
      </c>
      <c r="BD95" s="15" t="n">
        <f aca="false">(BH94)+AC95-AF95-AI95-AS95-K95*(1+Parametri_v3!$C$26)-AL95-AQ95-O95+AW95+AX95+AZ95+BA95-BB95</f>
        <v>34014.2214246664</v>
      </c>
      <c r="BE95" s="15" t="n">
        <f aca="false">0</f>
        <v>0</v>
      </c>
      <c r="BF95" s="15" t="n">
        <f aca="false">0</f>
        <v>0</v>
      </c>
      <c r="BG95" s="15" t="n">
        <f aca="false">0</f>
        <v>0</v>
      </c>
      <c r="BH95" s="15" t="n">
        <f aca="false">BD95+BE95-BF95-AY95</f>
        <v>34014.2214246664</v>
      </c>
      <c r="BI95" s="15" t="n">
        <f aca="false">MAX(0,Parametri_v3!$C$31-BH95)</f>
        <v>0</v>
      </c>
      <c r="BJ95" s="15" t="n">
        <f aca="false">(BJ94)+K95</f>
        <v>10916.6666666667</v>
      </c>
      <c r="BK95" s="15" t="n">
        <f aca="false">(BK94)+L95</f>
        <v>4324.07407407407</v>
      </c>
      <c r="BL95" s="15" t="n">
        <f aca="false">BJ95-BK95</f>
        <v>6592.59259259259</v>
      </c>
      <c r="BM95" s="15" t="n">
        <f aca="false">(BM94)+Y95</f>
        <v>148280.473962975</v>
      </c>
      <c r="BN95" s="15" t="n">
        <f aca="false">(BN94)+AW95+AX95+AZ95</f>
        <v>20000</v>
      </c>
      <c r="BO95" s="15" t="n">
        <f aca="false">(BO94)+AY95</f>
        <v>0</v>
      </c>
      <c r="BP95" s="15" t="n">
        <f aca="false">MIN(Parametri_v3!$C$36*Parametri_v3!$C$35,(BP94)+IF(7=1,MAX(0,SUM(Y77:Y88))*Parametri_v3!$C$34,0))</f>
        <v>2000</v>
      </c>
      <c r="BQ95" s="15" t="n">
        <f aca="false">BN95+BM95-BO95</f>
        <v>168280.473962975</v>
      </c>
      <c r="BR95" s="15" t="n">
        <f aca="false">BH95+AD95+BL95+MAX(0,-AM95)+MAX(0,-AR95)</f>
        <v>262036.814017259</v>
      </c>
      <c r="BS95" s="15" t="n">
        <f aca="false">AJ95+AV95+MAX(0,AM95)+MAX(0,AR95)+BC95+BG95+BQ95+AG95</f>
        <v>262036.814017259</v>
      </c>
      <c r="BT95" s="15" t="n">
        <f aca="false">BR95-BS95</f>
        <v>0</v>
      </c>
      <c r="BU95" s="15" t="n">
        <f aca="false">BH95-(BD95+BE95-BF95-AY95)</f>
        <v>0</v>
      </c>
      <c r="BV95" s="15" t="n">
        <f aca="false">IF(BH94&lt;Parametri_v3!$C$31,0,BV94+1)</f>
        <v>2</v>
      </c>
    </row>
    <row r="96" customFormat="false" ht="18" hidden="false" customHeight="true" outlineLevel="0" collapsed="false">
      <c r="A96" s="68" t="n">
        <f aca="false">2</f>
        <v>2</v>
      </c>
      <c r="B96" s="68" t="n">
        <f aca="false">32</f>
        <v>32</v>
      </c>
      <c r="C96" s="18" t="n">
        <f aca="false">Motore_Operativo!C96</f>
        <v>47331</v>
      </c>
      <c r="D96" s="68" t="n">
        <f aca="false">Motore_Operativo!D96</f>
        <v>2029</v>
      </c>
      <c r="E96" s="68" t="n">
        <f aca="false">Motore_Operativo!E96</f>
        <v>8</v>
      </c>
      <c r="F96" s="15" t="n">
        <f aca="false">Motore_Operativo!AM96</f>
        <v>60500</v>
      </c>
      <c r="G96" s="15" t="n">
        <f aca="false">Motore_Operativo!BH96</f>
        <v>6050</v>
      </c>
      <c r="H96" s="15" t="n">
        <f aca="false">Motore_Operativo!AM96</f>
        <v>60500</v>
      </c>
      <c r="I96" s="15" t="n">
        <f aca="false">Motore_Operativo!CB96</f>
        <v>46259.8958333333</v>
      </c>
      <c r="J96" s="15" t="n">
        <f aca="false">Motore_Operativo!CD96</f>
        <v>14240.1041666667</v>
      </c>
      <c r="K96" s="15" t="n">
        <f aca="false">Motore_Operativo!CF96</f>
        <v>416.666666666667</v>
      </c>
      <c r="L96" s="15" t="n">
        <f aca="false">SUM(INDEX($K$65:$K$124,MAX(1,32-Parametri_v3!$C$59+1)):K96)/Parametri_v3!$C$59</f>
        <v>314.814814814815</v>
      </c>
      <c r="M96" s="15" t="n">
        <f aca="false">J96-L96</f>
        <v>13925.2893518519</v>
      </c>
      <c r="N96" s="15" t="n">
        <f aca="false">0</f>
        <v>0</v>
      </c>
      <c r="O96" s="15" t="n">
        <f aca="false">0</f>
        <v>0</v>
      </c>
      <c r="P96" s="15" t="n">
        <f aca="false">M96+N96-O96</f>
        <v>13925.2893518519</v>
      </c>
      <c r="Q96" s="15" t="n">
        <f aca="false">SUM(P89:P96)+Parametri_v3!$C$56*8/12</f>
        <v>111726.388888889</v>
      </c>
      <c r="R96" s="15" t="n">
        <f aca="false">Z88</f>
        <v>0</v>
      </c>
      <c r="S96" s="15" t="n">
        <f aca="false">AA88</f>
        <v>0</v>
      </c>
      <c r="T96" s="15" t="n">
        <f aca="false">MIN(R96,MAX(0,Q96))</f>
        <v>0</v>
      </c>
      <c r="U96" s="15" t="n">
        <f aca="false">MIN(S96,MAX(0,Q96-T96)*Parametri_v3!$C$42)</f>
        <v>0</v>
      </c>
      <c r="V96" s="15" t="n">
        <f aca="false">MAX(0,Q96-T96-U96)*Ipotesi!$C$92</f>
        <v>26814.3333333333</v>
      </c>
      <c r="W96" s="15" t="n">
        <f aca="false">MAX(0,SUM(M89:M96)+Parametri_v3!$C$57*8/12)*Ipotesi!$C$93</f>
        <v>4357.32916666667</v>
      </c>
      <c r="X96" s="15" t="n">
        <f aca="false">V96+W96-(V95+W95)</f>
        <v>3885.15572916667</v>
      </c>
      <c r="Y96" s="15" t="n">
        <f aca="false">P96-X96</f>
        <v>10040.1336226852</v>
      </c>
      <c r="Z96" s="15" t="n">
        <f aca="false">R96-T96+IF(AND(Parametri_v3!$C$40=1,D96-YEAR(Parametri_v3!$C$50)&lt;Parametri_v3!$C$41),MAX(0,-Q96),0)</f>
        <v>0</v>
      </c>
      <c r="AA96" s="15" t="n">
        <f aca="false">S96-U96+IF(AND(Parametri_v3!$C$40=1,D96-YEAR(Parametri_v3!$C$50)&lt;Parametri_v3!$C$41),0,MAX(0,-Q96))</f>
        <v>0</v>
      </c>
      <c r="AB96" s="15" t="n">
        <f aca="false">F96*(1+Parametri_v3!$C$26)</f>
        <v>73810</v>
      </c>
      <c r="AC96" s="15" t="n">
        <f aca="false">(IF(32-(INT((Motore_Operativo!L96)/30))&lt;1,0,INDEX(Motore_Advisory!$AB$65:$AB$124,MAX(1,32-(INT((Motore_Operativo!L96)/30)))))*(1-(MOD((Motore_Operativo!L96),30)/30))+IF(32-(INT((Motore_Operativo!L96)/30))-1&lt;1,0,INDEX(Motore_Advisory!$AB$65:$AB$124,MAX(1,32-(INT((Motore_Operativo!L96)/30))-1)))*(MOD((Motore_Operativo!L96),30)/30))</f>
        <v>73810</v>
      </c>
      <c r="AD96" s="15" t="n">
        <f aca="false">(AD95)+AB96-AC96</f>
        <v>221430</v>
      </c>
      <c r="AE96" s="15" t="n">
        <f aca="false">Motore_Operativo!BH96*(1+Parametri_v3!$C$26)</f>
        <v>7381</v>
      </c>
      <c r="AF96" s="15" t="n">
        <f aca="false">(IF(32-(INT((Parametri_v3!$C$29)/30))&lt;1,0,INDEX(Motore_Operativo!$BH$65:$BH$124,MAX(1,32-(INT((Parametri_v3!$C$29)/30)))))*(1-(MOD((Parametri_v3!$C$29),30)/30))+IF(32-(INT((Parametri_v3!$C$29)/30))-1&lt;1,0,INDEX(Motore_Operativo!$BH$65:$BH$124,MAX(1,32-(INT((Parametri_v3!$C$29)/30))-1)))*(MOD((Parametri_v3!$C$29),30)/30))*(1+Parametri_v3!$C$26)</f>
        <v>7381</v>
      </c>
      <c r="AG96" s="15" t="n">
        <f aca="false">(AG95)+AE96-AF96</f>
        <v>7381</v>
      </c>
      <c r="AH96" s="15" t="n">
        <f aca="false">(Motore_Operativo!CK96)*(1+Parametri_v3!$C$28*Parametri_v3!$C$26)</f>
        <v>17395.98</v>
      </c>
      <c r="AI96" s="15" t="n">
        <f aca="false">(IF(32-(INT((Ipotesi!$C$91)/30))&lt;1,0,INDEX(Motore_Advisory!$AH$65:$AH$124,MAX(1,32-(INT((Ipotesi!$C$91)/30)))))*(1-(MOD((Ipotesi!$C$91),30)/30))+IF(32-(INT((Ipotesi!$C$91)/30))-1&lt;1,0,INDEX(Motore_Advisory!$AH$65:$AH$124,MAX(1,32-(INT((Ipotesi!$C$91)/30))-1)))*(MOD((Ipotesi!$C$91),30)/30))</f>
        <v>17395.98</v>
      </c>
      <c r="AJ96" s="15" t="n">
        <f aca="false">(AJ95)+AH96-AI96</f>
        <v>34791.96</v>
      </c>
      <c r="AK96" s="15" t="n">
        <f aca="false">(F96- Motore_Operativo!BH96-(Motore_Operativo!CK96)*Parametri_v3!$C$28-Motore_Operativo!CF96)*Parametri_v3!$C$26</f>
        <v>9283.85333333333</v>
      </c>
      <c r="AL96" s="15" t="n">
        <f aca="false">MAX(0,(AM95))</f>
        <v>9283.85333333333</v>
      </c>
      <c r="AM96" s="15" t="n">
        <f aca="false">(AM95)+AK96-AL96</f>
        <v>9283.85333333333</v>
      </c>
      <c r="AN96" s="15" t="n">
        <f aca="false">SUM(X77:X88)</f>
        <v>16530.1714788732</v>
      </c>
      <c r="AO96" s="15" t="n">
        <f aca="false">SUM(AP77:AP88)</f>
        <v>13562.3123684211</v>
      </c>
      <c r="AP96" s="15" t="n">
        <f aca="false">MAX(0,AN96)*IF(8=Parametri_v3!$C$43,Parametri_v3!$C$45,IF(8=Parametri_v3!$C$44,1-Parametri_v3!$C$45,0))</f>
        <v>0</v>
      </c>
      <c r="AQ96" s="15" t="n">
        <f aca="false">MAX(0,AP96+IF(8=Parametri_v3!$C$43,MAX(0,AN96-AO96),0)-MAX(0,-(AR95)))</f>
        <v>0</v>
      </c>
      <c r="AR96" s="15" t="n">
        <f aca="false">(AR95)+X96-AQ96</f>
        <v>24559.5939084507</v>
      </c>
      <c r="AS96" s="15" t="n">
        <f aca="false">Motore_Operativo!AC96-AT96+AU96</f>
        <v>24146.5260416667</v>
      </c>
      <c r="AT96" s="15" t="n">
        <f aca="false">Motore_Operativo!CI96</f>
        <v>1270.86979166667</v>
      </c>
      <c r="AU96" s="15" t="n">
        <f aca="false">MIN(MAX(0,(AV95)+AT96),Parametri_v3!$C$61/12)</f>
        <v>0</v>
      </c>
      <c r="AV96" s="15" t="n">
        <f aca="false">(AV95)+AT96-AU96</f>
        <v>22895.9583333333</v>
      </c>
      <c r="AW96" s="15" t="n">
        <f aca="false">IF(AND(Motore_Operativo!C96=Finanziamenti!$D$7,Finanziamenti!$F$7=1),Finanziamenti!$C$7,0)</f>
        <v>0</v>
      </c>
      <c r="AX96" s="15" t="n">
        <f aca="false">0</f>
        <v>0</v>
      </c>
      <c r="AY96" s="15" t="n">
        <f aca="false">IF(8=Parametri_v3!$C$33,IF(BV96&lt;MIN(12,$B96-1),0,MIN(MAX(0,SUM(Y77:Y88))*Ipotesi!$C$94,MAX(0,(BM88)-(BO95)-BP96),MAX(0,BD96-Parametri_v3!$C$31))),0)</f>
        <v>0</v>
      </c>
      <c r="AZ96" s="15" t="n">
        <f aca="false">0</f>
        <v>0</v>
      </c>
      <c r="BA96" s="15" t="n">
        <f aca="false">0</f>
        <v>0</v>
      </c>
      <c r="BB96" s="15" t="n">
        <f aca="false">0</f>
        <v>0</v>
      </c>
      <c r="BC96" s="15" t="n">
        <f aca="false">0</f>
        <v>0</v>
      </c>
      <c r="BD96" s="15" t="n">
        <f aca="false">(BH95)+AC96-AF96-AI96-AS96-K96*(1+Parametri_v3!$C$26)-AL96-AQ96-O96+AW96+AX96+AZ96+BA96-BB96</f>
        <v>49108.528716333</v>
      </c>
      <c r="BE96" s="15" t="n">
        <f aca="false">0</f>
        <v>0</v>
      </c>
      <c r="BF96" s="15" t="n">
        <f aca="false">0</f>
        <v>0</v>
      </c>
      <c r="BG96" s="15" t="n">
        <f aca="false">0</f>
        <v>0</v>
      </c>
      <c r="BH96" s="15" t="n">
        <f aca="false">BD96+BE96-BF96-AY96</f>
        <v>49108.528716333</v>
      </c>
      <c r="BI96" s="15" t="n">
        <f aca="false">MAX(0,Parametri_v3!$C$31-BH96)</f>
        <v>0</v>
      </c>
      <c r="BJ96" s="15" t="n">
        <f aca="false">(BJ95)+K96</f>
        <v>11333.3333333333</v>
      </c>
      <c r="BK96" s="15" t="n">
        <f aca="false">(BK95)+L96</f>
        <v>4638.88888888889</v>
      </c>
      <c r="BL96" s="15" t="n">
        <f aca="false">BJ96-BK96</f>
        <v>6694.44444444444</v>
      </c>
      <c r="BM96" s="15" t="n">
        <f aca="false">(BM95)+Y96</f>
        <v>158320.60758566</v>
      </c>
      <c r="BN96" s="15" t="n">
        <f aca="false">(BN95)+AW96+AX96+AZ96</f>
        <v>20000</v>
      </c>
      <c r="BO96" s="15" t="n">
        <f aca="false">(BO95)+AY96</f>
        <v>0</v>
      </c>
      <c r="BP96" s="15" t="n">
        <f aca="false">MIN(Parametri_v3!$C$36*Parametri_v3!$C$35,(BP95)+IF(8=1,MAX(0,SUM(Y77:Y88))*Parametri_v3!$C$34,0))</f>
        <v>2000</v>
      </c>
      <c r="BQ96" s="15" t="n">
        <f aca="false">BN96+BM96-BO96</f>
        <v>178320.60758566</v>
      </c>
      <c r="BR96" s="15" t="n">
        <f aca="false">BH96+AD96+BL96+MAX(0,-AM96)+MAX(0,-AR96)</f>
        <v>277232.973160778</v>
      </c>
      <c r="BS96" s="15" t="n">
        <f aca="false">AJ96+AV96+MAX(0,AM96)+MAX(0,AR96)+BC96+BG96+BQ96+AG96</f>
        <v>277232.973160778</v>
      </c>
      <c r="BT96" s="15" t="n">
        <f aca="false">BR96-BS96</f>
        <v>0</v>
      </c>
      <c r="BU96" s="15" t="n">
        <f aca="false">BH96-(BD96+BE96-BF96-AY96)</f>
        <v>0</v>
      </c>
      <c r="BV96" s="15" t="n">
        <f aca="false">IF(BH95&lt;Parametri_v3!$C$31,0,BV95+1)</f>
        <v>3</v>
      </c>
    </row>
    <row r="97" customFormat="false" ht="18" hidden="false" customHeight="true" outlineLevel="0" collapsed="false">
      <c r="A97" s="68" t="n">
        <f aca="false">2</f>
        <v>2</v>
      </c>
      <c r="B97" s="68" t="n">
        <f aca="false">33</f>
        <v>33</v>
      </c>
      <c r="C97" s="18" t="n">
        <f aca="false">Motore_Operativo!C97</f>
        <v>47362</v>
      </c>
      <c r="D97" s="68" t="n">
        <f aca="false">Motore_Operativo!D97</f>
        <v>2029</v>
      </c>
      <c r="E97" s="68" t="n">
        <f aca="false">Motore_Operativo!E97</f>
        <v>9</v>
      </c>
      <c r="F97" s="15" t="n">
        <f aca="false">Motore_Operativo!AM97</f>
        <v>60500</v>
      </c>
      <c r="G97" s="15" t="n">
        <f aca="false">Motore_Operativo!BH97</f>
        <v>6050</v>
      </c>
      <c r="H97" s="15" t="n">
        <f aca="false">Motore_Operativo!AM97</f>
        <v>60500</v>
      </c>
      <c r="I97" s="15" t="n">
        <f aca="false">Motore_Operativo!CB97</f>
        <v>46259.8958333333</v>
      </c>
      <c r="J97" s="15" t="n">
        <f aca="false">Motore_Operativo!CD97</f>
        <v>14240.1041666667</v>
      </c>
      <c r="K97" s="15" t="n">
        <f aca="false">Motore_Operativo!CF97</f>
        <v>416.666666666667</v>
      </c>
      <c r="L97" s="15" t="n">
        <f aca="false">SUM(INDEX($K$65:$K$124,MAX(1,33-Parametri_v3!$C$59+1)):K97)/Parametri_v3!$C$59</f>
        <v>326.388888888889</v>
      </c>
      <c r="M97" s="15" t="n">
        <f aca="false">J97-L97</f>
        <v>13913.7152777778</v>
      </c>
      <c r="N97" s="15" t="n">
        <f aca="false">0</f>
        <v>0</v>
      </c>
      <c r="O97" s="15" t="n">
        <f aca="false">0</f>
        <v>0</v>
      </c>
      <c r="P97" s="15" t="n">
        <f aca="false">M97+N97-O97</f>
        <v>13913.7152777778</v>
      </c>
      <c r="Q97" s="15" t="n">
        <f aca="false">SUM(P89:P97)+Parametri_v3!$C$56*9/12</f>
        <v>125640.104166667</v>
      </c>
      <c r="R97" s="15" t="n">
        <f aca="false">Z88</f>
        <v>0</v>
      </c>
      <c r="S97" s="15" t="n">
        <f aca="false">AA88</f>
        <v>0</v>
      </c>
      <c r="T97" s="15" t="n">
        <f aca="false">MIN(R97,MAX(0,Q97))</f>
        <v>0</v>
      </c>
      <c r="U97" s="15" t="n">
        <f aca="false">MIN(S97,MAX(0,Q97-T97)*Parametri_v3!$C$42)</f>
        <v>0</v>
      </c>
      <c r="V97" s="15" t="n">
        <f aca="false">MAX(0,Q97-T97-U97)*Ipotesi!$C$92</f>
        <v>30153.625</v>
      </c>
      <c r="W97" s="15" t="n">
        <f aca="false">MAX(0,SUM(M89:M97)+Parametri_v3!$C$57*9/12)*Ipotesi!$C$93</f>
        <v>4899.9640625</v>
      </c>
      <c r="X97" s="15" t="n">
        <f aca="false">V97+W97-(V96+W96)</f>
        <v>3881.9265625</v>
      </c>
      <c r="Y97" s="15" t="n">
        <f aca="false">P97-X97</f>
        <v>10031.7887152778</v>
      </c>
      <c r="Z97" s="15" t="n">
        <f aca="false">R97-T97+IF(AND(Parametri_v3!$C$40=1,D97-YEAR(Parametri_v3!$C$50)&lt;Parametri_v3!$C$41),MAX(0,-Q97),0)</f>
        <v>0</v>
      </c>
      <c r="AA97" s="15" t="n">
        <f aca="false">S97-U97+IF(AND(Parametri_v3!$C$40=1,D97-YEAR(Parametri_v3!$C$50)&lt;Parametri_v3!$C$41),0,MAX(0,-Q97))</f>
        <v>0</v>
      </c>
      <c r="AB97" s="15" t="n">
        <f aca="false">F97*(1+Parametri_v3!$C$26)</f>
        <v>73810</v>
      </c>
      <c r="AC97" s="15" t="n">
        <f aca="false">(IF(33-(INT((Motore_Operativo!L97)/30))&lt;1,0,INDEX(Motore_Advisory!$AB$65:$AB$124,MAX(1,33-(INT((Motore_Operativo!L97)/30)))))*(1-(MOD((Motore_Operativo!L97),30)/30))+IF(33-(INT((Motore_Operativo!L97)/30))-1&lt;1,0,INDEX(Motore_Advisory!$AB$65:$AB$124,MAX(1,33-(INT((Motore_Operativo!L97)/30))-1)))*(MOD((Motore_Operativo!L97),30)/30))</f>
        <v>73810</v>
      </c>
      <c r="AD97" s="15" t="n">
        <f aca="false">(AD96)+AB97-AC97</f>
        <v>221430</v>
      </c>
      <c r="AE97" s="15" t="n">
        <f aca="false">Motore_Operativo!BH97*(1+Parametri_v3!$C$26)</f>
        <v>7381</v>
      </c>
      <c r="AF97" s="15" t="n">
        <f aca="false">(IF(33-(INT((Parametri_v3!$C$29)/30))&lt;1,0,INDEX(Motore_Operativo!$BH$65:$BH$124,MAX(1,33-(INT((Parametri_v3!$C$29)/30)))))*(1-(MOD((Parametri_v3!$C$29),30)/30))+IF(33-(INT((Parametri_v3!$C$29)/30))-1&lt;1,0,INDEX(Motore_Operativo!$BH$65:$BH$124,MAX(1,33-(INT((Parametri_v3!$C$29)/30))-1)))*(MOD((Parametri_v3!$C$29),30)/30))*(1+Parametri_v3!$C$26)</f>
        <v>7381</v>
      </c>
      <c r="AG97" s="15" t="n">
        <f aca="false">(AG96)+AE97-AF97</f>
        <v>7381</v>
      </c>
      <c r="AH97" s="15" t="n">
        <f aca="false">(Motore_Operativo!CK97)*(1+Parametri_v3!$C$28*Parametri_v3!$C$26)</f>
        <v>17395.98</v>
      </c>
      <c r="AI97" s="15" t="n">
        <f aca="false">(IF(33-(INT((Ipotesi!$C$91)/30))&lt;1,0,INDEX(Motore_Advisory!$AH$65:$AH$124,MAX(1,33-(INT((Ipotesi!$C$91)/30)))))*(1-(MOD((Ipotesi!$C$91),30)/30))+IF(33-(INT((Ipotesi!$C$91)/30))-1&lt;1,0,INDEX(Motore_Advisory!$AH$65:$AH$124,MAX(1,33-(INT((Ipotesi!$C$91)/30))-1)))*(MOD((Ipotesi!$C$91),30)/30))</f>
        <v>17395.98</v>
      </c>
      <c r="AJ97" s="15" t="n">
        <f aca="false">(AJ96)+AH97-AI97</f>
        <v>34791.96</v>
      </c>
      <c r="AK97" s="15" t="n">
        <f aca="false">(F97- Motore_Operativo!BH97-(Motore_Operativo!CK97)*Parametri_v3!$C$28-Motore_Operativo!CF97)*Parametri_v3!$C$26</f>
        <v>9283.85333333333</v>
      </c>
      <c r="AL97" s="15" t="n">
        <f aca="false">MAX(0,(AM96))</f>
        <v>9283.85333333333</v>
      </c>
      <c r="AM97" s="15" t="n">
        <f aca="false">(AM96)+AK97-AL97</f>
        <v>9283.85333333333</v>
      </c>
      <c r="AN97" s="15" t="n">
        <f aca="false">SUM(X77:X88)</f>
        <v>16530.1714788732</v>
      </c>
      <c r="AO97" s="15" t="n">
        <f aca="false">SUM(AP77:AP88)</f>
        <v>13562.3123684211</v>
      </c>
      <c r="AP97" s="15" t="n">
        <f aca="false">MAX(0,AN97)*IF(9=Parametri_v3!$C$43,Parametri_v3!$C$45,IF(9=Parametri_v3!$C$44,1-Parametri_v3!$C$45,0))</f>
        <v>0</v>
      </c>
      <c r="AQ97" s="15" t="n">
        <f aca="false">MAX(0,AP97+IF(9=Parametri_v3!$C$43,MAX(0,AN97-AO97),0)-MAX(0,-(AR96)))</f>
        <v>0</v>
      </c>
      <c r="AR97" s="15" t="n">
        <f aca="false">(AR96)+X97-AQ97</f>
        <v>28441.5204709507</v>
      </c>
      <c r="AS97" s="15" t="n">
        <f aca="false">Motore_Operativo!AC97-AT97+AU97</f>
        <v>24146.5260416667</v>
      </c>
      <c r="AT97" s="15" t="n">
        <f aca="false">Motore_Operativo!CI97</f>
        <v>1270.86979166667</v>
      </c>
      <c r="AU97" s="15" t="n">
        <f aca="false">MIN(MAX(0,(AV96)+AT97),Parametri_v3!$C$61/12)</f>
        <v>0</v>
      </c>
      <c r="AV97" s="15" t="n">
        <f aca="false">(AV96)+AT97-AU97</f>
        <v>24166.828125</v>
      </c>
      <c r="AW97" s="15" t="n">
        <f aca="false">IF(AND(Motore_Operativo!C97=Finanziamenti!$D$7,Finanziamenti!$F$7=1),Finanziamenti!$C$7,0)</f>
        <v>0</v>
      </c>
      <c r="AX97" s="15" t="n">
        <f aca="false">0</f>
        <v>0</v>
      </c>
      <c r="AY97" s="15" t="n">
        <f aca="false">IF(9=Parametri_v3!$C$33,IF(BV97&lt;MIN(12,$B97-1),0,MIN(MAX(0,SUM(Y77:Y88))*Ipotesi!$C$94,MAX(0,(BM88)-(BO96)-BP97),MAX(0,BD97-Parametri_v3!$C$31))),0)</f>
        <v>0</v>
      </c>
      <c r="AZ97" s="15" t="n">
        <f aca="false">0</f>
        <v>0</v>
      </c>
      <c r="BA97" s="15" t="n">
        <f aca="false">0</f>
        <v>0</v>
      </c>
      <c r="BB97" s="15" t="n">
        <f aca="false">0</f>
        <v>0</v>
      </c>
      <c r="BC97" s="15" t="n">
        <f aca="false">0</f>
        <v>0</v>
      </c>
      <c r="BD97" s="15" t="n">
        <f aca="false">(BH96)+AC97-AF97-AI97-AS97-K97*(1+Parametri_v3!$C$26)-AL97-AQ97-O97+AW97+AX97+AZ97+BA97-BB97</f>
        <v>64202.8360079997</v>
      </c>
      <c r="BE97" s="15" t="n">
        <f aca="false">0</f>
        <v>0</v>
      </c>
      <c r="BF97" s="15" t="n">
        <f aca="false">0</f>
        <v>0</v>
      </c>
      <c r="BG97" s="15" t="n">
        <f aca="false">0</f>
        <v>0</v>
      </c>
      <c r="BH97" s="15" t="n">
        <f aca="false">BD97+BE97-BF97-AY97</f>
        <v>64202.8360079997</v>
      </c>
      <c r="BI97" s="15" t="n">
        <f aca="false">MAX(0,Parametri_v3!$C$31-BH97)</f>
        <v>0</v>
      </c>
      <c r="BJ97" s="15" t="n">
        <f aca="false">(BJ96)+K97</f>
        <v>11750</v>
      </c>
      <c r="BK97" s="15" t="n">
        <f aca="false">(BK96)+L97</f>
        <v>4965.27777777778</v>
      </c>
      <c r="BL97" s="15" t="n">
        <f aca="false">BJ97-BK97</f>
        <v>6784.72222222222</v>
      </c>
      <c r="BM97" s="15" t="n">
        <f aca="false">(BM96)+Y97</f>
        <v>168352.396300938</v>
      </c>
      <c r="BN97" s="15" t="n">
        <f aca="false">(BN96)+AW97+AX97+AZ97</f>
        <v>20000</v>
      </c>
      <c r="BO97" s="15" t="n">
        <f aca="false">(BO96)+AY97</f>
        <v>0</v>
      </c>
      <c r="BP97" s="15" t="n">
        <f aca="false">MIN(Parametri_v3!$C$36*Parametri_v3!$C$35,(BP96)+IF(9=1,MAX(0,SUM(Y77:Y88))*Parametri_v3!$C$34,0))</f>
        <v>2000</v>
      </c>
      <c r="BQ97" s="15" t="n">
        <f aca="false">BN97+BM97-BO97</f>
        <v>188352.396300938</v>
      </c>
      <c r="BR97" s="15" t="n">
        <f aca="false">BH97+AD97+BL97+MAX(0,-AM97)+MAX(0,-AR97)</f>
        <v>292417.558230222</v>
      </c>
      <c r="BS97" s="15" t="n">
        <f aca="false">AJ97+AV97+MAX(0,AM97)+MAX(0,AR97)+BC97+BG97+BQ97+AG97</f>
        <v>292417.558230222</v>
      </c>
      <c r="BT97" s="15" t="n">
        <f aca="false">BR97-BS97</f>
        <v>0</v>
      </c>
      <c r="BU97" s="15" t="n">
        <f aca="false">BH97-(BD97+BE97-BF97-AY97)</f>
        <v>0</v>
      </c>
      <c r="BV97" s="15" t="n">
        <f aca="false">IF(BH96&lt;Parametri_v3!$C$31,0,BV96+1)</f>
        <v>4</v>
      </c>
    </row>
    <row r="98" customFormat="false" ht="18" hidden="false" customHeight="true" outlineLevel="0" collapsed="false">
      <c r="A98" s="68" t="n">
        <f aca="false">2</f>
        <v>2</v>
      </c>
      <c r="B98" s="68" t="n">
        <f aca="false">34</f>
        <v>34</v>
      </c>
      <c r="C98" s="18" t="n">
        <f aca="false">Motore_Operativo!C98</f>
        <v>47392</v>
      </c>
      <c r="D98" s="68" t="n">
        <f aca="false">Motore_Operativo!D98</f>
        <v>2029</v>
      </c>
      <c r="E98" s="68" t="n">
        <f aca="false">Motore_Operativo!E98</f>
        <v>10</v>
      </c>
      <c r="F98" s="15" t="n">
        <f aca="false">Motore_Operativo!AM98</f>
        <v>60500</v>
      </c>
      <c r="G98" s="15" t="n">
        <f aca="false">Motore_Operativo!BH98</f>
        <v>6050</v>
      </c>
      <c r="H98" s="15" t="n">
        <f aca="false">Motore_Operativo!AM98</f>
        <v>60500</v>
      </c>
      <c r="I98" s="15" t="n">
        <f aca="false">Motore_Operativo!CB98</f>
        <v>46259.8958333333</v>
      </c>
      <c r="J98" s="15" t="n">
        <f aca="false">Motore_Operativo!CD98</f>
        <v>14240.1041666667</v>
      </c>
      <c r="K98" s="15" t="n">
        <f aca="false">Motore_Operativo!CF98</f>
        <v>416.666666666667</v>
      </c>
      <c r="L98" s="15" t="n">
        <f aca="false">SUM(INDEX($K$65:$K$124,MAX(1,34-Parametri_v3!$C$59+1)):K98)/Parametri_v3!$C$59</f>
        <v>337.962962962963</v>
      </c>
      <c r="M98" s="15" t="n">
        <f aca="false">J98-L98</f>
        <v>13902.1412037037</v>
      </c>
      <c r="N98" s="15" t="n">
        <f aca="false">0</f>
        <v>0</v>
      </c>
      <c r="O98" s="15" t="n">
        <f aca="false">0</f>
        <v>0</v>
      </c>
      <c r="P98" s="15" t="n">
        <f aca="false">M98+N98-O98</f>
        <v>13902.1412037037</v>
      </c>
      <c r="Q98" s="15" t="n">
        <f aca="false">SUM(P89:P98)+Parametri_v3!$C$56*10/12</f>
        <v>139542.24537037</v>
      </c>
      <c r="R98" s="15" t="n">
        <f aca="false">Z88</f>
        <v>0</v>
      </c>
      <c r="S98" s="15" t="n">
        <f aca="false">AA88</f>
        <v>0</v>
      </c>
      <c r="T98" s="15" t="n">
        <f aca="false">MIN(R98,MAX(0,Q98))</f>
        <v>0</v>
      </c>
      <c r="U98" s="15" t="n">
        <f aca="false">MIN(S98,MAX(0,Q98-T98)*Parametri_v3!$C$42)</f>
        <v>0</v>
      </c>
      <c r="V98" s="15" t="n">
        <f aca="false">MAX(0,Q98-T98-U98)*Ipotesi!$C$92</f>
        <v>33490.1388888889</v>
      </c>
      <c r="W98" s="15" t="n">
        <f aca="false">MAX(0,SUM(M89:M98)+Parametri_v3!$C$57*10/12)*Ipotesi!$C$93</f>
        <v>5442.14756944445</v>
      </c>
      <c r="X98" s="15" t="n">
        <f aca="false">V98+W98-(V97+W97)</f>
        <v>3878.69739583333</v>
      </c>
      <c r="Y98" s="15" t="n">
        <f aca="false">P98-X98</f>
        <v>10023.4438078704</v>
      </c>
      <c r="Z98" s="15" t="n">
        <f aca="false">R98-T98+IF(AND(Parametri_v3!$C$40=1,D98-YEAR(Parametri_v3!$C$50)&lt;Parametri_v3!$C$41),MAX(0,-Q98),0)</f>
        <v>0</v>
      </c>
      <c r="AA98" s="15" t="n">
        <f aca="false">S98-U98+IF(AND(Parametri_v3!$C$40=1,D98-YEAR(Parametri_v3!$C$50)&lt;Parametri_v3!$C$41),0,MAX(0,-Q98))</f>
        <v>0</v>
      </c>
      <c r="AB98" s="15" t="n">
        <f aca="false">F98*(1+Parametri_v3!$C$26)</f>
        <v>73810</v>
      </c>
      <c r="AC98" s="15" t="n">
        <f aca="false">(IF(34-(INT((Motore_Operativo!L98)/30))&lt;1,0,INDEX(Motore_Advisory!$AB$65:$AB$124,MAX(1,34-(INT((Motore_Operativo!L98)/30)))))*(1-(MOD((Motore_Operativo!L98),30)/30))+IF(34-(INT((Motore_Operativo!L98)/30))-1&lt;1,0,INDEX(Motore_Advisory!$AB$65:$AB$124,MAX(1,34-(INT((Motore_Operativo!L98)/30))-1)))*(MOD((Motore_Operativo!L98),30)/30))</f>
        <v>73810</v>
      </c>
      <c r="AD98" s="15" t="n">
        <f aca="false">(AD97)+AB98-AC98</f>
        <v>221430</v>
      </c>
      <c r="AE98" s="15" t="n">
        <f aca="false">Motore_Operativo!BH98*(1+Parametri_v3!$C$26)</f>
        <v>7381</v>
      </c>
      <c r="AF98" s="15" t="n">
        <f aca="false">(IF(34-(INT((Parametri_v3!$C$29)/30))&lt;1,0,INDEX(Motore_Operativo!$BH$65:$BH$124,MAX(1,34-(INT((Parametri_v3!$C$29)/30)))))*(1-(MOD((Parametri_v3!$C$29),30)/30))+IF(34-(INT((Parametri_v3!$C$29)/30))-1&lt;1,0,INDEX(Motore_Operativo!$BH$65:$BH$124,MAX(1,34-(INT((Parametri_v3!$C$29)/30))-1)))*(MOD((Parametri_v3!$C$29),30)/30))*(1+Parametri_v3!$C$26)</f>
        <v>7381</v>
      </c>
      <c r="AG98" s="15" t="n">
        <f aca="false">(AG97)+AE98-AF98</f>
        <v>7381</v>
      </c>
      <c r="AH98" s="15" t="n">
        <f aca="false">(Motore_Operativo!CK98)*(1+Parametri_v3!$C$28*Parametri_v3!$C$26)</f>
        <v>17395.98</v>
      </c>
      <c r="AI98" s="15" t="n">
        <f aca="false">(IF(34-(INT((Ipotesi!$C$91)/30))&lt;1,0,INDEX(Motore_Advisory!$AH$65:$AH$124,MAX(1,34-(INT((Ipotesi!$C$91)/30)))))*(1-(MOD((Ipotesi!$C$91),30)/30))+IF(34-(INT((Ipotesi!$C$91)/30))-1&lt;1,0,INDEX(Motore_Advisory!$AH$65:$AH$124,MAX(1,34-(INT((Ipotesi!$C$91)/30))-1)))*(MOD((Ipotesi!$C$91),30)/30))</f>
        <v>17395.98</v>
      </c>
      <c r="AJ98" s="15" t="n">
        <f aca="false">(AJ97)+AH98-AI98</f>
        <v>34791.96</v>
      </c>
      <c r="AK98" s="15" t="n">
        <f aca="false">(F98- Motore_Operativo!BH98-(Motore_Operativo!CK98)*Parametri_v3!$C$28-Motore_Operativo!CF98)*Parametri_v3!$C$26</f>
        <v>9283.85333333333</v>
      </c>
      <c r="AL98" s="15" t="n">
        <f aca="false">MAX(0,(AM97))</f>
        <v>9283.85333333333</v>
      </c>
      <c r="AM98" s="15" t="n">
        <f aca="false">(AM97)+AK98-AL98</f>
        <v>9283.85333333333</v>
      </c>
      <c r="AN98" s="15" t="n">
        <f aca="false">SUM(X77:X88)</f>
        <v>16530.1714788732</v>
      </c>
      <c r="AO98" s="15" t="n">
        <f aca="false">SUM(AP77:AP88)</f>
        <v>13562.3123684211</v>
      </c>
      <c r="AP98" s="15" t="n">
        <f aca="false">MAX(0,AN98)*IF(10=Parametri_v3!$C$43,Parametri_v3!$C$45,IF(10=Parametri_v3!$C$44,1-Parametri_v3!$C$45,0))</f>
        <v>0</v>
      </c>
      <c r="AQ98" s="15" t="n">
        <f aca="false">MAX(0,AP98+IF(10=Parametri_v3!$C$43,MAX(0,AN98-AO98),0)-MAX(0,-(AR97)))</f>
        <v>0</v>
      </c>
      <c r="AR98" s="15" t="n">
        <f aca="false">(AR97)+X98-AQ98</f>
        <v>32320.2178667841</v>
      </c>
      <c r="AS98" s="15" t="n">
        <f aca="false">Motore_Operativo!AC98-AT98+AU98</f>
        <v>24146.5260416667</v>
      </c>
      <c r="AT98" s="15" t="n">
        <f aca="false">Motore_Operativo!CI98</f>
        <v>1270.86979166667</v>
      </c>
      <c r="AU98" s="15" t="n">
        <f aca="false">MIN(MAX(0,(AV97)+AT98),Parametri_v3!$C$61/12)</f>
        <v>0</v>
      </c>
      <c r="AV98" s="15" t="n">
        <f aca="false">(AV97)+AT98-AU98</f>
        <v>25437.6979166667</v>
      </c>
      <c r="AW98" s="15" t="n">
        <f aca="false">IF(AND(Motore_Operativo!C98=Finanziamenti!$D$7,Finanziamenti!$F$7=1),Finanziamenti!$C$7,0)</f>
        <v>0</v>
      </c>
      <c r="AX98" s="15" t="n">
        <f aca="false">0</f>
        <v>0</v>
      </c>
      <c r="AY98" s="15" t="n">
        <f aca="false">IF(10=Parametri_v3!$C$33,IF(BV98&lt;MIN(12,$B98-1),0,MIN(MAX(0,SUM(Y77:Y88))*Ipotesi!$C$94,MAX(0,(BM88)-(BO97)-BP98),MAX(0,BD98-Parametri_v3!$C$31))),0)</f>
        <v>0</v>
      </c>
      <c r="AZ98" s="15" t="n">
        <f aca="false">0</f>
        <v>0</v>
      </c>
      <c r="BA98" s="15" t="n">
        <f aca="false">0</f>
        <v>0</v>
      </c>
      <c r="BB98" s="15" t="n">
        <f aca="false">0</f>
        <v>0</v>
      </c>
      <c r="BC98" s="15" t="n">
        <f aca="false">0</f>
        <v>0</v>
      </c>
      <c r="BD98" s="15" t="n">
        <f aca="false">(BH97)+AC98-AF98-AI98-AS98-K98*(1+Parametri_v3!$C$26)-AL98-AQ98-O98+AW98+AX98+AZ98+BA98-BB98</f>
        <v>79297.1432996664</v>
      </c>
      <c r="BE98" s="15" t="n">
        <f aca="false">0</f>
        <v>0</v>
      </c>
      <c r="BF98" s="15" t="n">
        <f aca="false">0</f>
        <v>0</v>
      </c>
      <c r="BG98" s="15" t="n">
        <f aca="false">0</f>
        <v>0</v>
      </c>
      <c r="BH98" s="15" t="n">
        <f aca="false">BD98+BE98-BF98-AY98</f>
        <v>79297.1432996664</v>
      </c>
      <c r="BI98" s="15" t="n">
        <f aca="false">MAX(0,Parametri_v3!$C$31-BH98)</f>
        <v>0</v>
      </c>
      <c r="BJ98" s="15" t="n">
        <f aca="false">(BJ97)+K98</f>
        <v>12166.6666666667</v>
      </c>
      <c r="BK98" s="15" t="n">
        <f aca="false">(BK97)+L98</f>
        <v>5303.24074074074</v>
      </c>
      <c r="BL98" s="15" t="n">
        <f aca="false">BJ98-BK98</f>
        <v>6863.42592592592</v>
      </c>
      <c r="BM98" s="15" t="n">
        <f aca="false">(BM97)+Y98</f>
        <v>178375.840108808</v>
      </c>
      <c r="BN98" s="15" t="n">
        <f aca="false">(BN97)+AW98+AX98+AZ98</f>
        <v>20000</v>
      </c>
      <c r="BO98" s="15" t="n">
        <f aca="false">(BO97)+AY98</f>
        <v>0</v>
      </c>
      <c r="BP98" s="15" t="n">
        <f aca="false">MIN(Parametri_v3!$C$36*Parametri_v3!$C$35,(BP97)+IF(10=1,MAX(0,SUM(Y77:Y88))*Parametri_v3!$C$34,0))</f>
        <v>2000</v>
      </c>
      <c r="BQ98" s="15" t="n">
        <f aca="false">BN98+BM98-BO98</f>
        <v>198375.840108808</v>
      </c>
      <c r="BR98" s="15" t="n">
        <f aca="false">BH98+AD98+BL98+MAX(0,-AM98)+MAX(0,-AR98)</f>
        <v>307590.569225592</v>
      </c>
      <c r="BS98" s="15" t="n">
        <f aca="false">AJ98+AV98+MAX(0,AM98)+MAX(0,AR98)+BC98+BG98+BQ98+AG98</f>
        <v>307590.569225592</v>
      </c>
      <c r="BT98" s="15" t="n">
        <f aca="false">BR98-BS98</f>
        <v>0</v>
      </c>
      <c r="BU98" s="15" t="n">
        <f aca="false">BH98-(BD98+BE98-BF98-AY98)</f>
        <v>0</v>
      </c>
      <c r="BV98" s="15" t="n">
        <f aca="false">IF(BH97&lt;Parametri_v3!$C$31,0,BV97+1)</f>
        <v>5</v>
      </c>
    </row>
    <row r="99" customFormat="false" ht="18" hidden="false" customHeight="true" outlineLevel="0" collapsed="false">
      <c r="A99" s="68" t="n">
        <f aca="false">2</f>
        <v>2</v>
      </c>
      <c r="B99" s="68" t="n">
        <f aca="false">35</f>
        <v>35</v>
      </c>
      <c r="C99" s="18" t="n">
        <f aca="false">Motore_Operativo!C99</f>
        <v>47423</v>
      </c>
      <c r="D99" s="68" t="n">
        <f aca="false">Motore_Operativo!D99</f>
        <v>2029</v>
      </c>
      <c r="E99" s="68" t="n">
        <f aca="false">Motore_Operativo!E99</f>
        <v>11</v>
      </c>
      <c r="F99" s="15" t="n">
        <f aca="false">Motore_Operativo!AM99</f>
        <v>60500</v>
      </c>
      <c r="G99" s="15" t="n">
        <f aca="false">Motore_Operativo!BH99</f>
        <v>6050</v>
      </c>
      <c r="H99" s="15" t="n">
        <f aca="false">Motore_Operativo!AM99</f>
        <v>60500</v>
      </c>
      <c r="I99" s="15" t="n">
        <f aca="false">Motore_Operativo!CB99</f>
        <v>46259.8958333333</v>
      </c>
      <c r="J99" s="15" t="n">
        <f aca="false">Motore_Operativo!CD99</f>
        <v>14240.1041666667</v>
      </c>
      <c r="K99" s="15" t="n">
        <f aca="false">Motore_Operativo!CF99</f>
        <v>416.666666666667</v>
      </c>
      <c r="L99" s="15" t="n">
        <f aca="false">SUM(INDEX($K$65:$K$124,MAX(1,35-Parametri_v3!$C$59+1)):K99)/Parametri_v3!$C$59</f>
        <v>349.537037037037</v>
      </c>
      <c r="M99" s="15" t="n">
        <f aca="false">J99-L99</f>
        <v>13890.5671296296</v>
      </c>
      <c r="N99" s="15" t="n">
        <f aca="false">0</f>
        <v>0</v>
      </c>
      <c r="O99" s="15" t="n">
        <f aca="false">0</f>
        <v>0</v>
      </c>
      <c r="P99" s="15" t="n">
        <f aca="false">M99+N99-O99</f>
        <v>13890.5671296296</v>
      </c>
      <c r="Q99" s="15" t="n">
        <f aca="false">SUM(P89:P99)+Parametri_v3!$C$56*11/12</f>
        <v>153432.8125</v>
      </c>
      <c r="R99" s="15" t="n">
        <f aca="false">Z88</f>
        <v>0</v>
      </c>
      <c r="S99" s="15" t="n">
        <f aca="false">AA88</f>
        <v>0</v>
      </c>
      <c r="T99" s="15" t="n">
        <f aca="false">MIN(R99,MAX(0,Q99))</f>
        <v>0</v>
      </c>
      <c r="U99" s="15" t="n">
        <f aca="false">MIN(S99,MAX(0,Q99-T99)*Parametri_v3!$C$42)</f>
        <v>0</v>
      </c>
      <c r="V99" s="15" t="n">
        <f aca="false">MAX(0,Q99-T99-U99)*Ipotesi!$C$92</f>
        <v>36823.875</v>
      </c>
      <c r="W99" s="15" t="n">
        <f aca="false">MAX(0,SUM(M89:M99)+Parametri_v3!$C$57*11/12)*Ipotesi!$C$93</f>
        <v>5983.8796875</v>
      </c>
      <c r="X99" s="15" t="n">
        <f aca="false">V99+W99-(V98+W98)</f>
        <v>3875.46822916668</v>
      </c>
      <c r="Y99" s="15" t="n">
        <f aca="false">P99-X99</f>
        <v>10015.098900463</v>
      </c>
      <c r="Z99" s="15" t="n">
        <f aca="false">R99-T99+IF(AND(Parametri_v3!$C$40=1,D99-YEAR(Parametri_v3!$C$50)&lt;Parametri_v3!$C$41),MAX(0,-Q99),0)</f>
        <v>0</v>
      </c>
      <c r="AA99" s="15" t="n">
        <f aca="false">S99-U99+IF(AND(Parametri_v3!$C$40=1,D99-YEAR(Parametri_v3!$C$50)&lt;Parametri_v3!$C$41),0,MAX(0,-Q99))</f>
        <v>0</v>
      </c>
      <c r="AB99" s="15" t="n">
        <f aca="false">F99*(1+Parametri_v3!$C$26)</f>
        <v>73810</v>
      </c>
      <c r="AC99" s="15" t="n">
        <f aca="false">(IF(35-(INT((Motore_Operativo!L99)/30))&lt;1,0,INDEX(Motore_Advisory!$AB$65:$AB$124,MAX(1,35-(INT((Motore_Operativo!L99)/30)))))*(1-(MOD((Motore_Operativo!L99),30)/30))+IF(35-(INT((Motore_Operativo!L99)/30))-1&lt;1,0,INDEX(Motore_Advisory!$AB$65:$AB$124,MAX(1,35-(INT((Motore_Operativo!L99)/30))-1)))*(MOD((Motore_Operativo!L99),30)/30))</f>
        <v>73810</v>
      </c>
      <c r="AD99" s="15" t="n">
        <f aca="false">(AD98)+AB99-AC99</f>
        <v>221430</v>
      </c>
      <c r="AE99" s="15" t="n">
        <f aca="false">Motore_Operativo!BH99*(1+Parametri_v3!$C$26)</f>
        <v>7381</v>
      </c>
      <c r="AF99" s="15" t="n">
        <f aca="false">(IF(35-(INT((Parametri_v3!$C$29)/30))&lt;1,0,INDEX(Motore_Operativo!$BH$65:$BH$124,MAX(1,35-(INT((Parametri_v3!$C$29)/30)))))*(1-(MOD((Parametri_v3!$C$29),30)/30))+IF(35-(INT((Parametri_v3!$C$29)/30))-1&lt;1,0,INDEX(Motore_Operativo!$BH$65:$BH$124,MAX(1,35-(INT((Parametri_v3!$C$29)/30))-1)))*(MOD((Parametri_v3!$C$29),30)/30))*(1+Parametri_v3!$C$26)</f>
        <v>7381</v>
      </c>
      <c r="AG99" s="15" t="n">
        <f aca="false">(AG98)+AE99-AF99</f>
        <v>7381</v>
      </c>
      <c r="AH99" s="15" t="n">
        <f aca="false">(Motore_Operativo!CK99)*(1+Parametri_v3!$C$28*Parametri_v3!$C$26)</f>
        <v>17395.98</v>
      </c>
      <c r="AI99" s="15" t="n">
        <f aca="false">(IF(35-(INT((Ipotesi!$C$91)/30))&lt;1,0,INDEX(Motore_Advisory!$AH$65:$AH$124,MAX(1,35-(INT((Ipotesi!$C$91)/30)))))*(1-(MOD((Ipotesi!$C$91),30)/30))+IF(35-(INT((Ipotesi!$C$91)/30))-1&lt;1,0,INDEX(Motore_Advisory!$AH$65:$AH$124,MAX(1,35-(INT((Ipotesi!$C$91)/30))-1)))*(MOD((Ipotesi!$C$91),30)/30))</f>
        <v>17395.98</v>
      </c>
      <c r="AJ99" s="15" t="n">
        <f aca="false">(AJ98)+AH99-AI99</f>
        <v>34791.96</v>
      </c>
      <c r="AK99" s="15" t="n">
        <f aca="false">(F99- Motore_Operativo!BH99-(Motore_Operativo!CK99)*Parametri_v3!$C$28-Motore_Operativo!CF99)*Parametri_v3!$C$26</f>
        <v>9283.85333333333</v>
      </c>
      <c r="AL99" s="15" t="n">
        <f aca="false">MAX(0,(AM98))</f>
        <v>9283.85333333333</v>
      </c>
      <c r="AM99" s="15" t="n">
        <f aca="false">(AM98)+AK99-AL99</f>
        <v>9283.85333333333</v>
      </c>
      <c r="AN99" s="15" t="n">
        <f aca="false">SUM(X77:X88)</f>
        <v>16530.1714788732</v>
      </c>
      <c r="AO99" s="15" t="n">
        <f aca="false">SUM(AP77:AP88)</f>
        <v>13562.3123684211</v>
      </c>
      <c r="AP99" s="15" t="n">
        <f aca="false">MAX(0,AN99)*IF(11=Parametri_v3!$C$43,Parametri_v3!$C$45,IF(11=Parametri_v3!$C$44,1-Parametri_v3!$C$45,0))</f>
        <v>9918.10288732394</v>
      </c>
      <c r="AQ99" s="15" t="n">
        <f aca="false">MAX(0,AP99+IF(11=Parametri_v3!$C$43,MAX(0,AN99-AO99),0)-MAX(0,-(AR98)))</f>
        <v>9918.10288732394</v>
      </c>
      <c r="AR99" s="15" t="n">
        <f aca="false">(AR98)+X99-AQ99</f>
        <v>26277.5832086268</v>
      </c>
      <c r="AS99" s="15" t="n">
        <f aca="false">Motore_Operativo!AC99-AT99+AU99</f>
        <v>24146.5260416667</v>
      </c>
      <c r="AT99" s="15" t="n">
        <f aca="false">Motore_Operativo!CI99</f>
        <v>1270.86979166667</v>
      </c>
      <c r="AU99" s="15" t="n">
        <f aca="false">MIN(MAX(0,(AV98)+AT99),Parametri_v3!$C$61/12)</f>
        <v>0</v>
      </c>
      <c r="AV99" s="15" t="n">
        <f aca="false">(AV98)+AT99-AU99</f>
        <v>26708.5677083333</v>
      </c>
      <c r="AW99" s="15" t="n">
        <f aca="false">IF(AND(Motore_Operativo!C99=Finanziamenti!$D$7,Finanziamenti!$F$7=1),Finanziamenti!$C$7,0)</f>
        <v>0</v>
      </c>
      <c r="AX99" s="15" t="n">
        <f aca="false">0</f>
        <v>0</v>
      </c>
      <c r="AY99" s="15" t="n">
        <f aca="false">IF(11=Parametri_v3!$C$33,IF(BV99&lt;MIN(12,$B99-1),0,MIN(MAX(0,SUM(Y77:Y88))*Ipotesi!$C$94,MAX(0,(BM88)-(BO98)-BP99),MAX(0,BD99-Parametri_v3!$C$31))),0)</f>
        <v>0</v>
      </c>
      <c r="AZ99" s="15" t="n">
        <f aca="false">0</f>
        <v>0</v>
      </c>
      <c r="BA99" s="15" t="n">
        <f aca="false">0</f>
        <v>0</v>
      </c>
      <c r="BB99" s="15" t="n">
        <f aca="false">0</f>
        <v>0</v>
      </c>
      <c r="BC99" s="15" t="n">
        <f aca="false">0</f>
        <v>0</v>
      </c>
      <c r="BD99" s="15" t="n">
        <f aca="false">(BH98)+AC99-AF99-AI99-AS99-K99*(1+Parametri_v3!$C$26)-AL99-AQ99-O99+AW99+AX99+AZ99+BA99-BB99</f>
        <v>84473.3477040091</v>
      </c>
      <c r="BE99" s="15" t="n">
        <f aca="false">0</f>
        <v>0</v>
      </c>
      <c r="BF99" s="15" t="n">
        <f aca="false">0</f>
        <v>0</v>
      </c>
      <c r="BG99" s="15" t="n">
        <f aca="false">0</f>
        <v>0</v>
      </c>
      <c r="BH99" s="15" t="n">
        <f aca="false">BD99+BE99-BF99-AY99</f>
        <v>84473.3477040091</v>
      </c>
      <c r="BI99" s="15" t="n">
        <f aca="false">MAX(0,Parametri_v3!$C$31-BH99)</f>
        <v>0</v>
      </c>
      <c r="BJ99" s="15" t="n">
        <f aca="false">(BJ98)+K99</f>
        <v>12583.3333333333</v>
      </c>
      <c r="BK99" s="15" t="n">
        <f aca="false">(BK98)+L99</f>
        <v>5652.77777777778</v>
      </c>
      <c r="BL99" s="15" t="n">
        <f aca="false">BJ99-BK99</f>
        <v>6930.55555555555</v>
      </c>
      <c r="BM99" s="15" t="n">
        <f aca="false">(BM98)+Y99</f>
        <v>188390.939009271</v>
      </c>
      <c r="BN99" s="15" t="n">
        <f aca="false">(BN98)+AW99+AX99+AZ99</f>
        <v>20000</v>
      </c>
      <c r="BO99" s="15" t="n">
        <f aca="false">(BO98)+AY99</f>
        <v>0</v>
      </c>
      <c r="BP99" s="15" t="n">
        <f aca="false">MIN(Parametri_v3!$C$36*Parametri_v3!$C$35,(BP98)+IF(11=1,MAX(0,SUM(Y77:Y88))*Parametri_v3!$C$34,0))</f>
        <v>2000</v>
      </c>
      <c r="BQ99" s="15" t="n">
        <f aca="false">BN99+BM99-BO99</f>
        <v>208390.939009271</v>
      </c>
      <c r="BR99" s="15" t="n">
        <f aca="false">BH99+AD99+BL99+MAX(0,-AM99)+MAX(0,-AR99)</f>
        <v>312833.903259565</v>
      </c>
      <c r="BS99" s="15" t="n">
        <f aca="false">AJ99+AV99+MAX(0,AM99)+MAX(0,AR99)+BC99+BG99+BQ99+AG99</f>
        <v>312833.903259565</v>
      </c>
      <c r="BT99" s="15" t="n">
        <f aca="false">BR99-BS99</f>
        <v>0</v>
      </c>
      <c r="BU99" s="15" t="n">
        <f aca="false">BH99-(BD99+BE99-BF99-AY99)</f>
        <v>0</v>
      </c>
      <c r="BV99" s="15" t="n">
        <f aca="false">IF(BH98&lt;Parametri_v3!$C$31,0,BV98+1)</f>
        <v>6</v>
      </c>
    </row>
    <row r="100" customFormat="false" ht="18" hidden="false" customHeight="true" outlineLevel="0" collapsed="false">
      <c r="A100" s="68" t="n">
        <f aca="false">2</f>
        <v>2</v>
      </c>
      <c r="B100" s="68" t="n">
        <f aca="false">36</f>
        <v>36</v>
      </c>
      <c r="C100" s="18" t="n">
        <f aca="false">Motore_Operativo!C100</f>
        <v>47453</v>
      </c>
      <c r="D100" s="68" t="n">
        <f aca="false">Motore_Operativo!D100</f>
        <v>2029</v>
      </c>
      <c r="E100" s="68" t="n">
        <f aca="false">Motore_Operativo!E100</f>
        <v>12</v>
      </c>
      <c r="F100" s="15" t="n">
        <f aca="false">Motore_Operativo!AM100</f>
        <v>60500</v>
      </c>
      <c r="G100" s="15" t="n">
        <f aca="false">Motore_Operativo!BH100</f>
        <v>6050</v>
      </c>
      <c r="H100" s="15" t="n">
        <f aca="false">Motore_Operativo!AM100</f>
        <v>60500</v>
      </c>
      <c r="I100" s="15" t="n">
        <f aca="false">Motore_Operativo!CB100</f>
        <v>46259.8958333333</v>
      </c>
      <c r="J100" s="15" t="n">
        <f aca="false">Motore_Operativo!CD100</f>
        <v>14240.1041666667</v>
      </c>
      <c r="K100" s="15" t="n">
        <f aca="false">Motore_Operativo!CF100</f>
        <v>416.666666666667</v>
      </c>
      <c r="L100" s="15" t="n">
        <f aca="false">SUM(INDEX($K$65:$K$124,MAX(1,36-Parametri_v3!$C$59+1)):K100)/Parametri_v3!$C$59</f>
        <v>361.111111111111</v>
      </c>
      <c r="M100" s="15" t="n">
        <f aca="false">J100-L100</f>
        <v>13878.9930555556</v>
      </c>
      <c r="N100" s="15" t="n">
        <f aca="false">0</f>
        <v>0</v>
      </c>
      <c r="O100" s="15" t="n">
        <f aca="false">0</f>
        <v>0</v>
      </c>
      <c r="P100" s="15" t="n">
        <f aca="false">M100+N100-O100</f>
        <v>13878.9930555556</v>
      </c>
      <c r="Q100" s="15" t="n">
        <f aca="false">SUM(P89:P100)+Parametri_v3!$C$56*12/12</f>
        <v>167311.805555556</v>
      </c>
      <c r="R100" s="15" t="n">
        <f aca="false">Z88</f>
        <v>0</v>
      </c>
      <c r="S100" s="15" t="n">
        <f aca="false">AA88</f>
        <v>0</v>
      </c>
      <c r="T100" s="15" t="n">
        <f aca="false">MIN(R100,MAX(0,Q100))</f>
        <v>0</v>
      </c>
      <c r="U100" s="15" t="n">
        <f aca="false">MIN(S100,MAX(0,Q100-T100)*Parametri_v3!$C$42)</f>
        <v>0</v>
      </c>
      <c r="V100" s="15" t="n">
        <f aca="false">MAX(0,Q100-T100-U100)*Ipotesi!$C$92</f>
        <v>40154.8333333334</v>
      </c>
      <c r="W100" s="15" t="n">
        <f aca="false">MAX(0,SUM(M89:M100)+Parametri_v3!$C$57*12/12)*Ipotesi!$C$93</f>
        <v>6525.16041666667</v>
      </c>
      <c r="X100" s="15" t="n">
        <f aca="false">V100+W100-(V99+W99)</f>
        <v>3872.2390625</v>
      </c>
      <c r="Y100" s="15" t="n">
        <f aca="false">P100-X100</f>
        <v>10006.7539930556</v>
      </c>
      <c r="Z100" s="15" t="n">
        <f aca="false">R100-T100+IF(AND(Parametri_v3!$C$40=1,D100-YEAR(Parametri_v3!$C$50)&lt;Parametri_v3!$C$41),MAX(0,-Q100),0)</f>
        <v>0</v>
      </c>
      <c r="AA100" s="15" t="n">
        <f aca="false">S100-U100+IF(AND(Parametri_v3!$C$40=1,D100-YEAR(Parametri_v3!$C$50)&lt;Parametri_v3!$C$41),0,MAX(0,-Q100))</f>
        <v>0</v>
      </c>
      <c r="AB100" s="15" t="n">
        <f aca="false">F100*(1+Parametri_v3!$C$26)</f>
        <v>73810</v>
      </c>
      <c r="AC100" s="15" t="n">
        <f aca="false">(IF(36-(INT((Motore_Operativo!L100)/30))&lt;1,0,INDEX(Motore_Advisory!$AB$65:$AB$124,MAX(1,36-(INT((Motore_Operativo!L100)/30)))))*(1-(MOD((Motore_Operativo!L100),30)/30))+IF(36-(INT((Motore_Operativo!L100)/30))-1&lt;1,0,INDEX(Motore_Advisory!$AB$65:$AB$124,MAX(1,36-(INT((Motore_Operativo!L100)/30))-1)))*(MOD((Motore_Operativo!L100),30)/30))</f>
        <v>73810</v>
      </c>
      <c r="AD100" s="15" t="n">
        <f aca="false">(AD99)+AB100-AC100</f>
        <v>221430</v>
      </c>
      <c r="AE100" s="15" t="n">
        <f aca="false">Motore_Operativo!BH100*(1+Parametri_v3!$C$26)</f>
        <v>7381</v>
      </c>
      <c r="AF100" s="15" t="n">
        <f aca="false">(IF(36-(INT((Parametri_v3!$C$29)/30))&lt;1,0,INDEX(Motore_Operativo!$BH$65:$BH$124,MAX(1,36-(INT((Parametri_v3!$C$29)/30)))))*(1-(MOD((Parametri_v3!$C$29),30)/30))+IF(36-(INT((Parametri_v3!$C$29)/30))-1&lt;1,0,INDEX(Motore_Operativo!$BH$65:$BH$124,MAX(1,36-(INT((Parametri_v3!$C$29)/30))-1)))*(MOD((Parametri_v3!$C$29),30)/30))*(1+Parametri_v3!$C$26)</f>
        <v>7381</v>
      </c>
      <c r="AG100" s="15" t="n">
        <f aca="false">(AG99)+AE100-AF100</f>
        <v>7381</v>
      </c>
      <c r="AH100" s="15" t="n">
        <f aca="false">(Motore_Operativo!CK100)*(1+Parametri_v3!$C$28*Parametri_v3!$C$26)</f>
        <v>17395.98</v>
      </c>
      <c r="AI100" s="15" t="n">
        <f aca="false">(IF(36-(INT((Ipotesi!$C$91)/30))&lt;1,0,INDEX(Motore_Advisory!$AH$65:$AH$124,MAX(1,36-(INT((Ipotesi!$C$91)/30)))))*(1-(MOD((Ipotesi!$C$91),30)/30))+IF(36-(INT((Ipotesi!$C$91)/30))-1&lt;1,0,INDEX(Motore_Advisory!$AH$65:$AH$124,MAX(1,36-(INT((Ipotesi!$C$91)/30))-1)))*(MOD((Ipotesi!$C$91),30)/30))</f>
        <v>17395.98</v>
      </c>
      <c r="AJ100" s="15" t="n">
        <f aca="false">(AJ99)+AH100-AI100</f>
        <v>34791.96</v>
      </c>
      <c r="AK100" s="15" t="n">
        <f aca="false">(F100- Motore_Operativo!BH100-(Motore_Operativo!CK100)*Parametri_v3!$C$28-Motore_Operativo!CF100)*Parametri_v3!$C$26</f>
        <v>9283.85333333333</v>
      </c>
      <c r="AL100" s="15" t="n">
        <f aca="false">MAX(0,(AM99))</f>
        <v>9283.85333333333</v>
      </c>
      <c r="AM100" s="15" t="n">
        <f aca="false">(AM99)+AK100-AL100</f>
        <v>9283.85333333333</v>
      </c>
      <c r="AN100" s="15" t="n">
        <f aca="false">SUM(X77:X88)</f>
        <v>16530.1714788732</v>
      </c>
      <c r="AO100" s="15" t="n">
        <f aca="false">SUM(AP77:AP88)</f>
        <v>13562.3123684211</v>
      </c>
      <c r="AP100" s="15" t="n">
        <f aca="false">MAX(0,AN100)*IF(12=Parametri_v3!$C$43,Parametri_v3!$C$45,IF(12=Parametri_v3!$C$44,1-Parametri_v3!$C$45,0))</f>
        <v>0</v>
      </c>
      <c r="AQ100" s="15" t="n">
        <f aca="false">MAX(0,AP100+IF(12=Parametri_v3!$C$43,MAX(0,AN100-AO100),0)-MAX(0,-(AR99)))</f>
        <v>0</v>
      </c>
      <c r="AR100" s="15" t="n">
        <f aca="false">(AR99)+X100-AQ100</f>
        <v>30149.8222711268</v>
      </c>
      <c r="AS100" s="15" t="n">
        <f aca="false">Motore_Operativo!AC100-AT100+AU100</f>
        <v>24146.5260416667</v>
      </c>
      <c r="AT100" s="15" t="n">
        <f aca="false">Motore_Operativo!CI100</f>
        <v>1270.86979166667</v>
      </c>
      <c r="AU100" s="15" t="n">
        <f aca="false">MIN(MAX(0,(AV99)+AT100),Parametri_v3!$C$61/12)</f>
        <v>0</v>
      </c>
      <c r="AV100" s="15" t="n">
        <f aca="false">(AV99)+AT100-AU100</f>
        <v>27979.4375</v>
      </c>
      <c r="AW100" s="15" t="n">
        <f aca="false">IF(AND(Motore_Operativo!C100=Finanziamenti!$D$7,Finanziamenti!$F$7=1),Finanziamenti!$C$7,0)</f>
        <v>0</v>
      </c>
      <c r="AX100" s="15" t="n">
        <f aca="false">0</f>
        <v>0</v>
      </c>
      <c r="AY100" s="15" t="n">
        <f aca="false">IF(12=Parametri_v3!$C$33,IF(BV100&lt;MIN(12,$B100-1),0,MIN(MAX(0,SUM(Y77:Y88))*Ipotesi!$C$94,MAX(0,(BM88)-(BO99)-BP100),MAX(0,BD100-Parametri_v3!$C$31))),0)</f>
        <v>0</v>
      </c>
      <c r="AZ100" s="15" t="n">
        <f aca="false">0</f>
        <v>0</v>
      </c>
      <c r="BA100" s="15" t="n">
        <f aca="false">0</f>
        <v>0</v>
      </c>
      <c r="BB100" s="15" t="n">
        <f aca="false">0</f>
        <v>0</v>
      </c>
      <c r="BC100" s="15" t="n">
        <f aca="false">0</f>
        <v>0</v>
      </c>
      <c r="BD100" s="15" t="n">
        <f aca="false">(BH99)+AC100-AF100-AI100-AS100-K100*(1+Parametri_v3!$C$26)-AL100-AQ100-O100+AW100+AX100+AZ100+BA100-BB100</f>
        <v>99567.6549956758</v>
      </c>
      <c r="BE100" s="15" t="n">
        <f aca="false">0</f>
        <v>0</v>
      </c>
      <c r="BF100" s="15" t="n">
        <f aca="false">0</f>
        <v>0</v>
      </c>
      <c r="BG100" s="15" t="n">
        <f aca="false">0</f>
        <v>0</v>
      </c>
      <c r="BH100" s="15" t="n">
        <f aca="false">BD100+BE100-BF100-AY100</f>
        <v>99567.6549956758</v>
      </c>
      <c r="BI100" s="15" t="n">
        <f aca="false">MAX(0,Parametri_v3!$C$31-BH100)</f>
        <v>0</v>
      </c>
      <c r="BJ100" s="15" t="n">
        <f aca="false">(BJ99)+K100</f>
        <v>13000</v>
      </c>
      <c r="BK100" s="15" t="n">
        <f aca="false">(BK99)+L100</f>
        <v>6013.88888888889</v>
      </c>
      <c r="BL100" s="15" t="n">
        <f aca="false">BJ100-BK100</f>
        <v>6986.11111111111</v>
      </c>
      <c r="BM100" s="15" t="n">
        <f aca="false">(BM99)+Y100</f>
        <v>198397.693002327</v>
      </c>
      <c r="BN100" s="15" t="n">
        <f aca="false">(BN99)+AW100+AX100+AZ100</f>
        <v>20000</v>
      </c>
      <c r="BO100" s="15" t="n">
        <f aca="false">(BO99)+AY100</f>
        <v>0</v>
      </c>
      <c r="BP100" s="15" t="n">
        <f aca="false">MIN(Parametri_v3!$C$36*Parametri_v3!$C$35,(BP99)+IF(12=1,MAX(0,SUM(Y77:Y88))*Parametri_v3!$C$34,0))</f>
        <v>2000</v>
      </c>
      <c r="BQ100" s="15" t="n">
        <f aca="false">BN100+BM100-BO100</f>
        <v>218397.693002327</v>
      </c>
      <c r="BR100" s="15" t="n">
        <f aca="false">BH100+AD100+BL100+MAX(0,-AM100)+MAX(0,-AR100)</f>
        <v>327983.766106787</v>
      </c>
      <c r="BS100" s="15" t="n">
        <f aca="false">AJ100+AV100+MAX(0,AM100)+MAX(0,AR100)+BC100+BG100+BQ100+AG100</f>
        <v>327983.766106787</v>
      </c>
      <c r="BT100" s="15" t="n">
        <f aca="false">BR100-BS100</f>
        <v>0</v>
      </c>
      <c r="BU100" s="15" t="n">
        <f aca="false">BH100-(BD100+BE100-BF100-AY100)</f>
        <v>0</v>
      </c>
      <c r="BV100" s="15" t="n">
        <f aca="false">IF(BH99&lt;Parametri_v3!$C$31,0,BV99+1)</f>
        <v>7</v>
      </c>
    </row>
    <row r="101" customFormat="false" ht="18" hidden="false" customHeight="true" outlineLevel="0" collapsed="false">
      <c r="A101" s="68" t="n">
        <f aca="false">2</f>
        <v>2</v>
      </c>
      <c r="B101" s="68" t="n">
        <f aca="false">37</f>
        <v>37</v>
      </c>
      <c r="C101" s="18" t="n">
        <f aca="false">Motore_Operativo!C101</f>
        <v>47484</v>
      </c>
      <c r="D101" s="68" t="n">
        <f aca="false">Motore_Operativo!D101</f>
        <v>2030</v>
      </c>
      <c r="E101" s="68" t="n">
        <f aca="false">Motore_Operativo!E101</f>
        <v>1</v>
      </c>
      <c r="F101" s="15" t="n">
        <f aca="false">Motore_Operativo!AM101</f>
        <v>90241.6666666667</v>
      </c>
      <c r="G101" s="15" t="n">
        <f aca="false">Motore_Operativo!BH101</f>
        <v>9024.16666666667</v>
      </c>
      <c r="H101" s="15" t="n">
        <f aca="false">Motore_Operativo!AM101</f>
        <v>90241.6666666667</v>
      </c>
      <c r="I101" s="15" t="n">
        <f aca="false">Motore_Operativo!CB101</f>
        <v>62580.173375</v>
      </c>
      <c r="J101" s="15" t="n">
        <f aca="false">Motore_Operativo!CD101</f>
        <v>27661.4932916667</v>
      </c>
      <c r="K101" s="15" t="n">
        <f aca="false">Motore_Operativo!CF101</f>
        <v>666.666666666667</v>
      </c>
      <c r="L101" s="15" t="n">
        <f aca="false">SUM(INDEX($K$65:$K$124,MAX(1,37-Parametri_v3!$C$59+1)):K101)/Parametri_v3!$C$59</f>
        <v>372.685185185185</v>
      </c>
      <c r="M101" s="15" t="n">
        <f aca="false">J101-L101</f>
        <v>27288.8081064815</v>
      </c>
      <c r="N101" s="15" t="n">
        <f aca="false">0</f>
        <v>0</v>
      </c>
      <c r="O101" s="15" t="n">
        <f aca="false">0</f>
        <v>0</v>
      </c>
      <c r="P101" s="15" t="n">
        <f aca="false">M101+N101-O101</f>
        <v>27288.8081064815</v>
      </c>
      <c r="Q101" s="15" t="n">
        <f aca="false">SUM(P101)+Parametri_v3!$C$56*1/12</f>
        <v>27288.8081064815</v>
      </c>
      <c r="R101" s="15" t="n">
        <f aca="false">Z100</f>
        <v>0</v>
      </c>
      <c r="S101" s="15" t="n">
        <f aca="false">AA100</f>
        <v>0</v>
      </c>
      <c r="T101" s="15" t="n">
        <f aca="false">MIN(R101,MAX(0,Q101))</f>
        <v>0</v>
      </c>
      <c r="U101" s="15" t="n">
        <f aca="false">MIN(S101,MAX(0,Q101-T101)*Parametri_v3!$C$42)</f>
        <v>0</v>
      </c>
      <c r="V101" s="15" t="n">
        <f aca="false">MAX(0,Q101-T101-U101)*Ipotesi!$C$92</f>
        <v>6549.31394555556</v>
      </c>
      <c r="W101" s="15" t="n">
        <f aca="false">MAX(0,SUM(M101)+Parametri_v3!$C$57*1/12)*Ipotesi!$C$93</f>
        <v>1064.26351615278</v>
      </c>
      <c r="X101" s="15" t="n">
        <f aca="false">V101+W101-(0)</f>
        <v>7613.57746170833</v>
      </c>
      <c r="Y101" s="15" t="n">
        <f aca="false">P101-X101</f>
        <v>19675.2306447731</v>
      </c>
      <c r="Z101" s="15" t="n">
        <f aca="false">R101-T101+IF(AND(Parametri_v3!$C$40=1,D101-YEAR(Parametri_v3!$C$50)&lt;Parametri_v3!$C$41),MAX(0,-Q101),0)</f>
        <v>0</v>
      </c>
      <c r="AA101" s="15" t="n">
        <f aca="false">S101-U101+IF(AND(Parametri_v3!$C$40=1,D101-YEAR(Parametri_v3!$C$50)&lt;Parametri_v3!$C$41),0,MAX(0,-Q101))</f>
        <v>0</v>
      </c>
      <c r="AB101" s="15" t="n">
        <f aca="false">F101*(1+Parametri_v3!$C$26)</f>
        <v>110094.833333333</v>
      </c>
      <c r="AC101" s="15" t="n">
        <f aca="false">(IF(37-(INT((Motore_Operativo!L101)/30))&lt;1,0,INDEX(Motore_Advisory!$AB$65:$AB$124,MAX(1,37-(INT((Motore_Operativo!L101)/30)))))*(1-(MOD((Motore_Operativo!L101),30)/30))+IF(37-(INT((Motore_Operativo!L101)/30))-1&lt;1,0,INDEX(Motore_Advisory!$AB$65:$AB$124,MAX(1,37-(INT((Motore_Operativo!L101)/30))-1)))*(MOD((Motore_Operativo!L101),30)/30))</f>
        <v>73810</v>
      </c>
      <c r="AD101" s="15" t="n">
        <f aca="false">(AD100)+AB101-AC101</f>
        <v>257714.833333333</v>
      </c>
      <c r="AE101" s="15" t="n">
        <f aca="false">Motore_Operativo!BH101*(1+Parametri_v3!$C$26)</f>
        <v>11009.4833333333</v>
      </c>
      <c r="AF101" s="15" t="n">
        <f aca="false">(IF(37-(INT((Parametri_v3!$C$29)/30))&lt;1,0,INDEX(Motore_Operativo!$BH$65:$BH$124,MAX(1,37-(INT((Parametri_v3!$C$29)/30)))))*(1-(MOD((Parametri_v3!$C$29),30)/30))+IF(37-(INT((Parametri_v3!$C$29)/30))-1&lt;1,0,INDEX(Motore_Operativo!$BH$65:$BH$124,MAX(1,37-(INT((Parametri_v3!$C$29)/30))-1)))*(MOD((Parametri_v3!$C$29),30)/30))*(1+Parametri_v3!$C$26)</f>
        <v>7381</v>
      </c>
      <c r="AG101" s="15" t="n">
        <f aca="false">(AG100)+AE101-AF101</f>
        <v>11009.4833333333</v>
      </c>
      <c r="AH101" s="15" t="n">
        <f aca="false">(Motore_Operativo!CK101)*(1+Parametri_v3!$C$28*Parametri_v3!$C$26)</f>
        <v>23198.952</v>
      </c>
      <c r="AI101" s="15" t="n">
        <f aca="false">(IF(37-(INT((Ipotesi!$C$91)/30))&lt;1,0,INDEX(Motore_Advisory!$AH$65:$AH$124,MAX(1,37-(INT((Ipotesi!$C$91)/30)))))*(1-(MOD((Ipotesi!$C$91),30)/30))+IF(37-(INT((Ipotesi!$C$91)/30))-1&lt;1,0,INDEX(Motore_Advisory!$AH$65:$AH$124,MAX(1,37-(INT((Ipotesi!$C$91)/30))-1)))*(MOD((Ipotesi!$C$91),30)/30))</f>
        <v>17395.98</v>
      </c>
      <c r="AJ101" s="15" t="n">
        <f aca="false">(AJ100)+AH101-AI101</f>
        <v>40594.932</v>
      </c>
      <c r="AK101" s="15" t="n">
        <f aca="false">(F101- Motore_Operativo!BH101-(Motore_Operativo!CK101)*Parametri_v3!$C$28-Motore_Operativo!CF101)*Parametri_v3!$C$26</f>
        <v>14249.2313333333</v>
      </c>
      <c r="AL101" s="15" t="n">
        <f aca="false">MAX(0,(AM100))</f>
        <v>9283.85333333333</v>
      </c>
      <c r="AM101" s="15" t="n">
        <f aca="false">(AM100)+AK101-AL101</f>
        <v>14249.2313333333</v>
      </c>
      <c r="AN101" s="15" t="n">
        <f aca="false">SUM(X89:X100)</f>
        <v>46679.99375</v>
      </c>
      <c r="AO101" s="15" t="n">
        <f aca="false">SUM(AP89:AP100)</f>
        <v>16530.1714788732</v>
      </c>
      <c r="AP101" s="15" t="n">
        <f aca="false">MAX(0,AN101)*IF(1=Parametri_v3!$C$43,Parametri_v3!$C$45,IF(1=Parametri_v3!$C$44,1-Parametri_v3!$C$45,0))</f>
        <v>0</v>
      </c>
      <c r="AQ101" s="15" t="n">
        <f aca="false">MAX(0,AP101+IF(1=Parametri_v3!$C$43,MAX(0,AN101-AO101),0)-MAX(0,-(AR100)))</f>
        <v>0</v>
      </c>
      <c r="AR101" s="15" t="n">
        <f aca="false">(AR100)+X101-AQ101</f>
        <v>37763.3997328351</v>
      </c>
      <c r="AS101" s="15" t="n">
        <f aca="false">Motore_Operativo!AC101-AT101+AU101</f>
        <v>32137.5563729167</v>
      </c>
      <c r="AT101" s="15" t="n">
        <f aca="false">Motore_Operativo!CI101</f>
        <v>1691.45033541667</v>
      </c>
      <c r="AU101" s="15" t="n">
        <f aca="false">MIN(MAX(0,(AV100)+AT101),Parametri_v3!$C$61/12)</f>
        <v>0</v>
      </c>
      <c r="AV101" s="15" t="n">
        <f aca="false">(AV100)+AT101-AU101</f>
        <v>29670.8878354167</v>
      </c>
      <c r="AW101" s="15" t="n">
        <f aca="false">IF(AND(Motore_Operativo!C101=Finanziamenti!$D$7,Finanziamenti!$F$7=1),Finanziamenti!$C$7,0)</f>
        <v>0</v>
      </c>
      <c r="AX101" s="15" t="n">
        <f aca="false">0</f>
        <v>0</v>
      </c>
      <c r="AY101" s="15" t="n">
        <f aca="false">IF(1=Parametri_v3!$C$33,IF(BV101&lt;MIN(12,$B101-1),0,MIN(MAX(0,SUM(Y89:Y100))*Ipotesi!$C$94,MAX(0,(BM100)-(BO100)-BP101),MAX(0,BD101-Parametri_v3!$C$31))),0)</f>
        <v>0</v>
      </c>
      <c r="AZ101" s="15" t="n">
        <f aca="false">0</f>
        <v>0</v>
      </c>
      <c r="BA101" s="15" t="n">
        <f aca="false">0</f>
        <v>0</v>
      </c>
      <c r="BB101" s="15" t="n">
        <f aca="false">0</f>
        <v>0</v>
      </c>
      <c r="BC101" s="15" t="n">
        <f aca="false">0</f>
        <v>0</v>
      </c>
      <c r="BD101" s="15" t="n">
        <f aca="false">(BH100)+AC101-AF101-AI101-AS101-K101*(1+Parametri_v3!$C$26)-AL101-AQ101-O101+AW101+AX101+AZ101+BA101-BB101</f>
        <v>106365.931956092</v>
      </c>
      <c r="BE101" s="15" t="n">
        <f aca="false">0</f>
        <v>0</v>
      </c>
      <c r="BF101" s="15" t="n">
        <f aca="false">0</f>
        <v>0</v>
      </c>
      <c r="BG101" s="15" t="n">
        <f aca="false">0</f>
        <v>0</v>
      </c>
      <c r="BH101" s="15" t="n">
        <f aca="false">BD101+BE101-BF101-AY101</f>
        <v>106365.931956092</v>
      </c>
      <c r="BI101" s="15" t="n">
        <f aca="false">MAX(0,Parametri_v3!$C$31-BH101)</f>
        <v>0</v>
      </c>
      <c r="BJ101" s="15" t="n">
        <f aca="false">(BJ100)+K101</f>
        <v>13666.6666666667</v>
      </c>
      <c r="BK101" s="15" t="n">
        <f aca="false">(BK100)+L101</f>
        <v>6386.57407407407</v>
      </c>
      <c r="BL101" s="15" t="n">
        <f aca="false">BJ101-BK101</f>
        <v>7280.09259259259</v>
      </c>
      <c r="BM101" s="15" t="n">
        <f aca="false">(BM100)+Y101</f>
        <v>218072.9236471</v>
      </c>
      <c r="BN101" s="15" t="n">
        <f aca="false">(BN100)+AW101+AX101+AZ101</f>
        <v>20000</v>
      </c>
      <c r="BO101" s="15" t="n">
        <f aca="false">(BO100)+AY101</f>
        <v>0</v>
      </c>
      <c r="BP101" s="15" t="n">
        <f aca="false">MIN(Parametri_v3!$C$36*Parametri_v3!$C$35,(BP100)+IF(1=1,MAX(0,SUM(Y89:Y100))*Parametri_v3!$C$34,0))</f>
        <v>2000</v>
      </c>
      <c r="BQ101" s="15" t="n">
        <f aca="false">BN101+BM101-BO101</f>
        <v>238072.9236471</v>
      </c>
      <c r="BR101" s="15" t="n">
        <f aca="false">BH101+AD101+BL101+MAX(0,-AM101)+MAX(0,-AR101)</f>
        <v>371360.857882018</v>
      </c>
      <c r="BS101" s="15" t="n">
        <f aca="false">AJ101+AV101+MAX(0,AM101)+MAX(0,AR101)+BC101+BG101+BQ101+AG101</f>
        <v>371360.857882018</v>
      </c>
      <c r="BT101" s="15" t="n">
        <f aca="false">BR101-BS101</f>
        <v>0</v>
      </c>
      <c r="BU101" s="15" t="n">
        <f aca="false">BH101-(BD101+BE101-BF101-AY101)</f>
        <v>0</v>
      </c>
      <c r="BV101" s="15" t="n">
        <f aca="false">IF(BH100&lt;Parametri_v3!$C$31,0,BV100+1)</f>
        <v>8</v>
      </c>
    </row>
    <row r="102" customFormat="false" ht="18" hidden="false" customHeight="true" outlineLevel="0" collapsed="false">
      <c r="A102" s="68" t="n">
        <f aca="false">2</f>
        <v>2</v>
      </c>
      <c r="B102" s="68" t="n">
        <f aca="false">38</f>
        <v>38</v>
      </c>
      <c r="C102" s="18" t="n">
        <f aca="false">Motore_Operativo!C102</f>
        <v>47515</v>
      </c>
      <c r="D102" s="68" t="n">
        <f aca="false">Motore_Operativo!D102</f>
        <v>2030</v>
      </c>
      <c r="E102" s="68" t="n">
        <f aca="false">Motore_Operativo!E102</f>
        <v>2</v>
      </c>
      <c r="F102" s="15" t="n">
        <f aca="false">Motore_Operativo!AM102</f>
        <v>90241.6666666667</v>
      </c>
      <c r="G102" s="15" t="n">
        <f aca="false">Motore_Operativo!BH102</f>
        <v>9024.16666666667</v>
      </c>
      <c r="H102" s="15" t="n">
        <f aca="false">Motore_Operativo!AM102</f>
        <v>90241.6666666667</v>
      </c>
      <c r="I102" s="15" t="n">
        <f aca="false">Motore_Operativo!CB102</f>
        <v>62580.173375</v>
      </c>
      <c r="J102" s="15" t="n">
        <f aca="false">Motore_Operativo!CD102</f>
        <v>27661.4932916667</v>
      </c>
      <c r="K102" s="15" t="n">
        <f aca="false">Motore_Operativo!CF102</f>
        <v>666.666666666667</v>
      </c>
      <c r="L102" s="15" t="n">
        <f aca="false">SUM(INDEX($K$65:$K$124,MAX(1,38-Parametri_v3!$C$59+1)):K102)/Parametri_v3!$C$59</f>
        <v>384.259259259259</v>
      </c>
      <c r="M102" s="15" t="n">
        <f aca="false">J102-L102</f>
        <v>27277.2340324074</v>
      </c>
      <c r="N102" s="15" t="n">
        <f aca="false">0</f>
        <v>0</v>
      </c>
      <c r="O102" s="15" t="n">
        <f aca="false">0</f>
        <v>0</v>
      </c>
      <c r="P102" s="15" t="n">
        <f aca="false">M102+N102-O102</f>
        <v>27277.2340324074</v>
      </c>
      <c r="Q102" s="15" t="n">
        <f aca="false">SUM(P101:P102)+Parametri_v3!$C$56*2/12</f>
        <v>54566.0421388889</v>
      </c>
      <c r="R102" s="15" t="n">
        <f aca="false">Z100</f>
        <v>0</v>
      </c>
      <c r="S102" s="15" t="n">
        <f aca="false">AA100</f>
        <v>0</v>
      </c>
      <c r="T102" s="15" t="n">
        <f aca="false">MIN(R102,MAX(0,Q102))</f>
        <v>0</v>
      </c>
      <c r="U102" s="15" t="n">
        <f aca="false">MIN(S102,MAX(0,Q102-T102)*Parametri_v3!$C$42)</f>
        <v>0</v>
      </c>
      <c r="V102" s="15" t="n">
        <f aca="false">MAX(0,Q102-T102-U102)*Ipotesi!$C$92</f>
        <v>13095.8501133333</v>
      </c>
      <c r="W102" s="15" t="n">
        <f aca="false">MAX(0,SUM(M101:M102)+Parametri_v3!$C$57*2/12)*Ipotesi!$C$93</f>
        <v>2128.07564341667</v>
      </c>
      <c r="X102" s="15" t="n">
        <f aca="false">V102+W102-(V101+W101)</f>
        <v>7610.34829504167</v>
      </c>
      <c r="Y102" s="15" t="n">
        <f aca="false">P102-X102</f>
        <v>19666.8857373657</v>
      </c>
      <c r="Z102" s="15" t="n">
        <f aca="false">R102-T102+IF(AND(Parametri_v3!$C$40=1,D102-YEAR(Parametri_v3!$C$50)&lt;Parametri_v3!$C$41),MAX(0,-Q102),0)</f>
        <v>0</v>
      </c>
      <c r="AA102" s="15" t="n">
        <f aca="false">S102-U102+IF(AND(Parametri_v3!$C$40=1,D102-YEAR(Parametri_v3!$C$50)&lt;Parametri_v3!$C$41),0,MAX(0,-Q102))</f>
        <v>0</v>
      </c>
      <c r="AB102" s="15" t="n">
        <f aca="false">F102*(1+Parametri_v3!$C$26)</f>
        <v>110094.833333333</v>
      </c>
      <c r="AC102" s="15" t="n">
        <f aca="false">(IF(38-(INT((Motore_Operativo!L102)/30))&lt;1,0,INDEX(Motore_Advisory!$AB$65:$AB$124,MAX(1,38-(INT((Motore_Operativo!L102)/30)))))*(1-(MOD((Motore_Operativo!L102),30)/30))+IF(38-(INT((Motore_Operativo!L102)/30))-1&lt;1,0,INDEX(Motore_Advisory!$AB$65:$AB$124,MAX(1,38-(INT((Motore_Operativo!L102)/30))-1)))*(MOD((Motore_Operativo!L102),30)/30))</f>
        <v>73810</v>
      </c>
      <c r="AD102" s="15" t="n">
        <f aca="false">(AD101)+AB102-AC102</f>
        <v>293999.666666667</v>
      </c>
      <c r="AE102" s="15" t="n">
        <f aca="false">Motore_Operativo!BH102*(1+Parametri_v3!$C$26)</f>
        <v>11009.4833333333</v>
      </c>
      <c r="AF102" s="15" t="n">
        <f aca="false">(IF(38-(INT((Parametri_v3!$C$29)/30))&lt;1,0,INDEX(Motore_Operativo!$BH$65:$BH$124,MAX(1,38-(INT((Parametri_v3!$C$29)/30)))))*(1-(MOD((Parametri_v3!$C$29),30)/30))+IF(38-(INT((Parametri_v3!$C$29)/30))-1&lt;1,0,INDEX(Motore_Operativo!$BH$65:$BH$124,MAX(1,38-(INT((Parametri_v3!$C$29)/30))-1)))*(MOD((Parametri_v3!$C$29),30)/30))*(1+Parametri_v3!$C$26)</f>
        <v>11009.4833333333</v>
      </c>
      <c r="AG102" s="15" t="n">
        <f aca="false">(AG101)+AE102-AF102</f>
        <v>11009.4833333333</v>
      </c>
      <c r="AH102" s="15" t="n">
        <f aca="false">(Motore_Operativo!CK102)*(1+Parametri_v3!$C$28*Parametri_v3!$C$26)</f>
        <v>23198.952</v>
      </c>
      <c r="AI102" s="15" t="n">
        <f aca="false">(IF(38-(INT((Ipotesi!$C$91)/30))&lt;1,0,INDEX(Motore_Advisory!$AH$65:$AH$124,MAX(1,38-(INT((Ipotesi!$C$91)/30)))))*(1-(MOD((Ipotesi!$C$91),30)/30))+IF(38-(INT((Ipotesi!$C$91)/30))-1&lt;1,0,INDEX(Motore_Advisory!$AH$65:$AH$124,MAX(1,38-(INT((Ipotesi!$C$91)/30))-1)))*(MOD((Ipotesi!$C$91),30)/30))</f>
        <v>17395.98</v>
      </c>
      <c r="AJ102" s="15" t="n">
        <f aca="false">(AJ101)+AH102-AI102</f>
        <v>46397.904</v>
      </c>
      <c r="AK102" s="15" t="n">
        <f aca="false">(F102- Motore_Operativo!BH102-(Motore_Operativo!CK102)*Parametri_v3!$C$28-Motore_Operativo!CF102)*Parametri_v3!$C$26</f>
        <v>14249.2313333333</v>
      </c>
      <c r="AL102" s="15" t="n">
        <f aca="false">MAX(0,(AM101))</f>
        <v>14249.2313333333</v>
      </c>
      <c r="AM102" s="15" t="n">
        <f aca="false">(AM101)+AK102-AL102</f>
        <v>14249.2313333333</v>
      </c>
      <c r="AN102" s="15" t="n">
        <f aca="false">SUM(X89:X100)</f>
        <v>46679.99375</v>
      </c>
      <c r="AO102" s="15" t="n">
        <f aca="false">SUM(AP89:AP100)</f>
        <v>16530.1714788732</v>
      </c>
      <c r="AP102" s="15" t="n">
        <f aca="false">MAX(0,AN102)*IF(2=Parametri_v3!$C$43,Parametri_v3!$C$45,IF(2=Parametri_v3!$C$44,1-Parametri_v3!$C$45,0))</f>
        <v>0</v>
      </c>
      <c r="AQ102" s="15" t="n">
        <f aca="false">MAX(0,AP102+IF(2=Parametri_v3!$C$43,MAX(0,AN102-AO102),0)-MAX(0,-(AR101)))</f>
        <v>0</v>
      </c>
      <c r="AR102" s="15" t="n">
        <f aca="false">(AR101)+X102-AQ102</f>
        <v>45373.7480278768</v>
      </c>
      <c r="AS102" s="15" t="n">
        <f aca="false">Motore_Operativo!AC102-AT102+AU102</f>
        <v>32137.5563729167</v>
      </c>
      <c r="AT102" s="15" t="n">
        <f aca="false">Motore_Operativo!CI102</f>
        <v>1691.45033541667</v>
      </c>
      <c r="AU102" s="15" t="n">
        <f aca="false">MIN(MAX(0,(AV101)+AT102),Parametri_v3!$C$61/12)</f>
        <v>0</v>
      </c>
      <c r="AV102" s="15" t="n">
        <f aca="false">(AV101)+AT102-AU102</f>
        <v>31362.3381708333</v>
      </c>
      <c r="AW102" s="15" t="n">
        <f aca="false">IF(AND(Motore_Operativo!C102=Finanziamenti!$D$7,Finanziamenti!$F$7=1),Finanziamenti!$C$7,0)</f>
        <v>0</v>
      </c>
      <c r="AX102" s="15" t="n">
        <f aca="false">0</f>
        <v>0</v>
      </c>
      <c r="AY102" s="15" t="n">
        <f aca="false">IF(2=Parametri_v3!$C$33,IF(BV102&lt;MIN(12,$B102-1),0,MIN(MAX(0,SUM(Y89:Y100))*Ipotesi!$C$94,MAX(0,(BM100)-(BO101)-BP102),MAX(0,BD102-Parametri_v3!$C$31))),0)</f>
        <v>0</v>
      </c>
      <c r="AZ102" s="15" t="n">
        <f aca="false">0</f>
        <v>0</v>
      </c>
      <c r="BA102" s="15" t="n">
        <f aca="false">0</f>
        <v>0</v>
      </c>
      <c r="BB102" s="15" t="n">
        <f aca="false">0</f>
        <v>0</v>
      </c>
      <c r="BC102" s="15" t="n">
        <f aca="false">0</f>
        <v>0</v>
      </c>
      <c r="BD102" s="15" t="n">
        <f aca="false">(BH101)+AC102-AF102-AI102-AS102-K102*(1+Parametri_v3!$C$26)-AL102-AQ102-O102+AW102+AX102+AZ102+BA102-BB102</f>
        <v>104570.347583176</v>
      </c>
      <c r="BE102" s="15" t="n">
        <f aca="false">0</f>
        <v>0</v>
      </c>
      <c r="BF102" s="15" t="n">
        <f aca="false">0</f>
        <v>0</v>
      </c>
      <c r="BG102" s="15" t="n">
        <f aca="false">0</f>
        <v>0</v>
      </c>
      <c r="BH102" s="15" t="n">
        <f aca="false">BD102+BE102-BF102-AY102</f>
        <v>104570.347583176</v>
      </c>
      <c r="BI102" s="15" t="n">
        <f aca="false">MAX(0,Parametri_v3!$C$31-BH102)</f>
        <v>0</v>
      </c>
      <c r="BJ102" s="15" t="n">
        <f aca="false">(BJ101)+K102</f>
        <v>14333.3333333333</v>
      </c>
      <c r="BK102" s="15" t="n">
        <f aca="false">(BK101)+L102</f>
        <v>6770.83333333333</v>
      </c>
      <c r="BL102" s="15" t="n">
        <f aca="false">BJ102-BK102</f>
        <v>7562.5</v>
      </c>
      <c r="BM102" s="15" t="n">
        <f aca="false">(BM101)+Y102</f>
        <v>237739.809384466</v>
      </c>
      <c r="BN102" s="15" t="n">
        <f aca="false">(BN101)+AW102+AX102+AZ102</f>
        <v>20000</v>
      </c>
      <c r="BO102" s="15" t="n">
        <f aca="false">(BO101)+AY102</f>
        <v>0</v>
      </c>
      <c r="BP102" s="15" t="n">
        <f aca="false">MIN(Parametri_v3!$C$36*Parametri_v3!$C$35,(BP101)+IF(2=1,MAX(0,SUM(Y89:Y100))*Parametri_v3!$C$34,0))</f>
        <v>2000</v>
      </c>
      <c r="BQ102" s="15" t="n">
        <f aca="false">BN102+BM102-BO102</f>
        <v>257739.809384466</v>
      </c>
      <c r="BR102" s="15" t="n">
        <f aca="false">BH102+AD102+BL102+MAX(0,-AM102)+MAX(0,-AR102)</f>
        <v>406132.514249842</v>
      </c>
      <c r="BS102" s="15" t="n">
        <f aca="false">AJ102+AV102+MAX(0,AM102)+MAX(0,AR102)+BC102+BG102+BQ102+AG102</f>
        <v>406132.514249843</v>
      </c>
      <c r="BT102" s="15" t="n">
        <f aca="false">BR102-BS102</f>
        <v>0</v>
      </c>
      <c r="BU102" s="15" t="n">
        <f aca="false">BH102-(BD102+BE102-BF102-AY102)</f>
        <v>0</v>
      </c>
      <c r="BV102" s="15" t="n">
        <f aca="false">IF(BH101&lt;Parametri_v3!$C$31,0,BV101+1)</f>
        <v>9</v>
      </c>
    </row>
    <row r="103" customFormat="false" ht="18" hidden="false" customHeight="true" outlineLevel="0" collapsed="false">
      <c r="A103" s="68" t="n">
        <f aca="false">2</f>
        <v>2</v>
      </c>
      <c r="B103" s="68" t="n">
        <f aca="false">39</f>
        <v>39</v>
      </c>
      <c r="C103" s="18" t="n">
        <f aca="false">Motore_Operativo!C103</f>
        <v>47543</v>
      </c>
      <c r="D103" s="68" t="n">
        <f aca="false">Motore_Operativo!D103</f>
        <v>2030</v>
      </c>
      <c r="E103" s="68" t="n">
        <f aca="false">Motore_Operativo!E103</f>
        <v>3</v>
      </c>
      <c r="F103" s="15" t="n">
        <f aca="false">Motore_Operativo!AM103</f>
        <v>90241.6666666667</v>
      </c>
      <c r="G103" s="15" t="n">
        <f aca="false">Motore_Operativo!BH103</f>
        <v>9024.16666666667</v>
      </c>
      <c r="H103" s="15" t="n">
        <f aca="false">Motore_Operativo!AM103</f>
        <v>90241.6666666667</v>
      </c>
      <c r="I103" s="15" t="n">
        <f aca="false">Motore_Operativo!CB103</f>
        <v>62580.173375</v>
      </c>
      <c r="J103" s="15" t="n">
        <f aca="false">Motore_Operativo!CD103</f>
        <v>27661.4932916667</v>
      </c>
      <c r="K103" s="15" t="n">
        <f aca="false">Motore_Operativo!CF103</f>
        <v>666.666666666667</v>
      </c>
      <c r="L103" s="15" t="n">
        <f aca="false">SUM(INDEX($K$65:$K$124,MAX(1,39-Parametri_v3!$C$59+1)):K103)/Parametri_v3!$C$59</f>
        <v>395.833333333333</v>
      </c>
      <c r="M103" s="15" t="n">
        <f aca="false">J103-L103</f>
        <v>27265.6599583333</v>
      </c>
      <c r="N103" s="15" t="n">
        <f aca="false">0</f>
        <v>0</v>
      </c>
      <c r="O103" s="15" t="n">
        <f aca="false">0</f>
        <v>0</v>
      </c>
      <c r="P103" s="15" t="n">
        <f aca="false">M103+N103-O103</f>
        <v>27265.6599583333</v>
      </c>
      <c r="Q103" s="15" t="n">
        <f aca="false">SUM(P101:P103)+Parametri_v3!$C$56*3/12</f>
        <v>81831.7020972222</v>
      </c>
      <c r="R103" s="15" t="n">
        <f aca="false">Z100</f>
        <v>0</v>
      </c>
      <c r="S103" s="15" t="n">
        <f aca="false">AA100</f>
        <v>0</v>
      </c>
      <c r="T103" s="15" t="n">
        <f aca="false">MIN(R103,MAX(0,Q103))</f>
        <v>0</v>
      </c>
      <c r="U103" s="15" t="n">
        <f aca="false">MIN(S103,MAX(0,Q103-T103)*Parametri_v3!$C$42)</f>
        <v>0</v>
      </c>
      <c r="V103" s="15" t="n">
        <f aca="false">MAX(0,Q103-T103-U103)*Ipotesi!$C$92</f>
        <v>19639.6085033333</v>
      </c>
      <c r="W103" s="15" t="n">
        <f aca="false">MAX(0,SUM(M101:M103)+Parametri_v3!$C$57*3/12)*Ipotesi!$C$93</f>
        <v>3191.43638179167</v>
      </c>
      <c r="X103" s="15" t="n">
        <f aca="false">V103+W103-(V102+W102)</f>
        <v>7607.119128375</v>
      </c>
      <c r="Y103" s="15" t="n">
        <f aca="false">P103-X103</f>
        <v>19658.5408299583</v>
      </c>
      <c r="Z103" s="15" t="n">
        <f aca="false">R103-T103+IF(AND(Parametri_v3!$C$40=1,D103-YEAR(Parametri_v3!$C$50)&lt;Parametri_v3!$C$41),MAX(0,-Q103),0)</f>
        <v>0</v>
      </c>
      <c r="AA103" s="15" t="n">
        <f aca="false">S103-U103+IF(AND(Parametri_v3!$C$40=1,D103-YEAR(Parametri_v3!$C$50)&lt;Parametri_v3!$C$41),0,MAX(0,-Q103))</f>
        <v>0</v>
      </c>
      <c r="AB103" s="15" t="n">
        <f aca="false">F103*(1+Parametri_v3!$C$26)</f>
        <v>110094.833333333</v>
      </c>
      <c r="AC103" s="15" t="n">
        <f aca="false">(IF(39-(INT((Motore_Operativo!L103)/30))&lt;1,0,INDEX(Motore_Advisory!$AB$65:$AB$124,MAX(1,39-(INT((Motore_Operativo!L103)/30)))))*(1-(MOD((Motore_Operativo!L103),30)/30))+IF(39-(INT((Motore_Operativo!L103)/30))-1&lt;1,0,INDEX(Motore_Advisory!$AB$65:$AB$124,MAX(1,39-(INT((Motore_Operativo!L103)/30))-1)))*(MOD((Motore_Operativo!L103),30)/30))</f>
        <v>73810</v>
      </c>
      <c r="AD103" s="15" t="n">
        <f aca="false">(AD102)+AB103-AC103</f>
        <v>330284.5</v>
      </c>
      <c r="AE103" s="15" t="n">
        <f aca="false">Motore_Operativo!BH103*(1+Parametri_v3!$C$26)</f>
        <v>11009.4833333333</v>
      </c>
      <c r="AF103" s="15" t="n">
        <f aca="false">(IF(39-(INT((Parametri_v3!$C$29)/30))&lt;1,0,INDEX(Motore_Operativo!$BH$65:$BH$124,MAX(1,39-(INT((Parametri_v3!$C$29)/30)))))*(1-(MOD((Parametri_v3!$C$29),30)/30))+IF(39-(INT((Parametri_v3!$C$29)/30))-1&lt;1,0,INDEX(Motore_Operativo!$BH$65:$BH$124,MAX(1,39-(INT((Parametri_v3!$C$29)/30))-1)))*(MOD((Parametri_v3!$C$29),30)/30))*(1+Parametri_v3!$C$26)</f>
        <v>11009.4833333333</v>
      </c>
      <c r="AG103" s="15" t="n">
        <f aca="false">(AG102)+AE103-AF103</f>
        <v>11009.4833333333</v>
      </c>
      <c r="AH103" s="15" t="n">
        <f aca="false">(Motore_Operativo!CK103)*(1+Parametri_v3!$C$28*Parametri_v3!$C$26)</f>
        <v>23198.952</v>
      </c>
      <c r="AI103" s="15" t="n">
        <f aca="false">(IF(39-(INT((Ipotesi!$C$91)/30))&lt;1,0,INDEX(Motore_Advisory!$AH$65:$AH$124,MAX(1,39-(INT((Ipotesi!$C$91)/30)))))*(1-(MOD((Ipotesi!$C$91),30)/30))+IF(39-(INT((Ipotesi!$C$91)/30))-1&lt;1,0,INDEX(Motore_Advisory!$AH$65:$AH$124,MAX(1,39-(INT((Ipotesi!$C$91)/30))-1)))*(MOD((Ipotesi!$C$91),30)/30))</f>
        <v>23198.952</v>
      </c>
      <c r="AJ103" s="15" t="n">
        <f aca="false">(AJ102)+AH103-AI103</f>
        <v>46397.904</v>
      </c>
      <c r="AK103" s="15" t="n">
        <f aca="false">(F103- Motore_Operativo!BH103-(Motore_Operativo!CK103)*Parametri_v3!$C$28-Motore_Operativo!CF103)*Parametri_v3!$C$26</f>
        <v>14249.2313333333</v>
      </c>
      <c r="AL103" s="15" t="n">
        <f aca="false">MAX(0,(AM102))</f>
        <v>14249.2313333333</v>
      </c>
      <c r="AM103" s="15" t="n">
        <f aca="false">(AM102)+AK103-AL103</f>
        <v>14249.2313333333</v>
      </c>
      <c r="AN103" s="15" t="n">
        <f aca="false">SUM(X89:X100)</f>
        <v>46679.99375</v>
      </c>
      <c r="AO103" s="15" t="n">
        <f aca="false">SUM(AP89:AP100)</f>
        <v>16530.1714788732</v>
      </c>
      <c r="AP103" s="15" t="n">
        <f aca="false">MAX(0,AN103)*IF(3=Parametri_v3!$C$43,Parametri_v3!$C$45,IF(3=Parametri_v3!$C$44,1-Parametri_v3!$C$45,0))</f>
        <v>0</v>
      </c>
      <c r="AQ103" s="15" t="n">
        <f aca="false">MAX(0,AP103+IF(3=Parametri_v3!$C$43,MAX(0,AN103-AO103),0)-MAX(0,-(AR102)))</f>
        <v>0</v>
      </c>
      <c r="AR103" s="15" t="n">
        <f aca="false">(AR102)+X103-AQ103</f>
        <v>52980.8671562518</v>
      </c>
      <c r="AS103" s="15" t="n">
        <f aca="false">Motore_Operativo!AC103-AT103+AU103</f>
        <v>32137.5563729167</v>
      </c>
      <c r="AT103" s="15" t="n">
        <f aca="false">Motore_Operativo!CI103</f>
        <v>1691.45033541667</v>
      </c>
      <c r="AU103" s="15" t="n">
        <f aca="false">MIN(MAX(0,(AV102)+AT103),Parametri_v3!$C$61/12)</f>
        <v>0</v>
      </c>
      <c r="AV103" s="15" t="n">
        <f aca="false">(AV102)+AT103-AU103</f>
        <v>33053.78850625</v>
      </c>
      <c r="AW103" s="15" t="n">
        <f aca="false">IF(AND(Motore_Operativo!C103=Finanziamenti!$D$7,Finanziamenti!$F$7=1),Finanziamenti!$C$7,0)</f>
        <v>0</v>
      </c>
      <c r="AX103" s="15" t="n">
        <f aca="false">0</f>
        <v>0</v>
      </c>
      <c r="AY103" s="15" t="n">
        <f aca="false">IF(3=Parametri_v3!$C$33,IF(BV103&lt;MIN(12,$B103-1),0,MIN(MAX(0,SUM(Y89:Y100))*Ipotesi!$C$94,MAX(0,(BM100)-(BO102)-BP103),MAX(0,BD103-Parametri_v3!$C$31))),0)</f>
        <v>0</v>
      </c>
      <c r="AZ103" s="15" t="n">
        <f aca="false">0</f>
        <v>0</v>
      </c>
      <c r="BA103" s="15" t="n">
        <f aca="false">0</f>
        <v>0</v>
      </c>
      <c r="BB103" s="15" t="n">
        <f aca="false">0</f>
        <v>0</v>
      </c>
      <c r="BC103" s="15" t="n">
        <f aca="false">0</f>
        <v>0</v>
      </c>
      <c r="BD103" s="15" t="n">
        <f aca="false">(BH102)+AC103-AF103-AI103-AS103-K103*(1+Parametri_v3!$C$26)-AL103-AQ103-O103+AW103+AX103+AZ103+BA103-BB103</f>
        <v>96971.7912102592</v>
      </c>
      <c r="BE103" s="15" t="n">
        <f aca="false">0</f>
        <v>0</v>
      </c>
      <c r="BF103" s="15" t="n">
        <f aca="false">0</f>
        <v>0</v>
      </c>
      <c r="BG103" s="15" t="n">
        <f aca="false">0</f>
        <v>0</v>
      </c>
      <c r="BH103" s="15" t="n">
        <f aca="false">BD103+BE103-BF103-AY103</f>
        <v>96971.7912102592</v>
      </c>
      <c r="BI103" s="15" t="n">
        <f aca="false">MAX(0,Parametri_v3!$C$31-BH103)</f>
        <v>0</v>
      </c>
      <c r="BJ103" s="15" t="n">
        <f aca="false">(BJ102)+K103</f>
        <v>15000</v>
      </c>
      <c r="BK103" s="15" t="n">
        <f aca="false">(BK102)+L103</f>
        <v>7166.66666666667</v>
      </c>
      <c r="BL103" s="15" t="n">
        <f aca="false">BJ103-BK103</f>
        <v>7833.33333333333</v>
      </c>
      <c r="BM103" s="15" t="n">
        <f aca="false">(BM102)+Y103</f>
        <v>257398.350214424</v>
      </c>
      <c r="BN103" s="15" t="n">
        <f aca="false">(BN102)+AW103+AX103+AZ103</f>
        <v>20000</v>
      </c>
      <c r="BO103" s="15" t="n">
        <f aca="false">(BO102)+AY103</f>
        <v>0</v>
      </c>
      <c r="BP103" s="15" t="n">
        <f aca="false">MIN(Parametri_v3!$C$36*Parametri_v3!$C$35,(BP102)+IF(3=1,MAX(0,SUM(Y89:Y100))*Parametri_v3!$C$34,0))</f>
        <v>2000</v>
      </c>
      <c r="BQ103" s="15" t="n">
        <f aca="false">BN103+BM103-BO103</f>
        <v>277398.350214424</v>
      </c>
      <c r="BR103" s="15" t="n">
        <f aca="false">BH103+AD103+BL103+MAX(0,-AM103)+MAX(0,-AR103)</f>
        <v>435089.624543592</v>
      </c>
      <c r="BS103" s="15" t="n">
        <f aca="false">AJ103+AV103+MAX(0,AM103)+MAX(0,AR103)+BC103+BG103+BQ103+AG103</f>
        <v>435089.624543593</v>
      </c>
      <c r="BT103" s="15" t="n">
        <f aca="false">BR103-BS103</f>
        <v>0</v>
      </c>
      <c r="BU103" s="15" t="n">
        <f aca="false">BH103-(BD103+BE103-BF103-AY103)</f>
        <v>0</v>
      </c>
      <c r="BV103" s="15" t="n">
        <f aca="false">IF(BH102&lt;Parametri_v3!$C$31,0,BV102+1)</f>
        <v>10</v>
      </c>
    </row>
    <row r="104" customFormat="false" ht="18" hidden="false" customHeight="true" outlineLevel="0" collapsed="false">
      <c r="A104" s="68" t="n">
        <f aca="false">2</f>
        <v>2</v>
      </c>
      <c r="B104" s="68" t="n">
        <f aca="false">40</f>
        <v>40</v>
      </c>
      <c r="C104" s="18" t="n">
        <f aca="false">Motore_Operativo!C104</f>
        <v>47574</v>
      </c>
      <c r="D104" s="68" t="n">
        <f aca="false">Motore_Operativo!D104</f>
        <v>2030</v>
      </c>
      <c r="E104" s="68" t="n">
        <f aca="false">Motore_Operativo!E104</f>
        <v>4</v>
      </c>
      <c r="F104" s="15" t="n">
        <f aca="false">Motore_Operativo!AM104</f>
        <v>90241.6666666667</v>
      </c>
      <c r="G104" s="15" t="n">
        <f aca="false">Motore_Operativo!BH104</f>
        <v>9024.16666666667</v>
      </c>
      <c r="H104" s="15" t="n">
        <f aca="false">Motore_Operativo!AM104</f>
        <v>90241.6666666667</v>
      </c>
      <c r="I104" s="15" t="n">
        <f aca="false">Motore_Operativo!CB104</f>
        <v>62580.173375</v>
      </c>
      <c r="J104" s="15" t="n">
        <f aca="false">Motore_Operativo!CD104</f>
        <v>27661.4932916667</v>
      </c>
      <c r="K104" s="15" t="n">
        <f aca="false">Motore_Operativo!CF104</f>
        <v>666.666666666667</v>
      </c>
      <c r="L104" s="15" t="n">
        <f aca="false">SUM(INDEX($K$65:$K$124,MAX(1,40-Parametri_v3!$C$59+1)):K104)/Parametri_v3!$C$59</f>
        <v>407.407407407407</v>
      </c>
      <c r="M104" s="15" t="n">
        <f aca="false">J104-L104</f>
        <v>27254.0858842593</v>
      </c>
      <c r="N104" s="15" t="n">
        <f aca="false">0</f>
        <v>0</v>
      </c>
      <c r="O104" s="15" t="n">
        <f aca="false">0</f>
        <v>0</v>
      </c>
      <c r="P104" s="15" t="n">
        <f aca="false">M104+N104-O104</f>
        <v>27254.0858842593</v>
      </c>
      <c r="Q104" s="15" t="n">
        <f aca="false">SUM(P101:P104)+Parametri_v3!$C$56*4/12</f>
        <v>109085.787981481</v>
      </c>
      <c r="R104" s="15" t="n">
        <f aca="false">Z100</f>
        <v>0</v>
      </c>
      <c r="S104" s="15" t="n">
        <f aca="false">AA100</f>
        <v>0</v>
      </c>
      <c r="T104" s="15" t="n">
        <f aca="false">MIN(R104,MAX(0,Q104))</f>
        <v>0</v>
      </c>
      <c r="U104" s="15" t="n">
        <f aca="false">MIN(S104,MAX(0,Q104-T104)*Parametri_v3!$C$42)</f>
        <v>0</v>
      </c>
      <c r="V104" s="15" t="n">
        <f aca="false">MAX(0,Q104-T104-U104)*Ipotesi!$C$92</f>
        <v>26180.5891155556</v>
      </c>
      <c r="W104" s="15" t="n">
        <f aca="false">MAX(0,SUM(M101:M104)+Parametri_v3!$C$57*4/12)*Ipotesi!$C$93</f>
        <v>4254.34573127778</v>
      </c>
      <c r="X104" s="15" t="n">
        <f aca="false">V104+W104-(V103+W103)</f>
        <v>7603.88996170833</v>
      </c>
      <c r="Y104" s="15" t="n">
        <f aca="false">P104-X104</f>
        <v>19650.1959225509</v>
      </c>
      <c r="Z104" s="15" t="n">
        <f aca="false">R104-T104+IF(AND(Parametri_v3!$C$40=1,D104-YEAR(Parametri_v3!$C$50)&lt;Parametri_v3!$C$41),MAX(0,-Q104),0)</f>
        <v>0</v>
      </c>
      <c r="AA104" s="15" t="n">
        <f aca="false">S104-U104+IF(AND(Parametri_v3!$C$40=1,D104-YEAR(Parametri_v3!$C$50)&lt;Parametri_v3!$C$41),0,MAX(0,-Q104))</f>
        <v>0</v>
      </c>
      <c r="AB104" s="15" t="n">
        <f aca="false">F104*(1+Parametri_v3!$C$26)</f>
        <v>110094.833333333</v>
      </c>
      <c r="AC104" s="15" t="n">
        <f aca="false">(IF(40-(INT((Motore_Operativo!L104)/30))&lt;1,0,INDEX(Motore_Advisory!$AB$65:$AB$124,MAX(1,40-(INT((Motore_Operativo!L104)/30)))))*(1-(MOD((Motore_Operativo!L104),30)/30))+IF(40-(INT((Motore_Operativo!L104)/30))-1&lt;1,0,INDEX(Motore_Advisory!$AB$65:$AB$124,MAX(1,40-(INT((Motore_Operativo!L104)/30))-1)))*(MOD((Motore_Operativo!L104),30)/30))</f>
        <v>110094.833333333</v>
      </c>
      <c r="AD104" s="15" t="n">
        <f aca="false">(AD103)+AB104-AC104</f>
        <v>330284.5</v>
      </c>
      <c r="AE104" s="15" t="n">
        <f aca="false">Motore_Operativo!BH104*(1+Parametri_v3!$C$26)</f>
        <v>11009.4833333333</v>
      </c>
      <c r="AF104" s="15" t="n">
        <f aca="false">(IF(40-(INT((Parametri_v3!$C$29)/30))&lt;1,0,INDEX(Motore_Operativo!$BH$65:$BH$124,MAX(1,40-(INT((Parametri_v3!$C$29)/30)))))*(1-(MOD((Parametri_v3!$C$29),30)/30))+IF(40-(INT((Parametri_v3!$C$29)/30))-1&lt;1,0,INDEX(Motore_Operativo!$BH$65:$BH$124,MAX(1,40-(INT((Parametri_v3!$C$29)/30))-1)))*(MOD((Parametri_v3!$C$29),30)/30))*(1+Parametri_v3!$C$26)</f>
        <v>11009.4833333333</v>
      </c>
      <c r="AG104" s="15" t="n">
        <f aca="false">(AG103)+AE104-AF104</f>
        <v>11009.4833333333</v>
      </c>
      <c r="AH104" s="15" t="n">
        <f aca="false">(Motore_Operativo!CK104)*(1+Parametri_v3!$C$28*Parametri_v3!$C$26)</f>
        <v>23198.952</v>
      </c>
      <c r="AI104" s="15" t="n">
        <f aca="false">(IF(40-(INT((Ipotesi!$C$91)/30))&lt;1,0,INDEX(Motore_Advisory!$AH$65:$AH$124,MAX(1,40-(INT((Ipotesi!$C$91)/30)))))*(1-(MOD((Ipotesi!$C$91),30)/30))+IF(40-(INT((Ipotesi!$C$91)/30))-1&lt;1,0,INDEX(Motore_Advisory!$AH$65:$AH$124,MAX(1,40-(INT((Ipotesi!$C$91)/30))-1)))*(MOD((Ipotesi!$C$91),30)/30))</f>
        <v>23198.952</v>
      </c>
      <c r="AJ104" s="15" t="n">
        <f aca="false">(AJ103)+AH104-AI104</f>
        <v>46397.904</v>
      </c>
      <c r="AK104" s="15" t="n">
        <f aca="false">(F104- Motore_Operativo!BH104-(Motore_Operativo!CK104)*Parametri_v3!$C$28-Motore_Operativo!CF104)*Parametri_v3!$C$26</f>
        <v>14249.2313333333</v>
      </c>
      <c r="AL104" s="15" t="n">
        <f aca="false">MAX(0,(AM103))</f>
        <v>14249.2313333333</v>
      </c>
      <c r="AM104" s="15" t="n">
        <f aca="false">(AM103)+AK104-AL104</f>
        <v>14249.2313333333</v>
      </c>
      <c r="AN104" s="15" t="n">
        <f aca="false">SUM(X89:X100)</f>
        <v>46679.99375</v>
      </c>
      <c r="AO104" s="15" t="n">
        <f aca="false">SUM(AP89:AP100)</f>
        <v>16530.1714788732</v>
      </c>
      <c r="AP104" s="15" t="n">
        <f aca="false">MAX(0,AN104)*IF(4=Parametri_v3!$C$43,Parametri_v3!$C$45,IF(4=Parametri_v3!$C$44,1-Parametri_v3!$C$45,0))</f>
        <v>0</v>
      </c>
      <c r="AQ104" s="15" t="n">
        <f aca="false">MAX(0,AP104+IF(4=Parametri_v3!$C$43,MAX(0,AN104-AO104),0)-MAX(0,-(AR103)))</f>
        <v>0</v>
      </c>
      <c r="AR104" s="15" t="n">
        <f aca="false">(AR103)+X104-AQ104</f>
        <v>60584.7571179601</v>
      </c>
      <c r="AS104" s="15" t="n">
        <f aca="false">Motore_Operativo!AC104-AT104+AU104</f>
        <v>32137.5563729167</v>
      </c>
      <c r="AT104" s="15" t="n">
        <f aca="false">Motore_Operativo!CI104</f>
        <v>1691.45033541667</v>
      </c>
      <c r="AU104" s="15" t="n">
        <f aca="false">MIN(MAX(0,(AV103)+AT104),Parametri_v3!$C$61/12)</f>
        <v>0</v>
      </c>
      <c r="AV104" s="15" t="n">
        <f aca="false">(AV103)+AT104-AU104</f>
        <v>34745.2388416667</v>
      </c>
      <c r="AW104" s="15" t="n">
        <f aca="false">IF(AND(Motore_Operativo!C104=Finanziamenti!$D$7,Finanziamenti!$F$7=1),Finanziamenti!$C$7,0)</f>
        <v>0</v>
      </c>
      <c r="AX104" s="15" t="n">
        <f aca="false">0</f>
        <v>0</v>
      </c>
      <c r="AY104" s="15" t="n">
        <f aca="false">IF(4=Parametri_v3!$C$33,IF(BV104&lt;MIN(12,$B104-1),0,MIN(MAX(0,SUM(Y89:Y100))*Ipotesi!$C$94,MAX(0,(BM100)-(BO103)-BP104),MAX(0,BD104-Parametri_v3!$C$31))),0)</f>
        <v>0</v>
      </c>
      <c r="AZ104" s="15" t="n">
        <f aca="false">0</f>
        <v>0</v>
      </c>
      <c r="BA104" s="15" t="n">
        <f aca="false">0</f>
        <v>0</v>
      </c>
      <c r="BB104" s="15" t="n">
        <f aca="false">0</f>
        <v>0</v>
      </c>
      <c r="BC104" s="15" t="n">
        <f aca="false">0</f>
        <v>0</v>
      </c>
      <c r="BD104" s="15" t="n">
        <f aca="false">(BH103)+AC104-AF104-AI104-AS104-K104*(1+Parametri_v3!$C$26)-AL104-AQ104-O104+AW104+AX104+AZ104+BA104-BB104</f>
        <v>125658.068170676</v>
      </c>
      <c r="BE104" s="15" t="n">
        <f aca="false">0</f>
        <v>0</v>
      </c>
      <c r="BF104" s="15" t="n">
        <f aca="false">0</f>
        <v>0</v>
      </c>
      <c r="BG104" s="15" t="n">
        <f aca="false">0</f>
        <v>0</v>
      </c>
      <c r="BH104" s="15" t="n">
        <f aca="false">BD104+BE104-BF104-AY104</f>
        <v>125658.068170676</v>
      </c>
      <c r="BI104" s="15" t="n">
        <f aca="false">MAX(0,Parametri_v3!$C$31-BH104)</f>
        <v>0</v>
      </c>
      <c r="BJ104" s="15" t="n">
        <f aca="false">(BJ103)+K104</f>
        <v>15666.6666666667</v>
      </c>
      <c r="BK104" s="15" t="n">
        <f aca="false">(BK103)+L104</f>
        <v>7574.07407407407</v>
      </c>
      <c r="BL104" s="15" t="n">
        <f aca="false">BJ104-BK104</f>
        <v>8092.59259259259</v>
      </c>
      <c r="BM104" s="15" t="n">
        <f aca="false">(BM103)+Y104</f>
        <v>277048.546136975</v>
      </c>
      <c r="BN104" s="15" t="n">
        <f aca="false">(BN103)+AW104+AX104+AZ104</f>
        <v>20000</v>
      </c>
      <c r="BO104" s="15" t="n">
        <f aca="false">(BO103)+AY104</f>
        <v>0</v>
      </c>
      <c r="BP104" s="15" t="n">
        <f aca="false">MIN(Parametri_v3!$C$36*Parametri_v3!$C$35,(BP103)+IF(4=1,MAX(0,SUM(Y89:Y100))*Parametri_v3!$C$34,0))</f>
        <v>2000</v>
      </c>
      <c r="BQ104" s="15" t="n">
        <f aca="false">BN104+BM104-BO104</f>
        <v>297048.546136975</v>
      </c>
      <c r="BR104" s="15" t="n">
        <f aca="false">BH104+AD104+BL104+MAX(0,-AM104)+MAX(0,-AR104)</f>
        <v>464035.160763268</v>
      </c>
      <c r="BS104" s="15" t="n">
        <f aca="false">AJ104+AV104+MAX(0,AM104)+MAX(0,AR104)+BC104+BG104+BQ104+AG104</f>
        <v>464035.160763268</v>
      </c>
      <c r="BT104" s="15" t="n">
        <f aca="false">BR104-BS104</f>
        <v>0</v>
      </c>
      <c r="BU104" s="15" t="n">
        <f aca="false">BH104-(BD104+BE104-BF104-AY104)</f>
        <v>0</v>
      </c>
      <c r="BV104" s="15" t="n">
        <f aca="false">IF(BH103&lt;Parametri_v3!$C$31,0,BV103+1)</f>
        <v>11</v>
      </c>
    </row>
    <row r="105" customFormat="false" ht="18" hidden="false" customHeight="true" outlineLevel="0" collapsed="false">
      <c r="A105" s="68" t="n">
        <f aca="false">2</f>
        <v>2</v>
      </c>
      <c r="B105" s="68" t="n">
        <f aca="false">41</f>
        <v>41</v>
      </c>
      <c r="C105" s="18" t="n">
        <f aca="false">Motore_Operativo!C105</f>
        <v>47604</v>
      </c>
      <c r="D105" s="68" t="n">
        <f aca="false">Motore_Operativo!D105</f>
        <v>2030</v>
      </c>
      <c r="E105" s="68" t="n">
        <f aca="false">Motore_Operativo!E105</f>
        <v>5</v>
      </c>
      <c r="F105" s="15" t="n">
        <f aca="false">Motore_Operativo!AM105</f>
        <v>90241.6666666667</v>
      </c>
      <c r="G105" s="15" t="n">
        <f aca="false">Motore_Operativo!BH105</f>
        <v>9024.16666666667</v>
      </c>
      <c r="H105" s="15" t="n">
        <f aca="false">Motore_Operativo!AM105</f>
        <v>90241.6666666667</v>
      </c>
      <c r="I105" s="15" t="n">
        <f aca="false">Motore_Operativo!CB105</f>
        <v>62580.173375</v>
      </c>
      <c r="J105" s="15" t="n">
        <f aca="false">Motore_Operativo!CD105</f>
        <v>27661.4932916667</v>
      </c>
      <c r="K105" s="15" t="n">
        <f aca="false">Motore_Operativo!CF105</f>
        <v>666.666666666667</v>
      </c>
      <c r="L105" s="15" t="n">
        <f aca="false">SUM(INDEX($K$65:$K$124,MAX(1,41-Parametri_v3!$C$59+1)):K105)/Parametri_v3!$C$59</f>
        <v>418.981481481482</v>
      </c>
      <c r="M105" s="15" t="n">
        <f aca="false">J105-L105</f>
        <v>27242.5118101852</v>
      </c>
      <c r="N105" s="15" t="n">
        <f aca="false">0</f>
        <v>0</v>
      </c>
      <c r="O105" s="15" t="n">
        <f aca="false">0</f>
        <v>0</v>
      </c>
      <c r="P105" s="15" t="n">
        <f aca="false">M105+N105-O105</f>
        <v>27242.5118101852</v>
      </c>
      <c r="Q105" s="15" t="n">
        <f aca="false">SUM(P101:P105)+Parametri_v3!$C$56*5/12</f>
        <v>136328.299791667</v>
      </c>
      <c r="R105" s="15" t="n">
        <f aca="false">Z100</f>
        <v>0</v>
      </c>
      <c r="S105" s="15" t="n">
        <f aca="false">AA100</f>
        <v>0</v>
      </c>
      <c r="T105" s="15" t="n">
        <f aca="false">MIN(R105,MAX(0,Q105))</f>
        <v>0</v>
      </c>
      <c r="U105" s="15" t="n">
        <f aca="false">MIN(S105,MAX(0,Q105-T105)*Parametri_v3!$C$42)</f>
        <v>0</v>
      </c>
      <c r="V105" s="15" t="n">
        <f aca="false">MAX(0,Q105-T105-U105)*Ipotesi!$C$92</f>
        <v>32718.79195</v>
      </c>
      <c r="W105" s="15" t="n">
        <f aca="false">MAX(0,SUM(M101:M105)+Parametri_v3!$C$57*5/12)*Ipotesi!$C$93</f>
        <v>5316.803691875</v>
      </c>
      <c r="X105" s="15" t="n">
        <f aca="false">V105+W105-(V104+W104)</f>
        <v>7600.66079504167</v>
      </c>
      <c r="Y105" s="15" t="n">
        <f aca="false">P105-X105</f>
        <v>19641.8510151435</v>
      </c>
      <c r="Z105" s="15" t="n">
        <f aca="false">R105-T105+IF(AND(Parametri_v3!$C$40=1,D105-YEAR(Parametri_v3!$C$50)&lt;Parametri_v3!$C$41),MAX(0,-Q105),0)</f>
        <v>0</v>
      </c>
      <c r="AA105" s="15" t="n">
        <f aca="false">S105-U105+IF(AND(Parametri_v3!$C$40=1,D105-YEAR(Parametri_v3!$C$50)&lt;Parametri_v3!$C$41),0,MAX(0,-Q105))</f>
        <v>0</v>
      </c>
      <c r="AB105" s="15" t="n">
        <f aca="false">F105*(1+Parametri_v3!$C$26)</f>
        <v>110094.833333333</v>
      </c>
      <c r="AC105" s="15" t="n">
        <f aca="false">(IF(41-(INT((Motore_Operativo!L105)/30))&lt;1,0,INDEX(Motore_Advisory!$AB$65:$AB$124,MAX(1,41-(INT((Motore_Operativo!L105)/30)))))*(1-(MOD((Motore_Operativo!L105),30)/30))+IF(41-(INT((Motore_Operativo!L105)/30))-1&lt;1,0,INDEX(Motore_Advisory!$AB$65:$AB$124,MAX(1,41-(INT((Motore_Operativo!L105)/30))-1)))*(MOD((Motore_Operativo!L105),30)/30))</f>
        <v>110094.833333333</v>
      </c>
      <c r="AD105" s="15" t="n">
        <f aca="false">(AD104)+AB105-AC105</f>
        <v>330284.5</v>
      </c>
      <c r="AE105" s="15" t="n">
        <f aca="false">Motore_Operativo!BH105*(1+Parametri_v3!$C$26)</f>
        <v>11009.4833333333</v>
      </c>
      <c r="AF105" s="15" t="n">
        <f aca="false">(IF(41-(INT((Parametri_v3!$C$29)/30))&lt;1,0,INDEX(Motore_Operativo!$BH$65:$BH$124,MAX(1,41-(INT((Parametri_v3!$C$29)/30)))))*(1-(MOD((Parametri_v3!$C$29),30)/30))+IF(41-(INT((Parametri_v3!$C$29)/30))-1&lt;1,0,INDEX(Motore_Operativo!$BH$65:$BH$124,MAX(1,41-(INT((Parametri_v3!$C$29)/30))-1)))*(MOD((Parametri_v3!$C$29),30)/30))*(1+Parametri_v3!$C$26)</f>
        <v>11009.4833333333</v>
      </c>
      <c r="AG105" s="15" t="n">
        <f aca="false">(AG104)+AE105-AF105</f>
        <v>11009.4833333333</v>
      </c>
      <c r="AH105" s="15" t="n">
        <f aca="false">(Motore_Operativo!CK105)*(1+Parametri_v3!$C$28*Parametri_v3!$C$26)</f>
        <v>23198.952</v>
      </c>
      <c r="AI105" s="15" t="n">
        <f aca="false">(IF(41-(INT((Ipotesi!$C$91)/30))&lt;1,0,INDEX(Motore_Advisory!$AH$65:$AH$124,MAX(1,41-(INT((Ipotesi!$C$91)/30)))))*(1-(MOD((Ipotesi!$C$91),30)/30))+IF(41-(INT((Ipotesi!$C$91)/30))-1&lt;1,0,INDEX(Motore_Advisory!$AH$65:$AH$124,MAX(1,41-(INT((Ipotesi!$C$91)/30))-1)))*(MOD((Ipotesi!$C$91),30)/30))</f>
        <v>23198.952</v>
      </c>
      <c r="AJ105" s="15" t="n">
        <f aca="false">(AJ104)+AH105-AI105</f>
        <v>46397.904</v>
      </c>
      <c r="AK105" s="15" t="n">
        <f aca="false">(F105- Motore_Operativo!BH105-(Motore_Operativo!CK105)*Parametri_v3!$C$28-Motore_Operativo!CF105)*Parametri_v3!$C$26</f>
        <v>14249.2313333333</v>
      </c>
      <c r="AL105" s="15" t="n">
        <f aca="false">MAX(0,(AM104))</f>
        <v>14249.2313333333</v>
      </c>
      <c r="AM105" s="15" t="n">
        <f aca="false">(AM104)+AK105-AL105</f>
        <v>14249.2313333333</v>
      </c>
      <c r="AN105" s="15" t="n">
        <f aca="false">SUM(X89:X100)</f>
        <v>46679.99375</v>
      </c>
      <c r="AO105" s="15" t="n">
        <f aca="false">SUM(AP89:AP100)</f>
        <v>16530.1714788732</v>
      </c>
      <c r="AP105" s="15" t="n">
        <f aca="false">MAX(0,AN105)*IF(5=Parametri_v3!$C$43,Parametri_v3!$C$45,IF(5=Parametri_v3!$C$44,1-Parametri_v3!$C$45,0))</f>
        <v>0</v>
      </c>
      <c r="AQ105" s="15" t="n">
        <f aca="false">MAX(0,AP105+IF(5=Parametri_v3!$C$43,MAX(0,AN105-AO105),0)-MAX(0,-(AR104)))</f>
        <v>0</v>
      </c>
      <c r="AR105" s="15" t="n">
        <f aca="false">(AR104)+X105-AQ105</f>
        <v>68185.4179130018</v>
      </c>
      <c r="AS105" s="15" t="n">
        <f aca="false">Motore_Operativo!AC105-AT105+AU105</f>
        <v>32137.5563729167</v>
      </c>
      <c r="AT105" s="15" t="n">
        <f aca="false">Motore_Operativo!CI105</f>
        <v>1691.45033541667</v>
      </c>
      <c r="AU105" s="15" t="n">
        <f aca="false">MIN(MAX(0,(AV104)+AT105),Parametri_v3!$C$61/12)</f>
        <v>0</v>
      </c>
      <c r="AV105" s="15" t="n">
        <f aca="false">(AV104)+AT105-AU105</f>
        <v>36436.6891770833</v>
      </c>
      <c r="AW105" s="15" t="n">
        <f aca="false">IF(AND(Motore_Operativo!C105=Finanziamenti!$D$7,Finanziamenti!$F$7=1),Finanziamenti!$C$7,0)</f>
        <v>0</v>
      </c>
      <c r="AX105" s="15" t="n">
        <f aca="false">0</f>
        <v>0</v>
      </c>
      <c r="AY105" s="15" t="n">
        <f aca="false">IF(5=Parametri_v3!$C$33,IF(BV105&lt;MIN(12,$B105-1),0,MIN(MAX(0,SUM(Y89:Y100))*Ipotesi!$C$94,MAX(0,(BM100)-(BO104)-BP105),MAX(0,BD105-Parametri_v3!$C$31))),0)</f>
        <v>0</v>
      </c>
      <c r="AZ105" s="15" t="n">
        <f aca="false">0</f>
        <v>0</v>
      </c>
      <c r="BA105" s="15" t="n">
        <f aca="false">0</f>
        <v>0</v>
      </c>
      <c r="BB105" s="15" t="n">
        <f aca="false">0</f>
        <v>0</v>
      </c>
      <c r="BC105" s="15" t="n">
        <f aca="false">0</f>
        <v>0</v>
      </c>
      <c r="BD105" s="15" t="n">
        <f aca="false">(BH104)+AC105-AF105-AI105-AS105-K105*(1+Parametri_v3!$C$26)-AL105-AQ105-O105+AW105+AX105+AZ105+BA105-BB105</f>
        <v>154344.345131092</v>
      </c>
      <c r="BE105" s="15" t="n">
        <f aca="false">0</f>
        <v>0</v>
      </c>
      <c r="BF105" s="15" t="n">
        <f aca="false">0</f>
        <v>0</v>
      </c>
      <c r="BG105" s="15" t="n">
        <f aca="false">0</f>
        <v>0</v>
      </c>
      <c r="BH105" s="15" t="n">
        <f aca="false">BD105+BE105-BF105-AY105</f>
        <v>154344.345131092</v>
      </c>
      <c r="BI105" s="15" t="n">
        <f aca="false">MAX(0,Parametri_v3!$C$31-BH105)</f>
        <v>0</v>
      </c>
      <c r="BJ105" s="15" t="n">
        <f aca="false">(BJ104)+K105</f>
        <v>16333.3333333333</v>
      </c>
      <c r="BK105" s="15" t="n">
        <f aca="false">(BK104)+L105</f>
        <v>7993.05555555556</v>
      </c>
      <c r="BL105" s="15" t="n">
        <f aca="false">BJ105-BK105</f>
        <v>8340.27777777777</v>
      </c>
      <c r="BM105" s="15" t="n">
        <f aca="false">(BM104)+Y105</f>
        <v>296690.397152119</v>
      </c>
      <c r="BN105" s="15" t="n">
        <f aca="false">(BN104)+AW105+AX105+AZ105</f>
        <v>20000</v>
      </c>
      <c r="BO105" s="15" t="n">
        <f aca="false">(BO104)+AY105</f>
        <v>0</v>
      </c>
      <c r="BP105" s="15" t="n">
        <f aca="false">MIN(Parametri_v3!$C$36*Parametri_v3!$C$35,(BP104)+IF(5=1,MAX(0,SUM(Y89:Y100))*Parametri_v3!$C$34,0))</f>
        <v>2000</v>
      </c>
      <c r="BQ105" s="15" t="n">
        <f aca="false">BN105+BM105-BO105</f>
        <v>316690.397152119</v>
      </c>
      <c r="BR105" s="15" t="n">
        <f aca="false">BH105+AD105+BL105+MAX(0,-AM105)+MAX(0,-AR105)</f>
        <v>492969.12290887</v>
      </c>
      <c r="BS105" s="15" t="n">
        <f aca="false">AJ105+AV105+MAX(0,AM105)+MAX(0,AR105)+BC105+BG105+BQ105+AG105</f>
        <v>492969.12290887</v>
      </c>
      <c r="BT105" s="15" t="n">
        <f aca="false">BR105-BS105</f>
        <v>0</v>
      </c>
      <c r="BU105" s="15" t="n">
        <f aca="false">BH105-(BD105+BE105-BF105-AY105)</f>
        <v>0</v>
      </c>
      <c r="BV105" s="15" t="n">
        <f aca="false">IF(BH104&lt;Parametri_v3!$C$31,0,BV104+1)</f>
        <v>12</v>
      </c>
    </row>
    <row r="106" customFormat="false" ht="18" hidden="false" customHeight="true" outlineLevel="0" collapsed="false">
      <c r="A106" s="68" t="n">
        <f aca="false">2</f>
        <v>2</v>
      </c>
      <c r="B106" s="68" t="n">
        <f aca="false">42</f>
        <v>42</v>
      </c>
      <c r="C106" s="18" t="n">
        <f aca="false">Motore_Operativo!C106</f>
        <v>47635</v>
      </c>
      <c r="D106" s="68" t="n">
        <f aca="false">Motore_Operativo!D106</f>
        <v>2030</v>
      </c>
      <c r="E106" s="68" t="n">
        <f aca="false">Motore_Operativo!E106</f>
        <v>6</v>
      </c>
      <c r="F106" s="15" t="n">
        <f aca="false">Motore_Operativo!AM106</f>
        <v>90241.6666666667</v>
      </c>
      <c r="G106" s="15" t="n">
        <f aca="false">Motore_Operativo!BH106</f>
        <v>9024.16666666667</v>
      </c>
      <c r="H106" s="15" t="n">
        <f aca="false">Motore_Operativo!AM106</f>
        <v>90241.6666666667</v>
      </c>
      <c r="I106" s="15" t="n">
        <f aca="false">Motore_Operativo!CB106</f>
        <v>62580.173375</v>
      </c>
      <c r="J106" s="15" t="n">
        <f aca="false">Motore_Operativo!CD106</f>
        <v>27661.4932916667</v>
      </c>
      <c r="K106" s="15" t="n">
        <f aca="false">Motore_Operativo!CF106</f>
        <v>666.666666666667</v>
      </c>
      <c r="L106" s="15" t="n">
        <f aca="false">SUM(INDEX($K$65:$K$124,MAX(1,42-Parametri_v3!$C$59+1)):K106)/Parametri_v3!$C$59</f>
        <v>430.555555555556</v>
      </c>
      <c r="M106" s="15" t="n">
        <f aca="false">J106-L106</f>
        <v>27230.9377361111</v>
      </c>
      <c r="N106" s="15" t="n">
        <f aca="false">0</f>
        <v>0</v>
      </c>
      <c r="O106" s="15" t="n">
        <f aca="false">0</f>
        <v>0</v>
      </c>
      <c r="P106" s="15" t="n">
        <f aca="false">M106+N106-O106</f>
        <v>27230.9377361111</v>
      </c>
      <c r="Q106" s="15" t="n">
        <f aca="false">SUM(P101:P106)+Parametri_v3!$C$56*6/12</f>
        <v>163559.237527778</v>
      </c>
      <c r="R106" s="15" t="n">
        <f aca="false">Z100</f>
        <v>0</v>
      </c>
      <c r="S106" s="15" t="n">
        <f aca="false">AA100</f>
        <v>0</v>
      </c>
      <c r="T106" s="15" t="n">
        <f aca="false">MIN(R106,MAX(0,Q106))</f>
        <v>0</v>
      </c>
      <c r="U106" s="15" t="n">
        <f aca="false">MIN(S106,MAX(0,Q106-T106)*Parametri_v3!$C$42)</f>
        <v>0</v>
      </c>
      <c r="V106" s="15" t="n">
        <f aca="false">MAX(0,Q106-T106-U106)*Ipotesi!$C$92</f>
        <v>39254.2170066667</v>
      </c>
      <c r="W106" s="15" t="n">
        <f aca="false">MAX(0,SUM(M101:M106)+Parametri_v3!$C$57*6/12)*Ipotesi!$C$93</f>
        <v>6378.81026358333</v>
      </c>
      <c r="X106" s="15" t="n">
        <f aca="false">V106+W106-(V105+W105)</f>
        <v>7597.43162837499</v>
      </c>
      <c r="Y106" s="15" t="n">
        <f aca="false">P106-X106</f>
        <v>19633.5061077361</v>
      </c>
      <c r="Z106" s="15" t="n">
        <f aca="false">R106-T106+IF(AND(Parametri_v3!$C$40=1,D106-YEAR(Parametri_v3!$C$50)&lt;Parametri_v3!$C$41),MAX(0,-Q106),0)</f>
        <v>0</v>
      </c>
      <c r="AA106" s="15" t="n">
        <f aca="false">S106-U106+IF(AND(Parametri_v3!$C$40=1,D106-YEAR(Parametri_v3!$C$50)&lt;Parametri_v3!$C$41),0,MAX(0,-Q106))</f>
        <v>0</v>
      </c>
      <c r="AB106" s="15" t="n">
        <f aca="false">F106*(1+Parametri_v3!$C$26)</f>
        <v>110094.833333333</v>
      </c>
      <c r="AC106" s="15" t="n">
        <f aca="false">(IF(42-(INT((Motore_Operativo!L106)/30))&lt;1,0,INDEX(Motore_Advisory!$AB$65:$AB$124,MAX(1,42-(INT((Motore_Operativo!L106)/30)))))*(1-(MOD((Motore_Operativo!L106),30)/30))+IF(42-(INT((Motore_Operativo!L106)/30))-1&lt;1,0,INDEX(Motore_Advisory!$AB$65:$AB$124,MAX(1,42-(INT((Motore_Operativo!L106)/30))-1)))*(MOD((Motore_Operativo!L106),30)/30))</f>
        <v>110094.833333333</v>
      </c>
      <c r="AD106" s="15" t="n">
        <f aca="false">(AD105)+AB106-AC106</f>
        <v>330284.5</v>
      </c>
      <c r="AE106" s="15" t="n">
        <f aca="false">Motore_Operativo!BH106*(1+Parametri_v3!$C$26)</f>
        <v>11009.4833333333</v>
      </c>
      <c r="AF106" s="15" t="n">
        <f aca="false">(IF(42-(INT((Parametri_v3!$C$29)/30))&lt;1,0,INDEX(Motore_Operativo!$BH$65:$BH$124,MAX(1,42-(INT((Parametri_v3!$C$29)/30)))))*(1-(MOD((Parametri_v3!$C$29),30)/30))+IF(42-(INT((Parametri_v3!$C$29)/30))-1&lt;1,0,INDEX(Motore_Operativo!$BH$65:$BH$124,MAX(1,42-(INT((Parametri_v3!$C$29)/30))-1)))*(MOD((Parametri_v3!$C$29),30)/30))*(1+Parametri_v3!$C$26)</f>
        <v>11009.4833333333</v>
      </c>
      <c r="AG106" s="15" t="n">
        <f aca="false">(AG105)+AE106-AF106</f>
        <v>11009.4833333333</v>
      </c>
      <c r="AH106" s="15" t="n">
        <f aca="false">(Motore_Operativo!CK106)*(1+Parametri_v3!$C$28*Parametri_v3!$C$26)</f>
        <v>23198.952</v>
      </c>
      <c r="AI106" s="15" t="n">
        <f aca="false">(IF(42-(INT((Ipotesi!$C$91)/30))&lt;1,0,INDEX(Motore_Advisory!$AH$65:$AH$124,MAX(1,42-(INT((Ipotesi!$C$91)/30)))))*(1-(MOD((Ipotesi!$C$91),30)/30))+IF(42-(INT((Ipotesi!$C$91)/30))-1&lt;1,0,INDEX(Motore_Advisory!$AH$65:$AH$124,MAX(1,42-(INT((Ipotesi!$C$91)/30))-1)))*(MOD((Ipotesi!$C$91),30)/30))</f>
        <v>23198.952</v>
      </c>
      <c r="AJ106" s="15" t="n">
        <f aca="false">(AJ105)+AH106-AI106</f>
        <v>46397.904</v>
      </c>
      <c r="AK106" s="15" t="n">
        <f aca="false">(F106- Motore_Operativo!BH106-(Motore_Operativo!CK106)*Parametri_v3!$C$28-Motore_Operativo!CF106)*Parametri_v3!$C$26</f>
        <v>14249.2313333333</v>
      </c>
      <c r="AL106" s="15" t="n">
        <f aca="false">MAX(0,(AM105))</f>
        <v>14249.2313333333</v>
      </c>
      <c r="AM106" s="15" t="n">
        <f aca="false">(AM105)+AK106-AL106</f>
        <v>14249.2313333333</v>
      </c>
      <c r="AN106" s="15" t="n">
        <f aca="false">SUM(X89:X100)</f>
        <v>46679.99375</v>
      </c>
      <c r="AO106" s="15" t="n">
        <f aca="false">SUM(AP89:AP100)</f>
        <v>16530.1714788732</v>
      </c>
      <c r="AP106" s="15" t="n">
        <f aca="false">MAX(0,AN106)*IF(6=Parametri_v3!$C$43,Parametri_v3!$C$45,IF(6=Parametri_v3!$C$44,1-Parametri_v3!$C$45,0))</f>
        <v>18671.9975</v>
      </c>
      <c r="AQ106" s="15" t="n">
        <f aca="false">MAX(0,AP106+IF(6=Parametri_v3!$C$43,MAX(0,AN106-AO106),0)-MAX(0,-(AR105)))</f>
        <v>48821.8197711268</v>
      </c>
      <c r="AR106" s="15" t="n">
        <f aca="false">(AR105)+X106-AQ106</f>
        <v>26961.02977025</v>
      </c>
      <c r="AS106" s="15" t="n">
        <f aca="false">Motore_Operativo!AC106-AT106+AU106</f>
        <v>32137.5563729167</v>
      </c>
      <c r="AT106" s="15" t="n">
        <f aca="false">Motore_Operativo!CI106</f>
        <v>1691.45033541667</v>
      </c>
      <c r="AU106" s="15" t="n">
        <f aca="false">MIN(MAX(0,(AV105)+AT106),Parametri_v3!$C$61/12)</f>
        <v>0</v>
      </c>
      <c r="AV106" s="15" t="n">
        <f aca="false">(AV105)+AT106-AU106</f>
        <v>38128.1395125</v>
      </c>
      <c r="AW106" s="15" t="n">
        <f aca="false">IF(AND(Motore_Operativo!C106=Finanziamenti!$D$7,Finanziamenti!$F$7=1),Finanziamenti!$C$7,0)</f>
        <v>0</v>
      </c>
      <c r="AX106" s="15" t="n">
        <f aca="false">0</f>
        <v>0</v>
      </c>
      <c r="AY106" s="15" t="n">
        <f aca="false">IF(6=Parametri_v3!$C$33,IF(BV106&lt;MIN(12,$B106-1),0,MIN(MAX(0,SUM(Y89:Y100))*Ipotesi!$C$94,MAX(0,(BM100)-(BO105)-BP106),MAX(0,BD106-Parametri_v3!$C$31))),0)</f>
        <v>60315.9059027778</v>
      </c>
      <c r="AZ106" s="15" t="n">
        <f aca="false">0</f>
        <v>0</v>
      </c>
      <c r="BA106" s="15" t="n">
        <f aca="false">0</f>
        <v>0</v>
      </c>
      <c r="BB106" s="15" t="n">
        <f aca="false">0</f>
        <v>0</v>
      </c>
      <c r="BC106" s="15" t="n">
        <f aca="false">0</f>
        <v>0</v>
      </c>
      <c r="BD106" s="15" t="n">
        <f aca="false">(BH105)+AC106-AF106-AI106-AS106-K106*(1+Parametri_v3!$C$26)-AL106-AQ106-O106+AW106+AX106+AZ106+BA106-BB106</f>
        <v>134208.802320382</v>
      </c>
      <c r="BE106" s="15" t="n">
        <f aca="false">0</f>
        <v>0</v>
      </c>
      <c r="BF106" s="15" t="n">
        <f aca="false">0</f>
        <v>0</v>
      </c>
      <c r="BG106" s="15" t="n">
        <f aca="false">0</f>
        <v>0</v>
      </c>
      <c r="BH106" s="15" t="n">
        <f aca="false">BD106+BE106-BF106-AY106</f>
        <v>73892.8964176045</v>
      </c>
      <c r="BI106" s="15" t="n">
        <f aca="false">MAX(0,Parametri_v3!$C$31-BH106)</f>
        <v>0</v>
      </c>
      <c r="BJ106" s="15" t="n">
        <f aca="false">(BJ105)+K106</f>
        <v>17000</v>
      </c>
      <c r="BK106" s="15" t="n">
        <f aca="false">(BK105)+L106</f>
        <v>8423.61111111111</v>
      </c>
      <c r="BL106" s="15" t="n">
        <f aca="false">BJ106-BK106</f>
        <v>8576.38888888888</v>
      </c>
      <c r="BM106" s="15" t="n">
        <f aca="false">(BM105)+Y106</f>
        <v>316323.903259855</v>
      </c>
      <c r="BN106" s="15" t="n">
        <f aca="false">(BN105)+AW106+AX106+AZ106</f>
        <v>20000</v>
      </c>
      <c r="BO106" s="15" t="n">
        <f aca="false">(BO105)+AY106</f>
        <v>60315.9059027778</v>
      </c>
      <c r="BP106" s="15" t="n">
        <f aca="false">MIN(Parametri_v3!$C$36*Parametri_v3!$C$35,(BP105)+IF(6=1,MAX(0,SUM(Y89:Y100))*Parametri_v3!$C$34,0))</f>
        <v>2000</v>
      </c>
      <c r="BQ106" s="15" t="n">
        <f aca="false">BN106+BM106-BO106</f>
        <v>276007.997357077</v>
      </c>
      <c r="BR106" s="15" t="n">
        <f aca="false">BH106+AD106+BL106+MAX(0,-AM106)+MAX(0,-AR106)</f>
        <v>412753.785306493</v>
      </c>
      <c r="BS106" s="15" t="n">
        <f aca="false">AJ106+AV106+MAX(0,AM106)+MAX(0,AR106)+BC106+BG106+BQ106+AG106</f>
        <v>412753.785306493</v>
      </c>
      <c r="BT106" s="15" t="n">
        <f aca="false">BR106-BS106</f>
        <v>0</v>
      </c>
      <c r="BU106" s="15" t="n">
        <f aca="false">BH106-(BD106+BE106-BF106-AY106)</f>
        <v>0</v>
      </c>
      <c r="BV106" s="15" t="n">
        <f aca="false">IF(BH105&lt;Parametri_v3!$C$31,0,BV105+1)</f>
        <v>13</v>
      </c>
    </row>
    <row r="107" customFormat="false" ht="18" hidden="false" customHeight="true" outlineLevel="0" collapsed="false">
      <c r="A107" s="68" t="n">
        <f aca="false">2</f>
        <v>2</v>
      </c>
      <c r="B107" s="68" t="n">
        <f aca="false">43</f>
        <v>43</v>
      </c>
      <c r="C107" s="18" t="n">
        <f aca="false">Motore_Operativo!C107</f>
        <v>47665</v>
      </c>
      <c r="D107" s="68" t="n">
        <f aca="false">Motore_Operativo!D107</f>
        <v>2030</v>
      </c>
      <c r="E107" s="68" t="n">
        <f aca="false">Motore_Operativo!E107</f>
        <v>7</v>
      </c>
      <c r="F107" s="15" t="n">
        <f aca="false">Motore_Operativo!AM107</f>
        <v>90241.6666666667</v>
      </c>
      <c r="G107" s="15" t="n">
        <f aca="false">Motore_Operativo!BH107</f>
        <v>9024.16666666667</v>
      </c>
      <c r="H107" s="15" t="n">
        <f aca="false">Motore_Operativo!AM107</f>
        <v>90241.6666666667</v>
      </c>
      <c r="I107" s="15" t="n">
        <f aca="false">Motore_Operativo!CB107</f>
        <v>62580.173375</v>
      </c>
      <c r="J107" s="15" t="n">
        <f aca="false">Motore_Operativo!CD107</f>
        <v>27661.4932916667</v>
      </c>
      <c r="K107" s="15" t="n">
        <f aca="false">Motore_Operativo!CF107</f>
        <v>666.666666666667</v>
      </c>
      <c r="L107" s="15" t="n">
        <f aca="false">SUM(INDEX($K$65:$K$124,MAX(1,43-Parametri_v3!$C$59+1)):K107)/Parametri_v3!$C$59</f>
        <v>442.12962962963</v>
      </c>
      <c r="M107" s="15" t="n">
        <f aca="false">J107-L107</f>
        <v>27219.363662037</v>
      </c>
      <c r="N107" s="15" t="n">
        <f aca="false">0</f>
        <v>0</v>
      </c>
      <c r="O107" s="15" t="n">
        <f aca="false">0</f>
        <v>0</v>
      </c>
      <c r="P107" s="15" t="n">
        <f aca="false">M107+N107-O107</f>
        <v>27219.363662037</v>
      </c>
      <c r="Q107" s="15" t="n">
        <f aca="false">SUM(P101:P107)+Parametri_v3!$C$56*7/12</f>
        <v>190778.601189815</v>
      </c>
      <c r="R107" s="15" t="n">
        <f aca="false">Z100</f>
        <v>0</v>
      </c>
      <c r="S107" s="15" t="n">
        <f aca="false">AA100</f>
        <v>0</v>
      </c>
      <c r="T107" s="15" t="n">
        <f aca="false">MIN(R107,MAX(0,Q107))</f>
        <v>0</v>
      </c>
      <c r="U107" s="15" t="n">
        <f aca="false">MIN(S107,MAX(0,Q107-T107)*Parametri_v3!$C$42)</f>
        <v>0</v>
      </c>
      <c r="V107" s="15" t="n">
        <f aca="false">MAX(0,Q107-T107-U107)*Ipotesi!$C$92</f>
        <v>45786.8642855556</v>
      </c>
      <c r="W107" s="15" t="n">
        <f aca="false">MAX(0,SUM(M101:M107)+Parametri_v3!$C$57*7/12)*Ipotesi!$C$93</f>
        <v>7440.36544640278</v>
      </c>
      <c r="X107" s="15" t="n">
        <f aca="false">V107+W107-(V106+W106)</f>
        <v>7594.20246170834</v>
      </c>
      <c r="Y107" s="15" t="n">
        <f aca="false">P107-X107</f>
        <v>19625.1612003287</v>
      </c>
      <c r="Z107" s="15" t="n">
        <f aca="false">R107-T107+IF(AND(Parametri_v3!$C$40=1,D107-YEAR(Parametri_v3!$C$50)&lt;Parametri_v3!$C$41),MAX(0,-Q107),0)</f>
        <v>0</v>
      </c>
      <c r="AA107" s="15" t="n">
        <f aca="false">S107-U107+IF(AND(Parametri_v3!$C$40=1,D107-YEAR(Parametri_v3!$C$50)&lt;Parametri_v3!$C$41),0,MAX(0,-Q107))</f>
        <v>0</v>
      </c>
      <c r="AB107" s="15" t="n">
        <f aca="false">F107*(1+Parametri_v3!$C$26)</f>
        <v>110094.833333333</v>
      </c>
      <c r="AC107" s="15" t="n">
        <f aca="false">(IF(43-(INT((Motore_Operativo!L107)/30))&lt;1,0,INDEX(Motore_Advisory!$AB$65:$AB$124,MAX(1,43-(INT((Motore_Operativo!L107)/30)))))*(1-(MOD((Motore_Operativo!L107),30)/30))+IF(43-(INT((Motore_Operativo!L107)/30))-1&lt;1,0,INDEX(Motore_Advisory!$AB$65:$AB$124,MAX(1,43-(INT((Motore_Operativo!L107)/30))-1)))*(MOD((Motore_Operativo!L107),30)/30))</f>
        <v>110094.833333333</v>
      </c>
      <c r="AD107" s="15" t="n">
        <f aca="false">(AD106)+AB107-AC107</f>
        <v>330284.5</v>
      </c>
      <c r="AE107" s="15" t="n">
        <f aca="false">Motore_Operativo!BH107*(1+Parametri_v3!$C$26)</f>
        <v>11009.4833333333</v>
      </c>
      <c r="AF107" s="15" t="n">
        <f aca="false">(IF(43-(INT((Parametri_v3!$C$29)/30))&lt;1,0,INDEX(Motore_Operativo!$BH$65:$BH$124,MAX(1,43-(INT((Parametri_v3!$C$29)/30)))))*(1-(MOD((Parametri_v3!$C$29),30)/30))+IF(43-(INT((Parametri_v3!$C$29)/30))-1&lt;1,0,INDEX(Motore_Operativo!$BH$65:$BH$124,MAX(1,43-(INT((Parametri_v3!$C$29)/30))-1)))*(MOD((Parametri_v3!$C$29),30)/30))*(1+Parametri_v3!$C$26)</f>
        <v>11009.4833333333</v>
      </c>
      <c r="AG107" s="15" t="n">
        <f aca="false">(AG106)+AE107-AF107</f>
        <v>11009.4833333333</v>
      </c>
      <c r="AH107" s="15" t="n">
        <f aca="false">(Motore_Operativo!CK107)*(1+Parametri_v3!$C$28*Parametri_v3!$C$26)</f>
        <v>23198.952</v>
      </c>
      <c r="AI107" s="15" t="n">
        <f aca="false">(IF(43-(INT((Ipotesi!$C$91)/30))&lt;1,0,INDEX(Motore_Advisory!$AH$65:$AH$124,MAX(1,43-(INT((Ipotesi!$C$91)/30)))))*(1-(MOD((Ipotesi!$C$91),30)/30))+IF(43-(INT((Ipotesi!$C$91)/30))-1&lt;1,0,INDEX(Motore_Advisory!$AH$65:$AH$124,MAX(1,43-(INT((Ipotesi!$C$91)/30))-1)))*(MOD((Ipotesi!$C$91),30)/30))</f>
        <v>23198.952</v>
      </c>
      <c r="AJ107" s="15" t="n">
        <f aca="false">(AJ106)+AH107-AI107</f>
        <v>46397.904</v>
      </c>
      <c r="AK107" s="15" t="n">
        <f aca="false">(F107- Motore_Operativo!BH107-(Motore_Operativo!CK107)*Parametri_v3!$C$28-Motore_Operativo!CF107)*Parametri_v3!$C$26</f>
        <v>14249.2313333333</v>
      </c>
      <c r="AL107" s="15" t="n">
        <f aca="false">MAX(0,(AM106))</f>
        <v>14249.2313333333</v>
      </c>
      <c r="AM107" s="15" t="n">
        <f aca="false">(AM106)+AK107-AL107</f>
        <v>14249.2313333333</v>
      </c>
      <c r="AN107" s="15" t="n">
        <f aca="false">SUM(X89:X100)</f>
        <v>46679.99375</v>
      </c>
      <c r="AO107" s="15" t="n">
        <f aca="false">SUM(AP89:AP100)</f>
        <v>16530.1714788732</v>
      </c>
      <c r="AP107" s="15" t="n">
        <f aca="false">MAX(0,AN107)*IF(7=Parametri_v3!$C$43,Parametri_v3!$C$45,IF(7=Parametri_v3!$C$44,1-Parametri_v3!$C$45,0))</f>
        <v>0</v>
      </c>
      <c r="AQ107" s="15" t="n">
        <f aca="false">MAX(0,AP107+IF(7=Parametri_v3!$C$43,MAX(0,AN107-AO107),0)-MAX(0,-(AR106)))</f>
        <v>0</v>
      </c>
      <c r="AR107" s="15" t="n">
        <f aca="false">(AR106)+X107-AQ107</f>
        <v>34555.2322319583</v>
      </c>
      <c r="AS107" s="15" t="n">
        <f aca="false">Motore_Operativo!AC107-AT107+AU107</f>
        <v>32137.5563729167</v>
      </c>
      <c r="AT107" s="15" t="n">
        <f aca="false">Motore_Operativo!CI107</f>
        <v>1691.45033541667</v>
      </c>
      <c r="AU107" s="15" t="n">
        <f aca="false">MIN(MAX(0,(AV106)+AT107),Parametri_v3!$C$61/12)</f>
        <v>0</v>
      </c>
      <c r="AV107" s="15" t="n">
        <f aca="false">(AV106)+AT107-AU107</f>
        <v>39819.5898479167</v>
      </c>
      <c r="AW107" s="15" t="n">
        <f aca="false">IF(AND(Motore_Operativo!C107=Finanziamenti!$D$7,Finanziamenti!$F$7=1),Finanziamenti!$C$7,0)</f>
        <v>0</v>
      </c>
      <c r="AX107" s="15" t="n">
        <f aca="false">0</f>
        <v>0</v>
      </c>
      <c r="AY107" s="15" t="n">
        <f aca="false">IF(7=Parametri_v3!$C$33,IF(BV107&lt;MIN(12,$B107-1),0,MIN(MAX(0,SUM(Y89:Y100))*Ipotesi!$C$94,MAX(0,(BM100)-(BO106)-BP107),MAX(0,BD107-Parametri_v3!$C$31))),0)</f>
        <v>0</v>
      </c>
      <c r="AZ107" s="15" t="n">
        <f aca="false">0</f>
        <v>0</v>
      </c>
      <c r="BA107" s="15" t="n">
        <f aca="false">0</f>
        <v>0</v>
      </c>
      <c r="BB107" s="15" t="n">
        <f aca="false">0</f>
        <v>0</v>
      </c>
      <c r="BC107" s="15" t="n">
        <f aca="false">0</f>
        <v>0</v>
      </c>
      <c r="BD107" s="15" t="n">
        <f aca="false">(BH106)+AC107-AF107-AI107-AS107-K107*(1+Parametri_v3!$C$26)-AL107-AQ107-O107+AW107+AX107+AZ107+BA107-BB107</f>
        <v>102579.173378021</v>
      </c>
      <c r="BE107" s="15" t="n">
        <f aca="false">0</f>
        <v>0</v>
      </c>
      <c r="BF107" s="15" t="n">
        <f aca="false">0</f>
        <v>0</v>
      </c>
      <c r="BG107" s="15" t="n">
        <f aca="false">0</f>
        <v>0</v>
      </c>
      <c r="BH107" s="15" t="n">
        <f aca="false">BD107+BE107-BF107-AY107</f>
        <v>102579.173378021</v>
      </c>
      <c r="BI107" s="15" t="n">
        <f aca="false">MAX(0,Parametri_v3!$C$31-BH107)</f>
        <v>0</v>
      </c>
      <c r="BJ107" s="15" t="n">
        <f aca="false">(BJ106)+K107</f>
        <v>17666.6666666667</v>
      </c>
      <c r="BK107" s="15" t="n">
        <f aca="false">(BK106)+L107</f>
        <v>8865.74074074074</v>
      </c>
      <c r="BL107" s="15" t="n">
        <f aca="false">BJ107-BK107</f>
        <v>8800.92592592592</v>
      </c>
      <c r="BM107" s="15" t="n">
        <f aca="false">(BM106)+Y107</f>
        <v>335949.064460183</v>
      </c>
      <c r="BN107" s="15" t="n">
        <f aca="false">(BN106)+AW107+AX107+AZ107</f>
        <v>20000</v>
      </c>
      <c r="BO107" s="15" t="n">
        <f aca="false">(BO106)+AY107</f>
        <v>60315.9059027778</v>
      </c>
      <c r="BP107" s="15" t="n">
        <f aca="false">MIN(Parametri_v3!$C$36*Parametri_v3!$C$35,(BP106)+IF(7=1,MAX(0,SUM(Y89:Y100))*Parametri_v3!$C$34,0))</f>
        <v>2000</v>
      </c>
      <c r="BQ107" s="15" t="n">
        <f aca="false">BN107+BM107-BO107</f>
        <v>295633.158557406</v>
      </c>
      <c r="BR107" s="15" t="n">
        <f aca="false">BH107+AD107+BL107+MAX(0,-AM107)+MAX(0,-AR107)</f>
        <v>441664.599303947</v>
      </c>
      <c r="BS107" s="15" t="n">
        <f aca="false">AJ107+AV107+MAX(0,AM107)+MAX(0,AR107)+BC107+BG107+BQ107+AG107</f>
        <v>441664.599303947</v>
      </c>
      <c r="BT107" s="15" t="n">
        <f aca="false">BR107-BS107</f>
        <v>0</v>
      </c>
      <c r="BU107" s="15" t="n">
        <f aca="false">BH107-(BD107+BE107-BF107-AY107)</f>
        <v>0</v>
      </c>
      <c r="BV107" s="15" t="n">
        <f aca="false">IF(BH106&lt;Parametri_v3!$C$31,0,BV106+1)</f>
        <v>14</v>
      </c>
    </row>
    <row r="108" customFormat="false" ht="18" hidden="false" customHeight="true" outlineLevel="0" collapsed="false">
      <c r="A108" s="68" t="n">
        <f aca="false">2</f>
        <v>2</v>
      </c>
      <c r="B108" s="68" t="n">
        <f aca="false">44</f>
        <v>44</v>
      </c>
      <c r="C108" s="18" t="n">
        <f aca="false">Motore_Operativo!C108</f>
        <v>47696</v>
      </c>
      <c r="D108" s="68" t="n">
        <f aca="false">Motore_Operativo!D108</f>
        <v>2030</v>
      </c>
      <c r="E108" s="68" t="n">
        <f aca="false">Motore_Operativo!E108</f>
        <v>8</v>
      </c>
      <c r="F108" s="15" t="n">
        <f aca="false">Motore_Operativo!AM108</f>
        <v>90241.6666666667</v>
      </c>
      <c r="G108" s="15" t="n">
        <f aca="false">Motore_Operativo!BH108</f>
        <v>9024.16666666667</v>
      </c>
      <c r="H108" s="15" t="n">
        <f aca="false">Motore_Operativo!AM108</f>
        <v>90241.6666666667</v>
      </c>
      <c r="I108" s="15" t="n">
        <f aca="false">Motore_Operativo!CB108</f>
        <v>62580.173375</v>
      </c>
      <c r="J108" s="15" t="n">
        <f aca="false">Motore_Operativo!CD108</f>
        <v>27661.4932916667</v>
      </c>
      <c r="K108" s="15" t="n">
        <f aca="false">Motore_Operativo!CF108</f>
        <v>666.666666666667</v>
      </c>
      <c r="L108" s="15" t="n">
        <f aca="false">SUM(INDEX($K$65:$K$124,MAX(1,44-Parametri_v3!$C$59+1)):K108)/Parametri_v3!$C$59</f>
        <v>453.703703703704</v>
      </c>
      <c r="M108" s="15" t="n">
        <f aca="false">J108-L108</f>
        <v>27207.789587963</v>
      </c>
      <c r="N108" s="15" t="n">
        <f aca="false">0</f>
        <v>0</v>
      </c>
      <c r="O108" s="15" t="n">
        <f aca="false">0</f>
        <v>0</v>
      </c>
      <c r="P108" s="15" t="n">
        <f aca="false">M108+N108-O108</f>
        <v>27207.789587963</v>
      </c>
      <c r="Q108" s="15" t="n">
        <f aca="false">SUM(P101:P108)+Parametri_v3!$C$56*8/12</f>
        <v>217986.390777778</v>
      </c>
      <c r="R108" s="15" t="n">
        <f aca="false">Z100</f>
        <v>0</v>
      </c>
      <c r="S108" s="15" t="n">
        <f aca="false">AA100</f>
        <v>0</v>
      </c>
      <c r="T108" s="15" t="n">
        <f aca="false">MIN(R108,MAX(0,Q108))</f>
        <v>0</v>
      </c>
      <c r="U108" s="15" t="n">
        <f aca="false">MIN(S108,MAX(0,Q108-T108)*Parametri_v3!$C$42)</f>
        <v>0</v>
      </c>
      <c r="V108" s="15" t="n">
        <f aca="false">MAX(0,Q108-T108-U108)*Ipotesi!$C$92</f>
        <v>52316.7337866667</v>
      </c>
      <c r="W108" s="15" t="n">
        <f aca="false">MAX(0,SUM(M101:M108)+Parametri_v3!$C$57*8/12)*Ipotesi!$C$93</f>
        <v>8501.46924033333</v>
      </c>
      <c r="X108" s="15" t="n">
        <f aca="false">V108+W108-(V107+W107)</f>
        <v>7590.97329504167</v>
      </c>
      <c r="Y108" s="15" t="n">
        <f aca="false">P108-X108</f>
        <v>19616.8162929213</v>
      </c>
      <c r="Z108" s="15" t="n">
        <f aca="false">R108-T108+IF(AND(Parametri_v3!$C$40=1,D108-YEAR(Parametri_v3!$C$50)&lt;Parametri_v3!$C$41),MAX(0,-Q108),0)</f>
        <v>0</v>
      </c>
      <c r="AA108" s="15" t="n">
        <f aca="false">S108-U108+IF(AND(Parametri_v3!$C$40=1,D108-YEAR(Parametri_v3!$C$50)&lt;Parametri_v3!$C$41),0,MAX(0,-Q108))</f>
        <v>0</v>
      </c>
      <c r="AB108" s="15" t="n">
        <f aca="false">F108*(1+Parametri_v3!$C$26)</f>
        <v>110094.833333333</v>
      </c>
      <c r="AC108" s="15" t="n">
        <f aca="false">(IF(44-(INT((Motore_Operativo!L108)/30))&lt;1,0,INDEX(Motore_Advisory!$AB$65:$AB$124,MAX(1,44-(INT((Motore_Operativo!L108)/30)))))*(1-(MOD((Motore_Operativo!L108),30)/30))+IF(44-(INT((Motore_Operativo!L108)/30))-1&lt;1,0,INDEX(Motore_Advisory!$AB$65:$AB$124,MAX(1,44-(INT((Motore_Operativo!L108)/30))-1)))*(MOD((Motore_Operativo!L108),30)/30))</f>
        <v>110094.833333333</v>
      </c>
      <c r="AD108" s="15" t="n">
        <f aca="false">(AD107)+AB108-AC108</f>
        <v>330284.5</v>
      </c>
      <c r="AE108" s="15" t="n">
        <f aca="false">Motore_Operativo!BH108*(1+Parametri_v3!$C$26)</f>
        <v>11009.4833333333</v>
      </c>
      <c r="AF108" s="15" t="n">
        <f aca="false">(IF(44-(INT((Parametri_v3!$C$29)/30))&lt;1,0,INDEX(Motore_Operativo!$BH$65:$BH$124,MAX(1,44-(INT((Parametri_v3!$C$29)/30)))))*(1-(MOD((Parametri_v3!$C$29),30)/30))+IF(44-(INT((Parametri_v3!$C$29)/30))-1&lt;1,0,INDEX(Motore_Operativo!$BH$65:$BH$124,MAX(1,44-(INT((Parametri_v3!$C$29)/30))-1)))*(MOD((Parametri_v3!$C$29),30)/30))*(1+Parametri_v3!$C$26)</f>
        <v>11009.4833333333</v>
      </c>
      <c r="AG108" s="15" t="n">
        <f aca="false">(AG107)+AE108-AF108</f>
        <v>11009.4833333333</v>
      </c>
      <c r="AH108" s="15" t="n">
        <f aca="false">(Motore_Operativo!CK108)*(1+Parametri_v3!$C$28*Parametri_v3!$C$26)</f>
        <v>23198.952</v>
      </c>
      <c r="AI108" s="15" t="n">
        <f aca="false">(IF(44-(INT((Ipotesi!$C$91)/30))&lt;1,0,INDEX(Motore_Advisory!$AH$65:$AH$124,MAX(1,44-(INT((Ipotesi!$C$91)/30)))))*(1-(MOD((Ipotesi!$C$91),30)/30))+IF(44-(INT((Ipotesi!$C$91)/30))-1&lt;1,0,INDEX(Motore_Advisory!$AH$65:$AH$124,MAX(1,44-(INT((Ipotesi!$C$91)/30))-1)))*(MOD((Ipotesi!$C$91),30)/30))</f>
        <v>23198.952</v>
      </c>
      <c r="AJ108" s="15" t="n">
        <f aca="false">(AJ107)+AH108-AI108</f>
        <v>46397.904</v>
      </c>
      <c r="AK108" s="15" t="n">
        <f aca="false">(F108- Motore_Operativo!BH108-(Motore_Operativo!CK108)*Parametri_v3!$C$28-Motore_Operativo!CF108)*Parametri_v3!$C$26</f>
        <v>14249.2313333333</v>
      </c>
      <c r="AL108" s="15" t="n">
        <f aca="false">MAX(0,(AM107))</f>
        <v>14249.2313333333</v>
      </c>
      <c r="AM108" s="15" t="n">
        <f aca="false">(AM107)+AK108-AL108</f>
        <v>14249.2313333333</v>
      </c>
      <c r="AN108" s="15" t="n">
        <f aca="false">SUM(X89:X100)</f>
        <v>46679.99375</v>
      </c>
      <c r="AO108" s="15" t="n">
        <f aca="false">SUM(AP89:AP100)</f>
        <v>16530.1714788732</v>
      </c>
      <c r="AP108" s="15" t="n">
        <f aca="false">MAX(0,AN108)*IF(8=Parametri_v3!$C$43,Parametri_v3!$C$45,IF(8=Parametri_v3!$C$44,1-Parametri_v3!$C$45,0))</f>
        <v>0</v>
      </c>
      <c r="AQ108" s="15" t="n">
        <f aca="false">MAX(0,AP108+IF(8=Parametri_v3!$C$43,MAX(0,AN108-AO108),0)-MAX(0,-(AR107)))</f>
        <v>0</v>
      </c>
      <c r="AR108" s="15" t="n">
        <f aca="false">(AR107)+X108-AQ108</f>
        <v>42146.205527</v>
      </c>
      <c r="AS108" s="15" t="n">
        <f aca="false">Motore_Operativo!AC108-AT108+AU108</f>
        <v>32137.5563729167</v>
      </c>
      <c r="AT108" s="15" t="n">
        <f aca="false">Motore_Operativo!CI108</f>
        <v>1691.45033541667</v>
      </c>
      <c r="AU108" s="15" t="n">
        <f aca="false">MIN(MAX(0,(AV107)+AT108),Parametri_v3!$C$61/12)</f>
        <v>0</v>
      </c>
      <c r="AV108" s="15" t="n">
        <f aca="false">(AV107)+AT108-AU108</f>
        <v>41511.0401833333</v>
      </c>
      <c r="AW108" s="15" t="n">
        <f aca="false">IF(AND(Motore_Operativo!C108=Finanziamenti!$D$7,Finanziamenti!$F$7=1),Finanziamenti!$C$7,0)</f>
        <v>0</v>
      </c>
      <c r="AX108" s="15" t="n">
        <f aca="false">0</f>
        <v>0</v>
      </c>
      <c r="AY108" s="15" t="n">
        <f aca="false">IF(8=Parametri_v3!$C$33,IF(BV108&lt;MIN(12,$B108-1),0,MIN(MAX(0,SUM(Y89:Y100))*Ipotesi!$C$94,MAX(0,(BM100)-(BO107)-BP108),MAX(0,BD108-Parametri_v3!$C$31))),0)</f>
        <v>0</v>
      </c>
      <c r="AZ108" s="15" t="n">
        <f aca="false">0</f>
        <v>0</v>
      </c>
      <c r="BA108" s="15" t="n">
        <f aca="false">0</f>
        <v>0</v>
      </c>
      <c r="BB108" s="15" t="n">
        <f aca="false">0</f>
        <v>0</v>
      </c>
      <c r="BC108" s="15" t="n">
        <f aca="false">0</f>
        <v>0</v>
      </c>
      <c r="BD108" s="15" t="n">
        <f aca="false">(BH107)+AC108-AF108-AI108-AS108-K108*(1+Parametri_v3!$C$26)-AL108-AQ108-O108+AW108+AX108+AZ108+BA108-BB108</f>
        <v>131265.450338438</v>
      </c>
      <c r="BE108" s="15" t="n">
        <f aca="false">0</f>
        <v>0</v>
      </c>
      <c r="BF108" s="15" t="n">
        <f aca="false">0</f>
        <v>0</v>
      </c>
      <c r="BG108" s="15" t="n">
        <f aca="false">0</f>
        <v>0</v>
      </c>
      <c r="BH108" s="15" t="n">
        <f aca="false">BD108+BE108-BF108-AY108</f>
        <v>131265.450338438</v>
      </c>
      <c r="BI108" s="15" t="n">
        <f aca="false">MAX(0,Parametri_v3!$C$31-BH108)</f>
        <v>0</v>
      </c>
      <c r="BJ108" s="15" t="n">
        <f aca="false">(BJ107)+K108</f>
        <v>18333.3333333333</v>
      </c>
      <c r="BK108" s="15" t="n">
        <f aca="false">(BK107)+L108</f>
        <v>9319.44444444444</v>
      </c>
      <c r="BL108" s="15" t="n">
        <f aca="false">BJ108-BK108</f>
        <v>9013.88888888889</v>
      </c>
      <c r="BM108" s="15" t="n">
        <f aca="false">(BM107)+Y108</f>
        <v>355565.880753105</v>
      </c>
      <c r="BN108" s="15" t="n">
        <f aca="false">(BN107)+AW108+AX108+AZ108</f>
        <v>20000</v>
      </c>
      <c r="BO108" s="15" t="n">
        <f aca="false">(BO107)+AY108</f>
        <v>60315.9059027778</v>
      </c>
      <c r="BP108" s="15" t="n">
        <f aca="false">MIN(Parametri_v3!$C$36*Parametri_v3!$C$35,(BP107)+IF(8=1,MAX(0,SUM(Y89:Y100))*Parametri_v3!$C$34,0))</f>
        <v>2000</v>
      </c>
      <c r="BQ108" s="15" t="n">
        <f aca="false">BN108+BM108-BO108</f>
        <v>315249.974850327</v>
      </c>
      <c r="BR108" s="15" t="n">
        <f aca="false">BH108+AD108+BL108+MAX(0,-AM108)+MAX(0,-AR108)</f>
        <v>470563.839227327</v>
      </c>
      <c r="BS108" s="15" t="n">
        <f aca="false">AJ108+AV108+MAX(0,AM108)+MAX(0,AR108)+BC108+BG108+BQ108+AG108</f>
        <v>470563.839227327</v>
      </c>
      <c r="BT108" s="15" t="n">
        <f aca="false">BR108-BS108</f>
        <v>0</v>
      </c>
      <c r="BU108" s="15" t="n">
        <f aca="false">BH108-(BD108+BE108-BF108-AY108)</f>
        <v>0</v>
      </c>
      <c r="BV108" s="15" t="n">
        <f aca="false">IF(BH107&lt;Parametri_v3!$C$31,0,BV107+1)</f>
        <v>15</v>
      </c>
    </row>
    <row r="109" customFormat="false" ht="18" hidden="false" customHeight="true" outlineLevel="0" collapsed="false">
      <c r="A109" s="68" t="n">
        <f aca="false">2</f>
        <v>2</v>
      </c>
      <c r="B109" s="68" t="n">
        <f aca="false">45</f>
        <v>45</v>
      </c>
      <c r="C109" s="18" t="n">
        <f aca="false">Motore_Operativo!C109</f>
        <v>47727</v>
      </c>
      <c r="D109" s="68" t="n">
        <f aca="false">Motore_Operativo!D109</f>
        <v>2030</v>
      </c>
      <c r="E109" s="68" t="n">
        <f aca="false">Motore_Operativo!E109</f>
        <v>9</v>
      </c>
      <c r="F109" s="15" t="n">
        <f aca="false">Motore_Operativo!AM109</f>
        <v>90241.6666666667</v>
      </c>
      <c r="G109" s="15" t="n">
        <f aca="false">Motore_Operativo!BH109</f>
        <v>9024.16666666667</v>
      </c>
      <c r="H109" s="15" t="n">
        <f aca="false">Motore_Operativo!AM109</f>
        <v>90241.6666666667</v>
      </c>
      <c r="I109" s="15" t="n">
        <f aca="false">Motore_Operativo!CB109</f>
        <v>62580.173375</v>
      </c>
      <c r="J109" s="15" t="n">
        <f aca="false">Motore_Operativo!CD109</f>
        <v>27661.4932916667</v>
      </c>
      <c r="K109" s="15" t="n">
        <f aca="false">Motore_Operativo!CF109</f>
        <v>666.666666666667</v>
      </c>
      <c r="L109" s="15" t="n">
        <f aca="false">SUM(INDEX($K$65:$K$124,MAX(1,45-Parametri_v3!$C$59+1)):K109)/Parametri_v3!$C$59</f>
        <v>465.277777777778</v>
      </c>
      <c r="M109" s="15" t="n">
        <f aca="false">J109-L109</f>
        <v>27196.2155138889</v>
      </c>
      <c r="N109" s="15" t="n">
        <f aca="false">0</f>
        <v>0</v>
      </c>
      <c r="O109" s="15" t="n">
        <f aca="false">0</f>
        <v>0</v>
      </c>
      <c r="P109" s="15" t="n">
        <f aca="false">M109+N109-O109</f>
        <v>27196.2155138889</v>
      </c>
      <c r="Q109" s="15" t="n">
        <f aca="false">SUM(P101:P109)+Parametri_v3!$C$56*9/12</f>
        <v>245182.606291667</v>
      </c>
      <c r="R109" s="15" t="n">
        <f aca="false">Z100</f>
        <v>0</v>
      </c>
      <c r="S109" s="15" t="n">
        <f aca="false">AA100</f>
        <v>0</v>
      </c>
      <c r="T109" s="15" t="n">
        <f aca="false">MIN(R109,MAX(0,Q109))</f>
        <v>0</v>
      </c>
      <c r="U109" s="15" t="n">
        <f aca="false">MIN(S109,MAX(0,Q109-T109)*Parametri_v3!$C$42)</f>
        <v>0</v>
      </c>
      <c r="V109" s="15" t="n">
        <f aca="false">MAX(0,Q109-T109-U109)*Ipotesi!$C$92</f>
        <v>58843.82551</v>
      </c>
      <c r="W109" s="15" t="n">
        <f aca="false">MAX(0,SUM(M101:M109)+Parametri_v3!$C$57*9/12)*Ipotesi!$C$93</f>
        <v>9562.121645375</v>
      </c>
      <c r="X109" s="15" t="n">
        <f aca="false">V109+W109-(V108+W108)</f>
        <v>7587.74412837499</v>
      </c>
      <c r="Y109" s="15" t="n">
        <f aca="false">P109-X109</f>
        <v>19608.4713855139</v>
      </c>
      <c r="Z109" s="15" t="n">
        <f aca="false">R109-T109+IF(AND(Parametri_v3!$C$40=1,D109-YEAR(Parametri_v3!$C$50)&lt;Parametri_v3!$C$41),MAX(0,-Q109),0)</f>
        <v>0</v>
      </c>
      <c r="AA109" s="15" t="n">
        <f aca="false">S109-U109+IF(AND(Parametri_v3!$C$40=1,D109-YEAR(Parametri_v3!$C$50)&lt;Parametri_v3!$C$41),0,MAX(0,-Q109))</f>
        <v>0</v>
      </c>
      <c r="AB109" s="15" t="n">
        <f aca="false">F109*(1+Parametri_v3!$C$26)</f>
        <v>110094.833333333</v>
      </c>
      <c r="AC109" s="15" t="n">
        <f aca="false">(IF(45-(INT((Motore_Operativo!L109)/30))&lt;1,0,INDEX(Motore_Advisory!$AB$65:$AB$124,MAX(1,45-(INT((Motore_Operativo!L109)/30)))))*(1-(MOD((Motore_Operativo!L109),30)/30))+IF(45-(INT((Motore_Operativo!L109)/30))-1&lt;1,0,INDEX(Motore_Advisory!$AB$65:$AB$124,MAX(1,45-(INT((Motore_Operativo!L109)/30))-1)))*(MOD((Motore_Operativo!L109),30)/30))</f>
        <v>110094.833333333</v>
      </c>
      <c r="AD109" s="15" t="n">
        <f aca="false">(AD108)+AB109-AC109</f>
        <v>330284.5</v>
      </c>
      <c r="AE109" s="15" t="n">
        <f aca="false">Motore_Operativo!BH109*(1+Parametri_v3!$C$26)</f>
        <v>11009.4833333333</v>
      </c>
      <c r="AF109" s="15" t="n">
        <f aca="false">(IF(45-(INT((Parametri_v3!$C$29)/30))&lt;1,0,INDEX(Motore_Operativo!$BH$65:$BH$124,MAX(1,45-(INT((Parametri_v3!$C$29)/30)))))*(1-(MOD((Parametri_v3!$C$29),30)/30))+IF(45-(INT((Parametri_v3!$C$29)/30))-1&lt;1,0,INDEX(Motore_Operativo!$BH$65:$BH$124,MAX(1,45-(INT((Parametri_v3!$C$29)/30))-1)))*(MOD((Parametri_v3!$C$29),30)/30))*(1+Parametri_v3!$C$26)</f>
        <v>11009.4833333333</v>
      </c>
      <c r="AG109" s="15" t="n">
        <f aca="false">(AG108)+AE109-AF109</f>
        <v>11009.4833333333</v>
      </c>
      <c r="AH109" s="15" t="n">
        <f aca="false">(Motore_Operativo!CK109)*(1+Parametri_v3!$C$28*Parametri_v3!$C$26)</f>
        <v>23198.952</v>
      </c>
      <c r="AI109" s="15" t="n">
        <f aca="false">(IF(45-(INT((Ipotesi!$C$91)/30))&lt;1,0,INDEX(Motore_Advisory!$AH$65:$AH$124,MAX(1,45-(INT((Ipotesi!$C$91)/30)))))*(1-(MOD((Ipotesi!$C$91),30)/30))+IF(45-(INT((Ipotesi!$C$91)/30))-1&lt;1,0,INDEX(Motore_Advisory!$AH$65:$AH$124,MAX(1,45-(INT((Ipotesi!$C$91)/30))-1)))*(MOD((Ipotesi!$C$91),30)/30))</f>
        <v>23198.952</v>
      </c>
      <c r="AJ109" s="15" t="n">
        <f aca="false">(AJ108)+AH109-AI109</f>
        <v>46397.904</v>
      </c>
      <c r="AK109" s="15" t="n">
        <f aca="false">(F109- Motore_Operativo!BH109-(Motore_Operativo!CK109)*Parametri_v3!$C$28-Motore_Operativo!CF109)*Parametri_v3!$C$26</f>
        <v>14249.2313333333</v>
      </c>
      <c r="AL109" s="15" t="n">
        <f aca="false">MAX(0,(AM108))</f>
        <v>14249.2313333333</v>
      </c>
      <c r="AM109" s="15" t="n">
        <f aca="false">(AM108)+AK109-AL109</f>
        <v>14249.2313333333</v>
      </c>
      <c r="AN109" s="15" t="n">
        <f aca="false">SUM(X89:X100)</f>
        <v>46679.99375</v>
      </c>
      <c r="AO109" s="15" t="n">
        <f aca="false">SUM(AP89:AP100)</f>
        <v>16530.1714788732</v>
      </c>
      <c r="AP109" s="15" t="n">
        <f aca="false">MAX(0,AN109)*IF(9=Parametri_v3!$C$43,Parametri_v3!$C$45,IF(9=Parametri_v3!$C$44,1-Parametri_v3!$C$45,0))</f>
        <v>0</v>
      </c>
      <c r="AQ109" s="15" t="n">
        <f aca="false">MAX(0,AP109+IF(9=Parametri_v3!$C$43,MAX(0,AN109-AO109),0)-MAX(0,-(AR108)))</f>
        <v>0</v>
      </c>
      <c r="AR109" s="15" t="n">
        <f aca="false">(AR108)+X109-AQ109</f>
        <v>49733.949655375</v>
      </c>
      <c r="AS109" s="15" t="n">
        <f aca="false">Motore_Operativo!AC109-AT109+AU109</f>
        <v>32137.5563729167</v>
      </c>
      <c r="AT109" s="15" t="n">
        <f aca="false">Motore_Operativo!CI109</f>
        <v>1691.45033541667</v>
      </c>
      <c r="AU109" s="15" t="n">
        <f aca="false">MIN(MAX(0,(AV108)+AT109),Parametri_v3!$C$61/12)</f>
        <v>0</v>
      </c>
      <c r="AV109" s="15" t="n">
        <f aca="false">(AV108)+AT109-AU109</f>
        <v>43202.49051875</v>
      </c>
      <c r="AW109" s="15" t="n">
        <f aca="false">IF(AND(Motore_Operativo!C109=Finanziamenti!$D$7,Finanziamenti!$F$7=1),Finanziamenti!$C$7,0)</f>
        <v>0</v>
      </c>
      <c r="AX109" s="15" t="n">
        <f aca="false">0</f>
        <v>0</v>
      </c>
      <c r="AY109" s="15" t="n">
        <f aca="false">IF(9=Parametri_v3!$C$33,IF(BV109&lt;MIN(12,$B109-1),0,MIN(MAX(0,SUM(Y89:Y100))*Ipotesi!$C$94,MAX(0,(BM100)-(BO108)-BP109),MAX(0,BD109-Parametri_v3!$C$31))),0)</f>
        <v>0</v>
      </c>
      <c r="AZ109" s="15" t="n">
        <f aca="false">0</f>
        <v>0</v>
      </c>
      <c r="BA109" s="15" t="n">
        <f aca="false">0</f>
        <v>0</v>
      </c>
      <c r="BB109" s="15" t="n">
        <f aca="false">0</f>
        <v>0</v>
      </c>
      <c r="BC109" s="15" t="n">
        <f aca="false">0</f>
        <v>0</v>
      </c>
      <c r="BD109" s="15" t="n">
        <f aca="false">(BH108)+AC109-AF109-AI109-AS109-K109*(1+Parametri_v3!$C$26)-AL109-AQ109-O109+AW109+AX109+AZ109+BA109-BB109</f>
        <v>159951.727298854</v>
      </c>
      <c r="BE109" s="15" t="n">
        <f aca="false">0</f>
        <v>0</v>
      </c>
      <c r="BF109" s="15" t="n">
        <f aca="false">0</f>
        <v>0</v>
      </c>
      <c r="BG109" s="15" t="n">
        <f aca="false">0</f>
        <v>0</v>
      </c>
      <c r="BH109" s="15" t="n">
        <f aca="false">BD109+BE109-BF109-AY109</f>
        <v>159951.727298854</v>
      </c>
      <c r="BI109" s="15" t="n">
        <f aca="false">MAX(0,Parametri_v3!$C$31-BH109)</f>
        <v>0</v>
      </c>
      <c r="BJ109" s="15" t="n">
        <f aca="false">(BJ108)+K109</f>
        <v>19000</v>
      </c>
      <c r="BK109" s="15" t="n">
        <f aca="false">(BK108)+L109</f>
        <v>9784.72222222222</v>
      </c>
      <c r="BL109" s="15" t="n">
        <f aca="false">BJ109-BK109</f>
        <v>9215.27777777778</v>
      </c>
      <c r="BM109" s="15" t="n">
        <f aca="false">(BM108)+Y109</f>
        <v>375174.352138619</v>
      </c>
      <c r="BN109" s="15" t="n">
        <f aca="false">(BN108)+AW109+AX109+AZ109</f>
        <v>20000</v>
      </c>
      <c r="BO109" s="15" t="n">
        <f aca="false">(BO108)+AY109</f>
        <v>60315.9059027778</v>
      </c>
      <c r="BP109" s="15" t="n">
        <f aca="false">MIN(Parametri_v3!$C$36*Parametri_v3!$C$35,(BP108)+IF(9=1,MAX(0,SUM(Y89:Y100))*Parametri_v3!$C$34,0))</f>
        <v>2000</v>
      </c>
      <c r="BQ109" s="15" t="n">
        <f aca="false">BN109+BM109-BO109</f>
        <v>334858.446235841</v>
      </c>
      <c r="BR109" s="15" t="n">
        <f aca="false">BH109+AD109+BL109+MAX(0,-AM109)+MAX(0,-AR109)</f>
        <v>499451.505076632</v>
      </c>
      <c r="BS109" s="15" t="n">
        <f aca="false">AJ109+AV109+MAX(0,AM109)+MAX(0,AR109)+BC109+BG109+BQ109+AG109</f>
        <v>499451.505076632</v>
      </c>
      <c r="BT109" s="15" t="n">
        <f aca="false">BR109-BS109</f>
        <v>0</v>
      </c>
      <c r="BU109" s="15" t="n">
        <f aca="false">BH109-(BD109+BE109-BF109-AY109)</f>
        <v>0</v>
      </c>
      <c r="BV109" s="15" t="n">
        <f aca="false">IF(BH108&lt;Parametri_v3!$C$31,0,BV108+1)</f>
        <v>16</v>
      </c>
    </row>
    <row r="110" customFormat="false" ht="18" hidden="false" customHeight="true" outlineLevel="0" collapsed="false">
      <c r="A110" s="68" t="n">
        <f aca="false">2</f>
        <v>2</v>
      </c>
      <c r="B110" s="68" t="n">
        <f aca="false">46</f>
        <v>46</v>
      </c>
      <c r="C110" s="18" t="n">
        <f aca="false">Motore_Operativo!C110</f>
        <v>47757</v>
      </c>
      <c r="D110" s="68" t="n">
        <f aca="false">Motore_Operativo!D110</f>
        <v>2030</v>
      </c>
      <c r="E110" s="68" t="n">
        <f aca="false">Motore_Operativo!E110</f>
        <v>10</v>
      </c>
      <c r="F110" s="15" t="n">
        <f aca="false">Motore_Operativo!AM110</f>
        <v>90241.6666666667</v>
      </c>
      <c r="G110" s="15" t="n">
        <f aca="false">Motore_Operativo!BH110</f>
        <v>9024.16666666667</v>
      </c>
      <c r="H110" s="15" t="n">
        <f aca="false">Motore_Operativo!AM110</f>
        <v>90241.6666666667</v>
      </c>
      <c r="I110" s="15" t="n">
        <f aca="false">Motore_Operativo!CB110</f>
        <v>62580.173375</v>
      </c>
      <c r="J110" s="15" t="n">
        <f aca="false">Motore_Operativo!CD110</f>
        <v>27661.4932916667</v>
      </c>
      <c r="K110" s="15" t="n">
        <f aca="false">Motore_Operativo!CF110</f>
        <v>666.666666666667</v>
      </c>
      <c r="L110" s="15" t="n">
        <f aca="false">SUM(INDEX($K$65:$K$124,MAX(1,46-Parametri_v3!$C$59+1)):K110)/Parametri_v3!$C$59</f>
        <v>476.851851851852</v>
      </c>
      <c r="M110" s="15" t="n">
        <f aca="false">J110-L110</f>
        <v>27184.6414398148</v>
      </c>
      <c r="N110" s="15" t="n">
        <f aca="false">0</f>
        <v>0</v>
      </c>
      <c r="O110" s="15" t="n">
        <f aca="false">0</f>
        <v>0</v>
      </c>
      <c r="P110" s="15" t="n">
        <f aca="false">M110+N110-O110</f>
        <v>27184.6414398148</v>
      </c>
      <c r="Q110" s="15" t="n">
        <f aca="false">SUM(P101:P110)+Parametri_v3!$C$56*10/12</f>
        <v>272367.247731481</v>
      </c>
      <c r="R110" s="15" t="n">
        <f aca="false">Z100</f>
        <v>0</v>
      </c>
      <c r="S110" s="15" t="n">
        <f aca="false">AA100</f>
        <v>0</v>
      </c>
      <c r="T110" s="15" t="n">
        <f aca="false">MIN(R110,MAX(0,Q110))</f>
        <v>0</v>
      </c>
      <c r="U110" s="15" t="n">
        <f aca="false">MIN(S110,MAX(0,Q110-T110)*Parametri_v3!$C$42)</f>
        <v>0</v>
      </c>
      <c r="V110" s="15" t="n">
        <f aca="false">MAX(0,Q110-T110-U110)*Ipotesi!$C$92</f>
        <v>65368.1394555555</v>
      </c>
      <c r="W110" s="15" t="n">
        <f aca="false">MAX(0,SUM(M101:M110)+Parametri_v3!$C$57*10/12)*Ipotesi!$C$93</f>
        <v>10622.3226615278</v>
      </c>
      <c r="X110" s="15" t="n">
        <f aca="false">V110+W110-(V109+W109)</f>
        <v>7584.51496170834</v>
      </c>
      <c r="Y110" s="15" t="n">
        <f aca="false">P110-X110</f>
        <v>19600.1264781065</v>
      </c>
      <c r="Z110" s="15" t="n">
        <f aca="false">R110-T110+IF(AND(Parametri_v3!$C$40=1,D110-YEAR(Parametri_v3!$C$50)&lt;Parametri_v3!$C$41),MAX(0,-Q110),0)</f>
        <v>0</v>
      </c>
      <c r="AA110" s="15" t="n">
        <f aca="false">S110-U110+IF(AND(Parametri_v3!$C$40=1,D110-YEAR(Parametri_v3!$C$50)&lt;Parametri_v3!$C$41),0,MAX(0,-Q110))</f>
        <v>0</v>
      </c>
      <c r="AB110" s="15" t="n">
        <f aca="false">F110*(1+Parametri_v3!$C$26)</f>
        <v>110094.833333333</v>
      </c>
      <c r="AC110" s="15" t="n">
        <f aca="false">(IF(46-(INT((Motore_Operativo!L110)/30))&lt;1,0,INDEX(Motore_Advisory!$AB$65:$AB$124,MAX(1,46-(INT((Motore_Operativo!L110)/30)))))*(1-(MOD((Motore_Operativo!L110),30)/30))+IF(46-(INT((Motore_Operativo!L110)/30))-1&lt;1,0,INDEX(Motore_Advisory!$AB$65:$AB$124,MAX(1,46-(INT((Motore_Operativo!L110)/30))-1)))*(MOD((Motore_Operativo!L110),30)/30))</f>
        <v>110094.833333333</v>
      </c>
      <c r="AD110" s="15" t="n">
        <f aca="false">(AD109)+AB110-AC110</f>
        <v>330284.5</v>
      </c>
      <c r="AE110" s="15" t="n">
        <f aca="false">Motore_Operativo!BH110*(1+Parametri_v3!$C$26)</f>
        <v>11009.4833333333</v>
      </c>
      <c r="AF110" s="15" t="n">
        <f aca="false">(IF(46-(INT((Parametri_v3!$C$29)/30))&lt;1,0,INDEX(Motore_Operativo!$BH$65:$BH$124,MAX(1,46-(INT((Parametri_v3!$C$29)/30)))))*(1-(MOD((Parametri_v3!$C$29),30)/30))+IF(46-(INT((Parametri_v3!$C$29)/30))-1&lt;1,0,INDEX(Motore_Operativo!$BH$65:$BH$124,MAX(1,46-(INT((Parametri_v3!$C$29)/30))-1)))*(MOD((Parametri_v3!$C$29),30)/30))*(1+Parametri_v3!$C$26)</f>
        <v>11009.4833333333</v>
      </c>
      <c r="AG110" s="15" t="n">
        <f aca="false">(AG109)+AE110-AF110</f>
        <v>11009.4833333333</v>
      </c>
      <c r="AH110" s="15" t="n">
        <f aca="false">(Motore_Operativo!CK110)*(1+Parametri_v3!$C$28*Parametri_v3!$C$26)</f>
        <v>23198.952</v>
      </c>
      <c r="AI110" s="15" t="n">
        <f aca="false">(IF(46-(INT((Ipotesi!$C$91)/30))&lt;1,0,INDEX(Motore_Advisory!$AH$65:$AH$124,MAX(1,46-(INT((Ipotesi!$C$91)/30)))))*(1-(MOD((Ipotesi!$C$91),30)/30))+IF(46-(INT((Ipotesi!$C$91)/30))-1&lt;1,0,INDEX(Motore_Advisory!$AH$65:$AH$124,MAX(1,46-(INT((Ipotesi!$C$91)/30))-1)))*(MOD((Ipotesi!$C$91),30)/30))</f>
        <v>23198.952</v>
      </c>
      <c r="AJ110" s="15" t="n">
        <f aca="false">(AJ109)+AH110-AI110</f>
        <v>46397.904</v>
      </c>
      <c r="AK110" s="15" t="n">
        <f aca="false">(F110- Motore_Operativo!BH110-(Motore_Operativo!CK110)*Parametri_v3!$C$28-Motore_Operativo!CF110)*Parametri_v3!$C$26</f>
        <v>14249.2313333333</v>
      </c>
      <c r="AL110" s="15" t="n">
        <f aca="false">MAX(0,(AM109))</f>
        <v>14249.2313333333</v>
      </c>
      <c r="AM110" s="15" t="n">
        <f aca="false">(AM109)+AK110-AL110</f>
        <v>14249.2313333333</v>
      </c>
      <c r="AN110" s="15" t="n">
        <f aca="false">SUM(X89:X100)</f>
        <v>46679.99375</v>
      </c>
      <c r="AO110" s="15" t="n">
        <f aca="false">SUM(AP89:AP100)</f>
        <v>16530.1714788732</v>
      </c>
      <c r="AP110" s="15" t="n">
        <f aca="false">MAX(0,AN110)*IF(10=Parametri_v3!$C$43,Parametri_v3!$C$45,IF(10=Parametri_v3!$C$44,1-Parametri_v3!$C$45,0))</f>
        <v>0</v>
      </c>
      <c r="AQ110" s="15" t="n">
        <f aca="false">MAX(0,AP110+IF(10=Parametri_v3!$C$43,MAX(0,AN110-AO110),0)-MAX(0,-(AR109)))</f>
        <v>0</v>
      </c>
      <c r="AR110" s="15" t="n">
        <f aca="false">(AR109)+X110-AQ110</f>
        <v>57318.4646170833</v>
      </c>
      <c r="AS110" s="15" t="n">
        <f aca="false">Motore_Operativo!AC110-AT110+AU110</f>
        <v>32137.5563729167</v>
      </c>
      <c r="AT110" s="15" t="n">
        <f aca="false">Motore_Operativo!CI110</f>
        <v>1691.45033541667</v>
      </c>
      <c r="AU110" s="15" t="n">
        <f aca="false">MIN(MAX(0,(AV109)+AT110),Parametri_v3!$C$61/12)</f>
        <v>0</v>
      </c>
      <c r="AV110" s="15" t="n">
        <f aca="false">(AV109)+AT110-AU110</f>
        <v>44893.9408541667</v>
      </c>
      <c r="AW110" s="15" t="n">
        <f aca="false">IF(AND(Motore_Operativo!C110=Finanziamenti!$D$7,Finanziamenti!$F$7=1),Finanziamenti!$C$7,0)</f>
        <v>0</v>
      </c>
      <c r="AX110" s="15" t="n">
        <f aca="false">0</f>
        <v>0</v>
      </c>
      <c r="AY110" s="15" t="n">
        <f aca="false">IF(10=Parametri_v3!$C$33,IF(BV110&lt;MIN(12,$B110-1),0,MIN(MAX(0,SUM(Y89:Y100))*Ipotesi!$C$94,MAX(0,(BM100)-(BO109)-BP110),MAX(0,BD110-Parametri_v3!$C$31))),0)</f>
        <v>0</v>
      </c>
      <c r="AZ110" s="15" t="n">
        <f aca="false">0</f>
        <v>0</v>
      </c>
      <c r="BA110" s="15" t="n">
        <f aca="false">0</f>
        <v>0</v>
      </c>
      <c r="BB110" s="15" t="n">
        <f aca="false">0</f>
        <v>0</v>
      </c>
      <c r="BC110" s="15" t="n">
        <f aca="false">0</f>
        <v>0</v>
      </c>
      <c r="BD110" s="15" t="n">
        <f aca="false">(BH109)+AC110-AF110-AI110-AS110-K110*(1+Parametri_v3!$C$26)-AL110-AQ110-O110+AW110+AX110+AZ110+BA110-BB110</f>
        <v>188638.004259271</v>
      </c>
      <c r="BE110" s="15" t="n">
        <f aca="false">0</f>
        <v>0</v>
      </c>
      <c r="BF110" s="15" t="n">
        <f aca="false">0</f>
        <v>0</v>
      </c>
      <c r="BG110" s="15" t="n">
        <f aca="false">0</f>
        <v>0</v>
      </c>
      <c r="BH110" s="15" t="n">
        <f aca="false">BD110+BE110-BF110-AY110</f>
        <v>188638.004259271</v>
      </c>
      <c r="BI110" s="15" t="n">
        <f aca="false">MAX(0,Parametri_v3!$C$31-BH110)</f>
        <v>0</v>
      </c>
      <c r="BJ110" s="15" t="n">
        <f aca="false">(BJ109)+K110</f>
        <v>19666.6666666667</v>
      </c>
      <c r="BK110" s="15" t="n">
        <f aca="false">(BK109)+L110</f>
        <v>10261.5740740741</v>
      </c>
      <c r="BL110" s="15" t="n">
        <f aca="false">BJ110-BK110</f>
        <v>9405.09259259259</v>
      </c>
      <c r="BM110" s="15" t="n">
        <f aca="false">(BM109)+Y110</f>
        <v>394774.478616725</v>
      </c>
      <c r="BN110" s="15" t="n">
        <f aca="false">(BN109)+AW110+AX110+AZ110</f>
        <v>20000</v>
      </c>
      <c r="BO110" s="15" t="n">
        <f aca="false">(BO109)+AY110</f>
        <v>60315.9059027778</v>
      </c>
      <c r="BP110" s="15" t="n">
        <f aca="false">MIN(Parametri_v3!$C$36*Parametri_v3!$C$35,(BP109)+IF(10=1,MAX(0,SUM(Y89:Y100))*Parametri_v3!$C$34,0))</f>
        <v>2000</v>
      </c>
      <c r="BQ110" s="15" t="n">
        <f aca="false">BN110+BM110-BO110</f>
        <v>354458.572713947</v>
      </c>
      <c r="BR110" s="15" t="n">
        <f aca="false">BH110+AD110+BL110+MAX(0,-AM110)+MAX(0,-AR110)</f>
        <v>528327.596851864</v>
      </c>
      <c r="BS110" s="15" t="n">
        <f aca="false">AJ110+AV110+MAX(0,AM110)+MAX(0,AR110)+BC110+BG110+BQ110+AG110</f>
        <v>528327.596851864</v>
      </c>
      <c r="BT110" s="15" t="n">
        <f aca="false">BR110-BS110</f>
        <v>0</v>
      </c>
      <c r="BU110" s="15" t="n">
        <f aca="false">BH110-(BD110+BE110-BF110-AY110)</f>
        <v>0</v>
      </c>
      <c r="BV110" s="15" t="n">
        <f aca="false">IF(BH109&lt;Parametri_v3!$C$31,0,BV109+1)</f>
        <v>17</v>
      </c>
    </row>
    <row r="111" customFormat="false" ht="18" hidden="false" customHeight="true" outlineLevel="0" collapsed="false">
      <c r="A111" s="68" t="n">
        <f aca="false">2</f>
        <v>2</v>
      </c>
      <c r="B111" s="68" t="n">
        <f aca="false">47</f>
        <v>47</v>
      </c>
      <c r="C111" s="18" t="n">
        <f aca="false">Motore_Operativo!C111</f>
        <v>47788</v>
      </c>
      <c r="D111" s="68" t="n">
        <f aca="false">Motore_Operativo!D111</f>
        <v>2030</v>
      </c>
      <c r="E111" s="68" t="n">
        <f aca="false">Motore_Operativo!E111</f>
        <v>11</v>
      </c>
      <c r="F111" s="15" t="n">
        <f aca="false">Motore_Operativo!AM111</f>
        <v>90241.6666666667</v>
      </c>
      <c r="G111" s="15" t="n">
        <f aca="false">Motore_Operativo!BH111</f>
        <v>9024.16666666667</v>
      </c>
      <c r="H111" s="15" t="n">
        <f aca="false">Motore_Operativo!AM111</f>
        <v>90241.6666666667</v>
      </c>
      <c r="I111" s="15" t="n">
        <f aca="false">Motore_Operativo!CB111</f>
        <v>62580.173375</v>
      </c>
      <c r="J111" s="15" t="n">
        <f aca="false">Motore_Operativo!CD111</f>
        <v>27661.4932916667</v>
      </c>
      <c r="K111" s="15" t="n">
        <f aca="false">Motore_Operativo!CF111</f>
        <v>666.666666666667</v>
      </c>
      <c r="L111" s="15" t="n">
        <f aca="false">SUM(INDEX($K$65:$K$124,MAX(1,47-Parametri_v3!$C$59+1)):K111)/Parametri_v3!$C$59</f>
        <v>488.425925925926</v>
      </c>
      <c r="M111" s="15" t="n">
        <f aca="false">J111-L111</f>
        <v>27173.0673657407</v>
      </c>
      <c r="N111" s="15" t="n">
        <f aca="false">0</f>
        <v>0</v>
      </c>
      <c r="O111" s="15" t="n">
        <f aca="false">0</f>
        <v>0</v>
      </c>
      <c r="P111" s="15" t="n">
        <f aca="false">M111+N111-O111</f>
        <v>27173.0673657407</v>
      </c>
      <c r="Q111" s="15" t="n">
        <f aca="false">SUM(P101:P111)+Parametri_v3!$C$56*11/12</f>
        <v>299540.315097222</v>
      </c>
      <c r="R111" s="15" t="n">
        <f aca="false">Z100</f>
        <v>0</v>
      </c>
      <c r="S111" s="15" t="n">
        <f aca="false">AA100</f>
        <v>0</v>
      </c>
      <c r="T111" s="15" t="n">
        <f aca="false">MIN(R111,MAX(0,Q111))</f>
        <v>0</v>
      </c>
      <c r="U111" s="15" t="n">
        <f aca="false">MIN(S111,MAX(0,Q111-T111)*Parametri_v3!$C$42)</f>
        <v>0</v>
      </c>
      <c r="V111" s="15" t="n">
        <f aca="false">MAX(0,Q111-T111-U111)*Ipotesi!$C$92</f>
        <v>71889.6756233333</v>
      </c>
      <c r="W111" s="15" t="n">
        <f aca="false">MAX(0,SUM(M101:M111)+Parametri_v3!$C$57*11/12)*Ipotesi!$C$93</f>
        <v>11682.0722887917</v>
      </c>
      <c r="X111" s="15" t="n">
        <f aca="false">V111+W111-(V110+W110)</f>
        <v>7581.28579504165</v>
      </c>
      <c r="Y111" s="15" t="n">
        <f aca="false">P111-X111</f>
        <v>19591.7815706991</v>
      </c>
      <c r="Z111" s="15" t="n">
        <f aca="false">R111-T111+IF(AND(Parametri_v3!$C$40=1,D111-YEAR(Parametri_v3!$C$50)&lt;Parametri_v3!$C$41),MAX(0,-Q111),0)</f>
        <v>0</v>
      </c>
      <c r="AA111" s="15" t="n">
        <f aca="false">S111-U111+IF(AND(Parametri_v3!$C$40=1,D111-YEAR(Parametri_v3!$C$50)&lt;Parametri_v3!$C$41),0,MAX(0,-Q111))</f>
        <v>0</v>
      </c>
      <c r="AB111" s="15" t="n">
        <f aca="false">F111*(1+Parametri_v3!$C$26)</f>
        <v>110094.833333333</v>
      </c>
      <c r="AC111" s="15" t="n">
        <f aca="false">(IF(47-(INT((Motore_Operativo!L111)/30))&lt;1,0,INDEX(Motore_Advisory!$AB$65:$AB$124,MAX(1,47-(INT((Motore_Operativo!L111)/30)))))*(1-(MOD((Motore_Operativo!L111),30)/30))+IF(47-(INT((Motore_Operativo!L111)/30))-1&lt;1,0,INDEX(Motore_Advisory!$AB$65:$AB$124,MAX(1,47-(INT((Motore_Operativo!L111)/30))-1)))*(MOD((Motore_Operativo!L111),30)/30))</f>
        <v>110094.833333333</v>
      </c>
      <c r="AD111" s="15" t="n">
        <f aca="false">(AD110)+AB111-AC111</f>
        <v>330284.5</v>
      </c>
      <c r="AE111" s="15" t="n">
        <f aca="false">Motore_Operativo!BH111*(1+Parametri_v3!$C$26)</f>
        <v>11009.4833333333</v>
      </c>
      <c r="AF111" s="15" t="n">
        <f aca="false">(IF(47-(INT((Parametri_v3!$C$29)/30))&lt;1,0,INDEX(Motore_Operativo!$BH$65:$BH$124,MAX(1,47-(INT((Parametri_v3!$C$29)/30)))))*(1-(MOD((Parametri_v3!$C$29),30)/30))+IF(47-(INT((Parametri_v3!$C$29)/30))-1&lt;1,0,INDEX(Motore_Operativo!$BH$65:$BH$124,MAX(1,47-(INT((Parametri_v3!$C$29)/30))-1)))*(MOD((Parametri_v3!$C$29),30)/30))*(1+Parametri_v3!$C$26)</f>
        <v>11009.4833333333</v>
      </c>
      <c r="AG111" s="15" t="n">
        <f aca="false">(AG110)+AE111-AF111</f>
        <v>11009.4833333333</v>
      </c>
      <c r="AH111" s="15" t="n">
        <f aca="false">(Motore_Operativo!CK111)*(1+Parametri_v3!$C$28*Parametri_v3!$C$26)</f>
        <v>23198.952</v>
      </c>
      <c r="AI111" s="15" t="n">
        <f aca="false">(IF(47-(INT((Ipotesi!$C$91)/30))&lt;1,0,INDEX(Motore_Advisory!$AH$65:$AH$124,MAX(1,47-(INT((Ipotesi!$C$91)/30)))))*(1-(MOD((Ipotesi!$C$91),30)/30))+IF(47-(INT((Ipotesi!$C$91)/30))-1&lt;1,0,INDEX(Motore_Advisory!$AH$65:$AH$124,MAX(1,47-(INT((Ipotesi!$C$91)/30))-1)))*(MOD((Ipotesi!$C$91),30)/30))</f>
        <v>23198.952</v>
      </c>
      <c r="AJ111" s="15" t="n">
        <f aca="false">(AJ110)+AH111-AI111</f>
        <v>46397.904</v>
      </c>
      <c r="AK111" s="15" t="n">
        <f aca="false">(F111- Motore_Operativo!BH111-(Motore_Operativo!CK111)*Parametri_v3!$C$28-Motore_Operativo!CF111)*Parametri_v3!$C$26</f>
        <v>14249.2313333333</v>
      </c>
      <c r="AL111" s="15" t="n">
        <f aca="false">MAX(0,(AM110))</f>
        <v>14249.2313333333</v>
      </c>
      <c r="AM111" s="15" t="n">
        <f aca="false">(AM110)+AK111-AL111</f>
        <v>14249.2313333333</v>
      </c>
      <c r="AN111" s="15" t="n">
        <f aca="false">SUM(X89:X100)</f>
        <v>46679.99375</v>
      </c>
      <c r="AO111" s="15" t="n">
        <f aca="false">SUM(AP89:AP100)</f>
        <v>16530.1714788732</v>
      </c>
      <c r="AP111" s="15" t="n">
        <f aca="false">MAX(0,AN111)*IF(11=Parametri_v3!$C$43,Parametri_v3!$C$45,IF(11=Parametri_v3!$C$44,1-Parametri_v3!$C$45,0))</f>
        <v>28007.99625</v>
      </c>
      <c r="AQ111" s="15" t="n">
        <f aca="false">MAX(0,AP111+IF(11=Parametri_v3!$C$43,MAX(0,AN111-AO111),0)-MAX(0,-(AR110)))</f>
        <v>28007.99625</v>
      </c>
      <c r="AR111" s="15" t="n">
        <f aca="false">(AR110)+X111-AQ111</f>
        <v>36891.754162125</v>
      </c>
      <c r="AS111" s="15" t="n">
        <f aca="false">Motore_Operativo!AC111-AT111+AU111</f>
        <v>32137.5563729167</v>
      </c>
      <c r="AT111" s="15" t="n">
        <f aca="false">Motore_Operativo!CI111</f>
        <v>1691.45033541667</v>
      </c>
      <c r="AU111" s="15" t="n">
        <f aca="false">MIN(MAX(0,(AV110)+AT111),Parametri_v3!$C$61/12)</f>
        <v>0</v>
      </c>
      <c r="AV111" s="15" t="n">
        <f aca="false">(AV110)+AT111-AU111</f>
        <v>46585.3911895833</v>
      </c>
      <c r="AW111" s="15" t="n">
        <f aca="false">IF(AND(Motore_Operativo!C111=Finanziamenti!$D$7,Finanziamenti!$F$7=1),Finanziamenti!$C$7,0)</f>
        <v>0</v>
      </c>
      <c r="AX111" s="15" t="n">
        <f aca="false">0</f>
        <v>0</v>
      </c>
      <c r="AY111" s="15" t="n">
        <f aca="false">IF(11=Parametri_v3!$C$33,IF(BV111&lt;MIN(12,$B111-1),0,MIN(MAX(0,SUM(Y89:Y100))*Ipotesi!$C$94,MAX(0,(BM100)-(BO110)-BP111),MAX(0,BD111-Parametri_v3!$C$31))),0)</f>
        <v>0</v>
      </c>
      <c r="AZ111" s="15" t="n">
        <f aca="false">0</f>
        <v>0</v>
      </c>
      <c r="BA111" s="15" t="n">
        <f aca="false">0</f>
        <v>0</v>
      </c>
      <c r="BB111" s="15" t="n">
        <f aca="false">0</f>
        <v>0</v>
      </c>
      <c r="BC111" s="15" t="n">
        <f aca="false">0</f>
        <v>0</v>
      </c>
      <c r="BD111" s="15" t="n">
        <f aca="false">(BH110)+AC111-AF111-AI111-AS111-K111*(1+Parametri_v3!$C$26)-AL111-AQ111-O111+AW111+AX111+AZ111+BA111-BB111</f>
        <v>189316.284969688</v>
      </c>
      <c r="BE111" s="15" t="n">
        <f aca="false">0</f>
        <v>0</v>
      </c>
      <c r="BF111" s="15" t="n">
        <f aca="false">0</f>
        <v>0</v>
      </c>
      <c r="BG111" s="15" t="n">
        <f aca="false">0</f>
        <v>0</v>
      </c>
      <c r="BH111" s="15" t="n">
        <f aca="false">BD111+BE111-BF111-AY111</f>
        <v>189316.284969688</v>
      </c>
      <c r="BI111" s="15" t="n">
        <f aca="false">MAX(0,Parametri_v3!$C$31-BH111)</f>
        <v>0</v>
      </c>
      <c r="BJ111" s="15" t="n">
        <f aca="false">(BJ110)+K111</f>
        <v>20333.3333333333</v>
      </c>
      <c r="BK111" s="15" t="n">
        <f aca="false">(BK110)+L111</f>
        <v>10750</v>
      </c>
      <c r="BL111" s="15" t="n">
        <f aca="false">BJ111-BK111</f>
        <v>9583.33333333333</v>
      </c>
      <c r="BM111" s="15" t="n">
        <f aca="false">(BM110)+Y111</f>
        <v>414366.260187424</v>
      </c>
      <c r="BN111" s="15" t="n">
        <f aca="false">(BN110)+AW111+AX111+AZ111</f>
        <v>20000</v>
      </c>
      <c r="BO111" s="15" t="n">
        <f aca="false">(BO110)+AY111</f>
        <v>60315.9059027778</v>
      </c>
      <c r="BP111" s="15" t="n">
        <f aca="false">MIN(Parametri_v3!$C$36*Parametri_v3!$C$35,(BP110)+IF(11=1,MAX(0,SUM(Y89:Y100))*Parametri_v3!$C$34,0))</f>
        <v>2000</v>
      </c>
      <c r="BQ111" s="15" t="n">
        <f aca="false">BN111+BM111-BO111</f>
        <v>374050.354284646</v>
      </c>
      <c r="BR111" s="15" t="n">
        <f aca="false">BH111+AD111+BL111+MAX(0,-AM111)+MAX(0,-AR111)</f>
        <v>529184.118303021</v>
      </c>
      <c r="BS111" s="15" t="n">
        <f aca="false">AJ111+AV111+MAX(0,AM111)+MAX(0,AR111)+BC111+BG111+BQ111+AG111</f>
        <v>529184.118303021</v>
      </c>
      <c r="BT111" s="15" t="n">
        <f aca="false">BR111-BS111</f>
        <v>0</v>
      </c>
      <c r="BU111" s="15" t="n">
        <f aca="false">BH111-(BD111+BE111-BF111-AY111)</f>
        <v>0</v>
      </c>
      <c r="BV111" s="15" t="n">
        <f aca="false">IF(BH110&lt;Parametri_v3!$C$31,0,BV110+1)</f>
        <v>18</v>
      </c>
    </row>
    <row r="112" customFormat="false" ht="18" hidden="false" customHeight="true" outlineLevel="0" collapsed="false">
      <c r="A112" s="68" t="n">
        <f aca="false">2</f>
        <v>2</v>
      </c>
      <c r="B112" s="68" t="n">
        <f aca="false">48</f>
        <v>48</v>
      </c>
      <c r="C112" s="18" t="n">
        <f aca="false">Motore_Operativo!C112</f>
        <v>47818</v>
      </c>
      <c r="D112" s="68" t="n">
        <f aca="false">Motore_Operativo!D112</f>
        <v>2030</v>
      </c>
      <c r="E112" s="68" t="n">
        <f aca="false">Motore_Operativo!E112</f>
        <v>12</v>
      </c>
      <c r="F112" s="15" t="n">
        <f aca="false">Motore_Operativo!AM112</f>
        <v>90241.6666666667</v>
      </c>
      <c r="G112" s="15" t="n">
        <f aca="false">Motore_Operativo!BH112</f>
        <v>9024.16666666667</v>
      </c>
      <c r="H112" s="15" t="n">
        <f aca="false">Motore_Operativo!AM112</f>
        <v>90241.6666666667</v>
      </c>
      <c r="I112" s="15" t="n">
        <f aca="false">Motore_Operativo!CB112</f>
        <v>62580.173375</v>
      </c>
      <c r="J112" s="15" t="n">
        <f aca="false">Motore_Operativo!CD112</f>
        <v>27661.4932916667</v>
      </c>
      <c r="K112" s="15" t="n">
        <f aca="false">Motore_Operativo!CF112</f>
        <v>666.666666666667</v>
      </c>
      <c r="L112" s="15" t="n">
        <f aca="false">SUM(INDEX($K$65:$K$124,MAX(1,48-Parametri_v3!$C$59+1)):K112)/Parametri_v3!$C$59</f>
        <v>500</v>
      </c>
      <c r="M112" s="15" t="n">
        <f aca="false">J112-L112</f>
        <v>27161.4932916667</v>
      </c>
      <c r="N112" s="15" t="n">
        <f aca="false">0</f>
        <v>0</v>
      </c>
      <c r="O112" s="15" t="n">
        <f aca="false">0</f>
        <v>0</v>
      </c>
      <c r="P112" s="15" t="n">
        <f aca="false">M112+N112-O112</f>
        <v>27161.4932916667</v>
      </c>
      <c r="Q112" s="15" t="n">
        <f aca="false">SUM(P101:P112)+Parametri_v3!$C$56*12/12</f>
        <v>326701.808388889</v>
      </c>
      <c r="R112" s="15" t="n">
        <f aca="false">Z100</f>
        <v>0</v>
      </c>
      <c r="S112" s="15" t="n">
        <f aca="false">AA100</f>
        <v>0</v>
      </c>
      <c r="T112" s="15" t="n">
        <f aca="false">MIN(R112,MAX(0,Q112))</f>
        <v>0</v>
      </c>
      <c r="U112" s="15" t="n">
        <f aca="false">MIN(S112,MAX(0,Q112-T112)*Parametri_v3!$C$42)</f>
        <v>0</v>
      </c>
      <c r="V112" s="15" t="n">
        <f aca="false">MAX(0,Q112-T112-U112)*Ipotesi!$C$92</f>
        <v>78408.4340133333</v>
      </c>
      <c r="W112" s="15" t="n">
        <f aca="false">MAX(0,SUM(M101:M112)+Parametri_v3!$C$57*12/12)*Ipotesi!$C$93</f>
        <v>12741.3705271667</v>
      </c>
      <c r="X112" s="15" t="n">
        <f aca="false">V112+W112-(V111+W111)</f>
        <v>7578.05662837502</v>
      </c>
      <c r="Y112" s="15" t="n">
        <f aca="false">P112-X112</f>
        <v>19583.4366632916</v>
      </c>
      <c r="Z112" s="15" t="n">
        <f aca="false">R112-T112+IF(AND(Parametri_v3!$C$40=1,D112-YEAR(Parametri_v3!$C$50)&lt;Parametri_v3!$C$41),MAX(0,-Q112),0)</f>
        <v>0</v>
      </c>
      <c r="AA112" s="15" t="n">
        <f aca="false">S112-U112+IF(AND(Parametri_v3!$C$40=1,D112-YEAR(Parametri_v3!$C$50)&lt;Parametri_v3!$C$41),0,MAX(0,-Q112))</f>
        <v>0</v>
      </c>
      <c r="AB112" s="15" t="n">
        <f aca="false">F112*(1+Parametri_v3!$C$26)</f>
        <v>110094.833333333</v>
      </c>
      <c r="AC112" s="15" t="n">
        <f aca="false">(IF(48-(INT((Motore_Operativo!L112)/30))&lt;1,0,INDEX(Motore_Advisory!$AB$65:$AB$124,MAX(1,48-(INT((Motore_Operativo!L112)/30)))))*(1-(MOD((Motore_Operativo!L112),30)/30))+IF(48-(INT((Motore_Operativo!L112)/30))-1&lt;1,0,INDEX(Motore_Advisory!$AB$65:$AB$124,MAX(1,48-(INT((Motore_Operativo!L112)/30))-1)))*(MOD((Motore_Operativo!L112),30)/30))</f>
        <v>110094.833333333</v>
      </c>
      <c r="AD112" s="15" t="n">
        <f aca="false">(AD111)+AB112-AC112</f>
        <v>330284.5</v>
      </c>
      <c r="AE112" s="15" t="n">
        <f aca="false">Motore_Operativo!BH112*(1+Parametri_v3!$C$26)</f>
        <v>11009.4833333333</v>
      </c>
      <c r="AF112" s="15" t="n">
        <f aca="false">(IF(48-(INT((Parametri_v3!$C$29)/30))&lt;1,0,INDEX(Motore_Operativo!$BH$65:$BH$124,MAX(1,48-(INT((Parametri_v3!$C$29)/30)))))*(1-(MOD((Parametri_v3!$C$29),30)/30))+IF(48-(INT((Parametri_v3!$C$29)/30))-1&lt;1,0,INDEX(Motore_Operativo!$BH$65:$BH$124,MAX(1,48-(INT((Parametri_v3!$C$29)/30))-1)))*(MOD((Parametri_v3!$C$29),30)/30))*(1+Parametri_v3!$C$26)</f>
        <v>11009.4833333333</v>
      </c>
      <c r="AG112" s="15" t="n">
        <f aca="false">(AG111)+AE112-AF112</f>
        <v>11009.4833333333</v>
      </c>
      <c r="AH112" s="15" t="n">
        <f aca="false">(Motore_Operativo!CK112)*(1+Parametri_v3!$C$28*Parametri_v3!$C$26)</f>
        <v>23198.952</v>
      </c>
      <c r="AI112" s="15" t="n">
        <f aca="false">(IF(48-(INT((Ipotesi!$C$91)/30))&lt;1,0,INDEX(Motore_Advisory!$AH$65:$AH$124,MAX(1,48-(INT((Ipotesi!$C$91)/30)))))*(1-(MOD((Ipotesi!$C$91),30)/30))+IF(48-(INT((Ipotesi!$C$91)/30))-1&lt;1,0,INDEX(Motore_Advisory!$AH$65:$AH$124,MAX(1,48-(INT((Ipotesi!$C$91)/30))-1)))*(MOD((Ipotesi!$C$91),30)/30))</f>
        <v>23198.952</v>
      </c>
      <c r="AJ112" s="15" t="n">
        <f aca="false">(AJ111)+AH112-AI112</f>
        <v>46397.904</v>
      </c>
      <c r="AK112" s="15" t="n">
        <f aca="false">(F112- Motore_Operativo!BH112-(Motore_Operativo!CK112)*Parametri_v3!$C$28-Motore_Operativo!CF112)*Parametri_v3!$C$26</f>
        <v>14249.2313333333</v>
      </c>
      <c r="AL112" s="15" t="n">
        <f aca="false">MAX(0,(AM111))</f>
        <v>14249.2313333333</v>
      </c>
      <c r="AM112" s="15" t="n">
        <f aca="false">(AM111)+AK112-AL112</f>
        <v>14249.2313333333</v>
      </c>
      <c r="AN112" s="15" t="n">
        <f aca="false">SUM(X89:X100)</f>
        <v>46679.99375</v>
      </c>
      <c r="AO112" s="15" t="n">
        <f aca="false">SUM(AP89:AP100)</f>
        <v>16530.1714788732</v>
      </c>
      <c r="AP112" s="15" t="n">
        <f aca="false">MAX(0,AN112)*IF(12=Parametri_v3!$C$43,Parametri_v3!$C$45,IF(12=Parametri_v3!$C$44,1-Parametri_v3!$C$45,0))</f>
        <v>0</v>
      </c>
      <c r="AQ112" s="15" t="n">
        <f aca="false">MAX(0,AP112+IF(12=Parametri_v3!$C$43,MAX(0,AN112-AO112),0)-MAX(0,-(AR111)))</f>
        <v>0</v>
      </c>
      <c r="AR112" s="15" t="n">
        <f aca="false">(AR111)+X112-AQ112</f>
        <v>44469.8107905</v>
      </c>
      <c r="AS112" s="15" t="n">
        <f aca="false">Motore_Operativo!AC112-AT112+AU112</f>
        <v>32137.5563729167</v>
      </c>
      <c r="AT112" s="15" t="n">
        <f aca="false">Motore_Operativo!CI112</f>
        <v>1691.45033541667</v>
      </c>
      <c r="AU112" s="15" t="n">
        <f aca="false">MIN(MAX(0,(AV111)+AT112),Parametri_v3!$C$61/12)</f>
        <v>0</v>
      </c>
      <c r="AV112" s="15" t="n">
        <f aca="false">(AV111)+AT112-AU112</f>
        <v>48276.841525</v>
      </c>
      <c r="AW112" s="15" t="n">
        <f aca="false">IF(AND(Motore_Operativo!C112=Finanziamenti!$D$7,Finanziamenti!$F$7=1),Finanziamenti!$C$7,0)</f>
        <v>0</v>
      </c>
      <c r="AX112" s="15" t="n">
        <f aca="false">0</f>
        <v>0</v>
      </c>
      <c r="AY112" s="15" t="n">
        <f aca="false">IF(12=Parametri_v3!$C$33,IF(BV112&lt;MIN(12,$B112-1),0,MIN(MAX(0,SUM(Y89:Y100))*Ipotesi!$C$94,MAX(0,(BM100)-(BO111)-BP112),MAX(0,BD112-Parametri_v3!$C$31))),0)</f>
        <v>0</v>
      </c>
      <c r="AZ112" s="15" t="n">
        <f aca="false">0</f>
        <v>0</v>
      </c>
      <c r="BA112" s="15" t="n">
        <f aca="false">0</f>
        <v>0</v>
      </c>
      <c r="BB112" s="15" t="n">
        <f aca="false">0</f>
        <v>0</v>
      </c>
      <c r="BC112" s="15" t="n">
        <f aca="false">0</f>
        <v>0</v>
      </c>
      <c r="BD112" s="15" t="n">
        <f aca="false">(BH111)+AC112-AF112-AI112-AS112-K112*(1+Parametri_v3!$C$26)-AL112-AQ112-O112+AW112+AX112+AZ112+BA112-BB112</f>
        <v>218002.561930104</v>
      </c>
      <c r="BE112" s="15" t="n">
        <f aca="false">0</f>
        <v>0</v>
      </c>
      <c r="BF112" s="15" t="n">
        <f aca="false">0</f>
        <v>0</v>
      </c>
      <c r="BG112" s="15" t="n">
        <f aca="false">0</f>
        <v>0</v>
      </c>
      <c r="BH112" s="15" t="n">
        <f aca="false">BD112+BE112-BF112-AY112</f>
        <v>218002.561930104</v>
      </c>
      <c r="BI112" s="15" t="n">
        <f aca="false">MAX(0,Parametri_v3!$C$31-BH112)</f>
        <v>0</v>
      </c>
      <c r="BJ112" s="15" t="n">
        <f aca="false">(BJ111)+K112</f>
        <v>21000</v>
      </c>
      <c r="BK112" s="15" t="n">
        <f aca="false">(BK111)+L112</f>
        <v>11250</v>
      </c>
      <c r="BL112" s="15" t="n">
        <f aca="false">BJ112-BK112</f>
        <v>9750</v>
      </c>
      <c r="BM112" s="15" t="n">
        <f aca="false">(BM111)+Y112</f>
        <v>433949.696850716</v>
      </c>
      <c r="BN112" s="15" t="n">
        <f aca="false">(BN111)+AW112+AX112+AZ112</f>
        <v>20000</v>
      </c>
      <c r="BO112" s="15" t="n">
        <f aca="false">(BO111)+AY112</f>
        <v>60315.9059027778</v>
      </c>
      <c r="BP112" s="15" t="n">
        <f aca="false">MIN(Parametri_v3!$C$36*Parametri_v3!$C$35,(BP111)+IF(12=1,MAX(0,SUM(Y89:Y100))*Parametri_v3!$C$34,0))</f>
        <v>2000</v>
      </c>
      <c r="BQ112" s="15" t="n">
        <f aca="false">BN112+BM112-BO112</f>
        <v>393633.790947938</v>
      </c>
      <c r="BR112" s="15" t="n">
        <f aca="false">BH112+AD112+BL112+MAX(0,-AM112)+MAX(0,-AR112)</f>
        <v>558037.061930104</v>
      </c>
      <c r="BS112" s="15" t="n">
        <f aca="false">AJ112+AV112+MAX(0,AM112)+MAX(0,AR112)+BC112+BG112+BQ112+AG112</f>
        <v>558037.061930105</v>
      </c>
      <c r="BT112" s="15" t="n">
        <f aca="false">BR112-BS112</f>
        <v>0</v>
      </c>
      <c r="BU112" s="15" t="n">
        <f aca="false">BH112-(BD112+BE112-BF112-AY112)</f>
        <v>0</v>
      </c>
      <c r="BV112" s="15" t="n">
        <f aca="false">IF(BH111&lt;Parametri_v3!$C$31,0,BV111+1)</f>
        <v>19</v>
      </c>
    </row>
    <row r="113" customFormat="false" ht="18" hidden="false" customHeight="true" outlineLevel="0" collapsed="false">
      <c r="A113" s="68" t="n">
        <f aca="false">2</f>
        <v>2</v>
      </c>
      <c r="B113" s="68" t="n">
        <f aca="false">49</f>
        <v>49</v>
      </c>
      <c r="C113" s="18" t="n">
        <f aca="false">Motore_Operativo!C113</f>
        <v>47849</v>
      </c>
      <c r="D113" s="68" t="n">
        <f aca="false">Motore_Operativo!D113</f>
        <v>2031</v>
      </c>
      <c r="E113" s="68" t="n">
        <f aca="false">Motore_Operativo!E113</f>
        <v>1</v>
      </c>
      <c r="F113" s="15" t="n">
        <f aca="false">Motore_Operativo!AM113</f>
        <v>115958.333333333</v>
      </c>
      <c r="G113" s="15" t="n">
        <f aca="false">Motore_Operativo!BH113</f>
        <v>11595.8333333333</v>
      </c>
      <c r="H113" s="15" t="n">
        <f aca="false">Motore_Operativo!AM113</f>
        <v>115958.333333333</v>
      </c>
      <c r="I113" s="15" t="n">
        <f aca="false">Motore_Operativo!CB113</f>
        <v>79625.4722608333</v>
      </c>
      <c r="J113" s="15" t="n">
        <f aca="false">Motore_Operativo!CD113</f>
        <v>36332.8610725</v>
      </c>
      <c r="K113" s="15" t="n">
        <f aca="false">Motore_Operativo!CF113</f>
        <v>666.666666666667</v>
      </c>
      <c r="L113" s="15" t="n">
        <f aca="false">SUM(INDEX($K$65:$K$124,MAX(1,49-Parametri_v3!$C$59+1)):K113)/Parametri_v3!$C$59</f>
        <v>506.944444444444</v>
      </c>
      <c r="M113" s="15" t="n">
        <f aca="false">J113-L113</f>
        <v>35825.9166280556</v>
      </c>
      <c r="N113" s="15" t="n">
        <f aca="false">0</f>
        <v>0</v>
      </c>
      <c r="O113" s="15" t="n">
        <f aca="false">0</f>
        <v>0</v>
      </c>
      <c r="P113" s="15" t="n">
        <f aca="false">M113+N113-O113</f>
        <v>35825.9166280556</v>
      </c>
      <c r="Q113" s="15" t="n">
        <f aca="false">SUM(P113)+Parametri_v3!$C$56*1/12</f>
        <v>35825.9166280556</v>
      </c>
      <c r="R113" s="15" t="n">
        <f aca="false">Z112</f>
        <v>0</v>
      </c>
      <c r="S113" s="15" t="n">
        <f aca="false">AA112</f>
        <v>0</v>
      </c>
      <c r="T113" s="15" t="n">
        <f aca="false">MIN(R113,MAX(0,Q113))</f>
        <v>0</v>
      </c>
      <c r="U113" s="15" t="n">
        <f aca="false">MIN(S113,MAX(0,Q113-T113)*Parametri_v3!$C$42)</f>
        <v>0</v>
      </c>
      <c r="V113" s="15" t="n">
        <f aca="false">MAX(0,Q113-T113-U113)*Ipotesi!$C$92</f>
        <v>8598.21999073333</v>
      </c>
      <c r="W113" s="15" t="n">
        <f aca="false">MAX(0,SUM(M113)+Parametri_v3!$C$57*1/12)*Ipotesi!$C$93</f>
        <v>1397.21074849417</v>
      </c>
      <c r="X113" s="15" t="n">
        <f aca="false">V113+W113-(0)</f>
        <v>9995.4307392275</v>
      </c>
      <c r="Y113" s="15" t="n">
        <f aca="false">P113-X113</f>
        <v>25830.4858888281</v>
      </c>
      <c r="Z113" s="15" t="n">
        <f aca="false">R113-T113+IF(AND(Parametri_v3!$C$40=1,D113-YEAR(Parametri_v3!$C$50)&lt;Parametri_v3!$C$41),MAX(0,-Q113),0)</f>
        <v>0</v>
      </c>
      <c r="AA113" s="15" t="n">
        <f aca="false">S113-U113+IF(AND(Parametri_v3!$C$40=1,D113-YEAR(Parametri_v3!$C$50)&lt;Parametri_v3!$C$41),0,MAX(0,-Q113))</f>
        <v>0</v>
      </c>
      <c r="AB113" s="15" t="n">
        <f aca="false">F113*(1+Parametri_v3!$C$26)</f>
        <v>141469.166666667</v>
      </c>
      <c r="AC113" s="15" t="n">
        <f aca="false">(IF(49-(INT((Motore_Operativo!L113)/30))&lt;1,0,INDEX(Motore_Advisory!$AB$65:$AB$124,MAX(1,49-(INT((Motore_Operativo!L113)/30)))))*(1-(MOD((Motore_Operativo!L113),30)/30))+IF(49-(INT((Motore_Operativo!L113)/30))-1&lt;1,0,INDEX(Motore_Advisory!$AB$65:$AB$124,MAX(1,49-(INT((Motore_Operativo!L113)/30))-1)))*(MOD((Motore_Operativo!L113),30)/30))</f>
        <v>110094.833333333</v>
      </c>
      <c r="AD113" s="15" t="n">
        <f aca="false">(AD112)+AB113-AC113</f>
        <v>361658.833333333</v>
      </c>
      <c r="AE113" s="15" t="n">
        <f aca="false">Motore_Operativo!BH113*(1+Parametri_v3!$C$26)</f>
        <v>14146.9166666667</v>
      </c>
      <c r="AF113" s="15" t="n">
        <f aca="false">(IF(49-(INT((Parametri_v3!$C$29)/30))&lt;1,0,INDEX(Motore_Operativo!$BH$65:$BH$124,MAX(1,49-(INT((Parametri_v3!$C$29)/30)))))*(1-(MOD((Parametri_v3!$C$29),30)/30))+IF(49-(INT((Parametri_v3!$C$29)/30))-1&lt;1,0,INDEX(Motore_Operativo!$BH$65:$BH$124,MAX(1,49-(INT((Parametri_v3!$C$29)/30))-1)))*(MOD((Parametri_v3!$C$29),30)/30))*(1+Parametri_v3!$C$26)</f>
        <v>11009.4833333333</v>
      </c>
      <c r="AG113" s="15" t="n">
        <f aca="false">(AG112)+AE113-AF113</f>
        <v>14146.9166666667</v>
      </c>
      <c r="AH113" s="15" t="n">
        <f aca="false">(Motore_Operativo!CK113)*(1+Parametri_v3!$C$28*Parametri_v3!$C$26)</f>
        <v>27831.02</v>
      </c>
      <c r="AI113" s="15" t="n">
        <f aca="false">(IF(49-(INT((Ipotesi!$C$91)/30))&lt;1,0,INDEX(Motore_Advisory!$AH$65:$AH$124,MAX(1,49-(INT((Ipotesi!$C$91)/30)))))*(1-(MOD((Ipotesi!$C$91),30)/30))+IF(49-(INT((Ipotesi!$C$91)/30))-1&lt;1,0,INDEX(Motore_Advisory!$AH$65:$AH$124,MAX(1,49-(INT((Ipotesi!$C$91)/30))-1)))*(MOD((Ipotesi!$C$91),30)/30))</f>
        <v>23198.952</v>
      </c>
      <c r="AJ113" s="15" t="n">
        <f aca="false">(AJ112)+AH113-AI113</f>
        <v>51029.972</v>
      </c>
      <c r="AK113" s="15" t="n">
        <f aca="false">(F113- Motore_Operativo!BH113-(Motore_Operativo!CK113)*Parametri_v3!$C$28-Motore_Operativo!CF113)*Parametri_v3!$C$26</f>
        <v>18647.8966666667</v>
      </c>
      <c r="AL113" s="15" t="n">
        <f aca="false">MAX(0,(AM112))</f>
        <v>14249.2313333333</v>
      </c>
      <c r="AM113" s="15" t="n">
        <f aca="false">(AM112)+AK113-AL113</f>
        <v>18647.8966666667</v>
      </c>
      <c r="AN113" s="15" t="n">
        <f aca="false">SUM(X101:X112)</f>
        <v>91149.8045405</v>
      </c>
      <c r="AO113" s="15" t="n">
        <f aca="false">SUM(AP101:AP112)</f>
        <v>46679.99375</v>
      </c>
      <c r="AP113" s="15" t="n">
        <f aca="false">MAX(0,AN113)*IF(1=Parametri_v3!$C$43,Parametri_v3!$C$45,IF(1=Parametri_v3!$C$44,1-Parametri_v3!$C$45,0))</f>
        <v>0</v>
      </c>
      <c r="AQ113" s="15" t="n">
        <f aca="false">MAX(0,AP113+IF(1=Parametri_v3!$C$43,MAX(0,AN113-AO113),0)-MAX(0,-(AR112)))</f>
        <v>0</v>
      </c>
      <c r="AR113" s="15" t="n">
        <f aca="false">(AR112)+X113-AQ113</f>
        <v>54465.2415297275</v>
      </c>
      <c r="AS113" s="15" t="n">
        <f aca="false">Motore_Operativo!AC113-AT113+AU113</f>
        <v>42145.6153144583</v>
      </c>
      <c r="AT113" s="15" t="n">
        <f aca="false">Motore_Operativo!CI113</f>
        <v>2218.19027970833</v>
      </c>
      <c r="AU113" s="15" t="n">
        <f aca="false">MIN(MAX(0,(AV112)+AT113),Parametri_v3!$C$61/12)</f>
        <v>0</v>
      </c>
      <c r="AV113" s="15" t="n">
        <f aca="false">(AV112)+AT113-AU113</f>
        <v>50495.0318047083</v>
      </c>
      <c r="AW113" s="15" t="n">
        <f aca="false">IF(AND(Motore_Operativo!C113=Finanziamenti!$D$7,Finanziamenti!$F$7=1),Finanziamenti!$C$7,0)</f>
        <v>0</v>
      </c>
      <c r="AX113" s="15" t="n">
        <f aca="false">0</f>
        <v>0</v>
      </c>
      <c r="AY113" s="15" t="n">
        <f aca="false">IF(1=Parametri_v3!$C$33,IF(BV113&lt;MIN(12,$B113-1),0,MIN(MAX(0,SUM(Y101:Y112))*Ipotesi!$C$94,MAX(0,(BM112)-(BO112)-BP113),MAX(0,BD113-Parametri_v3!$C$31))),0)</f>
        <v>0</v>
      </c>
      <c r="AZ113" s="15" t="n">
        <f aca="false">0</f>
        <v>0</v>
      </c>
      <c r="BA113" s="15" t="n">
        <f aca="false">0</f>
        <v>0</v>
      </c>
      <c r="BB113" s="15" t="n">
        <f aca="false">0</f>
        <v>0</v>
      </c>
      <c r="BC113" s="15" t="n">
        <f aca="false">0</f>
        <v>0</v>
      </c>
      <c r="BD113" s="15" t="n">
        <f aca="false">(BH112)+AC113-AF113-AI113-AS113-K113*(1+Parametri_v3!$C$26)-AL113-AQ113-O113+AW113+AX113+AZ113+BA113-BB113</f>
        <v>236680.779948979</v>
      </c>
      <c r="BE113" s="15" t="n">
        <f aca="false">0</f>
        <v>0</v>
      </c>
      <c r="BF113" s="15" t="n">
        <f aca="false">0</f>
        <v>0</v>
      </c>
      <c r="BG113" s="15" t="n">
        <f aca="false">0</f>
        <v>0</v>
      </c>
      <c r="BH113" s="15" t="n">
        <f aca="false">BD113+BE113-BF113-AY113</f>
        <v>236680.779948979</v>
      </c>
      <c r="BI113" s="15" t="n">
        <f aca="false">MAX(0,Parametri_v3!$C$31-BH113)</f>
        <v>0</v>
      </c>
      <c r="BJ113" s="15" t="n">
        <f aca="false">(BJ112)+K113</f>
        <v>21666.6666666667</v>
      </c>
      <c r="BK113" s="15" t="n">
        <f aca="false">(BK112)+L113</f>
        <v>11756.9444444444</v>
      </c>
      <c r="BL113" s="15" t="n">
        <f aca="false">BJ113-BK113</f>
        <v>9909.72222222222</v>
      </c>
      <c r="BM113" s="15" t="n">
        <f aca="false">(BM112)+Y113</f>
        <v>459780.182739544</v>
      </c>
      <c r="BN113" s="15" t="n">
        <f aca="false">(BN112)+AW113+AX113+AZ113</f>
        <v>20000</v>
      </c>
      <c r="BO113" s="15" t="n">
        <f aca="false">(BO112)+AY113</f>
        <v>60315.9059027778</v>
      </c>
      <c r="BP113" s="15" t="n">
        <f aca="false">MIN(Parametri_v3!$C$36*Parametri_v3!$C$35,(BP112)+IF(1=1,MAX(0,SUM(Y101:Y112))*Parametri_v3!$C$34,0))</f>
        <v>2000</v>
      </c>
      <c r="BQ113" s="15" t="n">
        <f aca="false">BN113+BM113-BO113</f>
        <v>419464.276836766</v>
      </c>
      <c r="BR113" s="15" t="n">
        <f aca="false">BH113+AD113+BL113+MAX(0,-AM113)+MAX(0,-AR113)</f>
        <v>608249.335504535</v>
      </c>
      <c r="BS113" s="15" t="n">
        <f aca="false">AJ113+AV113+MAX(0,AM113)+MAX(0,AR113)+BC113+BG113+BQ113+AG113</f>
        <v>608249.335504535</v>
      </c>
      <c r="BT113" s="15" t="n">
        <f aca="false">BR113-BS113</f>
        <v>0</v>
      </c>
      <c r="BU113" s="15" t="n">
        <f aca="false">BH113-(BD113+BE113-BF113-AY113)</f>
        <v>0</v>
      </c>
      <c r="BV113" s="15" t="n">
        <f aca="false">IF(BH112&lt;Parametri_v3!$C$31,0,BV112+1)</f>
        <v>20</v>
      </c>
    </row>
    <row r="114" customFormat="false" ht="18" hidden="false" customHeight="true" outlineLevel="0" collapsed="false">
      <c r="A114" s="68" t="n">
        <f aca="false">2</f>
        <v>2</v>
      </c>
      <c r="B114" s="68" t="n">
        <f aca="false">50</f>
        <v>50</v>
      </c>
      <c r="C114" s="18" t="n">
        <f aca="false">Motore_Operativo!C114</f>
        <v>47880</v>
      </c>
      <c r="D114" s="68" t="n">
        <f aca="false">Motore_Operativo!D114</f>
        <v>2031</v>
      </c>
      <c r="E114" s="68" t="n">
        <f aca="false">Motore_Operativo!E114</f>
        <v>2</v>
      </c>
      <c r="F114" s="15" t="n">
        <f aca="false">Motore_Operativo!AM114</f>
        <v>115958.333333333</v>
      </c>
      <c r="G114" s="15" t="n">
        <f aca="false">Motore_Operativo!BH114</f>
        <v>11595.8333333333</v>
      </c>
      <c r="H114" s="15" t="n">
        <f aca="false">Motore_Operativo!AM114</f>
        <v>115958.333333333</v>
      </c>
      <c r="I114" s="15" t="n">
        <f aca="false">Motore_Operativo!CB114</f>
        <v>79625.4722608333</v>
      </c>
      <c r="J114" s="15" t="n">
        <f aca="false">Motore_Operativo!CD114</f>
        <v>36332.8610725</v>
      </c>
      <c r="K114" s="15" t="n">
        <f aca="false">Motore_Operativo!CF114</f>
        <v>666.666666666667</v>
      </c>
      <c r="L114" s="15" t="n">
        <f aca="false">SUM(INDEX($K$65:$K$124,MAX(1,50-Parametri_v3!$C$59+1)):K114)/Parametri_v3!$C$59</f>
        <v>513.888888888889</v>
      </c>
      <c r="M114" s="15" t="n">
        <f aca="false">J114-L114</f>
        <v>35818.9721836111</v>
      </c>
      <c r="N114" s="15" t="n">
        <f aca="false">0</f>
        <v>0</v>
      </c>
      <c r="O114" s="15" t="n">
        <f aca="false">0</f>
        <v>0</v>
      </c>
      <c r="P114" s="15" t="n">
        <f aca="false">M114+N114-O114</f>
        <v>35818.9721836111</v>
      </c>
      <c r="Q114" s="15" t="n">
        <f aca="false">SUM(P113:P114)+Parametri_v3!$C$56*2/12</f>
        <v>71644.8888116667</v>
      </c>
      <c r="R114" s="15" t="n">
        <f aca="false">Z112</f>
        <v>0</v>
      </c>
      <c r="S114" s="15" t="n">
        <f aca="false">AA112</f>
        <v>0</v>
      </c>
      <c r="T114" s="15" t="n">
        <f aca="false">MIN(R114,MAX(0,Q114))</f>
        <v>0</v>
      </c>
      <c r="U114" s="15" t="n">
        <f aca="false">MIN(S114,MAX(0,Q114-T114)*Parametri_v3!$C$42)</f>
        <v>0</v>
      </c>
      <c r="V114" s="15" t="n">
        <f aca="false">MAX(0,Q114-T114-U114)*Ipotesi!$C$92</f>
        <v>17194.7733148</v>
      </c>
      <c r="W114" s="15" t="n">
        <f aca="false">MAX(0,SUM(M113:M114)+Parametri_v3!$C$57*2/12)*Ipotesi!$C$93</f>
        <v>2794.150663655</v>
      </c>
      <c r="X114" s="15" t="n">
        <f aca="false">V114+W114-(V113+W113)</f>
        <v>9993.4932392275</v>
      </c>
      <c r="Y114" s="15" t="n">
        <f aca="false">P114-X114</f>
        <v>25825.4789443836</v>
      </c>
      <c r="Z114" s="15" t="n">
        <f aca="false">R114-T114+IF(AND(Parametri_v3!$C$40=1,D114-YEAR(Parametri_v3!$C$50)&lt;Parametri_v3!$C$41),MAX(0,-Q114),0)</f>
        <v>0</v>
      </c>
      <c r="AA114" s="15" t="n">
        <f aca="false">S114-U114+IF(AND(Parametri_v3!$C$40=1,D114-YEAR(Parametri_v3!$C$50)&lt;Parametri_v3!$C$41),0,MAX(0,-Q114))</f>
        <v>0</v>
      </c>
      <c r="AB114" s="15" t="n">
        <f aca="false">F114*(1+Parametri_v3!$C$26)</f>
        <v>141469.166666667</v>
      </c>
      <c r="AC114" s="15" t="n">
        <f aca="false">(IF(50-(INT((Motore_Operativo!L114)/30))&lt;1,0,INDEX(Motore_Advisory!$AB$65:$AB$124,MAX(1,50-(INT((Motore_Operativo!L114)/30)))))*(1-(MOD((Motore_Operativo!L114),30)/30))+IF(50-(INT((Motore_Operativo!L114)/30))-1&lt;1,0,INDEX(Motore_Advisory!$AB$65:$AB$124,MAX(1,50-(INT((Motore_Operativo!L114)/30))-1)))*(MOD((Motore_Operativo!L114),30)/30))</f>
        <v>110094.833333333</v>
      </c>
      <c r="AD114" s="15" t="n">
        <f aca="false">(AD113)+AB114-AC114</f>
        <v>393033.166666667</v>
      </c>
      <c r="AE114" s="15" t="n">
        <f aca="false">Motore_Operativo!BH114*(1+Parametri_v3!$C$26)</f>
        <v>14146.9166666667</v>
      </c>
      <c r="AF114" s="15" t="n">
        <f aca="false">(IF(50-(INT((Parametri_v3!$C$29)/30))&lt;1,0,INDEX(Motore_Operativo!$BH$65:$BH$124,MAX(1,50-(INT((Parametri_v3!$C$29)/30)))))*(1-(MOD((Parametri_v3!$C$29),30)/30))+IF(50-(INT((Parametri_v3!$C$29)/30))-1&lt;1,0,INDEX(Motore_Operativo!$BH$65:$BH$124,MAX(1,50-(INT((Parametri_v3!$C$29)/30))-1)))*(MOD((Parametri_v3!$C$29),30)/30))*(1+Parametri_v3!$C$26)</f>
        <v>14146.9166666667</v>
      </c>
      <c r="AG114" s="15" t="n">
        <f aca="false">(AG113)+AE114-AF114</f>
        <v>14146.9166666667</v>
      </c>
      <c r="AH114" s="15" t="n">
        <f aca="false">(Motore_Operativo!CK114)*(1+Parametri_v3!$C$28*Parametri_v3!$C$26)</f>
        <v>27831.02</v>
      </c>
      <c r="AI114" s="15" t="n">
        <f aca="false">(IF(50-(INT((Ipotesi!$C$91)/30))&lt;1,0,INDEX(Motore_Advisory!$AH$65:$AH$124,MAX(1,50-(INT((Ipotesi!$C$91)/30)))))*(1-(MOD((Ipotesi!$C$91),30)/30))+IF(50-(INT((Ipotesi!$C$91)/30))-1&lt;1,0,INDEX(Motore_Advisory!$AH$65:$AH$124,MAX(1,50-(INT((Ipotesi!$C$91)/30))-1)))*(MOD((Ipotesi!$C$91),30)/30))</f>
        <v>23198.952</v>
      </c>
      <c r="AJ114" s="15" t="n">
        <f aca="false">(AJ113)+AH114-AI114</f>
        <v>55662.04</v>
      </c>
      <c r="AK114" s="15" t="n">
        <f aca="false">(F114- Motore_Operativo!BH114-(Motore_Operativo!CK114)*Parametri_v3!$C$28-Motore_Operativo!CF114)*Parametri_v3!$C$26</f>
        <v>18647.8966666667</v>
      </c>
      <c r="AL114" s="15" t="n">
        <f aca="false">MAX(0,(AM113))</f>
        <v>18647.8966666667</v>
      </c>
      <c r="AM114" s="15" t="n">
        <f aca="false">(AM113)+AK114-AL114</f>
        <v>18647.8966666667</v>
      </c>
      <c r="AN114" s="15" t="n">
        <f aca="false">SUM(X101:X112)</f>
        <v>91149.8045405</v>
      </c>
      <c r="AO114" s="15" t="n">
        <f aca="false">SUM(AP101:AP112)</f>
        <v>46679.99375</v>
      </c>
      <c r="AP114" s="15" t="n">
        <f aca="false">MAX(0,AN114)*IF(2=Parametri_v3!$C$43,Parametri_v3!$C$45,IF(2=Parametri_v3!$C$44,1-Parametri_v3!$C$45,0))</f>
        <v>0</v>
      </c>
      <c r="AQ114" s="15" t="n">
        <f aca="false">MAX(0,AP114+IF(2=Parametri_v3!$C$43,MAX(0,AN114-AO114),0)-MAX(0,-(AR113)))</f>
        <v>0</v>
      </c>
      <c r="AR114" s="15" t="n">
        <f aca="false">(AR113)+X114-AQ114</f>
        <v>64458.734768955</v>
      </c>
      <c r="AS114" s="15" t="n">
        <f aca="false">Motore_Operativo!AC114-AT114+AU114</f>
        <v>42145.6153144583</v>
      </c>
      <c r="AT114" s="15" t="n">
        <f aca="false">Motore_Operativo!CI114</f>
        <v>2218.19027970833</v>
      </c>
      <c r="AU114" s="15" t="n">
        <f aca="false">MIN(MAX(0,(AV113)+AT114),Parametri_v3!$C$61/12)</f>
        <v>0</v>
      </c>
      <c r="AV114" s="15" t="n">
        <f aca="false">(AV113)+AT114-AU114</f>
        <v>52713.2220844167</v>
      </c>
      <c r="AW114" s="15" t="n">
        <f aca="false">IF(AND(Motore_Operativo!C114=Finanziamenti!$D$7,Finanziamenti!$F$7=1),Finanziamenti!$C$7,0)</f>
        <v>0</v>
      </c>
      <c r="AX114" s="15" t="n">
        <f aca="false">0</f>
        <v>0</v>
      </c>
      <c r="AY114" s="15" t="n">
        <f aca="false">IF(2=Parametri_v3!$C$33,IF(BV114&lt;MIN(12,$B114-1),0,MIN(MAX(0,SUM(Y101:Y112))*Ipotesi!$C$94,MAX(0,(BM112)-(BO113)-BP114),MAX(0,BD114-Parametri_v3!$C$31))),0)</f>
        <v>0</v>
      </c>
      <c r="AZ114" s="15" t="n">
        <f aca="false">0</f>
        <v>0</v>
      </c>
      <c r="BA114" s="15" t="n">
        <f aca="false">0</f>
        <v>0</v>
      </c>
      <c r="BB114" s="15" t="n">
        <f aca="false">0</f>
        <v>0</v>
      </c>
      <c r="BC114" s="15" t="n">
        <f aca="false">0</f>
        <v>0</v>
      </c>
      <c r="BD114" s="15" t="n">
        <f aca="false">(BH113)+AC114-AF114-AI114-AS114-K114*(1+Parametri_v3!$C$26)-AL114-AQ114-O114+AW114+AX114+AZ114+BA114-BB114</f>
        <v>247822.899301188</v>
      </c>
      <c r="BE114" s="15" t="n">
        <f aca="false">0</f>
        <v>0</v>
      </c>
      <c r="BF114" s="15" t="n">
        <f aca="false">0</f>
        <v>0</v>
      </c>
      <c r="BG114" s="15" t="n">
        <f aca="false">0</f>
        <v>0</v>
      </c>
      <c r="BH114" s="15" t="n">
        <f aca="false">BD114+BE114-BF114-AY114</f>
        <v>247822.899301188</v>
      </c>
      <c r="BI114" s="15" t="n">
        <f aca="false">MAX(0,Parametri_v3!$C$31-BH114)</f>
        <v>0</v>
      </c>
      <c r="BJ114" s="15" t="n">
        <f aca="false">(BJ113)+K114</f>
        <v>22333.3333333333</v>
      </c>
      <c r="BK114" s="15" t="n">
        <f aca="false">(BK113)+L114</f>
        <v>12270.8333333333</v>
      </c>
      <c r="BL114" s="15" t="n">
        <f aca="false">BJ114-BK114</f>
        <v>10062.5</v>
      </c>
      <c r="BM114" s="15" t="n">
        <f aca="false">(BM113)+Y114</f>
        <v>485605.661683927</v>
      </c>
      <c r="BN114" s="15" t="n">
        <f aca="false">(BN113)+AW114+AX114+AZ114</f>
        <v>20000</v>
      </c>
      <c r="BO114" s="15" t="n">
        <f aca="false">(BO113)+AY114</f>
        <v>60315.9059027778</v>
      </c>
      <c r="BP114" s="15" t="n">
        <f aca="false">MIN(Parametri_v3!$C$36*Parametri_v3!$C$35,(BP113)+IF(2=1,MAX(0,SUM(Y101:Y112))*Parametri_v3!$C$34,0))</f>
        <v>2000</v>
      </c>
      <c r="BQ114" s="15" t="n">
        <f aca="false">BN114+BM114-BO114</f>
        <v>445289.75578115</v>
      </c>
      <c r="BR114" s="15" t="n">
        <f aca="false">BH114+AD114+BL114+MAX(0,-AM114)+MAX(0,-AR114)</f>
        <v>650918.565967854</v>
      </c>
      <c r="BS114" s="15" t="n">
        <f aca="false">AJ114+AV114+MAX(0,AM114)+MAX(0,AR114)+BC114+BG114+BQ114+AG114</f>
        <v>650918.565967855</v>
      </c>
      <c r="BT114" s="15" t="n">
        <f aca="false">BR114-BS114</f>
        <v>0</v>
      </c>
      <c r="BU114" s="15" t="n">
        <f aca="false">BH114-(BD114+BE114-BF114-AY114)</f>
        <v>0</v>
      </c>
      <c r="BV114" s="15" t="n">
        <f aca="false">IF(BH113&lt;Parametri_v3!$C$31,0,BV113+1)</f>
        <v>21</v>
      </c>
    </row>
    <row r="115" customFormat="false" ht="18" hidden="false" customHeight="true" outlineLevel="0" collapsed="false">
      <c r="A115" s="68" t="n">
        <f aca="false">2</f>
        <v>2</v>
      </c>
      <c r="B115" s="68" t="n">
        <f aca="false">51</f>
        <v>51</v>
      </c>
      <c r="C115" s="18" t="n">
        <f aca="false">Motore_Operativo!C115</f>
        <v>47908</v>
      </c>
      <c r="D115" s="68" t="n">
        <f aca="false">Motore_Operativo!D115</f>
        <v>2031</v>
      </c>
      <c r="E115" s="68" t="n">
        <f aca="false">Motore_Operativo!E115</f>
        <v>3</v>
      </c>
      <c r="F115" s="15" t="n">
        <f aca="false">Motore_Operativo!AM115</f>
        <v>115958.333333333</v>
      </c>
      <c r="G115" s="15" t="n">
        <f aca="false">Motore_Operativo!BH115</f>
        <v>11595.8333333333</v>
      </c>
      <c r="H115" s="15" t="n">
        <f aca="false">Motore_Operativo!AM115</f>
        <v>115958.333333333</v>
      </c>
      <c r="I115" s="15" t="n">
        <f aca="false">Motore_Operativo!CB115</f>
        <v>79625.4722608333</v>
      </c>
      <c r="J115" s="15" t="n">
        <f aca="false">Motore_Operativo!CD115</f>
        <v>36332.8610725</v>
      </c>
      <c r="K115" s="15" t="n">
        <f aca="false">Motore_Operativo!CF115</f>
        <v>666.666666666667</v>
      </c>
      <c r="L115" s="15" t="n">
        <f aca="false">SUM(INDEX($K$65:$K$124,MAX(1,51-Parametri_v3!$C$59+1)):K115)/Parametri_v3!$C$59</f>
        <v>520.833333333333</v>
      </c>
      <c r="M115" s="15" t="n">
        <f aca="false">J115-L115</f>
        <v>35812.0277391667</v>
      </c>
      <c r="N115" s="15" t="n">
        <f aca="false">0</f>
        <v>0</v>
      </c>
      <c r="O115" s="15" t="n">
        <f aca="false">0</f>
        <v>0</v>
      </c>
      <c r="P115" s="15" t="n">
        <f aca="false">M115+N115-O115</f>
        <v>35812.0277391667</v>
      </c>
      <c r="Q115" s="15" t="n">
        <f aca="false">SUM(P113:P115)+Parametri_v3!$C$56*3/12</f>
        <v>107456.916550833</v>
      </c>
      <c r="R115" s="15" t="n">
        <f aca="false">Z112</f>
        <v>0</v>
      </c>
      <c r="S115" s="15" t="n">
        <f aca="false">AA112</f>
        <v>0</v>
      </c>
      <c r="T115" s="15" t="n">
        <f aca="false">MIN(R115,MAX(0,Q115))</f>
        <v>0</v>
      </c>
      <c r="U115" s="15" t="n">
        <f aca="false">MIN(S115,MAX(0,Q115-T115)*Parametri_v3!$C$42)</f>
        <v>0</v>
      </c>
      <c r="V115" s="15" t="n">
        <f aca="false">MAX(0,Q115-T115-U115)*Ipotesi!$C$92</f>
        <v>25789.6599722</v>
      </c>
      <c r="W115" s="15" t="n">
        <f aca="false">MAX(0,SUM(M113:M115)+Parametri_v3!$C$57*3/12)*Ipotesi!$C$93</f>
        <v>4190.8197454825</v>
      </c>
      <c r="X115" s="15" t="n">
        <f aca="false">V115+W115-(V114+W114)</f>
        <v>9991.5557392275</v>
      </c>
      <c r="Y115" s="15" t="n">
        <f aca="false">P115-X115</f>
        <v>25820.4719999392</v>
      </c>
      <c r="Z115" s="15" t="n">
        <f aca="false">R115-T115+IF(AND(Parametri_v3!$C$40=1,D115-YEAR(Parametri_v3!$C$50)&lt;Parametri_v3!$C$41),MAX(0,-Q115),0)</f>
        <v>0</v>
      </c>
      <c r="AA115" s="15" t="n">
        <f aca="false">S115-U115+IF(AND(Parametri_v3!$C$40=1,D115-YEAR(Parametri_v3!$C$50)&lt;Parametri_v3!$C$41),0,MAX(0,-Q115))</f>
        <v>0</v>
      </c>
      <c r="AB115" s="15" t="n">
        <f aca="false">F115*(1+Parametri_v3!$C$26)</f>
        <v>141469.166666667</v>
      </c>
      <c r="AC115" s="15" t="n">
        <f aca="false">(IF(51-(INT((Motore_Operativo!L115)/30))&lt;1,0,INDEX(Motore_Advisory!$AB$65:$AB$124,MAX(1,51-(INT((Motore_Operativo!L115)/30)))))*(1-(MOD((Motore_Operativo!L115),30)/30))+IF(51-(INT((Motore_Operativo!L115)/30))-1&lt;1,0,INDEX(Motore_Advisory!$AB$65:$AB$124,MAX(1,51-(INT((Motore_Operativo!L115)/30))-1)))*(MOD((Motore_Operativo!L115),30)/30))</f>
        <v>110094.833333333</v>
      </c>
      <c r="AD115" s="15" t="n">
        <f aca="false">(AD114)+AB115-AC115</f>
        <v>424407.5</v>
      </c>
      <c r="AE115" s="15" t="n">
        <f aca="false">Motore_Operativo!BH115*(1+Parametri_v3!$C$26)</f>
        <v>14146.9166666667</v>
      </c>
      <c r="AF115" s="15" t="n">
        <f aca="false">(IF(51-(INT((Parametri_v3!$C$29)/30))&lt;1,0,INDEX(Motore_Operativo!$BH$65:$BH$124,MAX(1,51-(INT((Parametri_v3!$C$29)/30)))))*(1-(MOD((Parametri_v3!$C$29),30)/30))+IF(51-(INT((Parametri_v3!$C$29)/30))-1&lt;1,0,INDEX(Motore_Operativo!$BH$65:$BH$124,MAX(1,51-(INT((Parametri_v3!$C$29)/30))-1)))*(MOD((Parametri_v3!$C$29),30)/30))*(1+Parametri_v3!$C$26)</f>
        <v>14146.9166666667</v>
      </c>
      <c r="AG115" s="15" t="n">
        <f aca="false">(AG114)+AE115-AF115</f>
        <v>14146.9166666667</v>
      </c>
      <c r="AH115" s="15" t="n">
        <f aca="false">(Motore_Operativo!CK115)*(1+Parametri_v3!$C$28*Parametri_v3!$C$26)</f>
        <v>27831.02</v>
      </c>
      <c r="AI115" s="15" t="n">
        <f aca="false">(IF(51-(INT((Ipotesi!$C$91)/30))&lt;1,0,INDEX(Motore_Advisory!$AH$65:$AH$124,MAX(1,51-(INT((Ipotesi!$C$91)/30)))))*(1-(MOD((Ipotesi!$C$91),30)/30))+IF(51-(INT((Ipotesi!$C$91)/30))-1&lt;1,0,INDEX(Motore_Advisory!$AH$65:$AH$124,MAX(1,51-(INT((Ipotesi!$C$91)/30))-1)))*(MOD((Ipotesi!$C$91),30)/30))</f>
        <v>27831.02</v>
      </c>
      <c r="AJ115" s="15" t="n">
        <f aca="false">(AJ114)+AH115-AI115</f>
        <v>55662.04</v>
      </c>
      <c r="AK115" s="15" t="n">
        <f aca="false">(F115- Motore_Operativo!BH115-(Motore_Operativo!CK115)*Parametri_v3!$C$28-Motore_Operativo!CF115)*Parametri_v3!$C$26</f>
        <v>18647.8966666667</v>
      </c>
      <c r="AL115" s="15" t="n">
        <f aca="false">MAX(0,(AM114))</f>
        <v>18647.8966666667</v>
      </c>
      <c r="AM115" s="15" t="n">
        <f aca="false">(AM114)+AK115-AL115</f>
        <v>18647.8966666667</v>
      </c>
      <c r="AN115" s="15" t="n">
        <f aca="false">SUM(X101:X112)</f>
        <v>91149.8045405</v>
      </c>
      <c r="AO115" s="15" t="n">
        <f aca="false">SUM(AP101:AP112)</f>
        <v>46679.99375</v>
      </c>
      <c r="AP115" s="15" t="n">
        <f aca="false">MAX(0,AN115)*IF(3=Parametri_v3!$C$43,Parametri_v3!$C$45,IF(3=Parametri_v3!$C$44,1-Parametri_v3!$C$45,0))</f>
        <v>0</v>
      </c>
      <c r="AQ115" s="15" t="n">
        <f aca="false">MAX(0,AP115+IF(3=Parametri_v3!$C$43,MAX(0,AN115-AO115),0)-MAX(0,-(AR114)))</f>
        <v>0</v>
      </c>
      <c r="AR115" s="15" t="n">
        <f aca="false">(AR114)+X115-AQ115</f>
        <v>74450.2905081825</v>
      </c>
      <c r="AS115" s="15" t="n">
        <f aca="false">Motore_Operativo!AC115-AT115+AU115</f>
        <v>42145.6153144583</v>
      </c>
      <c r="AT115" s="15" t="n">
        <f aca="false">Motore_Operativo!CI115</f>
        <v>2218.19027970833</v>
      </c>
      <c r="AU115" s="15" t="n">
        <f aca="false">MIN(MAX(0,(AV114)+AT115),Parametri_v3!$C$61/12)</f>
        <v>0</v>
      </c>
      <c r="AV115" s="15" t="n">
        <f aca="false">(AV114)+AT115-AU115</f>
        <v>54931.412364125</v>
      </c>
      <c r="AW115" s="15" t="n">
        <f aca="false">IF(AND(Motore_Operativo!C115=Finanziamenti!$D$7,Finanziamenti!$F$7=1),Finanziamenti!$C$7,0)</f>
        <v>0</v>
      </c>
      <c r="AX115" s="15" t="n">
        <f aca="false">0</f>
        <v>0</v>
      </c>
      <c r="AY115" s="15" t="n">
        <f aca="false">IF(3=Parametri_v3!$C$33,IF(BV115&lt;MIN(12,$B115-1),0,MIN(MAX(0,SUM(Y101:Y112))*Ipotesi!$C$94,MAX(0,(BM112)-(BO114)-BP115),MAX(0,BD115-Parametri_v3!$C$31))),0)</f>
        <v>0</v>
      </c>
      <c r="AZ115" s="15" t="n">
        <f aca="false">0</f>
        <v>0</v>
      </c>
      <c r="BA115" s="15" t="n">
        <f aca="false">0</f>
        <v>0</v>
      </c>
      <c r="BB115" s="15" t="n">
        <f aca="false">0</f>
        <v>0</v>
      </c>
      <c r="BC115" s="15" t="n">
        <f aca="false">0</f>
        <v>0</v>
      </c>
      <c r="BD115" s="15" t="n">
        <f aca="false">(BH114)+AC115-AF115-AI115-AS115-K115*(1+Parametri_v3!$C$26)-AL115-AQ115-O115+AW115+AX115+AZ115+BA115-BB115</f>
        <v>254332.950653396</v>
      </c>
      <c r="BE115" s="15" t="n">
        <f aca="false">0</f>
        <v>0</v>
      </c>
      <c r="BF115" s="15" t="n">
        <f aca="false">0</f>
        <v>0</v>
      </c>
      <c r="BG115" s="15" t="n">
        <f aca="false">0</f>
        <v>0</v>
      </c>
      <c r="BH115" s="15" t="n">
        <f aca="false">BD115+BE115-BF115-AY115</f>
        <v>254332.950653396</v>
      </c>
      <c r="BI115" s="15" t="n">
        <f aca="false">MAX(0,Parametri_v3!$C$31-BH115)</f>
        <v>0</v>
      </c>
      <c r="BJ115" s="15" t="n">
        <f aca="false">(BJ114)+K115</f>
        <v>23000</v>
      </c>
      <c r="BK115" s="15" t="n">
        <f aca="false">(BK114)+L115</f>
        <v>12791.6666666667</v>
      </c>
      <c r="BL115" s="15" t="n">
        <f aca="false">BJ115-BK115</f>
        <v>10208.3333333333</v>
      </c>
      <c r="BM115" s="15" t="n">
        <f aca="false">(BM114)+Y115</f>
        <v>511426.133683867</v>
      </c>
      <c r="BN115" s="15" t="n">
        <f aca="false">(BN114)+AW115+AX115+AZ115</f>
        <v>20000</v>
      </c>
      <c r="BO115" s="15" t="n">
        <f aca="false">(BO114)+AY115</f>
        <v>60315.9059027778</v>
      </c>
      <c r="BP115" s="15" t="n">
        <f aca="false">MIN(Parametri_v3!$C$36*Parametri_v3!$C$35,(BP114)+IF(3=1,MAX(0,SUM(Y101:Y112))*Parametri_v3!$C$34,0))</f>
        <v>2000</v>
      </c>
      <c r="BQ115" s="15" t="n">
        <f aca="false">BN115+BM115-BO115</f>
        <v>471110.227781089</v>
      </c>
      <c r="BR115" s="15" t="n">
        <f aca="false">BH115+AD115+BL115+MAX(0,-AM115)+MAX(0,-AR115)</f>
        <v>688948.783986729</v>
      </c>
      <c r="BS115" s="15" t="n">
        <f aca="false">AJ115+AV115+MAX(0,AM115)+MAX(0,AR115)+BC115+BG115+BQ115+AG115</f>
        <v>688948.78398673</v>
      </c>
      <c r="BT115" s="15" t="n">
        <f aca="false">BR115-BS115</f>
        <v>0</v>
      </c>
      <c r="BU115" s="15" t="n">
        <f aca="false">BH115-(BD115+BE115-BF115-AY115)</f>
        <v>0</v>
      </c>
      <c r="BV115" s="15" t="n">
        <f aca="false">IF(BH114&lt;Parametri_v3!$C$31,0,BV114+1)</f>
        <v>22</v>
      </c>
    </row>
    <row r="116" customFormat="false" ht="18" hidden="false" customHeight="true" outlineLevel="0" collapsed="false">
      <c r="A116" s="68" t="n">
        <f aca="false">2</f>
        <v>2</v>
      </c>
      <c r="B116" s="68" t="n">
        <f aca="false">52</f>
        <v>52</v>
      </c>
      <c r="C116" s="18" t="n">
        <f aca="false">Motore_Operativo!C116</f>
        <v>47939</v>
      </c>
      <c r="D116" s="68" t="n">
        <f aca="false">Motore_Operativo!D116</f>
        <v>2031</v>
      </c>
      <c r="E116" s="68" t="n">
        <f aca="false">Motore_Operativo!E116</f>
        <v>4</v>
      </c>
      <c r="F116" s="15" t="n">
        <f aca="false">Motore_Operativo!AM116</f>
        <v>115958.333333333</v>
      </c>
      <c r="G116" s="15" t="n">
        <f aca="false">Motore_Operativo!BH116</f>
        <v>11595.8333333333</v>
      </c>
      <c r="H116" s="15" t="n">
        <f aca="false">Motore_Operativo!AM116</f>
        <v>115958.333333333</v>
      </c>
      <c r="I116" s="15" t="n">
        <f aca="false">Motore_Operativo!CB116</f>
        <v>79625.4722608333</v>
      </c>
      <c r="J116" s="15" t="n">
        <f aca="false">Motore_Operativo!CD116</f>
        <v>36332.8610725</v>
      </c>
      <c r="K116" s="15" t="n">
        <f aca="false">Motore_Operativo!CF116</f>
        <v>666.666666666667</v>
      </c>
      <c r="L116" s="15" t="n">
        <f aca="false">SUM(INDEX($K$65:$K$124,MAX(1,52-Parametri_v3!$C$59+1)):K116)/Parametri_v3!$C$59</f>
        <v>527.777777777778</v>
      </c>
      <c r="M116" s="15" t="n">
        <f aca="false">J116-L116</f>
        <v>35805.0832947222</v>
      </c>
      <c r="N116" s="15" t="n">
        <f aca="false">0</f>
        <v>0</v>
      </c>
      <c r="O116" s="15" t="n">
        <f aca="false">0</f>
        <v>0</v>
      </c>
      <c r="P116" s="15" t="n">
        <f aca="false">M116+N116-O116</f>
        <v>35805.0832947222</v>
      </c>
      <c r="Q116" s="15" t="n">
        <f aca="false">SUM(P113:P116)+Parametri_v3!$C$56*4/12</f>
        <v>143261.999845556</v>
      </c>
      <c r="R116" s="15" t="n">
        <f aca="false">Z112</f>
        <v>0</v>
      </c>
      <c r="S116" s="15" t="n">
        <f aca="false">AA112</f>
        <v>0</v>
      </c>
      <c r="T116" s="15" t="n">
        <f aca="false">MIN(R116,MAX(0,Q116))</f>
        <v>0</v>
      </c>
      <c r="U116" s="15" t="n">
        <f aca="false">MIN(S116,MAX(0,Q116-T116)*Parametri_v3!$C$42)</f>
        <v>0</v>
      </c>
      <c r="V116" s="15" t="n">
        <f aca="false">MAX(0,Q116-T116-U116)*Ipotesi!$C$92</f>
        <v>34382.8799629333</v>
      </c>
      <c r="W116" s="15" t="n">
        <f aca="false">MAX(0,SUM(M113:M116)+Parametri_v3!$C$57*4/12)*Ipotesi!$C$93</f>
        <v>5587.21799397667</v>
      </c>
      <c r="X116" s="15" t="n">
        <f aca="false">V116+W116-(V115+W115)</f>
        <v>9989.61823922751</v>
      </c>
      <c r="Y116" s="15" t="n">
        <f aca="false">P116-X116</f>
        <v>25815.4650554947</v>
      </c>
      <c r="Z116" s="15" t="n">
        <f aca="false">R116-T116+IF(AND(Parametri_v3!$C$40=1,D116-YEAR(Parametri_v3!$C$50)&lt;Parametri_v3!$C$41),MAX(0,-Q116),0)</f>
        <v>0</v>
      </c>
      <c r="AA116" s="15" t="n">
        <f aca="false">S116-U116+IF(AND(Parametri_v3!$C$40=1,D116-YEAR(Parametri_v3!$C$50)&lt;Parametri_v3!$C$41),0,MAX(0,-Q116))</f>
        <v>0</v>
      </c>
      <c r="AB116" s="15" t="n">
        <f aca="false">F116*(1+Parametri_v3!$C$26)</f>
        <v>141469.166666667</v>
      </c>
      <c r="AC116" s="15" t="n">
        <f aca="false">(IF(52-(INT((Motore_Operativo!L116)/30))&lt;1,0,INDEX(Motore_Advisory!$AB$65:$AB$124,MAX(1,52-(INT((Motore_Operativo!L116)/30)))))*(1-(MOD((Motore_Operativo!L116),30)/30))+IF(52-(INT((Motore_Operativo!L116)/30))-1&lt;1,0,INDEX(Motore_Advisory!$AB$65:$AB$124,MAX(1,52-(INT((Motore_Operativo!L116)/30))-1)))*(MOD((Motore_Operativo!L116),30)/30))</f>
        <v>141469.166666667</v>
      </c>
      <c r="AD116" s="15" t="n">
        <f aca="false">(AD115)+AB116-AC116</f>
        <v>424407.5</v>
      </c>
      <c r="AE116" s="15" t="n">
        <f aca="false">Motore_Operativo!BH116*(1+Parametri_v3!$C$26)</f>
        <v>14146.9166666667</v>
      </c>
      <c r="AF116" s="15" t="n">
        <f aca="false">(IF(52-(INT((Parametri_v3!$C$29)/30))&lt;1,0,INDEX(Motore_Operativo!$BH$65:$BH$124,MAX(1,52-(INT((Parametri_v3!$C$29)/30)))))*(1-(MOD((Parametri_v3!$C$29),30)/30))+IF(52-(INT((Parametri_v3!$C$29)/30))-1&lt;1,0,INDEX(Motore_Operativo!$BH$65:$BH$124,MAX(1,52-(INT((Parametri_v3!$C$29)/30))-1)))*(MOD((Parametri_v3!$C$29),30)/30))*(1+Parametri_v3!$C$26)</f>
        <v>14146.9166666667</v>
      </c>
      <c r="AG116" s="15" t="n">
        <f aca="false">(AG115)+AE116-AF116</f>
        <v>14146.9166666667</v>
      </c>
      <c r="AH116" s="15" t="n">
        <f aca="false">(Motore_Operativo!CK116)*(1+Parametri_v3!$C$28*Parametri_v3!$C$26)</f>
        <v>27831.02</v>
      </c>
      <c r="AI116" s="15" t="n">
        <f aca="false">(IF(52-(INT((Ipotesi!$C$91)/30))&lt;1,0,INDEX(Motore_Advisory!$AH$65:$AH$124,MAX(1,52-(INT((Ipotesi!$C$91)/30)))))*(1-(MOD((Ipotesi!$C$91),30)/30))+IF(52-(INT((Ipotesi!$C$91)/30))-1&lt;1,0,INDEX(Motore_Advisory!$AH$65:$AH$124,MAX(1,52-(INT((Ipotesi!$C$91)/30))-1)))*(MOD((Ipotesi!$C$91),30)/30))</f>
        <v>27831.02</v>
      </c>
      <c r="AJ116" s="15" t="n">
        <f aca="false">(AJ115)+AH116-AI116</f>
        <v>55662.04</v>
      </c>
      <c r="AK116" s="15" t="n">
        <f aca="false">(F116- Motore_Operativo!BH116-(Motore_Operativo!CK116)*Parametri_v3!$C$28-Motore_Operativo!CF116)*Parametri_v3!$C$26</f>
        <v>18647.8966666667</v>
      </c>
      <c r="AL116" s="15" t="n">
        <f aca="false">MAX(0,(AM115))</f>
        <v>18647.8966666667</v>
      </c>
      <c r="AM116" s="15" t="n">
        <f aca="false">(AM115)+AK116-AL116</f>
        <v>18647.8966666667</v>
      </c>
      <c r="AN116" s="15" t="n">
        <f aca="false">SUM(X101:X112)</f>
        <v>91149.8045405</v>
      </c>
      <c r="AO116" s="15" t="n">
        <f aca="false">SUM(AP101:AP112)</f>
        <v>46679.99375</v>
      </c>
      <c r="AP116" s="15" t="n">
        <f aca="false">MAX(0,AN116)*IF(4=Parametri_v3!$C$43,Parametri_v3!$C$45,IF(4=Parametri_v3!$C$44,1-Parametri_v3!$C$45,0))</f>
        <v>0</v>
      </c>
      <c r="AQ116" s="15" t="n">
        <f aca="false">MAX(0,AP116+IF(4=Parametri_v3!$C$43,MAX(0,AN116-AO116),0)-MAX(0,-(AR115)))</f>
        <v>0</v>
      </c>
      <c r="AR116" s="15" t="n">
        <f aca="false">(AR115)+X116-AQ116</f>
        <v>84439.90874741</v>
      </c>
      <c r="AS116" s="15" t="n">
        <f aca="false">Motore_Operativo!AC116-AT116+AU116</f>
        <v>42145.6153144583</v>
      </c>
      <c r="AT116" s="15" t="n">
        <f aca="false">Motore_Operativo!CI116</f>
        <v>2218.19027970833</v>
      </c>
      <c r="AU116" s="15" t="n">
        <f aca="false">MIN(MAX(0,(AV115)+AT116),Parametri_v3!$C$61/12)</f>
        <v>0</v>
      </c>
      <c r="AV116" s="15" t="n">
        <f aca="false">(AV115)+AT116-AU116</f>
        <v>57149.6026438333</v>
      </c>
      <c r="AW116" s="15" t="n">
        <f aca="false">IF(AND(Motore_Operativo!C116=Finanziamenti!$D$7,Finanziamenti!$F$7=1),Finanziamenti!$C$7,0)</f>
        <v>0</v>
      </c>
      <c r="AX116" s="15" t="n">
        <f aca="false">0</f>
        <v>0</v>
      </c>
      <c r="AY116" s="15" t="n">
        <f aca="false">IF(4=Parametri_v3!$C$33,IF(BV116&lt;MIN(12,$B116-1),0,MIN(MAX(0,SUM(Y101:Y112))*Ipotesi!$C$94,MAX(0,(BM112)-(BO115)-BP116),MAX(0,BD116-Parametri_v3!$C$31))),0)</f>
        <v>0</v>
      </c>
      <c r="AZ116" s="15" t="n">
        <f aca="false">0</f>
        <v>0</v>
      </c>
      <c r="BA116" s="15" t="n">
        <f aca="false">0</f>
        <v>0</v>
      </c>
      <c r="BB116" s="15" t="n">
        <f aca="false">0</f>
        <v>0</v>
      </c>
      <c r="BC116" s="15" t="n">
        <f aca="false">0</f>
        <v>0</v>
      </c>
      <c r="BD116" s="15" t="n">
        <f aca="false">(BH115)+AC116-AF116-AI116-AS116-K116*(1+Parametri_v3!$C$26)-AL116-AQ116-O116+AW116+AX116+AZ116+BA116-BB116</f>
        <v>292217.335338938</v>
      </c>
      <c r="BE116" s="15" t="n">
        <f aca="false">0</f>
        <v>0</v>
      </c>
      <c r="BF116" s="15" t="n">
        <f aca="false">0</f>
        <v>0</v>
      </c>
      <c r="BG116" s="15" t="n">
        <f aca="false">0</f>
        <v>0</v>
      </c>
      <c r="BH116" s="15" t="n">
        <f aca="false">BD116+BE116-BF116-AY116</f>
        <v>292217.335338938</v>
      </c>
      <c r="BI116" s="15" t="n">
        <f aca="false">MAX(0,Parametri_v3!$C$31-BH116)</f>
        <v>0</v>
      </c>
      <c r="BJ116" s="15" t="n">
        <f aca="false">(BJ115)+K116</f>
        <v>23666.6666666667</v>
      </c>
      <c r="BK116" s="15" t="n">
        <f aca="false">(BK115)+L116</f>
        <v>13319.4444444444</v>
      </c>
      <c r="BL116" s="15" t="n">
        <f aca="false">BJ116-BK116</f>
        <v>10347.2222222222</v>
      </c>
      <c r="BM116" s="15" t="n">
        <f aca="false">(BM115)+Y116</f>
        <v>537241.598739361</v>
      </c>
      <c r="BN116" s="15" t="n">
        <f aca="false">(BN115)+AW116+AX116+AZ116</f>
        <v>20000</v>
      </c>
      <c r="BO116" s="15" t="n">
        <f aca="false">(BO115)+AY116</f>
        <v>60315.9059027778</v>
      </c>
      <c r="BP116" s="15" t="n">
        <f aca="false">MIN(Parametri_v3!$C$36*Parametri_v3!$C$35,(BP115)+IF(4=1,MAX(0,SUM(Y101:Y112))*Parametri_v3!$C$34,0))</f>
        <v>2000</v>
      </c>
      <c r="BQ116" s="15" t="n">
        <f aca="false">BN116+BM116-BO116</f>
        <v>496925.692836584</v>
      </c>
      <c r="BR116" s="15" t="n">
        <f aca="false">BH116+AD116+BL116+MAX(0,-AM116)+MAX(0,-AR116)</f>
        <v>726972.05756116</v>
      </c>
      <c r="BS116" s="15" t="n">
        <f aca="false">AJ116+AV116+MAX(0,AM116)+MAX(0,AR116)+BC116+BG116+BQ116+AG116</f>
        <v>726972.05756116</v>
      </c>
      <c r="BT116" s="15" t="n">
        <f aca="false">BR116-BS116</f>
        <v>0</v>
      </c>
      <c r="BU116" s="15" t="n">
        <f aca="false">BH116-(BD116+BE116-BF116-AY116)</f>
        <v>0</v>
      </c>
      <c r="BV116" s="15" t="n">
        <f aca="false">IF(BH115&lt;Parametri_v3!$C$31,0,BV115+1)</f>
        <v>23</v>
      </c>
    </row>
    <row r="117" customFormat="false" ht="18" hidden="false" customHeight="true" outlineLevel="0" collapsed="false">
      <c r="A117" s="68" t="n">
        <f aca="false">2</f>
        <v>2</v>
      </c>
      <c r="B117" s="68" t="n">
        <f aca="false">53</f>
        <v>53</v>
      </c>
      <c r="C117" s="18" t="n">
        <f aca="false">Motore_Operativo!C117</f>
        <v>47969</v>
      </c>
      <c r="D117" s="68" t="n">
        <f aca="false">Motore_Operativo!D117</f>
        <v>2031</v>
      </c>
      <c r="E117" s="68" t="n">
        <f aca="false">Motore_Operativo!E117</f>
        <v>5</v>
      </c>
      <c r="F117" s="15" t="n">
        <f aca="false">Motore_Operativo!AM117</f>
        <v>115958.333333333</v>
      </c>
      <c r="G117" s="15" t="n">
        <f aca="false">Motore_Operativo!BH117</f>
        <v>11595.8333333333</v>
      </c>
      <c r="H117" s="15" t="n">
        <f aca="false">Motore_Operativo!AM117</f>
        <v>115958.333333333</v>
      </c>
      <c r="I117" s="15" t="n">
        <f aca="false">Motore_Operativo!CB117</f>
        <v>79625.4722608333</v>
      </c>
      <c r="J117" s="15" t="n">
        <f aca="false">Motore_Operativo!CD117</f>
        <v>36332.8610725</v>
      </c>
      <c r="K117" s="15" t="n">
        <f aca="false">Motore_Operativo!CF117</f>
        <v>666.666666666667</v>
      </c>
      <c r="L117" s="15" t="n">
        <f aca="false">SUM(INDEX($K$65:$K$124,MAX(1,53-Parametri_v3!$C$59+1)):K117)/Parametri_v3!$C$59</f>
        <v>534.722222222222</v>
      </c>
      <c r="M117" s="15" t="n">
        <f aca="false">J117-L117</f>
        <v>35798.1388502778</v>
      </c>
      <c r="N117" s="15" t="n">
        <f aca="false">0</f>
        <v>0</v>
      </c>
      <c r="O117" s="15" t="n">
        <f aca="false">0</f>
        <v>0</v>
      </c>
      <c r="P117" s="15" t="n">
        <f aca="false">M117+N117-O117</f>
        <v>35798.1388502778</v>
      </c>
      <c r="Q117" s="15" t="n">
        <f aca="false">SUM(P113:P117)+Parametri_v3!$C$56*5/12</f>
        <v>179060.138695833</v>
      </c>
      <c r="R117" s="15" t="n">
        <f aca="false">Z112</f>
        <v>0</v>
      </c>
      <c r="S117" s="15" t="n">
        <f aca="false">AA112</f>
        <v>0</v>
      </c>
      <c r="T117" s="15" t="n">
        <f aca="false">MIN(R117,MAX(0,Q117))</f>
        <v>0</v>
      </c>
      <c r="U117" s="15" t="n">
        <f aca="false">MIN(S117,MAX(0,Q117-T117)*Parametri_v3!$C$42)</f>
        <v>0</v>
      </c>
      <c r="V117" s="15" t="n">
        <f aca="false">MAX(0,Q117-T117-U117)*Ipotesi!$C$92</f>
        <v>42974.433287</v>
      </c>
      <c r="W117" s="15" t="n">
        <f aca="false">MAX(0,SUM(M113:M117)+Parametri_v3!$C$57*5/12)*Ipotesi!$C$93</f>
        <v>6983.3454091375</v>
      </c>
      <c r="X117" s="15" t="n">
        <f aca="false">V117+W117-(V116+W116)</f>
        <v>9987.68073922751</v>
      </c>
      <c r="Y117" s="15" t="n">
        <f aca="false">P117-X117</f>
        <v>25810.4581110503</v>
      </c>
      <c r="Z117" s="15" t="n">
        <f aca="false">R117-T117+IF(AND(Parametri_v3!$C$40=1,D117-YEAR(Parametri_v3!$C$50)&lt;Parametri_v3!$C$41),MAX(0,-Q117),0)</f>
        <v>0</v>
      </c>
      <c r="AA117" s="15" t="n">
        <f aca="false">S117-U117+IF(AND(Parametri_v3!$C$40=1,D117-YEAR(Parametri_v3!$C$50)&lt;Parametri_v3!$C$41),0,MAX(0,-Q117))</f>
        <v>0</v>
      </c>
      <c r="AB117" s="15" t="n">
        <f aca="false">F117*(1+Parametri_v3!$C$26)</f>
        <v>141469.166666667</v>
      </c>
      <c r="AC117" s="15" t="n">
        <f aca="false">(IF(53-(INT((Motore_Operativo!L117)/30))&lt;1,0,INDEX(Motore_Advisory!$AB$65:$AB$124,MAX(1,53-(INT((Motore_Operativo!L117)/30)))))*(1-(MOD((Motore_Operativo!L117),30)/30))+IF(53-(INT((Motore_Operativo!L117)/30))-1&lt;1,0,INDEX(Motore_Advisory!$AB$65:$AB$124,MAX(1,53-(INT((Motore_Operativo!L117)/30))-1)))*(MOD((Motore_Operativo!L117),30)/30))</f>
        <v>141469.166666667</v>
      </c>
      <c r="AD117" s="15" t="n">
        <f aca="false">(AD116)+AB117-AC117</f>
        <v>424407.5</v>
      </c>
      <c r="AE117" s="15" t="n">
        <f aca="false">Motore_Operativo!BH117*(1+Parametri_v3!$C$26)</f>
        <v>14146.9166666667</v>
      </c>
      <c r="AF117" s="15" t="n">
        <f aca="false">(IF(53-(INT((Parametri_v3!$C$29)/30))&lt;1,0,INDEX(Motore_Operativo!$BH$65:$BH$124,MAX(1,53-(INT((Parametri_v3!$C$29)/30)))))*(1-(MOD((Parametri_v3!$C$29),30)/30))+IF(53-(INT((Parametri_v3!$C$29)/30))-1&lt;1,0,INDEX(Motore_Operativo!$BH$65:$BH$124,MAX(1,53-(INT((Parametri_v3!$C$29)/30))-1)))*(MOD((Parametri_v3!$C$29),30)/30))*(1+Parametri_v3!$C$26)</f>
        <v>14146.9166666667</v>
      </c>
      <c r="AG117" s="15" t="n">
        <f aca="false">(AG116)+AE117-AF117</f>
        <v>14146.9166666667</v>
      </c>
      <c r="AH117" s="15" t="n">
        <f aca="false">(Motore_Operativo!CK117)*(1+Parametri_v3!$C$28*Parametri_v3!$C$26)</f>
        <v>27831.02</v>
      </c>
      <c r="AI117" s="15" t="n">
        <f aca="false">(IF(53-(INT((Ipotesi!$C$91)/30))&lt;1,0,INDEX(Motore_Advisory!$AH$65:$AH$124,MAX(1,53-(INT((Ipotesi!$C$91)/30)))))*(1-(MOD((Ipotesi!$C$91),30)/30))+IF(53-(INT((Ipotesi!$C$91)/30))-1&lt;1,0,INDEX(Motore_Advisory!$AH$65:$AH$124,MAX(1,53-(INT((Ipotesi!$C$91)/30))-1)))*(MOD((Ipotesi!$C$91),30)/30))</f>
        <v>27831.02</v>
      </c>
      <c r="AJ117" s="15" t="n">
        <f aca="false">(AJ116)+AH117-AI117</f>
        <v>55662.04</v>
      </c>
      <c r="AK117" s="15" t="n">
        <f aca="false">(F117- Motore_Operativo!BH117-(Motore_Operativo!CK117)*Parametri_v3!$C$28-Motore_Operativo!CF117)*Parametri_v3!$C$26</f>
        <v>18647.8966666667</v>
      </c>
      <c r="AL117" s="15" t="n">
        <f aca="false">MAX(0,(AM116))</f>
        <v>18647.8966666667</v>
      </c>
      <c r="AM117" s="15" t="n">
        <f aca="false">(AM116)+AK117-AL117</f>
        <v>18647.8966666667</v>
      </c>
      <c r="AN117" s="15" t="n">
        <f aca="false">SUM(X101:X112)</f>
        <v>91149.8045405</v>
      </c>
      <c r="AO117" s="15" t="n">
        <f aca="false">SUM(AP101:AP112)</f>
        <v>46679.99375</v>
      </c>
      <c r="AP117" s="15" t="n">
        <f aca="false">MAX(0,AN117)*IF(5=Parametri_v3!$C$43,Parametri_v3!$C$45,IF(5=Parametri_v3!$C$44,1-Parametri_v3!$C$45,0))</f>
        <v>0</v>
      </c>
      <c r="AQ117" s="15" t="n">
        <f aca="false">MAX(0,AP117+IF(5=Parametri_v3!$C$43,MAX(0,AN117-AO117),0)-MAX(0,-(AR116)))</f>
        <v>0</v>
      </c>
      <c r="AR117" s="15" t="n">
        <f aca="false">(AR116)+X117-AQ117</f>
        <v>94427.5894866375</v>
      </c>
      <c r="AS117" s="15" t="n">
        <f aca="false">Motore_Operativo!AC117-AT117+AU117</f>
        <v>42145.6153144583</v>
      </c>
      <c r="AT117" s="15" t="n">
        <f aca="false">Motore_Operativo!CI117</f>
        <v>2218.19027970833</v>
      </c>
      <c r="AU117" s="15" t="n">
        <f aca="false">MIN(MAX(0,(AV116)+AT117),Parametri_v3!$C$61/12)</f>
        <v>0</v>
      </c>
      <c r="AV117" s="15" t="n">
        <f aca="false">(AV116)+AT117-AU117</f>
        <v>59367.7929235417</v>
      </c>
      <c r="AW117" s="15" t="n">
        <f aca="false">IF(AND(Motore_Operativo!C117=Finanziamenti!$D$7,Finanziamenti!$F$7=1),Finanziamenti!$C$7,0)</f>
        <v>0</v>
      </c>
      <c r="AX117" s="15" t="n">
        <f aca="false">0</f>
        <v>0</v>
      </c>
      <c r="AY117" s="15" t="n">
        <f aca="false">IF(5=Parametri_v3!$C$33,IF(BV117&lt;MIN(12,$B117-1),0,MIN(MAX(0,SUM(Y101:Y112))*Ipotesi!$C$94,MAX(0,(BM112)-(BO116)-BP117),MAX(0,BD117-Parametri_v3!$C$31))),0)</f>
        <v>0</v>
      </c>
      <c r="AZ117" s="15" t="n">
        <f aca="false">0</f>
        <v>0</v>
      </c>
      <c r="BA117" s="15" t="n">
        <f aca="false">0</f>
        <v>0</v>
      </c>
      <c r="BB117" s="15" t="n">
        <f aca="false">0</f>
        <v>0</v>
      </c>
      <c r="BC117" s="15" t="n">
        <f aca="false">0</f>
        <v>0</v>
      </c>
      <c r="BD117" s="15" t="n">
        <f aca="false">(BH116)+AC117-AF117-AI117-AS117-K117*(1+Parametri_v3!$C$26)-AL117-AQ117-O117+AW117+AX117+AZ117+BA117-BB117</f>
        <v>330101.720024479</v>
      </c>
      <c r="BE117" s="15" t="n">
        <f aca="false">0</f>
        <v>0</v>
      </c>
      <c r="BF117" s="15" t="n">
        <f aca="false">0</f>
        <v>0</v>
      </c>
      <c r="BG117" s="15" t="n">
        <f aca="false">0</f>
        <v>0</v>
      </c>
      <c r="BH117" s="15" t="n">
        <f aca="false">BD117+BE117-BF117-AY117</f>
        <v>330101.720024479</v>
      </c>
      <c r="BI117" s="15" t="n">
        <f aca="false">MAX(0,Parametri_v3!$C$31-BH117)</f>
        <v>0</v>
      </c>
      <c r="BJ117" s="15" t="n">
        <f aca="false">(BJ116)+K117</f>
        <v>24333.3333333333</v>
      </c>
      <c r="BK117" s="15" t="n">
        <f aca="false">(BK116)+L117</f>
        <v>13854.1666666667</v>
      </c>
      <c r="BL117" s="15" t="n">
        <f aca="false">BJ117-BK117</f>
        <v>10479.1666666667</v>
      </c>
      <c r="BM117" s="15" t="n">
        <f aca="false">(BM116)+Y117</f>
        <v>563052.056850412</v>
      </c>
      <c r="BN117" s="15" t="n">
        <f aca="false">(BN116)+AW117+AX117+AZ117</f>
        <v>20000</v>
      </c>
      <c r="BO117" s="15" t="n">
        <f aca="false">(BO116)+AY117</f>
        <v>60315.9059027778</v>
      </c>
      <c r="BP117" s="15" t="n">
        <f aca="false">MIN(Parametri_v3!$C$36*Parametri_v3!$C$35,(BP116)+IF(5=1,MAX(0,SUM(Y101:Y112))*Parametri_v3!$C$34,0))</f>
        <v>2000</v>
      </c>
      <c r="BQ117" s="15" t="n">
        <f aca="false">BN117+BM117-BO117</f>
        <v>522736.150947634</v>
      </c>
      <c r="BR117" s="15" t="n">
        <f aca="false">BH117+AD117+BL117+MAX(0,-AM117)+MAX(0,-AR117)</f>
        <v>764988.386691146</v>
      </c>
      <c r="BS117" s="15" t="n">
        <f aca="false">AJ117+AV117+MAX(0,AM117)+MAX(0,AR117)+BC117+BG117+BQ117+AG117</f>
        <v>764988.386691146</v>
      </c>
      <c r="BT117" s="15" t="n">
        <f aca="false">BR117-BS117</f>
        <v>0</v>
      </c>
      <c r="BU117" s="15" t="n">
        <f aca="false">BH117-(BD117+BE117-BF117-AY117)</f>
        <v>0</v>
      </c>
      <c r="BV117" s="15" t="n">
        <f aca="false">IF(BH116&lt;Parametri_v3!$C$31,0,BV116+1)</f>
        <v>24</v>
      </c>
    </row>
    <row r="118" customFormat="false" ht="18" hidden="false" customHeight="true" outlineLevel="0" collapsed="false">
      <c r="A118" s="68" t="n">
        <f aca="false">2</f>
        <v>2</v>
      </c>
      <c r="B118" s="68" t="n">
        <f aca="false">54</f>
        <v>54</v>
      </c>
      <c r="C118" s="18" t="n">
        <f aca="false">Motore_Operativo!C118</f>
        <v>48000</v>
      </c>
      <c r="D118" s="68" t="n">
        <f aca="false">Motore_Operativo!D118</f>
        <v>2031</v>
      </c>
      <c r="E118" s="68" t="n">
        <f aca="false">Motore_Operativo!E118</f>
        <v>6</v>
      </c>
      <c r="F118" s="15" t="n">
        <f aca="false">Motore_Operativo!AM118</f>
        <v>115958.333333333</v>
      </c>
      <c r="G118" s="15" t="n">
        <f aca="false">Motore_Operativo!BH118</f>
        <v>11595.8333333333</v>
      </c>
      <c r="H118" s="15" t="n">
        <f aca="false">Motore_Operativo!AM118</f>
        <v>115958.333333333</v>
      </c>
      <c r="I118" s="15" t="n">
        <f aca="false">Motore_Operativo!CB118</f>
        <v>79625.4722608333</v>
      </c>
      <c r="J118" s="15" t="n">
        <f aca="false">Motore_Operativo!CD118</f>
        <v>36332.8610725</v>
      </c>
      <c r="K118" s="15" t="n">
        <f aca="false">Motore_Operativo!CF118</f>
        <v>666.666666666667</v>
      </c>
      <c r="L118" s="15" t="n">
        <f aca="false">SUM(INDEX($K$65:$K$124,MAX(1,54-Parametri_v3!$C$59+1)):K118)/Parametri_v3!$C$59</f>
        <v>541.666666666667</v>
      </c>
      <c r="M118" s="15" t="n">
        <f aca="false">J118-L118</f>
        <v>35791.1944058333</v>
      </c>
      <c r="N118" s="15" t="n">
        <f aca="false">0</f>
        <v>0</v>
      </c>
      <c r="O118" s="15" t="n">
        <f aca="false">0</f>
        <v>0</v>
      </c>
      <c r="P118" s="15" t="n">
        <f aca="false">M118+N118-O118</f>
        <v>35791.1944058333</v>
      </c>
      <c r="Q118" s="15" t="n">
        <f aca="false">SUM(P113:P118)+Parametri_v3!$C$56*6/12</f>
        <v>214851.333101667</v>
      </c>
      <c r="R118" s="15" t="n">
        <f aca="false">Z112</f>
        <v>0</v>
      </c>
      <c r="S118" s="15" t="n">
        <f aca="false">AA112</f>
        <v>0</v>
      </c>
      <c r="T118" s="15" t="n">
        <f aca="false">MIN(R118,MAX(0,Q118))</f>
        <v>0</v>
      </c>
      <c r="U118" s="15" t="n">
        <f aca="false">MIN(S118,MAX(0,Q118-T118)*Parametri_v3!$C$42)</f>
        <v>0</v>
      </c>
      <c r="V118" s="15" t="n">
        <f aca="false">MAX(0,Q118-T118-U118)*Ipotesi!$C$92</f>
        <v>51564.3199444</v>
      </c>
      <c r="W118" s="15" t="n">
        <f aca="false">MAX(0,SUM(M113:M118)+Parametri_v3!$C$57*6/12)*Ipotesi!$C$93</f>
        <v>8379.201990965</v>
      </c>
      <c r="X118" s="15" t="n">
        <f aca="false">V118+W118-(V117+W117)</f>
        <v>9985.74323922749</v>
      </c>
      <c r="Y118" s="15" t="n">
        <f aca="false">P118-X118</f>
        <v>25805.4511666058</v>
      </c>
      <c r="Z118" s="15" t="n">
        <f aca="false">R118-T118+IF(AND(Parametri_v3!$C$40=1,D118-YEAR(Parametri_v3!$C$50)&lt;Parametri_v3!$C$41),MAX(0,-Q118),0)</f>
        <v>0</v>
      </c>
      <c r="AA118" s="15" t="n">
        <f aca="false">S118-U118+IF(AND(Parametri_v3!$C$40=1,D118-YEAR(Parametri_v3!$C$50)&lt;Parametri_v3!$C$41),0,MAX(0,-Q118))</f>
        <v>0</v>
      </c>
      <c r="AB118" s="15" t="n">
        <f aca="false">F118*(1+Parametri_v3!$C$26)</f>
        <v>141469.166666667</v>
      </c>
      <c r="AC118" s="15" t="n">
        <f aca="false">(IF(54-(INT((Motore_Operativo!L118)/30))&lt;1,0,INDEX(Motore_Advisory!$AB$65:$AB$124,MAX(1,54-(INT((Motore_Operativo!L118)/30)))))*(1-(MOD((Motore_Operativo!L118),30)/30))+IF(54-(INT((Motore_Operativo!L118)/30))-1&lt;1,0,INDEX(Motore_Advisory!$AB$65:$AB$124,MAX(1,54-(INT((Motore_Operativo!L118)/30))-1)))*(MOD((Motore_Operativo!L118),30)/30))</f>
        <v>141469.166666667</v>
      </c>
      <c r="AD118" s="15" t="n">
        <f aca="false">(AD117)+AB118-AC118</f>
        <v>424407.5</v>
      </c>
      <c r="AE118" s="15" t="n">
        <f aca="false">Motore_Operativo!BH118*(1+Parametri_v3!$C$26)</f>
        <v>14146.9166666667</v>
      </c>
      <c r="AF118" s="15" t="n">
        <f aca="false">(IF(54-(INT((Parametri_v3!$C$29)/30))&lt;1,0,INDEX(Motore_Operativo!$BH$65:$BH$124,MAX(1,54-(INT((Parametri_v3!$C$29)/30)))))*(1-(MOD((Parametri_v3!$C$29),30)/30))+IF(54-(INT((Parametri_v3!$C$29)/30))-1&lt;1,0,INDEX(Motore_Operativo!$BH$65:$BH$124,MAX(1,54-(INT((Parametri_v3!$C$29)/30))-1)))*(MOD((Parametri_v3!$C$29),30)/30))*(1+Parametri_v3!$C$26)</f>
        <v>14146.9166666667</v>
      </c>
      <c r="AG118" s="15" t="n">
        <f aca="false">(AG117)+AE118-AF118</f>
        <v>14146.9166666667</v>
      </c>
      <c r="AH118" s="15" t="n">
        <f aca="false">(Motore_Operativo!CK118)*(1+Parametri_v3!$C$28*Parametri_v3!$C$26)</f>
        <v>27831.02</v>
      </c>
      <c r="AI118" s="15" t="n">
        <f aca="false">(IF(54-(INT((Ipotesi!$C$91)/30))&lt;1,0,INDEX(Motore_Advisory!$AH$65:$AH$124,MAX(1,54-(INT((Ipotesi!$C$91)/30)))))*(1-(MOD((Ipotesi!$C$91),30)/30))+IF(54-(INT((Ipotesi!$C$91)/30))-1&lt;1,0,INDEX(Motore_Advisory!$AH$65:$AH$124,MAX(1,54-(INT((Ipotesi!$C$91)/30))-1)))*(MOD((Ipotesi!$C$91),30)/30))</f>
        <v>27831.02</v>
      </c>
      <c r="AJ118" s="15" t="n">
        <f aca="false">(AJ117)+AH118-AI118</f>
        <v>55662.04</v>
      </c>
      <c r="AK118" s="15" t="n">
        <f aca="false">(F118- Motore_Operativo!BH118-(Motore_Operativo!CK118)*Parametri_v3!$C$28-Motore_Operativo!CF118)*Parametri_v3!$C$26</f>
        <v>18647.8966666667</v>
      </c>
      <c r="AL118" s="15" t="n">
        <f aca="false">MAX(0,(AM117))</f>
        <v>18647.8966666667</v>
      </c>
      <c r="AM118" s="15" t="n">
        <f aca="false">(AM117)+AK118-AL118</f>
        <v>18647.8966666667</v>
      </c>
      <c r="AN118" s="15" t="n">
        <f aca="false">SUM(X101:X112)</f>
        <v>91149.8045405</v>
      </c>
      <c r="AO118" s="15" t="n">
        <f aca="false">SUM(AP101:AP112)</f>
        <v>46679.99375</v>
      </c>
      <c r="AP118" s="15" t="n">
        <f aca="false">MAX(0,AN118)*IF(6=Parametri_v3!$C$43,Parametri_v3!$C$45,IF(6=Parametri_v3!$C$44,1-Parametri_v3!$C$45,0))</f>
        <v>36459.9218162</v>
      </c>
      <c r="AQ118" s="15" t="n">
        <f aca="false">MAX(0,AP118+IF(6=Parametri_v3!$C$43,MAX(0,AN118-AO118),0)-MAX(0,-(AR117)))</f>
        <v>80929.7326067</v>
      </c>
      <c r="AR118" s="15" t="n">
        <f aca="false">(AR117)+X118-AQ118</f>
        <v>23483.600119165</v>
      </c>
      <c r="AS118" s="15" t="n">
        <f aca="false">Motore_Operativo!AC118-AT118+AU118</f>
        <v>42145.6153144583</v>
      </c>
      <c r="AT118" s="15" t="n">
        <f aca="false">Motore_Operativo!CI118</f>
        <v>2218.19027970833</v>
      </c>
      <c r="AU118" s="15" t="n">
        <f aca="false">MIN(MAX(0,(AV117)+AT118),Parametri_v3!$C$61/12)</f>
        <v>0</v>
      </c>
      <c r="AV118" s="15" t="n">
        <f aca="false">(AV117)+AT118-AU118</f>
        <v>61585.98320325</v>
      </c>
      <c r="AW118" s="15" t="n">
        <f aca="false">IF(AND(Motore_Operativo!C118=Finanziamenti!$D$7,Finanziamenti!$F$7=1),Finanziamenti!$C$7,0)</f>
        <v>0</v>
      </c>
      <c r="AX118" s="15" t="n">
        <f aca="false">0</f>
        <v>0</v>
      </c>
      <c r="AY118" s="15" t="n">
        <f aca="false">IF(6=Parametri_v3!$C$33,IF(BV118&lt;MIN(12,$B118-1),0,MIN(MAX(0,SUM(Y101:Y112))*Ipotesi!$C$94,MAX(0,(BM112)-(BO117)-BP118),MAX(0,BD118-Parametri_v3!$C$31))),0)</f>
        <v>117776.001924194</v>
      </c>
      <c r="AZ118" s="15" t="n">
        <f aca="false">0</f>
        <v>0</v>
      </c>
      <c r="BA118" s="15" t="n">
        <f aca="false">0</f>
        <v>0</v>
      </c>
      <c r="BB118" s="15" t="n">
        <f aca="false">0</f>
        <v>0</v>
      </c>
      <c r="BC118" s="15" t="n">
        <f aca="false">0</f>
        <v>0</v>
      </c>
      <c r="BD118" s="15" t="n">
        <f aca="false">(BH117)+AC118-AF118-AI118-AS118-K118*(1+Parametri_v3!$C$26)-AL118-AQ118-O118+AW118+AX118+AZ118+BA118-BB118</f>
        <v>287056.372103321</v>
      </c>
      <c r="BE118" s="15" t="n">
        <f aca="false">0</f>
        <v>0</v>
      </c>
      <c r="BF118" s="15" t="n">
        <f aca="false">0</f>
        <v>0</v>
      </c>
      <c r="BG118" s="15" t="n">
        <f aca="false">0</f>
        <v>0</v>
      </c>
      <c r="BH118" s="15" t="n">
        <f aca="false">BD118+BE118-BF118-AY118</f>
        <v>169280.370179127</v>
      </c>
      <c r="BI118" s="15" t="n">
        <f aca="false">MAX(0,Parametri_v3!$C$31-BH118)</f>
        <v>0</v>
      </c>
      <c r="BJ118" s="15" t="n">
        <f aca="false">(BJ117)+K118</f>
        <v>25000</v>
      </c>
      <c r="BK118" s="15" t="n">
        <f aca="false">(BK117)+L118</f>
        <v>14395.8333333333</v>
      </c>
      <c r="BL118" s="15" t="n">
        <f aca="false">BJ118-BK118</f>
        <v>10604.1666666667</v>
      </c>
      <c r="BM118" s="15" t="n">
        <f aca="false">(BM117)+Y118</f>
        <v>588857.508017017</v>
      </c>
      <c r="BN118" s="15" t="n">
        <f aca="false">(BN117)+AW118+AX118+AZ118</f>
        <v>20000</v>
      </c>
      <c r="BO118" s="15" t="n">
        <f aca="false">(BO117)+AY118</f>
        <v>178091.907826972</v>
      </c>
      <c r="BP118" s="15" t="n">
        <f aca="false">MIN(Parametri_v3!$C$36*Parametri_v3!$C$35,(BP117)+IF(6=1,MAX(0,SUM(Y101:Y112))*Parametri_v3!$C$34,0))</f>
        <v>2000</v>
      </c>
      <c r="BQ118" s="15" t="n">
        <f aca="false">BN118+BM118-BO118</f>
        <v>430765.600190045</v>
      </c>
      <c r="BR118" s="15" t="n">
        <f aca="false">BH118+AD118+BL118+MAX(0,-AM118)+MAX(0,-AR118)</f>
        <v>604292.036845793</v>
      </c>
      <c r="BS118" s="15" t="n">
        <f aca="false">AJ118+AV118+MAX(0,AM118)+MAX(0,AR118)+BC118+BG118+BQ118+AG118</f>
        <v>604292.036845794</v>
      </c>
      <c r="BT118" s="15" t="n">
        <f aca="false">BR118-BS118</f>
        <v>0</v>
      </c>
      <c r="BU118" s="15" t="n">
        <f aca="false">BH118-(BD118+BE118-BF118-AY118)</f>
        <v>0</v>
      </c>
      <c r="BV118" s="15" t="n">
        <f aca="false">IF(BH117&lt;Parametri_v3!$C$31,0,BV117+1)</f>
        <v>25</v>
      </c>
    </row>
    <row r="119" customFormat="false" ht="18" hidden="false" customHeight="true" outlineLevel="0" collapsed="false">
      <c r="A119" s="68" t="n">
        <f aca="false">2</f>
        <v>2</v>
      </c>
      <c r="B119" s="68" t="n">
        <f aca="false">55</f>
        <v>55</v>
      </c>
      <c r="C119" s="18" t="n">
        <f aca="false">Motore_Operativo!C119</f>
        <v>48030</v>
      </c>
      <c r="D119" s="68" t="n">
        <f aca="false">Motore_Operativo!D119</f>
        <v>2031</v>
      </c>
      <c r="E119" s="68" t="n">
        <f aca="false">Motore_Operativo!E119</f>
        <v>7</v>
      </c>
      <c r="F119" s="15" t="n">
        <f aca="false">Motore_Operativo!AM119</f>
        <v>115958.333333333</v>
      </c>
      <c r="G119" s="15" t="n">
        <f aca="false">Motore_Operativo!BH119</f>
        <v>11595.8333333333</v>
      </c>
      <c r="H119" s="15" t="n">
        <f aca="false">Motore_Operativo!AM119</f>
        <v>115958.333333333</v>
      </c>
      <c r="I119" s="15" t="n">
        <f aca="false">Motore_Operativo!CB119</f>
        <v>79625.4722608333</v>
      </c>
      <c r="J119" s="15" t="n">
        <f aca="false">Motore_Operativo!CD119</f>
        <v>36332.8610725</v>
      </c>
      <c r="K119" s="15" t="n">
        <f aca="false">Motore_Operativo!CF119</f>
        <v>666.666666666667</v>
      </c>
      <c r="L119" s="15" t="n">
        <f aca="false">SUM(INDEX($K$65:$K$124,MAX(1,55-Parametri_v3!$C$59+1)):K119)/Parametri_v3!$C$59</f>
        <v>548.611111111111</v>
      </c>
      <c r="M119" s="15" t="n">
        <f aca="false">J119-L119</f>
        <v>35784.2499613889</v>
      </c>
      <c r="N119" s="15" t="n">
        <f aca="false">0</f>
        <v>0</v>
      </c>
      <c r="O119" s="15" t="n">
        <f aca="false">0</f>
        <v>0</v>
      </c>
      <c r="P119" s="15" t="n">
        <f aca="false">M119+N119-O119</f>
        <v>35784.2499613889</v>
      </c>
      <c r="Q119" s="15" t="n">
        <f aca="false">SUM(P113:P119)+Parametri_v3!$C$56*7/12</f>
        <v>250635.583063056</v>
      </c>
      <c r="R119" s="15" t="n">
        <f aca="false">Z112</f>
        <v>0</v>
      </c>
      <c r="S119" s="15" t="n">
        <f aca="false">AA112</f>
        <v>0</v>
      </c>
      <c r="T119" s="15" t="n">
        <f aca="false">MIN(R119,MAX(0,Q119))</f>
        <v>0</v>
      </c>
      <c r="U119" s="15" t="n">
        <f aca="false">MIN(S119,MAX(0,Q119-T119)*Parametri_v3!$C$42)</f>
        <v>0</v>
      </c>
      <c r="V119" s="15" t="n">
        <f aca="false">MAX(0,Q119-T119-U119)*Ipotesi!$C$92</f>
        <v>60152.5399351333</v>
      </c>
      <c r="W119" s="15" t="n">
        <f aca="false">MAX(0,SUM(M113:M119)+Parametri_v3!$C$57*7/12)*Ipotesi!$C$93</f>
        <v>9774.78773945917</v>
      </c>
      <c r="X119" s="15" t="n">
        <f aca="false">V119+W119-(V118+W118)</f>
        <v>9983.80573922751</v>
      </c>
      <c r="Y119" s="15" t="n">
        <f aca="false">P119-X119</f>
        <v>25800.4442221614</v>
      </c>
      <c r="Z119" s="15" t="n">
        <f aca="false">R119-T119+IF(AND(Parametri_v3!$C$40=1,D119-YEAR(Parametri_v3!$C$50)&lt;Parametri_v3!$C$41),MAX(0,-Q119),0)</f>
        <v>0</v>
      </c>
      <c r="AA119" s="15" t="n">
        <f aca="false">S119-U119+IF(AND(Parametri_v3!$C$40=1,D119-YEAR(Parametri_v3!$C$50)&lt;Parametri_v3!$C$41),0,MAX(0,-Q119))</f>
        <v>0</v>
      </c>
      <c r="AB119" s="15" t="n">
        <f aca="false">F119*(1+Parametri_v3!$C$26)</f>
        <v>141469.166666667</v>
      </c>
      <c r="AC119" s="15" t="n">
        <f aca="false">(IF(55-(INT((Motore_Operativo!L119)/30))&lt;1,0,INDEX(Motore_Advisory!$AB$65:$AB$124,MAX(1,55-(INT((Motore_Operativo!L119)/30)))))*(1-(MOD((Motore_Operativo!L119),30)/30))+IF(55-(INT((Motore_Operativo!L119)/30))-1&lt;1,0,INDEX(Motore_Advisory!$AB$65:$AB$124,MAX(1,55-(INT((Motore_Operativo!L119)/30))-1)))*(MOD((Motore_Operativo!L119),30)/30))</f>
        <v>141469.166666667</v>
      </c>
      <c r="AD119" s="15" t="n">
        <f aca="false">(AD118)+AB119-AC119</f>
        <v>424407.5</v>
      </c>
      <c r="AE119" s="15" t="n">
        <f aca="false">Motore_Operativo!BH119*(1+Parametri_v3!$C$26)</f>
        <v>14146.9166666667</v>
      </c>
      <c r="AF119" s="15" t="n">
        <f aca="false">(IF(55-(INT((Parametri_v3!$C$29)/30))&lt;1,0,INDEX(Motore_Operativo!$BH$65:$BH$124,MAX(1,55-(INT((Parametri_v3!$C$29)/30)))))*(1-(MOD((Parametri_v3!$C$29),30)/30))+IF(55-(INT((Parametri_v3!$C$29)/30))-1&lt;1,0,INDEX(Motore_Operativo!$BH$65:$BH$124,MAX(1,55-(INT((Parametri_v3!$C$29)/30))-1)))*(MOD((Parametri_v3!$C$29),30)/30))*(1+Parametri_v3!$C$26)</f>
        <v>14146.9166666667</v>
      </c>
      <c r="AG119" s="15" t="n">
        <f aca="false">(AG118)+AE119-AF119</f>
        <v>14146.9166666667</v>
      </c>
      <c r="AH119" s="15" t="n">
        <f aca="false">(Motore_Operativo!CK119)*(1+Parametri_v3!$C$28*Parametri_v3!$C$26)</f>
        <v>27831.02</v>
      </c>
      <c r="AI119" s="15" t="n">
        <f aca="false">(IF(55-(INT((Ipotesi!$C$91)/30))&lt;1,0,INDEX(Motore_Advisory!$AH$65:$AH$124,MAX(1,55-(INT((Ipotesi!$C$91)/30)))))*(1-(MOD((Ipotesi!$C$91),30)/30))+IF(55-(INT((Ipotesi!$C$91)/30))-1&lt;1,0,INDEX(Motore_Advisory!$AH$65:$AH$124,MAX(1,55-(INT((Ipotesi!$C$91)/30))-1)))*(MOD((Ipotesi!$C$91),30)/30))</f>
        <v>27831.02</v>
      </c>
      <c r="AJ119" s="15" t="n">
        <f aca="false">(AJ118)+AH119-AI119</f>
        <v>55662.04</v>
      </c>
      <c r="AK119" s="15" t="n">
        <f aca="false">(F119- Motore_Operativo!BH119-(Motore_Operativo!CK119)*Parametri_v3!$C$28-Motore_Operativo!CF119)*Parametri_v3!$C$26</f>
        <v>18647.8966666667</v>
      </c>
      <c r="AL119" s="15" t="n">
        <f aca="false">MAX(0,(AM118))</f>
        <v>18647.8966666667</v>
      </c>
      <c r="AM119" s="15" t="n">
        <f aca="false">(AM118)+AK119-AL119</f>
        <v>18647.8966666667</v>
      </c>
      <c r="AN119" s="15" t="n">
        <f aca="false">SUM(X101:X112)</f>
        <v>91149.8045405</v>
      </c>
      <c r="AO119" s="15" t="n">
        <f aca="false">SUM(AP101:AP112)</f>
        <v>46679.99375</v>
      </c>
      <c r="AP119" s="15" t="n">
        <f aca="false">MAX(0,AN119)*IF(7=Parametri_v3!$C$43,Parametri_v3!$C$45,IF(7=Parametri_v3!$C$44,1-Parametri_v3!$C$45,0))</f>
        <v>0</v>
      </c>
      <c r="AQ119" s="15" t="n">
        <f aca="false">MAX(0,AP119+IF(7=Parametri_v3!$C$43,MAX(0,AN119-AO119),0)-MAX(0,-(AR118)))</f>
        <v>0</v>
      </c>
      <c r="AR119" s="15" t="n">
        <f aca="false">(AR118)+X119-AQ119</f>
        <v>33467.4058583925</v>
      </c>
      <c r="AS119" s="15" t="n">
        <f aca="false">Motore_Operativo!AC119-AT119+AU119</f>
        <v>42145.6153144583</v>
      </c>
      <c r="AT119" s="15" t="n">
        <f aca="false">Motore_Operativo!CI119</f>
        <v>2218.19027970833</v>
      </c>
      <c r="AU119" s="15" t="n">
        <f aca="false">MIN(MAX(0,(AV118)+AT119),Parametri_v3!$C$61/12)</f>
        <v>0</v>
      </c>
      <c r="AV119" s="15" t="n">
        <f aca="false">(AV118)+AT119-AU119</f>
        <v>63804.1734829583</v>
      </c>
      <c r="AW119" s="15" t="n">
        <f aca="false">IF(AND(Motore_Operativo!C119=Finanziamenti!$D$7,Finanziamenti!$F$7=1),Finanziamenti!$C$7,0)</f>
        <v>0</v>
      </c>
      <c r="AX119" s="15" t="n">
        <f aca="false">0</f>
        <v>0</v>
      </c>
      <c r="AY119" s="15" t="n">
        <f aca="false">IF(7=Parametri_v3!$C$33,IF(BV119&lt;MIN(12,$B119-1),0,MIN(MAX(0,SUM(Y101:Y112))*Ipotesi!$C$94,MAX(0,(BM112)-(BO118)-BP119),MAX(0,BD119-Parametri_v3!$C$31))),0)</f>
        <v>0</v>
      </c>
      <c r="AZ119" s="15" t="n">
        <f aca="false">0</f>
        <v>0</v>
      </c>
      <c r="BA119" s="15" t="n">
        <f aca="false">0</f>
        <v>0</v>
      </c>
      <c r="BB119" s="15" t="n">
        <f aca="false">0</f>
        <v>0</v>
      </c>
      <c r="BC119" s="15" t="n">
        <f aca="false">0</f>
        <v>0</v>
      </c>
      <c r="BD119" s="15" t="n">
        <f aca="false">(BH118)+AC119-AF119-AI119-AS119-K119*(1+Parametri_v3!$C$26)-AL119-AQ119-O119+AW119+AX119+AZ119+BA119-BB119</f>
        <v>207164.754864668</v>
      </c>
      <c r="BE119" s="15" t="n">
        <f aca="false">0</f>
        <v>0</v>
      </c>
      <c r="BF119" s="15" t="n">
        <f aca="false">0</f>
        <v>0</v>
      </c>
      <c r="BG119" s="15" t="n">
        <f aca="false">0</f>
        <v>0</v>
      </c>
      <c r="BH119" s="15" t="n">
        <f aca="false">BD119+BE119-BF119-AY119</f>
        <v>207164.754864668</v>
      </c>
      <c r="BI119" s="15" t="n">
        <f aca="false">MAX(0,Parametri_v3!$C$31-BH119)</f>
        <v>0</v>
      </c>
      <c r="BJ119" s="15" t="n">
        <f aca="false">(BJ118)+K119</f>
        <v>25666.6666666667</v>
      </c>
      <c r="BK119" s="15" t="n">
        <f aca="false">(BK118)+L119</f>
        <v>14944.4444444444</v>
      </c>
      <c r="BL119" s="15" t="n">
        <f aca="false">BJ119-BK119</f>
        <v>10722.2222222222</v>
      </c>
      <c r="BM119" s="15" t="n">
        <f aca="false">(BM118)+Y119</f>
        <v>614657.952239179</v>
      </c>
      <c r="BN119" s="15" t="n">
        <f aca="false">(BN118)+AW119+AX119+AZ119</f>
        <v>20000</v>
      </c>
      <c r="BO119" s="15" t="n">
        <f aca="false">(BO118)+AY119</f>
        <v>178091.907826972</v>
      </c>
      <c r="BP119" s="15" t="n">
        <f aca="false">MIN(Parametri_v3!$C$36*Parametri_v3!$C$35,(BP118)+IF(7=1,MAX(0,SUM(Y101:Y112))*Parametri_v3!$C$34,0))</f>
        <v>2000</v>
      </c>
      <c r="BQ119" s="15" t="n">
        <f aca="false">BN119+BM119-BO119</f>
        <v>456566.044412207</v>
      </c>
      <c r="BR119" s="15" t="n">
        <f aca="false">BH119+AD119+BL119+MAX(0,-AM119)+MAX(0,-AR119)</f>
        <v>642294.477086891</v>
      </c>
      <c r="BS119" s="15" t="n">
        <f aca="false">AJ119+AV119+MAX(0,AM119)+MAX(0,AR119)+BC119+BG119+BQ119+AG119</f>
        <v>642294.477086891</v>
      </c>
      <c r="BT119" s="15" t="n">
        <f aca="false">BR119-BS119</f>
        <v>0</v>
      </c>
      <c r="BU119" s="15" t="n">
        <f aca="false">BH119-(BD119+BE119-BF119-AY119)</f>
        <v>0</v>
      </c>
      <c r="BV119" s="15" t="n">
        <f aca="false">IF(BH118&lt;Parametri_v3!$C$31,0,BV118+1)</f>
        <v>26</v>
      </c>
    </row>
    <row r="120" customFormat="false" ht="18" hidden="false" customHeight="true" outlineLevel="0" collapsed="false">
      <c r="A120" s="68" t="n">
        <f aca="false">2</f>
        <v>2</v>
      </c>
      <c r="B120" s="68" t="n">
        <f aca="false">56</f>
        <v>56</v>
      </c>
      <c r="C120" s="18" t="n">
        <f aca="false">Motore_Operativo!C120</f>
        <v>48061</v>
      </c>
      <c r="D120" s="68" t="n">
        <f aca="false">Motore_Operativo!D120</f>
        <v>2031</v>
      </c>
      <c r="E120" s="68" t="n">
        <f aca="false">Motore_Operativo!E120</f>
        <v>8</v>
      </c>
      <c r="F120" s="15" t="n">
        <f aca="false">Motore_Operativo!AM120</f>
        <v>115958.333333333</v>
      </c>
      <c r="G120" s="15" t="n">
        <f aca="false">Motore_Operativo!BH120</f>
        <v>11595.8333333333</v>
      </c>
      <c r="H120" s="15" t="n">
        <f aca="false">Motore_Operativo!AM120</f>
        <v>115958.333333333</v>
      </c>
      <c r="I120" s="15" t="n">
        <f aca="false">Motore_Operativo!CB120</f>
        <v>79625.4722608333</v>
      </c>
      <c r="J120" s="15" t="n">
        <f aca="false">Motore_Operativo!CD120</f>
        <v>36332.8610725</v>
      </c>
      <c r="K120" s="15" t="n">
        <f aca="false">Motore_Operativo!CF120</f>
        <v>666.666666666667</v>
      </c>
      <c r="L120" s="15" t="n">
        <f aca="false">SUM(INDEX($K$65:$K$124,MAX(1,56-Parametri_v3!$C$59+1)):K120)/Parametri_v3!$C$59</f>
        <v>555.555555555556</v>
      </c>
      <c r="M120" s="15" t="n">
        <f aca="false">J120-L120</f>
        <v>35777.3055169445</v>
      </c>
      <c r="N120" s="15" t="n">
        <f aca="false">0</f>
        <v>0</v>
      </c>
      <c r="O120" s="15" t="n">
        <f aca="false">0</f>
        <v>0</v>
      </c>
      <c r="P120" s="15" t="n">
        <f aca="false">M120+N120-O120</f>
        <v>35777.3055169445</v>
      </c>
      <c r="Q120" s="15" t="n">
        <f aca="false">SUM(P113:P120)+Parametri_v3!$C$56*8/12</f>
        <v>286412.88858</v>
      </c>
      <c r="R120" s="15" t="n">
        <f aca="false">Z112</f>
        <v>0</v>
      </c>
      <c r="S120" s="15" t="n">
        <f aca="false">AA112</f>
        <v>0</v>
      </c>
      <c r="T120" s="15" t="n">
        <f aca="false">MIN(R120,MAX(0,Q120))</f>
        <v>0</v>
      </c>
      <c r="U120" s="15" t="n">
        <f aca="false">MIN(S120,MAX(0,Q120-T120)*Parametri_v3!$C$42)</f>
        <v>0</v>
      </c>
      <c r="V120" s="15" t="n">
        <f aca="false">MAX(0,Q120-T120-U120)*Ipotesi!$C$92</f>
        <v>68739.0932592</v>
      </c>
      <c r="W120" s="15" t="n">
        <f aca="false">MAX(0,SUM(M113:M120)+Parametri_v3!$C$57*8/12)*Ipotesi!$C$93</f>
        <v>11170.10265462</v>
      </c>
      <c r="X120" s="15" t="n">
        <f aca="false">V120+W120-(V119+W119)</f>
        <v>9981.86823922749</v>
      </c>
      <c r="Y120" s="15" t="n">
        <f aca="false">P120-X120</f>
        <v>25795.437277717</v>
      </c>
      <c r="Z120" s="15" t="n">
        <f aca="false">R120-T120+IF(AND(Parametri_v3!$C$40=1,D120-YEAR(Parametri_v3!$C$50)&lt;Parametri_v3!$C$41),MAX(0,-Q120),0)</f>
        <v>0</v>
      </c>
      <c r="AA120" s="15" t="n">
        <f aca="false">S120-U120+IF(AND(Parametri_v3!$C$40=1,D120-YEAR(Parametri_v3!$C$50)&lt;Parametri_v3!$C$41),0,MAX(0,-Q120))</f>
        <v>0</v>
      </c>
      <c r="AB120" s="15" t="n">
        <f aca="false">F120*(1+Parametri_v3!$C$26)</f>
        <v>141469.166666667</v>
      </c>
      <c r="AC120" s="15" t="n">
        <f aca="false">(IF(56-(INT((Motore_Operativo!L120)/30))&lt;1,0,INDEX(Motore_Advisory!$AB$65:$AB$124,MAX(1,56-(INT((Motore_Operativo!L120)/30)))))*(1-(MOD((Motore_Operativo!L120),30)/30))+IF(56-(INT((Motore_Operativo!L120)/30))-1&lt;1,0,INDEX(Motore_Advisory!$AB$65:$AB$124,MAX(1,56-(INT((Motore_Operativo!L120)/30))-1)))*(MOD((Motore_Operativo!L120),30)/30))</f>
        <v>141469.166666667</v>
      </c>
      <c r="AD120" s="15" t="n">
        <f aca="false">(AD119)+AB120-AC120</f>
        <v>424407.5</v>
      </c>
      <c r="AE120" s="15" t="n">
        <f aca="false">Motore_Operativo!BH120*(1+Parametri_v3!$C$26)</f>
        <v>14146.9166666667</v>
      </c>
      <c r="AF120" s="15" t="n">
        <f aca="false">(IF(56-(INT((Parametri_v3!$C$29)/30))&lt;1,0,INDEX(Motore_Operativo!$BH$65:$BH$124,MAX(1,56-(INT((Parametri_v3!$C$29)/30)))))*(1-(MOD((Parametri_v3!$C$29),30)/30))+IF(56-(INT((Parametri_v3!$C$29)/30))-1&lt;1,0,INDEX(Motore_Operativo!$BH$65:$BH$124,MAX(1,56-(INT((Parametri_v3!$C$29)/30))-1)))*(MOD((Parametri_v3!$C$29),30)/30))*(1+Parametri_v3!$C$26)</f>
        <v>14146.9166666667</v>
      </c>
      <c r="AG120" s="15" t="n">
        <f aca="false">(AG119)+AE120-AF120</f>
        <v>14146.9166666667</v>
      </c>
      <c r="AH120" s="15" t="n">
        <f aca="false">(Motore_Operativo!CK120)*(1+Parametri_v3!$C$28*Parametri_v3!$C$26)</f>
        <v>27831.02</v>
      </c>
      <c r="AI120" s="15" t="n">
        <f aca="false">(IF(56-(INT((Ipotesi!$C$91)/30))&lt;1,0,INDEX(Motore_Advisory!$AH$65:$AH$124,MAX(1,56-(INT((Ipotesi!$C$91)/30)))))*(1-(MOD((Ipotesi!$C$91),30)/30))+IF(56-(INT((Ipotesi!$C$91)/30))-1&lt;1,0,INDEX(Motore_Advisory!$AH$65:$AH$124,MAX(1,56-(INT((Ipotesi!$C$91)/30))-1)))*(MOD((Ipotesi!$C$91),30)/30))</f>
        <v>27831.02</v>
      </c>
      <c r="AJ120" s="15" t="n">
        <f aca="false">(AJ119)+AH120-AI120</f>
        <v>55662.04</v>
      </c>
      <c r="AK120" s="15" t="n">
        <f aca="false">(F120- Motore_Operativo!BH120-(Motore_Operativo!CK120)*Parametri_v3!$C$28-Motore_Operativo!CF120)*Parametri_v3!$C$26</f>
        <v>18647.8966666667</v>
      </c>
      <c r="AL120" s="15" t="n">
        <f aca="false">MAX(0,(AM119))</f>
        <v>18647.8966666667</v>
      </c>
      <c r="AM120" s="15" t="n">
        <f aca="false">(AM119)+AK120-AL120</f>
        <v>18647.8966666667</v>
      </c>
      <c r="AN120" s="15" t="n">
        <f aca="false">SUM(X101:X112)</f>
        <v>91149.8045405</v>
      </c>
      <c r="AO120" s="15" t="n">
        <f aca="false">SUM(AP101:AP112)</f>
        <v>46679.99375</v>
      </c>
      <c r="AP120" s="15" t="n">
        <f aca="false">MAX(0,AN120)*IF(8=Parametri_v3!$C$43,Parametri_v3!$C$45,IF(8=Parametri_v3!$C$44,1-Parametri_v3!$C$45,0))</f>
        <v>0</v>
      </c>
      <c r="AQ120" s="15" t="n">
        <f aca="false">MAX(0,AP120+IF(8=Parametri_v3!$C$43,MAX(0,AN120-AO120),0)-MAX(0,-(AR119)))</f>
        <v>0</v>
      </c>
      <c r="AR120" s="15" t="n">
        <f aca="false">(AR119)+X120-AQ120</f>
        <v>43449.27409762</v>
      </c>
      <c r="AS120" s="15" t="n">
        <f aca="false">Motore_Operativo!AC120-AT120+AU120</f>
        <v>42145.6153144583</v>
      </c>
      <c r="AT120" s="15" t="n">
        <f aca="false">Motore_Operativo!CI120</f>
        <v>2218.19027970833</v>
      </c>
      <c r="AU120" s="15" t="n">
        <f aca="false">MIN(MAX(0,(AV119)+AT120),Parametri_v3!$C$61/12)</f>
        <v>0</v>
      </c>
      <c r="AV120" s="15" t="n">
        <f aca="false">(AV119)+AT120-AU120</f>
        <v>66022.3637626667</v>
      </c>
      <c r="AW120" s="15" t="n">
        <f aca="false">IF(AND(Motore_Operativo!C120=Finanziamenti!$D$7,Finanziamenti!$F$7=1),Finanziamenti!$C$7,0)</f>
        <v>0</v>
      </c>
      <c r="AX120" s="15" t="n">
        <f aca="false">0</f>
        <v>0</v>
      </c>
      <c r="AY120" s="15" t="n">
        <f aca="false">IF(8=Parametri_v3!$C$33,IF(BV120&lt;MIN(12,$B120-1),0,MIN(MAX(0,SUM(Y101:Y112))*Ipotesi!$C$94,MAX(0,(BM112)-(BO119)-BP120),MAX(0,BD120-Parametri_v3!$C$31))),0)</f>
        <v>0</v>
      </c>
      <c r="AZ120" s="15" t="n">
        <f aca="false">0</f>
        <v>0</v>
      </c>
      <c r="BA120" s="15" t="n">
        <f aca="false">0</f>
        <v>0</v>
      </c>
      <c r="BB120" s="15" t="n">
        <f aca="false">0</f>
        <v>0</v>
      </c>
      <c r="BC120" s="15" t="n">
        <f aca="false">0</f>
        <v>0</v>
      </c>
      <c r="BD120" s="15" t="n">
        <f aca="false">(BH119)+AC120-AF120-AI120-AS120-K120*(1+Parametri_v3!$C$26)-AL120-AQ120-O120+AW120+AX120+AZ120+BA120-BB120</f>
        <v>245049.13955021</v>
      </c>
      <c r="BE120" s="15" t="n">
        <f aca="false">0</f>
        <v>0</v>
      </c>
      <c r="BF120" s="15" t="n">
        <f aca="false">0</f>
        <v>0</v>
      </c>
      <c r="BG120" s="15" t="n">
        <f aca="false">0</f>
        <v>0</v>
      </c>
      <c r="BH120" s="15" t="n">
        <f aca="false">BD120+BE120-BF120-AY120</f>
        <v>245049.13955021</v>
      </c>
      <c r="BI120" s="15" t="n">
        <f aca="false">MAX(0,Parametri_v3!$C$31-BH120)</f>
        <v>0</v>
      </c>
      <c r="BJ120" s="15" t="n">
        <f aca="false">(BJ119)+K120</f>
        <v>26333.3333333333</v>
      </c>
      <c r="BK120" s="15" t="n">
        <f aca="false">(BK119)+L120</f>
        <v>15500</v>
      </c>
      <c r="BL120" s="15" t="n">
        <f aca="false">BJ120-BK120</f>
        <v>10833.3333333333</v>
      </c>
      <c r="BM120" s="15" t="n">
        <f aca="false">(BM119)+Y120</f>
        <v>640453.389516896</v>
      </c>
      <c r="BN120" s="15" t="n">
        <f aca="false">(BN119)+AW120+AX120+AZ120</f>
        <v>20000</v>
      </c>
      <c r="BO120" s="15" t="n">
        <f aca="false">(BO119)+AY120</f>
        <v>178091.907826972</v>
      </c>
      <c r="BP120" s="15" t="n">
        <f aca="false">MIN(Parametri_v3!$C$36*Parametri_v3!$C$35,(BP119)+IF(8=1,MAX(0,SUM(Y101:Y112))*Parametri_v3!$C$34,0))</f>
        <v>2000</v>
      </c>
      <c r="BQ120" s="15" t="n">
        <f aca="false">BN120+BM120-BO120</f>
        <v>482361.481689924</v>
      </c>
      <c r="BR120" s="15" t="n">
        <f aca="false">BH120+AD120+BL120+MAX(0,-AM120)+MAX(0,-AR120)</f>
        <v>680289.972883544</v>
      </c>
      <c r="BS120" s="15" t="n">
        <f aca="false">AJ120+AV120+MAX(0,AM120)+MAX(0,AR120)+BC120+BG120+BQ120+AG120</f>
        <v>680289.972883544</v>
      </c>
      <c r="BT120" s="15" t="n">
        <f aca="false">BR120-BS120</f>
        <v>0</v>
      </c>
      <c r="BU120" s="15" t="n">
        <f aca="false">BH120-(BD120+BE120-BF120-AY120)</f>
        <v>0</v>
      </c>
      <c r="BV120" s="15" t="n">
        <f aca="false">IF(BH119&lt;Parametri_v3!$C$31,0,BV119+1)</f>
        <v>27</v>
      </c>
    </row>
    <row r="121" customFormat="false" ht="18" hidden="false" customHeight="true" outlineLevel="0" collapsed="false">
      <c r="A121" s="68" t="n">
        <f aca="false">2</f>
        <v>2</v>
      </c>
      <c r="B121" s="68" t="n">
        <f aca="false">57</f>
        <v>57</v>
      </c>
      <c r="C121" s="18" t="n">
        <f aca="false">Motore_Operativo!C121</f>
        <v>48092</v>
      </c>
      <c r="D121" s="68" t="n">
        <f aca="false">Motore_Operativo!D121</f>
        <v>2031</v>
      </c>
      <c r="E121" s="68" t="n">
        <f aca="false">Motore_Operativo!E121</f>
        <v>9</v>
      </c>
      <c r="F121" s="15" t="n">
        <f aca="false">Motore_Operativo!AM121</f>
        <v>115958.333333333</v>
      </c>
      <c r="G121" s="15" t="n">
        <f aca="false">Motore_Operativo!BH121</f>
        <v>11595.8333333333</v>
      </c>
      <c r="H121" s="15" t="n">
        <f aca="false">Motore_Operativo!AM121</f>
        <v>115958.333333333</v>
      </c>
      <c r="I121" s="15" t="n">
        <f aca="false">Motore_Operativo!CB121</f>
        <v>79625.4722608333</v>
      </c>
      <c r="J121" s="15" t="n">
        <f aca="false">Motore_Operativo!CD121</f>
        <v>36332.8610725</v>
      </c>
      <c r="K121" s="15" t="n">
        <f aca="false">Motore_Operativo!CF121</f>
        <v>666.666666666667</v>
      </c>
      <c r="L121" s="15" t="n">
        <f aca="false">SUM(INDEX($K$65:$K$124,MAX(1,57-Parametri_v3!$C$59+1)):K121)/Parametri_v3!$C$59</f>
        <v>562.5</v>
      </c>
      <c r="M121" s="15" t="n">
        <f aca="false">J121-L121</f>
        <v>35770.3610725</v>
      </c>
      <c r="N121" s="15" t="n">
        <f aca="false">0</f>
        <v>0</v>
      </c>
      <c r="O121" s="15" t="n">
        <f aca="false">0</f>
        <v>0</v>
      </c>
      <c r="P121" s="15" t="n">
        <f aca="false">M121+N121-O121</f>
        <v>35770.3610725</v>
      </c>
      <c r="Q121" s="15" t="n">
        <f aca="false">SUM(P113:P121)+Parametri_v3!$C$56*9/12</f>
        <v>322183.2496525</v>
      </c>
      <c r="R121" s="15" t="n">
        <f aca="false">Z112</f>
        <v>0</v>
      </c>
      <c r="S121" s="15" t="n">
        <f aca="false">AA112</f>
        <v>0</v>
      </c>
      <c r="T121" s="15" t="n">
        <f aca="false">MIN(R121,MAX(0,Q121))</f>
        <v>0</v>
      </c>
      <c r="U121" s="15" t="n">
        <f aca="false">MIN(S121,MAX(0,Q121-T121)*Parametri_v3!$C$42)</f>
        <v>0</v>
      </c>
      <c r="V121" s="15" t="n">
        <f aca="false">MAX(0,Q121-T121-U121)*Ipotesi!$C$92</f>
        <v>77323.9799166</v>
      </c>
      <c r="W121" s="15" t="n">
        <f aca="false">MAX(0,SUM(M113:M121)+Parametri_v3!$C$57*9/12)*Ipotesi!$C$93</f>
        <v>12565.1467364475</v>
      </c>
      <c r="X121" s="15" t="n">
        <f aca="false">V121+W121-(V120+W120)</f>
        <v>9979.93073922749</v>
      </c>
      <c r="Y121" s="15" t="n">
        <f aca="false">P121-X121</f>
        <v>25790.4303332725</v>
      </c>
      <c r="Z121" s="15" t="n">
        <f aca="false">R121-T121+IF(AND(Parametri_v3!$C$40=1,D121-YEAR(Parametri_v3!$C$50)&lt;Parametri_v3!$C$41),MAX(0,-Q121),0)</f>
        <v>0</v>
      </c>
      <c r="AA121" s="15" t="n">
        <f aca="false">S121-U121+IF(AND(Parametri_v3!$C$40=1,D121-YEAR(Parametri_v3!$C$50)&lt;Parametri_v3!$C$41),0,MAX(0,-Q121))</f>
        <v>0</v>
      </c>
      <c r="AB121" s="15" t="n">
        <f aca="false">F121*(1+Parametri_v3!$C$26)</f>
        <v>141469.166666667</v>
      </c>
      <c r="AC121" s="15" t="n">
        <f aca="false">(IF(57-(INT((Motore_Operativo!L121)/30))&lt;1,0,INDEX(Motore_Advisory!$AB$65:$AB$124,MAX(1,57-(INT((Motore_Operativo!L121)/30)))))*(1-(MOD((Motore_Operativo!L121),30)/30))+IF(57-(INT((Motore_Operativo!L121)/30))-1&lt;1,0,INDEX(Motore_Advisory!$AB$65:$AB$124,MAX(1,57-(INT((Motore_Operativo!L121)/30))-1)))*(MOD((Motore_Operativo!L121),30)/30))</f>
        <v>141469.166666667</v>
      </c>
      <c r="AD121" s="15" t="n">
        <f aca="false">(AD120)+AB121-AC121</f>
        <v>424407.5</v>
      </c>
      <c r="AE121" s="15" t="n">
        <f aca="false">Motore_Operativo!BH121*(1+Parametri_v3!$C$26)</f>
        <v>14146.9166666667</v>
      </c>
      <c r="AF121" s="15" t="n">
        <f aca="false">(IF(57-(INT((Parametri_v3!$C$29)/30))&lt;1,0,INDEX(Motore_Operativo!$BH$65:$BH$124,MAX(1,57-(INT((Parametri_v3!$C$29)/30)))))*(1-(MOD((Parametri_v3!$C$29),30)/30))+IF(57-(INT((Parametri_v3!$C$29)/30))-1&lt;1,0,INDEX(Motore_Operativo!$BH$65:$BH$124,MAX(1,57-(INT((Parametri_v3!$C$29)/30))-1)))*(MOD((Parametri_v3!$C$29),30)/30))*(1+Parametri_v3!$C$26)</f>
        <v>14146.9166666667</v>
      </c>
      <c r="AG121" s="15" t="n">
        <f aca="false">(AG120)+AE121-AF121</f>
        <v>14146.9166666667</v>
      </c>
      <c r="AH121" s="15" t="n">
        <f aca="false">(Motore_Operativo!CK121)*(1+Parametri_v3!$C$28*Parametri_v3!$C$26)</f>
        <v>27831.02</v>
      </c>
      <c r="AI121" s="15" t="n">
        <f aca="false">(IF(57-(INT((Ipotesi!$C$91)/30))&lt;1,0,INDEX(Motore_Advisory!$AH$65:$AH$124,MAX(1,57-(INT((Ipotesi!$C$91)/30)))))*(1-(MOD((Ipotesi!$C$91),30)/30))+IF(57-(INT((Ipotesi!$C$91)/30))-1&lt;1,0,INDEX(Motore_Advisory!$AH$65:$AH$124,MAX(1,57-(INT((Ipotesi!$C$91)/30))-1)))*(MOD((Ipotesi!$C$91),30)/30))</f>
        <v>27831.02</v>
      </c>
      <c r="AJ121" s="15" t="n">
        <f aca="false">(AJ120)+AH121-AI121</f>
        <v>55662.04</v>
      </c>
      <c r="AK121" s="15" t="n">
        <f aca="false">(F121- Motore_Operativo!BH121-(Motore_Operativo!CK121)*Parametri_v3!$C$28-Motore_Operativo!CF121)*Parametri_v3!$C$26</f>
        <v>18647.8966666667</v>
      </c>
      <c r="AL121" s="15" t="n">
        <f aca="false">MAX(0,(AM120))</f>
        <v>18647.8966666667</v>
      </c>
      <c r="AM121" s="15" t="n">
        <f aca="false">(AM120)+AK121-AL121</f>
        <v>18647.8966666667</v>
      </c>
      <c r="AN121" s="15" t="n">
        <f aca="false">SUM(X101:X112)</f>
        <v>91149.8045405</v>
      </c>
      <c r="AO121" s="15" t="n">
        <f aca="false">SUM(AP101:AP112)</f>
        <v>46679.99375</v>
      </c>
      <c r="AP121" s="15" t="n">
        <f aca="false">MAX(0,AN121)*IF(9=Parametri_v3!$C$43,Parametri_v3!$C$45,IF(9=Parametri_v3!$C$44,1-Parametri_v3!$C$45,0))</f>
        <v>0</v>
      </c>
      <c r="AQ121" s="15" t="n">
        <f aca="false">MAX(0,AP121+IF(9=Parametri_v3!$C$43,MAX(0,AN121-AO121),0)-MAX(0,-(AR120)))</f>
        <v>0</v>
      </c>
      <c r="AR121" s="15" t="n">
        <f aca="false">(AR120)+X121-AQ121</f>
        <v>53429.2048368475</v>
      </c>
      <c r="AS121" s="15" t="n">
        <f aca="false">Motore_Operativo!AC121-AT121+AU121</f>
        <v>42145.6153144583</v>
      </c>
      <c r="AT121" s="15" t="n">
        <f aca="false">Motore_Operativo!CI121</f>
        <v>2218.19027970833</v>
      </c>
      <c r="AU121" s="15" t="n">
        <f aca="false">MIN(MAX(0,(AV120)+AT121),Parametri_v3!$C$61/12)</f>
        <v>0</v>
      </c>
      <c r="AV121" s="15" t="n">
        <f aca="false">(AV120)+AT121-AU121</f>
        <v>68240.554042375</v>
      </c>
      <c r="AW121" s="15" t="n">
        <f aca="false">IF(AND(Motore_Operativo!C121=Finanziamenti!$D$7,Finanziamenti!$F$7=1),Finanziamenti!$C$7,0)</f>
        <v>0</v>
      </c>
      <c r="AX121" s="15" t="n">
        <f aca="false">0</f>
        <v>0</v>
      </c>
      <c r="AY121" s="15" t="n">
        <f aca="false">IF(9=Parametri_v3!$C$33,IF(BV121&lt;MIN(12,$B121-1),0,MIN(MAX(0,SUM(Y101:Y112))*Ipotesi!$C$94,MAX(0,(BM112)-(BO120)-BP121),MAX(0,BD121-Parametri_v3!$C$31))),0)</f>
        <v>0</v>
      </c>
      <c r="AZ121" s="15" t="n">
        <f aca="false">0</f>
        <v>0</v>
      </c>
      <c r="BA121" s="15" t="n">
        <f aca="false">0</f>
        <v>0</v>
      </c>
      <c r="BB121" s="15" t="n">
        <f aca="false">0</f>
        <v>0</v>
      </c>
      <c r="BC121" s="15" t="n">
        <f aca="false">0</f>
        <v>0</v>
      </c>
      <c r="BD121" s="15" t="n">
        <f aca="false">(BH120)+AC121-AF121-AI121-AS121-K121*(1+Parametri_v3!$C$26)-AL121-AQ121-O121+AW121+AX121+AZ121+BA121-BB121</f>
        <v>282933.524235752</v>
      </c>
      <c r="BE121" s="15" t="n">
        <f aca="false">0</f>
        <v>0</v>
      </c>
      <c r="BF121" s="15" t="n">
        <f aca="false">0</f>
        <v>0</v>
      </c>
      <c r="BG121" s="15" t="n">
        <f aca="false">0</f>
        <v>0</v>
      </c>
      <c r="BH121" s="15" t="n">
        <f aca="false">BD121+BE121-BF121-AY121</f>
        <v>282933.524235752</v>
      </c>
      <c r="BI121" s="15" t="n">
        <f aca="false">MAX(0,Parametri_v3!$C$31-BH121)</f>
        <v>0</v>
      </c>
      <c r="BJ121" s="15" t="n">
        <f aca="false">(BJ120)+K121</f>
        <v>27000</v>
      </c>
      <c r="BK121" s="15" t="n">
        <f aca="false">(BK120)+L121</f>
        <v>16062.5</v>
      </c>
      <c r="BL121" s="15" t="n">
        <f aca="false">BJ121-BK121</f>
        <v>10937.5</v>
      </c>
      <c r="BM121" s="15" t="n">
        <f aca="false">(BM120)+Y121</f>
        <v>666243.819850168</v>
      </c>
      <c r="BN121" s="15" t="n">
        <f aca="false">(BN120)+AW121+AX121+AZ121</f>
        <v>20000</v>
      </c>
      <c r="BO121" s="15" t="n">
        <f aca="false">(BO120)+AY121</f>
        <v>178091.907826972</v>
      </c>
      <c r="BP121" s="15" t="n">
        <f aca="false">MIN(Parametri_v3!$C$36*Parametri_v3!$C$35,(BP120)+IF(9=1,MAX(0,SUM(Y101:Y112))*Parametri_v3!$C$34,0))</f>
        <v>2000</v>
      </c>
      <c r="BQ121" s="15" t="n">
        <f aca="false">BN121+BM121-BO121</f>
        <v>508151.912023196</v>
      </c>
      <c r="BR121" s="15" t="n">
        <f aca="false">BH121+AD121+BL121+MAX(0,-AM121)+MAX(0,-AR121)</f>
        <v>718278.524235752</v>
      </c>
      <c r="BS121" s="15" t="n">
        <f aca="false">AJ121+AV121+MAX(0,AM121)+MAX(0,AR121)+BC121+BG121+BQ121+AG121</f>
        <v>718278.524235752</v>
      </c>
      <c r="BT121" s="15" t="n">
        <f aca="false">BR121-BS121</f>
        <v>0</v>
      </c>
      <c r="BU121" s="15" t="n">
        <f aca="false">BH121-(BD121+BE121-BF121-AY121)</f>
        <v>0</v>
      </c>
      <c r="BV121" s="15" t="n">
        <f aca="false">IF(BH120&lt;Parametri_v3!$C$31,0,BV120+1)</f>
        <v>28</v>
      </c>
    </row>
    <row r="122" customFormat="false" ht="18" hidden="false" customHeight="true" outlineLevel="0" collapsed="false">
      <c r="A122" s="68" t="n">
        <f aca="false">2</f>
        <v>2</v>
      </c>
      <c r="B122" s="68" t="n">
        <f aca="false">58</f>
        <v>58</v>
      </c>
      <c r="C122" s="18" t="n">
        <f aca="false">Motore_Operativo!C122</f>
        <v>48122</v>
      </c>
      <c r="D122" s="68" t="n">
        <f aca="false">Motore_Operativo!D122</f>
        <v>2031</v>
      </c>
      <c r="E122" s="68" t="n">
        <f aca="false">Motore_Operativo!E122</f>
        <v>10</v>
      </c>
      <c r="F122" s="15" t="n">
        <f aca="false">Motore_Operativo!AM122</f>
        <v>115958.333333333</v>
      </c>
      <c r="G122" s="15" t="n">
        <f aca="false">Motore_Operativo!BH122</f>
        <v>11595.8333333333</v>
      </c>
      <c r="H122" s="15" t="n">
        <f aca="false">Motore_Operativo!AM122</f>
        <v>115958.333333333</v>
      </c>
      <c r="I122" s="15" t="n">
        <f aca="false">Motore_Operativo!CB122</f>
        <v>79625.4722608333</v>
      </c>
      <c r="J122" s="15" t="n">
        <f aca="false">Motore_Operativo!CD122</f>
        <v>36332.8610725</v>
      </c>
      <c r="K122" s="15" t="n">
        <f aca="false">Motore_Operativo!CF122</f>
        <v>666.666666666667</v>
      </c>
      <c r="L122" s="15" t="n">
        <f aca="false">SUM(INDEX($K$65:$K$124,MAX(1,58-Parametri_v3!$C$59+1)):K122)/Parametri_v3!$C$59</f>
        <v>569.444444444445</v>
      </c>
      <c r="M122" s="15" t="n">
        <f aca="false">J122-L122</f>
        <v>35763.4166280556</v>
      </c>
      <c r="N122" s="15" t="n">
        <f aca="false">0</f>
        <v>0</v>
      </c>
      <c r="O122" s="15" t="n">
        <f aca="false">0</f>
        <v>0</v>
      </c>
      <c r="P122" s="15" t="n">
        <f aca="false">M122+N122-O122</f>
        <v>35763.4166280556</v>
      </c>
      <c r="Q122" s="15" t="n">
        <f aca="false">SUM(P113:P122)+Parametri_v3!$C$56*10/12</f>
        <v>357946.666280556</v>
      </c>
      <c r="R122" s="15" t="n">
        <f aca="false">Z112</f>
        <v>0</v>
      </c>
      <c r="S122" s="15" t="n">
        <f aca="false">AA112</f>
        <v>0</v>
      </c>
      <c r="T122" s="15" t="n">
        <f aca="false">MIN(R122,MAX(0,Q122))</f>
        <v>0</v>
      </c>
      <c r="U122" s="15" t="n">
        <f aca="false">MIN(S122,MAX(0,Q122-T122)*Parametri_v3!$C$42)</f>
        <v>0</v>
      </c>
      <c r="V122" s="15" t="n">
        <f aca="false">MAX(0,Q122-T122-U122)*Ipotesi!$C$92</f>
        <v>85907.1999073333</v>
      </c>
      <c r="W122" s="15" t="n">
        <f aca="false">MAX(0,SUM(M113:M122)+Parametri_v3!$C$57*10/12)*Ipotesi!$C$93</f>
        <v>13959.9199849417</v>
      </c>
      <c r="X122" s="15" t="n">
        <f aca="false">V122+W122-(V121+W121)</f>
        <v>9977.99323922752</v>
      </c>
      <c r="Y122" s="15" t="n">
        <f aca="false">P122-X122</f>
        <v>25785.423388828</v>
      </c>
      <c r="Z122" s="15" t="n">
        <f aca="false">R122-T122+IF(AND(Parametri_v3!$C$40=1,D122-YEAR(Parametri_v3!$C$50)&lt;Parametri_v3!$C$41),MAX(0,-Q122),0)</f>
        <v>0</v>
      </c>
      <c r="AA122" s="15" t="n">
        <f aca="false">S122-U122+IF(AND(Parametri_v3!$C$40=1,D122-YEAR(Parametri_v3!$C$50)&lt;Parametri_v3!$C$41),0,MAX(0,-Q122))</f>
        <v>0</v>
      </c>
      <c r="AB122" s="15" t="n">
        <f aca="false">F122*(1+Parametri_v3!$C$26)</f>
        <v>141469.166666667</v>
      </c>
      <c r="AC122" s="15" t="n">
        <f aca="false">(IF(58-(INT((Motore_Operativo!L122)/30))&lt;1,0,INDEX(Motore_Advisory!$AB$65:$AB$124,MAX(1,58-(INT((Motore_Operativo!L122)/30)))))*(1-(MOD((Motore_Operativo!L122),30)/30))+IF(58-(INT((Motore_Operativo!L122)/30))-1&lt;1,0,INDEX(Motore_Advisory!$AB$65:$AB$124,MAX(1,58-(INT((Motore_Operativo!L122)/30))-1)))*(MOD((Motore_Operativo!L122),30)/30))</f>
        <v>141469.166666667</v>
      </c>
      <c r="AD122" s="15" t="n">
        <f aca="false">(AD121)+AB122-AC122</f>
        <v>424407.5</v>
      </c>
      <c r="AE122" s="15" t="n">
        <f aca="false">Motore_Operativo!BH122*(1+Parametri_v3!$C$26)</f>
        <v>14146.9166666667</v>
      </c>
      <c r="AF122" s="15" t="n">
        <f aca="false">(IF(58-(INT((Parametri_v3!$C$29)/30))&lt;1,0,INDEX(Motore_Operativo!$BH$65:$BH$124,MAX(1,58-(INT((Parametri_v3!$C$29)/30)))))*(1-(MOD((Parametri_v3!$C$29),30)/30))+IF(58-(INT((Parametri_v3!$C$29)/30))-1&lt;1,0,INDEX(Motore_Operativo!$BH$65:$BH$124,MAX(1,58-(INT((Parametri_v3!$C$29)/30))-1)))*(MOD((Parametri_v3!$C$29),30)/30))*(1+Parametri_v3!$C$26)</f>
        <v>14146.9166666667</v>
      </c>
      <c r="AG122" s="15" t="n">
        <f aca="false">(AG121)+AE122-AF122</f>
        <v>14146.9166666667</v>
      </c>
      <c r="AH122" s="15" t="n">
        <f aca="false">(Motore_Operativo!CK122)*(1+Parametri_v3!$C$28*Parametri_v3!$C$26)</f>
        <v>27831.02</v>
      </c>
      <c r="AI122" s="15" t="n">
        <f aca="false">(IF(58-(INT((Ipotesi!$C$91)/30))&lt;1,0,INDEX(Motore_Advisory!$AH$65:$AH$124,MAX(1,58-(INT((Ipotesi!$C$91)/30)))))*(1-(MOD((Ipotesi!$C$91),30)/30))+IF(58-(INT((Ipotesi!$C$91)/30))-1&lt;1,0,INDEX(Motore_Advisory!$AH$65:$AH$124,MAX(1,58-(INT((Ipotesi!$C$91)/30))-1)))*(MOD((Ipotesi!$C$91),30)/30))</f>
        <v>27831.02</v>
      </c>
      <c r="AJ122" s="15" t="n">
        <f aca="false">(AJ121)+AH122-AI122</f>
        <v>55662.04</v>
      </c>
      <c r="AK122" s="15" t="n">
        <f aca="false">(F122- Motore_Operativo!BH122-(Motore_Operativo!CK122)*Parametri_v3!$C$28-Motore_Operativo!CF122)*Parametri_v3!$C$26</f>
        <v>18647.8966666667</v>
      </c>
      <c r="AL122" s="15" t="n">
        <f aca="false">MAX(0,(AM121))</f>
        <v>18647.8966666667</v>
      </c>
      <c r="AM122" s="15" t="n">
        <f aca="false">(AM121)+AK122-AL122</f>
        <v>18647.8966666667</v>
      </c>
      <c r="AN122" s="15" t="n">
        <f aca="false">SUM(X101:X112)</f>
        <v>91149.8045405</v>
      </c>
      <c r="AO122" s="15" t="n">
        <f aca="false">SUM(AP101:AP112)</f>
        <v>46679.99375</v>
      </c>
      <c r="AP122" s="15" t="n">
        <f aca="false">MAX(0,AN122)*IF(10=Parametri_v3!$C$43,Parametri_v3!$C$45,IF(10=Parametri_v3!$C$44,1-Parametri_v3!$C$45,0))</f>
        <v>0</v>
      </c>
      <c r="AQ122" s="15" t="n">
        <f aca="false">MAX(0,AP122+IF(10=Parametri_v3!$C$43,MAX(0,AN122-AO122),0)-MAX(0,-(AR121)))</f>
        <v>0</v>
      </c>
      <c r="AR122" s="15" t="n">
        <f aca="false">(AR121)+X122-AQ122</f>
        <v>63407.198076075</v>
      </c>
      <c r="AS122" s="15" t="n">
        <f aca="false">Motore_Operativo!AC122-AT122+AU122</f>
        <v>42145.6153144583</v>
      </c>
      <c r="AT122" s="15" t="n">
        <f aca="false">Motore_Operativo!CI122</f>
        <v>2218.19027970833</v>
      </c>
      <c r="AU122" s="15" t="n">
        <f aca="false">MIN(MAX(0,(AV121)+AT122),Parametri_v3!$C$61/12)</f>
        <v>0</v>
      </c>
      <c r="AV122" s="15" t="n">
        <f aca="false">(AV121)+AT122-AU122</f>
        <v>70458.7443220833</v>
      </c>
      <c r="AW122" s="15" t="n">
        <f aca="false">IF(AND(Motore_Operativo!C122=Finanziamenti!$D$7,Finanziamenti!$F$7=1),Finanziamenti!$C$7,0)</f>
        <v>0</v>
      </c>
      <c r="AX122" s="15" t="n">
        <f aca="false">0</f>
        <v>0</v>
      </c>
      <c r="AY122" s="15" t="n">
        <f aca="false">IF(10=Parametri_v3!$C$33,IF(BV122&lt;MIN(12,$B122-1),0,MIN(MAX(0,SUM(Y101:Y112))*Ipotesi!$C$94,MAX(0,(BM112)-(BO121)-BP122),MAX(0,BD122-Parametri_v3!$C$31))),0)</f>
        <v>0</v>
      </c>
      <c r="AZ122" s="15" t="n">
        <f aca="false">0</f>
        <v>0</v>
      </c>
      <c r="BA122" s="15" t="n">
        <f aca="false">0</f>
        <v>0</v>
      </c>
      <c r="BB122" s="15" t="n">
        <f aca="false">0</f>
        <v>0</v>
      </c>
      <c r="BC122" s="15" t="n">
        <f aca="false">0</f>
        <v>0</v>
      </c>
      <c r="BD122" s="15" t="n">
        <f aca="false">(BH121)+AC122-AF122-AI122-AS122-K122*(1+Parametri_v3!$C$26)-AL122-AQ122-O122+AW122+AX122+AZ122+BA122-BB122</f>
        <v>320817.908921294</v>
      </c>
      <c r="BE122" s="15" t="n">
        <f aca="false">0</f>
        <v>0</v>
      </c>
      <c r="BF122" s="15" t="n">
        <f aca="false">0</f>
        <v>0</v>
      </c>
      <c r="BG122" s="15" t="n">
        <f aca="false">0</f>
        <v>0</v>
      </c>
      <c r="BH122" s="15" t="n">
        <f aca="false">BD122+BE122-BF122-AY122</f>
        <v>320817.908921294</v>
      </c>
      <c r="BI122" s="15" t="n">
        <f aca="false">MAX(0,Parametri_v3!$C$31-BH122)</f>
        <v>0</v>
      </c>
      <c r="BJ122" s="15" t="n">
        <f aca="false">(BJ121)+K122</f>
        <v>27666.6666666667</v>
      </c>
      <c r="BK122" s="15" t="n">
        <f aca="false">(BK121)+L122</f>
        <v>16631.9444444444</v>
      </c>
      <c r="BL122" s="15" t="n">
        <f aca="false">BJ122-BK122</f>
        <v>11034.7222222222</v>
      </c>
      <c r="BM122" s="15" t="n">
        <f aca="false">(BM121)+Y122</f>
        <v>692029.243238996</v>
      </c>
      <c r="BN122" s="15" t="n">
        <f aca="false">(BN121)+AW122+AX122+AZ122</f>
        <v>20000</v>
      </c>
      <c r="BO122" s="15" t="n">
        <f aca="false">(BO121)+AY122</f>
        <v>178091.907826972</v>
      </c>
      <c r="BP122" s="15" t="n">
        <f aca="false">MIN(Parametri_v3!$C$36*Parametri_v3!$C$35,(BP121)+IF(10=1,MAX(0,SUM(Y101:Y112))*Parametri_v3!$C$34,0))</f>
        <v>2000</v>
      </c>
      <c r="BQ122" s="15" t="n">
        <f aca="false">BN122+BM122-BO122</f>
        <v>533937.335412024</v>
      </c>
      <c r="BR122" s="15" t="n">
        <f aca="false">BH122+AD122+BL122+MAX(0,-AM122)+MAX(0,-AR122)</f>
        <v>756260.131143516</v>
      </c>
      <c r="BS122" s="15" t="n">
        <f aca="false">AJ122+AV122+MAX(0,AM122)+MAX(0,AR122)+BC122+BG122+BQ122+AG122</f>
        <v>756260.131143516</v>
      </c>
      <c r="BT122" s="15" t="n">
        <f aca="false">BR122-BS122</f>
        <v>0</v>
      </c>
      <c r="BU122" s="15" t="n">
        <f aca="false">BH122-(BD122+BE122-BF122-AY122)</f>
        <v>0</v>
      </c>
      <c r="BV122" s="15" t="n">
        <f aca="false">IF(BH121&lt;Parametri_v3!$C$31,0,BV121+1)</f>
        <v>29</v>
      </c>
    </row>
    <row r="123" customFormat="false" ht="18" hidden="false" customHeight="true" outlineLevel="0" collapsed="false">
      <c r="A123" s="68" t="n">
        <f aca="false">2</f>
        <v>2</v>
      </c>
      <c r="B123" s="68" t="n">
        <f aca="false">59</f>
        <v>59</v>
      </c>
      <c r="C123" s="18" t="n">
        <f aca="false">Motore_Operativo!C123</f>
        <v>48153</v>
      </c>
      <c r="D123" s="68" t="n">
        <f aca="false">Motore_Operativo!D123</f>
        <v>2031</v>
      </c>
      <c r="E123" s="68" t="n">
        <f aca="false">Motore_Operativo!E123</f>
        <v>11</v>
      </c>
      <c r="F123" s="15" t="n">
        <f aca="false">Motore_Operativo!AM123</f>
        <v>115958.333333333</v>
      </c>
      <c r="G123" s="15" t="n">
        <f aca="false">Motore_Operativo!BH123</f>
        <v>11595.8333333333</v>
      </c>
      <c r="H123" s="15" t="n">
        <f aca="false">Motore_Operativo!AM123</f>
        <v>115958.333333333</v>
      </c>
      <c r="I123" s="15" t="n">
        <f aca="false">Motore_Operativo!CB123</f>
        <v>79625.4722608333</v>
      </c>
      <c r="J123" s="15" t="n">
        <f aca="false">Motore_Operativo!CD123</f>
        <v>36332.8610725</v>
      </c>
      <c r="K123" s="15" t="n">
        <f aca="false">Motore_Operativo!CF123</f>
        <v>666.666666666667</v>
      </c>
      <c r="L123" s="15" t="n">
        <f aca="false">SUM(INDEX($K$65:$K$124,MAX(1,59-Parametri_v3!$C$59+1)):K123)/Parametri_v3!$C$59</f>
        <v>576.388888888889</v>
      </c>
      <c r="M123" s="15" t="n">
        <f aca="false">J123-L123</f>
        <v>35756.4721836111</v>
      </c>
      <c r="N123" s="15" t="n">
        <f aca="false">0</f>
        <v>0</v>
      </c>
      <c r="O123" s="15" t="n">
        <f aca="false">0</f>
        <v>0</v>
      </c>
      <c r="P123" s="15" t="n">
        <f aca="false">M123+N123-O123</f>
        <v>35756.4721836111</v>
      </c>
      <c r="Q123" s="15" t="n">
        <f aca="false">SUM(P113:P123)+Parametri_v3!$C$56*11/12</f>
        <v>393703.138464167</v>
      </c>
      <c r="R123" s="15" t="n">
        <f aca="false">Z112</f>
        <v>0</v>
      </c>
      <c r="S123" s="15" t="n">
        <f aca="false">AA112</f>
        <v>0</v>
      </c>
      <c r="T123" s="15" t="n">
        <f aca="false">MIN(R123,MAX(0,Q123))</f>
        <v>0</v>
      </c>
      <c r="U123" s="15" t="n">
        <f aca="false">MIN(S123,MAX(0,Q123-T123)*Parametri_v3!$C$42)</f>
        <v>0</v>
      </c>
      <c r="V123" s="15" t="n">
        <f aca="false">MAX(0,Q123-T123-U123)*Ipotesi!$C$92</f>
        <v>94488.7532314</v>
      </c>
      <c r="W123" s="15" t="n">
        <f aca="false">MAX(0,SUM(M113:M123)+Parametri_v3!$C$57*11/12)*Ipotesi!$C$93</f>
        <v>15354.4224001025</v>
      </c>
      <c r="X123" s="15" t="n">
        <f aca="false">V123+W123-(V122+W122)</f>
        <v>9976.05573922749</v>
      </c>
      <c r="Y123" s="15" t="n">
        <f aca="false">P123-X123</f>
        <v>25780.4164443836</v>
      </c>
      <c r="Z123" s="15" t="n">
        <f aca="false">R123-T123+IF(AND(Parametri_v3!$C$40=1,D123-YEAR(Parametri_v3!$C$50)&lt;Parametri_v3!$C$41),MAX(0,-Q123),0)</f>
        <v>0</v>
      </c>
      <c r="AA123" s="15" t="n">
        <f aca="false">S123-U123+IF(AND(Parametri_v3!$C$40=1,D123-YEAR(Parametri_v3!$C$50)&lt;Parametri_v3!$C$41),0,MAX(0,-Q123))</f>
        <v>0</v>
      </c>
      <c r="AB123" s="15" t="n">
        <f aca="false">F123*(1+Parametri_v3!$C$26)</f>
        <v>141469.166666667</v>
      </c>
      <c r="AC123" s="15" t="n">
        <f aca="false">(IF(59-(INT((Motore_Operativo!L123)/30))&lt;1,0,INDEX(Motore_Advisory!$AB$65:$AB$124,MAX(1,59-(INT((Motore_Operativo!L123)/30)))))*(1-(MOD((Motore_Operativo!L123),30)/30))+IF(59-(INT((Motore_Operativo!L123)/30))-1&lt;1,0,INDEX(Motore_Advisory!$AB$65:$AB$124,MAX(1,59-(INT((Motore_Operativo!L123)/30))-1)))*(MOD((Motore_Operativo!L123),30)/30))</f>
        <v>141469.166666667</v>
      </c>
      <c r="AD123" s="15" t="n">
        <f aca="false">(AD122)+AB123-AC123</f>
        <v>424407.5</v>
      </c>
      <c r="AE123" s="15" t="n">
        <f aca="false">Motore_Operativo!BH123*(1+Parametri_v3!$C$26)</f>
        <v>14146.9166666667</v>
      </c>
      <c r="AF123" s="15" t="n">
        <f aca="false">(IF(59-(INT((Parametri_v3!$C$29)/30))&lt;1,0,INDEX(Motore_Operativo!$BH$65:$BH$124,MAX(1,59-(INT((Parametri_v3!$C$29)/30)))))*(1-(MOD((Parametri_v3!$C$29),30)/30))+IF(59-(INT((Parametri_v3!$C$29)/30))-1&lt;1,0,INDEX(Motore_Operativo!$BH$65:$BH$124,MAX(1,59-(INT((Parametri_v3!$C$29)/30))-1)))*(MOD((Parametri_v3!$C$29),30)/30))*(1+Parametri_v3!$C$26)</f>
        <v>14146.9166666667</v>
      </c>
      <c r="AG123" s="15" t="n">
        <f aca="false">(AG122)+AE123-AF123</f>
        <v>14146.9166666667</v>
      </c>
      <c r="AH123" s="15" t="n">
        <f aca="false">(Motore_Operativo!CK123)*(1+Parametri_v3!$C$28*Parametri_v3!$C$26)</f>
        <v>27831.02</v>
      </c>
      <c r="AI123" s="15" t="n">
        <f aca="false">(IF(59-(INT((Ipotesi!$C$91)/30))&lt;1,0,INDEX(Motore_Advisory!$AH$65:$AH$124,MAX(1,59-(INT((Ipotesi!$C$91)/30)))))*(1-(MOD((Ipotesi!$C$91),30)/30))+IF(59-(INT((Ipotesi!$C$91)/30))-1&lt;1,0,INDEX(Motore_Advisory!$AH$65:$AH$124,MAX(1,59-(INT((Ipotesi!$C$91)/30))-1)))*(MOD((Ipotesi!$C$91),30)/30))</f>
        <v>27831.02</v>
      </c>
      <c r="AJ123" s="15" t="n">
        <f aca="false">(AJ122)+AH123-AI123</f>
        <v>55662.04</v>
      </c>
      <c r="AK123" s="15" t="n">
        <f aca="false">(F123- Motore_Operativo!BH123-(Motore_Operativo!CK123)*Parametri_v3!$C$28-Motore_Operativo!CF123)*Parametri_v3!$C$26</f>
        <v>18647.8966666667</v>
      </c>
      <c r="AL123" s="15" t="n">
        <f aca="false">MAX(0,(AM122))</f>
        <v>18647.8966666667</v>
      </c>
      <c r="AM123" s="15" t="n">
        <f aca="false">(AM122)+AK123-AL123</f>
        <v>18647.8966666667</v>
      </c>
      <c r="AN123" s="15" t="n">
        <f aca="false">SUM(X101:X112)</f>
        <v>91149.8045405</v>
      </c>
      <c r="AO123" s="15" t="n">
        <f aca="false">SUM(AP101:AP112)</f>
        <v>46679.99375</v>
      </c>
      <c r="AP123" s="15" t="n">
        <f aca="false">MAX(0,AN123)*IF(11=Parametri_v3!$C$43,Parametri_v3!$C$45,IF(11=Parametri_v3!$C$44,1-Parametri_v3!$C$45,0))</f>
        <v>54689.8827243</v>
      </c>
      <c r="AQ123" s="15" t="n">
        <f aca="false">MAX(0,AP123+IF(11=Parametri_v3!$C$43,MAX(0,AN123-AO123),0)-MAX(0,-(AR122)))</f>
        <v>54689.8827243</v>
      </c>
      <c r="AR123" s="15" t="n">
        <f aca="false">(AR122)+X123-AQ123</f>
        <v>18693.3710910025</v>
      </c>
      <c r="AS123" s="15" t="n">
        <f aca="false">Motore_Operativo!AC123-AT123+AU123</f>
        <v>42145.6153144583</v>
      </c>
      <c r="AT123" s="15" t="n">
        <f aca="false">Motore_Operativo!CI123</f>
        <v>2218.19027970833</v>
      </c>
      <c r="AU123" s="15" t="n">
        <f aca="false">MIN(MAX(0,(AV122)+AT123),Parametri_v3!$C$61/12)</f>
        <v>0</v>
      </c>
      <c r="AV123" s="15" t="n">
        <f aca="false">(AV122)+AT123-AU123</f>
        <v>72676.9346017917</v>
      </c>
      <c r="AW123" s="15" t="n">
        <f aca="false">IF(AND(Motore_Operativo!C123=Finanziamenti!$D$7,Finanziamenti!$F$7=1),Finanziamenti!$C$7,0)</f>
        <v>0</v>
      </c>
      <c r="AX123" s="15" t="n">
        <f aca="false">0</f>
        <v>0</v>
      </c>
      <c r="AY123" s="15" t="n">
        <f aca="false">IF(11=Parametri_v3!$C$33,IF(BV123&lt;MIN(12,$B123-1),0,MIN(MAX(0,SUM(Y101:Y112))*Ipotesi!$C$94,MAX(0,(BM112)-(BO122)-BP123),MAX(0,BD123-Parametri_v3!$C$31))),0)</f>
        <v>0</v>
      </c>
      <c r="AZ123" s="15" t="n">
        <f aca="false">0</f>
        <v>0</v>
      </c>
      <c r="BA123" s="15" t="n">
        <f aca="false">0</f>
        <v>0</v>
      </c>
      <c r="BB123" s="15" t="n">
        <f aca="false">0</f>
        <v>0</v>
      </c>
      <c r="BC123" s="15" t="n">
        <f aca="false">0</f>
        <v>0</v>
      </c>
      <c r="BD123" s="15" t="n">
        <f aca="false">(BH122)+AC123-AF123-AI123-AS123-K123*(1+Parametri_v3!$C$26)-AL123-AQ123-O123+AW123+AX123+AZ123+BA123-BB123</f>
        <v>304012.410882535</v>
      </c>
      <c r="BE123" s="15" t="n">
        <f aca="false">0</f>
        <v>0</v>
      </c>
      <c r="BF123" s="15" t="n">
        <f aca="false">0</f>
        <v>0</v>
      </c>
      <c r="BG123" s="15" t="n">
        <f aca="false">0</f>
        <v>0</v>
      </c>
      <c r="BH123" s="15" t="n">
        <f aca="false">BD123+BE123-BF123-AY123</f>
        <v>304012.410882535</v>
      </c>
      <c r="BI123" s="15" t="n">
        <f aca="false">MAX(0,Parametri_v3!$C$31-BH123)</f>
        <v>0</v>
      </c>
      <c r="BJ123" s="15" t="n">
        <f aca="false">(BJ122)+K123</f>
        <v>28333.3333333333</v>
      </c>
      <c r="BK123" s="15" t="n">
        <f aca="false">(BK122)+L123</f>
        <v>17208.3333333333</v>
      </c>
      <c r="BL123" s="15" t="n">
        <f aca="false">BJ123-BK123</f>
        <v>11125</v>
      </c>
      <c r="BM123" s="15" t="n">
        <f aca="false">(BM122)+Y123</f>
        <v>717809.65968338</v>
      </c>
      <c r="BN123" s="15" t="n">
        <f aca="false">(BN122)+AW123+AX123+AZ123</f>
        <v>20000</v>
      </c>
      <c r="BO123" s="15" t="n">
        <f aca="false">(BO122)+AY123</f>
        <v>178091.907826972</v>
      </c>
      <c r="BP123" s="15" t="n">
        <f aca="false">MIN(Parametri_v3!$C$36*Parametri_v3!$C$35,(BP122)+IF(11=1,MAX(0,SUM(Y101:Y112))*Parametri_v3!$C$34,0))</f>
        <v>2000</v>
      </c>
      <c r="BQ123" s="15" t="n">
        <f aca="false">BN123+BM123-BO123</f>
        <v>559717.751856408</v>
      </c>
      <c r="BR123" s="15" t="n">
        <f aca="false">BH123+AD123+BL123+MAX(0,-AM123)+MAX(0,-AR123)</f>
        <v>739544.910882535</v>
      </c>
      <c r="BS123" s="15" t="n">
        <f aca="false">AJ123+AV123+MAX(0,AM123)+MAX(0,AR123)+BC123+BG123+BQ123+AG123</f>
        <v>739544.910882535</v>
      </c>
      <c r="BT123" s="15" t="n">
        <f aca="false">BR123-BS123</f>
        <v>0</v>
      </c>
      <c r="BU123" s="15" t="n">
        <f aca="false">BH123-(BD123+BE123-BF123-AY123)</f>
        <v>0</v>
      </c>
      <c r="BV123" s="15" t="n">
        <f aca="false">IF(BH122&lt;Parametri_v3!$C$31,0,BV122+1)</f>
        <v>30</v>
      </c>
    </row>
    <row r="124" customFormat="false" ht="18" hidden="false" customHeight="true" outlineLevel="0" collapsed="false">
      <c r="A124" s="68" t="n">
        <f aca="false">2</f>
        <v>2</v>
      </c>
      <c r="B124" s="68" t="n">
        <f aca="false">60</f>
        <v>60</v>
      </c>
      <c r="C124" s="18" t="n">
        <f aca="false">Motore_Operativo!C124</f>
        <v>48183</v>
      </c>
      <c r="D124" s="68" t="n">
        <f aca="false">Motore_Operativo!D124</f>
        <v>2031</v>
      </c>
      <c r="E124" s="68" t="n">
        <f aca="false">Motore_Operativo!E124</f>
        <v>12</v>
      </c>
      <c r="F124" s="15" t="n">
        <f aca="false">Motore_Operativo!AM124</f>
        <v>115958.333333333</v>
      </c>
      <c r="G124" s="15" t="n">
        <f aca="false">Motore_Operativo!BH124</f>
        <v>11595.8333333333</v>
      </c>
      <c r="H124" s="15" t="n">
        <f aca="false">Motore_Operativo!AM124</f>
        <v>115958.333333333</v>
      </c>
      <c r="I124" s="15" t="n">
        <f aca="false">Motore_Operativo!CB124</f>
        <v>79625.4722608333</v>
      </c>
      <c r="J124" s="15" t="n">
        <f aca="false">Motore_Operativo!CD124</f>
        <v>36332.8610725</v>
      </c>
      <c r="K124" s="15" t="n">
        <f aca="false">Motore_Operativo!CF124</f>
        <v>666.666666666667</v>
      </c>
      <c r="L124" s="15" t="n">
        <f aca="false">SUM(INDEX($K$65:$K$124,MAX(1,60-Parametri_v3!$C$59+1)):K124)/Parametri_v3!$C$59</f>
        <v>583.333333333333</v>
      </c>
      <c r="M124" s="15" t="n">
        <f aca="false">J124-L124</f>
        <v>35749.5277391667</v>
      </c>
      <c r="N124" s="15" t="n">
        <f aca="false">0</f>
        <v>0</v>
      </c>
      <c r="O124" s="15" t="n">
        <f aca="false">0</f>
        <v>0</v>
      </c>
      <c r="P124" s="15" t="n">
        <f aca="false">M124+N124-O124</f>
        <v>35749.5277391667</v>
      </c>
      <c r="Q124" s="15" t="n">
        <f aca="false">SUM(P113:P124)+Parametri_v3!$C$56*12/12</f>
        <v>429452.666203333</v>
      </c>
      <c r="R124" s="15" t="n">
        <f aca="false">Z112</f>
        <v>0</v>
      </c>
      <c r="S124" s="15" t="n">
        <f aca="false">AA112</f>
        <v>0</v>
      </c>
      <c r="T124" s="15" t="n">
        <f aca="false">MIN(R124,MAX(0,Q124))</f>
        <v>0</v>
      </c>
      <c r="U124" s="15" t="n">
        <f aca="false">MIN(S124,MAX(0,Q124-T124)*Parametri_v3!$C$42)</f>
        <v>0</v>
      </c>
      <c r="V124" s="15" t="n">
        <f aca="false">MAX(0,Q124-T124-U124)*Ipotesi!$C$92</f>
        <v>103068.6398888</v>
      </c>
      <c r="W124" s="15" t="n">
        <f aca="false">MAX(0,SUM(M113:M124)+Parametri_v3!$C$57*12/12)*Ipotesi!$C$93</f>
        <v>16748.65398193</v>
      </c>
      <c r="X124" s="15" t="n">
        <f aca="false">V124+W124-(V123+W123)</f>
        <v>9974.11823922749</v>
      </c>
      <c r="Y124" s="15" t="n">
        <f aca="false">P124-X124</f>
        <v>25775.4094999392</v>
      </c>
      <c r="Z124" s="15" t="n">
        <f aca="false">R124-T124+IF(AND(Parametri_v3!$C$40=1,D124-YEAR(Parametri_v3!$C$50)&lt;Parametri_v3!$C$41),MAX(0,-Q124),0)</f>
        <v>0</v>
      </c>
      <c r="AA124" s="15" t="n">
        <f aca="false">S124-U124+IF(AND(Parametri_v3!$C$40=1,D124-YEAR(Parametri_v3!$C$50)&lt;Parametri_v3!$C$41),0,MAX(0,-Q124))</f>
        <v>0</v>
      </c>
      <c r="AB124" s="15" t="n">
        <f aca="false">F124*(1+Parametri_v3!$C$26)</f>
        <v>141469.166666667</v>
      </c>
      <c r="AC124" s="15" t="n">
        <f aca="false">(IF(60-(INT((Motore_Operativo!L124)/30))&lt;1,0,INDEX(Motore_Advisory!$AB$65:$AB$124,MAX(1,60-(INT((Motore_Operativo!L124)/30)))))*(1-(MOD((Motore_Operativo!L124),30)/30))+IF(60-(INT((Motore_Operativo!L124)/30))-1&lt;1,0,INDEX(Motore_Advisory!$AB$65:$AB$124,MAX(1,60-(INT((Motore_Operativo!L124)/30))-1)))*(MOD((Motore_Operativo!L124),30)/30))</f>
        <v>141469.166666667</v>
      </c>
      <c r="AD124" s="15" t="n">
        <f aca="false">(AD123)+AB124-AC124</f>
        <v>424407.5</v>
      </c>
      <c r="AE124" s="15" t="n">
        <f aca="false">Motore_Operativo!BH124*(1+Parametri_v3!$C$26)</f>
        <v>14146.9166666667</v>
      </c>
      <c r="AF124" s="15" t="n">
        <f aca="false">(IF(60-(INT((Parametri_v3!$C$29)/30))&lt;1,0,INDEX(Motore_Operativo!$BH$65:$BH$124,MAX(1,60-(INT((Parametri_v3!$C$29)/30)))))*(1-(MOD((Parametri_v3!$C$29),30)/30))+IF(60-(INT((Parametri_v3!$C$29)/30))-1&lt;1,0,INDEX(Motore_Operativo!$BH$65:$BH$124,MAX(1,60-(INT((Parametri_v3!$C$29)/30))-1)))*(MOD((Parametri_v3!$C$29),30)/30))*(1+Parametri_v3!$C$26)</f>
        <v>14146.9166666667</v>
      </c>
      <c r="AG124" s="15" t="n">
        <f aca="false">(AG123)+AE124-AF124</f>
        <v>14146.9166666667</v>
      </c>
      <c r="AH124" s="15" t="n">
        <f aca="false">(Motore_Operativo!CK124)*(1+Parametri_v3!$C$28*Parametri_v3!$C$26)</f>
        <v>27831.02</v>
      </c>
      <c r="AI124" s="15" t="n">
        <f aca="false">(IF(60-(INT((Ipotesi!$C$91)/30))&lt;1,0,INDEX(Motore_Advisory!$AH$65:$AH$124,MAX(1,60-(INT((Ipotesi!$C$91)/30)))))*(1-(MOD((Ipotesi!$C$91),30)/30))+IF(60-(INT((Ipotesi!$C$91)/30))-1&lt;1,0,INDEX(Motore_Advisory!$AH$65:$AH$124,MAX(1,60-(INT((Ipotesi!$C$91)/30))-1)))*(MOD((Ipotesi!$C$91),30)/30))</f>
        <v>27831.02</v>
      </c>
      <c r="AJ124" s="15" t="n">
        <f aca="false">(AJ123)+AH124-AI124</f>
        <v>55662.04</v>
      </c>
      <c r="AK124" s="15" t="n">
        <f aca="false">(F124- Motore_Operativo!BH124-(Motore_Operativo!CK124)*Parametri_v3!$C$28-Motore_Operativo!CF124)*Parametri_v3!$C$26</f>
        <v>18647.8966666667</v>
      </c>
      <c r="AL124" s="15" t="n">
        <f aca="false">MAX(0,(AM123))</f>
        <v>18647.8966666667</v>
      </c>
      <c r="AM124" s="15" t="n">
        <f aca="false">(AM123)+AK124-AL124</f>
        <v>18647.8966666667</v>
      </c>
      <c r="AN124" s="15" t="n">
        <f aca="false">SUM(X101:X112)</f>
        <v>91149.8045405</v>
      </c>
      <c r="AO124" s="15" t="n">
        <f aca="false">SUM(AP101:AP112)</f>
        <v>46679.99375</v>
      </c>
      <c r="AP124" s="15" t="n">
        <f aca="false">MAX(0,AN124)*IF(12=Parametri_v3!$C$43,Parametri_v3!$C$45,IF(12=Parametri_v3!$C$44,1-Parametri_v3!$C$45,0))</f>
        <v>0</v>
      </c>
      <c r="AQ124" s="15" t="n">
        <f aca="false">MAX(0,AP124+IF(12=Parametri_v3!$C$43,MAX(0,AN124-AO124),0)-MAX(0,-(AR123)))</f>
        <v>0</v>
      </c>
      <c r="AR124" s="15" t="n">
        <f aca="false">(AR123)+X124-AQ124</f>
        <v>28667.48933023</v>
      </c>
      <c r="AS124" s="15" t="n">
        <f aca="false">Motore_Operativo!AC124-AT124+AU124</f>
        <v>42145.6153144583</v>
      </c>
      <c r="AT124" s="15" t="n">
        <f aca="false">Motore_Operativo!CI124</f>
        <v>2218.19027970833</v>
      </c>
      <c r="AU124" s="15" t="n">
        <f aca="false">MIN(MAX(0,(AV123)+AT124),Parametri_v3!$C$61/12)</f>
        <v>0</v>
      </c>
      <c r="AV124" s="15" t="n">
        <f aca="false">(AV123)+AT124-AU124</f>
        <v>74895.1248815</v>
      </c>
      <c r="AW124" s="15" t="n">
        <f aca="false">IF(AND(Motore_Operativo!C124=Finanziamenti!$D$7,Finanziamenti!$F$7=1),Finanziamenti!$C$7,0)</f>
        <v>0</v>
      </c>
      <c r="AX124" s="15" t="n">
        <f aca="false">0</f>
        <v>0</v>
      </c>
      <c r="AY124" s="15" t="n">
        <f aca="false">IF(12=Parametri_v3!$C$33,IF(BV124&lt;MIN(12,$B124-1),0,MIN(MAX(0,SUM(Y101:Y112))*Ipotesi!$C$94,MAX(0,(BM112)-(BO123)-BP124),MAX(0,BD124-Parametri_v3!$C$31))),0)</f>
        <v>0</v>
      </c>
      <c r="AZ124" s="15" t="n">
        <f aca="false">0</f>
        <v>0</v>
      </c>
      <c r="BA124" s="15" t="n">
        <f aca="false">0</f>
        <v>0</v>
      </c>
      <c r="BB124" s="15" t="n">
        <f aca="false">0</f>
        <v>0</v>
      </c>
      <c r="BC124" s="15" t="n">
        <f aca="false">0</f>
        <v>0</v>
      </c>
      <c r="BD124" s="15" t="n">
        <f aca="false">(BH123)+AC124-AF124-AI124-AS124-K124*(1+Parametri_v3!$C$26)-AL124-AQ124-O124+AW124+AX124+AZ124+BA124-BB124</f>
        <v>341896.795568077</v>
      </c>
      <c r="BE124" s="15" t="n">
        <f aca="false">0</f>
        <v>0</v>
      </c>
      <c r="BF124" s="15" t="n">
        <f aca="false">0</f>
        <v>0</v>
      </c>
      <c r="BG124" s="15" t="n">
        <f aca="false">0</f>
        <v>0</v>
      </c>
      <c r="BH124" s="15" t="n">
        <f aca="false">BD124+BE124-BF124-AY124</f>
        <v>341896.795568077</v>
      </c>
      <c r="BI124" s="15" t="n">
        <f aca="false">MAX(0,Parametri_v3!$C$31-BH124)</f>
        <v>0</v>
      </c>
      <c r="BJ124" s="15" t="n">
        <f aca="false">(BJ123)+K124</f>
        <v>29000</v>
      </c>
      <c r="BK124" s="15" t="n">
        <f aca="false">(BK123)+L124</f>
        <v>17791.6666666667</v>
      </c>
      <c r="BL124" s="15" t="n">
        <f aca="false">BJ124-BK124</f>
        <v>11208.3333333334</v>
      </c>
      <c r="BM124" s="15" t="n">
        <f aca="false">(BM123)+Y124</f>
        <v>743585.069183319</v>
      </c>
      <c r="BN124" s="15" t="n">
        <f aca="false">(BN123)+AW124+AX124+AZ124</f>
        <v>20000</v>
      </c>
      <c r="BO124" s="15" t="n">
        <f aca="false">(BO123)+AY124</f>
        <v>178091.907826972</v>
      </c>
      <c r="BP124" s="15" t="n">
        <f aca="false">MIN(Parametri_v3!$C$36*Parametri_v3!$C$35,(BP123)+IF(12=1,MAX(0,SUM(Y101:Y112))*Parametri_v3!$C$34,0))</f>
        <v>2000</v>
      </c>
      <c r="BQ124" s="15" t="n">
        <f aca="false">BN124+BM124-BO124</f>
        <v>585493.161356347</v>
      </c>
      <c r="BR124" s="15" t="n">
        <f aca="false">BH124+AD124+BL124+MAX(0,-AM124)+MAX(0,-AR124)</f>
        <v>777512.628901411</v>
      </c>
      <c r="BS124" s="15" t="n">
        <f aca="false">AJ124+AV124+MAX(0,AM124)+MAX(0,AR124)+BC124+BG124+BQ124+AG124</f>
        <v>777512.62890141</v>
      </c>
      <c r="BT124" s="15" t="n">
        <f aca="false">BR124-BS124</f>
        <v>0</v>
      </c>
      <c r="BU124" s="15" t="n">
        <f aca="false">BH124-(BD124+BE124-BF124-AY124)</f>
        <v>0</v>
      </c>
      <c r="BV124" s="15" t="n">
        <f aca="false">IF(BH123&lt;Parametri_v3!$C$31,0,BV123+1)</f>
        <v>31</v>
      </c>
    </row>
    <row r="125" customFormat="false" ht="18" hidden="false" customHeight="true" outlineLevel="0" collapsed="false">
      <c r="A125" s="68" t="n">
        <f aca="false">3</f>
        <v>3</v>
      </c>
      <c r="B125" s="68" t="n">
        <f aca="false">1</f>
        <v>1</v>
      </c>
      <c r="C125" s="18" t="n">
        <f aca="false">Motore_Operativo!C125</f>
        <v>46388</v>
      </c>
      <c r="D125" s="68" t="n">
        <f aca="false">Motore_Operativo!D125</f>
        <v>2027</v>
      </c>
      <c r="E125" s="68" t="n">
        <f aca="false">Motore_Operativo!E125</f>
        <v>1</v>
      </c>
      <c r="F125" s="15" t="n">
        <f aca="false">Motore_Operativo!AM125</f>
        <v>16210.5263157895</v>
      </c>
      <c r="G125" s="15" t="n">
        <f aca="false">Motore_Operativo!BH125</f>
        <v>1621.05263157895</v>
      </c>
      <c r="H125" s="15" t="n">
        <f aca="false">Motore_Operativo!AM125</f>
        <v>16210.5263157895</v>
      </c>
      <c r="I125" s="15" t="n">
        <f aca="false">Motore_Operativo!CB125</f>
        <v>12114.5175438596</v>
      </c>
      <c r="J125" s="15" t="n">
        <f aca="false">Motore_Operativo!CD125</f>
        <v>4096.00877192982</v>
      </c>
      <c r="K125" s="15" t="n">
        <f aca="false">Motore_Operativo!CF125</f>
        <v>250</v>
      </c>
      <c r="L125" s="15" t="n">
        <f aca="false">SUM(INDEX($K$125:$K$184,MAX(1,1-Parametri_v3!$C$59+1)):K125)/Parametri_v3!$C$59</f>
        <v>6.94444444444445</v>
      </c>
      <c r="M125" s="15" t="n">
        <f aca="false">J125-L125</f>
        <v>4089.06432748538</v>
      </c>
      <c r="N125" s="15" t="n">
        <f aca="false">0</f>
        <v>0</v>
      </c>
      <c r="O125" s="15" t="n">
        <f aca="false">0</f>
        <v>0</v>
      </c>
      <c r="P125" s="15" t="n">
        <f aca="false">M125+N125-O125</f>
        <v>4089.06432748538</v>
      </c>
      <c r="Q125" s="15" t="n">
        <f aca="false">SUM(P125)+Parametri_v3!$C$56*1/12</f>
        <v>4089.06432748538</v>
      </c>
      <c r="R125" s="15" t="n">
        <f aca="false">0</f>
        <v>0</v>
      </c>
      <c r="S125" s="15" t="n">
        <f aca="false">0</f>
        <v>0</v>
      </c>
      <c r="T125" s="15" t="n">
        <f aca="false">MIN(R125,MAX(0,Q125))</f>
        <v>0</v>
      </c>
      <c r="U125" s="15" t="n">
        <f aca="false">MIN(S125,MAX(0,Q125-T125)*Parametri_v3!$C$42)</f>
        <v>0</v>
      </c>
      <c r="V125" s="15" t="n">
        <f aca="false">MAX(0,Q125-T125-U125)*Ipotesi!$C$92</f>
        <v>981.375438596491</v>
      </c>
      <c r="W125" s="15" t="n">
        <f aca="false">MAX(0,SUM(M125)+Parametri_v3!$C$57*1/12)*Ipotesi!$C$93</f>
        <v>159.47350877193</v>
      </c>
      <c r="X125" s="15" t="n">
        <f aca="false">V125+W125-(0)</f>
        <v>1140.84894736842</v>
      </c>
      <c r="Y125" s="15" t="n">
        <f aca="false">P125-X125</f>
        <v>2948.21538011696</v>
      </c>
      <c r="Z125" s="15" t="n">
        <f aca="false">R125-T125+IF(AND(Parametri_v3!$C$40=1,D125-YEAR(Parametri_v3!$C$50)&lt;Parametri_v3!$C$41),MAX(0,-Q125),0)</f>
        <v>0</v>
      </c>
      <c r="AA125" s="15" t="n">
        <f aca="false">S125-U125+IF(AND(Parametri_v3!$C$40=1,D125-YEAR(Parametri_v3!$C$50)&lt;Parametri_v3!$C$41),0,MAX(0,-Q125))</f>
        <v>0</v>
      </c>
      <c r="AB125" s="15" t="n">
        <f aca="false">F125*(1+Parametri_v3!$C$26)</f>
        <v>19776.8421052632</v>
      </c>
      <c r="AC125" s="15" t="n">
        <f aca="false">(IF(1-(INT((Motore_Operativo!L125)/30))&lt;1,0,INDEX(Motore_Advisory!$AB$125:$AB$184,MAX(1,1-(INT((Motore_Operativo!L125)/30)))))*(1-(MOD((Motore_Operativo!L125),30)/30))+IF(1-(INT((Motore_Operativo!L125)/30))-1&lt;1,0,INDEX(Motore_Advisory!$AB$125:$AB$184,MAX(1,1-(INT((Motore_Operativo!L125)/30))-1)))*(MOD((Motore_Operativo!L125),30)/30))</f>
        <v>0</v>
      </c>
      <c r="AD125" s="15" t="n">
        <f aca="false">(0)+AB125-AC125</f>
        <v>19776.8421052632</v>
      </c>
      <c r="AE125" s="15" t="n">
        <f aca="false">Motore_Operativo!BH125*(1+Parametri_v3!$C$26)</f>
        <v>1977.68421052632</v>
      </c>
      <c r="AF125" s="15" t="n">
        <f aca="false">(IF(1-(INT((Parametri_v3!$C$29)/30))&lt;1,0,INDEX(Motore_Operativo!$BH$125:$BH$184,MAX(1,1-(INT((Parametri_v3!$C$29)/30)))))*(1-(MOD((Parametri_v3!$C$29),30)/30))+IF(1-(INT((Parametri_v3!$C$29)/30))-1&lt;1,0,INDEX(Motore_Operativo!$BH$125:$BH$184,MAX(1,1-(INT((Parametri_v3!$C$29)/30))-1)))*(MOD((Parametri_v3!$C$29),30)/30))*(1+Parametri_v3!$C$26)</f>
        <v>0</v>
      </c>
      <c r="AG125" s="15" t="n">
        <f aca="false">(0)+AE125-AF125</f>
        <v>1977.68421052632</v>
      </c>
      <c r="AH125" s="15" t="n">
        <f aca="false">(Motore_Operativo!CK125)*(1+Parametri_v3!$C$28*Parametri_v3!$C$26)</f>
        <v>6166.3147368421</v>
      </c>
      <c r="AI125" s="15" t="n">
        <f aca="false">(IF(1-(INT((Ipotesi!$C$91)/30))&lt;1,0,INDEX(Motore_Advisory!$AH$125:$AH$184,MAX(1,1-(INT((Ipotesi!$C$91)/30)))))*(1-(MOD((Ipotesi!$C$91),30)/30))+IF(1-(INT((Ipotesi!$C$91)/30))-1&lt;1,0,INDEX(Motore_Advisory!$AH$125:$AH$184,MAX(1,1-(INT((Ipotesi!$C$91)/30))-1)))*(MOD((Ipotesi!$C$91),30)/30))</f>
        <v>0</v>
      </c>
      <c r="AJ125" s="15" t="n">
        <f aca="false">(0)+AH125-AI125</f>
        <v>6166.3147368421</v>
      </c>
      <c r="AK125" s="15" t="n">
        <f aca="false">(F125- Motore_Operativo!BH125-(Motore_Operativo!CK125)*Parametri_v3!$C$28-Motore_Operativo!CF125)*Parametri_v3!$C$26</f>
        <v>2231.83438596491</v>
      </c>
      <c r="AL125" s="15" t="n">
        <f aca="false">MAX(0,(0))</f>
        <v>0</v>
      </c>
      <c r="AM125" s="15" t="n">
        <f aca="false">(0)+AK125-AL125</f>
        <v>2231.83438596491</v>
      </c>
      <c r="AN125" s="15" t="n">
        <f aca="false">0</f>
        <v>0</v>
      </c>
      <c r="AO125" s="15" t="n">
        <f aca="false">0</f>
        <v>0</v>
      </c>
      <c r="AP125" s="15" t="n">
        <f aca="false">MAX(0,AN125)*IF(1=Parametri_v3!$C$43,Parametri_v3!$C$45,IF(1=Parametri_v3!$C$44,1-Parametri_v3!$C$45,0))</f>
        <v>0</v>
      </c>
      <c r="AQ125" s="15" t="n">
        <f aca="false">MAX(0,AP125+IF(1=Parametri_v3!$C$43,MAX(0,AN125-AO125),0)-MAX(0,-(0)))</f>
        <v>0</v>
      </c>
      <c r="AR125" s="15" t="n">
        <f aca="false">(0)+X125-AQ125</f>
        <v>1140.84894736842</v>
      </c>
      <c r="AS125" s="15" t="n">
        <f aca="false">Motore_Operativo!AC125-AT125+AU125</f>
        <v>4987.5</v>
      </c>
      <c r="AT125" s="15" t="n">
        <f aca="false">Motore_Operativo!CI125</f>
        <v>262.5</v>
      </c>
      <c r="AU125" s="15" t="n">
        <f aca="false">MIN(MAX(0,(0)+AT125),Parametri_v3!$C$61/12)</f>
        <v>0</v>
      </c>
      <c r="AV125" s="15" t="n">
        <f aca="false">(0)+AT125-AU125</f>
        <v>262.5</v>
      </c>
      <c r="AW125" s="15" t="n">
        <f aca="false">IF(AND(Motore_Operativo!C125=Finanziamenti!$D$7,Finanziamenti!$F$7=1),Finanziamenti!$C$7,0)</f>
        <v>20000</v>
      </c>
      <c r="AX125" s="15" t="n">
        <f aca="false">0</f>
        <v>0</v>
      </c>
      <c r="AY125" s="15" t="n">
        <f aca="false">IF(1=Parametri_v3!$C$33,MIN(MAX(0,0)*Ipotesi!$C$94,MAX(0,(0)-(0)-BP125),MAX(0,BD125-Parametri_v3!$C$31)),0)</f>
        <v>0</v>
      </c>
      <c r="AZ125" s="15" t="n">
        <f aca="false">0</f>
        <v>0</v>
      </c>
      <c r="BA125" s="15" t="n">
        <f aca="false">0</f>
        <v>0</v>
      </c>
      <c r="BB125" s="15" t="n">
        <f aca="false">0</f>
        <v>0</v>
      </c>
      <c r="BC125" s="15" t="n">
        <f aca="false">0</f>
        <v>0</v>
      </c>
      <c r="BD125" s="15" t="n">
        <f aca="false">(0)+AC125-AF125-AI125-AS125-K125*(1+Parametri_v3!$C$26)-AL125-AQ125-O125+AW125+AX125+AZ125+BA125-BB125</f>
        <v>14707.5</v>
      </c>
      <c r="BE125" s="15" t="n">
        <f aca="false">0</f>
        <v>0</v>
      </c>
      <c r="BF125" s="15" t="n">
        <f aca="false">0</f>
        <v>0</v>
      </c>
      <c r="BG125" s="15" t="n">
        <f aca="false">0</f>
        <v>0</v>
      </c>
      <c r="BH125" s="15" t="n">
        <f aca="false">BD125+BE125-BF125-AY125</f>
        <v>14707.5</v>
      </c>
      <c r="BI125" s="15" t="n">
        <f aca="false">MAX(0,Parametri_v3!$C$31-BH125)</f>
        <v>0</v>
      </c>
      <c r="BJ125" s="15" t="n">
        <f aca="false">(0)+K125</f>
        <v>250</v>
      </c>
      <c r="BK125" s="15" t="n">
        <f aca="false">(0)+L125</f>
        <v>6.94444444444445</v>
      </c>
      <c r="BL125" s="15" t="n">
        <f aca="false">BJ125-BK125</f>
        <v>243.055555555556</v>
      </c>
      <c r="BM125" s="15" t="n">
        <f aca="false">(0)+Y125</f>
        <v>2948.21538011696</v>
      </c>
      <c r="BN125" s="15" t="n">
        <f aca="false">(0)+AW125+AX125+AZ125</f>
        <v>20000</v>
      </c>
      <c r="BO125" s="15" t="n">
        <f aca="false">(0)+AY125</f>
        <v>0</v>
      </c>
      <c r="BP125" s="15" t="n">
        <f aca="false">MIN(Parametri_v3!$C$36*Parametri_v3!$C$35,(0)+IF(1=1,MAX(0,0)*Parametri_v3!$C$34,0))</f>
        <v>0</v>
      </c>
      <c r="BQ125" s="15" t="n">
        <f aca="false">BN125+BM125-BO125</f>
        <v>22948.215380117</v>
      </c>
      <c r="BR125" s="15" t="n">
        <f aca="false">BH125+AD125+BL125+MAX(0,-AM125)+MAX(0,-AR125)</f>
        <v>34727.3976608187</v>
      </c>
      <c r="BS125" s="15" t="n">
        <f aca="false">AJ125+AV125+MAX(0,AM125)+MAX(0,AR125)+BC125+BG125+BQ125+AG125</f>
        <v>34727.3976608187</v>
      </c>
      <c r="BT125" s="15" t="n">
        <f aca="false">BR125-BS125</f>
        <v>0</v>
      </c>
      <c r="BU125" s="15" t="n">
        <f aca="false">BH125-(BD125+BE125-BF125-AY125)</f>
        <v>0</v>
      </c>
      <c r="BV125" s="15" t="n">
        <f aca="false">0</f>
        <v>0</v>
      </c>
    </row>
    <row r="126" customFormat="false" ht="18" hidden="false" customHeight="true" outlineLevel="0" collapsed="false">
      <c r="A126" s="68" t="n">
        <f aca="false">3</f>
        <v>3</v>
      </c>
      <c r="B126" s="68" t="n">
        <f aca="false">2</f>
        <v>2</v>
      </c>
      <c r="C126" s="18" t="n">
        <f aca="false">Motore_Operativo!C126</f>
        <v>46419</v>
      </c>
      <c r="D126" s="68" t="n">
        <f aca="false">Motore_Operativo!D126</f>
        <v>2027</v>
      </c>
      <c r="E126" s="68" t="n">
        <f aca="false">Motore_Operativo!E126</f>
        <v>2</v>
      </c>
      <c r="F126" s="15" t="n">
        <f aca="false">Motore_Operativo!AM126</f>
        <v>16210.5263157895</v>
      </c>
      <c r="G126" s="15" t="n">
        <f aca="false">Motore_Operativo!BH126</f>
        <v>1621.05263157895</v>
      </c>
      <c r="H126" s="15" t="n">
        <f aca="false">Motore_Operativo!AM126</f>
        <v>16210.5263157895</v>
      </c>
      <c r="I126" s="15" t="n">
        <f aca="false">Motore_Operativo!CB126</f>
        <v>12114.5175438596</v>
      </c>
      <c r="J126" s="15" t="n">
        <f aca="false">Motore_Operativo!CD126</f>
        <v>4096.00877192982</v>
      </c>
      <c r="K126" s="15" t="n">
        <f aca="false">Motore_Operativo!CF126</f>
        <v>250</v>
      </c>
      <c r="L126" s="15" t="n">
        <f aca="false">SUM(INDEX($K$125:$K$184,MAX(1,2-Parametri_v3!$C$59+1)):K126)/Parametri_v3!$C$59</f>
        <v>13.8888888888889</v>
      </c>
      <c r="M126" s="15" t="n">
        <f aca="false">J126-L126</f>
        <v>4082.11988304093</v>
      </c>
      <c r="N126" s="15" t="n">
        <f aca="false">0</f>
        <v>0</v>
      </c>
      <c r="O126" s="15" t="n">
        <f aca="false">0</f>
        <v>0</v>
      </c>
      <c r="P126" s="15" t="n">
        <f aca="false">M126+N126-O126</f>
        <v>4082.11988304093</v>
      </c>
      <c r="Q126" s="15" t="n">
        <f aca="false">SUM(P125:P126)+Parametri_v3!$C$56*2/12</f>
        <v>8171.18421052631</v>
      </c>
      <c r="R126" s="15" t="n">
        <f aca="false">0</f>
        <v>0</v>
      </c>
      <c r="S126" s="15" t="n">
        <f aca="false">0</f>
        <v>0</v>
      </c>
      <c r="T126" s="15" t="n">
        <f aca="false">MIN(R126,MAX(0,Q126))</f>
        <v>0</v>
      </c>
      <c r="U126" s="15" t="n">
        <f aca="false">MIN(S126,MAX(0,Q126-T126)*Parametri_v3!$C$42)</f>
        <v>0</v>
      </c>
      <c r="V126" s="15" t="n">
        <f aca="false">MAX(0,Q126-T126-U126)*Ipotesi!$C$92</f>
        <v>1961.08421052631</v>
      </c>
      <c r="W126" s="15" t="n">
        <f aca="false">MAX(0,SUM(M125:M126)+Parametri_v3!$C$57*2/12)*Ipotesi!$C$93</f>
        <v>318.676184210526</v>
      </c>
      <c r="X126" s="15" t="n">
        <f aca="false">V126+W126-(V125+W125)</f>
        <v>1138.91144736842</v>
      </c>
      <c r="Y126" s="15" t="n">
        <f aca="false">P126-X126</f>
        <v>2943.20843567251</v>
      </c>
      <c r="Z126" s="15" t="n">
        <f aca="false">R126-T126+IF(AND(Parametri_v3!$C$40=1,D126-YEAR(Parametri_v3!$C$50)&lt;Parametri_v3!$C$41),MAX(0,-Q126),0)</f>
        <v>0</v>
      </c>
      <c r="AA126" s="15" t="n">
        <f aca="false">S126-U126+IF(AND(Parametri_v3!$C$40=1,D126-YEAR(Parametri_v3!$C$50)&lt;Parametri_v3!$C$41),0,MAX(0,-Q126))</f>
        <v>0</v>
      </c>
      <c r="AB126" s="15" t="n">
        <f aca="false">F126*(1+Parametri_v3!$C$26)</f>
        <v>19776.8421052632</v>
      </c>
      <c r="AC126" s="15" t="n">
        <f aca="false">(IF(2-(INT((Motore_Operativo!L126)/30))&lt;1,0,INDEX(Motore_Advisory!$AB$125:$AB$184,MAX(1,2-(INT((Motore_Operativo!L126)/30)))))*(1-(MOD((Motore_Operativo!L126),30)/30))+IF(2-(INT((Motore_Operativo!L126)/30))-1&lt;1,0,INDEX(Motore_Advisory!$AB$125:$AB$184,MAX(1,2-(INT((Motore_Operativo!L126)/30))-1)))*(MOD((Motore_Operativo!L126),30)/30))</f>
        <v>0</v>
      </c>
      <c r="AD126" s="15" t="n">
        <f aca="false">(AD125)+AB126-AC126</f>
        <v>39553.6842105263</v>
      </c>
      <c r="AE126" s="15" t="n">
        <f aca="false">Motore_Operativo!BH126*(1+Parametri_v3!$C$26)</f>
        <v>1977.68421052632</v>
      </c>
      <c r="AF126" s="15" t="n">
        <f aca="false">(IF(2-(INT((Parametri_v3!$C$29)/30))&lt;1,0,INDEX(Motore_Operativo!$BH$125:$BH$184,MAX(1,2-(INT((Parametri_v3!$C$29)/30)))))*(1-(MOD((Parametri_v3!$C$29),30)/30))+IF(2-(INT((Parametri_v3!$C$29)/30))-1&lt;1,0,INDEX(Motore_Operativo!$BH$125:$BH$184,MAX(1,2-(INT((Parametri_v3!$C$29)/30))-1)))*(MOD((Parametri_v3!$C$29),30)/30))*(1+Parametri_v3!$C$26)</f>
        <v>1977.68421052632</v>
      </c>
      <c r="AG126" s="15" t="n">
        <f aca="false">(AG125)+AE126-AF126</f>
        <v>1977.68421052632</v>
      </c>
      <c r="AH126" s="15" t="n">
        <f aca="false">(Motore_Operativo!CK126)*(1+Parametri_v3!$C$28*Parametri_v3!$C$26)</f>
        <v>6166.3147368421</v>
      </c>
      <c r="AI126" s="15" t="n">
        <f aca="false">(IF(2-(INT((Ipotesi!$C$91)/30))&lt;1,0,INDEX(Motore_Advisory!$AH$125:$AH$184,MAX(1,2-(INT((Ipotesi!$C$91)/30)))))*(1-(MOD((Ipotesi!$C$91),30)/30))+IF(2-(INT((Ipotesi!$C$91)/30))-1&lt;1,0,INDEX(Motore_Advisory!$AH$125:$AH$184,MAX(1,2-(INT((Ipotesi!$C$91)/30))-1)))*(MOD((Ipotesi!$C$91),30)/30))</f>
        <v>0</v>
      </c>
      <c r="AJ126" s="15" t="n">
        <f aca="false">(AJ125)+AH126-AI126</f>
        <v>12332.6294736842</v>
      </c>
      <c r="AK126" s="15" t="n">
        <f aca="false">(F126- Motore_Operativo!BH126-(Motore_Operativo!CK126)*Parametri_v3!$C$28-Motore_Operativo!CF126)*Parametri_v3!$C$26</f>
        <v>2231.83438596491</v>
      </c>
      <c r="AL126" s="15" t="n">
        <f aca="false">MAX(0,(AM125))</f>
        <v>2231.83438596491</v>
      </c>
      <c r="AM126" s="15" t="n">
        <f aca="false">(AM125)+AK126-AL126</f>
        <v>2231.83438596491</v>
      </c>
      <c r="AN126" s="15" t="n">
        <f aca="false">0</f>
        <v>0</v>
      </c>
      <c r="AO126" s="15" t="n">
        <f aca="false">0</f>
        <v>0</v>
      </c>
      <c r="AP126" s="15" t="n">
        <f aca="false">MAX(0,AN126)*IF(2=Parametri_v3!$C$43,Parametri_v3!$C$45,IF(2=Parametri_v3!$C$44,1-Parametri_v3!$C$45,0))</f>
        <v>0</v>
      </c>
      <c r="AQ126" s="15" t="n">
        <f aca="false">MAX(0,AP126+IF(2=Parametri_v3!$C$43,MAX(0,AN126-AO126),0)-MAX(0,-(AR125)))</f>
        <v>0</v>
      </c>
      <c r="AR126" s="15" t="n">
        <f aca="false">(AR125)+X126-AQ126</f>
        <v>2279.76039473684</v>
      </c>
      <c r="AS126" s="15" t="n">
        <f aca="false">Motore_Operativo!AC126-AT126+AU126</f>
        <v>4987.5</v>
      </c>
      <c r="AT126" s="15" t="n">
        <f aca="false">Motore_Operativo!CI126</f>
        <v>262.5</v>
      </c>
      <c r="AU126" s="15" t="n">
        <f aca="false">MIN(MAX(0,(AV125)+AT126),Parametri_v3!$C$61/12)</f>
        <v>0</v>
      </c>
      <c r="AV126" s="15" t="n">
        <f aca="false">(AV125)+AT126-AU126</f>
        <v>525</v>
      </c>
      <c r="AW126" s="15" t="n">
        <f aca="false">IF(AND(Motore_Operativo!C126=Finanziamenti!$D$7,Finanziamenti!$F$7=1),Finanziamenti!$C$7,0)</f>
        <v>0</v>
      </c>
      <c r="AX126" s="15" t="n">
        <f aca="false">0</f>
        <v>0</v>
      </c>
      <c r="AY126" s="15" t="n">
        <f aca="false">IF(2=Parametri_v3!$C$33,IF(BV126&lt;MIN(12,$B126-1),0,MIN(MAX(0,0)*Ipotesi!$C$94,MAX(0,(0)-(BO125)-BP126),MAX(0,BD126-Parametri_v3!$C$31))),0)</f>
        <v>0</v>
      </c>
      <c r="AZ126" s="15" t="n">
        <f aca="false">0</f>
        <v>0</v>
      </c>
      <c r="BA126" s="15" t="n">
        <f aca="false">0</f>
        <v>0</v>
      </c>
      <c r="BB126" s="15" t="n">
        <f aca="false">0</f>
        <v>0</v>
      </c>
      <c r="BC126" s="15" t="n">
        <f aca="false">0</f>
        <v>0</v>
      </c>
      <c r="BD126" s="15" t="n">
        <f aca="false">(BH125)+AC126-AF126-AI126-AS126-K126*(1+Parametri_v3!$C$26)-AL126-AQ126-O126+AW126+AX126+AZ126+BA126-BB126</f>
        <v>5205.48140350877</v>
      </c>
      <c r="BE126" s="15" t="n">
        <f aca="false">0</f>
        <v>0</v>
      </c>
      <c r="BF126" s="15" t="n">
        <f aca="false">0</f>
        <v>0</v>
      </c>
      <c r="BG126" s="15" t="n">
        <f aca="false">0</f>
        <v>0</v>
      </c>
      <c r="BH126" s="15" t="n">
        <f aca="false">BD126+BE126-BF126-AY126</f>
        <v>5205.48140350877</v>
      </c>
      <c r="BI126" s="15" t="n">
        <f aca="false">MAX(0,Parametri_v3!$C$31-BH126)</f>
        <v>4794.51859649123</v>
      </c>
      <c r="BJ126" s="15" t="n">
        <f aca="false">(BJ125)+K126</f>
        <v>500</v>
      </c>
      <c r="BK126" s="15" t="n">
        <f aca="false">(BK125)+L126</f>
        <v>20.8333333333333</v>
      </c>
      <c r="BL126" s="15" t="n">
        <f aca="false">BJ126-BK126</f>
        <v>479.166666666667</v>
      </c>
      <c r="BM126" s="15" t="n">
        <f aca="false">(BM125)+Y126</f>
        <v>5891.42381578947</v>
      </c>
      <c r="BN126" s="15" t="n">
        <f aca="false">(BN125)+AW126+AX126+AZ126</f>
        <v>20000</v>
      </c>
      <c r="BO126" s="15" t="n">
        <f aca="false">(BO125)+AY126</f>
        <v>0</v>
      </c>
      <c r="BP126" s="15" t="n">
        <f aca="false">MIN(Parametri_v3!$C$36*Parametri_v3!$C$35,(BP125)+IF(2=1,MAX(0,0)*Parametri_v3!$C$34,0))</f>
        <v>0</v>
      </c>
      <c r="BQ126" s="15" t="n">
        <f aca="false">BN126+BM126-BO126</f>
        <v>25891.4238157895</v>
      </c>
      <c r="BR126" s="15" t="n">
        <f aca="false">BH126+AD126+BL126+MAX(0,-AM126)+MAX(0,-AR126)</f>
        <v>45238.3322807018</v>
      </c>
      <c r="BS126" s="15" t="n">
        <f aca="false">AJ126+AV126+MAX(0,AM126)+MAX(0,AR126)+BC126+BG126+BQ126+AG126</f>
        <v>45238.3322807018</v>
      </c>
      <c r="BT126" s="15" t="n">
        <f aca="false">BR126-BS126</f>
        <v>0</v>
      </c>
      <c r="BU126" s="15" t="n">
        <f aca="false">BH126-(BD126+BE126-BF126-AY126)</f>
        <v>0</v>
      </c>
      <c r="BV126" s="15" t="n">
        <f aca="false">IF(BH125&lt;Parametri_v3!$C$31,0,BV125+1)</f>
        <v>1</v>
      </c>
    </row>
    <row r="127" customFormat="false" ht="18" hidden="false" customHeight="true" outlineLevel="0" collapsed="false">
      <c r="A127" s="68" t="n">
        <f aca="false">3</f>
        <v>3</v>
      </c>
      <c r="B127" s="68" t="n">
        <f aca="false">3</f>
        <v>3</v>
      </c>
      <c r="C127" s="18" t="n">
        <f aca="false">Motore_Operativo!C127</f>
        <v>46447</v>
      </c>
      <c r="D127" s="68" t="n">
        <f aca="false">Motore_Operativo!D127</f>
        <v>2027</v>
      </c>
      <c r="E127" s="68" t="n">
        <f aca="false">Motore_Operativo!E127</f>
        <v>3</v>
      </c>
      <c r="F127" s="15" t="n">
        <f aca="false">Motore_Operativo!AM127</f>
        <v>16210.5263157895</v>
      </c>
      <c r="G127" s="15" t="n">
        <f aca="false">Motore_Operativo!BH127</f>
        <v>1621.05263157895</v>
      </c>
      <c r="H127" s="15" t="n">
        <f aca="false">Motore_Operativo!AM127</f>
        <v>16210.5263157895</v>
      </c>
      <c r="I127" s="15" t="n">
        <f aca="false">Motore_Operativo!CB127</f>
        <v>12114.5175438596</v>
      </c>
      <c r="J127" s="15" t="n">
        <f aca="false">Motore_Operativo!CD127</f>
        <v>4096.00877192982</v>
      </c>
      <c r="K127" s="15" t="n">
        <f aca="false">Motore_Operativo!CF127</f>
        <v>250</v>
      </c>
      <c r="L127" s="15" t="n">
        <f aca="false">SUM(INDEX($K$125:$K$184,MAX(1,3-Parametri_v3!$C$59+1)):K127)/Parametri_v3!$C$59</f>
        <v>20.8333333333333</v>
      </c>
      <c r="M127" s="15" t="n">
        <f aca="false">J127-L127</f>
        <v>4075.17543859649</v>
      </c>
      <c r="N127" s="15" t="n">
        <f aca="false">0</f>
        <v>0</v>
      </c>
      <c r="O127" s="15" t="n">
        <f aca="false">0</f>
        <v>0</v>
      </c>
      <c r="P127" s="15" t="n">
        <f aca="false">M127+N127-O127</f>
        <v>4075.17543859649</v>
      </c>
      <c r="Q127" s="15" t="n">
        <f aca="false">SUM(P125:P127)+Parametri_v3!$C$56*3/12</f>
        <v>12246.3596491228</v>
      </c>
      <c r="R127" s="15" t="n">
        <f aca="false">0</f>
        <v>0</v>
      </c>
      <c r="S127" s="15" t="n">
        <f aca="false">0</f>
        <v>0</v>
      </c>
      <c r="T127" s="15" t="n">
        <f aca="false">MIN(R127,MAX(0,Q127))</f>
        <v>0</v>
      </c>
      <c r="U127" s="15" t="n">
        <f aca="false">MIN(S127,MAX(0,Q127-T127)*Parametri_v3!$C$42)</f>
        <v>0</v>
      </c>
      <c r="V127" s="15" t="n">
        <f aca="false">MAX(0,Q127-T127-U127)*Ipotesi!$C$92</f>
        <v>2939.12631578947</v>
      </c>
      <c r="W127" s="15" t="n">
        <f aca="false">MAX(0,SUM(M125:M127)+Parametri_v3!$C$57*3/12)*Ipotesi!$C$93</f>
        <v>477.608026315789</v>
      </c>
      <c r="X127" s="15" t="n">
        <f aca="false">V127+W127-(V126+W126)</f>
        <v>1136.97394736842</v>
      </c>
      <c r="Y127" s="15" t="n">
        <f aca="false">P127-X127</f>
        <v>2938.20149122807</v>
      </c>
      <c r="Z127" s="15" t="n">
        <f aca="false">R127-T127+IF(AND(Parametri_v3!$C$40=1,D127-YEAR(Parametri_v3!$C$50)&lt;Parametri_v3!$C$41),MAX(0,-Q127),0)</f>
        <v>0</v>
      </c>
      <c r="AA127" s="15" t="n">
        <f aca="false">S127-U127+IF(AND(Parametri_v3!$C$40=1,D127-YEAR(Parametri_v3!$C$50)&lt;Parametri_v3!$C$41),0,MAX(0,-Q127))</f>
        <v>0</v>
      </c>
      <c r="AB127" s="15" t="n">
        <f aca="false">F127*(1+Parametri_v3!$C$26)</f>
        <v>19776.8421052632</v>
      </c>
      <c r="AC127" s="15" t="n">
        <f aca="false">(IF(3-(INT((Motore_Operativo!L127)/30))&lt;1,0,INDEX(Motore_Advisory!$AB$125:$AB$184,MAX(1,3-(INT((Motore_Operativo!L127)/30)))))*(1-(MOD((Motore_Operativo!L127),30)/30))+IF(3-(INT((Motore_Operativo!L127)/30))-1&lt;1,0,INDEX(Motore_Advisory!$AB$125:$AB$184,MAX(1,3-(INT((Motore_Operativo!L127)/30))-1)))*(MOD((Motore_Operativo!L127),30)/30))</f>
        <v>0</v>
      </c>
      <c r="AD127" s="15" t="n">
        <f aca="false">(AD126)+AB127-AC127</f>
        <v>59330.5263157895</v>
      </c>
      <c r="AE127" s="15" t="n">
        <f aca="false">Motore_Operativo!BH127*(1+Parametri_v3!$C$26)</f>
        <v>1977.68421052632</v>
      </c>
      <c r="AF127" s="15" t="n">
        <f aca="false">(IF(3-(INT((Parametri_v3!$C$29)/30))&lt;1,0,INDEX(Motore_Operativo!$BH$125:$BH$184,MAX(1,3-(INT((Parametri_v3!$C$29)/30)))))*(1-(MOD((Parametri_v3!$C$29),30)/30))+IF(3-(INT((Parametri_v3!$C$29)/30))-1&lt;1,0,INDEX(Motore_Operativo!$BH$125:$BH$184,MAX(1,3-(INT((Parametri_v3!$C$29)/30))-1)))*(MOD((Parametri_v3!$C$29),30)/30))*(1+Parametri_v3!$C$26)</f>
        <v>1977.68421052632</v>
      </c>
      <c r="AG127" s="15" t="n">
        <f aca="false">(AG126)+AE127-AF127</f>
        <v>1977.68421052632</v>
      </c>
      <c r="AH127" s="15" t="n">
        <f aca="false">(Motore_Operativo!CK127)*(1+Parametri_v3!$C$28*Parametri_v3!$C$26)</f>
        <v>6166.3147368421</v>
      </c>
      <c r="AI127" s="15" t="n">
        <f aca="false">(IF(3-(INT((Ipotesi!$C$91)/30))&lt;1,0,INDEX(Motore_Advisory!$AH$125:$AH$184,MAX(1,3-(INT((Ipotesi!$C$91)/30)))))*(1-(MOD((Ipotesi!$C$91),30)/30))+IF(3-(INT((Ipotesi!$C$91)/30))-1&lt;1,0,INDEX(Motore_Advisory!$AH$125:$AH$184,MAX(1,3-(INT((Ipotesi!$C$91)/30))-1)))*(MOD((Ipotesi!$C$91),30)/30))</f>
        <v>6166.3147368421</v>
      </c>
      <c r="AJ127" s="15" t="n">
        <f aca="false">(AJ126)+AH127-AI127</f>
        <v>12332.6294736842</v>
      </c>
      <c r="AK127" s="15" t="n">
        <f aca="false">(F127- Motore_Operativo!BH127-(Motore_Operativo!CK127)*Parametri_v3!$C$28-Motore_Operativo!CF127)*Parametri_v3!$C$26</f>
        <v>2231.83438596491</v>
      </c>
      <c r="AL127" s="15" t="n">
        <f aca="false">MAX(0,(AM126))</f>
        <v>2231.83438596491</v>
      </c>
      <c r="AM127" s="15" t="n">
        <f aca="false">(AM126)+AK127-AL127</f>
        <v>2231.83438596491</v>
      </c>
      <c r="AN127" s="15" t="n">
        <f aca="false">0</f>
        <v>0</v>
      </c>
      <c r="AO127" s="15" t="n">
        <f aca="false">0</f>
        <v>0</v>
      </c>
      <c r="AP127" s="15" t="n">
        <f aca="false">MAX(0,AN127)*IF(3=Parametri_v3!$C$43,Parametri_v3!$C$45,IF(3=Parametri_v3!$C$44,1-Parametri_v3!$C$45,0))</f>
        <v>0</v>
      </c>
      <c r="AQ127" s="15" t="n">
        <f aca="false">MAX(0,AP127+IF(3=Parametri_v3!$C$43,MAX(0,AN127-AO127),0)-MAX(0,-(AR126)))</f>
        <v>0</v>
      </c>
      <c r="AR127" s="15" t="n">
        <f aca="false">(AR126)+X127-AQ127</f>
        <v>3416.73434210526</v>
      </c>
      <c r="AS127" s="15" t="n">
        <f aca="false">Motore_Operativo!AC127-AT127+AU127</f>
        <v>4987.5</v>
      </c>
      <c r="AT127" s="15" t="n">
        <f aca="false">Motore_Operativo!CI127</f>
        <v>262.5</v>
      </c>
      <c r="AU127" s="15" t="n">
        <f aca="false">MIN(MAX(0,(AV126)+AT127),Parametri_v3!$C$61/12)</f>
        <v>0</v>
      </c>
      <c r="AV127" s="15" t="n">
        <f aca="false">(AV126)+AT127-AU127</f>
        <v>787.5</v>
      </c>
      <c r="AW127" s="15" t="n">
        <f aca="false">IF(AND(Motore_Operativo!C127=Finanziamenti!$D$7,Finanziamenti!$F$7=1),Finanziamenti!$C$7,0)</f>
        <v>0</v>
      </c>
      <c r="AX127" s="15" t="n">
        <f aca="false">0</f>
        <v>0</v>
      </c>
      <c r="AY127" s="15" t="n">
        <f aca="false">IF(3=Parametri_v3!$C$33,IF(BV127&lt;MIN(12,$B127-1),0,MIN(MAX(0,0)*Ipotesi!$C$94,MAX(0,(0)-(BO126)-BP127),MAX(0,BD127-Parametri_v3!$C$31))),0)</f>
        <v>0</v>
      </c>
      <c r="AZ127" s="15" t="n">
        <f aca="false">0</f>
        <v>0</v>
      </c>
      <c r="BA127" s="15" t="n">
        <f aca="false">0</f>
        <v>0</v>
      </c>
      <c r="BB127" s="15" t="n">
        <f aca="false">0</f>
        <v>0</v>
      </c>
      <c r="BC127" s="15" t="n">
        <f aca="false">0</f>
        <v>0</v>
      </c>
      <c r="BD127" s="15" t="n">
        <f aca="false">(BH126)+AC127-AF127-AI127-AS127-K127*(1+Parametri_v3!$C$26)-AL127-AQ127-O127+AW127+AX127+AZ127+BA127-BB127</f>
        <v>-10462.8519298246</v>
      </c>
      <c r="BE127" s="15" t="n">
        <f aca="false">0</f>
        <v>0</v>
      </c>
      <c r="BF127" s="15" t="n">
        <f aca="false">0</f>
        <v>0</v>
      </c>
      <c r="BG127" s="15" t="n">
        <f aca="false">0</f>
        <v>0</v>
      </c>
      <c r="BH127" s="15" t="n">
        <f aca="false">BD127+BE127-BF127-AY127</f>
        <v>-10462.8519298246</v>
      </c>
      <c r="BI127" s="15" t="n">
        <f aca="false">MAX(0,Parametri_v3!$C$31-BH127)</f>
        <v>20462.8519298246</v>
      </c>
      <c r="BJ127" s="15" t="n">
        <f aca="false">(BJ126)+K127</f>
        <v>750</v>
      </c>
      <c r="BK127" s="15" t="n">
        <f aca="false">(BK126)+L127</f>
        <v>41.6666666666667</v>
      </c>
      <c r="BL127" s="15" t="n">
        <f aca="false">BJ127-BK127</f>
        <v>708.333333333333</v>
      </c>
      <c r="BM127" s="15" t="n">
        <f aca="false">(BM126)+Y127</f>
        <v>8829.62530701754</v>
      </c>
      <c r="BN127" s="15" t="n">
        <f aca="false">(BN126)+AW127+AX127+AZ127</f>
        <v>20000</v>
      </c>
      <c r="BO127" s="15" t="n">
        <f aca="false">(BO126)+AY127</f>
        <v>0</v>
      </c>
      <c r="BP127" s="15" t="n">
        <f aca="false">MIN(Parametri_v3!$C$36*Parametri_v3!$C$35,(BP126)+IF(3=1,MAX(0,0)*Parametri_v3!$C$34,0))</f>
        <v>0</v>
      </c>
      <c r="BQ127" s="15" t="n">
        <f aca="false">BN127+BM127-BO127</f>
        <v>28829.6253070175</v>
      </c>
      <c r="BR127" s="15" t="n">
        <f aca="false">BH127+AD127+BL127+MAX(0,-AM127)+MAX(0,-AR127)</f>
        <v>49576.0077192982</v>
      </c>
      <c r="BS127" s="15" t="n">
        <f aca="false">AJ127+AV127+MAX(0,AM127)+MAX(0,AR127)+BC127+BG127+BQ127+AG127</f>
        <v>49576.0077192982</v>
      </c>
      <c r="BT127" s="15" t="n">
        <f aca="false">BR127-BS127</f>
        <v>0</v>
      </c>
      <c r="BU127" s="15" t="n">
        <f aca="false">BH127-(BD127+BE127-BF127-AY127)</f>
        <v>0</v>
      </c>
      <c r="BV127" s="15" t="n">
        <f aca="false">IF(BH126&lt;Parametri_v3!$C$31,0,BV126+1)</f>
        <v>0</v>
      </c>
    </row>
    <row r="128" customFormat="false" ht="18" hidden="false" customHeight="true" outlineLevel="0" collapsed="false">
      <c r="A128" s="68" t="n">
        <f aca="false">3</f>
        <v>3</v>
      </c>
      <c r="B128" s="68" t="n">
        <f aca="false">4</f>
        <v>4</v>
      </c>
      <c r="C128" s="18" t="n">
        <f aca="false">Motore_Operativo!C128</f>
        <v>46478</v>
      </c>
      <c r="D128" s="68" t="n">
        <f aca="false">Motore_Operativo!D128</f>
        <v>2027</v>
      </c>
      <c r="E128" s="68" t="n">
        <f aca="false">Motore_Operativo!E128</f>
        <v>4</v>
      </c>
      <c r="F128" s="15" t="n">
        <f aca="false">Motore_Operativo!AM128</f>
        <v>16210.5263157895</v>
      </c>
      <c r="G128" s="15" t="n">
        <f aca="false">Motore_Operativo!BH128</f>
        <v>1621.05263157895</v>
      </c>
      <c r="H128" s="15" t="n">
        <f aca="false">Motore_Operativo!AM128</f>
        <v>16210.5263157895</v>
      </c>
      <c r="I128" s="15" t="n">
        <f aca="false">Motore_Operativo!CB128</f>
        <v>12114.5175438596</v>
      </c>
      <c r="J128" s="15" t="n">
        <f aca="false">Motore_Operativo!CD128</f>
        <v>4096.00877192982</v>
      </c>
      <c r="K128" s="15" t="n">
        <f aca="false">Motore_Operativo!CF128</f>
        <v>250</v>
      </c>
      <c r="L128" s="15" t="n">
        <f aca="false">SUM(INDEX($K$125:$K$184,MAX(1,4-Parametri_v3!$C$59+1)):K128)/Parametri_v3!$C$59</f>
        <v>27.7777777777778</v>
      </c>
      <c r="M128" s="15" t="n">
        <f aca="false">J128-L128</f>
        <v>4068.23099415205</v>
      </c>
      <c r="N128" s="15" t="n">
        <f aca="false">0</f>
        <v>0</v>
      </c>
      <c r="O128" s="15" t="n">
        <f aca="false">0</f>
        <v>0</v>
      </c>
      <c r="P128" s="15" t="n">
        <f aca="false">M128+N128-O128</f>
        <v>4068.23099415205</v>
      </c>
      <c r="Q128" s="15" t="n">
        <f aca="false">SUM(P125:P128)+Parametri_v3!$C$56*4/12</f>
        <v>16314.5906432748</v>
      </c>
      <c r="R128" s="15" t="n">
        <f aca="false">0</f>
        <v>0</v>
      </c>
      <c r="S128" s="15" t="n">
        <f aca="false">0</f>
        <v>0</v>
      </c>
      <c r="T128" s="15" t="n">
        <f aca="false">MIN(R128,MAX(0,Q128))</f>
        <v>0</v>
      </c>
      <c r="U128" s="15" t="n">
        <f aca="false">MIN(S128,MAX(0,Q128-T128)*Parametri_v3!$C$42)</f>
        <v>0</v>
      </c>
      <c r="V128" s="15" t="n">
        <f aca="false">MAX(0,Q128-T128-U128)*Ipotesi!$C$92</f>
        <v>3915.50175438596</v>
      </c>
      <c r="W128" s="15" t="n">
        <f aca="false">MAX(0,SUM(M125:M128)+Parametri_v3!$C$57*4/12)*Ipotesi!$C$93</f>
        <v>636.269035087719</v>
      </c>
      <c r="X128" s="15" t="n">
        <f aca="false">V128+W128-(V127+W127)</f>
        <v>1135.03644736842</v>
      </c>
      <c r="Y128" s="15" t="n">
        <f aca="false">P128-X128</f>
        <v>2933.19454678362</v>
      </c>
      <c r="Z128" s="15" t="n">
        <f aca="false">R128-T128+IF(AND(Parametri_v3!$C$40=1,D128-YEAR(Parametri_v3!$C$50)&lt;Parametri_v3!$C$41),MAX(0,-Q128),0)</f>
        <v>0</v>
      </c>
      <c r="AA128" s="15" t="n">
        <f aca="false">S128-U128+IF(AND(Parametri_v3!$C$40=1,D128-YEAR(Parametri_v3!$C$50)&lt;Parametri_v3!$C$41),0,MAX(0,-Q128))</f>
        <v>0</v>
      </c>
      <c r="AB128" s="15" t="n">
        <f aca="false">F128*(1+Parametri_v3!$C$26)</f>
        <v>19776.8421052632</v>
      </c>
      <c r="AC128" s="15" t="n">
        <f aca="false">(IF(4-(INT((Motore_Operativo!L128)/30))&lt;1,0,INDEX(Motore_Advisory!$AB$125:$AB$184,MAX(1,4-(INT((Motore_Operativo!L128)/30)))))*(1-(MOD((Motore_Operativo!L128),30)/30))+IF(4-(INT((Motore_Operativo!L128)/30))-1&lt;1,0,INDEX(Motore_Advisory!$AB$125:$AB$184,MAX(1,4-(INT((Motore_Operativo!L128)/30))-1)))*(MOD((Motore_Operativo!L128),30)/30))</f>
        <v>19776.8421052632</v>
      </c>
      <c r="AD128" s="15" t="n">
        <f aca="false">(AD127)+AB128-AC128</f>
        <v>59330.5263157895</v>
      </c>
      <c r="AE128" s="15" t="n">
        <f aca="false">Motore_Operativo!BH128*(1+Parametri_v3!$C$26)</f>
        <v>1977.68421052632</v>
      </c>
      <c r="AF128" s="15" t="n">
        <f aca="false">(IF(4-(INT((Parametri_v3!$C$29)/30))&lt;1,0,INDEX(Motore_Operativo!$BH$125:$BH$184,MAX(1,4-(INT((Parametri_v3!$C$29)/30)))))*(1-(MOD((Parametri_v3!$C$29),30)/30))+IF(4-(INT((Parametri_v3!$C$29)/30))-1&lt;1,0,INDEX(Motore_Operativo!$BH$125:$BH$184,MAX(1,4-(INT((Parametri_v3!$C$29)/30))-1)))*(MOD((Parametri_v3!$C$29),30)/30))*(1+Parametri_v3!$C$26)</f>
        <v>1977.68421052632</v>
      </c>
      <c r="AG128" s="15" t="n">
        <f aca="false">(AG127)+AE128-AF128</f>
        <v>1977.68421052632</v>
      </c>
      <c r="AH128" s="15" t="n">
        <f aca="false">(Motore_Operativo!CK128)*(1+Parametri_v3!$C$28*Parametri_v3!$C$26)</f>
        <v>6166.3147368421</v>
      </c>
      <c r="AI128" s="15" t="n">
        <f aca="false">(IF(4-(INT((Ipotesi!$C$91)/30))&lt;1,0,INDEX(Motore_Advisory!$AH$125:$AH$184,MAX(1,4-(INT((Ipotesi!$C$91)/30)))))*(1-(MOD((Ipotesi!$C$91),30)/30))+IF(4-(INT((Ipotesi!$C$91)/30))-1&lt;1,0,INDEX(Motore_Advisory!$AH$125:$AH$184,MAX(1,4-(INT((Ipotesi!$C$91)/30))-1)))*(MOD((Ipotesi!$C$91),30)/30))</f>
        <v>6166.3147368421</v>
      </c>
      <c r="AJ128" s="15" t="n">
        <f aca="false">(AJ127)+AH128-AI128</f>
        <v>12332.6294736842</v>
      </c>
      <c r="AK128" s="15" t="n">
        <f aca="false">(F128- Motore_Operativo!BH128-(Motore_Operativo!CK128)*Parametri_v3!$C$28-Motore_Operativo!CF128)*Parametri_v3!$C$26</f>
        <v>2231.83438596491</v>
      </c>
      <c r="AL128" s="15" t="n">
        <f aca="false">MAX(0,(AM127))</f>
        <v>2231.83438596491</v>
      </c>
      <c r="AM128" s="15" t="n">
        <f aca="false">(AM127)+AK128-AL128</f>
        <v>2231.83438596491</v>
      </c>
      <c r="AN128" s="15" t="n">
        <f aca="false">0</f>
        <v>0</v>
      </c>
      <c r="AO128" s="15" t="n">
        <f aca="false">0</f>
        <v>0</v>
      </c>
      <c r="AP128" s="15" t="n">
        <f aca="false">MAX(0,AN128)*IF(4=Parametri_v3!$C$43,Parametri_v3!$C$45,IF(4=Parametri_v3!$C$44,1-Parametri_v3!$C$45,0))</f>
        <v>0</v>
      </c>
      <c r="AQ128" s="15" t="n">
        <f aca="false">MAX(0,AP128+IF(4=Parametri_v3!$C$43,MAX(0,AN128-AO128),0)-MAX(0,-(AR127)))</f>
        <v>0</v>
      </c>
      <c r="AR128" s="15" t="n">
        <f aca="false">(AR127)+X128-AQ128</f>
        <v>4551.77078947368</v>
      </c>
      <c r="AS128" s="15" t="n">
        <f aca="false">Motore_Operativo!AC128-AT128+AU128</f>
        <v>4987.5</v>
      </c>
      <c r="AT128" s="15" t="n">
        <f aca="false">Motore_Operativo!CI128</f>
        <v>262.5</v>
      </c>
      <c r="AU128" s="15" t="n">
        <f aca="false">MIN(MAX(0,(AV127)+AT128),Parametri_v3!$C$61/12)</f>
        <v>0</v>
      </c>
      <c r="AV128" s="15" t="n">
        <f aca="false">(AV127)+AT128-AU128</f>
        <v>1050</v>
      </c>
      <c r="AW128" s="15" t="n">
        <f aca="false">IF(AND(Motore_Operativo!C128=Finanziamenti!$D$7,Finanziamenti!$F$7=1),Finanziamenti!$C$7,0)</f>
        <v>0</v>
      </c>
      <c r="AX128" s="15" t="n">
        <f aca="false">0</f>
        <v>0</v>
      </c>
      <c r="AY128" s="15" t="n">
        <f aca="false">IF(4=Parametri_v3!$C$33,IF(BV128&lt;MIN(12,$B128-1),0,MIN(MAX(0,0)*Ipotesi!$C$94,MAX(0,(0)-(BO127)-BP128),MAX(0,BD128-Parametri_v3!$C$31))),0)</f>
        <v>0</v>
      </c>
      <c r="AZ128" s="15" t="n">
        <f aca="false">0</f>
        <v>0</v>
      </c>
      <c r="BA128" s="15" t="n">
        <f aca="false">0</f>
        <v>0</v>
      </c>
      <c r="BB128" s="15" t="n">
        <f aca="false">0</f>
        <v>0</v>
      </c>
      <c r="BC128" s="15" t="n">
        <f aca="false">0</f>
        <v>0</v>
      </c>
      <c r="BD128" s="15" t="n">
        <f aca="false">(BH127)+AC128-AF128-AI128-AS128-K128*(1+Parametri_v3!$C$26)-AL128-AQ128-O128+AW128+AX128+AZ128+BA128-BB128</f>
        <v>-6354.34315789474</v>
      </c>
      <c r="BE128" s="15" t="n">
        <f aca="false">0</f>
        <v>0</v>
      </c>
      <c r="BF128" s="15" t="n">
        <f aca="false">0</f>
        <v>0</v>
      </c>
      <c r="BG128" s="15" t="n">
        <f aca="false">0</f>
        <v>0</v>
      </c>
      <c r="BH128" s="15" t="n">
        <f aca="false">BD128+BE128-BF128-AY128</f>
        <v>-6354.34315789474</v>
      </c>
      <c r="BI128" s="15" t="n">
        <f aca="false">MAX(0,Parametri_v3!$C$31-BH128)</f>
        <v>16354.3431578947</v>
      </c>
      <c r="BJ128" s="15" t="n">
        <f aca="false">(BJ127)+K128</f>
        <v>1000</v>
      </c>
      <c r="BK128" s="15" t="n">
        <f aca="false">(BK127)+L128</f>
        <v>69.4444444444445</v>
      </c>
      <c r="BL128" s="15" t="n">
        <f aca="false">BJ128-BK128</f>
        <v>930.555555555556</v>
      </c>
      <c r="BM128" s="15" t="n">
        <f aca="false">(BM127)+Y128</f>
        <v>11762.8198538012</v>
      </c>
      <c r="BN128" s="15" t="n">
        <f aca="false">(BN127)+AW128+AX128+AZ128</f>
        <v>20000</v>
      </c>
      <c r="BO128" s="15" t="n">
        <f aca="false">(BO127)+AY128</f>
        <v>0</v>
      </c>
      <c r="BP128" s="15" t="n">
        <f aca="false">MIN(Parametri_v3!$C$36*Parametri_v3!$C$35,(BP127)+IF(4=1,MAX(0,0)*Parametri_v3!$C$34,0))</f>
        <v>0</v>
      </c>
      <c r="BQ128" s="15" t="n">
        <f aca="false">BN128+BM128-BO128</f>
        <v>31762.8198538012</v>
      </c>
      <c r="BR128" s="15" t="n">
        <f aca="false">BH128+AD128+BL128+MAX(0,-AM128)+MAX(0,-AR128)</f>
        <v>53906.7387134503</v>
      </c>
      <c r="BS128" s="15" t="n">
        <f aca="false">AJ128+AV128+MAX(0,AM128)+MAX(0,AR128)+BC128+BG128+BQ128+AG128</f>
        <v>53906.7387134503</v>
      </c>
      <c r="BT128" s="15" t="n">
        <f aca="false">BR128-BS128</f>
        <v>0</v>
      </c>
      <c r="BU128" s="15" t="n">
        <f aca="false">BH128-(BD128+BE128-BF128-AY128)</f>
        <v>0</v>
      </c>
      <c r="BV128" s="15" t="n">
        <f aca="false">IF(BH127&lt;Parametri_v3!$C$31,0,BV127+1)</f>
        <v>0</v>
      </c>
    </row>
    <row r="129" customFormat="false" ht="18" hidden="false" customHeight="true" outlineLevel="0" collapsed="false">
      <c r="A129" s="68" t="n">
        <f aca="false">3</f>
        <v>3</v>
      </c>
      <c r="B129" s="68" t="n">
        <f aca="false">5</f>
        <v>5</v>
      </c>
      <c r="C129" s="18" t="n">
        <f aca="false">Motore_Operativo!C129</f>
        <v>46508</v>
      </c>
      <c r="D129" s="68" t="n">
        <f aca="false">Motore_Operativo!D129</f>
        <v>2027</v>
      </c>
      <c r="E129" s="68" t="n">
        <f aca="false">Motore_Operativo!E129</f>
        <v>5</v>
      </c>
      <c r="F129" s="15" t="n">
        <f aca="false">Motore_Operativo!AM129</f>
        <v>16210.5263157895</v>
      </c>
      <c r="G129" s="15" t="n">
        <f aca="false">Motore_Operativo!BH129</f>
        <v>1621.05263157895</v>
      </c>
      <c r="H129" s="15" t="n">
        <f aca="false">Motore_Operativo!AM129</f>
        <v>16210.5263157895</v>
      </c>
      <c r="I129" s="15" t="n">
        <f aca="false">Motore_Operativo!CB129</f>
        <v>12114.5175438596</v>
      </c>
      <c r="J129" s="15" t="n">
        <f aca="false">Motore_Operativo!CD129</f>
        <v>4096.00877192982</v>
      </c>
      <c r="K129" s="15" t="n">
        <f aca="false">Motore_Operativo!CF129</f>
        <v>250</v>
      </c>
      <c r="L129" s="15" t="n">
        <f aca="false">SUM(INDEX($K$125:$K$184,MAX(1,5-Parametri_v3!$C$59+1)):K129)/Parametri_v3!$C$59</f>
        <v>34.7222222222222</v>
      </c>
      <c r="M129" s="15" t="n">
        <f aca="false">J129-L129</f>
        <v>4061.2865497076</v>
      </c>
      <c r="N129" s="15" t="n">
        <f aca="false">0</f>
        <v>0</v>
      </c>
      <c r="O129" s="15" t="n">
        <f aca="false">0</f>
        <v>0</v>
      </c>
      <c r="P129" s="15" t="n">
        <f aca="false">M129+N129-O129</f>
        <v>4061.2865497076</v>
      </c>
      <c r="Q129" s="15" t="n">
        <f aca="false">SUM(P125:P129)+Parametri_v3!$C$56*5/12</f>
        <v>20375.8771929824</v>
      </c>
      <c r="R129" s="15" t="n">
        <f aca="false">0</f>
        <v>0</v>
      </c>
      <c r="S129" s="15" t="n">
        <f aca="false">0</f>
        <v>0</v>
      </c>
      <c r="T129" s="15" t="n">
        <f aca="false">MIN(R129,MAX(0,Q129))</f>
        <v>0</v>
      </c>
      <c r="U129" s="15" t="n">
        <f aca="false">MIN(S129,MAX(0,Q129-T129)*Parametri_v3!$C$42)</f>
        <v>0</v>
      </c>
      <c r="V129" s="15" t="n">
        <f aca="false">MAX(0,Q129-T129-U129)*Ipotesi!$C$92</f>
        <v>4890.21052631579</v>
      </c>
      <c r="W129" s="15" t="n">
        <f aca="false">MAX(0,SUM(M125:M129)+Parametri_v3!$C$57*5/12)*Ipotesi!$C$93</f>
        <v>794.659210526315</v>
      </c>
      <c r="X129" s="15" t="n">
        <f aca="false">V129+W129-(V128+W128)</f>
        <v>1133.09894736842</v>
      </c>
      <c r="Y129" s="15" t="n">
        <f aca="false">P129-X129</f>
        <v>2928.18760233918</v>
      </c>
      <c r="Z129" s="15" t="n">
        <f aca="false">R129-T129+IF(AND(Parametri_v3!$C$40=1,D129-YEAR(Parametri_v3!$C$50)&lt;Parametri_v3!$C$41),MAX(0,-Q129),0)</f>
        <v>0</v>
      </c>
      <c r="AA129" s="15" t="n">
        <f aca="false">S129-U129+IF(AND(Parametri_v3!$C$40=1,D129-YEAR(Parametri_v3!$C$50)&lt;Parametri_v3!$C$41),0,MAX(0,-Q129))</f>
        <v>0</v>
      </c>
      <c r="AB129" s="15" t="n">
        <f aca="false">F129*(1+Parametri_v3!$C$26)</f>
        <v>19776.8421052632</v>
      </c>
      <c r="AC129" s="15" t="n">
        <f aca="false">(IF(5-(INT((Motore_Operativo!L129)/30))&lt;1,0,INDEX(Motore_Advisory!$AB$125:$AB$184,MAX(1,5-(INT((Motore_Operativo!L129)/30)))))*(1-(MOD((Motore_Operativo!L129),30)/30))+IF(5-(INT((Motore_Operativo!L129)/30))-1&lt;1,0,INDEX(Motore_Advisory!$AB$125:$AB$184,MAX(1,5-(INT((Motore_Operativo!L129)/30))-1)))*(MOD((Motore_Operativo!L129),30)/30))</f>
        <v>19776.8421052632</v>
      </c>
      <c r="AD129" s="15" t="n">
        <f aca="false">(AD128)+AB129-AC129</f>
        <v>59330.5263157895</v>
      </c>
      <c r="AE129" s="15" t="n">
        <f aca="false">Motore_Operativo!BH129*(1+Parametri_v3!$C$26)</f>
        <v>1977.68421052632</v>
      </c>
      <c r="AF129" s="15" t="n">
        <f aca="false">(IF(5-(INT((Parametri_v3!$C$29)/30))&lt;1,0,INDEX(Motore_Operativo!$BH$125:$BH$184,MAX(1,5-(INT((Parametri_v3!$C$29)/30)))))*(1-(MOD((Parametri_v3!$C$29),30)/30))+IF(5-(INT((Parametri_v3!$C$29)/30))-1&lt;1,0,INDEX(Motore_Operativo!$BH$125:$BH$184,MAX(1,5-(INT((Parametri_v3!$C$29)/30))-1)))*(MOD((Parametri_v3!$C$29),30)/30))*(1+Parametri_v3!$C$26)</f>
        <v>1977.68421052632</v>
      </c>
      <c r="AG129" s="15" t="n">
        <f aca="false">(AG128)+AE129-AF129</f>
        <v>1977.68421052632</v>
      </c>
      <c r="AH129" s="15" t="n">
        <f aca="false">(Motore_Operativo!CK129)*(1+Parametri_v3!$C$28*Parametri_v3!$C$26)</f>
        <v>6166.3147368421</v>
      </c>
      <c r="AI129" s="15" t="n">
        <f aca="false">(IF(5-(INT((Ipotesi!$C$91)/30))&lt;1,0,INDEX(Motore_Advisory!$AH$125:$AH$184,MAX(1,5-(INT((Ipotesi!$C$91)/30)))))*(1-(MOD((Ipotesi!$C$91),30)/30))+IF(5-(INT((Ipotesi!$C$91)/30))-1&lt;1,0,INDEX(Motore_Advisory!$AH$125:$AH$184,MAX(1,5-(INT((Ipotesi!$C$91)/30))-1)))*(MOD((Ipotesi!$C$91),30)/30))</f>
        <v>6166.3147368421</v>
      </c>
      <c r="AJ129" s="15" t="n">
        <f aca="false">(AJ128)+AH129-AI129</f>
        <v>12332.6294736842</v>
      </c>
      <c r="AK129" s="15" t="n">
        <f aca="false">(F129- Motore_Operativo!BH129-(Motore_Operativo!CK129)*Parametri_v3!$C$28-Motore_Operativo!CF129)*Parametri_v3!$C$26</f>
        <v>2231.83438596491</v>
      </c>
      <c r="AL129" s="15" t="n">
        <f aca="false">MAX(0,(AM128))</f>
        <v>2231.83438596491</v>
      </c>
      <c r="AM129" s="15" t="n">
        <f aca="false">(AM128)+AK129-AL129</f>
        <v>2231.83438596491</v>
      </c>
      <c r="AN129" s="15" t="n">
        <f aca="false">0</f>
        <v>0</v>
      </c>
      <c r="AO129" s="15" t="n">
        <f aca="false">0</f>
        <v>0</v>
      </c>
      <c r="AP129" s="15" t="n">
        <f aca="false">MAX(0,AN129)*IF(5=Parametri_v3!$C$43,Parametri_v3!$C$45,IF(5=Parametri_v3!$C$44,1-Parametri_v3!$C$45,0))</f>
        <v>0</v>
      </c>
      <c r="AQ129" s="15" t="n">
        <f aca="false">MAX(0,AP129+IF(5=Parametri_v3!$C$43,MAX(0,AN129-AO129),0)-MAX(0,-(AR128)))</f>
        <v>0</v>
      </c>
      <c r="AR129" s="15" t="n">
        <f aca="false">(AR128)+X129-AQ129</f>
        <v>5684.8697368421</v>
      </c>
      <c r="AS129" s="15" t="n">
        <f aca="false">Motore_Operativo!AC129-AT129+AU129</f>
        <v>4987.5</v>
      </c>
      <c r="AT129" s="15" t="n">
        <f aca="false">Motore_Operativo!CI129</f>
        <v>262.5</v>
      </c>
      <c r="AU129" s="15" t="n">
        <f aca="false">MIN(MAX(0,(AV128)+AT129),Parametri_v3!$C$61/12)</f>
        <v>0</v>
      </c>
      <c r="AV129" s="15" t="n">
        <f aca="false">(AV128)+AT129-AU129</f>
        <v>1312.5</v>
      </c>
      <c r="AW129" s="15" t="n">
        <f aca="false">IF(AND(Motore_Operativo!C129=Finanziamenti!$D$7,Finanziamenti!$F$7=1),Finanziamenti!$C$7,0)</f>
        <v>0</v>
      </c>
      <c r="AX129" s="15" t="n">
        <f aca="false">0</f>
        <v>0</v>
      </c>
      <c r="AY129" s="15" t="n">
        <f aca="false">IF(5=Parametri_v3!$C$33,IF(BV129&lt;MIN(12,$B129-1),0,MIN(MAX(0,0)*Ipotesi!$C$94,MAX(0,(0)-(BO128)-BP129),MAX(0,BD129-Parametri_v3!$C$31))),0)</f>
        <v>0</v>
      </c>
      <c r="AZ129" s="15" t="n">
        <f aca="false">0</f>
        <v>0</v>
      </c>
      <c r="BA129" s="15" t="n">
        <f aca="false">0</f>
        <v>0</v>
      </c>
      <c r="BB129" s="15" t="n">
        <f aca="false">0</f>
        <v>0</v>
      </c>
      <c r="BC129" s="15" t="n">
        <f aca="false">0</f>
        <v>0</v>
      </c>
      <c r="BD129" s="15" t="n">
        <f aca="false">(BH128)+AC129-AF129-AI129-AS129-K129*(1+Parametri_v3!$C$26)-AL129-AQ129-O129+AW129+AX129+AZ129+BA129-BB129</f>
        <v>-2245.83438596491</v>
      </c>
      <c r="BE129" s="15" t="n">
        <f aca="false">0</f>
        <v>0</v>
      </c>
      <c r="BF129" s="15" t="n">
        <f aca="false">0</f>
        <v>0</v>
      </c>
      <c r="BG129" s="15" t="n">
        <f aca="false">0</f>
        <v>0</v>
      </c>
      <c r="BH129" s="15" t="n">
        <f aca="false">BD129+BE129-BF129-AY129</f>
        <v>-2245.83438596491</v>
      </c>
      <c r="BI129" s="15" t="n">
        <f aca="false">MAX(0,Parametri_v3!$C$31-BH129)</f>
        <v>12245.8343859649</v>
      </c>
      <c r="BJ129" s="15" t="n">
        <f aca="false">(BJ128)+K129</f>
        <v>1250</v>
      </c>
      <c r="BK129" s="15" t="n">
        <f aca="false">(BK128)+L129</f>
        <v>104.166666666667</v>
      </c>
      <c r="BL129" s="15" t="n">
        <f aca="false">BJ129-BK129</f>
        <v>1145.83333333333</v>
      </c>
      <c r="BM129" s="15" t="n">
        <f aca="false">(BM128)+Y129</f>
        <v>14691.0074561403</v>
      </c>
      <c r="BN129" s="15" t="n">
        <f aca="false">(BN128)+AW129+AX129+AZ129</f>
        <v>20000</v>
      </c>
      <c r="BO129" s="15" t="n">
        <f aca="false">(BO128)+AY129</f>
        <v>0</v>
      </c>
      <c r="BP129" s="15" t="n">
        <f aca="false">MIN(Parametri_v3!$C$36*Parametri_v3!$C$35,(BP128)+IF(5=1,MAX(0,0)*Parametri_v3!$C$34,0))</f>
        <v>0</v>
      </c>
      <c r="BQ129" s="15" t="n">
        <f aca="false">BN129+BM129-BO129</f>
        <v>34691.0074561403</v>
      </c>
      <c r="BR129" s="15" t="n">
        <f aca="false">BH129+AD129+BL129+MAX(0,-AM129)+MAX(0,-AR129)</f>
        <v>58230.5252631579</v>
      </c>
      <c r="BS129" s="15" t="n">
        <f aca="false">AJ129+AV129+MAX(0,AM129)+MAX(0,AR129)+BC129+BG129+BQ129+AG129</f>
        <v>58230.5252631579</v>
      </c>
      <c r="BT129" s="15" t="n">
        <f aca="false">BR129-BS129</f>
        <v>0</v>
      </c>
      <c r="BU129" s="15" t="n">
        <f aca="false">BH129-(BD129+BE129-BF129-AY129)</f>
        <v>0</v>
      </c>
      <c r="BV129" s="15" t="n">
        <f aca="false">IF(BH128&lt;Parametri_v3!$C$31,0,BV128+1)</f>
        <v>0</v>
      </c>
    </row>
    <row r="130" customFormat="false" ht="18" hidden="false" customHeight="true" outlineLevel="0" collapsed="false">
      <c r="A130" s="68" t="n">
        <f aca="false">3</f>
        <v>3</v>
      </c>
      <c r="B130" s="68" t="n">
        <f aca="false">6</f>
        <v>6</v>
      </c>
      <c r="C130" s="18" t="n">
        <f aca="false">Motore_Operativo!C130</f>
        <v>46539</v>
      </c>
      <c r="D130" s="68" t="n">
        <f aca="false">Motore_Operativo!D130</f>
        <v>2027</v>
      </c>
      <c r="E130" s="68" t="n">
        <f aca="false">Motore_Operativo!E130</f>
        <v>6</v>
      </c>
      <c r="F130" s="15" t="n">
        <f aca="false">Motore_Operativo!AM130</f>
        <v>16210.5263157895</v>
      </c>
      <c r="G130" s="15" t="n">
        <f aca="false">Motore_Operativo!BH130</f>
        <v>1621.05263157895</v>
      </c>
      <c r="H130" s="15" t="n">
        <f aca="false">Motore_Operativo!AM130</f>
        <v>16210.5263157895</v>
      </c>
      <c r="I130" s="15" t="n">
        <f aca="false">Motore_Operativo!CB130</f>
        <v>12114.5175438596</v>
      </c>
      <c r="J130" s="15" t="n">
        <f aca="false">Motore_Operativo!CD130</f>
        <v>4096.00877192982</v>
      </c>
      <c r="K130" s="15" t="n">
        <f aca="false">Motore_Operativo!CF130</f>
        <v>250</v>
      </c>
      <c r="L130" s="15" t="n">
        <f aca="false">SUM(INDEX($K$125:$K$184,MAX(1,6-Parametri_v3!$C$59+1)):K130)/Parametri_v3!$C$59</f>
        <v>41.6666666666667</v>
      </c>
      <c r="M130" s="15" t="n">
        <f aca="false">J130-L130</f>
        <v>4054.34210526316</v>
      </c>
      <c r="N130" s="15" t="n">
        <f aca="false">0</f>
        <v>0</v>
      </c>
      <c r="O130" s="15" t="n">
        <f aca="false">0</f>
        <v>0</v>
      </c>
      <c r="P130" s="15" t="n">
        <f aca="false">M130+N130-O130</f>
        <v>4054.34210526316</v>
      </c>
      <c r="Q130" s="15" t="n">
        <f aca="false">SUM(P125:P130)+Parametri_v3!$C$56*6/12</f>
        <v>24430.2192982456</v>
      </c>
      <c r="R130" s="15" t="n">
        <f aca="false">0</f>
        <v>0</v>
      </c>
      <c r="S130" s="15" t="n">
        <f aca="false">0</f>
        <v>0</v>
      </c>
      <c r="T130" s="15" t="n">
        <f aca="false">MIN(R130,MAX(0,Q130))</f>
        <v>0</v>
      </c>
      <c r="U130" s="15" t="n">
        <f aca="false">MIN(S130,MAX(0,Q130-T130)*Parametri_v3!$C$42)</f>
        <v>0</v>
      </c>
      <c r="V130" s="15" t="n">
        <f aca="false">MAX(0,Q130-T130-U130)*Ipotesi!$C$92</f>
        <v>5863.25263157895</v>
      </c>
      <c r="W130" s="15" t="n">
        <f aca="false">MAX(0,SUM(M125:M130)+Parametri_v3!$C$57*6/12)*Ipotesi!$C$93</f>
        <v>952.778552631579</v>
      </c>
      <c r="X130" s="15" t="n">
        <f aca="false">V130+W130-(V129+W129)</f>
        <v>1131.16144736842</v>
      </c>
      <c r="Y130" s="15" t="n">
        <f aca="false">P130-X130</f>
        <v>2923.18065789474</v>
      </c>
      <c r="Z130" s="15" t="n">
        <f aca="false">R130-T130+IF(AND(Parametri_v3!$C$40=1,D130-YEAR(Parametri_v3!$C$50)&lt;Parametri_v3!$C$41),MAX(0,-Q130),0)</f>
        <v>0</v>
      </c>
      <c r="AA130" s="15" t="n">
        <f aca="false">S130-U130+IF(AND(Parametri_v3!$C$40=1,D130-YEAR(Parametri_v3!$C$50)&lt;Parametri_v3!$C$41),0,MAX(0,-Q130))</f>
        <v>0</v>
      </c>
      <c r="AB130" s="15" t="n">
        <f aca="false">F130*(1+Parametri_v3!$C$26)</f>
        <v>19776.8421052632</v>
      </c>
      <c r="AC130" s="15" t="n">
        <f aca="false">(IF(6-(INT((Motore_Operativo!L130)/30))&lt;1,0,INDEX(Motore_Advisory!$AB$125:$AB$184,MAX(1,6-(INT((Motore_Operativo!L130)/30)))))*(1-(MOD((Motore_Operativo!L130),30)/30))+IF(6-(INT((Motore_Operativo!L130)/30))-1&lt;1,0,INDEX(Motore_Advisory!$AB$125:$AB$184,MAX(1,6-(INT((Motore_Operativo!L130)/30))-1)))*(MOD((Motore_Operativo!L130),30)/30))</f>
        <v>19776.8421052632</v>
      </c>
      <c r="AD130" s="15" t="n">
        <f aca="false">(AD129)+AB130-AC130</f>
        <v>59330.5263157895</v>
      </c>
      <c r="AE130" s="15" t="n">
        <f aca="false">Motore_Operativo!BH130*(1+Parametri_v3!$C$26)</f>
        <v>1977.68421052632</v>
      </c>
      <c r="AF130" s="15" t="n">
        <f aca="false">(IF(6-(INT((Parametri_v3!$C$29)/30))&lt;1,0,INDEX(Motore_Operativo!$BH$125:$BH$184,MAX(1,6-(INT((Parametri_v3!$C$29)/30)))))*(1-(MOD((Parametri_v3!$C$29),30)/30))+IF(6-(INT((Parametri_v3!$C$29)/30))-1&lt;1,0,INDEX(Motore_Operativo!$BH$125:$BH$184,MAX(1,6-(INT((Parametri_v3!$C$29)/30))-1)))*(MOD((Parametri_v3!$C$29),30)/30))*(1+Parametri_v3!$C$26)</f>
        <v>1977.68421052632</v>
      </c>
      <c r="AG130" s="15" t="n">
        <f aca="false">(AG129)+AE130-AF130</f>
        <v>1977.68421052632</v>
      </c>
      <c r="AH130" s="15" t="n">
        <f aca="false">(Motore_Operativo!CK130)*(1+Parametri_v3!$C$28*Parametri_v3!$C$26)</f>
        <v>6166.3147368421</v>
      </c>
      <c r="AI130" s="15" t="n">
        <f aca="false">(IF(6-(INT((Ipotesi!$C$91)/30))&lt;1,0,INDEX(Motore_Advisory!$AH$125:$AH$184,MAX(1,6-(INT((Ipotesi!$C$91)/30)))))*(1-(MOD((Ipotesi!$C$91),30)/30))+IF(6-(INT((Ipotesi!$C$91)/30))-1&lt;1,0,INDEX(Motore_Advisory!$AH$125:$AH$184,MAX(1,6-(INT((Ipotesi!$C$91)/30))-1)))*(MOD((Ipotesi!$C$91),30)/30))</f>
        <v>6166.3147368421</v>
      </c>
      <c r="AJ130" s="15" t="n">
        <f aca="false">(AJ129)+AH130-AI130</f>
        <v>12332.6294736842</v>
      </c>
      <c r="AK130" s="15" t="n">
        <f aca="false">(F130- Motore_Operativo!BH130-(Motore_Operativo!CK130)*Parametri_v3!$C$28-Motore_Operativo!CF130)*Parametri_v3!$C$26</f>
        <v>2231.83438596491</v>
      </c>
      <c r="AL130" s="15" t="n">
        <f aca="false">MAX(0,(AM129))</f>
        <v>2231.83438596491</v>
      </c>
      <c r="AM130" s="15" t="n">
        <f aca="false">(AM129)+AK130-AL130</f>
        <v>2231.83438596491</v>
      </c>
      <c r="AN130" s="15" t="n">
        <f aca="false">0</f>
        <v>0</v>
      </c>
      <c r="AO130" s="15" t="n">
        <f aca="false">0</f>
        <v>0</v>
      </c>
      <c r="AP130" s="15" t="n">
        <f aca="false">MAX(0,AN130)*IF(6=Parametri_v3!$C$43,Parametri_v3!$C$45,IF(6=Parametri_v3!$C$44,1-Parametri_v3!$C$45,0))</f>
        <v>0</v>
      </c>
      <c r="AQ130" s="15" t="n">
        <f aca="false">MAX(0,AP130+IF(6=Parametri_v3!$C$43,MAX(0,AN130-AO130),0)-MAX(0,-(AR129)))</f>
        <v>0</v>
      </c>
      <c r="AR130" s="15" t="n">
        <f aca="false">(AR129)+X130-AQ130</f>
        <v>6816.03118421052</v>
      </c>
      <c r="AS130" s="15" t="n">
        <f aca="false">Motore_Operativo!AC130-AT130+AU130</f>
        <v>4987.5</v>
      </c>
      <c r="AT130" s="15" t="n">
        <f aca="false">Motore_Operativo!CI130</f>
        <v>262.5</v>
      </c>
      <c r="AU130" s="15" t="n">
        <f aca="false">MIN(MAX(0,(AV129)+AT130),Parametri_v3!$C$61/12)</f>
        <v>0</v>
      </c>
      <c r="AV130" s="15" t="n">
        <f aca="false">(AV129)+AT130-AU130</f>
        <v>1575</v>
      </c>
      <c r="AW130" s="15" t="n">
        <f aca="false">IF(AND(Motore_Operativo!C130=Finanziamenti!$D$7,Finanziamenti!$F$7=1),Finanziamenti!$C$7,0)</f>
        <v>0</v>
      </c>
      <c r="AX130" s="15" t="n">
        <f aca="false">0</f>
        <v>0</v>
      </c>
      <c r="AY130" s="15" t="n">
        <f aca="false">IF(6=Parametri_v3!$C$33,IF(BV130&lt;MIN(12,$B130-1),0,MIN(MAX(0,0)*Ipotesi!$C$94,MAX(0,(0)-(BO129)-BP130),MAX(0,BD130-Parametri_v3!$C$31))),0)</f>
        <v>0</v>
      </c>
      <c r="AZ130" s="15" t="n">
        <f aca="false">0</f>
        <v>0</v>
      </c>
      <c r="BA130" s="15" t="n">
        <f aca="false">0</f>
        <v>0</v>
      </c>
      <c r="BB130" s="15" t="n">
        <f aca="false">0</f>
        <v>0</v>
      </c>
      <c r="BC130" s="15" t="n">
        <f aca="false">0</f>
        <v>0</v>
      </c>
      <c r="BD130" s="15" t="n">
        <f aca="false">(BH129)+AC130-AF130-AI130-AS130-K130*(1+Parametri_v3!$C$26)-AL130-AQ130-O130+AW130+AX130+AZ130+BA130-BB130</f>
        <v>1862.67438596491</v>
      </c>
      <c r="BE130" s="15" t="n">
        <f aca="false">0</f>
        <v>0</v>
      </c>
      <c r="BF130" s="15" t="n">
        <f aca="false">0</f>
        <v>0</v>
      </c>
      <c r="BG130" s="15" t="n">
        <f aca="false">0</f>
        <v>0</v>
      </c>
      <c r="BH130" s="15" t="n">
        <f aca="false">BD130+BE130-BF130-AY130</f>
        <v>1862.67438596491</v>
      </c>
      <c r="BI130" s="15" t="n">
        <f aca="false">MAX(0,Parametri_v3!$C$31-BH130)</f>
        <v>8137.32561403509</v>
      </c>
      <c r="BJ130" s="15" t="n">
        <f aca="false">(BJ129)+K130</f>
        <v>1500</v>
      </c>
      <c r="BK130" s="15" t="n">
        <f aca="false">(BK129)+L130</f>
        <v>145.833333333333</v>
      </c>
      <c r="BL130" s="15" t="n">
        <f aca="false">BJ130-BK130</f>
        <v>1354.16666666667</v>
      </c>
      <c r="BM130" s="15" t="n">
        <f aca="false">(BM129)+Y130</f>
        <v>17614.1881140351</v>
      </c>
      <c r="BN130" s="15" t="n">
        <f aca="false">(BN129)+AW130+AX130+AZ130</f>
        <v>20000</v>
      </c>
      <c r="BO130" s="15" t="n">
        <f aca="false">(BO129)+AY130</f>
        <v>0</v>
      </c>
      <c r="BP130" s="15" t="n">
        <f aca="false">MIN(Parametri_v3!$C$36*Parametri_v3!$C$35,(BP129)+IF(6=1,MAX(0,0)*Parametri_v3!$C$34,0))</f>
        <v>0</v>
      </c>
      <c r="BQ130" s="15" t="n">
        <f aca="false">BN130+BM130-BO130</f>
        <v>37614.1881140351</v>
      </c>
      <c r="BR130" s="15" t="n">
        <f aca="false">BH130+AD130+BL130+MAX(0,-AM130)+MAX(0,-AR130)</f>
        <v>62547.367368421</v>
      </c>
      <c r="BS130" s="15" t="n">
        <f aca="false">AJ130+AV130+MAX(0,AM130)+MAX(0,AR130)+BC130+BG130+BQ130+AG130</f>
        <v>62547.367368421</v>
      </c>
      <c r="BT130" s="15" t="n">
        <f aca="false">BR130-BS130</f>
        <v>0</v>
      </c>
      <c r="BU130" s="15" t="n">
        <f aca="false">BH130-(BD130+BE130-BF130-AY130)</f>
        <v>0</v>
      </c>
      <c r="BV130" s="15" t="n">
        <f aca="false">IF(BH129&lt;Parametri_v3!$C$31,0,BV129+1)</f>
        <v>0</v>
      </c>
    </row>
    <row r="131" customFormat="false" ht="18" hidden="false" customHeight="true" outlineLevel="0" collapsed="false">
      <c r="A131" s="68" t="n">
        <f aca="false">3</f>
        <v>3</v>
      </c>
      <c r="B131" s="68" t="n">
        <f aca="false">7</f>
        <v>7</v>
      </c>
      <c r="C131" s="18" t="n">
        <f aca="false">Motore_Operativo!C131</f>
        <v>46569</v>
      </c>
      <c r="D131" s="68" t="n">
        <f aca="false">Motore_Operativo!D131</f>
        <v>2027</v>
      </c>
      <c r="E131" s="68" t="n">
        <f aca="false">Motore_Operativo!E131</f>
        <v>7</v>
      </c>
      <c r="F131" s="15" t="n">
        <f aca="false">Motore_Operativo!AM131</f>
        <v>16210.5263157895</v>
      </c>
      <c r="G131" s="15" t="n">
        <f aca="false">Motore_Operativo!BH131</f>
        <v>1621.05263157895</v>
      </c>
      <c r="H131" s="15" t="n">
        <f aca="false">Motore_Operativo!AM131</f>
        <v>16210.5263157895</v>
      </c>
      <c r="I131" s="15" t="n">
        <f aca="false">Motore_Operativo!CB131</f>
        <v>12114.5175438596</v>
      </c>
      <c r="J131" s="15" t="n">
        <f aca="false">Motore_Operativo!CD131</f>
        <v>4096.00877192982</v>
      </c>
      <c r="K131" s="15" t="n">
        <f aca="false">Motore_Operativo!CF131</f>
        <v>250</v>
      </c>
      <c r="L131" s="15" t="n">
        <f aca="false">SUM(INDEX($K$125:$K$184,MAX(1,7-Parametri_v3!$C$59+1)):K131)/Parametri_v3!$C$59</f>
        <v>48.6111111111111</v>
      </c>
      <c r="M131" s="15" t="n">
        <f aca="false">J131-L131</f>
        <v>4047.39766081871</v>
      </c>
      <c r="N131" s="15" t="n">
        <f aca="false">0</f>
        <v>0</v>
      </c>
      <c r="O131" s="15" t="n">
        <f aca="false">0</f>
        <v>0</v>
      </c>
      <c r="P131" s="15" t="n">
        <f aca="false">M131+N131-O131</f>
        <v>4047.39766081871</v>
      </c>
      <c r="Q131" s="15" t="n">
        <f aca="false">SUM(P125:P131)+Parametri_v3!$C$56*7/12</f>
        <v>28477.6169590643</v>
      </c>
      <c r="R131" s="15" t="n">
        <f aca="false">0</f>
        <v>0</v>
      </c>
      <c r="S131" s="15" t="n">
        <f aca="false">0</f>
        <v>0</v>
      </c>
      <c r="T131" s="15" t="n">
        <f aca="false">MIN(R131,MAX(0,Q131))</f>
        <v>0</v>
      </c>
      <c r="U131" s="15" t="n">
        <f aca="false">MIN(S131,MAX(0,Q131-T131)*Parametri_v3!$C$42)</f>
        <v>0</v>
      </c>
      <c r="V131" s="15" t="n">
        <f aca="false">MAX(0,Q131-T131-U131)*Ipotesi!$C$92</f>
        <v>6834.62807017544</v>
      </c>
      <c r="W131" s="15" t="n">
        <f aca="false">MAX(0,SUM(M125:M131)+Parametri_v3!$C$57*7/12)*Ipotesi!$C$93</f>
        <v>1110.62706140351</v>
      </c>
      <c r="X131" s="15" t="n">
        <f aca="false">V131+W131-(V130+W130)</f>
        <v>1129.22394736842</v>
      </c>
      <c r="Y131" s="15" t="n">
        <f aca="false">P131-X131</f>
        <v>2918.17371345029</v>
      </c>
      <c r="Z131" s="15" t="n">
        <f aca="false">R131-T131+IF(AND(Parametri_v3!$C$40=1,D131-YEAR(Parametri_v3!$C$50)&lt;Parametri_v3!$C$41),MAX(0,-Q131),0)</f>
        <v>0</v>
      </c>
      <c r="AA131" s="15" t="n">
        <f aca="false">S131-U131+IF(AND(Parametri_v3!$C$40=1,D131-YEAR(Parametri_v3!$C$50)&lt;Parametri_v3!$C$41),0,MAX(0,-Q131))</f>
        <v>0</v>
      </c>
      <c r="AB131" s="15" t="n">
        <f aca="false">F131*(1+Parametri_v3!$C$26)</f>
        <v>19776.8421052632</v>
      </c>
      <c r="AC131" s="15" t="n">
        <f aca="false">(IF(7-(INT((Motore_Operativo!L131)/30))&lt;1,0,INDEX(Motore_Advisory!$AB$125:$AB$184,MAX(1,7-(INT((Motore_Operativo!L131)/30)))))*(1-(MOD((Motore_Operativo!L131),30)/30))+IF(7-(INT((Motore_Operativo!L131)/30))-1&lt;1,0,INDEX(Motore_Advisory!$AB$125:$AB$184,MAX(1,7-(INT((Motore_Operativo!L131)/30))-1)))*(MOD((Motore_Operativo!L131),30)/30))</f>
        <v>19776.8421052632</v>
      </c>
      <c r="AD131" s="15" t="n">
        <f aca="false">(AD130)+AB131-AC131</f>
        <v>59330.5263157895</v>
      </c>
      <c r="AE131" s="15" t="n">
        <f aca="false">Motore_Operativo!BH131*(1+Parametri_v3!$C$26)</f>
        <v>1977.68421052632</v>
      </c>
      <c r="AF131" s="15" t="n">
        <f aca="false">(IF(7-(INT((Parametri_v3!$C$29)/30))&lt;1,0,INDEX(Motore_Operativo!$BH$125:$BH$184,MAX(1,7-(INT((Parametri_v3!$C$29)/30)))))*(1-(MOD((Parametri_v3!$C$29),30)/30))+IF(7-(INT((Parametri_v3!$C$29)/30))-1&lt;1,0,INDEX(Motore_Operativo!$BH$125:$BH$184,MAX(1,7-(INT((Parametri_v3!$C$29)/30))-1)))*(MOD((Parametri_v3!$C$29),30)/30))*(1+Parametri_v3!$C$26)</f>
        <v>1977.68421052632</v>
      </c>
      <c r="AG131" s="15" t="n">
        <f aca="false">(AG130)+AE131-AF131</f>
        <v>1977.68421052632</v>
      </c>
      <c r="AH131" s="15" t="n">
        <f aca="false">(Motore_Operativo!CK131)*(1+Parametri_v3!$C$28*Parametri_v3!$C$26)</f>
        <v>6166.3147368421</v>
      </c>
      <c r="AI131" s="15" t="n">
        <f aca="false">(IF(7-(INT((Ipotesi!$C$91)/30))&lt;1,0,INDEX(Motore_Advisory!$AH$125:$AH$184,MAX(1,7-(INT((Ipotesi!$C$91)/30)))))*(1-(MOD((Ipotesi!$C$91),30)/30))+IF(7-(INT((Ipotesi!$C$91)/30))-1&lt;1,0,INDEX(Motore_Advisory!$AH$125:$AH$184,MAX(1,7-(INT((Ipotesi!$C$91)/30))-1)))*(MOD((Ipotesi!$C$91),30)/30))</f>
        <v>6166.3147368421</v>
      </c>
      <c r="AJ131" s="15" t="n">
        <f aca="false">(AJ130)+AH131-AI131</f>
        <v>12332.6294736842</v>
      </c>
      <c r="AK131" s="15" t="n">
        <f aca="false">(F131- Motore_Operativo!BH131-(Motore_Operativo!CK131)*Parametri_v3!$C$28-Motore_Operativo!CF131)*Parametri_v3!$C$26</f>
        <v>2231.83438596491</v>
      </c>
      <c r="AL131" s="15" t="n">
        <f aca="false">MAX(0,(AM130))</f>
        <v>2231.83438596491</v>
      </c>
      <c r="AM131" s="15" t="n">
        <f aca="false">(AM130)+AK131-AL131</f>
        <v>2231.83438596491</v>
      </c>
      <c r="AN131" s="15" t="n">
        <f aca="false">0</f>
        <v>0</v>
      </c>
      <c r="AO131" s="15" t="n">
        <f aca="false">0</f>
        <v>0</v>
      </c>
      <c r="AP131" s="15" t="n">
        <f aca="false">MAX(0,AN131)*IF(7=Parametri_v3!$C$43,Parametri_v3!$C$45,IF(7=Parametri_v3!$C$44,1-Parametri_v3!$C$45,0))</f>
        <v>0</v>
      </c>
      <c r="AQ131" s="15" t="n">
        <f aca="false">MAX(0,AP131+IF(7=Parametri_v3!$C$43,MAX(0,AN131-AO131),0)-MAX(0,-(AR130)))</f>
        <v>0</v>
      </c>
      <c r="AR131" s="15" t="n">
        <f aca="false">(AR130)+X131-AQ131</f>
        <v>7945.25513157894</v>
      </c>
      <c r="AS131" s="15" t="n">
        <f aca="false">Motore_Operativo!AC131-AT131+AU131</f>
        <v>4987.5</v>
      </c>
      <c r="AT131" s="15" t="n">
        <f aca="false">Motore_Operativo!CI131</f>
        <v>262.5</v>
      </c>
      <c r="AU131" s="15" t="n">
        <f aca="false">MIN(MAX(0,(AV130)+AT131),Parametri_v3!$C$61/12)</f>
        <v>0</v>
      </c>
      <c r="AV131" s="15" t="n">
        <f aca="false">(AV130)+AT131-AU131</f>
        <v>1837.5</v>
      </c>
      <c r="AW131" s="15" t="n">
        <f aca="false">IF(AND(Motore_Operativo!C131=Finanziamenti!$D$7,Finanziamenti!$F$7=1),Finanziamenti!$C$7,0)</f>
        <v>0</v>
      </c>
      <c r="AX131" s="15" t="n">
        <f aca="false">0</f>
        <v>0</v>
      </c>
      <c r="AY131" s="15" t="n">
        <f aca="false">IF(7=Parametri_v3!$C$33,IF(BV131&lt;MIN(12,$B131-1),0,MIN(MAX(0,0)*Ipotesi!$C$94,MAX(0,(0)-(BO130)-BP131),MAX(0,BD131-Parametri_v3!$C$31))),0)</f>
        <v>0</v>
      </c>
      <c r="AZ131" s="15" t="n">
        <f aca="false">0</f>
        <v>0</v>
      </c>
      <c r="BA131" s="15" t="n">
        <f aca="false">0</f>
        <v>0</v>
      </c>
      <c r="BB131" s="15" t="n">
        <f aca="false">0</f>
        <v>0</v>
      </c>
      <c r="BC131" s="15" t="n">
        <f aca="false">0</f>
        <v>0</v>
      </c>
      <c r="BD131" s="15" t="n">
        <f aca="false">(BH130)+AC131-AF131-AI131-AS131-K131*(1+Parametri_v3!$C$26)-AL131-AQ131-O131+AW131+AX131+AZ131+BA131-BB131</f>
        <v>5971.18315789474</v>
      </c>
      <c r="BE131" s="15" t="n">
        <f aca="false">0</f>
        <v>0</v>
      </c>
      <c r="BF131" s="15" t="n">
        <f aca="false">0</f>
        <v>0</v>
      </c>
      <c r="BG131" s="15" t="n">
        <f aca="false">0</f>
        <v>0</v>
      </c>
      <c r="BH131" s="15" t="n">
        <f aca="false">BD131+BE131-BF131-AY131</f>
        <v>5971.18315789474</v>
      </c>
      <c r="BI131" s="15" t="n">
        <f aca="false">MAX(0,Parametri_v3!$C$31-BH131)</f>
        <v>4028.81684210527</v>
      </c>
      <c r="BJ131" s="15" t="n">
        <f aca="false">(BJ130)+K131</f>
        <v>1750</v>
      </c>
      <c r="BK131" s="15" t="n">
        <f aca="false">(BK130)+L131</f>
        <v>194.444444444444</v>
      </c>
      <c r="BL131" s="15" t="n">
        <f aca="false">BJ131-BK131</f>
        <v>1555.55555555556</v>
      </c>
      <c r="BM131" s="15" t="n">
        <f aca="false">(BM130)+Y131</f>
        <v>20532.3618274854</v>
      </c>
      <c r="BN131" s="15" t="n">
        <f aca="false">(BN130)+AW131+AX131+AZ131</f>
        <v>20000</v>
      </c>
      <c r="BO131" s="15" t="n">
        <f aca="false">(BO130)+AY131</f>
        <v>0</v>
      </c>
      <c r="BP131" s="15" t="n">
        <f aca="false">MIN(Parametri_v3!$C$36*Parametri_v3!$C$35,(BP130)+IF(7=1,MAX(0,0)*Parametri_v3!$C$34,0))</f>
        <v>0</v>
      </c>
      <c r="BQ131" s="15" t="n">
        <f aca="false">BN131+BM131-BO131</f>
        <v>40532.3618274854</v>
      </c>
      <c r="BR131" s="15" t="n">
        <f aca="false">BH131+AD131+BL131+MAX(0,-AM131)+MAX(0,-AR131)</f>
        <v>66857.2650292398</v>
      </c>
      <c r="BS131" s="15" t="n">
        <f aca="false">AJ131+AV131+MAX(0,AM131)+MAX(0,AR131)+BC131+BG131+BQ131+AG131</f>
        <v>66857.2650292397</v>
      </c>
      <c r="BT131" s="15" t="n">
        <f aca="false">BR131-BS131</f>
        <v>0</v>
      </c>
      <c r="BU131" s="15" t="n">
        <f aca="false">BH131-(BD131+BE131-BF131-AY131)</f>
        <v>0</v>
      </c>
      <c r="BV131" s="15" t="n">
        <f aca="false">IF(BH130&lt;Parametri_v3!$C$31,0,BV130+1)</f>
        <v>0</v>
      </c>
    </row>
    <row r="132" customFormat="false" ht="18" hidden="false" customHeight="true" outlineLevel="0" collapsed="false">
      <c r="A132" s="68" t="n">
        <f aca="false">3</f>
        <v>3</v>
      </c>
      <c r="B132" s="68" t="n">
        <f aca="false">8</f>
        <v>8</v>
      </c>
      <c r="C132" s="18" t="n">
        <f aca="false">Motore_Operativo!C132</f>
        <v>46600</v>
      </c>
      <c r="D132" s="68" t="n">
        <f aca="false">Motore_Operativo!D132</f>
        <v>2027</v>
      </c>
      <c r="E132" s="68" t="n">
        <f aca="false">Motore_Operativo!E132</f>
        <v>8</v>
      </c>
      <c r="F132" s="15" t="n">
        <f aca="false">Motore_Operativo!AM132</f>
        <v>16210.5263157895</v>
      </c>
      <c r="G132" s="15" t="n">
        <f aca="false">Motore_Operativo!BH132</f>
        <v>1621.05263157895</v>
      </c>
      <c r="H132" s="15" t="n">
        <f aca="false">Motore_Operativo!AM132</f>
        <v>16210.5263157895</v>
      </c>
      <c r="I132" s="15" t="n">
        <f aca="false">Motore_Operativo!CB132</f>
        <v>12114.5175438596</v>
      </c>
      <c r="J132" s="15" t="n">
        <f aca="false">Motore_Operativo!CD132</f>
        <v>4096.00877192982</v>
      </c>
      <c r="K132" s="15" t="n">
        <f aca="false">Motore_Operativo!CF132</f>
        <v>250</v>
      </c>
      <c r="L132" s="15" t="n">
        <f aca="false">SUM(INDEX($K$125:$K$184,MAX(1,8-Parametri_v3!$C$59+1)):K132)/Parametri_v3!$C$59</f>
        <v>55.5555555555556</v>
      </c>
      <c r="M132" s="15" t="n">
        <f aca="false">J132-L132</f>
        <v>4040.45321637427</v>
      </c>
      <c r="N132" s="15" t="n">
        <f aca="false">0</f>
        <v>0</v>
      </c>
      <c r="O132" s="15" t="n">
        <f aca="false">0</f>
        <v>0</v>
      </c>
      <c r="P132" s="15" t="n">
        <f aca="false">M132+N132-O132</f>
        <v>4040.45321637427</v>
      </c>
      <c r="Q132" s="15" t="n">
        <f aca="false">SUM(P125:P132)+Parametri_v3!$C$56*8/12</f>
        <v>32518.0701754386</v>
      </c>
      <c r="R132" s="15" t="n">
        <f aca="false">0</f>
        <v>0</v>
      </c>
      <c r="S132" s="15" t="n">
        <f aca="false">0</f>
        <v>0</v>
      </c>
      <c r="T132" s="15" t="n">
        <f aca="false">MIN(R132,MAX(0,Q132))</f>
        <v>0</v>
      </c>
      <c r="U132" s="15" t="n">
        <f aca="false">MIN(S132,MAX(0,Q132-T132)*Parametri_v3!$C$42)</f>
        <v>0</v>
      </c>
      <c r="V132" s="15" t="n">
        <f aca="false">MAX(0,Q132-T132-U132)*Ipotesi!$C$92</f>
        <v>7804.33684210526</v>
      </c>
      <c r="W132" s="15" t="n">
        <f aca="false">MAX(0,SUM(M125:M132)+Parametri_v3!$C$57*8/12)*Ipotesi!$C$93</f>
        <v>1268.2047368421</v>
      </c>
      <c r="X132" s="15" t="n">
        <f aca="false">V132+W132-(V131+W131)</f>
        <v>1127.28644736842</v>
      </c>
      <c r="Y132" s="15" t="n">
        <f aca="false">P132-X132</f>
        <v>2913.16676900585</v>
      </c>
      <c r="Z132" s="15" t="n">
        <f aca="false">R132-T132+IF(AND(Parametri_v3!$C$40=1,D132-YEAR(Parametri_v3!$C$50)&lt;Parametri_v3!$C$41),MAX(0,-Q132),0)</f>
        <v>0</v>
      </c>
      <c r="AA132" s="15" t="n">
        <f aca="false">S132-U132+IF(AND(Parametri_v3!$C$40=1,D132-YEAR(Parametri_v3!$C$50)&lt;Parametri_v3!$C$41),0,MAX(0,-Q132))</f>
        <v>0</v>
      </c>
      <c r="AB132" s="15" t="n">
        <f aca="false">F132*(1+Parametri_v3!$C$26)</f>
        <v>19776.8421052632</v>
      </c>
      <c r="AC132" s="15" t="n">
        <f aca="false">(IF(8-(INT((Motore_Operativo!L132)/30))&lt;1,0,INDEX(Motore_Advisory!$AB$125:$AB$184,MAX(1,8-(INT((Motore_Operativo!L132)/30)))))*(1-(MOD((Motore_Operativo!L132),30)/30))+IF(8-(INT((Motore_Operativo!L132)/30))-1&lt;1,0,INDEX(Motore_Advisory!$AB$125:$AB$184,MAX(1,8-(INT((Motore_Operativo!L132)/30))-1)))*(MOD((Motore_Operativo!L132),30)/30))</f>
        <v>19776.8421052632</v>
      </c>
      <c r="AD132" s="15" t="n">
        <f aca="false">(AD131)+AB132-AC132</f>
        <v>59330.5263157895</v>
      </c>
      <c r="AE132" s="15" t="n">
        <f aca="false">Motore_Operativo!BH132*(1+Parametri_v3!$C$26)</f>
        <v>1977.68421052632</v>
      </c>
      <c r="AF132" s="15" t="n">
        <f aca="false">(IF(8-(INT((Parametri_v3!$C$29)/30))&lt;1,0,INDEX(Motore_Operativo!$BH$125:$BH$184,MAX(1,8-(INT((Parametri_v3!$C$29)/30)))))*(1-(MOD((Parametri_v3!$C$29),30)/30))+IF(8-(INT((Parametri_v3!$C$29)/30))-1&lt;1,0,INDEX(Motore_Operativo!$BH$125:$BH$184,MAX(1,8-(INT((Parametri_v3!$C$29)/30))-1)))*(MOD((Parametri_v3!$C$29),30)/30))*(1+Parametri_v3!$C$26)</f>
        <v>1977.68421052632</v>
      </c>
      <c r="AG132" s="15" t="n">
        <f aca="false">(AG131)+AE132-AF132</f>
        <v>1977.68421052632</v>
      </c>
      <c r="AH132" s="15" t="n">
        <f aca="false">(Motore_Operativo!CK132)*(1+Parametri_v3!$C$28*Parametri_v3!$C$26)</f>
        <v>6166.3147368421</v>
      </c>
      <c r="AI132" s="15" t="n">
        <f aca="false">(IF(8-(INT((Ipotesi!$C$91)/30))&lt;1,0,INDEX(Motore_Advisory!$AH$125:$AH$184,MAX(1,8-(INT((Ipotesi!$C$91)/30)))))*(1-(MOD((Ipotesi!$C$91),30)/30))+IF(8-(INT((Ipotesi!$C$91)/30))-1&lt;1,0,INDEX(Motore_Advisory!$AH$125:$AH$184,MAX(1,8-(INT((Ipotesi!$C$91)/30))-1)))*(MOD((Ipotesi!$C$91),30)/30))</f>
        <v>6166.3147368421</v>
      </c>
      <c r="AJ132" s="15" t="n">
        <f aca="false">(AJ131)+AH132-AI132</f>
        <v>12332.6294736842</v>
      </c>
      <c r="AK132" s="15" t="n">
        <f aca="false">(F132- Motore_Operativo!BH132-(Motore_Operativo!CK132)*Parametri_v3!$C$28-Motore_Operativo!CF132)*Parametri_v3!$C$26</f>
        <v>2231.83438596491</v>
      </c>
      <c r="AL132" s="15" t="n">
        <f aca="false">MAX(0,(AM131))</f>
        <v>2231.83438596491</v>
      </c>
      <c r="AM132" s="15" t="n">
        <f aca="false">(AM131)+AK132-AL132</f>
        <v>2231.83438596491</v>
      </c>
      <c r="AN132" s="15" t="n">
        <f aca="false">0</f>
        <v>0</v>
      </c>
      <c r="AO132" s="15" t="n">
        <f aca="false">0</f>
        <v>0</v>
      </c>
      <c r="AP132" s="15" t="n">
        <f aca="false">MAX(0,AN132)*IF(8=Parametri_v3!$C$43,Parametri_v3!$C$45,IF(8=Parametri_v3!$C$44,1-Parametri_v3!$C$45,0))</f>
        <v>0</v>
      </c>
      <c r="AQ132" s="15" t="n">
        <f aca="false">MAX(0,AP132+IF(8=Parametri_v3!$C$43,MAX(0,AN132-AO132),0)-MAX(0,-(AR131)))</f>
        <v>0</v>
      </c>
      <c r="AR132" s="15" t="n">
        <f aca="false">(AR131)+X132-AQ132</f>
        <v>9072.54157894737</v>
      </c>
      <c r="AS132" s="15" t="n">
        <f aca="false">Motore_Operativo!AC132-AT132+AU132</f>
        <v>4987.5</v>
      </c>
      <c r="AT132" s="15" t="n">
        <f aca="false">Motore_Operativo!CI132</f>
        <v>262.5</v>
      </c>
      <c r="AU132" s="15" t="n">
        <f aca="false">MIN(MAX(0,(AV131)+AT132),Parametri_v3!$C$61/12)</f>
        <v>0</v>
      </c>
      <c r="AV132" s="15" t="n">
        <f aca="false">(AV131)+AT132-AU132</f>
        <v>2100</v>
      </c>
      <c r="AW132" s="15" t="n">
        <f aca="false">IF(AND(Motore_Operativo!C132=Finanziamenti!$D$7,Finanziamenti!$F$7=1),Finanziamenti!$C$7,0)</f>
        <v>0</v>
      </c>
      <c r="AX132" s="15" t="n">
        <f aca="false">0</f>
        <v>0</v>
      </c>
      <c r="AY132" s="15" t="n">
        <f aca="false">IF(8=Parametri_v3!$C$33,IF(BV132&lt;MIN(12,$B132-1),0,MIN(MAX(0,0)*Ipotesi!$C$94,MAX(0,(0)-(BO131)-BP132),MAX(0,BD132-Parametri_v3!$C$31))),0)</f>
        <v>0</v>
      </c>
      <c r="AZ132" s="15" t="n">
        <f aca="false">0</f>
        <v>0</v>
      </c>
      <c r="BA132" s="15" t="n">
        <f aca="false">0</f>
        <v>0</v>
      </c>
      <c r="BB132" s="15" t="n">
        <f aca="false">0</f>
        <v>0</v>
      </c>
      <c r="BC132" s="15" t="n">
        <f aca="false">0</f>
        <v>0</v>
      </c>
      <c r="BD132" s="15" t="n">
        <f aca="false">(BH131)+AC132-AF132-AI132-AS132-K132*(1+Parametri_v3!$C$26)-AL132-AQ132-O132+AW132+AX132+AZ132+BA132-BB132</f>
        <v>10079.6919298246</v>
      </c>
      <c r="BE132" s="15" t="n">
        <f aca="false">0</f>
        <v>0</v>
      </c>
      <c r="BF132" s="15" t="n">
        <f aca="false">0</f>
        <v>0</v>
      </c>
      <c r="BG132" s="15" t="n">
        <f aca="false">0</f>
        <v>0</v>
      </c>
      <c r="BH132" s="15" t="n">
        <f aca="false">BD132+BE132-BF132-AY132</f>
        <v>10079.6919298246</v>
      </c>
      <c r="BI132" s="15" t="n">
        <f aca="false">MAX(0,Parametri_v3!$C$31-BH132)</f>
        <v>0</v>
      </c>
      <c r="BJ132" s="15" t="n">
        <f aca="false">(BJ131)+K132</f>
        <v>2000</v>
      </c>
      <c r="BK132" s="15" t="n">
        <f aca="false">(BK131)+L132</f>
        <v>250</v>
      </c>
      <c r="BL132" s="15" t="n">
        <f aca="false">BJ132-BK132</f>
        <v>1750</v>
      </c>
      <c r="BM132" s="15" t="n">
        <f aca="false">(BM131)+Y132</f>
        <v>23445.5285964912</v>
      </c>
      <c r="BN132" s="15" t="n">
        <f aca="false">(BN131)+AW132+AX132+AZ132</f>
        <v>20000</v>
      </c>
      <c r="BO132" s="15" t="n">
        <f aca="false">(BO131)+AY132</f>
        <v>0</v>
      </c>
      <c r="BP132" s="15" t="n">
        <f aca="false">MIN(Parametri_v3!$C$36*Parametri_v3!$C$35,(BP131)+IF(8=1,MAX(0,0)*Parametri_v3!$C$34,0))</f>
        <v>0</v>
      </c>
      <c r="BQ132" s="15" t="n">
        <f aca="false">BN132+BM132-BO132</f>
        <v>43445.5285964912</v>
      </c>
      <c r="BR132" s="15" t="n">
        <f aca="false">BH132+AD132+BL132+MAX(0,-AM132)+MAX(0,-AR132)</f>
        <v>71160.218245614</v>
      </c>
      <c r="BS132" s="15" t="n">
        <f aca="false">AJ132+AV132+MAX(0,AM132)+MAX(0,AR132)+BC132+BG132+BQ132+AG132</f>
        <v>71160.218245614</v>
      </c>
      <c r="BT132" s="15" t="n">
        <f aca="false">BR132-BS132</f>
        <v>0</v>
      </c>
      <c r="BU132" s="15" t="n">
        <f aca="false">BH132-(BD132+BE132-BF132-AY132)</f>
        <v>0</v>
      </c>
      <c r="BV132" s="15" t="n">
        <f aca="false">IF(BH131&lt;Parametri_v3!$C$31,0,BV131+1)</f>
        <v>0</v>
      </c>
    </row>
    <row r="133" customFormat="false" ht="18" hidden="false" customHeight="true" outlineLevel="0" collapsed="false">
      <c r="A133" s="68" t="n">
        <f aca="false">3</f>
        <v>3</v>
      </c>
      <c r="B133" s="68" t="n">
        <f aca="false">9</f>
        <v>9</v>
      </c>
      <c r="C133" s="18" t="n">
        <f aca="false">Motore_Operativo!C133</f>
        <v>46631</v>
      </c>
      <c r="D133" s="68" t="n">
        <f aca="false">Motore_Operativo!D133</f>
        <v>2027</v>
      </c>
      <c r="E133" s="68" t="n">
        <f aca="false">Motore_Operativo!E133</f>
        <v>9</v>
      </c>
      <c r="F133" s="15" t="n">
        <f aca="false">Motore_Operativo!AM133</f>
        <v>16210.5263157895</v>
      </c>
      <c r="G133" s="15" t="n">
        <f aca="false">Motore_Operativo!BH133</f>
        <v>1621.05263157895</v>
      </c>
      <c r="H133" s="15" t="n">
        <f aca="false">Motore_Operativo!AM133</f>
        <v>16210.5263157895</v>
      </c>
      <c r="I133" s="15" t="n">
        <f aca="false">Motore_Operativo!CB133</f>
        <v>12114.5175438596</v>
      </c>
      <c r="J133" s="15" t="n">
        <f aca="false">Motore_Operativo!CD133</f>
        <v>4096.00877192982</v>
      </c>
      <c r="K133" s="15" t="n">
        <f aca="false">Motore_Operativo!CF133</f>
        <v>250</v>
      </c>
      <c r="L133" s="15" t="n">
        <f aca="false">SUM(INDEX($K$125:$K$184,MAX(1,9-Parametri_v3!$C$59+1)):K133)/Parametri_v3!$C$59</f>
        <v>62.5</v>
      </c>
      <c r="M133" s="15" t="n">
        <f aca="false">J133-L133</f>
        <v>4033.50877192982</v>
      </c>
      <c r="N133" s="15" t="n">
        <f aca="false">0</f>
        <v>0</v>
      </c>
      <c r="O133" s="15" t="n">
        <f aca="false">0</f>
        <v>0</v>
      </c>
      <c r="P133" s="15" t="n">
        <f aca="false">M133+N133-O133</f>
        <v>4033.50877192982</v>
      </c>
      <c r="Q133" s="15" t="n">
        <f aca="false">SUM(P125:P133)+Parametri_v3!$C$56*9/12</f>
        <v>36551.5789473684</v>
      </c>
      <c r="R133" s="15" t="n">
        <f aca="false">0</f>
        <v>0</v>
      </c>
      <c r="S133" s="15" t="n">
        <f aca="false">0</f>
        <v>0</v>
      </c>
      <c r="T133" s="15" t="n">
        <f aca="false">MIN(R133,MAX(0,Q133))</f>
        <v>0</v>
      </c>
      <c r="U133" s="15" t="n">
        <f aca="false">MIN(S133,MAX(0,Q133-T133)*Parametri_v3!$C$42)</f>
        <v>0</v>
      </c>
      <c r="V133" s="15" t="n">
        <f aca="false">MAX(0,Q133-T133-U133)*Ipotesi!$C$92</f>
        <v>8772.37894736842</v>
      </c>
      <c r="W133" s="15" t="n">
        <f aca="false">MAX(0,SUM(M125:M133)+Parametri_v3!$C$57*9/12)*Ipotesi!$C$93</f>
        <v>1425.51157894737</v>
      </c>
      <c r="X133" s="15" t="n">
        <f aca="false">V133+W133-(V132+W132)</f>
        <v>1125.34894736842</v>
      </c>
      <c r="Y133" s="15" t="n">
        <f aca="false">P133-X133</f>
        <v>2908.1598245614</v>
      </c>
      <c r="Z133" s="15" t="n">
        <f aca="false">R133-T133+IF(AND(Parametri_v3!$C$40=1,D133-YEAR(Parametri_v3!$C$50)&lt;Parametri_v3!$C$41),MAX(0,-Q133),0)</f>
        <v>0</v>
      </c>
      <c r="AA133" s="15" t="n">
        <f aca="false">S133-U133+IF(AND(Parametri_v3!$C$40=1,D133-YEAR(Parametri_v3!$C$50)&lt;Parametri_v3!$C$41),0,MAX(0,-Q133))</f>
        <v>0</v>
      </c>
      <c r="AB133" s="15" t="n">
        <f aca="false">F133*(1+Parametri_v3!$C$26)</f>
        <v>19776.8421052632</v>
      </c>
      <c r="AC133" s="15" t="n">
        <f aca="false">(IF(9-(INT((Motore_Operativo!L133)/30))&lt;1,0,INDEX(Motore_Advisory!$AB$125:$AB$184,MAX(1,9-(INT((Motore_Operativo!L133)/30)))))*(1-(MOD((Motore_Operativo!L133),30)/30))+IF(9-(INT((Motore_Operativo!L133)/30))-1&lt;1,0,INDEX(Motore_Advisory!$AB$125:$AB$184,MAX(1,9-(INT((Motore_Operativo!L133)/30))-1)))*(MOD((Motore_Operativo!L133),30)/30))</f>
        <v>19776.8421052632</v>
      </c>
      <c r="AD133" s="15" t="n">
        <f aca="false">(AD132)+AB133-AC133</f>
        <v>59330.5263157895</v>
      </c>
      <c r="AE133" s="15" t="n">
        <f aca="false">Motore_Operativo!BH133*(1+Parametri_v3!$C$26)</f>
        <v>1977.68421052632</v>
      </c>
      <c r="AF133" s="15" t="n">
        <f aca="false">(IF(9-(INT((Parametri_v3!$C$29)/30))&lt;1,0,INDEX(Motore_Operativo!$BH$125:$BH$184,MAX(1,9-(INT((Parametri_v3!$C$29)/30)))))*(1-(MOD((Parametri_v3!$C$29),30)/30))+IF(9-(INT((Parametri_v3!$C$29)/30))-1&lt;1,0,INDEX(Motore_Operativo!$BH$125:$BH$184,MAX(1,9-(INT((Parametri_v3!$C$29)/30))-1)))*(MOD((Parametri_v3!$C$29),30)/30))*(1+Parametri_v3!$C$26)</f>
        <v>1977.68421052632</v>
      </c>
      <c r="AG133" s="15" t="n">
        <f aca="false">(AG132)+AE133-AF133</f>
        <v>1977.68421052632</v>
      </c>
      <c r="AH133" s="15" t="n">
        <f aca="false">(Motore_Operativo!CK133)*(1+Parametri_v3!$C$28*Parametri_v3!$C$26)</f>
        <v>6166.3147368421</v>
      </c>
      <c r="AI133" s="15" t="n">
        <f aca="false">(IF(9-(INT((Ipotesi!$C$91)/30))&lt;1,0,INDEX(Motore_Advisory!$AH$125:$AH$184,MAX(1,9-(INT((Ipotesi!$C$91)/30)))))*(1-(MOD((Ipotesi!$C$91),30)/30))+IF(9-(INT((Ipotesi!$C$91)/30))-1&lt;1,0,INDEX(Motore_Advisory!$AH$125:$AH$184,MAX(1,9-(INT((Ipotesi!$C$91)/30))-1)))*(MOD((Ipotesi!$C$91),30)/30))</f>
        <v>6166.3147368421</v>
      </c>
      <c r="AJ133" s="15" t="n">
        <f aca="false">(AJ132)+AH133-AI133</f>
        <v>12332.6294736842</v>
      </c>
      <c r="AK133" s="15" t="n">
        <f aca="false">(F133- Motore_Operativo!BH133-(Motore_Operativo!CK133)*Parametri_v3!$C$28-Motore_Operativo!CF133)*Parametri_v3!$C$26</f>
        <v>2231.83438596491</v>
      </c>
      <c r="AL133" s="15" t="n">
        <f aca="false">MAX(0,(AM132))</f>
        <v>2231.83438596491</v>
      </c>
      <c r="AM133" s="15" t="n">
        <f aca="false">(AM132)+AK133-AL133</f>
        <v>2231.83438596491</v>
      </c>
      <c r="AN133" s="15" t="n">
        <f aca="false">0</f>
        <v>0</v>
      </c>
      <c r="AO133" s="15" t="n">
        <f aca="false">0</f>
        <v>0</v>
      </c>
      <c r="AP133" s="15" t="n">
        <f aca="false">MAX(0,AN133)*IF(9=Parametri_v3!$C$43,Parametri_v3!$C$45,IF(9=Parametri_v3!$C$44,1-Parametri_v3!$C$45,0))</f>
        <v>0</v>
      </c>
      <c r="AQ133" s="15" t="n">
        <f aca="false">MAX(0,AP133+IF(9=Parametri_v3!$C$43,MAX(0,AN133-AO133),0)-MAX(0,-(AR132)))</f>
        <v>0</v>
      </c>
      <c r="AR133" s="15" t="n">
        <f aca="false">(AR132)+X133-AQ133</f>
        <v>10197.8905263158</v>
      </c>
      <c r="AS133" s="15" t="n">
        <f aca="false">Motore_Operativo!AC133-AT133+AU133</f>
        <v>4987.5</v>
      </c>
      <c r="AT133" s="15" t="n">
        <f aca="false">Motore_Operativo!CI133</f>
        <v>262.5</v>
      </c>
      <c r="AU133" s="15" t="n">
        <f aca="false">MIN(MAX(0,(AV132)+AT133),Parametri_v3!$C$61/12)</f>
        <v>0</v>
      </c>
      <c r="AV133" s="15" t="n">
        <f aca="false">(AV132)+AT133-AU133</f>
        <v>2362.5</v>
      </c>
      <c r="AW133" s="15" t="n">
        <f aca="false">IF(AND(Motore_Operativo!C133=Finanziamenti!$D$7,Finanziamenti!$F$7=1),Finanziamenti!$C$7,0)</f>
        <v>0</v>
      </c>
      <c r="AX133" s="15" t="n">
        <f aca="false">0</f>
        <v>0</v>
      </c>
      <c r="AY133" s="15" t="n">
        <f aca="false">IF(9=Parametri_v3!$C$33,IF(BV133&lt;MIN(12,$B133-1),0,MIN(MAX(0,0)*Ipotesi!$C$94,MAX(0,(0)-(BO132)-BP133),MAX(0,BD133-Parametri_v3!$C$31))),0)</f>
        <v>0</v>
      </c>
      <c r="AZ133" s="15" t="n">
        <f aca="false">0</f>
        <v>0</v>
      </c>
      <c r="BA133" s="15" t="n">
        <f aca="false">0</f>
        <v>0</v>
      </c>
      <c r="BB133" s="15" t="n">
        <f aca="false">0</f>
        <v>0</v>
      </c>
      <c r="BC133" s="15" t="n">
        <f aca="false">0</f>
        <v>0</v>
      </c>
      <c r="BD133" s="15" t="n">
        <f aca="false">(BH132)+AC133-AF133-AI133-AS133-K133*(1+Parametri_v3!$C$26)-AL133-AQ133-O133+AW133+AX133+AZ133+BA133-BB133</f>
        <v>14188.2007017544</v>
      </c>
      <c r="BE133" s="15" t="n">
        <f aca="false">0</f>
        <v>0</v>
      </c>
      <c r="BF133" s="15" t="n">
        <f aca="false">0</f>
        <v>0</v>
      </c>
      <c r="BG133" s="15" t="n">
        <f aca="false">0</f>
        <v>0</v>
      </c>
      <c r="BH133" s="15" t="n">
        <f aca="false">BD133+BE133-BF133-AY133</f>
        <v>14188.2007017544</v>
      </c>
      <c r="BI133" s="15" t="n">
        <f aca="false">MAX(0,Parametri_v3!$C$31-BH133)</f>
        <v>0</v>
      </c>
      <c r="BJ133" s="15" t="n">
        <f aca="false">(BJ132)+K133</f>
        <v>2250</v>
      </c>
      <c r="BK133" s="15" t="n">
        <f aca="false">(BK132)+L133</f>
        <v>312.5</v>
      </c>
      <c r="BL133" s="15" t="n">
        <f aca="false">BJ133-BK133</f>
        <v>1937.5</v>
      </c>
      <c r="BM133" s="15" t="n">
        <f aca="false">(BM132)+Y133</f>
        <v>26353.6884210526</v>
      </c>
      <c r="BN133" s="15" t="n">
        <f aca="false">(BN132)+AW133+AX133+AZ133</f>
        <v>20000</v>
      </c>
      <c r="BO133" s="15" t="n">
        <f aca="false">(BO132)+AY133</f>
        <v>0</v>
      </c>
      <c r="BP133" s="15" t="n">
        <f aca="false">MIN(Parametri_v3!$C$36*Parametri_v3!$C$35,(BP132)+IF(9=1,MAX(0,0)*Parametri_v3!$C$34,0))</f>
        <v>0</v>
      </c>
      <c r="BQ133" s="15" t="n">
        <f aca="false">BN133+BM133-BO133</f>
        <v>46353.6884210526</v>
      </c>
      <c r="BR133" s="15" t="n">
        <f aca="false">BH133+AD133+BL133+MAX(0,-AM133)+MAX(0,-AR133)</f>
        <v>75456.2270175438</v>
      </c>
      <c r="BS133" s="15" t="n">
        <f aca="false">AJ133+AV133+MAX(0,AM133)+MAX(0,AR133)+BC133+BG133+BQ133+AG133</f>
        <v>75456.2270175438</v>
      </c>
      <c r="BT133" s="15" t="n">
        <f aca="false">BR133-BS133</f>
        <v>0</v>
      </c>
      <c r="BU133" s="15" t="n">
        <f aca="false">BH133-(BD133+BE133-BF133-AY133)</f>
        <v>0</v>
      </c>
      <c r="BV133" s="15" t="n">
        <f aca="false">IF(BH132&lt;Parametri_v3!$C$31,0,BV132+1)</f>
        <v>1</v>
      </c>
    </row>
    <row r="134" customFormat="false" ht="18" hidden="false" customHeight="true" outlineLevel="0" collapsed="false">
      <c r="A134" s="68" t="n">
        <f aca="false">3</f>
        <v>3</v>
      </c>
      <c r="B134" s="68" t="n">
        <f aca="false">10</f>
        <v>10</v>
      </c>
      <c r="C134" s="18" t="n">
        <f aca="false">Motore_Operativo!C134</f>
        <v>46661</v>
      </c>
      <c r="D134" s="68" t="n">
        <f aca="false">Motore_Operativo!D134</f>
        <v>2027</v>
      </c>
      <c r="E134" s="68" t="n">
        <f aca="false">Motore_Operativo!E134</f>
        <v>10</v>
      </c>
      <c r="F134" s="15" t="n">
        <f aca="false">Motore_Operativo!AM134</f>
        <v>16210.5263157895</v>
      </c>
      <c r="G134" s="15" t="n">
        <f aca="false">Motore_Operativo!BH134</f>
        <v>1621.05263157895</v>
      </c>
      <c r="H134" s="15" t="n">
        <f aca="false">Motore_Operativo!AM134</f>
        <v>16210.5263157895</v>
      </c>
      <c r="I134" s="15" t="n">
        <f aca="false">Motore_Operativo!CB134</f>
        <v>12114.5175438596</v>
      </c>
      <c r="J134" s="15" t="n">
        <f aca="false">Motore_Operativo!CD134</f>
        <v>4096.00877192982</v>
      </c>
      <c r="K134" s="15" t="n">
        <f aca="false">Motore_Operativo!CF134</f>
        <v>250</v>
      </c>
      <c r="L134" s="15" t="n">
        <f aca="false">SUM(INDEX($K$125:$K$184,MAX(1,10-Parametri_v3!$C$59+1)):K134)/Parametri_v3!$C$59</f>
        <v>69.4444444444444</v>
      </c>
      <c r="M134" s="15" t="n">
        <f aca="false">J134-L134</f>
        <v>4026.56432748538</v>
      </c>
      <c r="N134" s="15" t="n">
        <f aca="false">0</f>
        <v>0</v>
      </c>
      <c r="O134" s="15" t="n">
        <f aca="false">0</f>
        <v>0</v>
      </c>
      <c r="P134" s="15" t="n">
        <f aca="false">M134+N134-O134</f>
        <v>4026.56432748538</v>
      </c>
      <c r="Q134" s="15" t="n">
        <f aca="false">SUM(P125:P134)+Parametri_v3!$C$56*10/12</f>
        <v>40578.1432748538</v>
      </c>
      <c r="R134" s="15" t="n">
        <f aca="false">0</f>
        <v>0</v>
      </c>
      <c r="S134" s="15" t="n">
        <f aca="false">0</f>
        <v>0</v>
      </c>
      <c r="T134" s="15" t="n">
        <f aca="false">MIN(R134,MAX(0,Q134))</f>
        <v>0</v>
      </c>
      <c r="U134" s="15" t="n">
        <f aca="false">MIN(S134,MAX(0,Q134-T134)*Parametri_v3!$C$42)</f>
        <v>0</v>
      </c>
      <c r="V134" s="15" t="n">
        <f aca="false">MAX(0,Q134-T134-U134)*Ipotesi!$C$92</f>
        <v>9738.75438596491</v>
      </c>
      <c r="W134" s="15" t="n">
        <f aca="false">MAX(0,SUM(M125:M134)+Parametri_v3!$C$57*10/12)*Ipotesi!$C$93</f>
        <v>1582.5475877193</v>
      </c>
      <c r="X134" s="15" t="n">
        <f aca="false">V134+W134-(V133+W133)</f>
        <v>1123.41144736842</v>
      </c>
      <c r="Y134" s="15" t="n">
        <f aca="false">P134-X134</f>
        <v>2903.15288011696</v>
      </c>
      <c r="Z134" s="15" t="n">
        <f aca="false">R134-T134+IF(AND(Parametri_v3!$C$40=1,D134-YEAR(Parametri_v3!$C$50)&lt;Parametri_v3!$C$41),MAX(0,-Q134),0)</f>
        <v>0</v>
      </c>
      <c r="AA134" s="15" t="n">
        <f aca="false">S134-U134+IF(AND(Parametri_v3!$C$40=1,D134-YEAR(Parametri_v3!$C$50)&lt;Parametri_v3!$C$41),0,MAX(0,-Q134))</f>
        <v>0</v>
      </c>
      <c r="AB134" s="15" t="n">
        <f aca="false">F134*(1+Parametri_v3!$C$26)</f>
        <v>19776.8421052632</v>
      </c>
      <c r="AC134" s="15" t="n">
        <f aca="false">(IF(10-(INT((Motore_Operativo!L134)/30))&lt;1,0,INDEX(Motore_Advisory!$AB$125:$AB$184,MAX(1,10-(INT((Motore_Operativo!L134)/30)))))*(1-(MOD((Motore_Operativo!L134),30)/30))+IF(10-(INT((Motore_Operativo!L134)/30))-1&lt;1,0,INDEX(Motore_Advisory!$AB$125:$AB$184,MAX(1,10-(INT((Motore_Operativo!L134)/30))-1)))*(MOD((Motore_Operativo!L134),30)/30))</f>
        <v>19776.8421052632</v>
      </c>
      <c r="AD134" s="15" t="n">
        <f aca="false">(AD133)+AB134-AC134</f>
        <v>59330.5263157895</v>
      </c>
      <c r="AE134" s="15" t="n">
        <f aca="false">Motore_Operativo!BH134*(1+Parametri_v3!$C$26)</f>
        <v>1977.68421052632</v>
      </c>
      <c r="AF134" s="15" t="n">
        <f aca="false">(IF(10-(INT((Parametri_v3!$C$29)/30))&lt;1,0,INDEX(Motore_Operativo!$BH$125:$BH$184,MAX(1,10-(INT((Parametri_v3!$C$29)/30)))))*(1-(MOD((Parametri_v3!$C$29),30)/30))+IF(10-(INT((Parametri_v3!$C$29)/30))-1&lt;1,0,INDEX(Motore_Operativo!$BH$125:$BH$184,MAX(1,10-(INT((Parametri_v3!$C$29)/30))-1)))*(MOD((Parametri_v3!$C$29),30)/30))*(1+Parametri_v3!$C$26)</f>
        <v>1977.68421052632</v>
      </c>
      <c r="AG134" s="15" t="n">
        <f aca="false">(AG133)+AE134-AF134</f>
        <v>1977.68421052632</v>
      </c>
      <c r="AH134" s="15" t="n">
        <f aca="false">(Motore_Operativo!CK134)*(1+Parametri_v3!$C$28*Parametri_v3!$C$26)</f>
        <v>6166.3147368421</v>
      </c>
      <c r="AI134" s="15" t="n">
        <f aca="false">(IF(10-(INT((Ipotesi!$C$91)/30))&lt;1,0,INDEX(Motore_Advisory!$AH$125:$AH$184,MAX(1,10-(INT((Ipotesi!$C$91)/30)))))*(1-(MOD((Ipotesi!$C$91),30)/30))+IF(10-(INT((Ipotesi!$C$91)/30))-1&lt;1,0,INDEX(Motore_Advisory!$AH$125:$AH$184,MAX(1,10-(INT((Ipotesi!$C$91)/30))-1)))*(MOD((Ipotesi!$C$91),30)/30))</f>
        <v>6166.3147368421</v>
      </c>
      <c r="AJ134" s="15" t="n">
        <f aca="false">(AJ133)+AH134-AI134</f>
        <v>12332.6294736842</v>
      </c>
      <c r="AK134" s="15" t="n">
        <f aca="false">(F134- Motore_Operativo!BH134-(Motore_Operativo!CK134)*Parametri_v3!$C$28-Motore_Operativo!CF134)*Parametri_v3!$C$26</f>
        <v>2231.83438596491</v>
      </c>
      <c r="AL134" s="15" t="n">
        <f aca="false">MAX(0,(AM133))</f>
        <v>2231.83438596491</v>
      </c>
      <c r="AM134" s="15" t="n">
        <f aca="false">(AM133)+AK134-AL134</f>
        <v>2231.83438596491</v>
      </c>
      <c r="AN134" s="15" t="n">
        <f aca="false">0</f>
        <v>0</v>
      </c>
      <c r="AO134" s="15" t="n">
        <f aca="false">0</f>
        <v>0</v>
      </c>
      <c r="AP134" s="15" t="n">
        <f aca="false">MAX(0,AN134)*IF(10=Parametri_v3!$C$43,Parametri_v3!$C$45,IF(10=Parametri_v3!$C$44,1-Parametri_v3!$C$45,0))</f>
        <v>0</v>
      </c>
      <c r="AQ134" s="15" t="n">
        <f aca="false">MAX(0,AP134+IF(10=Parametri_v3!$C$43,MAX(0,AN134-AO134),0)-MAX(0,-(AR133)))</f>
        <v>0</v>
      </c>
      <c r="AR134" s="15" t="n">
        <f aca="false">(AR133)+X134-AQ134</f>
        <v>11321.3019736842</v>
      </c>
      <c r="AS134" s="15" t="n">
        <f aca="false">Motore_Operativo!AC134-AT134+AU134</f>
        <v>4987.5</v>
      </c>
      <c r="AT134" s="15" t="n">
        <f aca="false">Motore_Operativo!CI134</f>
        <v>262.5</v>
      </c>
      <c r="AU134" s="15" t="n">
        <f aca="false">MIN(MAX(0,(AV133)+AT134),Parametri_v3!$C$61/12)</f>
        <v>0</v>
      </c>
      <c r="AV134" s="15" t="n">
        <f aca="false">(AV133)+AT134-AU134</f>
        <v>2625</v>
      </c>
      <c r="AW134" s="15" t="n">
        <f aca="false">IF(AND(Motore_Operativo!C134=Finanziamenti!$D$7,Finanziamenti!$F$7=1),Finanziamenti!$C$7,0)</f>
        <v>0</v>
      </c>
      <c r="AX134" s="15" t="n">
        <f aca="false">0</f>
        <v>0</v>
      </c>
      <c r="AY134" s="15" t="n">
        <f aca="false">IF(10=Parametri_v3!$C$33,IF(BV134&lt;MIN(12,$B134-1),0,MIN(MAX(0,0)*Ipotesi!$C$94,MAX(0,(0)-(BO133)-BP134),MAX(0,BD134-Parametri_v3!$C$31))),0)</f>
        <v>0</v>
      </c>
      <c r="AZ134" s="15" t="n">
        <f aca="false">0</f>
        <v>0</v>
      </c>
      <c r="BA134" s="15" t="n">
        <f aca="false">0</f>
        <v>0</v>
      </c>
      <c r="BB134" s="15" t="n">
        <f aca="false">0</f>
        <v>0</v>
      </c>
      <c r="BC134" s="15" t="n">
        <f aca="false">0</f>
        <v>0</v>
      </c>
      <c r="BD134" s="15" t="n">
        <f aca="false">(BH133)+AC134-AF134-AI134-AS134-K134*(1+Parametri_v3!$C$26)-AL134-AQ134-O134+AW134+AX134+AZ134+BA134-BB134</f>
        <v>18296.7094736842</v>
      </c>
      <c r="BE134" s="15" t="n">
        <f aca="false">0</f>
        <v>0</v>
      </c>
      <c r="BF134" s="15" t="n">
        <f aca="false">0</f>
        <v>0</v>
      </c>
      <c r="BG134" s="15" t="n">
        <f aca="false">0</f>
        <v>0</v>
      </c>
      <c r="BH134" s="15" t="n">
        <f aca="false">BD134+BE134-BF134-AY134</f>
        <v>18296.7094736842</v>
      </c>
      <c r="BI134" s="15" t="n">
        <f aca="false">MAX(0,Parametri_v3!$C$31-BH134)</f>
        <v>0</v>
      </c>
      <c r="BJ134" s="15" t="n">
        <f aca="false">(BJ133)+K134</f>
        <v>2500</v>
      </c>
      <c r="BK134" s="15" t="n">
        <f aca="false">(BK133)+L134</f>
        <v>381.944444444444</v>
      </c>
      <c r="BL134" s="15" t="n">
        <f aca="false">BJ134-BK134</f>
        <v>2118.05555555556</v>
      </c>
      <c r="BM134" s="15" t="n">
        <f aca="false">(BM133)+Y134</f>
        <v>29256.8413011696</v>
      </c>
      <c r="BN134" s="15" t="n">
        <f aca="false">(BN133)+AW134+AX134+AZ134</f>
        <v>20000</v>
      </c>
      <c r="BO134" s="15" t="n">
        <f aca="false">(BO133)+AY134</f>
        <v>0</v>
      </c>
      <c r="BP134" s="15" t="n">
        <f aca="false">MIN(Parametri_v3!$C$36*Parametri_v3!$C$35,(BP133)+IF(10=1,MAX(0,0)*Parametri_v3!$C$34,0))</f>
        <v>0</v>
      </c>
      <c r="BQ134" s="15" t="n">
        <f aca="false">BN134+BM134-BO134</f>
        <v>49256.8413011696</v>
      </c>
      <c r="BR134" s="15" t="n">
        <f aca="false">BH134+AD134+BL134+MAX(0,-AM134)+MAX(0,-AR134)</f>
        <v>79745.2913450292</v>
      </c>
      <c r="BS134" s="15" t="n">
        <f aca="false">AJ134+AV134+MAX(0,AM134)+MAX(0,AR134)+BC134+BG134+BQ134+AG134</f>
        <v>79745.2913450292</v>
      </c>
      <c r="BT134" s="15" t="n">
        <f aca="false">BR134-BS134</f>
        <v>0</v>
      </c>
      <c r="BU134" s="15" t="n">
        <f aca="false">BH134-(BD134+BE134-BF134-AY134)</f>
        <v>0</v>
      </c>
      <c r="BV134" s="15" t="n">
        <f aca="false">IF(BH133&lt;Parametri_v3!$C$31,0,BV133+1)</f>
        <v>2</v>
      </c>
    </row>
    <row r="135" customFormat="false" ht="18" hidden="false" customHeight="true" outlineLevel="0" collapsed="false">
      <c r="A135" s="68" t="n">
        <f aca="false">3</f>
        <v>3</v>
      </c>
      <c r="B135" s="68" t="n">
        <f aca="false">11</f>
        <v>11</v>
      </c>
      <c r="C135" s="18" t="n">
        <f aca="false">Motore_Operativo!C135</f>
        <v>46692</v>
      </c>
      <c r="D135" s="68" t="n">
        <f aca="false">Motore_Operativo!D135</f>
        <v>2027</v>
      </c>
      <c r="E135" s="68" t="n">
        <f aca="false">Motore_Operativo!E135</f>
        <v>11</v>
      </c>
      <c r="F135" s="15" t="n">
        <f aca="false">Motore_Operativo!AM135</f>
        <v>16210.5263157895</v>
      </c>
      <c r="G135" s="15" t="n">
        <f aca="false">Motore_Operativo!BH135</f>
        <v>1621.05263157895</v>
      </c>
      <c r="H135" s="15" t="n">
        <f aca="false">Motore_Operativo!AM135</f>
        <v>16210.5263157895</v>
      </c>
      <c r="I135" s="15" t="n">
        <f aca="false">Motore_Operativo!CB135</f>
        <v>12114.5175438596</v>
      </c>
      <c r="J135" s="15" t="n">
        <f aca="false">Motore_Operativo!CD135</f>
        <v>4096.00877192982</v>
      </c>
      <c r="K135" s="15" t="n">
        <f aca="false">Motore_Operativo!CF135</f>
        <v>250</v>
      </c>
      <c r="L135" s="15" t="n">
        <f aca="false">SUM(INDEX($K$125:$K$184,MAX(1,11-Parametri_v3!$C$59+1)):K135)/Parametri_v3!$C$59</f>
        <v>76.3888888888889</v>
      </c>
      <c r="M135" s="15" t="n">
        <f aca="false">J135-L135</f>
        <v>4019.61988304093</v>
      </c>
      <c r="N135" s="15" t="n">
        <f aca="false">0</f>
        <v>0</v>
      </c>
      <c r="O135" s="15" t="n">
        <f aca="false">0</f>
        <v>0</v>
      </c>
      <c r="P135" s="15" t="n">
        <f aca="false">M135+N135-O135</f>
        <v>4019.61988304093</v>
      </c>
      <c r="Q135" s="15" t="n">
        <f aca="false">SUM(P125:P135)+Parametri_v3!$C$56*11/12</f>
        <v>44597.7631578947</v>
      </c>
      <c r="R135" s="15" t="n">
        <f aca="false">0</f>
        <v>0</v>
      </c>
      <c r="S135" s="15" t="n">
        <f aca="false">0</f>
        <v>0</v>
      </c>
      <c r="T135" s="15" t="n">
        <f aca="false">MIN(R135,MAX(0,Q135))</f>
        <v>0</v>
      </c>
      <c r="U135" s="15" t="n">
        <f aca="false">MIN(S135,MAX(0,Q135-T135)*Parametri_v3!$C$42)</f>
        <v>0</v>
      </c>
      <c r="V135" s="15" t="n">
        <f aca="false">MAX(0,Q135-T135-U135)*Ipotesi!$C$92</f>
        <v>10703.4631578947</v>
      </c>
      <c r="W135" s="15" t="n">
        <f aca="false">MAX(0,SUM(M125:M135)+Parametri_v3!$C$57*11/12)*Ipotesi!$C$93</f>
        <v>1739.31276315789</v>
      </c>
      <c r="X135" s="15" t="n">
        <f aca="false">V135+W135-(V134+W134)</f>
        <v>1121.47394736842</v>
      </c>
      <c r="Y135" s="15" t="n">
        <f aca="false">P135-X135</f>
        <v>2898.14593567252</v>
      </c>
      <c r="Z135" s="15" t="n">
        <f aca="false">R135-T135+IF(AND(Parametri_v3!$C$40=1,D135-YEAR(Parametri_v3!$C$50)&lt;Parametri_v3!$C$41),MAX(0,-Q135),0)</f>
        <v>0</v>
      </c>
      <c r="AA135" s="15" t="n">
        <f aca="false">S135-U135+IF(AND(Parametri_v3!$C$40=1,D135-YEAR(Parametri_v3!$C$50)&lt;Parametri_v3!$C$41),0,MAX(0,-Q135))</f>
        <v>0</v>
      </c>
      <c r="AB135" s="15" t="n">
        <f aca="false">F135*(1+Parametri_v3!$C$26)</f>
        <v>19776.8421052632</v>
      </c>
      <c r="AC135" s="15" t="n">
        <f aca="false">(IF(11-(INT((Motore_Operativo!L135)/30))&lt;1,0,INDEX(Motore_Advisory!$AB$125:$AB$184,MAX(1,11-(INT((Motore_Operativo!L135)/30)))))*(1-(MOD((Motore_Operativo!L135),30)/30))+IF(11-(INT((Motore_Operativo!L135)/30))-1&lt;1,0,INDEX(Motore_Advisory!$AB$125:$AB$184,MAX(1,11-(INT((Motore_Operativo!L135)/30))-1)))*(MOD((Motore_Operativo!L135),30)/30))</f>
        <v>19776.8421052632</v>
      </c>
      <c r="AD135" s="15" t="n">
        <f aca="false">(AD134)+AB135-AC135</f>
        <v>59330.5263157895</v>
      </c>
      <c r="AE135" s="15" t="n">
        <f aca="false">Motore_Operativo!BH135*(1+Parametri_v3!$C$26)</f>
        <v>1977.68421052632</v>
      </c>
      <c r="AF135" s="15" t="n">
        <f aca="false">(IF(11-(INT((Parametri_v3!$C$29)/30))&lt;1,0,INDEX(Motore_Operativo!$BH$125:$BH$184,MAX(1,11-(INT((Parametri_v3!$C$29)/30)))))*(1-(MOD((Parametri_v3!$C$29),30)/30))+IF(11-(INT((Parametri_v3!$C$29)/30))-1&lt;1,0,INDEX(Motore_Operativo!$BH$125:$BH$184,MAX(1,11-(INT((Parametri_v3!$C$29)/30))-1)))*(MOD((Parametri_v3!$C$29),30)/30))*(1+Parametri_v3!$C$26)</f>
        <v>1977.68421052632</v>
      </c>
      <c r="AG135" s="15" t="n">
        <f aca="false">(AG134)+AE135-AF135</f>
        <v>1977.68421052632</v>
      </c>
      <c r="AH135" s="15" t="n">
        <f aca="false">(Motore_Operativo!CK135)*(1+Parametri_v3!$C$28*Parametri_v3!$C$26)</f>
        <v>6166.3147368421</v>
      </c>
      <c r="AI135" s="15" t="n">
        <f aca="false">(IF(11-(INT((Ipotesi!$C$91)/30))&lt;1,0,INDEX(Motore_Advisory!$AH$125:$AH$184,MAX(1,11-(INT((Ipotesi!$C$91)/30)))))*(1-(MOD((Ipotesi!$C$91),30)/30))+IF(11-(INT((Ipotesi!$C$91)/30))-1&lt;1,0,INDEX(Motore_Advisory!$AH$125:$AH$184,MAX(1,11-(INT((Ipotesi!$C$91)/30))-1)))*(MOD((Ipotesi!$C$91),30)/30))</f>
        <v>6166.3147368421</v>
      </c>
      <c r="AJ135" s="15" t="n">
        <f aca="false">(AJ134)+AH135-AI135</f>
        <v>12332.6294736842</v>
      </c>
      <c r="AK135" s="15" t="n">
        <f aca="false">(F135- Motore_Operativo!BH135-(Motore_Operativo!CK135)*Parametri_v3!$C$28-Motore_Operativo!CF135)*Parametri_v3!$C$26</f>
        <v>2231.83438596491</v>
      </c>
      <c r="AL135" s="15" t="n">
        <f aca="false">MAX(0,(AM134))</f>
        <v>2231.83438596491</v>
      </c>
      <c r="AM135" s="15" t="n">
        <f aca="false">(AM134)+AK135-AL135</f>
        <v>2231.83438596491</v>
      </c>
      <c r="AN135" s="15" t="n">
        <f aca="false">0</f>
        <v>0</v>
      </c>
      <c r="AO135" s="15" t="n">
        <f aca="false">0</f>
        <v>0</v>
      </c>
      <c r="AP135" s="15" t="n">
        <f aca="false">MAX(0,AN135)*IF(11=Parametri_v3!$C$43,Parametri_v3!$C$45,IF(11=Parametri_v3!$C$44,1-Parametri_v3!$C$45,0))</f>
        <v>0</v>
      </c>
      <c r="AQ135" s="15" t="n">
        <f aca="false">MAX(0,AP135+IF(11=Parametri_v3!$C$43,MAX(0,AN135-AO135),0)-MAX(0,-(AR134)))</f>
        <v>0</v>
      </c>
      <c r="AR135" s="15" t="n">
        <f aca="false">(AR134)+X135-AQ135</f>
        <v>12442.7759210526</v>
      </c>
      <c r="AS135" s="15" t="n">
        <f aca="false">Motore_Operativo!AC135-AT135+AU135</f>
        <v>4987.5</v>
      </c>
      <c r="AT135" s="15" t="n">
        <f aca="false">Motore_Operativo!CI135</f>
        <v>262.5</v>
      </c>
      <c r="AU135" s="15" t="n">
        <f aca="false">MIN(MAX(0,(AV134)+AT135),Parametri_v3!$C$61/12)</f>
        <v>0</v>
      </c>
      <c r="AV135" s="15" t="n">
        <f aca="false">(AV134)+AT135-AU135</f>
        <v>2887.5</v>
      </c>
      <c r="AW135" s="15" t="n">
        <f aca="false">IF(AND(Motore_Operativo!C135=Finanziamenti!$D$7,Finanziamenti!$F$7=1),Finanziamenti!$C$7,0)</f>
        <v>0</v>
      </c>
      <c r="AX135" s="15" t="n">
        <f aca="false">0</f>
        <v>0</v>
      </c>
      <c r="AY135" s="15" t="n">
        <f aca="false">IF(11=Parametri_v3!$C$33,IF(BV135&lt;MIN(12,$B135-1),0,MIN(MAX(0,0)*Ipotesi!$C$94,MAX(0,(0)-(BO134)-BP135),MAX(0,BD135-Parametri_v3!$C$31))),0)</f>
        <v>0</v>
      </c>
      <c r="AZ135" s="15" t="n">
        <f aca="false">0</f>
        <v>0</v>
      </c>
      <c r="BA135" s="15" t="n">
        <f aca="false">0</f>
        <v>0</v>
      </c>
      <c r="BB135" s="15" t="n">
        <f aca="false">0</f>
        <v>0</v>
      </c>
      <c r="BC135" s="15" t="n">
        <f aca="false">0</f>
        <v>0</v>
      </c>
      <c r="BD135" s="15" t="n">
        <f aca="false">(BH134)+AC135-AF135-AI135-AS135-K135*(1+Parametri_v3!$C$26)-AL135-AQ135-O135+AW135+AX135+AZ135+BA135-BB135</f>
        <v>22405.218245614</v>
      </c>
      <c r="BE135" s="15" t="n">
        <f aca="false">0</f>
        <v>0</v>
      </c>
      <c r="BF135" s="15" t="n">
        <f aca="false">0</f>
        <v>0</v>
      </c>
      <c r="BG135" s="15" t="n">
        <f aca="false">0</f>
        <v>0</v>
      </c>
      <c r="BH135" s="15" t="n">
        <f aca="false">BD135+BE135-BF135-AY135</f>
        <v>22405.218245614</v>
      </c>
      <c r="BI135" s="15" t="n">
        <f aca="false">MAX(0,Parametri_v3!$C$31-BH135)</f>
        <v>0</v>
      </c>
      <c r="BJ135" s="15" t="n">
        <f aca="false">(BJ134)+K135</f>
        <v>2750</v>
      </c>
      <c r="BK135" s="15" t="n">
        <f aca="false">(BK134)+L135</f>
        <v>458.333333333333</v>
      </c>
      <c r="BL135" s="15" t="n">
        <f aca="false">BJ135-BK135</f>
        <v>2291.66666666667</v>
      </c>
      <c r="BM135" s="15" t="n">
        <f aca="false">(BM134)+Y135</f>
        <v>32154.9872368421</v>
      </c>
      <c r="BN135" s="15" t="n">
        <f aca="false">(BN134)+AW135+AX135+AZ135</f>
        <v>20000</v>
      </c>
      <c r="BO135" s="15" t="n">
        <f aca="false">(BO134)+AY135</f>
        <v>0</v>
      </c>
      <c r="BP135" s="15" t="n">
        <f aca="false">MIN(Parametri_v3!$C$36*Parametri_v3!$C$35,(BP134)+IF(11=1,MAX(0,0)*Parametri_v3!$C$34,0))</f>
        <v>0</v>
      </c>
      <c r="BQ135" s="15" t="n">
        <f aca="false">BN135+BM135-BO135</f>
        <v>52154.9872368421</v>
      </c>
      <c r="BR135" s="15" t="n">
        <f aca="false">BH135+AD135+BL135+MAX(0,-AM135)+MAX(0,-AR135)</f>
        <v>84027.4112280702</v>
      </c>
      <c r="BS135" s="15" t="n">
        <f aca="false">AJ135+AV135+MAX(0,AM135)+MAX(0,AR135)+BC135+BG135+BQ135+AG135</f>
        <v>84027.4112280702</v>
      </c>
      <c r="BT135" s="15" t="n">
        <f aca="false">BR135-BS135</f>
        <v>0</v>
      </c>
      <c r="BU135" s="15" t="n">
        <f aca="false">BH135-(BD135+BE135-BF135-AY135)</f>
        <v>0</v>
      </c>
      <c r="BV135" s="15" t="n">
        <f aca="false">IF(BH134&lt;Parametri_v3!$C$31,0,BV134+1)</f>
        <v>3</v>
      </c>
    </row>
    <row r="136" customFormat="false" ht="18" hidden="false" customHeight="true" outlineLevel="0" collapsed="false">
      <c r="A136" s="68" t="n">
        <f aca="false">3</f>
        <v>3</v>
      </c>
      <c r="B136" s="68" t="n">
        <f aca="false">12</f>
        <v>12</v>
      </c>
      <c r="C136" s="18" t="n">
        <f aca="false">Motore_Operativo!C136</f>
        <v>46722</v>
      </c>
      <c r="D136" s="68" t="n">
        <f aca="false">Motore_Operativo!D136</f>
        <v>2027</v>
      </c>
      <c r="E136" s="68" t="n">
        <f aca="false">Motore_Operativo!E136</f>
        <v>12</v>
      </c>
      <c r="F136" s="15" t="n">
        <f aca="false">Motore_Operativo!AM136</f>
        <v>16210.5263157895</v>
      </c>
      <c r="G136" s="15" t="n">
        <f aca="false">Motore_Operativo!BH136</f>
        <v>1621.05263157895</v>
      </c>
      <c r="H136" s="15" t="n">
        <f aca="false">Motore_Operativo!AM136</f>
        <v>16210.5263157895</v>
      </c>
      <c r="I136" s="15" t="n">
        <f aca="false">Motore_Operativo!CB136</f>
        <v>12114.5175438596</v>
      </c>
      <c r="J136" s="15" t="n">
        <f aca="false">Motore_Operativo!CD136</f>
        <v>4096.00877192982</v>
      </c>
      <c r="K136" s="15" t="n">
        <f aca="false">Motore_Operativo!CF136</f>
        <v>250</v>
      </c>
      <c r="L136" s="15" t="n">
        <f aca="false">SUM(INDEX($K$125:$K$184,MAX(1,12-Parametri_v3!$C$59+1)):K136)/Parametri_v3!$C$59</f>
        <v>83.3333333333333</v>
      </c>
      <c r="M136" s="15" t="n">
        <f aca="false">J136-L136</f>
        <v>4012.67543859649</v>
      </c>
      <c r="N136" s="15" t="n">
        <f aca="false">0</f>
        <v>0</v>
      </c>
      <c r="O136" s="15" t="n">
        <f aca="false">0</f>
        <v>0</v>
      </c>
      <c r="P136" s="15" t="n">
        <f aca="false">M136+N136-O136</f>
        <v>4012.67543859649</v>
      </c>
      <c r="Q136" s="15" t="n">
        <f aca="false">SUM(P125:P136)+Parametri_v3!$C$56*12/12</f>
        <v>48610.4385964912</v>
      </c>
      <c r="R136" s="15" t="n">
        <f aca="false">0</f>
        <v>0</v>
      </c>
      <c r="S136" s="15" t="n">
        <f aca="false">0</f>
        <v>0</v>
      </c>
      <c r="T136" s="15" t="n">
        <f aca="false">MIN(R136,MAX(0,Q136))</f>
        <v>0</v>
      </c>
      <c r="U136" s="15" t="n">
        <f aca="false">MIN(S136,MAX(0,Q136-T136)*Parametri_v3!$C$42)</f>
        <v>0</v>
      </c>
      <c r="V136" s="15" t="n">
        <f aca="false">MAX(0,Q136-T136-U136)*Ipotesi!$C$92</f>
        <v>11666.5052631579</v>
      </c>
      <c r="W136" s="15" t="n">
        <f aca="false">MAX(0,SUM(M125:M136)+Parametri_v3!$C$57*12/12)*Ipotesi!$C$93</f>
        <v>1895.80710526316</v>
      </c>
      <c r="X136" s="15" t="n">
        <f aca="false">V136+W136-(V135+W135)</f>
        <v>1119.53644736842</v>
      </c>
      <c r="Y136" s="15" t="n">
        <f aca="false">P136-X136</f>
        <v>2893.13899122807</v>
      </c>
      <c r="Z136" s="15" t="n">
        <f aca="false">R136-T136+IF(AND(Parametri_v3!$C$40=1,D136-YEAR(Parametri_v3!$C$50)&lt;Parametri_v3!$C$41),MAX(0,-Q136),0)</f>
        <v>0</v>
      </c>
      <c r="AA136" s="15" t="n">
        <f aca="false">S136-U136+IF(AND(Parametri_v3!$C$40=1,D136-YEAR(Parametri_v3!$C$50)&lt;Parametri_v3!$C$41),0,MAX(0,-Q136))</f>
        <v>0</v>
      </c>
      <c r="AB136" s="15" t="n">
        <f aca="false">F136*(1+Parametri_v3!$C$26)</f>
        <v>19776.8421052632</v>
      </c>
      <c r="AC136" s="15" t="n">
        <f aca="false">(IF(12-(INT((Motore_Operativo!L136)/30))&lt;1,0,INDEX(Motore_Advisory!$AB$125:$AB$184,MAX(1,12-(INT((Motore_Operativo!L136)/30)))))*(1-(MOD((Motore_Operativo!L136),30)/30))+IF(12-(INT((Motore_Operativo!L136)/30))-1&lt;1,0,INDEX(Motore_Advisory!$AB$125:$AB$184,MAX(1,12-(INT((Motore_Operativo!L136)/30))-1)))*(MOD((Motore_Operativo!L136),30)/30))</f>
        <v>19776.8421052632</v>
      </c>
      <c r="AD136" s="15" t="n">
        <f aca="false">(AD135)+AB136-AC136</f>
        <v>59330.5263157895</v>
      </c>
      <c r="AE136" s="15" t="n">
        <f aca="false">Motore_Operativo!BH136*(1+Parametri_v3!$C$26)</f>
        <v>1977.68421052632</v>
      </c>
      <c r="AF136" s="15" t="n">
        <f aca="false">(IF(12-(INT((Parametri_v3!$C$29)/30))&lt;1,0,INDEX(Motore_Operativo!$BH$125:$BH$184,MAX(1,12-(INT((Parametri_v3!$C$29)/30)))))*(1-(MOD((Parametri_v3!$C$29),30)/30))+IF(12-(INT((Parametri_v3!$C$29)/30))-1&lt;1,0,INDEX(Motore_Operativo!$BH$125:$BH$184,MAX(1,12-(INT((Parametri_v3!$C$29)/30))-1)))*(MOD((Parametri_v3!$C$29),30)/30))*(1+Parametri_v3!$C$26)</f>
        <v>1977.68421052632</v>
      </c>
      <c r="AG136" s="15" t="n">
        <f aca="false">(AG135)+AE136-AF136</f>
        <v>1977.68421052632</v>
      </c>
      <c r="AH136" s="15" t="n">
        <f aca="false">(Motore_Operativo!CK136)*(1+Parametri_v3!$C$28*Parametri_v3!$C$26)</f>
        <v>6166.3147368421</v>
      </c>
      <c r="AI136" s="15" t="n">
        <f aca="false">(IF(12-(INT((Ipotesi!$C$91)/30))&lt;1,0,INDEX(Motore_Advisory!$AH$125:$AH$184,MAX(1,12-(INT((Ipotesi!$C$91)/30)))))*(1-(MOD((Ipotesi!$C$91),30)/30))+IF(12-(INT((Ipotesi!$C$91)/30))-1&lt;1,0,INDEX(Motore_Advisory!$AH$125:$AH$184,MAX(1,12-(INT((Ipotesi!$C$91)/30))-1)))*(MOD((Ipotesi!$C$91),30)/30))</f>
        <v>6166.3147368421</v>
      </c>
      <c r="AJ136" s="15" t="n">
        <f aca="false">(AJ135)+AH136-AI136</f>
        <v>12332.6294736842</v>
      </c>
      <c r="AK136" s="15" t="n">
        <f aca="false">(F136- Motore_Operativo!BH136-(Motore_Operativo!CK136)*Parametri_v3!$C$28-Motore_Operativo!CF136)*Parametri_v3!$C$26</f>
        <v>2231.83438596491</v>
      </c>
      <c r="AL136" s="15" t="n">
        <f aca="false">MAX(0,(AM135))</f>
        <v>2231.83438596491</v>
      </c>
      <c r="AM136" s="15" t="n">
        <f aca="false">(AM135)+AK136-AL136</f>
        <v>2231.83438596491</v>
      </c>
      <c r="AN136" s="15" t="n">
        <f aca="false">0</f>
        <v>0</v>
      </c>
      <c r="AO136" s="15" t="n">
        <f aca="false">0</f>
        <v>0</v>
      </c>
      <c r="AP136" s="15" t="n">
        <f aca="false">MAX(0,AN136)*IF(12=Parametri_v3!$C$43,Parametri_v3!$C$45,IF(12=Parametri_v3!$C$44,1-Parametri_v3!$C$45,0))</f>
        <v>0</v>
      </c>
      <c r="AQ136" s="15" t="n">
        <f aca="false">MAX(0,AP136+IF(12=Parametri_v3!$C$43,MAX(0,AN136-AO136),0)-MAX(0,-(AR135)))</f>
        <v>0</v>
      </c>
      <c r="AR136" s="15" t="n">
        <f aca="false">(AR135)+X136-AQ136</f>
        <v>13562.312368421</v>
      </c>
      <c r="AS136" s="15" t="n">
        <f aca="false">Motore_Operativo!AC136-AT136+AU136</f>
        <v>4987.5</v>
      </c>
      <c r="AT136" s="15" t="n">
        <f aca="false">Motore_Operativo!CI136</f>
        <v>262.5</v>
      </c>
      <c r="AU136" s="15" t="n">
        <f aca="false">MIN(MAX(0,(AV135)+AT136),Parametri_v3!$C$61/12)</f>
        <v>0</v>
      </c>
      <c r="AV136" s="15" t="n">
        <f aca="false">(AV135)+AT136-AU136</f>
        <v>3150</v>
      </c>
      <c r="AW136" s="15" t="n">
        <f aca="false">IF(AND(Motore_Operativo!C136=Finanziamenti!$D$7,Finanziamenti!$F$7=1),Finanziamenti!$C$7,0)</f>
        <v>0</v>
      </c>
      <c r="AX136" s="15" t="n">
        <f aca="false">0</f>
        <v>0</v>
      </c>
      <c r="AY136" s="15" t="n">
        <f aca="false">IF(12=Parametri_v3!$C$33,IF(BV136&lt;MIN(12,$B136-1),0,MIN(MAX(0,0)*Ipotesi!$C$94,MAX(0,(0)-(BO135)-BP136),MAX(0,BD136-Parametri_v3!$C$31))),0)</f>
        <v>0</v>
      </c>
      <c r="AZ136" s="15" t="n">
        <f aca="false">0</f>
        <v>0</v>
      </c>
      <c r="BA136" s="15" t="n">
        <f aca="false">0</f>
        <v>0</v>
      </c>
      <c r="BB136" s="15" t="n">
        <f aca="false">0</f>
        <v>0</v>
      </c>
      <c r="BC136" s="15" t="n">
        <f aca="false">0</f>
        <v>0</v>
      </c>
      <c r="BD136" s="15" t="n">
        <f aca="false">(BH135)+AC136-AF136-AI136-AS136-K136*(1+Parametri_v3!$C$26)-AL136-AQ136-O136+AW136+AX136+AZ136+BA136-BB136</f>
        <v>26513.7270175439</v>
      </c>
      <c r="BE136" s="15" t="n">
        <f aca="false">0</f>
        <v>0</v>
      </c>
      <c r="BF136" s="15" t="n">
        <f aca="false">0</f>
        <v>0</v>
      </c>
      <c r="BG136" s="15" t="n">
        <f aca="false">0</f>
        <v>0</v>
      </c>
      <c r="BH136" s="15" t="n">
        <f aca="false">BD136+BE136-BF136-AY136</f>
        <v>26513.7270175439</v>
      </c>
      <c r="BI136" s="15" t="n">
        <f aca="false">MAX(0,Parametri_v3!$C$31-BH136)</f>
        <v>0</v>
      </c>
      <c r="BJ136" s="15" t="n">
        <f aca="false">(BJ135)+K136</f>
        <v>3000</v>
      </c>
      <c r="BK136" s="15" t="n">
        <f aca="false">(BK135)+L136</f>
        <v>541.666666666667</v>
      </c>
      <c r="BL136" s="15" t="n">
        <f aca="false">BJ136-BK136</f>
        <v>2458.33333333333</v>
      </c>
      <c r="BM136" s="15" t="n">
        <f aca="false">(BM135)+Y136</f>
        <v>35048.1262280702</v>
      </c>
      <c r="BN136" s="15" t="n">
        <f aca="false">(BN135)+AW136+AX136+AZ136</f>
        <v>20000</v>
      </c>
      <c r="BO136" s="15" t="n">
        <f aca="false">(BO135)+AY136</f>
        <v>0</v>
      </c>
      <c r="BP136" s="15" t="n">
        <f aca="false">MIN(Parametri_v3!$C$36*Parametri_v3!$C$35,(BP135)+IF(12=1,MAX(0,0)*Parametri_v3!$C$34,0))</f>
        <v>0</v>
      </c>
      <c r="BQ136" s="15" t="n">
        <f aca="false">BN136+BM136-BO136</f>
        <v>55048.1262280702</v>
      </c>
      <c r="BR136" s="15" t="n">
        <f aca="false">BH136+AD136+BL136+MAX(0,-AM136)+MAX(0,-AR136)</f>
        <v>88302.5866666666</v>
      </c>
      <c r="BS136" s="15" t="n">
        <f aca="false">AJ136+AV136+MAX(0,AM136)+MAX(0,AR136)+BC136+BG136+BQ136+AG136</f>
        <v>88302.5866666666</v>
      </c>
      <c r="BT136" s="15" t="n">
        <f aca="false">BR136-BS136</f>
        <v>0</v>
      </c>
      <c r="BU136" s="15" t="n">
        <f aca="false">BH136-(BD136+BE136-BF136-AY136)</f>
        <v>0</v>
      </c>
      <c r="BV136" s="15" t="n">
        <f aca="false">IF(BH135&lt;Parametri_v3!$C$31,0,BV135+1)</f>
        <v>4</v>
      </c>
    </row>
    <row r="137" customFormat="false" ht="18" hidden="false" customHeight="true" outlineLevel="0" collapsed="false">
      <c r="A137" s="68" t="n">
        <f aca="false">3</f>
        <v>3</v>
      </c>
      <c r="B137" s="68" t="n">
        <f aca="false">13</f>
        <v>13</v>
      </c>
      <c r="C137" s="18" t="n">
        <f aca="false">Motore_Operativo!C137</f>
        <v>46753</v>
      </c>
      <c r="D137" s="68" t="n">
        <f aca="false">Motore_Operativo!D137</f>
        <v>2028</v>
      </c>
      <c r="E137" s="68" t="n">
        <f aca="false">Motore_Operativo!E137</f>
        <v>1</v>
      </c>
      <c r="F137" s="15" t="n">
        <f aca="false">Motore_Operativo!AM137</f>
        <v>33981.220657277</v>
      </c>
      <c r="G137" s="15" t="n">
        <f aca="false">Motore_Operativo!BH137</f>
        <v>3398.1220657277</v>
      </c>
      <c r="H137" s="15" t="n">
        <f aca="false">Motore_Operativo!AM137</f>
        <v>33981.220657277</v>
      </c>
      <c r="I137" s="15" t="n">
        <f aca="false">Motore_Operativo!CB137</f>
        <v>28885.3286384977</v>
      </c>
      <c r="J137" s="15" t="n">
        <f aca="false">Motore_Operativo!CD137</f>
        <v>5095.89201877935</v>
      </c>
      <c r="K137" s="15" t="n">
        <f aca="false">Motore_Operativo!CF137</f>
        <v>416.666666666667</v>
      </c>
      <c r="L137" s="15" t="n">
        <f aca="false">SUM(INDEX($K$125:$K$184,MAX(1,13-Parametri_v3!$C$59+1)):K137)/Parametri_v3!$C$59</f>
        <v>94.9074074074074</v>
      </c>
      <c r="M137" s="15" t="n">
        <f aca="false">J137-L137</f>
        <v>5000.98461137194</v>
      </c>
      <c r="N137" s="15" t="n">
        <f aca="false">0</f>
        <v>0</v>
      </c>
      <c r="O137" s="15" t="n">
        <f aca="false">0</f>
        <v>0</v>
      </c>
      <c r="P137" s="15" t="n">
        <f aca="false">M137+N137-O137</f>
        <v>5000.98461137194</v>
      </c>
      <c r="Q137" s="15" t="n">
        <f aca="false">SUM(P137)+Parametri_v3!$C$56*1/12</f>
        <v>5000.98461137194</v>
      </c>
      <c r="R137" s="15" t="n">
        <f aca="false">Z136</f>
        <v>0</v>
      </c>
      <c r="S137" s="15" t="n">
        <f aca="false">AA136</f>
        <v>0</v>
      </c>
      <c r="T137" s="15" t="n">
        <f aca="false">MIN(R137,MAX(0,Q137))</f>
        <v>0</v>
      </c>
      <c r="U137" s="15" t="n">
        <f aca="false">MIN(S137,MAX(0,Q137-T137)*Parametri_v3!$C$42)</f>
        <v>0</v>
      </c>
      <c r="V137" s="15" t="n">
        <f aca="false">MAX(0,Q137-T137-U137)*Ipotesi!$C$92</f>
        <v>1200.23630672926</v>
      </c>
      <c r="W137" s="15" t="n">
        <f aca="false">MAX(0,SUM(M137)+Parametri_v3!$C$57*1/12)*Ipotesi!$C$93</f>
        <v>195.038399843506</v>
      </c>
      <c r="X137" s="15" t="n">
        <f aca="false">V137+W137-(0)</f>
        <v>1395.27470657277</v>
      </c>
      <c r="Y137" s="15" t="n">
        <f aca="false">P137-X137</f>
        <v>3605.70990479917</v>
      </c>
      <c r="Z137" s="15" t="n">
        <f aca="false">R137-T137+IF(AND(Parametri_v3!$C$40=1,D137-YEAR(Parametri_v3!$C$50)&lt;Parametri_v3!$C$41),MAX(0,-Q137),0)</f>
        <v>0</v>
      </c>
      <c r="AA137" s="15" t="n">
        <f aca="false">S137-U137+IF(AND(Parametri_v3!$C$40=1,D137-YEAR(Parametri_v3!$C$50)&lt;Parametri_v3!$C$41),0,MAX(0,-Q137))</f>
        <v>0</v>
      </c>
      <c r="AB137" s="15" t="n">
        <f aca="false">F137*(1+Parametri_v3!$C$26)</f>
        <v>41457.0892018779</v>
      </c>
      <c r="AC137" s="15" t="n">
        <f aca="false">(IF(13-(INT((Motore_Operativo!L137)/30))&lt;1,0,INDEX(Motore_Advisory!$AB$125:$AB$184,MAX(1,13-(INT((Motore_Operativo!L137)/30)))))*(1-(MOD((Motore_Operativo!L137),30)/30))+IF(13-(INT((Motore_Operativo!L137)/30))-1&lt;1,0,INDEX(Motore_Advisory!$AB$125:$AB$184,MAX(1,13-(INT((Motore_Operativo!L137)/30))-1)))*(MOD((Motore_Operativo!L137),30)/30))</f>
        <v>19776.8421052632</v>
      </c>
      <c r="AD137" s="15" t="n">
        <f aca="false">(AD136)+AB137-AC137</f>
        <v>81010.7734124042</v>
      </c>
      <c r="AE137" s="15" t="n">
        <f aca="false">Motore_Operativo!BH137*(1+Parametri_v3!$C$26)</f>
        <v>4145.70892018779</v>
      </c>
      <c r="AF137" s="15" t="n">
        <f aca="false">(IF(13-(INT((Parametri_v3!$C$29)/30))&lt;1,0,INDEX(Motore_Operativo!$BH$125:$BH$184,MAX(1,13-(INT((Parametri_v3!$C$29)/30)))))*(1-(MOD((Parametri_v3!$C$29),30)/30))+IF(13-(INT((Parametri_v3!$C$29)/30))-1&lt;1,0,INDEX(Motore_Operativo!$BH$125:$BH$184,MAX(1,13-(INT((Parametri_v3!$C$29)/30))-1)))*(MOD((Parametri_v3!$C$29),30)/30))*(1+Parametri_v3!$C$26)</f>
        <v>1977.68421052632</v>
      </c>
      <c r="AG137" s="15" t="n">
        <f aca="false">(AG136)+AE137-AF137</f>
        <v>4145.70892018779</v>
      </c>
      <c r="AH137" s="15" t="n">
        <f aca="false">(Motore_Operativo!CK137)*(1+Parametri_v3!$C$28*Parametri_v3!$C$26)</f>
        <v>11198.1149295775</v>
      </c>
      <c r="AI137" s="15" t="n">
        <f aca="false">(IF(13-(INT((Ipotesi!$C$91)/30))&lt;1,0,INDEX(Motore_Advisory!$AH$125:$AH$184,MAX(1,13-(INT((Ipotesi!$C$91)/30)))))*(1-(MOD((Ipotesi!$C$91),30)/30))+IF(13-(INT((Ipotesi!$C$91)/30))-1&lt;1,0,INDEX(Motore_Advisory!$AH$125:$AH$184,MAX(1,13-(INT((Ipotesi!$C$91)/30))-1)))*(MOD((Ipotesi!$C$91),30)/30))</f>
        <v>6166.3147368421</v>
      </c>
      <c r="AJ137" s="15" t="n">
        <f aca="false">(AJ136)+AH137-AI137</f>
        <v>17364.4296664196</v>
      </c>
      <c r="AK137" s="15" t="n">
        <f aca="false">(F137- Motore_Operativo!BH137-(Motore_Operativo!CK137)*Parametri_v3!$C$28-Motore_Operativo!CF137)*Parametri_v3!$C$26</f>
        <v>4960.70666666667</v>
      </c>
      <c r="AL137" s="15" t="n">
        <f aca="false">MAX(0,(AM136))</f>
        <v>2231.83438596491</v>
      </c>
      <c r="AM137" s="15" t="n">
        <f aca="false">(AM136)+AK137-AL137</f>
        <v>4960.70666666667</v>
      </c>
      <c r="AN137" s="15" t="n">
        <f aca="false">SUM(X125:X136)</f>
        <v>13562.312368421</v>
      </c>
      <c r="AO137" s="15" t="n">
        <f aca="false">SUM(AP125:AP136)</f>
        <v>0</v>
      </c>
      <c r="AP137" s="15" t="n">
        <f aca="false">MAX(0,AN137)*IF(1=Parametri_v3!$C$43,Parametri_v3!$C$45,IF(1=Parametri_v3!$C$44,1-Parametri_v3!$C$45,0))</f>
        <v>0</v>
      </c>
      <c r="AQ137" s="15" t="n">
        <f aca="false">MAX(0,AP137+IF(1=Parametri_v3!$C$43,MAX(0,AN137-AO137),0)-MAX(0,-(AR136)))</f>
        <v>0</v>
      </c>
      <c r="AR137" s="15" t="n">
        <f aca="false">(AR136)+X137-AQ137</f>
        <v>14957.5870749938</v>
      </c>
      <c r="AS137" s="15" t="n">
        <f aca="false">Motore_Operativo!AC137-AT137+AU137</f>
        <v>15166.75</v>
      </c>
      <c r="AT137" s="15" t="n">
        <f aca="false">Motore_Operativo!CI137</f>
        <v>798.25</v>
      </c>
      <c r="AU137" s="15" t="n">
        <f aca="false">MIN(MAX(0,(AV136)+AT137),Parametri_v3!$C$61/12)</f>
        <v>0</v>
      </c>
      <c r="AV137" s="15" t="n">
        <f aca="false">(AV136)+AT137-AU137</f>
        <v>3948.25</v>
      </c>
      <c r="AW137" s="15" t="n">
        <f aca="false">IF(AND(Motore_Operativo!C137=Finanziamenti!$D$7,Finanziamenti!$F$7=1),Finanziamenti!$C$7,0)</f>
        <v>0</v>
      </c>
      <c r="AX137" s="15" t="n">
        <f aca="false">0</f>
        <v>0</v>
      </c>
      <c r="AY137" s="15" t="n">
        <f aca="false">IF(1=Parametri_v3!$C$33,IF(BV137&lt;MIN(12,$B137-1),0,MIN(MAX(0,SUM(Y125:Y136))*Ipotesi!$C$94,MAX(0,(BM136)-(BO136)-BP137),MAX(0,BD137-Parametri_v3!$C$31))),0)</f>
        <v>0</v>
      </c>
      <c r="AZ137" s="15" t="n">
        <f aca="false">0</f>
        <v>0</v>
      </c>
      <c r="BA137" s="15" t="n">
        <f aca="false">0</f>
        <v>0</v>
      </c>
      <c r="BB137" s="15" t="n">
        <f aca="false">0</f>
        <v>0</v>
      </c>
      <c r="BC137" s="15" t="n">
        <f aca="false">0</f>
        <v>0</v>
      </c>
      <c r="BD137" s="15" t="n">
        <f aca="false">(BH136)+AC137-AF137-AI137-AS137-K137*(1+Parametri_v3!$C$26)-AL137-AQ137-O137+AW137+AX137+AZ137+BA137-BB137</f>
        <v>20239.6524561403</v>
      </c>
      <c r="BE137" s="15" t="n">
        <f aca="false">0</f>
        <v>0</v>
      </c>
      <c r="BF137" s="15" t="n">
        <f aca="false">0</f>
        <v>0</v>
      </c>
      <c r="BG137" s="15" t="n">
        <f aca="false">0</f>
        <v>0</v>
      </c>
      <c r="BH137" s="15" t="n">
        <f aca="false">BD137+BE137-BF137-AY137</f>
        <v>20239.6524561403</v>
      </c>
      <c r="BI137" s="15" t="n">
        <f aca="false">MAX(0,Parametri_v3!$C$31-BH137)</f>
        <v>0</v>
      </c>
      <c r="BJ137" s="15" t="n">
        <f aca="false">(BJ136)+K137</f>
        <v>3416.66666666667</v>
      </c>
      <c r="BK137" s="15" t="n">
        <f aca="false">(BK136)+L137</f>
        <v>636.574074074074</v>
      </c>
      <c r="BL137" s="15" t="n">
        <f aca="false">BJ137-BK137</f>
        <v>2780.09259259259</v>
      </c>
      <c r="BM137" s="15" t="n">
        <f aca="false">(BM136)+Y137</f>
        <v>38653.8361328693</v>
      </c>
      <c r="BN137" s="15" t="n">
        <f aca="false">(BN136)+AW137+AX137+AZ137</f>
        <v>20000</v>
      </c>
      <c r="BO137" s="15" t="n">
        <f aca="false">(BO136)+AY137</f>
        <v>0</v>
      </c>
      <c r="BP137" s="15" t="n">
        <f aca="false">MIN(Parametri_v3!$C$36*Parametri_v3!$C$35,(BP136)+IF(1=1,MAX(0,SUM(Y125:Y136))*Parametri_v3!$C$34,0))</f>
        <v>1752.40631140351</v>
      </c>
      <c r="BQ137" s="15" t="n">
        <f aca="false">BN137+BM137-BO137</f>
        <v>58653.8361328693</v>
      </c>
      <c r="BR137" s="15" t="n">
        <f aca="false">BH137+AD137+BL137+MAX(0,-AM137)+MAX(0,-AR137)</f>
        <v>104030.518461137</v>
      </c>
      <c r="BS137" s="15" t="n">
        <f aca="false">AJ137+AV137+MAX(0,AM137)+MAX(0,AR137)+BC137+BG137+BQ137+AG137</f>
        <v>104030.518461137</v>
      </c>
      <c r="BT137" s="15" t="n">
        <f aca="false">BR137-BS137</f>
        <v>0</v>
      </c>
      <c r="BU137" s="15" t="n">
        <f aca="false">BH137-(BD137+BE137-BF137-AY137)</f>
        <v>0</v>
      </c>
      <c r="BV137" s="15" t="n">
        <f aca="false">IF(BH136&lt;Parametri_v3!$C$31,0,BV136+1)</f>
        <v>5</v>
      </c>
    </row>
    <row r="138" customFormat="false" ht="18" hidden="false" customHeight="true" outlineLevel="0" collapsed="false">
      <c r="A138" s="68" t="n">
        <f aca="false">3</f>
        <v>3</v>
      </c>
      <c r="B138" s="68" t="n">
        <f aca="false">14</f>
        <v>14</v>
      </c>
      <c r="C138" s="18" t="n">
        <f aca="false">Motore_Operativo!C138</f>
        <v>46784</v>
      </c>
      <c r="D138" s="68" t="n">
        <f aca="false">Motore_Operativo!D138</f>
        <v>2028</v>
      </c>
      <c r="E138" s="68" t="n">
        <f aca="false">Motore_Operativo!E138</f>
        <v>2</v>
      </c>
      <c r="F138" s="15" t="n">
        <f aca="false">Motore_Operativo!AM138</f>
        <v>33981.220657277</v>
      </c>
      <c r="G138" s="15" t="n">
        <f aca="false">Motore_Operativo!BH138</f>
        <v>3398.1220657277</v>
      </c>
      <c r="H138" s="15" t="n">
        <f aca="false">Motore_Operativo!AM138</f>
        <v>33981.220657277</v>
      </c>
      <c r="I138" s="15" t="n">
        <f aca="false">Motore_Operativo!CB138</f>
        <v>28885.3286384977</v>
      </c>
      <c r="J138" s="15" t="n">
        <f aca="false">Motore_Operativo!CD138</f>
        <v>5095.89201877935</v>
      </c>
      <c r="K138" s="15" t="n">
        <f aca="false">Motore_Operativo!CF138</f>
        <v>416.666666666667</v>
      </c>
      <c r="L138" s="15" t="n">
        <f aca="false">SUM(INDEX($K$125:$K$184,MAX(1,14-Parametri_v3!$C$59+1)):K138)/Parametri_v3!$C$59</f>
        <v>106.481481481481</v>
      </c>
      <c r="M138" s="15" t="n">
        <f aca="false">J138-L138</f>
        <v>4989.41053729786</v>
      </c>
      <c r="N138" s="15" t="n">
        <f aca="false">0</f>
        <v>0</v>
      </c>
      <c r="O138" s="15" t="n">
        <f aca="false">0</f>
        <v>0</v>
      </c>
      <c r="P138" s="15" t="n">
        <f aca="false">M138+N138-O138</f>
        <v>4989.41053729786</v>
      </c>
      <c r="Q138" s="15" t="n">
        <f aca="false">SUM(P137:P138)+Parametri_v3!$C$56*2/12</f>
        <v>9990.3951486698</v>
      </c>
      <c r="R138" s="15" t="n">
        <f aca="false">Z136</f>
        <v>0</v>
      </c>
      <c r="S138" s="15" t="n">
        <f aca="false">AA136</f>
        <v>0</v>
      </c>
      <c r="T138" s="15" t="n">
        <f aca="false">MIN(R138,MAX(0,Q138))</f>
        <v>0</v>
      </c>
      <c r="U138" s="15" t="n">
        <f aca="false">MIN(S138,MAX(0,Q138-T138)*Parametri_v3!$C$42)</f>
        <v>0</v>
      </c>
      <c r="V138" s="15" t="n">
        <f aca="false">MAX(0,Q138-T138-U138)*Ipotesi!$C$92</f>
        <v>2397.69483568075</v>
      </c>
      <c r="W138" s="15" t="n">
        <f aca="false">MAX(0,SUM(M137:M138)+Parametri_v3!$C$57*2/12)*Ipotesi!$C$93</f>
        <v>389.625410798122</v>
      </c>
      <c r="X138" s="15" t="n">
        <f aca="false">V138+W138-(V137+W137)</f>
        <v>1392.0455399061</v>
      </c>
      <c r="Y138" s="15" t="n">
        <f aca="false">P138-X138</f>
        <v>3597.36499739176</v>
      </c>
      <c r="Z138" s="15" t="n">
        <f aca="false">R138-T138+IF(AND(Parametri_v3!$C$40=1,D138-YEAR(Parametri_v3!$C$50)&lt;Parametri_v3!$C$41),MAX(0,-Q138),0)</f>
        <v>0</v>
      </c>
      <c r="AA138" s="15" t="n">
        <f aca="false">S138-U138+IF(AND(Parametri_v3!$C$40=1,D138-YEAR(Parametri_v3!$C$50)&lt;Parametri_v3!$C$41),0,MAX(0,-Q138))</f>
        <v>0</v>
      </c>
      <c r="AB138" s="15" t="n">
        <f aca="false">F138*(1+Parametri_v3!$C$26)</f>
        <v>41457.0892018779</v>
      </c>
      <c r="AC138" s="15" t="n">
        <f aca="false">(IF(14-(INT((Motore_Operativo!L138)/30))&lt;1,0,INDEX(Motore_Advisory!$AB$125:$AB$184,MAX(1,14-(INT((Motore_Operativo!L138)/30)))))*(1-(MOD((Motore_Operativo!L138),30)/30))+IF(14-(INT((Motore_Operativo!L138)/30))-1&lt;1,0,INDEX(Motore_Advisory!$AB$125:$AB$184,MAX(1,14-(INT((Motore_Operativo!L138)/30))-1)))*(MOD((Motore_Operativo!L138),30)/30))</f>
        <v>19776.8421052632</v>
      </c>
      <c r="AD138" s="15" t="n">
        <f aca="false">(AD137)+AB138-AC138</f>
        <v>102691.020509019</v>
      </c>
      <c r="AE138" s="15" t="n">
        <f aca="false">Motore_Operativo!BH138*(1+Parametri_v3!$C$26)</f>
        <v>4145.70892018779</v>
      </c>
      <c r="AF138" s="15" t="n">
        <f aca="false">(IF(14-(INT((Parametri_v3!$C$29)/30))&lt;1,0,INDEX(Motore_Operativo!$BH$125:$BH$184,MAX(1,14-(INT((Parametri_v3!$C$29)/30)))))*(1-(MOD((Parametri_v3!$C$29),30)/30))+IF(14-(INT((Parametri_v3!$C$29)/30))-1&lt;1,0,INDEX(Motore_Operativo!$BH$125:$BH$184,MAX(1,14-(INT((Parametri_v3!$C$29)/30))-1)))*(MOD((Parametri_v3!$C$29),30)/30))*(1+Parametri_v3!$C$26)</f>
        <v>4145.70892018779</v>
      </c>
      <c r="AG138" s="15" t="n">
        <f aca="false">(AG137)+AE138-AF138</f>
        <v>4145.70892018779</v>
      </c>
      <c r="AH138" s="15" t="n">
        <f aca="false">(Motore_Operativo!CK138)*(1+Parametri_v3!$C$28*Parametri_v3!$C$26)</f>
        <v>11198.1149295775</v>
      </c>
      <c r="AI138" s="15" t="n">
        <f aca="false">(IF(14-(INT((Ipotesi!$C$91)/30))&lt;1,0,INDEX(Motore_Advisory!$AH$125:$AH$184,MAX(1,14-(INT((Ipotesi!$C$91)/30)))))*(1-(MOD((Ipotesi!$C$91),30)/30))+IF(14-(INT((Ipotesi!$C$91)/30))-1&lt;1,0,INDEX(Motore_Advisory!$AH$125:$AH$184,MAX(1,14-(INT((Ipotesi!$C$91)/30))-1)))*(MOD((Ipotesi!$C$91),30)/30))</f>
        <v>6166.3147368421</v>
      </c>
      <c r="AJ138" s="15" t="n">
        <f aca="false">(AJ137)+AH138-AI138</f>
        <v>22396.2298591549</v>
      </c>
      <c r="AK138" s="15" t="n">
        <f aca="false">(F138- Motore_Operativo!BH138-(Motore_Operativo!CK138)*Parametri_v3!$C$28-Motore_Operativo!CF138)*Parametri_v3!$C$26</f>
        <v>4960.70666666667</v>
      </c>
      <c r="AL138" s="15" t="n">
        <f aca="false">MAX(0,(AM137))</f>
        <v>4960.70666666667</v>
      </c>
      <c r="AM138" s="15" t="n">
        <f aca="false">(AM137)+AK138-AL138</f>
        <v>4960.70666666667</v>
      </c>
      <c r="AN138" s="15" t="n">
        <f aca="false">SUM(X125:X136)</f>
        <v>13562.312368421</v>
      </c>
      <c r="AO138" s="15" t="n">
        <f aca="false">SUM(AP125:AP136)</f>
        <v>0</v>
      </c>
      <c r="AP138" s="15" t="n">
        <f aca="false">MAX(0,AN138)*IF(2=Parametri_v3!$C$43,Parametri_v3!$C$45,IF(2=Parametri_v3!$C$44,1-Parametri_v3!$C$45,0))</f>
        <v>0</v>
      </c>
      <c r="AQ138" s="15" t="n">
        <f aca="false">MAX(0,AP138+IF(2=Parametri_v3!$C$43,MAX(0,AN138-AO138),0)-MAX(0,-(AR137)))</f>
        <v>0</v>
      </c>
      <c r="AR138" s="15" t="n">
        <f aca="false">(AR137)+X138-AQ138</f>
        <v>16349.6326148999</v>
      </c>
      <c r="AS138" s="15" t="n">
        <f aca="false">Motore_Operativo!AC138-AT138+AU138</f>
        <v>15166.75</v>
      </c>
      <c r="AT138" s="15" t="n">
        <f aca="false">Motore_Operativo!CI138</f>
        <v>798.25</v>
      </c>
      <c r="AU138" s="15" t="n">
        <f aca="false">MIN(MAX(0,(AV137)+AT138),Parametri_v3!$C$61/12)</f>
        <v>0</v>
      </c>
      <c r="AV138" s="15" t="n">
        <f aca="false">(AV137)+AT138-AU138</f>
        <v>4746.5</v>
      </c>
      <c r="AW138" s="15" t="n">
        <f aca="false">IF(AND(Motore_Operativo!C138=Finanziamenti!$D$7,Finanziamenti!$F$7=1),Finanziamenti!$C$7,0)</f>
        <v>0</v>
      </c>
      <c r="AX138" s="15" t="n">
        <f aca="false">0</f>
        <v>0</v>
      </c>
      <c r="AY138" s="15" t="n">
        <f aca="false">IF(2=Parametri_v3!$C$33,IF(BV138&lt;MIN(12,$B138-1),0,MIN(MAX(0,SUM(Y125:Y136))*Ipotesi!$C$94,MAX(0,(BM136)-(BO137)-BP138),MAX(0,BD138-Parametri_v3!$C$31))),0)</f>
        <v>0</v>
      </c>
      <c r="AZ138" s="15" t="n">
        <f aca="false">0</f>
        <v>0</v>
      </c>
      <c r="BA138" s="15" t="n">
        <f aca="false">0</f>
        <v>0</v>
      </c>
      <c r="BB138" s="15" t="n">
        <f aca="false">0</f>
        <v>0</v>
      </c>
      <c r="BC138" s="15" t="n">
        <f aca="false">0</f>
        <v>0</v>
      </c>
      <c r="BD138" s="15" t="n">
        <f aca="false">(BH137)+AC138-AF138-AI138-AS138-K138*(1+Parametri_v3!$C$26)-AL138-AQ138-O138+AW138+AX138+AZ138+BA138-BB138</f>
        <v>9068.68090437359</v>
      </c>
      <c r="BE138" s="15" t="n">
        <f aca="false">0</f>
        <v>0</v>
      </c>
      <c r="BF138" s="15" t="n">
        <f aca="false">0</f>
        <v>0</v>
      </c>
      <c r="BG138" s="15" t="n">
        <f aca="false">0</f>
        <v>0</v>
      </c>
      <c r="BH138" s="15" t="n">
        <f aca="false">BD138+BE138-BF138-AY138</f>
        <v>9068.68090437359</v>
      </c>
      <c r="BI138" s="15" t="n">
        <f aca="false">MAX(0,Parametri_v3!$C$31-BH138)</f>
        <v>931.319095626406</v>
      </c>
      <c r="BJ138" s="15" t="n">
        <f aca="false">(BJ137)+K138</f>
        <v>3833.33333333333</v>
      </c>
      <c r="BK138" s="15" t="n">
        <f aca="false">(BK137)+L138</f>
        <v>743.055555555556</v>
      </c>
      <c r="BL138" s="15" t="n">
        <f aca="false">BJ138-BK138</f>
        <v>3090.27777777778</v>
      </c>
      <c r="BM138" s="15" t="n">
        <f aca="false">(BM137)+Y138</f>
        <v>42251.2011302611</v>
      </c>
      <c r="BN138" s="15" t="n">
        <f aca="false">(BN137)+AW138+AX138+AZ138</f>
        <v>20000</v>
      </c>
      <c r="BO138" s="15" t="n">
        <f aca="false">(BO137)+AY138</f>
        <v>0</v>
      </c>
      <c r="BP138" s="15" t="n">
        <f aca="false">MIN(Parametri_v3!$C$36*Parametri_v3!$C$35,(BP137)+IF(2=1,MAX(0,SUM(Y125:Y136))*Parametri_v3!$C$34,0))</f>
        <v>1752.40631140351</v>
      </c>
      <c r="BQ138" s="15" t="n">
        <f aca="false">BN138+BM138-BO138</f>
        <v>62251.2011302611</v>
      </c>
      <c r="BR138" s="15" t="n">
        <f aca="false">BH138+AD138+BL138+MAX(0,-AM138)+MAX(0,-AR138)</f>
        <v>114849.97919117</v>
      </c>
      <c r="BS138" s="15" t="n">
        <f aca="false">AJ138+AV138+MAX(0,AM138)+MAX(0,AR138)+BC138+BG138+BQ138+AG138</f>
        <v>114849.97919117</v>
      </c>
      <c r="BT138" s="15" t="n">
        <f aca="false">BR138-BS138</f>
        <v>0</v>
      </c>
      <c r="BU138" s="15" t="n">
        <f aca="false">BH138-(BD138+BE138-BF138-AY138)</f>
        <v>0</v>
      </c>
      <c r="BV138" s="15" t="n">
        <f aca="false">IF(BH137&lt;Parametri_v3!$C$31,0,BV137+1)</f>
        <v>6</v>
      </c>
    </row>
    <row r="139" customFormat="false" ht="18" hidden="false" customHeight="true" outlineLevel="0" collapsed="false">
      <c r="A139" s="68" t="n">
        <f aca="false">3</f>
        <v>3</v>
      </c>
      <c r="B139" s="68" t="n">
        <f aca="false">15</f>
        <v>15</v>
      </c>
      <c r="C139" s="18" t="n">
        <f aca="false">Motore_Operativo!C139</f>
        <v>46813</v>
      </c>
      <c r="D139" s="68" t="n">
        <f aca="false">Motore_Operativo!D139</f>
        <v>2028</v>
      </c>
      <c r="E139" s="68" t="n">
        <f aca="false">Motore_Operativo!E139</f>
        <v>3</v>
      </c>
      <c r="F139" s="15" t="n">
        <f aca="false">Motore_Operativo!AM139</f>
        <v>33981.220657277</v>
      </c>
      <c r="G139" s="15" t="n">
        <f aca="false">Motore_Operativo!BH139</f>
        <v>3398.1220657277</v>
      </c>
      <c r="H139" s="15" t="n">
        <f aca="false">Motore_Operativo!AM139</f>
        <v>33981.220657277</v>
      </c>
      <c r="I139" s="15" t="n">
        <f aca="false">Motore_Operativo!CB139</f>
        <v>28885.3286384977</v>
      </c>
      <c r="J139" s="15" t="n">
        <f aca="false">Motore_Operativo!CD139</f>
        <v>5095.89201877935</v>
      </c>
      <c r="K139" s="15" t="n">
        <f aca="false">Motore_Operativo!CF139</f>
        <v>416.666666666667</v>
      </c>
      <c r="L139" s="15" t="n">
        <f aca="false">SUM(INDEX($K$125:$K$184,MAX(1,15-Parametri_v3!$C$59+1)):K139)/Parametri_v3!$C$59</f>
        <v>118.055555555556</v>
      </c>
      <c r="M139" s="15" t="n">
        <f aca="false">J139-L139</f>
        <v>4977.83646322379</v>
      </c>
      <c r="N139" s="15" t="n">
        <f aca="false">0</f>
        <v>0</v>
      </c>
      <c r="O139" s="15" t="n">
        <f aca="false">0</f>
        <v>0</v>
      </c>
      <c r="P139" s="15" t="n">
        <f aca="false">M139+N139-O139</f>
        <v>4977.83646322379</v>
      </c>
      <c r="Q139" s="15" t="n">
        <f aca="false">SUM(P137:P139)+Parametri_v3!$C$56*3/12</f>
        <v>14968.2316118936</v>
      </c>
      <c r="R139" s="15" t="n">
        <f aca="false">Z136</f>
        <v>0</v>
      </c>
      <c r="S139" s="15" t="n">
        <f aca="false">AA136</f>
        <v>0</v>
      </c>
      <c r="T139" s="15" t="n">
        <f aca="false">MIN(R139,MAX(0,Q139))</f>
        <v>0</v>
      </c>
      <c r="U139" s="15" t="n">
        <f aca="false">MIN(S139,MAX(0,Q139-T139)*Parametri_v3!$C$42)</f>
        <v>0</v>
      </c>
      <c r="V139" s="15" t="n">
        <f aca="false">MAX(0,Q139-T139-U139)*Ipotesi!$C$92</f>
        <v>3592.37558685446</v>
      </c>
      <c r="W139" s="15" t="n">
        <f aca="false">MAX(0,SUM(M137:M139)+Parametri_v3!$C$57*3/12)*Ipotesi!$C$93</f>
        <v>583.76103286385</v>
      </c>
      <c r="X139" s="15" t="n">
        <f aca="false">V139+W139-(V138+W138)</f>
        <v>1388.81637323944</v>
      </c>
      <c r="Y139" s="15" t="n">
        <f aca="false">P139-X139</f>
        <v>3589.02008998435</v>
      </c>
      <c r="Z139" s="15" t="n">
        <f aca="false">R139-T139+IF(AND(Parametri_v3!$C$40=1,D139-YEAR(Parametri_v3!$C$50)&lt;Parametri_v3!$C$41),MAX(0,-Q139),0)</f>
        <v>0</v>
      </c>
      <c r="AA139" s="15" t="n">
        <f aca="false">S139-U139+IF(AND(Parametri_v3!$C$40=1,D139-YEAR(Parametri_v3!$C$50)&lt;Parametri_v3!$C$41),0,MAX(0,-Q139))</f>
        <v>0</v>
      </c>
      <c r="AB139" s="15" t="n">
        <f aca="false">F139*(1+Parametri_v3!$C$26)</f>
        <v>41457.0892018779</v>
      </c>
      <c r="AC139" s="15" t="n">
        <f aca="false">(IF(15-(INT((Motore_Operativo!L139)/30))&lt;1,0,INDEX(Motore_Advisory!$AB$125:$AB$184,MAX(1,15-(INT((Motore_Operativo!L139)/30)))))*(1-(MOD((Motore_Operativo!L139),30)/30))+IF(15-(INT((Motore_Operativo!L139)/30))-1&lt;1,0,INDEX(Motore_Advisory!$AB$125:$AB$184,MAX(1,15-(INT((Motore_Operativo!L139)/30))-1)))*(MOD((Motore_Operativo!L139),30)/30))</f>
        <v>19776.8421052632</v>
      </c>
      <c r="AD139" s="15" t="n">
        <f aca="false">(AD138)+AB139-AC139</f>
        <v>124371.267605634</v>
      </c>
      <c r="AE139" s="15" t="n">
        <f aca="false">Motore_Operativo!BH139*(1+Parametri_v3!$C$26)</f>
        <v>4145.70892018779</v>
      </c>
      <c r="AF139" s="15" t="n">
        <f aca="false">(IF(15-(INT((Parametri_v3!$C$29)/30))&lt;1,0,INDEX(Motore_Operativo!$BH$125:$BH$184,MAX(1,15-(INT((Parametri_v3!$C$29)/30)))))*(1-(MOD((Parametri_v3!$C$29),30)/30))+IF(15-(INT((Parametri_v3!$C$29)/30))-1&lt;1,0,INDEX(Motore_Operativo!$BH$125:$BH$184,MAX(1,15-(INT((Parametri_v3!$C$29)/30))-1)))*(MOD((Parametri_v3!$C$29),30)/30))*(1+Parametri_v3!$C$26)</f>
        <v>4145.70892018779</v>
      </c>
      <c r="AG139" s="15" t="n">
        <f aca="false">(AG138)+AE139-AF139</f>
        <v>4145.70892018779</v>
      </c>
      <c r="AH139" s="15" t="n">
        <f aca="false">(Motore_Operativo!CK139)*(1+Parametri_v3!$C$28*Parametri_v3!$C$26)</f>
        <v>11198.1149295775</v>
      </c>
      <c r="AI139" s="15" t="n">
        <f aca="false">(IF(15-(INT((Ipotesi!$C$91)/30))&lt;1,0,INDEX(Motore_Advisory!$AH$125:$AH$184,MAX(1,15-(INT((Ipotesi!$C$91)/30)))))*(1-(MOD((Ipotesi!$C$91),30)/30))+IF(15-(INT((Ipotesi!$C$91)/30))-1&lt;1,0,INDEX(Motore_Advisory!$AH$125:$AH$184,MAX(1,15-(INT((Ipotesi!$C$91)/30))-1)))*(MOD((Ipotesi!$C$91),30)/30))</f>
        <v>11198.1149295775</v>
      </c>
      <c r="AJ139" s="15" t="n">
        <f aca="false">(AJ138)+AH139-AI139</f>
        <v>22396.2298591549</v>
      </c>
      <c r="AK139" s="15" t="n">
        <f aca="false">(F139- Motore_Operativo!BH139-(Motore_Operativo!CK139)*Parametri_v3!$C$28-Motore_Operativo!CF139)*Parametri_v3!$C$26</f>
        <v>4960.70666666667</v>
      </c>
      <c r="AL139" s="15" t="n">
        <f aca="false">MAX(0,(AM138))</f>
        <v>4960.70666666667</v>
      </c>
      <c r="AM139" s="15" t="n">
        <f aca="false">(AM138)+AK139-AL139</f>
        <v>4960.70666666667</v>
      </c>
      <c r="AN139" s="15" t="n">
        <f aca="false">SUM(X125:X136)</f>
        <v>13562.312368421</v>
      </c>
      <c r="AO139" s="15" t="n">
        <f aca="false">SUM(AP125:AP136)</f>
        <v>0</v>
      </c>
      <c r="AP139" s="15" t="n">
        <f aca="false">MAX(0,AN139)*IF(3=Parametri_v3!$C$43,Parametri_v3!$C$45,IF(3=Parametri_v3!$C$44,1-Parametri_v3!$C$45,0))</f>
        <v>0</v>
      </c>
      <c r="AQ139" s="15" t="n">
        <f aca="false">MAX(0,AP139+IF(3=Parametri_v3!$C$43,MAX(0,AN139-AO139),0)-MAX(0,-(AR138)))</f>
        <v>0</v>
      </c>
      <c r="AR139" s="15" t="n">
        <f aca="false">(AR138)+X139-AQ139</f>
        <v>17738.4489881394</v>
      </c>
      <c r="AS139" s="15" t="n">
        <f aca="false">Motore_Operativo!AC139-AT139+AU139</f>
        <v>15166.75</v>
      </c>
      <c r="AT139" s="15" t="n">
        <f aca="false">Motore_Operativo!CI139</f>
        <v>798.25</v>
      </c>
      <c r="AU139" s="15" t="n">
        <f aca="false">MIN(MAX(0,(AV138)+AT139),Parametri_v3!$C$61/12)</f>
        <v>0</v>
      </c>
      <c r="AV139" s="15" t="n">
        <f aca="false">(AV138)+AT139-AU139</f>
        <v>5544.75</v>
      </c>
      <c r="AW139" s="15" t="n">
        <f aca="false">IF(AND(Motore_Operativo!C139=Finanziamenti!$D$7,Finanziamenti!$F$7=1),Finanziamenti!$C$7,0)</f>
        <v>0</v>
      </c>
      <c r="AX139" s="15" t="n">
        <f aca="false">0</f>
        <v>0</v>
      </c>
      <c r="AY139" s="15" t="n">
        <f aca="false">IF(3=Parametri_v3!$C$33,IF(BV139&lt;MIN(12,$B139-1),0,MIN(MAX(0,SUM(Y125:Y136))*Ipotesi!$C$94,MAX(0,(BM136)-(BO138)-BP139),MAX(0,BD139-Parametri_v3!$C$31))),0)</f>
        <v>0</v>
      </c>
      <c r="AZ139" s="15" t="n">
        <f aca="false">0</f>
        <v>0</v>
      </c>
      <c r="BA139" s="15" t="n">
        <f aca="false">0</f>
        <v>0</v>
      </c>
      <c r="BB139" s="15" t="n">
        <f aca="false">0</f>
        <v>0</v>
      </c>
      <c r="BC139" s="15" t="n">
        <f aca="false">0</f>
        <v>0</v>
      </c>
      <c r="BD139" s="15" t="n">
        <f aca="false">(BH138)+AC139-AF139-AI139-AS139-K139*(1+Parametri_v3!$C$26)-AL139-AQ139-O139+AW139+AX139+AZ139+BA139-BB139</f>
        <v>-7134.09084012851</v>
      </c>
      <c r="BE139" s="15" t="n">
        <f aca="false">0</f>
        <v>0</v>
      </c>
      <c r="BF139" s="15" t="n">
        <f aca="false">0</f>
        <v>0</v>
      </c>
      <c r="BG139" s="15" t="n">
        <f aca="false">0</f>
        <v>0</v>
      </c>
      <c r="BH139" s="15" t="n">
        <f aca="false">BD139+BE139-BF139-AY139</f>
        <v>-7134.09084012851</v>
      </c>
      <c r="BI139" s="15" t="n">
        <f aca="false">MAX(0,Parametri_v3!$C$31-BH139)</f>
        <v>17134.0908401285</v>
      </c>
      <c r="BJ139" s="15" t="n">
        <f aca="false">(BJ138)+K139</f>
        <v>4250</v>
      </c>
      <c r="BK139" s="15" t="n">
        <f aca="false">(BK138)+L139</f>
        <v>861.111111111111</v>
      </c>
      <c r="BL139" s="15" t="n">
        <f aca="false">BJ139-BK139</f>
        <v>3388.88888888889</v>
      </c>
      <c r="BM139" s="15" t="n">
        <f aca="false">(BM138)+Y139</f>
        <v>45840.2212202454</v>
      </c>
      <c r="BN139" s="15" t="n">
        <f aca="false">(BN138)+AW139+AX139+AZ139</f>
        <v>20000</v>
      </c>
      <c r="BO139" s="15" t="n">
        <f aca="false">(BO138)+AY139</f>
        <v>0</v>
      </c>
      <c r="BP139" s="15" t="n">
        <f aca="false">MIN(Parametri_v3!$C$36*Parametri_v3!$C$35,(BP138)+IF(3=1,MAX(0,SUM(Y125:Y136))*Parametri_v3!$C$34,0))</f>
        <v>1752.40631140351</v>
      </c>
      <c r="BQ139" s="15" t="n">
        <f aca="false">BN139+BM139-BO139</f>
        <v>65840.2212202454</v>
      </c>
      <c r="BR139" s="15" t="n">
        <f aca="false">BH139+AD139+BL139+MAX(0,-AM139)+MAX(0,-AR139)</f>
        <v>120626.065654394</v>
      </c>
      <c r="BS139" s="15" t="n">
        <f aca="false">AJ139+AV139+MAX(0,AM139)+MAX(0,AR139)+BC139+BG139+BQ139+AG139</f>
        <v>120626.065654394</v>
      </c>
      <c r="BT139" s="15" t="n">
        <f aca="false">BR139-BS139</f>
        <v>0</v>
      </c>
      <c r="BU139" s="15" t="n">
        <f aca="false">BH139-(BD139+BE139-BF139-AY139)</f>
        <v>0</v>
      </c>
      <c r="BV139" s="15" t="n">
        <f aca="false">IF(BH138&lt;Parametri_v3!$C$31,0,BV138+1)</f>
        <v>0</v>
      </c>
    </row>
    <row r="140" customFormat="false" ht="18" hidden="false" customHeight="true" outlineLevel="0" collapsed="false">
      <c r="A140" s="68" t="n">
        <f aca="false">3</f>
        <v>3</v>
      </c>
      <c r="B140" s="68" t="n">
        <f aca="false">16</f>
        <v>16</v>
      </c>
      <c r="C140" s="18" t="n">
        <f aca="false">Motore_Operativo!C140</f>
        <v>46844</v>
      </c>
      <c r="D140" s="68" t="n">
        <f aca="false">Motore_Operativo!D140</f>
        <v>2028</v>
      </c>
      <c r="E140" s="68" t="n">
        <f aca="false">Motore_Operativo!E140</f>
        <v>4</v>
      </c>
      <c r="F140" s="15" t="n">
        <f aca="false">Motore_Operativo!AM140</f>
        <v>33981.220657277</v>
      </c>
      <c r="G140" s="15" t="n">
        <f aca="false">Motore_Operativo!BH140</f>
        <v>3398.1220657277</v>
      </c>
      <c r="H140" s="15" t="n">
        <f aca="false">Motore_Operativo!AM140</f>
        <v>33981.220657277</v>
      </c>
      <c r="I140" s="15" t="n">
        <f aca="false">Motore_Operativo!CB140</f>
        <v>28885.3286384977</v>
      </c>
      <c r="J140" s="15" t="n">
        <f aca="false">Motore_Operativo!CD140</f>
        <v>5095.89201877935</v>
      </c>
      <c r="K140" s="15" t="n">
        <f aca="false">Motore_Operativo!CF140</f>
        <v>416.666666666667</v>
      </c>
      <c r="L140" s="15" t="n">
        <f aca="false">SUM(INDEX($K$125:$K$184,MAX(1,16-Parametri_v3!$C$59+1)):K140)/Parametri_v3!$C$59</f>
        <v>129.62962962963</v>
      </c>
      <c r="M140" s="15" t="n">
        <f aca="false">J140-L140</f>
        <v>4966.26238914972</v>
      </c>
      <c r="N140" s="15" t="n">
        <f aca="false">0</f>
        <v>0</v>
      </c>
      <c r="O140" s="15" t="n">
        <f aca="false">0</f>
        <v>0</v>
      </c>
      <c r="P140" s="15" t="n">
        <f aca="false">M140+N140-O140</f>
        <v>4966.26238914972</v>
      </c>
      <c r="Q140" s="15" t="n">
        <f aca="false">SUM(P137:P140)+Parametri_v3!$C$56*4/12</f>
        <v>19934.4940010433</v>
      </c>
      <c r="R140" s="15" t="n">
        <f aca="false">Z136</f>
        <v>0</v>
      </c>
      <c r="S140" s="15" t="n">
        <f aca="false">AA136</f>
        <v>0</v>
      </c>
      <c r="T140" s="15" t="n">
        <f aca="false">MIN(R140,MAX(0,Q140))</f>
        <v>0</v>
      </c>
      <c r="U140" s="15" t="n">
        <f aca="false">MIN(S140,MAX(0,Q140-T140)*Parametri_v3!$C$42)</f>
        <v>0</v>
      </c>
      <c r="V140" s="15" t="n">
        <f aca="false">MAX(0,Q140-T140-U140)*Ipotesi!$C$92</f>
        <v>4784.27856025039</v>
      </c>
      <c r="W140" s="15" t="n">
        <f aca="false">MAX(0,SUM(M137:M140)+Parametri_v3!$C$57*4/12)*Ipotesi!$C$93</f>
        <v>777.445266040689</v>
      </c>
      <c r="X140" s="15" t="n">
        <f aca="false">V140+W140-(V139+W139)</f>
        <v>1385.58720657277</v>
      </c>
      <c r="Y140" s="15" t="n">
        <f aca="false">P140-X140</f>
        <v>3580.67518257695</v>
      </c>
      <c r="Z140" s="15" t="n">
        <f aca="false">R140-T140+IF(AND(Parametri_v3!$C$40=1,D140-YEAR(Parametri_v3!$C$50)&lt;Parametri_v3!$C$41),MAX(0,-Q140),0)</f>
        <v>0</v>
      </c>
      <c r="AA140" s="15" t="n">
        <f aca="false">S140-U140+IF(AND(Parametri_v3!$C$40=1,D140-YEAR(Parametri_v3!$C$50)&lt;Parametri_v3!$C$41),0,MAX(0,-Q140))</f>
        <v>0</v>
      </c>
      <c r="AB140" s="15" t="n">
        <f aca="false">F140*(1+Parametri_v3!$C$26)</f>
        <v>41457.0892018779</v>
      </c>
      <c r="AC140" s="15" t="n">
        <f aca="false">(IF(16-(INT((Motore_Operativo!L140)/30))&lt;1,0,INDEX(Motore_Advisory!$AB$125:$AB$184,MAX(1,16-(INT((Motore_Operativo!L140)/30)))))*(1-(MOD((Motore_Operativo!L140),30)/30))+IF(16-(INT((Motore_Operativo!L140)/30))-1&lt;1,0,INDEX(Motore_Advisory!$AB$125:$AB$184,MAX(1,16-(INT((Motore_Operativo!L140)/30))-1)))*(MOD((Motore_Operativo!L140),30)/30))</f>
        <v>41457.0892018779</v>
      </c>
      <c r="AD140" s="15" t="n">
        <f aca="false">(AD139)+AB140-AC140</f>
        <v>124371.267605634</v>
      </c>
      <c r="AE140" s="15" t="n">
        <f aca="false">Motore_Operativo!BH140*(1+Parametri_v3!$C$26)</f>
        <v>4145.70892018779</v>
      </c>
      <c r="AF140" s="15" t="n">
        <f aca="false">(IF(16-(INT((Parametri_v3!$C$29)/30))&lt;1,0,INDEX(Motore_Operativo!$BH$125:$BH$184,MAX(1,16-(INT((Parametri_v3!$C$29)/30)))))*(1-(MOD((Parametri_v3!$C$29),30)/30))+IF(16-(INT((Parametri_v3!$C$29)/30))-1&lt;1,0,INDEX(Motore_Operativo!$BH$125:$BH$184,MAX(1,16-(INT((Parametri_v3!$C$29)/30))-1)))*(MOD((Parametri_v3!$C$29),30)/30))*(1+Parametri_v3!$C$26)</f>
        <v>4145.70892018779</v>
      </c>
      <c r="AG140" s="15" t="n">
        <f aca="false">(AG139)+AE140-AF140</f>
        <v>4145.70892018779</v>
      </c>
      <c r="AH140" s="15" t="n">
        <f aca="false">(Motore_Operativo!CK140)*(1+Parametri_v3!$C$28*Parametri_v3!$C$26)</f>
        <v>11198.1149295775</v>
      </c>
      <c r="AI140" s="15" t="n">
        <f aca="false">(IF(16-(INT((Ipotesi!$C$91)/30))&lt;1,0,INDEX(Motore_Advisory!$AH$125:$AH$184,MAX(1,16-(INT((Ipotesi!$C$91)/30)))))*(1-(MOD((Ipotesi!$C$91),30)/30))+IF(16-(INT((Ipotesi!$C$91)/30))-1&lt;1,0,INDEX(Motore_Advisory!$AH$125:$AH$184,MAX(1,16-(INT((Ipotesi!$C$91)/30))-1)))*(MOD((Ipotesi!$C$91),30)/30))</f>
        <v>11198.1149295775</v>
      </c>
      <c r="AJ140" s="15" t="n">
        <f aca="false">(AJ139)+AH140-AI140</f>
        <v>22396.2298591549</v>
      </c>
      <c r="AK140" s="15" t="n">
        <f aca="false">(F140- Motore_Operativo!BH140-(Motore_Operativo!CK140)*Parametri_v3!$C$28-Motore_Operativo!CF140)*Parametri_v3!$C$26</f>
        <v>4960.70666666667</v>
      </c>
      <c r="AL140" s="15" t="n">
        <f aca="false">MAX(0,(AM139))</f>
        <v>4960.70666666667</v>
      </c>
      <c r="AM140" s="15" t="n">
        <f aca="false">(AM139)+AK140-AL140</f>
        <v>4960.70666666667</v>
      </c>
      <c r="AN140" s="15" t="n">
        <f aca="false">SUM(X125:X136)</f>
        <v>13562.312368421</v>
      </c>
      <c r="AO140" s="15" t="n">
        <f aca="false">SUM(AP125:AP136)</f>
        <v>0</v>
      </c>
      <c r="AP140" s="15" t="n">
        <f aca="false">MAX(0,AN140)*IF(4=Parametri_v3!$C$43,Parametri_v3!$C$45,IF(4=Parametri_v3!$C$44,1-Parametri_v3!$C$45,0))</f>
        <v>0</v>
      </c>
      <c r="AQ140" s="15" t="n">
        <f aca="false">MAX(0,AP140+IF(4=Parametri_v3!$C$43,MAX(0,AN140-AO140),0)-MAX(0,-(AR139)))</f>
        <v>0</v>
      </c>
      <c r="AR140" s="15" t="n">
        <f aca="false">(AR139)+X140-AQ140</f>
        <v>19124.0361947121</v>
      </c>
      <c r="AS140" s="15" t="n">
        <f aca="false">Motore_Operativo!AC140-AT140+AU140</f>
        <v>15166.75</v>
      </c>
      <c r="AT140" s="15" t="n">
        <f aca="false">Motore_Operativo!CI140</f>
        <v>798.25</v>
      </c>
      <c r="AU140" s="15" t="n">
        <f aca="false">MIN(MAX(0,(AV139)+AT140),Parametri_v3!$C$61/12)</f>
        <v>0</v>
      </c>
      <c r="AV140" s="15" t="n">
        <f aca="false">(AV139)+AT140-AU140</f>
        <v>6343</v>
      </c>
      <c r="AW140" s="15" t="n">
        <f aca="false">IF(AND(Motore_Operativo!C140=Finanziamenti!$D$7,Finanziamenti!$F$7=1),Finanziamenti!$C$7,0)</f>
        <v>0</v>
      </c>
      <c r="AX140" s="15" t="n">
        <f aca="false">0</f>
        <v>0</v>
      </c>
      <c r="AY140" s="15" t="n">
        <f aca="false">IF(4=Parametri_v3!$C$33,IF(BV140&lt;MIN(12,$B140-1),0,MIN(MAX(0,SUM(Y125:Y136))*Ipotesi!$C$94,MAX(0,(BM136)-(BO139)-BP140),MAX(0,BD140-Parametri_v3!$C$31))),0)</f>
        <v>0</v>
      </c>
      <c r="AZ140" s="15" t="n">
        <f aca="false">0</f>
        <v>0</v>
      </c>
      <c r="BA140" s="15" t="n">
        <f aca="false">0</f>
        <v>0</v>
      </c>
      <c r="BB140" s="15" t="n">
        <f aca="false">0</f>
        <v>0</v>
      </c>
      <c r="BC140" s="15" t="n">
        <f aca="false">0</f>
        <v>0</v>
      </c>
      <c r="BD140" s="15" t="n">
        <f aca="false">(BH139)+AC140-AF140-AI140-AS140-K140*(1+Parametri_v3!$C$26)-AL140-AQ140-O140+AW140+AX140+AZ140+BA140-BB140</f>
        <v>-1656.61548801583</v>
      </c>
      <c r="BE140" s="15" t="n">
        <f aca="false">0</f>
        <v>0</v>
      </c>
      <c r="BF140" s="15" t="n">
        <f aca="false">0</f>
        <v>0</v>
      </c>
      <c r="BG140" s="15" t="n">
        <f aca="false">0</f>
        <v>0</v>
      </c>
      <c r="BH140" s="15" t="n">
        <f aca="false">BD140+BE140-BF140-AY140</f>
        <v>-1656.61548801583</v>
      </c>
      <c r="BI140" s="15" t="n">
        <f aca="false">MAX(0,Parametri_v3!$C$31-BH140)</f>
        <v>11656.6154880158</v>
      </c>
      <c r="BJ140" s="15" t="n">
        <f aca="false">(BJ139)+K140</f>
        <v>4666.66666666667</v>
      </c>
      <c r="BK140" s="15" t="n">
        <f aca="false">(BK139)+L140</f>
        <v>990.740740740741</v>
      </c>
      <c r="BL140" s="15" t="n">
        <f aca="false">BJ140-BK140</f>
        <v>3675.92592592593</v>
      </c>
      <c r="BM140" s="15" t="n">
        <f aca="false">(BM139)+Y140</f>
        <v>49420.8964028224</v>
      </c>
      <c r="BN140" s="15" t="n">
        <f aca="false">(BN139)+AW140+AX140+AZ140</f>
        <v>20000</v>
      </c>
      <c r="BO140" s="15" t="n">
        <f aca="false">(BO139)+AY140</f>
        <v>0</v>
      </c>
      <c r="BP140" s="15" t="n">
        <f aca="false">MIN(Parametri_v3!$C$36*Parametri_v3!$C$35,(BP139)+IF(4=1,MAX(0,SUM(Y125:Y136))*Parametri_v3!$C$34,0))</f>
        <v>1752.40631140351</v>
      </c>
      <c r="BQ140" s="15" t="n">
        <f aca="false">BN140+BM140-BO140</f>
        <v>69420.8964028224</v>
      </c>
      <c r="BR140" s="15" t="n">
        <f aca="false">BH140+AD140+BL140+MAX(0,-AM140)+MAX(0,-AR140)</f>
        <v>126390.578043544</v>
      </c>
      <c r="BS140" s="15" t="n">
        <f aca="false">AJ140+AV140+MAX(0,AM140)+MAX(0,AR140)+BC140+BG140+BQ140+AG140</f>
        <v>126390.578043544</v>
      </c>
      <c r="BT140" s="15" t="n">
        <f aca="false">BR140-BS140</f>
        <v>0</v>
      </c>
      <c r="BU140" s="15" t="n">
        <f aca="false">BH140-(BD140+BE140-BF140-AY140)</f>
        <v>0</v>
      </c>
      <c r="BV140" s="15" t="n">
        <f aca="false">IF(BH139&lt;Parametri_v3!$C$31,0,BV139+1)</f>
        <v>0</v>
      </c>
    </row>
    <row r="141" customFormat="false" ht="18" hidden="false" customHeight="true" outlineLevel="0" collapsed="false">
      <c r="A141" s="68" t="n">
        <f aca="false">3</f>
        <v>3</v>
      </c>
      <c r="B141" s="68" t="n">
        <f aca="false">17</f>
        <v>17</v>
      </c>
      <c r="C141" s="18" t="n">
        <f aca="false">Motore_Operativo!C141</f>
        <v>46874</v>
      </c>
      <c r="D141" s="68" t="n">
        <f aca="false">Motore_Operativo!D141</f>
        <v>2028</v>
      </c>
      <c r="E141" s="68" t="n">
        <f aca="false">Motore_Operativo!E141</f>
        <v>5</v>
      </c>
      <c r="F141" s="15" t="n">
        <f aca="false">Motore_Operativo!AM141</f>
        <v>33981.220657277</v>
      </c>
      <c r="G141" s="15" t="n">
        <f aca="false">Motore_Operativo!BH141</f>
        <v>3398.1220657277</v>
      </c>
      <c r="H141" s="15" t="n">
        <f aca="false">Motore_Operativo!AM141</f>
        <v>33981.220657277</v>
      </c>
      <c r="I141" s="15" t="n">
        <f aca="false">Motore_Operativo!CB141</f>
        <v>28885.3286384977</v>
      </c>
      <c r="J141" s="15" t="n">
        <f aca="false">Motore_Operativo!CD141</f>
        <v>5095.89201877935</v>
      </c>
      <c r="K141" s="15" t="n">
        <f aca="false">Motore_Operativo!CF141</f>
        <v>416.666666666667</v>
      </c>
      <c r="L141" s="15" t="n">
        <f aca="false">SUM(INDEX($K$125:$K$184,MAX(1,17-Parametri_v3!$C$59+1)):K141)/Parametri_v3!$C$59</f>
        <v>141.203703703704</v>
      </c>
      <c r="M141" s="15" t="n">
        <f aca="false">J141-L141</f>
        <v>4954.68831507564</v>
      </c>
      <c r="N141" s="15" t="n">
        <f aca="false">0</f>
        <v>0</v>
      </c>
      <c r="O141" s="15" t="n">
        <f aca="false">0</f>
        <v>0</v>
      </c>
      <c r="P141" s="15" t="n">
        <f aca="false">M141+N141-O141</f>
        <v>4954.68831507564</v>
      </c>
      <c r="Q141" s="15" t="n">
        <f aca="false">SUM(P137:P141)+Parametri_v3!$C$56*5/12</f>
        <v>24889.1823161189</v>
      </c>
      <c r="R141" s="15" t="n">
        <f aca="false">Z136</f>
        <v>0</v>
      </c>
      <c r="S141" s="15" t="n">
        <f aca="false">AA136</f>
        <v>0</v>
      </c>
      <c r="T141" s="15" t="n">
        <f aca="false">MIN(R141,MAX(0,Q141))</f>
        <v>0</v>
      </c>
      <c r="U141" s="15" t="n">
        <f aca="false">MIN(S141,MAX(0,Q141-T141)*Parametri_v3!$C$42)</f>
        <v>0</v>
      </c>
      <c r="V141" s="15" t="n">
        <f aca="false">MAX(0,Q141-T141-U141)*Ipotesi!$C$92</f>
        <v>5973.40375586855</v>
      </c>
      <c r="W141" s="15" t="n">
        <f aca="false">MAX(0,SUM(M137:M141)+Parametri_v3!$C$57*5/12)*Ipotesi!$C$93</f>
        <v>970.678110328639</v>
      </c>
      <c r="X141" s="15" t="n">
        <f aca="false">V141+W141-(V140+W140)</f>
        <v>1382.3580399061</v>
      </c>
      <c r="Y141" s="15" t="n">
        <f aca="false">P141-X141</f>
        <v>3572.33027516954</v>
      </c>
      <c r="Z141" s="15" t="n">
        <f aca="false">R141-T141+IF(AND(Parametri_v3!$C$40=1,D141-YEAR(Parametri_v3!$C$50)&lt;Parametri_v3!$C$41),MAX(0,-Q141),0)</f>
        <v>0</v>
      </c>
      <c r="AA141" s="15" t="n">
        <f aca="false">S141-U141+IF(AND(Parametri_v3!$C$40=1,D141-YEAR(Parametri_v3!$C$50)&lt;Parametri_v3!$C$41),0,MAX(0,-Q141))</f>
        <v>0</v>
      </c>
      <c r="AB141" s="15" t="n">
        <f aca="false">F141*(1+Parametri_v3!$C$26)</f>
        <v>41457.0892018779</v>
      </c>
      <c r="AC141" s="15" t="n">
        <f aca="false">(IF(17-(INT((Motore_Operativo!L141)/30))&lt;1,0,INDEX(Motore_Advisory!$AB$125:$AB$184,MAX(1,17-(INT((Motore_Operativo!L141)/30)))))*(1-(MOD((Motore_Operativo!L141),30)/30))+IF(17-(INT((Motore_Operativo!L141)/30))-1&lt;1,0,INDEX(Motore_Advisory!$AB$125:$AB$184,MAX(1,17-(INT((Motore_Operativo!L141)/30))-1)))*(MOD((Motore_Operativo!L141),30)/30))</f>
        <v>41457.0892018779</v>
      </c>
      <c r="AD141" s="15" t="n">
        <f aca="false">(AD140)+AB141-AC141</f>
        <v>124371.267605634</v>
      </c>
      <c r="AE141" s="15" t="n">
        <f aca="false">Motore_Operativo!BH141*(1+Parametri_v3!$C$26)</f>
        <v>4145.70892018779</v>
      </c>
      <c r="AF141" s="15" t="n">
        <f aca="false">(IF(17-(INT((Parametri_v3!$C$29)/30))&lt;1,0,INDEX(Motore_Operativo!$BH$125:$BH$184,MAX(1,17-(INT((Parametri_v3!$C$29)/30)))))*(1-(MOD((Parametri_v3!$C$29),30)/30))+IF(17-(INT((Parametri_v3!$C$29)/30))-1&lt;1,0,INDEX(Motore_Operativo!$BH$125:$BH$184,MAX(1,17-(INT((Parametri_v3!$C$29)/30))-1)))*(MOD((Parametri_v3!$C$29),30)/30))*(1+Parametri_v3!$C$26)</f>
        <v>4145.70892018779</v>
      </c>
      <c r="AG141" s="15" t="n">
        <f aca="false">(AG140)+AE141-AF141</f>
        <v>4145.70892018779</v>
      </c>
      <c r="AH141" s="15" t="n">
        <f aca="false">(Motore_Operativo!CK141)*(1+Parametri_v3!$C$28*Parametri_v3!$C$26)</f>
        <v>11198.1149295775</v>
      </c>
      <c r="AI141" s="15" t="n">
        <f aca="false">(IF(17-(INT((Ipotesi!$C$91)/30))&lt;1,0,INDEX(Motore_Advisory!$AH$125:$AH$184,MAX(1,17-(INT((Ipotesi!$C$91)/30)))))*(1-(MOD((Ipotesi!$C$91),30)/30))+IF(17-(INT((Ipotesi!$C$91)/30))-1&lt;1,0,INDEX(Motore_Advisory!$AH$125:$AH$184,MAX(1,17-(INT((Ipotesi!$C$91)/30))-1)))*(MOD((Ipotesi!$C$91),30)/30))</f>
        <v>11198.1149295775</v>
      </c>
      <c r="AJ141" s="15" t="n">
        <f aca="false">(AJ140)+AH141-AI141</f>
        <v>22396.2298591549</v>
      </c>
      <c r="AK141" s="15" t="n">
        <f aca="false">(F141- Motore_Operativo!BH141-(Motore_Operativo!CK141)*Parametri_v3!$C$28-Motore_Operativo!CF141)*Parametri_v3!$C$26</f>
        <v>4960.70666666667</v>
      </c>
      <c r="AL141" s="15" t="n">
        <f aca="false">MAX(0,(AM140))</f>
        <v>4960.70666666667</v>
      </c>
      <c r="AM141" s="15" t="n">
        <f aca="false">(AM140)+AK141-AL141</f>
        <v>4960.70666666667</v>
      </c>
      <c r="AN141" s="15" t="n">
        <f aca="false">SUM(X125:X136)</f>
        <v>13562.312368421</v>
      </c>
      <c r="AO141" s="15" t="n">
        <f aca="false">SUM(AP125:AP136)</f>
        <v>0</v>
      </c>
      <c r="AP141" s="15" t="n">
        <f aca="false">MAX(0,AN141)*IF(5=Parametri_v3!$C$43,Parametri_v3!$C$45,IF(5=Parametri_v3!$C$44,1-Parametri_v3!$C$45,0))</f>
        <v>0</v>
      </c>
      <c r="AQ141" s="15" t="n">
        <f aca="false">MAX(0,AP141+IF(5=Parametri_v3!$C$43,MAX(0,AN141-AO141),0)-MAX(0,-(AR140)))</f>
        <v>0</v>
      </c>
      <c r="AR141" s="15" t="n">
        <f aca="false">(AR140)+X141-AQ141</f>
        <v>20506.3942346182</v>
      </c>
      <c r="AS141" s="15" t="n">
        <f aca="false">Motore_Operativo!AC141-AT141+AU141</f>
        <v>15166.75</v>
      </c>
      <c r="AT141" s="15" t="n">
        <f aca="false">Motore_Operativo!CI141</f>
        <v>798.25</v>
      </c>
      <c r="AU141" s="15" t="n">
        <f aca="false">MIN(MAX(0,(AV140)+AT141),Parametri_v3!$C$61/12)</f>
        <v>0</v>
      </c>
      <c r="AV141" s="15" t="n">
        <f aca="false">(AV140)+AT141-AU141</f>
        <v>7141.25</v>
      </c>
      <c r="AW141" s="15" t="n">
        <f aca="false">IF(AND(Motore_Operativo!C141=Finanziamenti!$D$7,Finanziamenti!$F$7=1),Finanziamenti!$C$7,0)</f>
        <v>0</v>
      </c>
      <c r="AX141" s="15" t="n">
        <f aca="false">0</f>
        <v>0</v>
      </c>
      <c r="AY141" s="15" t="n">
        <f aca="false">IF(5=Parametri_v3!$C$33,IF(BV141&lt;MIN(12,$B141-1),0,MIN(MAX(0,SUM(Y125:Y136))*Ipotesi!$C$94,MAX(0,(BM136)-(BO140)-BP141),MAX(0,BD141-Parametri_v3!$C$31))),0)</f>
        <v>0</v>
      </c>
      <c r="AZ141" s="15" t="n">
        <f aca="false">0</f>
        <v>0</v>
      </c>
      <c r="BA141" s="15" t="n">
        <f aca="false">0</f>
        <v>0</v>
      </c>
      <c r="BB141" s="15" t="n">
        <f aca="false">0</f>
        <v>0</v>
      </c>
      <c r="BC141" s="15" t="n">
        <f aca="false">0</f>
        <v>0</v>
      </c>
      <c r="BD141" s="15" t="n">
        <f aca="false">(BH140)+AC141-AF141-AI141-AS141-K141*(1+Parametri_v3!$C$26)-AL141-AQ141-O141+AW141+AX141+AZ141+BA141-BB141</f>
        <v>3820.85986409686</v>
      </c>
      <c r="BE141" s="15" t="n">
        <f aca="false">0</f>
        <v>0</v>
      </c>
      <c r="BF141" s="15" t="n">
        <f aca="false">0</f>
        <v>0</v>
      </c>
      <c r="BG141" s="15" t="n">
        <f aca="false">0</f>
        <v>0</v>
      </c>
      <c r="BH141" s="15" t="n">
        <f aca="false">BD141+BE141-BF141-AY141</f>
        <v>3820.85986409686</v>
      </c>
      <c r="BI141" s="15" t="n">
        <f aca="false">MAX(0,Parametri_v3!$C$31-BH141)</f>
        <v>6179.14013590314</v>
      </c>
      <c r="BJ141" s="15" t="n">
        <f aca="false">(BJ140)+K141</f>
        <v>5083.33333333333</v>
      </c>
      <c r="BK141" s="15" t="n">
        <f aca="false">(BK140)+L141</f>
        <v>1131.94444444444</v>
      </c>
      <c r="BL141" s="15" t="n">
        <f aca="false">BJ141-BK141</f>
        <v>3951.38888888889</v>
      </c>
      <c r="BM141" s="15" t="n">
        <f aca="false">(BM140)+Y141</f>
        <v>52993.2266779919</v>
      </c>
      <c r="BN141" s="15" t="n">
        <f aca="false">(BN140)+AW141+AX141+AZ141</f>
        <v>20000</v>
      </c>
      <c r="BO141" s="15" t="n">
        <f aca="false">(BO140)+AY141</f>
        <v>0</v>
      </c>
      <c r="BP141" s="15" t="n">
        <f aca="false">MIN(Parametri_v3!$C$36*Parametri_v3!$C$35,(BP140)+IF(5=1,MAX(0,SUM(Y125:Y136))*Parametri_v3!$C$34,0))</f>
        <v>1752.40631140351</v>
      </c>
      <c r="BQ141" s="15" t="n">
        <f aca="false">BN141+BM141-BO141</f>
        <v>72993.2266779919</v>
      </c>
      <c r="BR141" s="15" t="n">
        <f aca="false">BH141+AD141+BL141+MAX(0,-AM141)+MAX(0,-AR141)</f>
        <v>132143.51635862</v>
      </c>
      <c r="BS141" s="15" t="n">
        <f aca="false">AJ141+AV141+MAX(0,AM141)+MAX(0,AR141)+BC141+BG141+BQ141+AG141</f>
        <v>132143.51635862</v>
      </c>
      <c r="BT141" s="15" t="n">
        <f aca="false">BR141-BS141</f>
        <v>0</v>
      </c>
      <c r="BU141" s="15" t="n">
        <f aca="false">BH141-(BD141+BE141-BF141-AY141)</f>
        <v>0</v>
      </c>
      <c r="BV141" s="15" t="n">
        <f aca="false">IF(BH140&lt;Parametri_v3!$C$31,0,BV140+1)</f>
        <v>0</v>
      </c>
    </row>
    <row r="142" customFormat="false" ht="18" hidden="false" customHeight="true" outlineLevel="0" collapsed="false">
      <c r="A142" s="68" t="n">
        <f aca="false">3</f>
        <v>3</v>
      </c>
      <c r="B142" s="68" t="n">
        <f aca="false">18</f>
        <v>18</v>
      </c>
      <c r="C142" s="18" t="n">
        <f aca="false">Motore_Operativo!C142</f>
        <v>46905</v>
      </c>
      <c r="D142" s="68" t="n">
        <f aca="false">Motore_Operativo!D142</f>
        <v>2028</v>
      </c>
      <c r="E142" s="68" t="n">
        <f aca="false">Motore_Operativo!E142</f>
        <v>6</v>
      </c>
      <c r="F142" s="15" t="n">
        <f aca="false">Motore_Operativo!AM142</f>
        <v>33981.220657277</v>
      </c>
      <c r="G142" s="15" t="n">
        <f aca="false">Motore_Operativo!BH142</f>
        <v>3398.1220657277</v>
      </c>
      <c r="H142" s="15" t="n">
        <f aca="false">Motore_Operativo!AM142</f>
        <v>33981.220657277</v>
      </c>
      <c r="I142" s="15" t="n">
        <f aca="false">Motore_Operativo!CB142</f>
        <v>28885.3286384977</v>
      </c>
      <c r="J142" s="15" t="n">
        <f aca="false">Motore_Operativo!CD142</f>
        <v>5095.89201877935</v>
      </c>
      <c r="K142" s="15" t="n">
        <f aca="false">Motore_Operativo!CF142</f>
        <v>416.666666666667</v>
      </c>
      <c r="L142" s="15" t="n">
        <f aca="false">SUM(INDEX($K$125:$K$184,MAX(1,18-Parametri_v3!$C$59+1)):K142)/Parametri_v3!$C$59</f>
        <v>152.777777777778</v>
      </c>
      <c r="M142" s="15" t="n">
        <f aca="false">J142-L142</f>
        <v>4943.11424100157</v>
      </c>
      <c r="N142" s="15" t="n">
        <f aca="false">0</f>
        <v>0</v>
      </c>
      <c r="O142" s="15" t="n">
        <f aca="false">0</f>
        <v>0</v>
      </c>
      <c r="P142" s="15" t="n">
        <f aca="false">M142+N142-O142</f>
        <v>4943.11424100157</v>
      </c>
      <c r="Q142" s="15" t="n">
        <f aca="false">SUM(P137:P142)+Parametri_v3!$C$56*6/12</f>
        <v>29832.2965571205</v>
      </c>
      <c r="R142" s="15" t="n">
        <f aca="false">Z136</f>
        <v>0</v>
      </c>
      <c r="S142" s="15" t="n">
        <f aca="false">AA136</f>
        <v>0</v>
      </c>
      <c r="T142" s="15" t="n">
        <f aca="false">MIN(R142,MAX(0,Q142))</f>
        <v>0</v>
      </c>
      <c r="U142" s="15" t="n">
        <f aca="false">MIN(S142,MAX(0,Q142-T142)*Parametri_v3!$C$42)</f>
        <v>0</v>
      </c>
      <c r="V142" s="15" t="n">
        <f aca="false">MAX(0,Q142-T142-U142)*Ipotesi!$C$92</f>
        <v>7159.75117370892</v>
      </c>
      <c r="W142" s="15" t="n">
        <f aca="false">MAX(0,SUM(M137:M142)+Parametri_v3!$C$57*6/12)*Ipotesi!$C$93</f>
        <v>1163.4595657277</v>
      </c>
      <c r="X142" s="15" t="n">
        <f aca="false">V142+W142-(V141+W141)</f>
        <v>1379.12887323944</v>
      </c>
      <c r="Y142" s="15" t="n">
        <f aca="false">P142-X142</f>
        <v>3563.98536776213</v>
      </c>
      <c r="Z142" s="15" t="n">
        <f aca="false">R142-T142+IF(AND(Parametri_v3!$C$40=1,D142-YEAR(Parametri_v3!$C$50)&lt;Parametri_v3!$C$41),MAX(0,-Q142),0)</f>
        <v>0</v>
      </c>
      <c r="AA142" s="15" t="n">
        <f aca="false">S142-U142+IF(AND(Parametri_v3!$C$40=1,D142-YEAR(Parametri_v3!$C$50)&lt;Parametri_v3!$C$41),0,MAX(0,-Q142))</f>
        <v>0</v>
      </c>
      <c r="AB142" s="15" t="n">
        <f aca="false">F142*(1+Parametri_v3!$C$26)</f>
        <v>41457.0892018779</v>
      </c>
      <c r="AC142" s="15" t="n">
        <f aca="false">(IF(18-(INT((Motore_Operativo!L142)/30))&lt;1,0,INDEX(Motore_Advisory!$AB$125:$AB$184,MAX(1,18-(INT((Motore_Operativo!L142)/30)))))*(1-(MOD((Motore_Operativo!L142),30)/30))+IF(18-(INT((Motore_Operativo!L142)/30))-1&lt;1,0,INDEX(Motore_Advisory!$AB$125:$AB$184,MAX(1,18-(INT((Motore_Operativo!L142)/30))-1)))*(MOD((Motore_Operativo!L142),30)/30))</f>
        <v>41457.0892018779</v>
      </c>
      <c r="AD142" s="15" t="n">
        <f aca="false">(AD141)+AB142-AC142</f>
        <v>124371.267605634</v>
      </c>
      <c r="AE142" s="15" t="n">
        <f aca="false">Motore_Operativo!BH142*(1+Parametri_v3!$C$26)</f>
        <v>4145.70892018779</v>
      </c>
      <c r="AF142" s="15" t="n">
        <f aca="false">(IF(18-(INT((Parametri_v3!$C$29)/30))&lt;1,0,INDEX(Motore_Operativo!$BH$125:$BH$184,MAX(1,18-(INT((Parametri_v3!$C$29)/30)))))*(1-(MOD((Parametri_v3!$C$29),30)/30))+IF(18-(INT((Parametri_v3!$C$29)/30))-1&lt;1,0,INDEX(Motore_Operativo!$BH$125:$BH$184,MAX(1,18-(INT((Parametri_v3!$C$29)/30))-1)))*(MOD((Parametri_v3!$C$29),30)/30))*(1+Parametri_v3!$C$26)</f>
        <v>4145.70892018779</v>
      </c>
      <c r="AG142" s="15" t="n">
        <f aca="false">(AG141)+AE142-AF142</f>
        <v>4145.70892018779</v>
      </c>
      <c r="AH142" s="15" t="n">
        <f aca="false">(Motore_Operativo!CK142)*(1+Parametri_v3!$C$28*Parametri_v3!$C$26)</f>
        <v>11198.1149295775</v>
      </c>
      <c r="AI142" s="15" t="n">
        <f aca="false">(IF(18-(INT((Ipotesi!$C$91)/30))&lt;1,0,INDEX(Motore_Advisory!$AH$125:$AH$184,MAX(1,18-(INT((Ipotesi!$C$91)/30)))))*(1-(MOD((Ipotesi!$C$91),30)/30))+IF(18-(INT((Ipotesi!$C$91)/30))-1&lt;1,0,INDEX(Motore_Advisory!$AH$125:$AH$184,MAX(1,18-(INT((Ipotesi!$C$91)/30))-1)))*(MOD((Ipotesi!$C$91),30)/30))</f>
        <v>11198.1149295775</v>
      </c>
      <c r="AJ142" s="15" t="n">
        <f aca="false">(AJ141)+AH142-AI142</f>
        <v>22396.2298591549</v>
      </c>
      <c r="AK142" s="15" t="n">
        <f aca="false">(F142- Motore_Operativo!BH142-(Motore_Operativo!CK142)*Parametri_v3!$C$28-Motore_Operativo!CF142)*Parametri_v3!$C$26</f>
        <v>4960.70666666667</v>
      </c>
      <c r="AL142" s="15" t="n">
        <f aca="false">MAX(0,(AM141))</f>
        <v>4960.70666666667</v>
      </c>
      <c r="AM142" s="15" t="n">
        <f aca="false">(AM141)+AK142-AL142</f>
        <v>4960.70666666667</v>
      </c>
      <c r="AN142" s="15" t="n">
        <f aca="false">SUM(X125:X136)</f>
        <v>13562.312368421</v>
      </c>
      <c r="AO142" s="15" t="n">
        <f aca="false">SUM(AP125:AP136)</f>
        <v>0</v>
      </c>
      <c r="AP142" s="15" t="n">
        <f aca="false">MAX(0,AN142)*IF(6=Parametri_v3!$C$43,Parametri_v3!$C$45,IF(6=Parametri_v3!$C$44,1-Parametri_v3!$C$45,0))</f>
        <v>5424.92494736842</v>
      </c>
      <c r="AQ142" s="15" t="n">
        <f aca="false">MAX(0,AP142+IF(6=Parametri_v3!$C$43,MAX(0,AN142-AO142),0)-MAX(0,-(AR141)))</f>
        <v>18987.2373157895</v>
      </c>
      <c r="AR142" s="15" t="n">
        <f aca="false">(AR141)+X142-AQ142</f>
        <v>2898.2857920682</v>
      </c>
      <c r="AS142" s="15" t="n">
        <f aca="false">Motore_Operativo!AC142-AT142+AU142</f>
        <v>15166.75</v>
      </c>
      <c r="AT142" s="15" t="n">
        <f aca="false">Motore_Operativo!CI142</f>
        <v>798.25</v>
      </c>
      <c r="AU142" s="15" t="n">
        <f aca="false">MIN(MAX(0,(AV141)+AT142),Parametri_v3!$C$61/12)</f>
        <v>0</v>
      </c>
      <c r="AV142" s="15" t="n">
        <f aca="false">(AV141)+AT142-AU142</f>
        <v>7939.5</v>
      </c>
      <c r="AW142" s="15" t="n">
        <f aca="false">IF(AND(Motore_Operativo!C142=Finanziamenti!$D$7,Finanziamenti!$F$7=1),Finanziamenti!$C$7,0)</f>
        <v>0</v>
      </c>
      <c r="AX142" s="15" t="n">
        <f aca="false">0</f>
        <v>0</v>
      </c>
      <c r="AY142" s="15" t="n">
        <f aca="false">IF(6=Parametri_v3!$C$33,IF(BV142&lt;MIN(12,$B142-1),0,MIN(MAX(0,SUM(Y125:Y136))*Ipotesi!$C$94,MAX(0,(BM136)-(BO141)-BP142),MAX(0,BD142-Parametri_v3!$C$31))),0)</f>
        <v>0</v>
      </c>
      <c r="AZ142" s="15" t="n">
        <f aca="false">0</f>
        <v>0</v>
      </c>
      <c r="BA142" s="15" t="n">
        <f aca="false">0</f>
        <v>0</v>
      </c>
      <c r="BB142" s="15" t="n">
        <f aca="false">0</f>
        <v>0</v>
      </c>
      <c r="BC142" s="15" t="n">
        <f aca="false">0</f>
        <v>0</v>
      </c>
      <c r="BD142" s="15" t="n">
        <f aca="false">(BH141)+AC142-AF142-AI142-AS142-K142*(1+Parametri_v3!$C$26)-AL142-AQ142-O142+AW142+AX142+AZ142+BA142-BB142</f>
        <v>-9688.90209957992</v>
      </c>
      <c r="BE142" s="15" t="n">
        <f aca="false">0</f>
        <v>0</v>
      </c>
      <c r="BF142" s="15" t="n">
        <f aca="false">0</f>
        <v>0</v>
      </c>
      <c r="BG142" s="15" t="n">
        <f aca="false">0</f>
        <v>0</v>
      </c>
      <c r="BH142" s="15" t="n">
        <f aca="false">BD142+BE142-BF142-AY142</f>
        <v>-9688.90209957992</v>
      </c>
      <c r="BI142" s="15" t="n">
        <f aca="false">MAX(0,Parametri_v3!$C$31-BH142)</f>
        <v>19688.9020995799</v>
      </c>
      <c r="BJ142" s="15" t="n">
        <f aca="false">(BJ141)+K142</f>
        <v>5500</v>
      </c>
      <c r="BK142" s="15" t="n">
        <f aca="false">(BK141)+L142</f>
        <v>1284.72222222222</v>
      </c>
      <c r="BL142" s="15" t="n">
        <f aca="false">BJ142-BK142</f>
        <v>4215.27777777778</v>
      </c>
      <c r="BM142" s="15" t="n">
        <f aca="false">(BM141)+Y142</f>
        <v>56557.2120457541</v>
      </c>
      <c r="BN142" s="15" t="n">
        <f aca="false">(BN141)+AW142+AX142+AZ142</f>
        <v>20000</v>
      </c>
      <c r="BO142" s="15" t="n">
        <f aca="false">(BO141)+AY142</f>
        <v>0</v>
      </c>
      <c r="BP142" s="15" t="n">
        <f aca="false">MIN(Parametri_v3!$C$36*Parametri_v3!$C$35,(BP141)+IF(6=1,MAX(0,SUM(Y125:Y136))*Parametri_v3!$C$34,0))</f>
        <v>1752.40631140351</v>
      </c>
      <c r="BQ142" s="15" t="n">
        <f aca="false">BN142+BM142-BO142</f>
        <v>76557.212045754</v>
      </c>
      <c r="BR142" s="15" t="n">
        <f aca="false">BH142+AD142+BL142+MAX(0,-AM142)+MAX(0,-AR142)</f>
        <v>118897.643283832</v>
      </c>
      <c r="BS142" s="15" t="n">
        <f aca="false">AJ142+AV142+MAX(0,AM142)+MAX(0,AR142)+BC142+BG142+BQ142+AG142</f>
        <v>118897.643283832</v>
      </c>
      <c r="BT142" s="15" t="n">
        <f aca="false">BR142-BS142</f>
        <v>0</v>
      </c>
      <c r="BU142" s="15" t="n">
        <f aca="false">BH142-(BD142+BE142-BF142-AY142)</f>
        <v>0</v>
      </c>
      <c r="BV142" s="15" t="n">
        <f aca="false">IF(BH141&lt;Parametri_v3!$C$31,0,BV141+1)</f>
        <v>0</v>
      </c>
    </row>
    <row r="143" customFormat="false" ht="18" hidden="false" customHeight="true" outlineLevel="0" collapsed="false">
      <c r="A143" s="68" t="n">
        <f aca="false">3</f>
        <v>3</v>
      </c>
      <c r="B143" s="68" t="n">
        <f aca="false">19</f>
        <v>19</v>
      </c>
      <c r="C143" s="18" t="n">
        <f aca="false">Motore_Operativo!C143</f>
        <v>46935</v>
      </c>
      <c r="D143" s="68" t="n">
        <f aca="false">Motore_Operativo!D143</f>
        <v>2028</v>
      </c>
      <c r="E143" s="68" t="n">
        <f aca="false">Motore_Operativo!E143</f>
        <v>7</v>
      </c>
      <c r="F143" s="15" t="n">
        <f aca="false">Motore_Operativo!AM143</f>
        <v>33981.220657277</v>
      </c>
      <c r="G143" s="15" t="n">
        <f aca="false">Motore_Operativo!BH143</f>
        <v>3398.1220657277</v>
      </c>
      <c r="H143" s="15" t="n">
        <f aca="false">Motore_Operativo!AM143</f>
        <v>33981.220657277</v>
      </c>
      <c r="I143" s="15" t="n">
        <f aca="false">Motore_Operativo!CB143</f>
        <v>28885.3286384977</v>
      </c>
      <c r="J143" s="15" t="n">
        <f aca="false">Motore_Operativo!CD143</f>
        <v>5095.89201877935</v>
      </c>
      <c r="K143" s="15" t="n">
        <f aca="false">Motore_Operativo!CF143</f>
        <v>416.666666666667</v>
      </c>
      <c r="L143" s="15" t="n">
        <f aca="false">SUM(INDEX($K$125:$K$184,MAX(1,19-Parametri_v3!$C$59+1)):K143)/Parametri_v3!$C$59</f>
        <v>164.351851851852</v>
      </c>
      <c r="M143" s="15" t="n">
        <f aca="false">J143-L143</f>
        <v>4931.54016692749</v>
      </c>
      <c r="N143" s="15" t="n">
        <f aca="false">0</f>
        <v>0</v>
      </c>
      <c r="O143" s="15" t="n">
        <f aca="false">0</f>
        <v>0</v>
      </c>
      <c r="P143" s="15" t="n">
        <f aca="false">M143+N143-O143</f>
        <v>4931.54016692749</v>
      </c>
      <c r="Q143" s="15" t="n">
        <f aca="false">SUM(P137:P143)+Parametri_v3!$C$56*7/12</f>
        <v>34763.836724048</v>
      </c>
      <c r="R143" s="15" t="n">
        <f aca="false">Z136</f>
        <v>0</v>
      </c>
      <c r="S143" s="15" t="n">
        <f aca="false">AA136</f>
        <v>0</v>
      </c>
      <c r="T143" s="15" t="n">
        <f aca="false">MIN(R143,MAX(0,Q143))</f>
        <v>0</v>
      </c>
      <c r="U143" s="15" t="n">
        <f aca="false">MIN(S143,MAX(0,Q143-T143)*Parametri_v3!$C$42)</f>
        <v>0</v>
      </c>
      <c r="V143" s="15" t="n">
        <f aca="false">MAX(0,Q143-T143-U143)*Ipotesi!$C$92</f>
        <v>8343.32081377152</v>
      </c>
      <c r="W143" s="15" t="n">
        <f aca="false">MAX(0,SUM(M137:M143)+Parametri_v3!$C$57*7/12)*Ipotesi!$C$93</f>
        <v>1355.78963223787</v>
      </c>
      <c r="X143" s="15" t="n">
        <f aca="false">V143+W143-(V142+W142)</f>
        <v>1375.89970657277</v>
      </c>
      <c r="Y143" s="15" t="n">
        <f aca="false">P143-X143</f>
        <v>3555.64046035472</v>
      </c>
      <c r="Z143" s="15" t="n">
        <f aca="false">R143-T143+IF(AND(Parametri_v3!$C$40=1,D143-YEAR(Parametri_v3!$C$50)&lt;Parametri_v3!$C$41),MAX(0,-Q143),0)</f>
        <v>0</v>
      </c>
      <c r="AA143" s="15" t="n">
        <f aca="false">S143-U143+IF(AND(Parametri_v3!$C$40=1,D143-YEAR(Parametri_v3!$C$50)&lt;Parametri_v3!$C$41),0,MAX(0,-Q143))</f>
        <v>0</v>
      </c>
      <c r="AB143" s="15" t="n">
        <f aca="false">F143*(1+Parametri_v3!$C$26)</f>
        <v>41457.0892018779</v>
      </c>
      <c r="AC143" s="15" t="n">
        <f aca="false">(IF(19-(INT((Motore_Operativo!L143)/30))&lt;1,0,INDEX(Motore_Advisory!$AB$125:$AB$184,MAX(1,19-(INT((Motore_Operativo!L143)/30)))))*(1-(MOD((Motore_Operativo!L143),30)/30))+IF(19-(INT((Motore_Operativo!L143)/30))-1&lt;1,0,INDEX(Motore_Advisory!$AB$125:$AB$184,MAX(1,19-(INT((Motore_Operativo!L143)/30))-1)))*(MOD((Motore_Operativo!L143),30)/30))</f>
        <v>41457.0892018779</v>
      </c>
      <c r="AD143" s="15" t="n">
        <f aca="false">(AD142)+AB143-AC143</f>
        <v>124371.267605634</v>
      </c>
      <c r="AE143" s="15" t="n">
        <f aca="false">Motore_Operativo!BH143*(1+Parametri_v3!$C$26)</f>
        <v>4145.70892018779</v>
      </c>
      <c r="AF143" s="15" t="n">
        <f aca="false">(IF(19-(INT((Parametri_v3!$C$29)/30))&lt;1,0,INDEX(Motore_Operativo!$BH$125:$BH$184,MAX(1,19-(INT((Parametri_v3!$C$29)/30)))))*(1-(MOD((Parametri_v3!$C$29),30)/30))+IF(19-(INT((Parametri_v3!$C$29)/30))-1&lt;1,0,INDEX(Motore_Operativo!$BH$125:$BH$184,MAX(1,19-(INT((Parametri_v3!$C$29)/30))-1)))*(MOD((Parametri_v3!$C$29),30)/30))*(1+Parametri_v3!$C$26)</f>
        <v>4145.70892018779</v>
      </c>
      <c r="AG143" s="15" t="n">
        <f aca="false">(AG142)+AE143-AF143</f>
        <v>4145.70892018779</v>
      </c>
      <c r="AH143" s="15" t="n">
        <f aca="false">(Motore_Operativo!CK143)*(1+Parametri_v3!$C$28*Parametri_v3!$C$26)</f>
        <v>11198.1149295775</v>
      </c>
      <c r="AI143" s="15" t="n">
        <f aca="false">(IF(19-(INT((Ipotesi!$C$91)/30))&lt;1,0,INDEX(Motore_Advisory!$AH$125:$AH$184,MAX(1,19-(INT((Ipotesi!$C$91)/30)))))*(1-(MOD((Ipotesi!$C$91),30)/30))+IF(19-(INT((Ipotesi!$C$91)/30))-1&lt;1,0,INDEX(Motore_Advisory!$AH$125:$AH$184,MAX(1,19-(INT((Ipotesi!$C$91)/30))-1)))*(MOD((Ipotesi!$C$91),30)/30))</f>
        <v>11198.1149295775</v>
      </c>
      <c r="AJ143" s="15" t="n">
        <f aca="false">(AJ142)+AH143-AI143</f>
        <v>22396.2298591549</v>
      </c>
      <c r="AK143" s="15" t="n">
        <f aca="false">(F143- Motore_Operativo!BH143-(Motore_Operativo!CK143)*Parametri_v3!$C$28-Motore_Operativo!CF143)*Parametri_v3!$C$26</f>
        <v>4960.70666666667</v>
      </c>
      <c r="AL143" s="15" t="n">
        <f aca="false">MAX(0,(AM142))</f>
        <v>4960.70666666667</v>
      </c>
      <c r="AM143" s="15" t="n">
        <f aca="false">(AM142)+AK143-AL143</f>
        <v>4960.70666666667</v>
      </c>
      <c r="AN143" s="15" t="n">
        <f aca="false">SUM(X125:X136)</f>
        <v>13562.312368421</v>
      </c>
      <c r="AO143" s="15" t="n">
        <f aca="false">SUM(AP125:AP136)</f>
        <v>0</v>
      </c>
      <c r="AP143" s="15" t="n">
        <f aca="false">MAX(0,AN143)*IF(7=Parametri_v3!$C$43,Parametri_v3!$C$45,IF(7=Parametri_v3!$C$44,1-Parametri_v3!$C$45,0))</f>
        <v>0</v>
      </c>
      <c r="AQ143" s="15" t="n">
        <f aca="false">MAX(0,AP143+IF(7=Parametri_v3!$C$43,MAX(0,AN143-AO143),0)-MAX(0,-(AR142)))</f>
        <v>0</v>
      </c>
      <c r="AR143" s="15" t="n">
        <f aca="false">(AR142)+X143-AQ143</f>
        <v>4274.18549864097</v>
      </c>
      <c r="AS143" s="15" t="n">
        <f aca="false">Motore_Operativo!AC143-AT143+AU143</f>
        <v>15166.75</v>
      </c>
      <c r="AT143" s="15" t="n">
        <f aca="false">Motore_Operativo!CI143</f>
        <v>798.25</v>
      </c>
      <c r="AU143" s="15" t="n">
        <f aca="false">MIN(MAX(0,(AV142)+AT143),Parametri_v3!$C$61/12)</f>
        <v>0</v>
      </c>
      <c r="AV143" s="15" t="n">
        <f aca="false">(AV142)+AT143-AU143</f>
        <v>8737.75</v>
      </c>
      <c r="AW143" s="15" t="n">
        <f aca="false">IF(AND(Motore_Operativo!C143=Finanziamenti!$D$7,Finanziamenti!$F$7=1),Finanziamenti!$C$7,0)</f>
        <v>0</v>
      </c>
      <c r="AX143" s="15" t="n">
        <f aca="false">0</f>
        <v>0</v>
      </c>
      <c r="AY143" s="15" t="n">
        <f aca="false">IF(7=Parametri_v3!$C$33,IF(BV143&lt;MIN(12,$B143-1),0,MIN(MAX(0,SUM(Y125:Y136))*Ipotesi!$C$94,MAX(0,(BM136)-(BO142)-BP143),MAX(0,BD143-Parametri_v3!$C$31))),0)</f>
        <v>0</v>
      </c>
      <c r="AZ143" s="15" t="n">
        <f aca="false">0</f>
        <v>0</v>
      </c>
      <c r="BA143" s="15" t="n">
        <f aca="false">0</f>
        <v>0</v>
      </c>
      <c r="BB143" s="15" t="n">
        <f aca="false">0</f>
        <v>0</v>
      </c>
      <c r="BC143" s="15" t="n">
        <f aca="false">0</f>
        <v>0</v>
      </c>
      <c r="BD143" s="15" t="n">
        <f aca="false">(BH142)+AC143-AF143-AI143-AS143-K143*(1+Parametri_v3!$C$26)-AL143-AQ143-O143+AW143+AX143+AZ143+BA143-BB143</f>
        <v>-4211.42674746724</v>
      </c>
      <c r="BE143" s="15" t="n">
        <f aca="false">0</f>
        <v>0</v>
      </c>
      <c r="BF143" s="15" t="n">
        <f aca="false">0</f>
        <v>0</v>
      </c>
      <c r="BG143" s="15" t="n">
        <f aca="false">0</f>
        <v>0</v>
      </c>
      <c r="BH143" s="15" t="n">
        <f aca="false">BD143+BE143-BF143-AY143</f>
        <v>-4211.42674746724</v>
      </c>
      <c r="BI143" s="15" t="n">
        <f aca="false">MAX(0,Parametri_v3!$C$31-BH143)</f>
        <v>14211.4267474672</v>
      </c>
      <c r="BJ143" s="15" t="n">
        <f aca="false">(BJ142)+K143</f>
        <v>5916.66666666667</v>
      </c>
      <c r="BK143" s="15" t="n">
        <f aca="false">(BK142)+L143</f>
        <v>1449.07407407407</v>
      </c>
      <c r="BL143" s="15" t="n">
        <f aca="false">BJ143-BK143</f>
        <v>4467.59259259259</v>
      </c>
      <c r="BM143" s="15" t="n">
        <f aca="false">(BM142)+Y143</f>
        <v>60112.8525061088</v>
      </c>
      <c r="BN143" s="15" t="n">
        <f aca="false">(BN142)+AW143+AX143+AZ143</f>
        <v>20000</v>
      </c>
      <c r="BO143" s="15" t="n">
        <f aca="false">(BO142)+AY143</f>
        <v>0</v>
      </c>
      <c r="BP143" s="15" t="n">
        <f aca="false">MIN(Parametri_v3!$C$36*Parametri_v3!$C$35,(BP142)+IF(7=1,MAX(0,SUM(Y125:Y136))*Parametri_v3!$C$34,0))</f>
        <v>1752.40631140351</v>
      </c>
      <c r="BQ143" s="15" t="n">
        <f aca="false">BN143+BM143-BO143</f>
        <v>80112.8525061088</v>
      </c>
      <c r="BR143" s="15" t="n">
        <f aca="false">BH143+AD143+BL143+MAX(0,-AM143)+MAX(0,-AR143)</f>
        <v>124627.433450759</v>
      </c>
      <c r="BS143" s="15" t="n">
        <f aca="false">AJ143+AV143+MAX(0,AM143)+MAX(0,AR143)+BC143+BG143+BQ143+AG143</f>
        <v>124627.433450759</v>
      </c>
      <c r="BT143" s="15" t="n">
        <f aca="false">BR143-BS143</f>
        <v>0</v>
      </c>
      <c r="BU143" s="15" t="n">
        <f aca="false">BH143-(BD143+BE143-BF143-AY143)</f>
        <v>0</v>
      </c>
      <c r="BV143" s="15" t="n">
        <f aca="false">IF(BH142&lt;Parametri_v3!$C$31,0,BV142+1)</f>
        <v>0</v>
      </c>
    </row>
    <row r="144" customFormat="false" ht="18" hidden="false" customHeight="true" outlineLevel="0" collapsed="false">
      <c r="A144" s="68" t="n">
        <f aca="false">3</f>
        <v>3</v>
      </c>
      <c r="B144" s="68" t="n">
        <f aca="false">20</f>
        <v>20</v>
      </c>
      <c r="C144" s="18" t="n">
        <f aca="false">Motore_Operativo!C144</f>
        <v>46966</v>
      </c>
      <c r="D144" s="68" t="n">
        <f aca="false">Motore_Operativo!D144</f>
        <v>2028</v>
      </c>
      <c r="E144" s="68" t="n">
        <f aca="false">Motore_Operativo!E144</f>
        <v>8</v>
      </c>
      <c r="F144" s="15" t="n">
        <f aca="false">Motore_Operativo!AM144</f>
        <v>33981.220657277</v>
      </c>
      <c r="G144" s="15" t="n">
        <f aca="false">Motore_Operativo!BH144</f>
        <v>3398.1220657277</v>
      </c>
      <c r="H144" s="15" t="n">
        <f aca="false">Motore_Operativo!AM144</f>
        <v>33981.220657277</v>
      </c>
      <c r="I144" s="15" t="n">
        <f aca="false">Motore_Operativo!CB144</f>
        <v>28885.3286384977</v>
      </c>
      <c r="J144" s="15" t="n">
        <f aca="false">Motore_Operativo!CD144</f>
        <v>5095.89201877935</v>
      </c>
      <c r="K144" s="15" t="n">
        <f aca="false">Motore_Operativo!CF144</f>
        <v>416.666666666667</v>
      </c>
      <c r="L144" s="15" t="n">
        <f aca="false">SUM(INDEX($K$125:$K$184,MAX(1,20-Parametri_v3!$C$59+1)):K144)/Parametri_v3!$C$59</f>
        <v>175.925925925926</v>
      </c>
      <c r="M144" s="15" t="n">
        <f aca="false">J144-L144</f>
        <v>4919.96609285342</v>
      </c>
      <c r="N144" s="15" t="n">
        <f aca="false">0</f>
        <v>0</v>
      </c>
      <c r="O144" s="15" t="n">
        <f aca="false">0</f>
        <v>0</v>
      </c>
      <c r="P144" s="15" t="n">
        <f aca="false">M144+N144-O144</f>
        <v>4919.96609285342</v>
      </c>
      <c r="Q144" s="15" t="n">
        <f aca="false">SUM(P137:P144)+Parametri_v3!$C$56*8/12</f>
        <v>39683.8028169014</v>
      </c>
      <c r="R144" s="15" t="n">
        <f aca="false">Z136</f>
        <v>0</v>
      </c>
      <c r="S144" s="15" t="n">
        <f aca="false">AA136</f>
        <v>0</v>
      </c>
      <c r="T144" s="15" t="n">
        <f aca="false">MIN(R144,MAX(0,Q144))</f>
        <v>0</v>
      </c>
      <c r="U144" s="15" t="n">
        <f aca="false">MIN(S144,MAX(0,Q144-T144)*Parametri_v3!$C$42)</f>
        <v>0</v>
      </c>
      <c r="V144" s="15" t="n">
        <f aca="false">MAX(0,Q144-T144-U144)*Ipotesi!$C$92</f>
        <v>9524.11267605634</v>
      </c>
      <c r="W144" s="15" t="n">
        <f aca="false">MAX(0,SUM(M137:M144)+Parametri_v3!$C$57*8/12)*Ipotesi!$C$93</f>
        <v>1547.66830985916</v>
      </c>
      <c r="X144" s="15" t="n">
        <f aca="false">V144+W144-(V143+W143)</f>
        <v>1372.6705399061</v>
      </c>
      <c r="Y144" s="15" t="n">
        <f aca="false">P144-X144</f>
        <v>3547.29555294731</v>
      </c>
      <c r="Z144" s="15" t="n">
        <f aca="false">R144-T144+IF(AND(Parametri_v3!$C$40=1,D144-YEAR(Parametri_v3!$C$50)&lt;Parametri_v3!$C$41),MAX(0,-Q144),0)</f>
        <v>0</v>
      </c>
      <c r="AA144" s="15" t="n">
        <f aca="false">S144-U144+IF(AND(Parametri_v3!$C$40=1,D144-YEAR(Parametri_v3!$C$50)&lt;Parametri_v3!$C$41),0,MAX(0,-Q144))</f>
        <v>0</v>
      </c>
      <c r="AB144" s="15" t="n">
        <f aca="false">F144*(1+Parametri_v3!$C$26)</f>
        <v>41457.0892018779</v>
      </c>
      <c r="AC144" s="15" t="n">
        <f aca="false">(IF(20-(INT((Motore_Operativo!L144)/30))&lt;1,0,INDEX(Motore_Advisory!$AB$125:$AB$184,MAX(1,20-(INT((Motore_Operativo!L144)/30)))))*(1-(MOD((Motore_Operativo!L144),30)/30))+IF(20-(INT((Motore_Operativo!L144)/30))-1&lt;1,0,INDEX(Motore_Advisory!$AB$125:$AB$184,MAX(1,20-(INT((Motore_Operativo!L144)/30))-1)))*(MOD((Motore_Operativo!L144),30)/30))</f>
        <v>41457.0892018779</v>
      </c>
      <c r="AD144" s="15" t="n">
        <f aca="false">(AD143)+AB144-AC144</f>
        <v>124371.267605634</v>
      </c>
      <c r="AE144" s="15" t="n">
        <f aca="false">Motore_Operativo!BH144*(1+Parametri_v3!$C$26)</f>
        <v>4145.70892018779</v>
      </c>
      <c r="AF144" s="15" t="n">
        <f aca="false">(IF(20-(INT((Parametri_v3!$C$29)/30))&lt;1,0,INDEX(Motore_Operativo!$BH$125:$BH$184,MAX(1,20-(INT((Parametri_v3!$C$29)/30)))))*(1-(MOD((Parametri_v3!$C$29),30)/30))+IF(20-(INT((Parametri_v3!$C$29)/30))-1&lt;1,0,INDEX(Motore_Operativo!$BH$125:$BH$184,MAX(1,20-(INT((Parametri_v3!$C$29)/30))-1)))*(MOD((Parametri_v3!$C$29),30)/30))*(1+Parametri_v3!$C$26)</f>
        <v>4145.70892018779</v>
      </c>
      <c r="AG144" s="15" t="n">
        <f aca="false">(AG143)+AE144-AF144</f>
        <v>4145.70892018779</v>
      </c>
      <c r="AH144" s="15" t="n">
        <f aca="false">(Motore_Operativo!CK144)*(1+Parametri_v3!$C$28*Parametri_v3!$C$26)</f>
        <v>11198.1149295775</v>
      </c>
      <c r="AI144" s="15" t="n">
        <f aca="false">(IF(20-(INT((Ipotesi!$C$91)/30))&lt;1,0,INDEX(Motore_Advisory!$AH$125:$AH$184,MAX(1,20-(INT((Ipotesi!$C$91)/30)))))*(1-(MOD((Ipotesi!$C$91),30)/30))+IF(20-(INT((Ipotesi!$C$91)/30))-1&lt;1,0,INDEX(Motore_Advisory!$AH$125:$AH$184,MAX(1,20-(INT((Ipotesi!$C$91)/30))-1)))*(MOD((Ipotesi!$C$91),30)/30))</f>
        <v>11198.1149295775</v>
      </c>
      <c r="AJ144" s="15" t="n">
        <f aca="false">(AJ143)+AH144-AI144</f>
        <v>22396.2298591549</v>
      </c>
      <c r="AK144" s="15" t="n">
        <f aca="false">(F144- Motore_Operativo!BH144-(Motore_Operativo!CK144)*Parametri_v3!$C$28-Motore_Operativo!CF144)*Parametri_v3!$C$26</f>
        <v>4960.70666666667</v>
      </c>
      <c r="AL144" s="15" t="n">
        <f aca="false">MAX(0,(AM143))</f>
        <v>4960.70666666667</v>
      </c>
      <c r="AM144" s="15" t="n">
        <f aca="false">(AM143)+AK144-AL144</f>
        <v>4960.70666666667</v>
      </c>
      <c r="AN144" s="15" t="n">
        <f aca="false">SUM(X125:X136)</f>
        <v>13562.312368421</v>
      </c>
      <c r="AO144" s="15" t="n">
        <f aca="false">SUM(AP125:AP136)</f>
        <v>0</v>
      </c>
      <c r="AP144" s="15" t="n">
        <f aca="false">MAX(0,AN144)*IF(8=Parametri_v3!$C$43,Parametri_v3!$C$45,IF(8=Parametri_v3!$C$44,1-Parametri_v3!$C$45,0))</f>
        <v>0</v>
      </c>
      <c r="AQ144" s="15" t="n">
        <f aca="false">MAX(0,AP144+IF(8=Parametri_v3!$C$43,MAX(0,AN144-AO144),0)-MAX(0,-(AR143)))</f>
        <v>0</v>
      </c>
      <c r="AR144" s="15" t="n">
        <f aca="false">(AR143)+X144-AQ144</f>
        <v>5646.85603854708</v>
      </c>
      <c r="AS144" s="15" t="n">
        <f aca="false">Motore_Operativo!AC144-AT144+AU144</f>
        <v>15166.75</v>
      </c>
      <c r="AT144" s="15" t="n">
        <f aca="false">Motore_Operativo!CI144</f>
        <v>798.25</v>
      </c>
      <c r="AU144" s="15" t="n">
        <f aca="false">MIN(MAX(0,(AV143)+AT144),Parametri_v3!$C$61/12)</f>
        <v>0</v>
      </c>
      <c r="AV144" s="15" t="n">
        <f aca="false">(AV143)+AT144-AU144</f>
        <v>9536</v>
      </c>
      <c r="AW144" s="15" t="n">
        <f aca="false">IF(AND(Motore_Operativo!C144=Finanziamenti!$D$7,Finanziamenti!$F$7=1),Finanziamenti!$C$7,0)</f>
        <v>0</v>
      </c>
      <c r="AX144" s="15" t="n">
        <f aca="false">0</f>
        <v>0</v>
      </c>
      <c r="AY144" s="15" t="n">
        <f aca="false">IF(8=Parametri_v3!$C$33,IF(BV144&lt;MIN(12,$B144-1),0,MIN(MAX(0,SUM(Y125:Y136))*Ipotesi!$C$94,MAX(0,(BM136)-(BO143)-BP144),MAX(0,BD144-Parametri_v3!$C$31))),0)</f>
        <v>0</v>
      </c>
      <c r="AZ144" s="15" t="n">
        <f aca="false">0</f>
        <v>0</v>
      </c>
      <c r="BA144" s="15" t="n">
        <f aca="false">0</f>
        <v>0</v>
      </c>
      <c r="BB144" s="15" t="n">
        <f aca="false">0</f>
        <v>0</v>
      </c>
      <c r="BC144" s="15" t="n">
        <f aca="false">0</f>
        <v>0</v>
      </c>
      <c r="BD144" s="15" t="n">
        <f aca="false">(BH143)+AC144-AF144-AI144-AS144-K144*(1+Parametri_v3!$C$26)-AL144-AQ144-O144+AW144+AX144+AZ144+BA144-BB144</f>
        <v>1266.04860464543</v>
      </c>
      <c r="BE144" s="15" t="n">
        <f aca="false">0</f>
        <v>0</v>
      </c>
      <c r="BF144" s="15" t="n">
        <f aca="false">0</f>
        <v>0</v>
      </c>
      <c r="BG144" s="15" t="n">
        <f aca="false">0</f>
        <v>0</v>
      </c>
      <c r="BH144" s="15" t="n">
        <f aca="false">BD144+BE144-BF144-AY144</f>
        <v>1266.04860464543</v>
      </c>
      <c r="BI144" s="15" t="n">
        <f aca="false">MAX(0,Parametri_v3!$C$31-BH144)</f>
        <v>8733.95139535457</v>
      </c>
      <c r="BJ144" s="15" t="n">
        <f aca="false">(BJ143)+K144</f>
        <v>6333.33333333334</v>
      </c>
      <c r="BK144" s="15" t="n">
        <f aca="false">(BK143)+L144</f>
        <v>1625</v>
      </c>
      <c r="BL144" s="15" t="n">
        <f aca="false">BJ144-BK144</f>
        <v>4708.33333333334</v>
      </c>
      <c r="BM144" s="15" t="n">
        <f aca="false">(BM143)+Y144</f>
        <v>63660.1480590561</v>
      </c>
      <c r="BN144" s="15" t="n">
        <f aca="false">(BN143)+AW144+AX144+AZ144</f>
        <v>20000</v>
      </c>
      <c r="BO144" s="15" t="n">
        <f aca="false">(BO143)+AY144</f>
        <v>0</v>
      </c>
      <c r="BP144" s="15" t="n">
        <f aca="false">MIN(Parametri_v3!$C$36*Parametri_v3!$C$35,(BP143)+IF(8=1,MAX(0,SUM(Y125:Y136))*Parametri_v3!$C$34,0))</f>
        <v>1752.40631140351</v>
      </c>
      <c r="BQ144" s="15" t="n">
        <f aca="false">BN144+BM144-BO144</f>
        <v>83660.1480590561</v>
      </c>
      <c r="BR144" s="15" t="n">
        <f aca="false">BH144+AD144+BL144+MAX(0,-AM144)+MAX(0,-AR144)</f>
        <v>130345.649543613</v>
      </c>
      <c r="BS144" s="15" t="n">
        <f aca="false">AJ144+AV144+MAX(0,AM144)+MAX(0,AR144)+BC144+BG144+BQ144+AG144</f>
        <v>130345.649543613</v>
      </c>
      <c r="BT144" s="15" t="n">
        <f aca="false">BR144-BS144</f>
        <v>0</v>
      </c>
      <c r="BU144" s="15" t="n">
        <f aca="false">BH144-(BD144+BE144-BF144-AY144)</f>
        <v>0</v>
      </c>
      <c r="BV144" s="15" t="n">
        <f aca="false">IF(BH143&lt;Parametri_v3!$C$31,0,BV143+1)</f>
        <v>0</v>
      </c>
    </row>
    <row r="145" customFormat="false" ht="18" hidden="false" customHeight="true" outlineLevel="0" collapsed="false">
      <c r="A145" s="68" t="n">
        <f aca="false">3</f>
        <v>3</v>
      </c>
      <c r="B145" s="68" t="n">
        <f aca="false">21</f>
        <v>21</v>
      </c>
      <c r="C145" s="18" t="n">
        <f aca="false">Motore_Operativo!C145</f>
        <v>46997</v>
      </c>
      <c r="D145" s="68" t="n">
        <f aca="false">Motore_Operativo!D145</f>
        <v>2028</v>
      </c>
      <c r="E145" s="68" t="n">
        <f aca="false">Motore_Operativo!E145</f>
        <v>9</v>
      </c>
      <c r="F145" s="15" t="n">
        <f aca="false">Motore_Operativo!AM145</f>
        <v>33981.220657277</v>
      </c>
      <c r="G145" s="15" t="n">
        <f aca="false">Motore_Operativo!BH145</f>
        <v>3398.1220657277</v>
      </c>
      <c r="H145" s="15" t="n">
        <f aca="false">Motore_Operativo!AM145</f>
        <v>33981.220657277</v>
      </c>
      <c r="I145" s="15" t="n">
        <f aca="false">Motore_Operativo!CB145</f>
        <v>28885.3286384977</v>
      </c>
      <c r="J145" s="15" t="n">
        <f aca="false">Motore_Operativo!CD145</f>
        <v>5095.89201877935</v>
      </c>
      <c r="K145" s="15" t="n">
        <f aca="false">Motore_Operativo!CF145</f>
        <v>416.666666666667</v>
      </c>
      <c r="L145" s="15" t="n">
        <f aca="false">SUM(INDEX($K$125:$K$184,MAX(1,21-Parametri_v3!$C$59+1)):K145)/Parametri_v3!$C$59</f>
        <v>187.5</v>
      </c>
      <c r="M145" s="15" t="n">
        <f aca="false">J145-L145</f>
        <v>4908.39201877935</v>
      </c>
      <c r="N145" s="15" t="n">
        <f aca="false">0</f>
        <v>0</v>
      </c>
      <c r="O145" s="15" t="n">
        <f aca="false">0</f>
        <v>0</v>
      </c>
      <c r="P145" s="15" t="n">
        <f aca="false">M145+N145-O145</f>
        <v>4908.39201877935</v>
      </c>
      <c r="Q145" s="15" t="n">
        <f aca="false">SUM(P137:P145)+Parametri_v3!$C$56*9/12</f>
        <v>44592.1948356808</v>
      </c>
      <c r="R145" s="15" t="n">
        <f aca="false">Z136</f>
        <v>0</v>
      </c>
      <c r="S145" s="15" t="n">
        <f aca="false">AA136</f>
        <v>0</v>
      </c>
      <c r="T145" s="15" t="n">
        <f aca="false">MIN(R145,MAX(0,Q145))</f>
        <v>0</v>
      </c>
      <c r="U145" s="15" t="n">
        <f aca="false">MIN(S145,MAX(0,Q145-T145)*Parametri_v3!$C$42)</f>
        <v>0</v>
      </c>
      <c r="V145" s="15" t="n">
        <f aca="false">MAX(0,Q145-T145-U145)*Ipotesi!$C$92</f>
        <v>10702.1267605634</v>
      </c>
      <c r="W145" s="15" t="n">
        <f aca="false">MAX(0,SUM(M137:M145)+Parametri_v3!$C$57*9/12)*Ipotesi!$C$93</f>
        <v>1739.09559859155</v>
      </c>
      <c r="X145" s="15" t="n">
        <f aca="false">V145+W145-(V144+W144)</f>
        <v>1369.44137323944</v>
      </c>
      <c r="Y145" s="15" t="n">
        <f aca="false">P145-X145</f>
        <v>3538.95064553991</v>
      </c>
      <c r="Z145" s="15" t="n">
        <f aca="false">R145-T145+IF(AND(Parametri_v3!$C$40=1,D145-YEAR(Parametri_v3!$C$50)&lt;Parametri_v3!$C$41),MAX(0,-Q145),0)</f>
        <v>0</v>
      </c>
      <c r="AA145" s="15" t="n">
        <f aca="false">S145-U145+IF(AND(Parametri_v3!$C$40=1,D145-YEAR(Parametri_v3!$C$50)&lt;Parametri_v3!$C$41),0,MAX(0,-Q145))</f>
        <v>0</v>
      </c>
      <c r="AB145" s="15" t="n">
        <f aca="false">F145*(1+Parametri_v3!$C$26)</f>
        <v>41457.0892018779</v>
      </c>
      <c r="AC145" s="15" t="n">
        <f aca="false">(IF(21-(INT((Motore_Operativo!L145)/30))&lt;1,0,INDEX(Motore_Advisory!$AB$125:$AB$184,MAX(1,21-(INT((Motore_Operativo!L145)/30)))))*(1-(MOD((Motore_Operativo!L145),30)/30))+IF(21-(INT((Motore_Operativo!L145)/30))-1&lt;1,0,INDEX(Motore_Advisory!$AB$125:$AB$184,MAX(1,21-(INT((Motore_Operativo!L145)/30))-1)))*(MOD((Motore_Operativo!L145),30)/30))</f>
        <v>41457.0892018779</v>
      </c>
      <c r="AD145" s="15" t="n">
        <f aca="false">(AD144)+AB145-AC145</f>
        <v>124371.267605634</v>
      </c>
      <c r="AE145" s="15" t="n">
        <f aca="false">Motore_Operativo!BH145*(1+Parametri_v3!$C$26)</f>
        <v>4145.70892018779</v>
      </c>
      <c r="AF145" s="15" t="n">
        <f aca="false">(IF(21-(INT((Parametri_v3!$C$29)/30))&lt;1,0,INDEX(Motore_Operativo!$BH$125:$BH$184,MAX(1,21-(INT((Parametri_v3!$C$29)/30)))))*(1-(MOD((Parametri_v3!$C$29),30)/30))+IF(21-(INT((Parametri_v3!$C$29)/30))-1&lt;1,0,INDEX(Motore_Operativo!$BH$125:$BH$184,MAX(1,21-(INT((Parametri_v3!$C$29)/30))-1)))*(MOD((Parametri_v3!$C$29),30)/30))*(1+Parametri_v3!$C$26)</f>
        <v>4145.70892018779</v>
      </c>
      <c r="AG145" s="15" t="n">
        <f aca="false">(AG144)+AE145-AF145</f>
        <v>4145.70892018779</v>
      </c>
      <c r="AH145" s="15" t="n">
        <f aca="false">(Motore_Operativo!CK145)*(1+Parametri_v3!$C$28*Parametri_v3!$C$26)</f>
        <v>11198.1149295775</v>
      </c>
      <c r="AI145" s="15" t="n">
        <f aca="false">(IF(21-(INT((Ipotesi!$C$91)/30))&lt;1,0,INDEX(Motore_Advisory!$AH$125:$AH$184,MAX(1,21-(INT((Ipotesi!$C$91)/30)))))*(1-(MOD((Ipotesi!$C$91),30)/30))+IF(21-(INT((Ipotesi!$C$91)/30))-1&lt;1,0,INDEX(Motore_Advisory!$AH$125:$AH$184,MAX(1,21-(INT((Ipotesi!$C$91)/30))-1)))*(MOD((Ipotesi!$C$91),30)/30))</f>
        <v>11198.1149295775</v>
      </c>
      <c r="AJ145" s="15" t="n">
        <f aca="false">(AJ144)+AH145-AI145</f>
        <v>22396.2298591549</v>
      </c>
      <c r="AK145" s="15" t="n">
        <f aca="false">(F145- Motore_Operativo!BH145-(Motore_Operativo!CK145)*Parametri_v3!$C$28-Motore_Operativo!CF145)*Parametri_v3!$C$26</f>
        <v>4960.70666666667</v>
      </c>
      <c r="AL145" s="15" t="n">
        <f aca="false">MAX(0,(AM144))</f>
        <v>4960.70666666667</v>
      </c>
      <c r="AM145" s="15" t="n">
        <f aca="false">(AM144)+AK145-AL145</f>
        <v>4960.70666666667</v>
      </c>
      <c r="AN145" s="15" t="n">
        <f aca="false">SUM(X125:X136)</f>
        <v>13562.312368421</v>
      </c>
      <c r="AO145" s="15" t="n">
        <f aca="false">SUM(AP125:AP136)</f>
        <v>0</v>
      </c>
      <c r="AP145" s="15" t="n">
        <f aca="false">MAX(0,AN145)*IF(9=Parametri_v3!$C$43,Parametri_v3!$C$45,IF(9=Parametri_v3!$C$44,1-Parametri_v3!$C$45,0))</f>
        <v>0</v>
      </c>
      <c r="AQ145" s="15" t="n">
        <f aca="false">MAX(0,AP145+IF(9=Parametri_v3!$C$43,MAX(0,AN145-AO145),0)-MAX(0,-(AR144)))</f>
        <v>0</v>
      </c>
      <c r="AR145" s="15" t="n">
        <f aca="false">(AR144)+X145-AQ145</f>
        <v>7016.29741178651</v>
      </c>
      <c r="AS145" s="15" t="n">
        <f aca="false">Motore_Operativo!AC145-AT145+AU145</f>
        <v>15166.75</v>
      </c>
      <c r="AT145" s="15" t="n">
        <f aca="false">Motore_Operativo!CI145</f>
        <v>798.25</v>
      </c>
      <c r="AU145" s="15" t="n">
        <f aca="false">MIN(MAX(0,(AV144)+AT145),Parametri_v3!$C$61/12)</f>
        <v>0</v>
      </c>
      <c r="AV145" s="15" t="n">
        <f aca="false">(AV144)+AT145-AU145</f>
        <v>10334.25</v>
      </c>
      <c r="AW145" s="15" t="n">
        <f aca="false">IF(AND(Motore_Operativo!C145=Finanziamenti!$D$7,Finanziamenti!$F$7=1),Finanziamenti!$C$7,0)</f>
        <v>0</v>
      </c>
      <c r="AX145" s="15" t="n">
        <f aca="false">0</f>
        <v>0</v>
      </c>
      <c r="AY145" s="15" t="n">
        <f aca="false">IF(9=Parametri_v3!$C$33,IF(BV145&lt;MIN(12,$B145-1),0,MIN(MAX(0,SUM(Y125:Y136))*Ipotesi!$C$94,MAX(0,(BM136)-(BO144)-BP145),MAX(0,BD145-Parametri_v3!$C$31))),0)</f>
        <v>0</v>
      </c>
      <c r="AZ145" s="15" t="n">
        <f aca="false">0</f>
        <v>0</v>
      </c>
      <c r="BA145" s="15" t="n">
        <f aca="false">0</f>
        <v>0</v>
      </c>
      <c r="BB145" s="15" t="n">
        <f aca="false">0</f>
        <v>0</v>
      </c>
      <c r="BC145" s="15" t="n">
        <f aca="false">0</f>
        <v>0</v>
      </c>
      <c r="BD145" s="15" t="n">
        <f aca="false">(BH144)+AC145-AF145-AI145-AS145-K145*(1+Parametri_v3!$C$26)-AL145-AQ145-O145+AW145+AX145+AZ145+BA145-BB145</f>
        <v>6743.52395675812</v>
      </c>
      <c r="BE145" s="15" t="n">
        <f aca="false">0</f>
        <v>0</v>
      </c>
      <c r="BF145" s="15" t="n">
        <f aca="false">0</f>
        <v>0</v>
      </c>
      <c r="BG145" s="15" t="n">
        <f aca="false">0</f>
        <v>0</v>
      </c>
      <c r="BH145" s="15" t="n">
        <f aca="false">BD145+BE145-BF145-AY145</f>
        <v>6743.52395675812</v>
      </c>
      <c r="BI145" s="15" t="n">
        <f aca="false">MAX(0,Parametri_v3!$C$31-BH145)</f>
        <v>3256.47604324188</v>
      </c>
      <c r="BJ145" s="15" t="n">
        <f aca="false">(BJ144)+K145</f>
        <v>6750</v>
      </c>
      <c r="BK145" s="15" t="n">
        <f aca="false">(BK144)+L145</f>
        <v>1812.5</v>
      </c>
      <c r="BL145" s="15" t="n">
        <f aca="false">BJ145-BK145</f>
        <v>4937.5</v>
      </c>
      <c r="BM145" s="15" t="n">
        <f aca="false">(BM144)+Y145</f>
        <v>67199.098704596</v>
      </c>
      <c r="BN145" s="15" t="n">
        <f aca="false">(BN144)+AW145+AX145+AZ145</f>
        <v>20000</v>
      </c>
      <c r="BO145" s="15" t="n">
        <f aca="false">(BO144)+AY145</f>
        <v>0</v>
      </c>
      <c r="BP145" s="15" t="n">
        <f aca="false">MIN(Parametri_v3!$C$36*Parametri_v3!$C$35,(BP144)+IF(9=1,MAX(0,SUM(Y125:Y136))*Parametri_v3!$C$34,0))</f>
        <v>1752.40631140351</v>
      </c>
      <c r="BQ145" s="15" t="n">
        <f aca="false">BN145+BM145-BO145</f>
        <v>87199.098704596</v>
      </c>
      <c r="BR145" s="15" t="n">
        <f aca="false">BH145+AD145+BL145+MAX(0,-AM145)+MAX(0,-AR145)</f>
        <v>136052.291562392</v>
      </c>
      <c r="BS145" s="15" t="n">
        <f aca="false">AJ145+AV145+MAX(0,AM145)+MAX(0,AR145)+BC145+BG145+BQ145+AG145</f>
        <v>136052.291562392</v>
      </c>
      <c r="BT145" s="15" t="n">
        <f aca="false">BR145-BS145</f>
        <v>0</v>
      </c>
      <c r="BU145" s="15" t="n">
        <f aca="false">BH145-(BD145+BE145-BF145-AY145)</f>
        <v>0</v>
      </c>
      <c r="BV145" s="15" t="n">
        <f aca="false">IF(BH144&lt;Parametri_v3!$C$31,0,BV144+1)</f>
        <v>0</v>
      </c>
    </row>
    <row r="146" customFormat="false" ht="18" hidden="false" customHeight="true" outlineLevel="0" collapsed="false">
      <c r="A146" s="68" t="n">
        <f aca="false">3</f>
        <v>3</v>
      </c>
      <c r="B146" s="68" t="n">
        <f aca="false">22</f>
        <v>22</v>
      </c>
      <c r="C146" s="18" t="n">
        <f aca="false">Motore_Operativo!C146</f>
        <v>47027</v>
      </c>
      <c r="D146" s="68" t="n">
        <f aca="false">Motore_Operativo!D146</f>
        <v>2028</v>
      </c>
      <c r="E146" s="68" t="n">
        <f aca="false">Motore_Operativo!E146</f>
        <v>10</v>
      </c>
      <c r="F146" s="15" t="n">
        <f aca="false">Motore_Operativo!AM146</f>
        <v>33981.220657277</v>
      </c>
      <c r="G146" s="15" t="n">
        <f aca="false">Motore_Operativo!BH146</f>
        <v>3398.1220657277</v>
      </c>
      <c r="H146" s="15" t="n">
        <f aca="false">Motore_Operativo!AM146</f>
        <v>33981.220657277</v>
      </c>
      <c r="I146" s="15" t="n">
        <f aca="false">Motore_Operativo!CB146</f>
        <v>28885.3286384977</v>
      </c>
      <c r="J146" s="15" t="n">
        <f aca="false">Motore_Operativo!CD146</f>
        <v>5095.89201877935</v>
      </c>
      <c r="K146" s="15" t="n">
        <f aca="false">Motore_Operativo!CF146</f>
        <v>416.666666666667</v>
      </c>
      <c r="L146" s="15" t="n">
        <f aca="false">SUM(INDEX($K$125:$K$184,MAX(1,22-Parametri_v3!$C$59+1)):K146)/Parametri_v3!$C$59</f>
        <v>199.074074074074</v>
      </c>
      <c r="M146" s="15" t="n">
        <f aca="false">J146-L146</f>
        <v>4896.81794470527</v>
      </c>
      <c r="N146" s="15" t="n">
        <f aca="false">0</f>
        <v>0</v>
      </c>
      <c r="O146" s="15" t="n">
        <f aca="false">0</f>
        <v>0</v>
      </c>
      <c r="P146" s="15" t="n">
        <f aca="false">M146+N146-O146</f>
        <v>4896.81794470527</v>
      </c>
      <c r="Q146" s="15" t="n">
        <f aca="false">SUM(P137:P146)+Parametri_v3!$C$56*10/12</f>
        <v>49489.012780386</v>
      </c>
      <c r="R146" s="15" t="n">
        <f aca="false">Z136</f>
        <v>0</v>
      </c>
      <c r="S146" s="15" t="n">
        <f aca="false">AA136</f>
        <v>0</v>
      </c>
      <c r="T146" s="15" t="n">
        <f aca="false">MIN(R146,MAX(0,Q146))</f>
        <v>0</v>
      </c>
      <c r="U146" s="15" t="n">
        <f aca="false">MIN(S146,MAX(0,Q146-T146)*Parametri_v3!$C$42)</f>
        <v>0</v>
      </c>
      <c r="V146" s="15" t="n">
        <f aca="false">MAX(0,Q146-T146-U146)*Ipotesi!$C$92</f>
        <v>11877.3630672926</v>
      </c>
      <c r="W146" s="15" t="n">
        <f aca="false">MAX(0,SUM(M137:M146)+Parametri_v3!$C$57*10/12)*Ipotesi!$C$93</f>
        <v>1930.07149843506</v>
      </c>
      <c r="X146" s="15" t="n">
        <f aca="false">V146+W146-(V145+W145)</f>
        <v>1366.21220657277</v>
      </c>
      <c r="Y146" s="15" t="n">
        <f aca="false">P146-X146</f>
        <v>3530.6057381325</v>
      </c>
      <c r="Z146" s="15" t="n">
        <f aca="false">R146-T146+IF(AND(Parametri_v3!$C$40=1,D146-YEAR(Parametri_v3!$C$50)&lt;Parametri_v3!$C$41),MAX(0,-Q146),0)</f>
        <v>0</v>
      </c>
      <c r="AA146" s="15" t="n">
        <f aca="false">S146-U146+IF(AND(Parametri_v3!$C$40=1,D146-YEAR(Parametri_v3!$C$50)&lt;Parametri_v3!$C$41),0,MAX(0,-Q146))</f>
        <v>0</v>
      </c>
      <c r="AB146" s="15" t="n">
        <f aca="false">F146*(1+Parametri_v3!$C$26)</f>
        <v>41457.0892018779</v>
      </c>
      <c r="AC146" s="15" t="n">
        <f aca="false">(IF(22-(INT((Motore_Operativo!L146)/30))&lt;1,0,INDEX(Motore_Advisory!$AB$125:$AB$184,MAX(1,22-(INT((Motore_Operativo!L146)/30)))))*(1-(MOD((Motore_Operativo!L146),30)/30))+IF(22-(INT((Motore_Operativo!L146)/30))-1&lt;1,0,INDEX(Motore_Advisory!$AB$125:$AB$184,MAX(1,22-(INT((Motore_Operativo!L146)/30))-1)))*(MOD((Motore_Operativo!L146),30)/30))</f>
        <v>41457.0892018779</v>
      </c>
      <c r="AD146" s="15" t="n">
        <f aca="false">(AD145)+AB146-AC146</f>
        <v>124371.267605634</v>
      </c>
      <c r="AE146" s="15" t="n">
        <f aca="false">Motore_Operativo!BH146*(1+Parametri_v3!$C$26)</f>
        <v>4145.70892018779</v>
      </c>
      <c r="AF146" s="15" t="n">
        <f aca="false">(IF(22-(INT((Parametri_v3!$C$29)/30))&lt;1,0,INDEX(Motore_Operativo!$BH$125:$BH$184,MAX(1,22-(INT((Parametri_v3!$C$29)/30)))))*(1-(MOD((Parametri_v3!$C$29),30)/30))+IF(22-(INT((Parametri_v3!$C$29)/30))-1&lt;1,0,INDEX(Motore_Operativo!$BH$125:$BH$184,MAX(1,22-(INT((Parametri_v3!$C$29)/30))-1)))*(MOD((Parametri_v3!$C$29),30)/30))*(1+Parametri_v3!$C$26)</f>
        <v>4145.70892018779</v>
      </c>
      <c r="AG146" s="15" t="n">
        <f aca="false">(AG145)+AE146-AF146</f>
        <v>4145.70892018779</v>
      </c>
      <c r="AH146" s="15" t="n">
        <f aca="false">(Motore_Operativo!CK146)*(1+Parametri_v3!$C$28*Parametri_v3!$C$26)</f>
        <v>11198.1149295775</v>
      </c>
      <c r="AI146" s="15" t="n">
        <f aca="false">(IF(22-(INT((Ipotesi!$C$91)/30))&lt;1,0,INDEX(Motore_Advisory!$AH$125:$AH$184,MAX(1,22-(INT((Ipotesi!$C$91)/30)))))*(1-(MOD((Ipotesi!$C$91),30)/30))+IF(22-(INT((Ipotesi!$C$91)/30))-1&lt;1,0,INDEX(Motore_Advisory!$AH$125:$AH$184,MAX(1,22-(INT((Ipotesi!$C$91)/30))-1)))*(MOD((Ipotesi!$C$91),30)/30))</f>
        <v>11198.1149295775</v>
      </c>
      <c r="AJ146" s="15" t="n">
        <f aca="false">(AJ145)+AH146-AI146</f>
        <v>22396.2298591549</v>
      </c>
      <c r="AK146" s="15" t="n">
        <f aca="false">(F146- Motore_Operativo!BH146-(Motore_Operativo!CK146)*Parametri_v3!$C$28-Motore_Operativo!CF146)*Parametri_v3!$C$26</f>
        <v>4960.70666666667</v>
      </c>
      <c r="AL146" s="15" t="n">
        <f aca="false">MAX(0,(AM145))</f>
        <v>4960.70666666667</v>
      </c>
      <c r="AM146" s="15" t="n">
        <f aca="false">(AM145)+AK146-AL146</f>
        <v>4960.70666666667</v>
      </c>
      <c r="AN146" s="15" t="n">
        <f aca="false">SUM(X125:X136)</f>
        <v>13562.312368421</v>
      </c>
      <c r="AO146" s="15" t="n">
        <f aca="false">SUM(AP125:AP136)</f>
        <v>0</v>
      </c>
      <c r="AP146" s="15" t="n">
        <f aca="false">MAX(0,AN146)*IF(10=Parametri_v3!$C$43,Parametri_v3!$C$45,IF(10=Parametri_v3!$C$44,1-Parametri_v3!$C$45,0))</f>
        <v>0</v>
      </c>
      <c r="AQ146" s="15" t="n">
        <f aca="false">MAX(0,AP146+IF(10=Parametri_v3!$C$43,MAX(0,AN146-AO146),0)-MAX(0,-(AR145)))</f>
        <v>0</v>
      </c>
      <c r="AR146" s="15" t="n">
        <f aca="false">(AR145)+X146-AQ146</f>
        <v>8382.50961835929</v>
      </c>
      <c r="AS146" s="15" t="n">
        <f aca="false">Motore_Operativo!AC146-AT146+AU146</f>
        <v>15166.75</v>
      </c>
      <c r="AT146" s="15" t="n">
        <f aca="false">Motore_Operativo!CI146</f>
        <v>798.25</v>
      </c>
      <c r="AU146" s="15" t="n">
        <f aca="false">MIN(MAX(0,(AV145)+AT146),Parametri_v3!$C$61/12)</f>
        <v>0</v>
      </c>
      <c r="AV146" s="15" t="n">
        <f aca="false">(AV145)+AT146-AU146</f>
        <v>11132.5</v>
      </c>
      <c r="AW146" s="15" t="n">
        <f aca="false">IF(AND(Motore_Operativo!C146=Finanziamenti!$D$7,Finanziamenti!$F$7=1),Finanziamenti!$C$7,0)</f>
        <v>0</v>
      </c>
      <c r="AX146" s="15" t="n">
        <f aca="false">0</f>
        <v>0</v>
      </c>
      <c r="AY146" s="15" t="n">
        <f aca="false">IF(10=Parametri_v3!$C$33,IF(BV146&lt;MIN(12,$B146-1),0,MIN(MAX(0,SUM(Y125:Y136))*Ipotesi!$C$94,MAX(0,(BM136)-(BO145)-BP146),MAX(0,BD146-Parametri_v3!$C$31))),0)</f>
        <v>0</v>
      </c>
      <c r="AZ146" s="15" t="n">
        <f aca="false">0</f>
        <v>0</v>
      </c>
      <c r="BA146" s="15" t="n">
        <f aca="false">0</f>
        <v>0</v>
      </c>
      <c r="BB146" s="15" t="n">
        <f aca="false">0</f>
        <v>0</v>
      </c>
      <c r="BC146" s="15" t="n">
        <f aca="false">0</f>
        <v>0</v>
      </c>
      <c r="BD146" s="15" t="n">
        <f aca="false">(BH145)+AC146-AF146-AI146-AS146-K146*(1+Parametri_v3!$C$26)-AL146-AQ146-O146+AW146+AX146+AZ146+BA146-BB146</f>
        <v>12220.9993088708</v>
      </c>
      <c r="BE146" s="15" t="n">
        <f aca="false">0</f>
        <v>0</v>
      </c>
      <c r="BF146" s="15" t="n">
        <f aca="false">0</f>
        <v>0</v>
      </c>
      <c r="BG146" s="15" t="n">
        <f aca="false">0</f>
        <v>0</v>
      </c>
      <c r="BH146" s="15" t="n">
        <f aca="false">BD146+BE146-BF146-AY146</f>
        <v>12220.9993088708</v>
      </c>
      <c r="BI146" s="15" t="n">
        <f aca="false">MAX(0,Parametri_v3!$C$31-BH146)</f>
        <v>0</v>
      </c>
      <c r="BJ146" s="15" t="n">
        <f aca="false">(BJ145)+K146</f>
        <v>7166.66666666667</v>
      </c>
      <c r="BK146" s="15" t="n">
        <f aca="false">(BK145)+L146</f>
        <v>2011.57407407407</v>
      </c>
      <c r="BL146" s="15" t="n">
        <f aca="false">BJ146-BK146</f>
        <v>5155.0925925926</v>
      </c>
      <c r="BM146" s="15" t="n">
        <f aca="false">(BM145)+Y146</f>
        <v>70729.7044427285</v>
      </c>
      <c r="BN146" s="15" t="n">
        <f aca="false">(BN145)+AW146+AX146+AZ146</f>
        <v>20000</v>
      </c>
      <c r="BO146" s="15" t="n">
        <f aca="false">(BO145)+AY146</f>
        <v>0</v>
      </c>
      <c r="BP146" s="15" t="n">
        <f aca="false">MIN(Parametri_v3!$C$36*Parametri_v3!$C$35,(BP145)+IF(10=1,MAX(0,SUM(Y125:Y136))*Parametri_v3!$C$34,0))</f>
        <v>1752.40631140351</v>
      </c>
      <c r="BQ146" s="15" t="n">
        <f aca="false">BN146+BM146-BO146</f>
        <v>90729.7044427285</v>
      </c>
      <c r="BR146" s="15" t="n">
        <f aca="false">BH146+AD146+BL146+MAX(0,-AM146)+MAX(0,-AR146)</f>
        <v>141747.359507097</v>
      </c>
      <c r="BS146" s="15" t="n">
        <f aca="false">AJ146+AV146+MAX(0,AM146)+MAX(0,AR146)+BC146+BG146+BQ146+AG146</f>
        <v>141747.359507097</v>
      </c>
      <c r="BT146" s="15" t="n">
        <f aca="false">BR146-BS146</f>
        <v>0</v>
      </c>
      <c r="BU146" s="15" t="n">
        <f aca="false">BH146-(BD146+BE146-BF146-AY146)</f>
        <v>0</v>
      </c>
      <c r="BV146" s="15" t="n">
        <f aca="false">IF(BH145&lt;Parametri_v3!$C$31,0,BV145+1)</f>
        <v>0</v>
      </c>
    </row>
    <row r="147" customFormat="false" ht="18" hidden="false" customHeight="true" outlineLevel="0" collapsed="false">
      <c r="A147" s="68" t="n">
        <f aca="false">3</f>
        <v>3</v>
      </c>
      <c r="B147" s="68" t="n">
        <f aca="false">23</f>
        <v>23</v>
      </c>
      <c r="C147" s="18" t="n">
        <f aca="false">Motore_Operativo!C147</f>
        <v>47058</v>
      </c>
      <c r="D147" s="68" t="n">
        <f aca="false">Motore_Operativo!D147</f>
        <v>2028</v>
      </c>
      <c r="E147" s="68" t="n">
        <f aca="false">Motore_Operativo!E147</f>
        <v>11</v>
      </c>
      <c r="F147" s="15" t="n">
        <f aca="false">Motore_Operativo!AM147</f>
        <v>33981.220657277</v>
      </c>
      <c r="G147" s="15" t="n">
        <f aca="false">Motore_Operativo!BH147</f>
        <v>3398.1220657277</v>
      </c>
      <c r="H147" s="15" t="n">
        <f aca="false">Motore_Operativo!AM147</f>
        <v>33981.220657277</v>
      </c>
      <c r="I147" s="15" t="n">
        <f aca="false">Motore_Operativo!CB147</f>
        <v>28885.3286384977</v>
      </c>
      <c r="J147" s="15" t="n">
        <f aca="false">Motore_Operativo!CD147</f>
        <v>5095.89201877935</v>
      </c>
      <c r="K147" s="15" t="n">
        <f aca="false">Motore_Operativo!CF147</f>
        <v>416.666666666667</v>
      </c>
      <c r="L147" s="15" t="n">
        <f aca="false">SUM(INDEX($K$125:$K$184,MAX(1,23-Parametri_v3!$C$59+1)):K147)/Parametri_v3!$C$59</f>
        <v>210.648148148148</v>
      </c>
      <c r="M147" s="15" t="n">
        <f aca="false">J147-L147</f>
        <v>4885.2438706312</v>
      </c>
      <c r="N147" s="15" t="n">
        <f aca="false">0</f>
        <v>0</v>
      </c>
      <c r="O147" s="15" t="n">
        <f aca="false">0</f>
        <v>0</v>
      </c>
      <c r="P147" s="15" t="n">
        <f aca="false">M147+N147-O147</f>
        <v>4885.2438706312</v>
      </c>
      <c r="Q147" s="15" t="n">
        <f aca="false">SUM(P137:P147)+Parametri_v3!$C$56*11/12</f>
        <v>54374.2566510172</v>
      </c>
      <c r="R147" s="15" t="n">
        <f aca="false">Z136</f>
        <v>0</v>
      </c>
      <c r="S147" s="15" t="n">
        <f aca="false">AA136</f>
        <v>0</v>
      </c>
      <c r="T147" s="15" t="n">
        <f aca="false">MIN(R147,MAX(0,Q147))</f>
        <v>0</v>
      </c>
      <c r="U147" s="15" t="n">
        <f aca="false">MIN(S147,MAX(0,Q147-T147)*Parametri_v3!$C$42)</f>
        <v>0</v>
      </c>
      <c r="V147" s="15" t="n">
        <f aca="false">MAX(0,Q147-T147-U147)*Ipotesi!$C$92</f>
        <v>13049.8215962441</v>
      </c>
      <c r="W147" s="15" t="n">
        <f aca="false">MAX(0,SUM(M137:M147)+Parametri_v3!$C$57*11/12)*Ipotesi!$C$93</f>
        <v>2120.59600938967</v>
      </c>
      <c r="X147" s="15" t="n">
        <f aca="false">V147+W147-(V146+W146)</f>
        <v>1362.9830399061</v>
      </c>
      <c r="Y147" s="15" t="n">
        <f aca="false">P147-X147</f>
        <v>3522.26083072509</v>
      </c>
      <c r="Z147" s="15" t="n">
        <f aca="false">R147-T147+IF(AND(Parametri_v3!$C$40=1,D147-YEAR(Parametri_v3!$C$50)&lt;Parametri_v3!$C$41),MAX(0,-Q147),0)</f>
        <v>0</v>
      </c>
      <c r="AA147" s="15" t="n">
        <f aca="false">S147-U147+IF(AND(Parametri_v3!$C$40=1,D147-YEAR(Parametri_v3!$C$50)&lt;Parametri_v3!$C$41),0,MAX(0,-Q147))</f>
        <v>0</v>
      </c>
      <c r="AB147" s="15" t="n">
        <f aca="false">F147*(1+Parametri_v3!$C$26)</f>
        <v>41457.0892018779</v>
      </c>
      <c r="AC147" s="15" t="n">
        <f aca="false">(IF(23-(INT((Motore_Operativo!L147)/30))&lt;1,0,INDEX(Motore_Advisory!$AB$125:$AB$184,MAX(1,23-(INT((Motore_Operativo!L147)/30)))))*(1-(MOD((Motore_Operativo!L147),30)/30))+IF(23-(INT((Motore_Operativo!L147)/30))-1&lt;1,0,INDEX(Motore_Advisory!$AB$125:$AB$184,MAX(1,23-(INT((Motore_Operativo!L147)/30))-1)))*(MOD((Motore_Operativo!L147),30)/30))</f>
        <v>41457.0892018779</v>
      </c>
      <c r="AD147" s="15" t="n">
        <f aca="false">(AD146)+AB147-AC147</f>
        <v>124371.267605634</v>
      </c>
      <c r="AE147" s="15" t="n">
        <f aca="false">Motore_Operativo!BH147*(1+Parametri_v3!$C$26)</f>
        <v>4145.70892018779</v>
      </c>
      <c r="AF147" s="15" t="n">
        <f aca="false">(IF(23-(INT((Parametri_v3!$C$29)/30))&lt;1,0,INDEX(Motore_Operativo!$BH$125:$BH$184,MAX(1,23-(INT((Parametri_v3!$C$29)/30)))))*(1-(MOD((Parametri_v3!$C$29),30)/30))+IF(23-(INT((Parametri_v3!$C$29)/30))-1&lt;1,0,INDEX(Motore_Operativo!$BH$125:$BH$184,MAX(1,23-(INT((Parametri_v3!$C$29)/30))-1)))*(MOD((Parametri_v3!$C$29),30)/30))*(1+Parametri_v3!$C$26)</f>
        <v>4145.70892018779</v>
      </c>
      <c r="AG147" s="15" t="n">
        <f aca="false">(AG146)+AE147-AF147</f>
        <v>4145.70892018779</v>
      </c>
      <c r="AH147" s="15" t="n">
        <f aca="false">(Motore_Operativo!CK147)*(1+Parametri_v3!$C$28*Parametri_v3!$C$26)</f>
        <v>11198.1149295775</v>
      </c>
      <c r="AI147" s="15" t="n">
        <f aca="false">(IF(23-(INT((Ipotesi!$C$91)/30))&lt;1,0,INDEX(Motore_Advisory!$AH$125:$AH$184,MAX(1,23-(INT((Ipotesi!$C$91)/30)))))*(1-(MOD((Ipotesi!$C$91),30)/30))+IF(23-(INT((Ipotesi!$C$91)/30))-1&lt;1,0,INDEX(Motore_Advisory!$AH$125:$AH$184,MAX(1,23-(INT((Ipotesi!$C$91)/30))-1)))*(MOD((Ipotesi!$C$91),30)/30))</f>
        <v>11198.1149295775</v>
      </c>
      <c r="AJ147" s="15" t="n">
        <f aca="false">(AJ146)+AH147-AI147</f>
        <v>22396.2298591549</v>
      </c>
      <c r="AK147" s="15" t="n">
        <f aca="false">(F147- Motore_Operativo!BH147-(Motore_Operativo!CK147)*Parametri_v3!$C$28-Motore_Operativo!CF147)*Parametri_v3!$C$26</f>
        <v>4960.70666666667</v>
      </c>
      <c r="AL147" s="15" t="n">
        <f aca="false">MAX(0,(AM146))</f>
        <v>4960.70666666667</v>
      </c>
      <c r="AM147" s="15" t="n">
        <f aca="false">(AM146)+AK147-AL147</f>
        <v>4960.70666666667</v>
      </c>
      <c r="AN147" s="15" t="n">
        <f aca="false">SUM(X125:X136)</f>
        <v>13562.312368421</v>
      </c>
      <c r="AO147" s="15" t="n">
        <f aca="false">SUM(AP125:AP136)</f>
        <v>0</v>
      </c>
      <c r="AP147" s="15" t="n">
        <f aca="false">MAX(0,AN147)*IF(11=Parametri_v3!$C$43,Parametri_v3!$C$45,IF(11=Parametri_v3!$C$44,1-Parametri_v3!$C$45,0))</f>
        <v>8137.38742105263</v>
      </c>
      <c r="AQ147" s="15" t="n">
        <f aca="false">MAX(0,AP147+IF(11=Parametri_v3!$C$43,MAX(0,AN147-AO147),0)-MAX(0,-(AR146)))</f>
        <v>8137.38742105263</v>
      </c>
      <c r="AR147" s="15" t="n">
        <f aca="false">(AR146)+X147-AQ147</f>
        <v>1608.10523721276</v>
      </c>
      <c r="AS147" s="15" t="n">
        <f aca="false">Motore_Operativo!AC147-AT147+AU147</f>
        <v>15166.75</v>
      </c>
      <c r="AT147" s="15" t="n">
        <f aca="false">Motore_Operativo!CI147</f>
        <v>798.25</v>
      </c>
      <c r="AU147" s="15" t="n">
        <f aca="false">MIN(MAX(0,(AV146)+AT147),Parametri_v3!$C$61/12)</f>
        <v>0</v>
      </c>
      <c r="AV147" s="15" t="n">
        <f aca="false">(AV146)+AT147-AU147</f>
        <v>11930.75</v>
      </c>
      <c r="AW147" s="15" t="n">
        <f aca="false">IF(AND(Motore_Operativo!C147=Finanziamenti!$D$7,Finanziamenti!$F$7=1),Finanziamenti!$C$7,0)</f>
        <v>0</v>
      </c>
      <c r="AX147" s="15" t="n">
        <f aca="false">0</f>
        <v>0</v>
      </c>
      <c r="AY147" s="15" t="n">
        <f aca="false">IF(11=Parametri_v3!$C$33,IF(BV147&lt;MIN(12,$B147-1),0,MIN(MAX(0,SUM(Y125:Y136))*Ipotesi!$C$94,MAX(0,(BM136)-(BO146)-BP147),MAX(0,BD147-Parametri_v3!$C$31))),0)</f>
        <v>0</v>
      </c>
      <c r="AZ147" s="15" t="n">
        <f aca="false">0</f>
        <v>0</v>
      </c>
      <c r="BA147" s="15" t="n">
        <f aca="false">0</f>
        <v>0</v>
      </c>
      <c r="BB147" s="15" t="n">
        <f aca="false">0</f>
        <v>0</v>
      </c>
      <c r="BC147" s="15" t="n">
        <f aca="false">0</f>
        <v>0</v>
      </c>
      <c r="BD147" s="15" t="n">
        <f aca="false">(BH146)+AC147-AF147-AI147-AS147-K147*(1+Parametri_v3!$C$26)-AL147-AQ147-O147+AW147+AX147+AZ147+BA147-BB147</f>
        <v>9561.08723993086</v>
      </c>
      <c r="BE147" s="15" t="n">
        <f aca="false">0</f>
        <v>0</v>
      </c>
      <c r="BF147" s="15" t="n">
        <f aca="false">0</f>
        <v>0</v>
      </c>
      <c r="BG147" s="15" t="n">
        <f aca="false">0</f>
        <v>0</v>
      </c>
      <c r="BH147" s="15" t="n">
        <f aca="false">BD147+BE147-BF147-AY147</f>
        <v>9561.08723993086</v>
      </c>
      <c r="BI147" s="15" t="n">
        <f aca="false">MAX(0,Parametri_v3!$C$31-BH147)</f>
        <v>438.912760069139</v>
      </c>
      <c r="BJ147" s="15" t="n">
        <f aca="false">(BJ146)+K147</f>
        <v>7583.33333333334</v>
      </c>
      <c r="BK147" s="15" t="n">
        <f aca="false">(BK146)+L147</f>
        <v>2222.22222222222</v>
      </c>
      <c r="BL147" s="15" t="n">
        <f aca="false">BJ147-BK147</f>
        <v>5361.11111111111</v>
      </c>
      <c r="BM147" s="15" t="n">
        <f aca="false">(BM146)+Y147</f>
        <v>74251.9652734536</v>
      </c>
      <c r="BN147" s="15" t="n">
        <f aca="false">(BN146)+AW147+AX147+AZ147</f>
        <v>20000</v>
      </c>
      <c r="BO147" s="15" t="n">
        <f aca="false">(BO146)+AY147</f>
        <v>0</v>
      </c>
      <c r="BP147" s="15" t="n">
        <f aca="false">MIN(Parametri_v3!$C$36*Parametri_v3!$C$35,(BP146)+IF(11=1,MAX(0,SUM(Y125:Y136))*Parametri_v3!$C$34,0))</f>
        <v>1752.40631140351</v>
      </c>
      <c r="BQ147" s="15" t="n">
        <f aca="false">BN147+BM147-BO147</f>
        <v>94251.9652734536</v>
      </c>
      <c r="BR147" s="15" t="n">
        <f aca="false">BH147+AD147+BL147+MAX(0,-AM147)+MAX(0,-AR147)</f>
        <v>139293.465956676</v>
      </c>
      <c r="BS147" s="15" t="n">
        <f aca="false">AJ147+AV147+MAX(0,AM147)+MAX(0,AR147)+BC147+BG147+BQ147+AG147</f>
        <v>139293.465956676</v>
      </c>
      <c r="BT147" s="15" t="n">
        <f aca="false">BR147-BS147</f>
        <v>0</v>
      </c>
      <c r="BU147" s="15" t="n">
        <f aca="false">BH147-(BD147+BE147-BF147-AY147)</f>
        <v>0</v>
      </c>
      <c r="BV147" s="15" t="n">
        <f aca="false">IF(BH146&lt;Parametri_v3!$C$31,0,BV146+1)</f>
        <v>1</v>
      </c>
    </row>
    <row r="148" customFormat="false" ht="18" hidden="false" customHeight="true" outlineLevel="0" collapsed="false">
      <c r="A148" s="68" t="n">
        <f aca="false">3</f>
        <v>3</v>
      </c>
      <c r="B148" s="68" t="n">
        <f aca="false">24</f>
        <v>24</v>
      </c>
      <c r="C148" s="18" t="n">
        <f aca="false">Motore_Operativo!C148</f>
        <v>47088</v>
      </c>
      <c r="D148" s="68" t="n">
        <f aca="false">Motore_Operativo!D148</f>
        <v>2028</v>
      </c>
      <c r="E148" s="68" t="n">
        <f aca="false">Motore_Operativo!E148</f>
        <v>12</v>
      </c>
      <c r="F148" s="15" t="n">
        <f aca="false">Motore_Operativo!AM148</f>
        <v>33981.220657277</v>
      </c>
      <c r="G148" s="15" t="n">
        <f aca="false">Motore_Operativo!BH148</f>
        <v>3398.1220657277</v>
      </c>
      <c r="H148" s="15" t="n">
        <f aca="false">Motore_Operativo!AM148</f>
        <v>33981.220657277</v>
      </c>
      <c r="I148" s="15" t="n">
        <f aca="false">Motore_Operativo!CB148</f>
        <v>28885.3286384977</v>
      </c>
      <c r="J148" s="15" t="n">
        <f aca="false">Motore_Operativo!CD148</f>
        <v>5095.89201877935</v>
      </c>
      <c r="K148" s="15" t="n">
        <f aca="false">Motore_Operativo!CF148</f>
        <v>416.666666666667</v>
      </c>
      <c r="L148" s="15" t="n">
        <f aca="false">SUM(INDEX($K$125:$K$184,MAX(1,24-Parametri_v3!$C$59+1)):K148)/Parametri_v3!$C$59</f>
        <v>222.222222222222</v>
      </c>
      <c r="M148" s="15" t="n">
        <f aca="false">J148-L148</f>
        <v>4873.66979655712</v>
      </c>
      <c r="N148" s="15" t="n">
        <f aca="false">0</f>
        <v>0</v>
      </c>
      <c r="O148" s="15" t="n">
        <f aca="false">0</f>
        <v>0</v>
      </c>
      <c r="P148" s="15" t="n">
        <f aca="false">M148+N148-O148</f>
        <v>4873.66979655712</v>
      </c>
      <c r="Q148" s="15" t="n">
        <f aca="false">SUM(P137:P148)+Parametri_v3!$C$56*12/12</f>
        <v>59247.9264475744</v>
      </c>
      <c r="R148" s="15" t="n">
        <f aca="false">Z136</f>
        <v>0</v>
      </c>
      <c r="S148" s="15" t="n">
        <f aca="false">AA136</f>
        <v>0</v>
      </c>
      <c r="T148" s="15" t="n">
        <f aca="false">MIN(R148,MAX(0,Q148))</f>
        <v>0</v>
      </c>
      <c r="U148" s="15" t="n">
        <f aca="false">MIN(S148,MAX(0,Q148-T148)*Parametri_v3!$C$42)</f>
        <v>0</v>
      </c>
      <c r="V148" s="15" t="n">
        <f aca="false">MAX(0,Q148-T148-U148)*Ipotesi!$C$92</f>
        <v>14219.5023474178</v>
      </c>
      <c r="W148" s="15" t="n">
        <f aca="false">MAX(0,SUM(M137:M148)+Parametri_v3!$C$57*12/12)*Ipotesi!$C$93</f>
        <v>2310.6691314554</v>
      </c>
      <c r="X148" s="15" t="n">
        <f aca="false">V148+W148-(V147+W147)</f>
        <v>1359.75387323944</v>
      </c>
      <c r="Y148" s="15" t="n">
        <f aca="false">P148-X148</f>
        <v>3513.91592331768</v>
      </c>
      <c r="Z148" s="15" t="n">
        <f aca="false">R148-T148+IF(AND(Parametri_v3!$C$40=1,D148-YEAR(Parametri_v3!$C$50)&lt;Parametri_v3!$C$41),MAX(0,-Q148),0)</f>
        <v>0</v>
      </c>
      <c r="AA148" s="15" t="n">
        <f aca="false">S148-U148+IF(AND(Parametri_v3!$C$40=1,D148-YEAR(Parametri_v3!$C$50)&lt;Parametri_v3!$C$41),0,MAX(0,-Q148))</f>
        <v>0</v>
      </c>
      <c r="AB148" s="15" t="n">
        <f aca="false">F148*(1+Parametri_v3!$C$26)</f>
        <v>41457.0892018779</v>
      </c>
      <c r="AC148" s="15" t="n">
        <f aca="false">(IF(24-(INT((Motore_Operativo!L148)/30))&lt;1,0,INDEX(Motore_Advisory!$AB$125:$AB$184,MAX(1,24-(INT((Motore_Operativo!L148)/30)))))*(1-(MOD((Motore_Operativo!L148),30)/30))+IF(24-(INT((Motore_Operativo!L148)/30))-1&lt;1,0,INDEX(Motore_Advisory!$AB$125:$AB$184,MAX(1,24-(INT((Motore_Operativo!L148)/30))-1)))*(MOD((Motore_Operativo!L148),30)/30))</f>
        <v>41457.0892018779</v>
      </c>
      <c r="AD148" s="15" t="n">
        <f aca="false">(AD147)+AB148-AC148</f>
        <v>124371.267605634</v>
      </c>
      <c r="AE148" s="15" t="n">
        <f aca="false">Motore_Operativo!BH148*(1+Parametri_v3!$C$26)</f>
        <v>4145.70892018779</v>
      </c>
      <c r="AF148" s="15" t="n">
        <f aca="false">(IF(24-(INT((Parametri_v3!$C$29)/30))&lt;1,0,INDEX(Motore_Operativo!$BH$125:$BH$184,MAX(1,24-(INT((Parametri_v3!$C$29)/30)))))*(1-(MOD((Parametri_v3!$C$29),30)/30))+IF(24-(INT((Parametri_v3!$C$29)/30))-1&lt;1,0,INDEX(Motore_Operativo!$BH$125:$BH$184,MAX(1,24-(INT((Parametri_v3!$C$29)/30))-1)))*(MOD((Parametri_v3!$C$29),30)/30))*(1+Parametri_v3!$C$26)</f>
        <v>4145.70892018779</v>
      </c>
      <c r="AG148" s="15" t="n">
        <f aca="false">(AG147)+AE148-AF148</f>
        <v>4145.70892018779</v>
      </c>
      <c r="AH148" s="15" t="n">
        <f aca="false">(Motore_Operativo!CK148)*(1+Parametri_v3!$C$28*Parametri_v3!$C$26)</f>
        <v>11198.1149295775</v>
      </c>
      <c r="AI148" s="15" t="n">
        <f aca="false">(IF(24-(INT((Ipotesi!$C$91)/30))&lt;1,0,INDEX(Motore_Advisory!$AH$125:$AH$184,MAX(1,24-(INT((Ipotesi!$C$91)/30)))))*(1-(MOD((Ipotesi!$C$91),30)/30))+IF(24-(INT((Ipotesi!$C$91)/30))-1&lt;1,0,INDEX(Motore_Advisory!$AH$125:$AH$184,MAX(1,24-(INT((Ipotesi!$C$91)/30))-1)))*(MOD((Ipotesi!$C$91),30)/30))</f>
        <v>11198.1149295775</v>
      </c>
      <c r="AJ148" s="15" t="n">
        <f aca="false">(AJ147)+AH148-AI148</f>
        <v>22396.2298591549</v>
      </c>
      <c r="AK148" s="15" t="n">
        <f aca="false">(F148- Motore_Operativo!BH148-(Motore_Operativo!CK148)*Parametri_v3!$C$28-Motore_Operativo!CF148)*Parametri_v3!$C$26</f>
        <v>4960.70666666667</v>
      </c>
      <c r="AL148" s="15" t="n">
        <f aca="false">MAX(0,(AM147))</f>
        <v>4960.70666666667</v>
      </c>
      <c r="AM148" s="15" t="n">
        <f aca="false">(AM147)+AK148-AL148</f>
        <v>4960.70666666667</v>
      </c>
      <c r="AN148" s="15" t="n">
        <f aca="false">SUM(X125:X136)</f>
        <v>13562.312368421</v>
      </c>
      <c r="AO148" s="15" t="n">
        <f aca="false">SUM(AP125:AP136)</f>
        <v>0</v>
      </c>
      <c r="AP148" s="15" t="n">
        <f aca="false">MAX(0,AN148)*IF(12=Parametri_v3!$C$43,Parametri_v3!$C$45,IF(12=Parametri_v3!$C$44,1-Parametri_v3!$C$45,0))</f>
        <v>0</v>
      </c>
      <c r="AQ148" s="15" t="n">
        <f aca="false">MAX(0,AP148+IF(12=Parametri_v3!$C$43,MAX(0,AN148-AO148),0)-MAX(0,-(AR147)))</f>
        <v>0</v>
      </c>
      <c r="AR148" s="15" t="n">
        <f aca="false">(AR147)+X148-AQ148</f>
        <v>2967.8591104522</v>
      </c>
      <c r="AS148" s="15" t="n">
        <f aca="false">Motore_Operativo!AC148-AT148+AU148</f>
        <v>15166.75</v>
      </c>
      <c r="AT148" s="15" t="n">
        <f aca="false">Motore_Operativo!CI148</f>
        <v>798.25</v>
      </c>
      <c r="AU148" s="15" t="n">
        <f aca="false">MIN(MAX(0,(AV147)+AT148),Parametri_v3!$C$61/12)</f>
        <v>0</v>
      </c>
      <c r="AV148" s="15" t="n">
        <f aca="false">(AV147)+AT148-AU148</f>
        <v>12729</v>
      </c>
      <c r="AW148" s="15" t="n">
        <f aca="false">IF(AND(Motore_Operativo!C148=Finanziamenti!$D$7,Finanziamenti!$F$7=1),Finanziamenti!$C$7,0)</f>
        <v>0</v>
      </c>
      <c r="AX148" s="15" t="n">
        <f aca="false">0</f>
        <v>0</v>
      </c>
      <c r="AY148" s="15" t="n">
        <f aca="false">IF(12=Parametri_v3!$C$33,IF(BV148&lt;MIN(12,$B148-1),0,MIN(MAX(0,SUM(Y125:Y136))*Ipotesi!$C$94,MAX(0,(BM136)-(BO147)-BP148),MAX(0,BD148-Parametri_v3!$C$31))),0)</f>
        <v>0</v>
      </c>
      <c r="AZ148" s="15" t="n">
        <f aca="false">0</f>
        <v>0</v>
      </c>
      <c r="BA148" s="15" t="n">
        <f aca="false">0</f>
        <v>0</v>
      </c>
      <c r="BB148" s="15" t="n">
        <f aca="false">0</f>
        <v>0</v>
      </c>
      <c r="BC148" s="15" t="n">
        <f aca="false">0</f>
        <v>0</v>
      </c>
      <c r="BD148" s="15" t="n">
        <f aca="false">(BH147)+AC148-AF148-AI148-AS148-K148*(1+Parametri_v3!$C$26)-AL148-AQ148-O148+AW148+AX148+AZ148+BA148-BB148</f>
        <v>15038.5625920435</v>
      </c>
      <c r="BE148" s="15" t="n">
        <f aca="false">0</f>
        <v>0</v>
      </c>
      <c r="BF148" s="15" t="n">
        <f aca="false">0</f>
        <v>0</v>
      </c>
      <c r="BG148" s="15" t="n">
        <f aca="false">0</f>
        <v>0</v>
      </c>
      <c r="BH148" s="15" t="n">
        <f aca="false">BD148+BE148-BF148-AY148</f>
        <v>15038.5625920435</v>
      </c>
      <c r="BI148" s="15" t="n">
        <f aca="false">MAX(0,Parametri_v3!$C$31-BH148)</f>
        <v>0</v>
      </c>
      <c r="BJ148" s="15" t="n">
        <f aca="false">(BJ147)+K148</f>
        <v>8000</v>
      </c>
      <c r="BK148" s="15" t="n">
        <f aca="false">(BK147)+L148</f>
        <v>2444.44444444445</v>
      </c>
      <c r="BL148" s="15" t="n">
        <f aca="false">BJ148-BK148</f>
        <v>5555.55555555556</v>
      </c>
      <c r="BM148" s="15" t="n">
        <f aca="false">(BM147)+Y148</f>
        <v>77765.8811967713</v>
      </c>
      <c r="BN148" s="15" t="n">
        <f aca="false">(BN147)+AW148+AX148+AZ148</f>
        <v>20000</v>
      </c>
      <c r="BO148" s="15" t="n">
        <f aca="false">(BO147)+AY148</f>
        <v>0</v>
      </c>
      <c r="BP148" s="15" t="n">
        <f aca="false">MIN(Parametri_v3!$C$36*Parametri_v3!$C$35,(BP147)+IF(12=1,MAX(0,SUM(Y125:Y136))*Parametri_v3!$C$34,0))</f>
        <v>1752.40631140351</v>
      </c>
      <c r="BQ148" s="15" t="n">
        <f aca="false">BN148+BM148-BO148</f>
        <v>97765.8811967713</v>
      </c>
      <c r="BR148" s="15" t="n">
        <f aca="false">BH148+AD148+BL148+MAX(0,-AM148)+MAX(0,-AR148)</f>
        <v>144965.385753233</v>
      </c>
      <c r="BS148" s="15" t="n">
        <f aca="false">AJ148+AV148+MAX(0,AM148)+MAX(0,AR148)+BC148+BG148+BQ148+AG148</f>
        <v>144965.385753233</v>
      </c>
      <c r="BT148" s="15" t="n">
        <f aca="false">BR148-BS148</f>
        <v>0</v>
      </c>
      <c r="BU148" s="15" t="n">
        <f aca="false">BH148-(BD148+BE148-BF148-AY148)</f>
        <v>0</v>
      </c>
      <c r="BV148" s="15" t="n">
        <f aca="false">IF(BH147&lt;Parametri_v3!$C$31,0,BV147+1)</f>
        <v>0</v>
      </c>
    </row>
    <row r="149" customFormat="false" ht="18" hidden="false" customHeight="true" outlineLevel="0" collapsed="false">
      <c r="A149" s="68" t="n">
        <f aca="false">3</f>
        <v>3</v>
      </c>
      <c r="B149" s="68" t="n">
        <f aca="false">25</f>
        <v>25</v>
      </c>
      <c r="C149" s="18" t="n">
        <f aca="false">Motore_Operativo!C149</f>
        <v>47119</v>
      </c>
      <c r="D149" s="68" t="n">
        <f aca="false">Motore_Operativo!D149</f>
        <v>2029</v>
      </c>
      <c r="E149" s="68" t="n">
        <f aca="false">Motore_Operativo!E149</f>
        <v>1</v>
      </c>
      <c r="F149" s="15" t="n">
        <f aca="false">Motore_Operativo!AM149</f>
        <v>60500</v>
      </c>
      <c r="G149" s="15" t="n">
        <f aca="false">Motore_Operativo!BH149</f>
        <v>6050</v>
      </c>
      <c r="H149" s="15" t="n">
        <f aca="false">Motore_Operativo!AM149</f>
        <v>60500</v>
      </c>
      <c r="I149" s="15" t="n">
        <f aca="false">Motore_Operativo!CB149</f>
        <v>46259.8958333333</v>
      </c>
      <c r="J149" s="15" t="n">
        <f aca="false">Motore_Operativo!CD149</f>
        <v>14240.1041666667</v>
      </c>
      <c r="K149" s="15" t="n">
        <f aca="false">Motore_Operativo!CF149</f>
        <v>416.666666666667</v>
      </c>
      <c r="L149" s="15" t="n">
        <f aca="false">SUM(INDEX($K$125:$K$184,MAX(1,25-Parametri_v3!$C$59+1)):K149)/Parametri_v3!$C$59</f>
        <v>233.796296296296</v>
      </c>
      <c r="M149" s="15" t="n">
        <f aca="false">J149-L149</f>
        <v>14006.3078703704</v>
      </c>
      <c r="N149" s="15" t="n">
        <f aca="false">0</f>
        <v>0</v>
      </c>
      <c r="O149" s="15" t="n">
        <f aca="false">0</f>
        <v>0</v>
      </c>
      <c r="P149" s="15" t="n">
        <f aca="false">M149+N149-O149</f>
        <v>14006.3078703704</v>
      </c>
      <c r="Q149" s="15" t="n">
        <f aca="false">SUM(P149)+Parametri_v3!$C$56*1/12</f>
        <v>14006.3078703704</v>
      </c>
      <c r="R149" s="15" t="n">
        <f aca="false">Z148</f>
        <v>0</v>
      </c>
      <c r="S149" s="15" t="n">
        <f aca="false">AA148</f>
        <v>0</v>
      </c>
      <c r="T149" s="15" t="n">
        <f aca="false">MIN(R149,MAX(0,Q149))</f>
        <v>0</v>
      </c>
      <c r="U149" s="15" t="n">
        <f aca="false">MIN(S149,MAX(0,Q149-T149)*Parametri_v3!$C$42)</f>
        <v>0</v>
      </c>
      <c r="V149" s="15" t="n">
        <f aca="false">MAX(0,Q149-T149-U149)*Ipotesi!$C$92</f>
        <v>3361.51388888889</v>
      </c>
      <c r="W149" s="15" t="n">
        <f aca="false">MAX(0,SUM(M149)+Parametri_v3!$C$57*1/12)*Ipotesi!$C$93</f>
        <v>546.246006944445</v>
      </c>
      <c r="X149" s="15" t="n">
        <f aca="false">V149+W149-(0)</f>
        <v>3907.75989583333</v>
      </c>
      <c r="Y149" s="15" t="n">
        <f aca="false">P149-X149</f>
        <v>10098.547974537</v>
      </c>
      <c r="Z149" s="15" t="n">
        <f aca="false">R149-T149+IF(AND(Parametri_v3!$C$40=1,D149-YEAR(Parametri_v3!$C$50)&lt;Parametri_v3!$C$41),MAX(0,-Q149),0)</f>
        <v>0</v>
      </c>
      <c r="AA149" s="15" t="n">
        <f aca="false">S149-U149+IF(AND(Parametri_v3!$C$40=1,D149-YEAR(Parametri_v3!$C$50)&lt;Parametri_v3!$C$41),0,MAX(0,-Q149))</f>
        <v>0</v>
      </c>
      <c r="AB149" s="15" t="n">
        <f aca="false">F149*(1+Parametri_v3!$C$26)</f>
        <v>73810</v>
      </c>
      <c r="AC149" s="15" t="n">
        <f aca="false">(IF(25-(INT((Motore_Operativo!L149)/30))&lt;1,0,INDEX(Motore_Advisory!$AB$125:$AB$184,MAX(1,25-(INT((Motore_Operativo!L149)/30)))))*(1-(MOD((Motore_Operativo!L149),30)/30))+IF(25-(INT((Motore_Operativo!L149)/30))-1&lt;1,0,INDEX(Motore_Advisory!$AB$125:$AB$184,MAX(1,25-(INT((Motore_Operativo!L149)/30))-1)))*(MOD((Motore_Operativo!L149),30)/30))</f>
        <v>41457.0892018779</v>
      </c>
      <c r="AD149" s="15" t="n">
        <f aca="false">(AD148)+AB149-AC149</f>
        <v>156724.178403756</v>
      </c>
      <c r="AE149" s="15" t="n">
        <f aca="false">Motore_Operativo!BH149*(1+Parametri_v3!$C$26)</f>
        <v>7381</v>
      </c>
      <c r="AF149" s="15" t="n">
        <f aca="false">(IF(25-(INT((Parametri_v3!$C$29)/30))&lt;1,0,INDEX(Motore_Operativo!$BH$125:$BH$184,MAX(1,25-(INT((Parametri_v3!$C$29)/30)))))*(1-(MOD((Parametri_v3!$C$29),30)/30))+IF(25-(INT((Parametri_v3!$C$29)/30))-1&lt;1,0,INDEX(Motore_Operativo!$BH$125:$BH$184,MAX(1,25-(INT((Parametri_v3!$C$29)/30))-1)))*(MOD((Parametri_v3!$C$29),30)/30))*(1+Parametri_v3!$C$26)</f>
        <v>4145.70892018779</v>
      </c>
      <c r="AG149" s="15" t="n">
        <f aca="false">(AG148)+AE149-AF149</f>
        <v>7381</v>
      </c>
      <c r="AH149" s="15" t="n">
        <f aca="false">(Motore_Operativo!CK149)*(1+Parametri_v3!$C$28*Parametri_v3!$C$26)</f>
        <v>17395.98</v>
      </c>
      <c r="AI149" s="15" t="n">
        <f aca="false">(IF(25-(INT((Ipotesi!$C$91)/30))&lt;1,0,INDEX(Motore_Advisory!$AH$125:$AH$184,MAX(1,25-(INT((Ipotesi!$C$91)/30)))))*(1-(MOD((Ipotesi!$C$91),30)/30))+IF(25-(INT((Ipotesi!$C$91)/30))-1&lt;1,0,INDEX(Motore_Advisory!$AH$125:$AH$184,MAX(1,25-(INT((Ipotesi!$C$91)/30))-1)))*(MOD((Ipotesi!$C$91),30)/30))</f>
        <v>11198.1149295775</v>
      </c>
      <c r="AJ149" s="15" t="n">
        <f aca="false">(AJ148)+AH149-AI149</f>
        <v>28594.0949295775</v>
      </c>
      <c r="AK149" s="15" t="n">
        <f aca="false">(F149- Motore_Operativo!BH149-(Motore_Operativo!CK149)*Parametri_v3!$C$28-Motore_Operativo!CF149)*Parametri_v3!$C$26</f>
        <v>9283.85333333333</v>
      </c>
      <c r="AL149" s="15" t="n">
        <f aca="false">MAX(0,(AM148))</f>
        <v>4960.70666666667</v>
      </c>
      <c r="AM149" s="15" t="n">
        <f aca="false">(AM148)+AK149-AL149</f>
        <v>9283.85333333333</v>
      </c>
      <c r="AN149" s="15" t="n">
        <f aca="false">SUM(X137:X148)</f>
        <v>16530.1714788732</v>
      </c>
      <c r="AO149" s="15" t="n">
        <f aca="false">SUM(AP137:AP148)</f>
        <v>13562.312368421</v>
      </c>
      <c r="AP149" s="15" t="n">
        <f aca="false">MAX(0,AN149)*IF(1=Parametri_v3!$C$43,Parametri_v3!$C$45,IF(1=Parametri_v3!$C$44,1-Parametri_v3!$C$45,0))</f>
        <v>0</v>
      </c>
      <c r="AQ149" s="15" t="n">
        <f aca="false">MAX(0,AP149+IF(1=Parametri_v3!$C$43,MAX(0,AN149-AO149),0)-MAX(0,-(AR148)))</f>
        <v>0</v>
      </c>
      <c r="AR149" s="15" t="n">
        <f aca="false">(AR148)+X149-AQ149</f>
        <v>6875.61900628553</v>
      </c>
      <c r="AS149" s="15" t="n">
        <f aca="false">Motore_Operativo!AC149-AT149+AU149</f>
        <v>24146.5260416667</v>
      </c>
      <c r="AT149" s="15" t="n">
        <f aca="false">Motore_Operativo!CI149</f>
        <v>1270.86979166667</v>
      </c>
      <c r="AU149" s="15" t="n">
        <f aca="false">MIN(MAX(0,(AV148)+AT149),Parametri_v3!$C$61/12)</f>
        <v>0</v>
      </c>
      <c r="AV149" s="15" t="n">
        <f aca="false">(AV148)+AT149-AU149</f>
        <v>13999.8697916667</v>
      </c>
      <c r="AW149" s="15" t="n">
        <f aca="false">IF(AND(Motore_Operativo!C149=Finanziamenti!$D$7,Finanziamenti!$F$7=1),Finanziamenti!$C$7,0)</f>
        <v>0</v>
      </c>
      <c r="AX149" s="15" t="n">
        <f aca="false">0</f>
        <v>0</v>
      </c>
      <c r="AY149" s="15" t="n">
        <f aca="false">IF(1=Parametri_v3!$C$33,IF(BV149&lt;MIN(12,$B149-1),0,MIN(MAX(0,SUM(Y137:Y148))*Ipotesi!$C$94,MAX(0,(BM148)-(BO148)-BP149),MAX(0,BD149-Parametri_v3!$C$31))),0)</f>
        <v>0</v>
      </c>
      <c r="AZ149" s="15" t="n">
        <f aca="false">0</f>
        <v>0</v>
      </c>
      <c r="BA149" s="15" t="n">
        <f aca="false">0</f>
        <v>0</v>
      </c>
      <c r="BB149" s="15" t="n">
        <f aca="false">0</f>
        <v>0</v>
      </c>
      <c r="BC149" s="15" t="n">
        <f aca="false">0</f>
        <v>0</v>
      </c>
      <c r="BD149" s="15" t="n">
        <f aca="false">(BH148)+AC149-AF149-AI149-AS149-K149*(1+Parametri_v3!$C$26)-AL149-AQ149-O149+AW149+AX149+AZ149+BA149-BB149</f>
        <v>11536.2619024896</v>
      </c>
      <c r="BE149" s="15" t="n">
        <f aca="false">0</f>
        <v>0</v>
      </c>
      <c r="BF149" s="15" t="n">
        <f aca="false">0</f>
        <v>0</v>
      </c>
      <c r="BG149" s="15" t="n">
        <f aca="false">0</f>
        <v>0</v>
      </c>
      <c r="BH149" s="15" t="n">
        <f aca="false">BD149+BE149-BF149-AY149</f>
        <v>11536.2619024896</v>
      </c>
      <c r="BI149" s="15" t="n">
        <f aca="false">MAX(0,Parametri_v3!$C$31-BH149)</f>
        <v>0</v>
      </c>
      <c r="BJ149" s="15" t="n">
        <f aca="false">(BJ148)+K149</f>
        <v>8416.66666666667</v>
      </c>
      <c r="BK149" s="15" t="n">
        <f aca="false">(BK148)+L149</f>
        <v>2678.24074074074</v>
      </c>
      <c r="BL149" s="15" t="n">
        <f aca="false">BJ149-BK149</f>
        <v>5738.42592592593</v>
      </c>
      <c r="BM149" s="15" t="n">
        <f aca="false">(BM148)+Y149</f>
        <v>87864.4291713083</v>
      </c>
      <c r="BN149" s="15" t="n">
        <f aca="false">(BN148)+AW149+AX149+AZ149</f>
        <v>20000</v>
      </c>
      <c r="BO149" s="15" t="n">
        <f aca="false">(BO148)+AY149</f>
        <v>0</v>
      </c>
      <c r="BP149" s="15" t="n">
        <f aca="false">MIN(Parametri_v3!$C$36*Parametri_v3!$C$35,(BP148)+IF(1=1,MAX(0,SUM(Y137:Y148))*Parametri_v3!$C$34,0))</f>
        <v>2000</v>
      </c>
      <c r="BQ149" s="15" t="n">
        <f aca="false">BN149+BM149-BO149</f>
        <v>107864.429171308</v>
      </c>
      <c r="BR149" s="15" t="n">
        <f aca="false">BH149+AD149+BL149+MAX(0,-AM149)+MAX(0,-AR149)</f>
        <v>173998.866232171</v>
      </c>
      <c r="BS149" s="15" t="n">
        <f aca="false">AJ149+AV149+MAX(0,AM149)+MAX(0,AR149)+BC149+BG149+BQ149+AG149</f>
        <v>173998.866232171</v>
      </c>
      <c r="BT149" s="15" t="n">
        <f aca="false">BR149-BS149</f>
        <v>0</v>
      </c>
      <c r="BU149" s="15" t="n">
        <f aca="false">BH149-(BD149+BE149-BF149-AY149)</f>
        <v>0</v>
      </c>
      <c r="BV149" s="15" t="n">
        <f aca="false">IF(BH148&lt;Parametri_v3!$C$31,0,BV148+1)</f>
        <v>1</v>
      </c>
    </row>
    <row r="150" customFormat="false" ht="18" hidden="false" customHeight="true" outlineLevel="0" collapsed="false">
      <c r="A150" s="68" t="n">
        <f aca="false">3</f>
        <v>3</v>
      </c>
      <c r="B150" s="68" t="n">
        <f aca="false">26</f>
        <v>26</v>
      </c>
      <c r="C150" s="18" t="n">
        <f aca="false">Motore_Operativo!C150</f>
        <v>47150</v>
      </c>
      <c r="D150" s="68" t="n">
        <f aca="false">Motore_Operativo!D150</f>
        <v>2029</v>
      </c>
      <c r="E150" s="68" t="n">
        <f aca="false">Motore_Operativo!E150</f>
        <v>2</v>
      </c>
      <c r="F150" s="15" t="n">
        <f aca="false">Motore_Operativo!AM150</f>
        <v>60500</v>
      </c>
      <c r="G150" s="15" t="n">
        <f aca="false">Motore_Operativo!BH150</f>
        <v>6050</v>
      </c>
      <c r="H150" s="15" t="n">
        <f aca="false">Motore_Operativo!AM150</f>
        <v>60500</v>
      </c>
      <c r="I150" s="15" t="n">
        <f aca="false">Motore_Operativo!CB150</f>
        <v>46259.8958333333</v>
      </c>
      <c r="J150" s="15" t="n">
        <f aca="false">Motore_Operativo!CD150</f>
        <v>14240.1041666667</v>
      </c>
      <c r="K150" s="15" t="n">
        <f aca="false">Motore_Operativo!CF150</f>
        <v>416.666666666667</v>
      </c>
      <c r="L150" s="15" t="n">
        <f aca="false">SUM(INDEX($K$125:$K$184,MAX(1,26-Parametri_v3!$C$59+1)):K150)/Parametri_v3!$C$59</f>
        <v>245.37037037037</v>
      </c>
      <c r="M150" s="15" t="n">
        <f aca="false">J150-L150</f>
        <v>13994.7337962963</v>
      </c>
      <c r="N150" s="15" t="n">
        <f aca="false">0</f>
        <v>0</v>
      </c>
      <c r="O150" s="15" t="n">
        <f aca="false">0</f>
        <v>0</v>
      </c>
      <c r="P150" s="15" t="n">
        <f aca="false">M150+N150-O150</f>
        <v>13994.7337962963</v>
      </c>
      <c r="Q150" s="15" t="n">
        <f aca="false">SUM(P149:P150)+Parametri_v3!$C$56*2/12</f>
        <v>28001.0416666667</v>
      </c>
      <c r="R150" s="15" t="n">
        <f aca="false">Z148</f>
        <v>0</v>
      </c>
      <c r="S150" s="15" t="n">
        <f aca="false">AA148</f>
        <v>0</v>
      </c>
      <c r="T150" s="15" t="n">
        <f aca="false">MIN(R150,MAX(0,Q150))</f>
        <v>0</v>
      </c>
      <c r="U150" s="15" t="n">
        <f aca="false">MIN(S150,MAX(0,Q150-T150)*Parametri_v3!$C$42)</f>
        <v>0</v>
      </c>
      <c r="V150" s="15" t="n">
        <f aca="false">MAX(0,Q150-T150-U150)*Ipotesi!$C$92</f>
        <v>6720.25</v>
      </c>
      <c r="W150" s="15" t="n">
        <f aca="false">MAX(0,SUM(M149:M150)+Parametri_v3!$C$57*2/12)*Ipotesi!$C$93</f>
        <v>1092.040625</v>
      </c>
      <c r="X150" s="15" t="n">
        <f aca="false">V150+W150-(V149+W149)</f>
        <v>3904.53072916667</v>
      </c>
      <c r="Y150" s="15" t="n">
        <f aca="false">P150-X150</f>
        <v>10090.2030671296</v>
      </c>
      <c r="Z150" s="15" t="n">
        <f aca="false">R150-T150+IF(AND(Parametri_v3!$C$40=1,D150-YEAR(Parametri_v3!$C$50)&lt;Parametri_v3!$C$41),MAX(0,-Q150),0)</f>
        <v>0</v>
      </c>
      <c r="AA150" s="15" t="n">
        <f aca="false">S150-U150+IF(AND(Parametri_v3!$C$40=1,D150-YEAR(Parametri_v3!$C$50)&lt;Parametri_v3!$C$41),0,MAX(0,-Q150))</f>
        <v>0</v>
      </c>
      <c r="AB150" s="15" t="n">
        <f aca="false">F150*(1+Parametri_v3!$C$26)</f>
        <v>73810</v>
      </c>
      <c r="AC150" s="15" t="n">
        <f aca="false">(IF(26-(INT((Motore_Operativo!L150)/30))&lt;1,0,INDEX(Motore_Advisory!$AB$125:$AB$184,MAX(1,26-(INT((Motore_Operativo!L150)/30)))))*(1-(MOD((Motore_Operativo!L150),30)/30))+IF(26-(INT((Motore_Operativo!L150)/30))-1&lt;1,0,INDEX(Motore_Advisory!$AB$125:$AB$184,MAX(1,26-(INT((Motore_Operativo!L150)/30))-1)))*(MOD((Motore_Operativo!L150),30)/30))</f>
        <v>41457.0892018779</v>
      </c>
      <c r="AD150" s="15" t="n">
        <f aca="false">(AD149)+AB150-AC150</f>
        <v>189077.089201878</v>
      </c>
      <c r="AE150" s="15" t="n">
        <f aca="false">Motore_Operativo!BH150*(1+Parametri_v3!$C$26)</f>
        <v>7381</v>
      </c>
      <c r="AF150" s="15" t="n">
        <f aca="false">(IF(26-(INT((Parametri_v3!$C$29)/30))&lt;1,0,INDEX(Motore_Operativo!$BH$125:$BH$184,MAX(1,26-(INT((Parametri_v3!$C$29)/30)))))*(1-(MOD((Parametri_v3!$C$29),30)/30))+IF(26-(INT((Parametri_v3!$C$29)/30))-1&lt;1,0,INDEX(Motore_Operativo!$BH$125:$BH$184,MAX(1,26-(INT((Parametri_v3!$C$29)/30))-1)))*(MOD((Parametri_v3!$C$29),30)/30))*(1+Parametri_v3!$C$26)</f>
        <v>7381</v>
      </c>
      <c r="AG150" s="15" t="n">
        <f aca="false">(AG149)+AE150-AF150</f>
        <v>7381</v>
      </c>
      <c r="AH150" s="15" t="n">
        <f aca="false">(Motore_Operativo!CK150)*(1+Parametri_v3!$C$28*Parametri_v3!$C$26)</f>
        <v>17395.98</v>
      </c>
      <c r="AI150" s="15" t="n">
        <f aca="false">(IF(26-(INT((Ipotesi!$C$91)/30))&lt;1,0,INDEX(Motore_Advisory!$AH$125:$AH$184,MAX(1,26-(INT((Ipotesi!$C$91)/30)))))*(1-(MOD((Ipotesi!$C$91),30)/30))+IF(26-(INT((Ipotesi!$C$91)/30))-1&lt;1,0,INDEX(Motore_Advisory!$AH$125:$AH$184,MAX(1,26-(INT((Ipotesi!$C$91)/30))-1)))*(MOD((Ipotesi!$C$91),30)/30))</f>
        <v>11198.1149295775</v>
      </c>
      <c r="AJ150" s="15" t="n">
        <f aca="false">(AJ149)+AH150-AI150</f>
        <v>34791.96</v>
      </c>
      <c r="AK150" s="15" t="n">
        <f aca="false">(F150- Motore_Operativo!BH150-(Motore_Operativo!CK150)*Parametri_v3!$C$28-Motore_Operativo!CF150)*Parametri_v3!$C$26</f>
        <v>9283.85333333333</v>
      </c>
      <c r="AL150" s="15" t="n">
        <f aca="false">MAX(0,(AM149))</f>
        <v>9283.85333333333</v>
      </c>
      <c r="AM150" s="15" t="n">
        <f aca="false">(AM149)+AK150-AL150</f>
        <v>9283.85333333333</v>
      </c>
      <c r="AN150" s="15" t="n">
        <f aca="false">SUM(X137:X148)</f>
        <v>16530.1714788732</v>
      </c>
      <c r="AO150" s="15" t="n">
        <f aca="false">SUM(AP137:AP148)</f>
        <v>13562.312368421</v>
      </c>
      <c r="AP150" s="15" t="n">
        <f aca="false">MAX(0,AN150)*IF(2=Parametri_v3!$C$43,Parametri_v3!$C$45,IF(2=Parametri_v3!$C$44,1-Parametri_v3!$C$45,0))</f>
        <v>0</v>
      </c>
      <c r="AQ150" s="15" t="n">
        <f aca="false">MAX(0,AP150+IF(2=Parametri_v3!$C$43,MAX(0,AN150-AO150),0)-MAX(0,-(AR149)))</f>
        <v>0</v>
      </c>
      <c r="AR150" s="15" t="n">
        <f aca="false">(AR149)+X150-AQ150</f>
        <v>10780.1497354522</v>
      </c>
      <c r="AS150" s="15" t="n">
        <f aca="false">Motore_Operativo!AC150-AT150+AU150</f>
        <v>24146.5260416667</v>
      </c>
      <c r="AT150" s="15" t="n">
        <f aca="false">Motore_Operativo!CI150</f>
        <v>1270.86979166667</v>
      </c>
      <c r="AU150" s="15" t="n">
        <f aca="false">MIN(MAX(0,(AV149)+AT150),Parametri_v3!$C$61/12)</f>
        <v>0</v>
      </c>
      <c r="AV150" s="15" t="n">
        <f aca="false">(AV149)+AT150-AU150</f>
        <v>15270.7395833333</v>
      </c>
      <c r="AW150" s="15" t="n">
        <f aca="false">IF(AND(Motore_Operativo!C150=Finanziamenti!$D$7,Finanziamenti!$F$7=1),Finanziamenti!$C$7,0)</f>
        <v>0</v>
      </c>
      <c r="AX150" s="15" t="n">
        <f aca="false">0</f>
        <v>0</v>
      </c>
      <c r="AY150" s="15" t="n">
        <f aca="false">IF(2=Parametri_v3!$C$33,IF(BV150&lt;MIN(12,$B150-1),0,MIN(MAX(0,SUM(Y137:Y148))*Ipotesi!$C$94,MAX(0,(BM148)-(BO149)-BP150),MAX(0,BD150-Parametri_v3!$C$31))),0)</f>
        <v>0</v>
      </c>
      <c r="AZ150" s="15" t="n">
        <f aca="false">0</f>
        <v>0</v>
      </c>
      <c r="BA150" s="15" t="n">
        <f aca="false">0</f>
        <v>0</v>
      </c>
      <c r="BB150" s="15" t="n">
        <f aca="false">0</f>
        <v>0</v>
      </c>
      <c r="BC150" s="15" t="n">
        <f aca="false">0</f>
        <v>0</v>
      </c>
      <c r="BD150" s="15" t="n">
        <f aca="false">(BH149)+AC150-AF150-AI150-AS150-K150*(1+Parametri_v3!$C$26)-AL150-AQ150-O150+AW150+AX150+AZ150+BA150-BB150</f>
        <v>475.523466456703</v>
      </c>
      <c r="BE150" s="15" t="n">
        <f aca="false">0</f>
        <v>0</v>
      </c>
      <c r="BF150" s="15" t="n">
        <f aca="false">0</f>
        <v>0</v>
      </c>
      <c r="BG150" s="15" t="n">
        <f aca="false">0</f>
        <v>0</v>
      </c>
      <c r="BH150" s="15" t="n">
        <f aca="false">BD150+BE150-BF150-AY150</f>
        <v>475.523466456703</v>
      </c>
      <c r="BI150" s="15" t="n">
        <f aca="false">MAX(0,Parametri_v3!$C$31-BH150)</f>
        <v>9524.4765335433</v>
      </c>
      <c r="BJ150" s="15" t="n">
        <f aca="false">(BJ149)+K150</f>
        <v>8833.33333333334</v>
      </c>
      <c r="BK150" s="15" t="n">
        <f aca="false">(BK149)+L150</f>
        <v>2923.61111111111</v>
      </c>
      <c r="BL150" s="15" t="n">
        <f aca="false">BJ150-BK150</f>
        <v>5909.72222222222</v>
      </c>
      <c r="BM150" s="15" t="n">
        <f aca="false">(BM149)+Y150</f>
        <v>97954.6322384379</v>
      </c>
      <c r="BN150" s="15" t="n">
        <f aca="false">(BN149)+AW150+AX150+AZ150</f>
        <v>20000</v>
      </c>
      <c r="BO150" s="15" t="n">
        <f aca="false">(BO149)+AY150</f>
        <v>0</v>
      </c>
      <c r="BP150" s="15" t="n">
        <f aca="false">MIN(Parametri_v3!$C$36*Parametri_v3!$C$35,(BP149)+IF(2=1,MAX(0,SUM(Y137:Y148))*Parametri_v3!$C$34,0))</f>
        <v>2000</v>
      </c>
      <c r="BQ150" s="15" t="n">
        <f aca="false">BN150+BM150-BO150</f>
        <v>117954.632238438</v>
      </c>
      <c r="BR150" s="15" t="n">
        <f aca="false">BH150+AD150+BL150+MAX(0,-AM150)+MAX(0,-AR150)</f>
        <v>195462.334890557</v>
      </c>
      <c r="BS150" s="15" t="n">
        <f aca="false">AJ150+AV150+MAX(0,AM150)+MAX(0,AR150)+BC150+BG150+BQ150+AG150</f>
        <v>195462.334890557</v>
      </c>
      <c r="BT150" s="15" t="n">
        <f aca="false">BR150-BS150</f>
        <v>0</v>
      </c>
      <c r="BU150" s="15" t="n">
        <f aca="false">BH150-(BD150+BE150-BF150-AY150)</f>
        <v>0</v>
      </c>
      <c r="BV150" s="15" t="n">
        <f aca="false">IF(BH149&lt;Parametri_v3!$C$31,0,BV149+1)</f>
        <v>2</v>
      </c>
    </row>
    <row r="151" customFormat="false" ht="18" hidden="false" customHeight="true" outlineLevel="0" collapsed="false">
      <c r="A151" s="68" t="n">
        <f aca="false">3</f>
        <v>3</v>
      </c>
      <c r="B151" s="68" t="n">
        <f aca="false">27</f>
        <v>27</v>
      </c>
      <c r="C151" s="18" t="n">
        <f aca="false">Motore_Operativo!C151</f>
        <v>47178</v>
      </c>
      <c r="D151" s="68" t="n">
        <f aca="false">Motore_Operativo!D151</f>
        <v>2029</v>
      </c>
      <c r="E151" s="68" t="n">
        <f aca="false">Motore_Operativo!E151</f>
        <v>3</v>
      </c>
      <c r="F151" s="15" t="n">
        <f aca="false">Motore_Operativo!AM151</f>
        <v>60500</v>
      </c>
      <c r="G151" s="15" t="n">
        <f aca="false">Motore_Operativo!BH151</f>
        <v>6050</v>
      </c>
      <c r="H151" s="15" t="n">
        <f aca="false">Motore_Operativo!AM151</f>
        <v>60500</v>
      </c>
      <c r="I151" s="15" t="n">
        <f aca="false">Motore_Operativo!CB151</f>
        <v>46259.8958333333</v>
      </c>
      <c r="J151" s="15" t="n">
        <f aca="false">Motore_Operativo!CD151</f>
        <v>14240.1041666667</v>
      </c>
      <c r="K151" s="15" t="n">
        <f aca="false">Motore_Operativo!CF151</f>
        <v>416.666666666667</v>
      </c>
      <c r="L151" s="15" t="n">
        <f aca="false">SUM(INDEX($K$125:$K$184,MAX(1,27-Parametri_v3!$C$59+1)):K151)/Parametri_v3!$C$59</f>
        <v>256.944444444444</v>
      </c>
      <c r="M151" s="15" t="n">
        <f aca="false">J151-L151</f>
        <v>13983.1597222222</v>
      </c>
      <c r="N151" s="15" t="n">
        <f aca="false">0</f>
        <v>0</v>
      </c>
      <c r="O151" s="15" t="n">
        <f aca="false">0</f>
        <v>0</v>
      </c>
      <c r="P151" s="15" t="n">
        <f aca="false">M151+N151-O151</f>
        <v>13983.1597222222</v>
      </c>
      <c r="Q151" s="15" t="n">
        <f aca="false">SUM(P149:P151)+Parametri_v3!$C$56*3/12</f>
        <v>41984.2013888889</v>
      </c>
      <c r="R151" s="15" t="n">
        <f aca="false">Z148</f>
        <v>0</v>
      </c>
      <c r="S151" s="15" t="n">
        <f aca="false">AA148</f>
        <v>0</v>
      </c>
      <c r="T151" s="15" t="n">
        <f aca="false">MIN(R151,MAX(0,Q151))</f>
        <v>0</v>
      </c>
      <c r="U151" s="15" t="n">
        <f aca="false">MIN(S151,MAX(0,Q151-T151)*Parametri_v3!$C$42)</f>
        <v>0</v>
      </c>
      <c r="V151" s="15" t="n">
        <f aca="false">MAX(0,Q151-T151-U151)*Ipotesi!$C$92</f>
        <v>10076.2083333333</v>
      </c>
      <c r="W151" s="15" t="n">
        <f aca="false">MAX(0,SUM(M149:M151)+Parametri_v3!$C$57*3/12)*Ipotesi!$C$93</f>
        <v>1637.38385416667</v>
      </c>
      <c r="X151" s="15" t="n">
        <f aca="false">V151+W151-(V150+W150)</f>
        <v>3901.3015625</v>
      </c>
      <c r="Y151" s="15" t="n">
        <f aca="false">P151-X151</f>
        <v>10081.8581597222</v>
      </c>
      <c r="Z151" s="15" t="n">
        <f aca="false">R151-T151+IF(AND(Parametri_v3!$C$40=1,D151-YEAR(Parametri_v3!$C$50)&lt;Parametri_v3!$C$41),MAX(0,-Q151),0)</f>
        <v>0</v>
      </c>
      <c r="AA151" s="15" t="n">
        <f aca="false">S151-U151+IF(AND(Parametri_v3!$C$40=1,D151-YEAR(Parametri_v3!$C$50)&lt;Parametri_v3!$C$41),0,MAX(0,-Q151))</f>
        <v>0</v>
      </c>
      <c r="AB151" s="15" t="n">
        <f aca="false">F151*(1+Parametri_v3!$C$26)</f>
        <v>73810</v>
      </c>
      <c r="AC151" s="15" t="n">
        <f aca="false">(IF(27-(INT((Motore_Operativo!L151)/30))&lt;1,0,INDEX(Motore_Advisory!$AB$125:$AB$184,MAX(1,27-(INT((Motore_Operativo!L151)/30)))))*(1-(MOD((Motore_Operativo!L151),30)/30))+IF(27-(INT((Motore_Operativo!L151)/30))-1&lt;1,0,INDEX(Motore_Advisory!$AB$125:$AB$184,MAX(1,27-(INT((Motore_Operativo!L151)/30))-1)))*(MOD((Motore_Operativo!L151),30)/30))</f>
        <v>41457.0892018779</v>
      </c>
      <c r="AD151" s="15" t="n">
        <f aca="false">(AD150)+AB151-AC151</f>
        <v>221430</v>
      </c>
      <c r="AE151" s="15" t="n">
        <f aca="false">Motore_Operativo!BH151*(1+Parametri_v3!$C$26)</f>
        <v>7381</v>
      </c>
      <c r="AF151" s="15" t="n">
        <f aca="false">(IF(27-(INT((Parametri_v3!$C$29)/30))&lt;1,0,INDEX(Motore_Operativo!$BH$125:$BH$184,MAX(1,27-(INT((Parametri_v3!$C$29)/30)))))*(1-(MOD((Parametri_v3!$C$29),30)/30))+IF(27-(INT((Parametri_v3!$C$29)/30))-1&lt;1,0,INDEX(Motore_Operativo!$BH$125:$BH$184,MAX(1,27-(INT((Parametri_v3!$C$29)/30))-1)))*(MOD((Parametri_v3!$C$29),30)/30))*(1+Parametri_v3!$C$26)</f>
        <v>7381</v>
      </c>
      <c r="AG151" s="15" t="n">
        <f aca="false">(AG150)+AE151-AF151</f>
        <v>7381</v>
      </c>
      <c r="AH151" s="15" t="n">
        <f aca="false">(Motore_Operativo!CK151)*(1+Parametri_v3!$C$28*Parametri_v3!$C$26)</f>
        <v>17395.98</v>
      </c>
      <c r="AI151" s="15" t="n">
        <f aca="false">(IF(27-(INT((Ipotesi!$C$91)/30))&lt;1,0,INDEX(Motore_Advisory!$AH$125:$AH$184,MAX(1,27-(INT((Ipotesi!$C$91)/30)))))*(1-(MOD((Ipotesi!$C$91),30)/30))+IF(27-(INT((Ipotesi!$C$91)/30))-1&lt;1,0,INDEX(Motore_Advisory!$AH$125:$AH$184,MAX(1,27-(INT((Ipotesi!$C$91)/30))-1)))*(MOD((Ipotesi!$C$91),30)/30))</f>
        <v>17395.98</v>
      </c>
      <c r="AJ151" s="15" t="n">
        <f aca="false">(AJ150)+AH151-AI151</f>
        <v>34791.96</v>
      </c>
      <c r="AK151" s="15" t="n">
        <f aca="false">(F151- Motore_Operativo!BH151-(Motore_Operativo!CK151)*Parametri_v3!$C$28-Motore_Operativo!CF151)*Parametri_v3!$C$26</f>
        <v>9283.85333333333</v>
      </c>
      <c r="AL151" s="15" t="n">
        <f aca="false">MAX(0,(AM150))</f>
        <v>9283.85333333333</v>
      </c>
      <c r="AM151" s="15" t="n">
        <f aca="false">(AM150)+AK151-AL151</f>
        <v>9283.85333333333</v>
      </c>
      <c r="AN151" s="15" t="n">
        <f aca="false">SUM(X137:X148)</f>
        <v>16530.1714788732</v>
      </c>
      <c r="AO151" s="15" t="n">
        <f aca="false">SUM(AP137:AP148)</f>
        <v>13562.312368421</v>
      </c>
      <c r="AP151" s="15" t="n">
        <f aca="false">MAX(0,AN151)*IF(3=Parametri_v3!$C$43,Parametri_v3!$C$45,IF(3=Parametri_v3!$C$44,1-Parametri_v3!$C$45,0))</f>
        <v>0</v>
      </c>
      <c r="AQ151" s="15" t="n">
        <f aca="false">MAX(0,AP151+IF(3=Parametri_v3!$C$43,MAX(0,AN151-AO151),0)-MAX(0,-(AR150)))</f>
        <v>0</v>
      </c>
      <c r="AR151" s="15" t="n">
        <f aca="false">(AR150)+X151-AQ151</f>
        <v>14681.4512979522</v>
      </c>
      <c r="AS151" s="15" t="n">
        <f aca="false">Motore_Operativo!AC151-AT151+AU151</f>
        <v>24146.5260416667</v>
      </c>
      <c r="AT151" s="15" t="n">
        <f aca="false">Motore_Operativo!CI151</f>
        <v>1270.86979166667</v>
      </c>
      <c r="AU151" s="15" t="n">
        <f aca="false">MIN(MAX(0,(AV150)+AT151),Parametri_v3!$C$61/12)</f>
        <v>0</v>
      </c>
      <c r="AV151" s="15" t="n">
        <f aca="false">(AV150)+AT151-AU151</f>
        <v>16541.609375</v>
      </c>
      <c r="AW151" s="15" t="n">
        <f aca="false">IF(AND(Motore_Operativo!C151=Finanziamenti!$D$7,Finanziamenti!$F$7=1),Finanziamenti!$C$7,0)</f>
        <v>0</v>
      </c>
      <c r="AX151" s="15" t="n">
        <f aca="false">0</f>
        <v>0</v>
      </c>
      <c r="AY151" s="15" t="n">
        <f aca="false">IF(3=Parametri_v3!$C$33,IF(BV151&lt;MIN(12,$B151-1),0,MIN(MAX(0,SUM(Y137:Y148))*Ipotesi!$C$94,MAX(0,(BM148)-(BO150)-BP151),MAX(0,BD151-Parametri_v3!$C$31))),0)</f>
        <v>0</v>
      </c>
      <c r="AZ151" s="15" t="n">
        <f aca="false">0</f>
        <v>0</v>
      </c>
      <c r="BA151" s="15" t="n">
        <f aca="false">0</f>
        <v>0</v>
      </c>
      <c r="BB151" s="15" t="n">
        <f aca="false">0</f>
        <v>0</v>
      </c>
      <c r="BC151" s="15" t="n">
        <f aca="false">0</f>
        <v>0</v>
      </c>
      <c r="BD151" s="15" t="n">
        <f aca="false">(BH150)+AC151-AF151-AI151-AS151-K151*(1+Parametri_v3!$C$26)-AL151-AQ151-O151+AW151+AX151+AZ151+BA151-BB151</f>
        <v>-16783.0800399987</v>
      </c>
      <c r="BE151" s="15" t="n">
        <f aca="false">0</f>
        <v>0</v>
      </c>
      <c r="BF151" s="15" t="n">
        <f aca="false">0</f>
        <v>0</v>
      </c>
      <c r="BG151" s="15" t="n">
        <f aca="false">0</f>
        <v>0</v>
      </c>
      <c r="BH151" s="15" t="n">
        <f aca="false">BD151+BE151-BF151-AY151</f>
        <v>-16783.0800399987</v>
      </c>
      <c r="BI151" s="15" t="n">
        <f aca="false">MAX(0,Parametri_v3!$C$31-BH151)</f>
        <v>26783.0800399987</v>
      </c>
      <c r="BJ151" s="15" t="n">
        <f aca="false">(BJ150)+K151</f>
        <v>9250</v>
      </c>
      <c r="BK151" s="15" t="n">
        <f aca="false">(BK150)+L151</f>
        <v>3180.55555555556</v>
      </c>
      <c r="BL151" s="15" t="n">
        <f aca="false">BJ151-BK151</f>
        <v>6069.44444444445</v>
      </c>
      <c r="BM151" s="15" t="n">
        <f aca="false">(BM150)+Y151</f>
        <v>108036.49039816</v>
      </c>
      <c r="BN151" s="15" t="n">
        <f aca="false">(BN150)+AW151+AX151+AZ151</f>
        <v>20000</v>
      </c>
      <c r="BO151" s="15" t="n">
        <f aca="false">(BO150)+AY151</f>
        <v>0</v>
      </c>
      <c r="BP151" s="15" t="n">
        <f aca="false">MIN(Parametri_v3!$C$36*Parametri_v3!$C$35,(BP150)+IF(3=1,MAX(0,SUM(Y137:Y148))*Parametri_v3!$C$34,0))</f>
        <v>2000</v>
      </c>
      <c r="BQ151" s="15" t="n">
        <f aca="false">BN151+BM151-BO151</f>
        <v>128036.49039816</v>
      </c>
      <c r="BR151" s="15" t="n">
        <f aca="false">BH151+AD151+BL151+MAX(0,-AM151)+MAX(0,-AR151)</f>
        <v>210716.364404446</v>
      </c>
      <c r="BS151" s="15" t="n">
        <f aca="false">AJ151+AV151+MAX(0,AM151)+MAX(0,AR151)+BC151+BG151+BQ151+AG151</f>
        <v>210716.364404446</v>
      </c>
      <c r="BT151" s="15" t="n">
        <f aca="false">BR151-BS151</f>
        <v>0</v>
      </c>
      <c r="BU151" s="15" t="n">
        <f aca="false">BH151-(BD151+BE151-BF151-AY151)</f>
        <v>0</v>
      </c>
      <c r="BV151" s="15" t="n">
        <f aca="false">IF(BH150&lt;Parametri_v3!$C$31,0,BV150+1)</f>
        <v>0</v>
      </c>
    </row>
    <row r="152" customFormat="false" ht="18" hidden="false" customHeight="true" outlineLevel="0" collapsed="false">
      <c r="A152" s="68" t="n">
        <f aca="false">3</f>
        <v>3</v>
      </c>
      <c r="B152" s="68" t="n">
        <f aca="false">28</f>
        <v>28</v>
      </c>
      <c r="C152" s="18" t="n">
        <f aca="false">Motore_Operativo!C152</f>
        <v>47209</v>
      </c>
      <c r="D152" s="68" t="n">
        <f aca="false">Motore_Operativo!D152</f>
        <v>2029</v>
      </c>
      <c r="E152" s="68" t="n">
        <f aca="false">Motore_Operativo!E152</f>
        <v>4</v>
      </c>
      <c r="F152" s="15" t="n">
        <f aca="false">Motore_Operativo!AM152</f>
        <v>60500</v>
      </c>
      <c r="G152" s="15" t="n">
        <f aca="false">Motore_Operativo!BH152</f>
        <v>6050</v>
      </c>
      <c r="H152" s="15" t="n">
        <f aca="false">Motore_Operativo!AM152</f>
        <v>60500</v>
      </c>
      <c r="I152" s="15" t="n">
        <f aca="false">Motore_Operativo!CB152</f>
        <v>46259.8958333333</v>
      </c>
      <c r="J152" s="15" t="n">
        <f aca="false">Motore_Operativo!CD152</f>
        <v>14240.1041666667</v>
      </c>
      <c r="K152" s="15" t="n">
        <f aca="false">Motore_Operativo!CF152</f>
        <v>416.666666666667</v>
      </c>
      <c r="L152" s="15" t="n">
        <f aca="false">SUM(INDEX($K$125:$K$184,MAX(1,28-Parametri_v3!$C$59+1)):K152)/Parametri_v3!$C$59</f>
        <v>268.518518518519</v>
      </c>
      <c r="M152" s="15" t="n">
        <f aca="false">J152-L152</f>
        <v>13971.5856481482</v>
      </c>
      <c r="N152" s="15" t="n">
        <f aca="false">0</f>
        <v>0</v>
      </c>
      <c r="O152" s="15" t="n">
        <f aca="false">0</f>
        <v>0</v>
      </c>
      <c r="P152" s="15" t="n">
        <f aca="false">M152+N152-O152</f>
        <v>13971.5856481482</v>
      </c>
      <c r="Q152" s="15" t="n">
        <f aca="false">SUM(P149:P152)+Parametri_v3!$C$56*4/12</f>
        <v>55955.7870370371</v>
      </c>
      <c r="R152" s="15" t="n">
        <f aca="false">Z148</f>
        <v>0</v>
      </c>
      <c r="S152" s="15" t="n">
        <f aca="false">AA148</f>
        <v>0</v>
      </c>
      <c r="T152" s="15" t="n">
        <f aca="false">MIN(R152,MAX(0,Q152))</f>
        <v>0</v>
      </c>
      <c r="U152" s="15" t="n">
        <f aca="false">MIN(S152,MAX(0,Q152-T152)*Parametri_v3!$C$42)</f>
        <v>0</v>
      </c>
      <c r="V152" s="15" t="n">
        <f aca="false">MAX(0,Q152-T152-U152)*Ipotesi!$C$92</f>
        <v>13429.3888888889</v>
      </c>
      <c r="W152" s="15" t="n">
        <f aca="false">MAX(0,SUM(M149:M152)+Parametri_v3!$C$57*4/12)*Ipotesi!$C$93</f>
        <v>2182.27569444445</v>
      </c>
      <c r="X152" s="15" t="n">
        <f aca="false">V152+W152-(V151+W151)</f>
        <v>3898.07239583333</v>
      </c>
      <c r="Y152" s="15" t="n">
        <f aca="false">P152-X152</f>
        <v>10073.5132523148</v>
      </c>
      <c r="Z152" s="15" t="n">
        <f aca="false">R152-T152+IF(AND(Parametri_v3!$C$40=1,D152-YEAR(Parametri_v3!$C$50)&lt;Parametri_v3!$C$41),MAX(0,-Q152),0)</f>
        <v>0</v>
      </c>
      <c r="AA152" s="15" t="n">
        <f aca="false">S152-U152+IF(AND(Parametri_v3!$C$40=1,D152-YEAR(Parametri_v3!$C$50)&lt;Parametri_v3!$C$41),0,MAX(0,-Q152))</f>
        <v>0</v>
      </c>
      <c r="AB152" s="15" t="n">
        <f aca="false">F152*(1+Parametri_v3!$C$26)</f>
        <v>73810</v>
      </c>
      <c r="AC152" s="15" t="n">
        <f aca="false">(IF(28-(INT((Motore_Operativo!L152)/30))&lt;1,0,INDEX(Motore_Advisory!$AB$125:$AB$184,MAX(1,28-(INT((Motore_Operativo!L152)/30)))))*(1-(MOD((Motore_Operativo!L152),30)/30))+IF(28-(INT((Motore_Operativo!L152)/30))-1&lt;1,0,INDEX(Motore_Advisory!$AB$125:$AB$184,MAX(1,28-(INT((Motore_Operativo!L152)/30))-1)))*(MOD((Motore_Operativo!L152),30)/30))</f>
        <v>73810</v>
      </c>
      <c r="AD152" s="15" t="n">
        <f aca="false">(AD151)+AB152-AC152</f>
        <v>221430</v>
      </c>
      <c r="AE152" s="15" t="n">
        <f aca="false">Motore_Operativo!BH152*(1+Parametri_v3!$C$26)</f>
        <v>7381</v>
      </c>
      <c r="AF152" s="15" t="n">
        <f aca="false">(IF(28-(INT((Parametri_v3!$C$29)/30))&lt;1,0,INDEX(Motore_Operativo!$BH$125:$BH$184,MAX(1,28-(INT((Parametri_v3!$C$29)/30)))))*(1-(MOD((Parametri_v3!$C$29),30)/30))+IF(28-(INT((Parametri_v3!$C$29)/30))-1&lt;1,0,INDEX(Motore_Operativo!$BH$125:$BH$184,MAX(1,28-(INT((Parametri_v3!$C$29)/30))-1)))*(MOD((Parametri_v3!$C$29),30)/30))*(1+Parametri_v3!$C$26)</f>
        <v>7381</v>
      </c>
      <c r="AG152" s="15" t="n">
        <f aca="false">(AG151)+AE152-AF152</f>
        <v>7381</v>
      </c>
      <c r="AH152" s="15" t="n">
        <f aca="false">(Motore_Operativo!CK152)*(1+Parametri_v3!$C$28*Parametri_v3!$C$26)</f>
        <v>17395.98</v>
      </c>
      <c r="AI152" s="15" t="n">
        <f aca="false">(IF(28-(INT((Ipotesi!$C$91)/30))&lt;1,0,INDEX(Motore_Advisory!$AH$125:$AH$184,MAX(1,28-(INT((Ipotesi!$C$91)/30)))))*(1-(MOD((Ipotesi!$C$91),30)/30))+IF(28-(INT((Ipotesi!$C$91)/30))-1&lt;1,0,INDEX(Motore_Advisory!$AH$125:$AH$184,MAX(1,28-(INT((Ipotesi!$C$91)/30))-1)))*(MOD((Ipotesi!$C$91),30)/30))</f>
        <v>17395.98</v>
      </c>
      <c r="AJ152" s="15" t="n">
        <f aca="false">(AJ151)+AH152-AI152</f>
        <v>34791.96</v>
      </c>
      <c r="AK152" s="15" t="n">
        <f aca="false">(F152- Motore_Operativo!BH152-(Motore_Operativo!CK152)*Parametri_v3!$C$28-Motore_Operativo!CF152)*Parametri_v3!$C$26</f>
        <v>9283.85333333333</v>
      </c>
      <c r="AL152" s="15" t="n">
        <f aca="false">MAX(0,(AM151))</f>
        <v>9283.85333333333</v>
      </c>
      <c r="AM152" s="15" t="n">
        <f aca="false">(AM151)+AK152-AL152</f>
        <v>9283.85333333333</v>
      </c>
      <c r="AN152" s="15" t="n">
        <f aca="false">SUM(X137:X148)</f>
        <v>16530.1714788732</v>
      </c>
      <c r="AO152" s="15" t="n">
        <f aca="false">SUM(AP137:AP148)</f>
        <v>13562.312368421</v>
      </c>
      <c r="AP152" s="15" t="n">
        <f aca="false">MAX(0,AN152)*IF(4=Parametri_v3!$C$43,Parametri_v3!$C$45,IF(4=Parametri_v3!$C$44,1-Parametri_v3!$C$45,0))</f>
        <v>0</v>
      </c>
      <c r="AQ152" s="15" t="n">
        <f aca="false">MAX(0,AP152+IF(4=Parametri_v3!$C$43,MAX(0,AN152-AO152),0)-MAX(0,-(AR151)))</f>
        <v>0</v>
      </c>
      <c r="AR152" s="15" t="n">
        <f aca="false">(AR151)+X152-AQ152</f>
        <v>18579.5236937855</v>
      </c>
      <c r="AS152" s="15" t="n">
        <f aca="false">Motore_Operativo!AC152-AT152+AU152</f>
        <v>24146.5260416667</v>
      </c>
      <c r="AT152" s="15" t="n">
        <f aca="false">Motore_Operativo!CI152</f>
        <v>1270.86979166667</v>
      </c>
      <c r="AU152" s="15" t="n">
        <f aca="false">MIN(MAX(0,(AV151)+AT152),Parametri_v3!$C$61/12)</f>
        <v>0</v>
      </c>
      <c r="AV152" s="15" t="n">
        <f aca="false">(AV151)+AT152-AU152</f>
        <v>17812.4791666667</v>
      </c>
      <c r="AW152" s="15" t="n">
        <f aca="false">IF(AND(Motore_Operativo!C152=Finanziamenti!$D$7,Finanziamenti!$F$7=1),Finanziamenti!$C$7,0)</f>
        <v>0</v>
      </c>
      <c r="AX152" s="15" t="n">
        <f aca="false">0</f>
        <v>0</v>
      </c>
      <c r="AY152" s="15" t="n">
        <f aca="false">IF(4=Parametri_v3!$C$33,IF(BV152&lt;MIN(12,$B152-1),0,MIN(MAX(0,SUM(Y137:Y148))*Ipotesi!$C$94,MAX(0,(BM148)-(BO151)-BP152),MAX(0,BD152-Parametri_v3!$C$31))),0)</f>
        <v>0</v>
      </c>
      <c r="AZ152" s="15" t="n">
        <f aca="false">0</f>
        <v>0</v>
      </c>
      <c r="BA152" s="15" t="n">
        <f aca="false">0</f>
        <v>0</v>
      </c>
      <c r="BB152" s="15" t="n">
        <f aca="false">0</f>
        <v>0</v>
      </c>
      <c r="BC152" s="15" t="n">
        <f aca="false">0</f>
        <v>0</v>
      </c>
      <c r="BD152" s="15" t="n">
        <f aca="false">(BH151)+AC152-AF152-AI152-AS152-K152*(1+Parametri_v3!$C$26)-AL152-AQ152-O152+AW152+AX152+AZ152+BA152-BB152</f>
        <v>-1688.77274833203</v>
      </c>
      <c r="BE152" s="15" t="n">
        <f aca="false">0</f>
        <v>0</v>
      </c>
      <c r="BF152" s="15" t="n">
        <f aca="false">0</f>
        <v>0</v>
      </c>
      <c r="BG152" s="15" t="n">
        <f aca="false">0</f>
        <v>0</v>
      </c>
      <c r="BH152" s="15" t="n">
        <f aca="false">BD152+BE152-BF152-AY152</f>
        <v>-1688.77274833203</v>
      </c>
      <c r="BI152" s="15" t="n">
        <f aca="false">MAX(0,Parametri_v3!$C$31-BH152)</f>
        <v>11688.772748332</v>
      </c>
      <c r="BJ152" s="15" t="n">
        <f aca="false">(BJ151)+K152</f>
        <v>9666.66666666667</v>
      </c>
      <c r="BK152" s="15" t="n">
        <f aca="false">(BK151)+L152</f>
        <v>3449.07407407407</v>
      </c>
      <c r="BL152" s="15" t="n">
        <f aca="false">BJ152-BK152</f>
        <v>6217.59259259259</v>
      </c>
      <c r="BM152" s="15" t="n">
        <f aca="false">(BM151)+Y152</f>
        <v>118110.003650475</v>
      </c>
      <c r="BN152" s="15" t="n">
        <f aca="false">(BN151)+AW152+AX152+AZ152</f>
        <v>20000</v>
      </c>
      <c r="BO152" s="15" t="n">
        <f aca="false">(BO151)+AY152</f>
        <v>0</v>
      </c>
      <c r="BP152" s="15" t="n">
        <f aca="false">MIN(Parametri_v3!$C$36*Parametri_v3!$C$35,(BP151)+IF(4=1,MAX(0,SUM(Y137:Y148))*Parametri_v3!$C$34,0))</f>
        <v>2000</v>
      </c>
      <c r="BQ152" s="15" t="n">
        <f aca="false">BN152+BM152-BO152</f>
        <v>138110.003650475</v>
      </c>
      <c r="BR152" s="15" t="n">
        <f aca="false">BH152+AD152+BL152+MAX(0,-AM152)+MAX(0,-AR152)</f>
        <v>225958.819844261</v>
      </c>
      <c r="BS152" s="15" t="n">
        <f aca="false">AJ152+AV152+MAX(0,AM152)+MAX(0,AR152)+BC152+BG152+BQ152+AG152</f>
        <v>225958.819844261</v>
      </c>
      <c r="BT152" s="15" t="n">
        <f aca="false">BR152-BS152</f>
        <v>0</v>
      </c>
      <c r="BU152" s="15" t="n">
        <f aca="false">BH152-(BD152+BE152-BF152-AY152)</f>
        <v>0</v>
      </c>
      <c r="BV152" s="15" t="n">
        <f aca="false">IF(BH151&lt;Parametri_v3!$C$31,0,BV151+1)</f>
        <v>0</v>
      </c>
    </row>
    <row r="153" customFormat="false" ht="18" hidden="false" customHeight="true" outlineLevel="0" collapsed="false">
      <c r="A153" s="68" t="n">
        <f aca="false">3</f>
        <v>3</v>
      </c>
      <c r="B153" s="68" t="n">
        <f aca="false">29</f>
        <v>29</v>
      </c>
      <c r="C153" s="18" t="n">
        <f aca="false">Motore_Operativo!C153</f>
        <v>47239</v>
      </c>
      <c r="D153" s="68" t="n">
        <f aca="false">Motore_Operativo!D153</f>
        <v>2029</v>
      </c>
      <c r="E153" s="68" t="n">
        <f aca="false">Motore_Operativo!E153</f>
        <v>5</v>
      </c>
      <c r="F153" s="15" t="n">
        <f aca="false">Motore_Operativo!AM153</f>
        <v>60500</v>
      </c>
      <c r="G153" s="15" t="n">
        <f aca="false">Motore_Operativo!BH153</f>
        <v>6050</v>
      </c>
      <c r="H153" s="15" t="n">
        <f aca="false">Motore_Operativo!AM153</f>
        <v>60500</v>
      </c>
      <c r="I153" s="15" t="n">
        <f aca="false">Motore_Operativo!CB153</f>
        <v>46259.8958333333</v>
      </c>
      <c r="J153" s="15" t="n">
        <f aca="false">Motore_Operativo!CD153</f>
        <v>14240.1041666667</v>
      </c>
      <c r="K153" s="15" t="n">
        <f aca="false">Motore_Operativo!CF153</f>
        <v>416.666666666667</v>
      </c>
      <c r="L153" s="15" t="n">
        <f aca="false">SUM(INDEX($K$125:$K$184,MAX(1,29-Parametri_v3!$C$59+1)):K153)/Parametri_v3!$C$59</f>
        <v>280.092592592593</v>
      </c>
      <c r="M153" s="15" t="n">
        <f aca="false">J153-L153</f>
        <v>13960.0115740741</v>
      </c>
      <c r="N153" s="15" t="n">
        <f aca="false">0</f>
        <v>0</v>
      </c>
      <c r="O153" s="15" t="n">
        <f aca="false">0</f>
        <v>0</v>
      </c>
      <c r="P153" s="15" t="n">
        <f aca="false">M153+N153-O153</f>
        <v>13960.0115740741</v>
      </c>
      <c r="Q153" s="15" t="n">
        <f aca="false">SUM(P149:P153)+Parametri_v3!$C$56*5/12</f>
        <v>69915.7986111111</v>
      </c>
      <c r="R153" s="15" t="n">
        <f aca="false">Z148</f>
        <v>0</v>
      </c>
      <c r="S153" s="15" t="n">
        <f aca="false">AA148</f>
        <v>0</v>
      </c>
      <c r="T153" s="15" t="n">
        <f aca="false">MIN(R153,MAX(0,Q153))</f>
        <v>0</v>
      </c>
      <c r="U153" s="15" t="n">
        <f aca="false">MIN(S153,MAX(0,Q153-T153)*Parametri_v3!$C$42)</f>
        <v>0</v>
      </c>
      <c r="V153" s="15" t="n">
        <f aca="false">MAX(0,Q153-T153-U153)*Ipotesi!$C$92</f>
        <v>16779.7916666667</v>
      </c>
      <c r="W153" s="15" t="n">
        <f aca="false">MAX(0,SUM(M149:M153)+Parametri_v3!$C$57*5/12)*Ipotesi!$C$93</f>
        <v>2726.71614583333</v>
      </c>
      <c r="X153" s="15" t="n">
        <f aca="false">V153+W153-(V152+W152)</f>
        <v>3894.84322916667</v>
      </c>
      <c r="Y153" s="15" t="n">
        <f aca="false">P153-X153</f>
        <v>10065.1683449074</v>
      </c>
      <c r="Z153" s="15" t="n">
        <f aca="false">R153-T153+IF(AND(Parametri_v3!$C$40=1,D153-YEAR(Parametri_v3!$C$50)&lt;Parametri_v3!$C$41),MAX(0,-Q153),0)</f>
        <v>0</v>
      </c>
      <c r="AA153" s="15" t="n">
        <f aca="false">S153-U153+IF(AND(Parametri_v3!$C$40=1,D153-YEAR(Parametri_v3!$C$50)&lt;Parametri_v3!$C$41),0,MAX(0,-Q153))</f>
        <v>0</v>
      </c>
      <c r="AB153" s="15" t="n">
        <f aca="false">F153*(1+Parametri_v3!$C$26)</f>
        <v>73810</v>
      </c>
      <c r="AC153" s="15" t="n">
        <f aca="false">(IF(29-(INT((Motore_Operativo!L153)/30))&lt;1,0,INDEX(Motore_Advisory!$AB$125:$AB$184,MAX(1,29-(INT((Motore_Operativo!L153)/30)))))*(1-(MOD((Motore_Operativo!L153),30)/30))+IF(29-(INT((Motore_Operativo!L153)/30))-1&lt;1,0,INDEX(Motore_Advisory!$AB$125:$AB$184,MAX(1,29-(INT((Motore_Operativo!L153)/30))-1)))*(MOD((Motore_Operativo!L153),30)/30))</f>
        <v>73810</v>
      </c>
      <c r="AD153" s="15" t="n">
        <f aca="false">(AD152)+AB153-AC153</f>
        <v>221430</v>
      </c>
      <c r="AE153" s="15" t="n">
        <f aca="false">Motore_Operativo!BH153*(1+Parametri_v3!$C$26)</f>
        <v>7381</v>
      </c>
      <c r="AF153" s="15" t="n">
        <f aca="false">(IF(29-(INT((Parametri_v3!$C$29)/30))&lt;1,0,INDEX(Motore_Operativo!$BH$125:$BH$184,MAX(1,29-(INT((Parametri_v3!$C$29)/30)))))*(1-(MOD((Parametri_v3!$C$29),30)/30))+IF(29-(INT((Parametri_v3!$C$29)/30))-1&lt;1,0,INDEX(Motore_Operativo!$BH$125:$BH$184,MAX(1,29-(INT((Parametri_v3!$C$29)/30))-1)))*(MOD((Parametri_v3!$C$29),30)/30))*(1+Parametri_v3!$C$26)</f>
        <v>7381</v>
      </c>
      <c r="AG153" s="15" t="n">
        <f aca="false">(AG152)+AE153-AF153</f>
        <v>7381</v>
      </c>
      <c r="AH153" s="15" t="n">
        <f aca="false">(Motore_Operativo!CK153)*(1+Parametri_v3!$C$28*Parametri_v3!$C$26)</f>
        <v>17395.98</v>
      </c>
      <c r="AI153" s="15" t="n">
        <f aca="false">(IF(29-(INT((Ipotesi!$C$91)/30))&lt;1,0,INDEX(Motore_Advisory!$AH$125:$AH$184,MAX(1,29-(INT((Ipotesi!$C$91)/30)))))*(1-(MOD((Ipotesi!$C$91),30)/30))+IF(29-(INT((Ipotesi!$C$91)/30))-1&lt;1,0,INDEX(Motore_Advisory!$AH$125:$AH$184,MAX(1,29-(INT((Ipotesi!$C$91)/30))-1)))*(MOD((Ipotesi!$C$91),30)/30))</f>
        <v>17395.98</v>
      </c>
      <c r="AJ153" s="15" t="n">
        <f aca="false">(AJ152)+AH153-AI153</f>
        <v>34791.96</v>
      </c>
      <c r="AK153" s="15" t="n">
        <f aca="false">(F153- Motore_Operativo!BH153-(Motore_Operativo!CK153)*Parametri_v3!$C$28-Motore_Operativo!CF153)*Parametri_v3!$C$26</f>
        <v>9283.85333333333</v>
      </c>
      <c r="AL153" s="15" t="n">
        <f aca="false">MAX(0,(AM152))</f>
        <v>9283.85333333333</v>
      </c>
      <c r="AM153" s="15" t="n">
        <f aca="false">(AM152)+AK153-AL153</f>
        <v>9283.85333333333</v>
      </c>
      <c r="AN153" s="15" t="n">
        <f aca="false">SUM(X137:X148)</f>
        <v>16530.1714788732</v>
      </c>
      <c r="AO153" s="15" t="n">
        <f aca="false">SUM(AP137:AP148)</f>
        <v>13562.312368421</v>
      </c>
      <c r="AP153" s="15" t="n">
        <f aca="false">MAX(0,AN153)*IF(5=Parametri_v3!$C$43,Parametri_v3!$C$45,IF(5=Parametri_v3!$C$44,1-Parametri_v3!$C$45,0))</f>
        <v>0</v>
      </c>
      <c r="AQ153" s="15" t="n">
        <f aca="false">MAX(0,AP153+IF(5=Parametri_v3!$C$43,MAX(0,AN153-AO153),0)-MAX(0,-(AR152)))</f>
        <v>0</v>
      </c>
      <c r="AR153" s="15" t="n">
        <f aca="false">(AR152)+X153-AQ153</f>
        <v>22474.3669229522</v>
      </c>
      <c r="AS153" s="15" t="n">
        <f aca="false">Motore_Operativo!AC153-AT153+AU153</f>
        <v>24146.5260416667</v>
      </c>
      <c r="AT153" s="15" t="n">
        <f aca="false">Motore_Operativo!CI153</f>
        <v>1270.86979166667</v>
      </c>
      <c r="AU153" s="15" t="n">
        <f aca="false">MIN(MAX(0,(AV152)+AT153),Parametri_v3!$C$61/12)</f>
        <v>0</v>
      </c>
      <c r="AV153" s="15" t="n">
        <f aca="false">(AV152)+AT153-AU153</f>
        <v>19083.3489583333</v>
      </c>
      <c r="AW153" s="15" t="n">
        <f aca="false">IF(AND(Motore_Operativo!C153=Finanziamenti!$D$7,Finanziamenti!$F$7=1),Finanziamenti!$C$7,0)</f>
        <v>0</v>
      </c>
      <c r="AX153" s="15" t="n">
        <f aca="false">0</f>
        <v>0</v>
      </c>
      <c r="AY153" s="15" t="n">
        <f aca="false">IF(5=Parametri_v3!$C$33,IF(BV153&lt;MIN(12,$B153-1),0,MIN(MAX(0,SUM(Y137:Y148))*Ipotesi!$C$94,MAX(0,(BM148)-(BO152)-BP153),MAX(0,BD153-Parametri_v3!$C$31))),0)</f>
        <v>0</v>
      </c>
      <c r="AZ153" s="15" t="n">
        <f aca="false">0</f>
        <v>0</v>
      </c>
      <c r="BA153" s="15" t="n">
        <f aca="false">0</f>
        <v>0</v>
      </c>
      <c r="BB153" s="15" t="n">
        <f aca="false">0</f>
        <v>0</v>
      </c>
      <c r="BC153" s="15" t="n">
        <f aca="false">0</f>
        <v>0</v>
      </c>
      <c r="BD153" s="15" t="n">
        <f aca="false">(BH152)+AC153-AF153-AI153-AS153-K153*(1+Parametri_v3!$C$26)-AL153-AQ153-O153+AW153+AX153+AZ153+BA153-BB153</f>
        <v>13405.5345433346</v>
      </c>
      <c r="BE153" s="15" t="n">
        <f aca="false">0</f>
        <v>0</v>
      </c>
      <c r="BF153" s="15" t="n">
        <f aca="false">0</f>
        <v>0</v>
      </c>
      <c r="BG153" s="15" t="n">
        <f aca="false">0</f>
        <v>0</v>
      </c>
      <c r="BH153" s="15" t="n">
        <f aca="false">BD153+BE153-BF153-AY153</f>
        <v>13405.5345433346</v>
      </c>
      <c r="BI153" s="15" t="n">
        <f aca="false">MAX(0,Parametri_v3!$C$31-BH153)</f>
        <v>0</v>
      </c>
      <c r="BJ153" s="15" t="n">
        <f aca="false">(BJ152)+K153</f>
        <v>10083.3333333333</v>
      </c>
      <c r="BK153" s="15" t="n">
        <f aca="false">(BK152)+L153</f>
        <v>3729.16666666667</v>
      </c>
      <c r="BL153" s="15" t="n">
        <f aca="false">BJ153-BK153</f>
        <v>6354.16666666667</v>
      </c>
      <c r="BM153" s="15" t="n">
        <f aca="false">(BM152)+Y153</f>
        <v>128175.171995382</v>
      </c>
      <c r="BN153" s="15" t="n">
        <f aca="false">(BN152)+AW153+AX153+AZ153</f>
        <v>20000</v>
      </c>
      <c r="BO153" s="15" t="n">
        <f aca="false">(BO152)+AY153</f>
        <v>0</v>
      </c>
      <c r="BP153" s="15" t="n">
        <f aca="false">MIN(Parametri_v3!$C$36*Parametri_v3!$C$35,(BP152)+IF(5=1,MAX(0,SUM(Y137:Y148))*Parametri_v3!$C$34,0))</f>
        <v>2000</v>
      </c>
      <c r="BQ153" s="15" t="n">
        <f aca="false">BN153+BM153-BO153</f>
        <v>148175.171995382</v>
      </c>
      <c r="BR153" s="15" t="n">
        <f aca="false">BH153+AD153+BL153+MAX(0,-AM153)+MAX(0,-AR153)</f>
        <v>241189.701210001</v>
      </c>
      <c r="BS153" s="15" t="n">
        <f aca="false">AJ153+AV153+MAX(0,AM153)+MAX(0,AR153)+BC153+BG153+BQ153+AG153</f>
        <v>241189.701210001</v>
      </c>
      <c r="BT153" s="15" t="n">
        <f aca="false">BR153-BS153</f>
        <v>0</v>
      </c>
      <c r="BU153" s="15" t="n">
        <f aca="false">BH153-(BD153+BE153-BF153-AY153)</f>
        <v>0</v>
      </c>
      <c r="BV153" s="15" t="n">
        <f aca="false">IF(BH152&lt;Parametri_v3!$C$31,0,BV152+1)</f>
        <v>0</v>
      </c>
    </row>
    <row r="154" customFormat="false" ht="18" hidden="false" customHeight="true" outlineLevel="0" collapsed="false">
      <c r="A154" s="68" t="n">
        <f aca="false">3</f>
        <v>3</v>
      </c>
      <c r="B154" s="68" t="n">
        <f aca="false">30</f>
        <v>30</v>
      </c>
      <c r="C154" s="18" t="n">
        <f aca="false">Motore_Operativo!C154</f>
        <v>47270</v>
      </c>
      <c r="D154" s="68" t="n">
        <f aca="false">Motore_Operativo!D154</f>
        <v>2029</v>
      </c>
      <c r="E154" s="68" t="n">
        <f aca="false">Motore_Operativo!E154</f>
        <v>6</v>
      </c>
      <c r="F154" s="15" t="n">
        <f aca="false">Motore_Operativo!AM154</f>
        <v>60500</v>
      </c>
      <c r="G154" s="15" t="n">
        <f aca="false">Motore_Operativo!BH154</f>
        <v>6050</v>
      </c>
      <c r="H154" s="15" t="n">
        <f aca="false">Motore_Operativo!AM154</f>
        <v>60500</v>
      </c>
      <c r="I154" s="15" t="n">
        <f aca="false">Motore_Operativo!CB154</f>
        <v>46259.8958333333</v>
      </c>
      <c r="J154" s="15" t="n">
        <f aca="false">Motore_Operativo!CD154</f>
        <v>14240.1041666667</v>
      </c>
      <c r="K154" s="15" t="n">
        <f aca="false">Motore_Operativo!CF154</f>
        <v>416.666666666667</v>
      </c>
      <c r="L154" s="15" t="n">
        <f aca="false">SUM(INDEX($K$125:$K$184,MAX(1,30-Parametri_v3!$C$59+1)):K154)/Parametri_v3!$C$59</f>
        <v>291.666666666667</v>
      </c>
      <c r="M154" s="15" t="n">
        <f aca="false">J154-L154</f>
        <v>13948.4375</v>
      </c>
      <c r="N154" s="15" t="n">
        <f aca="false">0</f>
        <v>0</v>
      </c>
      <c r="O154" s="15" t="n">
        <f aca="false">0</f>
        <v>0</v>
      </c>
      <c r="P154" s="15" t="n">
        <f aca="false">M154+N154-O154</f>
        <v>13948.4375</v>
      </c>
      <c r="Q154" s="15" t="n">
        <f aca="false">SUM(P149:P154)+Parametri_v3!$C$56*6/12</f>
        <v>83864.2361111111</v>
      </c>
      <c r="R154" s="15" t="n">
        <f aca="false">Z148</f>
        <v>0</v>
      </c>
      <c r="S154" s="15" t="n">
        <f aca="false">AA148</f>
        <v>0</v>
      </c>
      <c r="T154" s="15" t="n">
        <f aca="false">MIN(R154,MAX(0,Q154))</f>
        <v>0</v>
      </c>
      <c r="U154" s="15" t="n">
        <f aca="false">MIN(S154,MAX(0,Q154-T154)*Parametri_v3!$C$42)</f>
        <v>0</v>
      </c>
      <c r="V154" s="15" t="n">
        <f aca="false">MAX(0,Q154-T154-U154)*Ipotesi!$C$92</f>
        <v>20127.4166666667</v>
      </c>
      <c r="W154" s="15" t="n">
        <f aca="false">MAX(0,SUM(M149:M154)+Parametri_v3!$C$57*6/12)*Ipotesi!$C$93</f>
        <v>3270.70520833333</v>
      </c>
      <c r="X154" s="15" t="n">
        <f aca="false">V154+W154-(V153+W153)</f>
        <v>3891.6140625</v>
      </c>
      <c r="Y154" s="15" t="n">
        <f aca="false">P154-X154</f>
        <v>10056.8234375</v>
      </c>
      <c r="Z154" s="15" t="n">
        <f aca="false">R154-T154+IF(AND(Parametri_v3!$C$40=1,D154-YEAR(Parametri_v3!$C$50)&lt;Parametri_v3!$C$41),MAX(0,-Q154),0)</f>
        <v>0</v>
      </c>
      <c r="AA154" s="15" t="n">
        <f aca="false">S154-U154+IF(AND(Parametri_v3!$C$40=1,D154-YEAR(Parametri_v3!$C$50)&lt;Parametri_v3!$C$41),0,MAX(0,-Q154))</f>
        <v>0</v>
      </c>
      <c r="AB154" s="15" t="n">
        <f aca="false">F154*(1+Parametri_v3!$C$26)</f>
        <v>73810</v>
      </c>
      <c r="AC154" s="15" t="n">
        <f aca="false">(IF(30-(INT((Motore_Operativo!L154)/30))&lt;1,0,INDEX(Motore_Advisory!$AB$125:$AB$184,MAX(1,30-(INT((Motore_Operativo!L154)/30)))))*(1-(MOD((Motore_Operativo!L154),30)/30))+IF(30-(INT((Motore_Operativo!L154)/30))-1&lt;1,0,INDEX(Motore_Advisory!$AB$125:$AB$184,MAX(1,30-(INT((Motore_Operativo!L154)/30))-1)))*(MOD((Motore_Operativo!L154),30)/30))</f>
        <v>73810</v>
      </c>
      <c r="AD154" s="15" t="n">
        <f aca="false">(AD153)+AB154-AC154</f>
        <v>221430</v>
      </c>
      <c r="AE154" s="15" t="n">
        <f aca="false">Motore_Operativo!BH154*(1+Parametri_v3!$C$26)</f>
        <v>7381</v>
      </c>
      <c r="AF154" s="15" t="n">
        <f aca="false">(IF(30-(INT((Parametri_v3!$C$29)/30))&lt;1,0,INDEX(Motore_Operativo!$BH$125:$BH$184,MAX(1,30-(INT((Parametri_v3!$C$29)/30)))))*(1-(MOD((Parametri_v3!$C$29),30)/30))+IF(30-(INT((Parametri_v3!$C$29)/30))-1&lt;1,0,INDEX(Motore_Operativo!$BH$125:$BH$184,MAX(1,30-(INT((Parametri_v3!$C$29)/30))-1)))*(MOD((Parametri_v3!$C$29),30)/30))*(1+Parametri_v3!$C$26)</f>
        <v>7381</v>
      </c>
      <c r="AG154" s="15" t="n">
        <f aca="false">(AG153)+AE154-AF154</f>
        <v>7381</v>
      </c>
      <c r="AH154" s="15" t="n">
        <f aca="false">(Motore_Operativo!CK154)*(1+Parametri_v3!$C$28*Parametri_v3!$C$26)</f>
        <v>17395.98</v>
      </c>
      <c r="AI154" s="15" t="n">
        <f aca="false">(IF(30-(INT((Ipotesi!$C$91)/30))&lt;1,0,INDEX(Motore_Advisory!$AH$125:$AH$184,MAX(1,30-(INT((Ipotesi!$C$91)/30)))))*(1-(MOD((Ipotesi!$C$91),30)/30))+IF(30-(INT((Ipotesi!$C$91)/30))-1&lt;1,0,INDEX(Motore_Advisory!$AH$125:$AH$184,MAX(1,30-(INT((Ipotesi!$C$91)/30))-1)))*(MOD((Ipotesi!$C$91),30)/30))</f>
        <v>17395.98</v>
      </c>
      <c r="AJ154" s="15" t="n">
        <f aca="false">(AJ153)+AH154-AI154</f>
        <v>34791.96</v>
      </c>
      <c r="AK154" s="15" t="n">
        <f aca="false">(F154- Motore_Operativo!BH154-(Motore_Operativo!CK154)*Parametri_v3!$C$28-Motore_Operativo!CF154)*Parametri_v3!$C$26</f>
        <v>9283.85333333333</v>
      </c>
      <c r="AL154" s="15" t="n">
        <f aca="false">MAX(0,(AM153))</f>
        <v>9283.85333333333</v>
      </c>
      <c r="AM154" s="15" t="n">
        <f aca="false">(AM153)+AK154-AL154</f>
        <v>9283.85333333333</v>
      </c>
      <c r="AN154" s="15" t="n">
        <f aca="false">SUM(X137:X148)</f>
        <v>16530.1714788732</v>
      </c>
      <c r="AO154" s="15" t="n">
        <f aca="false">SUM(AP137:AP148)</f>
        <v>13562.312368421</v>
      </c>
      <c r="AP154" s="15" t="n">
        <f aca="false">MAX(0,AN154)*IF(6=Parametri_v3!$C$43,Parametri_v3!$C$45,IF(6=Parametri_v3!$C$44,1-Parametri_v3!$C$45,0))</f>
        <v>6612.0685915493</v>
      </c>
      <c r="AQ154" s="15" t="n">
        <f aca="false">MAX(0,AP154+IF(6=Parametri_v3!$C$43,MAX(0,AN154-AO154),0)-MAX(0,-(AR153)))</f>
        <v>9579.9277020015</v>
      </c>
      <c r="AR154" s="15" t="n">
        <f aca="false">(AR153)+X154-AQ154</f>
        <v>16786.0532834507</v>
      </c>
      <c r="AS154" s="15" t="n">
        <f aca="false">Motore_Operativo!AC154-AT154+AU154</f>
        <v>24146.5260416667</v>
      </c>
      <c r="AT154" s="15" t="n">
        <f aca="false">Motore_Operativo!CI154</f>
        <v>1270.86979166667</v>
      </c>
      <c r="AU154" s="15" t="n">
        <f aca="false">MIN(MAX(0,(AV153)+AT154),Parametri_v3!$C$61/12)</f>
        <v>0</v>
      </c>
      <c r="AV154" s="15" t="n">
        <f aca="false">(AV153)+AT154-AU154</f>
        <v>20354.21875</v>
      </c>
      <c r="AW154" s="15" t="n">
        <f aca="false">IF(AND(Motore_Operativo!C154=Finanziamenti!$D$7,Finanziamenti!$F$7=1),Finanziamenti!$C$7,0)</f>
        <v>0</v>
      </c>
      <c r="AX154" s="15" t="n">
        <f aca="false">0</f>
        <v>0</v>
      </c>
      <c r="AY154" s="15" t="n">
        <f aca="false">IF(6=Parametri_v3!$C$33,IF(BV154&lt;MIN(12,$B154-1),0,MIN(MAX(0,SUM(Y137:Y148))*Ipotesi!$C$94,MAX(0,(BM148)-(BO153)-BP154),MAX(0,BD154-Parametri_v3!$C$31))),0)</f>
        <v>0</v>
      </c>
      <c r="AZ154" s="15" t="n">
        <f aca="false">0</f>
        <v>0</v>
      </c>
      <c r="BA154" s="15" t="n">
        <f aca="false">0</f>
        <v>0</v>
      </c>
      <c r="BB154" s="15" t="n">
        <f aca="false">0</f>
        <v>0</v>
      </c>
      <c r="BC154" s="15" t="n">
        <f aca="false">0</f>
        <v>0</v>
      </c>
      <c r="BD154" s="15" t="n">
        <f aca="false">(BH153)+AC154-AF154-AI154-AS154-K154*(1+Parametri_v3!$C$26)-AL154-AQ154-O154+AW154+AX154+AZ154+BA154-BB154</f>
        <v>18919.9141329998</v>
      </c>
      <c r="BE154" s="15" t="n">
        <f aca="false">0</f>
        <v>0</v>
      </c>
      <c r="BF154" s="15" t="n">
        <f aca="false">0</f>
        <v>0</v>
      </c>
      <c r="BG154" s="15" t="n">
        <f aca="false">0</f>
        <v>0</v>
      </c>
      <c r="BH154" s="15" t="n">
        <f aca="false">BD154+BE154-BF154-AY154</f>
        <v>18919.9141329998</v>
      </c>
      <c r="BI154" s="15" t="n">
        <f aca="false">MAX(0,Parametri_v3!$C$31-BH154)</f>
        <v>0</v>
      </c>
      <c r="BJ154" s="15" t="n">
        <f aca="false">(BJ153)+K154</f>
        <v>10500</v>
      </c>
      <c r="BK154" s="15" t="n">
        <f aca="false">(BK153)+L154</f>
        <v>4020.83333333333</v>
      </c>
      <c r="BL154" s="15" t="n">
        <f aca="false">BJ154-BK154</f>
        <v>6479.16666666667</v>
      </c>
      <c r="BM154" s="15" t="n">
        <f aca="false">(BM153)+Y154</f>
        <v>138231.995432882</v>
      </c>
      <c r="BN154" s="15" t="n">
        <f aca="false">(BN153)+AW154+AX154+AZ154</f>
        <v>20000</v>
      </c>
      <c r="BO154" s="15" t="n">
        <f aca="false">(BO153)+AY154</f>
        <v>0</v>
      </c>
      <c r="BP154" s="15" t="n">
        <f aca="false">MIN(Parametri_v3!$C$36*Parametri_v3!$C$35,(BP153)+IF(6=1,MAX(0,SUM(Y137:Y148))*Parametri_v3!$C$34,0))</f>
        <v>2000</v>
      </c>
      <c r="BQ154" s="15" t="n">
        <f aca="false">BN154+BM154-BO154</f>
        <v>158231.995432882</v>
      </c>
      <c r="BR154" s="15" t="n">
        <f aca="false">BH154+AD154+BL154+MAX(0,-AM154)+MAX(0,-AR154)</f>
        <v>246829.080799666</v>
      </c>
      <c r="BS154" s="15" t="n">
        <f aca="false">AJ154+AV154+MAX(0,AM154)+MAX(0,AR154)+BC154+BG154+BQ154+AG154</f>
        <v>246829.080799666</v>
      </c>
      <c r="BT154" s="15" t="n">
        <f aca="false">BR154-BS154</f>
        <v>0</v>
      </c>
      <c r="BU154" s="15" t="n">
        <f aca="false">BH154-(BD154+BE154-BF154-AY154)</f>
        <v>0</v>
      </c>
      <c r="BV154" s="15" t="n">
        <f aca="false">IF(BH153&lt;Parametri_v3!$C$31,0,BV153+1)</f>
        <v>1</v>
      </c>
    </row>
    <row r="155" customFormat="false" ht="18" hidden="false" customHeight="true" outlineLevel="0" collapsed="false">
      <c r="A155" s="68" t="n">
        <f aca="false">3</f>
        <v>3</v>
      </c>
      <c r="B155" s="68" t="n">
        <f aca="false">31</f>
        <v>31</v>
      </c>
      <c r="C155" s="18" t="n">
        <f aca="false">Motore_Operativo!C155</f>
        <v>47300</v>
      </c>
      <c r="D155" s="68" t="n">
        <f aca="false">Motore_Operativo!D155</f>
        <v>2029</v>
      </c>
      <c r="E155" s="68" t="n">
        <f aca="false">Motore_Operativo!E155</f>
        <v>7</v>
      </c>
      <c r="F155" s="15" t="n">
        <f aca="false">Motore_Operativo!AM155</f>
        <v>60500</v>
      </c>
      <c r="G155" s="15" t="n">
        <f aca="false">Motore_Operativo!BH155</f>
        <v>6050</v>
      </c>
      <c r="H155" s="15" t="n">
        <f aca="false">Motore_Operativo!AM155</f>
        <v>60500</v>
      </c>
      <c r="I155" s="15" t="n">
        <f aca="false">Motore_Operativo!CB155</f>
        <v>46259.8958333333</v>
      </c>
      <c r="J155" s="15" t="n">
        <f aca="false">Motore_Operativo!CD155</f>
        <v>14240.1041666667</v>
      </c>
      <c r="K155" s="15" t="n">
        <f aca="false">Motore_Operativo!CF155</f>
        <v>416.666666666667</v>
      </c>
      <c r="L155" s="15" t="n">
        <f aca="false">SUM(INDEX($K$125:$K$184,MAX(1,31-Parametri_v3!$C$59+1)):K155)/Parametri_v3!$C$59</f>
        <v>303.240740740741</v>
      </c>
      <c r="M155" s="15" t="n">
        <f aca="false">J155-L155</f>
        <v>13936.8634259259</v>
      </c>
      <c r="N155" s="15" t="n">
        <f aca="false">0</f>
        <v>0</v>
      </c>
      <c r="O155" s="15" t="n">
        <f aca="false">0</f>
        <v>0</v>
      </c>
      <c r="P155" s="15" t="n">
        <f aca="false">M155+N155-O155</f>
        <v>13936.8634259259</v>
      </c>
      <c r="Q155" s="15" t="n">
        <f aca="false">SUM(P149:P155)+Parametri_v3!$C$56*7/12</f>
        <v>97801.0995370371</v>
      </c>
      <c r="R155" s="15" t="n">
        <f aca="false">Z148</f>
        <v>0</v>
      </c>
      <c r="S155" s="15" t="n">
        <f aca="false">AA148</f>
        <v>0</v>
      </c>
      <c r="T155" s="15" t="n">
        <f aca="false">MIN(R155,MAX(0,Q155))</f>
        <v>0</v>
      </c>
      <c r="U155" s="15" t="n">
        <f aca="false">MIN(S155,MAX(0,Q155-T155)*Parametri_v3!$C$42)</f>
        <v>0</v>
      </c>
      <c r="V155" s="15" t="n">
        <f aca="false">MAX(0,Q155-T155-U155)*Ipotesi!$C$92</f>
        <v>23472.2638888889</v>
      </c>
      <c r="W155" s="15" t="n">
        <f aca="false">MAX(0,SUM(M149:M155)+Parametri_v3!$C$57*7/12)*Ipotesi!$C$93</f>
        <v>3814.24288194445</v>
      </c>
      <c r="X155" s="15" t="n">
        <f aca="false">V155+W155-(V154+W154)</f>
        <v>3888.38489583334</v>
      </c>
      <c r="Y155" s="15" t="n">
        <f aca="false">P155-X155</f>
        <v>10048.4785300926</v>
      </c>
      <c r="Z155" s="15" t="n">
        <f aca="false">R155-T155+IF(AND(Parametri_v3!$C$40=1,D155-YEAR(Parametri_v3!$C$50)&lt;Parametri_v3!$C$41),MAX(0,-Q155),0)</f>
        <v>0</v>
      </c>
      <c r="AA155" s="15" t="n">
        <f aca="false">S155-U155+IF(AND(Parametri_v3!$C$40=1,D155-YEAR(Parametri_v3!$C$50)&lt;Parametri_v3!$C$41),0,MAX(0,-Q155))</f>
        <v>0</v>
      </c>
      <c r="AB155" s="15" t="n">
        <f aca="false">F155*(1+Parametri_v3!$C$26)</f>
        <v>73810</v>
      </c>
      <c r="AC155" s="15" t="n">
        <f aca="false">(IF(31-(INT((Motore_Operativo!L155)/30))&lt;1,0,INDEX(Motore_Advisory!$AB$125:$AB$184,MAX(1,31-(INT((Motore_Operativo!L155)/30)))))*(1-(MOD((Motore_Operativo!L155),30)/30))+IF(31-(INT((Motore_Operativo!L155)/30))-1&lt;1,0,INDEX(Motore_Advisory!$AB$125:$AB$184,MAX(1,31-(INT((Motore_Operativo!L155)/30))-1)))*(MOD((Motore_Operativo!L155),30)/30))</f>
        <v>73810</v>
      </c>
      <c r="AD155" s="15" t="n">
        <f aca="false">(AD154)+AB155-AC155</f>
        <v>221430</v>
      </c>
      <c r="AE155" s="15" t="n">
        <f aca="false">Motore_Operativo!BH155*(1+Parametri_v3!$C$26)</f>
        <v>7381</v>
      </c>
      <c r="AF155" s="15" t="n">
        <f aca="false">(IF(31-(INT((Parametri_v3!$C$29)/30))&lt;1,0,INDEX(Motore_Operativo!$BH$125:$BH$184,MAX(1,31-(INT((Parametri_v3!$C$29)/30)))))*(1-(MOD((Parametri_v3!$C$29),30)/30))+IF(31-(INT((Parametri_v3!$C$29)/30))-1&lt;1,0,INDEX(Motore_Operativo!$BH$125:$BH$184,MAX(1,31-(INT((Parametri_v3!$C$29)/30))-1)))*(MOD((Parametri_v3!$C$29),30)/30))*(1+Parametri_v3!$C$26)</f>
        <v>7381</v>
      </c>
      <c r="AG155" s="15" t="n">
        <f aca="false">(AG154)+AE155-AF155</f>
        <v>7381</v>
      </c>
      <c r="AH155" s="15" t="n">
        <f aca="false">(Motore_Operativo!CK155)*(1+Parametri_v3!$C$28*Parametri_v3!$C$26)</f>
        <v>17395.98</v>
      </c>
      <c r="AI155" s="15" t="n">
        <f aca="false">(IF(31-(INT((Ipotesi!$C$91)/30))&lt;1,0,INDEX(Motore_Advisory!$AH$125:$AH$184,MAX(1,31-(INT((Ipotesi!$C$91)/30)))))*(1-(MOD((Ipotesi!$C$91),30)/30))+IF(31-(INT((Ipotesi!$C$91)/30))-1&lt;1,0,INDEX(Motore_Advisory!$AH$125:$AH$184,MAX(1,31-(INT((Ipotesi!$C$91)/30))-1)))*(MOD((Ipotesi!$C$91),30)/30))</f>
        <v>17395.98</v>
      </c>
      <c r="AJ155" s="15" t="n">
        <f aca="false">(AJ154)+AH155-AI155</f>
        <v>34791.96</v>
      </c>
      <c r="AK155" s="15" t="n">
        <f aca="false">(F155- Motore_Operativo!BH155-(Motore_Operativo!CK155)*Parametri_v3!$C$28-Motore_Operativo!CF155)*Parametri_v3!$C$26</f>
        <v>9283.85333333333</v>
      </c>
      <c r="AL155" s="15" t="n">
        <f aca="false">MAX(0,(AM154))</f>
        <v>9283.85333333333</v>
      </c>
      <c r="AM155" s="15" t="n">
        <f aca="false">(AM154)+AK155-AL155</f>
        <v>9283.85333333333</v>
      </c>
      <c r="AN155" s="15" t="n">
        <f aca="false">SUM(X137:X148)</f>
        <v>16530.1714788732</v>
      </c>
      <c r="AO155" s="15" t="n">
        <f aca="false">SUM(AP137:AP148)</f>
        <v>13562.312368421</v>
      </c>
      <c r="AP155" s="15" t="n">
        <f aca="false">MAX(0,AN155)*IF(7=Parametri_v3!$C$43,Parametri_v3!$C$45,IF(7=Parametri_v3!$C$44,1-Parametri_v3!$C$45,0))</f>
        <v>0</v>
      </c>
      <c r="AQ155" s="15" t="n">
        <f aca="false">MAX(0,AP155+IF(7=Parametri_v3!$C$43,MAX(0,AN155-AO155),0)-MAX(0,-(AR154)))</f>
        <v>0</v>
      </c>
      <c r="AR155" s="15" t="n">
        <f aca="false">(AR154)+X155-AQ155</f>
        <v>20674.438179284</v>
      </c>
      <c r="AS155" s="15" t="n">
        <f aca="false">Motore_Operativo!AC155-AT155+AU155</f>
        <v>24146.5260416667</v>
      </c>
      <c r="AT155" s="15" t="n">
        <f aca="false">Motore_Operativo!CI155</f>
        <v>1270.86979166667</v>
      </c>
      <c r="AU155" s="15" t="n">
        <f aca="false">MIN(MAX(0,(AV154)+AT155),Parametri_v3!$C$61/12)</f>
        <v>0</v>
      </c>
      <c r="AV155" s="15" t="n">
        <f aca="false">(AV154)+AT155-AU155</f>
        <v>21625.0885416667</v>
      </c>
      <c r="AW155" s="15" t="n">
        <f aca="false">IF(AND(Motore_Operativo!C155=Finanziamenti!$D$7,Finanziamenti!$F$7=1),Finanziamenti!$C$7,0)</f>
        <v>0</v>
      </c>
      <c r="AX155" s="15" t="n">
        <f aca="false">0</f>
        <v>0</v>
      </c>
      <c r="AY155" s="15" t="n">
        <f aca="false">IF(7=Parametri_v3!$C$33,IF(BV155&lt;MIN(12,$B155-1),0,MIN(MAX(0,SUM(Y137:Y148))*Ipotesi!$C$94,MAX(0,(BM148)-(BO154)-BP155),MAX(0,BD155-Parametri_v3!$C$31))),0)</f>
        <v>0</v>
      </c>
      <c r="AZ155" s="15" t="n">
        <f aca="false">0</f>
        <v>0</v>
      </c>
      <c r="BA155" s="15" t="n">
        <f aca="false">0</f>
        <v>0</v>
      </c>
      <c r="BB155" s="15" t="n">
        <f aca="false">0</f>
        <v>0</v>
      </c>
      <c r="BC155" s="15" t="n">
        <f aca="false">0</f>
        <v>0</v>
      </c>
      <c r="BD155" s="15" t="n">
        <f aca="false">(BH154)+AC155-AF155-AI155-AS155-K155*(1+Parametri_v3!$C$26)-AL155-AQ155-O155+AW155+AX155+AZ155+BA155-BB155</f>
        <v>34014.2214246665</v>
      </c>
      <c r="BE155" s="15" t="n">
        <f aca="false">0</f>
        <v>0</v>
      </c>
      <c r="BF155" s="15" t="n">
        <f aca="false">0</f>
        <v>0</v>
      </c>
      <c r="BG155" s="15" t="n">
        <f aca="false">0</f>
        <v>0</v>
      </c>
      <c r="BH155" s="15" t="n">
        <f aca="false">BD155+BE155-BF155-AY155</f>
        <v>34014.2214246665</v>
      </c>
      <c r="BI155" s="15" t="n">
        <f aca="false">MAX(0,Parametri_v3!$C$31-BH155)</f>
        <v>0</v>
      </c>
      <c r="BJ155" s="15" t="n">
        <f aca="false">(BJ154)+K155</f>
        <v>10916.6666666667</v>
      </c>
      <c r="BK155" s="15" t="n">
        <f aca="false">(BK154)+L155</f>
        <v>4324.07407407407</v>
      </c>
      <c r="BL155" s="15" t="n">
        <f aca="false">BJ155-BK155</f>
        <v>6592.59259259259</v>
      </c>
      <c r="BM155" s="15" t="n">
        <f aca="false">(BM154)+Y155</f>
        <v>148280.473962975</v>
      </c>
      <c r="BN155" s="15" t="n">
        <f aca="false">(BN154)+AW155+AX155+AZ155</f>
        <v>20000</v>
      </c>
      <c r="BO155" s="15" t="n">
        <f aca="false">(BO154)+AY155</f>
        <v>0</v>
      </c>
      <c r="BP155" s="15" t="n">
        <f aca="false">MIN(Parametri_v3!$C$36*Parametri_v3!$C$35,(BP154)+IF(7=1,MAX(0,SUM(Y137:Y148))*Parametri_v3!$C$34,0))</f>
        <v>2000</v>
      </c>
      <c r="BQ155" s="15" t="n">
        <f aca="false">BN155+BM155-BO155</f>
        <v>168280.473962975</v>
      </c>
      <c r="BR155" s="15" t="n">
        <f aca="false">BH155+AD155+BL155+MAX(0,-AM155)+MAX(0,-AR155)</f>
        <v>262036.814017259</v>
      </c>
      <c r="BS155" s="15" t="n">
        <f aca="false">AJ155+AV155+MAX(0,AM155)+MAX(0,AR155)+BC155+BG155+BQ155+AG155</f>
        <v>262036.814017259</v>
      </c>
      <c r="BT155" s="15" t="n">
        <f aca="false">BR155-BS155</f>
        <v>0</v>
      </c>
      <c r="BU155" s="15" t="n">
        <f aca="false">BH155-(BD155+BE155-BF155-AY155)</f>
        <v>0</v>
      </c>
      <c r="BV155" s="15" t="n">
        <f aca="false">IF(BH154&lt;Parametri_v3!$C$31,0,BV154+1)</f>
        <v>2</v>
      </c>
    </row>
    <row r="156" customFormat="false" ht="18" hidden="false" customHeight="true" outlineLevel="0" collapsed="false">
      <c r="A156" s="68" t="n">
        <f aca="false">3</f>
        <v>3</v>
      </c>
      <c r="B156" s="68" t="n">
        <f aca="false">32</f>
        <v>32</v>
      </c>
      <c r="C156" s="18" t="n">
        <f aca="false">Motore_Operativo!C156</f>
        <v>47331</v>
      </c>
      <c r="D156" s="68" t="n">
        <f aca="false">Motore_Operativo!D156</f>
        <v>2029</v>
      </c>
      <c r="E156" s="68" t="n">
        <f aca="false">Motore_Operativo!E156</f>
        <v>8</v>
      </c>
      <c r="F156" s="15" t="n">
        <f aca="false">Motore_Operativo!AM156</f>
        <v>60500</v>
      </c>
      <c r="G156" s="15" t="n">
        <f aca="false">Motore_Operativo!BH156</f>
        <v>6050</v>
      </c>
      <c r="H156" s="15" t="n">
        <f aca="false">Motore_Operativo!AM156</f>
        <v>60500</v>
      </c>
      <c r="I156" s="15" t="n">
        <f aca="false">Motore_Operativo!CB156</f>
        <v>46259.8958333333</v>
      </c>
      <c r="J156" s="15" t="n">
        <f aca="false">Motore_Operativo!CD156</f>
        <v>14240.1041666667</v>
      </c>
      <c r="K156" s="15" t="n">
        <f aca="false">Motore_Operativo!CF156</f>
        <v>416.666666666667</v>
      </c>
      <c r="L156" s="15" t="n">
        <f aca="false">SUM(INDEX($K$125:$K$184,MAX(1,32-Parametri_v3!$C$59+1)):K156)/Parametri_v3!$C$59</f>
        <v>314.814814814815</v>
      </c>
      <c r="M156" s="15" t="n">
        <f aca="false">J156-L156</f>
        <v>13925.2893518519</v>
      </c>
      <c r="N156" s="15" t="n">
        <f aca="false">0</f>
        <v>0</v>
      </c>
      <c r="O156" s="15" t="n">
        <f aca="false">0</f>
        <v>0</v>
      </c>
      <c r="P156" s="15" t="n">
        <f aca="false">M156+N156-O156</f>
        <v>13925.2893518519</v>
      </c>
      <c r="Q156" s="15" t="n">
        <f aca="false">SUM(P149:P156)+Parametri_v3!$C$56*8/12</f>
        <v>111726.388888889</v>
      </c>
      <c r="R156" s="15" t="n">
        <f aca="false">Z148</f>
        <v>0</v>
      </c>
      <c r="S156" s="15" t="n">
        <f aca="false">AA148</f>
        <v>0</v>
      </c>
      <c r="T156" s="15" t="n">
        <f aca="false">MIN(R156,MAX(0,Q156))</f>
        <v>0</v>
      </c>
      <c r="U156" s="15" t="n">
        <f aca="false">MIN(S156,MAX(0,Q156-T156)*Parametri_v3!$C$42)</f>
        <v>0</v>
      </c>
      <c r="V156" s="15" t="n">
        <f aca="false">MAX(0,Q156-T156-U156)*Ipotesi!$C$92</f>
        <v>26814.3333333333</v>
      </c>
      <c r="W156" s="15" t="n">
        <f aca="false">MAX(0,SUM(M149:M156)+Parametri_v3!$C$57*8/12)*Ipotesi!$C$93</f>
        <v>4357.32916666667</v>
      </c>
      <c r="X156" s="15" t="n">
        <f aca="false">V156+W156-(V155+W155)</f>
        <v>3885.15572916667</v>
      </c>
      <c r="Y156" s="15" t="n">
        <f aca="false">P156-X156</f>
        <v>10040.1336226852</v>
      </c>
      <c r="Z156" s="15" t="n">
        <f aca="false">R156-T156+IF(AND(Parametri_v3!$C$40=1,D156-YEAR(Parametri_v3!$C$50)&lt;Parametri_v3!$C$41),MAX(0,-Q156),0)</f>
        <v>0</v>
      </c>
      <c r="AA156" s="15" t="n">
        <f aca="false">S156-U156+IF(AND(Parametri_v3!$C$40=1,D156-YEAR(Parametri_v3!$C$50)&lt;Parametri_v3!$C$41),0,MAX(0,-Q156))</f>
        <v>0</v>
      </c>
      <c r="AB156" s="15" t="n">
        <f aca="false">F156*(1+Parametri_v3!$C$26)</f>
        <v>73810</v>
      </c>
      <c r="AC156" s="15" t="n">
        <f aca="false">(IF(32-(INT((Motore_Operativo!L156)/30))&lt;1,0,INDEX(Motore_Advisory!$AB$125:$AB$184,MAX(1,32-(INT((Motore_Operativo!L156)/30)))))*(1-(MOD((Motore_Operativo!L156),30)/30))+IF(32-(INT((Motore_Operativo!L156)/30))-1&lt;1,0,INDEX(Motore_Advisory!$AB$125:$AB$184,MAX(1,32-(INT((Motore_Operativo!L156)/30))-1)))*(MOD((Motore_Operativo!L156),30)/30))</f>
        <v>73810</v>
      </c>
      <c r="AD156" s="15" t="n">
        <f aca="false">(AD155)+AB156-AC156</f>
        <v>221430</v>
      </c>
      <c r="AE156" s="15" t="n">
        <f aca="false">Motore_Operativo!BH156*(1+Parametri_v3!$C$26)</f>
        <v>7381</v>
      </c>
      <c r="AF156" s="15" t="n">
        <f aca="false">(IF(32-(INT((Parametri_v3!$C$29)/30))&lt;1,0,INDEX(Motore_Operativo!$BH$125:$BH$184,MAX(1,32-(INT((Parametri_v3!$C$29)/30)))))*(1-(MOD((Parametri_v3!$C$29),30)/30))+IF(32-(INT((Parametri_v3!$C$29)/30))-1&lt;1,0,INDEX(Motore_Operativo!$BH$125:$BH$184,MAX(1,32-(INT((Parametri_v3!$C$29)/30))-1)))*(MOD((Parametri_v3!$C$29),30)/30))*(1+Parametri_v3!$C$26)</f>
        <v>7381</v>
      </c>
      <c r="AG156" s="15" t="n">
        <f aca="false">(AG155)+AE156-AF156</f>
        <v>7381</v>
      </c>
      <c r="AH156" s="15" t="n">
        <f aca="false">(Motore_Operativo!CK156)*(1+Parametri_v3!$C$28*Parametri_v3!$C$26)</f>
        <v>17395.98</v>
      </c>
      <c r="AI156" s="15" t="n">
        <f aca="false">(IF(32-(INT((Ipotesi!$C$91)/30))&lt;1,0,INDEX(Motore_Advisory!$AH$125:$AH$184,MAX(1,32-(INT((Ipotesi!$C$91)/30)))))*(1-(MOD((Ipotesi!$C$91),30)/30))+IF(32-(INT((Ipotesi!$C$91)/30))-1&lt;1,0,INDEX(Motore_Advisory!$AH$125:$AH$184,MAX(1,32-(INT((Ipotesi!$C$91)/30))-1)))*(MOD((Ipotesi!$C$91),30)/30))</f>
        <v>17395.98</v>
      </c>
      <c r="AJ156" s="15" t="n">
        <f aca="false">(AJ155)+AH156-AI156</f>
        <v>34791.96</v>
      </c>
      <c r="AK156" s="15" t="n">
        <f aca="false">(F156- Motore_Operativo!BH156-(Motore_Operativo!CK156)*Parametri_v3!$C$28-Motore_Operativo!CF156)*Parametri_v3!$C$26</f>
        <v>9283.85333333333</v>
      </c>
      <c r="AL156" s="15" t="n">
        <f aca="false">MAX(0,(AM155))</f>
        <v>9283.85333333333</v>
      </c>
      <c r="AM156" s="15" t="n">
        <f aca="false">(AM155)+AK156-AL156</f>
        <v>9283.85333333333</v>
      </c>
      <c r="AN156" s="15" t="n">
        <f aca="false">SUM(X137:X148)</f>
        <v>16530.1714788732</v>
      </c>
      <c r="AO156" s="15" t="n">
        <f aca="false">SUM(AP137:AP148)</f>
        <v>13562.312368421</v>
      </c>
      <c r="AP156" s="15" t="n">
        <f aca="false">MAX(0,AN156)*IF(8=Parametri_v3!$C$43,Parametri_v3!$C$45,IF(8=Parametri_v3!$C$44,1-Parametri_v3!$C$45,0))</f>
        <v>0</v>
      </c>
      <c r="AQ156" s="15" t="n">
        <f aca="false">MAX(0,AP156+IF(8=Parametri_v3!$C$43,MAX(0,AN156-AO156),0)-MAX(0,-(AR155)))</f>
        <v>0</v>
      </c>
      <c r="AR156" s="15" t="n">
        <f aca="false">(AR155)+X156-AQ156</f>
        <v>24559.5939084507</v>
      </c>
      <c r="AS156" s="15" t="n">
        <f aca="false">Motore_Operativo!AC156-AT156+AU156</f>
        <v>24146.5260416667</v>
      </c>
      <c r="AT156" s="15" t="n">
        <f aca="false">Motore_Operativo!CI156</f>
        <v>1270.86979166667</v>
      </c>
      <c r="AU156" s="15" t="n">
        <f aca="false">MIN(MAX(0,(AV155)+AT156),Parametri_v3!$C$61/12)</f>
        <v>0</v>
      </c>
      <c r="AV156" s="15" t="n">
        <f aca="false">(AV155)+AT156-AU156</f>
        <v>22895.9583333333</v>
      </c>
      <c r="AW156" s="15" t="n">
        <f aca="false">IF(AND(Motore_Operativo!C156=Finanziamenti!$D$7,Finanziamenti!$F$7=1),Finanziamenti!$C$7,0)</f>
        <v>0</v>
      </c>
      <c r="AX156" s="15" t="n">
        <f aca="false">0</f>
        <v>0</v>
      </c>
      <c r="AY156" s="15" t="n">
        <f aca="false">IF(8=Parametri_v3!$C$33,IF(BV156&lt;MIN(12,$B156-1),0,MIN(MAX(0,SUM(Y137:Y148))*Ipotesi!$C$94,MAX(0,(BM148)-(BO155)-BP156),MAX(0,BD156-Parametri_v3!$C$31))),0)</f>
        <v>0</v>
      </c>
      <c r="AZ156" s="15" t="n">
        <f aca="false">0</f>
        <v>0</v>
      </c>
      <c r="BA156" s="15" t="n">
        <f aca="false">0</f>
        <v>0</v>
      </c>
      <c r="BB156" s="15" t="n">
        <f aca="false">0</f>
        <v>0</v>
      </c>
      <c r="BC156" s="15" t="n">
        <f aca="false">0</f>
        <v>0</v>
      </c>
      <c r="BD156" s="15" t="n">
        <f aca="false">(BH155)+AC156-AF156-AI156-AS156-K156*(1+Parametri_v3!$C$26)-AL156-AQ156-O156+AW156+AX156+AZ156+BA156-BB156</f>
        <v>49108.5287163331</v>
      </c>
      <c r="BE156" s="15" t="n">
        <f aca="false">0</f>
        <v>0</v>
      </c>
      <c r="BF156" s="15" t="n">
        <f aca="false">0</f>
        <v>0</v>
      </c>
      <c r="BG156" s="15" t="n">
        <f aca="false">0</f>
        <v>0</v>
      </c>
      <c r="BH156" s="15" t="n">
        <f aca="false">BD156+BE156-BF156-AY156</f>
        <v>49108.5287163331</v>
      </c>
      <c r="BI156" s="15" t="n">
        <f aca="false">MAX(0,Parametri_v3!$C$31-BH156)</f>
        <v>0</v>
      </c>
      <c r="BJ156" s="15" t="n">
        <f aca="false">(BJ155)+K156</f>
        <v>11333.3333333333</v>
      </c>
      <c r="BK156" s="15" t="n">
        <f aca="false">(BK155)+L156</f>
        <v>4638.88888888889</v>
      </c>
      <c r="BL156" s="15" t="n">
        <f aca="false">BJ156-BK156</f>
        <v>6694.44444444444</v>
      </c>
      <c r="BM156" s="15" t="n">
        <f aca="false">(BM155)+Y156</f>
        <v>158320.60758566</v>
      </c>
      <c r="BN156" s="15" t="n">
        <f aca="false">(BN155)+AW156+AX156+AZ156</f>
        <v>20000</v>
      </c>
      <c r="BO156" s="15" t="n">
        <f aca="false">(BO155)+AY156</f>
        <v>0</v>
      </c>
      <c r="BP156" s="15" t="n">
        <f aca="false">MIN(Parametri_v3!$C$36*Parametri_v3!$C$35,(BP155)+IF(8=1,MAX(0,SUM(Y137:Y148))*Parametri_v3!$C$34,0))</f>
        <v>2000</v>
      </c>
      <c r="BQ156" s="15" t="n">
        <f aca="false">BN156+BM156-BO156</f>
        <v>178320.60758566</v>
      </c>
      <c r="BR156" s="15" t="n">
        <f aca="false">BH156+AD156+BL156+MAX(0,-AM156)+MAX(0,-AR156)</f>
        <v>277232.973160778</v>
      </c>
      <c r="BS156" s="15" t="n">
        <f aca="false">AJ156+AV156+MAX(0,AM156)+MAX(0,AR156)+BC156+BG156+BQ156+AG156</f>
        <v>277232.973160778</v>
      </c>
      <c r="BT156" s="15" t="n">
        <f aca="false">BR156-BS156</f>
        <v>0</v>
      </c>
      <c r="BU156" s="15" t="n">
        <f aca="false">BH156-(BD156+BE156-BF156-AY156)</f>
        <v>0</v>
      </c>
      <c r="BV156" s="15" t="n">
        <f aca="false">IF(BH155&lt;Parametri_v3!$C$31,0,BV155+1)</f>
        <v>3</v>
      </c>
    </row>
    <row r="157" customFormat="false" ht="18" hidden="false" customHeight="true" outlineLevel="0" collapsed="false">
      <c r="A157" s="68" t="n">
        <f aca="false">3</f>
        <v>3</v>
      </c>
      <c r="B157" s="68" t="n">
        <f aca="false">33</f>
        <v>33</v>
      </c>
      <c r="C157" s="18" t="n">
        <f aca="false">Motore_Operativo!C157</f>
        <v>47362</v>
      </c>
      <c r="D157" s="68" t="n">
        <f aca="false">Motore_Operativo!D157</f>
        <v>2029</v>
      </c>
      <c r="E157" s="68" t="n">
        <f aca="false">Motore_Operativo!E157</f>
        <v>9</v>
      </c>
      <c r="F157" s="15" t="n">
        <f aca="false">Motore_Operativo!AM157</f>
        <v>60500</v>
      </c>
      <c r="G157" s="15" t="n">
        <f aca="false">Motore_Operativo!BH157</f>
        <v>6050</v>
      </c>
      <c r="H157" s="15" t="n">
        <f aca="false">Motore_Operativo!AM157</f>
        <v>60500</v>
      </c>
      <c r="I157" s="15" t="n">
        <f aca="false">Motore_Operativo!CB157</f>
        <v>46259.8958333333</v>
      </c>
      <c r="J157" s="15" t="n">
        <f aca="false">Motore_Operativo!CD157</f>
        <v>14240.1041666667</v>
      </c>
      <c r="K157" s="15" t="n">
        <f aca="false">Motore_Operativo!CF157</f>
        <v>416.666666666667</v>
      </c>
      <c r="L157" s="15" t="n">
        <f aca="false">SUM(INDEX($K$125:$K$184,MAX(1,33-Parametri_v3!$C$59+1)):K157)/Parametri_v3!$C$59</f>
        <v>326.388888888889</v>
      </c>
      <c r="M157" s="15" t="n">
        <f aca="false">J157-L157</f>
        <v>13913.7152777778</v>
      </c>
      <c r="N157" s="15" t="n">
        <f aca="false">0</f>
        <v>0</v>
      </c>
      <c r="O157" s="15" t="n">
        <f aca="false">0</f>
        <v>0</v>
      </c>
      <c r="P157" s="15" t="n">
        <f aca="false">M157+N157-O157</f>
        <v>13913.7152777778</v>
      </c>
      <c r="Q157" s="15" t="n">
        <f aca="false">SUM(P149:P157)+Parametri_v3!$C$56*9/12</f>
        <v>125640.104166667</v>
      </c>
      <c r="R157" s="15" t="n">
        <f aca="false">Z148</f>
        <v>0</v>
      </c>
      <c r="S157" s="15" t="n">
        <f aca="false">AA148</f>
        <v>0</v>
      </c>
      <c r="T157" s="15" t="n">
        <f aca="false">MIN(R157,MAX(0,Q157))</f>
        <v>0</v>
      </c>
      <c r="U157" s="15" t="n">
        <f aca="false">MIN(S157,MAX(0,Q157-T157)*Parametri_v3!$C$42)</f>
        <v>0</v>
      </c>
      <c r="V157" s="15" t="n">
        <f aca="false">MAX(0,Q157-T157-U157)*Ipotesi!$C$92</f>
        <v>30153.625</v>
      </c>
      <c r="W157" s="15" t="n">
        <f aca="false">MAX(0,SUM(M149:M157)+Parametri_v3!$C$57*9/12)*Ipotesi!$C$93</f>
        <v>4899.9640625</v>
      </c>
      <c r="X157" s="15" t="n">
        <f aca="false">V157+W157-(V156+W156)</f>
        <v>3881.9265625</v>
      </c>
      <c r="Y157" s="15" t="n">
        <f aca="false">P157-X157</f>
        <v>10031.7887152778</v>
      </c>
      <c r="Z157" s="15" t="n">
        <f aca="false">R157-T157+IF(AND(Parametri_v3!$C$40=1,D157-YEAR(Parametri_v3!$C$50)&lt;Parametri_v3!$C$41),MAX(0,-Q157),0)</f>
        <v>0</v>
      </c>
      <c r="AA157" s="15" t="n">
        <f aca="false">S157-U157+IF(AND(Parametri_v3!$C$40=1,D157-YEAR(Parametri_v3!$C$50)&lt;Parametri_v3!$C$41),0,MAX(0,-Q157))</f>
        <v>0</v>
      </c>
      <c r="AB157" s="15" t="n">
        <f aca="false">F157*(1+Parametri_v3!$C$26)</f>
        <v>73810</v>
      </c>
      <c r="AC157" s="15" t="n">
        <f aca="false">(IF(33-(INT((Motore_Operativo!L157)/30))&lt;1,0,INDEX(Motore_Advisory!$AB$125:$AB$184,MAX(1,33-(INT((Motore_Operativo!L157)/30)))))*(1-(MOD((Motore_Operativo!L157),30)/30))+IF(33-(INT((Motore_Operativo!L157)/30))-1&lt;1,0,INDEX(Motore_Advisory!$AB$125:$AB$184,MAX(1,33-(INT((Motore_Operativo!L157)/30))-1)))*(MOD((Motore_Operativo!L157),30)/30))</f>
        <v>73810</v>
      </c>
      <c r="AD157" s="15" t="n">
        <f aca="false">(AD156)+AB157-AC157</f>
        <v>221430</v>
      </c>
      <c r="AE157" s="15" t="n">
        <f aca="false">Motore_Operativo!BH157*(1+Parametri_v3!$C$26)</f>
        <v>7381</v>
      </c>
      <c r="AF157" s="15" t="n">
        <f aca="false">(IF(33-(INT((Parametri_v3!$C$29)/30))&lt;1,0,INDEX(Motore_Operativo!$BH$125:$BH$184,MAX(1,33-(INT((Parametri_v3!$C$29)/30)))))*(1-(MOD((Parametri_v3!$C$29),30)/30))+IF(33-(INT((Parametri_v3!$C$29)/30))-1&lt;1,0,INDEX(Motore_Operativo!$BH$125:$BH$184,MAX(1,33-(INT((Parametri_v3!$C$29)/30))-1)))*(MOD((Parametri_v3!$C$29),30)/30))*(1+Parametri_v3!$C$26)</f>
        <v>7381</v>
      </c>
      <c r="AG157" s="15" t="n">
        <f aca="false">(AG156)+AE157-AF157</f>
        <v>7381</v>
      </c>
      <c r="AH157" s="15" t="n">
        <f aca="false">(Motore_Operativo!CK157)*(1+Parametri_v3!$C$28*Parametri_v3!$C$26)</f>
        <v>17395.98</v>
      </c>
      <c r="AI157" s="15" t="n">
        <f aca="false">(IF(33-(INT((Ipotesi!$C$91)/30))&lt;1,0,INDEX(Motore_Advisory!$AH$125:$AH$184,MAX(1,33-(INT((Ipotesi!$C$91)/30)))))*(1-(MOD((Ipotesi!$C$91),30)/30))+IF(33-(INT((Ipotesi!$C$91)/30))-1&lt;1,0,INDEX(Motore_Advisory!$AH$125:$AH$184,MAX(1,33-(INT((Ipotesi!$C$91)/30))-1)))*(MOD((Ipotesi!$C$91),30)/30))</f>
        <v>17395.98</v>
      </c>
      <c r="AJ157" s="15" t="n">
        <f aca="false">(AJ156)+AH157-AI157</f>
        <v>34791.96</v>
      </c>
      <c r="AK157" s="15" t="n">
        <f aca="false">(F157- Motore_Operativo!BH157-(Motore_Operativo!CK157)*Parametri_v3!$C$28-Motore_Operativo!CF157)*Parametri_v3!$C$26</f>
        <v>9283.85333333333</v>
      </c>
      <c r="AL157" s="15" t="n">
        <f aca="false">MAX(0,(AM156))</f>
        <v>9283.85333333333</v>
      </c>
      <c r="AM157" s="15" t="n">
        <f aca="false">(AM156)+AK157-AL157</f>
        <v>9283.85333333333</v>
      </c>
      <c r="AN157" s="15" t="n">
        <f aca="false">SUM(X137:X148)</f>
        <v>16530.1714788732</v>
      </c>
      <c r="AO157" s="15" t="n">
        <f aca="false">SUM(AP137:AP148)</f>
        <v>13562.312368421</v>
      </c>
      <c r="AP157" s="15" t="n">
        <f aca="false">MAX(0,AN157)*IF(9=Parametri_v3!$C$43,Parametri_v3!$C$45,IF(9=Parametri_v3!$C$44,1-Parametri_v3!$C$45,0))</f>
        <v>0</v>
      </c>
      <c r="AQ157" s="15" t="n">
        <f aca="false">MAX(0,AP157+IF(9=Parametri_v3!$C$43,MAX(0,AN157-AO157),0)-MAX(0,-(AR156)))</f>
        <v>0</v>
      </c>
      <c r="AR157" s="15" t="n">
        <f aca="false">(AR156)+X157-AQ157</f>
        <v>28441.5204709507</v>
      </c>
      <c r="AS157" s="15" t="n">
        <f aca="false">Motore_Operativo!AC157-AT157+AU157</f>
        <v>24146.5260416667</v>
      </c>
      <c r="AT157" s="15" t="n">
        <f aca="false">Motore_Operativo!CI157</f>
        <v>1270.86979166667</v>
      </c>
      <c r="AU157" s="15" t="n">
        <f aca="false">MIN(MAX(0,(AV156)+AT157),Parametri_v3!$C$61/12)</f>
        <v>0</v>
      </c>
      <c r="AV157" s="15" t="n">
        <f aca="false">(AV156)+AT157-AU157</f>
        <v>24166.828125</v>
      </c>
      <c r="AW157" s="15" t="n">
        <f aca="false">IF(AND(Motore_Operativo!C157=Finanziamenti!$D$7,Finanziamenti!$F$7=1),Finanziamenti!$C$7,0)</f>
        <v>0</v>
      </c>
      <c r="AX157" s="15" t="n">
        <f aca="false">0</f>
        <v>0</v>
      </c>
      <c r="AY157" s="15" t="n">
        <f aca="false">IF(9=Parametri_v3!$C$33,IF(BV157&lt;MIN(12,$B157-1),0,MIN(MAX(0,SUM(Y137:Y148))*Ipotesi!$C$94,MAX(0,(BM148)-(BO156)-BP157),MAX(0,BD157-Parametri_v3!$C$31))),0)</f>
        <v>0</v>
      </c>
      <c r="AZ157" s="15" t="n">
        <f aca="false">0</f>
        <v>0</v>
      </c>
      <c r="BA157" s="15" t="n">
        <f aca="false">0</f>
        <v>0</v>
      </c>
      <c r="BB157" s="15" t="n">
        <f aca="false">0</f>
        <v>0</v>
      </c>
      <c r="BC157" s="15" t="n">
        <f aca="false">0</f>
        <v>0</v>
      </c>
      <c r="BD157" s="15" t="n">
        <f aca="false">(BH156)+AC157-AF157-AI157-AS157-K157*(1+Parametri_v3!$C$26)-AL157-AQ157-O157+AW157+AX157+AZ157+BA157-BB157</f>
        <v>64202.8360079998</v>
      </c>
      <c r="BE157" s="15" t="n">
        <f aca="false">0</f>
        <v>0</v>
      </c>
      <c r="BF157" s="15" t="n">
        <f aca="false">0</f>
        <v>0</v>
      </c>
      <c r="BG157" s="15" t="n">
        <f aca="false">0</f>
        <v>0</v>
      </c>
      <c r="BH157" s="15" t="n">
        <f aca="false">BD157+BE157-BF157-AY157</f>
        <v>64202.8360079998</v>
      </c>
      <c r="BI157" s="15" t="n">
        <f aca="false">MAX(0,Parametri_v3!$C$31-BH157)</f>
        <v>0</v>
      </c>
      <c r="BJ157" s="15" t="n">
        <f aca="false">(BJ156)+K157</f>
        <v>11750</v>
      </c>
      <c r="BK157" s="15" t="n">
        <f aca="false">(BK156)+L157</f>
        <v>4965.27777777778</v>
      </c>
      <c r="BL157" s="15" t="n">
        <f aca="false">BJ157-BK157</f>
        <v>6784.72222222222</v>
      </c>
      <c r="BM157" s="15" t="n">
        <f aca="false">(BM156)+Y157</f>
        <v>168352.396300938</v>
      </c>
      <c r="BN157" s="15" t="n">
        <f aca="false">(BN156)+AW157+AX157+AZ157</f>
        <v>20000</v>
      </c>
      <c r="BO157" s="15" t="n">
        <f aca="false">(BO156)+AY157</f>
        <v>0</v>
      </c>
      <c r="BP157" s="15" t="n">
        <f aca="false">MIN(Parametri_v3!$C$36*Parametri_v3!$C$35,(BP156)+IF(9=1,MAX(0,SUM(Y137:Y148))*Parametri_v3!$C$34,0))</f>
        <v>2000</v>
      </c>
      <c r="BQ157" s="15" t="n">
        <f aca="false">BN157+BM157-BO157</f>
        <v>188352.396300938</v>
      </c>
      <c r="BR157" s="15" t="n">
        <f aca="false">BH157+AD157+BL157+MAX(0,-AM157)+MAX(0,-AR157)</f>
        <v>292417.558230222</v>
      </c>
      <c r="BS157" s="15" t="n">
        <f aca="false">AJ157+AV157+MAX(0,AM157)+MAX(0,AR157)+BC157+BG157+BQ157+AG157</f>
        <v>292417.558230222</v>
      </c>
      <c r="BT157" s="15" t="n">
        <f aca="false">BR157-BS157</f>
        <v>0</v>
      </c>
      <c r="BU157" s="15" t="n">
        <f aca="false">BH157-(BD157+BE157-BF157-AY157)</f>
        <v>0</v>
      </c>
      <c r="BV157" s="15" t="n">
        <f aca="false">IF(BH156&lt;Parametri_v3!$C$31,0,BV156+1)</f>
        <v>4</v>
      </c>
    </row>
    <row r="158" customFormat="false" ht="18" hidden="false" customHeight="true" outlineLevel="0" collapsed="false">
      <c r="A158" s="68" t="n">
        <f aca="false">3</f>
        <v>3</v>
      </c>
      <c r="B158" s="68" t="n">
        <f aca="false">34</f>
        <v>34</v>
      </c>
      <c r="C158" s="18" t="n">
        <f aca="false">Motore_Operativo!C158</f>
        <v>47392</v>
      </c>
      <c r="D158" s="68" t="n">
        <f aca="false">Motore_Operativo!D158</f>
        <v>2029</v>
      </c>
      <c r="E158" s="68" t="n">
        <f aca="false">Motore_Operativo!E158</f>
        <v>10</v>
      </c>
      <c r="F158" s="15" t="n">
        <f aca="false">Motore_Operativo!AM158</f>
        <v>60500</v>
      </c>
      <c r="G158" s="15" t="n">
        <f aca="false">Motore_Operativo!BH158</f>
        <v>6050</v>
      </c>
      <c r="H158" s="15" t="n">
        <f aca="false">Motore_Operativo!AM158</f>
        <v>60500</v>
      </c>
      <c r="I158" s="15" t="n">
        <f aca="false">Motore_Operativo!CB158</f>
        <v>46259.8958333333</v>
      </c>
      <c r="J158" s="15" t="n">
        <f aca="false">Motore_Operativo!CD158</f>
        <v>14240.1041666667</v>
      </c>
      <c r="K158" s="15" t="n">
        <f aca="false">Motore_Operativo!CF158</f>
        <v>416.666666666667</v>
      </c>
      <c r="L158" s="15" t="n">
        <f aca="false">SUM(INDEX($K$125:$K$184,MAX(1,34-Parametri_v3!$C$59+1)):K158)/Parametri_v3!$C$59</f>
        <v>337.962962962963</v>
      </c>
      <c r="M158" s="15" t="n">
        <f aca="false">J158-L158</f>
        <v>13902.1412037037</v>
      </c>
      <c r="N158" s="15" t="n">
        <f aca="false">0</f>
        <v>0</v>
      </c>
      <c r="O158" s="15" t="n">
        <f aca="false">0</f>
        <v>0</v>
      </c>
      <c r="P158" s="15" t="n">
        <f aca="false">M158+N158-O158</f>
        <v>13902.1412037037</v>
      </c>
      <c r="Q158" s="15" t="n">
        <f aca="false">SUM(P149:P158)+Parametri_v3!$C$56*10/12</f>
        <v>139542.24537037</v>
      </c>
      <c r="R158" s="15" t="n">
        <f aca="false">Z148</f>
        <v>0</v>
      </c>
      <c r="S158" s="15" t="n">
        <f aca="false">AA148</f>
        <v>0</v>
      </c>
      <c r="T158" s="15" t="n">
        <f aca="false">MIN(R158,MAX(0,Q158))</f>
        <v>0</v>
      </c>
      <c r="U158" s="15" t="n">
        <f aca="false">MIN(S158,MAX(0,Q158-T158)*Parametri_v3!$C$42)</f>
        <v>0</v>
      </c>
      <c r="V158" s="15" t="n">
        <f aca="false">MAX(0,Q158-T158-U158)*Ipotesi!$C$92</f>
        <v>33490.1388888889</v>
      </c>
      <c r="W158" s="15" t="n">
        <f aca="false">MAX(0,SUM(M149:M158)+Parametri_v3!$C$57*10/12)*Ipotesi!$C$93</f>
        <v>5442.14756944445</v>
      </c>
      <c r="X158" s="15" t="n">
        <f aca="false">V158+W158-(V157+W157)</f>
        <v>3878.69739583333</v>
      </c>
      <c r="Y158" s="15" t="n">
        <f aca="false">P158-X158</f>
        <v>10023.4438078704</v>
      </c>
      <c r="Z158" s="15" t="n">
        <f aca="false">R158-T158+IF(AND(Parametri_v3!$C$40=1,D158-YEAR(Parametri_v3!$C$50)&lt;Parametri_v3!$C$41),MAX(0,-Q158),0)</f>
        <v>0</v>
      </c>
      <c r="AA158" s="15" t="n">
        <f aca="false">S158-U158+IF(AND(Parametri_v3!$C$40=1,D158-YEAR(Parametri_v3!$C$50)&lt;Parametri_v3!$C$41),0,MAX(0,-Q158))</f>
        <v>0</v>
      </c>
      <c r="AB158" s="15" t="n">
        <f aca="false">F158*(1+Parametri_v3!$C$26)</f>
        <v>73810</v>
      </c>
      <c r="AC158" s="15" t="n">
        <f aca="false">(IF(34-(INT((Motore_Operativo!L158)/30))&lt;1,0,INDEX(Motore_Advisory!$AB$125:$AB$184,MAX(1,34-(INT((Motore_Operativo!L158)/30)))))*(1-(MOD((Motore_Operativo!L158),30)/30))+IF(34-(INT((Motore_Operativo!L158)/30))-1&lt;1,0,INDEX(Motore_Advisory!$AB$125:$AB$184,MAX(1,34-(INT((Motore_Operativo!L158)/30))-1)))*(MOD((Motore_Operativo!L158),30)/30))</f>
        <v>73810</v>
      </c>
      <c r="AD158" s="15" t="n">
        <f aca="false">(AD157)+AB158-AC158</f>
        <v>221430</v>
      </c>
      <c r="AE158" s="15" t="n">
        <f aca="false">Motore_Operativo!BH158*(1+Parametri_v3!$C$26)</f>
        <v>7381</v>
      </c>
      <c r="AF158" s="15" t="n">
        <f aca="false">(IF(34-(INT((Parametri_v3!$C$29)/30))&lt;1,0,INDEX(Motore_Operativo!$BH$125:$BH$184,MAX(1,34-(INT((Parametri_v3!$C$29)/30)))))*(1-(MOD((Parametri_v3!$C$29),30)/30))+IF(34-(INT((Parametri_v3!$C$29)/30))-1&lt;1,0,INDEX(Motore_Operativo!$BH$125:$BH$184,MAX(1,34-(INT((Parametri_v3!$C$29)/30))-1)))*(MOD((Parametri_v3!$C$29),30)/30))*(1+Parametri_v3!$C$26)</f>
        <v>7381</v>
      </c>
      <c r="AG158" s="15" t="n">
        <f aca="false">(AG157)+AE158-AF158</f>
        <v>7381</v>
      </c>
      <c r="AH158" s="15" t="n">
        <f aca="false">(Motore_Operativo!CK158)*(1+Parametri_v3!$C$28*Parametri_v3!$C$26)</f>
        <v>17395.98</v>
      </c>
      <c r="AI158" s="15" t="n">
        <f aca="false">(IF(34-(INT((Ipotesi!$C$91)/30))&lt;1,0,INDEX(Motore_Advisory!$AH$125:$AH$184,MAX(1,34-(INT((Ipotesi!$C$91)/30)))))*(1-(MOD((Ipotesi!$C$91),30)/30))+IF(34-(INT((Ipotesi!$C$91)/30))-1&lt;1,0,INDEX(Motore_Advisory!$AH$125:$AH$184,MAX(1,34-(INT((Ipotesi!$C$91)/30))-1)))*(MOD((Ipotesi!$C$91),30)/30))</f>
        <v>17395.98</v>
      </c>
      <c r="AJ158" s="15" t="n">
        <f aca="false">(AJ157)+AH158-AI158</f>
        <v>34791.96</v>
      </c>
      <c r="AK158" s="15" t="n">
        <f aca="false">(F158- Motore_Operativo!BH158-(Motore_Operativo!CK158)*Parametri_v3!$C$28-Motore_Operativo!CF158)*Parametri_v3!$C$26</f>
        <v>9283.85333333333</v>
      </c>
      <c r="AL158" s="15" t="n">
        <f aca="false">MAX(0,(AM157))</f>
        <v>9283.85333333333</v>
      </c>
      <c r="AM158" s="15" t="n">
        <f aca="false">(AM157)+AK158-AL158</f>
        <v>9283.85333333333</v>
      </c>
      <c r="AN158" s="15" t="n">
        <f aca="false">SUM(X137:X148)</f>
        <v>16530.1714788732</v>
      </c>
      <c r="AO158" s="15" t="n">
        <f aca="false">SUM(AP137:AP148)</f>
        <v>13562.312368421</v>
      </c>
      <c r="AP158" s="15" t="n">
        <f aca="false">MAX(0,AN158)*IF(10=Parametri_v3!$C$43,Parametri_v3!$C$45,IF(10=Parametri_v3!$C$44,1-Parametri_v3!$C$45,0))</f>
        <v>0</v>
      </c>
      <c r="AQ158" s="15" t="n">
        <f aca="false">MAX(0,AP158+IF(10=Parametri_v3!$C$43,MAX(0,AN158-AO158),0)-MAX(0,-(AR157)))</f>
        <v>0</v>
      </c>
      <c r="AR158" s="15" t="n">
        <f aca="false">(AR157)+X158-AQ158</f>
        <v>32320.217866784</v>
      </c>
      <c r="AS158" s="15" t="n">
        <f aca="false">Motore_Operativo!AC158-AT158+AU158</f>
        <v>24146.5260416667</v>
      </c>
      <c r="AT158" s="15" t="n">
        <f aca="false">Motore_Operativo!CI158</f>
        <v>1270.86979166667</v>
      </c>
      <c r="AU158" s="15" t="n">
        <f aca="false">MIN(MAX(0,(AV157)+AT158),Parametri_v3!$C$61/12)</f>
        <v>0</v>
      </c>
      <c r="AV158" s="15" t="n">
        <f aca="false">(AV157)+AT158-AU158</f>
        <v>25437.6979166667</v>
      </c>
      <c r="AW158" s="15" t="n">
        <f aca="false">IF(AND(Motore_Operativo!C158=Finanziamenti!$D$7,Finanziamenti!$F$7=1),Finanziamenti!$C$7,0)</f>
        <v>0</v>
      </c>
      <c r="AX158" s="15" t="n">
        <f aca="false">0</f>
        <v>0</v>
      </c>
      <c r="AY158" s="15" t="n">
        <f aca="false">IF(10=Parametri_v3!$C$33,IF(BV158&lt;MIN(12,$B158-1),0,MIN(MAX(0,SUM(Y137:Y148))*Ipotesi!$C$94,MAX(0,(BM148)-(BO157)-BP158),MAX(0,BD158-Parametri_v3!$C$31))),0)</f>
        <v>0</v>
      </c>
      <c r="AZ158" s="15" t="n">
        <f aca="false">0</f>
        <v>0</v>
      </c>
      <c r="BA158" s="15" t="n">
        <f aca="false">0</f>
        <v>0</v>
      </c>
      <c r="BB158" s="15" t="n">
        <f aca="false">0</f>
        <v>0</v>
      </c>
      <c r="BC158" s="15" t="n">
        <f aca="false">0</f>
        <v>0</v>
      </c>
      <c r="BD158" s="15" t="n">
        <f aca="false">(BH157)+AC158-AF158-AI158-AS158-K158*(1+Parametri_v3!$C$26)-AL158-AQ158-O158+AW158+AX158+AZ158+BA158-BB158</f>
        <v>79297.1432996665</v>
      </c>
      <c r="BE158" s="15" t="n">
        <f aca="false">0</f>
        <v>0</v>
      </c>
      <c r="BF158" s="15" t="n">
        <f aca="false">0</f>
        <v>0</v>
      </c>
      <c r="BG158" s="15" t="n">
        <f aca="false">0</f>
        <v>0</v>
      </c>
      <c r="BH158" s="15" t="n">
        <f aca="false">BD158+BE158-BF158-AY158</f>
        <v>79297.1432996665</v>
      </c>
      <c r="BI158" s="15" t="n">
        <f aca="false">MAX(0,Parametri_v3!$C$31-BH158)</f>
        <v>0</v>
      </c>
      <c r="BJ158" s="15" t="n">
        <f aca="false">(BJ157)+K158</f>
        <v>12166.6666666667</v>
      </c>
      <c r="BK158" s="15" t="n">
        <f aca="false">(BK157)+L158</f>
        <v>5303.24074074074</v>
      </c>
      <c r="BL158" s="15" t="n">
        <f aca="false">BJ158-BK158</f>
        <v>6863.42592592592</v>
      </c>
      <c r="BM158" s="15" t="n">
        <f aca="false">(BM157)+Y158</f>
        <v>178375.840108808</v>
      </c>
      <c r="BN158" s="15" t="n">
        <f aca="false">(BN157)+AW158+AX158+AZ158</f>
        <v>20000</v>
      </c>
      <c r="BO158" s="15" t="n">
        <f aca="false">(BO157)+AY158</f>
        <v>0</v>
      </c>
      <c r="BP158" s="15" t="n">
        <f aca="false">MIN(Parametri_v3!$C$36*Parametri_v3!$C$35,(BP157)+IF(10=1,MAX(0,SUM(Y137:Y148))*Parametri_v3!$C$34,0))</f>
        <v>2000</v>
      </c>
      <c r="BQ158" s="15" t="n">
        <f aca="false">BN158+BM158-BO158</f>
        <v>198375.840108808</v>
      </c>
      <c r="BR158" s="15" t="n">
        <f aca="false">BH158+AD158+BL158+MAX(0,-AM158)+MAX(0,-AR158)</f>
        <v>307590.569225592</v>
      </c>
      <c r="BS158" s="15" t="n">
        <f aca="false">AJ158+AV158+MAX(0,AM158)+MAX(0,AR158)+BC158+BG158+BQ158+AG158</f>
        <v>307590.569225592</v>
      </c>
      <c r="BT158" s="15" t="n">
        <f aca="false">BR158-BS158</f>
        <v>0</v>
      </c>
      <c r="BU158" s="15" t="n">
        <f aca="false">BH158-(BD158+BE158-BF158-AY158)</f>
        <v>0</v>
      </c>
      <c r="BV158" s="15" t="n">
        <f aca="false">IF(BH157&lt;Parametri_v3!$C$31,0,BV157+1)</f>
        <v>5</v>
      </c>
    </row>
    <row r="159" customFormat="false" ht="18" hidden="false" customHeight="true" outlineLevel="0" collapsed="false">
      <c r="A159" s="68" t="n">
        <f aca="false">3</f>
        <v>3</v>
      </c>
      <c r="B159" s="68" t="n">
        <f aca="false">35</f>
        <v>35</v>
      </c>
      <c r="C159" s="18" t="n">
        <f aca="false">Motore_Operativo!C159</f>
        <v>47423</v>
      </c>
      <c r="D159" s="68" t="n">
        <f aca="false">Motore_Operativo!D159</f>
        <v>2029</v>
      </c>
      <c r="E159" s="68" t="n">
        <f aca="false">Motore_Operativo!E159</f>
        <v>11</v>
      </c>
      <c r="F159" s="15" t="n">
        <f aca="false">Motore_Operativo!AM159</f>
        <v>60500</v>
      </c>
      <c r="G159" s="15" t="n">
        <f aca="false">Motore_Operativo!BH159</f>
        <v>6050</v>
      </c>
      <c r="H159" s="15" t="n">
        <f aca="false">Motore_Operativo!AM159</f>
        <v>60500</v>
      </c>
      <c r="I159" s="15" t="n">
        <f aca="false">Motore_Operativo!CB159</f>
        <v>46259.8958333333</v>
      </c>
      <c r="J159" s="15" t="n">
        <f aca="false">Motore_Operativo!CD159</f>
        <v>14240.1041666667</v>
      </c>
      <c r="K159" s="15" t="n">
        <f aca="false">Motore_Operativo!CF159</f>
        <v>416.666666666667</v>
      </c>
      <c r="L159" s="15" t="n">
        <f aca="false">SUM(INDEX($K$125:$K$184,MAX(1,35-Parametri_v3!$C$59+1)):K159)/Parametri_v3!$C$59</f>
        <v>349.537037037037</v>
      </c>
      <c r="M159" s="15" t="n">
        <f aca="false">J159-L159</f>
        <v>13890.5671296296</v>
      </c>
      <c r="N159" s="15" t="n">
        <f aca="false">0</f>
        <v>0</v>
      </c>
      <c r="O159" s="15" t="n">
        <f aca="false">0</f>
        <v>0</v>
      </c>
      <c r="P159" s="15" t="n">
        <f aca="false">M159+N159-O159</f>
        <v>13890.5671296296</v>
      </c>
      <c r="Q159" s="15" t="n">
        <f aca="false">SUM(P149:P159)+Parametri_v3!$C$56*11/12</f>
        <v>153432.8125</v>
      </c>
      <c r="R159" s="15" t="n">
        <f aca="false">Z148</f>
        <v>0</v>
      </c>
      <c r="S159" s="15" t="n">
        <f aca="false">AA148</f>
        <v>0</v>
      </c>
      <c r="T159" s="15" t="n">
        <f aca="false">MIN(R159,MAX(0,Q159))</f>
        <v>0</v>
      </c>
      <c r="U159" s="15" t="n">
        <f aca="false">MIN(S159,MAX(0,Q159-T159)*Parametri_v3!$C$42)</f>
        <v>0</v>
      </c>
      <c r="V159" s="15" t="n">
        <f aca="false">MAX(0,Q159-T159-U159)*Ipotesi!$C$92</f>
        <v>36823.875</v>
      </c>
      <c r="W159" s="15" t="n">
        <f aca="false">MAX(0,SUM(M149:M159)+Parametri_v3!$C$57*11/12)*Ipotesi!$C$93</f>
        <v>5983.8796875</v>
      </c>
      <c r="X159" s="15" t="n">
        <f aca="false">V159+W159-(V158+W158)</f>
        <v>3875.46822916668</v>
      </c>
      <c r="Y159" s="15" t="n">
        <f aca="false">P159-X159</f>
        <v>10015.098900463</v>
      </c>
      <c r="Z159" s="15" t="n">
        <f aca="false">R159-T159+IF(AND(Parametri_v3!$C$40=1,D159-YEAR(Parametri_v3!$C$50)&lt;Parametri_v3!$C$41),MAX(0,-Q159),0)</f>
        <v>0</v>
      </c>
      <c r="AA159" s="15" t="n">
        <f aca="false">S159-U159+IF(AND(Parametri_v3!$C$40=1,D159-YEAR(Parametri_v3!$C$50)&lt;Parametri_v3!$C$41),0,MAX(0,-Q159))</f>
        <v>0</v>
      </c>
      <c r="AB159" s="15" t="n">
        <f aca="false">F159*(1+Parametri_v3!$C$26)</f>
        <v>73810</v>
      </c>
      <c r="AC159" s="15" t="n">
        <f aca="false">(IF(35-(INT((Motore_Operativo!L159)/30))&lt;1,0,INDEX(Motore_Advisory!$AB$125:$AB$184,MAX(1,35-(INT((Motore_Operativo!L159)/30)))))*(1-(MOD((Motore_Operativo!L159),30)/30))+IF(35-(INT((Motore_Operativo!L159)/30))-1&lt;1,0,INDEX(Motore_Advisory!$AB$125:$AB$184,MAX(1,35-(INT((Motore_Operativo!L159)/30))-1)))*(MOD((Motore_Operativo!L159),30)/30))</f>
        <v>73810</v>
      </c>
      <c r="AD159" s="15" t="n">
        <f aca="false">(AD158)+AB159-AC159</f>
        <v>221430</v>
      </c>
      <c r="AE159" s="15" t="n">
        <f aca="false">Motore_Operativo!BH159*(1+Parametri_v3!$C$26)</f>
        <v>7381</v>
      </c>
      <c r="AF159" s="15" t="n">
        <f aca="false">(IF(35-(INT((Parametri_v3!$C$29)/30))&lt;1,0,INDEX(Motore_Operativo!$BH$125:$BH$184,MAX(1,35-(INT((Parametri_v3!$C$29)/30)))))*(1-(MOD((Parametri_v3!$C$29),30)/30))+IF(35-(INT((Parametri_v3!$C$29)/30))-1&lt;1,0,INDEX(Motore_Operativo!$BH$125:$BH$184,MAX(1,35-(INT((Parametri_v3!$C$29)/30))-1)))*(MOD((Parametri_v3!$C$29),30)/30))*(1+Parametri_v3!$C$26)</f>
        <v>7381</v>
      </c>
      <c r="AG159" s="15" t="n">
        <f aca="false">(AG158)+AE159-AF159</f>
        <v>7381</v>
      </c>
      <c r="AH159" s="15" t="n">
        <f aca="false">(Motore_Operativo!CK159)*(1+Parametri_v3!$C$28*Parametri_v3!$C$26)</f>
        <v>17395.98</v>
      </c>
      <c r="AI159" s="15" t="n">
        <f aca="false">(IF(35-(INT((Ipotesi!$C$91)/30))&lt;1,0,INDEX(Motore_Advisory!$AH$125:$AH$184,MAX(1,35-(INT((Ipotesi!$C$91)/30)))))*(1-(MOD((Ipotesi!$C$91),30)/30))+IF(35-(INT((Ipotesi!$C$91)/30))-1&lt;1,0,INDEX(Motore_Advisory!$AH$125:$AH$184,MAX(1,35-(INT((Ipotesi!$C$91)/30))-1)))*(MOD((Ipotesi!$C$91),30)/30))</f>
        <v>17395.98</v>
      </c>
      <c r="AJ159" s="15" t="n">
        <f aca="false">(AJ158)+AH159-AI159</f>
        <v>34791.96</v>
      </c>
      <c r="AK159" s="15" t="n">
        <f aca="false">(F159- Motore_Operativo!BH159-(Motore_Operativo!CK159)*Parametri_v3!$C$28-Motore_Operativo!CF159)*Parametri_v3!$C$26</f>
        <v>9283.85333333333</v>
      </c>
      <c r="AL159" s="15" t="n">
        <f aca="false">MAX(0,(AM158))</f>
        <v>9283.85333333333</v>
      </c>
      <c r="AM159" s="15" t="n">
        <f aca="false">(AM158)+AK159-AL159</f>
        <v>9283.85333333333</v>
      </c>
      <c r="AN159" s="15" t="n">
        <f aca="false">SUM(X137:X148)</f>
        <v>16530.1714788732</v>
      </c>
      <c r="AO159" s="15" t="n">
        <f aca="false">SUM(AP137:AP148)</f>
        <v>13562.312368421</v>
      </c>
      <c r="AP159" s="15" t="n">
        <f aca="false">MAX(0,AN159)*IF(11=Parametri_v3!$C$43,Parametri_v3!$C$45,IF(11=Parametri_v3!$C$44,1-Parametri_v3!$C$45,0))</f>
        <v>9918.10288732395</v>
      </c>
      <c r="AQ159" s="15" t="n">
        <f aca="false">MAX(0,AP159+IF(11=Parametri_v3!$C$43,MAX(0,AN159-AO159),0)-MAX(0,-(AR158)))</f>
        <v>9918.10288732395</v>
      </c>
      <c r="AR159" s="15" t="n">
        <f aca="false">(AR158)+X159-AQ159</f>
        <v>26277.5832086268</v>
      </c>
      <c r="AS159" s="15" t="n">
        <f aca="false">Motore_Operativo!AC159-AT159+AU159</f>
        <v>24146.5260416667</v>
      </c>
      <c r="AT159" s="15" t="n">
        <f aca="false">Motore_Operativo!CI159</f>
        <v>1270.86979166667</v>
      </c>
      <c r="AU159" s="15" t="n">
        <f aca="false">MIN(MAX(0,(AV158)+AT159),Parametri_v3!$C$61/12)</f>
        <v>0</v>
      </c>
      <c r="AV159" s="15" t="n">
        <f aca="false">(AV158)+AT159-AU159</f>
        <v>26708.5677083333</v>
      </c>
      <c r="AW159" s="15" t="n">
        <f aca="false">IF(AND(Motore_Operativo!C159=Finanziamenti!$D$7,Finanziamenti!$F$7=1),Finanziamenti!$C$7,0)</f>
        <v>0</v>
      </c>
      <c r="AX159" s="15" t="n">
        <f aca="false">0</f>
        <v>0</v>
      </c>
      <c r="AY159" s="15" t="n">
        <f aca="false">IF(11=Parametri_v3!$C$33,IF(BV159&lt;MIN(12,$B159-1),0,MIN(MAX(0,SUM(Y137:Y148))*Ipotesi!$C$94,MAX(0,(BM148)-(BO158)-BP159),MAX(0,BD159-Parametri_v3!$C$31))),0)</f>
        <v>0</v>
      </c>
      <c r="AZ159" s="15" t="n">
        <f aca="false">0</f>
        <v>0</v>
      </c>
      <c r="BA159" s="15" t="n">
        <f aca="false">0</f>
        <v>0</v>
      </c>
      <c r="BB159" s="15" t="n">
        <f aca="false">0</f>
        <v>0</v>
      </c>
      <c r="BC159" s="15" t="n">
        <f aca="false">0</f>
        <v>0</v>
      </c>
      <c r="BD159" s="15" t="n">
        <f aca="false">(BH158)+AC159-AF159-AI159-AS159-K159*(1+Parametri_v3!$C$26)-AL159-AQ159-O159+AW159+AX159+AZ159+BA159-BB159</f>
        <v>84473.3477040092</v>
      </c>
      <c r="BE159" s="15" t="n">
        <f aca="false">0</f>
        <v>0</v>
      </c>
      <c r="BF159" s="15" t="n">
        <f aca="false">0</f>
        <v>0</v>
      </c>
      <c r="BG159" s="15" t="n">
        <f aca="false">0</f>
        <v>0</v>
      </c>
      <c r="BH159" s="15" t="n">
        <f aca="false">BD159+BE159-BF159-AY159</f>
        <v>84473.3477040092</v>
      </c>
      <c r="BI159" s="15" t="n">
        <f aca="false">MAX(0,Parametri_v3!$C$31-BH159)</f>
        <v>0</v>
      </c>
      <c r="BJ159" s="15" t="n">
        <f aca="false">(BJ158)+K159</f>
        <v>12583.3333333333</v>
      </c>
      <c r="BK159" s="15" t="n">
        <f aca="false">(BK158)+L159</f>
        <v>5652.77777777778</v>
      </c>
      <c r="BL159" s="15" t="n">
        <f aca="false">BJ159-BK159</f>
        <v>6930.55555555555</v>
      </c>
      <c r="BM159" s="15" t="n">
        <f aca="false">(BM158)+Y159</f>
        <v>188390.939009271</v>
      </c>
      <c r="BN159" s="15" t="n">
        <f aca="false">(BN158)+AW159+AX159+AZ159</f>
        <v>20000</v>
      </c>
      <c r="BO159" s="15" t="n">
        <f aca="false">(BO158)+AY159</f>
        <v>0</v>
      </c>
      <c r="BP159" s="15" t="n">
        <f aca="false">MIN(Parametri_v3!$C$36*Parametri_v3!$C$35,(BP158)+IF(11=1,MAX(0,SUM(Y137:Y148))*Parametri_v3!$C$34,0))</f>
        <v>2000</v>
      </c>
      <c r="BQ159" s="15" t="n">
        <f aca="false">BN159+BM159-BO159</f>
        <v>208390.939009271</v>
      </c>
      <c r="BR159" s="15" t="n">
        <f aca="false">BH159+AD159+BL159+MAX(0,-AM159)+MAX(0,-AR159)</f>
        <v>312833.903259565</v>
      </c>
      <c r="BS159" s="15" t="n">
        <f aca="false">AJ159+AV159+MAX(0,AM159)+MAX(0,AR159)+BC159+BG159+BQ159+AG159</f>
        <v>312833.903259565</v>
      </c>
      <c r="BT159" s="15" t="n">
        <f aca="false">BR159-BS159</f>
        <v>0</v>
      </c>
      <c r="BU159" s="15" t="n">
        <f aca="false">BH159-(BD159+BE159-BF159-AY159)</f>
        <v>0</v>
      </c>
      <c r="BV159" s="15" t="n">
        <f aca="false">IF(BH158&lt;Parametri_v3!$C$31,0,BV158+1)</f>
        <v>6</v>
      </c>
    </row>
    <row r="160" customFormat="false" ht="18" hidden="false" customHeight="true" outlineLevel="0" collapsed="false">
      <c r="A160" s="68" t="n">
        <f aca="false">3</f>
        <v>3</v>
      </c>
      <c r="B160" s="68" t="n">
        <f aca="false">36</f>
        <v>36</v>
      </c>
      <c r="C160" s="18" t="n">
        <f aca="false">Motore_Operativo!C160</f>
        <v>47453</v>
      </c>
      <c r="D160" s="68" t="n">
        <f aca="false">Motore_Operativo!D160</f>
        <v>2029</v>
      </c>
      <c r="E160" s="68" t="n">
        <f aca="false">Motore_Operativo!E160</f>
        <v>12</v>
      </c>
      <c r="F160" s="15" t="n">
        <f aca="false">Motore_Operativo!AM160</f>
        <v>60500</v>
      </c>
      <c r="G160" s="15" t="n">
        <f aca="false">Motore_Operativo!BH160</f>
        <v>6050</v>
      </c>
      <c r="H160" s="15" t="n">
        <f aca="false">Motore_Operativo!AM160</f>
        <v>60500</v>
      </c>
      <c r="I160" s="15" t="n">
        <f aca="false">Motore_Operativo!CB160</f>
        <v>46259.8958333333</v>
      </c>
      <c r="J160" s="15" t="n">
        <f aca="false">Motore_Operativo!CD160</f>
        <v>14240.1041666667</v>
      </c>
      <c r="K160" s="15" t="n">
        <f aca="false">Motore_Operativo!CF160</f>
        <v>416.666666666667</v>
      </c>
      <c r="L160" s="15" t="n">
        <f aca="false">SUM(INDEX($K$125:$K$184,MAX(1,36-Parametri_v3!$C$59+1)):K160)/Parametri_v3!$C$59</f>
        <v>361.111111111111</v>
      </c>
      <c r="M160" s="15" t="n">
        <f aca="false">J160-L160</f>
        <v>13878.9930555556</v>
      </c>
      <c r="N160" s="15" t="n">
        <f aca="false">0</f>
        <v>0</v>
      </c>
      <c r="O160" s="15" t="n">
        <f aca="false">0</f>
        <v>0</v>
      </c>
      <c r="P160" s="15" t="n">
        <f aca="false">M160+N160-O160</f>
        <v>13878.9930555556</v>
      </c>
      <c r="Q160" s="15" t="n">
        <f aca="false">SUM(P149:P160)+Parametri_v3!$C$56*12/12</f>
        <v>167311.805555556</v>
      </c>
      <c r="R160" s="15" t="n">
        <f aca="false">Z148</f>
        <v>0</v>
      </c>
      <c r="S160" s="15" t="n">
        <f aca="false">AA148</f>
        <v>0</v>
      </c>
      <c r="T160" s="15" t="n">
        <f aca="false">MIN(R160,MAX(0,Q160))</f>
        <v>0</v>
      </c>
      <c r="U160" s="15" t="n">
        <f aca="false">MIN(S160,MAX(0,Q160-T160)*Parametri_v3!$C$42)</f>
        <v>0</v>
      </c>
      <c r="V160" s="15" t="n">
        <f aca="false">MAX(0,Q160-T160-U160)*Ipotesi!$C$92</f>
        <v>40154.8333333334</v>
      </c>
      <c r="W160" s="15" t="n">
        <f aca="false">MAX(0,SUM(M149:M160)+Parametri_v3!$C$57*12/12)*Ipotesi!$C$93</f>
        <v>6525.16041666667</v>
      </c>
      <c r="X160" s="15" t="n">
        <f aca="false">V160+W160-(V159+W159)</f>
        <v>3872.2390625</v>
      </c>
      <c r="Y160" s="15" t="n">
        <f aca="false">P160-X160</f>
        <v>10006.7539930556</v>
      </c>
      <c r="Z160" s="15" t="n">
        <f aca="false">R160-T160+IF(AND(Parametri_v3!$C$40=1,D160-YEAR(Parametri_v3!$C$50)&lt;Parametri_v3!$C$41),MAX(0,-Q160),0)</f>
        <v>0</v>
      </c>
      <c r="AA160" s="15" t="n">
        <f aca="false">S160-U160+IF(AND(Parametri_v3!$C$40=1,D160-YEAR(Parametri_v3!$C$50)&lt;Parametri_v3!$C$41),0,MAX(0,-Q160))</f>
        <v>0</v>
      </c>
      <c r="AB160" s="15" t="n">
        <f aca="false">F160*(1+Parametri_v3!$C$26)</f>
        <v>73810</v>
      </c>
      <c r="AC160" s="15" t="n">
        <f aca="false">(IF(36-(INT((Motore_Operativo!L160)/30))&lt;1,0,INDEX(Motore_Advisory!$AB$125:$AB$184,MAX(1,36-(INT((Motore_Operativo!L160)/30)))))*(1-(MOD((Motore_Operativo!L160),30)/30))+IF(36-(INT((Motore_Operativo!L160)/30))-1&lt;1,0,INDEX(Motore_Advisory!$AB$125:$AB$184,MAX(1,36-(INT((Motore_Operativo!L160)/30))-1)))*(MOD((Motore_Operativo!L160),30)/30))</f>
        <v>73810</v>
      </c>
      <c r="AD160" s="15" t="n">
        <f aca="false">(AD159)+AB160-AC160</f>
        <v>221430</v>
      </c>
      <c r="AE160" s="15" t="n">
        <f aca="false">Motore_Operativo!BH160*(1+Parametri_v3!$C$26)</f>
        <v>7381</v>
      </c>
      <c r="AF160" s="15" t="n">
        <f aca="false">(IF(36-(INT((Parametri_v3!$C$29)/30))&lt;1,0,INDEX(Motore_Operativo!$BH$125:$BH$184,MAX(1,36-(INT((Parametri_v3!$C$29)/30)))))*(1-(MOD((Parametri_v3!$C$29),30)/30))+IF(36-(INT((Parametri_v3!$C$29)/30))-1&lt;1,0,INDEX(Motore_Operativo!$BH$125:$BH$184,MAX(1,36-(INT((Parametri_v3!$C$29)/30))-1)))*(MOD((Parametri_v3!$C$29),30)/30))*(1+Parametri_v3!$C$26)</f>
        <v>7381</v>
      </c>
      <c r="AG160" s="15" t="n">
        <f aca="false">(AG159)+AE160-AF160</f>
        <v>7381</v>
      </c>
      <c r="AH160" s="15" t="n">
        <f aca="false">(Motore_Operativo!CK160)*(1+Parametri_v3!$C$28*Parametri_v3!$C$26)</f>
        <v>17395.98</v>
      </c>
      <c r="AI160" s="15" t="n">
        <f aca="false">(IF(36-(INT((Ipotesi!$C$91)/30))&lt;1,0,INDEX(Motore_Advisory!$AH$125:$AH$184,MAX(1,36-(INT((Ipotesi!$C$91)/30)))))*(1-(MOD((Ipotesi!$C$91),30)/30))+IF(36-(INT((Ipotesi!$C$91)/30))-1&lt;1,0,INDEX(Motore_Advisory!$AH$125:$AH$184,MAX(1,36-(INT((Ipotesi!$C$91)/30))-1)))*(MOD((Ipotesi!$C$91),30)/30))</f>
        <v>17395.98</v>
      </c>
      <c r="AJ160" s="15" t="n">
        <f aca="false">(AJ159)+AH160-AI160</f>
        <v>34791.96</v>
      </c>
      <c r="AK160" s="15" t="n">
        <f aca="false">(F160- Motore_Operativo!BH160-(Motore_Operativo!CK160)*Parametri_v3!$C$28-Motore_Operativo!CF160)*Parametri_v3!$C$26</f>
        <v>9283.85333333333</v>
      </c>
      <c r="AL160" s="15" t="n">
        <f aca="false">MAX(0,(AM159))</f>
        <v>9283.85333333333</v>
      </c>
      <c r="AM160" s="15" t="n">
        <f aca="false">(AM159)+AK160-AL160</f>
        <v>9283.85333333333</v>
      </c>
      <c r="AN160" s="15" t="n">
        <f aca="false">SUM(X137:X148)</f>
        <v>16530.1714788732</v>
      </c>
      <c r="AO160" s="15" t="n">
        <f aca="false">SUM(AP137:AP148)</f>
        <v>13562.312368421</v>
      </c>
      <c r="AP160" s="15" t="n">
        <f aca="false">MAX(0,AN160)*IF(12=Parametri_v3!$C$43,Parametri_v3!$C$45,IF(12=Parametri_v3!$C$44,1-Parametri_v3!$C$45,0))</f>
        <v>0</v>
      </c>
      <c r="AQ160" s="15" t="n">
        <f aca="false">MAX(0,AP160+IF(12=Parametri_v3!$C$43,MAX(0,AN160-AO160),0)-MAX(0,-(AR159)))</f>
        <v>0</v>
      </c>
      <c r="AR160" s="15" t="n">
        <f aca="false">(AR159)+X160-AQ160</f>
        <v>30149.8222711268</v>
      </c>
      <c r="AS160" s="15" t="n">
        <f aca="false">Motore_Operativo!AC160-AT160+AU160</f>
        <v>24146.5260416667</v>
      </c>
      <c r="AT160" s="15" t="n">
        <f aca="false">Motore_Operativo!CI160</f>
        <v>1270.86979166667</v>
      </c>
      <c r="AU160" s="15" t="n">
        <f aca="false">MIN(MAX(0,(AV159)+AT160),Parametri_v3!$C$61/12)</f>
        <v>0</v>
      </c>
      <c r="AV160" s="15" t="n">
        <f aca="false">(AV159)+AT160-AU160</f>
        <v>27979.4375</v>
      </c>
      <c r="AW160" s="15" t="n">
        <f aca="false">IF(AND(Motore_Operativo!C160=Finanziamenti!$D$7,Finanziamenti!$F$7=1),Finanziamenti!$C$7,0)</f>
        <v>0</v>
      </c>
      <c r="AX160" s="15" t="n">
        <f aca="false">0</f>
        <v>0</v>
      </c>
      <c r="AY160" s="15" t="n">
        <f aca="false">IF(12=Parametri_v3!$C$33,IF(BV160&lt;MIN(12,$B160-1),0,MIN(MAX(0,SUM(Y137:Y148))*Ipotesi!$C$94,MAX(0,(BM148)-(BO159)-BP160),MAX(0,BD160-Parametri_v3!$C$31))),0)</f>
        <v>0</v>
      </c>
      <c r="AZ160" s="15" t="n">
        <f aca="false">0</f>
        <v>0</v>
      </c>
      <c r="BA160" s="15" t="n">
        <f aca="false">0</f>
        <v>0</v>
      </c>
      <c r="BB160" s="15" t="n">
        <f aca="false">0</f>
        <v>0</v>
      </c>
      <c r="BC160" s="15" t="n">
        <f aca="false">0</f>
        <v>0</v>
      </c>
      <c r="BD160" s="15" t="n">
        <f aca="false">(BH159)+AC160-AF160-AI160-AS160-K160*(1+Parametri_v3!$C$26)-AL160-AQ160-O160+AW160+AX160+AZ160+BA160-BB160</f>
        <v>99567.6549956759</v>
      </c>
      <c r="BE160" s="15" t="n">
        <f aca="false">0</f>
        <v>0</v>
      </c>
      <c r="BF160" s="15" t="n">
        <f aca="false">0</f>
        <v>0</v>
      </c>
      <c r="BG160" s="15" t="n">
        <f aca="false">0</f>
        <v>0</v>
      </c>
      <c r="BH160" s="15" t="n">
        <f aca="false">BD160+BE160-BF160-AY160</f>
        <v>99567.6549956759</v>
      </c>
      <c r="BI160" s="15" t="n">
        <f aca="false">MAX(0,Parametri_v3!$C$31-BH160)</f>
        <v>0</v>
      </c>
      <c r="BJ160" s="15" t="n">
        <f aca="false">(BJ159)+K160</f>
        <v>13000</v>
      </c>
      <c r="BK160" s="15" t="n">
        <f aca="false">(BK159)+L160</f>
        <v>6013.88888888889</v>
      </c>
      <c r="BL160" s="15" t="n">
        <f aca="false">BJ160-BK160</f>
        <v>6986.11111111111</v>
      </c>
      <c r="BM160" s="15" t="n">
        <f aca="false">(BM159)+Y160</f>
        <v>198397.693002327</v>
      </c>
      <c r="BN160" s="15" t="n">
        <f aca="false">(BN159)+AW160+AX160+AZ160</f>
        <v>20000</v>
      </c>
      <c r="BO160" s="15" t="n">
        <f aca="false">(BO159)+AY160</f>
        <v>0</v>
      </c>
      <c r="BP160" s="15" t="n">
        <f aca="false">MIN(Parametri_v3!$C$36*Parametri_v3!$C$35,(BP159)+IF(12=1,MAX(0,SUM(Y137:Y148))*Parametri_v3!$C$34,0))</f>
        <v>2000</v>
      </c>
      <c r="BQ160" s="15" t="n">
        <f aca="false">BN160+BM160-BO160</f>
        <v>218397.693002327</v>
      </c>
      <c r="BR160" s="15" t="n">
        <f aca="false">BH160+AD160+BL160+MAX(0,-AM160)+MAX(0,-AR160)</f>
        <v>327983.766106787</v>
      </c>
      <c r="BS160" s="15" t="n">
        <f aca="false">AJ160+AV160+MAX(0,AM160)+MAX(0,AR160)+BC160+BG160+BQ160+AG160</f>
        <v>327983.766106787</v>
      </c>
      <c r="BT160" s="15" t="n">
        <f aca="false">BR160-BS160</f>
        <v>0</v>
      </c>
      <c r="BU160" s="15" t="n">
        <f aca="false">BH160-(BD160+BE160-BF160-AY160)</f>
        <v>0</v>
      </c>
      <c r="BV160" s="15" t="n">
        <f aca="false">IF(BH159&lt;Parametri_v3!$C$31,0,BV159+1)</f>
        <v>7</v>
      </c>
    </row>
    <row r="161" customFormat="false" ht="18" hidden="false" customHeight="true" outlineLevel="0" collapsed="false">
      <c r="A161" s="68" t="n">
        <f aca="false">3</f>
        <v>3</v>
      </c>
      <c r="B161" s="68" t="n">
        <f aca="false">37</f>
        <v>37</v>
      </c>
      <c r="C161" s="18" t="n">
        <f aca="false">Motore_Operativo!C161</f>
        <v>47484</v>
      </c>
      <c r="D161" s="68" t="n">
        <f aca="false">Motore_Operativo!D161</f>
        <v>2030</v>
      </c>
      <c r="E161" s="68" t="n">
        <f aca="false">Motore_Operativo!E161</f>
        <v>1</v>
      </c>
      <c r="F161" s="15" t="n">
        <f aca="false">Motore_Operativo!AM161</f>
        <v>90241.6666666667</v>
      </c>
      <c r="G161" s="15" t="n">
        <f aca="false">Motore_Operativo!BH161</f>
        <v>9024.16666666667</v>
      </c>
      <c r="H161" s="15" t="n">
        <f aca="false">Motore_Operativo!AM161</f>
        <v>90241.6666666667</v>
      </c>
      <c r="I161" s="15" t="n">
        <f aca="false">Motore_Operativo!CB161</f>
        <v>62580.173375</v>
      </c>
      <c r="J161" s="15" t="n">
        <f aca="false">Motore_Operativo!CD161</f>
        <v>27661.4932916667</v>
      </c>
      <c r="K161" s="15" t="n">
        <f aca="false">Motore_Operativo!CF161</f>
        <v>666.666666666667</v>
      </c>
      <c r="L161" s="15" t="n">
        <f aca="false">SUM(INDEX($K$125:$K$184,MAX(1,37-Parametri_v3!$C$59+1)):K161)/Parametri_v3!$C$59</f>
        <v>372.685185185185</v>
      </c>
      <c r="M161" s="15" t="n">
        <f aca="false">J161-L161</f>
        <v>27288.8081064815</v>
      </c>
      <c r="N161" s="15" t="n">
        <f aca="false">0</f>
        <v>0</v>
      </c>
      <c r="O161" s="15" t="n">
        <f aca="false">0</f>
        <v>0</v>
      </c>
      <c r="P161" s="15" t="n">
        <f aca="false">M161+N161-O161</f>
        <v>27288.8081064815</v>
      </c>
      <c r="Q161" s="15" t="n">
        <f aca="false">SUM(P161)+Parametri_v3!$C$56*1/12</f>
        <v>27288.8081064815</v>
      </c>
      <c r="R161" s="15" t="n">
        <f aca="false">Z160</f>
        <v>0</v>
      </c>
      <c r="S161" s="15" t="n">
        <f aca="false">AA160</f>
        <v>0</v>
      </c>
      <c r="T161" s="15" t="n">
        <f aca="false">MIN(R161,MAX(0,Q161))</f>
        <v>0</v>
      </c>
      <c r="U161" s="15" t="n">
        <f aca="false">MIN(S161,MAX(0,Q161-T161)*Parametri_v3!$C$42)</f>
        <v>0</v>
      </c>
      <c r="V161" s="15" t="n">
        <f aca="false">MAX(0,Q161-T161-U161)*Ipotesi!$C$92</f>
        <v>6549.31394555556</v>
      </c>
      <c r="W161" s="15" t="n">
        <f aca="false">MAX(0,SUM(M161)+Parametri_v3!$C$57*1/12)*Ipotesi!$C$93</f>
        <v>1064.26351615278</v>
      </c>
      <c r="X161" s="15" t="n">
        <f aca="false">V161+W161-(0)</f>
        <v>7613.57746170833</v>
      </c>
      <c r="Y161" s="15" t="n">
        <f aca="false">P161-X161</f>
        <v>19675.2306447731</v>
      </c>
      <c r="Z161" s="15" t="n">
        <f aca="false">R161-T161+IF(AND(Parametri_v3!$C$40=1,D161-YEAR(Parametri_v3!$C$50)&lt;Parametri_v3!$C$41),MAX(0,-Q161),0)</f>
        <v>0</v>
      </c>
      <c r="AA161" s="15" t="n">
        <f aca="false">S161-U161+IF(AND(Parametri_v3!$C$40=1,D161-YEAR(Parametri_v3!$C$50)&lt;Parametri_v3!$C$41),0,MAX(0,-Q161))</f>
        <v>0</v>
      </c>
      <c r="AB161" s="15" t="n">
        <f aca="false">F161*(1+Parametri_v3!$C$26)</f>
        <v>110094.833333333</v>
      </c>
      <c r="AC161" s="15" t="n">
        <f aca="false">(IF(37-(INT((Motore_Operativo!L161)/30))&lt;1,0,INDEX(Motore_Advisory!$AB$125:$AB$184,MAX(1,37-(INT((Motore_Operativo!L161)/30)))))*(1-(MOD((Motore_Operativo!L161),30)/30))+IF(37-(INT((Motore_Operativo!L161)/30))-1&lt;1,0,INDEX(Motore_Advisory!$AB$125:$AB$184,MAX(1,37-(INT((Motore_Operativo!L161)/30))-1)))*(MOD((Motore_Operativo!L161),30)/30))</f>
        <v>73810</v>
      </c>
      <c r="AD161" s="15" t="n">
        <f aca="false">(AD160)+AB161-AC161</f>
        <v>257714.833333333</v>
      </c>
      <c r="AE161" s="15" t="n">
        <f aca="false">Motore_Operativo!BH161*(1+Parametri_v3!$C$26)</f>
        <v>11009.4833333333</v>
      </c>
      <c r="AF161" s="15" t="n">
        <f aca="false">(IF(37-(INT((Parametri_v3!$C$29)/30))&lt;1,0,INDEX(Motore_Operativo!$BH$125:$BH$184,MAX(1,37-(INT((Parametri_v3!$C$29)/30)))))*(1-(MOD((Parametri_v3!$C$29),30)/30))+IF(37-(INT((Parametri_v3!$C$29)/30))-1&lt;1,0,INDEX(Motore_Operativo!$BH$125:$BH$184,MAX(1,37-(INT((Parametri_v3!$C$29)/30))-1)))*(MOD((Parametri_v3!$C$29),30)/30))*(1+Parametri_v3!$C$26)</f>
        <v>7381</v>
      </c>
      <c r="AG161" s="15" t="n">
        <f aca="false">(AG160)+AE161-AF161</f>
        <v>11009.4833333333</v>
      </c>
      <c r="AH161" s="15" t="n">
        <f aca="false">(Motore_Operativo!CK161)*(1+Parametri_v3!$C$28*Parametri_v3!$C$26)</f>
        <v>23198.952</v>
      </c>
      <c r="AI161" s="15" t="n">
        <f aca="false">(IF(37-(INT((Ipotesi!$C$91)/30))&lt;1,0,INDEX(Motore_Advisory!$AH$125:$AH$184,MAX(1,37-(INT((Ipotesi!$C$91)/30)))))*(1-(MOD((Ipotesi!$C$91),30)/30))+IF(37-(INT((Ipotesi!$C$91)/30))-1&lt;1,0,INDEX(Motore_Advisory!$AH$125:$AH$184,MAX(1,37-(INT((Ipotesi!$C$91)/30))-1)))*(MOD((Ipotesi!$C$91),30)/30))</f>
        <v>17395.98</v>
      </c>
      <c r="AJ161" s="15" t="n">
        <f aca="false">(AJ160)+AH161-AI161</f>
        <v>40594.932</v>
      </c>
      <c r="AK161" s="15" t="n">
        <f aca="false">(F161- Motore_Operativo!BH161-(Motore_Operativo!CK161)*Parametri_v3!$C$28-Motore_Operativo!CF161)*Parametri_v3!$C$26</f>
        <v>14249.2313333333</v>
      </c>
      <c r="AL161" s="15" t="n">
        <f aca="false">MAX(0,(AM160))</f>
        <v>9283.85333333333</v>
      </c>
      <c r="AM161" s="15" t="n">
        <f aca="false">(AM160)+AK161-AL161</f>
        <v>14249.2313333333</v>
      </c>
      <c r="AN161" s="15" t="n">
        <f aca="false">SUM(X149:X160)</f>
        <v>46679.99375</v>
      </c>
      <c r="AO161" s="15" t="n">
        <f aca="false">SUM(AP149:AP160)</f>
        <v>16530.1714788732</v>
      </c>
      <c r="AP161" s="15" t="n">
        <f aca="false">MAX(0,AN161)*IF(1=Parametri_v3!$C$43,Parametri_v3!$C$45,IF(1=Parametri_v3!$C$44,1-Parametri_v3!$C$45,0))</f>
        <v>0</v>
      </c>
      <c r="AQ161" s="15" t="n">
        <f aca="false">MAX(0,AP161+IF(1=Parametri_v3!$C$43,MAX(0,AN161-AO161),0)-MAX(0,-(AR160)))</f>
        <v>0</v>
      </c>
      <c r="AR161" s="15" t="n">
        <f aca="false">(AR160)+X161-AQ161</f>
        <v>37763.3997328351</v>
      </c>
      <c r="AS161" s="15" t="n">
        <f aca="false">Motore_Operativo!AC161-AT161+AU161</f>
        <v>32137.5563729167</v>
      </c>
      <c r="AT161" s="15" t="n">
        <f aca="false">Motore_Operativo!CI161</f>
        <v>1691.45033541667</v>
      </c>
      <c r="AU161" s="15" t="n">
        <f aca="false">MIN(MAX(0,(AV160)+AT161),Parametri_v3!$C$61/12)</f>
        <v>0</v>
      </c>
      <c r="AV161" s="15" t="n">
        <f aca="false">(AV160)+AT161-AU161</f>
        <v>29670.8878354167</v>
      </c>
      <c r="AW161" s="15" t="n">
        <f aca="false">IF(AND(Motore_Operativo!C161=Finanziamenti!$D$7,Finanziamenti!$F$7=1),Finanziamenti!$C$7,0)</f>
        <v>0</v>
      </c>
      <c r="AX161" s="15" t="n">
        <f aca="false">0</f>
        <v>0</v>
      </c>
      <c r="AY161" s="15" t="n">
        <f aca="false">IF(1=Parametri_v3!$C$33,IF(BV161&lt;MIN(12,$B161-1),0,MIN(MAX(0,SUM(Y149:Y160))*Ipotesi!$C$94,MAX(0,(BM160)-(BO160)-BP161),MAX(0,BD161-Parametri_v3!$C$31))),0)</f>
        <v>0</v>
      </c>
      <c r="AZ161" s="15" t="n">
        <f aca="false">0</f>
        <v>0</v>
      </c>
      <c r="BA161" s="15" t="n">
        <f aca="false">0</f>
        <v>0</v>
      </c>
      <c r="BB161" s="15" t="n">
        <f aca="false">0</f>
        <v>0</v>
      </c>
      <c r="BC161" s="15" t="n">
        <f aca="false">0</f>
        <v>0</v>
      </c>
      <c r="BD161" s="15" t="n">
        <f aca="false">(BH160)+AC161-AF161-AI161-AS161-K161*(1+Parametri_v3!$C$26)-AL161-AQ161-O161+AW161+AX161+AZ161+BA161-BB161</f>
        <v>106365.931956093</v>
      </c>
      <c r="BE161" s="15" t="n">
        <f aca="false">0</f>
        <v>0</v>
      </c>
      <c r="BF161" s="15" t="n">
        <f aca="false">0</f>
        <v>0</v>
      </c>
      <c r="BG161" s="15" t="n">
        <f aca="false">0</f>
        <v>0</v>
      </c>
      <c r="BH161" s="15" t="n">
        <f aca="false">BD161+BE161-BF161-AY161</f>
        <v>106365.931956093</v>
      </c>
      <c r="BI161" s="15" t="n">
        <f aca="false">MAX(0,Parametri_v3!$C$31-BH161)</f>
        <v>0</v>
      </c>
      <c r="BJ161" s="15" t="n">
        <f aca="false">(BJ160)+K161</f>
        <v>13666.6666666667</v>
      </c>
      <c r="BK161" s="15" t="n">
        <f aca="false">(BK160)+L161</f>
        <v>6386.57407407407</v>
      </c>
      <c r="BL161" s="15" t="n">
        <f aca="false">BJ161-BK161</f>
        <v>7280.09259259259</v>
      </c>
      <c r="BM161" s="15" t="n">
        <f aca="false">(BM160)+Y161</f>
        <v>218072.9236471</v>
      </c>
      <c r="BN161" s="15" t="n">
        <f aca="false">(BN160)+AW161+AX161+AZ161</f>
        <v>20000</v>
      </c>
      <c r="BO161" s="15" t="n">
        <f aca="false">(BO160)+AY161</f>
        <v>0</v>
      </c>
      <c r="BP161" s="15" t="n">
        <f aca="false">MIN(Parametri_v3!$C$36*Parametri_v3!$C$35,(BP160)+IF(1=1,MAX(0,SUM(Y149:Y160))*Parametri_v3!$C$34,0))</f>
        <v>2000</v>
      </c>
      <c r="BQ161" s="15" t="n">
        <f aca="false">BN161+BM161-BO161</f>
        <v>238072.9236471</v>
      </c>
      <c r="BR161" s="15" t="n">
        <f aca="false">BH161+AD161+BL161+MAX(0,-AM161)+MAX(0,-AR161)</f>
        <v>371360.857882018</v>
      </c>
      <c r="BS161" s="15" t="n">
        <f aca="false">AJ161+AV161+MAX(0,AM161)+MAX(0,AR161)+BC161+BG161+BQ161+AG161</f>
        <v>371360.857882018</v>
      </c>
      <c r="BT161" s="15" t="n">
        <f aca="false">BR161-BS161</f>
        <v>0</v>
      </c>
      <c r="BU161" s="15" t="n">
        <f aca="false">BH161-(BD161+BE161-BF161-AY161)</f>
        <v>0</v>
      </c>
      <c r="BV161" s="15" t="n">
        <f aca="false">IF(BH160&lt;Parametri_v3!$C$31,0,BV160+1)</f>
        <v>8</v>
      </c>
    </row>
    <row r="162" customFormat="false" ht="18" hidden="false" customHeight="true" outlineLevel="0" collapsed="false">
      <c r="A162" s="68" t="n">
        <f aca="false">3</f>
        <v>3</v>
      </c>
      <c r="B162" s="68" t="n">
        <f aca="false">38</f>
        <v>38</v>
      </c>
      <c r="C162" s="18" t="n">
        <f aca="false">Motore_Operativo!C162</f>
        <v>47515</v>
      </c>
      <c r="D162" s="68" t="n">
        <f aca="false">Motore_Operativo!D162</f>
        <v>2030</v>
      </c>
      <c r="E162" s="68" t="n">
        <f aca="false">Motore_Operativo!E162</f>
        <v>2</v>
      </c>
      <c r="F162" s="15" t="n">
        <f aca="false">Motore_Operativo!AM162</f>
        <v>90241.6666666667</v>
      </c>
      <c r="G162" s="15" t="n">
        <f aca="false">Motore_Operativo!BH162</f>
        <v>9024.16666666667</v>
      </c>
      <c r="H162" s="15" t="n">
        <f aca="false">Motore_Operativo!AM162</f>
        <v>90241.6666666667</v>
      </c>
      <c r="I162" s="15" t="n">
        <f aca="false">Motore_Operativo!CB162</f>
        <v>62580.173375</v>
      </c>
      <c r="J162" s="15" t="n">
        <f aca="false">Motore_Operativo!CD162</f>
        <v>27661.4932916667</v>
      </c>
      <c r="K162" s="15" t="n">
        <f aca="false">Motore_Operativo!CF162</f>
        <v>666.666666666667</v>
      </c>
      <c r="L162" s="15" t="n">
        <f aca="false">SUM(INDEX($K$125:$K$184,MAX(1,38-Parametri_v3!$C$59+1)):K162)/Parametri_v3!$C$59</f>
        <v>384.259259259259</v>
      </c>
      <c r="M162" s="15" t="n">
        <f aca="false">J162-L162</f>
        <v>27277.2340324074</v>
      </c>
      <c r="N162" s="15" t="n">
        <f aca="false">0</f>
        <v>0</v>
      </c>
      <c r="O162" s="15" t="n">
        <f aca="false">0</f>
        <v>0</v>
      </c>
      <c r="P162" s="15" t="n">
        <f aca="false">M162+N162-O162</f>
        <v>27277.2340324074</v>
      </c>
      <c r="Q162" s="15" t="n">
        <f aca="false">SUM(P161:P162)+Parametri_v3!$C$56*2/12</f>
        <v>54566.0421388889</v>
      </c>
      <c r="R162" s="15" t="n">
        <f aca="false">Z160</f>
        <v>0</v>
      </c>
      <c r="S162" s="15" t="n">
        <f aca="false">AA160</f>
        <v>0</v>
      </c>
      <c r="T162" s="15" t="n">
        <f aca="false">MIN(R162,MAX(0,Q162))</f>
        <v>0</v>
      </c>
      <c r="U162" s="15" t="n">
        <f aca="false">MIN(S162,MAX(0,Q162-T162)*Parametri_v3!$C$42)</f>
        <v>0</v>
      </c>
      <c r="V162" s="15" t="n">
        <f aca="false">MAX(0,Q162-T162-U162)*Ipotesi!$C$92</f>
        <v>13095.8501133333</v>
      </c>
      <c r="W162" s="15" t="n">
        <f aca="false">MAX(0,SUM(M161:M162)+Parametri_v3!$C$57*2/12)*Ipotesi!$C$93</f>
        <v>2128.07564341667</v>
      </c>
      <c r="X162" s="15" t="n">
        <f aca="false">V162+W162-(V161+W161)</f>
        <v>7610.34829504167</v>
      </c>
      <c r="Y162" s="15" t="n">
        <f aca="false">P162-X162</f>
        <v>19666.8857373657</v>
      </c>
      <c r="Z162" s="15" t="n">
        <f aca="false">R162-T162+IF(AND(Parametri_v3!$C$40=1,D162-YEAR(Parametri_v3!$C$50)&lt;Parametri_v3!$C$41),MAX(0,-Q162),0)</f>
        <v>0</v>
      </c>
      <c r="AA162" s="15" t="n">
        <f aca="false">S162-U162+IF(AND(Parametri_v3!$C$40=1,D162-YEAR(Parametri_v3!$C$50)&lt;Parametri_v3!$C$41),0,MAX(0,-Q162))</f>
        <v>0</v>
      </c>
      <c r="AB162" s="15" t="n">
        <f aca="false">F162*(1+Parametri_v3!$C$26)</f>
        <v>110094.833333333</v>
      </c>
      <c r="AC162" s="15" t="n">
        <f aca="false">(IF(38-(INT((Motore_Operativo!L162)/30))&lt;1,0,INDEX(Motore_Advisory!$AB$125:$AB$184,MAX(1,38-(INT((Motore_Operativo!L162)/30)))))*(1-(MOD((Motore_Operativo!L162),30)/30))+IF(38-(INT((Motore_Operativo!L162)/30))-1&lt;1,0,INDEX(Motore_Advisory!$AB$125:$AB$184,MAX(1,38-(INT((Motore_Operativo!L162)/30))-1)))*(MOD((Motore_Operativo!L162),30)/30))</f>
        <v>73810</v>
      </c>
      <c r="AD162" s="15" t="n">
        <f aca="false">(AD161)+AB162-AC162</f>
        <v>293999.666666667</v>
      </c>
      <c r="AE162" s="15" t="n">
        <f aca="false">Motore_Operativo!BH162*(1+Parametri_v3!$C$26)</f>
        <v>11009.4833333333</v>
      </c>
      <c r="AF162" s="15" t="n">
        <f aca="false">(IF(38-(INT((Parametri_v3!$C$29)/30))&lt;1,0,INDEX(Motore_Operativo!$BH$125:$BH$184,MAX(1,38-(INT((Parametri_v3!$C$29)/30)))))*(1-(MOD((Parametri_v3!$C$29),30)/30))+IF(38-(INT((Parametri_v3!$C$29)/30))-1&lt;1,0,INDEX(Motore_Operativo!$BH$125:$BH$184,MAX(1,38-(INT((Parametri_v3!$C$29)/30))-1)))*(MOD((Parametri_v3!$C$29),30)/30))*(1+Parametri_v3!$C$26)</f>
        <v>11009.4833333333</v>
      </c>
      <c r="AG162" s="15" t="n">
        <f aca="false">(AG161)+AE162-AF162</f>
        <v>11009.4833333333</v>
      </c>
      <c r="AH162" s="15" t="n">
        <f aca="false">(Motore_Operativo!CK162)*(1+Parametri_v3!$C$28*Parametri_v3!$C$26)</f>
        <v>23198.952</v>
      </c>
      <c r="AI162" s="15" t="n">
        <f aca="false">(IF(38-(INT((Ipotesi!$C$91)/30))&lt;1,0,INDEX(Motore_Advisory!$AH$125:$AH$184,MAX(1,38-(INT((Ipotesi!$C$91)/30)))))*(1-(MOD((Ipotesi!$C$91),30)/30))+IF(38-(INT((Ipotesi!$C$91)/30))-1&lt;1,0,INDEX(Motore_Advisory!$AH$125:$AH$184,MAX(1,38-(INT((Ipotesi!$C$91)/30))-1)))*(MOD((Ipotesi!$C$91),30)/30))</f>
        <v>17395.98</v>
      </c>
      <c r="AJ162" s="15" t="n">
        <f aca="false">(AJ161)+AH162-AI162</f>
        <v>46397.904</v>
      </c>
      <c r="AK162" s="15" t="n">
        <f aca="false">(F162- Motore_Operativo!BH162-(Motore_Operativo!CK162)*Parametri_v3!$C$28-Motore_Operativo!CF162)*Parametri_v3!$C$26</f>
        <v>14249.2313333333</v>
      </c>
      <c r="AL162" s="15" t="n">
        <f aca="false">MAX(0,(AM161))</f>
        <v>14249.2313333333</v>
      </c>
      <c r="AM162" s="15" t="n">
        <f aca="false">(AM161)+AK162-AL162</f>
        <v>14249.2313333333</v>
      </c>
      <c r="AN162" s="15" t="n">
        <f aca="false">SUM(X149:X160)</f>
        <v>46679.99375</v>
      </c>
      <c r="AO162" s="15" t="n">
        <f aca="false">SUM(AP149:AP160)</f>
        <v>16530.1714788732</v>
      </c>
      <c r="AP162" s="15" t="n">
        <f aca="false">MAX(0,AN162)*IF(2=Parametri_v3!$C$43,Parametri_v3!$C$45,IF(2=Parametri_v3!$C$44,1-Parametri_v3!$C$45,0))</f>
        <v>0</v>
      </c>
      <c r="AQ162" s="15" t="n">
        <f aca="false">MAX(0,AP162+IF(2=Parametri_v3!$C$43,MAX(0,AN162-AO162),0)-MAX(0,-(AR161)))</f>
        <v>0</v>
      </c>
      <c r="AR162" s="15" t="n">
        <f aca="false">(AR161)+X162-AQ162</f>
        <v>45373.7480278768</v>
      </c>
      <c r="AS162" s="15" t="n">
        <f aca="false">Motore_Operativo!AC162-AT162+AU162</f>
        <v>32137.5563729167</v>
      </c>
      <c r="AT162" s="15" t="n">
        <f aca="false">Motore_Operativo!CI162</f>
        <v>1691.45033541667</v>
      </c>
      <c r="AU162" s="15" t="n">
        <f aca="false">MIN(MAX(0,(AV161)+AT162),Parametri_v3!$C$61/12)</f>
        <v>0</v>
      </c>
      <c r="AV162" s="15" t="n">
        <f aca="false">(AV161)+AT162-AU162</f>
        <v>31362.3381708333</v>
      </c>
      <c r="AW162" s="15" t="n">
        <f aca="false">IF(AND(Motore_Operativo!C162=Finanziamenti!$D$7,Finanziamenti!$F$7=1),Finanziamenti!$C$7,0)</f>
        <v>0</v>
      </c>
      <c r="AX162" s="15" t="n">
        <f aca="false">0</f>
        <v>0</v>
      </c>
      <c r="AY162" s="15" t="n">
        <f aca="false">IF(2=Parametri_v3!$C$33,IF(BV162&lt;MIN(12,$B162-1),0,MIN(MAX(0,SUM(Y149:Y160))*Ipotesi!$C$94,MAX(0,(BM160)-(BO161)-BP162),MAX(0,BD162-Parametri_v3!$C$31))),0)</f>
        <v>0</v>
      </c>
      <c r="AZ162" s="15" t="n">
        <f aca="false">0</f>
        <v>0</v>
      </c>
      <c r="BA162" s="15" t="n">
        <f aca="false">0</f>
        <v>0</v>
      </c>
      <c r="BB162" s="15" t="n">
        <f aca="false">0</f>
        <v>0</v>
      </c>
      <c r="BC162" s="15" t="n">
        <f aca="false">0</f>
        <v>0</v>
      </c>
      <c r="BD162" s="15" t="n">
        <f aca="false">(BH161)+AC162-AF162-AI162-AS162-K162*(1+Parametri_v3!$C$26)-AL162-AQ162-O162+AW162+AX162+AZ162+BA162-BB162</f>
        <v>104570.347583176</v>
      </c>
      <c r="BE162" s="15" t="n">
        <f aca="false">0</f>
        <v>0</v>
      </c>
      <c r="BF162" s="15" t="n">
        <f aca="false">0</f>
        <v>0</v>
      </c>
      <c r="BG162" s="15" t="n">
        <f aca="false">0</f>
        <v>0</v>
      </c>
      <c r="BH162" s="15" t="n">
        <f aca="false">BD162+BE162-BF162-AY162</f>
        <v>104570.347583176</v>
      </c>
      <c r="BI162" s="15" t="n">
        <f aca="false">MAX(0,Parametri_v3!$C$31-BH162)</f>
        <v>0</v>
      </c>
      <c r="BJ162" s="15" t="n">
        <f aca="false">(BJ161)+K162</f>
        <v>14333.3333333333</v>
      </c>
      <c r="BK162" s="15" t="n">
        <f aca="false">(BK161)+L162</f>
        <v>6770.83333333333</v>
      </c>
      <c r="BL162" s="15" t="n">
        <f aca="false">BJ162-BK162</f>
        <v>7562.5</v>
      </c>
      <c r="BM162" s="15" t="n">
        <f aca="false">(BM161)+Y162</f>
        <v>237739.809384466</v>
      </c>
      <c r="BN162" s="15" t="n">
        <f aca="false">(BN161)+AW162+AX162+AZ162</f>
        <v>20000</v>
      </c>
      <c r="BO162" s="15" t="n">
        <f aca="false">(BO161)+AY162</f>
        <v>0</v>
      </c>
      <c r="BP162" s="15" t="n">
        <f aca="false">MIN(Parametri_v3!$C$36*Parametri_v3!$C$35,(BP161)+IF(2=1,MAX(0,SUM(Y149:Y160))*Parametri_v3!$C$34,0))</f>
        <v>2000</v>
      </c>
      <c r="BQ162" s="15" t="n">
        <f aca="false">BN162+BM162-BO162</f>
        <v>257739.809384466</v>
      </c>
      <c r="BR162" s="15" t="n">
        <f aca="false">BH162+AD162+BL162+MAX(0,-AM162)+MAX(0,-AR162)</f>
        <v>406132.514249843</v>
      </c>
      <c r="BS162" s="15" t="n">
        <f aca="false">AJ162+AV162+MAX(0,AM162)+MAX(0,AR162)+BC162+BG162+BQ162+AG162</f>
        <v>406132.514249843</v>
      </c>
      <c r="BT162" s="15" t="n">
        <f aca="false">BR162-BS162</f>
        <v>0</v>
      </c>
      <c r="BU162" s="15" t="n">
        <f aca="false">BH162-(BD162+BE162-BF162-AY162)</f>
        <v>0</v>
      </c>
      <c r="BV162" s="15" t="n">
        <f aca="false">IF(BH161&lt;Parametri_v3!$C$31,0,BV161+1)</f>
        <v>9</v>
      </c>
    </row>
    <row r="163" customFormat="false" ht="18" hidden="false" customHeight="true" outlineLevel="0" collapsed="false">
      <c r="A163" s="68" t="n">
        <f aca="false">3</f>
        <v>3</v>
      </c>
      <c r="B163" s="68" t="n">
        <f aca="false">39</f>
        <v>39</v>
      </c>
      <c r="C163" s="18" t="n">
        <f aca="false">Motore_Operativo!C163</f>
        <v>47543</v>
      </c>
      <c r="D163" s="68" t="n">
        <f aca="false">Motore_Operativo!D163</f>
        <v>2030</v>
      </c>
      <c r="E163" s="68" t="n">
        <f aca="false">Motore_Operativo!E163</f>
        <v>3</v>
      </c>
      <c r="F163" s="15" t="n">
        <f aca="false">Motore_Operativo!AM163</f>
        <v>90241.6666666667</v>
      </c>
      <c r="G163" s="15" t="n">
        <f aca="false">Motore_Operativo!BH163</f>
        <v>9024.16666666667</v>
      </c>
      <c r="H163" s="15" t="n">
        <f aca="false">Motore_Operativo!AM163</f>
        <v>90241.6666666667</v>
      </c>
      <c r="I163" s="15" t="n">
        <f aca="false">Motore_Operativo!CB163</f>
        <v>62580.173375</v>
      </c>
      <c r="J163" s="15" t="n">
        <f aca="false">Motore_Operativo!CD163</f>
        <v>27661.4932916667</v>
      </c>
      <c r="K163" s="15" t="n">
        <f aca="false">Motore_Operativo!CF163</f>
        <v>666.666666666667</v>
      </c>
      <c r="L163" s="15" t="n">
        <f aca="false">SUM(INDEX($K$125:$K$184,MAX(1,39-Parametri_v3!$C$59+1)):K163)/Parametri_v3!$C$59</f>
        <v>395.833333333333</v>
      </c>
      <c r="M163" s="15" t="n">
        <f aca="false">J163-L163</f>
        <v>27265.6599583333</v>
      </c>
      <c r="N163" s="15" t="n">
        <f aca="false">0</f>
        <v>0</v>
      </c>
      <c r="O163" s="15" t="n">
        <f aca="false">0</f>
        <v>0</v>
      </c>
      <c r="P163" s="15" t="n">
        <f aca="false">M163+N163-O163</f>
        <v>27265.6599583333</v>
      </c>
      <c r="Q163" s="15" t="n">
        <f aca="false">SUM(P161:P163)+Parametri_v3!$C$56*3/12</f>
        <v>81831.7020972222</v>
      </c>
      <c r="R163" s="15" t="n">
        <f aca="false">Z160</f>
        <v>0</v>
      </c>
      <c r="S163" s="15" t="n">
        <f aca="false">AA160</f>
        <v>0</v>
      </c>
      <c r="T163" s="15" t="n">
        <f aca="false">MIN(R163,MAX(0,Q163))</f>
        <v>0</v>
      </c>
      <c r="U163" s="15" t="n">
        <f aca="false">MIN(S163,MAX(0,Q163-T163)*Parametri_v3!$C$42)</f>
        <v>0</v>
      </c>
      <c r="V163" s="15" t="n">
        <f aca="false">MAX(0,Q163-T163-U163)*Ipotesi!$C$92</f>
        <v>19639.6085033333</v>
      </c>
      <c r="W163" s="15" t="n">
        <f aca="false">MAX(0,SUM(M161:M163)+Parametri_v3!$C$57*3/12)*Ipotesi!$C$93</f>
        <v>3191.43638179167</v>
      </c>
      <c r="X163" s="15" t="n">
        <f aca="false">V163+W163-(V162+W162)</f>
        <v>7607.119128375</v>
      </c>
      <c r="Y163" s="15" t="n">
        <f aca="false">P163-X163</f>
        <v>19658.5408299583</v>
      </c>
      <c r="Z163" s="15" t="n">
        <f aca="false">R163-T163+IF(AND(Parametri_v3!$C$40=1,D163-YEAR(Parametri_v3!$C$50)&lt;Parametri_v3!$C$41),MAX(0,-Q163),0)</f>
        <v>0</v>
      </c>
      <c r="AA163" s="15" t="n">
        <f aca="false">S163-U163+IF(AND(Parametri_v3!$C$40=1,D163-YEAR(Parametri_v3!$C$50)&lt;Parametri_v3!$C$41),0,MAX(0,-Q163))</f>
        <v>0</v>
      </c>
      <c r="AB163" s="15" t="n">
        <f aca="false">F163*(1+Parametri_v3!$C$26)</f>
        <v>110094.833333333</v>
      </c>
      <c r="AC163" s="15" t="n">
        <f aca="false">(IF(39-(INT((Motore_Operativo!L163)/30))&lt;1,0,INDEX(Motore_Advisory!$AB$125:$AB$184,MAX(1,39-(INT((Motore_Operativo!L163)/30)))))*(1-(MOD((Motore_Operativo!L163),30)/30))+IF(39-(INT((Motore_Operativo!L163)/30))-1&lt;1,0,INDEX(Motore_Advisory!$AB$125:$AB$184,MAX(1,39-(INT((Motore_Operativo!L163)/30))-1)))*(MOD((Motore_Operativo!L163),30)/30))</f>
        <v>73810</v>
      </c>
      <c r="AD163" s="15" t="n">
        <f aca="false">(AD162)+AB163-AC163</f>
        <v>330284.5</v>
      </c>
      <c r="AE163" s="15" t="n">
        <f aca="false">Motore_Operativo!BH163*(1+Parametri_v3!$C$26)</f>
        <v>11009.4833333333</v>
      </c>
      <c r="AF163" s="15" t="n">
        <f aca="false">(IF(39-(INT((Parametri_v3!$C$29)/30))&lt;1,0,INDEX(Motore_Operativo!$BH$125:$BH$184,MAX(1,39-(INT((Parametri_v3!$C$29)/30)))))*(1-(MOD((Parametri_v3!$C$29),30)/30))+IF(39-(INT((Parametri_v3!$C$29)/30))-1&lt;1,0,INDEX(Motore_Operativo!$BH$125:$BH$184,MAX(1,39-(INT((Parametri_v3!$C$29)/30))-1)))*(MOD((Parametri_v3!$C$29),30)/30))*(1+Parametri_v3!$C$26)</f>
        <v>11009.4833333333</v>
      </c>
      <c r="AG163" s="15" t="n">
        <f aca="false">(AG162)+AE163-AF163</f>
        <v>11009.4833333333</v>
      </c>
      <c r="AH163" s="15" t="n">
        <f aca="false">(Motore_Operativo!CK163)*(1+Parametri_v3!$C$28*Parametri_v3!$C$26)</f>
        <v>23198.952</v>
      </c>
      <c r="AI163" s="15" t="n">
        <f aca="false">(IF(39-(INT((Ipotesi!$C$91)/30))&lt;1,0,INDEX(Motore_Advisory!$AH$125:$AH$184,MAX(1,39-(INT((Ipotesi!$C$91)/30)))))*(1-(MOD((Ipotesi!$C$91),30)/30))+IF(39-(INT((Ipotesi!$C$91)/30))-1&lt;1,0,INDEX(Motore_Advisory!$AH$125:$AH$184,MAX(1,39-(INT((Ipotesi!$C$91)/30))-1)))*(MOD((Ipotesi!$C$91),30)/30))</f>
        <v>23198.952</v>
      </c>
      <c r="AJ163" s="15" t="n">
        <f aca="false">(AJ162)+AH163-AI163</f>
        <v>46397.904</v>
      </c>
      <c r="AK163" s="15" t="n">
        <f aca="false">(F163- Motore_Operativo!BH163-(Motore_Operativo!CK163)*Parametri_v3!$C$28-Motore_Operativo!CF163)*Parametri_v3!$C$26</f>
        <v>14249.2313333333</v>
      </c>
      <c r="AL163" s="15" t="n">
        <f aca="false">MAX(0,(AM162))</f>
        <v>14249.2313333333</v>
      </c>
      <c r="AM163" s="15" t="n">
        <f aca="false">(AM162)+AK163-AL163</f>
        <v>14249.2313333333</v>
      </c>
      <c r="AN163" s="15" t="n">
        <f aca="false">SUM(X149:X160)</f>
        <v>46679.99375</v>
      </c>
      <c r="AO163" s="15" t="n">
        <f aca="false">SUM(AP149:AP160)</f>
        <v>16530.1714788732</v>
      </c>
      <c r="AP163" s="15" t="n">
        <f aca="false">MAX(0,AN163)*IF(3=Parametri_v3!$C$43,Parametri_v3!$C$45,IF(3=Parametri_v3!$C$44,1-Parametri_v3!$C$45,0))</f>
        <v>0</v>
      </c>
      <c r="AQ163" s="15" t="n">
        <f aca="false">MAX(0,AP163+IF(3=Parametri_v3!$C$43,MAX(0,AN163-AO163),0)-MAX(0,-(AR162)))</f>
        <v>0</v>
      </c>
      <c r="AR163" s="15" t="n">
        <f aca="false">(AR162)+X163-AQ163</f>
        <v>52980.8671562518</v>
      </c>
      <c r="AS163" s="15" t="n">
        <f aca="false">Motore_Operativo!AC163-AT163+AU163</f>
        <v>32137.5563729167</v>
      </c>
      <c r="AT163" s="15" t="n">
        <f aca="false">Motore_Operativo!CI163</f>
        <v>1691.45033541667</v>
      </c>
      <c r="AU163" s="15" t="n">
        <f aca="false">MIN(MAX(0,(AV162)+AT163),Parametri_v3!$C$61/12)</f>
        <v>0</v>
      </c>
      <c r="AV163" s="15" t="n">
        <f aca="false">(AV162)+AT163-AU163</f>
        <v>33053.78850625</v>
      </c>
      <c r="AW163" s="15" t="n">
        <f aca="false">IF(AND(Motore_Operativo!C163=Finanziamenti!$D$7,Finanziamenti!$F$7=1),Finanziamenti!$C$7,0)</f>
        <v>0</v>
      </c>
      <c r="AX163" s="15" t="n">
        <f aca="false">0</f>
        <v>0</v>
      </c>
      <c r="AY163" s="15" t="n">
        <f aca="false">IF(3=Parametri_v3!$C$33,IF(BV163&lt;MIN(12,$B163-1),0,MIN(MAX(0,SUM(Y149:Y160))*Ipotesi!$C$94,MAX(0,(BM160)-(BO162)-BP163),MAX(0,BD163-Parametri_v3!$C$31))),0)</f>
        <v>0</v>
      </c>
      <c r="AZ163" s="15" t="n">
        <f aca="false">0</f>
        <v>0</v>
      </c>
      <c r="BA163" s="15" t="n">
        <f aca="false">0</f>
        <v>0</v>
      </c>
      <c r="BB163" s="15" t="n">
        <f aca="false">0</f>
        <v>0</v>
      </c>
      <c r="BC163" s="15" t="n">
        <f aca="false">0</f>
        <v>0</v>
      </c>
      <c r="BD163" s="15" t="n">
        <f aca="false">(BH162)+AC163-AF163-AI163-AS163-K163*(1+Parametri_v3!$C$26)-AL163-AQ163-O163+AW163+AX163+AZ163+BA163-BB163</f>
        <v>96971.7912102592</v>
      </c>
      <c r="BE163" s="15" t="n">
        <f aca="false">0</f>
        <v>0</v>
      </c>
      <c r="BF163" s="15" t="n">
        <f aca="false">0</f>
        <v>0</v>
      </c>
      <c r="BG163" s="15" t="n">
        <f aca="false">0</f>
        <v>0</v>
      </c>
      <c r="BH163" s="15" t="n">
        <f aca="false">BD163+BE163-BF163-AY163</f>
        <v>96971.7912102592</v>
      </c>
      <c r="BI163" s="15" t="n">
        <f aca="false">MAX(0,Parametri_v3!$C$31-BH163)</f>
        <v>0</v>
      </c>
      <c r="BJ163" s="15" t="n">
        <f aca="false">(BJ162)+K163</f>
        <v>15000</v>
      </c>
      <c r="BK163" s="15" t="n">
        <f aca="false">(BK162)+L163</f>
        <v>7166.66666666667</v>
      </c>
      <c r="BL163" s="15" t="n">
        <f aca="false">BJ163-BK163</f>
        <v>7833.33333333333</v>
      </c>
      <c r="BM163" s="15" t="n">
        <f aca="false">(BM162)+Y163</f>
        <v>257398.350214424</v>
      </c>
      <c r="BN163" s="15" t="n">
        <f aca="false">(BN162)+AW163+AX163+AZ163</f>
        <v>20000</v>
      </c>
      <c r="BO163" s="15" t="n">
        <f aca="false">(BO162)+AY163</f>
        <v>0</v>
      </c>
      <c r="BP163" s="15" t="n">
        <f aca="false">MIN(Parametri_v3!$C$36*Parametri_v3!$C$35,(BP162)+IF(3=1,MAX(0,SUM(Y149:Y160))*Parametri_v3!$C$34,0))</f>
        <v>2000</v>
      </c>
      <c r="BQ163" s="15" t="n">
        <f aca="false">BN163+BM163-BO163</f>
        <v>277398.350214424</v>
      </c>
      <c r="BR163" s="15" t="n">
        <f aca="false">BH163+AD163+BL163+MAX(0,-AM163)+MAX(0,-AR163)</f>
        <v>435089.624543592</v>
      </c>
      <c r="BS163" s="15" t="n">
        <f aca="false">AJ163+AV163+MAX(0,AM163)+MAX(0,AR163)+BC163+BG163+BQ163+AG163</f>
        <v>435089.624543593</v>
      </c>
      <c r="BT163" s="15" t="n">
        <f aca="false">BR163-BS163</f>
        <v>0</v>
      </c>
      <c r="BU163" s="15" t="n">
        <f aca="false">BH163-(BD163+BE163-BF163-AY163)</f>
        <v>0</v>
      </c>
      <c r="BV163" s="15" t="n">
        <f aca="false">IF(BH162&lt;Parametri_v3!$C$31,0,BV162+1)</f>
        <v>10</v>
      </c>
    </row>
    <row r="164" customFormat="false" ht="18" hidden="false" customHeight="true" outlineLevel="0" collapsed="false">
      <c r="A164" s="68" t="n">
        <f aca="false">3</f>
        <v>3</v>
      </c>
      <c r="B164" s="68" t="n">
        <f aca="false">40</f>
        <v>40</v>
      </c>
      <c r="C164" s="18" t="n">
        <f aca="false">Motore_Operativo!C164</f>
        <v>47574</v>
      </c>
      <c r="D164" s="68" t="n">
        <f aca="false">Motore_Operativo!D164</f>
        <v>2030</v>
      </c>
      <c r="E164" s="68" t="n">
        <f aca="false">Motore_Operativo!E164</f>
        <v>4</v>
      </c>
      <c r="F164" s="15" t="n">
        <f aca="false">Motore_Operativo!AM164</f>
        <v>90241.6666666667</v>
      </c>
      <c r="G164" s="15" t="n">
        <f aca="false">Motore_Operativo!BH164</f>
        <v>9024.16666666667</v>
      </c>
      <c r="H164" s="15" t="n">
        <f aca="false">Motore_Operativo!AM164</f>
        <v>90241.6666666667</v>
      </c>
      <c r="I164" s="15" t="n">
        <f aca="false">Motore_Operativo!CB164</f>
        <v>62580.173375</v>
      </c>
      <c r="J164" s="15" t="n">
        <f aca="false">Motore_Operativo!CD164</f>
        <v>27661.4932916667</v>
      </c>
      <c r="K164" s="15" t="n">
        <f aca="false">Motore_Operativo!CF164</f>
        <v>666.666666666667</v>
      </c>
      <c r="L164" s="15" t="n">
        <f aca="false">SUM(INDEX($K$125:$K$184,MAX(1,40-Parametri_v3!$C$59+1)):K164)/Parametri_v3!$C$59</f>
        <v>407.407407407407</v>
      </c>
      <c r="M164" s="15" t="n">
        <f aca="false">J164-L164</f>
        <v>27254.0858842593</v>
      </c>
      <c r="N164" s="15" t="n">
        <f aca="false">0</f>
        <v>0</v>
      </c>
      <c r="O164" s="15" t="n">
        <f aca="false">0</f>
        <v>0</v>
      </c>
      <c r="P164" s="15" t="n">
        <f aca="false">M164+N164-O164</f>
        <v>27254.0858842593</v>
      </c>
      <c r="Q164" s="15" t="n">
        <f aca="false">SUM(P161:P164)+Parametri_v3!$C$56*4/12</f>
        <v>109085.787981481</v>
      </c>
      <c r="R164" s="15" t="n">
        <f aca="false">Z160</f>
        <v>0</v>
      </c>
      <c r="S164" s="15" t="n">
        <f aca="false">AA160</f>
        <v>0</v>
      </c>
      <c r="T164" s="15" t="n">
        <f aca="false">MIN(R164,MAX(0,Q164))</f>
        <v>0</v>
      </c>
      <c r="U164" s="15" t="n">
        <f aca="false">MIN(S164,MAX(0,Q164-T164)*Parametri_v3!$C$42)</f>
        <v>0</v>
      </c>
      <c r="V164" s="15" t="n">
        <f aca="false">MAX(0,Q164-T164-U164)*Ipotesi!$C$92</f>
        <v>26180.5891155556</v>
      </c>
      <c r="W164" s="15" t="n">
        <f aca="false">MAX(0,SUM(M161:M164)+Parametri_v3!$C$57*4/12)*Ipotesi!$C$93</f>
        <v>4254.34573127778</v>
      </c>
      <c r="X164" s="15" t="n">
        <f aca="false">V164+W164-(V163+W163)</f>
        <v>7603.88996170833</v>
      </c>
      <c r="Y164" s="15" t="n">
        <f aca="false">P164-X164</f>
        <v>19650.1959225509</v>
      </c>
      <c r="Z164" s="15" t="n">
        <f aca="false">R164-T164+IF(AND(Parametri_v3!$C$40=1,D164-YEAR(Parametri_v3!$C$50)&lt;Parametri_v3!$C$41),MAX(0,-Q164),0)</f>
        <v>0</v>
      </c>
      <c r="AA164" s="15" t="n">
        <f aca="false">S164-U164+IF(AND(Parametri_v3!$C$40=1,D164-YEAR(Parametri_v3!$C$50)&lt;Parametri_v3!$C$41),0,MAX(0,-Q164))</f>
        <v>0</v>
      </c>
      <c r="AB164" s="15" t="n">
        <f aca="false">F164*(1+Parametri_v3!$C$26)</f>
        <v>110094.833333333</v>
      </c>
      <c r="AC164" s="15" t="n">
        <f aca="false">(IF(40-(INT((Motore_Operativo!L164)/30))&lt;1,0,INDEX(Motore_Advisory!$AB$125:$AB$184,MAX(1,40-(INT((Motore_Operativo!L164)/30)))))*(1-(MOD((Motore_Operativo!L164),30)/30))+IF(40-(INT((Motore_Operativo!L164)/30))-1&lt;1,0,INDEX(Motore_Advisory!$AB$125:$AB$184,MAX(1,40-(INT((Motore_Operativo!L164)/30))-1)))*(MOD((Motore_Operativo!L164),30)/30))</f>
        <v>110094.833333333</v>
      </c>
      <c r="AD164" s="15" t="n">
        <f aca="false">(AD163)+AB164-AC164</f>
        <v>330284.5</v>
      </c>
      <c r="AE164" s="15" t="n">
        <f aca="false">Motore_Operativo!BH164*(1+Parametri_v3!$C$26)</f>
        <v>11009.4833333333</v>
      </c>
      <c r="AF164" s="15" t="n">
        <f aca="false">(IF(40-(INT((Parametri_v3!$C$29)/30))&lt;1,0,INDEX(Motore_Operativo!$BH$125:$BH$184,MAX(1,40-(INT((Parametri_v3!$C$29)/30)))))*(1-(MOD((Parametri_v3!$C$29),30)/30))+IF(40-(INT((Parametri_v3!$C$29)/30))-1&lt;1,0,INDEX(Motore_Operativo!$BH$125:$BH$184,MAX(1,40-(INT((Parametri_v3!$C$29)/30))-1)))*(MOD((Parametri_v3!$C$29),30)/30))*(1+Parametri_v3!$C$26)</f>
        <v>11009.4833333333</v>
      </c>
      <c r="AG164" s="15" t="n">
        <f aca="false">(AG163)+AE164-AF164</f>
        <v>11009.4833333333</v>
      </c>
      <c r="AH164" s="15" t="n">
        <f aca="false">(Motore_Operativo!CK164)*(1+Parametri_v3!$C$28*Parametri_v3!$C$26)</f>
        <v>23198.952</v>
      </c>
      <c r="AI164" s="15" t="n">
        <f aca="false">(IF(40-(INT((Ipotesi!$C$91)/30))&lt;1,0,INDEX(Motore_Advisory!$AH$125:$AH$184,MAX(1,40-(INT((Ipotesi!$C$91)/30)))))*(1-(MOD((Ipotesi!$C$91),30)/30))+IF(40-(INT((Ipotesi!$C$91)/30))-1&lt;1,0,INDEX(Motore_Advisory!$AH$125:$AH$184,MAX(1,40-(INT((Ipotesi!$C$91)/30))-1)))*(MOD((Ipotesi!$C$91),30)/30))</f>
        <v>23198.952</v>
      </c>
      <c r="AJ164" s="15" t="n">
        <f aca="false">(AJ163)+AH164-AI164</f>
        <v>46397.904</v>
      </c>
      <c r="AK164" s="15" t="n">
        <f aca="false">(F164- Motore_Operativo!BH164-(Motore_Operativo!CK164)*Parametri_v3!$C$28-Motore_Operativo!CF164)*Parametri_v3!$C$26</f>
        <v>14249.2313333333</v>
      </c>
      <c r="AL164" s="15" t="n">
        <f aca="false">MAX(0,(AM163))</f>
        <v>14249.2313333333</v>
      </c>
      <c r="AM164" s="15" t="n">
        <f aca="false">(AM163)+AK164-AL164</f>
        <v>14249.2313333333</v>
      </c>
      <c r="AN164" s="15" t="n">
        <f aca="false">SUM(X149:X160)</f>
        <v>46679.99375</v>
      </c>
      <c r="AO164" s="15" t="n">
        <f aca="false">SUM(AP149:AP160)</f>
        <v>16530.1714788732</v>
      </c>
      <c r="AP164" s="15" t="n">
        <f aca="false">MAX(0,AN164)*IF(4=Parametri_v3!$C$43,Parametri_v3!$C$45,IF(4=Parametri_v3!$C$44,1-Parametri_v3!$C$45,0))</f>
        <v>0</v>
      </c>
      <c r="AQ164" s="15" t="n">
        <f aca="false">MAX(0,AP164+IF(4=Parametri_v3!$C$43,MAX(0,AN164-AO164),0)-MAX(0,-(AR163)))</f>
        <v>0</v>
      </c>
      <c r="AR164" s="15" t="n">
        <f aca="false">(AR163)+X164-AQ164</f>
        <v>60584.7571179601</v>
      </c>
      <c r="AS164" s="15" t="n">
        <f aca="false">Motore_Operativo!AC164-AT164+AU164</f>
        <v>32137.5563729167</v>
      </c>
      <c r="AT164" s="15" t="n">
        <f aca="false">Motore_Operativo!CI164</f>
        <v>1691.45033541667</v>
      </c>
      <c r="AU164" s="15" t="n">
        <f aca="false">MIN(MAX(0,(AV163)+AT164),Parametri_v3!$C$61/12)</f>
        <v>0</v>
      </c>
      <c r="AV164" s="15" t="n">
        <f aca="false">(AV163)+AT164-AU164</f>
        <v>34745.2388416667</v>
      </c>
      <c r="AW164" s="15" t="n">
        <f aca="false">IF(AND(Motore_Operativo!C164=Finanziamenti!$D$7,Finanziamenti!$F$7=1),Finanziamenti!$C$7,0)</f>
        <v>0</v>
      </c>
      <c r="AX164" s="15" t="n">
        <f aca="false">0</f>
        <v>0</v>
      </c>
      <c r="AY164" s="15" t="n">
        <f aca="false">IF(4=Parametri_v3!$C$33,IF(BV164&lt;MIN(12,$B164-1),0,MIN(MAX(0,SUM(Y149:Y160))*Ipotesi!$C$94,MAX(0,(BM160)-(BO163)-BP164),MAX(0,BD164-Parametri_v3!$C$31))),0)</f>
        <v>0</v>
      </c>
      <c r="AZ164" s="15" t="n">
        <f aca="false">0</f>
        <v>0</v>
      </c>
      <c r="BA164" s="15" t="n">
        <f aca="false">0</f>
        <v>0</v>
      </c>
      <c r="BB164" s="15" t="n">
        <f aca="false">0</f>
        <v>0</v>
      </c>
      <c r="BC164" s="15" t="n">
        <f aca="false">0</f>
        <v>0</v>
      </c>
      <c r="BD164" s="15" t="n">
        <f aca="false">(BH163)+AC164-AF164-AI164-AS164-K164*(1+Parametri_v3!$C$26)-AL164-AQ164-O164+AW164+AX164+AZ164+BA164-BB164</f>
        <v>125658.068170676</v>
      </c>
      <c r="BE164" s="15" t="n">
        <f aca="false">0</f>
        <v>0</v>
      </c>
      <c r="BF164" s="15" t="n">
        <f aca="false">0</f>
        <v>0</v>
      </c>
      <c r="BG164" s="15" t="n">
        <f aca="false">0</f>
        <v>0</v>
      </c>
      <c r="BH164" s="15" t="n">
        <f aca="false">BD164+BE164-BF164-AY164</f>
        <v>125658.068170676</v>
      </c>
      <c r="BI164" s="15" t="n">
        <f aca="false">MAX(0,Parametri_v3!$C$31-BH164)</f>
        <v>0</v>
      </c>
      <c r="BJ164" s="15" t="n">
        <f aca="false">(BJ163)+K164</f>
        <v>15666.6666666667</v>
      </c>
      <c r="BK164" s="15" t="n">
        <f aca="false">(BK163)+L164</f>
        <v>7574.07407407407</v>
      </c>
      <c r="BL164" s="15" t="n">
        <f aca="false">BJ164-BK164</f>
        <v>8092.59259259259</v>
      </c>
      <c r="BM164" s="15" t="n">
        <f aca="false">(BM163)+Y164</f>
        <v>277048.546136975</v>
      </c>
      <c r="BN164" s="15" t="n">
        <f aca="false">(BN163)+AW164+AX164+AZ164</f>
        <v>20000</v>
      </c>
      <c r="BO164" s="15" t="n">
        <f aca="false">(BO163)+AY164</f>
        <v>0</v>
      </c>
      <c r="BP164" s="15" t="n">
        <f aca="false">MIN(Parametri_v3!$C$36*Parametri_v3!$C$35,(BP163)+IF(4=1,MAX(0,SUM(Y149:Y160))*Parametri_v3!$C$34,0))</f>
        <v>2000</v>
      </c>
      <c r="BQ164" s="15" t="n">
        <f aca="false">BN164+BM164-BO164</f>
        <v>297048.546136975</v>
      </c>
      <c r="BR164" s="15" t="n">
        <f aca="false">BH164+AD164+BL164+MAX(0,-AM164)+MAX(0,-AR164)</f>
        <v>464035.160763268</v>
      </c>
      <c r="BS164" s="15" t="n">
        <f aca="false">AJ164+AV164+MAX(0,AM164)+MAX(0,AR164)+BC164+BG164+BQ164+AG164</f>
        <v>464035.160763268</v>
      </c>
      <c r="BT164" s="15" t="n">
        <f aca="false">BR164-BS164</f>
        <v>0</v>
      </c>
      <c r="BU164" s="15" t="n">
        <f aca="false">BH164-(BD164+BE164-BF164-AY164)</f>
        <v>0</v>
      </c>
      <c r="BV164" s="15" t="n">
        <f aca="false">IF(BH163&lt;Parametri_v3!$C$31,0,BV163+1)</f>
        <v>11</v>
      </c>
    </row>
    <row r="165" customFormat="false" ht="18" hidden="false" customHeight="true" outlineLevel="0" collapsed="false">
      <c r="A165" s="68" t="n">
        <f aca="false">3</f>
        <v>3</v>
      </c>
      <c r="B165" s="68" t="n">
        <f aca="false">41</f>
        <v>41</v>
      </c>
      <c r="C165" s="18" t="n">
        <f aca="false">Motore_Operativo!C165</f>
        <v>47604</v>
      </c>
      <c r="D165" s="68" t="n">
        <f aca="false">Motore_Operativo!D165</f>
        <v>2030</v>
      </c>
      <c r="E165" s="68" t="n">
        <f aca="false">Motore_Operativo!E165</f>
        <v>5</v>
      </c>
      <c r="F165" s="15" t="n">
        <f aca="false">Motore_Operativo!AM165</f>
        <v>90241.6666666667</v>
      </c>
      <c r="G165" s="15" t="n">
        <f aca="false">Motore_Operativo!BH165</f>
        <v>9024.16666666667</v>
      </c>
      <c r="H165" s="15" t="n">
        <f aca="false">Motore_Operativo!AM165</f>
        <v>90241.6666666667</v>
      </c>
      <c r="I165" s="15" t="n">
        <f aca="false">Motore_Operativo!CB165</f>
        <v>62580.173375</v>
      </c>
      <c r="J165" s="15" t="n">
        <f aca="false">Motore_Operativo!CD165</f>
        <v>27661.4932916667</v>
      </c>
      <c r="K165" s="15" t="n">
        <f aca="false">Motore_Operativo!CF165</f>
        <v>666.666666666667</v>
      </c>
      <c r="L165" s="15" t="n">
        <f aca="false">SUM(INDEX($K$125:$K$184,MAX(1,41-Parametri_v3!$C$59+1)):K165)/Parametri_v3!$C$59</f>
        <v>418.981481481482</v>
      </c>
      <c r="M165" s="15" t="n">
        <f aca="false">J165-L165</f>
        <v>27242.5118101852</v>
      </c>
      <c r="N165" s="15" t="n">
        <f aca="false">0</f>
        <v>0</v>
      </c>
      <c r="O165" s="15" t="n">
        <f aca="false">0</f>
        <v>0</v>
      </c>
      <c r="P165" s="15" t="n">
        <f aca="false">M165+N165-O165</f>
        <v>27242.5118101852</v>
      </c>
      <c r="Q165" s="15" t="n">
        <f aca="false">SUM(P161:P165)+Parametri_v3!$C$56*5/12</f>
        <v>136328.299791667</v>
      </c>
      <c r="R165" s="15" t="n">
        <f aca="false">Z160</f>
        <v>0</v>
      </c>
      <c r="S165" s="15" t="n">
        <f aca="false">AA160</f>
        <v>0</v>
      </c>
      <c r="T165" s="15" t="n">
        <f aca="false">MIN(R165,MAX(0,Q165))</f>
        <v>0</v>
      </c>
      <c r="U165" s="15" t="n">
        <f aca="false">MIN(S165,MAX(0,Q165-T165)*Parametri_v3!$C$42)</f>
        <v>0</v>
      </c>
      <c r="V165" s="15" t="n">
        <f aca="false">MAX(0,Q165-T165-U165)*Ipotesi!$C$92</f>
        <v>32718.79195</v>
      </c>
      <c r="W165" s="15" t="n">
        <f aca="false">MAX(0,SUM(M161:M165)+Parametri_v3!$C$57*5/12)*Ipotesi!$C$93</f>
        <v>5316.803691875</v>
      </c>
      <c r="X165" s="15" t="n">
        <f aca="false">V165+W165-(V164+W164)</f>
        <v>7600.66079504167</v>
      </c>
      <c r="Y165" s="15" t="n">
        <f aca="false">P165-X165</f>
        <v>19641.8510151435</v>
      </c>
      <c r="Z165" s="15" t="n">
        <f aca="false">R165-T165+IF(AND(Parametri_v3!$C$40=1,D165-YEAR(Parametri_v3!$C$50)&lt;Parametri_v3!$C$41),MAX(0,-Q165),0)</f>
        <v>0</v>
      </c>
      <c r="AA165" s="15" t="n">
        <f aca="false">S165-U165+IF(AND(Parametri_v3!$C$40=1,D165-YEAR(Parametri_v3!$C$50)&lt;Parametri_v3!$C$41),0,MAX(0,-Q165))</f>
        <v>0</v>
      </c>
      <c r="AB165" s="15" t="n">
        <f aca="false">F165*(1+Parametri_v3!$C$26)</f>
        <v>110094.833333333</v>
      </c>
      <c r="AC165" s="15" t="n">
        <f aca="false">(IF(41-(INT((Motore_Operativo!L165)/30))&lt;1,0,INDEX(Motore_Advisory!$AB$125:$AB$184,MAX(1,41-(INT((Motore_Operativo!L165)/30)))))*(1-(MOD((Motore_Operativo!L165),30)/30))+IF(41-(INT((Motore_Operativo!L165)/30))-1&lt;1,0,INDEX(Motore_Advisory!$AB$125:$AB$184,MAX(1,41-(INT((Motore_Operativo!L165)/30))-1)))*(MOD((Motore_Operativo!L165),30)/30))</f>
        <v>110094.833333333</v>
      </c>
      <c r="AD165" s="15" t="n">
        <f aca="false">(AD164)+AB165-AC165</f>
        <v>330284.5</v>
      </c>
      <c r="AE165" s="15" t="n">
        <f aca="false">Motore_Operativo!BH165*(1+Parametri_v3!$C$26)</f>
        <v>11009.4833333333</v>
      </c>
      <c r="AF165" s="15" t="n">
        <f aca="false">(IF(41-(INT((Parametri_v3!$C$29)/30))&lt;1,0,INDEX(Motore_Operativo!$BH$125:$BH$184,MAX(1,41-(INT((Parametri_v3!$C$29)/30)))))*(1-(MOD((Parametri_v3!$C$29),30)/30))+IF(41-(INT((Parametri_v3!$C$29)/30))-1&lt;1,0,INDEX(Motore_Operativo!$BH$125:$BH$184,MAX(1,41-(INT((Parametri_v3!$C$29)/30))-1)))*(MOD((Parametri_v3!$C$29),30)/30))*(1+Parametri_v3!$C$26)</f>
        <v>11009.4833333333</v>
      </c>
      <c r="AG165" s="15" t="n">
        <f aca="false">(AG164)+AE165-AF165</f>
        <v>11009.4833333333</v>
      </c>
      <c r="AH165" s="15" t="n">
        <f aca="false">(Motore_Operativo!CK165)*(1+Parametri_v3!$C$28*Parametri_v3!$C$26)</f>
        <v>23198.952</v>
      </c>
      <c r="AI165" s="15" t="n">
        <f aca="false">(IF(41-(INT((Ipotesi!$C$91)/30))&lt;1,0,INDEX(Motore_Advisory!$AH$125:$AH$184,MAX(1,41-(INT((Ipotesi!$C$91)/30)))))*(1-(MOD((Ipotesi!$C$91),30)/30))+IF(41-(INT((Ipotesi!$C$91)/30))-1&lt;1,0,INDEX(Motore_Advisory!$AH$125:$AH$184,MAX(1,41-(INT((Ipotesi!$C$91)/30))-1)))*(MOD((Ipotesi!$C$91),30)/30))</f>
        <v>23198.952</v>
      </c>
      <c r="AJ165" s="15" t="n">
        <f aca="false">(AJ164)+AH165-AI165</f>
        <v>46397.904</v>
      </c>
      <c r="AK165" s="15" t="n">
        <f aca="false">(F165- Motore_Operativo!BH165-(Motore_Operativo!CK165)*Parametri_v3!$C$28-Motore_Operativo!CF165)*Parametri_v3!$C$26</f>
        <v>14249.2313333333</v>
      </c>
      <c r="AL165" s="15" t="n">
        <f aca="false">MAX(0,(AM164))</f>
        <v>14249.2313333333</v>
      </c>
      <c r="AM165" s="15" t="n">
        <f aca="false">(AM164)+AK165-AL165</f>
        <v>14249.2313333333</v>
      </c>
      <c r="AN165" s="15" t="n">
        <f aca="false">SUM(X149:X160)</f>
        <v>46679.99375</v>
      </c>
      <c r="AO165" s="15" t="n">
        <f aca="false">SUM(AP149:AP160)</f>
        <v>16530.1714788732</v>
      </c>
      <c r="AP165" s="15" t="n">
        <f aca="false">MAX(0,AN165)*IF(5=Parametri_v3!$C$43,Parametri_v3!$C$45,IF(5=Parametri_v3!$C$44,1-Parametri_v3!$C$45,0))</f>
        <v>0</v>
      </c>
      <c r="AQ165" s="15" t="n">
        <f aca="false">MAX(0,AP165+IF(5=Parametri_v3!$C$43,MAX(0,AN165-AO165),0)-MAX(0,-(AR164)))</f>
        <v>0</v>
      </c>
      <c r="AR165" s="15" t="n">
        <f aca="false">(AR164)+X165-AQ165</f>
        <v>68185.4179130018</v>
      </c>
      <c r="AS165" s="15" t="n">
        <f aca="false">Motore_Operativo!AC165-AT165+AU165</f>
        <v>32137.5563729167</v>
      </c>
      <c r="AT165" s="15" t="n">
        <f aca="false">Motore_Operativo!CI165</f>
        <v>1691.45033541667</v>
      </c>
      <c r="AU165" s="15" t="n">
        <f aca="false">MIN(MAX(0,(AV164)+AT165),Parametri_v3!$C$61/12)</f>
        <v>0</v>
      </c>
      <c r="AV165" s="15" t="n">
        <f aca="false">(AV164)+AT165-AU165</f>
        <v>36436.6891770833</v>
      </c>
      <c r="AW165" s="15" t="n">
        <f aca="false">IF(AND(Motore_Operativo!C165=Finanziamenti!$D$7,Finanziamenti!$F$7=1),Finanziamenti!$C$7,0)</f>
        <v>0</v>
      </c>
      <c r="AX165" s="15" t="n">
        <f aca="false">0</f>
        <v>0</v>
      </c>
      <c r="AY165" s="15" t="n">
        <f aca="false">IF(5=Parametri_v3!$C$33,IF(BV165&lt;MIN(12,$B165-1),0,MIN(MAX(0,SUM(Y149:Y160))*Ipotesi!$C$94,MAX(0,(BM160)-(BO164)-BP165),MAX(0,BD165-Parametri_v3!$C$31))),0)</f>
        <v>0</v>
      </c>
      <c r="AZ165" s="15" t="n">
        <f aca="false">0</f>
        <v>0</v>
      </c>
      <c r="BA165" s="15" t="n">
        <f aca="false">0</f>
        <v>0</v>
      </c>
      <c r="BB165" s="15" t="n">
        <f aca="false">0</f>
        <v>0</v>
      </c>
      <c r="BC165" s="15" t="n">
        <f aca="false">0</f>
        <v>0</v>
      </c>
      <c r="BD165" s="15" t="n">
        <f aca="false">(BH164)+AC165-AF165-AI165-AS165-K165*(1+Parametri_v3!$C$26)-AL165-AQ165-O165+AW165+AX165+AZ165+BA165-BB165</f>
        <v>154344.345131092</v>
      </c>
      <c r="BE165" s="15" t="n">
        <f aca="false">0</f>
        <v>0</v>
      </c>
      <c r="BF165" s="15" t="n">
        <f aca="false">0</f>
        <v>0</v>
      </c>
      <c r="BG165" s="15" t="n">
        <f aca="false">0</f>
        <v>0</v>
      </c>
      <c r="BH165" s="15" t="n">
        <f aca="false">BD165+BE165-BF165-AY165</f>
        <v>154344.345131092</v>
      </c>
      <c r="BI165" s="15" t="n">
        <f aca="false">MAX(0,Parametri_v3!$C$31-BH165)</f>
        <v>0</v>
      </c>
      <c r="BJ165" s="15" t="n">
        <f aca="false">(BJ164)+K165</f>
        <v>16333.3333333333</v>
      </c>
      <c r="BK165" s="15" t="n">
        <f aca="false">(BK164)+L165</f>
        <v>7993.05555555556</v>
      </c>
      <c r="BL165" s="15" t="n">
        <f aca="false">BJ165-BK165</f>
        <v>8340.27777777777</v>
      </c>
      <c r="BM165" s="15" t="n">
        <f aca="false">(BM164)+Y165</f>
        <v>296690.397152119</v>
      </c>
      <c r="BN165" s="15" t="n">
        <f aca="false">(BN164)+AW165+AX165+AZ165</f>
        <v>20000</v>
      </c>
      <c r="BO165" s="15" t="n">
        <f aca="false">(BO164)+AY165</f>
        <v>0</v>
      </c>
      <c r="BP165" s="15" t="n">
        <f aca="false">MIN(Parametri_v3!$C$36*Parametri_v3!$C$35,(BP164)+IF(5=1,MAX(0,SUM(Y149:Y160))*Parametri_v3!$C$34,0))</f>
        <v>2000</v>
      </c>
      <c r="BQ165" s="15" t="n">
        <f aca="false">BN165+BM165-BO165</f>
        <v>316690.397152119</v>
      </c>
      <c r="BR165" s="15" t="n">
        <f aca="false">BH165+AD165+BL165+MAX(0,-AM165)+MAX(0,-AR165)</f>
        <v>492969.12290887</v>
      </c>
      <c r="BS165" s="15" t="n">
        <f aca="false">AJ165+AV165+MAX(0,AM165)+MAX(0,AR165)+BC165+BG165+BQ165+AG165</f>
        <v>492969.12290887</v>
      </c>
      <c r="BT165" s="15" t="n">
        <f aca="false">BR165-BS165</f>
        <v>0</v>
      </c>
      <c r="BU165" s="15" t="n">
        <f aca="false">BH165-(BD165+BE165-BF165-AY165)</f>
        <v>0</v>
      </c>
      <c r="BV165" s="15" t="n">
        <f aca="false">IF(BH164&lt;Parametri_v3!$C$31,0,BV164+1)</f>
        <v>12</v>
      </c>
    </row>
    <row r="166" customFormat="false" ht="18" hidden="false" customHeight="true" outlineLevel="0" collapsed="false">
      <c r="A166" s="68" t="n">
        <f aca="false">3</f>
        <v>3</v>
      </c>
      <c r="B166" s="68" t="n">
        <f aca="false">42</f>
        <v>42</v>
      </c>
      <c r="C166" s="18" t="n">
        <f aca="false">Motore_Operativo!C166</f>
        <v>47635</v>
      </c>
      <c r="D166" s="68" t="n">
        <f aca="false">Motore_Operativo!D166</f>
        <v>2030</v>
      </c>
      <c r="E166" s="68" t="n">
        <f aca="false">Motore_Operativo!E166</f>
        <v>6</v>
      </c>
      <c r="F166" s="15" t="n">
        <f aca="false">Motore_Operativo!AM166</f>
        <v>90241.6666666667</v>
      </c>
      <c r="G166" s="15" t="n">
        <f aca="false">Motore_Operativo!BH166</f>
        <v>9024.16666666667</v>
      </c>
      <c r="H166" s="15" t="n">
        <f aca="false">Motore_Operativo!AM166</f>
        <v>90241.6666666667</v>
      </c>
      <c r="I166" s="15" t="n">
        <f aca="false">Motore_Operativo!CB166</f>
        <v>62580.173375</v>
      </c>
      <c r="J166" s="15" t="n">
        <f aca="false">Motore_Operativo!CD166</f>
        <v>27661.4932916667</v>
      </c>
      <c r="K166" s="15" t="n">
        <f aca="false">Motore_Operativo!CF166</f>
        <v>666.666666666667</v>
      </c>
      <c r="L166" s="15" t="n">
        <f aca="false">SUM(INDEX($K$125:$K$184,MAX(1,42-Parametri_v3!$C$59+1)):K166)/Parametri_v3!$C$59</f>
        <v>430.555555555556</v>
      </c>
      <c r="M166" s="15" t="n">
        <f aca="false">J166-L166</f>
        <v>27230.9377361111</v>
      </c>
      <c r="N166" s="15" t="n">
        <f aca="false">0</f>
        <v>0</v>
      </c>
      <c r="O166" s="15" t="n">
        <f aca="false">0</f>
        <v>0</v>
      </c>
      <c r="P166" s="15" t="n">
        <f aca="false">M166+N166-O166</f>
        <v>27230.9377361111</v>
      </c>
      <c r="Q166" s="15" t="n">
        <f aca="false">SUM(P161:P166)+Parametri_v3!$C$56*6/12</f>
        <v>163559.237527778</v>
      </c>
      <c r="R166" s="15" t="n">
        <f aca="false">Z160</f>
        <v>0</v>
      </c>
      <c r="S166" s="15" t="n">
        <f aca="false">AA160</f>
        <v>0</v>
      </c>
      <c r="T166" s="15" t="n">
        <f aca="false">MIN(R166,MAX(0,Q166))</f>
        <v>0</v>
      </c>
      <c r="U166" s="15" t="n">
        <f aca="false">MIN(S166,MAX(0,Q166-T166)*Parametri_v3!$C$42)</f>
        <v>0</v>
      </c>
      <c r="V166" s="15" t="n">
        <f aca="false">MAX(0,Q166-T166-U166)*Ipotesi!$C$92</f>
        <v>39254.2170066667</v>
      </c>
      <c r="W166" s="15" t="n">
        <f aca="false">MAX(0,SUM(M161:M166)+Parametri_v3!$C$57*6/12)*Ipotesi!$C$93</f>
        <v>6378.81026358333</v>
      </c>
      <c r="X166" s="15" t="n">
        <f aca="false">V166+W166-(V165+W165)</f>
        <v>7597.43162837499</v>
      </c>
      <c r="Y166" s="15" t="n">
        <f aca="false">P166-X166</f>
        <v>19633.5061077361</v>
      </c>
      <c r="Z166" s="15" t="n">
        <f aca="false">R166-T166+IF(AND(Parametri_v3!$C$40=1,D166-YEAR(Parametri_v3!$C$50)&lt;Parametri_v3!$C$41),MAX(0,-Q166),0)</f>
        <v>0</v>
      </c>
      <c r="AA166" s="15" t="n">
        <f aca="false">S166-U166+IF(AND(Parametri_v3!$C$40=1,D166-YEAR(Parametri_v3!$C$50)&lt;Parametri_v3!$C$41),0,MAX(0,-Q166))</f>
        <v>0</v>
      </c>
      <c r="AB166" s="15" t="n">
        <f aca="false">F166*(1+Parametri_v3!$C$26)</f>
        <v>110094.833333333</v>
      </c>
      <c r="AC166" s="15" t="n">
        <f aca="false">(IF(42-(INT((Motore_Operativo!L166)/30))&lt;1,0,INDEX(Motore_Advisory!$AB$125:$AB$184,MAX(1,42-(INT((Motore_Operativo!L166)/30)))))*(1-(MOD((Motore_Operativo!L166),30)/30))+IF(42-(INT((Motore_Operativo!L166)/30))-1&lt;1,0,INDEX(Motore_Advisory!$AB$125:$AB$184,MAX(1,42-(INT((Motore_Operativo!L166)/30))-1)))*(MOD((Motore_Operativo!L166),30)/30))</f>
        <v>110094.833333333</v>
      </c>
      <c r="AD166" s="15" t="n">
        <f aca="false">(AD165)+AB166-AC166</f>
        <v>330284.5</v>
      </c>
      <c r="AE166" s="15" t="n">
        <f aca="false">Motore_Operativo!BH166*(1+Parametri_v3!$C$26)</f>
        <v>11009.4833333333</v>
      </c>
      <c r="AF166" s="15" t="n">
        <f aca="false">(IF(42-(INT((Parametri_v3!$C$29)/30))&lt;1,0,INDEX(Motore_Operativo!$BH$125:$BH$184,MAX(1,42-(INT((Parametri_v3!$C$29)/30)))))*(1-(MOD((Parametri_v3!$C$29),30)/30))+IF(42-(INT((Parametri_v3!$C$29)/30))-1&lt;1,0,INDEX(Motore_Operativo!$BH$125:$BH$184,MAX(1,42-(INT((Parametri_v3!$C$29)/30))-1)))*(MOD((Parametri_v3!$C$29),30)/30))*(1+Parametri_v3!$C$26)</f>
        <v>11009.4833333333</v>
      </c>
      <c r="AG166" s="15" t="n">
        <f aca="false">(AG165)+AE166-AF166</f>
        <v>11009.4833333333</v>
      </c>
      <c r="AH166" s="15" t="n">
        <f aca="false">(Motore_Operativo!CK166)*(1+Parametri_v3!$C$28*Parametri_v3!$C$26)</f>
        <v>23198.952</v>
      </c>
      <c r="AI166" s="15" t="n">
        <f aca="false">(IF(42-(INT((Ipotesi!$C$91)/30))&lt;1,0,INDEX(Motore_Advisory!$AH$125:$AH$184,MAX(1,42-(INT((Ipotesi!$C$91)/30)))))*(1-(MOD((Ipotesi!$C$91),30)/30))+IF(42-(INT((Ipotesi!$C$91)/30))-1&lt;1,0,INDEX(Motore_Advisory!$AH$125:$AH$184,MAX(1,42-(INT((Ipotesi!$C$91)/30))-1)))*(MOD((Ipotesi!$C$91),30)/30))</f>
        <v>23198.952</v>
      </c>
      <c r="AJ166" s="15" t="n">
        <f aca="false">(AJ165)+AH166-AI166</f>
        <v>46397.904</v>
      </c>
      <c r="AK166" s="15" t="n">
        <f aca="false">(F166- Motore_Operativo!BH166-(Motore_Operativo!CK166)*Parametri_v3!$C$28-Motore_Operativo!CF166)*Parametri_v3!$C$26</f>
        <v>14249.2313333333</v>
      </c>
      <c r="AL166" s="15" t="n">
        <f aca="false">MAX(0,(AM165))</f>
        <v>14249.2313333333</v>
      </c>
      <c r="AM166" s="15" t="n">
        <f aca="false">(AM165)+AK166-AL166</f>
        <v>14249.2313333333</v>
      </c>
      <c r="AN166" s="15" t="n">
        <f aca="false">SUM(X149:X160)</f>
        <v>46679.99375</v>
      </c>
      <c r="AO166" s="15" t="n">
        <f aca="false">SUM(AP149:AP160)</f>
        <v>16530.1714788732</v>
      </c>
      <c r="AP166" s="15" t="n">
        <f aca="false">MAX(0,AN166)*IF(6=Parametri_v3!$C$43,Parametri_v3!$C$45,IF(6=Parametri_v3!$C$44,1-Parametri_v3!$C$45,0))</f>
        <v>18671.9975</v>
      </c>
      <c r="AQ166" s="15" t="n">
        <f aca="false">MAX(0,AP166+IF(6=Parametri_v3!$C$43,MAX(0,AN166-AO166),0)-MAX(0,-(AR165)))</f>
        <v>48821.8197711268</v>
      </c>
      <c r="AR166" s="15" t="n">
        <f aca="false">(AR165)+X166-AQ166</f>
        <v>26961.02977025</v>
      </c>
      <c r="AS166" s="15" t="n">
        <f aca="false">Motore_Operativo!AC166-AT166+AU166</f>
        <v>32137.5563729167</v>
      </c>
      <c r="AT166" s="15" t="n">
        <f aca="false">Motore_Operativo!CI166</f>
        <v>1691.45033541667</v>
      </c>
      <c r="AU166" s="15" t="n">
        <f aca="false">MIN(MAX(0,(AV165)+AT166),Parametri_v3!$C$61/12)</f>
        <v>0</v>
      </c>
      <c r="AV166" s="15" t="n">
        <f aca="false">(AV165)+AT166-AU166</f>
        <v>38128.1395125</v>
      </c>
      <c r="AW166" s="15" t="n">
        <f aca="false">IF(AND(Motore_Operativo!C166=Finanziamenti!$D$7,Finanziamenti!$F$7=1),Finanziamenti!$C$7,0)</f>
        <v>0</v>
      </c>
      <c r="AX166" s="15" t="n">
        <f aca="false">0</f>
        <v>0</v>
      </c>
      <c r="AY166" s="15" t="n">
        <f aca="false">IF(6=Parametri_v3!$C$33,IF(BV166&lt;MIN(12,$B166-1),0,MIN(MAX(0,SUM(Y149:Y160))*Ipotesi!$C$94,MAX(0,(BM160)-(BO165)-BP166),MAX(0,BD166-Parametri_v3!$C$31))),0)</f>
        <v>60315.9059027778</v>
      </c>
      <c r="AZ166" s="15" t="n">
        <f aca="false">0</f>
        <v>0</v>
      </c>
      <c r="BA166" s="15" t="n">
        <f aca="false">0</f>
        <v>0</v>
      </c>
      <c r="BB166" s="15" t="n">
        <f aca="false">0</f>
        <v>0</v>
      </c>
      <c r="BC166" s="15" t="n">
        <f aca="false">0</f>
        <v>0</v>
      </c>
      <c r="BD166" s="15" t="n">
        <f aca="false">(BH165)+AC166-AF166-AI166-AS166-K166*(1+Parametri_v3!$C$26)-AL166-AQ166-O166+AW166+AX166+AZ166+BA166-BB166</f>
        <v>134208.802320382</v>
      </c>
      <c r="BE166" s="15" t="n">
        <f aca="false">0</f>
        <v>0</v>
      </c>
      <c r="BF166" s="15" t="n">
        <f aca="false">0</f>
        <v>0</v>
      </c>
      <c r="BG166" s="15" t="n">
        <f aca="false">0</f>
        <v>0</v>
      </c>
      <c r="BH166" s="15" t="n">
        <f aca="false">BD166+BE166-BF166-AY166</f>
        <v>73892.8964176045</v>
      </c>
      <c r="BI166" s="15" t="n">
        <f aca="false">MAX(0,Parametri_v3!$C$31-BH166)</f>
        <v>0</v>
      </c>
      <c r="BJ166" s="15" t="n">
        <f aca="false">(BJ165)+K166</f>
        <v>17000</v>
      </c>
      <c r="BK166" s="15" t="n">
        <f aca="false">(BK165)+L166</f>
        <v>8423.61111111111</v>
      </c>
      <c r="BL166" s="15" t="n">
        <f aca="false">BJ166-BK166</f>
        <v>8576.38888888888</v>
      </c>
      <c r="BM166" s="15" t="n">
        <f aca="false">(BM165)+Y166</f>
        <v>316323.903259855</v>
      </c>
      <c r="BN166" s="15" t="n">
        <f aca="false">(BN165)+AW166+AX166+AZ166</f>
        <v>20000</v>
      </c>
      <c r="BO166" s="15" t="n">
        <f aca="false">(BO165)+AY166</f>
        <v>60315.9059027778</v>
      </c>
      <c r="BP166" s="15" t="n">
        <f aca="false">MIN(Parametri_v3!$C$36*Parametri_v3!$C$35,(BP165)+IF(6=1,MAX(0,SUM(Y149:Y160))*Parametri_v3!$C$34,0))</f>
        <v>2000</v>
      </c>
      <c r="BQ166" s="15" t="n">
        <f aca="false">BN166+BM166-BO166</f>
        <v>276007.997357077</v>
      </c>
      <c r="BR166" s="15" t="n">
        <f aca="false">BH166+AD166+BL166+MAX(0,-AM166)+MAX(0,-AR166)</f>
        <v>412753.785306493</v>
      </c>
      <c r="BS166" s="15" t="n">
        <f aca="false">AJ166+AV166+MAX(0,AM166)+MAX(0,AR166)+BC166+BG166+BQ166+AG166</f>
        <v>412753.785306493</v>
      </c>
      <c r="BT166" s="15" t="n">
        <f aca="false">BR166-BS166</f>
        <v>0</v>
      </c>
      <c r="BU166" s="15" t="n">
        <f aca="false">BH166-(BD166+BE166-BF166-AY166)</f>
        <v>0</v>
      </c>
      <c r="BV166" s="15" t="n">
        <f aca="false">IF(BH165&lt;Parametri_v3!$C$31,0,BV165+1)</f>
        <v>13</v>
      </c>
    </row>
    <row r="167" customFormat="false" ht="18" hidden="false" customHeight="true" outlineLevel="0" collapsed="false">
      <c r="A167" s="68" t="n">
        <f aca="false">3</f>
        <v>3</v>
      </c>
      <c r="B167" s="68" t="n">
        <f aca="false">43</f>
        <v>43</v>
      </c>
      <c r="C167" s="18" t="n">
        <f aca="false">Motore_Operativo!C167</f>
        <v>47665</v>
      </c>
      <c r="D167" s="68" t="n">
        <f aca="false">Motore_Operativo!D167</f>
        <v>2030</v>
      </c>
      <c r="E167" s="68" t="n">
        <f aca="false">Motore_Operativo!E167</f>
        <v>7</v>
      </c>
      <c r="F167" s="15" t="n">
        <f aca="false">Motore_Operativo!AM167</f>
        <v>90241.6666666667</v>
      </c>
      <c r="G167" s="15" t="n">
        <f aca="false">Motore_Operativo!BH167</f>
        <v>9024.16666666667</v>
      </c>
      <c r="H167" s="15" t="n">
        <f aca="false">Motore_Operativo!AM167</f>
        <v>90241.6666666667</v>
      </c>
      <c r="I167" s="15" t="n">
        <f aca="false">Motore_Operativo!CB167</f>
        <v>62580.173375</v>
      </c>
      <c r="J167" s="15" t="n">
        <f aca="false">Motore_Operativo!CD167</f>
        <v>27661.4932916667</v>
      </c>
      <c r="K167" s="15" t="n">
        <f aca="false">Motore_Operativo!CF167</f>
        <v>666.666666666667</v>
      </c>
      <c r="L167" s="15" t="n">
        <f aca="false">SUM(INDEX($K$125:$K$184,MAX(1,43-Parametri_v3!$C$59+1)):K167)/Parametri_v3!$C$59</f>
        <v>442.12962962963</v>
      </c>
      <c r="M167" s="15" t="n">
        <f aca="false">J167-L167</f>
        <v>27219.363662037</v>
      </c>
      <c r="N167" s="15" t="n">
        <f aca="false">0</f>
        <v>0</v>
      </c>
      <c r="O167" s="15" t="n">
        <f aca="false">0</f>
        <v>0</v>
      </c>
      <c r="P167" s="15" t="n">
        <f aca="false">M167+N167-O167</f>
        <v>27219.363662037</v>
      </c>
      <c r="Q167" s="15" t="n">
        <f aca="false">SUM(P161:P167)+Parametri_v3!$C$56*7/12</f>
        <v>190778.601189815</v>
      </c>
      <c r="R167" s="15" t="n">
        <f aca="false">Z160</f>
        <v>0</v>
      </c>
      <c r="S167" s="15" t="n">
        <f aca="false">AA160</f>
        <v>0</v>
      </c>
      <c r="T167" s="15" t="n">
        <f aca="false">MIN(R167,MAX(0,Q167))</f>
        <v>0</v>
      </c>
      <c r="U167" s="15" t="n">
        <f aca="false">MIN(S167,MAX(0,Q167-T167)*Parametri_v3!$C$42)</f>
        <v>0</v>
      </c>
      <c r="V167" s="15" t="n">
        <f aca="false">MAX(0,Q167-T167-U167)*Ipotesi!$C$92</f>
        <v>45786.8642855556</v>
      </c>
      <c r="W167" s="15" t="n">
        <f aca="false">MAX(0,SUM(M161:M167)+Parametri_v3!$C$57*7/12)*Ipotesi!$C$93</f>
        <v>7440.36544640278</v>
      </c>
      <c r="X167" s="15" t="n">
        <f aca="false">V167+W167-(V166+W166)</f>
        <v>7594.20246170834</v>
      </c>
      <c r="Y167" s="15" t="n">
        <f aca="false">P167-X167</f>
        <v>19625.1612003287</v>
      </c>
      <c r="Z167" s="15" t="n">
        <f aca="false">R167-T167+IF(AND(Parametri_v3!$C$40=1,D167-YEAR(Parametri_v3!$C$50)&lt;Parametri_v3!$C$41),MAX(0,-Q167),0)</f>
        <v>0</v>
      </c>
      <c r="AA167" s="15" t="n">
        <f aca="false">S167-U167+IF(AND(Parametri_v3!$C$40=1,D167-YEAR(Parametri_v3!$C$50)&lt;Parametri_v3!$C$41),0,MAX(0,-Q167))</f>
        <v>0</v>
      </c>
      <c r="AB167" s="15" t="n">
        <f aca="false">F167*(1+Parametri_v3!$C$26)</f>
        <v>110094.833333333</v>
      </c>
      <c r="AC167" s="15" t="n">
        <f aca="false">(IF(43-(INT((Motore_Operativo!L167)/30))&lt;1,0,INDEX(Motore_Advisory!$AB$125:$AB$184,MAX(1,43-(INT((Motore_Operativo!L167)/30)))))*(1-(MOD((Motore_Operativo!L167),30)/30))+IF(43-(INT((Motore_Operativo!L167)/30))-1&lt;1,0,INDEX(Motore_Advisory!$AB$125:$AB$184,MAX(1,43-(INT((Motore_Operativo!L167)/30))-1)))*(MOD((Motore_Operativo!L167),30)/30))</f>
        <v>110094.833333333</v>
      </c>
      <c r="AD167" s="15" t="n">
        <f aca="false">(AD166)+AB167-AC167</f>
        <v>330284.5</v>
      </c>
      <c r="AE167" s="15" t="n">
        <f aca="false">Motore_Operativo!BH167*(1+Parametri_v3!$C$26)</f>
        <v>11009.4833333333</v>
      </c>
      <c r="AF167" s="15" t="n">
        <f aca="false">(IF(43-(INT((Parametri_v3!$C$29)/30))&lt;1,0,INDEX(Motore_Operativo!$BH$125:$BH$184,MAX(1,43-(INT((Parametri_v3!$C$29)/30)))))*(1-(MOD((Parametri_v3!$C$29),30)/30))+IF(43-(INT((Parametri_v3!$C$29)/30))-1&lt;1,0,INDEX(Motore_Operativo!$BH$125:$BH$184,MAX(1,43-(INT((Parametri_v3!$C$29)/30))-1)))*(MOD((Parametri_v3!$C$29),30)/30))*(1+Parametri_v3!$C$26)</f>
        <v>11009.4833333333</v>
      </c>
      <c r="AG167" s="15" t="n">
        <f aca="false">(AG166)+AE167-AF167</f>
        <v>11009.4833333333</v>
      </c>
      <c r="AH167" s="15" t="n">
        <f aca="false">(Motore_Operativo!CK167)*(1+Parametri_v3!$C$28*Parametri_v3!$C$26)</f>
        <v>23198.952</v>
      </c>
      <c r="AI167" s="15" t="n">
        <f aca="false">(IF(43-(INT((Ipotesi!$C$91)/30))&lt;1,0,INDEX(Motore_Advisory!$AH$125:$AH$184,MAX(1,43-(INT((Ipotesi!$C$91)/30)))))*(1-(MOD((Ipotesi!$C$91),30)/30))+IF(43-(INT((Ipotesi!$C$91)/30))-1&lt;1,0,INDEX(Motore_Advisory!$AH$125:$AH$184,MAX(1,43-(INT((Ipotesi!$C$91)/30))-1)))*(MOD((Ipotesi!$C$91),30)/30))</f>
        <v>23198.952</v>
      </c>
      <c r="AJ167" s="15" t="n">
        <f aca="false">(AJ166)+AH167-AI167</f>
        <v>46397.904</v>
      </c>
      <c r="AK167" s="15" t="n">
        <f aca="false">(F167- Motore_Operativo!BH167-(Motore_Operativo!CK167)*Parametri_v3!$C$28-Motore_Operativo!CF167)*Parametri_v3!$C$26</f>
        <v>14249.2313333333</v>
      </c>
      <c r="AL167" s="15" t="n">
        <f aca="false">MAX(0,(AM166))</f>
        <v>14249.2313333333</v>
      </c>
      <c r="AM167" s="15" t="n">
        <f aca="false">(AM166)+AK167-AL167</f>
        <v>14249.2313333333</v>
      </c>
      <c r="AN167" s="15" t="n">
        <f aca="false">SUM(X149:X160)</f>
        <v>46679.99375</v>
      </c>
      <c r="AO167" s="15" t="n">
        <f aca="false">SUM(AP149:AP160)</f>
        <v>16530.1714788732</v>
      </c>
      <c r="AP167" s="15" t="n">
        <f aca="false">MAX(0,AN167)*IF(7=Parametri_v3!$C$43,Parametri_v3!$C$45,IF(7=Parametri_v3!$C$44,1-Parametri_v3!$C$45,0))</f>
        <v>0</v>
      </c>
      <c r="AQ167" s="15" t="n">
        <f aca="false">MAX(0,AP167+IF(7=Parametri_v3!$C$43,MAX(0,AN167-AO167),0)-MAX(0,-(AR166)))</f>
        <v>0</v>
      </c>
      <c r="AR167" s="15" t="n">
        <f aca="false">(AR166)+X167-AQ167</f>
        <v>34555.2322319583</v>
      </c>
      <c r="AS167" s="15" t="n">
        <f aca="false">Motore_Operativo!AC167-AT167+AU167</f>
        <v>32137.5563729167</v>
      </c>
      <c r="AT167" s="15" t="n">
        <f aca="false">Motore_Operativo!CI167</f>
        <v>1691.45033541667</v>
      </c>
      <c r="AU167" s="15" t="n">
        <f aca="false">MIN(MAX(0,(AV166)+AT167),Parametri_v3!$C$61/12)</f>
        <v>0</v>
      </c>
      <c r="AV167" s="15" t="n">
        <f aca="false">(AV166)+AT167-AU167</f>
        <v>39819.5898479167</v>
      </c>
      <c r="AW167" s="15" t="n">
        <f aca="false">IF(AND(Motore_Operativo!C167=Finanziamenti!$D$7,Finanziamenti!$F$7=1),Finanziamenti!$C$7,0)</f>
        <v>0</v>
      </c>
      <c r="AX167" s="15" t="n">
        <f aca="false">0</f>
        <v>0</v>
      </c>
      <c r="AY167" s="15" t="n">
        <f aca="false">IF(7=Parametri_v3!$C$33,IF(BV167&lt;MIN(12,$B167-1),0,MIN(MAX(0,SUM(Y149:Y160))*Ipotesi!$C$94,MAX(0,(BM160)-(BO166)-BP167),MAX(0,BD167-Parametri_v3!$C$31))),0)</f>
        <v>0</v>
      </c>
      <c r="AZ167" s="15" t="n">
        <f aca="false">0</f>
        <v>0</v>
      </c>
      <c r="BA167" s="15" t="n">
        <f aca="false">0</f>
        <v>0</v>
      </c>
      <c r="BB167" s="15" t="n">
        <f aca="false">0</f>
        <v>0</v>
      </c>
      <c r="BC167" s="15" t="n">
        <f aca="false">0</f>
        <v>0</v>
      </c>
      <c r="BD167" s="15" t="n">
        <f aca="false">(BH166)+AC167-AF167-AI167-AS167-K167*(1+Parametri_v3!$C$26)-AL167-AQ167-O167+AW167+AX167+AZ167+BA167-BB167</f>
        <v>102579.173378021</v>
      </c>
      <c r="BE167" s="15" t="n">
        <f aca="false">0</f>
        <v>0</v>
      </c>
      <c r="BF167" s="15" t="n">
        <f aca="false">0</f>
        <v>0</v>
      </c>
      <c r="BG167" s="15" t="n">
        <f aca="false">0</f>
        <v>0</v>
      </c>
      <c r="BH167" s="15" t="n">
        <f aca="false">BD167+BE167-BF167-AY167</f>
        <v>102579.173378021</v>
      </c>
      <c r="BI167" s="15" t="n">
        <f aca="false">MAX(0,Parametri_v3!$C$31-BH167)</f>
        <v>0</v>
      </c>
      <c r="BJ167" s="15" t="n">
        <f aca="false">(BJ166)+K167</f>
        <v>17666.6666666667</v>
      </c>
      <c r="BK167" s="15" t="n">
        <f aca="false">(BK166)+L167</f>
        <v>8865.74074074074</v>
      </c>
      <c r="BL167" s="15" t="n">
        <f aca="false">BJ167-BK167</f>
        <v>8800.92592592592</v>
      </c>
      <c r="BM167" s="15" t="n">
        <f aca="false">(BM166)+Y167</f>
        <v>335949.064460183</v>
      </c>
      <c r="BN167" s="15" t="n">
        <f aca="false">(BN166)+AW167+AX167+AZ167</f>
        <v>20000</v>
      </c>
      <c r="BO167" s="15" t="n">
        <f aca="false">(BO166)+AY167</f>
        <v>60315.9059027778</v>
      </c>
      <c r="BP167" s="15" t="n">
        <f aca="false">MIN(Parametri_v3!$C$36*Parametri_v3!$C$35,(BP166)+IF(7=1,MAX(0,SUM(Y149:Y160))*Parametri_v3!$C$34,0))</f>
        <v>2000</v>
      </c>
      <c r="BQ167" s="15" t="n">
        <f aca="false">BN167+BM167-BO167</f>
        <v>295633.158557406</v>
      </c>
      <c r="BR167" s="15" t="n">
        <f aca="false">BH167+AD167+BL167+MAX(0,-AM167)+MAX(0,-AR167)</f>
        <v>441664.599303947</v>
      </c>
      <c r="BS167" s="15" t="n">
        <f aca="false">AJ167+AV167+MAX(0,AM167)+MAX(0,AR167)+BC167+BG167+BQ167+AG167</f>
        <v>441664.599303947</v>
      </c>
      <c r="BT167" s="15" t="n">
        <f aca="false">BR167-BS167</f>
        <v>0</v>
      </c>
      <c r="BU167" s="15" t="n">
        <f aca="false">BH167-(BD167+BE167-BF167-AY167)</f>
        <v>0</v>
      </c>
      <c r="BV167" s="15" t="n">
        <f aca="false">IF(BH166&lt;Parametri_v3!$C$31,0,BV166+1)</f>
        <v>14</v>
      </c>
    </row>
    <row r="168" customFormat="false" ht="18" hidden="false" customHeight="true" outlineLevel="0" collapsed="false">
      <c r="A168" s="68" t="n">
        <f aca="false">3</f>
        <v>3</v>
      </c>
      <c r="B168" s="68" t="n">
        <f aca="false">44</f>
        <v>44</v>
      </c>
      <c r="C168" s="18" t="n">
        <f aca="false">Motore_Operativo!C168</f>
        <v>47696</v>
      </c>
      <c r="D168" s="68" t="n">
        <f aca="false">Motore_Operativo!D168</f>
        <v>2030</v>
      </c>
      <c r="E168" s="68" t="n">
        <f aca="false">Motore_Operativo!E168</f>
        <v>8</v>
      </c>
      <c r="F168" s="15" t="n">
        <f aca="false">Motore_Operativo!AM168</f>
        <v>90241.6666666667</v>
      </c>
      <c r="G168" s="15" t="n">
        <f aca="false">Motore_Operativo!BH168</f>
        <v>9024.16666666667</v>
      </c>
      <c r="H168" s="15" t="n">
        <f aca="false">Motore_Operativo!AM168</f>
        <v>90241.6666666667</v>
      </c>
      <c r="I168" s="15" t="n">
        <f aca="false">Motore_Operativo!CB168</f>
        <v>62580.173375</v>
      </c>
      <c r="J168" s="15" t="n">
        <f aca="false">Motore_Operativo!CD168</f>
        <v>27661.4932916667</v>
      </c>
      <c r="K168" s="15" t="n">
        <f aca="false">Motore_Operativo!CF168</f>
        <v>666.666666666667</v>
      </c>
      <c r="L168" s="15" t="n">
        <f aca="false">SUM(INDEX($K$125:$K$184,MAX(1,44-Parametri_v3!$C$59+1)):K168)/Parametri_v3!$C$59</f>
        <v>453.703703703704</v>
      </c>
      <c r="M168" s="15" t="n">
        <f aca="false">J168-L168</f>
        <v>27207.789587963</v>
      </c>
      <c r="N168" s="15" t="n">
        <f aca="false">0</f>
        <v>0</v>
      </c>
      <c r="O168" s="15" t="n">
        <f aca="false">0</f>
        <v>0</v>
      </c>
      <c r="P168" s="15" t="n">
        <f aca="false">M168+N168-O168</f>
        <v>27207.789587963</v>
      </c>
      <c r="Q168" s="15" t="n">
        <f aca="false">SUM(P161:P168)+Parametri_v3!$C$56*8/12</f>
        <v>217986.390777778</v>
      </c>
      <c r="R168" s="15" t="n">
        <f aca="false">Z160</f>
        <v>0</v>
      </c>
      <c r="S168" s="15" t="n">
        <f aca="false">AA160</f>
        <v>0</v>
      </c>
      <c r="T168" s="15" t="n">
        <f aca="false">MIN(R168,MAX(0,Q168))</f>
        <v>0</v>
      </c>
      <c r="U168" s="15" t="n">
        <f aca="false">MIN(S168,MAX(0,Q168-T168)*Parametri_v3!$C$42)</f>
        <v>0</v>
      </c>
      <c r="V168" s="15" t="n">
        <f aca="false">MAX(0,Q168-T168-U168)*Ipotesi!$C$92</f>
        <v>52316.7337866667</v>
      </c>
      <c r="W168" s="15" t="n">
        <f aca="false">MAX(0,SUM(M161:M168)+Parametri_v3!$C$57*8/12)*Ipotesi!$C$93</f>
        <v>8501.46924033333</v>
      </c>
      <c r="X168" s="15" t="n">
        <f aca="false">V168+W168-(V167+W167)</f>
        <v>7590.97329504167</v>
      </c>
      <c r="Y168" s="15" t="n">
        <f aca="false">P168-X168</f>
        <v>19616.8162929213</v>
      </c>
      <c r="Z168" s="15" t="n">
        <f aca="false">R168-T168+IF(AND(Parametri_v3!$C$40=1,D168-YEAR(Parametri_v3!$C$50)&lt;Parametri_v3!$C$41),MAX(0,-Q168),0)</f>
        <v>0</v>
      </c>
      <c r="AA168" s="15" t="n">
        <f aca="false">S168-U168+IF(AND(Parametri_v3!$C$40=1,D168-YEAR(Parametri_v3!$C$50)&lt;Parametri_v3!$C$41),0,MAX(0,-Q168))</f>
        <v>0</v>
      </c>
      <c r="AB168" s="15" t="n">
        <f aca="false">F168*(1+Parametri_v3!$C$26)</f>
        <v>110094.833333333</v>
      </c>
      <c r="AC168" s="15" t="n">
        <f aca="false">(IF(44-(INT((Motore_Operativo!L168)/30))&lt;1,0,INDEX(Motore_Advisory!$AB$125:$AB$184,MAX(1,44-(INT((Motore_Operativo!L168)/30)))))*(1-(MOD((Motore_Operativo!L168),30)/30))+IF(44-(INT((Motore_Operativo!L168)/30))-1&lt;1,0,INDEX(Motore_Advisory!$AB$125:$AB$184,MAX(1,44-(INT((Motore_Operativo!L168)/30))-1)))*(MOD((Motore_Operativo!L168),30)/30))</f>
        <v>110094.833333333</v>
      </c>
      <c r="AD168" s="15" t="n">
        <f aca="false">(AD167)+AB168-AC168</f>
        <v>330284.5</v>
      </c>
      <c r="AE168" s="15" t="n">
        <f aca="false">Motore_Operativo!BH168*(1+Parametri_v3!$C$26)</f>
        <v>11009.4833333333</v>
      </c>
      <c r="AF168" s="15" t="n">
        <f aca="false">(IF(44-(INT((Parametri_v3!$C$29)/30))&lt;1,0,INDEX(Motore_Operativo!$BH$125:$BH$184,MAX(1,44-(INT((Parametri_v3!$C$29)/30)))))*(1-(MOD((Parametri_v3!$C$29),30)/30))+IF(44-(INT((Parametri_v3!$C$29)/30))-1&lt;1,0,INDEX(Motore_Operativo!$BH$125:$BH$184,MAX(1,44-(INT((Parametri_v3!$C$29)/30))-1)))*(MOD((Parametri_v3!$C$29),30)/30))*(1+Parametri_v3!$C$26)</f>
        <v>11009.4833333333</v>
      </c>
      <c r="AG168" s="15" t="n">
        <f aca="false">(AG167)+AE168-AF168</f>
        <v>11009.4833333333</v>
      </c>
      <c r="AH168" s="15" t="n">
        <f aca="false">(Motore_Operativo!CK168)*(1+Parametri_v3!$C$28*Parametri_v3!$C$26)</f>
        <v>23198.952</v>
      </c>
      <c r="AI168" s="15" t="n">
        <f aca="false">(IF(44-(INT((Ipotesi!$C$91)/30))&lt;1,0,INDEX(Motore_Advisory!$AH$125:$AH$184,MAX(1,44-(INT((Ipotesi!$C$91)/30)))))*(1-(MOD((Ipotesi!$C$91),30)/30))+IF(44-(INT((Ipotesi!$C$91)/30))-1&lt;1,0,INDEX(Motore_Advisory!$AH$125:$AH$184,MAX(1,44-(INT((Ipotesi!$C$91)/30))-1)))*(MOD((Ipotesi!$C$91),30)/30))</f>
        <v>23198.952</v>
      </c>
      <c r="AJ168" s="15" t="n">
        <f aca="false">(AJ167)+AH168-AI168</f>
        <v>46397.904</v>
      </c>
      <c r="AK168" s="15" t="n">
        <f aca="false">(F168- Motore_Operativo!BH168-(Motore_Operativo!CK168)*Parametri_v3!$C$28-Motore_Operativo!CF168)*Parametri_v3!$C$26</f>
        <v>14249.2313333333</v>
      </c>
      <c r="AL168" s="15" t="n">
        <f aca="false">MAX(0,(AM167))</f>
        <v>14249.2313333333</v>
      </c>
      <c r="AM168" s="15" t="n">
        <f aca="false">(AM167)+AK168-AL168</f>
        <v>14249.2313333333</v>
      </c>
      <c r="AN168" s="15" t="n">
        <f aca="false">SUM(X149:X160)</f>
        <v>46679.99375</v>
      </c>
      <c r="AO168" s="15" t="n">
        <f aca="false">SUM(AP149:AP160)</f>
        <v>16530.1714788732</v>
      </c>
      <c r="AP168" s="15" t="n">
        <f aca="false">MAX(0,AN168)*IF(8=Parametri_v3!$C$43,Parametri_v3!$C$45,IF(8=Parametri_v3!$C$44,1-Parametri_v3!$C$45,0))</f>
        <v>0</v>
      </c>
      <c r="AQ168" s="15" t="n">
        <f aca="false">MAX(0,AP168+IF(8=Parametri_v3!$C$43,MAX(0,AN168-AO168),0)-MAX(0,-(AR167)))</f>
        <v>0</v>
      </c>
      <c r="AR168" s="15" t="n">
        <f aca="false">(AR167)+X168-AQ168</f>
        <v>42146.205527</v>
      </c>
      <c r="AS168" s="15" t="n">
        <f aca="false">Motore_Operativo!AC168-AT168+AU168</f>
        <v>32137.5563729167</v>
      </c>
      <c r="AT168" s="15" t="n">
        <f aca="false">Motore_Operativo!CI168</f>
        <v>1691.45033541667</v>
      </c>
      <c r="AU168" s="15" t="n">
        <f aca="false">MIN(MAX(0,(AV167)+AT168),Parametri_v3!$C$61/12)</f>
        <v>0</v>
      </c>
      <c r="AV168" s="15" t="n">
        <f aca="false">(AV167)+AT168-AU168</f>
        <v>41511.0401833333</v>
      </c>
      <c r="AW168" s="15" t="n">
        <f aca="false">IF(AND(Motore_Operativo!C168=Finanziamenti!$D$7,Finanziamenti!$F$7=1),Finanziamenti!$C$7,0)</f>
        <v>0</v>
      </c>
      <c r="AX168" s="15" t="n">
        <f aca="false">0</f>
        <v>0</v>
      </c>
      <c r="AY168" s="15" t="n">
        <f aca="false">IF(8=Parametri_v3!$C$33,IF(BV168&lt;MIN(12,$B168-1),0,MIN(MAX(0,SUM(Y149:Y160))*Ipotesi!$C$94,MAX(0,(BM160)-(BO167)-BP168),MAX(0,BD168-Parametri_v3!$C$31))),0)</f>
        <v>0</v>
      </c>
      <c r="AZ168" s="15" t="n">
        <f aca="false">0</f>
        <v>0</v>
      </c>
      <c r="BA168" s="15" t="n">
        <f aca="false">0</f>
        <v>0</v>
      </c>
      <c r="BB168" s="15" t="n">
        <f aca="false">0</f>
        <v>0</v>
      </c>
      <c r="BC168" s="15" t="n">
        <f aca="false">0</f>
        <v>0</v>
      </c>
      <c r="BD168" s="15" t="n">
        <f aca="false">(BH167)+AC168-AF168-AI168-AS168-K168*(1+Parametri_v3!$C$26)-AL168-AQ168-O168+AW168+AX168+AZ168+BA168-BB168</f>
        <v>131265.450338438</v>
      </c>
      <c r="BE168" s="15" t="n">
        <f aca="false">0</f>
        <v>0</v>
      </c>
      <c r="BF168" s="15" t="n">
        <f aca="false">0</f>
        <v>0</v>
      </c>
      <c r="BG168" s="15" t="n">
        <f aca="false">0</f>
        <v>0</v>
      </c>
      <c r="BH168" s="15" t="n">
        <f aca="false">BD168+BE168-BF168-AY168</f>
        <v>131265.450338438</v>
      </c>
      <c r="BI168" s="15" t="n">
        <f aca="false">MAX(0,Parametri_v3!$C$31-BH168)</f>
        <v>0</v>
      </c>
      <c r="BJ168" s="15" t="n">
        <f aca="false">(BJ167)+K168</f>
        <v>18333.3333333333</v>
      </c>
      <c r="BK168" s="15" t="n">
        <f aca="false">(BK167)+L168</f>
        <v>9319.44444444444</v>
      </c>
      <c r="BL168" s="15" t="n">
        <f aca="false">BJ168-BK168</f>
        <v>9013.88888888889</v>
      </c>
      <c r="BM168" s="15" t="n">
        <f aca="false">(BM167)+Y168</f>
        <v>355565.880753105</v>
      </c>
      <c r="BN168" s="15" t="n">
        <f aca="false">(BN167)+AW168+AX168+AZ168</f>
        <v>20000</v>
      </c>
      <c r="BO168" s="15" t="n">
        <f aca="false">(BO167)+AY168</f>
        <v>60315.9059027778</v>
      </c>
      <c r="BP168" s="15" t="n">
        <f aca="false">MIN(Parametri_v3!$C$36*Parametri_v3!$C$35,(BP167)+IF(8=1,MAX(0,SUM(Y149:Y160))*Parametri_v3!$C$34,0))</f>
        <v>2000</v>
      </c>
      <c r="BQ168" s="15" t="n">
        <f aca="false">BN168+BM168-BO168</f>
        <v>315249.974850327</v>
      </c>
      <c r="BR168" s="15" t="n">
        <f aca="false">BH168+AD168+BL168+MAX(0,-AM168)+MAX(0,-AR168)</f>
        <v>470563.839227327</v>
      </c>
      <c r="BS168" s="15" t="n">
        <f aca="false">AJ168+AV168+MAX(0,AM168)+MAX(0,AR168)+BC168+BG168+BQ168+AG168</f>
        <v>470563.839227327</v>
      </c>
      <c r="BT168" s="15" t="n">
        <f aca="false">BR168-BS168</f>
        <v>0</v>
      </c>
      <c r="BU168" s="15" t="n">
        <f aca="false">BH168-(BD168+BE168-BF168-AY168)</f>
        <v>0</v>
      </c>
      <c r="BV168" s="15" t="n">
        <f aca="false">IF(BH167&lt;Parametri_v3!$C$31,0,BV167+1)</f>
        <v>15</v>
      </c>
    </row>
    <row r="169" customFormat="false" ht="18" hidden="false" customHeight="true" outlineLevel="0" collapsed="false">
      <c r="A169" s="68" t="n">
        <f aca="false">3</f>
        <v>3</v>
      </c>
      <c r="B169" s="68" t="n">
        <f aca="false">45</f>
        <v>45</v>
      </c>
      <c r="C169" s="18" t="n">
        <f aca="false">Motore_Operativo!C169</f>
        <v>47727</v>
      </c>
      <c r="D169" s="68" t="n">
        <f aca="false">Motore_Operativo!D169</f>
        <v>2030</v>
      </c>
      <c r="E169" s="68" t="n">
        <f aca="false">Motore_Operativo!E169</f>
        <v>9</v>
      </c>
      <c r="F169" s="15" t="n">
        <f aca="false">Motore_Operativo!AM169</f>
        <v>90241.6666666667</v>
      </c>
      <c r="G169" s="15" t="n">
        <f aca="false">Motore_Operativo!BH169</f>
        <v>9024.16666666667</v>
      </c>
      <c r="H169" s="15" t="n">
        <f aca="false">Motore_Operativo!AM169</f>
        <v>90241.6666666667</v>
      </c>
      <c r="I169" s="15" t="n">
        <f aca="false">Motore_Operativo!CB169</f>
        <v>62580.173375</v>
      </c>
      <c r="J169" s="15" t="n">
        <f aca="false">Motore_Operativo!CD169</f>
        <v>27661.4932916667</v>
      </c>
      <c r="K169" s="15" t="n">
        <f aca="false">Motore_Operativo!CF169</f>
        <v>666.666666666667</v>
      </c>
      <c r="L169" s="15" t="n">
        <f aca="false">SUM(INDEX($K$125:$K$184,MAX(1,45-Parametri_v3!$C$59+1)):K169)/Parametri_v3!$C$59</f>
        <v>465.277777777778</v>
      </c>
      <c r="M169" s="15" t="n">
        <f aca="false">J169-L169</f>
        <v>27196.2155138889</v>
      </c>
      <c r="N169" s="15" t="n">
        <f aca="false">0</f>
        <v>0</v>
      </c>
      <c r="O169" s="15" t="n">
        <f aca="false">0</f>
        <v>0</v>
      </c>
      <c r="P169" s="15" t="n">
        <f aca="false">M169+N169-O169</f>
        <v>27196.2155138889</v>
      </c>
      <c r="Q169" s="15" t="n">
        <f aca="false">SUM(P161:P169)+Parametri_v3!$C$56*9/12</f>
        <v>245182.606291667</v>
      </c>
      <c r="R169" s="15" t="n">
        <f aca="false">Z160</f>
        <v>0</v>
      </c>
      <c r="S169" s="15" t="n">
        <f aca="false">AA160</f>
        <v>0</v>
      </c>
      <c r="T169" s="15" t="n">
        <f aca="false">MIN(R169,MAX(0,Q169))</f>
        <v>0</v>
      </c>
      <c r="U169" s="15" t="n">
        <f aca="false">MIN(S169,MAX(0,Q169-T169)*Parametri_v3!$C$42)</f>
        <v>0</v>
      </c>
      <c r="V169" s="15" t="n">
        <f aca="false">MAX(0,Q169-T169-U169)*Ipotesi!$C$92</f>
        <v>58843.82551</v>
      </c>
      <c r="W169" s="15" t="n">
        <f aca="false">MAX(0,SUM(M161:M169)+Parametri_v3!$C$57*9/12)*Ipotesi!$C$93</f>
        <v>9562.121645375</v>
      </c>
      <c r="X169" s="15" t="n">
        <f aca="false">V169+W169-(V168+W168)</f>
        <v>7587.74412837499</v>
      </c>
      <c r="Y169" s="15" t="n">
        <f aca="false">P169-X169</f>
        <v>19608.4713855139</v>
      </c>
      <c r="Z169" s="15" t="n">
        <f aca="false">R169-T169+IF(AND(Parametri_v3!$C$40=1,D169-YEAR(Parametri_v3!$C$50)&lt;Parametri_v3!$C$41),MAX(0,-Q169),0)</f>
        <v>0</v>
      </c>
      <c r="AA169" s="15" t="n">
        <f aca="false">S169-U169+IF(AND(Parametri_v3!$C$40=1,D169-YEAR(Parametri_v3!$C$50)&lt;Parametri_v3!$C$41),0,MAX(0,-Q169))</f>
        <v>0</v>
      </c>
      <c r="AB169" s="15" t="n">
        <f aca="false">F169*(1+Parametri_v3!$C$26)</f>
        <v>110094.833333333</v>
      </c>
      <c r="AC169" s="15" t="n">
        <f aca="false">(IF(45-(INT((Motore_Operativo!L169)/30))&lt;1,0,INDEX(Motore_Advisory!$AB$125:$AB$184,MAX(1,45-(INT((Motore_Operativo!L169)/30)))))*(1-(MOD((Motore_Operativo!L169),30)/30))+IF(45-(INT((Motore_Operativo!L169)/30))-1&lt;1,0,INDEX(Motore_Advisory!$AB$125:$AB$184,MAX(1,45-(INT((Motore_Operativo!L169)/30))-1)))*(MOD((Motore_Operativo!L169),30)/30))</f>
        <v>110094.833333333</v>
      </c>
      <c r="AD169" s="15" t="n">
        <f aca="false">(AD168)+AB169-AC169</f>
        <v>330284.5</v>
      </c>
      <c r="AE169" s="15" t="n">
        <f aca="false">Motore_Operativo!BH169*(1+Parametri_v3!$C$26)</f>
        <v>11009.4833333333</v>
      </c>
      <c r="AF169" s="15" t="n">
        <f aca="false">(IF(45-(INT((Parametri_v3!$C$29)/30))&lt;1,0,INDEX(Motore_Operativo!$BH$125:$BH$184,MAX(1,45-(INT((Parametri_v3!$C$29)/30)))))*(1-(MOD((Parametri_v3!$C$29),30)/30))+IF(45-(INT((Parametri_v3!$C$29)/30))-1&lt;1,0,INDEX(Motore_Operativo!$BH$125:$BH$184,MAX(1,45-(INT((Parametri_v3!$C$29)/30))-1)))*(MOD((Parametri_v3!$C$29),30)/30))*(1+Parametri_v3!$C$26)</f>
        <v>11009.4833333333</v>
      </c>
      <c r="AG169" s="15" t="n">
        <f aca="false">(AG168)+AE169-AF169</f>
        <v>11009.4833333333</v>
      </c>
      <c r="AH169" s="15" t="n">
        <f aca="false">(Motore_Operativo!CK169)*(1+Parametri_v3!$C$28*Parametri_v3!$C$26)</f>
        <v>23198.952</v>
      </c>
      <c r="AI169" s="15" t="n">
        <f aca="false">(IF(45-(INT((Ipotesi!$C$91)/30))&lt;1,0,INDEX(Motore_Advisory!$AH$125:$AH$184,MAX(1,45-(INT((Ipotesi!$C$91)/30)))))*(1-(MOD((Ipotesi!$C$91),30)/30))+IF(45-(INT((Ipotesi!$C$91)/30))-1&lt;1,0,INDEX(Motore_Advisory!$AH$125:$AH$184,MAX(1,45-(INT((Ipotesi!$C$91)/30))-1)))*(MOD((Ipotesi!$C$91),30)/30))</f>
        <v>23198.952</v>
      </c>
      <c r="AJ169" s="15" t="n">
        <f aca="false">(AJ168)+AH169-AI169</f>
        <v>46397.904</v>
      </c>
      <c r="AK169" s="15" t="n">
        <f aca="false">(F169- Motore_Operativo!BH169-(Motore_Operativo!CK169)*Parametri_v3!$C$28-Motore_Operativo!CF169)*Parametri_v3!$C$26</f>
        <v>14249.2313333333</v>
      </c>
      <c r="AL169" s="15" t="n">
        <f aca="false">MAX(0,(AM168))</f>
        <v>14249.2313333333</v>
      </c>
      <c r="AM169" s="15" t="n">
        <f aca="false">(AM168)+AK169-AL169</f>
        <v>14249.2313333333</v>
      </c>
      <c r="AN169" s="15" t="n">
        <f aca="false">SUM(X149:X160)</f>
        <v>46679.99375</v>
      </c>
      <c r="AO169" s="15" t="n">
        <f aca="false">SUM(AP149:AP160)</f>
        <v>16530.1714788732</v>
      </c>
      <c r="AP169" s="15" t="n">
        <f aca="false">MAX(0,AN169)*IF(9=Parametri_v3!$C$43,Parametri_v3!$C$45,IF(9=Parametri_v3!$C$44,1-Parametri_v3!$C$45,0))</f>
        <v>0</v>
      </c>
      <c r="AQ169" s="15" t="n">
        <f aca="false">MAX(0,AP169+IF(9=Parametri_v3!$C$43,MAX(0,AN169-AO169),0)-MAX(0,-(AR168)))</f>
        <v>0</v>
      </c>
      <c r="AR169" s="15" t="n">
        <f aca="false">(AR168)+X169-AQ169</f>
        <v>49733.949655375</v>
      </c>
      <c r="AS169" s="15" t="n">
        <f aca="false">Motore_Operativo!AC169-AT169+AU169</f>
        <v>32137.5563729167</v>
      </c>
      <c r="AT169" s="15" t="n">
        <f aca="false">Motore_Operativo!CI169</f>
        <v>1691.45033541667</v>
      </c>
      <c r="AU169" s="15" t="n">
        <f aca="false">MIN(MAX(0,(AV168)+AT169),Parametri_v3!$C$61/12)</f>
        <v>0</v>
      </c>
      <c r="AV169" s="15" t="n">
        <f aca="false">(AV168)+AT169-AU169</f>
        <v>43202.49051875</v>
      </c>
      <c r="AW169" s="15" t="n">
        <f aca="false">IF(AND(Motore_Operativo!C169=Finanziamenti!$D$7,Finanziamenti!$F$7=1),Finanziamenti!$C$7,0)</f>
        <v>0</v>
      </c>
      <c r="AX169" s="15" t="n">
        <f aca="false">0</f>
        <v>0</v>
      </c>
      <c r="AY169" s="15" t="n">
        <f aca="false">IF(9=Parametri_v3!$C$33,IF(BV169&lt;MIN(12,$B169-1),0,MIN(MAX(0,SUM(Y149:Y160))*Ipotesi!$C$94,MAX(0,(BM160)-(BO168)-BP169),MAX(0,BD169-Parametri_v3!$C$31))),0)</f>
        <v>0</v>
      </c>
      <c r="AZ169" s="15" t="n">
        <f aca="false">0</f>
        <v>0</v>
      </c>
      <c r="BA169" s="15" t="n">
        <f aca="false">0</f>
        <v>0</v>
      </c>
      <c r="BB169" s="15" t="n">
        <f aca="false">0</f>
        <v>0</v>
      </c>
      <c r="BC169" s="15" t="n">
        <f aca="false">0</f>
        <v>0</v>
      </c>
      <c r="BD169" s="15" t="n">
        <f aca="false">(BH168)+AC169-AF169-AI169-AS169-K169*(1+Parametri_v3!$C$26)-AL169-AQ169-O169+AW169+AX169+AZ169+BA169-BB169</f>
        <v>159951.727298854</v>
      </c>
      <c r="BE169" s="15" t="n">
        <f aca="false">0</f>
        <v>0</v>
      </c>
      <c r="BF169" s="15" t="n">
        <f aca="false">0</f>
        <v>0</v>
      </c>
      <c r="BG169" s="15" t="n">
        <f aca="false">0</f>
        <v>0</v>
      </c>
      <c r="BH169" s="15" t="n">
        <f aca="false">BD169+BE169-BF169-AY169</f>
        <v>159951.727298854</v>
      </c>
      <c r="BI169" s="15" t="n">
        <f aca="false">MAX(0,Parametri_v3!$C$31-BH169)</f>
        <v>0</v>
      </c>
      <c r="BJ169" s="15" t="n">
        <f aca="false">(BJ168)+K169</f>
        <v>19000</v>
      </c>
      <c r="BK169" s="15" t="n">
        <f aca="false">(BK168)+L169</f>
        <v>9784.72222222222</v>
      </c>
      <c r="BL169" s="15" t="n">
        <f aca="false">BJ169-BK169</f>
        <v>9215.27777777778</v>
      </c>
      <c r="BM169" s="15" t="n">
        <f aca="false">(BM168)+Y169</f>
        <v>375174.352138619</v>
      </c>
      <c r="BN169" s="15" t="n">
        <f aca="false">(BN168)+AW169+AX169+AZ169</f>
        <v>20000</v>
      </c>
      <c r="BO169" s="15" t="n">
        <f aca="false">(BO168)+AY169</f>
        <v>60315.9059027778</v>
      </c>
      <c r="BP169" s="15" t="n">
        <f aca="false">MIN(Parametri_v3!$C$36*Parametri_v3!$C$35,(BP168)+IF(9=1,MAX(0,SUM(Y149:Y160))*Parametri_v3!$C$34,0))</f>
        <v>2000</v>
      </c>
      <c r="BQ169" s="15" t="n">
        <f aca="false">BN169+BM169-BO169</f>
        <v>334858.446235841</v>
      </c>
      <c r="BR169" s="15" t="n">
        <f aca="false">BH169+AD169+BL169+MAX(0,-AM169)+MAX(0,-AR169)</f>
        <v>499451.505076632</v>
      </c>
      <c r="BS169" s="15" t="n">
        <f aca="false">AJ169+AV169+MAX(0,AM169)+MAX(0,AR169)+BC169+BG169+BQ169+AG169</f>
        <v>499451.505076632</v>
      </c>
      <c r="BT169" s="15" t="n">
        <f aca="false">BR169-BS169</f>
        <v>0</v>
      </c>
      <c r="BU169" s="15" t="n">
        <f aca="false">BH169-(BD169+BE169-BF169-AY169)</f>
        <v>0</v>
      </c>
      <c r="BV169" s="15" t="n">
        <f aca="false">IF(BH168&lt;Parametri_v3!$C$31,0,BV168+1)</f>
        <v>16</v>
      </c>
    </row>
    <row r="170" customFormat="false" ht="18" hidden="false" customHeight="true" outlineLevel="0" collapsed="false">
      <c r="A170" s="68" t="n">
        <f aca="false">3</f>
        <v>3</v>
      </c>
      <c r="B170" s="68" t="n">
        <f aca="false">46</f>
        <v>46</v>
      </c>
      <c r="C170" s="18" t="n">
        <f aca="false">Motore_Operativo!C170</f>
        <v>47757</v>
      </c>
      <c r="D170" s="68" t="n">
        <f aca="false">Motore_Operativo!D170</f>
        <v>2030</v>
      </c>
      <c r="E170" s="68" t="n">
        <f aca="false">Motore_Operativo!E170</f>
        <v>10</v>
      </c>
      <c r="F170" s="15" t="n">
        <f aca="false">Motore_Operativo!AM170</f>
        <v>90241.6666666667</v>
      </c>
      <c r="G170" s="15" t="n">
        <f aca="false">Motore_Operativo!BH170</f>
        <v>9024.16666666667</v>
      </c>
      <c r="H170" s="15" t="n">
        <f aca="false">Motore_Operativo!AM170</f>
        <v>90241.6666666667</v>
      </c>
      <c r="I170" s="15" t="n">
        <f aca="false">Motore_Operativo!CB170</f>
        <v>62580.173375</v>
      </c>
      <c r="J170" s="15" t="n">
        <f aca="false">Motore_Operativo!CD170</f>
        <v>27661.4932916667</v>
      </c>
      <c r="K170" s="15" t="n">
        <f aca="false">Motore_Operativo!CF170</f>
        <v>666.666666666667</v>
      </c>
      <c r="L170" s="15" t="n">
        <f aca="false">SUM(INDEX($K$125:$K$184,MAX(1,46-Parametri_v3!$C$59+1)):K170)/Parametri_v3!$C$59</f>
        <v>476.851851851852</v>
      </c>
      <c r="M170" s="15" t="n">
        <f aca="false">J170-L170</f>
        <v>27184.6414398148</v>
      </c>
      <c r="N170" s="15" t="n">
        <f aca="false">0</f>
        <v>0</v>
      </c>
      <c r="O170" s="15" t="n">
        <f aca="false">0</f>
        <v>0</v>
      </c>
      <c r="P170" s="15" t="n">
        <f aca="false">M170+N170-O170</f>
        <v>27184.6414398148</v>
      </c>
      <c r="Q170" s="15" t="n">
        <f aca="false">SUM(P161:P170)+Parametri_v3!$C$56*10/12</f>
        <v>272367.247731481</v>
      </c>
      <c r="R170" s="15" t="n">
        <f aca="false">Z160</f>
        <v>0</v>
      </c>
      <c r="S170" s="15" t="n">
        <f aca="false">AA160</f>
        <v>0</v>
      </c>
      <c r="T170" s="15" t="n">
        <f aca="false">MIN(R170,MAX(0,Q170))</f>
        <v>0</v>
      </c>
      <c r="U170" s="15" t="n">
        <f aca="false">MIN(S170,MAX(0,Q170-T170)*Parametri_v3!$C$42)</f>
        <v>0</v>
      </c>
      <c r="V170" s="15" t="n">
        <f aca="false">MAX(0,Q170-T170-U170)*Ipotesi!$C$92</f>
        <v>65368.1394555555</v>
      </c>
      <c r="W170" s="15" t="n">
        <f aca="false">MAX(0,SUM(M161:M170)+Parametri_v3!$C$57*10/12)*Ipotesi!$C$93</f>
        <v>10622.3226615278</v>
      </c>
      <c r="X170" s="15" t="n">
        <f aca="false">V170+W170-(V169+W169)</f>
        <v>7584.51496170834</v>
      </c>
      <c r="Y170" s="15" t="n">
        <f aca="false">P170-X170</f>
        <v>19600.1264781065</v>
      </c>
      <c r="Z170" s="15" t="n">
        <f aca="false">R170-T170+IF(AND(Parametri_v3!$C$40=1,D170-YEAR(Parametri_v3!$C$50)&lt;Parametri_v3!$C$41),MAX(0,-Q170),0)</f>
        <v>0</v>
      </c>
      <c r="AA170" s="15" t="n">
        <f aca="false">S170-U170+IF(AND(Parametri_v3!$C$40=1,D170-YEAR(Parametri_v3!$C$50)&lt;Parametri_v3!$C$41),0,MAX(0,-Q170))</f>
        <v>0</v>
      </c>
      <c r="AB170" s="15" t="n">
        <f aca="false">F170*(1+Parametri_v3!$C$26)</f>
        <v>110094.833333333</v>
      </c>
      <c r="AC170" s="15" t="n">
        <f aca="false">(IF(46-(INT((Motore_Operativo!L170)/30))&lt;1,0,INDEX(Motore_Advisory!$AB$125:$AB$184,MAX(1,46-(INT((Motore_Operativo!L170)/30)))))*(1-(MOD((Motore_Operativo!L170),30)/30))+IF(46-(INT((Motore_Operativo!L170)/30))-1&lt;1,0,INDEX(Motore_Advisory!$AB$125:$AB$184,MAX(1,46-(INT((Motore_Operativo!L170)/30))-1)))*(MOD((Motore_Operativo!L170),30)/30))</f>
        <v>110094.833333333</v>
      </c>
      <c r="AD170" s="15" t="n">
        <f aca="false">(AD169)+AB170-AC170</f>
        <v>330284.5</v>
      </c>
      <c r="AE170" s="15" t="n">
        <f aca="false">Motore_Operativo!BH170*(1+Parametri_v3!$C$26)</f>
        <v>11009.4833333333</v>
      </c>
      <c r="AF170" s="15" t="n">
        <f aca="false">(IF(46-(INT((Parametri_v3!$C$29)/30))&lt;1,0,INDEX(Motore_Operativo!$BH$125:$BH$184,MAX(1,46-(INT((Parametri_v3!$C$29)/30)))))*(1-(MOD((Parametri_v3!$C$29),30)/30))+IF(46-(INT((Parametri_v3!$C$29)/30))-1&lt;1,0,INDEX(Motore_Operativo!$BH$125:$BH$184,MAX(1,46-(INT((Parametri_v3!$C$29)/30))-1)))*(MOD((Parametri_v3!$C$29),30)/30))*(1+Parametri_v3!$C$26)</f>
        <v>11009.4833333333</v>
      </c>
      <c r="AG170" s="15" t="n">
        <f aca="false">(AG169)+AE170-AF170</f>
        <v>11009.4833333333</v>
      </c>
      <c r="AH170" s="15" t="n">
        <f aca="false">(Motore_Operativo!CK170)*(1+Parametri_v3!$C$28*Parametri_v3!$C$26)</f>
        <v>23198.952</v>
      </c>
      <c r="AI170" s="15" t="n">
        <f aca="false">(IF(46-(INT((Ipotesi!$C$91)/30))&lt;1,0,INDEX(Motore_Advisory!$AH$125:$AH$184,MAX(1,46-(INT((Ipotesi!$C$91)/30)))))*(1-(MOD((Ipotesi!$C$91),30)/30))+IF(46-(INT((Ipotesi!$C$91)/30))-1&lt;1,0,INDEX(Motore_Advisory!$AH$125:$AH$184,MAX(1,46-(INT((Ipotesi!$C$91)/30))-1)))*(MOD((Ipotesi!$C$91),30)/30))</f>
        <v>23198.952</v>
      </c>
      <c r="AJ170" s="15" t="n">
        <f aca="false">(AJ169)+AH170-AI170</f>
        <v>46397.904</v>
      </c>
      <c r="AK170" s="15" t="n">
        <f aca="false">(F170- Motore_Operativo!BH170-(Motore_Operativo!CK170)*Parametri_v3!$C$28-Motore_Operativo!CF170)*Parametri_v3!$C$26</f>
        <v>14249.2313333333</v>
      </c>
      <c r="AL170" s="15" t="n">
        <f aca="false">MAX(0,(AM169))</f>
        <v>14249.2313333333</v>
      </c>
      <c r="AM170" s="15" t="n">
        <f aca="false">(AM169)+AK170-AL170</f>
        <v>14249.2313333333</v>
      </c>
      <c r="AN170" s="15" t="n">
        <f aca="false">SUM(X149:X160)</f>
        <v>46679.99375</v>
      </c>
      <c r="AO170" s="15" t="n">
        <f aca="false">SUM(AP149:AP160)</f>
        <v>16530.1714788732</v>
      </c>
      <c r="AP170" s="15" t="n">
        <f aca="false">MAX(0,AN170)*IF(10=Parametri_v3!$C$43,Parametri_v3!$C$45,IF(10=Parametri_v3!$C$44,1-Parametri_v3!$C$45,0))</f>
        <v>0</v>
      </c>
      <c r="AQ170" s="15" t="n">
        <f aca="false">MAX(0,AP170+IF(10=Parametri_v3!$C$43,MAX(0,AN170-AO170),0)-MAX(0,-(AR169)))</f>
        <v>0</v>
      </c>
      <c r="AR170" s="15" t="n">
        <f aca="false">(AR169)+X170-AQ170</f>
        <v>57318.4646170833</v>
      </c>
      <c r="AS170" s="15" t="n">
        <f aca="false">Motore_Operativo!AC170-AT170+AU170</f>
        <v>32137.5563729167</v>
      </c>
      <c r="AT170" s="15" t="n">
        <f aca="false">Motore_Operativo!CI170</f>
        <v>1691.45033541667</v>
      </c>
      <c r="AU170" s="15" t="n">
        <f aca="false">MIN(MAX(0,(AV169)+AT170),Parametri_v3!$C$61/12)</f>
        <v>0</v>
      </c>
      <c r="AV170" s="15" t="n">
        <f aca="false">(AV169)+AT170-AU170</f>
        <v>44893.9408541667</v>
      </c>
      <c r="AW170" s="15" t="n">
        <f aca="false">IF(AND(Motore_Operativo!C170=Finanziamenti!$D$7,Finanziamenti!$F$7=1),Finanziamenti!$C$7,0)</f>
        <v>0</v>
      </c>
      <c r="AX170" s="15" t="n">
        <f aca="false">0</f>
        <v>0</v>
      </c>
      <c r="AY170" s="15" t="n">
        <f aca="false">IF(10=Parametri_v3!$C$33,IF(BV170&lt;MIN(12,$B170-1),0,MIN(MAX(0,SUM(Y149:Y160))*Ipotesi!$C$94,MAX(0,(BM160)-(BO169)-BP170),MAX(0,BD170-Parametri_v3!$C$31))),0)</f>
        <v>0</v>
      </c>
      <c r="AZ170" s="15" t="n">
        <f aca="false">0</f>
        <v>0</v>
      </c>
      <c r="BA170" s="15" t="n">
        <f aca="false">0</f>
        <v>0</v>
      </c>
      <c r="BB170" s="15" t="n">
        <f aca="false">0</f>
        <v>0</v>
      </c>
      <c r="BC170" s="15" t="n">
        <f aca="false">0</f>
        <v>0</v>
      </c>
      <c r="BD170" s="15" t="n">
        <f aca="false">(BH169)+AC170-AF170-AI170-AS170-K170*(1+Parametri_v3!$C$26)-AL170-AQ170-O170+AW170+AX170+AZ170+BA170-BB170</f>
        <v>188638.004259271</v>
      </c>
      <c r="BE170" s="15" t="n">
        <f aca="false">0</f>
        <v>0</v>
      </c>
      <c r="BF170" s="15" t="n">
        <f aca="false">0</f>
        <v>0</v>
      </c>
      <c r="BG170" s="15" t="n">
        <f aca="false">0</f>
        <v>0</v>
      </c>
      <c r="BH170" s="15" t="n">
        <f aca="false">BD170+BE170-BF170-AY170</f>
        <v>188638.004259271</v>
      </c>
      <c r="BI170" s="15" t="n">
        <f aca="false">MAX(0,Parametri_v3!$C$31-BH170)</f>
        <v>0</v>
      </c>
      <c r="BJ170" s="15" t="n">
        <f aca="false">(BJ169)+K170</f>
        <v>19666.6666666667</v>
      </c>
      <c r="BK170" s="15" t="n">
        <f aca="false">(BK169)+L170</f>
        <v>10261.5740740741</v>
      </c>
      <c r="BL170" s="15" t="n">
        <f aca="false">BJ170-BK170</f>
        <v>9405.09259259259</v>
      </c>
      <c r="BM170" s="15" t="n">
        <f aca="false">(BM169)+Y170</f>
        <v>394774.478616725</v>
      </c>
      <c r="BN170" s="15" t="n">
        <f aca="false">(BN169)+AW170+AX170+AZ170</f>
        <v>20000</v>
      </c>
      <c r="BO170" s="15" t="n">
        <f aca="false">(BO169)+AY170</f>
        <v>60315.9059027778</v>
      </c>
      <c r="BP170" s="15" t="n">
        <f aca="false">MIN(Parametri_v3!$C$36*Parametri_v3!$C$35,(BP169)+IF(10=1,MAX(0,SUM(Y149:Y160))*Parametri_v3!$C$34,0))</f>
        <v>2000</v>
      </c>
      <c r="BQ170" s="15" t="n">
        <f aca="false">BN170+BM170-BO170</f>
        <v>354458.572713947</v>
      </c>
      <c r="BR170" s="15" t="n">
        <f aca="false">BH170+AD170+BL170+MAX(0,-AM170)+MAX(0,-AR170)</f>
        <v>528327.596851864</v>
      </c>
      <c r="BS170" s="15" t="n">
        <f aca="false">AJ170+AV170+MAX(0,AM170)+MAX(0,AR170)+BC170+BG170+BQ170+AG170</f>
        <v>528327.596851864</v>
      </c>
      <c r="BT170" s="15" t="n">
        <f aca="false">BR170-BS170</f>
        <v>0</v>
      </c>
      <c r="BU170" s="15" t="n">
        <f aca="false">BH170-(BD170+BE170-BF170-AY170)</f>
        <v>0</v>
      </c>
      <c r="BV170" s="15" t="n">
        <f aca="false">IF(BH169&lt;Parametri_v3!$C$31,0,BV169+1)</f>
        <v>17</v>
      </c>
    </row>
    <row r="171" customFormat="false" ht="18" hidden="false" customHeight="true" outlineLevel="0" collapsed="false">
      <c r="A171" s="68" t="n">
        <f aca="false">3</f>
        <v>3</v>
      </c>
      <c r="B171" s="68" t="n">
        <f aca="false">47</f>
        <v>47</v>
      </c>
      <c r="C171" s="18" t="n">
        <f aca="false">Motore_Operativo!C171</f>
        <v>47788</v>
      </c>
      <c r="D171" s="68" t="n">
        <f aca="false">Motore_Operativo!D171</f>
        <v>2030</v>
      </c>
      <c r="E171" s="68" t="n">
        <f aca="false">Motore_Operativo!E171</f>
        <v>11</v>
      </c>
      <c r="F171" s="15" t="n">
        <f aca="false">Motore_Operativo!AM171</f>
        <v>90241.6666666667</v>
      </c>
      <c r="G171" s="15" t="n">
        <f aca="false">Motore_Operativo!BH171</f>
        <v>9024.16666666667</v>
      </c>
      <c r="H171" s="15" t="n">
        <f aca="false">Motore_Operativo!AM171</f>
        <v>90241.6666666667</v>
      </c>
      <c r="I171" s="15" t="n">
        <f aca="false">Motore_Operativo!CB171</f>
        <v>62580.173375</v>
      </c>
      <c r="J171" s="15" t="n">
        <f aca="false">Motore_Operativo!CD171</f>
        <v>27661.4932916667</v>
      </c>
      <c r="K171" s="15" t="n">
        <f aca="false">Motore_Operativo!CF171</f>
        <v>666.666666666667</v>
      </c>
      <c r="L171" s="15" t="n">
        <f aca="false">SUM(INDEX($K$125:$K$184,MAX(1,47-Parametri_v3!$C$59+1)):K171)/Parametri_v3!$C$59</f>
        <v>488.425925925926</v>
      </c>
      <c r="M171" s="15" t="n">
        <f aca="false">J171-L171</f>
        <v>27173.0673657407</v>
      </c>
      <c r="N171" s="15" t="n">
        <f aca="false">0</f>
        <v>0</v>
      </c>
      <c r="O171" s="15" t="n">
        <f aca="false">0</f>
        <v>0</v>
      </c>
      <c r="P171" s="15" t="n">
        <f aca="false">M171+N171-O171</f>
        <v>27173.0673657407</v>
      </c>
      <c r="Q171" s="15" t="n">
        <f aca="false">SUM(P161:P171)+Parametri_v3!$C$56*11/12</f>
        <v>299540.315097222</v>
      </c>
      <c r="R171" s="15" t="n">
        <f aca="false">Z160</f>
        <v>0</v>
      </c>
      <c r="S171" s="15" t="n">
        <f aca="false">AA160</f>
        <v>0</v>
      </c>
      <c r="T171" s="15" t="n">
        <f aca="false">MIN(R171,MAX(0,Q171))</f>
        <v>0</v>
      </c>
      <c r="U171" s="15" t="n">
        <f aca="false">MIN(S171,MAX(0,Q171-T171)*Parametri_v3!$C$42)</f>
        <v>0</v>
      </c>
      <c r="V171" s="15" t="n">
        <f aca="false">MAX(0,Q171-T171-U171)*Ipotesi!$C$92</f>
        <v>71889.6756233333</v>
      </c>
      <c r="W171" s="15" t="n">
        <f aca="false">MAX(0,SUM(M161:M171)+Parametri_v3!$C$57*11/12)*Ipotesi!$C$93</f>
        <v>11682.0722887917</v>
      </c>
      <c r="X171" s="15" t="n">
        <f aca="false">V171+W171-(V170+W170)</f>
        <v>7581.28579504165</v>
      </c>
      <c r="Y171" s="15" t="n">
        <f aca="false">P171-X171</f>
        <v>19591.7815706991</v>
      </c>
      <c r="Z171" s="15" t="n">
        <f aca="false">R171-T171+IF(AND(Parametri_v3!$C$40=1,D171-YEAR(Parametri_v3!$C$50)&lt;Parametri_v3!$C$41),MAX(0,-Q171),0)</f>
        <v>0</v>
      </c>
      <c r="AA171" s="15" t="n">
        <f aca="false">S171-U171+IF(AND(Parametri_v3!$C$40=1,D171-YEAR(Parametri_v3!$C$50)&lt;Parametri_v3!$C$41),0,MAX(0,-Q171))</f>
        <v>0</v>
      </c>
      <c r="AB171" s="15" t="n">
        <f aca="false">F171*(1+Parametri_v3!$C$26)</f>
        <v>110094.833333333</v>
      </c>
      <c r="AC171" s="15" t="n">
        <f aca="false">(IF(47-(INT((Motore_Operativo!L171)/30))&lt;1,0,INDEX(Motore_Advisory!$AB$125:$AB$184,MAX(1,47-(INT((Motore_Operativo!L171)/30)))))*(1-(MOD((Motore_Operativo!L171),30)/30))+IF(47-(INT((Motore_Operativo!L171)/30))-1&lt;1,0,INDEX(Motore_Advisory!$AB$125:$AB$184,MAX(1,47-(INT((Motore_Operativo!L171)/30))-1)))*(MOD((Motore_Operativo!L171),30)/30))</f>
        <v>110094.833333333</v>
      </c>
      <c r="AD171" s="15" t="n">
        <f aca="false">(AD170)+AB171-AC171</f>
        <v>330284.5</v>
      </c>
      <c r="AE171" s="15" t="n">
        <f aca="false">Motore_Operativo!BH171*(1+Parametri_v3!$C$26)</f>
        <v>11009.4833333333</v>
      </c>
      <c r="AF171" s="15" t="n">
        <f aca="false">(IF(47-(INT((Parametri_v3!$C$29)/30))&lt;1,0,INDEX(Motore_Operativo!$BH$125:$BH$184,MAX(1,47-(INT((Parametri_v3!$C$29)/30)))))*(1-(MOD((Parametri_v3!$C$29),30)/30))+IF(47-(INT((Parametri_v3!$C$29)/30))-1&lt;1,0,INDEX(Motore_Operativo!$BH$125:$BH$184,MAX(1,47-(INT((Parametri_v3!$C$29)/30))-1)))*(MOD((Parametri_v3!$C$29),30)/30))*(1+Parametri_v3!$C$26)</f>
        <v>11009.4833333333</v>
      </c>
      <c r="AG171" s="15" t="n">
        <f aca="false">(AG170)+AE171-AF171</f>
        <v>11009.4833333333</v>
      </c>
      <c r="AH171" s="15" t="n">
        <f aca="false">(Motore_Operativo!CK171)*(1+Parametri_v3!$C$28*Parametri_v3!$C$26)</f>
        <v>23198.952</v>
      </c>
      <c r="AI171" s="15" t="n">
        <f aca="false">(IF(47-(INT((Ipotesi!$C$91)/30))&lt;1,0,INDEX(Motore_Advisory!$AH$125:$AH$184,MAX(1,47-(INT((Ipotesi!$C$91)/30)))))*(1-(MOD((Ipotesi!$C$91),30)/30))+IF(47-(INT((Ipotesi!$C$91)/30))-1&lt;1,0,INDEX(Motore_Advisory!$AH$125:$AH$184,MAX(1,47-(INT((Ipotesi!$C$91)/30))-1)))*(MOD((Ipotesi!$C$91),30)/30))</f>
        <v>23198.952</v>
      </c>
      <c r="AJ171" s="15" t="n">
        <f aca="false">(AJ170)+AH171-AI171</f>
        <v>46397.904</v>
      </c>
      <c r="AK171" s="15" t="n">
        <f aca="false">(F171- Motore_Operativo!BH171-(Motore_Operativo!CK171)*Parametri_v3!$C$28-Motore_Operativo!CF171)*Parametri_v3!$C$26</f>
        <v>14249.2313333333</v>
      </c>
      <c r="AL171" s="15" t="n">
        <f aca="false">MAX(0,(AM170))</f>
        <v>14249.2313333333</v>
      </c>
      <c r="AM171" s="15" t="n">
        <f aca="false">(AM170)+AK171-AL171</f>
        <v>14249.2313333333</v>
      </c>
      <c r="AN171" s="15" t="n">
        <f aca="false">SUM(X149:X160)</f>
        <v>46679.99375</v>
      </c>
      <c r="AO171" s="15" t="n">
        <f aca="false">SUM(AP149:AP160)</f>
        <v>16530.1714788732</v>
      </c>
      <c r="AP171" s="15" t="n">
        <f aca="false">MAX(0,AN171)*IF(11=Parametri_v3!$C$43,Parametri_v3!$C$45,IF(11=Parametri_v3!$C$44,1-Parametri_v3!$C$45,0))</f>
        <v>28007.99625</v>
      </c>
      <c r="AQ171" s="15" t="n">
        <f aca="false">MAX(0,AP171+IF(11=Parametri_v3!$C$43,MAX(0,AN171-AO171),0)-MAX(0,-(AR170)))</f>
        <v>28007.99625</v>
      </c>
      <c r="AR171" s="15" t="n">
        <f aca="false">(AR170)+X171-AQ171</f>
        <v>36891.754162125</v>
      </c>
      <c r="AS171" s="15" t="n">
        <f aca="false">Motore_Operativo!AC171-AT171+AU171</f>
        <v>32137.5563729167</v>
      </c>
      <c r="AT171" s="15" t="n">
        <f aca="false">Motore_Operativo!CI171</f>
        <v>1691.45033541667</v>
      </c>
      <c r="AU171" s="15" t="n">
        <f aca="false">MIN(MAX(0,(AV170)+AT171),Parametri_v3!$C$61/12)</f>
        <v>0</v>
      </c>
      <c r="AV171" s="15" t="n">
        <f aca="false">(AV170)+AT171-AU171</f>
        <v>46585.3911895833</v>
      </c>
      <c r="AW171" s="15" t="n">
        <f aca="false">IF(AND(Motore_Operativo!C171=Finanziamenti!$D$7,Finanziamenti!$F$7=1),Finanziamenti!$C$7,0)</f>
        <v>0</v>
      </c>
      <c r="AX171" s="15" t="n">
        <f aca="false">0</f>
        <v>0</v>
      </c>
      <c r="AY171" s="15" t="n">
        <f aca="false">IF(11=Parametri_v3!$C$33,IF(BV171&lt;MIN(12,$B171-1),0,MIN(MAX(0,SUM(Y149:Y160))*Ipotesi!$C$94,MAX(0,(BM160)-(BO170)-BP171),MAX(0,BD171-Parametri_v3!$C$31))),0)</f>
        <v>0</v>
      </c>
      <c r="AZ171" s="15" t="n">
        <f aca="false">0</f>
        <v>0</v>
      </c>
      <c r="BA171" s="15" t="n">
        <f aca="false">0</f>
        <v>0</v>
      </c>
      <c r="BB171" s="15" t="n">
        <f aca="false">0</f>
        <v>0</v>
      </c>
      <c r="BC171" s="15" t="n">
        <f aca="false">0</f>
        <v>0</v>
      </c>
      <c r="BD171" s="15" t="n">
        <f aca="false">(BH170)+AC171-AF171-AI171-AS171-K171*(1+Parametri_v3!$C$26)-AL171-AQ171-O171+AW171+AX171+AZ171+BA171-BB171</f>
        <v>189316.284969688</v>
      </c>
      <c r="BE171" s="15" t="n">
        <f aca="false">0</f>
        <v>0</v>
      </c>
      <c r="BF171" s="15" t="n">
        <f aca="false">0</f>
        <v>0</v>
      </c>
      <c r="BG171" s="15" t="n">
        <f aca="false">0</f>
        <v>0</v>
      </c>
      <c r="BH171" s="15" t="n">
        <f aca="false">BD171+BE171-BF171-AY171</f>
        <v>189316.284969688</v>
      </c>
      <c r="BI171" s="15" t="n">
        <f aca="false">MAX(0,Parametri_v3!$C$31-BH171)</f>
        <v>0</v>
      </c>
      <c r="BJ171" s="15" t="n">
        <f aca="false">(BJ170)+K171</f>
        <v>20333.3333333333</v>
      </c>
      <c r="BK171" s="15" t="n">
        <f aca="false">(BK170)+L171</f>
        <v>10750</v>
      </c>
      <c r="BL171" s="15" t="n">
        <f aca="false">BJ171-BK171</f>
        <v>9583.33333333333</v>
      </c>
      <c r="BM171" s="15" t="n">
        <f aca="false">(BM170)+Y171</f>
        <v>414366.260187424</v>
      </c>
      <c r="BN171" s="15" t="n">
        <f aca="false">(BN170)+AW171+AX171+AZ171</f>
        <v>20000</v>
      </c>
      <c r="BO171" s="15" t="n">
        <f aca="false">(BO170)+AY171</f>
        <v>60315.9059027778</v>
      </c>
      <c r="BP171" s="15" t="n">
        <f aca="false">MIN(Parametri_v3!$C$36*Parametri_v3!$C$35,(BP170)+IF(11=1,MAX(0,SUM(Y149:Y160))*Parametri_v3!$C$34,0))</f>
        <v>2000</v>
      </c>
      <c r="BQ171" s="15" t="n">
        <f aca="false">BN171+BM171-BO171</f>
        <v>374050.354284646</v>
      </c>
      <c r="BR171" s="15" t="n">
        <f aca="false">BH171+AD171+BL171+MAX(0,-AM171)+MAX(0,-AR171)</f>
        <v>529184.118303021</v>
      </c>
      <c r="BS171" s="15" t="n">
        <f aca="false">AJ171+AV171+MAX(0,AM171)+MAX(0,AR171)+BC171+BG171+BQ171+AG171</f>
        <v>529184.118303021</v>
      </c>
      <c r="BT171" s="15" t="n">
        <f aca="false">BR171-BS171</f>
        <v>0</v>
      </c>
      <c r="BU171" s="15" t="n">
        <f aca="false">BH171-(BD171+BE171-BF171-AY171)</f>
        <v>0</v>
      </c>
      <c r="BV171" s="15" t="n">
        <f aca="false">IF(BH170&lt;Parametri_v3!$C$31,0,BV170+1)</f>
        <v>18</v>
      </c>
    </row>
    <row r="172" customFormat="false" ht="18" hidden="false" customHeight="true" outlineLevel="0" collapsed="false">
      <c r="A172" s="68" t="n">
        <f aca="false">3</f>
        <v>3</v>
      </c>
      <c r="B172" s="68" t="n">
        <f aca="false">48</f>
        <v>48</v>
      </c>
      <c r="C172" s="18" t="n">
        <f aca="false">Motore_Operativo!C172</f>
        <v>47818</v>
      </c>
      <c r="D172" s="68" t="n">
        <f aca="false">Motore_Operativo!D172</f>
        <v>2030</v>
      </c>
      <c r="E172" s="68" t="n">
        <f aca="false">Motore_Operativo!E172</f>
        <v>12</v>
      </c>
      <c r="F172" s="15" t="n">
        <f aca="false">Motore_Operativo!AM172</f>
        <v>90241.6666666667</v>
      </c>
      <c r="G172" s="15" t="n">
        <f aca="false">Motore_Operativo!BH172</f>
        <v>9024.16666666667</v>
      </c>
      <c r="H172" s="15" t="n">
        <f aca="false">Motore_Operativo!AM172</f>
        <v>90241.6666666667</v>
      </c>
      <c r="I172" s="15" t="n">
        <f aca="false">Motore_Operativo!CB172</f>
        <v>62580.173375</v>
      </c>
      <c r="J172" s="15" t="n">
        <f aca="false">Motore_Operativo!CD172</f>
        <v>27661.4932916667</v>
      </c>
      <c r="K172" s="15" t="n">
        <f aca="false">Motore_Operativo!CF172</f>
        <v>666.666666666667</v>
      </c>
      <c r="L172" s="15" t="n">
        <f aca="false">SUM(INDEX($K$125:$K$184,MAX(1,48-Parametri_v3!$C$59+1)):K172)/Parametri_v3!$C$59</f>
        <v>500</v>
      </c>
      <c r="M172" s="15" t="n">
        <f aca="false">J172-L172</f>
        <v>27161.4932916667</v>
      </c>
      <c r="N172" s="15" t="n">
        <f aca="false">0</f>
        <v>0</v>
      </c>
      <c r="O172" s="15" t="n">
        <f aca="false">0</f>
        <v>0</v>
      </c>
      <c r="P172" s="15" t="n">
        <f aca="false">M172+N172-O172</f>
        <v>27161.4932916667</v>
      </c>
      <c r="Q172" s="15" t="n">
        <f aca="false">SUM(P161:P172)+Parametri_v3!$C$56*12/12</f>
        <v>326701.808388889</v>
      </c>
      <c r="R172" s="15" t="n">
        <f aca="false">Z160</f>
        <v>0</v>
      </c>
      <c r="S172" s="15" t="n">
        <f aca="false">AA160</f>
        <v>0</v>
      </c>
      <c r="T172" s="15" t="n">
        <f aca="false">MIN(R172,MAX(0,Q172))</f>
        <v>0</v>
      </c>
      <c r="U172" s="15" t="n">
        <f aca="false">MIN(S172,MAX(0,Q172-T172)*Parametri_v3!$C$42)</f>
        <v>0</v>
      </c>
      <c r="V172" s="15" t="n">
        <f aca="false">MAX(0,Q172-T172-U172)*Ipotesi!$C$92</f>
        <v>78408.4340133333</v>
      </c>
      <c r="W172" s="15" t="n">
        <f aca="false">MAX(0,SUM(M161:M172)+Parametri_v3!$C$57*12/12)*Ipotesi!$C$93</f>
        <v>12741.3705271667</v>
      </c>
      <c r="X172" s="15" t="n">
        <f aca="false">V172+W172-(V171+W171)</f>
        <v>7578.05662837502</v>
      </c>
      <c r="Y172" s="15" t="n">
        <f aca="false">P172-X172</f>
        <v>19583.4366632916</v>
      </c>
      <c r="Z172" s="15" t="n">
        <f aca="false">R172-T172+IF(AND(Parametri_v3!$C$40=1,D172-YEAR(Parametri_v3!$C$50)&lt;Parametri_v3!$C$41),MAX(0,-Q172),0)</f>
        <v>0</v>
      </c>
      <c r="AA172" s="15" t="n">
        <f aca="false">S172-U172+IF(AND(Parametri_v3!$C$40=1,D172-YEAR(Parametri_v3!$C$50)&lt;Parametri_v3!$C$41),0,MAX(0,-Q172))</f>
        <v>0</v>
      </c>
      <c r="AB172" s="15" t="n">
        <f aca="false">F172*(1+Parametri_v3!$C$26)</f>
        <v>110094.833333333</v>
      </c>
      <c r="AC172" s="15" t="n">
        <f aca="false">(IF(48-(INT((Motore_Operativo!L172)/30))&lt;1,0,INDEX(Motore_Advisory!$AB$125:$AB$184,MAX(1,48-(INT((Motore_Operativo!L172)/30)))))*(1-(MOD((Motore_Operativo!L172),30)/30))+IF(48-(INT((Motore_Operativo!L172)/30))-1&lt;1,0,INDEX(Motore_Advisory!$AB$125:$AB$184,MAX(1,48-(INT((Motore_Operativo!L172)/30))-1)))*(MOD((Motore_Operativo!L172),30)/30))</f>
        <v>110094.833333333</v>
      </c>
      <c r="AD172" s="15" t="n">
        <f aca="false">(AD171)+AB172-AC172</f>
        <v>330284.5</v>
      </c>
      <c r="AE172" s="15" t="n">
        <f aca="false">Motore_Operativo!BH172*(1+Parametri_v3!$C$26)</f>
        <v>11009.4833333333</v>
      </c>
      <c r="AF172" s="15" t="n">
        <f aca="false">(IF(48-(INT((Parametri_v3!$C$29)/30))&lt;1,0,INDEX(Motore_Operativo!$BH$125:$BH$184,MAX(1,48-(INT((Parametri_v3!$C$29)/30)))))*(1-(MOD((Parametri_v3!$C$29),30)/30))+IF(48-(INT((Parametri_v3!$C$29)/30))-1&lt;1,0,INDEX(Motore_Operativo!$BH$125:$BH$184,MAX(1,48-(INT((Parametri_v3!$C$29)/30))-1)))*(MOD((Parametri_v3!$C$29),30)/30))*(1+Parametri_v3!$C$26)</f>
        <v>11009.4833333333</v>
      </c>
      <c r="AG172" s="15" t="n">
        <f aca="false">(AG171)+AE172-AF172</f>
        <v>11009.4833333333</v>
      </c>
      <c r="AH172" s="15" t="n">
        <f aca="false">(Motore_Operativo!CK172)*(1+Parametri_v3!$C$28*Parametri_v3!$C$26)</f>
        <v>23198.952</v>
      </c>
      <c r="AI172" s="15" t="n">
        <f aca="false">(IF(48-(INT((Ipotesi!$C$91)/30))&lt;1,0,INDEX(Motore_Advisory!$AH$125:$AH$184,MAX(1,48-(INT((Ipotesi!$C$91)/30)))))*(1-(MOD((Ipotesi!$C$91),30)/30))+IF(48-(INT((Ipotesi!$C$91)/30))-1&lt;1,0,INDEX(Motore_Advisory!$AH$125:$AH$184,MAX(1,48-(INT((Ipotesi!$C$91)/30))-1)))*(MOD((Ipotesi!$C$91),30)/30))</f>
        <v>23198.952</v>
      </c>
      <c r="AJ172" s="15" t="n">
        <f aca="false">(AJ171)+AH172-AI172</f>
        <v>46397.904</v>
      </c>
      <c r="AK172" s="15" t="n">
        <f aca="false">(F172- Motore_Operativo!BH172-(Motore_Operativo!CK172)*Parametri_v3!$C$28-Motore_Operativo!CF172)*Parametri_v3!$C$26</f>
        <v>14249.2313333333</v>
      </c>
      <c r="AL172" s="15" t="n">
        <f aca="false">MAX(0,(AM171))</f>
        <v>14249.2313333333</v>
      </c>
      <c r="AM172" s="15" t="n">
        <f aca="false">(AM171)+AK172-AL172</f>
        <v>14249.2313333333</v>
      </c>
      <c r="AN172" s="15" t="n">
        <f aca="false">SUM(X149:X160)</f>
        <v>46679.99375</v>
      </c>
      <c r="AO172" s="15" t="n">
        <f aca="false">SUM(AP149:AP160)</f>
        <v>16530.1714788732</v>
      </c>
      <c r="AP172" s="15" t="n">
        <f aca="false">MAX(0,AN172)*IF(12=Parametri_v3!$C$43,Parametri_v3!$C$45,IF(12=Parametri_v3!$C$44,1-Parametri_v3!$C$45,0))</f>
        <v>0</v>
      </c>
      <c r="AQ172" s="15" t="n">
        <f aca="false">MAX(0,AP172+IF(12=Parametri_v3!$C$43,MAX(0,AN172-AO172),0)-MAX(0,-(AR171)))</f>
        <v>0</v>
      </c>
      <c r="AR172" s="15" t="n">
        <f aca="false">(AR171)+X172-AQ172</f>
        <v>44469.8107905</v>
      </c>
      <c r="AS172" s="15" t="n">
        <f aca="false">Motore_Operativo!AC172-AT172+AU172</f>
        <v>32137.5563729167</v>
      </c>
      <c r="AT172" s="15" t="n">
        <f aca="false">Motore_Operativo!CI172</f>
        <v>1691.45033541667</v>
      </c>
      <c r="AU172" s="15" t="n">
        <f aca="false">MIN(MAX(0,(AV171)+AT172),Parametri_v3!$C$61/12)</f>
        <v>0</v>
      </c>
      <c r="AV172" s="15" t="n">
        <f aca="false">(AV171)+AT172-AU172</f>
        <v>48276.841525</v>
      </c>
      <c r="AW172" s="15" t="n">
        <f aca="false">IF(AND(Motore_Operativo!C172=Finanziamenti!$D$7,Finanziamenti!$F$7=1),Finanziamenti!$C$7,0)</f>
        <v>0</v>
      </c>
      <c r="AX172" s="15" t="n">
        <f aca="false">0</f>
        <v>0</v>
      </c>
      <c r="AY172" s="15" t="n">
        <f aca="false">IF(12=Parametri_v3!$C$33,IF(BV172&lt;MIN(12,$B172-1),0,MIN(MAX(0,SUM(Y149:Y160))*Ipotesi!$C$94,MAX(0,(BM160)-(BO171)-BP172),MAX(0,BD172-Parametri_v3!$C$31))),0)</f>
        <v>0</v>
      </c>
      <c r="AZ172" s="15" t="n">
        <f aca="false">0</f>
        <v>0</v>
      </c>
      <c r="BA172" s="15" t="n">
        <f aca="false">0</f>
        <v>0</v>
      </c>
      <c r="BB172" s="15" t="n">
        <f aca="false">0</f>
        <v>0</v>
      </c>
      <c r="BC172" s="15" t="n">
        <f aca="false">0</f>
        <v>0</v>
      </c>
      <c r="BD172" s="15" t="n">
        <f aca="false">(BH171)+AC172-AF172-AI172-AS172-K172*(1+Parametri_v3!$C$26)-AL172-AQ172-O172+AW172+AX172+AZ172+BA172-BB172</f>
        <v>218002.561930104</v>
      </c>
      <c r="BE172" s="15" t="n">
        <f aca="false">0</f>
        <v>0</v>
      </c>
      <c r="BF172" s="15" t="n">
        <f aca="false">0</f>
        <v>0</v>
      </c>
      <c r="BG172" s="15" t="n">
        <f aca="false">0</f>
        <v>0</v>
      </c>
      <c r="BH172" s="15" t="n">
        <f aca="false">BD172+BE172-BF172-AY172</f>
        <v>218002.561930104</v>
      </c>
      <c r="BI172" s="15" t="n">
        <f aca="false">MAX(0,Parametri_v3!$C$31-BH172)</f>
        <v>0</v>
      </c>
      <c r="BJ172" s="15" t="n">
        <f aca="false">(BJ171)+K172</f>
        <v>21000</v>
      </c>
      <c r="BK172" s="15" t="n">
        <f aca="false">(BK171)+L172</f>
        <v>11250</v>
      </c>
      <c r="BL172" s="15" t="n">
        <f aca="false">BJ172-BK172</f>
        <v>9750</v>
      </c>
      <c r="BM172" s="15" t="n">
        <f aca="false">(BM171)+Y172</f>
        <v>433949.696850716</v>
      </c>
      <c r="BN172" s="15" t="n">
        <f aca="false">(BN171)+AW172+AX172+AZ172</f>
        <v>20000</v>
      </c>
      <c r="BO172" s="15" t="n">
        <f aca="false">(BO171)+AY172</f>
        <v>60315.9059027778</v>
      </c>
      <c r="BP172" s="15" t="n">
        <f aca="false">MIN(Parametri_v3!$C$36*Parametri_v3!$C$35,(BP171)+IF(12=1,MAX(0,SUM(Y149:Y160))*Parametri_v3!$C$34,0))</f>
        <v>2000</v>
      </c>
      <c r="BQ172" s="15" t="n">
        <f aca="false">BN172+BM172-BO172</f>
        <v>393633.790947938</v>
      </c>
      <c r="BR172" s="15" t="n">
        <f aca="false">BH172+AD172+BL172+MAX(0,-AM172)+MAX(0,-AR172)</f>
        <v>558037.061930104</v>
      </c>
      <c r="BS172" s="15" t="n">
        <f aca="false">AJ172+AV172+MAX(0,AM172)+MAX(0,AR172)+BC172+BG172+BQ172+AG172</f>
        <v>558037.061930105</v>
      </c>
      <c r="BT172" s="15" t="n">
        <f aca="false">BR172-BS172</f>
        <v>0</v>
      </c>
      <c r="BU172" s="15" t="n">
        <f aca="false">BH172-(BD172+BE172-BF172-AY172)</f>
        <v>0</v>
      </c>
      <c r="BV172" s="15" t="n">
        <f aca="false">IF(BH171&lt;Parametri_v3!$C$31,0,BV171+1)</f>
        <v>19</v>
      </c>
    </row>
    <row r="173" customFormat="false" ht="18" hidden="false" customHeight="true" outlineLevel="0" collapsed="false">
      <c r="A173" s="68" t="n">
        <f aca="false">3</f>
        <v>3</v>
      </c>
      <c r="B173" s="68" t="n">
        <f aca="false">49</f>
        <v>49</v>
      </c>
      <c r="C173" s="18" t="n">
        <f aca="false">Motore_Operativo!C173</f>
        <v>47849</v>
      </c>
      <c r="D173" s="68" t="n">
        <f aca="false">Motore_Operativo!D173</f>
        <v>2031</v>
      </c>
      <c r="E173" s="68" t="n">
        <f aca="false">Motore_Operativo!E173</f>
        <v>1</v>
      </c>
      <c r="F173" s="15" t="n">
        <f aca="false">Motore_Operativo!AM173</f>
        <v>121526.086956522</v>
      </c>
      <c r="G173" s="15" t="n">
        <f aca="false">Motore_Operativo!BH173</f>
        <v>12152.6086956522</v>
      </c>
      <c r="H173" s="15" t="n">
        <f aca="false">Motore_Operativo!AM173</f>
        <v>121526.086956522</v>
      </c>
      <c r="I173" s="15" t="n">
        <f aca="false">Motore_Operativo!CB173</f>
        <v>80516.3128405435</v>
      </c>
      <c r="J173" s="15" t="n">
        <f aca="false">Motore_Operativo!CD173</f>
        <v>41009.7741159783</v>
      </c>
      <c r="K173" s="15" t="n">
        <f aca="false">Motore_Operativo!CF173</f>
        <v>666.666666666667</v>
      </c>
      <c r="L173" s="15" t="n">
        <f aca="false">SUM(INDEX($K$125:$K$184,MAX(1,49-Parametri_v3!$C$59+1)):K173)/Parametri_v3!$C$59</f>
        <v>506.944444444444</v>
      </c>
      <c r="M173" s="15" t="n">
        <f aca="false">J173-L173</f>
        <v>40502.8296715338</v>
      </c>
      <c r="N173" s="15" t="n">
        <f aca="false">0</f>
        <v>0</v>
      </c>
      <c r="O173" s="15" t="n">
        <f aca="false">0</f>
        <v>0</v>
      </c>
      <c r="P173" s="15" t="n">
        <f aca="false">M173+N173-O173</f>
        <v>40502.8296715338</v>
      </c>
      <c r="Q173" s="15" t="n">
        <f aca="false">SUM(P173)+Parametri_v3!$C$56*1/12</f>
        <v>40502.8296715338</v>
      </c>
      <c r="R173" s="15" t="n">
        <f aca="false">Z172</f>
        <v>0</v>
      </c>
      <c r="S173" s="15" t="n">
        <f aca="false">AA172</f>
        <v>0</v>
      </c>
      <c r="T173" s="15" t="n">
        <f aca="false">MIN(R173,MAX(0,Q173))</f>
        <v>0</v>
      </c>
      <c r="U173" s="15" t="n">
        <f aca="false">MIN(S173,MAX(0,Q173-T173)*Parametri_v3!$C$42)</f>
        <v>0</v>
      </c>
      <c r="V173" s="15" t="n">
        <f aca="false">MAX(0,Q173-T173-U173)*Ipotesi!$C$92</f>
        <v>9720.67912116812</v>
      </c>
      <c r="W173" s="15" t="n">
        <f aca="false">MAX(0,SUM(M173)+Parametri_v3!$C$57*1/12)*Ipotesi!$C$93</f>
        <v>1579.61035718982</v>
      </c>
      <c r="X173" s="15" t="n">
        <f aca="false">V173+W173-(0)</f>
        <v>11300.2894783579</v>
      </c>
      <c r="Y173" s="15" t="n">
        <f aca="false">P173-X173</f>
        <v>29202.5401931759</v>
      </c>
      <c r="Z173" s="15" t="n">
        <f aca="false">R173-T173+IF(AND(Parametri_v3!$C$40=1,D173-YEAR(Parametri_v3!$C$50)&lt;Parametri_v3!$C$41),MAX(0,-Q173),0)</f>
        <v>0</v>
      </c>
      <c r="AA173" s="15" t="n">
        <f aca="false">S173-U173+IF(AND(Parametri_v3!$C$40=1,D173-YEAR(Parametri_v3!$C$50)&lt;Parametri_v3!$C$41),0,MAX(0,-Q173))</f>
        <v>0</v>
      </c>
      <c r="AB173" s="15" t="n">
        <f aca="false">F173*(1+Parametri_v3!$C$26)</f>
        <v>148261.826086957</v>
      </c>
      <c r="AC173" s="15" t="n">
        <f aca="false">(IF(49-(INT((Motore_Operativo!L173)/30))&lt;1,0,INDEX(Motore_Advisory!$AB$125:$AB$184,MAX(1,49-(INT((Motore_Operativo!L173)/30)))))*(1-(MOD((Motore_Operativo!L173),30)/30))+IF(49-(INT((Motore_Operativo!L173)/30))-1&lt;1,0,INDEX(Motore_Advisory!$AB$125:$AB$184,MAX(1,49-(INT((Motore_Operativo!L173)/30))-1)))*(MOD((Motore_Operativo!L173),30)/30))</f>
        <v>110094.833333333</v>
      </c>
      <c r="AD173" s="15" t="n">
        <f aca="false">(AD172)+AB173-AC173</f>
        <v>368451.492753623</v>
      </c>
      <c r="AE173" s="15" t="n">
        <f aca="false">Motore_Operativo!BH173*(1+Parametri_v3!$C$26)</f>
        <v>14826.1826086957</v>
      </c>
      <c r="AF173" s="15" t="n">
        <f aca="false">(IF(49-(INT((Parametri_v3!$C$29)/30))&lt;1,0,INDEX(Motore_Operativo!$BH$125:$BH$184,MAX(1,49-(INT((Parametri_v3!$C$29)/30)))))*(1-(MOD((Parametri_v3!$C$29),30)/30))+IF(49-(INT((Parametri_v3!$C$29)/30))-1&lt;1,0,INDEX(Motore_Operativo!$BH$125:$BH$184,MAX(1,49-(INT((Parametri_v3!$C$29)/30))-1)))*(MOD((Parametri_v3!$C$29),30)/30))*(1+Parametri_v3!$C$26)</f>
        <v>11009.4833333333</v>
      </c>
      <c r="AG173" s="15" t="n">
        <f aca="false">(AG172)+AE173-AF173</f>
        <v>14826.1826086956</v>
      </c>
      <c r="AH173" s="15" t="n">
        <f aca="false">(Motore_Operativo!CK173)*(1+Parametri_v3!$C$28*Parametri_v3!$C$26)</f>
        <v>28223.8806956521</v>
      </c>
      <c r="AI173" s="15" t="n">
        <f aca="false">(IF(49-(INT((Ipotesi!$C$91)/30))&lt;1,0,INDEX(Motore_Advisory!$AH$125:$AH$184,MAX(1,49-(INT((Ipotesi!$C$91)/30)))))*(1-(MOD((Ipotesi!$C$91),30)/30))+IF(49-(INT((Ipotesi!$C$91)/30))-1&lt;1,0,INDEX(Motore_Advisory!$AH$125:$AH$184,MAX(1,49-(INT((Ipotesi!$C$91)/30))-1)))*(MOD((Ipotesi!$C$91),30)/30))</f>
        <v>23198.952</v>
      </c>
      <c r="AJ173" s="15" t="n">
        <f aca="false">(AJ172)+AH173-AI173</f>
        <v>51422.8326956521</v>
      </c>
      <c r="AK173" s="15" t="n">
        <f aca="false">(F173- Motore_Operativo!BH173-(Motore_Operativo!CK173)*Parametri_v3!$C$28-Motore_Operativo!CF173)*Parametri_v3!$C$26</f>
        <v>19691.5164057971</v>
      </c>
      <c r="AL173" s="15" t="n">
        <f aca="false">MAX(0,(AM172))</f>
        <v>14249.2313333333</v>
      </c>
      <c r="AM173" s="15" t="n">
        <f aca="false">(AM172)+AK173-AL173</f>
        <v>19691.5164057971</v>
      </c>
      <c r="AN173" s="15" t="n">
        <f aca="false">SUM(X161:X172)</f>
        <v>91149.8045405</v>
      </c>
      <c r="AO173" s="15" t="n">
        <f aca="false">SUM(AP161:AP172)</f>
        <v>46679.99375</v>
      </c>
      <c r="AP173" s="15" t="n">
        <f aca="false">MAX(0,AN173)*IF(1=Parametri_v3!$C$43,Parametri_v3!$C$45,IF(1=Parametri_v3!$C$44,1-Parametri_v3!$C$45,0))</f>
        <v>0</v>
      </c>
      <c r="AQ173" s="15" t="n">
        <f aca="false">MAX(0,AP173+IF(1=Parametri_v3!$C$43,MAX(0,AN173-AO173),0)-MAX(0,-(AR172)))</f>
        <v>0</v>
      </c>
      <c r="AR173" s="15" t="n">
        <f aca="false">(AR172)+X173-AQ173</f>
        <v>55770.1002688579</v>
      </c>
      <c r="AS173" s="15" t="n">
        <f aca="false">Motore_Operativo!AC173-AT173+AU173</f>
        <v>42145.6153144583</v>
      </c>
      <c r="AT173" s="15" t="n">
        <f aca="false">Motore_Operativo!CI173</f>
        <v>2218.19027970833</v>
      </c>
      <c r="AU173" s="15" t="n">
        <f aca="false">MIN(MAX(0,(AV172)+AT173),Parametri_v3!$C$61/12)</f>
        <v>0</v>
      </c>
      <c r="AV173" s="15" t="n">
        <f aca="false">(AV172)+AT173-AU173</f>
        <v>50495.0318047083</v>
      </c>
      <c r="AW173" s="15" t="n">
        <f aca="false">IF(AND(Motore_Operativo!C173=Finanziamenti!$D$7,Finanziamenti!$F$7=1),Finanziamenti!$C$7,0)</f>
        <v>0</v>
      </c>
      <c r="AX173" s="15" t="n">
        <f aca="false">0</f>
        <v>0</v>
      </c>
      <c r="AY173" s="15" t="n">
        <f aca="false">IF(1=Parametri_v3!$C$33,IF(BV173&lt;MIN(12,$B173-1),0,MIN(MAX(0,SUM(Y161:Y172))*Ipotesi!$C$94,MAX(0,(BM172)-(BO172)-BP173),MAX(0,BD173-Parametri_v3!$C$31))),0)</f>
        <v>0</v>
      </c>
      <c r="AZ173" s="15" t="n">
        <f aca="false">0</f>
        <v>0</v>
      </c>
      <c r="BA173" s="15" t="n">
        <f aca="false">0</f>
        <v>0</v>
      </c>
      <c r="BB173" s="15" t="n">
        <f aca="false">0</f>
        <v>0</v>
      </c>
      <c r="BC173" s="15" t="n">
        <f aca="false">0</f>
        <v>0</v>
      </c>
      <c r="BD173" s="15" t="n">
        <f aca="false">(BH172)+AC173-AF173-AI173-AS173-K173*(1+Parametri_v3!$C$26)-AL173-AQ173-O173+AW173+AX173+AZ173+BA173-BB173</f>
        <v>236680.779948979</v>
      </c>
      <c r="BE173" s="15" t="n">
        <f aca="false">0</f>
        <v>0</v>
      </c>
      <c r="BF173" s="15" t="n">
        <f aca="false">0</f>
        <v>0</v>
      </c>
      <c r="BG173" s="15" t="n">
        <f aca="false">0</f>
        <v>0</v>
      </c>
      <c r="BH173" s="15" t="n">
        <f aca="false">BD173+BE173-BF173-AY173</f>
        <v>236680.779948979</v>
      </c>
      <c r="BI173" s="15" t="n">
        <f aca="false">MAX(0,Parametri_v3!$C$31-BH173)</f>
        <v>0</v>
      </c>
      <c r="BJ173" s="15" t="n">
        <f aca="false">(BJ172)+K173</f>
        <v>21666.6666666667</v>
      </c>
      <c r="BK173" s="15" t="n">
        <f aca="false">(BK172)+L173</f>
        <v>11756.9444444444</v>
      </c>
      <c r="BL173" s="15" t="n">
        <f aca="false">BJ173-BK173</f>
        <v>9909.72222222222</v>
      </c>
      <c r="BM173" s="15" t="n">
        <f aca="false">(BM172)+Y173</f>
        <v>463152.237043892</v>
      </c>
      <c r="BN173" s="15" t="n">
        <f aca="false">(BN172)+AW173+AX173+AZ173</f>
        <v>20000</v>
      </c>
      <c r="BO173" s="15" t="n">
        <f aca="false">(BO172)+AY173</f>
        <v>60315.9059027778</v>
      </c>
      <c r="BP173" s="15" t="n">
        <f aca="false">MIN(Parametri_v3!$C$36*Parametri_v3!$C$35,(BP172)+IF(1=1,MAX(0,SUM(Y161:Y172))*Parametri_v3!$C$34,0))</f>
        <v>2000</v>
      </c>
      <c r="BQ173" s="15" t="n">
        <f aca="false">BN173+BM173-BO173</f>
        <v>422836.331141114</v>
      </c>
      <c r="BR173" s="15" t="n">
        <f aca="false">BH173+AD173+BL173+MAX(0,-AM173)+MAX(0,-AR173)</f>
        <v>615041.994924825</v>
      </c>
      <c r="BS173" s="15" t="n">
        <f aca="false">AJ173+AV173+MAX(0,AM173)+MAX(0,AR173)+BC173+BG173+BQ173+AG173</f>
        <v>615041.994924825</v>
      </c>
      <c r="BT173" s="15" t="n">
        <f aca="false">BR173-BS173</f>
        <v>0</v>
      </c>
      <c r="BU173" s="15" t="n">
        <f aca="false">BH173-(BD173+BE173-BF173-AY173)</f>
        <v>0</v>
      </c>
      <c r="BV173" s="15" t="n">
        <f aca="false">IF(BH172&lt;Parametri_v3!$C$31,0,BV172+1)</f>
        <v>20</v>
      </c>
    </row>
    <row r="174" customFormat="false" ht="18" hidden="false" customHeight="true" outlineLevel="0" collapsed="false">
      <c r="A174" s="68" t="n">
        <f aca="false">3</f>
        <v>3</v>
      </c>
      <c r="B174" s="68" t="n">
        <f aca="false">50</f>
        <v>50</v>
      </c>
      <c r="C174" s="18" t="n">
        <f aca="false">Motore_Operativo!C174</f>
        <v>47880</v>
      </c>
      <c r="D174" s="68" t="n">
        <f aca="false">Motore_Operativo!D174</f>
        <v>2031</v>
      </c>
      <c r="E174" s="68" t="n">
        <f aca="false">Motore_Operativo!E174</f>
        <v>2</v>
      </c>
      <c r="F174" s="15" t="n">
        <f aca="false">Motore_Operativo!AM174</f>
        <v>121526.086956522</v>
      </c>
      <c r="G174" s="15" t="n">
        <f aca="false">Motore_Operativo!BH174</f>
        <v>12152.6086956522</v>
      </c>
      <c r="H174" s="15" t="n">
        <f aca="false">Motore_Operativo!AM174</f>
        <v>121526.086956522</v>
      </c>
      <c r="I174" s="15" t="n">
        <f aca="false">Motore_Operativo!CB174</f>
        <v>80516.3128405435</v>
      </c>
      <c r="J174" s="15" t="n">
        <f aca="false">Motore_Operativo!CD174</f>
        <v>41009.7741159783</v>
      </c>
      <c r="K174" s="15" t="n">
        <f aca="false">Motore_Operativo!CF174</f>
        <v>666.666666666667</v>
      </c>
      <c r="L174" s="15" t="n">
        <f aca="false">SUM(INDEX($K$125:$K$184,MAX(1,50-Parametri_v3!$C$59+1)):K174)/Parametri_v3!$C$59</f>
        <v>513.888888888889</v>
      </c>
      <c r="M174" s="15" t="n">
        <f aca="false">J174-L174</f>
        <v>40495.8852270894</v>
      </c>
      <c r="N174" s="15" t="n">
        <f aca="false">0</f>
        <v>0</v>
      </c>
      <c r="O174" s="15" t="n">
        <f aca="false">0</f>
        <v>0</v>
      </c>
      <c r="P174" s="15" t="n">
        <f aca="false">M174+N174-O174</f>
        <v>40495.8852270894</v>
      </c>
      <c r="Q174" s="15" t="n">
        <f aca="false">SUM(P173:P174)+Parametri_v3!$C$56*2/12</f>
        <v>80998.7148986232</v>
      </c>
      <c r="R174" s="15" t="n">
        <f aca="false">Z172</f>
        <v>0</v>
      </c>
      <c r="S174" s="15" t="n">
        <f aca="false">AA172</f>
        <v>0</v>
      </c>
      <c r="T174" s="15" t="n">
        <f aca="false">MIN(R174,MAX(0,Q174))</f>
        <v>0</v>
      </c>
      <c r="U174" s="15" t="n">
        <f aca="false">MIN(S174,MAX(0,Q174-T174)*Parametri_v3!$C$42)</f>
        <v>0</v>
      </c>
      <c r="V174" s="15" t="n">
        <f aca="false">MAX(0,Q174-T174-U174)*Ipotesi!$C$92</f>
        <v>19439.6915756696</v>
      </c>
      <c r="W174" s="15" t="n">
        <f aca="false">MAX(0,SUM(M173:M174)+Parametri_v3!$C$57*2/12)*Ipotesi!$C$93</f>
        <v>3158.94988104631</v>
      </c>
      <c r="X174" s="15" t="n">
        <f aca="false">V174+W174-(V173+W173)</f>
        <v>11298.3519783579</v>
      </c>
      <c r="Y174" s="15" t="n">
        <f aca="false">P174-X174</f>
        <v>29197.5332487315</v>
      </c>
      <c r="Z174" s="15" t="n">
        <f aca="false">R174-T174+IF(AND(Parametri_v3!$C$40=1,D174-YEAR(Parametri_v3!$C$50)&lt;Parametri_v3!$C$41),MAX(0,-Q174),0)</f>
        <v>0</v>
      </c>
      <c r="AA174" s="15" t="n">
        <f aca="false">S174-U174+IF(AND(Parametri_v3!$C$40=1,D174-YEAR(Parametri_v3!$C$50)&lt;Parametri_v3!$C$41),0,MAX(0,-Q174))</f>
        <v>0</v>
      </c>
      <c r="AB174" s="15" t="n">
        <f aca="false">F174*(1+Parametri_v3!$C$26)</f>
        <v>148261.826086957</v>
      </c>
      <c r="AC174" s="15" t="n">
        <f aca="false">(IF(50-(INT((Motore_Operativo!L174)/30))&lt;1,0,INDEX(Motore_Advisory!$AB$125:$AB$184,MAX(1,50-(INT((Motore_Operativo!L174)/30)))))*(1-(MOD((Motore_Operativo!L174),30)/30))+IF(50-(INT((Motore_Operativo!L174)/30))-1&lt;1,0,INDEX(Motore_Advisory!$AB$125:$AB$184,MAX(1,50-(INT((Motore_Operativo!L174)/30))-1)))*(MOD((Motore_Operativo!L174),30)/30))</f>
        <v>110094.833333333</v>
      </c>
      <c r="AD174" s="15" t="n">
        <f aca="false">(AD173)+AB174-AC174</f>
        <v>406618.485507246</v>
      </c>
      <c r="AE174" s="15" t="n">
        <f aca="false">Motore_Operativo!BH174*(1+Parametri_v3!$C$26)</f>
        <v>14826.1826086957</v>
      </c>
      <c r="AF174" s="15" t="n">
        <f aca="false">(IF(50-(INT((Parametri_v3!$C$29)/30))&lt;1,0,INDEX(Motore_Operativo!$BH$125:$BH$184,MAX(1,50-(INT((Parametri_v3!$C$29)/30)))))*(1-(MOD((Parametri_v3!$C$29),30)/30))+IF(50-(INT((Parametri_v3!$C$29)/30))-1&lt;1,0,INDEX(Motore_Operativo!$BH$125:$BH$184,MAX(1,50-(INT((Parametri_v3!$C$29)/30))-1)))*(MOD((Parametri_v3!$C$29),30)/30))*(1+Parametri_v3!$C$26)</f>
        <v>14826.1826086957</v>
      </c>
      <c r="AG174" s="15" t="n">
        <f aca="false">(AG173)+AE174-AF174</f>
        <v>14826.1826086956</v>
      </c>
      <c r="AH174" s="15" t="n">
        <f aca="false">(Motore_Operativo!CK174)*(1+Parametri_v3!$C$28*Parametri_v3!$C$26)</f>
        <v>28223.8806956521</v>
      </c>
      <c r="AI174" s="15" t="n">
        <f aca="false">(IF(50-(INT((Ipotesi!$C$91)/30))&lt;1,0,INDEX(Motore_Advisory!$AH$125:$AH$184,MAX(1,50-(INT((Ipotesi!$C$91)/30)))))*(1-(MOD((Ipotesi!$C$91),30)/30))+IF(50-(INT((Ipotesi!$C$91)/30))-1&lt;1,0,INDEX(Motore_Advisory!$AH$125:$AH$184,MAX(1,50-(INT((Ipotesi!$C$91)/30))-1)))*(MOD((Ipotesi!$C$91),30)/30))</f>
        <v>23198.952</v>
      </c>
      <c r="AJ174" s="15" t="n">
        <f aca="false">(AJ173)+AH174-AI174</f>
        <v>56447.7613913043</v>
      </c>
      <c r="AK174" s="15" t="n">
        <f aca="false">(F174- Motore_Operativo!BH174-(Motore_Operativo!CK174)*Parametri_v3!$C$28-Motore_Operativo!CF174)*Parametri_v3!$C$26</f>
        <v>19691.5164057971</v>
      </c>
      <c r="AL174" s="15" t="n">
        <f aca="false">MAX(0,(AM173))</f>
        <v>19691.5164057971</v>
      </c>
      <c r="AM174" s="15" t="n">
        <f aca="false">(AM173)+AK174-AL174</f>
        <v>19691.5164057971</v>
      </c>
      <c r="AN174" s="15" t="n">
        <f aca="false">SUM(X161:X172)</f>
        <v>91149.8045405</v>
      </c>
      <c r="AO174" s="15" t="n">
        <f aca="false">SUM(AP161:AP172)</f>
        <v>46679.99375</v>
      </c>
      <c r="AP174" s="15" t="n">
        <f aca="false">MAX(0,AN174)*IF(2=Parametri_v3!$C$43,Parametri_v3!$C$45,IF(2=Parametri_v3!$C$44,1-Parametri_v3!$C$45,0))</f>
        <v>0</v>
      </c>
      <c r="AQ174" s="15" t="n">
        <f aca="false">MAX(0,AP174+IF(2=Parametri_v3!$C$43,MAX(0,AN174-AO174),0)-MAX(0,-(AR173)))</f>
        <v>0</v>
      </c>
      <c r="AR174" s="15" t="n">
        <f aca="false">(AR173)+X174-AQ174</f>
        <v>67068.4522472158</v>
      </c>
      <c r="AS174" s="15" t="n">
        <f aca="false">Motore_Operativo!AC174-AT174+AU174</f>
        <v>42145.6153144583</v>
      </c>
      <c r="AT174" s="15" t="n">
        <f aca="false">Motore_Operativo!CI174</f>
        <v>2218.19027970833</v>
      </c>
      <c r="AU174" s="15" t="n">
        <f aca="false">MIN(MAX(0,(AV173)+AT174),Parametri_v3!$C$61/12)</f>
        <v>0</v>
      </c>
      <c r="AV174" s="15" t="n">
        <f aca="false">(AV173)+AT174-AU174</f>
        <v>52713.2220844167</v>
      </c>
      <c r="AW174" s="15" t="n">
        <f aca="false">IF(AND(Motore_Operativo!C174=Finanziamenti!$D$7,Finanziamenti!$F$7=1),Finanziamenti!$C$7,0)</f>
        <v>0</v>
      </c>
      <c r="AX174" s="15" t="n">
        <f aca="false">0</f>
        <v>0</v>
      </c>
      <c r="AY174" s="15" t="n">
        <f aca="false">IF(2=Parametri_v3!$C$33,IF(BV174&lt;MIN(12,$B174-1),0,MIN(MAX(0,SUM(Y161:Y172))*Ipotesi!$C$94,MAX(0,(BM172)-(BO173)-BP174),MAX(0,BD174-Parametri_v3!$C$31))),0)</f>
        <v>0</v>
      </c>
      <c r="AZ174" s="15" t="n">
        <f aca="false">0</f>
        <v>0</v>
      </c>
      <c r="BA174" s="15" t="n">
        <f aca="false">0</f>
        <v>0</v>
      </c>
      <c r="BB174" s="15" t="n">
        <f aca="false">0</f>
        <v>0</v>
      </c>
      <c r="BC174" s="15" t="n">
        <f aca="false">0</f>
        <v>0</v>
      </c>
      <c r="BD174" s="15" t="n">
        <f aca="false">(BH173)+AC174-AF174-AI174-AS174-K174*(1+Parametri_v3!$C$26)-AL174-AQ174-O174+AW174+AX174+AZ174+BA174-BB174</f>
        <v>246100.013620028</v>
      </c>
      <c r="BE174" s="15" t="n">
        <f aca="false">0</f>
        <v>0</v>
      </c>
      <c r="BF174" s="15" t="n">
        <f aca="false">0</f>
        <v>0</v>
      </c>
      <c r="BG174" s="15" t="n">
        <f aca="false">0</f>
        <v>0</v>
      </c>
      <c r="BH174" s="15" t="n">
        <f aca="false">BD174+BE174-BF174-AY174</f>
        <v>246100.013620028</v>
      </c>
      <c r="BI174" s="15" t="n">
        <f aca="false">MAX(0,Parametri_v3!$C$31-BH174)</f>
        <v>0</v>
      </c>
      <c r="BJ174" s="15" t="n">
        <f aca="false">(BJ173)+K174</f>
        <v>22333.3333333333</v>
      </c>
      <c r="BK174" s="15" t="n">
        <f aca="false">(BK173)+L174</f>
        <v>12270.8333333333</v>
      </c>
      <c r="BL174" s="15" t="n">
        <f aca="false">BJ174-BK174</f>
        <v>10062.5</v>
      </c>
      <c r="BM174" s="15" t="n">
        <f aca="false">(BM173)+Y174</f>
        <v>492349.770292623</v>
      </c>
      <c r="BN174" s="15" t="n">
        <f aca="false">(BN173)+AW174+AX174+AZ174</f>
        <v>20000</v>
      </c>
      <c r="BO174" s="15" t="n">
        <f aca="false">(BO173)+AY174</f>
        <v>60315.9059027778</v>
      </c>
      <c r="BP174" s="15" t="n">
        <f aca="false">MIN(Parametri_v3!$C$36*Parametri_v3!$C$35,(BP173)+IF(2=1,MAX(0,SUM(Y161:Y172))*Parametri_v3!$C$34,0))</f>
        <v>2000</v>
      </c>
      <c r="BQ174" s="15" t="n">
        <f aca="false">BN174+BM174-BO174</f>
        <v>452033.864389845</v>
      </c>
      <c r="BR174" s="15" t="n">
        <f aca="false">BH174+AD174+BL174+MAX(0,-AM174)+MAX(0,-AR174)</f>
        <v>662780.999127275</v>
      </c>
      <c r="BS174" s="15" t="n">
        <f aca="false">AJ174+AV174+MAX(0,AM174)+MAX(0,AR174)+BC174+BG174+BQ174+AG174</f>
        <v>662780.999127275</v>
      </c>
      <c r="BT174" s="15" t="n">
        <f aca="false">BR174-BS174</f>
        <v>0</v>
      </c>
      <c r="BU174" s="15" t="n">
        <f aca="false">BH174-(BD174+BE174-BF174-AY174)</f>
        <v>0</v>
      </c>
      <c r="BV174" s="15" t="n">
        <f aca="false">IF(BH173&lt;Parametri_v3!$C$31,0,BV173+1)</f>
        <v>21</v>
      </c>
    </row>
    <row r="175" customFormat="false" ht="18" hidden="false" customHeight="true" outlineLevel="0" collapsed="false">
      <c r="A175" s="68" t="n">
        <f aca="false">3</f>
        <v>3</v>
      </c>
      <c r="B175" s="68" t="n">
        <f aca="false">51</f>
        <v>51</v>
      </c>
      <c r="C175" s="18" t="n">
        <f aca="false">Motore_Operativo!C175</f>
        <v>47908</v>
      </c>
      <c r="D175" s="68" t="n">
        <f aca="false">Motore_Operativo!D175</f>
        <v>2031</v>
      </c>
      <c r="E175" s="68" t="n">
        <f aca="false">Motore_Operativo!E175</f>
        <v>3</v>
      </c>
      <c r="F175" s="15" t="n">
        <f aca="false">Motore_Operativo!AM175</f>
        <v>121526.086956522</v>
      </c>
      <c r="G175" s="15" t="n">
        <f aca="false">Motore_Operativo!BH175</f>
        <v>12152.6086956522</v>
      </c>
      <c r="H175" s="15" t="n">
        <f aca="false">Motore_Operativo!AM175</f>
        <v>121526.086956522</v>
      </c>
      <c r="I175" s="15" t="n">
        <f aca="false">Motore_Operativo!CB175</f>
        <v>80516.3128405435</v>
      </c>
      <c r="J175" s="15" t="n">
        <f aca="false">Motore_Operativo!CD175</f>
        <v>41009.7741159783</v>
      </c>
      <c r="K175" s="15" t="n">
        <f aca="false">Motore_Operativo!CF175</f>
        <v>666.666666666667</v>
      </c>
      <c r="L175" s="15" t="n">
        <f aca="false">SUM(INDEX($K$125:$K$184,MAX(1,51-Parametri_v3!$C$59+1)):K175)/Parametri_v3!$C$59</f>
        <v>520.833333333333</v>
      </c>
      <c r="M175" s="15" t="n">
        <f aca="false">J175-L175</f>
        <v>40488.9407826449</v>
      </c>
      <c r="N175" s="15" t="n">
        <f aca="false">0</f>
        <v>0</v>
      </c>
      <c r="O175" s="15" t="n">
        <f aca="false">0</f>
        <v>0</v>
      </c>
      <c r="P175" s="15" t="n">
        <f aca="false">M175+N175-O175</f>
        <v>40488.9407826449</v>
      </c>
      <c r="Q175" s="15" t="n">
        <f aca="false">SUM(P173:P175)+Parametri_v3!$C$56*3/12</f>
        <v>121487.655681268</v>
      </c>
      <c r="R175" s="15" t="n">
        <f aca="false">Z172</f>
        <v>0</v>
      </c>
      <c r="S175" s="15" t="n">
        <f aca="false">AA172</f>
        <v>0</v>
      </c>
      <c r="T175" s="15" t="n">
        <f aca="false">MIN(R175,MAX(0,Q175))</f>
        <v>0</v>
      </c>
      <c r="U175" s="15" t="n">
        <f aca="false">MIN(S175,MAX(0,Q175-T175)*Parametri_v3!$C$42)</f>
        <v>0</v>
      </c>
      <c r="V175" s="15" t="n">
        <f aca="false">MAX(0,Q175-T175-U175)*Ipotesi!$C$92</f>
        <v>29157.0373635044</v>
      </c>
      <c r="W175" s="15" t="n">
        <f aca="false">MAX(0,SUM(M173:M175)+Parametri_v3!$C$57*3/12)*Ipotesi!$C$93</f>
        <v>4738.01857156946</v>
      </c>
      <c r="X175" s="15" t="n">
        <f aca="false">V175+W175-(V174+W174)</f>
        <v>11296.4144783579</v>
      </c>
      <c r="Y175" s="15" t="n">
        <f aca="false">P175-X175</f>
        <v>29192.526304287</v>
      </c>
      <c r="Z175" s="15" t="n">
        <f aca="false">R175-T175+IF(AND(Parametri_v3!$C$40=1,D175-YEAR(Parametri_v3!$C$50)&lt;Parametri_v3!$C$41),MAX(0,-Q175),0)</f>
        <v>0</v>
      </c>
      <c r="AA175" s="15" t="n">
        <f aca="false">S175-U175+IF(AND(Parametri_v3!$C$40=1,D175-YEAR(Parametri_v3!$C$50)&lt;Parametri_v3!$C$41),0,MAX(0,-Q175))</f>
        <v>0</v>
      </c>
      <c r="AB175" s="15" t="n">
        <f aca="false">F175*(1+Parametri_v3!$C$26)</f>
        <v>148261.826086957</v>
      </c>
      <c r="AC175" s="15" t="n">
        <f aca="false">(IF(51-(INT((Motore_Operativo!L175)/30))&lt;1,0,INDEX(Motore_Advisory!$AB$125:$AB$184,MAX(1,51-(INT((Motore_Operativo!L175)/30)))))*(1-(MOD((Motore_Operativo!L175),30)/30))+IF(51-(INT((Motore_Operativo!L175)/30))-1&lt;1,0,INDEX(Motore_Advisory!$AB$125:$AB$184,MAX(1,51-(INT((Motore_Operativo!L175)/30))-1)))*(MOD((Motore_Operativo!L175),30)/30))</f>
        <v>110094.833333333</v>
      </c>
      <c r="AD175" s="15" t="n">
        <f aca="false">(AD174)+AB175-AC175</f>
        <v>444785.478260869</v>
      </c>
      <c r="AE175" s="15" t="n">
        <f aca="false">Motore_Operativo!BH175*(1+Parametri_v3!$C$26)</f>
        <v>14826.1826086957</v>
      </c>
      <c r="AF175" s="15" t="n">
        <f aca="false">(IF(51-(INT((Parametri_v3!$C$29)/30))&lt;1,0,INDEX(Motore_Operativo!$BH$125:$BH$184,MAX(1,51-(INT((Parametri_v3!$C$29)/30)))))*(1-(MOD((Parametri_v3!$C$29),30)/30))+IF(51-(INT((Parametri_v3!$C$29)/30))-1&lt;1,0,INDEX(Motore_Operativo!$BH$125:$BH$184,MAX(1,51-(INT((Parametri_v3!$C$29)/30))-1)))*(MOD((Parametri_v3!$C$29),30)/30))*(1+Parametri_v3!$C$26)</f>
        <v>14826.1826086957</v>
      </c>
      <c r="AG175" s="15" t="n">
        <f aca="false">(AG174)+AE175-AF175</f>
        <v>14826.1826086956</v>
      </c>
      <c r="AH175" s="15" t="n">
        <f aca="false">(Motore_Operativo!CK175)*(1+Parametri_v3!$C$28*Parametri_v3!$C$26)</f>
        <v>28223.8806956521</v>
      </c>
      <c r="AI175" s="15" t="n">
        <f aca="false">(IF(51-(INT((Ipotesi!$C$91)/30))&lt;1,0,INDEX(Motore_Advisory!$AH$125:$AH$184,MAX(1,51-(INT((Ipotesi!$C$91)/30)))))*(1-(MOD((Ipotesi!$C$91),30)/30))+IF(51-(INT((Ipotesi!$C$91)/30))-1&lt;1,0,INDEX(Motore_Advisory!$AH$125:$AH$184,MAX(1,51-(INT((Ipotesi!$C$91)/30))-1)))*(MOD((Ipotesi!$C$91),30)/30))</f>
        <v>28223.8806956521</v>
      </c>
      <c r="AJ175" s="15" t="n">
        <f aca="false">(AJ174)+AH175-AI175</f>
        <v>56447.7613913043</v>
      </c>
      <c r="AK175" s="15" t="n">
        <f aca="false">(F175- Motore_Operativo!BH175-(Motore_Operativo!CK175)*Parametri_v3!$C$28-Motore_Operativo!CF175)*Parametri_v3!$C$26</f>
        <v>19691.5164057971</v>
      </c>
      <c r="AL175" s="15" t="n">
        <f aca="false">MAX(0,(AM174))</f>
        <v>19691.5164057971</v>
      </c>
      <c r="AM175" s="15" t="n">
        <f aca="false">(AM174)+AK175-AL175</f>
        <v>19691.5164057971</v>
      </c>
      <c r="AN175" s="15" t="n">
        <f aca="false">SUM(X161:X172)</f>
        <v>91149.8045405</v>
      </c>
      <c r="AO175" s="15" t="n">
        <f aca="false">SUM(AP161:AP172)</f>
        <v>46679.99375</v>
      </c>
      <c r="AP175" s="15" t="n">
        <f aca="false">MAX(0,AN175)*IF(3=Parametri_v3!$C$43,Parametri_v3!$C$45,IF(3=Parametri_v3!$C$44,1-Parametri_v3!$C$45,0))</f>
        <v>0</v>
      </c>
      <c r="AQ175" s="15" t="n">
        <f aca="false">MAX(0,AP175+IF(3=Parametri_v3!$C$43,MAX(0,AN175-AO175),0)-MAX(0,-(AR174)))</f>
        <v>0</v>
      </c>
      <c r="AR175" s="15" t="n">
        <f aca="false">(AR174)+X175-AQ175</f>
        <v>78364.8667255738</v>
      </c>
      <c r="AS175" s="15" t="n">
        <f aca="false">Motore_Operativo!AC175-AT175+AU175</f>
        <v>42145.6153144583</v>
      </c>
      <c r="AT175" s="15" t="n">
        <f aca="false">Motore_Operativo!CI175</f>
        <v>2218.19027970833</v>
      </c>
      <c r="AU175" s="15" t="n">
        <f aca="false">MIN(MAX(0,(AV174)+AT175),Parametri_v3!$C$61/12)</f>
        <v>0</v>
      </c>
      <c r="AV175" s="15" t="n">
        <f aca="false">(AV174)+AT175-AU175</f>
        <v>54931.412364125</v>
      </c>
      <c r="AW175" s="15" t="n">
        <f aca="false">IF(AND(Motore_Operativo!C175=Finanziamenti!$D$7,Finanziamenti!$F$7=1),Finanziamenti!$C$7,0)</f>
        <v>0</v>
      </c>
      <c r="AX175" s="15" t="n">
        <f aca="false">0</f>
        <v>0</v>
      </c>
      <c r="AY175" s="15" t="n">
        <f aca="false">IF(3=Parametri_v3!$C$33,IF(BV175&lt;MIN(12,$B175-1),0,MIN(MAX(0,SUM(Y161:Y172))*Ipotesi!$C$94,MAX(0,(BM172)-(BO174)-BP175),MAX(0,BD175-Parametri_v3!$C$31))),0)</f>
        <v>0</v>
      </c>
      <c r="AZ175" s="15" t="n">
        <f aca="false">0</f>
        <v>0</v>
      </c>
      <c r="BA175" s="15" t="n">
        <f aca="false">0</f>
        <v>0</v>
      </c>
      <c r="BB175" s="15" t="n">
        <f aca="false">0</f>
        <v>0</v>
      </c>
      <c r="BC175" s="15" t="n">
        <f aca="false">0</f>
        <v>0</v>
      </c>
      <c r="BD175" s="15" t="n">
        <f aca="false">(BH174)+AC175-AF175-AI175-AS175-K175*(1+Parametri_v3!$C$26)-AL175-AQ175-O175+AW175+AX175+AZ175+BA175-BB175</f>
        <v>250494.318595425</v>
      </c>
      <c r="BE175" s="15" t="n">
        <f aca="false">0</f>
        <v>0</v>
      </c>
      <c r="BF175" s="15" t="n">
        <f aca="false">0</f>
        <v>0</v>
      </c>
      <c r="BG175" s="15" t="n">
        <f aca="false">0</f>
        <v>0</v>
      </c>
      <c r="BH175" s="15" t="n">
        <f aca="false">BD175+BE175-BF175-AY175</f>
        <v>250494.318595425</v>
      </c>
      <c r="BI175" s="15" t="n">
        <f aca="false">MAX(0,Parametri_v3!$C$31-BH175)</f>
        <v>0</v>
      </c>
      <c r="BJ175" s="15" t="n">
        <f aca="false">(BJ174)+K175</f>
        <v>23000</v>
      </c>
      <c r="BK175" s="15" t="n">
        <f aca="false">(BK174)+L175</f>
        <v>12791.6666666667</v>
      </c>
      <c r="BL175" s="15" t="n">
        <f aca="false">BJ175-BK175</f>
        <v>10208.3333333333</v>
      </c>
      <c r="BM175" s="15" t="n">
        <f aca="false">(BM174)+Y175</f>
        <v>521542.29659691</v>
      </c>
      <c r="BN175" s="15" t="n">
        <f aca="false">(BN174)+AW175+AX175+AZ175</f>
        <v>20000</v>
      </c>
      <c r="BO175" s="15" t="n">
        <f aca="false">(BO174)+AY175</f>
        <v>60315.9059027778</v>
      </c>
      <c r="BP175" s="15" t="n">
        <f aca="false">MIN(Parametri_v3!$C$36*Parametri_v3!$C$35,(BP174)+IF(3=1,MAX(0,SUM(Y161:Y172))*Parametri_v3!$C$34,0))</f>
        <v>2000</v>
      </c>
      <c r="BQ175" s="15" t="n">
        <f aca="false">BN175+BM175-BO175</f>
        <v>481226.390694132</v>
      </c>
      <c r="BR175" s="15" t="n">
        <f aca="false">BH175+AD175+BL175+MAX(0,-AM175)+MAX(0,-AR175)</f>
        <v>705488.130189628</v>
      </c>
      <c r="BS175" s="15" t="n">
        <f aca="false">AJ175+AV175+MAX(0,AM175)+MAX(0,AR175)+BC175+BG175+BQ175+AG175</f>
        <v>705488.130189628</v>
      </c>
      <c r="BT175" s="15" t="n">
        <f aca="false">BR175-BS175</f>
        <v>0</v>
      </c>
      <c r="BU175" s="15" t="n">
        <f aca="false">BH175-(BD175+BE175-BF175-AY175)</f>
        <v>0</v>
      </c>
      <c r="BV175" s="15" t="n">
        <f aca="false">IF(BH174&lt;Parametri_v3!$C$31,0,BV174+1)</f>
        <v>22</v>
      </c>
    </row>
    <row r="176" customFormat="false" ht="18" hidden="false" customHeight="true" outlineLevel="0" collapsed="false">
      <c r="A176" s="68" t="n">
        <f aca="false">3</f>
        <v>3</v>
      </c>
      <c r="B176" s="68" t="n">
        <f aca="false">52</f>
        <v>52</v>
      </c>
      <c r="C176" s="18" t="n">
        <f aca="false">Motore_Operativo!C176</f>
        <v>47939</v>
      </c>
      <c r="D176" s="68" t="n">
        <f aca="false">Motore_Operativo!D176</f>
        <v>2031</v>
      </c>
      <c r="E176" s="68" t="n">
        <f aca="false">Motore_Operativo!E176</f>
        <v>4</v>
      </c>
      <c r="F176" s="15" t="n">
        <f aca="false">Motore_Operativo!AM176</f>
        <v>121526.086956522</v>
      </c>
      <c r="G176" s="15" t="n">
        <f aca="false">Motore_Operativo!BH176</f>
        <v>12152.6086956522</v>
      </c>
      <c r="H176" s="15" t="n">
        <f aca="false">Motore_Operativo!AM176</f>
        <v>121526.086956522</v>
      </c>
      <c r="I176" s="15" t="n">
        <f aca="false">Motore_Operativo!CB176</f>
        <v>80516.3128405435</v>
      </c>
      <c r="J176" s="15" t="n">
        <f aca="false">Motore_Operativo!CD176</f>
        <v>41009.7741159783</v>
      </c>
      <c r="K176" s="15" t="n">
        <f aca="false">Motore_Operativo!CF176</f>
        <v>666.666666666667</v>
      </c>
      <c r="L176" s="15" t="n">
        <f aca="false">SUM(INDEX($K$125:$K$184,MAX(1,52-Parametri_v3!$C$59+1)):K176)/Parametri_v3!$C$59</f>
        <v>527.777777777778</v>
      </c>
      <c r="M176" s="15" t="n">
        <f aca="false">J176-L176</f>
        <v>40481.9963382005</v>
      </c>
      <c r="N176" s="15" t="n">
        <f aca="false">0</f>
        <v>0</v>
      </c>
      <c r="O176" s="15" t="n">
        <f aca="false">0</f>
        <v>0</v>
      </c>
      <c r="P176" s="15" t="n">
        <f aca="false">M176+N176-O176</f>
        <v>40481.9963382005</v>
      </c>
      <c r="Q176" s="15" t="n">
        <f aca="false">SUM(P173:P176)+Parametri_v3!$C$56*4/12</f>
        <v>161969.652019469</v>
      </c>
      <c r="R176" s="15" t="n">
        <f aca="false">Z172</f>
        <v>0</v>
      </c>
      <c r="S176" s="15" t="n">
        <f aca="false">AA172</f>
        <v>0</v>
      </c>
      <c r="T176" s="15" t="n">
        <f aca="false">MIN(R176,MAX(0,Q176))</f>
        <v>0</v>
      </c>
      <c r="U176" s="15" t="n">
        <f aca="false">MIN(S176,MAX(0,Q176-T176)*Parametri_v3!$C$42)</f>
        <v>0</v>
      </c>
      <c r="V176" s="15" t="n">
        <f aca="false">MAX(0,Q176-T176-U176)*Ipotesi!$C$92</f>
        <v>38872.7164846725</v>
      </c>
      <c r="W176" s="15" t="n">
        <f aca="false">MAX(0,SUM(M173:M176)+Parametri_v3!$C$57*4/12)*Ipotesi!$C$93</f>
        <v>6316.81642875928</v>
      </c>
      <c r="X176" s="15" t="n">
        <f aca="false">V176+W176-(V175+W175)</f>
        <v>11294.476978358</v>
      </c>
      <c r="Y176" s="15" t="n">
        <f aca="false">P176-X176</f>
        <v>29187.5193598425</v>
      </c>
      <c r="Z176" s="15" t="n">
        <f aca="false">R176-T176+IF(AND(Parametri_v3!$C$40=1,D176-YEAR(Parametri_v3!$C$50)&lt;Parametri_v3!$C$41),MAX(0,-Q176),0)</f>
        <v>0</v>
      </c>
      <c r="AA176" s="15" t="n">
        <f aca="false">S176-U176+IF(AND(Parametri_v3!$C$40=1,D176-YEAR(Parametri_v3!$C$50)&lt;Parametri_v3!$C$41),0,MAX(0,-Q176))</f>
        <v>0</v>
      </c>
      <c r="AB176" s="15" t="n">
        <f aca="false">F176*(1+Parametri_v3!$C$26)</f>
        <v>148261.826086957</v>
      </c>
      <c r="AC176" s="15" t="n">
        <f aca="false">(IF(52-(INT((Motore_Operativo!L176)/30))&lt;1,0,INDEX(Motore_Advisory!$AB$125:$AB$184,MAX(1,52-(INT((Motore_Operativo!L176)/30)))))*(1-(MOD((Motore_Operativo!L176),30)/30))+IF(52-(INT((Motore_Operativo!L176)/30))-1&lt;1,0,INDEX(Motore_Advisory!$AB$125:$AB$184,MAX(1,52-(INT((Motore_Operativo!L176)/30))-1)))*(MOD((Motore_Operativo!L176),30)/30))</f>
        <v>148261.826086957</v>
      </c>
      <c r="AD176" s="15" t="n">
        <f aca="false">(AD175)+AB176-AC176</f>
        <v>444785.478260869</v>
      </c>
      <c r="AE176" s="15" t="n">
        <f aca="false">Motore_Operativo!BH176*(1+Parametri_v3!$C$26)</f>
        <v>14826.1826086957</v>
      </c>
      <c r="AF176" s="15" t="n">
        <f aca="false">(IF(52-(INT((Parametri_v3!$C$29)/30))&lt;1,0,INDEX(Motore_Operativo!$BH$125:$BH$184,MAX(1,52-(INT((Parametri_v3!$C$29)/30)))))*(1-(MOD((Parametri_v3!$C$29),30)/30))+IF(52-(INT((Parametri_v3!$C$29)/30))-1&lt;1,0,INDEX(Motore_Operativo!$BH$125:$BH$184,MAX(1,52-(INT((Parametri_v3!$C$29)/30))-1)))*(MOD((Parametri_v3!$C$29),30)/30))*(1+Parametri_v3!$C$26)</f>
        <v>14826.1826086957</v>
      </c>
      <c r="AG176" s="15" t="n">
        <f aca="false">(AG175)+AE176-AF176</f>
        <v>14826.1826086956</v>
      </c>
      <c r="AH176" s="15" t="n">
        <f aca="false">(Motore_Operativo!CK176)*(1+Parametri_v3!$C$28*Parametri_v3!$C$26)</f>
        <v>28223.8806956521</v>
      </c>
      <c r="AI176" s="15" t="n">
        <f aca="false">(IF(52-(INT((Ipotesi!$C$91)/30))&lt;1,0,INDEX(Motore_Advisory!$AH$125:$AH$184,MAX(1,52-(INT((Ipotesi!$C$91)/30)))))*(1-(MOD((Ipotesi!$C$91),30)/30))+IF(52-(INT((Ipotesi!$C$91)/30))-1&lt;1,0,INDEX(Motore_Advisory!$AH$125:$AH$184,MAX(1,52-(INT((Ipotesi!$C$91)/30))-1)))*(MOD((Ipotesi!$C$91),30)/30))</f>
        <v>28223.8806956521</v>
      </c>
      <c r="AJ176" s="15" t="n">
        <f aca="false">(AJ175)+AH176-AI176</f>
        <v>56447.7613913043</v>
      </c>
      <c r="AK176" s="15" t="n">
        <f aca="false">(F176- Motore_Operativo!BH176-(Motore_Operativo!CK176)*Parametri_v3!$C$28-Motore_Operativo!CF176)*Parametri_v3!$C$26</f>
        <v>19691.5164057971</v>
      </c>
      <c r="AL176" s="15" t="n">
        <f aca="false">MAX(0,(AM175))</f>
        <v>19691.5164057971</v>
      </c>
      <c r="AM176" s="15" t="n">
        <f aca="false">(AM175)+AK176-AL176</f>
        <v>19691.5164057971</v>
      </c>
      <c r="AN176" s="15" t="n">
        <f aca="false">SUM(X161:X172)</f>
        <v>91149.8045405</v>
      </c>
      <c r="AO176" s="15" t="n">
        <f aca="false">SUM(AP161:AP172)</f>
        <v>46679.99375</v>
      </c>
      <c r="AP176" s="15" t="n">
        <f aca="false">MAX(0,AN176)*IF(4=Parametri_v3!$C$43,Parametri_v3!$C$45,IF(4=Parametri_v3!$C$44,1-Parametri_v3!$C$45,0))</f>
        <v>0</v>
      </c>
      <c r="AQ176" s="15" t="n">
        <f aca="false">MAX(0,AP176+IF(4=Parametri_v3!$C$43,MAX(0,AN176-AO176),0)-MAX(0,-(AR175)))</f>
        <v>0</v>
      </c>
      <c r="AR176" s="15" t="n">
        <f aca="false">(AR175)+X176-AQ176</f>
        <v>89659.3437039317</v>
      </c>
      <c r="AS176" s="15" t="n">
        <f aca="false">Motore_Operativo!AC176-AT176+AU176</f>
        <v>42145.6153144583</v>
      </c>
      <c r="AT176" s="15" t="n">
        <f aca="false">Motore_Operativo!CI176</f>
        <v>2218.19027970833</v>
      </c>
      <c r="AU176" s="15" t="n">
        <f aca="false">MIN(MAX(0,(AV175)+AT176),Parametri_v3!$C$61/12)</f>
        <v>0</v>
      </c>
      <c r="AV176" s="15" t="n">
        <f aca="false">(AV175)+AT176-AU176</f>
        <v>57149.6026438333</v>
      </c>
      <c r="AW176" s="15" t="n">
        <f aca="false">IF(AND(Motore_Operativo!C176=Finanziamenti!$D$7,Finanziamenti!$F$7=1),Finanziamenti!$C$7,0)</f>
        <v>0</v>
      </c>
      <c r="AX176" s="15" t="n">
        <f aca="false">0</f>
        <v>0</v>
      </c>
      <c r="AY176" s="15" t="n">
        <f aca="false">IF(4=Parametri_v3!$C$33,IF(BV176&lt;MIN(12,$B176-1),0,MIN(MAX(0,SUM(Y161:Y172))*Ipotesi!$C$94,MAX(0,(BM172)-(BO175)-BP176),MAX(0,BD176-Parametri_v3!$C$31))),0)</f>
        <v>0</v>
      </c>
      <c r="AZ176" s="15" t="n">
        <f aca="false">0</f>
        <v>0</v>
      </c>
      <c r="BA176" s="15" t="n">
        <f aca="false">0</f>
        <v>0</v>
      </c>
      <c r="BB176" s="15" t="n">
        <f aca="false">0</f>
        <v>0</v>
      </c>
      <c r="BC176" s="15" t="n">
        <f aca="false">0</f>
        <v>0</v>
      </c>
      <c r="BD176" s="15" t="n">
        <f aca="false">(BH175)+AC176-AF176-AI176-AS176-K176*(1+Parametri_v3!$C$26)-AL176-AQ176-O176+AW176+AX176+AZ176+BA176-BB176</f>
        <v>293055.616324445</v>
      </c>
      <c r="BE176" s="15" t="n">
        <f aca="false">0</f>
        <v>0</v>
      </c>
      <c r="BF176" s="15" t="n">
        <f aca="false">0</f>
        <v>0</v>
      </c>
      <c r="BG176" s="15" t="n">
        <f aca="false">0</f>
        <v>0</v>
      </c>
      <c r="BH176" s="15" t="n">
        <f aca="false">BD176+BE176-BF176-AY176</f>
        <v>293055.616324445</v>
      </c>
      <c r="BI176" s="15" t="n">
        <f aca="false">MAX(0,Parametri_v3!$C$31-BH176)</f>
        <v>0</v>
      </c>
      <c r="BJ176" s="15" t="n">
        <f aca="false">(BJ175)+K176</f>
        <v>23666.6666666667</v>
      </c>
      <c r="BK176" s="15" t="n">
        <f aca="false">(BK175)+L176</f>
        <v>13319.4444444444</v>
      </c>
      <c r="BL176" s="15" t="n">
        <f aca="false">BJ176-BK176</f>
        <v>10347.2222222222</v>
      </c>
      <c r="BM176" s="15" t="n">
        <f aca="false">(BM175)+Y176</f>
        <v>550729.815956753</v>
      </c>
      <c r="BN176" s="15" t="n">
        <f aca="false">(BN175)+AW176+AX176+AZ176</f>
        <v>20000</v>
      </c>
      <c r="BO176" s="15" t="n">
        <f aca="false">(BO175)+AY176</f>
        <v>60315.9059027778</v>
      </c>
      <c r="BP176" s="15" t="n">
        <f aca="false">MIN(Parametri_v3!$C$36*Parametri_v3!$C$35,(BP175)+IF(4=1,MAX(0,SUM(Y161:Y172))*Parametri_v3!$C$34,0))</f>
        <v>2000</v>
      </c>
      <c r="BQ176" s="15" t="n">
        <f aca="false">BN176+BM176-BO176</f>
        <v>510413.910053975</v>
      </c>
      <c r="BR176" s="15" t="n">
        <f aca="false">BH176+AD176+BL176+MAX(0,-AM176)+MAX(0,-AR176)</f>
        <v>748188.316807537</v>
      </c>
      <c r="BS176" s="15" t="n">
        <f aca="false">AJ176+AV176+MAX(0,AM176)+MAX(0,AR176)+BC176+BG176+BQ176+AG176</f>
        <v>748188.316807537</v>
      </c>
      <c r="BT176" s="15" t="n">
        <f aca="false">BR176-BS176</f>
        <v>0</v>
      </c>
      <c r="BU176" s="15" t="n">
        <f aca="false">BH176-(BD176+BE176-BF176-AY176)</f>
        <v>0</v>
      </c>
      <c r="BV176" s="15" t="n">
        <f aca="false">IF(BH175&lt;Parametri_v3!$C$31,0,BV175+1)</f>
        <v>23</v>
      </c>
    </row>
    <row r="177" customFormat="false" ht="18" hidden="false" customHeight="true" outlineLevel="0" collapsed="false">
      <c r="A177" s="68" t="n">
        <f aca="false">3</f>
        <v>3</v>
      </c>
      <c r="B177" s="68" t="n">
        <f aca="false">53</f>
        <v>53</v>
      </c>
      <c r="C177" s="18" t="n">
        <f aca="false">Motore_Operativo!C177</f>
        <v>47969</v>
      </c>
      <c r="D177" s="68" t="n">
        <f aca="false">Motore_Operativo!D177</f>
        <v>2031</v>
      </c>
      <c r="E177" s="68" t="n">
        <f aca="false">Motore_Operativo!E177</f>
        <v>5</v>
      </c>
      <c r="F177" s="15" t="n">
        <f aca="false">Motore_Operativo!AM177</f>
        <v>121526.086956522</v>
      </c>
      <c r="G177" s="15" t="n">
        <f aca="false">Motore_Operativo!BH177</f>
        <v>12152.6086956522</v>
      </c>
      <c r="H177" s="15" t="n">
        <f aca="false">Motore_Operativo!AM177</f>
        <v>121526.086956522</v>
      </c>
      <c r="I177" s="15" t="n">
        <f aca="false">Motore_Operativo!CB177</f>
        <v>80516.3128405435</v>
      </c>
      <c r="J177" s="15" t="n">
        <f aca="false">Motore_Operativo!CD177</f>
        <v>41009.7741159783</v>
      </c>
      <c r="K177" s="15" t="n">
        <f aca="false">Motore_Operativo!CF177</f>
        <v>666.666666666667</v>
      </c>
      <c r="L177" s="15" t="n">
        <f aca="false">SUM(INDEX($K$125:$K$184,MAX(1,53-Parametri_v3!$C$59+1)):K177)/Parametri_v3!$C$59</f>
        <v>534.722222222222</v>
      </c>
      <c r="M177" s="15" t="n">
        <f aca="false">J177-L177</f>
        <v>40475.0518937561</v>
      </c>
      <c r="N177" s="15" t="n">
        <f aca="false">0</f>
        <v>0</v>
      </c>
      <c r="O177" s="15" t="n">
        <f aca="false">0</f>
        <v>0</v>
      </c>
      <c r="P177" s="15" t="n">
        <f aca="false">M177+N177-O177</f>
        <v>40475.0518937561</v>
      </c>
      <c r="Q177" s="15" t="n">
        <f aca="false">SUM(P173:P177)+Parametri_v3!$C$56*5/12</f>
        <v>202444.703913225</v>
      </c>
      <c r="R177" s="15" t="n">
        <f aca="false">Z172</f>
        <v>0</v>
      </c>
      <c r="S177" s="15" t="n">
        <f aca="false">AA172</f>
        <v>0</v>
      </c>
      <c r="T177" s="15" t="n">
        <f aca="false">MIN(R177,MAX(0,Q177))</f>
        <v>0</v>
      </c>
      <c r="U177" s="15" t="n">
        <f aca="false">MIN(S177,MAX(0,Q177-T177)*Parametri_v3!$C$42)</f>
        <v>0</v>
      </c>
      <c r="V177" s="15" t="n">
        <f aca="false">MAX(0,Q177-T177-U177)*Ipotesi!$C$92</f>
        <v>48586.7289391739</v>
      </c>
      <c r="W177" s="15" t="n">
        <f aca="false">MAX(0,SUM(M173:M177)+Parametri_v3!$C$57*5/12)*Ipotesi!$C$93</f>
        <v>7895.34345261576</v>
      </c>
      <c r="X177" s="15" t="n">
        <f aca="false">V177+W177-(V176+W176)</f>
        <v>11292.5394783579</v>
      </c>
      <c r="Y177" s="15" t="n">
        <f aca="false">P177-X177</f>
        <v>29182.5124153981</v>
      </c>
      <c r="Z177" s="15" t="n">
        <f aca="false">R177-T177+IF(AND(Parametri_v3!$C$40=1,D177-YEAR(Parametri_v3!$C$50)&lt;Parametri_v3!$C$41),MAX(0,-Q177),0)</f>
        <v>0</v>
      </c>
      <c r="AA177" s="15" t="n">
        <f aca="false">S177-U177+IF(AND(Parametri_v3!$C$40=1,D177-YEAR(Parametri_v3!$C$50)&lt;Parametri_v3!$C$41),0,MAX(0,-Q177))</f>
        <v>0</v>
      </c>
      <c r="AB177" s="15" t="n">
        <f aca="false">F177*(1+Parametri_v3!$C$26)</f>
        <v>148261.826086957</v>
      </c>
      <c r="AC177" s="15" t="n">
        <f aca="false">(IF(53-(INT((Motore_Operativo!L177)/30))&lt;1,0,INDEX(Motore_Advisory!$AB$125:$AB$184,MAX(1,53-(INT((Motore_Operativo!L177)/30)))))*(1-(MOD((Motore_Operativo!L177),30)/30))+IF(53-(INT((Motore_Operativo!L177)/30))-1&lt;1,0,INDEX(Motore_Advisory!$AB$125:$AB$184,MAX(1,53-(INT((Motore_Operativo!L177)/30))-1)))*(MOD((Motore_Operativo!L177),30)/30))</f>
        <v>148261.826086957</v>
      </c>
      <c r="AD177" s="15" t="n">
        <f aca="false">(AD176)+AB177-AC177</f>
        <v>444785.478260869</v>
      </c>
      <c r="AE177" s="15" t="n">
        <f aca="false">Motore_Operativo!BH177*(1+Parametri_v3!$C$26)</f>
        <v>14826.1826086957</v>
      </c>
      <c r="AF177" s="15" t="n">
        <f aca="false">(IF(53-(INT((Parametri_v3!$C$29)/30))&lt;1,0,INDEX(Motore_Operativo!$BH$125:$BH$184,MAX(1,53-(INT((Parametri_v3!$C$29)/30)))))*(1-(MOD((Parametri_v3!$C$29),30)/30))+IF(53-(INT((Parametri_v3!$C$29)/30))-1&lt;1,0,INDEX(Motore_Operativo!$BH$125:$BH$184,MAX(1,53-(INT((Parametri_v3!$C$29)/30))-1)))*(MOD((Parametri_v3!$C$29),30)/30))*(1+Parametri_v3!$C$26)</f>
        <v>14826.1826086957</v>
      </c>
      <c r="AG177" s="15" t="n">
        <f aca="false">(AG176)+AE177-AF177</f>
        <v>14826.1826086956</v>
      </c>
      <c r="AH177" s="15" t="n">
        <f aca="false">(Motore_Operativo!CK177)*(1+Parametri_v3!$C$28*Parametri_v3!$C$26)</f>
        <v>28223.8806956521</v>
      </c>
      <c r="AI177" s="15" t="n">
        <f aca="false">(IF(53-(INT((Ipotesi!$C$91)/30))&lt;1,0,INDEX(Motore_Advisory!$AH$125:$AH$184,MAX(1,53-(INT((Ipotesi!$C$91)/30)))))*(1-(MOD((Ipotesi!$C$91),30)/30))+IF(53-(INT((Ipotesi!$C$91)/30))-1&lt;1,0,INDEX(Motore_Advisory!$AH$125:$AH$184,MAX(1,53-(INT((Ipotesi!$C$91)/30))-1)))*(MOD((Ipotesi!$C$91),30)/30))</f>
        <v>28223.8806956521</v>
      </c>
      <c r="AJ177" s="15" t="n">
        <f aca="false">(AJ176)+AH177-AI177</f>
        <v>56447.7613913043</v>
      </c>
      <c r="AK177" s="15" t="n">
        <f aca="false">(F177- Motore_Operativo!BH177-(Motore_Operativo!CK177)*Parametri_v3!$C$28-Motore_Operativo!CF177)*Parametri_v3!$C$26</f>
        <v>19691.5164057971</v>
      </c>
      <c r="AL177" s="15" t="n">
        <f aca="false">MAX(0,(AM176))</f>
        <v>19691.5164057971</v>
      </c>
      <c r="AM177" s="15" t="n">
        <f aca="false">(AM176)+AK177-AL177</f>
        <v>19691.5164057971</v>
      </c>
      <c r="AN177" s="15" t="n">
        <f aca="false">SUM(X161:X172)</f>
        <v>91149.8045405</v>
      </c>
      <c r="AO177" s="15" t="n">
        <f aca="false">SUM(AP161:AP172)</f>
        <v>46679.99375</v>
      </c>
      <c r="AP177" s="15" t="n">
        <f aca="false">MAX(0,AN177)*IF(5=Parametri_v3!$C$43,Parametri_v3!$C$45,IF(5=Parametri_v3!$C$44,1-Parametri_v3!$C$45,0))</f>
        <v>0</v>
      </c>
      <c r="AQ177" s="15" t="n">
        <f aca="false">MAX(0,AP177+IF(5=Parametri_v3!$C$43,MAX(0,AN177-AO177),0)-MAX(0,-(AR176)))</f>
        <v>0</v>
      </c>
      <c r="AR177" s="15" t="n">
        <f aca="false">(AR176)+X177-AQ177</f>
        <v>100951.88318229</v>
      </c>
      <c r="AS177" s="15" t="n">
        <f aca="false">Motore_Operativo!AC177-AT177+AU177</f>
        <v>42145.6153144583</v>
      </c>
      <c r="AT177" s="15" t="n">
        <f aca="false">Motore_Operativo!CI177</f>
        <v>2218.19027970833</v>
      </c>
      <c r="AU177" s="15" t="n">
        <f aca="false">MIN(MAX(0,(AV176)+AT177),Parametri_v3!$C$61/12)</f>
        <v>0</v>
      </c>
      <c r="AV177" s="15" t="n">
        <f aca="false">(AV176)+AT177-AU177</f>
        <v>59367.7929235417</v>
      </c>
      <c r="AW177" s="15" t="n">
        <f aca="false">IF(AND(Motore_Operativo!C177=Finanziamenti!$D$7,Finanziamenti!$F$7=1),Finanziamenti!$C$7,0)</f>
        <v>0</v>
      </c>
      <c r="AX177" s="15" t="n">
        <f aca="false">0</f>
        <v>0</v>
      </c>
      <c r="AY177" s="15" t="n">
        <f aca="false">IF(5=Parametri_v3!$C$33,IF(BV177&lt;MIN(12,$B177-1),0,MIN(MAX(0,SUM(Y161:Y172))*Ipotesi!$C$94,MAX(0,(BM172)-(BO176)-BP177),MAX(0,BD177-Parametri_v3!$C$31))),0)</f>
        <v>0</v>
      </c>
      <c r="AZ177" s="15" t="n">
        <f aca="false">0</f>
        <v>0</v>
      </c>
      <c r="BA177" s="15" t="n">
        <f aca="false">0</f>
        <v>0</v>
      </c>
      <c r="BB177" s="15" t="n">
        <f aca="false">0</f>
        <v>0</v>
      </c>
      <c r="BC177" s="15" t="n">
        <f aca="false">0</f>
        <v>0</v>
      </c>
      <c r="BD177" s="15" t="n">
        <f aca="false">(BH176)+AC177-AF177-AI177-AS177-K177*(1+Parametri_v3!$C$26)-AL177-AQ177-O177+AW177+AX177+AZ177+BA177-BB177</f>
        <v>335616.914053465</v>
      </c>
      <c r="BE177" s="15" t="n">
        <f aca="false">0</f>
        <v>0</v>
      </c>
      <c r="BF177" s="15" t="n">
        <f aca="false">0</f>
        <v>0</v>
      </c>
      <c r="BG177" s="15" t="n">
        <f aca="false">0</f>
        <v>0</v>
      </c>
      <c r="BH177" s="15" t="n">
        <f aca="false">BD177+BE177-BF177-AY177</f>
        <v>335616.914053465</v>
      </c>
      <c r="BI177" s="15" t="n">
        <f aca="false">MAX(0,Parametri_v3!$C$31-BH177)</f>
        <v>0</v>
      </c>
      <c r="BJ177" s="15" t="n">
        <f aca="false">(BJ176)+K177</f>
        <v>24333.3333333333</v>
      </c>
      <c r="BK177" s="15" t="n">
        <f aca="false">(BK176)+L177</f>
        <v>13854.1666666667</v>
      </c>
      <c r="BL177" s="15" t="n">
        <f aca="false">BJ177-BK177</f>
        <v>10479.1666666667</v>
      </c>
      <c r="BM177" s="15" t="n">
        <f aca="false">(BM176)+Y177</f>
        <v>579912.328372151</v>
      </c>
      <c r="BN177" s="15" t="n">
        <f aca="false">(BN176)+AW177+AX177+AZ177</f>
        <v>20000</v>
      </c>
      <c r="BO177" s="15" t="n">
        <f aca="false">(BO176)+AY177</f>
        <v>60315.9059027778</v>
      </c>
      <c r="BP177" s="15" t="n">
        <f aca="false">MIN(Parametri_v3!$C$36*Parametri_v3!$C$35,(BP176)+IF(5=1,MAX(0,SUM(Y161:Y172))*Parametri_v3!$C$34,0))</f>
        <v>2000</v>
      </c>
      <c r="BQ177" s="15" t="n">
        <f aca="false">BN177+BM177-BO177</f>
        <v>539596.422469373</v>
      </c>
      <c r="BR177" s="15" t="n">
        <f aca="false">BH177+AD177+BL177+MAX(0,-AM177)+MAX(0,-AR177)</f>
        <v>790881.558981001</v>
      </c>
      <c r="BS177" s="15" t="n">
        <f aca="false">AJ177+AV177+MAX(0,AM177)+MAX(0,AR177)+BC177+BG177+BQ177+AG177</f>
        <v>790881.558981001</v>
      </c>
      <c r="BT177" s="15" t="n">
        <f aca="false">BR177-BS177</f>
        <v>0</v>
      </c>
      <c r="BU177" s="15" t="n">
        <f aca="false">BH177-(BD177+BE177-BF177-AY177)</f>
        <v>0</v>
      </c>
      <c r="BV177" s="15" t="n">
        <f aca="false">IF(BH176&lt;Parametri_v3!$C$31,0,BV176+1)</f>
        <v>24</v>
      </c>
    </row>
    <row r="178" customFormat="false" ht="18" hidden="false" customHeight="true" outlineLevel="0" collapsed="false">
      <c r="A178" s="68" t="n">
        <f aca="false">3</f>
        <v>3</v>
      </c>
      <c r="B178" s="68" t="n">
        <f aca="false">54</f>
        <v>54</v>
      </c>
      <c r="C178" s="18" t="n">
        <f aca="false">Motore_Operativo!C178</f>
        <v>48000</v>
      </c>
      <c r="D178" s="68" t="n">
        <f aca="false">Motore_Operativo!D178</f>
        <v>2031</v>
      </c>
      <c r="E178" s="68" t="n">
        <f aca="false">Motore_Operativo!E178</f>
        <v>6</v>
      </c>
      <c r="F178" s="15" t="n">
        <f aca="false">Motore_Operativo!AM178</f>
        <v>121526.086956522</v>
      </c>
      <c r="G178" s="15" t="n">
        <f aca="false">Motore_Operativo!BH178</f>
        <v>12152.6086956522</v>
      </c>
      <c r="H178" s="15" t="n">
        <f aca="false">Motore_Operativo!AM178</f>
        <v>121526.086956522</v>
      </c>
      <c r="I178" s="15" t="n">
        <f aca="false">Motore_Operativo!CB178</f>
        <v>80516.3128405435</v>
      </c>
      <c r="J178" s="15" t="n">
        <f aca="false">Motore_Operativo!CD178</f>
        <v>41009.7741159783</v>
      </c>
      <c r="K178" s="15" t="n">
        <f aca="false">Motore_Operativo!CF178</f>
        <v>666.666666666667</v>
      </c>
      <c r="L178" s="15" t="n">
        <f aca="false">SUM(INDEX($K$125:$K$184,MAX(1,54-Parametri_v3!$C$59+1)):K178)/Parametri_v3!$C$59</f>
        <v>541.666666666667</v>
      </c>
      <c r="M178" s="15" t="n">
        <f aca="false">J178-L178</f>
        <v>40468.1074493116</v>
      </c>
      <c r="N178" s="15" t="n">
        <f aca="false">0</f>
        <v>0</v>
      </c>
      <c r="O178" s="15" t="n">
        <f aca="false">0</f>
        <v>0</v>
      </c>
      <c r="P178" s="15" t="n">
        <f aca="false">M178+N178-O178</f>
        <v>40468.1074493116</v>
      </c>
      <c r="Q178" s="15" t="n">
        <f aca="false">SUM(P173:P178)+Parametri_v3!$C$56*6/12</f>
        <v>242912.811362536</v>
      </c>
      <c r="R178" s="15" t="n">
        <f aca="false">Z172</f>
        <v>0</v>
      </c>
      <c r="S178" s="15" t="n">
        <f aca="false">AA172</f>
        <v>0</v>
      </c>
      <c r="T178" s="15" t="n">
        <f aca="false">MIN(R178,MAX(0,Q178))</f>
        <v>0</v>
      </c>
      <c r="U178" s="15" t="n">
        <f aca="false">MIN(S178,MAX(0,Q178-T178)*Parametri_v3!$C$42)</f>
        <v>0</v>
      </c>
      <c r="V178" s="15" t="n">
        <f aca="false">MAX(0,Q178-T178-U178)*Ipotesi!$C$92</f>
        <v>58299.0747270087</v>
      </c>
      <c r="W178" s="15" t="n">
        <f aca="false">MAX(0,SUM(M173:M178)+Parametri_v3!$C$57*6/12)*Ipotesi!$C$93</f>
        <v>9473.59964313892</v>
      </c>
      <c r="X178" s="15" t="n">
        <f aca="false">V178+W178-(V177+W177)</f>
        <v>11290.6019783579</v>
      </c>
      <c r="Y178" s="15" t="n">
        <f aca="false">P178-X178</f>
        <v>29177.5054709537</v>
      </c>
      <c r="Z178" s="15" t="n">
        <f aca="false">R178-T178+IF(AND(Parametri_v3!$C$40=1,D178-YEAR(Parametri_v3!$C$50)&lt;Parametri_v3!$C$41),MAX(0,-Q178),0)</f>
        <v>0</v>
      </c>
      <c r="AA178" s="15" t="n">
        <f aca="false">S178-U178+IF(AND(Parametri_v3!$C$40=1,D178-YEAR(Parametri_v3!$C$50)&lt;Parametri_v3!$C$41),0,MAX(0,-Q178))</f>
        <v>0</v>
      </c>
      <c r="AB178" s="15" t="n">
        <f aca="false">F178*(1+Parametri_v3!$C$26)</f>
        <v>148261.826086957</v>
      </c>
      <c r="AC178" s="15" t="n">
        <f aca="false">(IF(54-(INT((Motore_Operativo!L178)/30))&lt;1,0,INDEX(Motore_Advisory!$AB$125:$AB$184,MAX(1,54-(INT((Motore_Operativo!L178)/30)))))*(1-(MOD((Motore_Operativo!L178),30)/30))+IF(54-(INT((Motore_Operativo!L178)/30))-1&lt;1,0,INDEX(Motore_Advisory!$AB$125:$AB$184,MAX(1,54-(INT((Motore_Operativo!L178)/30))-1)))*(MOD((Motore_Operativo!L178),30)/30))</f>
        <v>148261.826086957</v>
      </c>
      <c r="AD178" s="15" t="n">
        <f aca="false">(AD177)+AB178-AC178</f>
        <v>444785.478260869</v>
      </c>
      <c r="AE178" s="15" t="n">
        <f aca="false">Motore_Operativo!BH178*(1+Parametri_v3!$C$26)</f>
        <v>14826.1826086957</v>
      </c>
      <c r="AF178" s="15" t="n">
        <f aca="false">(IF(54-(INT((Parametri_v3!$C$29)/30))&lt;1,0,INDEX(Motore_Operativo!$BH$125:$BH$184,MAX(1,54-(INT((Parametri_v3!$C$29)/30)))))*(1-(MOD((Parametri_v3!$C$29),30)/30))+IF(54-(INT((Parametri_v3!$C$29)/30))-1&lt;1,0,INDEX(Motore_Operativo!$BH$125:$BH$184,MAX(1,54-(INT((Parametri_v3!$C$29)/30))-1)))*(MOD((Parametri_v3!$C$29),30)/30))*(1+Parametri_v3!$C$26)</f>
        <v>14826.1826086957</v>
      </c>
      <c r="AG178" s="15" t="n">
        <f aca="false">(AG177)+AE178-AF178</f>
        <v>14826.1826086956</v>
      </c>
      <c r="AH178" s="15" t="n">
        <f aca="false">(Motore_Operativo!CK178)*(1+Parametri_v3!$C$28*Parametri_v3!$C$26)</f>
        <v>28223.8806956521</v>
      </c>
      <c r="AI178" s="15" t="n">
        <f aca="false">(IF(54-(INT((Ipotesi!$C$91)/30))&lt;1,0,INDEX(Motore_Advisory!$AH$125:$AH$184,MAX(1,54-(INT((Ipotesi!$C$91)/30)))))*(1-(MOD((Ipotesi!$C$91),30)/30))+IF(54-(INT((Ipotesi!$C$91)/30))-1&lt;1,0,INDEX(Motore_Advisory!$AH$125:$AH$184,MAX(1,54-(INT((Ipotesi!$C$91)/30))-1)))*(MOD((Ipotesi!$C$91),30)/30))</f>
        <v>28223.8806956521</v>
      </c>
      <c r="AJ178" s="15" t="n">
        <f aca="false">(AJ177)+AH178-AI178</f>
        <v>56447.7613913043</v>
      </c>
      <c r="AK178" s="15" t="n">
        <f aca="false">(F178- Motore_Operativo!BH178-(Motore_Operativo!CK178)*Parametri_v3!$C$28-Motore_Operativo!CF178)*Parametri_v3!$C$26</f>
        <v>19691.5164057971</v>
      </c>
      <c r="AL178" s="15" t="n">
        <f aca="false">MAX(0,(AM177))</f>
        <v>19691.5164057971</v>
      </c>
      <c r="AM178" s="15" t="n">
        <f aca="false">(AM177)+AK178-AL178</f>
        <v>19691.5164057971</v>
      </c>
      <c r="AN178" s="15" t="n">
        <f aca="false">SUM(X161:X172)</f>
        <v>91149.8045405</v>
      </c>
      <c r="AO178" s="15" t="n">
        <f aca="false">SUM(AP161:AP172)</f>
        <v>46679.99375</v>
      </c>
      <c r="AP178" s="15" t="n">
        <f aca="false">MAX(0,AN178)*IF(6=Parametri_v3!$C$43,Parametri_v3!$C$45,IF(6=Parametri_v3!$C$44,1-Parametri_v3!$C$45,0))</f>
        <v>36459.9218162</v>
      </c>
      <c r="AQ178" s="15" t="n">
        <f aca="false">MAX(0,AP178+IF(6=Parametri_v3!$C$43,MAX(0,AN178-AO178),0)-MAX(0,-(AR177)))</f>
        <v>80929.7326067</v>
      </c>
      <c r="AR178" s="15" t="n">
        <f aca="false">(AR177)+X178-AQ178</f>
        <v>31312.7525539476</v>
      </c>
      <c r="AS178" s="15" t="n">
        <f aca="false">Motore_Operativo!AC178-AT178+AU178</f>
        <v>42145.6153144583</v>
      </c>
      <c r="AT178" s="15" t="n">
        <f aca="false">Motore_Operativo!CI178</f>
        <v>2218.19027970833</v>
      </c>
      <c r="AU178" s="15" t="n">
        <f aca="false">MIN(MAX(0,(AV177)+AT178),Parametri_v3!$C$61/12)</f>
        <v>0</v>
      </c>
      <c r="AV178" s="15" t="n">
        <f aca="false">(AV177)+AT178-AU178</f>
        <v>61585.98320325</v>
      </c>
      <c r="AW178" s="15" t="n">
        <f aca="false">IF(AND(Motore_Operativo!C178=Finanziamenti!$D$7,Finanziamenti!$F$7=1),Finanziamenti!$C$7,0)</f>
        <v>0</v>
      </c>
      <c r="AX178" s="15" t="n">
        <f aca="false">0</f>
        <v>0</v>
      </c>
      <c r="AY178" s="15" t="n">
        <f aca="false">IF(6=Parametri_v3!$C$33,IF(BV178&lt;MIN(12,$B178-1),0,MIN(MAX(0,SUM(Y161:Y172))*Ipotesi!$C$94,MAX(0,(BM172)-(BO177)-BP178),MAX(0,BD178-Parametri_v3!$C$31))),0)</f>
        <v>117776.001924194</v>
      </c>
      <c r="AZ178" s="15" t="n">
        <f aca="false">0</f>
        <v>0</v>
      </c>
      <c r="BA178" s="15" t="n">
        <f aca="false">0</f>
        <v>0</v>
      </c>
      <c r="BB178" s="15" t="n">
        <f aca="false">0</f>
        <v>0</v>
      </c>
      <c r="BC178" s="15" t="n">
        <f aca="false">0</f>
        <v>0</v>
      </c>
      <c r="BD178" s="15" t="n">
        <f aca="false">(BH177)+AC178-AF178-AI178-AS178-K178*(1+Parametri_v3!$C$26)-AL178-AQ178-O178+AW178+AX178+AZ178+BA178-BB178</f>
        <v>297248.479175785</v>
      </c>
      <c r="BE178" s="15" t="n">
        <f aca="false">0</f>
        <v>0</v>
      </c>
      <c r="BF178" s="15" t="n">
        <f aca="false">0</f>
        <v>0</v>
      </c>
      <c r="BG178" s="15" t="n">
        <f aca="false">0</f>
        <v>0</v>
      </c>
      <c r="BH178" s="15" t="n">
        <f aca="false">BD178+BE178-BF178-AY178</f>
        <v>179472.477251591</v>
      </c>
      <c r="BI178" s="15" t="n">
        <f aca="false">MAX(0,Parametri_v3!$C$31-BH178)</f>
        <v>0</v>
      </c>
      <c r="BJ178" s="15" t="n">
        <f aca="false">(BJ177)+K178</f>
        <v>25000</v>
      </c>
      <c r="BK178" s="15" t="n">
        <f aca="false">(BK177)+L178</f>
        <v>14395.8333333333</v>
      </c>
      <c r="BL178" s="15" t="n">
        <f aca="false">BJ178-BK178</f>
        <v>10604.1666666667</v>
      </c>
      <c r="BM178" s="15" t="n">
        <f aca="false">(BM177)+Y178</f>
        <v>609089.833843104</v>
      </c>
      <c r="BN178" s="15" t="n">
        <f aca="false">(BN177)+AW178+AX178+AZ178</f>
        <v>20000</v>
      </c>
      <c r="BO178" s="15" t="n">
        <f aca="false">(BO177)+AY178</f>
        <v>178091.907826972</v>
      </c>
      <c r="BP178" s="15" t="n">
        <f aca="false">MIN(Parametri_v3!$C$36*Parametri_v3!$C$35,(BP177)+IF(6=1,MAX(0,SUM(Y161:Y172))*Parametri_v3!$C$34,0))</f>
        <v>2000</v>
      </c>
      <c r="BQ178" s="15" t="n">
        <f aca="false">BN178+BM178-BO178</f>
        <v>450997.926016132</v>
      </c>
      <c r="BR178" s="15" t="n">
        <f aca="false">BH178+AD178+BL178+MAX(0,-AM178)+MAX(0,-AR178)</f>
        <v>634862.122179127</v>
      </c>
      <c r="BS178" s="15" t="n">
        <f aca="false">AJ178+AV178+MAX(0,AM178)+MAX(0,AR178)+BC178+BG178+BQ178+AG178</f>
        <v>634862.122179127</v>
      </c>
      <c r="BT178" s="15" t="n">
        <f aca="false">BR178-BS178</f>
        <v>0</v>
      </c>
      <c r="BU178" s="15" t="n">
        <f aca="false">BH178-(BD178+BE178-BF178-AY178)</f>
        <v>0</v>
      </c>
      <c r="BV178" s="15" t="n">
        <f aca="false">IF(BH177&lt;Parametri_v3!$C$31,0,BV177+1)</f>
        <v>25</v>
      </c>
    </row>
    <row r="179" customFormat="false" ht="18" hidden="false" customHeight="true" outlineLevel="0" collapsed="false">
      <c r="A179" s="68" t="n">
        <f aca="false">3</f>
        <v>3</v>
      </c>
      <c r="B179" s="68" t="n">
        <f aca="false">55</f>
        <v>55</v>
      </c>
      <c r="C179" s="18" t="n">
        <f aca="false">Motore_Operativo!C179</f>
        <v>48030</v>
      </c>
      <c r="D179" s="68" t="n">
        <f aca="false">Motore_Operativo!D179</f>
        <v>2031</v>
      </c>
      <c r="E179" s="68" t="n">
        <f aca="false">Motore_Operativo!E179</f>
        <v>7</v>
      </c>
      <c r="F179" s="15" t="n">
        <f aca="false">Motore_Operativo!AM179</f>
        <v>121526.086956522</v>
      </c>
      <c r="G179" s="15" t="n">
        <f aca="false">Motore_Operativo!BH179</f>
        <v>12152.6086956522</v>
      </c>
      <c r="H179" s="15" t="n">
        <f aca="false">Motore_Operativo!AM179</f>
        <v>121526.086956522</v>
      </c>
      <c r="I179" s="15" t="n">
        <f aca="false">Motore_Operativo!CB179</f>
        <v>80516.3128405435</v>
      </c>
      <c r="J179" s="15" t="n">
        <f aca="false">Motore_Operativo!CD179</f>
        <v>41009.7741159783</v>
      </c>
      <c r="K179" s="15" t="n">
        <f aca="false">Motore_Operativo!CF179</f>
        <v>666.666666666667</v>
      </c>
      <c r="L179" s="15" t="n">
        <f aca="false">SUM(INDEX($K$125:$K$184,MAX(1,55-Parametri_v3!$C$59+1)):K179)/Parametri_v3!$C$59</f>
        <v>548.611111111111</v>
      </c>
      <c r="M179" s="15" t="n">
        <f aca="false">J179-L179</f>
        <v>40461.1630048672</v>
      </c>
      <c r="N179" s="15" t="n">
        <f aca="false">0</f>
        <v>0</v>
      </c>
      <c r="O179" s="15" t="n">
        <f aca="false">0</f>
        <v>0</v>
      </c>
      <c r="P179" s="15" t="n">
        <f aca="false">M179+N179-O179</f>
        <v>40461.1630048672</v>
      </c>
      <c r="Q179" s="15" t="n">
        <f aca="false">SUM(P173:P179)+Parametri_v3!$C$56*7/12</f>
        <v>283373.974367404</v>
      </c>
      <c r="R179" s="15" t="n">
        <f aca="false">Z172</f>
        <v>0</v>
      </c>
      <c r="S179" s="15" t="n">
        <f aca="false">AA172</f>
        <v>0</v>
      </c>
      <c r="T179" s="15" t="n">
        <f aca="false">MIN(R179,MAX(0,Q179))</f>
        <v>0</v>
      </c>
      <c r="U179" s="15" t="n">
        <f aca="false">MIN(S179,MAX(0,Q179-T179)*Parametri_v3!$C$42)</f>
        <v>0</v>
      </c>
      <c r="V179" s="15" t="n">
        <f aca="false">MAX(0,Q179-T179-U179)*Ipotesi!$C$92</f>
        <v>68009.7538481768</v>
      </c>
      <c r="W179" s="15" t="n">
        <f aca="false">MAX(0,SUM(M173:M179)+Parametri_v3!$C$57*7/12)*Ipotesi!$C$93</f>
        <v>11051.5850003287</v>
      </c>
      <c r="X179" s="15" t="n">
        <f aca="false">V179+W179-(V178+W178)</f>
        <v>11288.6644783579</v>
      </c>
      <c r="Y179" s="15" t="n">
        <f aca="false">P179-X179</f>
        <v>29172.4985265092</v>
      </c>
      <c r="Z179" s="15" t="n">
        <f aca="false">R179-T179+IF(AND(Parametri_v3!$C$40=1,D179-YEAR(Parametri_v3!$C$50)&lt;Parametri_v3!$C$41),MAX(0,-Q179),0)</f>
        <v>0</v>
      </c>
      <c r="AA179" s="15" t="n">
        <f aca="false">S179-U179+IF(AND(Parametri_v3!$C$40=1,D179-YEAR(Parametri_v3!$C$50)&lt;Parametri_v3!$C$41),0,MAX(0,-Q179))</f>
        <v>0</v>
      </c>
      <c r="AB179" s="15" t="n">
        <f aca="false">F179*(1+Parametri_v3!$C$26)</f>
        <v>148261.826086957</v>
      </c>
      <c r="AC179" s="15" t="n">
        <f aca="false">(IF(55-(INT((Motore_Operativo!L179)/30))&lt;1,0,INDEX(Motore_Advisory!$AB$125:$AB$184,MAX(1,55-(INT((Motore_Operativo!L179)/30)))))*(1-(MOD((Motore_Operativo!L179),30)/30))+IF(55-(INT((Motore_Operativo!L179)/30))-1&lt;1,0,INDEX(Motore_Advisory!$AB$125:$AB$184,MAX(1,55-(INT((Motore_Operativo!L179)/30))-1)))*(MOD((Motore_Operativo!L179),30)/30))</f>
        <v>148261.826086957</v>
      </c>
      <c r="AD179" s="15" t="n">
        <f aca="false">(AD178)+AB179-AC179</f>
        <v>444785.478260869</v>
      </c>
      <c r="AE179" s="15" t="n">
        <f aca="false">Motore_Operativo!BH179*(1+Parametri_v3!$C$26)</f>
        <v>14826.1826086957</v>
      </c>
      <c r="AF179" s="15" t="n">
        <f aca="false">(IF(55-(INT((Parametri_v3!$C$29)/30))&lt;1,0,INDEX(Motore_Operativo!$BH$125:$BH$184,MAX(1,55-(INT((Parametri_v3!$C$29)/30)))))*(1-(MOD((Parametri_v3!$C$29),30)/30))+IF(55-(INT((Parametri_v3!$C$29)/30))-1&lt;1,0,INDEX(Motore_Operativo!$BH$125:$BH$184,MAX(1,55-(INT((Parametri_v3!$C$29)/30))-1)))*(MOD((Parametri_v3!$C$29),30)/30))*(1+Parametri_v3!$C$26)</f>
        <v>14826.1826086957</v>
      </c>
      <c r="AG179" s="15" t="n">
        <f aca="false">(AG178)+AE179-AF179</f>
        <v>14826.1826086956</v>
      </c>
      <c r="AH179" s="15" t="n">
        <f aca="false">(Motore_Operativo!CK179)*(1+Parametri_v3!$C$28*Parametri_v3!$C$26)</f>
        <v>28223.8806956521</v>
      </c>
      <c r="AI179" s="15" t="n">
        <f aca="false">(IF(55-(INT((Ipotesi!$C$91)/30))&lt;1,0,INDEX(Motore_Advisory!$AH$125:$AH$184,MAX(1,55-(INT((Ipotesi!$C$91)/30)))))*(1-(MOD((Ipotesi!$C$91),30)/30))+IF(55-(INT((Ipotesi!$C$91)/30))-1&lt;1,0,INDEX(Motore_Advisory!$AH$125:$AH$184,MAX(1,55-(INT((Ipotesi!$C$91)/30))-1)))*(MOD((Ipotesi!$C$91),30)/30))</f>
        <v>28223.8806956521</v>
      </c>
      <c r="AJ179" s="15" t="n">
        <f aca="false">(AJ178)+AH179-AI179</f>
        <v>56447.7613913043</v>
      </c>
      <c r="AK179" s="15" t="n">
        <f aca="false">(F179- Motore_Operativo!BH179-(Motore_Operativo!CK179)*Parametri_v3!$C$28-Motore_Operativo!CF179)*Parametri_v3!$C$26</f>
        <v>19691.5164057971</v>
      </c>
      <c r="AL179" s="15" t="n">
        <f aca="false">MAX(0,(AM178))</f>
        <v>19691.5164057971</v>
      </c>
      <c r="AM179" s="15" t="n">
        <f aca="false">(AM178)+AK179-AL179</f>
        <v>19691.5164057971</v>
      </c>
      <c r="AN179" s="15" t="n">
        <f aca="false">SUM(X161:X172)</f>
        <v>91149.8045405</v>
      </c>
      <c r="AO179" s="15" t="n">
        <f aca="false">SUM(AP161:AP172)</f>
        <v>46679.99375</v>
      </c>
      <c r="AP179" s="15" t="n">
        <f aca="false">MAX(0,AN179)*IF(7=Parametri_v3!$C$43,Parametri_v3!$C$45,IF(7=Parametri_v3!$C$44,1-Parametri_v3!$C$45,0))</f>
        <v>0</v>
      </c>
      <c r="AQ179" s="15" t="n">
        <f aca="false">MAX(0,AP179+IF(7=Parametri_v3!$C$43,MAX(0,AN179-AO179),0)-MAX(0,-(AR178)))</f>
        <v>0</v>
      </c>
      <c r="AR179" s="15" t="n">
        <f aca="false">(AR178)+X179-AQ179</f>
        <v>42601.4170323056</v>
      </c>
      <c r="AS179" s="15" t="n">
        <f aca="false">Motore_Operativo!AC179-AT179+AU179</f>
        <v>42145.6153144583</v>
      </c>
      <c r="AT179" s="15" t="n">
        <f aca="false">Motore_Operativo!CI179</f>
        <v>2218.19027970833</v>
      </c>
      <c r="AU179" s="15" t="n">
        <f aca="false">MIN(MAX(0,(AV178)+AT179),Parametri_v3!$C$61/12)</f>
        <v>0</v>
      </c>
      <c r="AV179" s="15" t="n">
        <f aca="false">(AV178)+AT179-AU179</f>
        <v>63804.1734829583</v>
      </c>
      <c r="AW179" s="15" t="n">
        <f aca="false">IF(AND(Motore_Operativo!C179=Finanziamenti!$D$7,Finanziamenti!$F$7=1),Finanziamenti!$C$7,0)</f>
        <v>0</v>
      </c>
      <c r="AX179" s="15" t="n">
        <f aca="false">0</f>
        <v>0</v>
      </c>
      <c r="AY179" s="15" t="n">
        <f aca="false">IF(7=Parametri_v3!$C$33,IF(BV179&lt;MIN(12,$B179-1),0,MIN(MAX(0,SUM(Y161:Y172))*Ipotesi!$C$94,MAX(0,(BM172)-(BO178)-BP179),MAX(0,BD179-Parametri_v3!$C$31))),0)</f>
        <v>0</v>
      </c>
      <c r="AZ179" s="15" t="n">
        <f aca="false">0</f>
        <v>0</v>
      </c>
      <c r="BA179" s="15" t="n">
        <f aca="false">0</f>
        <v>0</v>
      </c>
      <c r="BB179" s="15" t="n">
        <f aca="false">0</f>
        <v>0</v>
      </c>
      <c r="BC179" s="15" t="n">
        <f aca="false">0</f>
        <v>0</v>
      </c>
      <c r="BD179" s="15" t="n">
        <f aca="false">(BH178)+AC179-AF179-AI179-AS179-K179*(1+Parametri_v3!$C$26)-AL179-AQ179-O179+AW179+AX179+AZ179+BA179-BB179</f>
        <v>222033.774980611</v>
      </c>
      <c r="BE179" s="15" t="n">
        <f aca="false">0</f>
        <v>0</v>
      </c>
      <c r="BF179" s="15" t="n">
        <f aca="false">0</f>
        <v>0</v>
      </c>
      <c r="BG179" s="15" t="n">
        <f aca="false">0</f>
        <v>0</v>
      </c>
      <c r="BH179" s="15" t="n">
        <f aca="false">BD179+BE179-BF179-AY179</f>
        <v>222033.774980611</v>
      </c>
      <c r="BI179" s="15" t="n">
        <f aca="false">MAX(0,Parametri_v3!$C$31-BH179)</f>
        <v>0</v>
      </c>
      <c r="BJ179" s="15" t="n">
        <f aca="false">(BJ178)+K179</f>
        <v>25666.6666666667</v>
      </c>
      <c r="BK179" s="15" t="n">
        <f aca="false">(BK178)+L179</f>
        <v>14944.4444444444</v>
      </c>
      <c r="BL179" s="15" t="n">
        <f aca="false">BJ179-BK179</f>
        <v>10722.2222222222</v>
      </c>
      <c r="BM179" s="15" t="n">
        <f aca="false">(BM178)+Y179</f>
        <v>638262.332369614</v>
      </c>
      <c r="BN179" s="15" t="n">
        <f aca="false">(BN178)+AW179+AX179+AZ179</f>
        <v>20000</v>
      </c>
      <c r="BO179" s="15" t="n">
        <f aca="false">(BO178)+AY179</f>
        <v>178091.907826972</v>
      </c>
      <c r="BP179" s="15" t="n">
        <f aca="false">MIN(Parametri_v3!$C$36*Parametri_v3!$C$35,(BP178)+IF(7=1,MAX(0,SUM(Y161:Y172))*Parametri_v3!$C$34,0))</f>
        <v>2000</v>
      </c>
      <c r="BQ179" s="15" t="n">
        <f aca="false">BN179+BM179-BO179</f>
        <v>480170.424542642</v>
      </c>
      <c r="BR179" s="15" t="n">
        <f aca="false">BH179+AD179+BL179+MAX(0,-AM179)+MAX(0,-AR179)</f>
        <v>677541.475463702</v>
      </c>
      <c r="BS179" s="15" t="n">
        <f aca="false">AJ179+AV179+MAX(0,AM179)+MAX(0,AR179)+BC179+BG179+BQ179+AG179</f>
        <v>677541.475463703</v>
      </c>
      <c r="BT179" s="15" t="n">
        <f aca="false">BR179-BS179</f>
        <v>0</v>
      </c>
      <c r="BU179" s="15" t="n">
        <f aca="false">BH179-(BD179+BE179-BF179-AY179)</f>
        <v>0</v>
      </c>
      <c r="BV179" s="15" t="n">
        <f aca="false">IF(BH178&lt;Parametri_v3!$C$31,0,BV178+1)</f>
        <v>26</v>
      </c>
    </row>
    <row r="180" customFormat="false" ht="18" hidden="false" customHeight="true" outlineLevel="0" collapsed="false">
      <c r="A180" s="68" t="n">
        <f aca="false">3</f>
        <v>3</v>
      </c>
      <c r="B180" s="68" t="n">
        <f aca="false">56</f>
        <v>56</v>
      </c>
      <c r="C180" s="18" t="n">
        <f aca="false">Motore_Operativo!C180</f>
        <v>48061</v>
      </c>
      <c r="D180" s="68" t="n">
        <f aca="false">Motore_Operativo!D180</f>
        <v>2031</v>
      </c>
      <c r="E180" s="68" t="n">
        <f aca="false">Motore_Operativo!E180</f>
        <v>8</v>
      </c>
      <c r="F180" s="15" t="n">
        <f aca="false">Motore_Operativo!AM180</f>
        <v>121526.086956522</v>
      </c>
      <c r="G180" s="15" t="n">
        <f aca="false">Motore_Operativo!BH180</f>
        <v>12152.6086956522</v>
      </c>
      <c r="H180" s="15" t="n">
        <f aca="false">Motore_Operativo!AM180</f>
        <v>121526.086956522</v>
      </c>
      <c r="I180" s="15" t="n">
        <f aca="false">Motore_Operativo!CB180</f>
        <v>80516.3128405435</v>
      </c>
      <c r="J180" s="15" t="n">
        <f aca="false">Motore_Operativo!CD180</f>
        <v>41009.7741159783</v>
      </c>
      <c r="K180" s="15" t="n">
        <f aca="false">Motore_Operativo!CF180</f>
        <v>666.666666666667</v>
      </c>
      <c r="L180" s="15" t="n">
        <f aca="false">SUM(INDEX($K$125:$K$184,MAX(1,56-Parametri_v3!$C$59+1)):K180)/Parametri_v3!$C$59</f>
        <v>555.555555555556</v>
      </c>
      <c r="M180" s="15" t="n">
        <f aca="false">J180-L180</f>
        <v>40454.2185604227</v>
      </c>
      <c r="N180" s="15" t="n">
        <f aca="false">0</f>
        <v>0</v>
      </c>
      <c r="O180" s="15" t="n">
        <f aca="false">0</f>
        <v>0</v>
      </c>
      <c r="P180" s="15" t="n">
        <f aca="false">M180+N180-O180</f>
        <v>40454.2185604227</v>
      </c>
      <c r="Q180" s="15" t="n">
        <f aca="false">SUM(P173:P180)+Parametri_v3!$C$56*8/12</f>
        <v>323828.192927826</v>
      </c>
      <c r="R180" s="15" t="n">
        <f aca="false">Z172</f>
        <v>0</v>
      </c>
      <c r="S180" s="15" t="n">
        <f aca="false">AA172</f>
        <v>0</v>
      </c>
      <c r="T180" s="15" t="n">
        <f aca="false">MIN(R180,MAX(0,Q180))</f>
        <v>0</v>
      </c>
      <c r="U180" s="15" t="n">
        <f aca="false">MIN(S180,MAX(0,Q180-T180)*Parametri_v3!$C$42)</f>
        <v>0</v>
      </c>
      <c r="V180" s="15" t="n">
        <f aca="false">MAX(0,Q180-T180-U180)*Ipotesi!$C$92</f>
        <v>77718.7663026783</v>
      </c>
      <c r="W180" s="15" t="n">
        <f aca="false">MAX(0,SUM(M173:M180)+Parametri_v3!$C$57*8/12)*Ipotesi!$C$93</f>
        <v>12629.2995241852</v>
      </c>
      <c r="X180" s="15" t="n">
        <f aca="false">V180+W180-(V179+W179)</f>
        <v>11286.7269783579</v>
      </c>
      <c r="Y180" s="15" t="n">
        <f aca="false">P180-X180</f>
        <v>29167.4915820648</v>
      </c>
      <c r="Z180" s="15" t="n">
        <f aca="false">R180-T180+IF(AND(Parametri_v3!$C$40=1,D180-YEAR(Parametri_v3!$C$50)&lt;Parametri_v3!$C$41),MAX(0,-Q180),0)</f>
        <v>0</v>
      </c>
      <c r="AA180" s="15" t="n">
        <f aca="false">S180-U180+IF(AND(Parametri_v3!$C$40=1,D180-YEAR(Parametri_v3!$C$50)&lt;Parametri_v3!$C$41),0,MAX(0,-Q180))</f>
        <v>0</v>
      </c>
      <c r="AB180" s="15" t="n">
        <f aca="false">F180*(1+Parametri_v3!$C$26)</f>
        <v>148261.826086957</v>
      </c>
      <c r="AC180" s="15" t="n">
        <f aca="false">(IF(56-(INT((Motore_Operativo!L180)/30))&lt;1,0,INDEX(Motore_Advisory!$AB$125:$AB$184,MAX(1,56-(INT((Motore_Operativo!L180)/30)))))*(1-(MOD((Motore_Operativo!L180),30)/30))+IF(56-(INT((Motore_Operativo!L180)/30))-1&lt;1,0,INDEX(Motore_Advisory!$AB$125:$AB$184,MAX(1,56-(INT((Motore_Operativo!L180)/30))-1)))*(MOD((Motore_Operativo!L180),30)/30))</f>
        <v>148261.826086957</v>
      </c>
      <c r="AD180" s="15" t="n">
        <f aca="false">(AD179)+AB180-AC180</f>
        <v>444785.478260869</v>
      </c>
      <c r="AE180" s="15" t="n">
        <f aca="false">Motore_Operativo!BH180*(1+Parametri_v3!$C$26)</f>
        <v>14826.1826086957</v>
      </c>
      <c r="AF180" s="15" t="n">
        <f aca="false">(IF(56-(INT((Parametri_v3!$C$29)/30))&lt;1,0,INDEX(Motore_Operativo!$BH$125:$BH$184,MAX(1,56-(INT((Parametri_v3!$C$29)/30)))))*(1-(MOD((Parametri_v3!$C$29),30)/30))+IF(56-(INT((Parametri_v3!$C$29)/30))-1&lt;1,0,INDEX(Motore_Operativo!$BH$125:$BH$184,MAX(1,56-(INT((Parametri_v3!$C$29)/30))-1)))*(MOD((Parametri_v3!$C$29),30)/30))*(1+Parametri_v3!$C$26)</f>
        <v>14826.1826086957</v>
      </c>
      <c r="AG180" s="15" t="n">
        <f aca="false">(AG179)+AE180-AF180</f>
        <v>14826.1826086956</v>
      </c>
      <c r="AH180" s="15" t="n">
        <f aca="false">(Motore_Operativo!CK180)*(1+Parametri_v3!$C$28*Parametri_v3!$C$26)</f>
        <v>28223.8806956521</v>
      </c>
      <c r="AI180" s="15" t="n">
        <f aca="false">(IF(56-(INT((Ipotesi!$C$91)/30))&lt;1,0,INDEX(Motore_Advisory!$AH$125:$AH$184,MAX(1,56-(INT((Ipotesi!$C$91)/30)))))*(1-(MOD((Ipotesi!$C$91),30)/30))+IF(56-(INT((Ipotesi!$C$91)/30))-1&lt;1,0,INDEX(Motore_Advisory!$AH$125:$AH$184,MAX(1,56-(INT((Ipotesi!$C$91)/30))-1)))*(MOD((Ipotesi!$C$91),30)/30))</f>
        <v>28223.8806956521</v>
      </c>
      <c r="AJ180" s="15" t="n">
        <f aca="false">(AJ179)+AH180-AI180</f>
        <v>56447.7613913043</v>
      </c>
      <c r="AK180" s="15" t="n">
        <f aca="false">(F180- Motore_Operativo!BH180-(Motore_Operativo!CK180)*Parametri_v3!$C$28-Motore_Operativo!CF180)*Parametri_v3!$C$26</f>
        <v>19691.5164057971</v>
      </c>
      <c r="AL180" s="15" t="n">
        <f aca="false">MAX(0,(AM179))</f>
        <v>19691.5164057971</v>
      </c>
      <c r="AM180" s="15" t="n">
        <f aca="false">(AM179)+AK180-AL180</f>
        <v>19691.5164057971</v>
      </c>
      <c r="AN180" s="15" t="n">
        <f aca="false">SUM(X161:X172)</f>
        <v>91149.8045405</v>
      </c>
      <c r="AO180" s="15" t="n">
        <f aca="false">SUM(AP161:AP172)</f>
        <v>46679.99375</v>
      </c>
      <c r="AP180" s="15" t="n">
        <f aca="false">MAX(0,AN180)*IF(8=Parametri_v3!$C$43,Parametri_v3!$C$45,IF(8=Parametri_v3!$C$44,1-Parametri_v3!$C$45,0))</f>
        <v>0</v>
      </c>
      <c r="AQ180" s="15" t="n">
        <f aca="false">MAX(0,AP180+IF(8=Parametri_v3!$C$43,MAX(0,AN180-AO180),0)-MAX(0,-(AR179)))</f>
        <v>0</v>
      </c>
      <c r="AR180" s="15" t="n">
        <f aca="false">(AR179)+X180-AQ180</f>
        <v>53888.1440106635</v>
      </c>
      <c r="AS180" s="15" t="n">
        <f aca="false">Motore_Operativo!AC180-AT180+AU180</f>
        <v>42145.6153144583</v>
      </c>
      <c r="AT180" s="15" t="n">
        <f aca="false">Motore_Operativo!CI180</f>
        <v>2218.19027970833</v>
      </c>
      <c r="AU180" s="15" t="n">
        <f aca="false">MIN(MAX(0,(AV179)+AT180),Parametri_v3!$C$61/12)</f>
        <v>0</v>
      </c>
      <c r="AV180" s="15" t="n">
        <f aca="false">(AV179)+AT180-AU180</f>
        <v>66022.3637626667</v>
      </c>
      <c r="AW180" s="15" t="n">
        <f aca="false">IF(AND(Motore_Operativo!C180=Finanziamenti!$D$7,Finanziamenti!$F$7=1),Finanziamenti!$C$7,0)</f>
        <v>0</v>
      </c>
      <c r="AX180" s="15" t="n">
        <f aca="false">0</f>
        <v>0</v>
      </c>
      <c r="AY180" s="15" t="n">
        <f aca="false">IF(8=Parametri_v3!$C$33,IF(BV180&lt;MIN(12,$B180-1),0,MIN(MAX(0,SUM(Y161:Y172))*Ipotesi!$C$94,MAX(0,(BM172)-(BO179)-BP180),MAX(0,BD180-Parametri_v3!$C$31))),0)</f>
        <v>0</v>
      </c>
      <c r="AZ180" s="15" t="n">
        <f aca="false">0</f>
        <v>0</v>
      </c>
      <c r="BA180" s="15" t="n">
        <f aca="false">0</f>
        <v>0</v>
      </c>
      <c r="BB180" s="15" t="n">
        <f aca="false">0</f>
        <v>0</v>
      </c>
      <c r="BC180" s="15" t="n">
        <f aca="false">0</f>
        <v>0</v>
      </c>
      <c r="BD180" s="15" t="n">
        <f aca="false">(BH179)+AC180-AF180-AI180-AS180-K180*(1+Parametri_v3!$C$26)-AL180-AQ180-O180+AW180+AX180+AZ180+BA180-BB180</f>
        <v>264595.072709631</v>
      </c>
      <c r="BE180" s="15" t="n">
        <f aca="false">0</f>
        <v>0</v>
      </c>
      <c r="BF180" s="15" t="n">
        <f aca="false">0</f>
        <v>0</v>
      </c>
      <c r="BG180" s="15" t="n">
        <f aca="false">0</f>
        <v>0</v>
      </c>
      <c r="BH180" s="15" t="n">
        <f aca="false">BD180+BE180-BF180-AY180</f>
        <v>264595.072709631</v>
      </c>
      <c r="BI180" s="15" t="n">
        <f aca="false">MAX(0,Parametri_v3!$C$31-BH180)</f>
        <v>0</v>
      </c>
      <c r="BJ180" s="15" t="n">
        <f aca="false">(BJ179)+K180</f>
        <v>26333.3333333333</v>
      </c>
      <c r="BK180" s="15" t="n">
        <f aca="false">(BK179)+L180</f>
        <v>15500</v>
      </c>
      <c r="BL180" s="15" t="n">
        <f aca="false">BJ180-BK180</f>
        <v>10833.3333333333</v>
      </c>
      <c r="BM180" s="15" t="n">
        <f aca="false">(BM179)+Y180</f>
        <v>667429.823951679</v>
      </c>
      <c r="BN180" s="15" t="n">
        <f aca="false">(BN179)+AW180+AX180+AZ180</f>
        <v>20000</v>
      </c>
      <c r="BO180" s="15" t="n">
        <f aca="false">(BO179)+AY180</f>
        <v>178091.907826972</v>
      </c>
      <c r="BP180" s="15" t="n">
        <f aca="false">MIN(Parametri_v3!$C$36*Parametri_v3!$C$35,(BP179)+IF(8=1,MAX(0,SUM(Y161:Y172))*Parametri_v3!$C$34,0))</f>
        <v>2000</v>
      </c>
      <c r="BQ180" s="15" t="n">
        <f aca="false">BN180+BM180-BO180</f>
        <v>509337.916124706</v>
      </c>
      <c r="BR180" s="15" t="n">
        <f aca="false">BH180+AD180+BL180+MAX(0,-AM180)+MAX(0,-AR180)</f>
        <v>720213.884303833</v>
      </c>
      <c r="BS180" s="15" t="n">
        <f aca="false">AJ180+AV180+MAX(0,AM180)+MAX(0,AR180)+BC180+BG180+BQ180+AG180</f>
        <v>720213.884303834</v>
      </c>
      <c r="BT180" s="15" t="n">
        <f aca="false">BR180-BS180</f>
        <v>0</v>
      </c>
      <c r="BU180" s="15" t="n">
        <f aca="false">BH180-(BD180+BE180-BF180-AY180)</f>
        <v>0</v>
      </c>
      <c r="BV180" s="15" t="n">
        <f aca="false">IF(BH179&lt;Parametri_v3!$C$31,0,BV179+1)</f>
        <v>27</v>
      </c>
    </row>
    <row r="181" customFormat="false" ht="18" hidden="false" customHeight="true" outlineLevel="0" collapsed="false">
      <c r="A181" s="68" t="n">
        <f aca="false">3</f>
        <v>3</v>
      </c>
      <c r="B181" s="68" t="n">
        <f aca="false">57</f>
        <v>57</v>
      </c>
      <c r="C181" s="18" t="n">
        <f aca="false">Motore_Operativo!C181</f>
        <v>48092</v>
      </c>
      <c r="D181" s="68" t="n">
        <f aca="false">Motore_Operativo!D181</f>
        <v>2031</v>
      </c>
      <c r="E181" s="68" t="n">
        <f aca="false">Motore_Operativo!E181</f>
        <v>9</v>
      </c>
      <c r="F181" s="15" t="n">
        <f aca="false">Motore_Operativo!AM181</f>
        <v>121526.086956522</v>
      </c>
      <c r="G181" s="15" t="n">
        <f aca="false">Motore_Operativo!BH181</f>
        <v>12152.6086956522</v>
      </c>
      <c r="H181" s="15" t="n">
        <f aca="false">Motore_Operativo!AM181</f>
        <v>121526.086956522</v>
      </c>
      <c r="I181" s="15" t="n">
        <f aca="false">Motore_Operativo!CB181</f>
        <v>80516.3128405435</v>
      </c>
      <c r="J181" s="15" t="n">
        <f aca="false">Motore_Operativo!CD181</f>
        <v>41009.7741159783</v>
      </c>
      <c r="K181" s="15" t="n">
        <f aca="false">Motore_Operativo!CF181</f>
        <v>666.666666666667</v>
      </c>
      <c r="L181" s="15" t="n">
        <f aca="false">SUM(INDEX($K$125:$K$184,MAX(1,57-Parametri_v3!$C$59+1)):K181)/Parametri_v3!$C$59</f>
        <v>562.5</v>
      </c>
      <c r="M181" s="15" t="n">
        <f aca="false">J181-L181</f>
        <v>40447.2741159783</v>
      </c>
      <c r="N181" s="15" t="n">
        <f aca="false">0</f>
        <v>0</v>
      </c>
      <c r="O181" s="15" t="n">
        <f aca="false">0</f>
        <v>0</v>
      </c>
      <c r="P181" s="15" t="n">
        <f aca="false">M181+N181-O181</f>
        <v>40447.2741159783</v>
      </c>
      <c r="Q181" s="15" t="n">
        <f aca="false">SUM(P173:P181)+Parametri_v3!$C$56*9/12</f>
        <v>364275.467043804</v>
      </c>
      <c r="R181" s="15" t="n">
        <f aca="false">Z172</f>
        <v>0</v>
      </c>
      <c r="S181" s="15" t="n">
        <f aca="false">AA172</f>
        <v>0</v>
      </c>
      <c r="T181" s="15" t="n">
        <f aca="false">MIN(R181,MAX(0,Q181))</f>
        <v>0</v>
      </c>
      <c r="U181" s="15" t="n">
        <f aca="false">MIN(S181,MAX(0,Q181-T181)*Parametri_v3!$C$42)</f>
        <v>0</v>
      </c>
      <c r="V181" s="15" t="n">
        <f aca="false">MAX(0,Q181-T181-U181)*Ipotesi!$C$92</f>
        <v>87426.1120905131</v>
      </c>
      <c r="W181" s="15" t="n">
        <f aca="false">MAX(0,SUM(M173:M181)+Parametri_v3!$C$57*9/12)*Ipotesi!$C$93</f>
        <v>14206.7432147084</v>
      </c>
      <c r="X181" s="15" t="n">
        <f aca="false">V181+W181-(V180+W180)</f>
        <v>11284.7894783579</v>
      </c>
      <c r="Y181" s="15" t="n">
        <f aca="false">P181-X181</f>
        <v>29162.4846376203</v>
      </c>
      <c r="Z181" s="15" t="n">
        <f aca="false">R181-T181+IF(AND(Parametri_v3!$C$40=1,D181-YEAR(Parametri_v3!$C$50)&lt;Parametri_v3!$C$41),MAX(0,-Q181),0)</f>
        <v>0</v>
      </c>
      <c r="AA181" s="15" t="n">
        <f aca="false">S181-U181+IF(AND(Parametri_v3!$C$40=1,D181-YEAR(Parametri_v3!$C$50)&lt;Parametri_v3!$C$41),0,MAX(0,-Q181))</f>
        <v>0</v>
      </c>
      <c r="AB181" s="15" t="n">
        <f aca="false">F181*(1+Parametri_v3!$C$26)</f>
        <v>148261.826086957</v>
      </c>
      <c r="AC181" s="15" t="n">
        <f aca="false">(IF(57-(INT((Motore_Operativo!L181)/30))&lt;1,0,INDEX(Motore_Advisory!$AB$125:$AB$184,MAX(1,57-(INT((Motore_Operativo!L181)/30)))))*(1-(MOD((Motore_Operativo!L181),30)/30))+IF(57-(INT((Motore_Operativo!L181)/30))-1&lt;1,0,INDEX(Motore_Advisory!$AB$125:$AB$184,MAX(1,57-(INT((Motore_Operativo!L181)/30))-1)))*(MOD((Motore_Operativo!L181),30)/30))</f>
        <v>148261.826086957</v>
      </c>
      <c r="AD181" s="15" t="n">
        <f aca="false">(AD180)+AB181-AC181</f>
        <v>444785.478260869</v>
      </c>
      <c r="AE181" s="15" t="n">
        <f aca="false">Motore_Operativo!BH181*(1+Parametri_v3!$C$26)</f>
        <v>14826.1826086957</v>
      </c>
      <c r="AF181" s="15" t="n">
        <f aca="false">(IF(57-(INT((Parametri_v3!$C$29)/30))&lt;1,0,INDEX(Motore_Operativo!$BH$125:$BH$184,MAX(1,57-(INT((Parametri_v3!$C$29)/30)))))*(1-(MOD((Parametri_v3!$C$29),30)/30))+IF(57-(INT((Parametri_v3!$C$29)/30))-1&lt;1,0,INDEX(Motore_Operativo!$BH$125:$BH$184,MAX(1,57-(INT((Parametri_v3!$C$29)/30))-1)))*(MOD((Parametri_v3!$C$29),30)/30))*(1+Parametri_v3!$C$26)</f>
        <v>14826.1826086957</v>
      </c>
      <c r="AG181" s="15" t="n">
        <f aca="false">(AG180)+AE181-AF181</f>
        <v>14826.1826086956</v>
      </c>
      <c r="AH181" s="15" t="n">
        <f aca="false">(Motore_Operativo!CK181)*(1+Parametri_v3!$C$28*Parametri_v3!$C$26)</f>
        <v>28223.8806956521</v>
      </c>
      <c r="AI181" s="15" t="n">
        <f aca="false">(IF(57-(INT((Ipotesi!$C$91)/30))&lt;1,0,INDEX(Motore_Advisory!$AH$125:$AH$184,MAX(1,57-(INT((Ipotesi!$C$91)/30)))))*(1-(MOD((Ipotesi!$C$91),30)/30))+IF(57-(INT((Ipotesi!$C$91)/30))-1&lt;1,0,INDEX(Motore_Advisory!$AH$125:$AH$184,MAX(1,57-(INT((Ipotesi!$C$91)/30))-1)))*(MOD((Ipotesi!$C$91),30)/30))</f>
        <v>28223.8806956521</v>
      </c>
      <c r="AJ181" s="15" t="n">
        <f aca="false">(AJ180)+AH181-AI181</f>
        <v>56447.7613913043</v>
      </c>
      <c r="AK181" s="15" t="n">
        <f aca="false">(F181- Motore_Operativo!BH181-(Motore_Operativo!CK181)*Parametri_v3!$C$28-Motore_Operativo!CF181)*Parametri_v3!$C$26</f>
        <v>19691.5164057971</v>
      </c>
      <c r="AL181" s="15" t="n">
        <f aca="false">MAX(0,(AM180))</f>
        <v>19691.5164057971</v>
      </c>
      <c r="AM181" s="15" t="n">
        <f aca="false">(AM180)+AK181-AL181</f>
        <v>19691.5164057971</v>
      </c>
      <c r="AN181" s="15" t="n">
        <f aca="false">SUM(X161:X172)</f>
        <v>91149.8045405</v>
      </c>
      <c r="AO181" s="15" t="n">
        <f aca="false">SUM(AP161:AP172)</f>
        <v>46679.99375</v>
      </c>
      <c r="AP181" s="15" t="n">
        <f aca="false">MAX(0,AN181)*IF(9=Parametri_v3!$C$43,Parametri_v3!$C$45,IF(9=Parametri_v3!$C$44,1-Parametri_v3!$C$45,0))</f>
        <v>0</v>
      </c>
      <c r="AQ181" s="15" t="n">
        <f aca="false">MAX(0,AP181+IF(9=Parametri_v3!$C$43,MAX(0,AN181-AO181),0)-MAX(0,-(AR180)))</f>
        <v>0</v>
      </c>
      <c r="AR181" s="15" t="n">
        <f aca="false">(AR180)+X181-AQ181</f>
        <v>65172.9334890214</v>
      </c>
      <c r="AS181" s="15" t="n">
        <f aca="false">Motore_Operativo!AC181-AT181+AU181</f>
        <v>42145.6153144583</v>
      </c>
      <c r="AT181" s="15" t="n">
        <f aca="false">Motore_Operativo!CI181</f>
        <v>2218.19027970833</v>
      </c>
      <c r="AU181" s="15" t="n">
        <f aca="false">MIN(MAX(0,(AV180)+AT181),Parametri_v3!$C$61/12)</f>
        <v>0</v>
      </c>
      <c r="AV181" s="15" t="n">
        <f aca="false">(AV180)+AT181-AU181</f>
        <v>68240.554042375</v>
      </c>
      <c r="AW181" s="15" t="n">
        <f aca="false">IF(AND(Motore_Operativo!C181=Finanziamenti!$D$7,Finanziamenti!$F$7=1),Finanziamenti!$C$7,0)</f>
        <v>0</v>
      </c>
      <c r="AX181" s="15" t="n">
        <f aca="false">0</f>
        <v>0</v>
      </c>
      <c r="AY181" s="15" t="n">
        <f aca="false">IF(9=Parametri_v3!$C$33,IF(BV181&lt;MIN(12,$B181-1),0,MIN(MAX(0,SUM(Y161:Y172))*Ipotesi!$C$94,MAX(0,(BM172)-(BO180)-BP181),MAX(0,BD181-Parametri_v3!$C$31))),0)</f>
        <v>0</v>
      </c>
      <c r="AZ181" s="15" t="n">
        <f aca="false">0</f>
        <v>0</v>
      </c>
      <c r="BA181" s="15" t="n">
        <f aca="false">0</f>
        <v>0</v>
      </c>
      <c r="BB181" s="15" t="n">
        <f aca="false">0</f>
        <v>0</v>
      </c>
      <c r="BC181" s="15" t="n">
        <f aca="false">0</f>
        <v>0</v>
      </c>
      <c r="BD181" s="15" t="n">
        <f aca="false">(BH180)+AC181-AF181-AI181-AS181-K181*(1+Parametri_v3!$C$26)-AL181-AQ181-O181+AW181+AX181+AZ181+BA181-BB181</f>
        <v>307156.370438651</v>
      </c>
      <c r="BE181" s="15" t="n">
        <f aca="false">0</f>
        <v>0</v>
      </c>
      <c r="BF181" s="15" t="n">
        <f aca="false">0</f>
        <v>0</v>
      </c>
      <c r="BG181" s="15" t="n">
        <f aca="false">0</f>
        <v>0</v>
      </c>
      <c r="BH181" s="15" t="n">
        <f aca="false">BD181+BE181-BF181-AY181</f>
        <v>307156.370438651</v>
      </c>
      <c r="BI181" s="15" t="n">
        <f aca="false">MAX(0,Parametri_v3!$C$31-BH181)</f>
        <v>0</v>
      </c>
      <c r="BJ181" s="15" t="n">
        <f aca="false">(BJ180)+K181</f>
        <v>27000</v>
      </c>
      <c r="BK181" s="15" t="n">
        <f aca="false">(BK180)+L181</f>
        <v>16062.5</v>
      </c>
      <c r="BL181" s="15" t="n">
        <f aca="false">BJ181-BK181</f>
        <v>10937.5</v>
      </c>
      <c r="BM181" s="15" t="n">
        <f aca="false">(BM180)+Y181</f>
        <v>696592.308589299</v>
      </c>
      <c r="BN181" s="15" t="n">
        <f aca="false">(BN180)+AW181+AX181+AZ181</f>
        <v>20000</v>
      </c>
      <c r="BO181" s="15" t="n">
        <f aca="false">(BO180)+AY181</f>
        <v>178091.907826972</v>
      </c>
      <c r="BP181" s="15" t="n">
        <f aca="false">MIN(Parametri_v3!$C$36*Parametri_v3!$C$35,(BP180)+IF(9=1,MAX(0,SUM(Y161:Y172))*Parametri_v3!$C$34,0))</f>
        <v>2000</v>
      </c>
      <c r="BQ181" s="15" t="n">
        <f aca="false">BN181+BM181-BO181</f>
        <v>538500.400762327</v>
      </c>
      <c r="BR181" s="15" t="n">
        <f aca="false">BH181+AD181+BL181+MAX(0,-AM181)+MAX(0,-AR181)</f>
        <v>762879.34869952</v>
      </c>
      <c r="BS181" s="15" t="n">
        <f aca="false">AJ181+AV181+MAX(0,AM181)+MAX(0,AR181)+BC181+BG181+BQ181+AG181</f>
        <v>762879.34869952</v>
      </c>
      <c r="BT181" s="15" t="n">
        <f aca="false">BR181-BS181</f>
        <v>0</v>
      </c>
      <c r="BU181" s="15" t="n">
        <f aca="false">BH181-(BD181+BE181-BF181-AY181)</f>
        <v>0</v>
      </c>
      <c r="BV181" s="15" t="n">
        <f aca="false">IF(BH180&lt;Parametri_v3!$C$31,0,BV180+1)</f>
        <v>28</v>
      </c>
    </row>
    <row r="182" customFormat="false" ht="18" hidden="false" customHeight="true" outlineLevel="0" collapsed="false">
      <c r="A182" s="68" t="n">
        <f aca="false">3</f>
        <v>3</v>
      </c>
      <c r="B182" s="68" t="n">
        <f aca="false">58</f>
        <v>58</v>
      </c>
      <c r="C182" s="18" t="n">
        <f aca="false">Motore_Operativo!C182</f>
        <v>48122</v>
      </c>
      <c r="D182" s="68" t="n">
        <f aca="false">Motore_Operativo!D182</f>
        <v>2031</v>
      </c>
      <c r="E182" s="68" t="n">
        <f aca="false">Motore_Operativo!E182</f>
        <v>10</v>
      </c>
      <c r="F182" s="15" t="n">
        <f aca="false">Motore_Operativo!AM182</f>
        <v>121526.086956522</v>
      </c>
      <c r="G182" s="15" t="n">
        <f aca="false">Motore_Operativo!BH182</f>
        <v>12152.6086956522</v>
      </c>
      <c r="H182" s="15" t="n">
        <f aca="false">Motore_Operativo!AM182</f>
        <v>121526.086956522</v>
      </c>
      <c r="I182" s="15" t="n">
        <f aca="false">Motore_Operativo!CB182</f>
        <v>80516.3128405435</v>
      </c>
      <c r="J182" s="15" t="n">
        <f aca="false">Motore_Operativo!CD182</f>
        <v>41009.7741159783</v>
      </c>
      <c r="K182" s="15" t="n">
        <f aca="false">Motore_Operativo!CF182</f>
        <v>666.666666666667</v>
      </c>
      <c r="L182" s="15" t="n">
        <f aca="false">SUM(INDEX($K$125:$K$184,MAX(1,58-Parametri_v3!$C$59+1)):K182)/Parametri_v3!$C$59</f>
        <v>569.444444444445</v>
      </c>
      <c r="M182" s="15" t="n">
        <f aca="false">J182-L182</f>
        <v>40440.3296715338</v>
      </c>
      <c r="N182" s="15" t="n">
        <f aca="false">0</f>
        <v>0</v>
      </c>
      <c r="O182" s="15" t="n">
        <f aca="false">0</f>
        <v>0</v>
      </c>
      <c r="P182" s="15" t="n">
        <f aca="false">M182+N182-O182</f>
        <v>40440.3296715338</v>
      </c>
      <c r="Q182" s="15" t="n">
        <f aca="false">SUM(P173:P182)+Parametri_v3!$C$56*10/12</f>
        <v>404715.796715338</v>
      </c>
      <c r="R182" s="15" t="n">
        <f aca="false">Z172</f>
        <v>0</v>
      </c>
      <c r="S182" s="15" t="n">
        <f aca="false">AA172</f>
        <v>0</v>
      </c>
      <c r="T182" s="15" t="n">
        <f aca="false">MIN(R182,MAX(0,Q182))</f>
        <v>0</v>
      </c>
      <c r="U182" s="15" t="n">
        <f aca="false">MIN(S182,MAX(0,Q182-T182)*Parametri_v3!$C$42)</f>
        <v>0</v>
      </c>
      <c r="V182" s="15" t="n">
        <f aca="false">MAX(0,Q182-T182-U182)*Ipotesi!$C$92</f>
        <v>97131.7912116812</v>
      </c>
      <c r="W182" s="15" t="n">
        <f aca="false">MAX(0,SUM(M173:M182)+Parametri_v3!$C$57*10/12)*Ipotesi!$C$93</f>
        <v>15783.9160718982</v>
      </c>
      <c r="X182" s="15" t="n">
        <f aca="false">V182+W182-(V181+W181)</f>
        <v>11282.851978358</v>
      </c>
      <c r="Y182" s="15" t="n">
        <f aca="false">P182-X182</f>
        <v>29157.4776931759</v>
      </c>
      <c r="Z182" s="15" t="n">
        <f aca="false">R182-T182+IF(AND(Parametri_v3!$C$40=1,D182-YEAR(Parametri_v3!$C$50)&lt;Parametri_v3!$C$41),MAX(0,-Q182),0)</f>
        <v>0</v>
      </c>
      <c r="AA182" s="15" t="n">
        <f aca="false">S182-U182+IF(AND(Parametri_v3!$C$40=1,D182-YEAR(Parametri_v3!$C$50)&lt;Parametri_v3!$C$41),0,MAX(0,-Q182))</f>
        <v>0</v>
      </c>
      <c r="AB182" s="15" t="n">
        <f aca="false">F182*(1+Parametri_v3!$C$26)</f>
        <v>148261.826086957</v>
      </c>
      <c r="AC182" s="15" t="n">
        <f aca="false">(IF(58-(INT((Motore_Operativo!L182)/30))&lt;1,0,INDEX(Motore_Advisory!$AB$125:$AB$184,MAX(1,58-(INT((Motore_Operativo!L182)/30)))))*(1-(MOD((Motore_Operativo!L182),30)/30))+IF(58-(INT((Motore_Operativo!L182)/30))-1&lt;1,0,INDEX(Motore_Advisory!$AB$125:$AB$184,MAX(1,58-(INT((Motore_Operativo!L182)/30))-1)))*(MOD((Motore_Operativo!L182),30)/30))</f>
        <v>148261.826086957</v>
      </c>
      <c r="AD182" s="15" t="n">
        <f aca="false">(AD181)+AB182-AC182</f>
        <v>444785.478260869</v>
      </c>
      <c r="AE182" s="15" t="n">
        <f aca="false">Motore_Operativo!BH182*(1+Parametri_v3!$C$26)</f>
        <v>14826.1826086957</v>
      </c>
      <c r="AF182" s="15" t="n">
        <f aca="false">(IF(58-(INT((Parametri_v3!$C$29)/30))&lt;1,0,INDEX(Motore_Operativo!$BH$125:$BH$184,MAX(1,58-(INT((Parametri_v3!$C$29)/30)))))*(1-(MOD((Parametri_v3!$C$29),30)/30))+IF(58-(INT((Parametri_v3!$C$29)/30))-1&lt;1,0,INDEX(Motore_Operativo!$BH$125:$BH$184,MAX(1,58-(INT((Parametri_v3!$C$29)/30))-1)))*(MOD((Parametri_v3!$C$29),30)/30))*(1+Parametri_v3!$C$26)</f>
        <v>14826.1826086957</v>
      </c>
      <c r="AG182" s="15" t="n">
        <f aca="false">(AG181)+AE182-AF182</f>
        <v>14826.1826086956</v>
      </c>
      <c r="AH182" s="15" t="n">
        <f aca="false">(Motore_Operativo!CK182)*(1+Parametri_v3!$C$28*Parametri_v3!$C$26)</f>
        <v>28223.8806956521</v>
      </c>
      <c r="AI182" s="15" t="n">
        <f aca="false">(IF(58-(INT((Ipotesi!$C$91)/30))&lt;1,0,INDEX(Motore_Advisory!$AH$125:$AH$184,MAX(1,58-(INT((Ipotesi!$C$91)/30)))))*(1-(MOD((Ipotesi!$C$91),30)/30))+IF(58-(INT((Ipotesi!$C$91)/30))-1&lt;1,0,INDEX(Motore_Advisory!$AH$125:$AH$184,MAX(1,58-(INT((Ipotesi!$C$91)/30))-1)))*(MOD((Ipotesi!$C$91),30)/30))</f>
        <v>28223.8806956521</v>
      </c>
      <c r="AJ182" s="15" t="n">
        <f aca="false">(AJ181)+AH182-AI182</f>
        <v>56447.7613913043</v>
      </c>
      <c r="AK182" s="15" t="n">
        <f aca="false">(F182- Motore_Operativo!BH182-(Motore_Operativo!CK182)*Parametri_v3!$C$28-Motore_Operativo!CF182)*Parametri_v3!$C$26</f>
        <v>19691.5164057971</v>
      </c>
      <c r="AL182" s="15" t="n">
        <f aca="false">MAX(0,(AM181))</f>
        <v>19691.5164057971</v>
      </c>
      <c r="AM182" s="15" t="n">
        <f aca="false">(AM181)+AK182-AL182</f>
        <v>19691.5164057971</v>
      </c>
      <c r="AN182" s="15" t="n">
        <f aca="false">SUM(X161:X172)</f>
        <v>91149.8045405</v>
      </c>
      <c r="AO182" s="15" t="n">
        <f aca="false">SUM(AP161:AP172)</f>
        <v>46679.99375</v>
      </c>
      <c r="AP182" s="15" t="n">
        <f aca="false">MAX(0,AN182)*IF(10=Parametri_v3!$C$43,Parametri_v3!$C$45,IF(10=Parametri_v3!$C$44,1-Parametri_v3!$C$45,0))</f>
        <v>0</v>
      </c>
      <c r="AQ182" s="15" t="n">
        <f aca="false">MAX(0,AP182+IF(10=Parametri_v3!$C$43,MAX(0,AN182-AO182),0)-MAX(0,-(AR181)))</f>
        <v>0</v>
      </c>
      <c r="AR182" s="15" t="n">
        <f aca="false">(AR181)+X182-AQ182</f>
        <v>76455.7854673794</v>
      </c>
      <c r="AS182" s="15" t="n">
        <f aca="false">Motore_Operativo!AC182-AT182+AU182</f>
        <v>42145.6153144583</v>
      </c>
      <c r="AT182" s="15" t="n">
        <f aca="false">Motore_Operativo!CI182</f>
        <v>2218.19027970833</v>
      </c>
      <c r="AU182" s="15" t="n">
        <f aca="false">MIN(MAX(0,(AV181)+AT182),Parametri_v3!$C$61/12)</f>
        <v>0</v>
      </c>
      <c r="AV182" s="15" t="n">
        <f aca="false">(AV181)+AT182-AU182</f>
        <v>70458.7443220833</v>
      </c>
      <c r="AW182" s="15" t="n">
        <f aca="false">IF(AND(Motore_Operativo!C182=Finanziamenti!$D$7,Finanziamenti!$F$7=1),Finanziamenti!$C$7,0)</f>
        <v>0</v>
      </c>
      <c r="AX182" s="15" t="n">
        <f aca="false">0</f>
        <v>0</v>
      </c>
      <c r="AY182" s="15" t="n">
        <f aca="false">IF(10=Parametri_v3!$C$33,IF(BV182&lt;MIN(12,$B182-1),0,MIN(MAX(0,SUM(Y161:Y172))*Ipotesi!$C$94,MAX(0,(BM172)-(BO181)-BP182),MAX(0,BD182-Parametri_v3!$C$31))),0)</f>
        <v>0</v>
      </c>
      <c r="AZ182" s="15" t="n">
        <f aca="false">0</f>
        <v>0</v>
      </c>
      <c r="BA182" s="15" t="n">
        <f aca="false">0</f>
        <v>0</v>
      </c>
      <c r="BB182" s="15" t="n">
        <f aca="false">0</f>
        <v>0</v>
      </c>
      <c r="BC182" s="15" t="n">
        <f aca="false">0</f>
        <v>0</v>
      </c>
      <c r="BD182" s="15" t="n">
        <f aca="false">(BH181)+AC182-AF182-AI182-AS182-K182*(1+Parametri_v3!$C$26)-AL182-AQ182-O182+AW182+AX182+AZ182+BA182-BB182</f>
        <v>349717.668167671</v>
      </c>
      <c r="BE182" s="15" t="n">
        <f aca="false">0</f>
        <v>0</v>
      </c>
      <c r="BF182" s="15" t="n">
        <f aca="false">0</f>
        <v>0</v>
      </c>
      <c r="BG182" s="15" t="n">
        <f aca="false">0</f>
        <v>0</v>
      </c>
      <c r="BH182" s="15" t="n">
        <f aca="false">BD182+BE182-BF182-AY182</f>
        <v>349717.668167671</v>
      </c>
      <c r="BI182" s="15" t="n">
        <f aca="false">MAX(0,Parametri_v3!$C$31-BH182)</f>
        <v>0</v>
      </c>
      <c r="BJ182" s="15" t="n">
        <f aca="false">(BJ181)+K182</f>
        <v>27666.6666666667</v>
      </c>
      <c r="BK182" s="15" t="n">
        <f aca="false">(BK181)+L182</f>
        <v>16631.9444444444</v>
      </c>
      <c r="BL182" s="15" t="n">
        <f aca="false">BJ182-BK182</f>
        <v>11034.7222222222</v>
      </c>
      <c r="BM182" s="15" t="n">
        <f aca="false">(BM181)+Y182</f>
        <v>725749.786282475</v>
      </c>
      <c r="BN182" s="15" t="n">
        <f aca="false">(BN181)+AW182+AX182+AZ182</f>
        <v>20000</v>
      </c>
      <c r="BO182" s="15" t="n">
        <f aca="false">(BO181)+AY182</f>
        <v>178091.907826972</v>
      </c>
      <c r="BP182" s="15" t="n">
        <f aca="false">MIN(Parametri_v3!$C$36*Parametri_v3!$C$35,(BP181)+IF(10=1,MAX(0,SUM(Y161:Y172))*Parametri_v3!$C$34,0))</f>
        <v>2000</v>
      </c>
      <c r="BQ182" s="15" t="n">
        <f aca="false">BN182+BM182-BO182</f>
        <v>567657.878455502</v>
      </c>
      <c r="BR182" s="15" t="n">
        <f aca="false">BH182+AD182+BL182+MAX(0,-AM182)+MAX(0,-AR182)</f>
        <v>805537.868650762</v>
      </c>
      <c r="BS182" s="15" t="n">
        <f aca="false">AJ182+AV182+MAX(0,AM182)+MAX(0,AR182)+BC182+BG182+BQ182+AG182</f>
        <v>805537.868650762</v>
      </c>
      <c r="BT182" s="15" t="n">
        <f aca="false">BR182-BS182</f>
        <v>0</v>
      </c>
      <c r="BU182" s="15" t="n">
        <f aca="false">BH182-(BD182+BE182-BF182-AY182)</f>
        <v>0</v>
      </c>
      <c r="BV182" s="15" t="n">
        <f aca="false">IF(BH181&lt;Parametri_v3!$C$31,0,BV181+1)</f>
        <v>29</v>
      </c>
    </row>
    <row r="183" customFormat="false" ht="18" hidden="false" customHeight="true" outlineLevel="0" collapsed="false">
      <c r="A183" s="68" t="n">
        <f aca="false">3</f>
        <v>3</v>
      </c>
      <c r="B183" s="68" t="n">
        <f aca="false">59</f>
        <v>59</v>
      </c>
      <c r="C183" s="18" t="n">
        <f aca="false">Motore_Operativo!C183</f>
        <v>48153</v>
      </c>
      <c r="D183" s="68" t="n">
        <f aca="false">Motore_Operativo!D183</f>
        <v>2031</v>
      </c>
      <c r="E183" s="68" t="n">
        <f aca="false">Motore_Operativo!E183</f>
        <v>11</v>
      </c>
      <c r="F183" s="15" t="n">
        <f aca="false">Motore_Operativo!AM183</f>
        <v>121526.086956522</v>
      </c>
      <c r="G183" s="15" t="n">
        <f aca="false">Motore_Operativo!BH183</f>
        <v>12152.6086956522</v>
      </c>
      <c r="H183" s="15" t="n">
        <f aca="false">Motore_Operativo!AM183</f>
        <v>121526.086956522</v>
      </c>
      <c r="I183" s="15" t="n">
        <f aca="false">Motore_Operativo!CB183</f>
        <v>80516.3128405435</v>
      </c>
      <c r="J183" s="15" t="n">
        <f aca="false">Motore_Operativo!CD183</f>
        <v>41009.7741159783</v>
      </c>
      <c r="K183" s="15" t="n">
        <f aca="false">Motore_Operativo!CF183</f>
        <v>666.666666666667</v>
      </c>
      <c r="L183" s="15" t="n">
        <f aca="false">SUM(INDEX($K$125:$K$184,MAX(1,59-Parametri_v3!$C$59+1)):K183)/Parametri_v3!$C$59</f>
        <v>576.388888888889</v>
      </c>
      <c r="M183" s="15" t="n">
        <f aca="false">J183-L183</f>
        <v>40433.3852270894</v>
      </c>
      <c r="N183" s="15" t="n">
        <f aca="false">0</f>
        <v>0</v>
      </c>
      <c r="O183" s="15" t="n">
        <f aca="false">0</f>
        <v>0</v>
      </c>
      <c r="P183" s="15" t="n">
        <f aca="false">M183+N183-O183</f>
        <v>40433.3852270894</v>
      </c>
      <c r="Q183" s="15" t="n">
        <f aca="false">SUM(P173:P183)+Parametri_v3!$C$56*11/12</f>
        <v>445149.181942428</v>
      </c>
      <c r="R183" s="15" t="n">
        <f aca="false">Z172</f>
        <v>0</v>
      </c>
      <c r="S183" s="15" t="n">
        <f aca="false">AA172</f>
        <v>0</v>
      </c>
      <c r="T183" s="15" t="n">
        <f aca="false">MIN(R183,MAX(0,Q183))</f>
        <v>0</v>
      </c>
      <c r="U183" s="15" t="n">
        <f aca="false">MIN(S183,MAX(0,Q183-T183)*Parametri_v3!$C$42)</f>
        <v>0</v>
      </c>
      <c r="V183" s="15" t="n">
        <f aca="false">MAX(0,Q183-T183-U183)*Ipotesi!$C$92</f>
        <v>106835.803666183</v>
      </c>
      <c r="W183" s="15" t="n">
        <f aca="false">MAX(0,SUM(M173:M183)+Parametri_v3!$C$57*11/12)*Ipotesi!$C$93</f>
        <v>17360.8180957547</v>
      </c>
      <c r="X183" s="15" t="n">
        <f aca="false">V183+W183-(V182+W182)</f>
        <v>11280.9144783579</v>
      </c>
      <c r="Y183" s="15" t="n">
        <f aca="false">P183-X183</f>
        <v>29152.4707487314</v>
      </c>
      <c r="Z183" s="15" t="n">
        <f aca="false">R183-T183+IF(AND(Parametri_v3!$C$40=1,D183-YEAR(Parametri_v3!$C$50)&lt;Parametri_v3!$C$41),MAX(0,-Q183),0)</f>
        <v>0</v>
      </c>
      <c r="AA183" s="15" t="n">
        <f aca="false">S183-U183+IF(AND(Parametri_v3!$C$40=1,D183-YEAR(Parametri_v3!$C$50)&lt;Parametri_v3!$C$41),0,MAX(0,-Q183))</f>
        <v>0</v>
      </c>
      <c r="AB183" s="15" t="n">
        <f aca="false">F183*(1+Parametri_v3!$C$26)</f>
        <v>148261.826086957</v>
      </c>
      <c r="AC183" s="15" t="n">
        <f aca="false">(IF(59-(INT((Motore_Operativo!L183)/30))&lt;1,0,INDEX(Motore_Advisory!$AB$125:$AB$184,MAX(1,59-(INT((Motore_Operativo!L183)/30)))))*(1-(MOD((Motore_Operativo!L183),30)/30))+IF(59-(INT((Motore_Operativo!L183)/30))-1&lt;1,0,INDEX(Motore_Advisory!$AB$125:$AB$184,MAX(1,59-(INT((Motore_Operativo!L183)/30))-1)))*(MOD((Motore_Operativo!L183),30)/30))</f>
        <v>148261.826086957</v>
      </c>
      <c r="AD183" s="15" t="n">
        <f aca="false">(AD182)+AB183-AC183</f>
        <v>444785.478260869</v>
      </c>
      <c r="AE183" s="15" t="n">
        <f aca="false">Motore_Operativo!BH183*(1+Parametri_v3!$C$26)</f>
        <v>14826.1826086957</v>
      </c>
      <c r="AF183" s="15" t="n">
        <f aca="false">(IF(59-(INT((Parametri_v3!$C$29)/30))&lt;1,0,INDEX(Motore_Operativo!$BH$125:$BH$184,MAX(1,59-(INT((Parametri_v3!$C$29)/30)))))*(1-(MOD((Parametri_v3!$C$29),30)/30))+IF(59-(INT((Parametri_v3!$C$29)/30))-1&lt;1,0,INDEX(Motore_Operativo!$BH$125:$BH$184,MAX(1,59-(INT((Parametri_v3!$C$29)/30))-1)))*(MOD((Parametri_v3!$C$29),30)/30))*(1+Parametri_v3!$C$26)</f>
        <v>14826.1826086957</v>
      </c>
      <c r="AG183" s="15" t="n">
        <f aca="false">(AG182)+AE183-AF183</f>
        <v>14826.1826086956</v>
      </c>
      <c r="AH183" s="15" t="n">
        <f aca="false">(Motore_Operativo!CK183)*(1+Parametri_v3!$C$28*Parametri_v3!$C$26)</f>
        <v>28223.8806956521</v>
      </c>
      <c r="AI183" s="15" t="n">
        <f aca="false">(IF(59-(INT((Ipotesi!$C$91)/30))&lt;1,0,INDEX(Motore_Advisory!$AH$125:$AH$184,MAX(1,59-(INT((Ipotesi!$C$91)/30)))))*(1-(MOD((Ipotesi!$C$91),30)/30))+IF(59-(INT((Ipotesi!$C$91)/30))-1&lt;1,0,INDEX(Motore_Advisory!$AH$125:$AH$184,MAX(1,59-(INT((Ipotesi!$C$91)/30))-1)))*(MOD((Ipotesi!$C$91),30)/30))</f>
        <v>28223.8806956521</v>
      </c>
      <c r="AJ183" s="15" t="n">
        <f aca="false">(AJ182)+AH183-AI183</f>
        <v>56447.7613913043</v>
      </c>
      <c r="AK183" s="15" t="n">
        <f aca="false">(F183- Motore_Operativo!BH183-(Motore_Operativo!CK183)*Parametri_v3!$C$28-Motore_Operativo!CF183)*Parametri_v3!$C$26</f>
        <v>19691.5164057971</v>
      </c>
      <c r="AL183" s="15" t="n">
        <f aca="false">MAX(0,(AM182))</f>
        <v>19691.5164057971</v>
      </c>
      <c r="AM183" s="15" t="n">
        <f aca="false">(AM182)+AK183-AL183</f>
        <v>19691.5164057971</v>
      </c>
      <c r="AN183" s="15" t="n">
        <f aca="false">SUM(X161:X172)</f>
        <v>91149.8045405</v>
      </c>
      <c r="AO183" s="15" t="n">
        <f aca="false">SUM(AP161:AP172)</f>
        <v>46679.99375</v>
      </c>
      <c r="AP183" s="15" t="n">
        <f aca="false">MAX(0,AN183)*IF(11=Parametri_v3!$C$43,Parametri_v3!$C$45,IF(11=Parametri_v3!$C$44,1-Parametri_v3!$C$45,0))</f>
        <v>54689.8827243</v>
      </c>
      <c r="AQ183" s="15" t="n">
        <f aca="false">MAX(0,AP183+IF(11=Parametri_v3!$C$43,MAX(0,AN183-AO183),0)-MAX(0,-(AR182)))</f>
        <v>54689.8827243</v>
      </c>
      <c r="AR183" s="15" t="n">
        <f aca="false">(AR182)+X183-AQ183</f>
        <v>33046.8172214373</v>
      </c>
      <c r="AS183" s="15" t="n">
        <f aca="false">Motore_Operativo!AC183-AT183+AU183</f>
        <v>42145.6153144583</v>
      </c>
      <c r="AT183" s="15" t="n">
        <f aca="false">Motore_Operativo!CI183</f>
        <v>2218.19027970833</v>
      </c>
      <c r="AU183" s="15" t="n">
        <f aca="false">MIN(MAX(0,(AV182)+AT183),Parametri_v3!$C$61/12)</f>
        <v>0</v>
      </c>
      <c r="AV183" s="15" t="n">
        <f aca="false">(AV182)+AT183-AU183</f>
        <v>72676.9346017917</v>
      </c>
      <c r="AW183" s="15" t="n">
        <f aca="false">IF(AND(Motore_Operativo!C183=Finanziamenti!$D$7,Finanziamenti!$F$7=1),Finanziamenti!$C$7,0)</f>
        <v>0</v>
      </c>
      <c r="AX183" s="15" t="n">
        <f aca="false">0</f>
        <v>0</v>
      </c>
      <c r="AY183" s="15" t="n">
        <f aca="false">IF(11=Parametri_v3!$C$33,IF(BV183&lt;MIN(12,$B183-1),0,MIN(MAX(0,SUM(Y161:Y172))*Ipotesi!$C$94,MAX(0,(BM172)-(BO182)-BP183),MAX(0,BD183-Parametri_v3!$C$31))),0)</f>
        <v>0</v>
      </c>
      <c r="AZ183" s="15" t="n">
        <f aca="false">0</f>
        <v>0</v>
      </c>
      <c r="BA183" s="15" t="n">
        <f aca="false">0</f>
        <v>0</v>
      </c>
      <c r="BB183" s="15" t="n">
        <f aca="false">0</f>
        <v>0</v>
      </c>
      <c r="BC183" s="15" t="n">
        <f aca="false">0</f>
        <v>0</v>
      </c>
      <c r="BD183" s="15" t="n">
        <f aca="false">(BH182)+AC183-AF183-AI183-AS183-K183*(1+Parametri_v3!$C$26)-AL183-AQ183-O183+AW183+AX183+AZ183+BA183-BB183</f>
        <v>337589.08317239</v>
      </c>
      <c r="BE183" s="15" t="n">
        <f aca="false">0</f>
        <v>0</v>
      </c>
      <c r="BF183" s="15" t="n">
        <f aca="false">0</f>
        <v>0</v>
      </c>
      <c r="BG183" s="15" t="n">
        <f aca="false">0</f>
        <v>0</v>
      </c>
      <c r="BH183" s="15" t="n">
        <f aca="false">BD183+BE183-BF183-AY183</f>
        <v>337589.08317239</v>
      </c>
      <c r="BI183" s="15" t="n">
        <f aca="false">MAX(0,Parametri_v3!$C$31-BH183)</f>
        <v>0</v>
      </c>
      <c r="BJ183" s="15" t="n">
        <f aca="false">(BJ182)+K183</f>
        <v>28333.3333333333</v>
      </c>
      <c r="BK183" s="15" t="n">
        <f aca="false">(BK182)+L183</f>
        <v>17208.3333333333</v>
      </c>
      <c r="BL183" s="15" t="n">
        <f aca="false">BJ183-BK183</f>
        <v>11125</v>
      </c>
      <c r="BM183" s="15" t="n">
        <f aca="false">(BM182)+Y183</f>
        <v>754902.257031206</v>
      </c>
      <c r="BN183" s="15" t="n">
        <f aca="false">(BN182)+AW183+AX183+AZ183</f>
        <v>20000</v>
      </c>
      <c r="BO183" s="15" t="n">
        <f aca="false">(BO182)+AY183</f>
        <v>178091.907826972</v>
      </c>
      <c r="BP183" s="15" t="n">
        <f aca="false">MIN(Parametri_v3!$C$36*Parametri_v3!$C$35,(BP182)+IF(11=1,MAX(0,SUM(Y161:Y172))*Parametri_v3!$C$34,0))</f>
        <v>2000</v>
      </c>
      <c r="BQ183" s="15" t="n">
        <f aca="false">BN183+BM183-BO183</f>
        <v>596810.349204234</v>
      </c>
      <c r="BR183" s="15" t="n">
        <f aca="false">BH183+AD183+BL183+MAX(0,-AM183)+MAX(0,-AR183)</f>
        <v>793499.56143326</v>
      </c>
      <c r="BS183" s="15" t="n">
        <f aca="false">AJ183+AV183+MAX(0,AM183)+MAX(0,AR183)+BC183+BG183+BQ183+AG183</f>
        <v>793499.56143326</v>
      </c>
      <c r="BT183" s="15" t="n">
        <f aca="false">BR183-BS183</f>
        <v>0</v>
      </c>
      <c r="BU183" s="15" t="n">
        <f aca="false">BH183-(BD183+BE183-BF183-AY183)</f>
        <v>0</v>
      </c>
      <c r="BV183" s="15" t="n">
        <f aca="false">IF(BH182&lt;Parametri_v3!$C$31,0,BV182+1)</f>
        <v>30</v>
      </c>
    </row>
    <row r="184" customFormat="false" ht="18" hidden="false" customHeight="true" outlineLevel="0" collapsed="false">
      <c r="A184" s="68" t="n">
        <f aca="false">3</f>
        <v>3</v>
      </c>
      <c r="B184" s="68" t="n">
        <f aca="false">60</f>
        <v>60</v>
      </c>
      <c r="C184" s="18" t="n">
        <f aca="false">Motore_Operativo!C184</f>
        <v>48183</v>
      </c>
      <c r="D184" s="68" t="n">
        <f aca="false">Motore_Operativo!D184</f>
        <v>2031</v>
      </c>
      <c r="E184" s="68" t="n">
        <f aca="false">Motore_Operativo!E184</f>
        <v>12</v>
      </c>
      <c r="F184" s="15" t="n">
        <f aca="false">Motore_Operativo!AM184</f>
        <v>121526.086956522</v>
      </c>
      <c r="G184" s="15" t="n">
        <f aca="false">Motore_Operativo!BH184</f>
        <v>12152.6086956522</v>
      </c>
      <c r="H184" s="15" t="n">
        <f aca="false">Motore_Operativo!AM184</f>
        <v>121526.086956522</v>
      </c>
      <c r="I184" s="15" t="n">
        <f aca="false">Motore_Operativo!CB184</f>
        <v>80516.3128405435</v>
      </c>
      <c r="J184" s="15" t="n">
        <f aca="false">Motore_Operativo!CD184</f>
        <v>41009.7741159783</v>
      </c>
      <c r="K184" s="15" t="n">
        <f aca="false">Motore_Operativo!CF184</f>
        <v>666.666666666667</v>
      </c>
      <c r="L184" s="15" t="n">
        <f aca="false">SUM(INDEX($K$125:$K$184,MAX(1,60-Parametri_v3!$C$59+1)):K184)/Parametri_v3!$C$59</f>
        <v>583.333333333333</v>
      </c>
      <c r="M184" s="15" t="n">
        <f aca="false">J184-L184</f>
        <v>40426.4407826449</v>
      </c>
      <c r="N184" s="15" t="n">
        <f aca="false">0</f>
        <v>0</v>
      </c>
      <c r="O184" s="15" t="n">
        <f aca="false">0</f>
        <v>0</v>
      </c>
      <c r="P184" s="15" t="n">
        <f aca="false">M184+N184-O184</f>
        <v>40426.4407826449</v>
      </c>
      <c r="Q184" s="15" t="n">
        <f aca="false">SUM(P173:P184)+Parametri_v3!$C$56*12/12</f>
        <v>485575.622725073</v>
      </c>
      <c r="R184" s="15" t="n">
        <f aca="false">Z172</f>
        <v>0</v>
      </c>
      <c r="S184" s="15" t="n">
        <f aca="false">AA172</f>
        <v>0</v>
      </c>
      <c r="T184" s="15" t="n">
        <f aca="false">MIN(R184,MAX(0,Q184))</f>
        <v>0</v>
      </c>
      <c r="U184" s="15" t="n">
        <f aca="false">MIN(S184,MAX(0,Q184-T184)*Parametri_v3!$C$42)</f>
        <v>0</v>
      </c>
      <c r="V184" s="15" t="n">
        <f aca="false">MAX(0,Q184-T184-U184)*Ipotesi!$C$92</f>
        <v>116538.149454017</v>
      </c>
      <c r="W184" s="15" t="n">
        <f aca="false">MAX(0,SUM(M173:M184)+Parametri_v3!$C$57*12/12)*Ipotesi!$C$93</f>
        <v>18937.4492862778</v>
      </c>
      <c r="X184" s="15" t="n">
        <f aca="false">V184+W184-(V183+W183)</f>
        <v>11278.9769783579</v>
      </c>
      <c r="Y184" s="15" t="n">
        <f aca="false">P184-X184</f>
        <v>29147.463804287</v>
      </c>
      <c r="Z184" s="15" t="n">
        <f aca="false">R184-T184+IF(AND(Parametri_v3!$C$40=1,D184-YEAR(Parametri_v3!$C$50)&lt;Parametri_v3!$C$41),MAX(0,-Q184),0)</f>
        <v>0</v>
      </c>
      <c r="AA184" s="15" t="n">
        <f aca="false">S184-U184+IF(AND(Parametri_v3!$C$40=1,D184-YEAR(Parametri_v3!$C$50)&lt;Parametri_v3!$C$41),0,MAX(0,-Q184))</f>
        <v>0</v>
      </c>
      <c r="AB184" s="15" t="n">
        <f aca="false">F184*(1+Parametri_v3!$C$26)</f>
        <v>148261.826086957</v>
      </c>
      <c r="AC184" s="15" t="n">
        <f aca="false">(IF(60-(INT((Motore_Operativo!L184)/30))&lt;1,0,INDEX(Motore_Advisory!$AB$125:$AB$184,MAX(1,60-(INT((Motore_Operativo!L184)/30)))))*(1-(MOD((Motore_Operativo!L184),30)/30))+IF(60-(INT((Motore_Operativo!L184)/30))-1&lt;1,0,INDEX(Motore_Advisory!$AB$125:$AB$184,MAX(1,60-(INT((Motore_Operativo!L184)/30))-1)))*(MOD((Motore_Operativo!L184),30)/30))</f>
        <v>148261.826086957</v>
      </c>
      <c r="AD184" s="15" t="n">
        <f aca="false">(AD183)+AB184-AC184</f>
        <v>444785.478260869</v>
      </c>
      <c r="AE184" s="15" t="n">
        <f aca="false">Motore_Operativo!BH184*(1+Parametri_v3!$C$26)</f>
        <v>14826.1826086957</v>
      </c>
      <c r="AF184" s="15" t="n">
        <f aca="false">(IF(60-(INT((Parametri_v3!$C$29)/30))&lt;1,0,INDEX(Motore_Operativo!$BH$125:$BH$184,MAX(1,60-(INT((Parametri_v3!$C$29)/30)))))*(1-(MOD((Parametri_v3!$C$29),30)/30))+IF(60-(INT((Parametri_v3!$C$29)/30))-1&lt;1,0,INDEX(Motore_Operativo!$BH$125:$BH$184,MAX(1,60-(INT((Parametri_v3!$C$29)/30))-1)))*(MOD((Parametri_v3!$C$29),30)/30))*(1+Parametri_v3!$C$26)</f>
        <v>14826.1826086957</v>
      </c>
      <c r="AG184" s="15" t="n">
        <f aca="false">(AG183)+AE184-AF184</f>
        <v>14826.1826086956</v>
      </c>
      <c r="AH184" s="15" t="n">
        <f aca="false">(Motore_Operativo!CK184)*(1+Parametri_v3!$C$28*Parametri_v3!$C$26)</f>
        <v>28223.8806956521</v>
      </c>
      <c r="AI184" s="15" t="n">
        <f aca="false">(IF(60-(INT((Ipotesi!$C$91)/30))&lt;1,0,INDEX(Motore_Advisory!$AH$125:$AH$184,MAX(1,60-(INT((Ipotesi!$C$91)/30)))))*(1-(MOD((Ipotesi!$C$91),30)/30))+IF(60-(INT((Ipotesi!$C$91)/30))-1&lt;1,0,INDEX(Motore_Advisory!$AH$125:$AH$184,MAX(1,60-(INT((Ipotesi!$C$91)/30))-1)))*(MOD((Ipotesi!$C$91),30)/30))</f>
        <v>28223.8806956521</v>
      </c>
      <c r="AJ184" s="15" t="n">
        <f aca="false">(AJ183)+AH184-AI184</f>
        <v>56447.7613913043</v>
      </c>
      <c r="AK184" s="15" t="n">
        <f aca="false">(F184- Motore_Operativo!BH184-(Motore_Operativo!CK184)*Parametri_v3!$C$28-Motore_Operativo!CF184)*Parametri_v3!$C$26</f>
        <v>19691.5164057971</v>
      </c>
      <c r="AL184" s="15" t="n">
        <f aca="false">MAX(0,(AM183))</f>
        <v>19691.5164057971</v>
      </c>
      <c r="AM184" s="15" t="n">
        <f aca="false">(AM183)+AK184-AL184</f>
        <v>19691.5164057971</v>
      </c>
      <c r="AN184" s="15" t="n">
        <f aca="false">SUM(X161:X172)</f>
        <v>91149.8045405</v>
      </c>
      <c r="AO184" s="15" t="n">
        <f aca="false">SUM(AP161:AP172)</f>
        <v>46679.99375</v>
      </c>
      <c r="AP184" s="15" t="n">
        <f aca="false">MAX(0,AN184)*IF(12=Parametri_v3!$C$43,Parametri_v3!$C$45,IF(12=Parametri_v3!$C$44,1-Parametri_v3!$C$45,0))</f>
        <v>0</v>
      </c>
      <c r="AQ184" s="15" t="n">
        <f aca="false">MAX(0,AP184+IF(12=Parametri_v3!$C$43,MAX(0,AN184-AO184),0)-MAX(0,-(AR183)))</f>
        <v>0</v>
      </c>
      <c r="AR184" s="15" t="n">
        <f aca="false">(AR183)+X184-AQ184</f>
        <v>44325.7941997953</v>
      </c>
      <c r="AS184" s="15" t="n">
        <f aca="false">Motore_Operativo!AC184-AT184+AU184</f>
        <v>42145.6153144583</v>
      </c>
      <c r="AT184" s="15" t="n">
        <f aca="false">Motore_Operativo!CI184</f>
        <v>2218.19027970833</v>
      </c>
      <c r="AU184" s="15" t="n">
        <f aca="false">MIN(MAX(0,(AV183)+AT184),Parametri_v3!$C$61/12)</f>
        <v>0</v>
      </c>
      <c r="AV184" s="15" t="n">
        <f aca="false">(AV183)+AT184-AU184</f>
        <v>74895.1248815</v>
      </c>
      <c r="AW184" s="15" t="n">
        <f aca="false">IF(AND(Motore_Operativo!C184=Finanziamenti!$D$7,Finanziamenti!$F$7=1),Finanziamenti!$C$7,0)</f>
        <v>0</v>
      </c>
      <c r="AX184" s="15" t="n">
        <f aca="false">0</f>
        <v>0</v>
      </c>
      <c r="AY184" s="15" t="n">
        <f aca="false">IF(12=Parametri_v3!$C$33,IF(BV184&lt;MIN(12,$B184-1),0,MIN(MAX(0,SUM(Y161:Y172))*Ipotesi!$C$94,MAX(0,(BM172)-(BO183)-BP184),MAX(0,BD184-Parametri_v3!$C$31))),0)</f>
        <v>0</v>
      </c>
      <c r="AZ184" s="15" t="n">
        <f aca="false">0</f>
        <v>0</v>
      </c>
      <c r="BA184" s="15" t="n">
        <f aca="false">0</f>
        <v>0</v>
      </c>
      <c r="BB184" s="15" t="n">
        <f aca="false">0</f>
        <v>0</v>
      </c>
      <c r="BC184" s="15" t="n">
        <f aca="false">0</f>
        <v>0</v>
      </c>
      <c r="BD184" s="15" t="n">
        <f aca="false">(BH183)+AC184-AF184-AI184-AS184-K184*(1+Parametri_v3!$C$26)-AL184-AQ184-O184+AW184+AX184+AZ184+BA184-BB184</f>
        <v>380150.380901411</v>
      </c>
      <c r="BE184" s="15" t="n">
        <f aca="false">0</f>
        <v>0</v>
      </c>
      <c r="BF184" s="15" t="n">
        <f aca="false">0</f>
        <v>0</v>
      </c>
      <c r="BG184" s="15" t="n">
        <f aca="false">0</f>
        <v>0</v>
      </c>
      <c r="BH184" s="15" t="n">
        <f aca="false">BD184+BE184-BF184-AY184</f>
        <v>380150.380901411</v>
      </c>
      <c r="BI184" s="15" t="n">
        <f aca="false">MAX(0,Parametri_v3!$C$31-BH184)</f>
        <v>0</v>
      </c>
      <c r="BJ184" s="15" t="n">
        <f aca="false">(BJ183)+K184</f>
        <v>29000</v>
      </c>
      <c r="BK184" s="15" t="n">
        <f aca="false">(BK183)+L184</f>
        <v>17791.6666666667</v>
      </c>
      <c r="BL184" s="15" t="n">
        <f aca="false">BJ184-BK184</f>
        <v>11208.3333333334</v>
      </c>
      <c r="BM184" s="15" t="n">
        <f aca="false">(BM183)+Y184</f>
        <v>784049.720835493</v>
      </c>
      <c r="BN184" s="15" t="n">
        <f aca="false">(BN183)+AW184+AX184+AZ184</f>
        <v>20000</v>
      </c>
      <c r="BO184" s="15" t="n">
        <f aca="false">(BO183)+AY184</f>
        <v>178091.907826972</v>
      </c>
      <c r="BP184" s="15" t="n">
        <f aca="false">MIN(Parametri_v3!$C$36*Parametri_v3!$C$35,(BP183)+IF(12=1,MAX(0,SUM(Y161:Y172))*Parametri_v3!$C$34,0))</f>
        <v>2000</v>
      </c>
      <c r="BQ184" s="15" t="n">
        <f aca="false">BN184+BM184-BO184</f>
        <v>625957.813008521</v>
      </c>
      <c r="BR184" s="15" t="n">
        <f aca="false">BH184+AD184+BL184+MAX(0,-AM184)+MAX(0,-AR184)</f>
        <v>836144.192495613</v>
      </c>
      <c r="BS184" s="15" t="n">
        <f aca="false">AJ184+AV184+MAX(0,AM184)+MAX(0,AR184)+BC184+BG184+BQ184+AG184</f>
        <v>836144.192495613</v>
      </c>
      <c r="BT184" s="15" t="n">
        <f aca="false">BR184-BS184</f>
        <v>0</v>
      </c>
      <c r="BU184" s="15" t="n">
        <f aca="false">BH184-(BD184+BE184-BF184-AY184)</f>
        <v>0</v>
      </c>
      <c r="BV184" s="15" t="n">
        <f aca="false">IF(BH183&lt;Parametri_v3!$C$31,0,BV183+1)</f>
        <v>31</v>
      </c>
    </row>
    <row r="185" customFormat="false" ht="18" hidden="false" customHeight="true" outlineLevel="0" collapsed="false">
      <c r="A185" s="68" t="n">
        <f aca="false">4</f>
        <v>4</v>
      </c>
      <c r="B185" s="68" t="n">
        <f aca="false">1</f>
        <v>1</v>
      </c>
      <c r="C185" s="18" t="n">
        <f aca="false">Motore_Operativo!C185</f>
        <v>46388</v>
      </c>
      <c r="D185" s="68" t="n">
        <f aca="false">Motore_Operativo!D185</f>
        <v>2027</v>
      </c>
      <c r="E185" s="68" t="n">
        <f aca="false">Motore_Operativo!E185</f>
        <v>1</v>
      </c>
      <c r="F185" s="15" t="n">
        <f aca="false">Motore_Operativo!AM185</f>
        <v>8250</v>
      </c>
      <c r="G185" s="15" t="n">
        <f aca="false">Motore_Operativo!BH185</f>
        <v>825</v>
      </c>
      <c r="H185" s="15" t="n">
        <f aca="false">Motore_Operativo!AM185</f>
        <v>8250</v>
      </c>
      <c r="I185" s="15" t="n">
        <f aca="false">Motore_Operativo!CB185</f>
        <v>10840.8333333333</v>
      </c>
      <c r="J185" s="15" t="n">
        <f aca="false">Motore_Operativo!CD185</f>
        <v>-2590.83333333333</v>
      </c>
      <c r="K185" s="15" t="n">
        <f aca="false">Motore_Operativo!CF185</f>
        <v>250</v>
      </c>
      <c r="L185" s="15" t="n">
        <f aca="false">SUM(INDEX($K$185:$K$244,MAX(1,1-Parametri_v3!$C$59+1)):K185)/Parametri_v3!$C$59</f>
        <v>6.94444444444445</v>
      </c>
      <c r="M185" s="15" t="n">
        <f aca="false">J185-L185</f>
        <v>-2597.77777777777</v>
      </c>
      <c r="N185" s="15" t="n">
        <f aca="false">0</f>
        <v>0</v>
      </c>
      <c r="O185" s="15" t="n">
        <f aca="false">0</f>
        <v>0</v>
      </c>
      <c r="P185" s="15" t="n">
        <f aca="false">M185+N185-O185</f>
        <v>-2597.77777777777</v>
      </c>
      <c r="Q185" s="15" t="n">
        <f aca="false">SUM(P185)+Parametri_v3!$C$56*1/12</f>
        <v>-2597.77777777777</v>
      </c>
      <c r="R185" s="15" t="n">
        <f aca="false">0</f>
        <v>0</v>
      </c>
      <c r="S185" s="15" t="n">
        <f aca="false">0</f>
        <v>0</v>
      </c>
      <c r="T185" s="15" t="n">
        <f aca="false">MIN(R185,MAX(0,Q185))</f>
        <v>0</v>
      </c>
      <c r="U185" s="15" t="n">
        <f aca="false">MIN(S185,MAX(0,Q185-T185)*Parametri_v3!$C$42)</f>
        <v>0</v>
      </c>
      <c r="V185" s="15" t="n">
        <f aca="false">MAX(0,Q185-T185-U185)*Ipotesi!$C$92</f>
        <v>0</v>
      </c>
      <c r="W185" s="15" t="n">
        <f aca="false">MAX(0,SUM(M185)+Parametri_v3!$C$57*1/12)*Ipotesi!$C$93</f>
        <v>0</v>
      </c>
      <c r="X185" s="15" t="n">
        <f aca="false">V185+W185-(0)</f>
        <v>0</v>
      </c>
      <c r="Y185" s="15" t="n">
        <f aca="false">P185-X185</f>
        <v>-2597.77777777777</v>
      </c>
      <c r="Z185" s="15" t="n">
        <f aca="false">R185-T185+IF(AND(Parametri_v3!$C$40=1,D185-YEAR(Parametri_v3!$C$50)&lt;Parametri_v3!$C$41),MAX(0,-Q185),0)</f>
        <v>2597.77777777777</v>
      </c>
      <c r="AA185" s="15" t="n">
        <f aca="false">S185-U185+IF(AND(Parametri_v3!$C$40=1,D185-YEAR(Parametri_v3!$C$50)&lt;Parametri_v3!$C$41),0,MAX(0,-Q185))</f>
        <v>0</v>
      </c>
      <c r="AB185" s="15" t="n">
        <f aca="false">F185*(1+Parametri_v3!$C$26)</f>
        <v>10065</v>
      </c>
      <c r="AC185" s="15" t="n">
        <f aca="false">(IF(1-(INT((Motore_Operativo!L185)/30))&lt;1,0,INDEX(Motore_Advisory!$AB$185:$AB$244,MAX(1,1-(INT((Motore_Operativo!L185)/30)))))*(1-(MOD((Motore_Operativo!L185),30)/30))+IF(1-(INT((Motore_Operativo!L185)/30))-1&lt;1,0,INDEX(Motore_Advisory!$AB$185:$AB$244,MAX(1,1-(INT((Motore_Operativo!L185)/30))-1)))*(MOD((Motore_Operativo!L185),30)/30))</f>
        <v>0</v>
      </c>
      <c r="AD185" s="15" t="n">
        <f aca="false">(0)+AB185-AC185</f>
        <v>10065</v>
      </c>
      <c r="AE185" s="15" t="n">
        <f aca="false">Motore_Operativo!BH185*(1+Parametri_v3!$C$26)</f>
        <v>1006.5</v>
      </c>
      <c r="AF185" s="15" t="n">
        <f aca="false">(IF(1-(INT((Parametri_v3!$C$29)/30))&lt;1,0,INDEX(Motore_Operativo!$BH$185:$BH$244,MAX(1,1-(INT((Parametri_v3!$C$29)/30)))))*(1-(MOD((Parametri_v3!$C$29),30)/30))+IF(1-(INT((Parametri_v3!$C$29)/30))-1&lt;1,0,INDEX(Motore_Operativo!$BH$185:$BH$244,MAX(1,1-(INT((Parametri_v3!$C$29)/30))-1)))*(MOD((Parametri_v3!$C$29),30)/30))*(1+Parametri_v3!$C$26)</f>
        <v>0</v>
      </c>
      <c r="AG185" s="15" t="n">
        <f aca="false">(0)+AE185-AF185</f>
        <v>1006.5</v>
      </c>
      <c r="AH185" s="15" t="n">
        <f aca="false">(Motore_Operativo!CK185)*(1+Parametri_v3!$C$28*Parametri_v3!$C$26)</f>
        <v>5604.62</v>
      </c>
      <c r="AI185" s="15" t="n">
        <f aca="false">(IF(1-(INT((Ipotesi!$C$91)/30))&lt;1,0,INDEX(Motore_Advisory!$AH$185:$AH$244,MAX(1,1-(INT((Ipotesi!$C$91)/30)))))*(1-(MOD((Ipotesi!$C$91),30)/30))+IF(1-(INT((Ipotesi!$C$91)/30))-1&lt;1,0,INDEX(Motore_Advisory!$AH$185:$AH$244,MAX(1,1-(INT((Ipotesi!$C$91)/30))-1)))*(MOD((Ipotesi!$C$91),30)/30))</f>
        <v>0</v>
      </c>
      <c r="AJ185" s="15" t="n">
        <f aca="false">(0)+AH185-AI185</f>
        <v>5604.62</v>
      </c>
      <c r="AK185" s="15" t="n">
        <f aca="false">(F185- Motore_Operativo!BH185-(Motore_Operativo!CK185)*Parametri_v3!$C$28-Motore_Operativo!CF185)*Parametri_v3!$C$26</f>
        <v>739.713333333334</v>
      </c>
      <c r="AL185" s="15" t="n">
        <f aca="false">MAX(0,(0))</f>
        <v>0</v>
      </c>
      <c r="AM185" s="15" t="n">
        <f aca="false">(0)+AK185-AL185</f>
        <v>739.713333333334</v>
      </c>
      <c r="AN185" s="15" t="n">
        <f aca="false">0</f>
        <v>0</v>
      </c>
      <c r="AO185" s="15" t="n">
        <f aca="false">0</f>
        <v>0</v>
      </c>
      <c r="AP185" s="15" t="n">
        <f aca="false">MAX(0,AN185)*IF(1=Parametri_v3!$C$43,Parametri_v3!$C$45,IF(1=Parametri_v3!$C$44,1-Parametri_v3!$C$45,0))</f>
        <v>0</v>
      </c>
      <c r="AQ185" s="15" t="n">
        <f aca="false">MAX(0,AP185+IF(1=Parametri_v3!$C$43,MAX(0,AN185-AO185),0)-MAX(0,-(0)))</f>
        <v>0</v>
      </c>
      <c r="AR185" s="15" t="n">
        <f aca="false">(0)+X185-AQ185</f>
        <v>0</v>
      </c>
      <c r="AS185" s="15" t="n">
        <f aca="false">Motore_Operativo!AC185-AT185+AU185</f>
        <v>4987.5</v>
      </c>
      <c r="AT185" s="15" t="n">
        <f aca="false">Motore_Operativo!CI185</f>
        <v>262.5</v>
      </c>
      <c r="AU185" s="15" t="n">
        <f aca="false">MIN(MAX(0,(0)+AT185),Parametri_v3!$C$61/12)</f>
        <v>0</v>
      </c>
      <c r="AV185" s="15" t="n">
        <f aca="false">(0)+AT185-AU185</f>
        <v>262.5</v>
      </c>
      <c r="AW185" s="15" t="n">
        <f aca="false">IF(AND(Motore_Operativo!C185=Finanziamenti!$D$7,Finanziamenti!$F$7=1),Finanziamenti!$C$7,0)</f>
        <v>20000</v>
      </c>
      <c r="AX185" s="15" t="n">
        <f aca="false">0</f>
        <v>0</v>
      </c>
      <c r="AY185" s="15" t="n">
        <f aca="false">IF(1=Parametri_v3!$C$33,MIN(MAX(0,0)*Ipotesi!$C$94,MAX(0,(0)-(0)-BP185),MAX(0,BD185-Parametri_v3!$C$31)),0)</f>
        <v>0</v>
      </c>
      <c r="AZ185" s="15" t="n">
        <f aca="false">0</f>
        <v>0</v>
      </c>
      <c r="BA185" s="15" t="n">
        <f aca="false">0</f>
        <v>0</v>
      </c>
      <c r="BB185" s="15" t="n">
        <f aca="false">0</f>
        <v>0</v>
      </c>
      <c r="BC185" s="15" t="n">
        <f aca="false">0</f>
        <v>0</v>
      </c>
      <c r="BD185" s="15" t="n">
        <f aca="false">(0)+AC185-AF185-AI185-AS185-K185*(1+Parametri_v3!$C$26)-AL185-AQ185-O185+AW185+AX185+AZ185+BA185-BB185</f>
        <v>14707.5</v>
      </c>
      <c r="BE185" s="15" t="n">
        <f aca="false">0</f>
        <v>0</v>
      </c>
      <c r="BF185" s="15" t="n">
        <f aca="false">0</f>
        <v>0</v>
      </c>
      <c r="BG185" s="15" t="n">
        <f aca="false">0</f>
        <v>0</v>
      </c>
      <c r="BH185" s="15" t="n">
        <f aca="false">BD185+BE185-BF185-AY185</f>
        <v>14707.5</v>
      </c>
      <c r="BI185" s="15" t="n">
        <f aca="false">MAX(0,Parametri_v3!$C$31-BH185)</f>
        <v>0</v>
      </c>
      <c r="BJ185" s="15" t="n">
        <f aca="false">(0)+K185</f>
        <v>250</v>
      </c>
      <c r="BK185" s="15" t="n">
        <f aca="false">(0)+L185</f>
        <v>6.94444444444445</v>
      </c>
      <c r="BL185" s="15" t="n">
        <f aca="false">BJ185-BK185</f>
        <v>243.055555555556</v>
      </c>
      <c r="BM185" s="15" t="n">
        <f aca="false">(0)+Y185</f>
        <v>-2597.77777777777</v>
      </c>
      <c r="BN185" s="15" t="n">
        <f aca="false">(0)+AW185+AX185+AZ185</f>
        <v>20000</v>
      </c>
      <c r="BO185" s="15" t="n">
        <f aca="false">(0)+AY185</f>
        <v>0</v>
      </c>
      <c r="BP185" s="15" t="n">
        <f aca="false">MIN(Parametri_v3!$C$36*Parametri_v3!$C$35,(0)+IF(1=1,MAX(0,0)*Parametri_v3!$C$34,0))</f>
        <v>0</v>
      </c>
      <c r="BQ185" s="15" t="n">
        <f aca="false">BN185+BM185-BO185</f>
        <v>17402.2222222222</v>
      </c>
      <c r="BR185" s="15" t="n">
        <f aca="false">BH185+AD185+BL185+MAX(0,-AM185)+MAX(0,-AR185)</f>
        <v>25015.5555555556</v>
      </c>
      <c r="BS185" s="15" t="n">
        <f aca="false">AJ185+AV185+MAX(0,AM185)+MAX(0,AR185)+BC185+BG185+BQ185+AG185</f>
        <v>25015.5555555556</v>
      </c>
      <c r="BT185" s="15" t="n">
        <f aca="false">BR185-BS185</f>
        <v>0</v>
      </c>
      <c r="BU185" s="15" t="n">
        <f aca="false">BH185-(BD185+BE185-BF185-AY185)</f>
        <v>0</v>
      </c>
      <c r="BV185" s="15" t="n">
        <f aca="false">0</f>
        <v>0</v>
      </c>
    </row>
    <row r="186" customFormat="false" ht="18" hidden="false" customHeight="true" outlineLevel="0" collapsed="false">
      <c r="A186" s="68" t="n">
        <f aca="false">4</f>
        <v>4</v>
      </c>
      <c r="B186" s="68" t="n">
        <f aca="false">2</f>
        <v>2</v>
      </c>
      <c r="C186" s="18" t="n">
        <f aca="false">Motore_Operativo!C186</f>
        <v>46419</v>
      </c>
      <c r="D186" s="68" t="n">
        <f aca="false">Motore_Operativo!D186</f>
        <v>2027</v>
      </c>
      <c r="E186" s="68" t="n">
        <f aca="false">Motore_Operativo!E186</f>
        <v>2</v>
      </c>
      <c r="F186" s="15" t="n">
        <f aca="false">Motore_Operativo!AM186</f>
        <v>8250</v>
      </c>
      <c r="G186" s="15" t="n">
        <f aca="false">Motore_Operativo!BH186</f>
        <v>825</v>
      </c>
      <c r="H186" s="15" t="n">
        <f aca="false">Motore_Operativo!AM186</f>
        <v>8250</v>
      </c>
      <c r="I186" s="15" t="n">
        <f aca="false">Motore_Operativo!CB186</f>
        <v>10840.8333333333</v>
      </c>
      <c r="J186" s="15" t="n">
        <f aca="false">Motore_Operativo!CD186</f>
        <v>-2590.83333333333</v>
      </c>
      <c r="K186" s="15" t="n">
        <f aca="false">Motore_Operativo!CF186</f>
        <v>250</v>
      </c>
      <c r="L186" s="15" t="n">
        <f aca="false">SUM(INDEX($K$185:$K$244,MAX(1,2-Parametri_v3!$C$59+1)):K186)/Parametri_v3!$C$59</f>
        <v>13.8888888888889</v>
      </c>
      <c r="M186" s="15" t="n">
        <f aca="false">J186-L186</f>
        <v>-2604.72222222222</v>
      </c>
      <c r="N186" s="15" t="n">
        <f aca="false">0</f>
        <v>0</v>
      </c>
      <c r="O186" s="15" t="n">
        <f aca="false">0</f>
        <v>0</v>
      </c>
      <c r="P186" s="15" t="n">
        <f aca="false">M186+N186-O186</f>
        <v>-2604.72222222222</v>
      </c>
      <c r="Q186" s="15" t="n">
        <f aca="false">SUM(P185:P186)+Parametri_v3!$C$56*2/12</f>
        <v>-5202.49999999999</v>
      </c>
      <c r="R186" s="15" t="n">
        <f aca="false">0</f>
        <v>0</v>
      </c>
      <c r="S186" s="15" t="n">
        <f aca="false">0</f>
        <v>0</v>
      </c>
      <c r="T186" s="15" t="n">
        <f aca="false">MIN(R186,MAX(0,Q186))</f>
        <v>0</v>
      </c>
      <c r="U186" s="15" t="n">
        <f aca="false">MIN(S186,MAX(0,Q186-T186)*Parametri_v3!$C$42)</f>
        <v>0</v>
      </c>
      <c r="V186" s="15" t="n">
        <f aca="false">MAX(0,Q186-T186-U186)*Ipotesi!$C$92</f>
        <v>0</v>
      </c>
      <c r="W186" s="15" t="n">
        <f aca="false">MAX(0,SUM(M185:M186)+Parametri_v3!$C$57*2/12)*Ipotesi!$C$93</f>
        <v>0</v>
      </c>
      <c r="X186" s="15" t="n">
        <f aca="false">V186+W186-(V185+W185)</f>
        <v>0</v>
      </c>
      <c r="Y186" s="15" t="n">
        <f aca="false">P186-X186</f>
        <v>-2604.72222222222</v>
      </c>
      <c r="Z186" s="15" t="n">
        <f aca="false">R186-T186+IF(AND(Parametri_v3!$C$40=1,D186-YEAR(Parametri_v3!$C$50)&lt;Parametri_v3!$C$41),MAX(0,-Q186),0)</f>
        <v>5202.49999999999</v>
      </c>
      <c r="AA186" s="15" t="n">
        <f aca="false">S186-U186+IF(AND(Parametri_v3!$C$40=1,D186-YEAR(Parametri_v3!$C$50)&lt;Parametri_v3!$C$41),0,MAX(0,-Q186))</f>
        <v>0</v>
      </c>
      <c r="AB186" s="15" t="n">
        <f aca="false">F186*(1+Parametri_v3!$C$26)</f>
        <v>10065</v>
      </c>
      <c r="AC186" s="15" t="n">
        <f aca="false">(IF(2-(INT((Motore_Operativo!L186)/30))&lt;1,0,INDEX(Motore_Advisory!$AB$185:$AB$244,MAX(1,2-(INT((Motore_Operativo!L186)/30)))))*(1-(MOD((Motore_Operativo!L186),30)/30))+IF(2-(INT((Motore_Operativo!L186)/30))-1&lt;1,0,INDEX(Motore_Advisory!$AB$185:$AB$244,MAX(1,2-(INT((Motore_Operativo!L186)/30))-1)))*(MOD((Motore_Operativo!L186),30)/30))</f>
        <v>0</v>
      </c>
      <c r="AD186" s="15" t="n">
        <f aca="false">(AD185)+AB186-AC186</f>
        <v>20130</v>
      </c>
      <c r="AE186" s="15" t="n">
        <f aca="false">Motore_Operativo!BH186*(1+Parametri_v3!$C$26)</f>
        <v>1006.5</v>
      </c>
      <c r="AF186" s="15" t="n">
        <f aca="false">(IF(2-(INT((Parametri_v3!$C$29)/30))&lt;1,0,INDEX(Motore_Operativo!$BH$185:$BH$244,MAX(1,2-(INT((Parametri_v3!$C$29)/30)))))*(1-(MOD((Parametri_v3!$C$29),30)/30))+IF(2-(INT((Parametri_v3!$C$29)/30))-1&lt;1,0,INDEX(Motore_Operativo!$BH$185:$BH$244,MAX(1,2-(INT((Parametri_v3!$C$29)/30))-1)))*(MOD((Parametri_v3!$C$29),30)/30))*(1+Parametri_v3!$C$26)</f>
        <v>1006.5</v>
      </c>
      <c r="AG186" s="15" t="n">
        <f aca="false">(AG185)+AE186-AF186</f>
        <v>1006.5</v>
      </c>
      <c r="AH186" s="15" t="n">
        <f aca="false">(Motore_Operativo!CK186)*(1+Parametri_v3!$C$28*Parametri_v3!$C$26)</f>
        <v>5604.62</v>
      </c>
      <c r="AI186" s="15" t="n">
        <f aca="false">(IF(2-(INT((Ipotesi!$C$91)/30))&lt;1,0,INDEX(Motore_Advisory!$AH$185:$AH$244,MAX(1,2-(INT((Ipotesi!$C$91)/30)))))*(1-(MOD((Ipotesi!$C$91),30)/30))+IF(2-(INT((Ipotesi!$C$91)/30))-1&lt;1,0,INDEX(Motore_Advisory!$AH$185:$AH$244,MAX(1,2-(INT((Ipotesi!$C$91)/30))-1)))*(MOD((Ipotesi!$C$91),30)/30))</f>
        <v>0</v>
      </c>
      <c r="AJ186" s="15" t="n">
        <f aca="false">(AJ185)+AH186-AI186</f>
        <v>11209.24</v>
      </c>
      <c r="AK186" s="15" t="n">
        <f aca="false">(F186- Motore_Operativo!BH186-(Motore_Operativo!CK186)*Parametri_v3!$C$28-Motore_Operativo!CF186)*Parametri_v3!$C$26</f>
        <v>739.713333333334</v>
      </c>
      <c r="AL186" s="15" t="n">
        <f aca="false">MAX(0,(AM185))</f>
        <v>739.713333333334</v>
      </c>
      <c r="AM186" s="15" t="n">
        <f aca="false">(AM185)+AK186-AL186</f>
        <v>739.713333333334</v>
      </c>
      <c r="AN186" s="15" t="n">
        <f aca="false">0</f>
        <v>0</v>
      </c>
      <c r="AO186" s="15" t="n">
        <f aca="false">0</f>
        <v>0</v>
      </c>
      <c r="AP186" s="15" t="n">
        <f aca="false">MAX(0,AN186)*IF(2=Parametri_v3!$C$43,Parametri_v3!$C$45,IF(2=Parametri_v3!$C$44,1-Parametri_v3!$C$45,0))</f>
        <v>0</v>
      </c>
      <c r="AQ186" s="15" t="n">
        <f aca="false">MAX(0,AP186+IF(2=Parametri_v3!$C$43,MAX(0,AN186-AO186),0)-MAX(0,-(AR185)))</f>
        <v>0</v>
      </c>
      <c r="AR186" s="15" t="n">
        <f aca="false">(AR185)+X186-AQ186</f>
        <v>0</v>
      </c>
      <c r="AS186" s="15" t="n">
        <f aca="false">Motore_Operativo!AC186-AT186+AU186</f>
        <v>4987.5</v>
      </c>
      <c r="AT186" s="15" t="n">
        <f aca="false">Motore_Operativo!CI186</f>
        <v>262.5</v>
      </c>
      <c r="AU186" s="15" t="n">
        <f aca="false">MIN(MAX(0,(AV185)+AT186),Parametri_v3!$C$61/12)</f>
        <v>0</v>
      </c>
      <c r="AV186" s="15" t="n">
        <f aca="false">(AV185)+AT186-AU186</f>
        <v>525</v>
      </c>
      <c r="AW186" s="15" t="n">
        <f aca="false">IF(AND(Motore_Operativo!C186=Finanziamenti!$D$7,Finanziamenti!$F$7=1),Finanziamenti!$C$7,0)</f>
        <v>0</v>
      </c>
      <c r="AX186" s="15" t="n">
        <f aca="false">0</f>
        <v>0</v>
      </c>
      <c r="AY186" s="15" t="n">
        <f aca="false">IF(2=Parametri_v3!$C$33,IF(BV186&lt;MIN(12,$B186-1),0,MIN(MAX(0,0)*Ipotesi!$C$94,MAX(0,(0)-(BO185)-BP186),MAX(0,BD186-Parametri_v3!$C$31))),0)</f>
        <v>0</v>
      </c>
      <c r="AZ186" s="15" t="n">
        <f aca="false">0</f>
        <v>0</v>
      </c>
      <c r="BA186" s="15" t="n">
        <f aca="false">0</f>
        <v>0</v>
      </c>
      <c r="BB186" s="15" t="n">
        <f aca="false">0</f>
        <v>0</v>
      </c>
      <c r="BC186" s="15" t="n">
        <f aca="false">0</f>
        <v>0</v>
      </c>
      <c r="BD186" s="15" t="n">
        <f aca="false">(BH185)+AC186-AF186-AI186-AS186-K186*(1+Parametri_v3!$C$26)-AL186-AQ186-O186+AW186+AX186+AZ186+BA186-BB186</f>
        <v>7668.78666666667</v>
      </c>
      <c r="BE186" s="15" t="n">
        <f aca="false">0</f>
        <v>0</v>
      </c>
      <c r="BF186" s="15" t="n">
        <f aca="false">0</f>
        <v>0</v>
      </c>
      <c r="BG186" s="15" t="n">
        <f aca="false">0</f>
        <v>0</v>
      </c>
      <c r="BH186" s="15" t="n">
        <f aca="false">BD186+BE186-BF186-AY186</f>
        <v>7668.78666666667</v>
      </c>
      <c r="BI186" s="15" t="n">
        <f aca="false">MAX(0,Parametri_v3!$C$31-BH186)</f>
        <v>2331.21333333333</v>
      </c>
      <c r="BJ186" s="15" t="n">
        <f aca="false">(BJ185)+K186</f>
        <v>500</v>
      </c>
      <c r="BK186" s="15" t="n">
        <f aca="false">(BK185)+L186</f>
        <v>20.8333333333333</v>
      </c>
      <c r="BL186" s="15" t="n">
        <f aca="false">BJ186-BK186</f>
        <v>479.166666666667</v>
      </c>
      <c r="BM186" s="15" t="n">
        <f aca="false">(BM185)+Y186</f>
        <v>-5202.49999999999</v>
      </c>
      <c r="BN186" s="15" t="n">
        <f aca="false">(BN185)+AW186+AX186+AZ186</f>
        <v>20000</v>
      </c>
      <c r="BO186" s="15" t="n">
        <f aca="false">(BO185)+AY186</f>
        <v>0</v>
      </c>
      <c r="BP186" s="15" t="n">
        <f aca="false">MIN(Parametri_v3!$C$36*Parametri_v3!$C$35,(BP185)+IF(2=1,MAX(0,0)*Parametri_v3!$C$34,0))</f>
        <v>0</v>
      </c>
      <c r="BQ186" s="15" t="n">
        <f aca="false">BN186+BM186-BO186</f>
        <v>14797.5</v>
      </c>
      <c r="BR186" s="15" t="n">
        <f aca="false">BH186+AD186+BL186+MAX(0,-AM186)+MAX(0,-AR186)</f>
        <v>28277.9533333333</v>
      </c>
      <c r="BS186" s="15" t="n">
        <f aca="false">AJ186+AV186+MAX(0,AM186)+MAX(0,AR186)+BC186+BG186+BQ186+AG186</f>
        <v>28277.9533333333</v>
      </c>
      <c r="BT186" s="15" t="n">
        <f aca="false">BR186-BS186</f>
        <v>0</v>
      </c>
      <c r="BU186" s="15" t="n">
        <f aca="false">BH186-(BD186+BE186-BF186-AY186)</f>
        <v>0</v>
      </c>
      <c r="BV186" s="15" t="n">
        <f aca="false">IF(BH185&lt;Parametri_v3!$C$31,0,BV185+1)</f>
        <v>1</v>
      </c>
    </row>
    <row r="187" customFormat="false" ht="18" hidden="false" customHeight="true" outlineLevel="0" collapsed="false">
      <c r="A187" s="68" t="n">
        <f aca="false">4</f>
        <v>4</v>
      </c>
      <c r="B187" s="68" t="n">
        <f aca="false">3</f>
        <v>3</v>
      </c>
      <c r="C187" s="18" t="n">
        <f aca="false">Motore_Operativo!C187</f>
        <v>46447</v>
      </c>
      <c r="D187" s="68" t="n">
        <f aca="false">Motore_Operativo!D187</f>
        <v>2027</v>
      </c>
      <c r="E187" s="68" t="n">
        <f aca="false">Motore_Operativo!E187</f>
        <v>3</v>
      </c>
      <c r="F187" s="15" t="n">
        <f aca="false">Motore_Operativo!AM187</f>
        <v>8250</v>
      </c>
      <c r="G187" s="15" t="n">
        <f aca="false">Motore_Operativo!BH187</f>
        <v>825</v>
      </c>
      <c r="H187" s="15" t="n">
        <f aca="false">Motore_Operativo!AM187</f>
        <v>8250</v>
      </c>
      <c r="I187" s="15" t="n">
        <f aca="false">Motore_Operativo!CB187</f>
        <v>10840.8333333333</v>
      </c>
      <c r="J187" s="15" t="n">
        <f aca="false">Motore_Operativo!CD187</f>
        <v>-2590.83333333333</v>
      </c>
      <c r="K187" s="15" t="n">
        <f aca="false">Motore_Operativo!CF187</f>
        <v>250</v>
      </c>
      <c r="L187" s="15" t="n">
        <f aca="false">SUM(INDEX($K$185:$K$244,MAX(1,3-Parametri_v3!$C$59+1)):K187)/Parametri_v3!$C$59</f>
        <v>20.8333333333333</v>
      </c>
      <c r="M187" s="15" t="n">
        <f aca="false">J187-L187</f>
        <v>-2611.66666666666</v>
      </c>
      <c r="N187" s="15" t="n">
        <f aca="false">0</f>
        <v>0</v>
      </c>
      <c r="O187" s="15" t="n">
        <f aca="false">0</f>
        <v>0</v>
      </c>
      <c r="P187" s="15" t="n">
        <f aca="false">M187+N187-O187</f>
        <v>-2611.66666666666</v>
      </c>
      <c r="Q187" s="15" t="n">
        <f aca="false">SUM(P185:P187)+Parametri_v3!$C$56*3/12</f>
        <v>-7814.16666666666</v>
      </c>
      <c r="R187" s="15" t="n">
        <f aca="false">0</f>
        <v>0</v>
      </c>
      <c r="S187" s="15" t="n">
        <f aca="false">0</f>
        <v>0</v>
      </c>
      <c r="T187" s="15" t="n">
        <f aca="false">MIN(R187,MAX(0,Q187))</f>
        <v>0</v>
      </c>
      <c r="U187" s="15" t="n">
        <f aca="false">MIN(S187,MAX(0,Q187-T187)*Parametri_v3!$C$42)</f>
        <v>0</v>
      </c>
      <c r="V187" s="15" t="n">
        <f aca="false">MAX(0,Q187-T187-U187)*Ipotesi!$C$92</f>
        <v>0</v>
      </c>
      <c r="W187" s="15" t="n">
        <f aca="false">MAX(0,SUM(M185:M187)+Parametri_v3!$C$57*3/12)*Ipotesi!$C$93</f>
        <v>0</v>
      </c>
      <c r="X187" s="15" t="n">
        <f aca="false">V187+W187-(V186+W186)</f>
        <v>0</v>
      </c>
      <c r="Y187" s="15" t="n">
        <f aca="false">P187-X187</f>
        <v>-2611.66666666666</v>
      </c>
      <c r="Z187" s="15" t="n">
        <f aca="false">R187-T187+IF(AND(Parametri_v3!$C$40=1,D187-YEAR(Parametri_v3!$C$50)&lt;Parametri_v3!$C$41),MAX(0,-Q187),0)</f>
        <v>7814.16666666666</v>
      </c>
      <c r="AA187" s="15" t="n">
        <f aca="false">S187-U187+IF(AND(Parametri_v3!$C$40=1,D187-YEAR(Parametri_v3!$C$50)&lt;Parametri_v3!$C$41),0,MAX(0,-Q187))</f>
        <v>0</v>
      </c>
      <c r="AB187" s="15" t="n">
        <f aca="false">F187*(1+Parametri_v3!$C$26)</f>
        <v>10065</v>
      </c>
      <c r="AC187" s="15" t="n">
        <f aca="false">(IF(3-(INT((Motore_Operativo!L187)/30))&lt;1,0,INDEX(Motore_Advisory!$AB$185:$AB$244,MAX(1,3-(INT((Motore_Operativo!L187)/30)))))*(1-(MOD((Motore_Operativo!L187),30)/30))+IF(3-(INT((Motore_Operativo!L187)/30))-1&lt;1,0,INDEX(Motore_Advisory!$AB$185:$AB$244,MAX(1,3-(INT((Motore_Operativo!L187)/30))-1)))*(MOD((Motore_Operativo!L187),30)/30))</f>
        <v>0</v>
      </c>
      <c r="AD187" s="15" t="n">
        <f aca="false">(AD186)+AB187-AC187</f>
        <v>30195</v>
      </c>
      <c r="AE187" s="15" t="n">
        <f aca="false">Motore_Operativo!BH187*(1+Parametri_v3!$C$26)</f>
        <v>1006.5</v>
      </c>
      <c r="AF187" s="15" t="n">
        <f aca="false">(IF(3-(INT((Parametri_v3!$C$29)/30))&lt;1,0,INDEX(Motore_Operativo!$BH$185:$BH$244,MAX(1,3-(INT((Parametri_v3!$C$29)/30)))))*(1-(MOD((Parametri_v3!$C$29),30)/30))+IF(3-(INT((Parametri_v3!$C$29)/30))-1&lt;1,0,INDEX(Motore_Operativo!$BH$185:$BH$244,MAX(1,3-(INT((Parametri_v3!$C$29)/30))-1)))*(MOD((Parametri_v3!$C$29),30)/30))*(1+Parametri_v3!$C$26)</f>
        <v>1006.5</v>
      </c>
      <c r="AG187" s="15" t="n">
        <f aca="false">(AG186)+AE187-AF187</f>
        <v>1006.5</v>
      </c>
      <c r="AH187" s="15" t="n">
        <f aca="false">(Motore_Operativo!CK187)*(1+Parametri_v3!$C$28*Parametri_v3!$C$26)</f>
        <v>5604.62</v>
      </c>
      <c r="AI187" s="15" t="n">
        <f aca="false">(IF(3-(INT((Ipotesi!$C$91)/30))&lt;1,0,INDEX(Motore_Advisory!$AH$185:$AH$244,MAX(1,3-(INT((Ipotesi!$C$91)/30)))))*(1-(MOD((Ipotesi!$C$91),30)/30))+IF(3-(INT((Ipotesi!$C$91)/30))-1&lt;1,0,INDEX(Motore_Advisory!$AH$185:$AH$244,MAX(1,3-(INT((Ipotesi!$C$91)/30))-1)))*(MOD((Ipotesi!$C$91),30)/30))</f>
        <v>5604.62</v>
      </c>
      <c r="AJ187" s="15" t="n">
        <f aca="false">(AJ186)+AH187-AI187</f>
        <v>11209.24</v>
      </c>
      <c r="AK187" s="15" t="n">
        <f aca="false">(F187- Motore_Operativo!BH187-(Motore_Operativo!CK187)*Parametri_v3!$C$28-Motore_Operativo!CF187)*Parametri_v3!$C$26</f>
        <v>739.713333333334</v>
      </c>
      <c r="AL187" s="15" t="n">
        <f aca="false">MAX(0,(AM186))</f>
        <v>739.713333333334</v>
      </c>
      <c r="AM187" s="15" t="n">
        <f aca="false">(AM186)+AK187-AL187</f>
        <v>739.713333333334</v>
      </c>
      <c r="AN187" s="15" t="n">
        <f aca="false">0</f>
        <v>0</v>
      </c>
      <c r="AO187" s="15" t="n">
        <f aca="false">0</f>
        <v>0</v>
      </c>
      <c r="AP187" s="15" t="n">
        <f aca="false">MAX(0,AN187)*IF(3=Parametri_v3!$C$43,Parametri_v3!$C$45,IF(3=Parametri_v3!$C$44,1-Parametri_v3!$C$45,0))</f>
        <v>0</v>
      </c>
      <c r="AQ187" s="15" t="n">
        <f aca="false">MAX(0,AP187+IF(3=Parametri_v3!$C$43,MAX(0,AN187-AO187),0)-MAX(0,-(AR186)))</f>
        <v>0</v>
      </c>
      <c r="AR187" s="15" t="n">
        <f aca="false">(AR186)+X187-AQ187</f>
        <v>0</v>
      </c>
      <c r="AS187" s="15" t="n">
        <f aca="false">Motore_Operativo!AC187-AT187+AU187</f>
        <v>4987.5</v>
      </c>
      <c r="AT187" s="15" t="n">
        <f aca="false">Motore_Operativo!CI187</f>
        <v>262.5</v>
      </c>
      <c r="AU187" s="15" t="n">
        <f aca="false">MIN(MAX(0,(AV186)+AT187),Parametri_v3!$C$61/12)</f>
        <v>0</v>
      </c>
      <c r="AV187" s="15" t="n">
        <f aca="false">(AV186)+AT187-AU187</f>
        <v>787.5</v>
      </c>
      <c r="AW187" s="15" t="n">
        <f aca="false">IF(AND(Motore_Operativo!C187=Finanziamenti!$D$7,Finanziamenti!$F$7=1),Finanziamenti!$C$7,0)</f>
        <v>0</v>
      </c>
      <c r="AX187" s="15" t="n">
        <f aca="false">0</f>
        <v>0</v>
      </c>
      <c r="AY187" s="15" t="n">
        <f aca="false">IF(3=Parametri_v3!$C$33,IF(BV187&lt;MIN(12,$B187-1),0,MIN(MAX(0,0)*Ipotesi!$C$94,MAX(0,(0)-(BO186)-BP187),MAX(0,BD187-Parametri_v3!$C$31))),0)</f>
        <v>0</v>
      </c>
      <c r="AZ187" s="15" t="n">
        <f aca="false">0</f>
        <v>0</v>
      </c>
      <c r="BA187" s="15" t="n">
        <f aca="false">0</f>
        <v>0</v>
      </c>
      <c r="BB187" s="15" t="n">
        <f aca="false">0</f>
        <v>0</v>
      </c>
      <c r="BC187" s="15" t="n">
        <f aca="false">0</f>
        <v>0</v>
      </c>
      <c r="BD187" s="15" t="n">
        <f aca="false">(BH186)+AC187-AF187-AI187-AS187-K187*(1+Parametri_v3!$C$26)-AL187-AQ187-O187+AW187+AX187+AZ187+BA187-BB187</f>
        <v>-4974.54666666667</v>
      </c>
      <c r="BE187" s="15" t="n">
        <f aca="false">0</f>
        <v>0</v>
      </c>
      <c r="BF187" s="15" t="n">
        <f aca="false">0</f>
        <v>0</v>
      </c>
      <c r="BG187" s="15" t="n">
        <f aca="false">0</f>
        <v>0</v>
      </c>
      <c r="BH187" s="15" t="n">
        <f aca="false">BD187+BE187-BF187-AY187</f>
        <v>-4974.54666666667</v>
      </c>
      <c r="BI187" s="15" t="n">
        <f aca="false">MAX(0,Parametri_v3!$C$31-BH187)</f>
        <v>14974.5466666667</v>
      </c>
      <c r="BJ187" s="15" t="n">
        <f aca="false">(BJ186)+K187</f>
        <v>750</v>
      </c>
      <c r="BK187" s="15" t="n">
        <f aca="false">(BK186)+L187</f>
        <v>41.6666666666667</v>
      </c>
      <c r="BL187" s="15" t="n">
        <f aca="false">BJ187-BK187</f>
        <v>708.333333333333</v>
      </c>
      <c r="BM187" s="15" t="n">
        <f aca="false">(BM186)+Y187</f>
        <v>-7814.16666666666</v>
      </c>
      <c r="BN187" s="15" t="n">
        <f aca="false">(BN186)+AW187+AX187+AZ187</f>
        <v>20000</v>
      </c>
      <c r="BO187" s="15" t="n">
        <f aca="false">(BO186)+AY187</f>
        <v>0</v>
      </c>
      <c r="BP187" s="15" t="n">
        <f aca="false">MIN(Parametri_v3!$C$36*Parametri_v3!$C$35,(BP186)+IF(3=1,MAX(0,0)*Parametri_v3!$C$34,0))</f>
        <v>0</v>
      </c>
      <c r="BQ187" s="15" t="n">
        <f aca="false">BN187+BM187-BO187</f>
        <v>12185.8333333333</v>
      </c>
      <c r="BR187" s="15" t="n">
        <f aca="false">BH187+AD187+BL187+MAX(0,-AM187)+MAX(0,-AR187)</f>
        <v>25928.7866666667</v>
      </c>
      <c r="BS187" s="15" t="n">
        <f aca="false">AJ187+AV187+MAX(0,AM187)+MAX(0,AR187)+BC187+BG187+BQ187+AG187</f>
        <v>25928.7866666667</v>
      </c>
      <c r="BT187" s="15" t="n">
        <f aca="false">BR187-BS187</f>
        <v>0</v>
      </c>
      <c r="BU187" s="15" t="n">
        <f aca="false">BH187-(BD187+BE187-BF187-AY187)</f>
        <v>0</v>
      </c>
      <c r="BV187" s="15" t="n">
        <f aca="false">IF(BH186&lt;Parametri_v3!$C$31,0,BV186+1)</f>
        <v>0</v>
      </c>
    </row>
    <row r="188" customFormat="false" ht="18" hidden="false" customHeight="true" outlineLevel="0" collapsed="false">
      <c r="A188" s="68" t="n">
        <f aca="false">4</f>
        <v>4</v>
      </c>
      <c r="B188" s="68" t="n">
        <f aca="false">4</f>
        <v>4</v>
      </c>
      <c r="C188" s="18" t="n">
        <f aca="false">Motore_Operativo!C188</f>
        <v>46478</v>
      </c>
      <c r="D188" s="68" t="n">
        <f aca="false">Motore_Operativo!D188</f>
        <v>2027</v>
      </c>
      <c r="E188" s="68" t="n">
        <f aca="false">Motore_Operativo!E188</f>
        <v>4</v>
      </c>
      <c r="F188" s="15" t="n">
        <f aca="false">Motore_Operativo!AM188</f>
        <v>8250</v>
      </c>
      <c r="G188" s="15" t="n">
        <f aca="false">Motore_Operativo!BH188</f>
        <v>825</v>
      </c>
      <c r="H188" s="15" t="n">
        <f aca="false">Motore_Operativo!AM188</f>
        <v>8250</v>
      </c>
      <c r="I188" s="15" t="n">
        <f aca="false">Motore_Operativo!CB188</f>
        <v>10840.8333333333</v>
      </c>
      <c r="J188" s="15" t="n">
        <f aca="false">Motore_Operativo!CD188</f>
        <v>-2590.83333333333</v>
      </c>
      <c r="K188" s="15" t="n">
        <f aca="false">Motore_Operativo!CF188</f>
        <v>250</v>
      </c>
      <c r="L188" s="15" t="n">
        <f aca="false">SUM(INDEX($K$185:$K$244,MAX(1,4-Parametri_v3!$C$59+1)):K188)/Parametri_v3!$C$59</f>
        <v>27.7777777777778</v>
      </c>
      <c r="M188" s="15" t="n">
        <f aca="false">J188-L188</f>
        <v>-2618.61111111111</v>
      </c>
      <c r="N188" s="15" t="n">
        <f aca="false">0</f>
        <v>0</v>
      </c>
      <c r="O188" s="15" t="n">
        <f aca="false">0</f>
        <v>0</v>
      </c>
      <c r="P188" s="15" t="n">
        <f aca="false">M188+N188-O188</f>
        <v>-2618.61111111111</v>
      </c>
      <c r="Q188" s="15" t="n">
        <f aca="false">SUM(P185:P188)+Parametri_v3!$C$56*4/12</f>
        <v>-10432.7777777778</v>
      </c>
      <c r="R188" s="15" t="n">
        <f aca="false">0</f>
        <v>0</v>
      </c>
      <c r="S188" s="15" t="n">
        <f aca="false">0</f>
        <v>0</v>
      </c>
      <c r="T188" s="15" t="n">
        <f aca="false">MIN(R188,MAX(0,Q188))</f>
        <v>0</v>
      </c>
      <c r="U188" s="15" t="n">
        <f aca="false">MIN(S188,MAX(0,Q188-T188)*Parametri_v3!$C$42)</f>
        <v>0</v>
      </c>
      <c r="V188" s="15" t="n">
        <f aca="false">MAX(0,Q188-T188-U188)*Ipotesi!$C$92</f>
        <v>0</v>
      </c>
      <c r="W188" s="15" t="n">
        <f aca="false">MAX(0,SUM(M185:M188)+Parametri_v3!$C$57*4/12)*Ipotesi!$C$93</f>
        <v>0</v>
      </c>
      <c r="X188" s="15" t="n">
        <f aca="false">V188+W188-(V187+W187)</f>
        <v>0</v>
      </c>
      <c r="Y188" s="15" t="n">
        <f aca="false">P188-X188</f>
        <v>-2618.61111111111</v>
      </c>
      <c r="Z188" s="15" t="n">
        <f aca="false">R188-T188+IF(AND(Parametri_v3!$C$40=1,D188-YEAR(Parametri_v3!$C$50)&lt;Parametri_v3!$C$41),MAX(0,-Q188),0)</f>
        <v>10432.7777777778</v>
      </c>
      <c r="AA188" s="15" t="n">
        <f aca="false">S188-U188+IF(AND(Parametri_v3!$C$40=1,D188-YEAR(Parametri_v3!$C$50)&lt;Parametri_v3!$C$41),0,MAX(0,-Q188))</f>
        <v>0</v>
      </c>
      <c r="AB188" s="15" t="n">
        <f aca="false">F188*(1+Parametri_v3!$C$26)</f>
        <v>10065</v>
      </c>
      <c r="AC188" s="15" t="n">
        <f aca="false">(IF(4-(INT((Motore_Operativo!L188)/30))&lt;1,0,INDEX(Motore_Advisory!$AB$185:$AB$244,MAX(1,4-(INT((Motore_Operativo!L188)/30)))))*(1-(MOD((Motore_Operativo!L188),30)/30))+IF(4-(INT((Motore_Operativo!L188)/30))-1&lt;1,0,INDEX(Motore_Advisory!$AB$185:$AB$244,MAX(1,4-(INT((Motore_Operativo!L188)/30))-1)))*(MOD((Motore_Operativo!L188),30)/30))</f>
        <v>0</v>
      </c>
      <c r="AD188" s="15" t="n">
        <f aca="false">(AD187)+AB188-AC188</f>
        <v>40260</v>
      </c>
      <c r="AE188" s="15" t="n">
        <f aca="false">Motore_Operativo!BH188*(1+Parametri_v3!$C$26)</f>
        <v>1006.5</v>
      </c>
      <c r="AF188" s="15" t="n">
        <f aca="false">(IF(4-(INT((Parametri_v3!$C$29)/30))&lt;1,0,INDEX(Motore_Operativo!$BH$185:$BH$244,MAX(1,4-(INT((Parametri_v3!$C$29)/30)))))*(1-(MOD((Parametri_v3!$C$29),30)/30))+IF(4-(INT((Parametri_v3!$C$29)/30))-1&lt;1,0,INDEX(Motore_Operativo!$BH$185:$BH$244,MAX(1,4-(INT((Parametri_v3!$C$29)/30))-1)))*(MOD((Parametri_v3!$C$29),30)/30))*(1+Parametri_v3!$C$26)</f>
        <v>1006.5</v>
      </c>
      <c r="AG188" s="15" t="n">
        <f aca="false">(AG187)+AE188-AF188</f>
        <v>1006.5</v>
      </c>
      <c r="AH188" s="15" t="n">
        <f aca="false">(Motore_Operativo!CK188)*(1+Parametri_v3!$C$28*Parametri_v3!$C$26)</f>
        <v>5604.62</v>
      </c>
      <c r="AI188" s="15" t="n">
        <f aca="false">(IF(4-(INT((Ipotesi!$C$91)/30))&lt;1,0,INDEX(Motore_Advisory!$AH$185:$AH$244,MAX(1,4-(INT((Ipotesi!$C$91)/30)))))*(1-(MOD((Ipotesi!$C$91),30)/30))+IF(4-(INT((Ipotesi!$C$91)/30))-1&lt;1,0,INDEX(Motore_Advisory!$AH$185:$AH$244,MAX(1,4-(INT((Ipotesi!$C$91)/30))-1)))*(MOD((Ipotesi!$C$91),30)/30))</f>
        <v>5604.62</v>
      </c>
      <c r="AJ188" s="15" t="n">
        <f aca="false">(AJ187)+AH188-AI188</f>
        <v>11209.24</v>
      </c>
      <c r="AK188" s="15" t="n">
        <f aca="false">(F188- Motore_Operativo!BH188-(Motore_Operativo!CK188)*Parametri_v3!$C$28-Motore_Operativo!CF188)*Parametri_v3!$C$26</f>
        <v>739.713333333334</v>
      </c>
      <c r="AL188" s="15" t="n">
        <f aca="false">MAX(0,(AM187))</f>
        <v>739.713333333334</v>
      </c>
      <c r="AM188" s="15" t="n">
        <f aca="false">(AM187)+AK188-AL188</f>
        <v>739.713333333334</v>
      </c>
      <c r="AN188" s="15" t="n">
        <f aca="false">0</f>
        <v>0</v>
      </c>
      <c r="AO188" s="15" t="n">
        <f aca="false">0</f>
        <v>0</v>
      </c>
      <c r="AP188" s="15" t="n">
        <f aca="false">MAX(0,AN188)*IF(4=Parametri_v3!$C$43,Parametri_v3!$C$45,IF(4=Parametri_v3!$C$44,1-Parametri_v3!$C$45,0))</f>
        <v>0</v>
      </c>
      <c r="AQ188" s="15" t="n">
        <f aca="false">MAX(0,AP188+IF(4=Parametri_v3!$C$43,MAX(0,AN188-AO188),0)-MAX(0,-(AR187)))</f>
        <v>0</v>
      </c>
      <c r="AR188" s="15" t="n">
        <f aca="false">(AR187)+X188-AQ188</f>
        <v>0</v>
      </c>
      <c r="AS188" s="15" t="n">
        <f aca="false">Motore_Operativo!AC188-AT188+AU188</f>
        <v>4987.5</v>
      </c>
      <c r="AT188" s="15" t="n">
        <f aca="false">Motore_Operativo!CI188</f>
        <v>262.5</v>
      </c>
      <c r="AU188" s="15" t="n">
        <f aca="false">MIN(MAX(0,(AV187)+AT188),Parametri_v3!$C$61/12)</f>
        <v>0</v>
      </c>
      <c r="AV188" s="15" t="n">
        <f aca="false">(AV187)+AT188-AU188</f>
        <v>1050</v>
      </c>
      <c r="AW188" s="15" t="n">
        <f aca="false">IF(AND(Motore_Operativo!C188=Finanziamenti!$D$7,Finanziamenti!$F$7=1),Finanziamenti!$C$7,0)</f>
        <v>0</v>
      </c>
      <c r="AX188" s="15" t="n">
        <f aca="false">0</f>
        <v>0</v>
      </c>
      <c r="AY188" s="15" t="n">
        <f aca="false">IF(4=Parametri_v3!$C$33,IF(BV188&lt;MIN(12,$B188-1),0,MIN(MAX(0,0)*Ipotesi!$C$94,MAX(0,(0)-(BO187)-BP188),MAX(0,BD188-Parametri_v3!$C$31))),0)</f>
        <v>0</v>
      </c>
      <c r="AZ188" s="15" t="n">
        <f aca="false">0</f>
        <v>0</v>
      </c>
      <c r="BA188" s="15" t="n">
        <f aca="false">0</f>
        <v>0</v>
      </c>
      <c r="BB188" s="15" t="n">
        <f aca="false">0</f>
        <v>0</v>
      </c>
      <c r="BC188" s="15" t="n">
        <f aca="false">0</f>
        <v>0</v>
      </c>
      <c r="BD188" s="15" t="n">
        <f aca="false">(BH187)+AC188-AF188-AI188-AS188-K188*(1+Parametri_v3!$C$26)-AL188-AQ188-O188+AW188+AX188+AZ188+BA188-BB188</f>
        <v>-17617.88</v>
      </c>
      <c r="BE188" s="15" t="n">
        <f aca="false">0</f>
        <v>0</v>
      </c>
      <c r="BF188" s="15" t="n">
        <f aca="false">0</f>
        <v>0</v>
      </c>
      <c r="BG188" s="15" t="n">
        <f aca="false">0</f>
        <v>0</v>
      </c>
      <c r="BH188" s="15" t="n">
        <f aca="false">BD188+BE188-BF188-AY188</f>
        <v>-17617.88</v>
      </c>
      <c r="BI188" s="15" t="n">
        <f aca="false">MAX(0,Parametri_v3!$C$31-BH188)</f>
        <v>27617.88</v>
      </c>
      <c r="BJ188" s="15" t="n">
        <f aca="false">(BJ187)+K188</f>
        <v>1000</v>
      </c>
      <c r="BK188" s="15" t="n">
        <f aca="false">(BK187)+L188</f>
        <v>69.4444444444445</v>
      </c>
      <c r="BL188" s="15" t="n">
        <f aca="false">BJ188-BK188</f>
        <v>930.555555555556</v>
      </c>
      <c r="BM188" s="15" t="n">
        <f aca="false">(BM187)+Y188</f>
        <v>-10432.7777777778</v>
      </c>
      <c r="BN188" s="15" t="n">
        <f aca="false">(BN187)+AW188+AX188+AZ188</f>
        <v>20000</v>
      </c>
      <c r="BO188" s="15" t="n">
        <f aca="false">(BO187)+AY188</f>
        <v>0</v>
      </c>
      <c r="BP188" s="15" t="n">
        <f aca="false">MIN(Parametri_v3!$C$36*Parametri_v3!$C$35,(BP187)+IF(4=1,MAX(0,0)*Parametri_v3!$C$34,0))</f>
        <v>0</v>
      </c>
      <c r="BQ188" s="15" t="n">
        <f aca="false">BN188+BM188-BO188</f>
        <v>9567.22222222224</v>
      </c>
      <c r="BR188" s="15" t="n">
        <f aca="false">BH188+AD188+BL188+MAX(0,-AM188)+MAX(0,-AR188)</f>
        <v>23572.6755555556</v>
      </c>
      <c r="BS188" s="15" t="n">
        <f aca="false">AJ188+AV188+MAX(0,AM188)+MAX(0,AR188)+BC188+BG188+BQ188+AG188</f>
        <v>23572.6755555556</v>
      </c>
      <c r="BT188" s="15" t="n">
        <f aca="false">BR188-BS188</f>
        <v>0</v>
      </c>
      <c r="BU188" s="15" t="n">
        <f aca="false">BH188-(BD188+BE188-BF188-AY188)</f>
        <v>0</v>
      </c>
      <c r="BV188" s="15" t="n">
        <f aca="false">IF(BH187&lt;Parametri_v3!$C$31,0,BV187+1)</f>
        <v>0</v>
      </c>
    </row>
    <row r="189" customFormat="false" ht="18" hidden="false" customHeight="true" outlineLevel="0" collapsed="false">
      <c r="A189" s="68" t="n">
        <f aca="false">4</f>
        <v>4</v>
      </c>
      <c r="B189" s="68" t="n">
        <f aca="false">5</f>
        <v>5</v>
      </c>
      <c r="C189" s="18" t="n">
        <f aca="false">Motore_Operativo!C189</f>
        <v>46508</v>
      </c>
      <c r="D189" s="68" t="n">
        <f aca="false">Motore_Operativo!D189</f>
        <v>2027</v>
      </c>
      <c r="E189" s="68" t="n">
        <f aca="false">Motore_Operativo!E189</f>
        <v>5</v>
      </c>
      <c r="F189" s="15" t="n">
        <f aca="false">Motore_Operativo!AM189</f>
        <v>8250</v>
      </c>
      <c r="G189" s="15" t="n">
        <f aca="false">Motore_Operativo!BH189</f>
        <v>825</v>
      </c>
      <c r="H189" s="15" t="n">
        <f aca="false">Motore_Operativo!AM189</f>
        <v>8250</v>
      </c>
      <c r="I189" s="15" t="n">
        <f aca="false">Motore_Operativo!CB189</f>
        <v>10840.8333333333</v>
      </c>
      <c r="J189" s="15" t="n">
        <f aca="false">Motore_Operativo!CD189</f>
        <v>-2590.83333333333</v>
      </c>
      <c r="K189" s="15" t="n">
        <f aca="false">Motore_Operativo!CF189</f>
        <v>250</v>
      </c>
      <c r="L189" s="15" t="n">
        <f aca="false">SUM(INDEX($K$185:$K$244,MAX(1,5-Parametri_v3!$C$59+1)):K189)/Parametri_v3!$C$59</f>
        <v>34.7222222222222</v>
      </c>
      <c r="M189" s="15" t="n">
        <f aca="false">J189-L189</f>
        <v>-2625.55555555555</v>
      </c>
      <c r="N189" s="15" t="n">
        <f aca="false">0</f>
        <v>0</v>
      </c>
      <c r="O189" s="15" t="n">
        <f aca="false">0</f>
        <v>0</v>
      </c>
      <c r="P189" s="15" t="n">
        <f aca="false">M189+N189-O189</f>
        <v>-2625.55555555555</v>
      </c>
      <c r="Q189" s="15" t="n">
        <f aca="false">SUM(P185:P189)+Parametri_v3!$C$56*5/12</f>
        <v>-13058.3333333333</v>
      </c>
      <c r="R189" s="15" t="n">
        <f aca="false">0</f>
        <v>0</v>
      </c>
      <c r="S189" s="15" t="n">
        <f aca="false">0</f>
        <v>0</v>
      </c>
      <c r="T189" s="15" t="n">
        <f aca="false">MIN(R189,MAX(0,Q189))</f>
        <v>0</v>
      </c>
      <c r="U189" s="15" t="n">
        <f aca="false">MIN(S189,MAX(0,Q189-T189)*Parametri_v3!$C$42)</f>
        <v>0</v>
      </c>
      <c r="V189" s="15" t="n">
        <f aca="false">MAX(0,Q189-T189-U189)*Ipotesi!$C$92</f>
        <v>0</v>
      </c>
      <c r="W189" s="15" t="n">
        <f aca="false">MAX(0,SUM(M185:M189)+Parametri_v3!$C$57*5/12)*Ipotesi!$C$93</f>
        <v>0</v>
      </c>
      <c r="X189" s="15" t="n">
        <f aca="false">V189+W189-(V188+W188)</f>
        <v>0</v>
      </c>
      <c r="Y189" s="15" t="n">
        <f aca="false">P189-X189</f>
        <v>-2625.55555555555</v>
      </c>
      <c r="Z189" s="15" t="n">
        <f aca="false">R189-T189+IF(AND(Parametri_v3!$C$40=1,D189-YEAR(Parametri_v3!$C$50)&lt;Parametri_v3!$C$41),MAX(0,-Q189),0)</f>
        <v>13058.3333333333</v>
      </c>
      <c r="AA189" s="15" t="n">
        <f aca="false">S189-U189+IF(AND(Parametri_v3!$C$40=1,D189-YEAR(Parametri_v3!$C$50)&lt;Parametri_v3!$C$41),0,MAX(0,-Q189))</f>
        <v>0</v>
      </c>
      <c r="AB189" s="15" t="n">
        <f aca="false">F189*(1+Parametri_v3!$C$26)</f>
        <v>10065</v>
      </c>
      <c r="AC189" s="15" t="n">
        <f aca="false">(IF(5-(INT((Motore_Operativo!L189)/30))&lt;1,0,INDEX(Motore_Advisory!$AB$185:$AB$244,MAX(1,5-(INT((Motore_Operativo!L189)/30)))))*(1-(MOD((Motore_Operativo!L189),30)/30))+IF(5-(INT((Motore_Operativo!L189)/30))-1&lt;1,0,INDEX(Motore_Advisory!$AB$185:$AB$244,MAX(1,5-(INT((Motore_Operativo!L189)/30))-1)))*(MOD((Motore_Operativo!L189),30)/30))</f>
        <v>10065</v>
      </c>
      <c r="AD189" s="15" t="n">
        <f aca="false">(AD188)+AB189-AC189</f>
        <v>40260</v>
      </c>
      <c r="AE189" s="15" t="n">
        <f aca="false">Motore_Operativo!BH189*(1+Parametri_v3!$C$26)</f>
        <v>1006.5</v>
      </c>
      <c r="AF189" s="15" t="n">
        <f aca="false">(IF(5-(INT((Parametri_v3!$C$29)/30))&lt;1,0,INDEX(Motore_Operativo!$BH$185:$BH$244,MAX(1,5-(INT((Parametri_v3!$C$29)/30)))))*(1-(MOD((Parametri_v3!$C$29),30)/30))+IF(5-(INT((Parametri_v3!$C$29)/30))-1&lt;1,0,INDEX(Motore_Operativo!$BH$185:$BH$244,MAX(1,5-(INT((Parametri_v3!$C$29)/30))-1)))*(MOD((Parametri_v3!$C$29),30)/30))*(1+Parametri_v3!$C$26)</f>
        <v>1006.5</v>
      </c>
      <c r="AG189" s="15" t="n">
        <f aca="false">(AG188)+AE189-AF189</f>
        <v>1006.5</v>
      </c>
      <c r="AH189" s="15" t="n">
        <f aca="false">(Motore_Operativo!CK189)*(1+Parametri_v3!$C$28*Parametri_v3!$C$26)</f>
        <v>5604.62</v>
      </c>
      <c r="AI189" s="15" t="n">
        <f aca="false">(IF(5-(INT((Ipotesi!$C$91)/30))&lt;1,0,INDEX(Motore_Advisory!$AH$185:$AH$244,MAX(1,5-(INT((Ipotesi!$C$91)/30)))))*(1-(MOD((Ipotesi!$C$91),30)/30))+IF(5-(INT((Ipotesi!$C$91)/30))-1&lt;1,0,INDEX(Motore_Advisory!$AH$185:$AH$244,MAX(1,5-(INT((Ipotesi!$C$91)/30))-1)))*(MOD((Ipotesi!$C$91),30)/30))</f>
        <v>5604.62</v>
      </c>
      <c r="AJ189" s="15" t="n">
        <f aca="false">(AJ188)+AH189-AI189</f>
        <v>11209.24</v>
      </c>
      <c r="AK189" s="15" t="n">
        <f aca="false">(F189- Motore_Operativo!BH189-(Motore_Operativo!CK189)*Parametri_v3!$C$28-Motore_Operativo!CF189)*Parametri_v3!$C$26</f>
        <v>739.713333333334</v>
      </c>
      <c r="AL189" s="15" t="n">
        <f aca="false">MAX(0,(AM188))</f>
        <v>739.713333333334</v>
      </c>
      <c r="AM189" s="15" t="n">
        <f aca="false">(AM188)+AK189-AL189</f>
        <v>739.713333333334</v>
      </c>
      <c r="AN189" s="15" t="n">
        <f aca="false">0</f>
        <v>0</v>
      </c>
      <c r="AO189" s="15" t="n">
        <f aca="false">0</f>
        <v>0</v>
      </c>
      <c r="AP189" s="15" t="n">
        <f aca="false">MAX(0,AN189)*IF(5=Parametri_v3!$C$43,Parametri_v3!$C$45,IF(5=Parametri_v3!$C$44,1-Parametri_v3!$C$45,0))</f>
        <v>0</v>
      </c>
      <c r="AQ189" s="15" t="n">
        <f aca="false">MAX(0,AP189+IF(5=Parametri_v3!$C$43,MAX(0,AN189-AO189),0)-MAX(0,-(AR188)))</f>
        <v>0</v>
      </c>
      <c r="AR189" s="15" t="n">
        <f aca="false">(AR188)+X189-AQ189</f>
        <v>0</v>
      </c>
      <c r="AS189" s="15" t="n">
        <f aca="false">Motore_Operativo!AC189-AT189+AU189</f>
        <v>4987.5</v>
      </c>
      <c r="AT189" s="15" t="n">
        <f aca="false">Motore_Operativo!CI189</f>
        <v>262.5</v>
      </c>
      <c r="AU189" s="15" t="n">
        <f aca="false">MIN(MAX(0,(AV188)+AT189),Parametri_v3!$C$61/12)</f>
        <v>0</v>
      </c>
      <c r="AV189" s="15" t="n">
        <f aca="false">(AV188)+AT189-AU189</f>
        <v>1312.5</v>
      </c>
      <c r="AW189" s="15" t="n">
        <f aca="false">IF(AND(Motore_Operativo!C189=Finanziamenti!$D$7,Finanziamenti!$F$7=1),Finanziamenti!$C$7,0)</f>
        <v>0</v>
      </c>
      <c r="AX189" s="15" t="n">
        <f aca="false">0</f>
        <v>0</v>
      </c>
      <c r="AY189" s="15" t="n">
        <f aca="false">IF(5=Parametri_v3!$C$33,IF(BV189&lt;MIN(12,$B189-1),0,MIN(MAX(0,0)*Ipotesi!$C$94,MAX(0,(0)-(BO188)-BP189),MAX(0,BD189-Parametri_v3!$C$31))),0)</f>
        <v>0</v>
      </c>
      <c r="AZ189" s="15" t="n">
        <f aca="false">0</f>
        <v>0</v>
      </c>
      <c r="BA189" s="15" t="n">
        <f aca="false">0</f>
        <v>0</v>
      </c>
      <c r="BB189" s="15" t="n">
        <f aca="false">0</f>
        <v>0</v>
      </c>
      <c r="BC189" s="15" t="n">
        <f aca="false">0</f>
        <v>0</v>
      </c>
      <c r="BD189" s="15" t="n">
        <f aca="false">(BH188)+AC189-AF189-AI189-AS189-K189*(1+Parametri_v3!$C$26)-AL189-AQ189-O189+AW189+AX189+AZ189+BA189-BB189</f>
        <v>-20196.2133333333</v>
      </c>
      <c r="BE189" s="15" t="n">
        <f aca="false">0</f>
        <v>0</v>
      </c>
      <c r="BF189" s="15" t="n">
        <f aca="false">0</f>
        <v>0</v>
      </c>
      <c r="BG189" s="15" t="n">
        <f aca="false">0</f>
        <v>0</v>
      </c>
      <c r="BH189" s="15" t="n">
        <f aca="false">BD189+BE189-BF189-AY189</f>
        <v>-20196.2133333333</v>
      </c>
      <c r="BI189" s="15" t="n">
        <f aca="false">MAX(0,Parametri_v3!$C$31-BH189)</f>
        <v>30196.2133333333</v>
      </c>
      <c r="BJ189" s="15" t="n">
        <f aca="false">(BJ188)+K189</f>
        <v>1250</v>
      </c>
      <c r="BK189" s="15" t="n">
        <f aca="false">(BK188)+L189</f>
        <v>104.166666666667</v>
      </c>
      <c r="BL189" s="15" t="n">
        <f aca="false">BJ189-BK189</f>
        <v>1145.83333333333</v>
      </c>
      <c r="BM189" s="15" t="n">
        <f aca="false">(BM188)+Y189</f>
        <v>-13058.3333333333</v>
      </c>
      <c r="BN189" s="15" t="n">
        <f aca="false">(BN188)+AW189+AX189+AZ189</f>
        <v>20000</v>
      </c>
      <c r="BO189" s="15" t="n">
        <f aca="false">(BO188)+AY189</f>
        <v>0</v>
      </c>
      <c r="BP189" s="15" t="n">
        <f aca="false">MIN(Parametri_v3!$C$36*Parametri_v3!$C$35,(BP188)+IF(5=1,MAX(0,0)*Parametri_v3!$C$34,0))</f>
        <v>0</v>
      </c>
      <c r="BQ189" s="15" t="n">
        <f aca="false">BN189+BM189-BO189</f>
        <v>6941.66666666668</v>
      </c>
      <c r="BR189" s="15" t="n">
        <f aca="false">BH189+AD189+BL189+MAX(0,-AM189)+MAX(0,-AR189)</f>
        <v>21209.62</v>
      </c>
      <c r="BS189" s="15" t="n">
        <f aca="false">AJ189+AV189+MAX(0,AM189)+MAX(0,AR189)+BC189+BG189+BQ189+AG189</f>
        <v>21209.62</v>
      </c>
      <c r="BT189" s="15" t="n">
        <f aca="false">BR189-BS189</f>
        <v>0</v>
      </c>
      <c r="BU189" s="15" t="n">
        <f aca="false">BH189-(BD189+BE189-BF189-AY189)</f>
        <v>0</v>
      </c>
      <c r="BV189" s="15" t="n">
        <f aca="false">IF(BH188&lt;Parametri_v3!$C$31,0,BV188+1)</f>
        <v>0</v>
      </c>
    </row>
    <row r="190" customFormat="false" ht="18" hidden="false" customHeight="true" outlineLevel="0" collapsed="false">
      <c r="A190" s="68" t="n">
        <f aca="false">4</f>
        <v>4</v>
      </c>
      <c r="B190" s="68" t="n">
        <f aca="false">6</f>
        <v>6</v>
      </c>
      <c r="C190" s="18" t="n">
        <f aca="false">Motore_Operativo!C190</f>
        <v>46539</v>
      </c>
      <c r="D190" s="68" t="n">
        <f aca="false">Motore_Operativo!D190</f>
        <v>2027</v>
      </c>
      <c r="E190" s="68" t="n">
        <f aca="false">Motore_Operativo!E190</f>
        <v>6</v>
      </c>
      <c r="F190" s="15" t="n">
        <f aca="false">Motore_Operativo!AM190</f>
        <v>8250</v>
      </c>
      <c r="G190" s="15" t="n">
        <f aca="false">Motore_Operativo!BH190</f>
        <v>825</v>
      </c>
      <c r="H190" s="15" t="n">
        <f aca="false">Motore_Operativo!AM190</f>
        <v>8250</v>
      </c>
      <c r="I190" s="15" t="n">
        <f aca="false">Motore_Operativo!CB190</f>
        <v>10840.8333333333</v>
      </c>
      <c r="J190" s="15" t="n">
        <f aca="false">Motore_Operativo!CD190</f>
        <v>-2590.83333333333</v>
      </c>
      <c r="K190" s="15" t="n">
        <f aca="false">Motore_Operativo!CF190</f>
        <v>250</v>
      </c>
      <c r="L190" s="15" t="n">
        <f aca="false">SUM(INDEX($K$185:$K$244,MAX(1,6-Parametri_v3!$C$59+1)):K190)/Parametri_v3!$C$59</f>
        <v>41.6666666666667</v>
      </c>
      <c r="M190" s="15" t="n">
        <f aca="false">J190-L190</f>
        <v>-2632.5</v>
      </c>
      <c r="N190" s="15" t="n">
        <f aca="false">0</f>
        <v>0</v>
      </c>
      <c r="O190" s="15" t="n">
        <f aca="false">0</f>
        <v>0</v>
      </c>
      <c r="P190" s="15" t="n">
        <f aca="false">M190+N190-O190</f>
        <v>-2632.5</v>
      </c>
      <c r="Q190" s="15" t="n">
        <f aca="false">SUM(P185:P190)+Parametri_v3!$C$56*6/12</f>
        <v>-15690.8333333333</v>
      </c>
      <c r="R190" s="15" t="n">
        <f aca="false">0</f>
        <v>0</v>
      </c>
      <c r="S190" s="15" t="n">
        <f aca="false">0</f>
        <v>0</v>
      </c>
      <c r="T190" s="15" t="n">
        <f aca="false">MIN(R190,MAX(0,Q190))</f>
        <v>0</v>
      </c>
      <c r="U190" s="15" t="n">
        <f aca="false">MIN(S190,MAX(0,Q190-T190)*Parametri_v3!$C$42)</f>
        <v>0</v>
      </c>
      <c r="V190" s="15" t="n">
        <f aca="false">MAX(0,Q190-T190-U190)*Ipotesi!$C$92</f>
        <v>0</v>
      </c>
      <c r="W190" s="15" t="n">
        <f aca="false">MAX(0,SUM(M185:M190)+Parametri_v3!$C$57*6/12)*Ipotesi!$C$93</f>
        <v>0</v>
      </c>
      <c r="X190" s="15" t="n">
        <f aca="false">V190+W190-(V189+W189)</f>
        <v>0</v>
      </c>
      <c r="Y190" s="15" t="n">
        <f aca="false">P190-X190</f>
        <v>-2632.5</v>
      </c>
      <c r="Z190" s="15" t="n">
        <f aca="false">R190-T190+IF(AND(Parametri_v3!$C$40=1,D190-YEAR(Parametri_v3!$C$50)&lt;Parametri_v3!$C$41),MAX(0,-Q190),0)</f>
        <v>15690.8333333333</v>
      </c>
      <c r="AA190" s="15" t="n">
        <f aca="false">S190-U190+IF(AND(Parametri_v3!$C$40=1,D190-YEAR(Parametri_v3!$C$50)&lt;Parametri_v3!$C$41),0,MAX(0,-Q190))</f>
        <v>0</v>
      </c>
      <c r="AB190" s="15" t="n">
        <f aca="false">F190*(1+Parametri_v3!$C$26)</f>
        <v>10065</v>
      </c>
      <c r="AC190" s="15" t="n">
        <f aca="false">(IF(6-(INT((Motore_Operativo!L190)/30))&lt;1,0,INDEX(Motore_Advisory!$AB$185:$AB$244,MAX(1,6-(INT((Motore_Operativo!L190)/30)))))*(1-(MOD((Motore_Operativo!L190),30)/30))+IF(6-(INT((Motore_Operativo!L190)/30))-1&lt;1,0,INDEX(Motore_Advisory!$AB$185:$AB$244,MAX(1,6-(INT((Motore_Operativo!L190)/30))-1)))*(MOD((Motore_Operativo!L190),30)/30))</f>
        <v>10065</v>
      </c>
      <c r="AD190" s="15" t="n">
        <f aca="false">(AD189)+AB190-AC190</f>
        <v>40260</v>
      </c>
      <c r="AE190" s="15" t="n">
        <f aca="false">Motore_Operativo!BH190*(1+Parametri_v3!$C$26)</f>
        <v>1006.5</v>
      </c>
      <c r="AF190" s="15" t="n">
        <f aca="false">(IF(6-(INT((Parametri_v3!$C$29)/30))&lt;1,0,INDEX(Motore_Operativo!$BH$185:$BH$244,MAX(1,6-(INT((Parametri_v3!$C$29)/30)))))*(1-(MOD((Parametri_v3!$C$29),30)/30))+IF(6-(INT((Parametri_v3!$C$29)/30))-1&lt;1,0,INDEX(Motore_Operativo!$BH$185:$BH$244,MAX(1,6-(INT((Parametri_v3!$C$29)/30))-1)))*(MOD((Parametri_v3!$C$29),30)/30))*(1+Parametri_v3!$C$26)</f>
        <v>1006.5</v>
      </c>
      <c r="AG190" s="15" t="n">
        <f aca="false">(AG189)+AE190-AF190</f>
        <v>1006.5</v>
      </c>
      <c r="AH190" s="15" t="n">
        <f aca="false">(Motore_Operativo!CK190)*(1+Parametri_v3!$C$28*Parametri_v3!$C$26)</f>
        <v>5604.62</v>
      </c>
      <c r="AI190" s="15" t="n">
        <f aca="false">(IF(6-(INT((Ipotesi!$C$91)/30))&lt;1,0,INDEX(Motore_Advisory!$AH$185:$AH$244,MAX(1,6-(INT((Ipotesi!$C$91)/30)))))*(1-(MOD((Ipotesi!$C$91),30)/30))+IF(6-(INT((Ipotesi!$C$91)/30))-1&lt;1,0,INDEX(Motore_Advisory!$AH$185:$AH$244,MAX(1,6-(INT((Ipotesi!$C$91)/30))-1)))*(MOD((Ipotesi!$C$91),30)/30))</f>
        <v>5604.62</v>
      </c>
      <c r="AJ190" s="15" t="n">
        <f aca="false">(AJ189)+AH190-AI190</f>
        <v>11209.24</v>
      </c>
      <c r="AK190" s="15" t="n">
        <f aca="false">(F190- Motore_Operativo!BH190-(Motore_Operativo!CK190)*Parametri_v3!$C$28-Motore_Operativo!CF190)*Parametri_v3!$C$26</f>
        <v>739.713333333334</v>
      </c>
      <c r="AL190" s="15" t="n">
        <f aca="false">MAX(0,(AM189))</f>
        <v>739.713333333334</v>
      </c>
      <c r="AM190" s="15" t="n">
        <f aca="false">(AM189)+AK190-AL190</f>
        <v>739.713333333334</v>
      </c>
      <c r="AN190" s="15" t="n">
        <f aca="false">0</f>
        <v>0</v>
      </c>
      <c r="AO190" s="15" t="n">
        <f aca="false">0</f>
        <v>0</v>
      </c>
      <c r="AP190" s="15" t="n">
        <f aca="false">MAX(0,AN190)*IF(6=Parametri_v3!$C$43,Parametri_v3!$C$45,IF(6=Parametri_v3!$C$44,1-Parametri_v3!$C$45,0))</f>
        <v>0</v>
      </c>
      <c r="AQ190" s="15" t="n">
        <f aca="false">MAX(0,AP190+IF(6=Parametri_v3!$C$43,MAX(0,AN190-AO190),0)-MAX(0,-(AR189)))</f>
        <v>0</v>
      </c>
      <c r="AR190" s="15" t="n">
        <f aca="false">(AR189)+X190-AQ190</f>
        <v>0</v>
      </c>
      <c r="AS190" s="15" t="n">
        <f aca="false">Motore_Operativo!AC190-AT190+AU190</f>
        <v>4987.5</v>
      </c>
      <c r="AT190" s="15" t="n">
        <f aca="false">Motore_Operativo!CI190</f>
        <v>262.5</v>
      </c>
      <c r="AU190" s="15" t="n">
        <f aca="false">MIN(MAX(0,(AV189)+AT190),Parametri_v3!$C$61/12)</f>
        <v>0</v>
      </c>
      <c r="AV190" s="15" t="n">
        <f aca="false">(AV189)+AT190-AU190</f>
        <v>1575</v>
      </c>
      <c r="AW190" s="15" t="n">
        <f aca="false">IF(AND(Motore_Operativo!C190=Finanziamenti!$D$7,Finanziamenti!$F$7=1),Finanziamenti!$C$7,0)</f>
        <v>0</v>
      </c>
      <c r="AX190" s="15" t="n">
        <f aca="false">0</f>
        <v>0</v>
      </c>
      <c r="AY190" s="15" t="n">
        <f aca="false">IF(6=Parametri_v3!$C$33,IF(BV190&lt;MIN(12,$B190-1),0,MIN(MAX(0,0)*Ipotesi!$C$94,MAX(0,(0)-(BO189)-BP190),MAX(0,BD190-Parametri_v3!$C$31))),0)</f>
        <v>0</v>
      </c>
      <c r="AZ190" s="15" t="n">
        <f aca="false">0</f>
        <v>0</v>
      </c>
      <c r="BA190" s="15" t="n">
        <f aca="false">0</f>
        <v>0</v>
      </c>
      <c r="BB190" s="15" t="n">
        <f aca="false">0</f>
        <v>0</v>
      </c>
      <c r="BC190" s="15" t="n">
        <f aca="false">0</f>
        <v>0</v>
      </c>
      <c r="BD190" s="15" t="n">
        <f aca="false">(BH189)+AC190-AF190-AI190-AS190-K190*(1+Parametri_v3!$C$26)-AL190-AQ190-O190+AW190+AX190+AZ190+BA190-BB190</f>
        <v>-22774.5466666667</v>
      </c>
      <c r="BE190" s="15" t="n">
        <f aca="false">0</f>
        <v>0</v>
      </c>
      <c r="BF190" s="15" t="n">
        <f aca="false">0</f>
        <v>0</v>
      </c>
      <c r="BG190" s="15" t="n">
        <f aca="false">0</f>
        <v>0</v>
      </c>
      <c r="BH190" s="15" t="n">
        <f aca="false">BD190+BE190-BF190-AY190</f>
        <v>-22774.5466666667</v>
      </c>
      <c r="BI190" s="15" t="n">
        <f aca="false">MAX(0,Parametri_v3!$C$31-BH190)</f>
        <v>32774.5466666667</v>
      </c>
      <c r="BJ190" s="15" t="n">
        <f aca="false">(BJ189)+K190</f>
        <v>1500</v>
      </c>
      <c r="BK190" s="15" t="n">
        <f aca="false">(BK189)+L190</f>
        <v>145.833333333333</v>
      </c>
      <c r="BL190" s="15" t="n">
        <f aca="false">BJ190-BK190</f>
        <v>1354.16666666667</v>
      </c>
      <c r="BM190" s="15" t="n">
        <f aca="false">(BM189)+Y190</f>
        <v>-15690.8333333333</v>
      </c>
      <c r="BN190" s="15" t="n">
        <f aca="false">(BN189)+AW190+AX190+AZ190</f>
        <v>20000</v>
      </c>
      <c r="BO190" s="15" t="n">
        <f aca="false">(BO189)+AY190</f>
        <v>0</v>
      </c>
      <c r="BP190" s="15" t="n">
        <f aca="false">MIN(Parametri_v3!$C$36*Parametri_v3!$C$35,(BP189)+IF(6=1,MAX(0,0)*Parametri_v3!$C$34,0))</f>
        <v>0</v>
      </c>
      <c r="BQ190" s="15" t="n">
        <f aca="false">BN190+BM190-BO190</f>
        <v>4309.16666666669</v>
      </c>
      <c r="BR190" s="15" t="n">
        <f aca="false">BH190+AD190+BL190+MAX(0,-AM190)+MAX(0,-AR190)</f>
        <v>18839.62</v>
      </c>
      <c r="BS190" s="15" t="n">
        <f aca="false">AJ190+AV190+MAX(0,AM190)+MAX(0,AR190)+BC190+BG190+BQ190+AG190</f>
        <v>18839.62</v>
      </c>
      <c r="BT190" s="15" t="n">
        <f aca="false">BR190-BS190</f>
        <v>0</v>
      </c>
      <c r="BU190" s="15" t="n">
        <f aca="false">BH190-(BD190+BE190-BF190-AY190)</f>
        <v>0</v>
      </c>
      <c r="BV190" s="15" t="n">
        <f aca="false">IF(BH189&lt;Parametri_v3!$C$31,0,BV189+1)</f>
        <v>0</v>
      </c>
    </row>
    <row r="191" customFormat="false" ht="18" hidden="false" customHeight="true" outlineLevel="0" collapsed="false">
      <c r="A191" s="68" t="n">
        <f aca="false">4</f>
        <v>4</v>
      </c>
      <c r="B191" s="68" t="n">
        <f aca="false">7</f>
        <v>7</v>
      </c>
      <c r="C191" s="18" t="n">
        <f aca="false">Motore_Operativo!C191</f>
        <v>46569</v>
      </c>
      <c r="D191" s="68" t="n">
        <f aca="false">Motore_Operativo!D191</f>
        <v>2027</v>
      </c>
      <c r="E191" s="68" t="n">
        <f aca="false">Motore_Operativo!E191</f>
        <v>7</v>
      </c>
      <c r="F191" s="15" t="n">
        <f aca="false">Motore_Operativo!AM191</f>
        <v>8250</v>
      </c>
      <c r="G191" s="15" t="n">
        <f aca="false">Motore_Operativo!BH191</f>
        <v>825</v>
      </c>
      <c r="H191" s="15" t="n">
        <f aca="false">Motore_Operativo!AM191</f>
        <v>8250</v>
      </c>
      <c r="I191" s="15" t="n">
        <f aca="false">Motore_Operativo!CB191</f>
        <v>10840.8333333333</v>
      </c>
      <c r="J191" s="15" t="n">
        <f aca="false">Motore_Operativo!CD191</f>
        <v>-2590.83333333333</v>
      </c>
      <c r="K191" s="15" t="n">
        <f aca="false">Motore_Operativo!CF191</f>
        <v>250</v>
      </c>
      <c r="L191" s="15" t="n">
        <f aca="false">SUM(INDEX($K$185:$K$244,MAX(1,7-Parametri_v3!$C$59+1)):K191)/Parametri_v3!$C$59</f>
        <v>48.6111111111111</v>
      </c>
      <c r="M191" s="15" t="n">
        <f aca="false">J191-L191</f>
        <v>-2639.44444444444</v>
      </c>
      <c r="N191" s="15" t="n">
        <f aca="false">0</f>
        <v>0</v>
      </c>
      <c r="O191" s="15" t="n">
        <f aca="false">0</f>
        <v>0</v>
      </c>
      <c r="P191" s="15" t="n">
        <f aca="false">M191+N191-O191</f>
        <v>-2639.44444444444</v>
      </c>
      <c r="Q191" s="15" t="n">
        <f aca="false">SUM(P185:P191)+Parametri_v3!$C$56*7/12</f>
        <v>-18330.2777777778</v>
      </c>
      <c r="R191" s="15" t="n">
        <f aca="false">0</f>
        <v>0</v>
      </c>
      <c r="S191" s="15" t="n">
        <f aca="false">0</f>
        <v>0</v>
      </c>
      <c r="T191" s="15" t="n">
        <f aca="false">MIN(R191,MAX(0,Q191))</f>
        <v>0</v>
      </c>
      <c r="U191" s="15" t="n">
        <f aca="false">MIN(S191,MAX(0,Q191-T191)*Parametri_v3!$C$42)</f>
        <v>0</v>
      </c>
      <c r="V191" s="15" t="n">
        <f aca="false">MAX(0,Q191-T191-U191)*Ipotesi!$C$92</f>
        <v>0</v>
      </c>
      <c r="W191" s="15" t="n">
        <f aca="false">MAX(0,SUM(M185:M191)+Parametri_v3!$C$57*7/12)*Ipotesi!$C$93</f>
        <v>0</v>
      </c>
      <c r="X191" s="15" t="n">
        <f aca="false">V191+W191-(V190+W190)</f>
        <v>0</v>
      </c>
      <c r="Y191" s="15" t="n">
        <f aca="false">P191-X191</f>
        <v>-2639.44444444444</v>
      </c>
      <c r="Z191" s="15" t="n">
        <f aca="false">R191-T191+IF(AND(Parametri_v3!$C$40=1,D191-YEAR(Parametri_v3!$C$50)&lt;Parametri_v3!$C$41),MAX(0,-Q191),0)</f>
        <v>18330.2777777778</v>
      </c>
      <c r="AA191" s="15" t="n">
        <f aca="false">S191-U191+IF(AND(Parametri_v3!$C$40=1,D191-YEAR(Parametri_v3!$C$50)&lt;Parametri_v3!$C$41),0,MAX(0,-Q191))</f>
        <v>0</v>
      </c>
      <c r="AB191" s="15" t="n">
        <f aca="false">F191*(1+Parametri_v3!$C$26)</f>
        <v>10065</v>
      </c>
      <c r="AC191" s="15" t="n">
        <f aca="false">(IF(7-(INT((Motore_Operativo!L191)/30))&lt;1,0,INDEX(Motore_Advisory!$AB$185:$AB$244,MAX(1,7-(INT((Motore_Operativo!L191)/30)))))*(1-(MOD((Motore_Operativo!L191),30)/30))+IF(7-(INT((Motore_Operativo!L191)/30))-1&lt;1,0,INDEX(Motore_Advisory!$AB$185:$AB$244,MAX(1,7-(INT((Motore_Operativo!L191)/30))-1)))*(MOD((Motore_Operativo!L191),30)/30))</f>
        <v>10065</v>
      </c>
      <c r="AD191" s="15" t="n">
        <f aca="false">(AD190)+AB191-AC191</f>
        <v>40260</v>
      </c>
      <c r="AE191" s="15" t="n">
        <f aca="false">Motore_Operativo!BH191*(1+Parametri_v3!$C$26)</f>
        <v>1006.5</v>
      </c>
      <c r="AF191" s="15" t="n">
        <f aca="false">(IF(7-(INT((Parametri_v3!$C$29)/30))&lt;1,0,INDEX(Motore_Operativo!$BH$185:$BH$244,MAX(1,7-(INT((Parametri_v3!$C$29)/30)))))*(1-(MOD((Parametri_v3!$C$29),30)/30))+IF(7-(INT((Parametri_v3!$C$29)/30))-1&lt;1,0,INDEX(Motore_Operativo!$BH$185:$BH$244,MAX(1,7-(INT((Parametri_v3!$C$29)/30))-1)))*(MOD((Parametri_v3!$C$29),30)/30))*(1+Parametri_v3!$C$26)</f>
        <v>1006.5</v>
      </c>
      <c r="AG191" s="15" t="n">
        <f aca="false">(AG190)+AE191-AF191</f>
        <v>1006.5</v>
      </c>
      <c r="AH191" s="15" t="n">
        <f aca="false">(Motore_Operativo!CK191)*(1+Parametri_v3!$C$28*Parametri_v3!$C$26)</f>
        <v>5604.62</v>
      </c>
      <c r="AI191" s="15" t="n">
        <f aca="false">(IF(7-(INT((Ipotesi!$C$91)/30))&lt;1,0,INDEX(Motore_Advisory!$AH$185:$AH$244,MAX(1,7-(INT((Ipotesi!$C$91)/30)))))*(1-(MOD((Ipotesi!$C$91),30)/30))+IF(7-(INT((Ipotesi!$C$91)/30))-1&lt;1,0,INDEX(Motore_Advisory!$AH$185:$AH$244,MAX(1,7-(INT((Ipotesi!$C$91)/30))-1)))*(MOD((Ipotesi!$C$91),30)/30))</f>
        <v>5604.62</v>
      </c>
      <c r="AJ191" s="15" t="n">
        <f aca="false">(AJ190)+AH191-AI191</f>
        <v>11209.24</v>
      </c>
      <c r="AK191" s="15" t="n">
        <f aca="false">(F191- Motore_Operativo!BH191-(Motore_Operativo!CK191)*Parametri_v3!$C$28-Motore_Operativo!CF191)*Parametri_v3!$C$26</f>
        <v>739.713333333334</v>
      </c>
      <c r="AL191" s="15" t="n">
        <f aca="false">MAX(0,(AM190))</f>
        <v>739.713333333334</v>
      </c>
      <c r="AM191" s="15" t="n">
        <f aca="false">(AM190)+AK191-AL191</f>
        <v>739.713333333334</v>
      </c>
      <c r="AN191" s="15" t="n">
        <f aca="false">0</f>
        <v>0</v>
      </c>
      <c r="AO191" s="15" t="n">
        <f aca="false">0</f>
        <v>0</v>
      </c>
      <c r="AP191" s="15" t="n">
        <f aca="false">MAX(0,AN191)*IF(7=Parametri_v3!$C$43,Parametri_v3!$C$45,IF(7=Parametri_v3!$C$44,1-Parametri_v3!$C$45,0))</f>
        <v>0</v>
      </c>
      <c r="AQ191" s="15" t="n">
        <f aca="false">MAX(0,AP191+IF(7=Parametri_v3!$C$43,MAX(0,AN191-AO191),0)-MAX(0,-(AR190)))</f>
        <v>0</v>
      </c>
      <c r="AR191" s="15" t="n">
        <f aca="false">(AR190)+X191-AQ191</f>
        <v>0</v>
      </c>
      <c r="AS191" s="15" t="n">
        <f aca="false">Motore_Operativo!AC191-AT191+AU191</f>
        <v>4987.5</v>
      </c>
      <c r="AT191" s="15" t="n">
        <f aca="false">Motore_Operativo!CI191</f>
        <v>262.5</v>
      </c>
      <c r="AU191" s="15" t="n">
        <f aca="false">MIN(MAX(0,(AV190)+AT191),Parametri_v3!$C$61/12)</f>
        <v>0</v>
      </c>
      <c r="AV191" s="15" t="n">
        <f aca="false">(AV190)+AT191-AU191</f>
        <v>1837.5</v>
      </c>
      <c r="AW191" s="15" t="n">
        <f aca="false">IF(AND(Motore_Operativo!C191=Finanziamenti!$D$7,Finanziamenti!$F$7=1),Finanziamenti!$C$7,0)</f>
        <v>0</v>
      </c>
      <c r="AX191" s="15" t="n">
        <f aca="false">0</f>
        <v>0</v>
      </c>
      <c r="AY191" s="15" t="n">
        <f aca="false">IF(7=Parametri_v3!$C$33,IF(BV191&lt;MIN(12,$B191-1),0,MIN(MAX(0,0)*Ipotesi!$C$94,MAX(0,(0)-(BO190)-BP191),MAX(0,BD191-Parametri_v3!$C$31))),0)</f>
        <v>0</v>
      </c>
      <c r="AZ191" s="15" t="n">
        <f aca="false">0</f>
        <v>0</v>
      </c>
      <c r="BA191" s="15" t="n">
        <f aca="false">0</f>
        <v>0</v>
      </c>
      <c r="BB191" s="15" t="n">
        <f aca="false">0</f>
        <v>0</v>
      </c>
      <c r="BC191" s="15" t="n">
        <f aca="false">0</f>
        <v>0</v>
      </c>
      <c r="BD191" s="15" t="n">
        <f aca="false">(BH190)+AC191-AF191-AI191-AS191-K191*(1+Parametri_v3!$C$26)-AL191-AQ191-O191+AW191+AX191+AZ191+BA191-BB191</f>
        <v>-25352.88</v>
      </c>
      <c r="BE191" s="15" t="n">
        <f aca="false">0</f>
        <v>0</v>
      </c>
      <c r="BF191" s="15" t="n">
        <f aca="false">0</f>
        <v>0</v>
      </c>
      <c r="BG191" s="15" t="n">
        <f aca="false">0</f>
        <v>0</v>
      </c>
      <c r="BH191" s="15" t="n">
        <f aca="false">BD191+BE191-BF191-AY191</f>
        <v>-25352.88</v>
      </c>
      <c r="BI191" s="15" t="n">
        <f aca="false">MAX(0,Parametri_v3!$C$31-BH191)</f>
        <v>35352.88</v>
      </c>
      <c r="BJ191" s="15" t="n">
        <f aca="false">(BJ190)+K191</f>
        <v>1750</v>
      </c>
      <c r="BK191" s="15" t="n">
        <f aca="false">(BK190)+L191</f>
        <v>194.444444444444</v>
      </c>
      <c r="BL191" s="15" t="n">
        <f aca="false">BJ191-BK191</f>
        <v>1555.55555555556</v>
      </c>
      <c r="BM191" s="15" t="n">
        <f aca="false">(BM190)+Y191</f>
        <v>-18330.2777777778</v>
      </c>
      <c r="BN191" s="15" t="n">
        <f aca="false">(BN190)+AW191+AX191+AZ191</f>
        <v>20000</v>
      </c>
      <c r="BO191" s="15" t="n">
        <f aca="false">(BO190)+AY191</f>
        <v>0</v>
      </c>
      <c r="BP191" s="15" t="n">
        <f aca="false">MIN(Parametri_v3!$C$36*Parametri_v3!$C$35,(BP190)+IF(7=1,MAX(0,0)*Parametri_v3!$C$34,0))</f>
        <v>0</v>
      </c>
      <c r="BQ191" s="15" t="n">
        <f aca="false">BN191+BM191-BO191</f>
        <v>1669.72222222224</v>
      </c>
      <c r="BR191" s="15" t="n">
        <f aca="false">BH191+AD191+BL191+MAX(0,-AM191)+MAX(0,-AR191)</f>
        <v>16462.6755555556</v>
      </c>
      <c r="BS191" s="15" t="n">
        <f aca="false">AJ191+AV191+MAX(0,AM191)+MAX(0,AR191)+BC191+BG191+BQ191+AG191</f>
        <v>16462.6755555556</v>
      </c>
      <c r="BT191" s="15" t="n">
        <f aca="false">BR191-BS191</f>
        <v>0</v>
      </c>
      <c r="BU191" s="15" t="n">
        <f aca="false">BH191-(BD191+BE191-BF191-AY191)</f>
        <v>0</v>
      </c>
      <c r="BV191" s="15" t="n">
        <f aca="false">IF(BH190&lt;Parametri_v3!$C$31,0,BV190+1)</f>
        <v>0</v>
      </c>
    </row>
    <row r="192" customFormat="false" ht="18" hidden="false" customHeight="true" outlineLevel="0" collapsed="false">
      <c r="A192" s="68" t="n">
        <f aca="false">4</f>
        <v>4</v>
      </c>
      <c r="B192" s="68" t="n">
        <f aca="false">8</f>
        <v>8</v>
      </c>
      <c r="C192" s="18" t="n">
        <f aca="false">Motore_Operativo!C192</f>
        <v>46600</v>
      </c>
      <c r="D192" s="68" t="n">
        <f aca="false">Motore_Operativo!D192</f>
        <v>2027</v>
      </c>
      <c r="E192" s="68" t="n">
        <f aca="false">Motore_Operativo!E192</f>
        <v>8</v>
      </c>
      <c r="F192" s="15" t="n">
        <f aca="false">Motore_Operativo!AM192</f>
        <v>8250</v>
      </c>
      <c r="G192" s="15" t="n">
        <f aca="false">Motore_Operativo!BH192</f>
        <v>825</v>
      </c>
      <c r="H192" s="15" t="n">
        <f aca="false">Motore_Operativo!AM192</f>
        <v>8250</v>
      </c>
      <c r="I192" s="15" t="n">
        <f aca="false">Motore_Operativo!CB192</f>
        <v>10840.8333333333</v>
      </c>
      <c r="J192" s="15" t="n">
        <f aca="false">Motore_Operativo!CD192</f>
        <v>-2590.83333333333</v>
      </c>
      <c r="K192" s="15" t="n">
        <f aca="false">Motore_Operativo!CF192</f>
        <v>250</v>
      </c>
      <c r="L192" s="15" t="n">
        <f aca="false">SUM(INDEX($K$185:$K$244,MAX(1,8-Parametri_v3!$C$59+1)):K192)/Parametri_v3!$C$59</f>
        <v>55.5555555555556</v>
      </c>
      <c r="M192" s="15" t="n">
        <f aca="false">J192-L192</f>
        <v>-2646.38888888889</v>
      </c>
      <c r="N192" s="15" t="n">
        <f aca="false">0</f>
        <v>0</v>
      </c>
      <c r="O192" s="15" t="n">
        <f aca="false">0</f>
        <v>0</v>
      </c>
      <c r="P192" s="15" t="n">
        <f aca="false">M192+N192-O192</f>
        <v>-2646.38888888889</v>
      </c>
      <c r="Q192" s="15" t="n">
        <f aca="false">SUM(P185:P192)+Parametri_v3!$C$56*8/12</f>
        <v>-20976.6666666666</v>
      </c>
      <c r="R192" s="15" t="n">
        <f aca="false">0</f>
        <v>0</v>
      </c>
      <c r="S192" s="15" t="n">
        <f aca="false">0</f>
        <v>0</v>
      </c>
      <c r="T192" s="15" t="n">
        <f aca="false">MIN(R192,MAX(0,Q192))</f>
        <v>0</v>
      </c>
      <c r="U192" s="15" t="n">
        <f aca="false">MIN(S192,MAX(0,Q192-T192)*Parametri_v3!$C$42)</f>
        <v>0</v>
      </c>
      <c r="V192" s="15" t="n">
        <f aca="false">MAX(0,Q192-T192-U192)*Ipotesi!$C$92</f>
        <v>0</v>
      </c>
      <c r="W192" s="15" t="n">
        <f aca="false">MAX(0,SUM(M185:M192)+Parametri_v3!$C$57*8/12)*Ipotesi!$C$93</f>
        <v>0</v>
      </c>
      <c r="X192" s="15" t="n">
        <f aca="false">V192+W192-(V191+W191)</f>
        <v>0</v>
      </c>
      <c r="Y192" s="15" t="n">
        <f aca="false">P192-X192</f>
        <v>-2646.38888888889</v>
      </c>
      <c r="Z192" s="15" t="n">
        <f aca="false">R192-T192+IF(AND(Parametri_v3!$C$40=1,D192-YEAR(Parametri_v3!$C$50)&lt;Parametri_v3!$C$41),MAX(0,-Q192),0)</f>
        <v>20976.6666666666</v>
      </c>
      <c r="AA192" s="15" t="n">
        <f aca="false">S192-U192+IF(AND(Parametri_v3!$C$40=1,D192-YEAR(Parametri_v3!$C$50)&lt;Parametri_v3!$C$41),0,MAX(0,-Q192))</f>
        <v>0</v>
      </c>
      <c r="AB192" s="15" t="n">
        <f aca="false">F192*(1+Parametri_v3!$C$26)</f>
        <v>10065</v>
      </c>
      <c r="AC192" s="15" t="n">
        <f aca="false">(IF(8-(INT((Motore_Operativo!L192)/30))&lt;1,0,INDEX(Motore_Advisory!$AB$185:$AB$244,MAX(1,8-(INT((Motore_Operativo!L192)/30)))))*(1-(MOD((Motore_Operativo!L192),30)/30))+IF(8-(INT((Motore_Operativo!L192)/30))-1&lt;1,0,INDEX(Motore_Advisory!$AB$185:$AB$244,MAX(1,8-(INT((Motore_Operativo!L192)/30))-1)))*(MOD((Motore_Operativo!L192),30)/30))</f>
        <v>10065</v>
      </c>
      <c r="AD192" s="15" t="n">
        <f aca="false">(AD191)+AB192-AC192</f>
        <v>40260</v>
      </c>
      <c r="AE192" s="15" t="n">
        <f aca="false">Motore_Operativo!BH192*(1+Parametri_v3!$C$26)</f>
        <v>1006.5</v>
      </c>
      <c r="AF192" s="15" t="n">
        <f aca="false">(IF(8-(INT((Parametri_v3!$C$29)/30))&lt;1,0,INDEX(Motore_Operativo!$BH$185:$BH$244,MAX(1,8-(INT((Parametri_v3!$C$29)/30)))))*(1-(MOD((Parametri_v3!$C$29),30)/30))+IF(8-(INT((Parametri_v3!$C$29)/30))-1&lt;1,0,INDEX(Motore_Operativo!$BH$185:$BH$244,MAX(1,8-(INT((Parametri_v3!$C$29)/30))-1)))*(MOD((Parametri_v3!$C$29),30)/30))*(1+Parametri_v3!$C$26)</f>
        <v>1006.5</v>
      </c>
      <c r="AG192" s="15" t="n">
        <f aca="false">(AG191)+AE192-AF192</f>
        <v>1006.5</v>
      </c>
      <c r="AH192" s="15" t="n">
        <f aca="false">(Motore_Operativo!CK192)*(1+Parametri_v3!$C$28*Parametri_v3!$C$26)</f>
        <v>5604.62</v>
      </c>
      <c r="AI192" s="15" t="n">
        <f aca="false">(IF(8-(INT((Ipotesi!$C$91)/30))&lt;1,0,INDEX(Motore_Advisory!$AH$185:$AH$244,MAX(1,8-(INT((Ipotesi!$C$91)/30)))))*(1-(MOD((Ipotesi!$C$91),30)/30))+IF(8-(INT((Ipotesi!$C$91)/30))-1&lt;1,0,INDEX(Motore_Advisory!$AH$185:$AH$244,MAX(1,8-(INT((Ipotesi!$C$91)/30))-1)))*(MOD((Ipotesi!$C$91),30)/30))</f>
        <v>5604.62</v>
      </c>
      <c r="AJ192" s="15" t="n">
        <f aca="false">(AJ191)+AH192-AI192</f>
        <v>11209.24</v>
      </c>
      <c r="AK192" s="15" t="n">
        <f aca="false">(F192- Motore_Operativo!BH192-(Motore_Operativo!CK192)*Parametri_v3!$C$28-Motore_Operativo!CF192)*Parametri_v3!$C$26</f>
        <v>739.713333333334</v>
      </c>
      <c r="AL192" s="15" t="n">
        <f aca="false">MAX(0,(AM191))</f>
        <v>739.713333333334</v>
      </c>
      <c r="AM192" s="15" t="n">
        <f aca="false">(AM191)+AK192-AL192</f>
        <v>739.713333333334</v>
      </c>
      <c r="AN192" s="15" t="n">
        <f aca="false">0</f>
        <v>0</v>
      </c>
      <c r="AO192" s="15" t="n">
        <f aca="false">0</f>
        <v>0</v>
      </c>
      <c r="AP192" s="15" t="n">
        <f aca="false">MAX(0,AN192)*IF(8=Parametri_v3!$C$43,Parametri_v3!$C$45,IF(8=Parametri_v3!$C$44,1-Parametri_v3!$C$45,0))</f>
        <v>0</v>
      </c>
      <c r="AQ192" s="15" t="n">
        <f aca="false">MAX(0,AP192+IF(8=Parametri_v3!$C$43,MAX(0,AN192-AO192),0)-MAX(0,-(AR191)))</f>
        <v>0</v>
      </c>
      <c r="AR192" s="15" t="n">
        <f aca="false">(AR191)+X192-AQ192</f>
        <v>0</v>
      </c>
      <c r="AS192" s="15" t="n">
        <f aca="false">Motore_Operativo!AC192-AT192+AU192</f>
        <v>4987.5</v>
      </c>
      <c r="AT192" s="15" t="n">
        <f aca="false">Motore_Operativo!CI192</f>
        <v>262.5</v>
      </c>
      <c r="AU192" s="15" t="n">
        <f aca="false">MIN(MAX(0,(AV191)+AT192),Parametri_v3!$C$61/12)</f>
        <v>0</v>
      </c>
      <c r="AV192" s="15" t="n">
        <f aca="false">(AV191)+AT192-AU192</f>
        <v>2100</v>
      </c>
      <c r="AW192" s="15" t="n">
        <f aca="false">IF(AND(Motore_Operativo!C192=Finanziamenti!$D$7,Finanziamenti!$F$7=1),Finanziamenti!$C$7,0)</f>
        <v>0</v>
      </c>
      <c r="AX192" s="15" t="n">
        <f aca="false">0</f>
        <v>0</v>
      </c>
      <c r="AY192" s="15" t="n">
        <f aca="false">IF(8=Parametri_v3!$C$33,IF(BV192&lt;MIN(12,$B192-1),0,MIN(MAX(0,0)*Ipotesi!$C$94,MAX(0,(0)-(BO191)-BP192),MAX(0,BD192-Parametri_v3!$C$31))),0)</f>
        <v>0</v>
      </c>
      <c r="AZ192" s="15" t="n">
        <f aca="false">0</f>
        <v>0</v>
      </c>
      <c r="BA192" s="15" t="n">
        <f aca="false">0</f>
        <v>0</v>
      </c>
      <c r="BB192" s="15" t="n">
        <f aca="false">0</f>
        <v>0</v>
      </c>
      <c r="BC192" s="15" t="n">
        <f aca="false">0</f>
        <v>0</v>
      </c>
      <c r="BD192" s="15" t="n">
        <f aca="false">(BH191)+AC192-AF192-AI192-AS192-K192*(1+Parametri_v3!$C$26)-AL192-AQ192-O192+AW192+AX192+AZ192+BA192-BB192</f>
        <v>-27931.2133333333</v>
      </c>
      <c r="BE192" s="15" t="n">
        <f aca="false">0</f>
        <v>0</v>
      </c>
      <c r="BF192" s="15" t="n">
        <f aca="false">0</f>
        <v>0</v>
      </c>
      <c r="BG192" s="15" t="n">
        <f aca="false">0</f>
        <v>0</v>
      </c>
      <c r="BH192" s="15" t="n">
        <f aca="false">BD192+BE192-BF192-AY192</f>
        <v>-27931.2133333333</v>
      </c>
      <c r="BI192" s="15" t="n">
        <f aca="false">MAX(0,Parametri_v3!$C$31-BH192)</f>
        <v>37931.2133333333</v>
      </c>
      <c r="BJ192" s="15" t="n">
        <f aca="false">(BJ191)+K192</f>
        <v>2000</v>
      </c>
      <c r="BK192" s="15" t="n">
        <f aca="false">(BK191)+L192</f>
        <v>250</v>
      </c>
      <c r="BL192" s="15" t="n">
        <f aca="false">BJ192-BK192</f>
        <v>1750</v>
      </c>
      <c r="BM192" s="15" t="n">
        <f aca="false">(BM191)+Y192</f>
        <v>-20976.6666666666</v>
      </c>
      <c r="BN192" s="15" t="n">
        <f aca="false">(BN191)+AW192+AX192+AZ192</f>
        <v>20000</v>
      </c>
      <c r="BO192" s="15" t="n">
        <f aca="false">(BO191)+AY192</f>
        <v>0</v>
      </c>
      <c r="BP192" s="15" t="n">
        <f aca="false">MIN(Parametri_v3!$C$36*Parametri_v3!$C$35,(BP191)+IF(8=1,MAX(0,0)*Parametri_v3!$C$34,0))</f>
        <v>0</v>
      </c>
      <c r="BQ192" s="15" t="n">
        <f aca="false">BN192+BM192-BO192</f>
        <v>-976.666666666642</v>
      </c>
      <c r="BR192" s="15" t="n">
        <f aca="false">BH192+AD192+BL192+MAX(0,-AM192)+MAX(0,-AR192)</f>
        <v>14078.7866666667</v>
      </c>
      <c r="BS192" s="15" t="n">
        <f aca="false">AJ192+AV192+MAX(0,AM192)+MAX(0,AR192)+BC192+BG192+BQ192+AG192</f>
        <v>14078.7866666667</v>
      </c>
      <c r="BT192" s="15" t="n">
        <f aca="false">BR192-BS192</f>
        <v>0</v>
      </c>
      <c r="BU192" s="15" t="n">
        <f aca="false">BH192-(BD192+BE192-BF192-AY192)</f>
        <v>0</v>
      </c>
      <c r="BV192" s="15" t="n">
        <f aca="false">IF(BH191&lt;Parametri_v3!$C$31,0,BV191+1)</f>
        <v>0</v>
      </c>
    </row>
    <row r="193" customFormat="false" ht="18" hidden="false" customHeight="true" outlineLevel="0" collapsed="false">
      <c r="A193" s="68" t="n">
        <f aca="false">4</f>
        <v>4</v>
      </c>
      <c r="B193" s="68" t="n">
        <f aca="false">9</f>
        <v>9</v>
      </c>
      <c r="C193" s="18" t="n">
        <f aca="false">Motore_Operativo!C193</f>
        <v>46631</v>
      </c>
      <c r="D193" s="68" t="n">
        <f aca="false">Motore_Operativo!D193</f>
        <v>2027</v>
      </c>
      <c r="E193" s="68" t="n">
        <f aca="false">Motore_Operativo!E193</f>
        <v>9</v>
      </c>
      <c r="F193" s="15" t="n">
        <f aca="false">Motore_Operativo!AM193</f>
        <v>8250</v>
      </c>
      <c r="G193" s="15" t="n">
        <f aca="false">Motore_Operativo!BH193</f>
        <v>825</v>
      </c>
      <c r="H193" s="15" t="n">
        <f aca="false">Motore_Operativo!AM193</f>
        <v>8250</v>
      </c>
      <c r="I193" s="15" t="n">
        <f aca="false">Motore_Operativo!CB193</f>
        <v>10840.8333333333</v>
      </c>
      <c r="J193" s="15" t="n">
        <f aca="false">Motore_Operativo!CD193</f>
        <v>-2590.83333333333</v>
      </c>
      <c r="K193" s="15" t="n">
        <f aca="false">Motore_Operativo!CF193</f>
        <v>250</v>
      </c>
      <c r="L193" s="15" t="n">
        <f aca="false">SUM(INDEX($K$185:$K$244,MAX(1,9-Parametri_v3!$C$59+1)):K193)/Parametri_v3!$C$59</f>
        <v>62.5</v>
      </c>
      <c r="M193" s="15" t="n">
        <f aca="false">J193-L193</f>
        <v>-2653.33333333333</v>
      </c>
      <c r="N193" s="15" t="n">
        <f aca="false">0</f>
        <v>0</v>
      </c>
      <c r="O193" s="15" t="n">
        <f aca="false">0</f>
        <v>0</v>
      </c>
      <c r="P193" s="15" t="n">
        <f aca="false">M193+N193-O193</f>
        <v>-2653.33333333333</v>
      </c>
      <c r="Q193" s="15" t="n">
        <f aca="false">SUM(P185:P193)+Parametri_v3!$C$56*9/12</f>
        <v>-23630</v>
      </c>
      <c r="R193" s="15" t="n">
        <f aca="false">0</f>
        <v>0</v>
      </c>
      <c r="S193" s="15" t="n">
        <f aca="false">0</f>
        <v>0</v>
      </c>
      <c r="T193" s="15" t="n">
        <f aca="false">MIN(R193,MAX(0,Q193))</f>
        <v>0</v>
      </c>
      <c r="U193" s="15" t="n">
        <f aca="false">MIN(S193,MAX(0,Q193-T193)*Parametri_v3!$C$42)</f>
        <v>0</v>
      </c>
      <c r="V193" s="15" t="n">
        <f aca="false">MAX(0,Q193-T193-U193)*Ipotesi!$C$92</f>
        <v>0</v>
      </c>
      <c r="W193" s="15" t="n">
        <f aca="false">MAX(0,SUM(M185:M193)+Parametri_v3!$C$57*9/12)*Ipotesi!$C$93</f>
        <v>0</v>
      </c>
      <c r="X193" s="15" t="n">
        <f aca="false">V193+W193-(V192+W192)</f>
        <v>0</v>
      </c>
      <c r="Y193" s="15" t="n">
        <f aca="false">P193-X193</f>
        <v>-2653.33333333333</v>
      </c>
      <c r="Z193" s="15" t="n">
        <f aca="false">R193-T193+IF(AND(Parametri_v3!$C$40=1,D193-YEAR(Parametri_v3!$C$50)&lt;Parametri_v3!$C$41),MAX(0,-Q193),0)</f>
        <v>23630</v>
      </c>
      <c r="AA193" s="15" t="n">
        <f aca="false">S193-U193+IF(AND(Parametri_v3!$C$40=1,D193-YEAR(Parametri_v3!$C$50)&lt;Parametri_v3!$C$41),0,MAX(0,-Q193))</f>
        <v>0</v>
      </c>
      <c r="AB193" s="15" t="n">
        <f aca="false">F193*(1+Parametri_v3!$C$26)</f>
        <v>10065</v>
      </c>
      <c r="AC193" s="15" t="n">
        <f aca="false">(IF(9-(INT((Motore_Operativo!L193)/30))&lt;1,0,INDEX(Motore_Advisory!$AB$185:$AB$244,MAX(1,9-(INT((Motore_Operativo!L193)/30)))))*(1-(MOD((Motore_Operativo!L193),30)/30))+IF(9-(INT((Motore_Operativo!L193)/30))-1&lt;1,0,INDEX(Motore_Advisory!$AB$185:$AB$244,MAX(1,9-(INT((Motore_Operativo!L193)/30))-1)))*(MOD((Motore_Operativo!L193),30)/30))</f>
        <v>10065</v>
      </c>
      <c r="AD193" s="15" t="n">
        <f aca="false">(AD192)+AB193-AC193</f>
        <v>40260</v>
      </c>
      <c r="AE193" s="15" t="n">
        <f aca="false">Motore_Operativo!BH193*(1+Parametri_v3!$C$26)</f>
        <v>1006.5</v>
      </c>
      <c r="AF193" s="15" t="n">
        <f aca="false">(IF(9-(INT((Parametri_v3!$C$29)/30))&lt;1,0,INDEX(Motore_Operativo!$BH$185:$BH$244,MAX(1,9-(INT((Parametri_v3!$C$29)/30)))))*(1-(MOD((Parametri_v3!$C$29),30)/30))+IF(9-(INT((Parametri_v3!$C$29)/30))-1&lt;1,0,INDEX(Motore_Operativo!$BH$185:$BH$244,MAX(1,9-(INT((Parametri_v3!$C$29)/30))-1)))*(MOD((Parametri_v3!$C$29),30)/30))*(1+Parametri_v3!$C$26)</f>
        <v>1006.5</v>
      </c>
      <c r="AG193" s="15" t="n">
        <f aca="false">(AG192)+AE193-AF193</f>
        <v>1006.5</v>
      </c>
      <c r="AH193" s="15" t="n">
        <f aca="false">(Motore_Operativo!CK193)*(1+Parametri_v3!$C$28*Parametri_v3!$C$26)</f>
        <v>5604.62</v>
      </c>
      <c r="AI193" s="15" t="n">
        <f aca="false">(IF(9-(INT((Ipotesi!$C$91)/30))&lt;1,0,INDEX(Motore_Advisory!$AH$185:$AH$244,MAX(1,9-(INT((Ipotesi!$C$91)/30)))))*(1-(MOD((Ipotesi!$C$91),30)/30))+IF(9-(INT((Ipotesi!$C$91)/30))-1&lt;1,0,INDEX(Motore_Advisory!$AH$185:$AH$244,MAX(1,9-(INT((Ipotesi!$C$91)/30))-1)))*(MOD((Ipotesi!$C$91),30)/30))</f>
        <v>5604.62</v>
      </c>
      <c r="AJ193" s="15" t="n">
        <f aca="false">(AJ192)+AH193-AI193</f>
        <v>11209.24</v>
      </c>
      <c r="AK193" s="15" t="n">
        <f aca="false">(F193- Motore_Operativo!BH193-(Motore_Operativo!CK193)*Parametri_v3!$C$28-Motore_Operativo!CF193)*Parametri_v3!$C$26</f>
        <v>739.713333333334</v>
      </c>
      <c r="AL193" s="15" t="n">
        <f aca="false">MAX(0,(AM192))</f>
        <v>739.713333333334</v>
      </c>
      <c r="AM193" s="15" t="n">
        <f aca="false">(AM192)+AK193-AL193</f>
        <v>739.713333333334</v>
      </c>
      <c r="AN193" s="15" t="n">
        <f aca="false">0</f>
        <v>0</v>
      </c>
      <c r="AO193" s="15" t="n">
        <f aca="false">0</f>
        <v>0</v>
      </c>
      <c r="AP193" s="15" t="n">
        <f aca="false">MAX(0,AN193)*IF(9=Parametri_v3!$C$43,Parametri_v3!$C$45,IF(9=Parametri_v3!$C$44,1-Parametri_v3!$C$45,0))</f>
        <v>0</v>
      </c>
      <c r="AQ193" s="15" t="n">
        <f aca="false">MAX(0,AP193+IF(9=Parametri_v3!$C$43,MAX(0,AN193-AO193),0)-MAX(0,-(AR192)))</f>
        <v>0</v>
      </c>
      <c r="AR193" s="15" t="n">
        <f aca="false">(AR192)+X193-AQ193</f>
        <v>0</v>
      </c>
      <c r="AS193" s="15" t="n">
        <f aca="false">Motore_Operativo!AC193-AT193+AU193</f>
        <v>4987.5</v>
      </c>
      <c r="AT193" s="15" t="n">
        <f aca="false">Motore_Operativo!CI193</f>
        <v>262.5</v>
      </c>
      <c r="AU193" s="15" t="n">
        <f aca="false">MIN(MAX(0,(AV192)+AT193),Parametri_v3!$C$61/12)</f>
        <v>0</v>
      </c>
      <c r="AV193" s="15" t="n">
        <f aca="false">(AV192)+AT193-AU193</f>
        <v>2362.5</v>
      </c>
      <c r="AW193" s="15" t="n">
        <f aca="false">IF(AND(Motore_Operativo!C193=Finanziamenti!$D$7,Finanziamenti!$F$7=1),Finanziamenti!$C$7,0)</f>
        <v>0</v>
      </c>
      <c r="AX193" s="15" t="n">
        <f aca="false">0</f>
        <v>0</v>
      </c>
      <c r="AY193" s="15" t="n">
        <f aca="false">IF(9=Parametri_v3!$C$33,IF(BV193&lt;MIN(12,$B193-1),0,MIN(MAX(0,0)*Ipotesi!$C$94,MAX(0,(0)-(BO192)-BP193),MAX(0,BD193-Parametri_v3!$C$31))),0)</f>
        <v>0</v>
      </c>
      <c r="AZ193" s="15" t="n">
        <f aca="false">0</f>
        <v>0</v>
      </c>
      <c r="BA193" s="15" t="n">
        <f aca="false">0</f>
        <v>0</v>
      </c>
      <c r="BB193" s="15" t="n">
        <f aca="false">0</f>
        <v>0</v>
      </c>
      <c r="BC193" s="15" t="n">
        <f aca="false">0</f>
        <v>0</v>
      </c>
      <c r="BD193" s="15" t="n">
        <f aca="false">(BH192)+AC193-AF193-AI193-AS193-K193*(1+Parametri_v3!$C$26)-AL193-AQ193-O193+AW193+AX193+AZ193+BA193-BB193</f>
        <v>-30509.5466666666</v>
      </c>
      <c r="BE193" s="15" t="n">
        <f aca="false">0</f>
        <v>0</v>
      </c>
      <c r="BF193" s="15" t="n">
        <f aca="false">0</f>
        <v>0</v>
      </c>
      <c r="BG193" s="15" t="n">
        <f aca="false">0</f>
        <v>0</v>
      </c>
      <c r="BH193" s="15" t="n">
        <f aca="false">BD193+BE193-BF193-AY193</f>
        <v>-30509.5466666666</v>
      </c>
      <c r="BI193" s="15" t="n">
        <f aca="false">MAX(0,Parametri_v3!$C$31-BH193)</f>
        <v>40509.5466666667</v>
      </c>
      <c r="BJ193" s="15" t="n">
        <f aca="false">(BJ192)+K193</f>
        <v>2250</v>
      </c>
      <c r="BK193" s="15" t="n">
        <f aca="false">(BK192)+L193</f>
        <v>312.5</v>
      </c>
      <c r="BL193" s="15" t="n">
        <f aca="false">BJ193-BK193</f>
        <v>1937.5</v>
      </c>
      <c r="BM193" s="15" t="n">
        <f aca="false">(BM192)+Y193</f>
        <v>-23630</v>
      </c>
      <c r="BN193" s="15" t="n">
        <f aca="false">(BN192)+AW193+AX193+AZ193</f>
        <v>20000</v>
      </c>
      <c r="BO193" s="15" t="n">
        <f aca="false">(BO192)+AY193</f>
        <v>0</v>
      </c>
      <c r="BP193" s="15" t="n">
        <f aca="false">MIN(Parametri_v3!$C$36*Parametri_v3!$C$35,(BP192)+IF(9=1,MAX(0,0)*Parametri_v3!$C$34,0))</f>
        <v>0</v>
      </c>
      <c r="BQ193" s="15" t="n">
        <f aca="false">BN193+BM193-BO193</f>
        <v>-3629.99999999997</v>
      </c>
      <c r="BR193" s="15" t="n">
        <f aca="false">BH193+AD193+BL193+MAX(0,-AM193)+MAX(0,-AR193)</f>
        <v>11687.9533333334</v>
      </c>
      <c r="BS193" s="15" t="n">
        <f aca="false">AJ193+AV193+MAX(0,AM193)+MAX(0,AR193)+BC193+BG193+BQ193+AG193</f>
        <v>11687.9533333334</v>
      </c>
      <c r="BT193" s="15" t="n">
        <f aca="false">BR193-BS193</f>
        <v>0</v>
      </c>
      <c r="BU193" s="15" t="n">
        <f aca="false">BH193-(BD193+BE193-BF193-AY193)</f>
        <v>0</v>
      </c>
      <c r="BV193" s="15" t="n">
        <f aca="false">IF(BH192&lt;Parametri_v3!$C$31,0,BV192+1)</f>
        <v>0</v>
      </c>
    </row>
    <row r="194" customFormat="false" ht="18" hidden="false" customHeight="true" outlineLevel="0" collapsed="false">
      <c r="A194" s="68" t="n">
        <f aca="false">4</f>
        <v>4</v>
      </c>
      <c r="B194" s="68" t="n">
        <f aca="false">10</f>
        <v>10</v>
      </c>
      <c r="C194" s="18" t="n">
        <f aca="false">Motore_Operativo!C194</f>
        <v>46661</v>
      </c>
      <c r="D194" s="68" t="n">
        <f aca="false">Motore_Operativo!D194</f>
        <v>2027</v>
      </c>
      <c r="E194" s="68" t="n">
        <f aca="false">Motore_Operativo!E194</f>
        <v>10</v>
      </c>
      <c r="F194" s="15" t="n">
        <f aca="false">Motore_Operativo!AM194</f>
        <v>8250</v>
      </c>
      <c r="G194" s="15" t="n">
        <f aca="false">Motore_Operativo!BH194</f>
        <v>825</v>
      </c>
      <c r="H194" s="15" t="n">
        <f aca="false">Motore_Operativo!AM194</f>
        <v>8250</v>
      </c>
      <c r="I194" s="15" t="n">
        <f aca="false">Motore_Operativo!CB194</f>
        <v>10840.8333333333</v>
      </c>
      <c r="J194" s="15" t="n">
        <f aca="false">Motore_Operativo!CD194</f>
        <v>-2590.83333333333</v>
      </c>
      <c r="K194" s="15" t="n">
        <f aca="false">Motore_Operativo!CF194</f>
        <v>250</v>
      </c>
      <c r="L194" s="15" t="n">
        <f aca="false">SUM(INDEX($K$185:$K$244,MAX(1,10-Parametri_v3!$C$59+1)):K194)/Parametri_v3!$C$59</f>
        <v>69.4444444444444</v>
      </c>
      <c r="M194" s="15" t="n">
        <f aca="false">J194-L194</f>
        <v>-2660.27777777777</v>
      </c>
      <c r="N194" s="15" t="n">
        <f aca="false">0</f>
        <v>0</v>
      </c>
      <c r="O194" s="15" t="n">
        <f aca="false">0</f>
        <v>0</v>
      </c>
      <c r="P194" s="15" t="n">
        <f aca="false">M194+N194-O194</f>
        <v>-2660.27777777777</v>
      </c>
      <c r="Q194" s="15" t="n">
        <f aca="false">SUM(P185:P194)+Parametri_v3!$C$56*10/12</f>
        <v>-26290.2777777777</v>
      </c>
      <c r="R194" s="15" t="n">
        <f aca="false">0</f>
        <v>0</v>
      </c>
      <c r="S194" s="15" t="n">
        <f aca="false">0</f>
        <v>0</v>
      </c>
      <c r="T194" s="15" t="n">
        <f aca="false">MIN(R194,MAX(0,Q194))</f>
        <v>0</v>
      </c>
      <c r="U194" s="15" t="n">
        <f aca="false">MIN(S194,MAX(0,Q194-T194)*Parametri_v3!$C$42)</f>
        <v>0</v>
      </c>
      <c r="V194" s="15" t="n">
        <f aca="false">MAX(0,Q194-T194-U194)*Ipotesi!$C$92</f>
        <v>0</v>
      </c>
      <c r="W194" s="15" t="n">
        <f aca="false">MAX(0,SUM(M185:M194)+Parametri_v3!$C$57*10/12)*Ipotesi!$C$93</f>
        <v>0</v>
      </c>
      <c r="X194" s="15" t="n">
        <f aca="false">V194+W194-(V193+W193)</f>
        <v>0</v>
      </c>
      <c r="Y194" s="15" t="n">
        <f aca="false">P194-X194</f>
        <v>-2660.27777777777</v>
      </c>
      <c r="Z194" s="15" t="n">
        <f aca="false">R194-T194+IF(AND(Parametri_v3!$C$40=1,D194-YEAR(Parametri_v3!$C$50)&lt;Parametri_v3!$C$41),MAX(0,-Q194),0)</f>
        <v>26290.2777777777</v>
      </c>
      <c r="AA194" s="15" t="n">
        <f aca="false">S194-U194+IF(AND(Parametri_v3!$C$40=1,D194-YEAR(Parametri_v3!$C$50)&lt;Parametri_v3!$C$41),0,MAX(0,-Q194))</f>
        <v>0</v>
      </c>
      <c r="AB194" s="15" t="n">
        <f aca="false">F194*(1+Parametri_v3!$C$26)</f>
        <v>10065</v>
      </c>
      <c r="AC194" s="15" t="n">
        <f aca="false">(IF(10-(INT((Motore_Operativo!L194)/30))&lt;1,0,INDEX(Motore_Advisory!$AB$185:$AB$244,MAX(1,10-(INT((Motore_Operativo!L194)/30)))))*(1-(MOD((Motore_Operativo!L194),30)/30))+IF(10-(INT((Motore_Operativo!L194)/30))-1&lt;1,0,INDEX(Motore_Advisory!$AB$185:$AB$244,MAX(1,10-(INT((Motore_Operativo!L194)/30))-1)))*(MOD((Motore_Operativo!L194),30)/30))</f>
        <v>10065</v>
      </c>
      <c r="AD194" s="15" t="n">
        <f aca="false">(AD193)+AB194-AC194</f>
        <v>40260</v>
      </c>
      <c r="AE194" s="15" t="n">
        <f aca="false">Motore_Operativo!BH194*(1+Parametri_v3!$C$26)</f>
        <v>1006.5</v>
      </c>
      <c r="AF194" s="15" t="n">
        <f aca="false">(IF(10-(INT((Parametri_v3!$C$29)/30))&lt;1,0,INDEX(Motore_Operativo!$BH$185:$BH$244,MAX(1,10-(INT((Parametri_v3!$C$29)/30)))))*(1-(MOD((Parametri_v3!$C$29),30)/30))+IF(10-(INT((Parametri_v3!$C$29)/30))-1&lt;1,0,INDEX(Motore_Operativo!$BH$185:$BH$244,MAX(1,10-(INT((Parametri_v3!$C$29)/30))-1)))*(MOD((Parametri_v3!$C$29),30)/30))*(1+Parametri_v3!$C$26)</f>
        <v>1006.5</v>
      </c>
      <c r="AG194" s="15" t="n">
        <f aca="false">(AG193)+AE194-AF194</f>
        <v>1006.5</v>
      </c>
      <c r="AH194" s="15" t="n">
        <f aca="false">(Motore_Operativo!CK194)*(1+Parametri_v3!$C$28*Parametri_v3!$C$26)</f>
        <v>5604.62</v>
      </c>
      <c r="AI194" s="15" t="n">
        <f aca="false">(IF(10-(INT((Ipotesi!$C$91)/30))&lt;1,0,INDEX(Motore_Advisory!$AH$185:$AH$244,MAX(1,10-(INT((Ipotesi!$C$91)/30)))))*(1-(MOD((Ipotesi!$C$91),30)/30))+IF(10-(INT((Ipotesi!$C$91)/30))-1&lt;1,0,INDEX(Motore_Advisory!$AH$185:$AH$244,MAX(1,10-(INT((Ipotesi!$C$91)/30))-1)))*(MOD((Ipotesi!$C$91),30)/30))</f>
        <v>5604.62</v>
      </c>
      <c r="AJ194" s="15" t="n">
        <f aca="false">(AJ193)+AH194-AI194</f>
        <v>11209.24</v>
      </c>
      <c r="AK194" s="15" t="n">
        <f aca="false">(F194- Motore_Operativo!BH194-(Motore_Operativo!CK194)*Parametri_v3!$C$28-Motore_Operativo!CF194)*Parametri_v3!$C$26</f>
        <v>739.713333333334</v>
      </c>
      <c r="AL194" s="15" t="n">
        <f aca="false">MAX(0,(AM193))</f>
        <v>739.713333333334</v>
      </c>
      <c r="AM194" s="15" t="n">
        <f aca="false">(AM193)+AK194-AL194</f>
        <v>739.713333333334</v>
      </c>
      <c r="AN194" s="15" t="n">
        <f aca="false">0</f>
        <v>0</v>
      </c>
      <c r="AO194" s="15" t="n">
        <f aca="false">0</f>
        <v>0</v>
      </c>
      <c r="AP194" s="15" t="n">
        <f aca="false">MAX(0,AN194)*IF(10=Parametri_v3!$C$43,Parametri_v3!$C$45,IF(10=Parametri_v3!$C$44,1-Parametri_v3!$C$45,0))</f>
        <v>0</v>
      </c>
      <c r="AQ194" s="15" t="n">
        <f aca="false">MAX(0,AP194+IF(10=Parametri_v3!$C$43,MAX(0,AN194-AO194),0)-MAX(0,-(AR193)))</f>
        <v>0</v>
      </c>
      <c r="AR194" s="15" t="n">
        <f aca="false">(AR193)+X194-AQ194</f>
        <v>0</v>
      </c>
      <c r="AS194" s="15" t="n">
        <f aca="false">Motore_Operativo!AC194-AT194+AU194</f>
        <v>4987.5</v>
      </c>
      <c r="AT194" s="15" t="n">
        <f aca="false">Motore_Operativo!CI194</f>
        <v>262.5</v>
      </c>
      <c r="AU194" s="15" t="n">
        <f aca="false">MIN(MAX(0,(AV193)+AT194),Parametri_v3!$C$61/12)</f>
        <v>0</v>
      </c>
      <c r="AV194" s="15" t="n">
        <f aca="false">(AV193)+AT194-AU194</f>
        <v>2625</v>
      </c>
      <c r="AW194" s="15" t="n">
        <f aca="false">IF(AND(Motore_Operativo!C194=Finanziamenti!$D$7,Finanziamenti!$F$7=1),Finanziamenti!$C$7,0)</f>
        <v>0</v>
      </c>
      <c r="AX194" s="15" t="n">
        <f aca="false">0</f>
        <v>0</v>
      </c>
      <c r="AY194" s="15" t="n">
        <f aca="false">IF(10=Parametri_v3!$C$33,IF(BV194&lt;MIN(12,$B194-1),0,MIN(MAX(0,0)*Ipotesi!$C$94,MAX(0,(0)-(BO193)-BP194),MAX(0,BD194-Parametri_v3!$C$31))),0)</f>
        <v>0</v>
      </c>
      <c r="AZ194" s="15" t="n">
        <f aca="false">0</f>
        <v>0</v>
      </c>
      <c r="BA194" s="15" t="n">
        <f aca="false">0</f>
        <v>0</v>
      </c>
      <c r="BB194" s="15" t="n">
        <f aca="false">0</f>
        <v>0</v>
      </c>
      <c r="BC194" s="15" t="n">
        <f aca="false">0</f>
        <v>0</v>
      </c>
      <c r="BD194" s="15" t="n">
        <f aca="false">(BH193)+AC194-AF194-AI194-AS194-K194*(1+Parametri_v3!$C$26)-AL194-AQ194-O194+AW194+AX194+AZ194+BA194-BB194</f>
        <v>-33087.88</v>
      </c>
      <c r="BE194" s="15" t="n">
        <f aca="false">0</f>
        <v>0</v>
      </c>
      <c r="BF194" s="15" t="n">
        <f aca="false">0</f>
        <v>0</v>
      </c>
      <c r="BG194" s="15" t="n">
        <f aca="false">0</f>
        <v>0</v>
      </c>
      <c r="BH194" s="15" t="n">
        <f aca="false">BD194+BE194-BF194-AY194</f>
        <v>-33087.88</v>
      </c>
      <c r="BI194" s="15" t="n">
        <f aca="false">MAX(0,Parametri_v3!$C$31-BH194)</f>
        <v>43087.88</v>
      </c>
      <c r="BJ194" s="15" t="n">
        <f aca="false">(BJ193)+K194</f>
        <v>2500</v>
      </c>
      <c r="BK194" s="15" t="n">
        <f aca="false">(BK193)+L194</f>
        <v>381.944444444444</v>
      </c>
      <c r="BL194" s="15" t="n">
        <f aca="false">BJ194-BK194</f>
        <v>2118.05555555556</v>
      </c>
      <c r="BM194" s="15" t="n">
        <f aca="false">(BM193)+Y194</f>
        <v>-26290.2777777777</v>
      </c>
      <c r="BN194" s="15" t="n">
        <f aca="false">(BN193)+AW194+AX194+AZ194</f>
        <v>20000</v>
      </c>
      <c r="BO194" s="15" t="n">
        <f aca="false">(BO193)+AY194</f>
        <v>0</v>
      </c>
      <c r="BP194" s="15" t="n">
        <f aca="false">MIN(Parametri_v3!$C$36*Parametri_v3!$C$35,(BP193)+IF(10=1,MAX(0,0)*Parametri_v3!$C$34,0))</f>
        <v>0</v>
      </c>
      <c r="BQ194" s="15" t="n">
        <f aca="false">BN194+BM194-BO194</f>
        <v>-6290.27777777775</v>
      </c>
      <c r="BR194" s="15" t="n">
        <f aca="false">BH194+AD194+BL194+MAX(0,-AM194)+MAX(0,-AR194)</f>
        <v>9290.17555555559</v>
      </c>
      <c r="BS194" s="15" t="n">
        <f aca="false">AJ194+AV194+MAX(0,AM194)+MAX(0,AR194)+BC194+BG194+BQ194+AG194</f>
        <v>9290.17555555558</v>
      </c>
      <c r="BT194" s="15" t="n">
        <f aca="false">BR194-BS194</f>
        <v>0</v>
      </c>
      <c r="BU194" s="15" t="n">
        <f aca="false">BH194-(BD194+BE194-BF194-AY194)</f>
        <v>0</v>
      </c>
      <c r="BV194" s="15" t="n">
        <f aca="false">IF(BH193&lt;Parametri_v3!$C$31,0,BV193+1)</f>
        <v>0</v>
      </c>
    </row>
    <row r="195" customFormat="false" ht="18" hidden="false" customHeight="true" outlineLevel="0" collapsed="false">
      <c r="A195" s="68" t="n">
        <f aca="false">4</f>
        <v>4</v>
      </c>
      <c r="B195" s="68" t="n">
        <f aca="false">11</f>
        <v>11</v>
      </c>
      <c r="C195" s="18" t="n">
        <f aca="false">Motore_Operativo!C195</f>
        <v>46692</v>
      </c>
      <c r="D195" s="68" t="n">
        <f aca="false">Motore_Operativo!D195</f>
        <v>2027</v>
      </c>
      <c r="E195" s="68" t="n">
        <f aca="false">Motore_Operativo!E195</f>
        <v>11</v>
      </c>
      <c r="F195" s="15" t="n">
        <f aca="false">Motore_Operativo!AM195</f>
        <v>8250</v>
      </c>
      <c r="G195" s="15" t="n">
        <f aca="false">Motore_Operativo!BH195</f>
        <v>825</v>
      </c>
      <c r="H195" s="15" t="n">
        <f aca="false">Motore_Operativo!AM195</f>
        <v>8250</v>
      </c>
      <c r="I195" s="15" t="n">
        <f aca="false">Motore_Operativo!CB195</f>
        <v>10840.8333333333</v>
      </c>
      <c r="J195" s="15" t="n">
        <f aca="false">Motore_Operativo!CD195</f>
        <v>-2590.83333333333</v>
      </c>
      <c r="K195" s="15" t="n">
        <f aca="false">Motore_Operativo!CF195</f>
        <v>250</v>
      </c>
      <c r="L195" s="15" t="n">
        <f aca="false">SUM(INDEX($K$185:$K$244,MAX(1,11-Parametri_v3!$C$59+1)):K195)/Parametri_v3!$C$59</f>
        <v>76.3888888888889</v>
      </c>
      <c r="M195" s="15" t="n">
        <f aca="false">J195-L195</f>
        <v>-2667.22222222222</v>
      </c>
      <c r="N195" s="15" t="n">
        <f aca="false">0</f>
        <v>0</v>
      </c>
      <c r="O195" s="15" t="n">
        <f aca="false">0</f>
        <v>0</v>
      </c>
      <c r="P195" s="15" t="n">
        <f aca="false">M195+N195-O195</f>
        <v>-2667.22222222222</v>
      </c>
      <c r="Q195" s="15" t="n">
        <f aca="false">SUM(P185:P195)+Parametri_v3!$C$56*11/12</f>
        <v>-28957.5</v>
      </c>
      <c r="R195" s="15" t="n">
        <f aca="false">0</f>
        <v>0</v>
      </c>
      <c r="S195" s="15" t="n">
        <f aca="false">0</f>
        <v>0</v>
      </c>
      <c r="T195" s="15" t="n">
        <f aca="false">MIN(R195,MAX(0,Q195))</f>
        <v>0</v>
      </c>
      <c r="U195" s="15" t="n">
        <f aca="false">MIN(S195,MAX(0,Q195-T195)*Parametri_v3!$C$42)</f>
        <v>0</v>
      </c>
      <c r="V195" s="15" t="n">
        <f aca="false">MAX(0,Q195-T195-U195)*Ipotesi!$C$92</f>
        <v>0</v>
      </c>
      <c r="W195" s="15" t="n">
        <f aca="false">MAX(0,SUM(M185:M195)+Parametri_v3!$C$57*11/12)*Ipotesi!$C$93</f>
        <v>0</v>
      </c>
      <c r="X195" s="15" t="n">
        <f aca="false">V195+W195-(V194+W194)</f>
        <v>0</v>
      </c>
      <c r="Y195" s="15" t="n">
        <f aca="false">P195-X195</f>
        <v>-2667.22222222222</v>
      </c>
      <c r="Z195" s="15" t="n">
        <f aca="false">R195-T195+IF(AND(Parametri_v3!$C$40=1,D195-YEAR(Parametri_v3!$C$50)&lt;Parametri_v3!$C$41),MAX(0,-Q195),0)</f>
        <v>28957.5</v>
      </c>
      <c r="AA195" s="15" t="n">
        <f aca="false">S195-U195+IF(AND(Parametri_v3!$C$40=1,D195-YEAR(Parametri_v3!$C$50)&lt;Parametri_v3!$C$41),0,MAX(0,-Q195))</f>
        <v>0</v>
      </c>
      <c r="AB195" s="15" t="n">
        <f aca="false">F195*(1+Parametri_v3!$C$26)</f>
        <v>10065</v>
      </c>
      <c r="AC195" s="15" t="n">
        <f aca="false">(IF(11-(INT((Motore_Operativo!L195)/30))&lt;1,0,INDEX(Motore_Advisory!$AB$185:$AB$244,MAX(1,11-(INT((Motore_Operativo!L195)/30)))))*(1-(MOD((Motore_Operativo!L195),30)/30))+IF(11-(INT((Motore_Operativo!L195)/30))-1&lt;1,0,INDEX(Motore_Advisory!$AB$185:$AB$244,MAX(1,11-(INT((Motore_Operativo!L195)/30))-1)))*(MOD((Motore_Operativo!L195),30)/30))</f>
        <v>10065</v>
      </c>
      <c r="AD195" s="15" t="n">
        <f aca="false">(AD194)+AB195-AC195</f>
        <v>40260</v>
      </c>
      <c r="AE195" s="15" t="n">
        <f aca="false">Motore_Operativo!BH195*(1+Parametri_v3!$C$26)</f>
        <v>1006.5</v>
      </c>
      <c r="AF195" s="15" t="n">
        <f aca="false">(IF(11-(INT((Parametri_v3!$C$29)/30))&lt;1,0,INDEX(Motore_Operativo!$BH$185:$BH$244,MAX(1,11-(INT((Parametri_v3!$C$29)/30)))))*(1-(MOD((Parametri_v3!$C$29),30)/30))+IF(11-(INT((Parametri_v3!$C$29)/30))-1&lt;1,0,INDEX(Motore_Operativo!$BH$185:$BH$244,MAX(1,11-(INT((Parametri_v3!$C$29)/30))-1)))*(MOD((Parametri_v3!$C$29),30)/30))*(1+Parametri_v3!$C$26)</f>
        <v>1006.5</v>
      </c>
      <c r="AG195" s="15" t="n">
        <f aca="false">(AG194)+AE195-AF195</f>
        <v>1006.5</v>
      </c>
      <c r="AH195" s="15" t="n">
        <f aca="false">(Motore_Operativo!CK195)*(1+Parametri_v3!$C$28*Parametri_v3!$C$26)</f>
        <v>5604.62</v>
      </c>
      <c r="AI195" s="15" t="n">
        <f aca="false">(IF(11-(INT((Ipotesi!$C$91)/30))&lt;1,0,INDEX(Motore_Advisory!$AH$185:$AH$244,MAX(1,11-(INT((Ipotesi!$C$91)/30)))))*(1-(MOD((Ipotesi!$C$91),30)/30))+IF(11-(INT((Ipotesi!$C$91)/30))-1&lt;1,0,INDEX(Motore_Advisory!$AH$185:$AH$244,MAX(1,11-(INT((Ipotesi!$C$91)/30))-1)))*(MOD((Ipotesi!$C$91),30)/30))</f>
        <v>5604.62</v>
      </c>
      <c r="AJ195" s="15" t="n">
        <f aca="false">(AJ194)+AH195-AI195</f>
        <v>11209.24</v>
      </c>
      <c r="AK195" s="15" t="n">
        <f aca="false">(F195- Motore_Operativo!BH195-(Motore_Operativo!CK195)*Parametri_v3!$C$28-Motore_Operativo!CF195)*Parametri_v3!$C$26</f>
        <v>739.713333333334</v>
      </c>
      <c r="AL195" s="15" t="n">
        <f aca="false">MAX(0,(AM194))</f>
        <v>739.713333333334</v>
      </c>
      <c r="AM195" s="15" t="n">
        <f aca="false">(AM194)+AK195-AL195</f>
        <v>739.713333333334</v>
      </c>
      <c r="AN195" s="15" t="n">
        <f aca="false">0</f>
        <v>0</v>
      </c>
      <c r="AO195" s="15" t="n">
        <f aca="false">0</f>
        <v>0</v>
      </c>
      <c r="AP195" s="15" t="n">
        <f aca="false">MAX(0,AN195)*IF(11=Parametri_v3!$C$43,Parametri_v3!$C$45,IF(11=Parametri_v3!$C$44,1-Parametri_v3!$C$45,0))</f>
        <v>0</v>
      </c>
      <c r="AQ195" s="15" t="n">
        <f aca="false">MAX(0,AP195+IF(11=Parametri_v3!$C$43,MAX(0,AN195-AO195),0)-MAX(0,-(AR194)))</f>
        <v>0</v>
      </c>
      <c r="AR195" s="15" t="n">
        <f aca="false">(AR194)+X195-AQ195</f>
        <v>0</v>
      </c>
      <c r="AS195" s="15" t="n">
        <f aca="false">Motore_Operativo!AC195-AT195+AU195</f>
        <v>4987.5</v>
      </c>
      <c r="AT195" s="15" t="n">
        <f aca="false">Motore_Operativo!CI195</f>
        <v>262.5</v>
      </c>
      <c r="AU195" s="15" t="n">
        <f aca="false">MIN(MAX(0,(AV194)+AT195),Parametri_v3!$C$61/12)</f>
        <v>0</v>
      </c>
      <c r="AV195" s="15" t="n">
        <f aca="false">(AV194)+AT195-AU195</f>
        <v>2887.5</v>
      </c>
      <c r="AW195" s="15" t="n">
        <f aca="false">IF(AND(Motore_Operativo!C195=Finanziamenti!$D$7,Finanziamenti!$F$7=1),Finanziamenti!$C$7,0)</f>
        <v>0</v>
      </c>
      <c r="AX195" s="15" t="n">
        <f aca="false">0</f>
        <v>0</v>
      </c>
      <c r="AY195" s="15" t="n">
        <f aca="false">IF(11=Parametri_v3!$C$33,IF(BV195&lt;MIN(12,$B195-1),0,MIN(MAX(0,0)*Ipotesi!$C$94,MAX(0,(0)-(BO194)-BP195),MAX(0,BD195-Parametri_v3!$C$31))),0)</f>
        <v>0</v>
      </c>
      <c r="AZ195" s="15" t="n">
        <f aca="false">0</f>
        <v>0</v>
      </c>
      <c r="BA195" s="15" t="n">
        <f aca="false">0</f>
        <v>0</v>
      </c>
      <c r="BB195" s="15" t="n">
        <f aca="false">0</f>
        <v>0</v>
      </c>
      <c r="BC195" s="15" t="n">
        <f aca="false">0</f>
        <v>0</v>
      </c>
      <c r="BD195" s="15" t="n">
        <f aca="false">(BH194)+AC195-AF195-AI195-AS195-K195*(1+Parametri_v3!$C$26)-AL195-AQ195-O195+AW195+AX195+AZ195+BA195-BB195</f>
        <v>-35666.2133333333</v>
      </c>
      <c r="BE195" s="15" t="n">
        <f aca="false">0</f>
        <v>0</v>
      </c>
      <c r="BF195" s="15" t="n">
        <f aca="false">0</f>
        <v>0</v>
      </c>
      <c r="BG195" s="15" t="n">
        <f aca="false">0</f>
        <v>0</v>
      </c>
      <c r="BH195" s="15" t="n">
        <f aca="false">BD195+BE195-BF195-AY195</f>
        <v>-35666.2133333333</v>
      </c>
      <c r="BI195" s="15" t="n">
        <f aca="false">MAX(0,Parametri_v3!$C$31-BH195)</f>
        <v>45666.2133333333</v>
      </c>
      <c r="BJ195" s="15" t="n">
        <f aca="false">(BJ194)+K195</f>
        <v>2750</v>
      </c>
      <c r="BK195" s="15" t="n">
        <f aca="false">(BK194)+L195</f>
        <v>458.333333333333</v>
      </c>
      <c r="BL195" s="15" t="n">
        <f aca="false">BJ195-BK195</f>
        <v>2291.66666666667</v>
      </c>
      <c r="BM195" s="15" t="n">
        <f aca="false">(BM194)+Y195</f>
        <v>-28957.5</v>
      </c>
      <c r="BN195" s="15" t="n">
        <f aca="false">(BN194)+AW195+AX195+AZ195</f>
        <v>20000</v>
      </c>
      <c r="BO195" s="15" t="n">
        <f aca="false">(BO194)+AY195</f>
        <v>0</v>
      </c>
      <c r="BP195" s="15" t="n">
        <f aca="false">MIN(Parametri_v3!$C$36*Parametri_v3!$C$35,(BP194)+IF(11=1,MAX(0,0)*Parametri_v3!$C$34,0))</f>
        <v>0</v>
      </c>
      <c r="BQ195" s="15" t="n">
        <f aca="false">BN195+BM195-BO195</f>
        <v>-8957.49999999996</v>
      </c>
      <c r="BR195" s="15" t="n">
        <f aca="false">BH195+AD195+BL195+MAX(0,-AM195)+MAX(0,-AR195)</f>
        <v>6885.45333333337</v>
      </c>
      <c r="BS195" s="15" t="n">
        <f aca="false">AJ195+AV195+MAX(0,AM195)+MAX(0,AR195)+BC195+BG195+BQ195+AG195</f>
        <v>6885.45333333336</v>
      </c>
      <c r="BT195" s="15" t="n">
        <f aca="false">BR195-BS195</f>
        <v>0</v>
      </c>
      <c r="BU195" s="15" t="n">
        <f aca="false">BH195-(BD195+BE195-BF195-AY195)</f>
        <v>0</v>
      </c>
      <c r="BV195" s="15" t="n">
        <f aca="false">IF(BH194&lt;Parametri_v3!$C$31,0,BV194+1)</f>
        <v>0</v>
      </c>
    </row>
    <row r="196" customFormat="false" ht="18" hidden="false" customHeight="true" outlineLevel="0" collapsed="false">
      <c r="A196" s="68" t="n">
        <f aca="false">4</f>
        <v>4</v>
      </c>
      <c r="B196" s="68" t="n">
        <f aca="false">12</f>
        <v>12</v>
      </c>
      <c r="C196" s="18" t="n">
        <f aca="false">Motore_Operativo!C196</f>
        <v>46722</v>
      </c>
      <c r="D196" s="68" t="n">
        <f aca="false">Motore_Operativo!D196</f>
        <v>2027</v>
      </c>
      <c r="E196" s="68" t="n">
        <f aca="false">Motore_Operativo!E196</f>
        <v>12</v>
      </c>
      <c r="F196" s="15" t="n">
        <f aca="false">Motore_Operativo!AM196</f>
        <v>8250</v>
      </c>
      <c r="G196" s="15" t="n">
        <f aca="false">Motore_Operativo!BH196</f>
        <v>825</v>
      </c>
      <c r="H196" s="15" t="n">
        <f aca="false">Motore_Operativo!AM196</f>
        <v>8250</v>
      </c>
      <c r="I196" s="15" t="n">
        <f aca="false">Motore_Operativo!CB196</f>
        <v>10840.8333333333</v>
      </c>
      <c r="J196" s="15" t="n">
        <f aca="false">Motore_Operativo!CD196</f>
        <v>-2590.83333333333</v>
      </c>
      <c r="K196" s="15" t="n">
        <f aca="false">Motore_Operativo!CF196</f>
        <v>250</v>
      </c>
      <c r="L196" s="15" t="n">
        <f aca="false">SUM(INDEX($K$185:$K$244,MAX(1,12-Parametri_v3!$C$59+1)):K196)/Parametri_v3!$C$59</f>
        <v>83.3333333333333</v>
      </c>
      <c r="M196" s="15" t="n">
        <f aca="false">J196-L196</f>
        <v>-2674.16666666666</v>
      </c>
      <c r="N196" s="15" t="n">
        <f aca="false">0</f>
        <v>0</v>
      </c>
      <c r="O196" s="15" t="n">
        <f aca="false">0</f>
        <v>0</v>
      </c>
      <c r="P196" s="15" t="n">
        <f aca="false">M196+N196-O196</f>
        <v>-2674.16666666666</v>
      </c>
      <c r="Q196" s="15" t="n">
        <f aca="false">SUM(P185:P196)+Parametri_v3!$C$56*12/12</f>
        <v>-31631.6666666666</v>
      </c>
      <c r="R196" s="15" t="n">
        <f aca="false">0</f>
        <v>0</v>
      </c>
      <c r="S196" s="15" t="n">
        <f aca="false">0</f>
        <v>0</v>
      </c>
      <c r="T196" s="15" t="n">
        <f aca="false">MIN(R196,MAX(0,Q196))</f>
        <v>0</v>
      </c>
      <c r="U196" s="15" t="n">
        <f aca="false">MIN(S196,MAX(0,Q196-T196)*Parametri_v3!$C$42)</f>
        <v>0</v>
      </c>
      <c r="V196" s="15" t="n">
        <f aca="false">MAX(0,Q196-T196-U196)*Ipotesi!$C$92</f>
        <v>0</v>
      </c>
      <c r="W196" s="15" t="n">
        <f aca="false">MAX(0,SUM(M185:M196)+Parametri_v3!$C$57*12/12)*Ipotesi!$C$93</f>
        <v>0</v>
      </c>
      <c r="X196" s="15" t="n">
        <f aca="false">V196+W196-(V195+W195)</f>
        <v>0</v>
      </c>
      <c r="Y196" s="15" t="n">
        <f aca="false">P196-X196</f>
        <v>-2674.16666666666</v>
      </c>
      <c r="Z196" s="15" t="n">
        <f aca="false">R196-T196+IF(AND(Parametri_v3!$C$40=1,D196-YEAR(Parametri_v3!$C$50)&lt;Parametri_v3!$C$41),MAX(0,-Q196),0)</f>
        <v>31631.6666666666</v>
      </c>
      <c r="AA196" s="15" t="n">
        <f aca="false">S196-U196+IF(AND(Parametri_v3!$C$40=1,D196-YEAR(Parametri_v3!$C$50)&lt;Parametri_v3!$C$41),0,MAX(0,-Q196))</f>
        <v>0</v>
      </c>
      <c r="AB196" s="15" t="n">
        <f aca="false">F196*(1+Parametri_v3!$C$26)</f>
        <v>10065</v>
      </c>
      <c r="AC196" s="15" t="n">
        <f aca="false">(IF(12-(INT((Motore_Operativo!L196)/30))&lt;1,0,INDEX(Motore_Advisory!$AB$185:$AB$244,MAX(1,12-(INT((Motore_Operativo!L196)/30)))))*(1-(MOD((Motore_Operativo!L196),30)/30))+IF(12-(INT((Motore_Operativo!L196)/30))-1&lt;1,0,INDEX(Motore_Advisory!$AB$185:$AB$244,MAX(1,12-(INT((Motore_Operativo!L196)/30))-1)))*(MOD((Motore_Operativo!L196),30)/30))</f>
        <v>10065</v>
      </c>
      <c r="AD196" s="15" t="n">
        <f aca="false">(AD195)+AB196-AC196</f>
        <v>40260</v>
      </c>
      <c r="AE196" s="15" t="n">
        <f aca="false">Motore_Operativo!BH196*(1+Parametri_v3!$C$26)</f>
        <v>1006.5</v>
      </c>
      <c r="AF196" s="15" t="n">
        <f aca="false">(IF(12-(INT((Parametri_v3!$C$29)/30))&lt;1,0,INDEX(Motore_Operativo!$BH$185:$BH$244,MAX(1,12-(INT((Parametri_v3!$C$29)/30)))))*(1-(MOD((Parametri_v3!$C$29),30)/30))+IF(12-(INT((Parametri_v3!$C$29)/30))-1&lt;1,0,INDEX(Motore_Operativo!$BH$185:$BH$244,MAX(1,12-(INT((Parametri_v3!$C$29)/30))-1)))*(MOD((Parametri_v3!$C$29),30)/30))*(1+Parametri_v3!$C$26)</f>
        <v>1006.5</v>
      </c>
      <c r="AG196" s="15" t="n">
        <f aca="false">(AG195)+AE196-AF196</f>
        <v>1006.5</v>
      </c>
      <c r="AH196" s="15" t="n">
        <f aca="false">(Motore_Operativo!CK196)*(1+Parametri_v3!$C$28*Parametri_v3!$C$26)</f>
        <v>5604.62</v>
      </c>
      <c r="AI196" s="15" t="n">
        <f aca="false">(IF(12-(INT((Ipotesi!$C$91)/30))&lt;1,0,INDEX(Motore_Advisory!$AH$185:$AH$244,MAX(1,12-(INT((Ipotesi!$C$91)/30)))))*(1-(MOD((Ipotesi!$C$91),30)/30))+IF(12-(INT((Ipotesi!$C$91)/30))-1&lt;1,0,INDEX(Motore_Advisory!$AH$185:$AH$244,MAX(1,12-(INT((Ipotesi!$C$91)/30))-1)))*(MOD((Ipotesi!$C$91),30)/30))</f>
        <v>5604.62</v>
      </c>
      <c r="AJ196" s="15" t="n">
        <f aca="false">(AJ195)+AH196-AI196</f>
        <v>11209.24</v>
      </c>
      <c r="AK196" s="15" t="n">
        <f aca="false">(F196- Motore_Operativo!BH196-(Motore_Operativo!CK196)*Parametri_v3!$C$28-Motore_Operativo!CF196)*Parametri_v3!$C$26</f>
        <v>739.713333333334</v>
      </c>
      <c r="AL196" s="15" t="n">
        <f aca="false">MAX(0,(AM195))</f>
        <v>739.713333333334</v>
      </c>
      <c r="AM196" s="15" t="n">
        <f aca="false">(AM195)+AK196-AL196</f>
        <v>739.713333333334</v>
      </c>
      <c r="AN196" s="15" t="n">
        <f aca="false">0</f>
        <v>0</v>
      </c>
      <c r="AO196" s="15" t="n">
        <f aca="false">0</f>
        <v>0</v>
      </c>
      <c r="AP196" s="15" t="n">
        <f aca="false">MAX(0,AN196)*IF(12=Parametri_v3!$C$43,Parametri_v3!$C$45,IF(12=Parametri_v3!$C$44,1-Parametri_v3!$C$45,0))</f>
        <v>0</v>
      </c>
      <c r="AQ196" s="15" t="n">
        <f aca="false">MAX(0,AP196+IF(12=Parametri_v3!$C$43,MAX(0,AN196-AO196),0)-MAX(0,-(AR195)))</f>
        <v>0</v>
      </c>
      <c r="AR196" s="15" t="n">
        <f aca="false">(AR195)+X196-AQ196</f>
        <v>0</v>
      </c>
      <c r="AS196" s="15" t="n">
        <f aca="false">Motore_Operativo!AC196-AT196+AU196</f>
        <v>4987.5</v>
      </c>
      <c r="AT196" s="15" t="n">
        <f aca="false">Motore_Operativo!CI196</f>
        <v>262.5</v>
      </c>
      <c r="AU196" s="15" t="n">
        <f aca="false">MIN(MAX(0,(AV195)+AT196),Parametri_v3!$C$61/12)</f>
        <v>0</v>
      </c>
      <c r="AV196" s="15" t="n">
        <f aca="false">(AV195)+AT196-AU196</f>
        <v>3150</v>
      </c>
      <c r="AW196" s="15" t="n">
        <f aca="false">IF(AND(Motore_Operativo!C196=Finanziamenti!$D$7,Finanziamenti!$F$7=1),Finanziamenti!$C$7,0)</f>
        <v>0</v>
      </c>
      <c r="AX196" s="15" t="n">
        <f aca="false">0</f>
        <v>0</v>
      </c>
      <c r="AY196" s="15" t="n">
        <f aca="false">IF(12=Parametri_v3!$C$33,IF(BV196&lt;MIN(12,$B196-1),0,MIN(MAX(0,0)*Ipotesi!$C$94,MAX(0,(0)-(BO195)-BP196),MAX(0,BD196-Parametri_v3!$C$31))),0)</f>
        <v>0</v>
      </c>
      <c r="AZ196" s="15" t="n">
        <f aca="false">0</f>
        <v>0</v>
      </c>
      <c r="BA196" s="15" t="n">
        <f aca="false">0</f>
        <v>0</v>
      </c>
      <c r="BB196" s="15" t="n">
        <f aca="false">0</f>
        <v>0</v>
      </c>
      <c r="BC196" s="15" t="n">
        <f aca="false">0</f>
        <v>0</v>
      </c>
      <c r="BD196" s="15" t="n">
        <f aca="false">(BH195)+AC196-AF196-AI196-AS196-K196*(1+Parametri_v3!$C$26)-AL196-AQ196-O196+AW196+AX196+AZ196+BA196-BB196</f>
        <v>-38244.5466666666</v>
      </c>
      <c r="BE196" s="15" t="n">
        <f aca="false">0</f>
        <v>0</v>
      </c>
      <c r="BF196" s="15" t="n">
        <f aca="false">0</f>
        <v>0</v>
      </c>
      <c r="BG196" s="15" t="n">
        <f aca="false">0</f>
        <v>0</v>
      </c>
      <c r="BH196" s="15" t="n">
        <f aca="false">BD196+BE196-BF196-AY196</f>
        <v>-38244.5466666666</v>
      </c>
      <c r="BI196" s="15" t="n">
        <f aca="false">MAX(0,Parametri_v3!$C$31-BH196)</f>
        <v>48244.5466666666</v>
      </c>
      <c r="BJ196" s="15" t="n">
        <f aca="false">(BJ195)+K196</f>
        <v>3000</v>
      </c>
      <c r="BK196" s="15" t="n">
        <f aca="false">(BK195)+L196</f>
        <v>541.666666666667</v>
      </c>
      <c r="BL196" s="15" t="n">
        <f aca="false">BJ196-BK196</f>
        <v>2458.33333333333</v>
      </c>
      <c r="BM196" s="15" t="n">
        <f aca="false">(BM195)+Y196</f>
        <v>-31631.6666666666</v>
      </c>
      <c r="BN196" s="15" t="n">
        <f aca="false">(BN195)+AW196+AX196+AZ196</f>
        <v>20000</v>
      </c>
      <c r="BO196" s="15" t="n">
        <f aca="false">(BO195)+AY196</f>
        <v>0</v>
      </c>
      <c r="BP196" s="15" t="n">
        <f aca="false">MIN(Parametri_v3!$C$36*Parametri_v3!$C$35,(BP195)+IF(12=1,MAX(0,0)*Parametri_v3!$C$34,0))</f>
        <v>0</v>
      </c>
      <c r="BQ196" s="15" t="n">
        <f aca="false">BN196+BM196-BO196</f>
        <v>-11631.6666666666</v>
      </c>
      <c r="BR196" s="15" t="n">
        <f aca="false">BH196+AD196+BL196+MAX(0,-AM196)+MAX(0,-AR196)</f>
        <v>4473.78666666671</v>
      </c>
      <c r="BS196" s="15" t="n">
        <f aca="false">AJ196+AV196+MAX(0,AM196)+MAX(0,AR196)+BC196+BG196+BQ196+AG196</f>
        <v>4473.7866666667</v>
      </c>
      <c r="BT196" s="15" t="n">
        <f aca="false">BR196-BS196</f>
        <v>0</v>
      </c>
      <c r="BU196" s="15" t="n">
        <f aca="false">BH196-(BD196+BE196-BF196-AY196)</f>
        <v>0</v>
      </c>
      <c r="BV196" s="15" t="n">
        <f aca="false">IF(BH195&lt;Parametri_v3!$C$31,0,BV195+1)</f>
        <v>0</v>
      </c>
    </row>
    <row r="197" customFormat="false" ht="18" hidden="false" customHeight="true" outlineLevel="0" collapsed="false">
      <c r="A197" s="68" t="n">
        <f aca="false">4</f>
        <v>4</v>
      </c>
      <c r="B197" s="68" t="n">
        <f aca="false">13</f>
        <v>13</v>
      </c>
      <c r="C197" s="18" t="n">
        <f aca="false">Motore_Operativo!C197</f>
        <v>46753</v>
      </c>
      <c r="D197" s="68" t="n">
        <f aca="false">Motore_Operativo!D197</f>
        <v>2028</v>
      </c>
      <c r="E197" s="68" t="n">
        <f aca="false">Motore_Operativo!E197</f>
        <v>1</v>
      </c>
      <c r="F197" s="15" t="n">
        <f aca="false">Motore_Operativo!AM197</f>
        <v>19387.5</v>
      </c>
      <c r="G197" s="15" t="n">
        <f aca="false">Motore_Operativo!BH197</f>
        <v>1938.75</v>
      </c>
      <c r="H197" s="15" t="n">
        <f aca="false">Motore_Operativo!AM197</f>
        <v>19387.5</v>
      </c>
      <c r="I197" s="15" t="n">
        <f aca="false">Motore_Operativo!CB197</f>
        <v>26550.3333333333</v>
      </c>
      <c r="J197" s="15" t="n">
        <f aca="false">Motore_Operativo!CD197</f>
        <v>-7162.83333333333</v>
      </c>
      <c r="K197" s="15" t="n">
        <f aca="false">Motore_Operativo!CF197</f>
        <v>416.666666666667</v>
      </c>
      <c r="L197" s="15" t="n">
        <f aca="false">SUM(INDEX($K$185:$K$244,MAX(1,13-Parametri_v3!$C$59+1)):K197)/Parametri_v3!$C$59</f>
        <v>94.9074074074074</v>
      </c>
      <c r="M197" s="15" t="n">
        <f aca="false">J197-L197</f>
        <v>-7257.74074074074</v>
      </c>
      <c r="N197" s="15" t="n">
        <f aca="false">0</f>
        <v>0</v>
      </c>
      <c r="O197" s="15" t="n">
        <f aca="false">0</f>
        <v>0</v>
      </c>
      <c r="P197" s="15" t="n">
        <f aca="false">M197+N197-O197</f>
        <v>-7257.74074074074</v>
      </c>
      <c r="Q197" s="15" t="n">
        <f aca="false">SUM(P197)+Parametri_v3!$C$56*1/12</f>
        <v>-7257.74074074074</v>
      </c>
      <c r="R197" s="15" t="n">
        <f aca="false">Z196</f>
        <v>31631.6666666666</v>
      </c>
      <c r="S197" s="15" t="n">
        <f aca="false">AA196</f>
        <v>0</v>
      </c>
      <c r="T197" s="15" t="n">
        <f aca="false">MIN(R197,MAX(0,Q197))</f>
        <v>0</v>
      </c>
      <c r="U197" s="15" t="n">
        <f aca="false">MIN(S197,MAX(0,Q197-T197)*Parametri_v3!$C$42)</f>
        <v>0</v>
      </c>
      <c r="V197" s="15" t="n">
        <f aca="false">MAX(0,Q197-T197-U197)*Ipotesi!$C$92</f>
        <v>0</v>
      </c>
      <c r="W197" s="15" t="n">
        <f aca="false">MAX(0,SUM(M197)+Parametri_v3!$C$57*1/12)*Ipotesi!$C$93</f>
        <v>0</v>
      </c>
      <c r="X197" s="15" t="n">
        <f aca="false">V197+W197-(0)</f>
        <v>0</v>
      </c>
      <c r="Y197" s="15" t="n">
        <f aca="false">P197-X197</f>
        <v>-7257.74074074074</v>
      </c>
      <c r="Z197" s="15" t="n">
        <f aca="false">R197-T197+IF(AND(Parametri_v3!$C$40=1,D197-YEAR(Parametri_v3!$C$50)&lt;Parametri_v3!$C$41),MAX(0,-Q197),0)</f>
        <v>38889.4074074074</v>
      </c>
      <c r="AA197" s="15" t="n">
        <f aca="false">S197-U197+IF(AND(Parametri_v3!$C$40=1,D197-YEAR(Parametri_v3!$C$50)&lt;Parametri_v3!$C$41),0,MAX(0,-Q197))</f>
        <v>0</v>
      </c>
      <c r="AB197" s="15" t="n">
        <f aca="false">F197*(1+Parametri_v3!$C$26)</f>
        <v>23652.75</v>
      </c>
      <c r="AC197" s="15" t="n">
        <f aca="false">(IF(13-(INT((Motore_Operativo!L197)/30))&lt;1,0,INDEX(Motore_Advisory!$AB$185:$AB$244,MAX(1,13-(INT((Motore_Operativo!L197)/30)))))*(1-(MOD((Motore_Operativo!L197),30)/30))+IF(13-(INT((Motore_Operativo!L197)/30))-1&lt;1,0,INDEX(Motore_Advisory!$AB$185:$AB$244,MAX(1,13-(INT((Motore_Operativo!L197)/30))-1)))*(MOD((Motore_Operativo!L197),30)/30))</f>
        <v>10065</v>
      </c>
      <c r="AD197" s="15" t="n">
        <f aca="false">(AD196)+AB197-AC197</f>
        <v>53847.75</v>
      </c>
      <c r="AE197" s="15" t="n">
        <f aca="false">Motore_Operativo!BH197*(1+Parametri_v3!$C$26)</f>
        <v>2365.275</v>
      </c>
      <c r="AF197" s="15" t="n">
        <f aca="false">(IF(13-(INT((Parametri_v3!$C$29)/30))&lt;1,0,INDEX(Motore_Operativo!$BH$185:$BH$244,MAX(1,13-(INT((Parametri_v3!$C$29)/30)))))*(1-(MOD((Parametri_v3!$C$29),30)/30))+IF(13-(INT((Parametri_v3!$C$29)/30))-1&lt;1,0,INDEX(Motore_Operativo!$BH$185:$BH$244,MAX(1,13-(INT((Parametri_v3!$C$29)/30))-1)))*(MOD((Parametri_v3!$C$29),30)/30))*(1+Parametri_v3!$C$26)</f>
        <v>1006.5</v>
      </c>
      <c r="AG197" s="15" t="n">
        <f aca="false">(AG196)+AE197-AF197</f>
        <v>2365.275</v>
      </c>
      <c r="AH197" s="15" t="n">
        <f aca="false">(Motore_Operativo!CK197)*(1+Parametri_v3!$C$28*Parametri_v3!$C$26)</f>
        <v>10168.382</v>
      </c>
      <c r="AI197" s="15" t="n">
        <f aca="false">(IF(13-(INT((Ipotesi!$C$91)/30))&lt;1,0,INDEX(Motore_Advisory!$AH$185:$AH$244,MAX(1,13-(INT((Ipotesi!$C$91)/30)))))*(1-(MOD((Ipotesi!$C$91),30)/30))+IF(13-(INT((Ipotesi!$C$91)/30))-1&lt;1,0,INDEX(Motore_Advisory!$AH$185:$AH$244,MAX(1,13-(INT((Ipotesi!$C$91)/30))-1)))*(MOD((Ipotesi!$C$91),30)/30))</f>
        <v>5604.62</v>
      </c>
      <c r="AJ197" s="15" t="n">
        <f aca="false">(AJ196)+AH197-AI197</f>
        <v>15773.002</v>
      </c>
      <c r="AK197" s="15" t="n">
        <f aca="false">(F197- Motore_Operativo!BH197-(Motore_Operativo!CK197)*Parametri_v3!$C$28-Motore_Operativo!CF197)*Parametri_v3!$C$26</f>
        <v>2225.25966666667</v>
      </c>
      <c r="AL197" s="15" t="n">
        <f aca="false">MAX(0,(AM196))</f>
        <v>739.713333333334</v>
      </c>
      <c r="AM197" s="15" t="n">
        <f aca="false">(AM196)+AK197-AL197</f>
        <v>2225.25966666667</v>
      </c>
      <c r="AN197" s="15" t="n">
        <f aca="false">SUM(X185:X196)</f>
        <v>0</v>
      </c>
      <c r="AO197" s="15" t="n">
        <f aca="false">SUM(AP185:AP196)</f>
        <v>0</v>
      </c>
      <c r="AP197" s="15" t="n">
        <f aca="false">MAX(0,AN197)*IF(1=Parametri_v3!$C$43,Parametri_v3!$C$45,IF(1=Parametri_v3!$C$44,1-Parametri_v3!$C$45,0))</f>
        <v>0</v>
      </c>
      <c r="AQ197" s="15" t="n">
        <f aca="false">MAX(0,AP197+IF(1=Parametri_v3!$C$43,MAX(0,AN197-AO197),0)-MAX(0,-(AR196)))</f>
        <v>0</v>
      </c>
      <c r="AR197" s="15" t="n">
        <f aca="false">(AR196)+X197-AQ197</f>
        <v>0</v>
      </c>
      <c r="AS197" s="15" t="n">
        <f aca="false">Motore_Operativo!AC197-AT197+AU197</f>
        <v>15166.75</v>
      </c>
      <c r="AT197" s="15" t="n">
        <f aca="false">Motore_Operativo!CI197</f>
        <v>798.25</v>
      </c>
      <c r="AU197" s="15" t="n">
        <f aca="false">MIN(MAX(0,(AV196)+AT197),Parametri_v3!$C$61/12)</f>
        <v>0</v>
      </c>
      <c r="AV197" s="15" t="n">
        <f aca="false">(AV196)+AT197-AU197</f>
        <v>3948.25</v>
      </c>
      <c r="AW197" s="15" t="n">
        <f aca="false">IF(AND(Motore_Operativo!C197=Finanziamenti!$D$7,Finanziamenti!$F$7=1),Finanziamenti!$C$7,0)</f>
        <v>0</v>
      </c>
      <c r="AX197" s="15" t="n">
        <f aca="false">0</f>
        <v>0</v>
      </c>
      <c r="AY197" s="15" t="n">
        <f aca="false">IF(1=Parametri_v3!$C$33,IF(BV197&lt;MIN(12,$B197-1),0,MIN(MAX(0,SUM(Y185:Y196))*Ipotesi!$C$94,MAX(0,(BM196)-(BO196)-BP197),MAX(0,BD197-Parametri_v3!$C$31))),0)</f>
        <v>0</v>
      </c>
      <c r="AZ197" s="15" t="n">
        <f aca="false">0</f>
        <v>0</v>
      </c>
      <c r="BA197" s="15" t="n">
        <f aca="false">0</f>
        <v>0</v>
      </c>
      <c r="BB197" s="15" t="n">
        <f aca="false">0</f>
        <v>0</v>
      </c>
      <c r="BC197" s="15" t="n">
        <f aca="false">0</f>
        <v>0</v>
      </c>
      <c r="BD197" s="15" t="n">
        <f aca="false">(BH196)+AC197-AF197-AI197-AS197-K197*(1+Parametri_v3!$C$26)-AL197-AQ197-O197+AW197+AX197+AZ197+BA197-BB197</f>
        <v>-51205.4633333333</v>
      </c>
      <c r="BE197" s="15" t="n">
        <f aca="false">0</f>
        <v>0</v>
      </c>
      <c r="BF197" s="15" t="n">
        <f aca="false">0</f>
        <v>0</v>
      </c>
      <c r="BG197" s="15" t="n">
        <f aca="false">0</f>
        <v>0</v>
      </c>
      <c r="BH197" s="15" t="n">
        <f aca="false">BD197+BE197-BF197-AY197</f>
        <v>-51205.4633333333</v>
      </c>
      <c r="BI197" s="15" t="n">
        <f aca="false">MAX(0,Parametri_v3!$C$31-BH197)</f>
        <v>61205.4633333333</v>
      </c>
      <c r="BJ197" s="15" t="n">
        <f aca="false">(BJ196)+K197</f>
        <v>3416.66666666667</v>
      </c>
      <c r="BK197" s="15" t="n">
        <f aca="false">(BK196)+L197</f>
        <v>636.574074074074</v>
      </c>
      <c r="BL197" s="15" t="n">
        <f aca="false">BJ197-BK197</f>
        <v>2780.09259259259</v>
      </c>
      <c r="BM197" s="15" t="n">
        <f aca="false">(BM196)+Y197</f>
        <v>-38889.4074074074</v>
      </c>
      <c r="BN197" s="15" t="n">
        <f aca="false">(BN196)+AW197+AX197+AZ197</f>
        <v>20000</v>
      </c>
      <c r="BO197" s="15" t="n">
        <f aca="false">(BO196)+AY197</f>
        <v>0</v>
      </c>
      <c r="BP197" s="15" t="n">
        <f aca="false">MIN(Parametri_v3!$C$36*Parametri_v3!$C$35,(BP196)+IF(1=1,MAX(0,SUM(Y185:Y196))*Parametri_v3!$C$34,0))</f>
        <v>0</v>
      </c>
      <c r="BQ197" s="15" t="n">
        <f aca="false">BN197+BM197-BO197</f>
        <v>-18889.4074074074</v>
      </c>
      <c r="BR197" s="15" t="n">
        <f aca="false">BH197+AD197+BL197+MAX(0,-AM197)+MAX(0,-AR197)</f>
        <v>5422.37925925931</v>
      </c>
      <c r="BS197" s="15" t="n">
        <f aca="false">AJ197+AV197+MAX(0,AM197)+MAX(0,AR197)+BC197+BG197+BQ197+AG197</f>
        <v>5422.3792592593</v>
      </c>
      <c r="BT197" s="15" t="n">
        <f aca="false">BR197-BS197</f>
        <v>0</v>
      </c>
      <c r="BU197" s="15" t="n">
        <f aca="false">BH197-(BD197+BE197-BF197-AY197)</f>
        <v>0</v>
      </c>
      <c r="BV197" s="15" t="n">
        <f aca="false">IF(BH196&lt;Parametri_v3!$C$31,0,BV196+1)</f>
        <v>0</v>
      </c>
    </row>
    <row r="198" customFormat="false" ht="18" hidden="false" customHeight="true" outlineLevel="0" collapsed="false">
      <c r="A198" s="68" t="n">
        <f aca="false">4</f>
        <v>4</v>
      </c>
      <c r="B198" s="68" t="n">
        <f aca="false">14</f>
        <v>14</v>
      </c>
      <c r="C198" s="18" t="n">
        <f aca="false">Motore_Operativo!C198</f>
        <v>46784</v>
      </c>
      <c r="D198" s="68" t="n">
        <f aca="false">Motore_Operativo!D198</f>
        <v>2028</v>
      </c>
      <c r="E198" s="68" t="n">
        <f aca="false">Motore_Operativo!E198</f>
        <v>2</v>
      </c>
      <c r="F198" s="15" t="n">
        <f aca="false">Motore_Operativo!AM198</f>
        <v>19387.5</v>
      </c>
      <c r="G198" s="15" t="n">
        <f aca="false">Motore_Operativo!BH198</f>
        <v>1938.75</v>
      </c>
      <c r="H198" s="15" t="n">
        <f aca="false">Motore_Operativo!AM198</f>
        <v>19387.5</v>
      </c>
      <c r="I198" s="15" t="n">
        <f aca="false">Motore_Operativo!CB198</f>
        <v>26550.3333333333</v>
      </c>
      <c r="J198" s="15" t="n">
        <f aca="false">Motore_Operativo!CD198</f>
        <v>-7162.83333333333</v>
      </c>
      <c r="K198" s="15" t="n">
        <f aca="false">Motore_Operativo!CF198</f>
        <v>416.666666666667</v>
      </c>
      <c r="L198" s="15" t="n">
        <f aca="false">SUM(INDEX($K$185:$K$244,MAX(1,14-Parametri_v3!$C$59+1)):K198)/Parametri_v3!$C$59</f>
        <v>106.481481481481</v>
      </c>
      <c r="M198" s="15" t="n">
        <f aca="false">J198-L198</f>
        <v>-7269.31481481481</v>
      </c>
      <c r="N198" s="15" t="n">
        <f aca="false">0</f>
        <v>0</v>
      </c>
      <c r="O198" s="15" t="n">
        <f aca="false">0</f>
        <v>0</v>
      </c>
      <c r="P198" s="15" t="n">
        <f aca="false">M198+N198-O198</f>
        <v>-7269.31481481481</v>
      </c>
      <c r="Q198" s="15" t="n">
        <f aca="false">SUM(P197:P198)+Parametri_v3!$C$56*2/12</f>
        <v>-14527.0555555555</v>
      </c>
      <c r="R198" s="15" t="n">
        <f aca="false">Z196</f>
        <v>31631.6666666666</v>
      </c>
      <c r="S198" s="15" t="n">
        <f aca="false">AA196</f>
        <v>0</v>
      </c>
      <c r="T198" s="15" t="n">
        <f aca="false">MIN(R198,MAX(0,Q198))</f>
        <v>0</v>
      </c>
      <c r="U198" s="15" t="n">
        <f aca="false">MIN(S198,MAX(0,Q198-T198)*Parametri_v3!$C$42)</f>
        <v>0</v>
      </c>
      <c r="V198" s="15" t="n">
        <f aca="false">MAX(0,Q198-T198-U198)*Ipotesi!$C$92</f>
        <v>0</v>
      </c>
      <c r="W198" s="15" t="n">
        <f aca="false">MAX(0,SUM(M197:M198)+Parametri_v3!$C$57*2/12)*Ipotesi!$C$93</f>
        <v>0</v>
      </c>
      <c r="X198" s="15" t="n">
        <f aca="false">V198+W198-(V197+W197)</f>
        <v>0</v>
      </c>
      <c r="Y198" s="15" t="n">
        <f aca="false">P198-X198</f>
        <v>-7269.31481481481</v>
      </c>
      <c r="Z198" s="15" t="n">
        <f aca="false">R198-T198+IF(AND(Parametri_v3!$C$40=1,D198-YEAR(Parametri_v3!$C$50)&lt;Parametri_v3!$C$41),MAX(0,-Q198),0)</f>
        <v>46158.7222222222</v>
      </c>
      <c r="AA198" s="15" t="n">
        <f aca="false">S198-U198+IF(AND(Parametri_v3!$C$40=1,D198-YEAR(Parametri_v3!$C$50)&lt;Parametri_v3!$C$41),0,MAX(0,-Q198))</f>
        <v>0</v>
      </c>
      <c r="AB198" s="15" t="n">
        <f aca="false">F198*(1+Parametri_v3!$C$26)</f>
        <v>23652.75</v>
      </c>
      <c r="AC198" s="15" t="n">
        <f aca="false">(IF(14-(INT((Motore_Operativo!L198)/30))&lt;1,0,INDEX(Motore_Advisory!$AB$185:$AB$244,MAX(1,14-(INT((Motore_Operativo!L198)/30)))))*(1-(MOD((Motore_Operativo!L198),30)/30))+IF(14-(INT((Motore_Operativo!L198)/30))-1&lt;1,0,INDEX(Motore_Advisory!$AB$185:$AB$244,MAX(1,14-(INT((Motore_Operativo!L198)/30))-1)))*(MOD((Motore_Operativo!L198),30)/30))</f>
        <v>10065</v>
      </c>
      <c r="AD198" s="15" t="n">
        <f aca="false">(AD197)+AB198-AC198</f>
        <v>67435.5</v>
      </c>
      <c r="AE198" s="15" t="n">
        <f aca="false">Motore_Operativo!BH198*(1+Parametri_v3!$C$26)</f>
        <v>2365.275</v>
      </c>
      <c r="AF198" s="15" t="n">
        <f aca="false">(IF(14-(INT((Parametri_v3!$C$29)/30))&lt;1,0,INDEX(Motore_Operativo!$BH$185:$BH$244,MAX(1,14-(INT((Parametri_v3!$C$29)/30)))))*(1-(MOD((Parametri_v3!$C$29),30)/30))+IF(14-(INT((Parametri_v3!$C$29)/30))-1&lt;1,0,INDEX(Motore_Operativo!$BH$185:$BH$244,MAX(1,14-(INT((Parametri_v3!$C$29)/30))-1)))*(MOD((Parametri_v3!$C$29),30)/30))*(1+Parametri_v3!$C$26)</f>
        <v>2365.275</v>
      </c>
      <c r="AG198" s="15" t="n">
        <f aca="false">(AG197)+AE198-AF198</f>
        <v>2365.275</v>
      </c>
      <c r="AH198" s="15" t="n">
        <f aca="false">(Motore_Operativo!CK198)*(1+Parametri_v3!$C$28*Parametri_v3!$C$26)</f>
        <v>10168.382</v>
      </c>
      <c r="AI198" s="15" t="n">
        <f aca="false">(IF(14-(INT((Ipotesi!$C$91)/30))&lt;1,0,INDEX(Motore_Advisory!$AH$185:$AH$244,MAX(1,14-(INT((Ipotesi!$C$91)/30)))))*(1-(MOD((Ipotesi!$C$91),30)/30))+IF(14-(INT((Ipotesi!$C$91)/30))-1&lt;1,0,INDEX(Motore_Advisory!$AH$185:$AH$244,MAX(1,14-(INT((Ipotesi!$C$91)/30))-1)))*(MOD((Ipotesi!$C$91),30)/30))</f>
        <v>5604.62</v>
      </c>
      <c r="AJ198" s="15" t="n">
        <f aca="false">(AJ197)+AH198-AI198</f>
        <v>20336.764</v>
      </c>
      <c r="AK198" s="15" t="n">
        <f aca="false">(F198- Motore_Operativo!BH198-(Motore_Operativo!CK198)*Parametri_v3!$C$28-Motore_Operativo!CF198)*Parametri_v3!$C$26</f>
        <v>2225.25966666667</v>
      </c>
      <c r="AL198" s="15" t="n">
        <f aca="false">MAX(0,(AM197))</f>
        <v>2225.25966666667</v>
      </c>
      <c r="AM198" s="15" t="n">
        <f aca="false">(AM197)+AK198-AL198</f>
        <v>2225.25966666667</v>
      </c>
      <c r="AN198" s="15" t="n">
        <f aca="false">SUM(X185:X196)</f>
        <v>0</v>
      </c>
      <c r="AO198" s="15" t="n">
        <f aca="false">SUM(AP185:AP196)</f>
        <v>0</v>
      </c>
      <c r="AP198" s="15" t="n">
        <f aca="false">MAX(0,AN198)*IF(2=Parametri_v3!$C$43,Parametri_v3!$C$45,IF(2=Parametri_v3!$C$44,1-Parametri_v3!$C$45,0))</f>
        <v>0</v>
      </c>
      <c r="AQ198" s="15" t="n">
        <f aca="false">MAX(0,AP198+IF(2=Parametri_v3!$C$43,MAX(0,AN198-AO198),0)-MAX(0,-(AR197)))</f>
        <v>0</v>
      </c>
      <c r="AR198" s="15" t="n">
        <f aca="false">(AR197)+X198-AQ198</f>
        <v>0</v>
      </c>
      <c r="AS198" s="15" t="n">
        <f aca="false">Motore_Operativo!AC198-AT198+AU198</f>
        <v>15166.75</v>
      </c>
      <c r="AT198" s="15" t="n">
        <f aca="false">Motore_Operativo!CI198</f>
        <v>798.25</v>
      </c>
      <c r="AU198" s="15" t="n">
        <f aca="false">MIN(MAX(0,(AV197)+AT198),Parametri_v3!$C$61/12)</f>
        <v>0</v>
      </c>
      <c r="AV198" s="15" t="n">
        <f aca="false">(AV197)+AT198-AU198</f>
        <v>4746.5</v>
      </c>
      <c r="AW198" s="15" t="n">
        <f aca="false">IF(AND(Motore_Operativo!C198=Finanziamenti!$D$7,Finanziamenti!$F$7=1),Finanziamenti!$C$7,0)</f>
        <v>0</v>
      </c>
      <c r="AX198" s="15" t="n">
        <f aca="false">0</f>
        <v>0</v>
      </c>
      <c r="AY198" s="15" t="n">
        <f aca="false">IF(2=Parametri_v3!$C$33,IF(BV198&lt;MIN(12,$B198-1),0,MIN(MAX(0,SUM(Y185:Y196))*Ipotesi!$C$94,MAX(0,(BM196)-(BO197)-BP198),MAX(0,BD198-Parametri_v3!$C$31))),0)</f>
        <v>0</v>
      </c>
      <c r="AZ198" s="15" t="n">
        <f aca="false">0</f>
        <v>0</v>
      </c>
      <c r="BA198" s="15" t="n">
        <f aca="false">0</f>
        <v>0</v>
      </c>
      <c r="BB198" s="15" t="n">
        <f aca="false">0</f>
        <v>0</v>
      </c>
      <c r="BC198" s="15" t="n">
        <f aca="false">0</f>
        <v>0</v>
      </c>
      <c r="BD198" s="15" t="n">
        <f aca="false">(BH197)+AC198-AF198-AI198-AS198-K198*(1+Parametri_v3!$C$26)-AL198-AQ198-O198+AW198+AX198+AZ198+BA198-BB198</f>
        <v>-67010.7013333333</v>
      </c>
      <c r="BE198" s="15" t="n">
        <f aca="false">0</f>
        <v>0</v>
      </c>
      <c r="BF198" s="15" t="n">
        <f aca="false">0</f>
        <v>0</v>
      </c>
      <c r="BG198" s="15" t="n">
        <f aca="false">0</f>
        <v>0</v>
      </c>
      <c r="BH198" s="15" t="n">
        <f aca="false">BD198+BE198-BF198-AY198</f>
        <v>-67010.7013333333</v>
      </c>
      <c r="BI198" s="15" t="n">
        <f aca="false">MAX(0,Parametri_v3!$C$31-BH198)</f>
        <v>77010.7013333333</v>
      </c>
      <c r="BJ198" s="15" t="n">
        <f aca="false">(BJ197)+K198</f>
        <v>3833.33333333333</v>
      </c>
      <c r="BK198" s="15" t="n">
        <f aca="false">(BK197)+L198</f>
        <v>743.055555555556</v>
      </c>
      <c r="BL198" s="15" t="n">
        <f aca="false">BJ198-BK198</f>
        <v>3090.27777777778</v>
      </c>
      <c r="BM198" s="15" t="n">
        <f aca="false">(BM197)+Y198</f>
        <v>-46158.7222222222</v>
      </c>
      <c r="BN198" s="15" t="n">
        <f aca="false">(BN197)+AW198+AX198+AZ198</f>
        <v>20000</v>
      </c>
      <c r="BO198" s="15" t="n">
        <f aca="false">(BO197)+AY198</f>
        <v>0</v>
      </c>
      <c r="BP198" s="15" t="n">
        <f aca="false">MIN(Parametri_v3!$C$36*Parametri_v3!$C$35,(BP197)+IF(2=1,MAX(0,SUM(Y185:Y196))*Parametri_v3!$C$34,0))</f>
        <v>0</v>
      </c>
      <c r="BQ198" s="15" t="n">
        <f aca="false">BN198+BM198-BO198</f>
        <v>-26158.7222222222</v>
      </c>
      <c r="BR198" s="15" t="n">
        <f aca="false">BH198+AD198+BL198+MAX(0,-AM198)+MAX(0,-AR198)</f>
        <v>3515.07644444449</v>
      </c>
      <c r="BS198" s="15" t="n">
        <f aca="false">AJ198+AV198+MAX(0,AM198)+MAX(0,AR198)+BC198+BG198+BQ198+AG198</f>
        <v>3515.07644444449</v>
      </c>
      <c r="BT198" s="15" t="n">
        <f aca="false">BR198-BS198</f>
        <v>0</v>
      </c>
      <c r="BU198" s="15" t="n">
        <f aca="false">BH198-(BD198+BE198-BF198-AY198)</f>
        <v>0</v>
      </c>
      <c r="BV198" s="15" t="n">
        <f aca="false">IF(BH197&lt;Parametri_v3!$C$31,0,BV197+1)</f>
        <v>0</v>
      </c>
    </row>
    <row r="199" customFormat="false" ht="18" hidden="false" customHeight="true" outlineLevel="0" collapsed="false">
      <c r="A199" s="68" t="n">
        <f aca="false">4</f>
        <v>4</v>
      </c>
      <c r="B199" s="68" t="n">
        <f aca="false">15</f>
        <v>15</v>
      </c>
      <c r="C199" s="18" t="n">
        <f aca="false">Motore_Operativo!C199</f>
        <v>46813</v>
      </c>
      <c r="D199" s="68" t="n">
        <f aca="false">Motore_Operativo!D199</f>
        <v>2028</v>
      </c>
      <c r="E199" s="68" t="n">
        <f aca="false">Motore_Operativo!E199</f>
        <v>3</v>
      </c>
      <c r="F199" s="15" t="n">
        <f aca="false">Motore_Operativo!AM199</f>
        <v>19387.5</v>
      </c>
      <c r="G199" s="15" t="n">
        <f aca="false">Motore_Operativo!BH199</f>
        <v>1938.75</v>
      </c>
      <c r="H199" s="15" t="n">
        <f aca="false">Motore_Operativo!AM199</f>
        <v>19387.5</v>
      </c>
      <c r="I199" s="15" t="n">
        <f aca="false">Motore_Operativo!CB199</f>
        <v>26550.3333333333</v>
      </c>
      <c r="J199" s="15" t="n">
        <f aca="false">Motore_Operativo!CD199</f>
        <v>-7162.83333333333</v>
      </c>
      <c r="K199" s="15" t="n">
        <f aca="false">Motore_Operativo!CF199</f>
        <v>416.666666666667</v>
      </c>
      <c r="L199" s="15" t="n">
        <f aca="false">SUM(INDEX($K$185:$K$244,MAX(1,15-Parametri_v3!$C$59+1)):K199)/Parametri_v3!$C$59</f>
        <v>118.055555555556</v>
      </c>
      <c r="M199" s="15" t="n">
        <f aca="false">J199-L199</f>
        <v>-7280.88888888888</v>
      </c>
      <c r="N199" s="15" t="n">
        <f aca="false">0</f>
        <v>0</v>
      </c>
      <c r="O199" s="15" t="n">
        <f aca="false">0</f>
        <v>0</v>
      </c>
      <c r="P199" s="15" t="n">
        <f aca="false">M199+N199-O199</f>
        <v>-7280.88888888888</v>
      </c>
      <c r="Q199" s="15" t="n">
        <f aca="false">SUM(P197:P199)+Parametri_v3!$C$56*3/12</f>
        <v>-21807.9444444444</v>
      </c>
      <c r="R199" s="15" t="n">
        <f aca="false">Z196</f>
        <v>31631.6666666666</v>
      </c>
      <c r="S199" s="15" t="n">
        <f aca="false">AA196</f>
        <v>0</v>
      </c>
      <c r="T199" s="15" t="n">
        <f aca="false">MIN(R199,MAX(0,Q199))</f>
        <v>0</v>
      </c>
      <c r="U199" s="15" t="n">
        <f aca="false">MIN(S199,MAX(0,Q199-T199)*Parametri_v3!$C$42)</f>
        <v>0</v>
      </c>
      <c r="V199" s="15" t="n">
        <f aca="false">MAX(0,Q199-T199-U199)*Ipotesi!$C$92</f>
        <v>0</v>
      </c>
      <c r="W199" s="15" t="n">
        <f aca="false">MAX(0,SUM(M197:M199)+Parametri_v3!$C$57*3/12)*Ipotesi!$C$93</f>
        <v>0</v>
      </c>
      <c r="X199" s="15" t="n">
        <f aca="false">V199+W199-(V198+W198)</f>
        <v>0</v>
      </c>
      <c r="Y199" s="15" t="n">
        <f aca="false">P199-X199</f>
        <v>-7280.88888888888</v>
      </c>
      <c r="Z199" s="15" t="n">
        <f aca="false">R199-T199+IF(AND(Parametri_v3!$C$40=1,D199-YEAR(Parametri_v3!$C$50)&lt;Parametri_v3!$C$41),MAX(0,-Q199),0)</f>
        <v>53439.6111111111</v>
      </c>
      <c r="AA199" s="15" t="n">
        <f aca="false">S199-U199+IF(AND(Parametri_v3!$C$40=1,D199-YEAR(Parametri_v3!$C$50)&lt;Parametri_v3!$C$41),0,MAX(0,-Q199))</f>
        <v>0</v>
      </c>
      <c r="AB199" s="15" t="n">
        <f aca="false">F199*(1+Parametri_v3!$C$26)</f>
        <v>23652.75</v>
      </c>
      <c r="AC199" s="15" t="n">
        <f aca="false">(IF(15-(INT((Motore_Operativo!L199)/30))&lt;1,0,INDEX(Motore_Advisory!$AB$185:$AB$244,MAX(1,15-(INT((Motore_Operativo!L199)/30)))))*(1-(MOD((Motore_Operativo!L199),30)/30))+IF(15-(INT((Motore_Operativo!L199)/30))-1&lt;1,0,INDEX(Motore_Advisory!$AB$185:$AB$244,MAX(1,15-(INT((Motore_Operativo!L199)/30))-1)))*(MOD((Motore_Operativo!L199),30)/30))</f>
        <v>10065</v>
      </c>
      <c r="AD199" s="15" t="n">
        <f aca="false">(AD198)+AB199-AC199</f>
        <v>81023.25</v>
      </c>
      <c r="AE199" s="15" t="n">
        <f aca="false">Motore_Operativo!BH199*(1+Parametri_v3!$C$26)</f>
        <v>2365.275</v>
      </c>
      <c r="AF199" s="15" t="n">
        <f aca="false">(IF(15-(INT((Parametri_v3!$C$29)/30))&lt;1,0,INDEX(Motore_Operativo!$BH$185:$BH$244,MAX(1,15-(INT((Parametri_v3!$C$29)/30)))))*(1-(MOD((Parametri_v3!$C$29),30)/30))+IF(15-(INT((Parametri_v3!$C$29)/30))-1&lt;1,0,INDEX(Motore_Operativo!$BH$185:$BH$244,MAX(1,15-(INT((Parametri_v3!$C$29)/30))-1)))*(MOD((Parametri_v3!$C$29),30)/30))*(1+Parametri_v3!$C$26)</f>
        <v>2365.275</v>
      </c>
      <c r="AG199" s="15" t="n">
        <f aca="false">(AG198)+AE199-AF199</f>
        <v>2365.275</v>
      </c>
      <c r="AH199" s="15" t="n">
        <f aca="false">(Motore_Operativo!CK199)*(1+Parametri_v3!$C$28*Parametri_v3!$C$26)</f>
        <v>10168.382</v>
      </c>
      <c r="AI199" s="15" t="n">
        <f aca="false">(IF(15-(INT((Ipotesi!$C$91)/30))&lt;1,0,INDEX(Motore_Advisory!$AH$185:$AH$244,MAX(1,15-(INT((Ipotesi!$C$91)/30)))))*(1-(MOD((Ipotesi!$C$91),30)/30))+IF(15-(INT((Ipotesi!$C$91)/30))-1&lt;1,0,INDEX(Motore_Advisory!$AH$185:$AH$244,MAX(1,15-(INT((Ipotesi!$C$91)/30))-1)))*(MOD((Ipotesi!$C$91),30)/30))</f>
        <v>10168.382</v>
      </c>
      <c r="AJ199" s="15" t="n">
        <f aca="false">(AJ198)+AH199-AI199</f>
        <v>20336.764</v>
      </c>
      <c r="AK199" s="15" t="n">
        <f aca="false">(F199- Motore_Operativo!BH199-(Motore_Operativo!CK199)*Parametri_v3!$C$28-Motore_Operativo!CF199)*Parametri_v3!$C$26</f>
        <v>2225.25966666667</v>
      </c>
      <c r="AL199" s="15" t="n">
        <f aca="false">MAX(0,(AM198))</f>
        <v>2225.25966666667</v>
      </c>
      <c r="AM199" s="15" t="n">
        <f aca="false">(AM198)+AK199-AL199</f>
        <v>2225.25966666667</v>
      </c>
      <c r="AN199" s="15" t="n">
        <f aca="false">SUM(X185:X196)</f>
        <v>0</v>
      </c>
      <c r="AO199" s="15" t="n">
        <f aca="false">SUM(AP185:AP196)</f>
        <v>0</v>
      </c>
      <c r="AP199" s="15" t="n">
        <f aca="false">MAX(0,AN199)*IF(3=Parametri_v3!$C$43,Parametri_v3!$C$45,IF(3=Parametri_v3!$C$44,1-Parametri_v3!$C$45,0))</f>
        <v>0</v>
      </c>
      <c r="AQ199" s="15" t="n">
        <f aca="false">MAX(0,AP199+IF(3=Parametri_v3!$C$43,MAX(0,AN199-AO199),0)-MAX(0,-(AR198)))</f>
        <v>0</v>
      </c>
      <c r="AR199" s="15" t="n">
        <f aca="false">(AR198)+X199-AQ199</f>
        <v>0</v>
      </c>
      <c r="AS199" s="15" t="n">
        <f aca="false">Motore_Operativo!AC199-AT199+AU199</f>
        <v>15166.75</v>
      </c>
      <c r="AT199" s="15" t="n">
        <f aca="false">Motore_Operativo!CI199</f>
        <v>798.25</v>
      </c>
      <c r="AU199" s="15" t="n">
        <f aca="false">MIN(MAX(0,(AV198)+AT199),Parametri_v3!$C$61/12)</f>
        <v>0</v>
      </c>
      <c r="AV199" s="15" t="n">
        <f aca="false">(AV198)+AT199-AU199</f>
        <v>5544.75</v>
      </c>
      <c r="AW199" s="15" t="n">
        <f aca="false">IF(AND(Motore_Operativo!C199=Finanziamenti!$D$7,Finanziamenti!$F$7=1),Finanziamenti!$C$7,0)</f>
        <v>0</v>
      </c>
      <c r="AX199" s="15" t="n">
        <f aca="false">0</f>
        <v>0</v>
      </c>
      <c r="AY199" s="15" t="n">
        <f aca="false">IF(3=Parametri_v3!$C$33,IF(BV199&lt;MIN(12,$B199-1),0,MIN(MAX(0,SUM(Y185:Y196))*Ipotesi!$C$94,MAX(0,(BM196)-(BO198)-BP199),MAX(0,BD199-Parametri_v3!$C$31))),0)</f>
        <v>0</v>
      </c>
      <c r="AZ199" s="15" t="n">
        <f aca="false">0</f>
        <v>0</v>
      </c>
      <c r="BA199" s="15" t="n">
        <f aca="false">0</f>
        <v>0</v>
      </c>
      <c r="BB199" s="15" t="n">
        <f aca="false">0</f>
        <v>0</v>
      </c>
      <c r="BC199" s="15" t="n">
        <f aca="false">0</f>
        <v>0</v>
      </c>
      <c r="BD199" s="15" t="n">
        <f aca="false">(BH198)+AC199-AF199-AI199-AS199-K199*(1+Parametri_v3!$C$26)-AL199-AQ199-O199+AW199+AX199+AZ199+BA199-BB199</f>
        <v>-87379.7013333333</v>
      </c>
      <c r="BE199" s="15" t="n">
        <f aca="false">0</f>
        <v>0</v>
      </c>
      <c r="BF199" s="15" t="n">
        <f aca="false">0</f>
        <v>0</v>
      </c>
      <c r="BG199" s="15" t="n">
        <f aca="false">0</f>
        <v>0</v>
      </c>
      <c r="BH199" s="15" t="n">
        <f aca="false">BD199+BE199-BF199-AY199</f>
        <v>-87379.7013333333</v>
      </c>
      <c r="BI199" s="15" t="n">
        <f aca="false">MAX(0,Parametri_v3!$C$31-BH199)</f>
        <v>97379.7013333333</v>
      </c>
      <c r="BJ199" s="15" t="n">
        <f aca="false">(BJ198)+K199</f>
        <v>4250</v>
      </c>
      <c r="BK199" s="15" t="n">
        <f aca="false">(BK198)+L199</f>
        <v>861.111111111111</v>
      </c>
      <c r="BL199" s="15" t="n">
        <f aca="false">BJ199-BK199</f>
        <v>3388.88888888889</v>
      </c>
      <c r="BM199" s="15" t="n">
        <f aca="false">(BM198)+Y199</f>
        <v>-53439.6111111111</v>
      </c>
      <c r="BN199" s="15" t="n">
        <f aca="false">(BN198)+AW199+AX199+AZ199</f>
        <v>20000</v>
      </c>
      <c r="BO199" s="15" t="n">
        <f aca="false">(BO198)+AY199</f>
        <v>0</v>
      </c>
      <c r="BP199" s="15" t="n">
        <f aca="false">MIN(Parametri_v3!$C$36*Parametri_v3!$C$35,(BP198)+IF(3=1,MAX(0,SUM(Y185:Y196))*Parametri_v3!$C$34,0))</f>
        <v>0</v>
      </c>
      <c r="BQ199" s="15" t="n">
        <f aca="false">BN199+BM199-BO199</f>
        <v>-33439.6111111111</v>
      </c>
      <c r="BR199" s="15" t="n">
        <f aca="false">BH199+AD199+BL199+MAX(0,-AM199)+MAX(0,-AR199)</f>
        <v>-2967.5624444444</v>
      </c>
      <c r="BS199" s="15" t="n">
        <f aca="false">AJ199+AV199+MAX(0,AM199)+MAX(0,AR199)+BC199+BG199+BQ199+AG199</f>
        <v>-2967.5624444444</v>
      </c>
      <c r="BT199" s="15" t="n">
        <f aca="false">BR199-BS199</f>
        <v>0</v>
      </c>
      <c r="BU199" s="15" t="n">
        <f aca="false">BH199-(BD199+BE199-BF199-AY199)</f>
        <v>0</v>
      </c>
      <c r="BV199" s="15" t="n">
        <f aca="false">IF(BH198&lt;Parametri_v3!$C$31,0,BV198+1)</f>
        <v>0</v>
      </c>
    </row>
    <row r="200" customFormat="false" ht="18" hidden="false" customHeight="true" outlineLevel="0" collapsed="false">
      <c r="A200" s="68" t="n">
        <f aca="false">4</f>
        <v>4</v>
      </c>
      <c r="B200" s="68" t="n">
        <f aca="false">16</f>
        <v>16</v>
      </c>
      <c r="C200" s="18" t="n">
        <f aca="false">Motore_Operativo!C200</f>
        <v>46844</v>
      </c>
      <c r="D200" s="68" t="n">
        <f aca="false">Motore_Operativo!D200</f>
        <v>2028</v>
      </c>
      <c r="E200" s="68" t="n">
        <f aca="false">Motore_Operativo!E200</f>
        <v>4</v>
      </c>
      <c r="F200" s="15" t="n">
        <f aca="false">Motore_Operativo!AM200</f>
        <v>19387.5</v>
      </c>
      <c r="G200" s="15" t="n">
        <f aca="false">Motore_Operativo!BH200</f>
        <v>1938.75</v>
      </c>
      <c r="H200" s="15" t="n">
        <f aca="false">Motore_Operativo!AM200</f>
        <v>19387.5</v>
      </c>
      <c r="I200" s="15" t="n">
        <f aca="false">Motore_Operativo!CB200</f>
        <v>26550.3333333333</v>
      </c>
      <c r="J200" s="15" t="n">
        <f aca="false">Motore_Operativo!CD200</f>
        <v>-7162.83333333333</v>
      </c>
      <c r="K200" s="15" t="n">
        <f aca="false">Motore_Operativo!CF200</f>
        <v>416.666666666667</v>
      </c>
      <c r="L200" s="15" t="n">
        <f aca="false">SUM(INDEX($K$185:$K$244,MAX(1,16-Parametri_v3!$C$59+1)):K200)/Parametri_v3!$C$59</f>
        <v>129.62962962963</v>
      </c>
      <c r="M200" s="15" t="n">
        <f aca="false">J200-L200</f>
        <v>-7292.46296296296</v>
      </c>
      <c r="N200" s="15" t="n">
        <f aca="false">0</f>
        <v>0</v>
      </c>
      <c r="O200" s="15" t="n">
        <f aca="false">0</f>
        <v>0</v>
      </c>
      <c r="P200" s="15" t="n">
        <f aca="false">M200+N200-O200</f>
        <v>-7292.46296296296</v>
      </c>
      <c r="Q200" s="15" t="n">
        <f aca="false">SUM(P197:P200)+Parametri_v3!$C$56*4/12</f>
        <v>-29100.4074074074</v>
      </c>
      <c r="R200" s="15" t="n">
        <f aca="false">Z196</f>
        <v>31631.6666666666</v>
      </c>
      <c r="S200" s="15" t="n">
        <f aca="false">AA196</f>
        <v>0</v>
      </c>
      <c r="T200" s="15" t="n">
        <f aca="false">MIN(R200,MAX(0,Q200))</f>
        <v>0</v>
      </c>
      <c r="U200" s="15" t="n">
        <f aca="false">MIN(S200,MAX(0,Q200-T200)*Parametri_v3!$C$42)</f>
        <v>0</v>
      </c>
      <c r="V200" s="15" t="n">
        <f aca="false">MAX(0,Q200-T200-U200)*Ipotesi!$C$92</f>
        <v>0</v>
      </c>
      <c r="W200" s="15" t="n">
        <f aca="false">MAX(0,SUM(M197:M200)+Parametri_v3!$C$57*4/12)*Ipotesi!$C$93</f>
        <v>0</v>
      </c>
      <c r="X200" s="15" t="n">
        <f aca="false">V200+W200-(V199+W199)</f>
        <v>0</v>
      </c>
      <c r="Y200" s="15" t="n">
        <f aca="false">P200-X200</f>
        <v>-7292.46296296296</v>
      </c>
      <c r="Z200" s="15" t="n">
        <f aca="false">R200-T200+IF(AND(Parametri_v3!$C$40=1,D200-YEAR(Parametri_v3!$C$50)&lt;Parametri_v3!$C$41),MAX(0,-Q200),0)</f>
        <v>60732.074074074</v>
      </c>
      <c r="AA200" s="15" t="n">
        <f aca="false">S200-U200+IF(AND(Parametri_v3!$C$40=1,D200-YEAR(Parametri_v3!$C$50)&lt;Parametri_v3!$C$41),0,MAX(0,-Q200))</f>
        <v>0</v>
      </c>
      <c r="AB200" s="15" t="n">
        <f aca="false">F200*(1+Parametri_v3!$C$26)</f>
        <v>23652.75</v>
      </c>
      <c r="AC200" s="15" t="n">
        <f aca="false">(IF(16-(INT((Motore_Operativo!L200)/30))&lt;1,0,INDEX(Motore_Advisory!$AB$185:$AB$244,MAX(1,16-(INT((Motore_Operativo!L200)/30)))))*(1-(MOD((Motore_Operativo!L200),30)/30))+IF(16-(INT((Motore_Operativo!L200)/30))-1&lt;1,0,INDEX(Motore_Advisory!$AB$185:$AB$244,MAX(1,16-(INT((Motore_Operativo!L200)/30))-1)))*(MOD((Motore_Operativo!L200),30)/30))</f>
        <v>10065</v>
      </c>
      <c r="AD200" s="15" t="n">
        <f aca="false">(AD199)+AB200-AC200</f>
        <v>94611</v>
      </c>
      <c r="AE200" s="15" t="n">
        <f aca="false">Motore_Operativo!BH200*(1+Parametri_v3!$C$26)</f>
        <v>2365.275</v>
      </c>
      <c r="AF200" s="15" t="n">
        <f aca="false">(IF(16-(INT((Parametri_v3!$C$29)/30))&lt;1,0,INDEX(Motore_Operativo!$BH$185:$BH$244,MAX(1,16-(INT((Parametri_v3!$C$29)/30)))))*(1-(MOD((Parametri_v3!$C$29),30)/30))+IF(16-(INT((Parametri_v3!$C$29)/30))-1&lt;1,0,INDEX(Motore_Operativo!$BH$185:$BH$244,MAX(1,16-(INT((Parametri_v3!$C$29)/30))-1)))*(MOD((Parametri_v3!$C$29),30)/30))*(1+Parametri_v3!$C$26)</f>
        <v>2365.275</v>
      </c>
      <c r="AG200" s="15" t="n">
        <f aca="false">(AG199)+AE200-AF200</f>
        <v>2365.275</v>
      </c>
      <c r="AH200" s="15" t="n">
        <f aca="false">(Motore_Operativo!CK200)*(1+Parametri_v3!$C$28*Parametri_v3!$C$26)</f>
        <v>10168.382</v>
      </c>
      <c r="AI200" s="15" t="n">
        <f aca="false">(IF(16-(INT((Ipotesi!$C$91)/30))&lt;1,0,INDEX(Motore_Advisory!$AH$185:$AH$244,MAX(1,16-(INT((Ipotesi!$C$91)/30)))))*(1-(MOD((Ipotesi!$C$91),30)/30))+IF(16-(INT((Ipotesi!$C$91)/30))-1&lt;1,0,INDEX(Motore_Advisory!$AH$185:$AH$244,MAX(1,16-(INT((Ipotesi!$C$91)/30))-1)))*(MOD((Ipotesi!$C$91),30)/30))</f>
        <v>10168.382</v>
      </c>
      <c r="AJ200" s="15" t="n">
        <f aca="false">(AJ199)+AH200-AI200</f>
        <v>20336.764</v>
      </c>
      <c r="AK200" s="15" t="n">
        <f aca="false">(F200- Motore_Operativo!BH200-(Motore_Operativo!CK200)*Parametri_v3!$C$28-Motore_Operativo!CF200)*Parametri_v3!$C$26</f>
        <v>2225.25966666667</v>
      </c>
      <c r="AL200" s="15" t="n">
        <f aca="false">MAX(0,(AM199))</f>
        <v>2225.25966666667</v>
      </c>
      <c r="AM200" s="15" t="n">
        <f aca="false">(AM199)+AK200-AL200</f>
        <v>2225.25966666667</v>
      </c>
      <c r="AN200" s="15" t="n">
        <f aca="false">SUM(X185:X196)</f>
        <v>0</v>
      </c>
      <c r="AO200" s="15" t="n">
        <f aca="false">SUM(AP185:AP196)</f>
        <v>0</v>
      </c>
      <c r="AP200" s="15" t="n">
        <f aca="false">MAX(0,AN200)*IF(4=Parametri_v3!$C$43,Parametri_v3!$C$45,IF(4=Parametri_v3!$C$44,1-Parametri_v3!$C$45,0))</f>
        <v>0</v>
      </c>
      <c r="AQ200" s="15" t="n">
        <f aca="false">MAX(0,AP200+IF(4=Parametri_v3!$C$43,MAX(0,AN200-AO200),0)-MAX(0,-(AR199)))</f>
        <v>0</v>
      </c>
      <c r="AR200" s="15" t="n">
        <f aca="false">(AR199)+X200-AQ200</f>
        <v>0</v>
      </c>
      <c r="AS200" s="15" t="n">
        <f aca="false">Motore_Operativo!AC200-AT200+AU200</f>
        <v>15166.75</v>
      </c>
      <c r="AT200" s="15" t="n">
        <f aca="false">Motore_Operativo!CI200</f>
        <v>798.25</v>
      </c>
      <c r="AU200" s="15" t="n">
        <f aca="false">MIN(MAX(0,(AV199)+AT200),Parametri_v3!$C$61/12)</f>
        <v>0</v>
      </c>
      <c r="AV200" s="15" t="n">
        <f aca="false">(AV199)+AT200-AU200</f>
        <v>6343</v>
      </c>
      <c r="AW200" s="15" t="n">
        <f aca="false">IF(AND(Motore_Operativo!C200=Finanziamenti!$D$7,Finanziamenti!$F$7=1),Finanziamenti!$C$7,0)</f>
        <v>0</v>
      </c>
      <c r="AX200" s="15" t="n">
        <f aca="false">0</f>
        <v>0</v>
      </c>
      <c r="AY200" s="15" t="n">
        <f aca="false">IF(4=Parametri_v3!$C$33,IF(BV200&lt;MIN(12,$B200-1),0,MIN(MAX(0,SUM(Y185:Y196))*Ipotesi!$C$94,MAX(0,(BM196)-(BO199)-BP200),MAX(0,BD200-Parametri_v3!$C$31))),0)</f>
        <v>0</v>
      </c>
      <c r="AZ200" s="15" t="n">
        <f aca="false">0</f>
        <v>0</v>
      </c>
      <c r="BA200" s="15" t="n">
        <f aca="false">0</f>
        <v>0</v>
      </c>
      <c r="BB200" s="15" t="n">
        <f aca="false">0</f>
        <v>0</v>
      </c>
      <c r="BC200" s="15" t="n">
        <f aca="false">0</f>
        <v>0</v>
      </c>
      <c r="BD200" s="15" t="n">
        <f aca="false">(BH199)+AC200-AF200-AI200-AS200-K200*(1+Parametri_v3!$C$26)-AL200-AQ200-O200+AW200+AX200+AZ200+BA200-BB200</f>
        <v>-107748.701333333</v>
      </c>
      <c r="BE200" s="15" t="n">
        <f aca="false">0</f>
        <v>0</v>
      </c>
      <c r="BF200" s="15" t="n">
        <f aca="false">0</f>
        <v>0</v>
      </c>
      <c r="BG200" s="15" t="n">
        <f aca="false">0</f>
        <v>0</v>
      </c>
      <c r="BH200" s="15" t="n">
        <f aca="false">BD200+BE200-BF200-AY200</f>
        <v>-107748.701333333</v>
      </c>
      <c r="BI200" s="15" t="n">
        <f aca="false">MAX(0,Parametri_v3!$C$31-BH200)</f>
        <v>117748.701333333</v>
      </c>
      <c r="BJ200" s="15" t="n">
        <f aca="false">(BJ199)+K200</f>
        <v>4666.66666666667</v>
      </c>
      <c r="BK200" s="15" t="n">
        <f aca="false">(BK199)+L200</f>
        <v>990.740740740741</v>
      </c>
      <c r="BL200" s="15" t="n">
        <f aca="false">BJ200-BK200</f>
        <v>3675.92592592593</v>
      </c>
      <c r="BM200" s="15" t="n">
        <f aca="false">(BM199)+Y200</f>
        <v>-60732.074074074</v>
      </c>
      <c r="BN200" s="15" t="n">
        <f aca="false">(BN199)+AW200+AX200+AZ200</f>
        <v>20000</v>
      </c>
      <c r="BO200" s="15" t="n">
        <f aca="false">(BO199)+AY200</f>
        <v>0</v>
      </c>
      <c r="BP200" s="15" t="n">
        <f aca="false">MIN(Parametri_v3!$C$36*Parametri_v3!$C$35,(BP199)+IF(4=1,MAX(0,SUM(Y185:Y196))*Parametri_v3!$C$34,0))</f>
        <v>0</v>
      </c>
      <c r="BQ200" s="15" t="n">
        <f aca="false">BN200+BM200-BO200</f>
        <v>-40732.074074074</v>
      </c>
      <c r="BR200" s="15" t="n">
        <f aca="false">BH200+AD200+BL200+MAX(0,-AM200)+MAX(0,-AR200)</f>
        <v>-9461.77540740735</v>
      </c>
      <c r="BS200" s="15" t="n">
        <f aca="false">AJ200+AV200+MAX(0,AM200)+MAX(0,AR200)+BC200+BG200+BQ200+AG200</f>
        <v>-9461.77540740735</v>
      </c>
      <c r="BT200" s="15" t="n">
        <f aca="false">BR200-BS200</f>
        <v>0</v>
      </c>
      <c r="BU200" s="15" t="n">
        <f aca="false">BH200-(BD200+BE200-BF200-AY200)</f>
        <v>0</v>
      </c>
      <c r="BV200" s="15" t="n">
        <f aca="false">IF(BH199&lt;Parametri_v3!$C$31,0,BV199+1)</f>
        <v>0</v>
      </c>
    </row>
    <row r="201" customFormat="false" ht="18" hidden="false" customHeight="true" outlineLevel="0" collapsed="false">
      <c r="A201" s="68" t="n">
        <f aca="false">4</f>
        <v>4</v>
      </c>
      <c r="B201" s="68" t="n">
        <f aca="false">17</f>
        <v>17</v>
      </c>
      <c r="C201" s="18" t="n">
        <f aca="false">Motore_Operativo!C201</f>
        <v>46874</v>
      </c>
      <c r="D201" s="68" t="n">
        <f aca="false">Motore_Operativo!D201</f>
        <v>2028</v>
      </c>
      <c r="E201" s="68" t="n">
        <f aca="false">Motore_Operativo!E201</f>
        <v>5</v>
      </c>
      <c r="F201" s="15" t="n">
        <f aca="false">Motore_Operativo!AM201</f>
        <v>19387.5</v>
      </c>
      <c r="G201" s="15" t="n">
        <f aca="false">Motore_Operativo!BH201</f>
        <v>1938.75</v>
      </c>
      <c r="H201" s="15" t="n">
        <f aca="false">Motore_Operativo!AM201</f>
        <v>19387.5</v>
      </c>
      <c r="I201" s="15" t="n">
        <f aca="false">Motore_Operativo!CB201</f>
        <v>26550.3333333333</v>
      </c>
      <c r="J201" s="15" t="n">
        <f aca="false">Motore_Operativo!CD201</f>
        <v>-7162.83333333333</v>
      </c>
      <c r="K201" s="15" t="n">
        <f aca="false">Motore_Operativo!CF201</f>
        <v>416.666666666667</v>
      </c>
      <c r="L201" s="15" t="n">
        <f aca="false">SUM(INDEX($K$185:$K$244,MAX(1,17-Parametri_v3!$C$59+1)):K201)/Parametri_v3!$C$59</f>
        <v>141.203703703704</v>
      </c>
      <c r="M201" s="15" t="n">
        <f aca="false">J201-L201</f>
        <v>-7304.03703703703</v>
      </c>
      <c r="N201" s="15" t="n">
        <f aca="false">0</f>
        <v>0</v>
      </c>
      <c r="O201" s="15" t="n">
        <f aca="false">0</f>
        <v>0</v>
      </c>
      <c r="P201" s="15" t="n">
        <f aca="false">M201+N201-O201</f>
        <v>-7304.03703703703</v>
      </c>
      <c r="Q201" s="15" t="n">
        <f aca="false">SUM(P197:P201)+Parametri_v3!$C$56*5/12</f>
        <v>-36404.4444444444</v>
      </c>
      <c r="R201" s="15" t="n">
        <f aca="false">Z196</f>
        <v>31631.6666666666</v>
      </c>
      <c r="S201" s="15" t="n">
        <f aca="false">AA196</f>
        <v>0</v>
      </c>
      <c r="T201" s="15" t="n">
        <f aca="false">MIN(R201,MAX(0,Q201))</f>
        <v>0</v>
      </c>
      <c r="U201" s="15" t="n">
        <f aca="false">MIN(S201,MAX(0,Q201-T201)*Parametri_v3!$C$42)</f>
        <v>0</v>
      </c>
      <c r="V201" s="15" t="n">
        <f aca="false">MAX(0,Q201-T201-U201)*Ipotesi!$C$92</f>
        <v>0</v>
      </c>
      <c r="W201" s="15" t="n">
        <f aca="false">MAX(0,SUM(M197:M201)+Parametri_v3!$C$57*5/12)*Ipotesi!$C$93</f>
        <v>0</v>
      </c>
      <c r="X201" s="15" t="n">
        <f aca="false">V201+W201-(V200+W200)</f>
        <v>0</v>
      </c>
      <c r="Y201" s="15" t="n">
        <f aca="false">P201-X201</f>
        <v>-7304.03703703703</v>
      </c>
      <c r="Z201" s="15" t="n">
        <f aca="false">R201-T201+IF(AND(Parametri_v3!$C$40=1,D201-YEAR(Parametri_v3!$C$50)&lt;Parametri_v3!$C$41),MAX(0,-Q201),0)</f>
        <v>68036.1111111111</v>
      </c>
      <c r="AA201" s="15" t="n">
        <f aca="false">S201-U201+IF(AND(Parametri_v3!$C$40=1,D201-YEAR(Parametri_v3!$C$50)&lt;Parametri_v3!$C$41),0,MAX(0,-Q201))</f>
        <v>0</v>
      </c>
      <c r="AB201" s="15" t="n">
        <f aca="false">F201*(1+Parametri_v3!$C$26)</f>
        <v>23652.75</v>
      </c>
      <c r="AC201" s="15" t="n">
        <f aca="false">(IF(17-(INT((Motore_Operativo!L201)/30))&lt;1,0,INDEX(Motore_Advisory!$AB$185:$AB$244,MAX(1,17-(INT((Motore_Operativo!L201)/30)))))*(1-(MOD((Motore_Operativo!L201),30)/30))+IF(17-(INT((Motore_Operativo!L201)/30))-1&lt;1,0,INDEX(Motore_Advisory!$AB$185:$AB$244,MAX(1,17-(INT((Motore_Operativo!L201)/30))-1)))*(MOD((Motore_Operativo!L201),30)/30))</f>
        <v>23652.75</v>
      </c>
      <c r="AD201" s="15" t="n">
        <f aca="false">(AD200)+AB201-AC201</f>
        <v>94611</v>
      </c>
      <c r="AE201" s="15" t="n">
        <f aca="false">Motore_Operativo!BH201*(1+Parametri_v3!$C$26)</f>
        <v>2365.275</v>
      </c>
      <c r="AF201" s="15" t="n">
        <f aca="false">(IF(17-(INT((Parametri_v3!$C$29)/30))&lt;1,0,INDEX(Motore_Operativo!$BH$185:$BH$244,MAX(1,17-(INT((Parametri_v3!$C$29)/30)))))*(1-(MOD((Parametri_v3!$C$29),30)/30))+IF(17-(INT((Parametri_v3!$C$29)/30))-1&lt;1,0,INDEX(Motore_Operativo!$BH$185:$BH$244,MAX(1,17-(INT((Parametri_v3!$C$29)/30))-1)))*(MOD((Parametri_v3!$C$29),30)/30))*(1+Parametri_v3!$C$26)</f>
        <v>2365.275</v>
      </c>
      <c r="AG201" s="15" t="n">
        <f aca="false">(AG200)+AE201-AF201</f>
        <v>2365.275</v>
      </c>
      <c r="AH201" s="15" t="n">
        <f aca="false">(Motore_Operativo!CK201)*(1+Parametri_v3!$C$28*Parametri_v3!$C$26)</f>
        <v>10168.382</v>
      </c>
      <c r="AI201" s="15" t="n">
        <f aca="false">(IF(17-(INT((Ipotesi!$C$91)/30))&lt;1,0,INDEX(Motore_Advisory!$AH$185:$AH$244,MAX(1,17-(INT((Ipotesi!$C$91)/30)))))*(1-(MOD((Ipotesi!$C$91),30)/30))+IF(17-(INT((Ipotesi!$C$91)/30))-1&lt;1,0,INDEX(Motore_Advisory!$AH$185:$AH$244,MAX(1,17-(INT((Ipotesi!$C$91)/30))-1)))*(MOD((Ipotesi!$C$91),30)/30))</f>
        <v>10168.382</v>
      </c>
      <c r="AJ201" s="15" t="n">
        <f aca="false">(AJ200)+AH201-AI201</f>
        <v>20336.764</v>
      </c>
      <c r="AK201" s="15" t="n">
        <f aca="false">(F201- Motore_Operativo!BH201-(Motore_Operativo!CK201)*Parametri_v3!$C$28-Motore_Operativo!CF201)*Parametri_v3!$C$26</f>
        <v>2225.25966666667</v>
      </c>
      <c r="AL201" s="15" t="n">
        <f aca="false">MAX(0,(AM200))</f>
        <v>2225.25966666667</v>
      </c>
      <c r="AM201" s="15" t="n">
        <f aca="false">(AM200)+AK201-AL201</f>
        <v>2225.25966666667</v>
      </c>
      <c r="AN201" s="15" t="n">
        <f aca="false">SUM(X185:X196)</f>
        <v>0</v>
      </c>
      <c r="AO201" s="15" t="n">
        <f aca="false">SUM(AP185:AP196)</f>
        <v>0</v>
      </c>
      <c r="AP201" s="15" t="n">
        <f aca="false">MAX(0,AN201)*IF(5=Parametri_v3!$C$43,Parametri_v3!$C$45,IF(5=Parametri_v3!$C$44,1-Parametri_v3!$C$45,0))</f>
        <v>0</v>
      </c>
      <c r="AQ201" s="15" t="n">
        <f aca="false">MAX(0,AP201+IF(5=Parametri_v3!$C$43,MAX(0,AN201-AO201),0)-MAX(0,-(AR200)))</f>
        <v>0</v>
      </c>
      <c r="AR201" s="15" t="n">
        <f aca="false">(AR200)+X201-AQ201</f>
        <v>0</v>
      </c>
      <c r="AS201" s="15" t="n">
        <f aca="false">Motore_Operativo!AC201-AT201+AU201</f>
        <v>15166.75</v>
      </c>
      <c r="AT201" s="15" t="n">
        <f aca="false">Motore_Operativo!CI201</f>
        <v>798.25</v>
      </c>
      <c r="AU201" s="15" t="n">
        <f aca="false">MIN(MAX(0,(AV200)+AT201),Parametri_v3!$C$61/12)</f>
        <v>0</v>
      </c>
      <c r="AV201" s="15" t="n">
        <f aca="false">(AV200)+AT201-AU201</f>
        <v>7141.25</v>
      </c>
      <c r="AW201" s="15" t="n">
        <f aca="false">IF(AND(Motore_Operativo!C201=Finanziamenti!$D$7,Finanziamenti!$F$7=1),Finanziamenti!$C$7,0)</f>
        <v>0</v>
      </c>
      <c r="AX201" s="15" t="n">
        <f aca="false">0</f>
        <v>0</v>
      </c>
      <c r="AY201" s="15" t="n">
        <f aca="false">IF(5=Parametri_v3!$C$33,IF(BV201&lt;MIN(12,$B201-1),0,MIN(MAX(0,SUM(Y185:Y196))*Ipotesi!$C$94,MAX(0,(BM196)-(BO200)-BP201),MAX(0,BD201-Parametri_v3!$C$31))),0)</f>
        <v>0</v>
      </c>
      <c r="AZ201" s="15" t="n">
        <f aca="false">0</f>
        <v>0</v>
      </c>
      <c r="BA201" s="15" t="n">
        <f aca="false">0</f>
        <v>0</v>
      </c>
      <c r="BB201" s="15" t="n">
        <f aca="false">0</f>
        <v>0</v>
      </c>
      <c r="BC201" s="15" t="n">
        <f aca="false">0</f>
        <v>0</v>
      </c>
      <c r="BD201" s="15" t="n">
        <f aca="false">(BH200)+AC201-AF201-AI201-AS201-K201*(1+Parametri_v3!$C$26)-AL201-AQ201-O201+AW201+AX201+AZ201+BA201-BB201</f>
        <v>-114529.951333333</v>
      </c>
      <c r="BE201" s="15" t="n">
        <f aca="false">0</f>
        <v>0</v>
      </c>
      <c r="BF201" s="15" t="n">
        <f aca="false">0</f>
        <v>0</v>
      </c>
      <c r="BG201" s="15" t="n">
        <f aca="false">0</f>
        <v>0</v>
      </c>
      <c r="BH201" s="15" t="n">
        <f aca="false">BD201+BE201-BF201-AY201</f>
        <v>-114529.951333333</v>
      </c>
      <c r="BI201" s="15" t="n">
        <f aca="false">MAX(0,Parametri_v3!$C$31-BH201)</f>
        <v>124529.951333333</v>
      </c>
      <c r="BJ201" s="15" t="n">
        <f aca="false">(BJ200)+K201</f>
        <v>5083.33333333333</v>
      </c>
      <c r="BK201" s="15" t="n">
        <f aca="false">(BK200)+L201</f>
        <v>1131.94444444444</v>
      </c>
      <c r="BL201" s="15" t="n">
        <f aca="false">BJ201-BK201</f>
        <v>3951.38888888889</v>
      </c>
      <c r="BM201" s="15" t="n">
        <f aca="false">(BM200)+Y201</f>
        <v>-68036.1111111111</v>
      </c>
      <c r="BN201" s="15" t="n">
        <f aca="false">(BN200)+AW201+AX201+AZ201</f>
        <v>20000</v>
      </c>
      <c r="BO201" s="15" t="n">
        <f aca="false">(BO200)+AY201</f>
        <v>0</v>
      </c>
      <c r="BP201" s="15" t="n">
        <f aca="false">MIN(Parametri_v3!$C$36*Parametri_v3!$C$35,(BP200)+IF(5=1,MAX(0,SUM(Y185:Y196))*Parametri_v3!$C$34,0))</f>
        <v>0</v>
      </c>
      <c r="BQ201" s="15" t="n">
        <f aca="false">BN201+BM201-BO201</f>
        <v>-48036.1111111111</v>
      </c>
      <c r="BR201" s="15" t="n">
        <f aca="false">BH201+AD201+BL201+MAX(0,-AM201)+MAX(0,-AR201)</f>
        <v>-15967.5624444444</v>
      </c>
      <c r="BS201" s="15" t="n">
        <f aca="false">AJ201+AV201+MAX(0,AM201)+MAX(0,AR201)+BC201+BG201+BQ201+AG201</f>
        <v>-15967.5624444444</v>
      </c>
      <c r="BT201" s="15" t="n">
        <f aca="false">BR201-BS201</f>
        <v>0</v>
      </c>
      <c r="BU201" s="15" t="n">
        <f aca="false">BH201-(BD201+BE201-BF201-AY201)</f>
        <v>0</v>
      </c>
      <c r="BV201" s="15" t="n">
        <f aca="false">IF(BH200&lt;Parametri_v3!$C$31,0,BV200+1)</f>
        <v>0</v>
      </c>
    </row>
    <row r="202" customFormat="false" ht="18" hidden="false" customHeight="true" outlineLevel="0" collapsed="false">
      <c r="A202" s="68" t="n">
        <f aca="false">4</f>
        <v>4</v>
      </c>
      <c r="B202" s="68" t="n">
        <f aca="false">18</f>
        <v>18</v>
      </c>
      <c r="C202" s="18" t="n">
        <f aca="false">Motore_Operativo!C202</f>
        <v>46905</v>
      </c>
      <c r="D202" s="68" t="n">
        <f aca="false">Motore_Operativo!D202</f>
        <v>2028</v>
      </c>
      <c r="E202" s="68" t="n">
        <f aca="false">Motore_Operativo!E202</f>
        <v>6</v>
      </c>
      <c r="F202" s="15" t="n">
        <f aca="false">Motore_Operativo!AM202</f>
        <v>19387.5</v>
      </c>
      <c r="G202" s="15" t="n">
        <f aca="false">Motore_Operativo!BH202</f>
        <v>1938.75</v>
      </c>
      <c r="H202" s="15" t="n">
        <f aca="false">Motore_Operativo!AM202</f>
        <v>19387.5</v>
      </c>
      <c r="I202" s="15" t="n">
        <f aca="false">Motore_Operativo!CB202</f>
        <v>26550.3333333333</v>
      </c>
      <c r="J202" s="15" t="n">
        <f aca="false">Motore_Operativo!CD202</f>
        <v>-7162.83333333333</v>
      </c>
      <c r="K202" s="15" t="n">
        <f aca="false">Motore_Operativo!CF202</f>
        <v>416.666666666667</v>
      </c>
      <c r="L202" s="15" t="n">
        <f aca="false">SUM(INDEX($K$185:$K$244,MAX(1,18-Parametri_v3!$C$59+1)):K202)/Parametri_v3!$C$59</f>
        <v>152.777777777778</v>
      </c>
      <c r="M202" s="15" t="n">
        <f aca="false">J202-L202</f>
        <v>-7315.61111111111</v>
      </c>
      <c r="N202" s="15" t="n">
        <f aca="false">0</f>
        <v>0</v>
      </c>
      <c r="O202" s="15" t="n">
        <f aca="false">0</f>
        <v>0</v>
      </c>
      <c r="P202" s="15" t="n">
        <f aca="false">M202+N202-O202</f>
        <v>-7315.61111111111</v>
      </c>
      <c r="Q202" s="15" t="n">
        <f aca="false">SUM(P197:P202)+Parametri_v3!$C$56*6/12</f>
        <v>-43720.0555555555</v>
      </c>
      <c r="R202" s="15" t="n">
        <f aca="false">Z196</f>
        <v>31631.6666666666</v>
      </c>
      <c r="S202" s="15" t="n">
        <f aca="false">AA196</f>
        <v>0</v>
      </c>
      <c r="T202" s="15" t="n">
        <f aca="false">MIN(R202,MAX(0,Q202))</f>
        <v>0</v>
      </c>
      <c r="U202" s="15" t="n">
        <f aca="false">MIN(S202,MAX(0,Q202-T202)*Parametri_v3!$C$42)</f>
        <v>0</v>
      </c>
      <c r="V202" s="15" t="n">
        <f aca="false">MAX(0,Q202-T202-U202)*Ipotesi!$C$92</f>
        <v>0</v>
      </c>
      <c r="W202" s="15" t="n">
        <f aca="false">MAX(0,SUM(M197:M202)+Parametri_v3!$C$57*6/12)*Ipotesi!$C$93</f>
        <v>0</v>
      </c>
      <c r="X202" s="15" t="n">
        <f aca="false">V202+W202-(V201+W201)</f>
        <v>0</v>
      </c>
      <c r="Y202" s="15" t="n">
        <f aca="false">P202-X202</f>
        <v>-7315.61111111111</v>
      </c>
      <c r="Z202" s="15" t="n">
        <f aca="false">R202-T202+IF(AND(Parametri_v3!$C$40=1,D202-YEAR(Parametri_v3!$C$50)&lt;Parametri_v3!$C$41),MAX(0,-Q202),0)</f>
        <v>75351.7222222222</v>
      </c>
      <c r="AA202" s="15" t="n">
        <f aca="false">S202-U202+IF(AND(Parametri_v3!$C$40=1,D202-YEAR(Parametri_v3!$C$50)&lt;Parametri_v3!$C$41),0,MAX(0,-Q202))</f>
        <v>0</v>
      </c>
      <c r="AB202" s="15" t="n">
        <f aca="false">F202*(1+Parametri_v3!$C$26)</f>
        <v>23652.75</v>
      </c>
      <c r="AC202" s="15" t="n">
        <f aca="false">(IF(18-(INT((Motore_Operativo!L202)/30))&lt;1,0,INDEX(Motore_Advisory!$AB$185:$AB$244,MAX(1,18-(INT((Motore_Operativo!L202)/30)))))*(1-(MOD((Motore_Operativo!L202),30)/30))+IF(18-(INT((Motore_Operativo!L202)/30))-1&lt;1,0,INDEX(Motore_Advisory!$AB$185:$AB$244,MAX(1,18-(INT((Motore_Operativo!L202)/30))-1)))*(MOD((Motore_Operativo!L202),30)/30))</f>
        <v>23652.75</v>
      </c>
      <c r="AD202" s="15" t="n">
        <f aca="false">(AD201)+AB202-AC202</f>
        <v>94611</v>
      </c>
      <c r="AE202" s="15" t="n">
        <f aca="false">Motore_Operativo!BH202*(1+Parametri_v3!$C$26)</f>
        <v>2365.275</v>
      </c>
      <c r="AF202" s="15" t="n">
        <f aca="false">(IF(18-(INT((Parametri_v3!$C$29)/30))&lt;1,0,INDEX(Motore_Operativo!$BH$185:$BH$244,MAX(1,18-(INT((Parametri_v3!$C$29)/30)))))*(1-(MOD((Parametri_v3!$C$29),30)/30))+IF(18-(INT((Parametri_v3!$C$29)/30))-1&lt;1,0,INDEX(Motore_Operativo!$BH$185:$BH$244,MAX(1,18-(INT((Parametri_v3!$C$29)/30))-1)))*(MOD((Parametri_v3!$C$29),30)/30))*(1+Parametri_v3!$C$26)</f>
        <v>2365.275</v>
      </c>
      <c r="AG202" s="15" t="n">
        <f aca="false">(AG201)+AE202-AF202</f>
        <v>2365.275</v>
      </c>
      <c r="AH202" s="15" t="n">
        <f aca="false">(Motore_Operativo!CK202)*(1+Parametri_v3!$C$28*Parametri_v3!$C$26)</f>
        <v>10168.382</v>
      </c>
      <c r="AI202" s="15" t="n">
        <f aca="false">(IF(18-(INT((Ipotesi!$C$91)/30))&lt;1,0,INDEX(Motore_Advisory!$AH$185:$AH$244,MAX(1,18-(INT((Ipotesi!$C$91)/30)))))*(1-(MOD((Ipotesi!$C$91),30)/30))+IF(18-(INT((Ipotesi!$C$91)/30))-1&lt;1,0,INDEX(Motore_Advisory!$AH$185:$AH$244,MAX(1,18-(INT((Ipotesi!$C$91)/30))-1)))*(MOD((Ipotesi!$C$91),30)/30))</f>
        <v>10168.382</v>
      </c>
      <c r="AJ202" s="15" t="n">
        <f aca="false">(AJ201)+AH202-AI202</f>
        <v>20336.764</v>
      </c>
      <c r="AK202" s="15" t="n">
        <f aca="false">(F202- Motore_Operativo!BH202-(Motore_Operativo!CK202)*Parametri_v3!$C$28-Motore_Operativo!CF202)*Parametri_v3!$C$26</f>
        <v>2225.25966666667</v>
      </c>
      <c r="AL202" s="15" t="n">
        <f aca="false">MAX(0,(AM201))</f>
        <v>2225.25966666667</v>
      </c>
      <c r="AM202" s="15" t="n">
        <f aca="false">(AM201)+AK202-AL202</f>
        <v>2225.25966666667</v>
      </c>
      <c r="AN202" s="15" t="n">
        <f aca="false">SUM(X185:X196)</f>
        <v>0</v>
      </c>
      <c r="AO202" s="15" t="n">
        <f aca="false">SUM(AP185:AP196)</f>
        <v>0</v>
      </c>
      <c r="AP202" s="15" t="n">
        <f aca="false">MAX(0,AN202)*IF(6=Parametri_v3!$C$43,Parametri_v3!$C$45,IF(6=Parametri_v3!$C$44,1-Parametri_v3!$C$45,0))</f>
        <v>0</v>
      </c>
      <c r="AQ202" s="15" t="n">
        <f aca="false">MAX(0,AP202+IF(6=Parametri_v3!$C$43,MAX(0,AN202-AO202),0)-MAX(0,-(AR201)))</f>
        <v>0</v>
      </c>
      <c r="AR202" s="15" t="n">
        <f aca="false">(AR201)+X202-AQ202</f>
        <v>0</v>
      </c>
      <c r="AS202" s="15" t="n">
        <f aca="false">Motore_Operativo!AC202-AT202+AU202</f>
        <v>15166.75</v>
      </c>
      <c r="AT202" s="15" t="n">
        <f aca="false">Motore_Operativo!CI202</f>
        <v>798.25</v>
      </c>
      <c r="AU202" s="15" t="n">
        <f aca="false">MIN(MAX(0,(AV201)+AT202),Parametri_v3!$C$61/12)</f>
        <v>0</v>
      </c>
      <c r="AV202" s="15" t="n">
        <f aca="false">(AV201)+AT202-AU202</f>
        <v>7939.5</v>
      </c>
      <c r="AW202" s="15" t="n">
        <f aca="false">IF(AND(Motore_Operativo!C202=Finanziamenti!$D$7,Finanziamenti!$F$7=1),Finanziamenti!$C$7,0)</f>
        <v>0</v>
      </c>
      <c r="AX202" s="15" t="n">
        <f aca="false">0</f>
        <v>0</v>
      </c>
      <c r="AY202" s="15" t="n">
        <f aca="false">IF(6=Parametri_v3!$C$33,IF(BV202&lt;MIN(12,$B202-1),0,MIN(MAX(0,SUM(Y185:Y196))*Ipotesi!$C$94,MAX(0,(BM196)-(BO201)-BP202),MAX(0,BD202-Parametri_v3!$C$31))),0)</f>
        <v>0</v>
      </c>
      <c r="AZ202" s="15" t="n">
        <f aca="false">0</f>
        <v>0</v>
      </c>
      <c r="BA202" s="15" t="n">
        <f aca="false">0</f>
        <v>0</v>
      </c>
      <c r="BB202" s="15" t="n">
        <f aca="false">0</f>
        <v>0</v>
      </c>
      <c r="BC202" s="15" t="n">
        <f aca="false">0</f>
        <v>0</v>
      </c>
      <c r="BD202" s="15" t="n">
        <f aca="false">(BH201)+AC202-AF202-AI202-AS202-K202*(1+Parametri_v3!$C$26)-AL202-AQ202-O202+AW202+AX202+AZ202+BA202-BB202</f>
        <v>-121311.201333333</v>
      </c>
      <c r="BE202" s="15" t="n">
        <f aca="false">0</f>
        <v>0</v>
      </c>
      <c r="BF202" s="15" t="n">
        <f aca="false">0</f>
        <v>0</v>
      </c>
      <c r="BG202" s="15" t="n">
        <f aca="false">0</f>
        <v>0</v>
      </c>
      <c r="BH202" s="15" t="n">
        <f aca="false">BD202+BE202-BF202-AY202</f>
        <v>-121311.201333333</v>
      </c>
      <c r="BI202" s="15" t="n">
        <f aca="false">MAX(0,Parametri_v3!$C$31-BH202)</f>
        <v>131311.201333333</v>
      </c>
      <c r="BJ202" s="15" t="n">
        <f aca="false">(BJ201)+K202</f>
        <v>5500</v>
      </c>
      <c r="BK202" s="15" t="n">
        <f aca="false">(BK201)+L202</f>
        <v>1284.72222222222</v>
      </c>
      <c r="BL202" s="15" t="n">
        <f aca="false">BJ202-BK202</f>
        <v>4215.27777777778</v>
      </c>
      <c r="BM202" s="15" t="n">
        <f aca="false">(BM201)+Y202</f>
        <v>-75351.7222222222</v>
      </c>
      <c r="BN202" s="15" t="n">
        <f aca="false">(BN201)+AW202+AX202+AZ202</f>
        <v>20000</v>
      </c>
      <c r="BO202" s="15" t="n">
        <f aca="false">(BO201)+AY202</f>
        <v>0</v>
      </c>
      <c r="BP202" s="15" t="n">
        <f aca="false">MIN(Parametri_v3!$C$36*Parametri_v3!$C$35,(BP201)+IF(6=1,MAX(0,SUM(Y185:Y196))*Parametri_v3!$C$34,0))</f>
        <v>0</v>
      </c>
      <c r="BQ202" s="15" t="n">
        <f aca="false">BN202+BM202-BO202</f>
        <v>-55351.7222222222</v>
      </c>
      <c r="BR202" s="15" t="n">
        <f aca="false">BH202+AD202+BL202+MAX(0,-AM202)+MAX(0,-AR202)</f>
        <v>-22484.9235555555</v>
      </c>
      <c r="BS202" s="15" t="n">
        <f aca="false">AJ202+AV202+MAX(0,AM202)+MAX(0,AR202)+BC202+BG202+BQ202+AG202</f>
        <v>-22484.9235555555</v>
      </c>
      <c r="BT202" s="15" t="n">
        <f aca="false">BR202-BS202</f>
        <v>0</v>
      </c>
      <c r="BU202" s="15" t="n">
        <f aca="false">BH202-(BD202+BE202-BF202-AY202)</f>
        <v>0</v>
      </c>
      <c r="BV202" s="15" t="n">
        <f aca="false">IF(BH201&lt;Parametri_v3!$C$31,0,BV201+1)</f>
        <v>0</v>
      </c>
    </row>
    <row r="203" customFormat="false" ht="18" hidden="false" customHeight="true" outlineLevel="0" collapsed="false">
      <c r="A203" s="68" t="n">
        <f aca="false">4</f>
        <v>4</v>
      </c>
      <c r="B203" s="68" t="n">
        <f aca="false">19</f>
        <v>19</v>
      </c>
      <c r="C203" s="18" t="n">
        <f aca="false">Motore_Operativo!C203</f>
        <v>46935</v>
      </c>
      <c r="D203" s="68" t="n">
        <f aca="false">Motore_Operativo!D203</f>
        <v>2028</v>
      </c>
      <c r="E203" s="68" t="n">
        <f aca="false">Motore_Operativo!E203</f>
        <v>7</v>
      </c>
      <c r="F203" s="15" t="n">
        <f aca="false">Motore_Operativo!AM203</f>
        <v>19387.5</v>
      </c>
      <c r="G203" s="15" t="n">
        <f aca="false">Motore_Operativo!BH203</f>
        <v>1938.75</v>
      </c>
      <c r="H203" s="15" t="n">
        <f aca="false">Motore_Operativo!AM203</f>
        <v>19387.5</v>
      </c>
      <c r="I203" s="15" t="n">
        <f aca="false">Motore_Operativo!CB203</f>
        <v>26550.3333333333</v>
      </c>
      <c r="J203" s="15" t="n">
        <f aca="false">Motore_Operativo!CD203</f>
        <v>-7162.83333333333</v>
      </c>
      <c r="K203" s="15" t="n">
        <f aca="false">Motore_Operativo!CF203</f>
        <v>416.666666666667</v>
      </c>
      <c r="L203" s="15" t="n">
        <f aca="false">SUM(INDEX($K$185:$K$244,MAX(1,19-Parametri_v3!$C$59+1)):K203)/Parametri_v3!$C$59</f>
        <v>164.351851851852</v>
      </c>
      <c r="M203" s="15" t="n">
        <f aca="false">J203-L203</f>
        <v>-7327.18518518518</v>
      </c>
      <c r="N203" s="15" t="n">
        <f aca="false">0</f>
        <v>0</v>
      </c>
      <c r="O203" s="15" t="n">
        <f aca="false">0</f>
        <v>0</v>
      </c>
      <c r="P203" s="15" t="n">
        <f aca="false">M203+N203-O203</f>
        <v>-7327.18518518518</v>
      </c>
      <c r="Q203" s="15" t="n">
        <f aca="false">SUM(P197:P203)+Parametri_v3!$C$56*7/12</f>
        <v>-51047.2407407407</v>
      </c>
      <c r="R203" s="15" t="n">
        <f aca="false">Z196</f>
        <v>31631.6666666666</v>
      </c>
      <c r="S203" s="15" t="n">
        <f aca="false">AA196</f>
        <v>0</v>
      </c>
      <c r="T203" s="15" t="n">
        <f aca="false">MIN(R203,MAX(0,Q203))</f>
        <v>0</v>
      </c>
      <c r="U203" s="15" t="n">
        <f aca="false">MIN(S203,MAX(0,Q203-T203)*Parametri_v3!$C$42)</f>
        <v>0</v>
      </c>
      <c r="V203" s="15" t="n">
        <f aca="false">MAX(0,Q203-T203-U203)*Ipotesi!$C$92</f>
        <v>0</v>
      </c>
      <c r="W203" s="15" t="n">
        <f aca="false">MAX(0,SUM(M197:M203)+Parametri_v3!$C$57*7/12)*Ipotesi!$C$93</f>
        <v>0</v>
      </c>
      <c r="X203" s="15" t="n">
        <f aca="false">V203+W203-(V202+W202)</f>
        <v>0</v>
      </c>
      <c r="Y203" s="15" t="n">
        <f aca="false">P203-X203</f>
        <v>-7327.18518518518</v>
      </c>
      <c r="Z203" s="15" t="n">
        <f aca="false">R203-T203+IF(AND(Parametri_v3!$C$40=1,D203-YEAR(Parametri_v3!$C$50)&lt;Parametri_v3!$C$41),MAX(0,-Q203),0)</f>
        <v>82678.9074074073</v>
      </c>
      <c r="AA203" s="15" t="n">
        <f aca="false">S203-U203+IF(AND(Parametri_v3!$C$40=1,D203-YEAR(Parametri_v3!$C$50)&lt;Parametri_v3!$C$41),0,MAX(0,-Q203))</f>
        <v>0</v>
      </c>
      <c r="AB203" s="15" t="n">
        <f aca="false">F203*(1+Parametri_v3!$C$26)</f>
        <v>23652.75</v>
      </c>
      <c r="AC203" s="15" t="n">
        <f aca="false">(IF(19-(INT((Motore_Operativo!L203)/30))&lt;1,0,INDEX(Motore_Advisory!$AB$185:$AB$244,MAX(1,19-(INT((Motore_Operativo!L203)/30)))))*(1-(MOD((Motore_Operativo!L203),30)/30))+IF(19-(INT((Motore_Operativo!L203)/30))-1&lt;1,0,INDEX(Motore_Advisory!$AB$185:$AB$244,MAX(1,19-(INT((Motore_Operativo!L203)/30))-1)))*(MOD((Motore_Operativo!L203),30)/30))</f>
        <v>23652.75</v>
      </c>
      <c r="AD203" s="15" t="n">
        <f aca="false">(AD202)+AB203-AC203</f>
        <v>94611</v>
      </c>
      <c r="AE203" s="15" t="n">
        <f aca="false">Motore_Operativo!BH203*(1+Parametri_v3!$C$26)</f>
        <v>2365.275</v>
      </c>
      <c r="AF203" s="15" t="n">
        <f aca="false">(IF(19-(INT((Parametri_v3!$C$29)/30))&lt;1,0,INDEX(Motore_Operativo!$BH$185:$BH$244,MAX(1,19-(INT((Parametri_v3!$C$29)/30)))))*(1-(MOD((Parametri_v3!$C$29),30)/30))+IF(19-(INT((Parametri_v3!$C$29)/30))-1&lt;1,0,INDEX(Motore_Operativo!$BH$185:$BH$244,MAX(1,19-(INT((Parametri_v3!$C$29)/30))-1)))*(MOD((Parametri_v3!$C$29),30)/30))*(1+Parametri_v3!$C$26)</f>
        <v>2365.275</v>
      </c>
      <c r="AG203" s="15" t="n">
        <f aca="false">(AG202)+AE203-AF203</f>
        <v>2365.275</v>
      </c>
      <c r="AH203" s="15" t="n">
        <f aca="false">(Motore_Operativo!CK203)*(1+Parametri_v3!$C$28*Parametri_v3!$C$26)</f>
        <v>10168.382</v>
      </c>
      <c r="AI203" s="15" t="n">
        <f aca="false">(IF(19-(INT((Ipotesi!$C$91)/30))&lt;1,0,INDEX(Motore_Advisory!$AH$185:$AH$244,MAX(1,19-(INT((Ipotesi!$C$91)/30)))))*(1-(MOD((Ipotesi!$C$91),30)/30))+IF(19-(INT((Ipotesi!$C$91)/30))-1&lt;1,0,INDEX(Motore_Advisory!$AH$185:$AH$244,MAX(1,19-(INT((Ipotesi!$C$91)/30))-1)))*(MOD((Ipotesi!$C$91),30)/30))</f>
        <v>10168.382</v>
      </c>
      <c r="AJ203" s="15" t="n">
        <f aca="false">(AJ202)+AH203-AI203</f>
        <v>20336.764</v>
      </c>
      <c r="AK203" s="15" t="n">
        <f aca="false">(F203- Motore_Operativo!BH203-(Motore_Operativo!CK203)*Parametri_v3!$C$28-Motore_Operativo!CF203)*Parametri_v3!$C$26</f>
        <v>2225.25966666667</v>
      </c>
      <c r="AL203" s="15" t="n">
        <f aca="false">MAX(0,(AM202))</f>
        <v>2225.25966666667</v>
      </c>
      <c r="AM203" s="15" t="n">
        <f aca="false">(AM202)+AK203-AL203</f>
        <v>2225.25966666667</v>
      </c>
      <c r="AN203" s="15" t="n">
        <f aca="false">SUM(X185:X196)</f>
        <v>0</v>
      </c>
      <c r="AO203" s="15" t="n">
        <f aca="false">SUM(AP185:AP196)</f>
        <v>0</v>
      </c>
      <c r="AP203" s="15" t="n">
        <f aca="false">MAX(0,AN203)*IF(7=Parametri_v3!$C$43,Parametri_v3!$C$45,IF(7=Parametri_v3!$C$44,1-Parametri_v3!$C$45,0))</f>
        <v>0</v>
      </c>
      <c r="AQ203" s="15" t="n">
        <f aca="false">MAX(0,AP203+IF(7=Parametri_v3!$C$43,MAX(0,AN203-AO203),0)-MAX(0,-(AR202)))</f>
        <v>0</v>
      </c>
      <c r="AR203" s="15" t="n">
        <f aca="false">(AR202)+X203-AQ203</f>
        <v>0</v>
      </c>
      <c r="AS203" s="15" t="n">
        <f aca="false">Motore_Operativo!AC203-AT203+AU203</f>
        <v>15166.75</v>
      </c>
      <c r="AT203" s="15" t="n">
        <f aca="false">Motore_Operativo!CI203</f>
        <v>798.25</v>
      </c>
      <c r="AU203" s="15" t="n">
        <f aca="false">MIN(MAX(0,(AV202)+AT203),Parametri_v3!$C$61/12)</f>
        <v>0</v>
      </c>
      <c r="AV203" s="15" t="n">
        <f aca="false">(AV202)+AT203-AU203</f>
        <v>8737.75</v>
      </c>
      <c r="AW203" s="15" t="n">
        <f aca="false">IF(AND(Motore_Operativo!C203=Finanziamenti!$D$7,Finanziamenti!$F$7=1),Finanziamenti!$C$7,0)</f>
        <v>0</v>
      </c>
      <c r="AX203" s="15" t="n">
        <f aca="false">0</f>
        <v>0</v>
      </c>
      <c r="AY203" s="15" t="n">
        <f aca="false">IF(7=Parametri_v3!$C$33,IF(BV203&lt;MIN(12,$B203-1),0,MIN(MAX(0,SUM(Y185:Y196))*Ipotesi!$C$94,MAX(0,(BM196)-(BO202)-BP203),MAX(0,BD203-Parametri_v3!$C$31))),0)</f>
        <v>0</v>
      </c>
      <c r="AZ203" s="15" t="n">
        <f aca="false">0</f>
        <v>0</v>
      </c>
      <c r="BA203" s="15" t="n">
        <f aca="false">0</f>
        <v>0</v>
      </c>
      <c r="BB203" s="15" t="n">
        <f aca="false">0</f>
        <v>0</v>
      </c>
      <c r="BC203" s="15" t="n">
        <f aca="false">0</f>
        <v>0</v>
      </c>
      <c r="BD203" s="15" t="n">
        <f aca="false">(BH202)+AC203-AF203-AI203-AS203-K203*(1+Parametri_v3!$C$26)-AL203-AQ203-O203+AW203+AX203+AZ203+BA203-BB203</f>
        <v>-128092.451333333</v>
      </c>
      <c r="BE203" s="15" t="n">
        <f aca="false">0</f>
        <v>0</v>
      </c>
      <c r="BF203" s="15" t="n">
        <f aca="false">0</f>
        <v>0</v>
      </c>
      <c r="BG203" s="15" t="n">
        <f aca="false">0</f>
        <v>0</v>
      </c>
      <c r="BH203" s="15" t="n">
        <f aca="false">BD203+BE203-BF203-AY203</f>
        <v>-128092.451333333</v>
      </c>
      <c r="BI203" s="15" t="n">
        <f aca="false">MAX(0,Parametri_v3!$C$31-BH203)</f>
        <v>138092.451333333</v>
      </c>
      <c r="BJ203" s="15" t="n">
        <f aca="false">(BJ202)+K203</f>
        <v>5916.66666666667</v>
      </c>
      <c r="BK203" s="15" t="n">
        <f aca="false">(BK202)+L203</f>
        <v>1449.07407407407</v>
      </c>
      <c r="BL203" s="15" t="n">
        <f aca="false">BJ203-BK203</f>
        <v>4467.59259259259</v>
      </c>
      <c r="BM203" s="15" t="n">
        <f aca="false">(BM202)+Y203</f>
        <v>-82678.9074074073</v>
      </c>
      <c r="BN203" s="15" t="n">
        <f aca="false">(BN202)+AW203+AX203+AZ203</f>
        <v>20000</v>
      </c>
      <c r="BO203" s="15" t="n">
        <f aca="false">(BO202)+AY203</f>
        <v>0</v>
      </c>
      <c r="BP203" s="15" t="n">
        <f aca="false">MIN(Parametri_v3!$C$36*Parametri_v3!$C$35,(BP202)+IF(7=1,MAX(0,SUM(Y185:Y196))*Parametri_v3!$C$34,0))</f>
        <v>0</v>
      </c>
      <c r="BQ203" s="15" t="n">
        <f aca="false">BN203+BM203-BO203</f>
        <v>-62678.9074074073</v>
      </c>
      <c r="BR203" s="15" t="n">
        <f aca="false">BH203+AD203+BL203+MAX(0,-AM203)+MAX(0,-AR203)</f>
        <v>-29013.8587407406</v>
      </c>
      <c r="BS203" s="15" t="n">
        <f aca="false">AJ203+AV203+MAX(0,AM203)+MAX(0,AR203)+BC203+BG203+BQ203+AG203</f>
        <v>-29013.8587407407</v>
      </c>
      <c r="BT203" s="15" t="n">
        <f aca="false">BR203-BS203</f>
        <v>0</v>
      </c>
      <c r="BU203" s="15" t="n">
        <f aca="false">BH203-(BD203+BE203-BF203-AY203)</f>
        <v>0</v>
      </c>
      <c r="BV203" s="15" t="n">
        <f aca="false">IF(BH202&lt;Parametri_v3!$C$31,0,BV202+1)</f>
        <v>0</v>
      </c>
    </row>
    <row r="204" customFormat="false" ht="18" hidden="false" customHeight="true" outlineLevel="0" collapsed="false">
      <c r="A204" s="68" t="n">
        <f aca="false">4</f>
        <v>4</v>
      </c>
      <c r="B204" s="68" t="n">
        <f aca="false">20</f>
        <v>20</v>
      </c>
      <c r="C204" s="18" t="n">
        <f aca="false">Motore_Operativo!C204</f>
        <v>46966</v>
      </c>
      <c r="D204" s="68" t="n">
        <f aca="false">Motore_Operativo!D204</f>
        <v>2028</v>
      </c>
      <c r="E204" s="68" t="n">
        <f aca="false">Motore_Operativo!E204</f>
        <v>8</v>
      </c>
      <c r="F204" s="15" t="n">
        <f aca="false">Motore_Operativo!AM204</f>
        <v>19387.5</v>
      </c>
      <c r="G204" s="15" t="n">
        <f aca="false">Motore_Operativo!BH204</f>
        <v>1938.75</v>
      </c>
      <c r="H204" s="15" t="n">
        <f aca="false">Motore_Operativo!AM204</f>
        <v>19387.5</v>
      </c>
      <c r="I204" s="15" t="n">
        <f aca="false">Motore_Operativo!CB204</f>
        <v>26550.3333333333</v>
      </c>
      <c r="J204" s="15" t="n">
        <f aca="false">Motore_Operativo!CD204</f>
        <v>-7162.83333333333</v>
      </c>
      <c r="K204" s="15" t="n">
        <f aca="false">Motore_Operativo!CF204</f>
        <v>416.666666666667</v>
      </c>
      <c r="L204" s="15" t="n">
        <f aca="false">SUM(INDEX($K$185:$K$244,MAX(1,20-Parametri_v3!$C$59+1)):K204)/Parametri_v3!$C$59</f>
        <v>175.925925925926</v>
      </c>
      <c r="M204" s="15" t="n">
        <f aca="false">J204-L204</f>
        <v>-7338.75925925926</v>
      </c>
      <c r="N204" s="15" t="n">
        <f aca="false">0</f>
        <v>0</v>
      </c>
      <c r="O204" s="15" t="n">
        <f aca="false">0</f>
        <v>0</v>
      </c>
      <c r="P204" s="15" t="n">
        <f aca="false">M204+N204-O204</f>
        <v>-7338.75925925926</v>
      </c>
      <c r="Q204" s="15" t="n">
        <f aca="false">SUM(P197:P204)+Parametri_v3!$C$56*8/12</f>
        <v>-58386</v>
      </c>
      <c r="R204" s="15" t="n">
        <f aca="false">Z196</f>
        <v>31631.6666666666</v>
      </c>
      <c r="S204" s="15" t="n">
        <f aca="false">AA196</f>
        <v>0</v>
      </c>
      <c r="T204" s="15" t="n">
        <f aca="false">MIN(R204,MAX(0,Q204))</f>
        <v>0</v>
      </c>
      <c r="U204" s="15" t="n">
        <f aca="false">MIN(S204,MAX(0,Q204-T204)*Parametri_v3!$C$42)</f>
        <v>0</v>
      </c>
      <c r="V204" s="15" t="n">
        <f aca="false">MAX(0,Q204-T204-U204)*Ipotesi!$C$92</f>
        <v>0</v>
      </c>
      <c r="W204" s="15" t="n">
        <f aca="false">MAX(0,SUM(M197:M204)+Parametri_v3!$C$57*8/12)*Ipotesi!$C$93</f>
        <v>0</v>
      </c>
      <c r="X204" s="15" t="n">
        <f aca="false">V204+W204-(V203+W203)</f>
        <v>0</v>
      </c>
      <c r="Y204" s="15" t="n">
        <f aca="false">P204-X204</f>
        <v>-7338.75925925926</v>
      </c>
      <c r="Z204" s="15" t="n">
        <f aca="false">R204-T204+IF(AND(Parametri_v3!$C$40=1,D204-YEAR(Parametri_v3!$C$50)&lt;Parametri_v3!$C$41),MAX(0,-Q204),0)</f>
        <v>90017.6666666666</v>
      </c>
      <c r="AA204" s="15" t="n">
        <f aca="false">S204-U204+IF(AND(Parametri_v3!$C$40=1,D204-YEAR(Parametri_v3!$C$50)&lt;Parametri_v3!$C$41),0,MAX(0,-Q204))</f>
        <v>0</v>
      </c>
      <c r="AB204" s="15" t="n">
        <f aca="false">F204*(1+Parametri_v3!$C$26)</f>
        <v>23652.75</v>
      </c>
      <c r="AC204" s="15" t="n">
        <f aca="false">(IF(20-(INT((Motore_Operativo!L204)/30))&lt;1,0,INDEX(Motore_Advisory!$AB$185:$AB$244,MAX(1,20-(INT((Motore_Operativo!L204)/30)))))*(1-(MOD((Motore_Operativo!L204),30)/30))+IF(20-(INT((Motore_Operativo!L204)/30))-1&lt;1,0,INDEX(Motore_Advisory!$AB$185:$AB$244,MAX(1,20-(INT((Motore_Operativo!L204)/30))-1)))*(MOD((Motore_Operativo!L204),30)/30))</f>
        <v>23652.75</v>
      </c>
      <c r="AD204" s="15" t="n">
        <f aca="false">(AD203)+AB204-AC204</f>
        <v>94611</v>
      </c>
      <c r="AE204" s="15" t="n">
        <f aca="false">Motore_Operativo!BH204*(1+Parametri_v3!$C$26)</f>
        <v>2365.275</v>
      </c>
      <c r="AF204" s="15" t="n">
        <f aca="false">(IF(20-(INT((Parametri_v3!$C$29)/30))&lt;1,0,INDEX(Motore_Operativo!$BH$185:$BH$244,MAX(1,20-(INT((Parametri_v3!$C$29)/30)))))*(1-(MOD((Parametri_v3!$C$29),30)/30))+IF(20-(INT((Parametri_v3!$C$29)/30))-1&lt;1,0,INDEX(Motore_Operativo!$BH$185:$BH$244,MAX(1,20-(INT((Parametri_v3!$C$29)/30))-1)))*(MOD((Parametri_v3!$C$29),30)/30))*(1+Parametri_v3!$C$26)</f>
        <v>2365.275</v>
      </c>
      <c r="AG204" s="15" t="n">
        <f aca="false">(AG203)+AE204-AF204</f>
        <v>2365.275</v>
      </c>
      <c r="AH204" s="15" t="n">
        <f aca="false">(Motore_Operativo!CK204)*(1+Parametri_v3!$C$28*Parametri_v3!$C$26)</f>
        <v>10168.382</v>
      </c>
      <c r="AI204" s="15" t="n">
        <f aca="false">(IF(20-(INT((Ipotesi!$C$91)/30))&lt;1,0,INDEX(Motore_Advisory!$AH$185:$AH$244,MAX(1,20-(INT((Ipotesi!$C$91)/30)))))*(1-(MOD((Ipotesi!$C$91),30)/30))+IF(20-(INT((Ipotesi!$C$91)/30))-1&lt;1,0,INDEX(Motore_Advisory!$AH$185:$AH$244,MAX(1,20-(INT((Ipotesi!$C$91)/30))-1)))*(MOD((Ipotesi!$C$91),30)/30))</f>
        <v>10168.382</v>
      </c>
      <c r="AJ204" s="15" t="n">
        <f aca="false">(AJ203)+AH204-AI204</f>
        <v>20336.764</v>
      </c>
      <c r="AK204" s="15" t="n">
        <f aca="false">(F204- Motore_Operativo!BH204-(Motore_Operativo!CK204)*Parametri_v3!$C$28-Motore_Operativo!CF204)*Parametri_v3!$C$26</f>
        <v>2225.25966666667</v>
      </c>
      <c r="AL204" s="15" t="n">
        <f aca="false">MAX(0,(AM203))</f>
        <v>2225.25966666667</v>
      </c>
      <c r="AM204" s="15" t="n">
        <f aca="false">(AM203)+AK204-AL204</f>
        <v>2225.25966666667</v>
      </c>
      <c r="AN204" s="15" t="n">
        <f aca="false">SUM(X185:X196)</f>
        <v>0</v>
      </c>
      <c r="AO204" s="15" t="n">
        <f aca="false">SUM(AP185:AP196)</f>
        <v>0</v>
      </c>
      <c r="AP204" s="15" t="n">
        <f aca="false">MAX(0,AN204)*IF(8=Parametri_v3!$C$43,Parametri_v3!$C$45,IF(8=Parametri_v3!$C$44,1-Parametri_v3!$C$45,0))</f>
        <v>0</v>
      </c>
      <c r="AQ204" s="15" t="n">
        <f aca="false">MAX(0,AP204+IF(8=Parametri_v3!$C$43,MAX(0,AN204-AO204),0)-MAX(0,-(AR203)))</f>
        <v>0</v>
      </c>
      <c r="AR204" s="15" t="n">
        <f aca="false">(AR203)+X204-AQ204</f>
        <v>0</v>
      </c>
      <c r="AS204" s="15" t="n">
        <f aca="false">Motore_Operativo!AC204-AT204+AU204</f>
        <v>15166.75</v>
      </c>
      <c r="AT204" s="15" t="n">
        <f aca="false">Motore_Operativo!CI204</f>
        <v>798.25</v>
      </c>
      <c r="AU204" s="15" t="n">
        <f aca="false">MIN(MAX(0,(AV203)+AT204),Parametri_v3!$C$61/12)</f>
        <v>0</v>
      </c>
      <c r="AV204" s="15" t="n">
        <f aca="false">(AV203)+AT204-AU204</f>
        <v>9536</v>
      </c>
      <c r="AW204" s="15" t="n">
        <f aca="false">IF(AND(Motore_Operativo!C204=Finanziamenti!$D$7,Finanziamenti!$F$7=1),Finanziamenti!$C$7,0)</f>
        <v>0</v>
      </c>
      <c r="AX204" s="15" t="n">
        <f aca="false">0</f>
        <v>0</v>
      </c>
      <c r="AY204" s="15" t="n">
        <f aca="false">IF(8=Parametri_v3!$C$33,IF(BV204&lt;MIN(12,$B204-1),0,MIN(MAX(0,SUM(Y185:Y196))*Ipotesi!$C$94,MAX(0,(BM196)-(BO203)-BP204),MAX(0,BD204-Parametri_v3!$C$31))),0)</f>
        <v>0</v>
      </c>
      <c r="AZ204" s="15" t="n">
        <f aca="false">0</f>
        <v>0</v>
      </c>
      <c r="BA204" s="15" t="n">
        <f aca="false">0</f>
        <v>0</v>
      </c>
      <c r="BB204" s="15" t="n">
        <f aca="false">0</f>
        <v>0</v>
      </c>
      <c r="BC204" s="15" t="n">
        <f aca="false">0</f>
        <v>0</v>
      </c>
      <c r="BD204" s="15" t="n">
        <f aca="false">(BH203)+AC204-AF204-AI204-AS204-K204*(1+Parametri_v3!$C$26)-AL204-AQ204-O204+AW204+AX204+AZ204+BA204-BB204</f>
        <v>-134873.701333333</v>
      </c>
      <c r="BE204" s="15" t="n">
        <f aca="false">0</f>
        <v>0</v>
      </c>
      <c r="BF204" s="15" t="n">
        <f aca="false">0</f>
        <v>0</v>
      </c>
      <c r="BG204" s="15" t="n">
        <f aca="false">0</f>
        <v>0</v>
      </c>
      <c r="BH204" s="15" t="n">
        <f aca="false">BD204+BE204-BF204-AY204</f>
        <v>-134873.701333333</v>
      </c>
      <c r="BI204" s="15" t="n">
        <f aca="false">MAX(0,Parametri_v3!$C$31-BH204)</f>
        <v>144873.701333333</v>
      </c>
      <c r="BJ204" s="15" t="n">
        <f aca="false">(BJ203)+K204</f>
        <v>6333.33333333334</v>
      </c>
      <c r="BK204" s="15" t="n">
        <f aca="false">(BK203)+L204</f>
        <v>1625</v>
      </c>
      <c r="BL204" s="15" t="n">
        <f aca="false">BJ204-BK204</f>
        <v>4708.33333333334</v>
      </c>
      <c r="BM204" s="15" t="n">
        <f aca="false">(BM203)+Y204</f>
        <v>-90017.6666666666</v>
      </c>
      <c r="BN204" s="15" t="n">
        <f aca="false">(BN203)+AW204+AX204+AZ204</f>
        <v>20000</v>
      </c>
      <c r="BO204" s="15" t="n">
        <f aca="false">(BO203)+AY204</f>
        <v>0</v>
      </c>
      <c r="BP204" s="15" t="n">
        <f aca="false">MIN(Parametri_v3!$C$36*Parametri_v3!$C$35,(BP203)+IF(8=1,MAX(0,SUM(Y185:Y196))*Parametri_v3!$C$34,0))</f>
        <v>0</v>
      </c>
      <c r="BQ204" s="15" t="n">
        <f aca="false">BN204+BM204-BO204</f>
        <v>-70017.6666666666</v>
      </c>
      <c r="BR204" s="15" t="n">
        <f aca="false">BH204+AD204+BL204+MAX(0,-AM204)+MAX(0,-AR204)</f>
        <v>-35554.3679999999</v>
      </c>
      <c r="BS204" s="15" t="n">
        <f aca="false">AJ204+AV204+MAX(0,AM204)+MAX(0,AR204)+BC204+BG204+BQ204+AG204</f>
        <v>-35554.3679999999</v>
      </c>
      <c r="BT204" s="15" t="n">
        <f aca="false">BR204-BS204</f>
        <v>0</v>
      </c>
      <c r="BU204" s="15" t="n">
        <f aca="false">BH204-(BD204+BE204-BF204-AY204)</f>
        <v>0</v>
      </c>
      <c r="BV204" s="15" t="n">
        <f aca="false">IF(BH203&lt;Parametri_v3!$C$31,0,BV203+1)</f>
        <v>0</v>
      </c>
    </row>
    <row r="205" customFormat="false" ht="18" hidden="false" customHeight="true" outlineLevel="0" collapsed="false">
      <c r="A205" s="68" t="n">
        <f aca="false">4</f>
        <v>4</v>
      </c>
      <c r="B205" s="68" t="n">
        <f aca="false">21</f>
        <v>21</v>
      </c>
      <c r="C205" s="18" t="n">
        <f aca="false">Motore_Operativo!C205</f>
        <v>46997</v>
      </c>
      <c r="D205" s="68" t="n">
        <f aca="false">Motore_Operativo!D205</f>
        <v>2028</v>
      </c>
      <c r="E205" s="68" t="n">
        <f aca="false">Motore_Operativo!E205</f>
        <v>9</v>
      </c>
      <c r="F205" s="15" t="n">
        <f aca="false">Motore_Operativo!AM205</f>
        <v>19387.5</v>
      </c>
      <c r="G205" s="15" t="n">
        <f aca="false">Motore_Operativo!BH205</f>
        <v>1938.75</v>
      </c>
      <c r="H205" s="15" t="n">
        <f aca="false">Motore_Operativo!AM205</f>
        <v>19387.5</v>
      </c>
      <c r="I205" s="15" t="n">
        <f aca="false">Motore_Operativo!CB205</f>
        <v>26550.3333333333</v>
      </c>
      <c r="J205" s="15" t="n">
        <f aca="false">Motore_Operativo!CD205</f>
        <v>-7162.83333333333</v>
      </c>
      <c r="K205" s="15" t="n">
        <f aca="false">Motore_Operativo!CF205</f>
        <v>416.666666666667</v>
      </c>
      <c r="L205" s="15" t="n">
        <f aca="false">SUM(INDEX($K$185:$K$244,MAX(1,21-Parametri_v3!$C$59+1)):K205)/Parametri_v3!$C$59</f>
        <v>187.5</v>
      </c>
      <c r="M205" s="15" t="n">
        <f aca="false">J205-L205</f>
        <v>-7350.33333333333</v>
      </c>
      <c r="N205" s="15" t="n">
        <f aca="false">0</f>
        <v>0</v>
      </c>
      <c r="O205" s="15" t="n">
        <f aca="false">0</f>
        <v>0</v>
      </c>
      <c r="P205" s="15" t="n">
        <f aca="false">M205+N205-O205</f>
        <v>-7350.33333333333</v>
      </c>
      <c r="Q205" s="15" t="n">
        <f aca="false">SUM(P197:P205)+Parametri_v3!$C$56*9/12</f>
        <v>-65736.3333333333</v>
      </c>
      <c r="R205" s="15" t="n">
        <f aca="false">Z196</f>
        <v>31631.6666666666</v>
      </c>
      <c r="S205" s="15" t="n">
        <f aca="false">AA196</f>
        <v>0</v>
      </c>
      <c r="T205" s="15" t="n">
        <f aca="false">MIN(R205,MAX(0,Q205))</f>
        <v>0</v>
      </c>
      <c r="U205" s="15" t="n">
        <f aca="false">MIN(S205,MAX(0,Q205-T205)*Parametri_v3!$C$42)</f>
        <v>0</v>
      </c>
      <c r="V205" s="15" t="n">
        <f aca="false">MAX(0,Q205-T205-U205)*Ipotesi!$C$92</f>
        <v>0</v>
      </c>
      <c r="W205" s="15" t="n">
        <f aca="false">MAX(0,SUM(M197:M205)+Parametri_v3!$C$57*9/12)*Ipotesi!$C$93</f>
        <v>0</v>
      </c>
      <c r="X205" s="15" t="n">
        <f aca="false">V205+W205-(V204+W204)</f>
        <v>0</v>
      </c>
      <c r="Y205" s="15" t="n">
        <f aca="false">P205-X205</f>
        <v>-7350.33333333333</v>
      </c>
      <c r="Z205" s="15" t="n">
        <f aca="false">R205-T205+IF(AND(Parametri_v3!$C$40=1,D205-YEAR(Parametri_v3!$C$50)&lt;Parametri_v3!$C$41),MAX(0,-Q205),0)</f>
        <v>97367.9999999999</v>
      </c>
      <c r="AA205" s="15" t="n">
        <f aca="false">S205-U205+IF(AND(Parametri_v3!$C$40=1,D205-YEAR(Parametri_v3!$C$50)&lt;Parametri_v3!$C$41),0,MAX(0,-Q205))</f>
        <v>0</v>
      </c>
      <c r="AB205" s="15" t="n">
        <f aca="false">F205*(1+Parametri_v3!$C$26)</f>
        <v>23652.75</v>
      </c>
      <c r="AC205" s="15" t="n">
        <f aca="false">(IF(21-(INT((Motore_Operativo!L205)/30))&lt;1,0,INDEX(Motore_Advisory!$AB$185:$AB$244,MAX(1,21-(INT((Motore_Operativo!L205)/30)))))*(1-(MOD((Motore_Operativo!L205),30)/30))+IF(21-(INT((Motore_Operativo!L205)/30))-1&lt;1,0,INDEX(Motore_Advisory!$AB$185:$AB$244,MAX(1,21-(INT((Motore_Operativo!L205)/30))-1)))*(MOD((Motore_Operativo!L205),30)/30))</f>
        <v>23652.75</v>
      </c>
      <c r="AD205" s="15" t="n">
        <f aca="false">(AD204)+AB205-AC205</f>
        <v>94611</v>
      </c>
      <c r="AE205" s="15" t="n">
        <f aca="false">Motore_Operativo!BH205*(1+Parametri_v3!$C$26)</f>
        <v>2365.275</v>
      </c>
      <c r="AF205" s="15" t="n">
        <f aca="false">(IF(21-(INT((Parametri_v3!$C$29)/30))&lt;1,0,INDEX(Motore_Operativo!$BH$185:$BH$244,MAX(1,21-(INT((Parametri_v3!$C$29)/30)))))*(1-(MOD((Parametri_v3!$C$29),30)/30))+IF(21-(INT((Parametri_v3!$C$29)/30))-1&lt;1,0,INDEX(Motore_Operativo!$BH$185:$BH$244,MAX(1,21-(INT((Parametri_v3!$C$29)/30))-1)))*(MOD((Parametri_v3!$C$29),30)/30))*(1+Parametri_v3!$C$26)</f>
        <v>2365.275</v>
      </c>
      <c r="AG205" s="15" t="n">
        <f aca="false">(AG204)+AE205-AF205</f>
        <v>2365.275</v>
      </c>
      <c r="AH205" s="15" t="n">
        <f aca="false">(Motore_Operativo!CK205)*(1+Parametri_v3!$C$28*Parametri_v3!$C$26)</f>
        <v>10168.382</v>
      </c>
      <c r="AI205" s="15" t="n">
        <f aca="false">(IF(21-(INT((Ipotesi!$C$91)/30))&lt;1,0,INDEX(Motore_Advisory!$AH$185:$AH$244,MAX(1,21-(INT((Ipotesi!$C$91)/30)))))*(1-(MOD((Ipotesi!$C$91),30)/30))+IF(21-(INT((Ipotesi!$C$91)/30))-1&lt;1,0,INDEX(Motore_Advisory!$AH$185:$AH$244,MAX(1,21-(INT((Ipotesi!$C$91)/30))-1)))*(MOD((Ipotesi!$C$91),30)/30))</f>
        <v>10168.382</v>
      </c>
      <c r="AJ205" s="15" t="n">
        <f aca="false">(AJ204)+AH205-AI205</f>
        <v>20336.764</v>
      </c>
      <c r="AK205" s="15" t="n">
        <f aca="false">(F205- Motore_Operativo!BH205-(Motore_Operativo!CK205)*Parametri_v3!$C$28-Motore_Operativo!CF205)*Parametri_v3!$C$26</f>
        <v>2225.25966666667</v>
      </c>
      <c r="AL205" s="15" t="n">
        <f aca="false">MAX(0,(AM204))</f>
        <v>2225.25966666667</v>
      </c>
      <c r="AM205" s="15" t="n">
        <f aca="false">(AM204)+AK205-AL205</f>
        <v>2225.25966666667</v>
      </c>
      <c r="AN205" s="15" t="n">
        <f aca="false">SUM(X185:X196)</f>
        <v>0</v>
      </c>
      <c r="AO205" s="15" t="n">
        <f aca="false">SUM(AP185:AP196)</f>
        <v>0</v>
      </c>
      <c r="AP205" s="15" t="n">
        <f aca="false">MAX(0,AN205)*IF(9=Parametri_v3!$C$43,Parametri_v3!$C$45,IF(9=Parametri_v3!$C$44,1-Parametri_v3!$C$45,0))</f>
        <v>0</v>
      </c>
      <c r="AQ205" s="15" t="n">
        <f aca="false">MAX(0,AP205+IF(9=Parametri_v3!$C$43,MAX(0,AN205-AO205),0)-MAX(0,-(AR204)))</f>
        <v>0</v>
      </c>
      <c r="AR205" s="15" t="n">
        <f aca="false">(AR204)+X205-AQ205</f>
        <v>0</v>
      </c>
      <c r="AS205" s="15" t="n">
        <f aca="false">Motore_Operativo!AC205-AT205+AU205</f>
        <v>15166.75</v>
      </c>
      <c r="AT205" s="15" t="n">
        <f aca="false">Motore_Operativo!CI205</f>
        <v>798.25</v>
      </c>
      <c r="AU205" s="15" t="n">
        <f aca="false">MIN(MAX(0,(AV204)+AT205),Parametri_v3!$C$61/12)</f>
        <v>0</v>
      </c>
      <c r="AV205" s="15" t="n">
        <f aca="false">(AV204)+AT205-AU205</f>
        <v>10334.25</v>
      </c>
      <c r="AW205" s="15" t="n">
        <f aca="false">IF(AND(Motore_Operativo!C205=Finanziamenti!$D$7,Finanziamenti!$F$7=1),Finanziamenti!$C$7,0)</f>
        <v>0</v>
      </c>
      <c r="AX205" s="15" t="n">
        <f aca="false">0</f>
        <v>0</v>
      </c>
      <c r="AY205" s="15" t="n">
        <f aca="false">IF(9=Parametri_v3!$C$33,IF(BV205&lt;MIN(12,$B205-1),0,MIN(MAX(0,SUM(Y185:Y196))*Ipotesi!$C$94,MAX(0,(BM196)-(BO204)-BP205),MAX(0,BD205-Parametri_v3!$C$31))),0)</f>
        <v>0</v>
      </c>
      <c r="AZ205" s="15" t="n">
        <f aca="false">0</f>
        <v>0</v>
      </c>
      <c r="BA205" s="15" t="n">
        <f aca="false">0</f>
        <v>0</v>
      </c>
      <c r="BB205" s="15" t="n">
        <f aca="false">0</f>
        <v>0</v>
      </c>
      <c r="BC205" s="15" t="n">
        <f aca="false">0</f>
        <v>0</v>
      </c>
      <c r="BD205" s="15" t="n">
        <f aca="false">(BH204)+AC205-AF205-AI205-AS205-K205*(1+Parametri_v3!$C$26)-AL205-AQ205-O205+AW205+AX205+AZ205+BA205-BB205</f>
        <v>-141654.951333333</v>
      </c>
      <c r="BE205" s="15" t="n">
        <f aca="false">0</f>
        <v>0</v>
      </c>
      <c r="BF205" s="15" t="n">
        <f aca="false">0</f>
        <v>0</v>
      </c>
      <c r="BG205" s="15" t="n">
        <f aca="false">0</f>
        <v>0</v>
      </c>
      <c r="BH205" s="15" t="n">
        <f aca="false">BD205+BE205-BF205-AY205</f>
        <v>-141654.951333333</v>
      </c>
      <c r="BI205" s="15" t="n">
        <f aca="false">MAX(0,Parametri_v3!$C$31-BH205)</f>
        <v>151654.951333333</v>
      </c>
      <c r="BJ205" s="15" t="n">
        <f aca="false">(BJ204)+K205</f>
        <v>6750</v>
      </c>
      <c r="BK205" s="15" t="n">
        <f aca="false">(BK204)+L205</f>
        <v>1812.5</v>
      </c>
      <c r="BL205" s="15" t="n">
        <f aca="false">BJ205-BK205</f>
        <v>4937.5</v>
      </c>
      <c r="BM205" s="15" t="n">
        <f aca="false">(BM204)+Y205</f>
        <v>-97367.9999999999</v>
      </c>
      <c r="BN205" s="15" t="n">
        <f aca="false">(BN204)+AW205+AX205+AZ205</f>
        <v>20000</v>
      </c>
      <c r="BO205" s="15" t="n">
        <f aca="false">(BO204)+AY205</f>
        <v>0</v>
      </c>
      <c r="BP205" s="15" t="n">
        <f aca="false">MIN(Parametri_v3!$C$36*Parametri_v3!$C$35,(BP204)+IF(9=1,MAX(0,SUM(Y185:Y196))*Parametri_v3!$C$34,0))</f>
        <v>0</v>
      </c>
      <c r="BQ205" s="15" t="n">
        <f aca="false">BN205+BM205-BO205</f>
        <v>-77367.9999999999</v>
      </c>
      <c r="BR205" s="15" t="n">
        <f aca="false">BH205+AD205+BL205+MAX(0,-AM205)+MAX(0,-AR205)</f>
        <v>-42106.4513333332</v>
      </c>
      <c r="BS205" s="15" t="n">
        <f aca="false">AJ205+AV205+MAX(0,AM205)+MAX(0,AR205)+BC205+BG205+BQ205+AG205</f>
        <v>-42106.4513333333</v>
      </c>
      <c r="BT205" s="15" t="n">
        <f aca="false">BR205-BS205</f>
        <v>0</v>
      </c>
      <c r="BU205" s="15" t="n">
        <f aca="false">BH205-(BD205+BE205-BF205-AY205)</f>
        <v>0</v>
      </c>
      <c r="BV205" s="15" t="n">
        <f aca="false">IF(BH204&lt;Parametri_v3!$C$31,0,BV204+1)</f>
        <v>0</v>
      </c>
    </row>
    <row r="206" customFormat="false" ht="18" hidden="false" customHeight="true" outlineLevel="0" collapsed="false">
      <c r="A206" s="68" t="n">
        <f aca="false">4</f>
        <v>4</v>
      </c>
      <c r="B206" s="68" t="n">
        <f aca="false">22</f>
        <v>22</v>
      </c>
      <c r="C206" s="18" t="n">
        <f aca="false">Motore_Operativo!C206</f>
        <v>47027</v>
      </c>
      <c r="D206" s="68" t="n">
        <f aca="false">Motore_Operativo!D206</f>
        <v>2028</v>
      </c>
      <c r="E206" s="68" t="n">
        <f aca="false">Motore_Operativo!E206</f>
        <v>10</v>
      </c>
      <c r="F206" s="15" t="n">
        <f aca="false">Motore_Operativo!AM206</f>
        <v>19387.5</v>
      </c>
      <c r="G206" s="15" t="n">
        <f aca="false">Motore_Operativo!BH206</f>
        <v>1938.75</v>
      </c>
      <c r="H206" s="15" t="n">
        <f aca="false">Motore_Operativo!AM206</f>
        <v>19387.5</v>
      </c>
      <c r="I206" s="15" t="n">
        <f aca="false">Motore_Operativo!CB206</f>
        <v>26550.3333333333</v>
      </c>
      <c r="J206" s="15" t="n">
        <f aca="false">Motore_Operativo!CD206</f>
        <v>-7162.83333333333</v>
      </c>
      <c r="K206" s="15" t="n">
        <f aca="false">Motore_Operativo!CF206</f>
        <v>416.666666666667</v>
      </c>
      <c r="L206" s="15" t="n">
        <f aca="false">SUM(INDEX($K$185:$K$244,MAX(1,22-Parametri_v3!$C$59+1)):K206)/Parametri_v3!$C$59</f>
        <v>199.074074074074</v>
      </c>
      <c r="M206" s="15" t="n">
        <f aca="false">J206-L206</f>
        <v>-7361.9074074074</v>
      </c>
      <c r="N206" s="15" t="n">
        <f aca="false">0</f>
        <v>0</v>
      </c>
      <c r="O206" s="15" t="n">
        <f aca="false">0</f>
        <v>0</v>
      </c>
      <c r="P206" s="15" t="n">
        <f aca="false">M206+N206-O206</f>
        <v>-7361.9074074074</v>
      </c>
      <c r="Q206" s="15" t="n">
        <f aca="false">SUM(P197:P206)+Parametri_v3!$C$56*10/12</f>
        <v>-73098.2407407407</v>
      </c>
      <c r="R206" s="15" t="n">
        <f aca="false">Z196</f>
        <v>31631.6666666666</v>
      </c>
      <c r="S206" s="15" t="n">
        <f aca="false">AA196</f>
        <v>0</v>
      </c>
      <c r="T206" s="15" t="n">
        <f aca="false">MIN(R206,MAX(0,Q206))</f>
        <v>0</v>
      </c>
      <c r="U206" s="15" t="n">
        <f aca="false">MIN(S206,MAX(0,Q206-T206)*Parametri_v3!$C$42)</f>
        <v>0</v>
      </c>
      <c r="V206" s="15" t="n">
        <f aca="false">MAX(0,Q206-T206-U206)*Ipotesi!$C$92</f>
        <v>0</v>
      </c>
      <c r="W206" s="15" t="n">
        <f aca="false">MAX(0,SUM(M197:M206)+Parametri_v3!$C$57*10/12)*Ipotesi!$C$93</f>
        <v>0</v>
      </c>
      <c r="X206" s="15" t="n">
        <f aca="false">V206+W206-(V205+W205)</f>
        <v>0</v>
      </c>
      <c r="Y206" s="15" t="n">
        <f aca="false">P206-X206</f>
        <v>-7361.9074074074</v>
      </c>
      <c r="Z206" s="15" t="n">
        <f aca="false">R206-T206+IF(AND(Parametri_v3!$C$40=1,D206-YEAR(Parametri_v3!$C$50)&lt;Parametri_v3!$C$41),MAX(0,-Q206),0)</f>
        <v>104729.907407407</v>
      </c>
      <c r="AA206" s="15" t="n">
        <f aca="false">S206-U206+IF(AND(Parametri_v3!$C$40=1,D206-YEAR(Parametri_v3!$C$50)&lt;Parametri_v3!$C$41),0,MAX(0,-Q206))</f>
        <v>0</v>
      </c>
      <c r="AB206" s="15" t="n">
        <f aca="false">F206*(1+Parametri_v3!$C$26)</f>
        <v>23652.75</v>
      </c>
      <c r="AC206" s="15" t="n">
        <f aca="false">(IF(22-(INT((Motore_Operativo!L206)/30))&lt;1,0,INDEX(Motore_Advisory!$AB$185:$AB$244,MAX(1,22-(INT((Motore_Operativo!L206)/30)))))*(1-(MOD((Motore_Operativo!L206),30)/30))+IF(22-(INT((Motore_Operativo!L206)/30))-1&lt;1,0,INDEX(Motore_Advisory!$AB$185:$AB$244,MAX(1,22-(INT((Motore_Operativo!L206)/30))-1)))*(MOD((Motore_Operativo!L206),30)/30))</f>
        <v>23652.75</v>
      </c>
      <c r="AD206" s="15" t="n">
        <f aca="false">(AD205)+AB206-AC206</f>
        <v>94611</v>
      </c>
      <c r="AE206" s="15" t="n">
        <f aca="false">Motore_Operativo!BH206*(1+Parametri_v3!$C$26)</f>
        <v>2365.275</v>
      </c>
      <c r="AF206" s="15" t="n">
        <f aca="false">(IF(22-(INT((Parametri_v3!$C$29)/30))&lt;1,0,INDEX(Motore_Operativo!$BH$185:$BH$244,MAX(1,22-(INT((Parametri_v3!$C$29)/30)))))*(1-(MOD((Parametri_v3!$C$29),30)/30))+IF(22-(INT((Parametri_v3!$C$29)/30))-1&lt;1,0,INDEX(Motore_Operativo!$BH$185:$BH$244,MAX(1,22-(INT((Parametri_v3!$C$29)/30))-1)))*(MOD((Parametri_v3!$C$29),30)/30))*(1+Parametri_v3!$C$26)</f>
        <v>2365.275</v>
      </c>
      <c r="AG206" s="15" t="n">
        <f aca="false">(AG205)+AE206-AF206</f>
        <v>2365.275</v>
      </c>
      <c r="AH206" s="15" t="n">
        <f aca="false">(Motore_Operativo!CK206)*(1+Parametri_v3!$C$28*Parametri_v3!$C$26)</f>
        <v>10168.382</v>
      </c>
      <c r="AI206" s="15" t="n">
        <f aca="false">(IF(22-(INT((Ipotesi!$C$91)/30))&lt;1,0,INDEX(Motore_Advisory!$AH$185:$AH$244,MAX(1,22-(INT((Ipotesi!$C$91)/30)))))*(1-(MOD((Ipotesi!$C$91),30)/30))+IF(22-(INT((Ipotesi!$C$91)/30))-1&lt;1,0,INDEX(Motore_Advisory!$AH$185:$AH$244,MAX(1,22-(INT((Ipotesi!$C$91)/30))-1)))*(MOD((Ipotesi!$C$91),30)/30))</f>
        <v>10168.382</v>
      </c>
      <c r="AJ206" s="15" t="n">
        <f aca="false">(AJ205)+AH206-AI206</f>
        <v>20336.764</v>
      </c>
      <c r="AK206" s="15" t="n">
        <f aca="false">(F206- Motore_Operativo!BH206-(Motore_Operativo!CK206)*Parametri_v3!$C$28-Motore_Operativo!CF206)*Parametri_v3!$C$26</f>
        <v>2225.25966666667</v>
      </c>
      <c r="AL206" s="15" t="n">
        <f aca="false">MAX(0,(AM205))</f>
        <v>2225.25966666667</v>
      </c>
      <c r="AM206" s="15" t="n">
        <f aca="false">(AM205)+AK206-AL206</f>
        <v>2225.25966666667</v>
      </c>
      <c r="AN206" s="15" t="n">
        <f aca="false">SUM(X185:X196)</f>
        <v>0</v>
      </c>
      <c r="AO206" s="15" t="n">
        <f aca="false">SUM(AP185:AP196)</f>
        <v>0</v>
      </c>
      <c r="AP206" s="15" t="n">
        <f aca="false">MAX(0,AN206)*IF(10=Parametri_v3!$C$43,Parametri_v3!$C$45,IF(10=Parametri_v3!$C$44,1-Parametri_v3!$C$45,0))</f>
        <v>0</v>
      </c>
      <c r="AQ206" s="15" t="n">
        <f aca="false">MAX(0,AP206+IF(10=Parametri_v3!$C$43,MAX(0,AN206-AO206),0)-MAX(0,-(AR205)))</f>
        <v>0</v>
      </c>
      <c r="AR206" s="15" t="n">
        <f aca="false">(AR205)+X206-AQ206</f>
        <v>0</v>
      </c>
      <c r="AS206" s="15" t="n">
        <f aca="false">Motore_Operativo!AC206-AT206+AU206</f>
        <v>15166.75</v>
      </c>
      <c r="AT206" s="15" t="n">
        <f aca="false">Motore_Operativo!CI206</f>
        <v>798.25</v>
      </c>
      <c r="AU206" s="15" t="n">
        <f aca="false">MIN(MAX(0,(AV205)+AT206),Parametri_v3!$C$61/12)</f>
        <v>0</v>
      </c>
      <c r="AV206" s="15" t="n">
        <f aca="false">(AV205)+AT206-AU206</f>
        <v>11132.5</v>
      </c>
      <c r="AW206" s="15" t="n">
        <f aca="false">IF(AND(Motore_Operativo!C206=Finanziamenti!$D$7,Finanziamenti!$F$7=1),Finanziamenti!$C$7,0)</f>
        <v>0</v>
      </c>
      <c r="AX206" s="15" t="n">
        <f aca="false">0</f>
        <v>0</v>
      </c>
      <c r="AY206" s="15" t="n">
        <f aca="false">IF(10=Parametri_v3!$C$33,IF(BV206&lt;MIN(12,$B206-1),0,MIN(MAX(0,SUM(Y185:Y196))*Ipotesi!$C$94,MAX(0,(BM196)-(BO205)-BP206),MAX(0,BD206-Parametri_v3!$C$31))),0)</f>
        <v>0</v>
      </c>
      <c r="AZ206" s="15" t="n">
        <f aca="false">0</f>
        <v>0</v>
      </c>
      <c r="BA206" s="15" t="n">
        <f aca="false">0</f>
        <v>0</v>
      </c>
      <c r="BB206" s="15" t="n">
        <f aca="false">0</f>
        <v>0</v>
      </c>
      <c r="BC206" s="15" t="n">
        <f aca="false">0</f>
        <v>0</v>
      </c>
      <c r="BD206" s="15" t="n">
        <f aca="false">(BH205)+AC206-AF206-AI206-AS206-K206*(1+Parametri_v3!$C$26)-AL206-AQ206-O206+AW206+AX206+AZ206+BA206-BB206</f>
        <v>-148436.201333333</v>
      </c>
      <c r="BE206" s="15" t="n">
        <f aca="false">0</f>
        <v>0</v>
      </c>
      <c r="BF206" s="15" t="n">
        <f aca="false">0</f>
        <v>0</v>
      </c>
      <c r="BG206" s="15" t="n">
        <f aca="false">0</f>
        <v>0</v>
      </c>
      <c r="BH206" s="15" t="n">
        <f aca="false">BD206+BE206-BF206-AY206</f>
        <v>-148436.201333333</v>
      </c>
      <c r="BI206" s="15" t="n">
        <f aca="false">MAX(0,Parametri_v3!$C$31-BH206)</f>
        <v>158436.201333333</v>
      </c>
      <c r="BJ206" s="15" t="n">
        <f aca="false">(BJ205)+K206</f>
        <v>7166.66666666667</v>
      </c>
      <c r="BK206" s="15" t="n">
        <f aca="false">(BK205)+L206</f>
        <v>2011.57407407407</v>
      </c>
      <c r="BL206" s="15" t="n">
        <f aca="false">BJ206-BK206</f>
        <v>5155.0925925926</v>
      </c>
      <c r="BM206" s="15" t="n">
        <f aca="false">(BM205)+Y206</f>
        <v>-104729.907407407</v>
      </c>
      <c r="BN206" s="15" t="n">
        <f aca="false">(BN205)+AW206+AX206+AZ206</f>
        <v>20000</v>
      </c>
      <c r="BO206" s="15" t="n">
        <f aca="false">(BO205)+AY206</f>
        <v>0</v>
      </c>
      <c r="BP206" s="15" t="n">
        <f aca="false">MIN(Parametri_v3!$C$36*Parametri_v3!$C$35,(BP205)+IF(10=1,MAX(0,SUM(Y185:Y196))*Parametri_v3!$C$34,0))</f>
        <v>0</v>
      </c>
      <c r="BQ206" s="15" t="n">
        <f aca="false">BN206+BM206-BO206</f>
        <v>-84729.9074074073</v>
      </c>
      <c r="BR206" s="15" t="n">
        <f aca="false">BH206+AD206+BL206+MAX(0,-AM206)+MAX(0,-AR206)</f>
        <v>-48670.1087407406</v>
      </c>
      <c r="BS206" s="15" t="n">
        <f aca="false">AJ206+AV206+MAX(0,AM206)+MAX(0,AR206)+BC206+BG206+BQ206+AG206</f>
        <v>-48670.1087407407</v>
      </c>
      <c r="BT206" s="15" t="n">
        <f aca="false">BR206-BS206</f>
        <v>0</v>
      </c>
      <c r="BU206" s="15" t="n">
        <f aca="false">BH206-(BD206+BE206-BF206-AY206)</f>
        <v>0</v>
      </c>
      <c r="BV206" s="15" t="n">
        <f aca="false">IF(BH205&lt;Parametri_v3!$C$31,0,BV205+1)</f>
        <v>0</v>
      </c>
    </row>
    <row r="207" customFormat="false" ht="18" hidden="false" customHeight="true" outlineLevel="0" collapsed="false">
      <c r="A207" s="68" t="n">
        <f aca="false">4</f>
        <v>4</v>
      </c>
      <c r="B207" s="68" t="n">
        <f aca="false">23</f>
        <v>23</v>
      </c>
      <c r="C207" s="18" t="n">
        <f aca="false">Motore_Operativo!C207</f>
        <v>47058</v>
      </c>
      <c r="D207" s="68" t="n">
        <f aca="false">Motore_Operativo!D207</f>
        <v>2028</v>
      </c>
      <c r="E207" s="68" t="n">
        <f aca="false">Motore_Operativo!E207</f>
        <v>11</v>
      </c>
      <c r="F207" s="15" t="n">
        <f aca="false">Motore_Operativo!AM207</f>
        <v>19387.5</v>
      </c>
      <c r="G207" s="15" t="n">
        <f aca="false">Motore_Operativo!BH207</f>
        <v>1938.75</v>
      </c>
      <c r="H207" s="15" t="n">
        <f aca="false">Motore_Operativo!AM207</f>
        <v>19387.5</v>
      </c>
      <c r="I207" s="15" t="n">
        <f aca="false">Motore_Operativo!CB207</f>
        <v>26550.3333333333</v>
      </c>
      <c r="J207" s="15" t="n">
        <f aca="false">Motore_Operativo!CD207</f>
        <v>-7162.83333333333</v>
      </c>
      <c r="K207" s="15" t="n">
        <f aca="false">Motore_Operativo!CF207</f>
        <v>416.666666666667</v>
      </c>
      <c r="L207" s="15" t="n">
        <f aca="false">SUM(INDEX($K$185:$K$244,MAX(1,23-Parametri_v3!$C$59+1)):K207)/Parametri_v3!$C$59</f>
        <v>210.648148148148</v>
      </c>
      <c r="M207" s="15" t="n">
        <f aca="false">J207-L207</f>
        <v>-7373.48148148148</v>
      </c>
      <c r="N207" s="15" t="n">
        <f aca="false">0</f>
        <v>0</v>
      </c>
      <c r="O207" s="15" t="n">
        <f aca="false">0</f>
        <v>0</v>
      </c>
      <c r="P207" s="15" t="n">
        <f aca="false">M207+N207-O207</f>
        <v>-7373.48148148148</v>
      </c>
      <c r="Q207" s="15" t="n">
        <f aca="false">SUM(P197:P207)+Parametri_v3!$C$56*11/12</f>
        <v>-80471.7222222222</v>
      </c>
      <c r="R207" s="15" t="n">
        <f aca="false">Z196</f>
        <v>31631.6666666666</v>
      </c>
      <c r="S207" s="15" t="n">
        <f aca="false">AA196</f>
        <v>0</v>
      </c>
      <c r="T207" s="15" t="n">
        <f aca="false">MIN(R207,MAX(0,Q207))</f>
        <v>0</v>
      </c>
      <c r="U207" s="15" t="n">
        <f aca="false">MIN(S207,MAX(0,Q207-T207)*Parametri_v3!$C$42)</f>
        <v>0</v>
      </c>
      <c r="V207" s="15" t="n">
        <f aca="false">MAX(0,Q207-T207-U207)*Ipotesi!$C$92</f>
        <v>0</v>
      </c>
      <c r="W207" s="15" t="n">
        <f aca="false">MAX(0,SUM(M197:M207)+Parametri_v3!$C$57*11/12)*Ipotesi!$C$93</f>
        <v>0</v>
      </c>
      <c r="X207" s="15" t="n">
        <f aca="false">V207+W207-(V206+W206)</f>
        <v>0</v>
      </c>
      <c r="Y207" s="15" t="n">
        <f aca="false">P207-X207</f>
        <v>-7373.48148148148</v>
      </c>
      <c r="Z207" s="15" t="n">
        <f aca="false">R207-T207+IF(AND(Parametri_v3!$C$40=1,D207-YEAR(Parametri_v3!$C$50)&lt;Parametri_v3!$C$41),MAX(0,-Q207),0)</f>
        <v>112103.388888889</v>
      </c>
      <c r="AA207" s="15" t="n">
        <f aca="false">S207-U207+IF(AND(Parametri_v3!$C$40=1,D207-YEAR(Parametri_v3!$C$50)&lt;Parametri_v3!$C$41),0,MAX(0,-Q207))</f>
        <v>0</v>
      </c>
      <c r="AB207" s="15" t="n">
        <f aca="false">F207*(1+Parametri_v3!$C$26)</f>
        <v>23652.75</v>
      </c>
      <c r="AC207" s="15" t="n">
        <f aca="false">(IF(23-(INT((Motore_Operativo!L207)/30))&lt;1,0,INDEX(Motore_Advisory!$AB$185:$AB$244,MAX(1,23-(INT((Motore_Operativo!L207)/30)))))*(1-(MOD((Motore_Operativo!L207),30)/30))+IF(23-(INT((Motore_Operativo!L207)/30))-1&lt;1,0,INDEX(Motore_Advisory!$AB$185:$AB$244,MAX(1,23-(INT((Motore_Operativo!L207)/30))-1)))*(MOD((Motore_Operativo!L207),30)/30))</f>
        <v>23652.75</v>
      </c>
      <c r="AD207" s="15" t="n">
        <f aca="false">(AD206)+AB207-AC207</f>
        <v>94611</v>
      </c>
      <c r="AE207" s="15" t="n">
        <f aca="false">Motore_Operativo!BH207*(1+Parametri_v3!$C$26)</f>
        <v>2365.275</v>
      </c>
      <c r="AF207" s="15" t="n">
        <f aca="false">(IF(23-(INT((Parametri_v3!$C$29)/30))&lt;1,0,INDEX(Motore_Operativo!$BH$185:$BH$244,MAX(1,23-(INT((Parametri_v3!$C$29)/30)))))*(1-(MOD((Parametri_v3!$C$29),30)/30))+IF(23-(INT((Parametri_v3!$C$29)/30))-1&lt;1,0,INDEX(Motore_Operativo!$BH$185:$BH$244,MAX(1,23-(INT((Parametri_v3!$C$29)/30))-1)))*(MOD((Parametri_v3!$C$29),30)/30))*(1+Parametri_v3!$C$26)</f>
        <v>2365.275</v>
      </c>
      <c r="AG207" s="15" t="n">
        <f aca="false">(AG206)+AE207-AF207</f>
        <v>2365.275</v>
      </c>
      <c r="AH207" s="15" t="n">
        <f aca="false">(Motore_Operativo!CK207)*(1+Parametri_v3!$C$28*Parametri_v3!$C$26)</f>
        <v>10168.382</v>
      </c>
      <c r="AI207" s="15" t="n">
        <f aca="false">(IF(23-(INT((Ipotesi!$C$91)/30))&lt;1,0,INDEX(Motore_Advisory!$AH$185:$AH$244,MAX(1,23-(INT((Ipotesi!$C$91)/30)))))*(1-(MOD((Ipotesi!$C$91),30)/30))+IF(23-(INT((Ipotesi!$C$91)/30))-1&lt;1,0,INDEX(Motore_Advisory!$AH$185:$AH$244,MAX(1,23-(INT((Ipotesi!$C$91)/30))-1)))*(MOD((Ipotesi!$C$91),30)/30))</f>
        <v>10168.382</v>
      </c>
      <c r="AJ207" s="15" t="n">
        <f aca="false">(AJ206)+AH207-AI207</f>
        <v>20336.764</v>
      </c>
      <c r="AK207" s="15" t="n">
        <f aca="false">(F207- Motore_Operativo!BH207-(Motore_Operativo!CK207)*Parametri_v3!$C$28-Motore_Operativo!CF207)*Parametri_v3!$C$26</f>
        <v>2225.25966666667</v>
      </c>
      <c r="AL207" s="15" t="n">
        <f aca="false">MAX(0,(AM206))</f>
        <v>2225.25966666667</v>
      </c>
      <c r="AM207" s="15" t="n">
        <f aca="false">(AM206)+AK207-AL207</f>
        <v>2225.25966666667</v>
      </c>
      <c r="AN207" s="15" t="n">
        <f aca="false">SUM(X185:X196)</f>
        <v>0</v>
      </c>
      <c r="AO207" s="15" t="n">
        <f aca="false">SUM(AP185:AP196)</f>
        <v>0</v>
      </c>
      <c r="AP207" s="15" t="n">
        <f aca="false">MAX(0,AN207)*IF(11=Parametri_v3!$C$43,Parametri_v3!$C$45,IF(11=Parametri_v3!$C$44,1-Parametri_v3!$C$45,0))</f>
        <v>0</v>
      </c>
      <c r="AQ207" s="15" t="n">
        <f aca="false">MAX(0,AP207+IF(11=Parametri_v3!$C$43,MAX(0,AN207-AO207),0)-MAX(0,-(AR206)))</f>
        <v>0</v>
      </c>
      <c r="AR207" s="15" t="n">
        <f aca="false">(AR206)+X207-AQ207</f>
        <v>0</v>
      </c>
      <c r="AS207" s="15" t="n">
        <f aca="false">Motore_Operativo!AC207-AT207+AU207</f>
        <v>15166.75</v>
      </c>
      <c r="AT207" s="15" t="n">
        <f aca="false">Motore_Operativo!CI207</f>
        <v>798.25</v>
      </c>
      <c r="AU207" s="15" t="n">
        <f aca="false">MIN(MAX(0,(AV206)+AT207),Parametri_v3!$C$61/12)</f>
        <v>0</v>
      </c>
      <c r="AV207" s="15" t="n">
        <f aca="false">(AV206)+AT207-AU207</f>
        <v>11930.75</v>
      </c>
      <c r="AW207" s="15" t="n">
        <f aca="false">IF(AND(Motore_Operativo!C207=Finanziamenti!$D$7,Finanziamenti!$F$7=1),Finanziamenti!$C$7,0)</f>
        <v>0</v>
      </c>
      <c r="AX207" s="15" t="n">
        <f aca="false">0</f>
        <v>0</v>
      </c>
      <c r="AY207" s="15" t="n">
        <f aca="false">IF(11=Parametri_v3!$C$33,IF(BV207&lt;MIN(12,$B207-1),0,MIN(MAX(0,SUM(Y185:Y196))*Ipotesi!$C$94,MAX(0,(BM196)-(BO206)-BP207),MAX(0,BD207-Parametri_v3!$C$31))),0)</f>
        <v>0</v>
      </c>
      <c r="AZ207" s="15" t="n">
        <f aca="false">0</f>
        <v>0</v>
      </c>
      <c r="BA207" s="15" t="n">
        <f aca="false">0</f>
        <v>0</v>
      </c>
      <c r="BB207" s="15" t="n">
        <f aca="false">0</f>
        <v>0</v>
      </c>
      <c r="BC207" s="15" t="n">
        <f aca="false">0</f>
        <v>0</v>
      </c>
      <c r="BD207" s="15" t="n">
        <f aca="false">(BH206)+AC207-AF207-AI207-AS207-K207*(1+Parametri_v3!$C$26)-AL207-AQ207-O207+AW207+AX207+AZ207+BA207-BB207</f>
        <v>-155217.451333333</v>
      </c>
      <c r="BE207" s="15" t="n">
        <f aca="false">0</f>
        <v>0</v>
      </c>
      <c r="BF207" s="15" t="n">
        <f aca="false">0</f>
        <v>0</v>
      </c>
      <c r="BG207" s="15" t="n">
        <f aca="false">0</f>
        <v>0</v>
      </c>
      <c r="BH207" s="15" t="n">
        <f aca="false">BD207+BE207-BF207-AY207</f>
        <v>-155217.451333333</v>
      </c>
      <c r="BI207" s="15" t="n">
        <f aca="false">MAX(0,Parametri_v3!$C$31-BH207)</f>
        <v>165217.451333333</v>
      </c>
      <c r="BJ207" s="15" t="n">
        <f aca="false">(BJ206)+K207</f>
        <v>7583.33333333334</v>
      </c>
      <c r="BK207" s="15" t="n">
        <f aca="false">(BK206)+L207</f>
        <v>2222.22222222222</v>
      </c>
      <c r="BL207" s="15" t="n">
        <f aca="false">BJ207-BK207</f>
        <v>5361.11111111111</v>
      </c>
      <c r="BM207" s="15" t="n">
        <f aca="false">(BM206)+Y207</f>
        <v>-112103.388888889</v>
      </c>
      <c r="BN207" s="15" t="n">
        <f aca="false">(BN206)+AW207+AX207+AZ207</f>
        <v>20000</v>
      </c>
      <c r="BO207" s="15" t="n">
        <f aca="false">(BO206)+AY207</f>
        <v>0</v>
      </c>
      <c r="BP207" s="15" t="n">
        <f aca="false">MIN(Parametri_v3!$C$36*Parametri_v3!$C$35,(BP206)+IF(11=1,MAX(0,SUM(Y185:Y196))*Parametri_v3!$C$34,0))</f>
        <v>0</v>
      </c>
      <c r="BQ207" s="15" t="n">
        <f aca="false">BN207+BM207-BO207</f>
        <v>-92103.3888888888</v>
      </c>
      <c r="BR207" s="15" t="n">
        <f aca="false">BH207+AD207+BL207+MAX(0,-AM207)+MAX(0,-AR207)</f>
        <v>-55245.3402222221</v>
      </c>
      <c r="BS207" s="15" t="n">
        <f aca="false">AJ207+AV207+MAX(0,AM207)+MAX(0,AR207)+BC207+BG207+BQ207+AG207</f>
        <v>-55245.3402222221</v>
      </c>
      <c r="BT207" s="15" t="n">
        <f aca="false">BR207-BS207</f>
        <v>0</v>
      </c>
      <c r="BU207" s="15" t="n">
        <f aca="false">BH207-(BD207+BE207-BF207-AY207)</f>
        <v>0</v>
      </c>
      <c r="BV207" s="15" t="n">
        <f aca="false">IF(BH206&lt;Parametri_v3!$C$31,0,BV206+1)</f>
        <v>0</v>
      </c>
    </row>
    <row r="208" customFormat="false" ht="18" hidden="false" customHeight="true" outlineLevel="0" collapsed="false">
      <c r="A208" s="68" t="n">
        <f aca="false">4</f>
        <v>4</v>
      </c>
      <c r="B208" s="68" t="n">
        <f aca="false">24</f>
        <v>24</v>
      </c>
      <c r="C208" s="18" t="n">
        <f aca="false">Motore_Operativo!C208</f>
        <v>47088</v>
      </c>
      <c r="D208" s="68" t="n">
        <f aca="false">Motore_Operativo!D208</f>
        <v>2028</v>
      </c>
      <c r="E208" s="68" t="n">
        <f aca="false">Motore_Operativo!E208</f>
        <v>12</v>
      </c>
      <c r="F208" s="15" t="n">
        <f aca="false">Motore_Operativo!AM208</f>
        <v>19387.5</v>
      </c>
      <c r="G208" s="15" t="n">
        <f aca="false">Motore_Operativo!BH208</f>
        <v>1938.75</v>
      </c>
      <c r="H208" s="15" t="n">
        <f aca="false">Motore_Operativo!AM208</f>
        <v>19387.5</v>
      </c>
      <c r="I208" s="15" t="n">
        <f aca="false">Motore_Operativo!CB208</f>
        <v>26550.3333333333</v>
      </c>
      <c r="J208" s="15" t="n">
        <f aca="false">Motore_Operativo!CD208</f>
        <v>-7162.83333333333</v>
      </c>
      <c r="K208" s="15" t="n">
        <f aca="false">Motore_Operativo!CF208</f>
        <v>416.666666666667</v>
      </c>
      <c r="L208" s="15" t="n">
        <f aca="false">SUM(INDEX($K$185:$K$244,MAX(1,24-Parametri_v3!$C$59+1)):K208)/Parametri_v3!$C$59</f>
        <v>222.222222222222</v>
      </c>
      <c r="M208" s="15" t="n">
        <f aca="false">J208-L208</f>
        <v>-7385.05555555555</v>
      </c>
      <c r="N208" s="15" t="n">
        <f aca="false">0</f>
        <v>0</v>
      </c>
      <c r="O208" s="15" t="n">
        <f aca="false">0</f>
        <v>0</v>
      </c>
      <c r="P208" s="15" t="n">
        <f aca="false">M208+N208-O208</f>
        <v>-7385.05555555555</v>
      </c>
      <c r="Q208" s="15" t="n">
        <f aca="false">SUM(P197:P208)+Parametri_v3!$C$56*12/12</f>
        <v>-87856.7777777777</v>
      </c>
      <c r="R208" s="15" t="n">
        <f aca="false">Z196</f>
        <v>31631.6666666666</v>
      </c>
      <c r="S208" s="15" t="n">
        <f aca="false">AA196</f>
        <v>0</v>
      </c>
      <c r="T208" s="15" t="n">
        <f aca="false">MIN(R208,MAX(0,Q208))</f>
        <v>0</v>
      </c>
      <c r="U208" s="15" t="n">
        <f aca="false">MIN(S208,MAX(0,Q208-T208)*Parametri_v3!$C$42)</f>
        <v>0</v>
      </c>
      <c r="V208" s="15" t="n">
        <f aca="false">MAX(0,Q208-T208-U208)*Ipotesi!$C$92</f>
        <v>0</v>
      </c>
      <c r="W208" s="15" t="n">
        <f aca="false">MAX(0,SUM(M197:M208)+Parametri_v3!$C$57*12/12)*Ipotesi!$C$93</f>
        <v>0</v>
      </c>
      <c r="X208" s="15" t="n">
        <f aca="false">V208+W208-(V207+W207)</f>
        <v>0</v>
      </c>
      <c r="Y208" s="15" t="n">
        <f aca="false">P208-X208</f>
        <v>-7385.05555555555</v>
      </c>
      <c r="Z208" s="15" t="n">
        <f aca="false">R208-T208+IF(AND(Parametri_v3!$C$40=1,D208-YEAR(Parametri_v3!$C$50)&lt;Parametri_v3!$C$41),MAX(0,-Q208),0)</f>
        <v>119488.444444444</v>
      </c>
      <c r="AA208" s="15" t="n">
        <f aca="false">S208-U208+IF(AND(Parametri_v3!$C$40=1,D208-YEAR(Parametri_v3!$C$50)&lt;Parametri_v3!$C$41),0,MAX(0,-Q208))</f>
        <v>0</v>
      </c>
      <c r="AB208" s="15" t="n">
        <f aca="false">F208*(1+Parametri_v3!$C$26)</f>
        <v>23652.75</v>
      </c>
      <c r="AC208" s="15" t="n">
        <f aca="false">(IF(24-(INT((Motore_Operativo!L208)/30))&lt;1,0,INDEX(Motore_Advisory!$AB$185:$AB$244,MAX(1,24-(INT((Motore_Operativo!L208)/30)))))*(1-(MOD((Motore_Operativo!L208),30)/30))+IF(24-(INT((Motore_Operativo!L208)/30))-1&lt;1,0,INDEX(Motore_Advisory!$AB$185:$AB$244,MAX(1,24-(INT((Motore_Operativo!L208)/30))-1)))*(MOD((Motore_Operativo!L208),30)/30))</f>
        <v>23652.75</v>
      </c>
      <c r="AD208" s="15" t="n">
        <f aca="false">(AD207)+AB208-AC208</f>
        <v>94611</v>
      </c>
      <c r="AE208" s="15" t="n">
        <f aca="false">Motore_Operativo!BH208*(1+Parametri_v3!$C$26)</f>
        <v>2365.275</v>
      </c>
      <c r="AF208" s="15" t="n">
        <f aca="false">(IF(24-(INT((Parametri_v3!$C$29)/30))&lt;1,0,INDEX(Motore_Operativo!$BH$185:$BH$244,MAX(1,24-(INT((Parametri_v3!$C$29)/30)))))*(1-(MOD((Parametri_v3!$C$29),30)/30))+IF(24-(INT((Parametri_v3!$C$29)/30))-1&lt;1,0,INDEX(Motore_Operativo!$BH$185:$BH$244,MAX(1,24-(INT((Parametri_v3!$C$29)/30))-1)))*(MOD((Parametri_v3!$C$29),30)/30))*(1+Parametri_v3!$C$26)</f>
        <v>2365.275</v>
      </c>
      <c r="AG208" s="15" t="n">
        <f aca="false">(AG207)+AE208-AF208</f>
        <v>2365.275</v>
      </c>
      <c r="AH208" s="15" t="n">
        <f aca="false">(Motore_Operativo!CK208)*(1+Parametri_v3!$C$28*Parametri_v3!$C$26)</f>
        <v>10168.382</v>
      </c>
      <c r="AI208" s="15" t="n">
        <f aca="false">(IF(24-(INT((Ipotesi!$C$91)/30))&lt;1,0,INDEX(Motore_Advisory!$AH$185:$AH$244,MAX(1,24-(INT((Ipotesi!$C$91)/30)))))*(1-(MOD((Ipotesi!$C$91),30)/30))+IF(24-(INT((Ipotesi!$C$91)/30))-1&lt;1,0,INDEX(Motore_Advisory!$AH$185:$AH$244,MAX(1,24-(INT((Ipotesi!$C$91)/30))-1)))*(MOD((Ipotesi!$C$91),30)/30))</f>
        <v>10168.382</v>
      </c>
      <c r="AJ208" s="15" t="n">
        <f aca="false">(AJ207)+AH208-AI208</f>
        <v>20336.764</v>
      </c>
      <c r="AK208" s="15" t="n">
        <f aca="false">(F208- Motore_Operativo!BH208-(Motore_Operativo!CK208)*Parametri_v3!$C$28-Motore_Operativo!CF208)*Parametri_v3!$C$26</f>
        <v>2225.25966666667</v>
      </c>
      <c r="AL208" s="15" t="n">
        <f aca="false">MAX(0,(AM207))</f>
        <v>2225.25966666667</v>
      </c>
      <c r="AM208" s="15" t="n">
        <f aca="false">(AM207)+AK208-AL208</f>
        <v>2225.25966666667</v>
      </c>
      <c r="AN208" s="15" t="n">
        <f aca="false">SUM(X185:X196)</f>
        <v>0</v>
      </c>
      <c r="AO208" s="15" t="n">
        <f aca="false">SUM(AP185:AP196)</f>
        <v>0</v>
      </c>
      <c r="AP208" s="15" t="n">
        <f aca="false">MAX(0,AN208)*IF(12=Parametri_v3!$C$43,Parametri_v3!$C$45,IF(12=Parametri_v3!$C$44,1-Parametri_v3!$C$45,0))</f>
        <v>0</v>
      </c>
      <c r="AQ208" s="15" t="n">
        <f aca="false">MAX(0,AP208+IF(12=Parametri_v3!$C$43,MAX(0,AN208-AO208),0)-MAX(0,-(AR207)))</f>
        <v>0</v>
      </c>
      <c r="AR208" s="15" t="n">
        <f aca="false">(AR207)+X208-AQ208</f>
        <v>0</v>
      </c>
      <c r="AS208" s="15" t="n">
        <f aca="false">Motore_Operativo!AC208-AT208+AU208</f>
        <v>15166.75</v>
      </c>
      <c r="AT208" s="15" t="n">
        <f aca="false">Motore_Operativo!CI208</f>
        <v>798.25</v>
      </c>
      <c r="AU208" s="15" t="n">
        <f aca="false">MIN(MAX(0,(AV207)+AT208),Parametri_v3!$C$61/12)</f>
        <v>0</v>
      </c>
      <c r="AV208" s="15" t="n">
        <f aca="false">(AV207)+AT208-AU208</f>
        <v>12729</v>
      </c>
      <c r="AW208" s="15" t="n">
        <f aca="false">IF(AND(Motore_Operativo!C208=Finanziamenti!$D$7,Finanziamenti!$F$7=1),Finanziamenti!$C$7,0)</f>
        <v>0</v>
      </c>
      <c r="AX208" s="15" t="n">
        <f aca="false">0</f>
        <v>0</v>
      </c>
      <c r="AY208" s="15" t="n">
        <f aca="false">IF(12=Parametri_v3!$C$33,IF(BV208&lt;MIN(12,$B208-1),0,MIN(MAX(0,SUM(Y185:Y196))*Ipotesi!$C$94,MAX(0,(BM196)-(BO207)-BP208),MAX(0,BD208-Parametri_v3!$C$31))),0)</f>
        <v>0</v>
      </c>
      <c r="AZ208" s="15" t="n">
        <f aca="false">0</f>
        <v>0</v>
      </c>
      <c r="BA208" s="15" t="n">
        <f aca="false">0</f>
        <v>0</v>
      </c>
      <c r="BB208" s="15" t="n">
        <f aca="false">0</f>
        <v>0</v>
      </c>
      <c r="BC208" s="15" t="n">
        <f aca="false">0</f>
        <v>0</v>
      </c>
      <c r="BD208" s="15" t="n">
        <f aca="false">(BH207)+AC208-AF208-AI208-AS208-K208*(1+Parametri_v3!$C$26)-AL208-AQ208-O208+AW208+AX208+AZ208+BA208-BB208</f>
        <v>-161998.701333333</v>
      </c>
      <c r="BE208" s="15" t="n">
        <f aca="false">0</f>
        <v>0</v>
      </c>
      <c r="BF208" s="15" t="n">
        <f aca="false">0</f>
        <v>0</v>
      </c>
      <c r="BG208" s="15" t="n">
        <f aca="false">0</f>
        <v>0</v>
      </c>
      <c r="BH208" s="15" t="n">
        <f aca="false">BD208+BE208-BF208-AY208</f>
        <v>-161998.701333333</v>
      </c>
      <c r="BI208" s="15" t="n">
        <f aca="false">MAX(0,Parametri_v3!$C$31-BH208)</f>
        <v>171998.701333333</v>
      </c>
      <c r="BJ208" s="15" t="n">
        <f aca="false">(BJ207)+K208</f>
        <v>8000</v>
      </c>
      <c r="BK208" s="15" t="n">
        <f aca="false">(BK207)+L208</f>
        <v>2444.44444444445</v>
      </c>
      <c r="BL208" s="15" t="n">
        <f aca="false">BJ208-BK208</f>
        <v>5555.55555555556</v>
      </c>
      <c r="BM208" s="15" t="n">
        <f aca="false">(BM207)+Y208</f>
        <v>-119488.444444444</v>
      </c>
      <c r="BN208" s="15" t="n">
        <f aca="false">(BN207)+AW208+AX208+AZ208</f>
        <v>20000</v>
      </c>
      <c r="BO208" s="15" t="n">
        <f aca="false">(BO207)+AY208</f>
        <v>0</v>
      </c>
      <c r="BP208" s="15" t="n">
        <f aca="false">MIN(Parametri_v3!$C$36*Parametri_v3!$C$35,(BP207)+IF(12=1,MAX(0,SUM(Y185:Y196))*Parametri_v3!$C$34,0))</f>
        <v>0</v>
      </c>
      <c r="BQ208" s="15" t="n">
        <f aca="false">BN208+BM208-BO208</f>
        <v>-99488.4444444444</v>
      </c>
      <c r="BR208" s="15" t="n">
        <f aca="false">BH208+AD208+BL208+MAX(0,-AM208)+MAX(0,-AR208)</f>
        <v>-61832.1457777777</v>
      </c>
      <c r="BS208" s="15" t="n">
        <f aca="false">AJ208+AV208+MAX(0,AM208)+MAX(0,AR208)+BC208+BG208+BQ208+AG208</f>
        <v>-61832.1457777777</v>
      </c>
      <c r="BT208" s="15" t="n">
        <f aca="false">BR208-BS208</f>
        <v>0</v>
      </c>
      <c r="BU208" s="15" t="n">
        <f aca="false">BH208-(BD208+BE208-BF208-AY208)</f>
        <v>0</v>
      </c>
      <c r="BV208" s="15" t="n">
        <f aca="false">IF(BH207&lt;Parametri_v3!$C$31,0,BV207+1)</f>
        <v>0</v>
      </c>
    </row>
    <row r="209" customFormat="false" ht="18" hidden="false" customHeight="true" outlineLevel="0" collapsed="false">
      <c r="A209" s="68" t="n">
        <f aca="false">4</f>
        <v>4</v>
      </c>
      <c r="B209" s="68" t="n">
        <f aca="false">25</f>
        <v>25</v>
      </c>
      <c r="C209" s="18" t="n">
        <f aca="false">Motore_Operativo!C209</f>
        <v>47119</v>
      </c>
      <c r="D209" s="68" t="n">
        <f aca="false">Motore_Operativo!D209</f>
        <v>2029</v>
      </c>
      <c r="E209" s="68" t="n">
        <f aca="false">Motore_Operativo!E209</f>
        <v>1</v>
      </c>
      <c r="F209" s="15" t="n">
        <f aca="false">Motore_Operativo!AM209</f>
        <v>32670</v>
      </c>
      <c r="G209" s="15" t="n">
        <f aca="false">Motore_Operativo!BH209</f>
        <v>3267</v>
      </c>
      <c r="H209" s="15" t="n">
        <f aca="false">Motore_Operativo!AM209</f>
        <v>32670</v>
      </c>
      <c r="I209" s="15" t="n">
        <f aca="false">Motore_Operativo!CB209</f>
        <v>41807.0958333333</v>
      </c>
      <c r="J209" s="15" t="n">
        <f aca="false">Motore_Operativo!CD209</f>
        <v>-9137.09583333333</v>
      </c>
      <c r="K209" s="15" t="n">
        <f aca="false">Motore_Operativo!CF209</f>
        <v>416.666666666667</v>
      </c>
      <c r="L209" s="15" t="n">
        <f aca="false">SUM(INDEX($K$185:$K$244,MAX(1,25-Parametri_v3!$C$59+1)):K209)/Parametri_v3!$C$59</f>
        <v>233.796296296296</v>
      </c>
      <c r="M209" s="15" t="n">
        <f aca="false">J209-L209</f>
        <v>-9370.89212962962</v>
      </c>
      <c r="N209" s="15" t="n">
        <f aca="false">0</f>
        <v>0</v>
      </c>
      <c r="O209" s="15" t="n">
        <f aca="false">0</f>
        <v>0</v>
      </c>
      <c r="P209" s="15" t="n">
        <f aca="false">M209+N209-O209</f>
        <v>-9370.89212962962</v>
      </c>
      <c r="Q209" s="15" t="n">
        <f aca="false">SUM(P209)+Parametri_v3!$C$56*1/12</f>
        <v>-9370.89212962962</v>
      </c>
      <c r="R209" s="15" t="n">
        <f aca="false">Z208</f>
        <v>119488.444444444</v>
      </c>
      <c r="S209" s="15" t="n">
        <f aca="false">AA208</f>
        <v>0</v>
      </c>
      <c r="T209" s="15" t="n">
        <f aca="false">MIN(R209,MAX(0,Q209))</f>
        <v>0</v>
      </c>
      <c r="U209" s="15" t="n">
        <f aca="false">MIN(S209,MAX(0,Q209-T209)*Parametri_v3!$C$42)</f>
        <v>0</v>
      </c>
      <c r="V209" s="15" t="n">
        <f aca="false">MAX(0,Q209-T209-U209)*Ipotesi!$C$92</f>
        <v>0</v>
      </c>
      <c r="W209" s="15" t="n">
        <f aca="false">MAX(0,SUM(M209)+Parametri_v3!$C$57*1/12)*Ipotesi!$C$93</f>
        <v>0</v>
      </c>
      <c r="X209" s="15" t="n">
        <f aca="false">V209+W209-(0)</f>
        <v>0</v>
      </c>
      <c r="Y209" s="15" t="n">
        <f aca="false">P209-X209</f>
        <v>-9370.89212962962</v>
      </c>
      <c r="Z209" s="15" t="n">
        <f aca="false">R209-T209+IF(AND(Parametri_v3!$C$40=1,D209-YEAR(Parametri_v3!$C$50)&lt;Parametri_v3!$C$41),MAX(0,-Q209),0)</f>
        <v>128859.336574074</v>
      </c>
      <c r="AA209" s="15" t="n">
        <f aca="false">S209-U209+IF(AND(Parametri_v3!$C$40=1,D209-YEAR(Parametri_v3!$C$50)&lt;Parametri_v3!$C$41),0,MAX(0,-Q209))</f>
        <v>0</v>
      </c>
      <c r="AB209" s="15" t="n">
        <f aca="false">F209*(1+Parametri_v3!$C$26)</f>
        <v>39857.4</v>
      </c>
      <c r="AC209" s="15" t="n">
        <f aca="false">(IF(25-(INT((Motore_Operativo!L209)/30))&lt;1,0,INDEX(Motore_Advisory!$AB$185:$AB$244,MAX(1,25-(INT((Motore_Operativo!L209)/30)))))*(1-(MOD((Motore_Operativo!L209),30)/30))+IF(25-(INT((Motore_Operativo!L209)/30))-1&lt;1,0,INDEX(Motore_Advisory!$AB$185:$AB$244,MAX(1,25-(INT((Motore_Operativo!L209)/30))-1)))*(MOD((Motore_Operativo!L209),30)/30))</f>
        <v>23652.75</v>
      </c>
      <c r="AD209" s="15" t="n">
        <f aca="false">(AD208)+AB209-AC209</f>
        <v>110815.65</v>
      </c>
      <c r="AE209" s="15" t="n">
        <f aca="false">Motore_Operativo!BH209*(1+Parametri_v3!$C$26)</f>
        <v>3985.74</v>
      </c>
      <c r="AF209" s="15" t="n">
        <f aca="false">(IF(25-(INT((Parametri_v3!$C$29)/30))&lt;1,0,INDEX(Motore_Operativo!$BH$185:$BH$244,MAX(1,25-(INT((Parametri_v3!$C$29)/30)))))*(1-(MOD((Parametri_v3!$C$29),30)/30))+IF(25-(INT((Parametri_v3!$C$29)/30))-1&lt;1,0,INDEX(Motore_Operativo!$BH$185:$BH$244,MAX(1,25-(INT((Parametri_v3!$C$29)/30))-1)))*(MOD((Parametri_v3!$C$29),30)/30))*(1+Parametri_v3!$C$26)</f>
        <v>2365.275</v>
      </c>
      <c r="AG209" s="15" t="n">
        <f aca="false">(AG208)+AE209-AF209</f>
        <v>3985.74</v>
      </c>
      <c r="AH209" s="15" t="n">
        <f aca="false">(Motore_Operativo!CK209)*(1+Parametri_v3!$C$28*Parametri_v3!$C$26)</f>
        <v>15432.2952</v>
      </c>
      <c r="AI209" s="15" t="n">
        <f aca="false">(IF(25-(INT((Ipotesi!$C$91)/30))&lt;1,0,INDEX(Motore_Advisory!$AH$185:$AH$244,MAX(1,25-(INT((Ipotesi!$C$91)/30)))))*(1-(MOD((Ipotesi!$C$91),30)/30))+IF(25-(INT((Ipotesi!$C$91)/30))-1&lt;1,0,INDEX(Motore_Advisory!$AH$185:$AH$244,MAX(1,25-(INT((Ipotesi!$C$91)/30))-1)))*(MOD((Ipotesi!$C$91),30)/30))</f>
        <v>10168.382</v>
      </c>
      <c r="AJ209" s="15" t="n">
        <f aca="false">(AJ208)+AH209-AI209</f>
        <v>25600.6772</v>
      </c>
      <c r="AK209" s="15" t="n">
        <f aca="false">(F209- Motore_Operativo!BH209-(Motore_Operativo!CK209)*Parametri_v3!$C$28-Motore_Operativo!CF209)*Parametri_v3!$C$26</f>
        <v>4067.39813333333</v>
      </c>
      <c r="AL209" s="15" t="n">
        <f aca="false">MAX(0,(AM208))</f>
        <v>2225.25966666667</v>
      </c>
      <c r="AM209" s="15" t="n">
        <f aca="false">(AM208)+AK209-AL209</f>
        <v>4067.39813333333</v>
      </c>
      <c r="AN209" s="15" t="n">
        <f aca="false">SUM(X197:X208)</f>
        <v>0</v>
      </c>
      <c r="AO209" s="15" t="n">
        <f aca="false">SUM(AP197:AP208)</f>
        <v>0</v>
      </c>
      <c r="AP209" s="15" t="n">
        <f aca="false">MAX(0,AN209)*IF(1=Parametri_v3!$C$43,Parametri_v3!$C$45,IF(1=Parametri_v3!$C$44,1-Parametri_v3!$C$45,0))</f>
        <v>0</v>
      </c>
      <c r="AQ209" s="15" t="n">
        <f aca="false">MAX(0,AP209+IF(1=Parametri_v3!$C$43,MAX(0,AN209-AO209),0)-MAX(0,-(AR208)))</f>
        <v>0</v>
      </c>
      <c r="AR209" s="15" t="n">
        <f aca="false">(AR208)+X209-AQ209</f>
        <v>0</v>
      </c>
      <c r="AS209" s="15" t="n">
        <f aca="false">Motore_Operativo!AC209-AT209+AU209</f>
        <v>24146.5260416667</v>
      </c>
      <c r="AT209" s="15" t="n">
        <f aca="false">Motore_Operativo!CI209</f>
        <v>1270.86979166667</v>
      </c>
      <c r="AU209" s="15" t="n">
        <f aca="false">MIN(MAX(0,(AV208)+AT209),Parametri_v3!$C$61/12)</f>
        <v>0</v>
      </c>
      <c r="AV209" s="15" t="n">
        <f aca="false">(AV208)+AT209-AU209</f>
        <v>13999.8697916667</v>
      </c>
      <c r="AW209" s="15" t="n">
        <f aca="false">IF(AND(Motore_Operativo!C209=Finanziamenti!$D$7,Finanziamenti!$F$7=1),Finanziamenti!$C$7,0)</f>
        <v>0</v>
      </c>
      <c r="AX209" s="15" t="n">
        <f aca="false">0</f>
        <v>0</v>
      </c>
      <c r="AY209" s="15" t="n">
        <f aca="false">IF(1=Parametri_v3!$C$33,IF(BV209&lt;MIN(12,$B209-1),0,MIN(MAX(0,SUM(Y197:Y208))*Ipotesi!$C$94,MAX(0,(BM208)-(BO208)-BP209),MAX(0,BD209-Parametri_v3!$C$31))),0)</f>
        <v>0</v>
      </c>
      <c r="AZ209" s="15" t="n">
        <f aca="false">0</f>
        <v>0</v>
      </c>
      <c r="BA209" s="15" t="n">
        <f aca="false">0</f>
        <v>0</v>
      </c>
      <c r="BB209" s="15" t="n">
        <f aca="false">0</f>
        <v>0</v>
      </c>
      <c r="BC209" s="15" t="n">
        <f aca="false">0</f>
        <v>0</v>
      </c>
      <c r="BD209" s="15" t="n">
        <f aca="false">(BH208)+AC209-AF209-AI209-AS209-K209*(1+Parametri_v3!$C$26)-AL209-AQ209-O209+AW209+AX209+AZ209+BA209-BB209</f>
        <v>-177759.727375</v>
      </c>
      <c r="BE209" s="15" t="n">
        <f aca="false">0</f>
        <v>0</v>
      </c>
      <c r="BF209" s="15" t="n">
        <f aca="false">0</f>
        <v>0</v>
      </c>
      <c r="BG209" s="15" t="n">
        <f aca="false">0</f>
        <v>0</v>
      </c>
      <c r="BH209" s="15" t="n">
        <f aca="false">BD209+BE209-BF209-AY209</f>
        <v>-177759.727375</v>
      </c>
      <c r="BI209" s="15" t="n">
        <f aca="false">MAX(0,Parametri_v3!$C$31-BH209)</f>
        <v>187759.727375</v>
      </c>
      <c r="BJ209" s="15" t="n">
        <f aca="false">(BJ208)+K209</f>
        <v>8416.66666666667</v>
      </c>
      <c r="BK209" s="15" t="n">
        <f aca="false">(BK208)+L209</f>
        <v>2678.24074074074</v>
      </c>
      <c r="BL209" s="15" t="n">
        <f aca="false">BJ209-BK209</f>
        <v>5738.42592592593</v>
      </c>
      <c r="BM209" s="15" t="n">
        <f aca="false">(BM208)+Y209</f>
        <v>-128859.336574074</v>
      </c>
      <c r="BN209" s="15" t="n">
        <f aca="false">(BN208)+AW209+AX209+AZ209</f>
        <v>20000</v>
      </c>
      <c r="BO209" s="15" t="n">
        <f aca="false">(BO208)+AY209</f>
        <v>0</v>
      </c>
      <c r="BP209" s="15" t="n">
        <f aca="false">MIN(Parametri_v3!$C$36*Parametri_v3!$C$35,(BP208)+IF(1=1,MAX(0,SUM(Y197:Y208))*Parametri_v3!$C$34,0))</f>
        <v>0</v>
      </c>
      <c r="BQ209" s="15" t="n">
        <f aca="false">BN209+BM209-BO209</f>
        <v>-108859.336574074</v>
      </c>
      <c r="BR209" s="15" t="n">
        <f aca="false">BH209+AD209+BL209+MAX(0,-AM209)+MAX(0,-AR209)</f>
        <v>-61205.651449074</v>
      </c>
      <c r="BS209" s="15" t="n">
        <f aca="false">AJ209+AV209+MAX(0,AM209)+MAX(0,AR209)+BC209+BG209+BQ209+AG209</f>
        <v>-61205.651449074</v>
      </c>
      <c r="BT209" s="15" t="n">
        <f aca="false">BR209-BS209</f>
        <v>0</v>
      </c>
      <c r="BU209" s="15" t="n">
        <f aca="false">BH209-(BD209+BE209-BF209-AY209)</f>
        <v>0</v>
      </c>
      <c r="BV209" s="15" t="n">
        <f aca="false">IF(BH208&lt;Parametri_v3!$C$31,0,BV208+1)</f>
        <v>0</v>
      </c>
    </row>
    <row r="210" customFormat="false" ht="18" hidden="false" customHeight="true" outlineLevel="0" collapsed="false">
      <c r="A210" s="68" t="n">
        <f aca="false">4</f>
        <v>4</v>
      </c>
      <c r="B210" s="68" t="n">
        <f aca="false">26</f>
        <v>26</v>
      </c>
      <c r="C210" s="18" t="n">
        <f aca="false">Motore_Operativo!C210</f>
        <v>47150</v>
      </c>
      <c r="D210" s="68" t="n">
        <f aca="false">Motore_Operativo!D210</f>
        <v>2029</v>
      </c>
      <c r="E210" s="68" t="n">
        <f aca="false">Motore_Operativo!E210</f>
        <v>2</v>
      </c>
      <c r="F210" s="15" t="n">
        <f aca="false">Motore_Operativo!AM210</f>
        <v>32670</v>
      </c>
      <c r="G210" s="15" t="n">
        <f aca="false">Motore_Operativo!BH210</f>
        <v>3267</v>
      </c>
      <c r="H210" s="15" t="n">
        <f aca="false">Motore_Operativo!AM210</f>
        <v>32670</v>
      </c>
      <c r="I210" s="15" t="n">
        <f aca="false">Motore_Operativo!CB210</f>
        <v>41807.0958333333</v>
      </c>
      <c r="J210" s="15" t="n">
        <f aca="false">Motore_Operativo!CD210</f>
        <v>-9137.09583333333</v>
      </c>
      <c r="K210" s="15" t="n">
        <f aca="false">Motore_Operativo!CF210</f>
        <v>416.666666666667</v>
      </c>
      <c r="L210" s="15" t="n">
        <f aca="false">SUM(INDEX($K$185:$K$244,MAX(1,26-Parametri_v3!$C$59+1)):K210)/Parametri_v3!$C$59</f>
        <v>245.37037037037</v>
      </c>
      <c r="M210" s="15" t="n">
        <f aca="false">J210-L210</f>
        <v>-9382.4662037037</v>
      </c>
      <c r="N210" s="15" t="n">
        <f aca="false">0</f>
        <v>0</v>
      </c>
      <c r="O210" s="15" t="n">
        <f aca="false">0</f>
        <v>0</v>
      </c>
      <c r="P210" s="15" t="n">
        <f aca="false">M210+N210-O210</f>
        <v>-9382.4662037037</v>
      </c>
      <c r="Q210" s="15" t="n">
        <f aca="false">SUM(P209:P210)+Parametri_v3!$C$56*2/12</f>
        <v>-18753.3583333333</v>
      </c>
      <c r="R210" s="15" t="n">
        <f aca="false">Z208</f>
        <v>119488.444444444</v>
      </c>
      <c r="S210" s="15" t="n">
        <f aca="false">AA208</f>
        <v>0</v>
      </c>
      <c r="T210" s="15" t="n">
        <f aca="false">MIN(R210,MAX(0,Q210))</f>
        <v>0</v>
      </c>
      <c r="U210" s="15" t="n">
        <f aca="false">MIN(S210,MAX(0,Q210-T210)*Parametri_v3!$C$42)</f>
        <v>0</v>
      </c>
      <c r="V210" s="15" t="n">
        <f aca="false">MAX(0,Q210-T210-U210)*Ipotesi!$C$92</f>
        <v>0</v>
      </c>
      <c r="W210" s="15" t="n">
        <f aca="false">MAX(0,SUM(M209:M210)+Parametri_v3!$C$57*2/12)*Ipotesi!$C$93</f>
        <v>0</v>
      </c>
      <c r="X210" s="15" t="n">
        <f aca="false">V210+W210-(V209+W209)</f>
        <v>0</v>
      </c>
      <c r="Y210" s="15" t="n">
        <f aca="false">P210-X210</f>
        <v>-9382.4662037037</v>
      </c>
      <c r="Z210" s="15" t="n">
        <f aca="false">R210-T210+IF(AND(Parametri_v3!$C$40=1,D210-YEAR(Parametri_v3!$C$50)&lt;Parametri_v3!$C$41),MAX(0,-Q210),0)</f>
        <v>138241.802777778</v>
      </c>
      <c r="AA210" s="15" t="n">
        <f aca="false">S210-U210+IF(AND(Parametri_v3!$C$40=1,D210-YEAR(Parametri_v3!$C$50)&lt;Parametri_v3!$C$41),0,MAX(0,-Q210))</f>
        <v>0</v>
      </c>
      <c r="AB210" s="15" t="n">
        <f aca="false">F210*(1+Parametri_v3!$C$26)</f>
        <v>39857.4</v>
      </c>
      <c r="AC210" s="15" t="n">
        <f aca="false">(IF(26-(INT((Motore_Operativo!L210)/30))&lt;1,0,INDEX(Motore_Advisory!$AB$185:$AB$244,MAX(1,26-(INT((Motore_Operativo!L210)/30)))))*(1-(MOD((Motore_Operativo!L210),30)/30))+IF(26-(INT((Motore_Operativo!L210)/30))-1&lt;1,0,INDEX(Motore_Advisory!$AB$185:$AB$244,MAX(1,26-(INT((Motore_Operativo!L210)/30))-1)))*(MOD((Motore_Operativo!L210),30)/30))</f>
        <v>23652.75</v>
      </c>
      <c r="AD210" s="15" t="n">
        <f aca="false">(AD209)+AB210-AC210</f>
        <v>127020.3</v>
      </c>
      <c r="AE210" s="15" t="n">
        <f aca="false">Motore_Operativo!BH210*(1+Parametri_v3!$C$26)</f>
        <v>3985.74</v>
      </c>
      <c r="AF210" s="15" t="n">
        <f aca="false">(IF(26-(INT((Parametri_v3!$C$29)/30))&lt;1,0,INDEX(Motore_Operativo!$BH$185:$BH$244,MAX(1,26-(INT((Parametri_v3!$C$29)/30)))))*(1-(MOD((Parametri_v3!$C$29),30)/30))+IF(26-(INT((Parametri_v3!$C$29)/30))-1&lt;1,0,INDEX(Motore_Operativo!$BH$185:$BH$244,MAX(1,26-(INT((Parametri_v3!$C$29)/30))-1)))*(MOD((Parametri_v3!$C$29),30)/30))*(1+Parametri_v3!$C$26)</f>
        <v>3985.74</v>
      </c>
      <c r="AG210" s="15" t="n">
        <f aca="false">(AG209)+AE210-AF210</f>
        <v>3985.74</v>
      </c>
      <c r="AH210" s="15" t="n">
        <f aca="false">(Motore_Operativo!CK210)*(1+Parametri_v3!$C$28*Parametri_v3!$C$26)</f>
        <v>15432.2952</v>
      </c>
      <c r="AI210" s="15" t="n">
        <f aca="false">(IF(26-(INT((Ipotesi!$C$91)/30))&lt;1,0,INDEX(Motore_Advisory!$AH$185:$AH$244,MAX(1,26-(INT((Ipotesi!$C$91)/30)))))*(1-(MOD((Ipotesi!$C$91),30)/30))+IF(26-(INT((Ipotesi!$C$91)/30))-1&lt;1,0,INDEX(Motore_Advisory!$AH$185:$AH$244,MAX(1,26-(INT((Ipotesi!$C$91)/30))-1)))*(MOD((Ipotesi!$C$91),30)/30))</f>
        <v>10168.382</v>
      </c>
      <c r="AJ210" s="15" t="n">
        <f aca="false">(AJ209)+AH210-AI210</f>
        <v>30864.5904</v>
      </c>
      <c r="AK210" s="15" t="n">
        <f aca="false">(F210- Motore_Operativo!BH210-(Motore_Operativo!CK210)*Parametri_v3!$C$28-Motore_Operativo!CF210)*Parametri_v3!$C$26</f>
        <v>4067.39813333333</v>
      </c>
      <c r="AL210" s="15" t="n">
        <f aca="false">MAX(0,(AM209))</f>
        <v>4067.39813333333</v>
      </c>
      <c r="AM210" s="15" t="n">
        <f aca="false">(AM209)+AK210-AL210</f>
        <v>4067.39813333333</v>
      </c>
      <c r="AN210" s="15" t="n">
        <f aca="false">SUM(X197:X208)</f>
        <v>0</v>
      </c>
      <c r="AO210" s="15" t="n">
        <f aca="false">SUM(AP197:AP208)</f>
        <v>0</v>
      </c>
      <c r="AP210" s="15" t="n">
        <f aca="false">MAX(0,AN210)*IF(2=Parametri_v3!$C$43,Parametri_v3!$C$45,IF(2=Parametri_v3!$C$44,1-Parametri_v3!$C$45,0))</f>
        <v>0</v>
      </c>
      <c r="AQ210" s="15" t="n">
        <f aca="false">MAX(0,AP210+IF(2=Parametri_v3!$C$43,MAX(0,AN210-AO210),0)-MAX(0,-(AR209)))</f>
        <v>0</v>
      </c>
      <c r="AR210" s="15" t="n">
        <f aca="false">(AR209)+X210-AQ210</f>
        <v>0</v>
      </c>
      <c r="AS210" s="15" t="n">
        <f aca="false">Motore_Operativo!AC210-AT210+AU210</f>
        <v>24146.5260416667</v>
      </c>
      <c r="AT210" s="15" t="n">
        <f aca="false">Motore_Operativo!CI210</f>
        <v>1270.86979166667</v>
      </c>
      <c r="AU210" s="15" t="n">
        <f aca="false">MIN(MAX(0,(AV209)+AT210),Parametri_v3!$C$61/12)</f>
        <v>0</v>
      </c>
      <c r="AV210" s="15" t="n">
        <f aca="false">(AV209)+AT210-AU210</f>
        <v>15270.7395833333</v>
      </c>
      <c r="AW210" s="15" t="n">
        <f aca="false">IF(AND(Motore_Operativo!C210=Finanziamenti!$D$7,Finanziamenti!$F$7=1),Finanziamenti!$C$7,0)</f>
        <v>0</v>
      </c>
      <c r="AX210" s="15" t="n">
        <f aca="false">0</f>
        <v>0</v>
      </c>
      <c r="AY210" s="15" t="n">
        <f aca="false">IF(2=Parametri_v3!$C$33,IF(BV210&lt;MIN(12,$B210-1),0,MIN(MAX(0,SUM(Y197:Y208))*Ipotesi!$C$94,MAX(0,(BM208)-(BO209)-BP210),MAX(0,BD210-Parametri_v3!$C$31))),0)</f>
        <v>0</v>
      </c>
      <c r="AZ210" s="15" t="n">
        <f aca="false">0</f>
        <v>0</v>
      </c>
      <c r="BA210" s="15" t="n">
        <f aca="false">0</f>
        <v>0</v>
      </c>
      <c r="BB210" s="15" t="n">
        <f aca="false">0</f>
        <v>0</v>
      </c>
      <c r="BC210" s="15" t="n">
        <f aca="false">0</f>
        <v>0</v>
      </c>
      <c r="BD210" s="15" t="n">
        <f aca="false">(BH209)+AC210-AF210-AI210-AS210-K210*(1+Parametri_v3!$C$26)-AL210-AQ210-O210+AW210+AX210+AZ210+BA210-BB210</f>
        <v>-196983.356883333</v>
      </c>
      <c r="BE210" s="15" t="n">
        <f aca="false">0</f>
        <v>0</v>
      </c>
      <c r="BF210" s="15" t="n">
        <f aca="false">0</f>
        <v>0</v>
      </c>
      <c r="BG210" s="15" t="n">
        <f aca="false">0</f>
        <v>0</v>
      </c>
      <c r="BH210" s="15" t="n">
        <f aca="false">BD210+BE210-BF210-AY210</f>
        <v>-196983.356883333</v>
      </c>
      <c r="BI210" s="15" t="n">
        <f aca="false">MAX(0,Parametri_v3!$C$31-BH210)</f>
        <v>206983.356883333</v>
      </c>
      <c r="BJ210" s="15" t="n">
        <f aca="false">(BJ209)+K210</f>
        <v>8833.33333333334</v>
      </c>
      <c r="BK210" s="15" t="n">
        <f aca="false">(BK209)+L210</f>
        <v>2923.61111111111</v>
      </c>
      <c r="BL210" s="15" t="n">
        <f aca="false">BJ210-BK210</f>
        <v>5909.72222222222</v>
      </c>
      <c r="BM210" s="15" t="n">
        <f aca="false">(BM209)+Y210</f>
        <v>-138241.802777778</v>
      </c>
      <c r="BN210" s="15" t="n">
        <f aca="false">(BN209)+AW210+AX210+AZ210</f>
        <v>20000</v>
      </c>
      <c r="BO210" s="15" t="n">
        <f aca="false">(BO209)+AY210</f>
        <v>0</v>
      </c>
      <c r="BP210" s="15" t="n">
        <f aca="false">MIN(Parametri_v3!$C$36*Parametri_v3!$C$35,(BP209)+IF(2=1,MAX(0,SUM(Y197:Y208))*Parametri_v3!$C$34,0))</f>
        <v>0</v>
      </c>
      <c r="BQ210" s="15" t="n">
        <f aca="false">BN210+BM210-BO210</f>
        <v>-118241.802777778</v>
      </c>
      <c r="BR210" s="15" t="n">
        <f aca="false">BH210+AD210+BL210+MAX(0,-AM210)+MAX(0,-AR210)</f>
        <v>-64053.3346611109</v>
      </c>
      <c r="BS210" s="15" t="n">
        <f aca="false">AJ210+AV210+MAX(0,AM210)+MAX(0,AR210)+BC210+BG210+BQ210+AG210</f>
        <v>-64053.334661111</v>
      </c>
      <c r="BT210" s="15" t="n">
        <f aca="false">BR210-BS210</f>
        <v>0</v>
      </c>
      <c r="BU210" s="15" t="n">
        <f aca="false">BH210-(BD210+BE210-BF210-AY210)</f>
        <v>0</v>
      </c>
      <c r="BV210" s="15" t="n">
        <f aca="false">IF(BH209&lt;Parametri_v3!$C$31,0,BV209+1)</f>
        <v>0</v>
      </c>
    </row>
    <row r="211" customFormat="false" ht="18" hidden="false" customHeight="true" outlineLevel="0" collapsed="false">
      <c r="A211" s="68" t="n">
        <f aca="false">4</f>
        <v>4</v>
      </c>
      <c r="B211" s="68" t="n">
        <f aca="false">27</f>
        <v>27</v>
      </c>
      <c r="C211" s="18" t="n">
        <f aca="false">Motore_Operativo!C211</f>
        <v>47178</v>
      </c>
      <c r="D211" s="68" t="n">
        <f aca="false">Motore_Operativo!D211</f>
        <v>2029</v>
      </c>
      <c r="E211" s="68" t="n">
        <f aca="false">Motore_Operativo!E211</f>
        <v>3</v>
      </c>
      <c r="F211" s="15" t="n">
        <f aca="false">Motore_Operativo!AM211</f>
        <v>32670</v>
      </c>
      <c r="G211" s="15" t="n">
        <f aca="false">Motore_Operativo!BH211</f>
        <v>3267</v>
      </c>
      <c r="H211" s="15" t="n">
        <f aca="false">Motore_Operativo!AM211</f>
        <v>32670</v>
      </c>
      <c r="I211" s="15" t="n">
        <f aca="false">Motore_Operativo!CB211</f>
        <v>41807.0958333333</v>
      </c>
      <c r="J211" s="15" t="n">
        <f aca="false">Motore_Operativo!CD211</f>
        <v>-9137.09583333333</v>
      </c>
      <c r="K211" s="15" t="n">
        <f aca="false">Motore_Operativo!CF211</f>
        <v>416.666666666667</v>
      </c>
      <c r="L211" s="15" t="n">
        <f aca="false">SUM(INDEX($K$185:$K$244,MAX(1,27-Parametri_v3!$C$59+1)):K211)/Parametri_v3!$C$59</f>
        <v>256.944444444444</v>
      </c>
      <c r="M211" s="15" t="n">
        <f aca="false">J211-L211</f>
        <v>-9394.04027777777</v>
      </c>
      <c r="N211" s="15" t="n">
        <f aca="false">0</f>
        <v>0</v>
      </c>
      <c r="O211" s="15" t="n">
        <f aca="false">0</f>
        <v>0</v>
      </c>
      <c r="P211" s="15" t="n">
        <f aca="false">M211+N211-O211</f>
        <v>-9394.04027777777</v>
      </c>
      <c r="Q211" s="15" t="n">
        <f aca="false">SUM(P209:P211)+Parametri_v3!$C$56*3/12</f>
        <v>-28147.3986111111</v>
      </c>
      <c r="R211" s="15" t="n">
        <f aca="false">Z208</f>
        <v>119488.444444444</v>
      </c>
      <c r="S211" s="15" t="n">
        <f aca="false">AA208</f>
        <v>0</v>
      </c>
      <c r="T211" s="15" t="n">
        <f aca="false">MIN(R211,MAX(0,Q211))</f>
        <v>0</v>
      </c>
      <c r="U211" s="15" t="n">
        <f aca="false">MIN(S211,MAX(0,Q211-T211)*Parametri_v3!$C$42)</f>
        <v>0</v>
      </c>
      <c r="V211" s="15" t="n">
        <f aca="false">MAX(0,Q211-T211-U211)*Ipotesi!$C$92</f>
        <v>0</v>
      </c>
      <c r="W211" s="15" t="n">
        <f aca="false">MAX(0,SUM(M209:M211)+Parametri_v3!$C$57*3/12)*Ipotesi!$C$93</f>
        <v>0</v>
      </c>
      <c r="X211" s="15" t="n">
        <f aca="false">V211+W211-(V210+W210)</f>
        <v>0</v>
      </c>
      <c r="Y211" s="15" t="n">
        <f aca="false">P211-X211</f>
        <v>-9394.04027777777</v>
      </c>
      <c r="Z211" s="15" t="n">
        <f aca="false">R211-T211+IF(AND(Parametri_v3!$C$40=1,D211-YEAR(Parametri_v3!$C$50)&lt;Parametri_v3!$C$41),MAX(0,-Q211),0)</f>
        <v>147635.843055555</v>
      </c>
      <c r="AA211" s="15" t="n">
        <f aca="false">S211-U211+IF(AND(Parametri_v3!$C$40=1,D211-YEAR(Parametri_v3!$C$50)&lt;Parametri_v3!$C$41),0,MAX(0,-Q211))</f>
        <v>0</v>
      </c>
      <c r="AB211" s="15" t="n">
        <f aca="false">F211*(1+Parametri_v3!$C$26)</f>
        <v>39857.4</v>
      </c>
      <c r="AC211" s="15" t="n">
        <f aca="false">(IF(27-(INT((Motore_Operativo!L211)/30))&lt;1,0,INDEX(Motore_Advisory!$AB$185:$AB$244,MAX(1,27-(INT((Motore_Operativo!L211)/30)))))*(1-(MOD((Motore_Operativo!L211),30)/30))+IF(27-(INT((Motore_Operativo!L211)/30))-1&lt;1,0,INDEX(Motore_Advisory!$AB$185:$AB$244,MAX(1,27-(INT((Motore_Operativo!L211)/30))-1)))*(MOD((Motore_Operativo!L211),30)/30))</f>
        <v>23652.75</v>
      </c>
      <c r="AD211" s="15" t="n">
        <f aca="false">(AD210)+AB211-AC211</f>
        <v>143224.95</v>
      </c>
      <c r="AE211" s="15" t="n">
        <f aca="false">Motore_Operativo!BH211*(1+Parametri_v3!$C$26)</f>
        <v>3985.74</v>
      </c>
      <c r="AF211" s="15" t="n">
        <f aca="false">(IF(27-(INT((Parametri_v3!$C$29)/30))&lt;1,0,INDEX(Motore_Operativo!$BH$185:$BH$244,MAX(1,27-(INT((Parametri_v3!$C$29)/30)))))*(1-(MOD((Parametri_v3!$C$29),30)/30))+IF(27-(INT((Parametri_v3!$C$29)/30))-1&lt;1,0,INDEX(Motore_Operativo!$BH$185:$BH$244,MAX(1,27-(INT((Parametri_v3!$C$29)/30))-1)))*(MOD((Parametri_v3!$C$29),30)/30))*(1+Parametri_v3!$C$26)</f>
        <v>3985.74</v>
      </c>
      <c r="AG211" s="15" t="n">
        <f aca="false">(AG210)+AE211-AF211</f>
        <v>3985.74</v>
      </c>
      <c r="AH211" s="15" t="n">
        <f aca="false">(Motore_Operativo!CK211)*(1+Parametri_v3!$C$28*Parametri_v3!$C$26)</f>
        <v>15432.2952</v>
      </c>
      <c r="AI211" s="15" t="n">
        <f aca="false">(IF(27-(INT((Ipotesi!$C$91)/30))&lt;1,0,INDEX(Motore_Advisory!$AH$185:$AH$244,MAX(1,27-(INT((Ipotesi!$C$91)/30)))))*(1-(MOD((Ipotesi!$C$91),30)/30))+IF(27-(INT((Ipotesi!$C$91)/30))-1&lt;1,0,INDEX(Motore_Advisory!$AH$185:$AH$244,MAX(1,27-(INT((Ipotesi!$C$91)/30))-1)))*(MOD((Ipotesi!$C$91),30)/30))</f>
        <v>15432.2952</v>
      </c>
      <c r="AJ211" s="15" t="n">
        <f aca="false">(AJ210)+AH211-AI211</f>
        <v>30864.5904</v>
      </c>
      <c r="AK211" s="15" t="n">
        <f aca="false">(F211- Motore_Operativo!BH211-(Motore_Operativo!CK211)*Parametri_v3!$C$28-Motore_Operativo!CF211)*Parametri_v3!$C$26</f>
        <v>4067.39813333333</v>
      </c>
      <c r="AL211" s="15" t="n">
        <f aca="false">MAX(0,(AM210))</f>
        <v>4067.39813333333</v>
      </c>
      <c r="AM211" s="15" t="n">
        <f aca="false">(AM210)+AK211-AL211</f>
        <v>4067.39813333333</v>
      </c>
      <c r="AN211" s="15" t="n">
        <f aca="false">SUM(X197:X208)</f>
        <v>0</v>
      </c>
      <c r="AO211" s="15" t="n">
        <f aca="false">SUM(AP197:AP208)</f>
        <v>0</v>
      </c>
      <c r="AP211" s="15" t="n">
        <f aca="false">MAX(0,AN211)*IF(3=Parametri_v3!$C$43,Parametri_v3!$C$45,IF(3=Parametri_v3!$C$44,1-Parametri_v3!$C$45,0))</f>
        <v>0</v>
      </c>
      <c r="AQ211" s="15" t="n">
        <f aca="false">MAX(0,AP211+IF(3=Parametri_v3!$C$43,MAX(0,AN211-AO211),0)-MAX(0,-(AR210)))</f>
        <v>0</v>
      </c>
      <c r="AR211" s="15" t="n">
        <f aca="false">(AR210)+X211-AQ211</f>
        <v>0</v>
      </c>
      <c r="AS211" s="15" t="n">
        <f aca="false">Motore_Operativo!AC211-AT211+AU211</f>
        <v>24146.5260416667</v>
      </c>
      <c r="AT211" s="15" t="n">
        <f aca="false">Motore_Operativo!CI211</f>
        <v>1270.86979166667</v>
      </c>
      <c r="AU211" s="15" t="n">
        <f aca="false">MIN(MAX(0,(AV210)+AT211),Parametri_v3!$C$61/12)</f>
        <v>0</v>
      </c>
      <c r="AV211" s="15" t="n">
        <f aca="false">(AV210)+AT211-AU211</f>
        <v>16541.609375</v>
      </c>
      <c r="AW211" s="15" t="n">
        <f aca="false">IF(AND(Motore_Operativo!C211=Finanziamenti!$D$7,Finanziamenti!$F$7=1),Finanziamenti!$C$7,0)</f>
        <v>0</v>
      </c>
      <c r="AX211" s="15" t="n">
        <f aca="false">0</f>
        <v>0</v>
      </c>
      <c r="AY211" s="15" t="n">
        <f aca="false">IF(3=Parametri_v3!$C$33,IF(BV211&lt;MIN(12,$B211-1),0,MIN(MAX(0,SUM(Y197:Y208))*Ipotesi!$C$94,MAX(0,(BM208)-(BO210)-BP211),MAX(0,BD211-Parametri_v3!$C$31))),0)</f>
        <v>0</v>
      </c>
      <c r="AZ211" s="15" t="n">
        <f aca="false">0</f>
        <v>0</v>
      </c>
      <c r="BA211" s="15" t="n">
        <f aca="false">0</f>
        <v>0</v>
      </c>
      <c r="BB211" s="15" t="n">
        <f aca="false">0</f>
        <v>0</v>
      </c>
      <c r="BC211" s="15" t="n">
        <f aca="false">0</f>
        <v>0</v>
      </c>
      <c r="BD211" s="15" t="n">
        <f aca="false">(BH210)+AC211-AF211-AI211-AS211-K211*(1+Parametri_v3!$C$26)-AL211-AQ211-O211+AW211+AX211+AZ211+BA211-BB211</f>
        <v>-221470.899591667</v>
      </c>
      <c r="BE211" s="15" t="n">
        <f aca="false">0</f>
        <v>0</v>
      </c>
      <c r="BF211" s="15" t="n">
        <f aca="false">0</f>
        <v>0</v>
      </c>
      <c r="BG211" s="15" t="n">
        <f aca="false">0</f>
        <v>0</v>
      </c>
      <c r="BH211" s="15" t="n">
        <f aca="false">BD211+BE211-BF211-AY211</f>
        <v>-221470.899591667</v>
      </c>
      <c r="BI211" s="15" t="n">
        <f aca="false">MAX(0,Parametri_v3!$C$31-BH211)</f>
        <v>231470.899591667</v>
      </c>
      <c r="BJ211" s="15" t="n">
        <f aca="false">(BJ210)+K211</f>
        <v>9250</v>
      </c>
      <c r="BK211" s="15" t="n">
        <f aca="false">(BK210)+L211</f>
        <v>3180.55555555556</v>
      </c>
      <c r="BL211" s="15" t="n">
        <f aca="false">BJ211-BK211</f>
        <v>6069.44444444445</v>
      </c>
      <c r="BM211" s="15" t="n">
        <f aca="false">(BM210)+Y211</f>
        <v>-147635.843055555</v>
      </c>
      <c r="BN211" s="15" t="n">
        <f aca="false">(BN210)+AW211+AX211+AZ211</f>
        <v>20000</v>
      </c>
      <c r="BO211" s="15" t="n">
        <f aca="false">(BO210)+AY211</f>
        <v>0</v>
      </c>
      <c r="BP211" s="15" t="n">
        <f aca="false">MIN(Parametri_v3!$C$36*Parametri_v3!$C$35,(BP210)+IF(3=1,MAX(0,SUM(Y197:Y208))*Parametri_v3!$C$34,0))</f>
        <v>0</v>
      </c>
      <c r="BQ211" s="15" t="n">
        <f aca="false">BN211+BM211-BO211</f>
        <v>-127635.843055555</v>
      </c>
      <c r="BR211" s="15" t="n">
        <f aca="false">BH211+AD211+BL211+MAX(0,-AM211)+MAX(0,-AR211)</f>
        <v>-72176.505147222</v>
      </c>
      <c r="BS211" s="15" t="n">
        <f aca="false">AJ211+AV211+MAX(0,AM211)+MAX(0,AR211)+BC211+BG211+BQ211+AG211</f>
        <v>-72176.5051472221</v>
      </c>
      <c r="BT211" s="15" t="n">
        <f aca="false">BR211-BS211</f>
        <v>0</v>
      </c>
      <c r="BU211" s="15" t="n">
        <f aca="false">BH211-(BD211+BE211-BF211-AY211)</f>
        <v>0</v>
      </c>
      <c r="BV211" s="15" t="n">
        <f aca="false">IF(BH210&lt;Parametri_v3!$C$31,0,BV210+1)</f>
        <v>0</v>
      </c>
    </row>
    <row r="212" customFormat="false" ht="18" hidden="false" customHeight="true" outlineLevel="0" collapsed="false">
      <c r="A212" s="68" t="n">
        <f aca="false">4</f>
        <v>4</v>
      </c>
      <c r="B212" s="68" t="n">
        <f aca="false">28</f>
        <v>28</v>
      </c>
      <c r="C212" s="18" t="n">
        <f aca="false">Motore_Operativo!C212</f>
        <v>47209</v>
      </c>
      <c r="D212" s="68" t="n">
        <f aca="false">Motore_Operativo!D212</f>
        <v>2029</v>
      </c>
      <c r="E212" s="68" t="n">
        <f aca="false">Motore_Operativo!E212</f>
        <v>4</v>
      </c>
      <c r="F212" s="15" t="n">
        <f aca="false">Motore_Operativo!AM212</f>
        <v>32670</v>
      </c>
      <c r="G212" s="15" t="n">
        <f aca="false">Motore_Operativo!BH212</f>
        <v>3267</v>
      </c>
      <c r="H212" s="15" t="n">
        <f aca="false">Motore_Operativo!AM212</f>
        <v>32670</v>
      </c>
      <c r="I212" s="15" t="n">
        <f aca="false">Motore_Operativo!CB212</f>
        <v>41807.0958333333</v>
      </c>
      <c r="J212" s="15" t="n">
        <f aca="false">Motore_Operativo!CD212</f>
        <v>-9137.09583333333</v>
      </c>
      <c r="K212" s="15" t="n">
        <f aca="false">Motore_Operativo!CF212</f>
        <v>416.666666666667</v>
      </c>
      <c r="L212" s="15" t="n">
        <f aca="false">SUM(INDEX($K$185:$K$244,MAX(1,28-Parametri_v3!$C$59+1)):K212)/Parametri_v3!$C$59</f>
        <v>268.518518518519</v>
      </c>
      <c r="M212" s="15" t="n">
        <f aca="false">J212-L212</f>
        <v>-9405.61435185184</v>
      </c>
      <c r="N212" s="15" t="n">
        <f aca="false">0</f>
        <v>0</v>
      </c>
      <c r="O212" s="15" t="n">
        <f aca="false">0</f>
        <v>0</v>
      </c>
      <c r="P212" s="15" t="n">
        <f aca="false">M212+N212-O212</f>
        <v>-9405.61435185184</v>
      </c>
      <c r="Q212" s="15" t="n">
        <f aca="false">SUM(P209:P212)+Parametri_v3!$C$56*4/12</f>
        <v>-37553.0129629629</v>
      </c>
      <c r="R212" s="15" t="n">
        <f aca="false">Z208</f>
        <v>119488.444444444</v>
      </c>
      <c r="S212" s="15" t="n">
        <f aca="false">AA208</f>
        <v>0</v>
      </c>
      <c r="T212" s="15" t="n">
        <f aca="false">MIN(R212,MAX(0,Q212))</f>
        <v>0</v>
      </c>
      <c r="U212" s="15" t="n">
        <f aca="false">MIN(S212,MAX(0,Q212-T212)*Parametri_v3!$C$42)</f>
        <v>0</v>
      </c>
      <c r="V212" s="15" t="n">
        <f aca="false">MAX(0,Q212-T212-U212)*Ipotesi!$C$92</f>
        <v>0</v>
      </c>
      <c r="W212" s="15" t="n">
        <f aca="false">MAX(0,SUM(M209:M212)+Parametri_v3!$C$57*4/12)*Ipotesi!$C$93</f>
        <v>0</v>
      </c>
      <c r="X212" s="15" t="n">
        <f aca="false">V212+W212-(V211+W211)</f>
        <v>0</v>
      </c>
      <c r="Y212" s="15" t="n">
        <f aca="false">P212-X212</f>
        <v>-9405.61435185184</v>
      </c>
      <c r="Z212" s="15" t="n">
        <f aca="false">R212-T212+IF(AND(Parametri_v3!$C$40=1,D212-YEAR(Parametri_v3!$C$50)&lt;Parametri_v3!$C$41),MAX(0,-Q212),0)</f>
        <v>157041.457407407</v>
      </c>
      <c r="AA212" s="15" t="n">
        <f aca="false">S212-U212+IF(AND(Parametri_v3!$C$40=1,D212-YEAR(Parametri_v3!$C$50)&lt;Parametri_v3!$C$41),0,MAX(0,-Q212))</f>
        <v>0</v>
      </c>
      <c r="AB212" s="15" t="n">
        <f aca="false">F212*(1+Parametri_v3!$C$26)</f>
        <v>39857.4</v>
      </c>
      <c r="AC212" s="15" t="n">
        <f aca="false">(IF(28-(INT((Motore_Operativo!L212)/30))&lt;1,0,INDEX(Motore_Advisory!$AB$185:$AB$244,MAX(1,28-(INT((Motore_Operativo!L212)/30)))))*(1-(MOD((Motore_Operativo!L212),30)/30))+IF(28-(INT((Motore_Operativo!L212)/30))-1&lt;1,0,INDEX(Motore_Advisory!$AB$185:$AB$244,MAX(1,28-(INT((Motore_Operativo!L212)/30))-1)))*(MOD((Motore_Operativo!L212),30)/30))</f>
        <v>23652.75</v>
      </c>
      <c r="AD212" s="15" t="n">
        <f aca="false">(AD211)+AB212-AC212</f>
        <v>159429.6</v>
      </c>
      <c r="AE212" s="15" t="n">
        <f aca="false">Motore_Operativo!BH212*(1+Parametri_v3!$C$26)</f>
        <v>3985.74</v>
      </c>
      <c r="AF212" s="15" t="n">
        <f aca="false">(IF(28-(INT((Parametri_v3!$C$29)/30))&lt;1,0,INDEX(Motore_Operativo!$BH$185:$BH$244,MAX(1,28-(INT((Parametri_v3!$C$29)/30)))))*(1-(MOD((Parametri_v3!$C$29),30)/30))+IF(28-(INT((Parametri_v3!$C$29)/30))-1&lt;1,0,INDEX(Motore_Operativo!$BH$185:$BH$244,MAX(1,28-(INT((Parametri_v3!$C$29)/30))-1)))*(MOD((Parametri_v3!$C$29),30)/30))*(1+Parametri_v3!$C$26)</f>
        <v>3985.74</v>
      </c>
      <c r="AG212" s="15" t="n">
        <f aca="false">(AG211)+AE212-AF212</f>
        <v>3985.74</v>
      </c>
      <c r="AH212" s="15" t="n">
        <f aca="false">(Motore_Operativo!CK212)*(1+Parametri_v3!$C$28*Parametri_v3!$C$26)</f>
        <v>15432.2952</v>
      </c>
      <c r="AI212" s="15" t="n">
        <f aca="false">(IF(28-(INT((Ipotesi!$C$91)/30))&lt;1,0,INDEX(Motore_Advisory!$AH$185:$AH$244,MAX(1,28-(INT((Ipotesi!$C$91)/30)))))*(1-(MOD((Ipotesi!$C$91),30)/30))+IF(28-(INT((Ipotesi!$C$91)/30))-1&lt;1,0,INDEX(Motore_Advisory!$AH$185:$AH$244,MAX(1,28-(INT((Ipotesi!$C$91)/30))-1)))*(MOD((Ipotesi!$C$91),30)/30))</f>
        <v>15432.2952</v>
      </c>
      <c r="AJ212" s="15" t="n">
        <f aca="false">(AJ211)+AH212-AI212</f>
        <v>30864.5904</v>
      </c>
      <c r="AK212" s="15" t="n">
        <f aca="false">(F212- Motore_Operativo!BH212-(Motore_Operativo!CK212)*Parametri_v3!$C$28-Motore_Operativo!CF212)*Parametri_v3!$C$26</f>
        <v>4067.39813333333</v>
      </c>
      <c r="AL212" s="15" t="n">
        <f aca="false">MAX(0,(AM211))</f>
        <v>4067.39813333333</v>
      </c>
      <c r="AM212" s="15" t="n">
        <f aca="false">(AM211)+AK212-AL212</f>
        <v>4067.39813333333</v>
      </c>
      <c r="AN212" s="15" t="n">
        <f aca="false">SUM(X197:X208)</f>
        <v>0</v>
      </c>
      <c r="AO212" s="15" t="n">
        <f aca="false">SUM(AP197:AP208)</f>
        <v>0</v>
      </c>
      <c r="AP212" s="15" t="n">
        <f aca="false">MAX(0,AN212)*IF(4=Parametri_v3!$C$43,Parametri_v3!$C$45,IF(4=Parametri_v3!$C$44,1-Parametri_v3!$C$45,0))</f>
        <v>0</v>
      </c>
      <c r="AQ212" s="15" t="n">
        <f aca="false">MAX(0,AP212+IF(4=Parametri_v3!$C$43,MAX(0,AN212-AO212),0)-MAX(0,-(AR211)))</f>
        <v>0</v>
      </c>
      <c r="AR212" s="15" t="n">
        <f aca="false">(AR211)+X212-AQ212</f>
        <v>0</v>
      </c>
      <c r="AS212" s="15" t="n">
        <f aca="false">Motore_Operativo!AC212-AT212+AU212</f>
        <v>24146.5260416667</v>
      </c>
      <c r="AT212" s="15" t="n">
        <f aca="false">Motore_Operativo!CI212</f>
        <v>1270.86979166667</v>
      </c>
      <c r="AU212" s="15" t="n">
        <f aca="false">MIN(MAX(0,(AV211)+AT212),Parametri_v3!$C$61/12)</f>
        <v>0</v>
      </c>
      <c r="AV212" s="15" t="n">
        <f aca="false">(AV211)+AT212-AU212</f>
        <v>17812.4791666667</v>
      </c>
      <c r="AW212" s="15" t="n">
        <f aca="false">IF(AND(Motore_Operativo!C212=Finanziamenti!$D$7,Finanziamenti!$F$7=1),Finanziamenti!$C$7,0)</f>
        <v>0</v>
      </c>
      <c r="AX212" s="15" t="n">
        <f aca="false">0</f>
        <v>0</v>
      </c>
      <c r="AY212" s="15" t="n">
        <f aca="false">IF(4=Parametri_v3!$C$33,IF(BV212&lt;MIN(12,$B212-1),0,MIN(MAX(0,SUM(Y197:Y208))*Ipotesi!$C$94,MAX(0,(BM208)-(BO211)-BP212),MAX(0,BD212-Parametri_v3!$C$31))),0)</f>
        <v>0</v>
      </c>
      <c r="AZ212" s="15" t="n">
        <f aca="false">0</f>
        <v>0</v>
      </c>
      <c r="BA212" s="15" t="n">
        <f aca="false">0</f>
        <v>0</v>
      </c>
      <c r="BB212" s="15" t="n">
        <f aca="false">0</f>
        <v>0</v>
      </c>
      <c r="BC212" s="15" t="n">
        <f aca="false">0</f>
        <v>0</v>
      </c>
      <c r="BD212" s="15" t="n">
        <f aca="false">(BH211)+AC212-AF212-AI212-AS212-K212*(1+Parametri_v3!$C$26)-AL212-AQ212-O212+AW212+AX212+AZ212+BA212-BB212</f>
        <v>-245958.4423</v>
      </c>
      <c r="BE212" s="15" t="n">
        <f aca="false">0</f>
        <v>0</v>
      </c>
      <c r="BF212" s="15" t="n">
        <f aca="false">0</f>
        <v>0</v>
      </c>
      <c r="BG212" s="15" t="n">
        <f aca="false">0</f>
        <v>0</v>
      </c>
      <c r="BH212" s="15" t="n">
        <f aca="false">BD212+BE212-BF212-AY212</f>
        <v>-245958.4423</v>
      </c>
      <c r="BI212" s="15" t="n">
        <f aca="false">MAX(0,Parametri_v3!$C$31-BH212)</f>
        <v>255958.4423</v>
      </c>
      <c r="BJ212" s="15" t="n">
        <f aca="false">(BJ211)+K212</f>
        <v>9666.66666666667</v>
      </c>
      <c r="BK212" s="15" t="n">
        <f aca="false">(BK211)+L212</f>
        <v>3449.07407407407</v>
      </c>
      <c r="BL212" s="15" t="n">
        <f aca="false">BJ212-BK212</f>
        <v>6217.59259259259</v>
      </c>
      <c r="BM212" s="15" t="n">
        <f aca="false">(BM211)+Y212</f>
        <v>-157041.457407407</v>
      </c>
      <c r="BN212" s="15" t="n">
        <f aca="false">(BN211)+AW212+AX212+AZ212</f>
        <v>20000</v>
      </c>
      <c r="BO212" s="15" t="n">
        <f aca="false">(BO211)+AY212</f>
        <v>0</v>
      </c>
      <c r="BP212" s="15" t="n">
        <f aca="false">MIN(Parametri_v3!$C$36*Parametri_v3!$C$35,(BP211)+IF(4=1,MAX(0,SUM(Y197:Y208))*Parametri_v3!$C$34,0))</f>
        <v>0</v>
      </c>
      <c r="BQ212" s="15" t="n">
        <f aca="false">BN212+BM212-BO212</f>
        <v>-137041.457407407</v>
      </c>
      <c r="BR212" s="15" t="n">
        <f aca="false">BH212+AD212+BL212+MAX(0,-AM212)+MAX(0,-AR212)</f>
        <v>-80311.2497074072</v>
      </c>
      <c r="BS212" s="15" t="n">
        <f aca="false">AJ212+AV212+MAX(0,AM212)+MAX(0,AR212)+BC212+BG212+BQ212+AG212</f>
        <v>-80311.2497074073</v>
      </c>
      <c r="BT212" s="15" t="n">
        <f aca="false">BR212-BS212</f>
        <v>0</v>
      </c>
      <c r="BU212" s="15" t="n">
        <f aca="false">BH212-(BD212+BE212-BF212-AY212)</f>
        <v>0</v>
      </c>
      <c r="BV212" s="15" t="n">
        <f aca="false">IF(BH211&lt;Parametri_v3!$C$31,0,BV211+1)</f>
        <v>0</v>
      </c>
    </row>
    <row r="213" customFormat="false" ht="18" hidden="false" customHeight="true" outlineLevel="0" collapsed="false">
      <c r="A213" s="68" t="n">
        <f aca="false">4</f>
        <v>4</v>
      </c>
      <c r="B213" s="68" t="n">
        <f aca="false">29</f>
        <v>29</v>
      </c>
      <c r="C213" s="18" t="n">
        <f aca="false">Motore_Operativo!C213</f>
        <v>47239</v>
      </c>
      <c r="D213" s="68" t="n">
        <f aca="false">Motore_Operativo!D213</f>
        <v>2029</v>
      </c>
      <c r="E213" s="68" t="n">
        <f aca="false">Motore_Operativo!E213</f>
        <v>5</v>
      </c>
      <c r="F213" s="15" t="n">
        <f aca="false">Motore_Operativo!AM213</f>
        <v>32670</v>
      </c>
      <c r="G213" s="15" t="n">
        <f aca="false">Motore_Operativo!BH213</f>
        <v>3267</v>
      </c>
      <c r="H213" s="15" t="n">
        <f aca="false">Motore_Operativo!AM213</f>
        <v>32670</v>
      </c>
      <c r="I213" s="15" t="n">
        <f aca="false">Motore_Operativo!CB213</f>
        <v>41807.0958333333</v>
      </c>
      <c r="J213" s="15" t="n">
        <f aca="false">Motore_Operativo!CD213</f>
        <v>-9137.09583333333</v>
      </c>
      <c r="K213" s="15" t="n">
        <f aca="false">Motore_Operativo!CF213</f>
        <v>416.666666666667</v>
      </c>
      <c r="L213" s="15" t="n">
        <f aca="false">SUM(INDEX($K$185:$K$244,MAX(1,29-Parametri_v3!$C$59+1)):K213)/Parametri_v3!$C$59</f>
        <v>280.092592592593</v>
      </c>
      <c r="M213" s="15" t="n">
        <f aca="false">J213-L213</f>
        <v>-9417.18842592592</v>
      </c>
      <c r="N213" s="15" t="n">
        <f aca="false">0</f>
        <v>0</v>
      </c>
      <c r="O213" s="15" t="n">
        <f aca="false">0</f>
        <v>0</v>
      </c>
      <c r="P213" s="15" t="n">
        <f aca="false">M213+N213-O213</f>
        <v>-9417.18842592592</v>
      </c>
      <c r="Q213" s="15" t="n">
        <f aca="false">SUM(P209:P213)+Parametri_v3!$C$56*5/12</f>
        <v>-46970.2013888889</v>
      </c>
      <c r="R213" s="15" t="n">
        <f aca="false">Z208</f>
        <v>119488.444444444</v>
      </c>
      <c r="S213" s="15" t="n">
        <f aca="false">AA208</f>
        <v>0</v>
      </c>
      <c r="T213" s="15" t="n">
        <f aca="false">MIN(R213,MAX(0,Q213))</f>
        <v>0</v>
      </c>
      <c r="U213" s="15" t="n">
        <f aca="false">MIN(S213,MAX(0,Q213-T213)*Parametri_v3!$C$42)</f>
        <v>0</v>
      </c>
      <c r="V213" s="15" t="n">
        <f aca="false">MAX(0,Q213-T213-U213)*Ipotesi!$C$92</f>
        <v>0</v>
      </c>
      <c r="W213" s="15" t="n">
        <f aca="false">MAX(0,SUM(M209:M213)+Parametri_v3!$C$57*5/12)*Ipotesi!$C$93</f>
        <v>0</v>
      </c>
      <c r="X213" s="15" t="n">
        <f aca="false">V213+W213-(V212+W212)</f>
        <v>0</v>
      </c>
      <c r="Y213" s="15" t="n">
        <f aca="false">P213-X213</f>
        <v>-9417.18842592592</v>
      </c>
      <c r="Z213" s="15" t="n">
        <f aca="false">R213-T213+IF(AND(Parametri_v3!$C$40=1,D213-YEAR(Parametri_v3!$C$50)&lt;Parametri_v3!$C$41),MAX(0,-Q213),0)</f>
        <v>166458.645833333</v>
      </c>
      <c r="AA213" s="15" t="n">
        <f aca="false">S213-U213+IF(AND(Parametri_v3!$C$40=1,D213-YEAR(Parametri_v3!$C$50)&lt;Parametri_v3!$C$41),0,MAX(0,-Q213))</f>
        <v>0</v>
      </c>
      <c r="AB213" s="15" t="n">
        <f aca="false">F213*(1+Parametri_v3!$C$26)</f>
        <v>39857.4</v>
      </c>
      <c r="AC213" s="15" t="n">
        <f aca="false">(IF(29-(INT((Motore_Operativo!L213)/30))&lt;1,0,INDEX(Motore_Advisory!$AB$185:$AB$244,MAX(1,29-(INT((Motore_Operativo!L213)/30)))))*(1-(MOD((Motore_Operativo!L213),30)/30))+IF(29-(INT((Motore_Operativo!L213)/30))-1&lt;1,0,INDEX(Motore_Advisory!$AB$185:$AB$244,MAX(1,29-(INT((Motore_Operativo!L213)/30))-1)))*(MOD((Motore_Operativo!L213),30)/30))</f>
        <v>39857.4</v>
      </c>
      <c r="AD213" s="15" t="n">
        <f aca="false">(AD212)+AB213-AC213</f>
        <v>159429.6</v>
      </c>
      <c r="AE213" s="15" t="n">
        <f aca="false">Motore_Operativo!BH213*(1+Parametri_v3!$C$26)</f>
        <v>3985.74</v>
      </c>
      <c r="AF213" s="15" t="n">
        <f aca="false">(IF(29-(INT((Parametri_v3!$C$29)/30))&lt;1,0,INDEX(Motore_Operativo!$BH$185:$BH$244,MAX(1,29-(INT((Parametri_v3!$C$29)/30)))))*(1-(MOD((Parametri_v3!$C$29),30)/30))+IF(29-(INT((Parametri_v3!$C$29)/30))-1&lt;1,0,INDEX(Motore_Operativo!$BH$185:$BH$244,MAX(1,29-(INT((Parametri_v3!$C$29)/30))-1)))*(MOD((Parametri_v3!$C$29),30)/30))*(1+Parametri_v3!$C$26)</f>
        <v>3985.74</v>
      </c>
      <c r="AG213" s="15" t="n">
        <f aca="false">(AG212)+AE213-AF213</f>
        <v>3985.74</v>
      </c>
      <c r="AH213" s="15" t="n">
        <f aca="false">(Motore_Operativo!CK213)*(1+Parametri_v3!$C$28*Parametri_v3!$C$26)</f>
        <v>15432.2952</v>
      </c>
      <c r="AI213" s="15" t="n">
        <f aca="false">(IF(29-(INT((Ipotesi!$C$91)/30))&lt;1,0,INDEX(Motore_Advisory!$AH$185:$AH$244,MAX(1,29-(INT((Ipotesi!$C$91)/30)))))*(1-(MOD((Ipotesi!$C$91),30)/30))+IF(29-(INT((Ipotesi!$C$91)/30))-1&lt;1,0,INDEX(Motore_Advisory!$AH$185:$AH$244,MAX(1,29-(INT((Ipotesi!$C$91)/30))-1)))*(MOD((Ipotesi!$C$91),30)/30))</f>
        <v>15432.2952</v>
      </c>
      <c r="AJ213" s="15" t="n">
        <f aca="false">(AJ212)+AH213-AI213</f>
        <v>30864.5904</v>
      </c>
      <c r="AK213" s="15" t="n">
        <f aca="false">(F213- Motore_Operativo!BH213-(Motore_Operativo!CK213)*Parametri_v3!$C$28-Motore_Operativo!CF213)*Parametri_v3!$C$26</f>
        <v>4067.39813333333</v>
      </c>
      <c r="AL213" s="15" t="n">
        <f aca="false">MAX(0,(AM212))</f>
        <v>4067.39813333333</v>
      </c>
      <c r="AM213" s="15" t="n">
        <f aca="false">(AM212)+AK213-AL213</f>
        <v>4067.39813333333</v>
      </c>
      <c r="AN213" s="15" t="n">
        <f aca="false">SUM(X197:X208)</f>
        <v>0</v>
      </c>
      <c r="AO213" s="15" t="n">
        <f aca="false">SUM(AP197:AP208)</f>
        <v>0</v>
      </c>
      <c r="AP213" s="15" t="n">
        <f aca="false">MAX(0,AN213)*IF(5=Parametri_v3!$C$43,Parametri_v3!$C$45,IF(5=Parametri_v3!$C$44,1-Parametri_v3!$C$45,0))</f>
        <v>0</v>
      </c>
      <c r="AQ213" s="15" t="n">
        <f aca="false">MAX(0,AP213+IF(5=Parametri_v3!$C$43,MAX(0,AN213-AO213),0)-MAX(0,-(AR212)))</f>
        <v>0</v>
      </c>
      <c r="AR213" s="15" t="n">
        <f aca="false">(AR212)+X213-AQ213</f>
        <v>0</v>
      </c>
      <c r="AS213" s="15" t="n">
        <f aca="false">Motore_Operativo!AC213-AT213+AU213</f>
        <v>24146.5260416667</v>
      </c>
      <c r="AT213" s="15" t="n">
        <f aca="false">Motore_Operativo!CI213</f>
        <v>1270.86979166667</v>
      </c>
      <c r="AU213" s="15" t="n">
        <f aca="false">MIN(MAX(0,(AV212)+AT213),Parametri_v3!$C$61/12)</f>
        <v>0</v>
      </c>
      <c r="AV213" s="15" t="n">
        <f aca="false">(AV212)+AT213-AU213</f>
        <v>19083.3489583333</v>
      </c>
      <c r="AW213" s="15" t="n">
        <f aca="false">IF(AND(Motore_Operativo!C213=Finanziamenti!$D$7,Finanziamenti!$F$7=1),Finanziamenti!$C$7,0)</f>
        <v>0</v>
      </c>
      <c r="AX213" s="15" t="n">
        <f aca="false">0</f>
        <v>0</v>
      </c>
      <c r="AY213" s="15" t="n">
        <f aca="false">IF(5=Parametri_v3!$C$33,IF(BV213&lt;MIN(12,$B213-1),0,MIN(MAX(0,SUM(Y197:Y208))*Ipotesi!$C$94,MAX(0,(BM208)-(BO212)-BP213),MAX(0,BD213-Parametri_v3!$C$31))),0)</f>
        <v>0</v>
      </c>
      <c r="AZ213" s="15" t="n">
        <f aca="false">0</f>
        <v>0</v>
      </c>
      <c r="BA213" s="15" t="n">
        <f aca="false">0</f>
        <v>0</v>
      </c>
      <c r="BB213" s="15" t="n">
        <f aca="false">0</f>
        <v>0</v>
      </c>
      <c r="BC213" s="15" t="n">
        <f aca="false">0</f>
        <v>0</v>
      </c>
      <c r="BD213" s="15" t="n">
        <f aca="false">(BH212)+AC213-AF213-AI213-AS213-K213*(1+Parametri_v3!$C$26)-AL213-AQ213-O213+AW213+AX213+AZ213+BA213-BB213</f>
        <v>-254241.335008333</v>
      </c>
      <c r="BE213" s="15" t="n">
        <f aca="false">0</f>
        <v>0</v>
      </c>
      <c r="BF213" s="15" t="n">
        <f aca="false">0</f>
        <v>0</v>
      </c>
      <c r="BG213" s="15" t="n">
        <f aca="false">0</f>
        <v>0</v>
      </c>
      <c r="BH213" s="15" t="n">
        <f aca="false">BD213+BE213-BF213-AY213</f>
        <v>-254241.335008333</v>
      </c>
      <c r="BI213" s="15" t="n">
        <f aca="false">MAX(0,Parametri_v3!$C$31-BH213)</f>
        <v>264241.335008333</v>
      </c>
      <c r="BJ213" s="15" t="n">
        <f aca="false">(BJ212)+K213</f>
        <v>10083.3333333333</v>
      </c>
      <c r="BK213" s="15" t="n">
        <f aca="false">(BK212)+L213</f>
        <v>3729.16666666667</v>
      </c>
      <c r="BL213" s="15" t="n">
        <f aca="false">BJ213-BK213</f>
        <v>6354.16666666667</v>
      </c>
      <c r="BM213" s="15" t="n">
        <f aca="false">(BM212)+Y213</f>
        <v>-166458.645833333</v>
      </c>
      <c r="BN213" s="15" t="n">
        <f aca="false">(BN212)+AW213+AX213+AZ213</f>
        <v>20000</v>
      </c>
      <c r="BO213" s="15" t="n">
        <f aca="false">(BO212)+AY213</f>
        <v>0</v>
      </c>
      <c r="BP213" s="15" t="n">
        <f aca="false">MIN(Parametri_v3!$C$36*Parametri_v3!$C$35,(BP212)+IF(5=1,MAX(0,SUM(Y197:Y208))*Parametri_v3!$C$34,0))</f>
        <v>0</v>
      </c>
      <c r="BQ213" s="15" t="n">
        <f aca="false">BN213+BM213-BO213</f>
        <v>-146458.645833333</v>
      </c>
      <c r="BR213" s="15" t="n">
        <f aca="false">BH213+AD213+BL213+MAX(0,-AM213)+MAX(0,-AR213)</f>
        <v>-88457.5683416664</v>
      </c>
      <c r="BS213" s="15" t="n">
        <f aca="false">AJ213+AV213+MAX(0,AM213)+MAX(0,AR213)+BC213+BG213+BQ213+AG213</f>
        <v>-88457.5683416665</v>
      </c>
      <c r="BT213" s="15" t="n">
        <f aca="false">BR213-BS213</f>
        <v>0</v>
      </c>
      <c r="BU213" s="15" t="n">
        <f aca="false">BH213-(BD213+BE213-BF213-AY213)</f>
        <v>0</v>
      </c>
      <c r="BV213" s="15" t="n">
        <f aca="false">IF(BH212&lt;Parametri_v3!$C$31,0,BV212+1)</f>
        <v>0</v>
      </c>
    </row>
    <row r="214" customFormat="false" ht="18" hidden="false" customHeight="true" outlineLevel="0" collapsed="false">
      <c r="A214" s="68" t="n">
        <f aca="false">4</f>
        <v>4</v>
      </c>
      <c r="B214" s="68" t="n">
        <f aca="false">30</f>
        <v>30</v>
      </c>
      <c r="C214" s="18" t="n">
        <f aca="false">Motore_Operativo!C214</f>
        <v>47270</v>
      </c>
      <c r="D214" s="68" t="n">
        <f aca="false">Motore_Operativo!D214</f>
        <v>2029</v>
      </c>
      <c r="E214" s="68" t="n">
        <f aca="false">Motore_Operativo!E214</f>
        <v>6</v>
      </c>
      <c r="F214" s="15" t="n">
        <f aca="false">Motore_Operativo!AM214</f>
        <v>32670</v>
      </c>
      <c r="G214" s="15" t="n">
        <f aca="false">Motore_Operativo!BH214</f>
        <v>3267</v>
      </c>
      <c r="H214" s="15" t="n">
        <f aca="false">Motore_Operativo!AM214</f>
        <v>32670</v>
      </c>
      <c r="I214" s="15" t="n">
        <f aca="false">Motore_Operativo!CB214</f>
        <v>41807.0958333333</v>
      </c>
      <c r="J214" s="15" t="n">
        <f aca="false">Motore_Operativo!CD214</f>
        <v>-9137.09583333333</v>
      </c>
      <c r="K214" s="15" t="n">
        <f aca="false">Motore_Operativo!CF214</f>
        <v>416.666666666667</v>
      </c>
      <c r="L214" s="15" t="n">
        <f aca="false">SUM(INDEX($K$185:$K$244,MAX(1,30-Parametri_v3!$C$59+1)):K214)/Parametri_v3!$C$59</f>
        <v>291.666666666667</v>
      </c>
      <c r="M214" s="15" t="n">
        <f aca="false">J214-L214</f>
        <v>-9428.76249999999</v>
      </c>
      <c r="N214" s="15" t="n">
        <f aca="false">0</f>
        <v>0</v>
      </c>
      <c r="O214" s="15" t="n">
        <f aca="false">0</f>
        <v>0</v>
      </c>
      <c r="P214" s="15" t="n">
        <f aca="false">M214+N214-O214</f>
        <v>-9428.76249999999</v>
      </c>
      <c r="Q214" s="15" t="n">
        <f aca="false">SUM(P209:P214)+Parametri_v3!$C$56*6/12</f>
        <v>-56398.9638888888</v>
      </c>
      <c r="R214" s="15" t="n">
        <f aca="false">Z208</f>
        <v>119488.444444444</v>
      </c>
      <c r="S214" s="15" t="n">
        <f aca="false">AA208</f>
        <v>0</v>
      </c>
      <c r="T214" s="15" t="n">
        <f aca="false">MIN(R214,MAX(0,Q214))</f>
        <v>0</v>
      </c>
      <c r="U214" s="15" t="n">
        <f aca="false">MIN(S214,MAX(0,Q214-T214)*Parametri_v3!$C$42)</f>
        <v>0</v>
      </c>
      <c r="V214" s="15" t="n">
        <f aca="false">MAX(0,Q214-T214-U214)*Ipotesi!$C$92</f>
        <v>0</v>
      </c>
      <c r="W214" s="15" t="n">
        <f aca="false">MAX(0,SUM(M209:M214)+Parametri_v3!$C$57*6/12)*Ipotesi!$C$93</f>
        <v>0</v>
      </c>
      <c r="X214" s="15" t="n">
        <f aca="false">V214+W214-(V213+W213)</f>
        <v>0</v>
      </c>
      <c r="Y214" s="15" t="n">
        <f aca="false">P214-X214</f>
        <v>-9428.76249999999</v>
      </c>
      <c r="Z214" s="15" t="n">
        <f aca="false">R214-T214+IF(AND(Parametri_v3!$C$40=1,D214-YEAR(Parametri_v3!$C$50)&lt;Parametri_v3!$C$41),MAX(0,-Q214),0)</f>
        <v>175887.408333333</v>
      </c>
      <c r="AA214" s="15" t="n">
        <f aca="false">S214-U214+IF(AND(Parametri_v3!$C$40=1,D214-YEAR(Parametri_v3!$C$50)&lt;Parametri_v3!$C$41),0,MAX(0,-Q214))</f>
        <v>0</v>
      </c>
      <c r="AB214" s="15" t="n">
        <f aca="false">F214*(1+Parametri_v3!$C$26)</f>
        <v>39857.4</v>
      </c>
      <c r="AC214" s="15" t="n">
        <f aca="false">(IF(30-(INT((Motore_Operativo!L214)/30))&lt;1,0,INDEX(Motore_Advisory!$AB$185:$AB$244,MAX(1,30-(INT((Motore_Operativo!L214)/30)))))*(1-(MOD((Motore_Operativo!L214),30)/30))+IF(30-(INT((Motore_Operativo!L214)/30))-1&lt;1,0,INDEX(Motore_Advisory!$AB$185:$AB$244,MAX(1,30-(INT((Motore_Operativo!L214)/30))-1)))*(MOD((Motore_Operativo!L214),30)/30))</f>
        <v>39857.4</v>
      </c>
      <c r="AD214" s="15" t="n">
        <f aca="false">(AD213)+AB214-AC214</f>
        <v>159429.6</v>
      </c>
      <c r="AE214" s="15" t="n">
        <f aca="false">Motore_Operativo!BH214*(1+Parametri_v3!$C$26)</f>
        <v>3985.74</v>
      </c>
      <c r="AF214" s="15" t="n">
        <f aca="false">(IF(30-(INT((Parametri_v3!$C$29)/30))&lt;1,0,INDEX(Motore_Operativo!$BH$185:$BH$244,MAX(1,30-(INT((Parametri_v3!$C$29)/30)))))*(1-(MOD((Parametri_v3!$C$29),30)/30))+IF(30-(INT((Parametri_v3!$C$29)/30))-1&lt;1,0,INDEX(Motore_Operativo!$BH$185:$BH$244,MAX(1,30-(INT((Parametri_v3!$C$29)/30))-1)))*(MOD((Parametri_v3!$C$29),30)/30))*(1+Parametri_v3!$C$26)</f>
        <v>3985.74</v>
      </c>
      <c r="AG214" s="15" t="n">
        <f aca="false">(AG213)+AE214-AF214</f>
        <v>3985.74</v>
      </c>
      <c r="AH214" s="15" t="n">
        <f aca="false">(Motore_Operativo!CK214)*(1+Parametri_v3!$C$28*Parametri_v3!$C$26)</f>
        <v>15432.2952</v>
      </c>
      <c r="AI214" s="15" t="n">
        <f aca="false">(IF(30-(INT((Ipotesi!$C$91)/30))&lt;1,0,INDEX(Motore_Advisory!$AH$185:$AH$244,MAX(1,30-(INT((Ipotesi!$C$91)/30)))))*(1-(MOD((Ipotesi!$C$91),30)/30))+IF(30-(INT((Ipotesi!$C$91)/30))-1&lt;1,0,INDEX(Motore_Advisory!$AH$185:$AH$244,MAX(1,30-(INT((Ipotesi!$C$91)/30))-1)))*(MOD((Ipotesi!$C$91),30)/30))</f>
        <v>15432.2952</v>
      </c>
      <c r="AJ214" s="15" t="n">
        <f aca="false">(AJ213)+AH214-AI214</f>
        <v>30864.5904</v>
      </c>
      <c r="AK214" s="15" t="n">
        <f aca="false">(F214- Motore_Operativo!BH214-(Motore_Operativo!CK214)*Parametri_v3!$C$28-Motore_Operativo!CF214)*Parametri_v3!$C$26</f>
        <v>4067.39813333333</v>
      </c>
      <c r="AL214" s="15" t="n">
        <f aca="false">MAX(0,(AM213))</f>
        <v>4067.39813333333</v>
      </c>
      <c r="AM214" s="15" t="n">
        <f aca="false">(AM213)+AK214-AL214</f>
        <v>4067.39813333333</v>
      </c>
      <c r="AN214" s="15" t="n">
        <f aca="false">SUM(X197:X208)</f>
        <v>0</v>
      </c>
      <c r="AO214" s="15" t="n">
        <f aca="false">SUM(AP197:AP208)</f>
        <v>0</v>
      </c>
      <c r="AP214" s="15" t="n">
        <f aca="false">MAX(0,AN214)*IF(6=Parametri_v3!$C$43,Parametri_v3!$C$45,IF(6=Parametri_v3!$C$44,1-Parametri_v3!$C$45,0))</f>
        <v>0</v>
      </c>
      <c r="AQ214" s="15" t="n">
        <f aca="false">MAX(0,AP214+IF(6=Parametri_v3!$C$43,MAX(0,AN214-AO214),0)-MAX(0,-(AR213)))</f>
        <v>0</v>
      </c>
      <c r="AR214" s="15" t="n">
        <f aca="false">(AR213)+X214-AQ214</f>
        <v>0</v>
      </c>
      <c r="AS214" s="15" t="n">
        <f aca="false">Motore_Operativo!AC214-AT214+AU214</f>
        <v>24146.5260416667</v>
      </c>
      <c r="AT214" s="15" t="n">
        <f aca="false">Motore_Operativo!CI214</f>
        <v>1270.86979166667</v>
      </c>
      <c r="AU214" s="15" t="n">
        <f aca="false">MIN(MAX(0,(AV213)+AT214),Parametri_v3!$C$61/12)</f>
        <v>0</v>
      </c>
      <c r="AV214" s="15" t="n">
        <f aca="false">(AV213)+AT214-AU214</f>
        <v>20354.21875</v>
      </c>
      <c r="AW214" s="15" t="n">
        <f aca="false">IF(AND(Motore_Operativo!C214=Finanziamenti!$D$7,Finanziamenti!$F$7=1),Finanziamenti!$C$7,0)</f>
        <v>0</v>
      </c>
      <c r="AX214" s="15" t="n">
        <f aca="false">0</f>
        <v>0</v>
      </c>
      <c r="AY214" s="15" t="n">
        <f aca="false">IF(6=Parametri_v3!$C$33,IF(BV214&lt;MIN(12,$B214-1),0,MIN(MAX(0,SUM(Y197:Y208))*Ipotesi!$C$94,MAX(0,(BM208)-(BO213)-BP214),MAX(0,BD214-Parametri_v3!$C$31))),0)</f>
        <v>0</v>
      </c>
      <c r="AZ214" s="15" t="n">
        <f aca="false">0</f>
        <v>0</v>
      </c>
      <c r="BA214" s="15" t="n">
        <f aca="false">0</f>
        <v>0</v>
      </c>
      <c r="BB214" s="15" t="n">
        <f aca="false">0</f>
        <v>0</v>
      </c>
      <c r="BC214" s="15" t="n">
        <f aca="false">0</f>
        <v>0</v>
      </c>
      <c r="BD214" s="15" t="n">
        <f aca="false">(BH213)+AC214-AF214-AI214-AS214-K214*(1+Parametri_v3!$C$26)-AL214-AQ214-O214+AW214+AX214+AZ214+BA214-BB214</f>
        <v>-262524.227716667</v>
      </c>
      <c r="BE214" s="15" t="n">
        <f aca="false">0</f>
        <v>0</v>
      </c>
      <c r="BF214" s="15" t="n">
        <f aca="false">0</f>
        <v>0</v>
      </c>
      <c r="BG214" s="15" t="n">
        <f aca="false">0</f>
        <v>0</v>
      </c>
      <c r="BH214" s="15" t="n">
        <f aca="false">BD214+BE214-BF214-AY214</f>
        <v>-262524.227716667</v>
      </c>
      <c r="BI214" s="15" t="n">
        <f aca="false">MAX(0,Parametri_v3!$C$31-BH214)</f>
        <v>272524.227716667</v>
      </c>
      <c r="BJ214" s="15" t="n">
        <f aca="false">(BJ213)+K214</f>
        <v>10500</v>
      </c>
      <c r="BK214" s="15" t="n">
        <f aca="false">(BK213)+L214</f>
        <v>4020.83333333333</v>
      </c>
      <c r="BL214" s="15" t="n">
        <f aca="false">BJ214-BK214</f>
        <v>6479.16666666667</v>
      </c>
      <c r="BM214" s="15" t="n">
        <f aca="false">(BM213)+Y214</f>
        <v>-175887.408333333</v>
      </c>
      <c r="BN214" s="15" t="n">
        <f aca="false">(BN213)+AW214+AX214+AZ214</f>
        <v>20000</v>
      </c>
      <c r="BO214" s="15" t="n">
        <f aca="false">(BO213)+AY214</f>
        <v>0</v>
      </c>
      <c r="BP214" s="15" t="n">
        <f aca="false">MIN(Parametri_v3!$C$36*Parametri_v3!$C$35,(BP213)+IF(6=1,MAX(0,SUM(Y197:Y208))*Parametri_v3!$C$34,0))</f>
        <v>0</v>
      </c>
      <c r="BQ214" s="15" t="n">
        <f aca="false">BN214+BM214-BO214</f>
        <v>-155887.408333333</v>
      </c>
      <c r="BR214" s="15" t="n">
        <f aca="false">BH214+AD214+BL214+MAX(0,-AM214)+MAX(0,-AR214)</f>
        <v>-96615.4610499997</v>
      </c>
      <c r="BS214" s="15" t="n">
        <f aca="false">AJ214+AV214+MAX(0,AM214)+MAX(0,AR214)+BC214+BG214+BQ214+AG214</f>
        <v>-96615.4610499998</v>
      </c>
      <c r="BT214" s="15" t="n">
        <f aca="false">BR214-BS214</f>
        <v>0</v>
      </c>
      <c r="BU214" s="15" t="n">
        <f aca="false">BH214-(BD214+BE214-BF214-AY214)</f>
        <v>0</v>
      </c>
      <c r="BV214" s="15" t="n">
        <f aca="false">IF(BH213&lt;Parametri_v3!$C$31,0,BV213+1)</f>
        <v>0</v>
      </c>
    </row>
    <row r="215" customFormat="false" ht="18" hidden="false" customHeight="true" outlineLevel="0" collapsed="false">
      <c r="A215" s="68" t="n">
        <f aca="false">4</f>
        <v>4</v>
      </c>
      <c r="B215" s="68" t="n">
        <f aca="false">31</f>
        <v>31</v>
      </c>
      <c r="C215" s="18" t="n">
        <f aca="false">Motore_Operativo!C215</f>
        <v>47300</v>
      </c>
      <c r="D215" s="68" t="n">
        <f aca="false">Motore_Operativo!D215</f>
        <v>2029</v>
      </c>
      <c r="E215" s="68" t="n">
        <f aca="false">Motore_Operativo!E215</f>
        <v>7</v>
      </c>
      <c r="F215" s="15" t="n">
        <f aca="false">Motore_Operativo!AM215</f>
        <v>32670</v>
      </c>
      <c r="G215" s="15" t="n">
        <f aca="false">Motore_Operativo!BH215</f>
        <v>3267</v>
      </c>
      <c r="H215" s="15" t="n">
        <f aca="false">Motore_Operativo!AM215</f>
        <v>32670</v>
      </c>
      <c r="I215" s="15" t="n">
        <f aca="false">Motore_Operativo!CB215</f>
        <v>41807.0958333333</v>
      </c>
      <c r="J215" s="15" t="n">
        <f aca="false">Motore_Operativo!CD215</f>
        <v>-9137.09583333333</v>
      </c>
      <c r="K215" s="15" t="n">
        <f aca="false">Motore_Operativo!CF215</f>
        <v>416.666666666667</v>
      </c>
      <c r="L215" s="15" t="n">
        <f aca="false">SUM(INDEX($K$185:$K$244,MAX(1,31-Parametri_v3!$C$59+1)):K215)/Parametri_v3!$C$59</f>
        <v>303.240740740741</v>
      </c>
      <c r="M215" s="15" t="n">
        <f aca="false">J215-L215</f>
        <v>-9440.33657407407</v>
      </c>
      <c r="N215" s="15" t="n">
        <f aca="false">0</f>
        <v>0</v>
      </c>
      <c r="O215" s="15" t="n">
        <f aca="false">0</f>
        <v>0</v>
      </c>
      <c r="P215" s="15" t="n">
        <f aca="false">M215+N215-O215</f>
        <v>-9440.33657407407</v>
      </c>
      <c r="Q215" s="15" t="n">
        <f aca="false">SUM(P209:P215)+Parametri_v3!$C$56*7/12</f>
        <v>-65839.3004629629</v>
      </c>
      <c r="R215" s="15" t="n">
        <f aca="false">Z208</f>
        <v>119488.444444444</v>
      </c>
      <c r="S215" s="15" t="n">
        <f aca="false">AA208</f>
        <v>0</v>
      </c>
      <c r="T215" s="15" t="n">
        <f aca="false">MIN(R215,MAX(0,Q215))</f>
        <v>0</v>
      </c>
      <c r="U215" s="15" t="n">
        <f aca="false">MIN(S215,MAX(0,Q215-T215)*Parametri_v3!$C$42)</f>
        <v>0</v>
      </c>
      <c r="V215" s="15" t="n">
        <f aca="false">MAX(0,Q215-T215-U215)*Ipotesi!$C$92</f>
        <v>0</v>
      </c>
      <c r="W215" s="15" t="n">
        <f aca="false">MAX(0,SUM(M209:M215)+Parametri_v3!$C$57*7/12)*Ipotesi!$C$93</f>
        <v>0</v>
      </c>
      <c r="X215" s="15" t="n">
        <f aca="false">V215+W215-(V214+W214)</f>
        <v>0</v>
      </c>
      <c r="Y215" s="15" t="n">
        <f aca="false">P215-X215</f>
        <v>-9440.33657407407</v>
      </c>
      <c r="Z215" s="15" t="n">
        <f aca="false">R215-T215+IF(AND(Parametri_v3!$C$40=1,D215-YEAR(Parametri_v3!$C$50)&lt;Parametri_v3!$C$41),MAX(0,-Q215),0)</f>
        <v>185327.744907407</v>
      </c>
      <c r="AA215" s="15" t="n">
        <f aca="false">S215-U215+IF(AND(Parametri_v3!$C$40=1,D215-YEAR(Parametri_v3!$C$50)&lt;Parametri_v3!$C$41),0,MAX(0,-Q215))</f>
        <v>0</v>
      </c>
      <c r="AB215" s="15" t="n">
        <f aca="false">F215*(1+Parametri_v3!$C$26)</f>
        <v>39857.4</v>
      </c>
      <c r="AC215" s="15" t="n">
        <f aca="false">(IF(31-(INT((Motore_Operativo!L215)/30))&lt;1,0,INDEX(Motore_Advisory!$AB$185:$AB$244,MAX(1,31-(INT((Motore_Operativo!L215)/30)))))*(1-(MOD((Motore_Operativo!L215),30)/30))+IF(31-(INT((Motore_Operativo!L215)/30))-1&lt;1,0,INDEX(Motore_Advisory!$AB$185:$AB$244,MAX(1,31-(INT((Motore_Operativo!L215)/30))-1)))*(MOD((Motore_Operativo!L215),30)/30))</f>
        <v>39857.4</v>
      </c>
      <c r="AD215" s="15" t="n">
        <f aca="false">(AD214)+AB215-AC215</f>
        <v>159429.6</v>
      </c>
      <c r="AE215" s="15" t="n">
        <f aca="false">Motore_Operativo!BH215*(1+Parametri_v3!$C$26)</f>
        <v>3985.74</v>
      </c>
      <c r="AF215" s="15" t="n">
        <f aca="false">(IF(31-(INT((Parametri_v3!$C$29)/30))&lt;1,0,INDEX(Motore_Operativo!$BH$185:$BH$244,MAX(1,31-(INT((Parametri_v3!$C$29)/30)))))*(1-(MOD((Parametri_v3!$C$29),30)/30))+IF(31-(INT((Parametri_v3!$C$29)/30))-1&lt;1,0,INDEX(Motore_Operativo!$BH$185:$BH$244,MAX(1,31-(INT((Parametri_v3!$C$29)/30))-1)))*(MOD((Parametri_v3!$C$29),30)/30))*(1+Parametri_v3!$C$26)</f>
        <v>3985.74</v>
      </c>
      <c r="AG215" s="15" t="n">
        <f aca="false">(AG214)+AE215-AF215</f>
        <v>3985.74</v>
      </c>
      <c r="AH215" s="15" t="n">
        <f aca="false">(Motore_Operativo!CK215)*(1+Parametri_v3!$C$28*Parametri_v3!$C$26)</f>
        <v>15432.2952</v>
      </c>
      <c r="AI215" s="15" t="n">
        <f aca="false">(IF(31-(INT((Ipotesi!$C$91)/30))&lt;1,0,INDEX(Motore_Advisory!$AH$185:$AH$244,MAX(1,31-(INT((Ipotesi!$C$91)/30)))))*(1-(MOD((Ipotesi!$C$91),30)/30))+IF(31-(INT((Ipotesi!$C$91)/30))-1&lt;1,0,INDEX(Motore_Advisory!$AH$185:$AH$244,MAX(1,31-(INT((Ipotesi!$C$91)/30))-1)))*(MOD((Ipotesi!$C$91),30)/30))</f>
        <v>15432.2952</v>
      </c>
      <c r="AJ215" s="15" t="n">
        <f aca="false">(AJ214)+AH215-AI215</f>
        <v>30864.5904</v>
      </c>
      <c r="AK215" s="15" t="n">
        <f aca="false">(F215- Motore_Operativo!BH215-(Motore_Operativo!CK215)*Parametri_v3!$C$28-Motore_Operativo!CF215)*Parametri_v3!$C$26</f>
        <v>4067.39813333333</v>
      </c>
      <c r="AL215" s="15" t="n">
        <f aca="false">MAX(0,(AM214))</f>
        <v>4067.39813333333</v>
      </c>
      <c r="AM215" s="15" t="n">
        <f aca="false">(AM214)+AK215-AL215</f>
        <v>4067.39813333333</v>
      </c>
      <c r="AN215" s="15" t="n">
        <f aca="false">SUM(X197:X208)</f>
        <v>0</v>
      </c>
      <c r="AO215" s="15" t="n">
        <f aca="false">SUM(AP197:AP208)</f>
        <v>0</v>
      </c>
      <c r="AP215" s="15" t="n">
        <f aca="false">MAX(0,AN215)*IF(7=Parametri_v3!$C$43,Parametri_v3!$C$45,IF(7=Parametri_v3!$C$44,1-Parametri_v3!$C$45,0))</f>
        <v>0</v>
      </c>
      <c r="AQ215" s="15" t="n">
        <f aca="false">MAX(0,AP215+IF(7=Parametri_v3!$C$43,MAX(0,AN215-AO215),0)-MAX(0,-(AR214)))</f>
        <v>0</v>
      </c>
      <c r="AR215" s="15" t="n">
        <f aca="false">(AR214)+X215-AQ215</f>
        <v>0</v>
      </c>
      <c r="AS215" s="15" t="n">
        <f aca="false">Motore_Operativo!AC215-AT215+AU215</f>
        <v>24146.5260416667</v>
      </c>
      <c r="AT215" s="15" t="n">
        <f aca="false">Motore_Operativo!CI215</f>
        <v>1270.86979166667</v>
      </c>
      <c r="AU215" s="15" t="n">
        <f aca="false">MIN(MAX(0,(AV214)+AT215),Parametri_v3!$C$61/12)</f>
        <v>0</v>
      </c>
      <c r="AV215" s="15" t="n">
        <f aca="false">(AV214)+AT215-AU215</f>
        <v>21625.0885416667</v>
      </c>
      <c r="AW215" s="15" t="n">
        <f aca="false">IF(AND(Motore_Operativo!C215=Finanziamenti!$D$7,Finanziamenti!$F$7=1),Finanziamenti!$C$7,0)</f>
        <v>0</v>
      </c>
      <c r="AX215" s="15" t="n">
        <f aca="false">0</f>
        <v>0</v>
      </c>
      <c r="AY215" s="15" t="n">
        <f aca="false">IF(7=Parametri_v3!$C$33,IF(BV215&lt;MIN(12,$B215-1),0,MIN(MAX(0,SUM(Y197:Y208))*Ipotesi!$C$94,MAX(0,(BM208)-(BO214)-BP215),MAX(0,BD215-Parametri_v3!$C$31))),0)</f>
        <v>0</v>
      </c>
      <c r="AZ215" s="15" t="n">
        <f aca="false">0</f>
        <v>0</v>
      </c>
      <c r="BA215" s="15" t="n">
        <f aca="false">0</f>
        <v>0</v>
      </c>
      <c r="BB215" s="15" t="n">
        <f aca="false">0</f>
        <v>0</v>
      </c>
      <c r="BC215" s="15" t="n">
        <f aca="false">0</f>
        <v>0</v>
      </c>
      <c r="BD215" s="15" t="n">
        <f aca="false">(BH214)+AC215-AF215-AI215-AS215-K215*(1+Parametri_v3!$C$26)-AL215-AQ215-O215+AW215+AX215+AZ215+BA215-BB215</f>
        <v>-270807.120425</v>
      </c>
      <c r="BE215" s="15" t="n">
        <f aca="false">0</f>
        <v>0</v>
      </c>
      <c r="BF215" s="15" t="n">
        <f aca="false">0</f>
        <v>0</v>
      </c>
      <c r="BG215" s="15" t="n">
        <f aca="false">0</f>
        <v>0</v>
      </c>
      <c r="BH215" s="15" t="n">
        <f aca="false">BD215+BE215-BF215-AY215</f>
        <v>-270807.120425</v>
      </c>
      <c r="BI215" s="15" t="n">
        <f aca="false">MAX(0,Parametri_v3!$C$31-BH215)</f>
        <v>280807.120425</v>
      </c>
      <c r="BJ215" s="15" t="n">
        <f aca="false">(BJ214)+K215</f>
        <v>10916.6666666667</v>
      </c>
      <c r="BK215" s="15" t="n">
        <f aca="false">(BK214)+L215</f>
        <v>4324.07407407407</v>
      </c>
      <c r="BL215" s="15" t="n">
        <f aca="false">BJ215-BK215</f>
        <v>6592.59259259259</v>
      </c>
      <c r="BM215" s="15" t="n">
        <f aca="false">(BM214)+Y215</f>
        <v>-185327.744907407</v>
      </c>
      <c r="BN215" s="15" t="n">
        <f aca="false">(BN214)+AW215+AX215+AZ215</f>
        <v>20000</v>
      </c>
      <c r="BO215" s="15" t="n">
        <f aca="false">(BO214)+AY215</f>
        <v>0</v>
      </c>
      <c r="BP215" s="15" t="n">
        <f aca="false">MIN(Parametri_v3!$C$36*Parametri_v3!$C$35,(BP214)+IF(7=1,MAX(0,SUM(Y197:Y208))*Parametri_v3!$C$34,0))</f>
        <v>0</v>
      </c>
      <c r="BQ215" s="15" t="n">
        <f aca="false">BN215+BM215-BO215</f>
        <v>-165327.744907407</v>
      </c>
      <c r="BR215" s="15" t="n">
        <f aca="false">BH215+AD215+BL215+MAX(0,-AM215)+MAX(0,-AR215)</f>
        <v>-104784.927832407</v>
      </c>
      <c r="BS215" s="15" t="n">
        <f aca="false">AJ215+AV215+MAX(0,AM215)+MAX(0,AR215)+BC215+BG215+BQ215+AG215</f>
        <v>-104784.927832407</v>
      </c>
      <c r="BT215" s="15" t="n">
        <f aca="false">BR215-BS215</f>
        <v>0</v>
      </c>
      <c r="BU215" s="15" t="n">
        <f aca="false">BH215-(BD215+BE215-BF215-AY215)</f>
        <v>0</v>
      </c>
      <c r="BV215" s="15" t="n">
        <f aca="false">IF(BH214&lt;Parametri_v3!$C$31,0,BV214+1)</f>
        <v>0</v>
      </c>
    </row>
    <row r="216" customFormat="false" ht="18" hidden="false" customHeight="true" outlineLevel="0" collapsed="false">
      <c r="A216" s="68" t="n">
        <f aca="false">4</f>
        <v>4</v>
      </c>
      <c r="B216" s="68" t="n">
        <f aca="false">32</f>
        <v>32</v>
      </c>
      <c r="C216" s="18" t="n">
        <f aca="false">Motore_Operativo!C216</f>
        <v>47331</v>
      </c>
      <c r="D216" s="68" t="n">
        <f aca="false">Motore_Operativo!D216</f>
        <v>2029</v>
      </c>
      <c r="E216" s="68" t="n">
        <f aca="false">Motore_Operativo!E216</f>
        <v>8</v>
      </c>
      <c r="F216" s="15" t="n">
        <f aca="false">Motore_Operativo!AM216</f>
        <v>32670</v>
      </c>
      <c r="G216" s="15" t="n">
        <f aca="false">Motore_Operativo!BH216</f>
        <v>3267</v>
      </c>
      <c r="H216" s="15" t="n">
        <f aca="false">Motore_Operativo!AM216</f>
        <v>32670</v>
      </c>
      <c r="I216" s="15" t="n">
        <f aca="false">Motore_Operativo!CB216</f>
        <v>41807.0958333333</v>
      </c>
      <c r="J216" s="15" t="n">
        <f aca="false">Motore_Operativo!CD216</f>
        <v>-9137.09583333333</v>
      </c>
      <c r="K216" s="15" t="n">
        <f aca="false">Motore_Operativo!CF216</f>
        <v>416.666666666667</v>
      </c>
      <c r="L216" s="15" t="n">
        <f aca="false">SUM(INDEX($K$185:$K$244,MAX(1,32-Parametri_v3!$C$59+1)):K216)/Parametri_v3!$C$59</f>
        <v>314.814814814815</v>
      </c>
      <c r="M216" s="15" t="n">
        <f aca="false">J216-L216</f>
        <v>-9451.91064814814</v>
      </c>
      <c r="N216" s="15" t="n">
        <f aca="false">0</f>
        <v>0</v>
      </c>
      <c r="O216" s="15" t="n">
        <f aca="false">0</f>
        <v>0</v>
      </c>
      <c r="P216" s="15" t="n">
        <f aca="false">M216+N216-O216</f>
        <v>-9451.91064814814</v>
      </c>
      <c r="Q216" s="15" t="n">
        <f aca="false">SUM(P209:P216)+Parametri_v3!$C$56*8/12</f>
        <v>-75291.2111111111</v>
      </c>
      <c r="R216" s="15" t="n">
        <f aca="false">Z208</f>
        <v>119488.444444444</v>
      </c>
      <c r="S216" s="15" t="n">
        <f aca="false">AA208</f>
        <v>0</v>
      </c>
      <c r="T216" s="15" t="n">
        <f aca="false">MIN(R216,MAX(0,Q216))</f>
        <v>0</v>
      </c>
      <c r="U216" s="15" t="n">
        <f aca="false">MIN(S216,MAX(0,Q216-T216)*Parametri_v3!$C$42)</f>
        <v>0</v>
      </c>
      <c r="V216" s="15" t="n">
        <f aca="false">MAX(0,Q216-T216-U216)*Ipotesi!$C$92</f>
        <v>0</v>
      </c>
      <c r="W216" s="15" t="n">
        <f aca="false">MAX(0,SUM(M209:M216)+Parametri_v3!$C$57*8/12)*Ipotesi!$C$93</f>
        <v>0</v>
      </c>
      <c r="X216" s="15" t="n">
        <f aca="false">V216+W216-(V215+W215)</f>
        <v>0</v>
      </c>
      <c r="Y216" s="15" t="n">
        <f aca="false">P216-X216</f>
        <v>-9451.91064814814</v>
      </c>
      <c r="Z216" s="15" t="n">
        <f aca="false">R216-T216+IF(AND(Parametri_v3!$C$40=1,D216-YEAR(Parametri_v3!$C$50)&lt;Parametri_v3!$C$41),MAX(0,-Q216),0)</f>
        <v>194779.655555555</v>
      </c>
      <c r="AA216" s="15" t="n">
        <f aca="false">S216-U216+IF(AND(Parametri_v3!$C$40=1,D216-YEAR(Parametri_v3!$C$50)&lt;Parametri_v3!$C$41),0,MAX(0,-Q216))</f>
        <v>0</v>
      </c>
      <c r="AB216" s="15" t="n">
        <f aca="false">F216*(1+Parametri_v3!$C$26)</f>
        <v>39857.4</v>
      </c>
      <c r="AC216" s="15" t="n">
        <f aca="false">(IF(32-(INT((Motore_Operativo!L216)/30))&lt;1,0,INDEX(Motore_Advisory!$AB$185:$AB$244,MAX(1,32-(INT((Motore_Operativo!L216)/30)))))*(1-(MOD((Motore_Operativo!L216),30)/30))+IF(32-(INT((Motore_Operativo!L216)/30))-1&lt;1,0,INDEX(Motore_Advisory!$AB$185:$AB$244,MAX(1,32-(INT((Motore_Operativo!L216)/30))-1)))*(MOD((Motore_Operativo!L216),30)/30))</f>
        <v>39857.4</v>
      </c>
      <c r="AD216" s="15" t="n">
        <f aca="false">(AD215)+AB216-AC216</f>
        <v>159429.6</v>
      </c>
      <c r="AE216" s="15" t="n">
        <f aca="false">Motore_Operativo!BH216*(1+Parametri_v3!$C$26)</f>
        <v>3985.74</v>
      </c>
      <c r="AF216" s="15" t="n">
        <f aca="false">(IF(32-(INT((Parametri_v3!$C$29)/30))&lt;1,0,INDEX(Motore_Operativo!$BH$185:$BH$244,MAX(1,32-(INT((Parametri_v3!$C$29)/30)))))*(1-(MOD((Parametri_v3!$C$29),30)/30))+IF(32-(INT((Parametri_v3!$C$29)/30))-1&lt;1,0,INDEX(Motore_Operativo!$BH$185:$BH$244,MAX(1,32-(INT((Parametri_v3!$C$29)/30))-1)))*(MOD((Parametri_v3!$C$29),30)/30))*(1+Parametri_v3!$C$26)</f>
        <v>3985.74</v>
      </c>
      <c r="AG216" s="15" t="n">
        <f aca="false">(AG215)+AE216-AF216</f>
        <v>3985.74</v>
      </c>
      <c r="AH216" s="15" t="n">
        <f aca="false">(Motore_Operativo!CK216)*(1+Parametri_v3!$C$28*Parametri_v3!$C$26)</f>
        <v>15432.2952</v>
      </c>
      <c r="AI216" s="15" t="n">
        <f aca="false">(IF(32-(INT((Ipotesi!$C$91)/30))&lt;1,0,INDEX(Motore_Advisory!$AH$185:$AH$244,MAX(1,32-(INT((Ipotesi!$C$91)/30)))))*(1-(MOD((Ipotesi!$C$91),30)/30))+IF(32-(INT((Ipotesi!$C$91)/30))-1&lt;1,0,INDEX(Motore_Advisory!$AH$185:$AH$244,MAX(1,32-(INT((Ipotesi!$C$91)/30))-1)))*(MOD((Ipotesi!$C$91),30)/30))</f>
        <v>15432.2952</v>
      </c>
      <c r="AJ216" s="15" t="n">
        <f aca="false">(AJ215)+AH216-AI216</f>
        <v>30864.5904</v>
      </c>
      <c r="AK216" s="15" t="n">
        <f aca="false">(F216- Motore_Operativo!BH216-(Motore_Operativo!CK216)*Parametri_v3!$C$28-Motore_Operativo!CF216)*Parametri_v3!$C$26</f>
        <v>4067.39813333333</v>
      </c>
      <c r="AL216" s="15" t="n">
        <f aca="false">MAX(0,(AM215))</f>
        <v>4067.39813333333</v>
      </c>
      <c r="AM216" s="15" t="n">
        <f aca="false">(AM215)+AK216-AL216</f>
        <v>4067.39813333333</v>
      </c>
      <c r="AN216" s="15" t="n">
        <f aca="false">SUM(X197:X208)</f>
        <v>0</v>
      </c>
      <c r="AO216" s="15" t="n">
        <f aca="false">SUM(AP197:AP208)</f>
        <v>0</v>
      </c>
      <c r="AP216" s="15" t="n">
        <f aca="false">MAX(0,AN216)*IF(8=Parametri_v3!$C$43,Parametri_v3!$C$45,IF(8=Parametri_v3!$C$44,1-Parametri_v3!$C$45,0))</f>
        <v>0</v>
      </c>
      <c r="AQ216" s="15" t="n">
        <f aca="false">MAX(0,AP216+IF(8=Parametri_v3!$C$43,MAX(0,AN216-AO216),0)-MAX(0,-(AR215)))</f>
        <v>0</v>
      </c>
      <c r="AR216" s="15" t="n">
        <f aca="false">(AR215)+X216-AQ216</f>
        <v>0</v>
      </c>
      <c r="AS216" s="15" t="n">
        <f aca="false">Motore_Operativo!AC216-AT216+AU216</f>
        <v>24146.5260416667</v>
      </c>
      <c r="AT216" s="15" t="n">
        <f aca="false">Motore_Operativo!CI216</f>
        <v>1270.86979166667</v>
      </c>
      <c r="AU216" s="15" t="n">
        <f aca="false">MIN(MAX(0,(AV215)+AT216),Parametri_v3!$C$61/12)</f>
        <v>0</v>
      </c>
      <c r="AV216" s="15" t="n">
        <f aca="false">(AV215)+AT216-AU216</f>
        <v>22895.9583333333</v>
      </c>
      <c r="AW216" s="15" t="n">
        <f aca="false">IF(AND(Motore_Operativo!C216=Finanziamenti!$D$7,Finanziamenti!$F$7=1),Finanziamenti!$C$7,0)</f>
        <v>0</v>
      </c>
      <c r="AX216" s="15" t="n">
        <f aca="false">0</f>
        <v>0</v>
      </c>
      <c r="AY216" s="15" t="n">
        <f aca="false">IF(8=Parametri_v3!$C$33,IF(BV216&lt;MIN(12,$B216-1),0,MIN(MAX(0,SUM(Y197:Y208))*Ipotesi!$C$94,MAX(0,(BM208)-(BO215)-BP216),MAX(0,BD216-Parametri_v3!$C$31))),0)</f>
        <v>0</v>
      </c>
      <c r="AZ216" s="15" t="n">
        <f aca="false">0</f>
        <v>0</v>
      </c>
      <c r="BA216" s="15" t="n">
        <f aca="false">0</f>
        <v>0</v>
      </c>
      <c r="BB216" s="15" t="n">
        <f aca="false">0</f>
        <v>0</v>
      </c>
      <c r="BC216" s="15" t="n">
        <f aca="false">0</f>
        <v>0</v>
      </c>
      <c r="BD216" s="15" t="n">
        <f aca="false">(BH215)+AC216-AF216-AI216-AS216-K216*(1+Parametri_v3!$C$26)-AL216-AQ216-O216+AW216+AX216+AZ216+BA216-BB216</f>
        <v>-279090.013133333</v>
      </c>
      <c r="BE216" s="15" t="n">
        <f aca="false">0</f>
        <v>0</v>
      </c>
      <c r="BF216" s="15" t="n">
        <f aca="false">0</f>
        <v>0</v>
      </c>
      <c r="BG216" s="15" t="n">
        <f aca="false">0</f>
        <v>0</v>
      </c>
      <c r="BH216" s="15" t="n">
        <f aca="false">BD216+BE216-BF216-AY216</f>
        <v>-279090.013133333</v>
      </c>
      <c r="BI216" s="15" t="n">
        <f aca="false">MAX(0,Parametri_v3!$C$31-BH216)</f>
        <v>289090.013133333</v>
      </c>
      <c r="BJ216" s="15" t="n">
        <f aca="false">(BJ215)+K216</f>
        <v>11333.3333333333</v>
      </c>
      <c r="BK216" s="15" t="n">
        <f aca="false">(BK215)+L216</f>
        <v>4638.88888888889</v>
      </c>
      <c r="BL216" s="15" t="n">
        <f aca="false">BJ216-BK216</f>
        <v>6694.44444444444</v>
      </c>
      <c r="BM216" s="15" t="n">
        <f aca="false">(BM215)+Y216</f>
        <v>-194779.655555555</v>
      </c>
      <c r="BN216" s="15" t="n">
        <f aca="false">(BN215)+AW216+AX216+AZ216</f>
        <v>20000</v>
      </c>
      <c r="BO216" s="15" t="n">
        <f aca="false">(BO215)+AY216</f>
        <v>0</v>
      </c>
      <c r="BP216" s="15" t="n">
        <f aca="false">MIN(Parametri_v3!$C$36*Parametri_v3!$C$35,(BP215)+IF(8=1,MAX(0,SUM(Y197:Y208))*Parametri_v3!$C$34,0))</f>
        <v>0</v>
      </c>
      <c r="BQ216" s="15" t="n">
        <f aca="false">BN216+BM216-BO216</f>
        <v>-174779.655555555</v>
      </c>
      <c r="BR216" s="15" t="n">
        <f aca="false">BH216+AD216+BL216+MAX(0,-AM216)+MAX(0,-AR216)</f>
        <v>-112965.968688888</v>
      </c>
      <c r="BS216" s="15" t="n">
        <f aca="false">AJ216+AV216+MAX(0,AM216)+MAX(0,AR216)+BC216+BG216+BQ216+AG216</f>
        <v>-112965.968688889</v>
      </c>
      <c r="BT216" s="15" t="n">
        <f aca="false">BR216-BS216</f>
        <v>0</v>
      </c>
      <c r="BU216" s="15" t="n">
        <f aca="false">BH216-(BD216+BE216-BF216-AY216)</f>
        <v>0</v>
      </c>
      <c r="BV216" s="15" t="n">
        <f aca="false">IF(BH215&lt;Parametri_v3!$C$31,0,BV215+1)</f>
        <v>0</v>
      </c>
    </row>
    <row r="217" customFormat="false" ht="18" hidden="false" customHeight="true" outlineLevel="0" collapsed="false">
      <c r="A217" s="68" t="n">
        <f aca="false">4</f>
        <v>4</v>
      </c>
      <c r="B217" s="68" t="n">
        <f aca="false">33</f>
        <v>33</v>
      </c>
      <c r="C217" s="18" t="n">
        <f aca="false">Motore_Operativo!C217</f>
        <v>47362</v>
      </c>
      <c r="D217" s="68" t="n">
        <f aca="false">Motore_Operativo!D217</f>
        <v>2029</v>
      </c>
      <c r="E217" s="68" t="n">
        <f aca="false">Motore_Operativo!E217</f>
        <v>9</v>
      </c>
      <c r="F217" s="15" t="n">
        <f aca="false">Motore_Operativo!AM217</f>
        <v>32670</v>
      </c>
      <c r="G217" s="15" t="n">
        <f aca="false">Motore_Operativo!BH217</f>
        <v>3267</v>
      </c>
      <c r="H217" s="15" t="n">
        <f aca="false">Motore_Operativo!AM217</f>
        <v>32670</v>
      </c>
      <c r="I217" s="15" t="n">
        <f aca="false">Motore_Operativo!CB217</f>
        <v>41807.0958333333</v>
      </c>
      <c r="J217" s="15" t="n">
        <f aca="false">Motore_Operativo!CD217</f>
        <v>-9137.09583333333</v>
      </c>
      <c r="K217" s="15" t="n">
        <f aca="false">Motore_Operativo!CF217</f>
        <v>416.666666666667</v>
      </c>
      <c r="L217" s="15" t="n">
        <f aca="false">SUM(INDEX($K$185:$K$244,MAX(1,33-Parametri_v3!$C$59+1)):K217)/Parametri_v3!$C$59</f>
        <v>326.388888888889</v>
      </c>
      <c r="M217" s="15" t="n">
        <f aca="false">J217-L217</f>
        <v>-9463.48472222221</v>
      </c>
      <c r="N217" s="15" t="n">
        <f aca="false">0</f>
        <v>0</v>
      </c>
      <c r="O217" s="15" t="n">
        <f aca="false">0</f>
        <v>0</v>
      </c>
      <c r="P217" s="15" t="n">
        <f aca="false">M217+N217-O217</f>
        <v>-9463.48472222221</v>
      </c>
      <c r="Q217" s="15" t="n">
        <f aca="false">SUM(P209:P217)+Parametri_v3!$C$56*9/12</f>
        <v>-84754.6958333333</v>
      </c>
      <c r="R217" s="15" t="n">
        <f aca="false">Z208</f>
        <v>119488.444444444</v>
      </c>
      <c r="S217" s="15" t="n">
        <f aca="false">AA208</f>
        <v>0</v>
      </c>
      <c r="T217" s="15" t="n">
        <f aca="false">MIN(R217,MAX(0,Q217))</f>
        <v>0</v>
      </c>
      <c r="U217" s="15" t="n">
        <f aca="false">MIN(S217,MAX(0,Q217-T217)*Parametri_v3!$C$42)</f>
        <v>0</v>
      </c>
      <c r="V217" s="15" t="n">
        <f aca="false">MAX(0,Q217-T217-U217)*Ipotesi!$C$92</f>
        <v>0</v>
      </c>
      <c r="W217" s="15" t="n">
        <f aca="false">MAX(0,SUM(M209:M217)+Parametri_v3!$C$57*9/12)*Ipotesi!$C$93</f>
        <v>0</v>
      </c>
      <c r="X217" s="15" t="n">
        <f aca="false">V217+W217-(V216+W216)</f>
        <v>0</v>
      </c>
      <c r="Y217" s="15" t="n">
        <f aca="false">P217-X217</f>
        <v>-9463.48472222221</v>
      </c>
      <c r="Z217" s="15" t="n">
        <f aca="false">R217-T217+IF(AND(Parametri_v3!$C$40=1,D217-YEAR(Parametri_v3!$C$50)&lt;Parametri_v3!$C$41),MAX(0,-Q217),0)</f>
        <v>204243.140277778</v>
      </c>
      <c r="AA217" s="15" t="n">
        <f aca="false">S217-U217+IF(AND(Parametri_v3!$C$40=1,D217-YEAR(Parametri_v3!$C$50)&lt;Parametri_v3!$C$41),0,MAX(0,-Q217))</f>
        <v>0</v>
      </c>
      <c r="AB217" s="15" t="n">
        <f aca="false">F217*(1+Parametri_v3!$C$26)</f>
        <v>39857.4</v>
      </c>
      <c r="AC217" s="15" t="n">
        <f aca="false">(IF(33-(INT((Motore_Operativo!L217)/30))&lt;1,0,INDEX(Motore_Advisory!$AB$185:$AB$244,MAX(1,33-(INT((Motore_Operativo!L217)/30)))))*(1-(MOD((Motore_Operativo!L217),30)/30))+IF(33-(INT((Motore_Operativo!L217)/30))-1&lt;1,0,INDEX(Motore_Advisory!$AB$185:$AB$244,MAX(1,33-(INT((Motore_Operativo!L217)/30))-1)))*(MOD((Motore_Operativo!L217),30)/30))</f>
        <v>39857.4</v>
      </c>
      <c r="AD217" s="15" t="n">
        <f aca="false">(AD216)+AB217-AC217</f>
        <v>159429.6</v>
      </c>
      <c r="AE217" s="15" t="n">
        <f aca="false">Motore_Operativo!BH217*(1+Parametri_v3!$C$26)</f>
        <v>3985.74</v>
      </c>
      <c r="AF217" s="15" t="n">
        <f aca="false">(IF(33-(INT((Parametri_v3!$C$29)/30))&lt;1,0,INDEX(Motore_Operativo!$BH$185:$BH$244,MAX(1,33-(INT((Parametri_v3!$C$29)/30)))))*(1-(MOD((Parametri_v3!$C$29),30)/30))+IF(33-(INT((Parametri_v3!$C$29)/30))-1&lt;1,0,INDEX(Motore_Operativo!$BH$185:$BH$244,MAX(1,33-(INT((Parametri_v3!$C$29)/30))-1)))*(MOD((Parametri_v3!$C$29),30)/30))*(1+Parametri_v3!$C$26)</f>
        <v>3985.74</v>
      </c>
      <c r="AG217" s="15" t="n">
        <f aca="false">(AG216)+AE217-AF217</f>
        <v>3985.74</v>
      </c>
      <c r="AH217" s="15" t="n">
        <f aca="false">(Motore_Operativo!CK217)*(1+Parametri_v3!$C$28*Parametri_v3!$C$26)</f>
        <v>15432.2952</v>
      </c>
      <c r="AI217" s="15" t="n">
        <f aca="false">(IF(33-(INT((Ipotesi!$C$91)/30))&lt;1,0,INDEX(Motore_Advisory!$AH$185:$AH$244,MAX(1,33-(INT((Ipotesi!$C$91)/30)))))*(1-(MOD((Ipotesi!$C$91),30)/30))+IF(33-(INT((Ipotesi!$C$91)/30))-1&lt;1,0,INDEX(Motore_Advisory!$AH$185:$AH$244,MAX(1,33-(INT((Ipotesi!$C$91)/30))-1)))*(MOD((Ipotesi!$C$91),30)/30))</f>
        <v>15432.2952</v>
      </c>
      <c r="AJ217" s="15" t="n">
        <f aca="false">(AJ216)+AH217-AI217</f>
        <v>30864.5904</v>
      </c>
      <c r="AK217" s="15" t="n">
        <f aca="false">(F217- Motore_Operativo!BH217-(Motore_Operativo!CK217)*Parametri_v3!$C$28-Motore_Operativo!CF217)*Parametri_v3!$C$26</f>
        <v>4067.39813333333</v>
      </c>
      <c r="AL217" s="15" t="n">
        <f aca="false">MAX(0,(AM216))</f>
        <v>4067.39813333333</v>
      </c>
      <c r="AM217" s="15" t="n">
        <f aca="false">(AM216)+AK217-AL217</f>
        <v>4067.39813333333</v>
      </c>
      <c r="AN217" s="15" t="n">
        <f aca="false">SUM(X197:X208)</f>
        <v>0</v>
      </c>
      <c r="AO217" s="15" t="n">
        <f aca="false">SUM(AP197:AP208)</f>
        <v>0</v>
      </c>
      <c r="AP217" s="15" t="n">
        <f aca="false">MAX(0,AN217)*IF(9=Parametri_v3!$C$43,Parametri_v3!$C$45,IF(9=Parametri_v3!$C$44,1-Parametri_v3!$C$45,0))</f>
        <v>0</v>
      </c>
      <c r="AQ217" s="15" t="n">
        <f aca="false">MAX(0,AP217+IF(9=Parametri_v3!$C$43,MAX(0,AN217-AO217),0)-MAX(0,-(AR216)))</f>
        <v>0</v>
      </c>
      <c r="AR217" s="15" t="n">
        <f aca="false">(AR216)+X217-AQ217</f>
        <v>0</v>
      </c>
      <c r="AS217" s="15" t="n">
        <f aca="false">Motore_Operativo!AC217-AT217+AU217</f>
        <v>24146.5260416667</v>
      </c>
      <c r="AT217" s="15" t="n">
        <f aca="false">Motore_Operativo!CI217</f>
        <v>1270.86979166667</v>
      </c>
      <c r="AU217" s="15" t="n">
        <f aca="false">MIN(MAX(0,(AV216)+AT217),Parametri_v3!$C$61/12)</f>
        <v>0</v>
      </c>
      <c r="AV217" s="15" t="n">
        <f aca="false">(AV216)+AT217-AU217</f>
        <v>24166.828125</v>
      </c>
      <c r="AW217" s="15" t="n">
        <f aca="false">IF(AND(Motore_Operativo!C217=Finanziamenti!$D$7,Finanziamenti!$F$7=1),Finanziamenti!$C$7,0)</f>
        <v>0</v>
      </c>
      <c r="AX217" s="15" t="n">
        <f aca="false">0</f>
        <v>0</v>
      </c>
      <c r="AY217" s="15" t="n">
        <f aca="false">IF(9=Parametri_v3!$C$33,IF(BV217&lt;MIN(12,$B217-1),0,MIN(MAX(0,SUM(Y197:Y208))*Ipotesi!$C$94,MAX(0,(BM208)-(BO216)-BP217),MAX(0,BD217-Parametri_v3!$C$31))),0)</f>
        <v>0</v>
      </c>
      <c r="AZ217" s="15" t="n">
        <f aca="false">0</f>
        <v>0</v>
      </c>
      <c r="BA217" s="15" t="n">
        <f aca="false">0</f>
        <v>0</v>
      </c>
      <c r="BB217" s="15" t="n">
        <f aca="false">0</f>
        <v>0</v>
      </c>
      <c r="BC217" s="15" t="n">
        <f aca="false">0</f>
        <v>0</v>
      </c>
      <c r="BD217" s="15" t="n">
        <f aca="false">(BH216)+AC217-AF217-AI217-AS217-K217*(1+Parametri_v3!$C$26)-AL217-AQ217-O217+AW217+AX217+AZ217+BA217-BB217</f>
        <v>-287372.905841666</v>
      </c>
      <c r="BE217" s="15" t="n">
        <f aca="false">0</f>
        <v>0</v>
      </c>
      <c r="BF217" s="15" t="n">
        <f aca="false">0</f>
        <v>0</v>
      </c>
      <c r="BG217" s="15" t="n">
        <f aca="false">0</f>
        <v>0</v>
      </c>
      <c r="BH217" s="15" t="n">
        <f aca="false">BD217+BE217-BF217-AY217</f>
        <v>-287372.905841666</v>
      </c>
      <c r="BI217" s="15" t="n">
        <f aca="false">MAX(0,Parametri_v3!$C$31-BH217)</f>
        <v>297372.905841666</v>
      </c>
      <c r="BJ217" s="15" t="n">
        <f aca="false">(BJ216)+K217</f>
        <v>11750</v>
      </c>
      <c r="BK217" s="15" t="n">
        <f aca="false">(BK216)+L217</f>
        <v>4965.27777777778</v>
      </c>
      <c r="BL217" s="15" t="n">
        <f aca="false">BJ217-BK217</f>
        <v>6784.72222222222</v>
      </c>
      <c r="BM217" s="15" t="n">
        <f aca="false">(BM216)+Y217</f>
        <v>-204243.140277778</v>
      </c>
      <c r="BN217" s="15" t="n">
        <f aca="false">(BN216)+AW217+AX217+AZ217</f>
        <v>20000</v>
      </c>
      <c r="BO217" s="15" t="n">
        <f aca="false">(BO216)+AY217</f>
        <v>0</v>
      </c>
      <c r="BP217" s="15" t="n">
        <f aca="false">MIN(Parametri_v3!$C$36*Parametri_v3!$C$35,(BP216)+IF(9=1,MAX(0,SUM(Y197:Y208))*Parametri_v3!$C$34,0))</f>
        <v>0</v>
      </c>
      <c r="BQ217" s="15" t="n">
        <f aca="false">BN217+BM217-BO217</f>
        <v>-184243.140277778</v>
      </c>
      <c r="BR217" s="15" t="n">
        <f aca="false">BH217+AD217+BL217+MAX(0,-AM217)+MAX(0,-AR217)</f>
        <v>-121158.583619444</v>
      </c>
      <c r="BS217" s="15" t="n">
        <f aca="false">AJ217+AV217+MAX(0,AM217)+MAX(0,AR217)+BC217+BG217+BQ217+AG217</f>
        <v>-121158.583619444</v>
      </c>
      <c r="BT217" s="15" t="n">
        <f aca="false">BR217-BS217</f>
        <v>0</v>
      </c>
      <c r="BU217" s="15" t="n">
        <f aca="false">BH217-(BD217+BE217-BF217-AY217)</f>
        <v>0</v>
      </c>
      <c r="BV217" s="15" t="n">
        <f aca="false">IF(BH216&lt;Parametri_v3!$C$31,0,BV216+1)</f>
        <v>0</v>
      </c>
    </row>
    <row r="218" customFormat="false" ht="18" hidden="false" customHeight="true" outlineLevel="0" collapsed="false">
      <c r="A218" s="68" t="n">
        <f aca="false">4</f>
        <v>4</v>
      </c>
      <c r="B218" s="68" t="n">
        <f aca="false">34</f>
        <v>34</v>
      </c>
      <c r="C218" s="18" t="n">
        <f aca="false">Motore_Operativo!C218</f>
        <v>47392</v>
      </c>
      <c r="D218" s="68" t="n">
        <f aca="false">Motore_Operativo!D218</f>
        <v>2029</v>
      </c>
      <c r="E218" s="68" t="n">
        <f aca="false">Motore_Operativo!E218</f>
        <v>10</v>
      </c>
      <c r="F218" s="15" t="n">
        <f aca="false">Motore_Operativo!AM218</f>
        <v>32670</v>
      </c>
      <c r="G218" s="15" t="n">
        <f aca="false">Motore_Operativo!BH218</f>
        <v>3267</v>
      </c>
      <c r="H218" s="15" t="n">
        <f aca="false">Motore_Operativo!AM218</f>
        <v>32670</v>
      </c>
      <c r="I218" s="15" t="n">
        <f aca="false">Motore_Operativo!CB218</f>
        <v>41807.0958333333</v>
      </c>
      <c r="J218" s="15" t="n">
        <f aca="false">Motore_Operativo!CD218</f>
        <v>-9137.09583333333</v>
      </c>
      <c r="K218" s="15" t="n">
        <f aca="false">Motore_Operativo!CF218</f>
        <v>416.666666666667</v>
      </c>
      <c r="L218" s="15" t="n">
        <f aca="false">SUM(INDEX($K$185:$K$244,MAX(1,34-Parametri_v3!$C$59+1)):K218)/Parametri_v3!$C$59</f>
        <v>337.962962962963</v>
      </c>
      <c r="M218" s="15" t="n">
        <f aca="false">J218-L218</f>
        <v>-9475.05879629629</v>
      </c>
      <c r="N218" s="15" t="n">
        <f aca="false">0</f>
        <v>0</v>
      </c>
      <c r="O218" s="15" t="n">
        <f aca="false">0</f>
        <v>0</v>
      </c>
      <c r="P218" s="15" t="n">
        <f aca="false">M218+N218-O218</f>
        <v>-9475.05879629629</v>
      </c>
      <c r="Q218" s="15" t="n">
        <f aca="false">SUM(P209:P218)+Parametri_v3!$C$56*10/12</f>
        <v>-94229.7546296296</v>
      </c>
      <c r="R218" s="15" t="n">
        <f aca="false">Z208</f>
        <v>119488.444444444</v>
      </c>
      <c r="S218" s="15" t="n">
        <f aca="false">AA208</f>
        <v>0</v>
      </c>
      <c r="T218" s="15" t="n">
        <f aca="false">MIN(R218,MAX(0,Q218))</f>
        <v>0</v>
      </c>
      <c r="U218" s="15" t="n">
        <f aca="false">MIN(S218,MAX(0,Q218-T218)*Parametri_v3!$C$42)</f>
        <v>0</v>
      </c>
      <c r="V218" s="15" t="n">
        <f aca="false">MAX(0,Q218-T218-U218)*Ipotesi!$C$92</f>
        <v>0</v>
      </c>
      <c r="W218" s="15" t="n">
        <f aca="false">MAX(0,SUM(M209:M218)+Parametri_v3!$C$57*10/12)*Ipotesi!$C$93</f>
        <v>0</v>
      </c>
      <c r="X218" s="15" t="n">
        <f aca="false">V218+W218-(V217+W217)</f>
        <v>0</v>
      </c>
      <c r="Y218" s="15" t="n">
        <f aca="false">P218-X218</f>
        <v>-9475.05879629629</v>
      </c>
      <c r="Z218" s="15" t="n">
        <f aca="false">R218-T218+IF(AND(Parametri_v3!$C$40=1,D218-YEAR(Parametri_v3!$C$50)&lt;Parametri_v3!$C$41),MAX(0,-Q218),0)</f>
        <v>213718.199074074</v>
      </c>
      <c r="AA218" s="15" t="n">
        <f aca="false">S218-U218+IF(AND(Parametri_v3!$C$40=1,D218-YEAR(Parametri_v3!$C$50)&lt;Parametri_v3!$C$41),0,MAX(0,-Q218))</f>
        <v>0</v>
      </c>
      <c r="AB218" s="15" t="n">
        <f aca="false">F218*(1+Parametri_v3!$C$26)</f>
        <v>39857.4</v>
      </c>
      <c r="AC218" s="15" t="n">
        <f aca="false">(IF(34-(INT((Motore_Operativo!L218)/30))&lt;1,0,INDEX(Motore_Advisory!$AB$185:$AB$244,MAX(1,34-(INT((Motore_Operativo!L218)/30)))))*(1-(MOD((Motore_Operativo!L218),30)/30))+IF(34-(INT((Motore_Operativo!L218)/30))-1&lt;1,0,INDEX(Motore_Advisory!$AB$185:$AB$244,MAX(1,34-(INT((Motore_Operativo!L218)/30))-1)))*(MOD((Motore_Operativo!L218),30)/30))</f>
        <v>39857.4</v>
      </c>
      <c r="AD218" s="15" t="n">
        <f aca="false">(AD217)+AB218-AC218</f>
        <v>159429.6</v>
      </c>
      <c r="AE218" s="15" t="n">
        <f aca="false">Motore_Operativo!BH218*(1+Parametri_v3!$C$26)</f>
        <v>3985.74</v>
      </c>
      <c r="AF218" s="15" t="n">
        <f aca="false">(IF(34-(INT((Parametri_v3!$C$29)/30))&lt;1,0,INDEX(Motore_Operativo!$BH$185:$BH$244,MAX(1,34-(INT((Parametri_v3!$C$29)/30)))))*(1-(MOD((Parametri_v3!$C$29),30)/30))+IF(34-(INT((Parametri_v3!$C$29)/30))-1&lt;1,0,INDEX(Motore_Operativo!$BH$185:$BH$244,MAX(1,34-(INT((Parametri_v3!$C$29)/30))-1)))*(MOD((Parametri_v3!$C$29),30)/30))*(1+Parametri_v3!$C$26)</f>
        <v>3985.74</v>
      </c>
      <c r="AG218" s="15" t="n">
        <f aca="false">(AG217)+AE218-AF218</f>
        <v>3985.74</v>
      </c>
      <c r="AH218" s="15" t="n">
        <f aca="false">(Motore_Operativo!CK218)*(1+Parametri_v3!$C$28*Parametri_v3!$C$26)</f>
        <v>15432.2952</v>
      </c>
      <c r="AI218" s="15" t="n">
        <f aca="false">(IF(34-(INT((Ipotesi!$C$91)/30))&lt;1,0,INDEX(Motore_Advisory!$AH$185:$AH$244,MAX(1,34-(INT((Ipotesi!$C$91)/30)))))*(1-(MOD((Ipotesi!$C$91),30)/30))+IF(34-(INT((Ipotesi!$C$91)/30))-1&lt;1,0,INDEX(Motore_Advisory!$AH$185:$AH$244,MAX(1,34-(INT((Ipotesi!$C$91)/30))-1)))*(MOD((Ipotesi!$C$91),30)/30))</f>
        <v>15432.2952</v>
      </c>
      <c r="AJ218" s="15" t="n">
        <f aca="false">(AJ217)+AH218-AI218</f>
        <v>30864.5904</v>
      </c>
      <c r="AK218" s="15" t="n">
        <f aca="false">(F218- Motore_Operativo!BH218-(Motore_Operativo!CK218)*Parametri_v3!$C$28-Motore_Operativo!CF218)*Parametri_v3!$C$26</f>
        <v>4067.39813333333</v>
      </c>
      <c r="AL218" s="15" t="n">
        <f aca="false">MAX(0,(AM217))</f>
        <v>4067.39813333333</v>
      </c>
      <c r="AM218" s="15" t="n">
        <f aca="false">(AM217)+AK218-AL218</f>
        <v>4067.39813333333</v>
      </c>
      <c r="AN218" s="15" t="n">
        <f aca="false">SUM(X197:X208)</f>
        <v>0</v>
      </c>
      <c r="AO218" s="15" t="n">
        <f aca="false">SUM(AP197:AP208)</f>
        <v>0</v>
      </c>
      <c r="AP218" s="15" t="n">
        <f aca="false">MAX(0,AN218)*IF(10=Parametri_v3!$C$43,Parametri_v3!$C$45,IF(10=Parametri_v3!$C$44,1-Parametri_v3!$C$45,0))</f>
        <v>0</v>
      </c>
      <c r="AQ218" s="15" t="n">
        <f aca="false">MAX(0,AP218+IF(10=Parametri_v3!$C$43,MAX(0,AN218-AO218),0)-MAX(0,-(AR217)))</f>
        <v>0</v>
      </c>
      <c r="AR218" s="15" t="n">
        <f aca="false">(AR217)+X218-AQ218</f>
        <v>0</v>
      </c>
      <c r="AS218" s="15" t="n">
        <f aca="false">Motore_Operativo!AC218-AT218+AU218</f>
        <v>24146.5260416667</v>
      </c>
      <c r="AT218" s="15" t="n">
        <f aca="false">Motore_Operativo!CI218</f>
        <v>1270.86979166667</v>
      </c>
      <c r="AU218" s="15" t="n">
        <f aca="false">MIN(MAX(0,(AV217)+AT218),Parametri_v3!$C$61/12)</f>
        <v>0</v>
      </c>
      <c r="AV218" s="15" t="n">
        <f aca="false">(AV217)+AT218-AU218</f>
        <v>25437.6979166667</v>
      </c>
      <c r="AW218" s="15" t="n">
        <f aca="false">IF(AND(Motore_Operativo!C218=Finanziamenti!$D$7,Finanziamenti!$F$7=1),Finanziamenti!$C$7,0)</f>
        <v>0</v>
      </c>
      <c r="AX218" s="15" t="n">
        <f aca="false">0</f>
        <v>0</v>
      </c>
      <c r="AY218" s="15" t="n">
        <f aca="false">IF(10=Parametri_v3!$C$33,IF(BV218&lt;MIN(12,$B218-1),0,MIN(MAX(0,SUM(Y197:Y208))*Ipotesi!$C$94,MAX(0,(BM208)-(BO217)-BP218),MAX(0,BD218-Parametri_v3!$C$31))),0)</f>
        <v>0</v>
      </c>
      <c r="AZ218" s="15" t="n">
        <f aca="false">0</f>
        <v>0</v>
      </c>
      <c r="BA218" s="15" t="n">
        <f aca="false">0</f>
        <v>0</v>
      </c>
      <c r="BB218" s="15" t="n">
        <f aca="false">0</f>
        <v>0</v>
      </c>
      <c r="BC218" s="15" t="n">
        <f aca="false">0</f>
        <v>0</v>
      </c>
      <c r="BD218" s="15" t="n">
        <f aca="false">(BH217)+AC218-AF218-AI218-AS218-K218*(1+Parametri_v3!$C$26)-AL218-AQ218-O218+AW218+AX218+AZ218+BA218-BB218</f>
        <v>-295655.79855</v>
      </c>
      <c r="BE218" s="15" t="n">
        <f aca="false">0</f>
        <v>0</v>
      </c>
      <c r="BF218" s="15" t="n">
        <f aca="false">0</f>
        <v>0</v>
      </c>
      <c r="BG218" s="15" t="n">
        <f aca="false">0</f>
        <v>0</v>
      </c>
      <c r="BH218" s="15" t="n">
        <f aca="false">BD218+BE218-BF218-AY218</f>
        <v>-295655.79855</v>
      </c>
      <c r="BI218" s="15" t="n">
        <f aca="false">MAX(0,Parametri_v3!$C$31-BH218)</f>
        <v>305655.79855</v>
      </c>
      <c r="BJ218" s="15" t="n">
        <f aca="false">(BJ217)+K218</f>
        <v>12166.6666666667</v>
      </c>
      <c r="BK218" s="15" t="n">
        <f aca="false">(BK217)+L218</f>
        <v>5303.24074074074</v>
      </c>
      <c r="BL218" s="15" t="n">
        <f aca="false">BJ218-BK218</f>
        <v>6863.42592592592</v>
      </c>
      <c r="BM218" s="15" t="n">
        <f aca="false">(BM217)+Y218</f>
        <v>-213718.199074074</v>
      </c>
      <c r="BN218" s="15" t="n">
        <f aca="false">(BN217)+AW218+AX218+AZ218</f>
        <v>20000</v>
      </c>
      <c r="BO218" s="15" t="n">
        <f aca="false">(BO217)+AY218</f>
        <v>0</v>
      </c>
      <c r="BP218" s="15" t="n">
        <f aca="false">MIN(Parametri_v3!$C$36*Parametri_v3!$C$35,(BP217)+IF(10=1,MAX(0,SUM(Y197:Y208))*Parametri_v3!$C$34,0))</f>
        <v>0</v>
      </c>
      <c r="BQ218" s="15" t="n">
        <f aca="false">BN218+BM218-BO218</f>
        <v>-193718.199074074</v>
      </c>
      <c r="BR218" s="15" t="n">
        <f aca="false">BH218+AD218+BL218+MAX(0,-AM218)+MAX(0,-AR218)</f>
        <v>-129362.772624074</v>
      </c>
      <c r="BS218" s="15" t="n">
        <f aca="false">AJ218+AV218+MAX(0,AM218)+MAX(0,AR218)+BC218+BG218+BQ218+AG218</f>
        <v>-129362.772624074</v>
      </c>
      <c r="BT218" s="15" t="n">
        <f aca="false">BR218-BS218</f>
        <v>0</v>
      </c>
      <c r="BU218" s="15" t="n">
        <f aca="false">BH218-(BD218+BE218-BF218-AY218)</f>
        <v>0</v>
      </c>
      <c r="BV218" s="15" t="n">
        <f aca="false">IF(BH217&lt;Parametri_v3!$C$31,0,BV217+1)</f>
        <v>0</v>
      </c>
    </row>
    <row r="219" customFormat="false" ht="18" hidden="false" customHeight="true" outlineLevel="0" collapsed="false">
      <c r="A219" s="68" t="n">
        <f aca="false">4</f>
        <v>4</v>
      </c>
      <c r="B219" s="68" t="n">
        <f aca="false">35</f>
        <v>35</v>
      </c>
      <c r="C219" s="18" t="n">
        <f aca="false">Motore_Operativo!C219</f>
        <v>47423</v>
      </c>
      <c r="D219" s="68" t="n">
        <f aca="false">Motore_Operativo!D219</f>
        <v>2029</v>
      </c>
      <c r="E219" s="68" t="n">
        <f aca="false">Motore_Operativo!E219</f>
        <v>11</v>
      </c>
      <c r="F219" s="15" t="n">
        <f aca="false">Motore_Operativo!AM219</f>
        <v>32670</v>
      </c>
      <c r="G219" s="15" t="n">
        <f aca="false">Motore_Operativo!BH219</f>
        <v>3267</v>
      </c>
      <c r="H219" s="15" t="n">
        <f aca="false">Motore_Operativo!AM219</f>
        <v>32670</v>
      </c>
      <c r="I219" s="15" t="n">
        <f aca="false">Motore_Operativo!CB219</f>
        <v>41807.0958333333</v>
      </c>
      <c r="J219" s="15" t="n">
        <f aca="false">Motore_Operativo!CD219</f>
        <v>-9137.09583333333</v>
      </c>
      <c r="K219" s="15" t="n">
        <f aca="false">Motore_Operativo!CF219</f>
        <v>416.666666666667</v>
      </c>
      <c r="L219" s="15" t="n">
        <f aca="false">SUM(INDEX($K$185:$K$244,MAX(1,35-Parametri_v3!$C$59+1)):K219)/Parametri_v3!$C$59</f>
        <v>349.537037037037</v>
      </c>
      <c r="M219" s="15" t="n">
        <f aca="false">J219-L219</f>
        <v>-9486.63287037036</v>
      </c>
      <c r="N219" s="15" t="n">
        <f aca="false">0</f>
        <v>0</v>
      </c>
      <c r="O219" s="15" t="n">
        <f aca="false">0</f>
        <v>0</v>
      </c>
      <c r="P219" s="15" t="n">
        <f aca="false">M219+N219-O219</f>
        <v>-9486.63287037036</v>
      </c>
      <c r="Q219" s="15" t="n">
        <f aca="false">SUM(P209:P219)+Parametri_v3!$C$56*11/12</f>
        <v>-103716.3875</v>
      </c>
      <c r="R219" s="15" t="n">
        <f aca="false">Z208</f>
        <v>119488.444444444</v>
      </c>
      <c r="S219" s="15" t="n">
        <f aca="false">AA208</f>
        <v>0</v>
      </c>
      <c r="T219" s="15" t="n">
        <f aca="false">MIN(R219,MAX(0,Q219))</f>
        <v>0</v>
      </c>
      <c r="U219" s="15" t="n">
        <f aca="false">MIN(S219,MAX(0,Q219-T219)*Parametri_v3!$C$42)</f>
        <v>0</v>
      </c>
      <c r="V219" s="15" t="n">
        <f aca="false">MAX(0,Q219-T219-U219)*Ipotesi!$C$92</f>
        <v>0</v>
      </c>
      <c r="W219" s="15" t="n">
        <f aca="false">MAX(0,SUM(M209:M219)+Parametri_v3!$C$57*11/12)*Ipotesi!$C$93</f>
        <v>0</v>
      </c>
      <c r="X219" s="15" t="n">
        <f aca="false">V219+W219-(V218+W218)</f>
        <v>0</v>
      </c>
      <c r="Y219" s="15" t="n">
        <f aca="false">P219-X219</f>
        <v>-9486.63287037036</v>
      </c>
      <c r="Z219" s="15" t="n">
        <f aca="false">R219-T219+IF(AND(Parametri_v3!$C$40=1,D219-YEAR(Parametri_v3!$C$50)&lt;Parametri_v3!$C$41),MAX(0,-Q219),0)</f>
        <v>223204.831944444</v>
      </c>
      <c r="AA219" s="15" t="n">
        <f aca="false">S219-U219+IF(AND(Parametri_v3!$C$40=1,D219-YEAR(Parametri_v3!$C$50)&lt;Parametri_v3!$C$41),0,MAX(0,-Q219))</f>
        <v>0</v>
      </c>
      <c r="AB219" s="15" t="n">
        <f aca="false">F219*(1+Parametri_v3!$C$26)</f>
        <v>39857.4</v>
      </c>
      <c r="AC219" s="15" t="n">
        <f aca="false">(IF(35-(INT((Motore_Operativo!L219)/30))&lt;1,0,INDEX(Motore_Advisory!$AB$185:$AB$244,MAX(1,35-(INT((Motore_Operativo!L219)/30)))))*(1-(MOD((Motore_Operativo!L219),30)/30))+IF(35-(INT((Motore_Operativo!L219)/30))-1&lt;1,0,INDEX(Motore_Advisory!$AB$185:$AB$244,MAX(1,35-(INT((Motore_Operativo!L219)/30))-1)))*(MOD((Motore_Operativo!L219),30)/30))</f>
        <v>39857.4</v>
      </c>
      <c r="AD219" s="15" t="n">
        <f aca="false">(AD218)+AB219-AC219</f>
        <v>159429.6</v>
      </c>
      <c r="AE219" s="15" t="n">
        <f aca="false">Motore_Operativo!BH219*(1+Parametri_v3!$C$26)</f>
        <v>3985.74</v>
      </c>
      <c r="AF219" s="15" t="n">
        <f aca="false">(IF(35-(INT((Parametri_v3!$C$29)/30))&lt;1,0,INDEX(Motore_Operativo!$BH$185:$BH$244,MAX(1,35-(INT((Parametri_v3!$C$29)/30)))))*(1-(MOD((Parametri_v3!$C$29),30)/30))+IF(35-(INT((Parametri_v3!$C$29)/30))-1&lt;1,0,INDEX(Motore_Operativo!$BH$185:$BH$244,MAX(1,35-(INT((Parametri_v3!$C$29)/30))-1)))*(MOD((Parametri_v3!$C$29),30)/30))*(1+Parametri_v3!$C$26)</f>
        <v>3985.74</v>
      </c>
      <c r="AG219" s="15" t="n">
        <f aca="false">(AG218)+AE219-AF219</f>
        <v>3985.74</v>
      </c>
      <c r="AH219" s="15" t="n">
        <f aca="false">(Motore_Operativo!CK219)*(1+Parametri_v3!$C$28*Parametri_v3!$C$26)</f>
        <v>15432.2952</v>
      </c>
      <c r="AI219" s="15" t="n">
        <f aca="false">(IF(35-(INT((Ipotesi!$C$91)/30))&lt;1,0,INDEX(Motore_Advisory!$AH$185:$AH$244,MAX(1,35-(INT((Ipotesi!$C$91)/30)))))*(1-(MOD((Ipotesi!$C$91),30)/30))+IF(35-(INT((Ipotesi!$C$91)/30))-1&lt;1,0,INDEX(Motore_Advisory!$AH$185:$AH$244,MAX(1,35-(INT((Ipotesi!$C$91)/30))-1)))*(MOD((Ipotesi!$C$91),30)/30))</f>
        <v>15432.2952</v>
      </c>
      <c r="AJ219" s="15" t="n">
        <f aca="false">(AJ218)+AH219-AI219</f>
        <v>30864.5904</v>
      </c>
      <c r="AK219" s="15" t="n">
        <f aca="false">(F219- Motore_Operativo!BH219-(Motore_Operativo!CK219)*Parametri_v3!$C$28-Motore_Operativo!CF219)*Parametri_v3!$C$26</f>
        <v>4067.39813333333</v>
      </c>
      <c r="AL219" s="15" t="n">
        <f aca="false">MAX(0,(AM218))</f>
        <v>4067.39813333333</v>
      </c>
      <c r="AM219" s="15" t="n">
        <f aca="false">(AM218)+AK219-AL219</f>
        <v>4067.39813333333</v>
      </c>
      <c r="AN219" s="15" t="n">
        <f aca="false">SUM(X197:X208)</f>
        <v>0</v>
      </c>
      <c r="AO219" s="15" t="n">
        <f aca="false">SUM(AP197:AP208)</f>
        <v>0</v>
      </c>
      <c r="AP219" s="15" t="n">
        <f aca="false">MAX(0,AN219)*IF(11=Parametri_v3!$C$43,Parametri_v3!$C$45,IF(11=Parametri_v3!$C$44,1-Parametri_v3!$C$45,0))</f>
        <v>0</v>
      </c>
      <c r="AQ219" s="15" t="n">
        <f aca="false">MAX(0,AP219+IF(11=Parametri_v3!$C$43,MAX(0,AN219-AO219),0)-MAX(0,-(AR218)))</f>
        <v>0</v>
      </c>
      <c r="AR219" s="15" t="n">
        <f aca="false">(AR218)+X219-AQ219</f>
        <v>0</v>
      </c>
      <c r="AS219" s="15" t="n">
        <f aca="false">Motore_Operativo!AC219-AT219+AU219</f>
        <v>24146.5260416667</v>
      </c>
      <c r="AT219" s="15" t="n">
        <f aca="false">Motore_Operativo!CI219</f>
        <v>1270.86979166667</v>
      </c>
      <c r="AU219" s="15" t="n">
        <f aca="false">MIN(MAX(0,(AV218)+AT219),Parametri_v3!$C$61/12)</f>
        <v>0</v>
      </c>
      <c r="AV219" s="15" t="n">
        <f aca="false">(AV218)+AT219-AU219</f>
        <v>26708.5677083333</v>
      </c>
      <c r="AW219" s="15" t="n">
        <f aca="false">IF(AND(Motore_Operativo!C219=Finanziamenti!$D$7,Finanziamenti!$F$7=1),Finanziamenti!$C$7,0)</f>
        <v>0</v>
      </c>
      <c r="AX219" s="15" t="n">
        <f aca="false">0</f>
        <v>0</v>
      </c>
      <c r="AY219" s="15" t="n">
        <f aca="false">IF(11=Parametri_v3!$C$33,IF(BV219&lt;MIN(12,$B219-1),0,MIN(MAX(0,SUM(Y197:Y208))*Ipotesi!$C$94,MAX(0,(BM208)-(BO218)-BP219),MAX(0,BD219-Parametri_v3!$C$31))),0)</f>
        <v>0</v>
      </c>
      <c r="AZ219" s="15" t="n">
        <f aca="false">0</f>
        <v>0</v>
      </c>
      <c r="BA219" s="15" t="n">
        <f aca="false">0</f>
        <v>0</v>
      </c>
      <c r="BB219" s="15" t="n">
        <f aca="false">0</f>
        <v>0</v>
      </c>
      <c r="BC219" s="15" t="n">
        <f aca="false">0</f>
        <v>0</v>
      </c>
      <c r="BD219" s="15" t="n">
        <f aca="false">(BH218)+AC219-AF219-AI219-AS219-K219*(1+Parametri_v3!$C$26)-AL219-AQ219-O219+AW219+AX219+AZ219+BA219-BB219</f>
        <v>-303938.691258333</v>
      </c>
      <c r="BE219" s="15" t="n">
        <f aca="false">0</f>
        <v>0</v>
      </c>
      <c r="BF219" s="15" t="n">
        <f aca="false">0</f>
        <v>0</v>
      </c>
      <c r="BG219" s="15" t="n">
        <f aca="false">0</f>
        <v>0</v>
      </c>
      <c r="BH219" s="15" t="n">
        <f aca="false">BD219+BE219-BF219-AY219</f>
        <v>-303938.691258333</v>
      </c>
      <c r="BI219" s="15" t="n">
        <f aca="false">MAX(0,Parametri_v3!$C$31-BH219)</f>
        <v>313938.691258333</v>
      </c>
      <c r="BJ219" s="15" t="n">
        <f aca="false">(BJ218)+K219</f>
        <v>12583.3333333333</v>
      </c>
      <c r="BK219" s="15" t="n">
        <f aca="false">(BK218)+L219</f>
        <v>5652.77777777778</v>
      </c>
      <c r="BL219" s="15" t="n">
        <f aca="false">BJ219-BK219</f>
        <v>6930.55555555555</v>
      </c>
      <c r="BM219" s="15" t="n">
        <f aca="false">(BM218)+Y219</f>
        <v>-223204.831944444</v>
      </c>
      <c r="BN219" s="15" t="n">
        <f aca="false">(BN218)+AW219+AX219+AZ219</f>
        <v>20000</v>
      </c>
      <c r="BO219" s="15" t="n">
        <f aca="false">(BO218)+AY219</f>
        <v>0</v>
      </c>
      <c r="BP219" s="15" t="n">
        <f aca="false">MIN(Parametri_v3!$C$36*Parametri_v3!$C$35,(BP218)+IF(11=1,MAX(0,SUM(Y197:Y208))*Parametri_v3!$C$34,0))</f>
        <v>0</v>
      </c>
      <c r="BQ219" s="15" t="n">
        <f aca="false">BN219+BM219-BO219</f>
        <v>-203204.831944444</v>
      </c>
      <c r="BR219" s="15" t="n">
        <f aca="false">BH219+AD219+BL219+MAX(0,-AM219)+MAX(0,-AR219)</f>
        <v>-137578.535702777</v>
      </c>
      <c r="BS219" s="15" t="n">
        <f aca="false">AJ219+AV219+MAX(0,AM219)+MAX(0,AR219)+BC219+BG219+BQ219+AG219</f>
        <v>-137578.535702778</v>
      </c>
      <c r="BT219" s="15" t="n">
        <f aca="false">BR219-BS219</f>
        <v>0</v>
      </c>
      <c r="BU219" s="15" t="n">
        <f aca="false">BH219-(BD219+BE219-BF219-AY219)</f>
        <v>0</v>
      </c>
      <c r="BV219" s="15" t="n">
        <f aca="false">IF(BH218&lt;Parametri_v3!$C$31,0,BV218+1)</f>
        <v>0</v>
      </c>
    </row>
    <row r="220" customFormat="false" ht="18" hidden="false" customHeight="true" outlineLevel="0" collapsed="false">
      <c r="A220" s="68" t="n">
        <f aca="false">4</f>
        <v>4</v>
      </c>
      <c r="B220" s="68" t="n">
        <f aca="false">36</f>
        <v>36</v>
      </c>
      <c r="C220" s="18" t="n">
        <f aca="false">Motore_Operativo!C220</f>
        <v>47453</v>
      </c>
      <c r="D220" s="68" t="n">
        <f aca="false">Motore_Operativo!D220</f>
        <v>2029</v>
      </c>
      <c r="E220" s="68" t="n">
        <f aca="false">Motore_Operativo!E220</f>
        <v>12</v>
      </c>
      <c r="F220" s="15" t="n">
        <f aca="false">Motore_Operativo!AM220</f>
        <v>32670</v>
      </c>
      <c r="G220" s="15" t="n">
        <f aca="false">Motore_Operativo!BH220</f>
        <v>3267</v>
      </c>
      <c r="H220" s="15" t="n">
        <f aca="false">Motore_Operativo!AM220</f>
        <v>32670</v>
      </c>
      <c r="I220" s="15" t="n">
        <f aca="false">Motore_Operativo!CB220</f>
        <v>41807.0958333333</v>
      </c>
      <c r="J220" s="15" t="n">
        <f aca="false">Motore_Operativo!CD220</f>
        <v>-9137.09583333333</v>
      </c>
      <c r="K220" s="15" t="n">
        <f aca="false">Motore_Operativo!CF220</f>
        <v>416.666666666667</v>
      </c>
      <c r="L220" s="15" t="n">
        <f aca="false">SUM(INDEX($K$185:$K$244,MAX(1,36-Parametri_v3!$C$59+1)):K220)/Parametri_v3!$C$59</f>
        <v>361.111111111111</v>
      </c>
      <c r="M220" s="15" t="n">
        <f aca="false">J220-L220</f>
        <v>-9498.20694444444</v>
      </c>
      <c r="N220" s="15" t="n">
        <f aca="false">0</f>
        <v>0</v>
      </c>
      <c r="O220" s="15" t="n">
        <f aca="false">0</f>
        <v>0</v>
      </c>
      <c r="P220" s="15" t="n">
        <f aca="false">M220+N220-O220</f>
        <v>-9498.20694444444</v>
      </c>
      <c r="Q220" s="15" t="n">
        <f aca="false">SUM(P209:P220)+Parametri_v3!$C$56*12/12</f>
        <v>-113214.594444444</v>
      </c>
      <c r="R220" s="15" t="n">
        <f aca="false">Z208</f>
        <v>119488.444444444</v>
      </c>
      <c r="S220" s="15" t="n">
        <f aca="false">AA208</f>
        <v>0</v>
      </c>
      <c r="T220" s="15" t="n">
        <f aca="false">MIN(R220,MAX(0,Q220))</f>
        <v>0</v>
      </c>
      <c r="U220" s="15" t="n">
        <f aca="false">MIN(S220,MAX(0,Q220-T220)*Parametri_v3!$C$42)</f>
        <v>0</v>
      </c>
      <c r="V220" s="15" t="n">
        <f aca="false">MAX(0,Q220-T220-U220)*Ipotesi!$C$92</f>
        <v>0</v>
      </c>
      <c r="W220" s="15" t="n">
        <f aca="false">MAX(0,SUM(M209:M220)+Parametri_v3!$C$57*12/12)*Ipotesi!$C$93</f>
        <v>0</v>
      </c>
      <c r="X220" s="15" t="n">
        <f aca="false">V220+W220-(V219+W219)</f>
        <v>0</v>
      </c>
      <c r="Y220" s="15" t="n">
        <f aca="false">P220-X220</f>
        <v>-9498.20694444444</v>
      </c>
      <c r="Z220" s="15" t="n">
        <f aca="false">R220-T220+IF(AND(Parametri_v3!$C$40=1,D220-YEAR(Parametri_v3!$C$50)&lt;Parametri_v3!$C$41),MAX(0,-Q220),0)</f>
        <v>232703.038888889</v>
      </c>
      <c r="AA220" s="15" t="n">
        <f aca="false">S220-U220+IF(AND(Parametri_v3!$C$40=1,D220-YEAR(Parametri_v3!$C$50)&lt;Parametri_v3!$C$41),0,MAX(0,-Q220))</f>
        <v>0</v>
      </c>
      <c r="AB220" s="15" t="n">
        <f aca="false">F220*(1+Parametri_v3!$C$26)</f>
        <v>39857.4</v>
      </c>
      <c r="AC220" s="15" t="n">
        <f aca="false">(IF(36-(INT((Motore_Operativo!L220)/30))&lt;1,0,INDEX(Motore_Advisory!$AB$185:$AB$244,MAX(1,36-(INT((Motore_Operativo!L220)/30)))))*(1-(MOD((Motore_Operativo!L220),30)/30))+IF(36-(INT((Motore_Operativo!L220)/30))-1&lt;1,0,INDEX(Motore_Advisory!$AB$185:$AB$244,MAX(1,36-(INT((Motore_Operativo!L220)/30))-1)))*(MOD((Motore_Operativo!L220),30)/30))</f>
        <v>39857.4</v>
      </c>
      <c r="AD220" s="15" t="n">
        <f aca="false">(AD219)+AB220-AC220</f>
        <v>159429.6</v>
      </c>
      <c r="AE220" s="15" t="n">
        <f aca="false">Motore_Operativo!BH220*(1+Parametri_v3!$C$26)</f>
        <v>3985.74</v>
      </c>
      <c r="AF220" s="15" t="n">
        <f aca="false">(IF(36-(INT((Parametri_v3!$C$29)/30))&lt;1,0,INDEX(Motore_Operativo!$BH$185:$BH$244,MAX(1,36-(INT((Parametri_v3!$C$29)/30)))))*(1-(MOD((Parametri_v3!$C$29),30)/30))+IF(36-(INT((Parametri_v3!$C$29)/30))-1&lt;1,0,INDEX(Motore_Operativo!$BH$185:$BH$244,MAX(1,36-(INT((Parametri_v3!$C$29)/30))-1)))*(MOD((Parametri_v3!$C$29),30)/30))*(1+Parametri_v3!$C$26)</f>
        <v>3985.74</v>
      </c>
      <c r="AG220" s="15" t="n">
        <f aca="false">(AG219)+AE220-AF220</f>
        <v>3985.74</v>
      </c>
      <c r="AH220" s="15" t="n">
        <f aca="false">(Motore_Operativo!CK220)*(1+Parametri_v3!$C$28*Parametri_v3!$C$26)</f>
        <v>15432.2952</v>
      </c>
      <c r="AI220" s="15" t="n">
        <f aca="false">(IF(36-(INT((Ipotesi!$C$91)/30))&lt;1,0,INDEX(Motore_Advisory!$AH$185:$AH$244,MAX(1,36-(INT((Ipotesi!$C$91)/30)))))*(1-(MOD((Ipotesi!$C$91),30)/30))+IF(36-(INT((Ipotesi!$C$91)/30))-1&lt;1,0,INDEX(Motore_Advisory!$AH$185:$AH$244,MAX(1,36-(INT((Ipotesi!$C$91)/30))-1)))*(MOD((Ipotesi!$C$91),30)/30))</f>
        <v>15432.2952</v>
      </c>
      <c r="AJ220" s="15" t="n">
        <f aca="false">(AJ219)+AH220-AI220</f>
        <v>30864.5904</v>
      </c>
      <c r="AK220" s="15" t="n">
        <f aca="false">(F220- Motore_Operativo!BH220-(Motore_Operativo!CK220)*Parametri_v3!$C$28-Motore_Operativo!CF220)*Parametri_v3!$C$26</f>
        <v>4067.39813333333</v>
      </c>
      <c r="AL220" s="15" t="n">
        <f aca="false">MAX(0,(AM219))</f>
        <v>4067.39813333333</v>
      </c>
      <c r="AM220" s="15" t="n">
        <f aca="false">(AM219)+AK220-AL220</f>
        <v>4067.39813333333</v>
      </c>
      <c r="AN220" s="15" t="n">
        <f aca="false">SUM(X197:X208)</f>
        <v>0</v>
      </c>
      <c r="AO220" s="15" t="n">
        <f aca="false">SUM(AP197:AP208)</f>
        <v>0</v>
      </c>
      <c r="AP220" s="15" t="n">
        <f aca="false">MAX(0,AN220)*IF(12=Parametri_v3!$C$43,Parametri_v3!$C$45,IF(12=Parametri_v3!$C$44,1-Parametri_v3!$C$45,0))</f>
        <v>0</v>
      </c>
      <c r="AQ220" s="15" t="n">
        <f aca="false">MAX(0,AP220+IF(12=Parametri_v3!$C$43,MAX(0,AN220-AO220),0)-MAX(0,-(AR219)))</f>
        <v>0</v>
      </c>
      <c r="AR220" s="15" t="n">
        <f aca="false">(AR219)+X220-AQ220</f>
        <v>0</v>
      </c>
      <c r="AS220" s="15" t="n">
        <f aca="false">Motore_Operativo!AC220-AT220+AU220</f>
        <v>24146.5260416667</v>
      </c>
      <c r="AT220" s="15" t="n">
        <f aca="false">Motore_Operativo!CI220</f>
        <v>1270.86979166667</v>
      </c>
      <c r="AU220" s="15" t="n">
        <f aca="false">MIN(MAX(0,(AV219)+AT220),Parametri_v3!$C$61/12)</f>
        <v>0</v>
      </c>
      <c r="AV220" s="15" t="n">
        <f aca="false">(AV219)+AT220-AU220</f>
        <v>27979.4375</v>
      </c>
      <c r="AW220" s="15" t="n">
        <f aca="false">IF(AND(Motore_Operativo!C220=Finanziamenti!$D$7,Finanziamenti!$F$7=1),Finanziamenti!$C$7,0)</f>
        <v>0</v>
      </c>
      <c r="AX220" s="15" t="n">
        <f aca="false">0</f>
        <v>0</v>
      </c>
      <c r="AY220" s="15" t="n">
        <f aca="false">IF(12=Parametri_v3!$C$33,IF(BV220&lt;MIN(12,$B220-1),0,MIN(MAX(0,SUM(Y197:Y208))*Ipotesi!$C$94,MAX(0,(BM208)-(BO219)-BP220),MAX(0,BD220-Parametri_v3!$C$31))),0)</f>
        <v>0</v>
      </c>
      <c r="AZ220" s="15" t="n">
        <f aca="false">0</f>
        <v>0</v>
      </c>
      <c r="BA220" s="15" t="n">
        <f aca="false">0</f>
        <v>0</v>
      </c>
      <c r="BB220" s="15" t="n">
        <f aca="false">0</f>
        <v>0</v>
      </c>
      <c r="BC220" s="15" t="n">
        <f aca="false">0</f>
        <v>0</v>
      </c>
      <c r="BD220" s="15" t="n">
        <f aca="false">(BH219)+AC220-AF220-AI220-AS220-K220*(1+Parametri_v3!$C$26)-AL220-AQ220-O220+AW220+AX220+AZ220+BA220-BB220</f>
        <v>-312221.583966666</v>
      </c>
      <c r="BE220" s="15" t="n">
        <f aca="false">0</f>
        <v>0</v>
      </c>
      <c r="BF220" s="15" t="n">
        <f aca="false">0</f>
        <v>0</v>
      </c>
      <c r="BG220" s="15" t="n">
        <f aca="false">0</f>
        <v>0</v>
      </c>
      <c r="BH220" s="15" t="n">
        <f aca="false">BD220+BE220-BF220-AY220</f>
        <v>-312221.583966666</v>
      </c>
      <c r="BI220" s="15" t="n">
        <f aca="false">MAX(0,Parametri_v3!$C$31-BH220)</f>
        <v>322221.583966666</v>
      </c>
      <c r="BJ220" s="15" t="n">
        <f aca="false">(BJ219)+K220</f>
        <v>13000</v>
      </c>
      <c r="BK220" s="15" t="n">
        <f aca="false">(BK219)+L220</f>
        <v>6013.88888888889</v>
      </c>
      <c r="BL220" s="15" t="n">
        <f aca="false">BJ220-BK220</f>
        <v>6986.11111111111</v>
      </c>
      <c r="BM220" s="15" t="n">
        <f aca="false">(BM219)+Y220</f>
        <v>-232703.038888889</v>
      </c>
      <c r="BN220" s="15" t="n">
        <f aca="false">(BN219)+AW220+AX220+AZ220</f>
        <v>20000</v>
      </c>
      <c r="BO220" s="15" t="n">
        <f aca="false">(BO219)+AY220</f>
        <v>0</v>
      </c>
      <c r="BP220" s="15" t="n">
        <f aca="false">MIN(Parametri_v3!$C$36*Parametri_v3!$C$35,(BP219)+IF(12=1,MAX(0,SUM(Y197:Y208))*Parametri_v3!$C$34,0))</f>
        <v>0</v>
      </c>
      <c r="BQ220" s="15" t="n">
        <f aca="false">BN220+BM220-BO220</f>
        <v>-212703.038888889</v>
      </c>
      <c r="BR220" s="15" t="n">
        <f aca="false">BH220+AD220+BL220+MAX(0,-AM220)+MAX(0,-AR220)</f>
        <v>-145805.872855555</v>
      </c>
      <c r="BS220" s="15" t="n">
        <f aca="false">AJ220+AV220+MAX(0,AM220)+MAX(0,AR220)+BC220+BG220+BQ220+AG220</f>
        <v>-145805.872855555</v>
      </c>
      <c r="BT220" s="15" t="n">
        <f aca="false">BR220-BS220</f>
        <v>0</v>
      </c>
      <c r="BU220" s="15" t="n">
        <f aca="false">BH220-(BD220+BE220-BF220-AY220)</f>
        <v>0</v>
      </c>
      <c r="BV220" s="15" t="n">
        <f aca="false">IF(BH219&lt;Parametri_v3!$C$31,0,BV219+1)</f>
        <v>0</v>
      </c>
    </row>
    <row r="221" customFormat="false" ht="18" hidden="false" customHeight="true" outlineLevel="0" collapsed="false">
      <c r="A221" s="68" t="n">
        <f aca="false">4</f>
        <v>4</v>
      </c>
      <c r="B221" s="68" t="n">
        <f aca="false">37</f>
        <v>37</v>
      </c>
      <c r="C221" s="18" t="n">
        <f aca="false">Motore_Operativo!C221</f>
        <v>47484</v>
      </c>
      <c r="D221" s="68" t="n">
        <f aca="false">Motore_Operativo!D221</f>
        <v>2030</v>
      </c>
      <c r="E221" s="68" t="n">
        <f aca="false">Motore_Operativo!E221</f>
        <v>1</v>
      </c>
      <c r="F221" s="15" t="n">
        <f aca="false">Motore_Operativo!AM221</f>
        <v>45581.25</v>
      </c>
      <c r="G221" s="15" t="n">
        <f aca="false">Motore_Operativo!BH221</f>
        <v>4558.125</v>
      </c>
      <c r="H221" s="15" t="n">
        <f aca="false">Motore_Operativo!AM221</f>
        <v>45581.25</v>
      </c>
      <c r="I221" s="15" t="n">
        <f aca="false">Motore_Operativo!CB221</f>
        <v>55434.5067083333</v>
      </c>
      <c r="J221" s="15" t="n">
        <f aca="false">Motore_Operativo!CD221</f>
        <v>-9853.25670833333</v>
      </c>
      <c r="K221" s="15" t="n">
        <f aca="false">Motore_Operativo!CF221</f>
        <v>666.666666666667</v>
      </c>
      <c r="L221" s="15" t="n">
        <f aca="false">SUM(INDEX($K$185:$K$244,MAX(1,37-Parametri_v3!$C$59+1)):K221)/Parametri_v3!$C$59</f>
        <v>372.685185185185</v>
      </c>
      <c r="M221" s="15" t="n">
        <f aca="false">J221-L221</f>
        <v>-10225.9418935185</v>
      </c>
      <c r="N221" s="15" t="n">
        <f aca="false">0</f>
        <v>0</v>
      </c>
      <c r="O221" s="15" t="n">
        <f aca="false">0</f>
        <v>0</v>
      </c>
      <c r="P221" s="15" t="n">
        <f aca="false">M221+N221-O221</f>
        <v>-10225.9418935185</v>
      </c>
      <c r="Q221" s="15" t="n">
        <f aca="false">SUM(P221)+Parametri_v3!$C$56*1/12</f>
        <v>-10225.9418935185</v>
      </c>
      <c r="R221" s="15" t="n">
        <f aca="false">Z220</f>
        <v>232703.038888889</v>
      </c>
      <c r="S221" s="15" t="n">
        <f aca="false">AA220</f>
        <v>0</v>
      </c>
      <c r="T221" s="15" t="n">
        <f aca="false">MIN(R221,MAX(0,Q221))</f>
        <v>0</v>
      </c>
      <c r="U221" s="15" t="n">
        <f aca="false">MIN(S221,MAX(0,Q221-T221)*Parametri_v3!$C$42)</f>
        <v>0</v>
      </c>
      <c r="V221" s="15" t="n">
        <f aca="false">MAX(0,Q221-T221-U221)*Ipotesi!$C$92</f>
        <v>0</v>
      </c>
      <c r="W221" s="15" t="n">
        <f aca="false">MAX(0,SUM(M221)+Parametri_v3!$C$57*1/12)*Ipotesi!$C$93</f>
        <v>0</v>
      </c>
      <c r="X221" s="15" t="n">
        <f aca="false">V221+W221-(0)</f>
        <v>0</v>
      </c>
      <c r="Y221" s="15" t="n">
        <f aca="false">P221-X221</f>
        <v>-10225.9418935185</v>
      </c>
      <c r="Z221" s="15" t="n">
        <f aca="false">R221-T221+IF(AND(Parametri_v3!$C$40=1,D221-YEAR(Parametri_v3!$C$50)&lt;Parametri_v3!$C$41),MAX(0,-Q221),0)</f>
        <v>232703.038888889</v>
      </c>
      <c r="AA221" s="15" t="n">
        <f aca="false">S221-U221+IF(AND(Parametri_v3!$C$40=1,D221-YEAR(Parametri_v3!$C$50)&lt;Parametri_v3!$C$41),0,MAX(0,-Q221))</f>
        <v>10225.9418935185</v>
      </c>
      <c r="AB221" s="15" t="n">
        <f aca="false">F221*(1+Parametri_v3!$C$26)</f>
        <v>55609.125</v>
      </c>
      <c r="AC221" s="15" t="n">
        <f aca="false">(IF(37-(INT((Motore_Operativo!L221)/30))&lt;1,0,INDEX(Motore_Advisory!$AB$185:$AB$244,MAX(1,37-(INT((Motore_Operativo!L221)/30)))))*(1-(MOD((Motore_Operativo!L221),30)/30))+IF(37-(INT((Motore_Operativo!L221)/30))-1&lt;1,0,INDEX(Motore_Advisory!$AB$185:$AB$244,MAX(1,37-(INT((Motore_Operativo!L221)/30))-1)))*(MOD((Motore_Operativo!L221),30)/30))</f>
        <v>39857.4</v>
      </c>
      <c r="AD221" s="15" t="n">
        <f aca="false">(AD220)+AB221-AC221</f>
        <v>175181.325</v>
      </c>
      <c r="AE221" s="15" t="n">
        <f aca="false">Motore_Operativo!BH221*(1+Parametri_v3!$C$26)</f>
        <v>5560.9125</v>
      </c>
      <c r="AF221" s="15" t="n">
        <f aca="false">(IF(37-(INT((Parametri_v3!$C$29)/30))&lt;1,0,INDEX(Motore_Operativo!$BH$185:$BH$244,MAX(1,37-(INT((Parametri_v3!$C$29)/30)))))*(1-(MOD((Parametri_v3!$C$29),30)/30))+IF(37-(INT((Parametri_v3!$C$29)/30))-1&lt;1,0,INDEX(Motore_Operativo!$BH$185:$BH$244,MAX(1,37-(INT((Parametri_v3!$C$29)/30))-1)))*(MOD((Parametri_v3!$C$29),30)/30))*(1+Parametri_v3!$C$26)</f>
        <v>3985.74</v>
      </c>
      <c r="AG221" s="15" t="n">
        <f aca="false">(AG220)+AE221-AF221</f>
        <v>5560.9125</v>
      </c>
      <c r="AH221" s="15" t="n">
        <f aca="false">(Motore_Operativo!CK221)*(1+Parametri_v3!$C$28*Parametri_v3!$C$26)</f>
        <v>20047.713</v>
      </c>
      <c r="AI221" s="15" t="n">
        <f aca="false">(IF(37-(INT((Ipotesi!$C$91)/30))&lt;1,0,INDEX(Motore_Advisory!$AH$185:$AH$244,MAX(1,37-(INT((Ipotesi!$C$91)/30)))))*(1-(MOD((Ipotesi!$C$91),30)/30))+IF(37-(INT((Ipotesi!$C$91)/30))-1&lt;1,0,INDEX(Motore_Advisory!$AH$185:$AH$244,MAX(1,37-(INT((Ipotesi!$C$91)/30))-1)))*(MOD((Ipotesi!$C$91),30)/30))</f>
        <v>15432.2952</v>
      </c>
      <c r="AJ221" s="15" t="n">
        <f aca="false">(AJ220)+AH221-AI221</f>
        <v>35480.0082</v>
      </c>
      <c r="AK221" s="15" t="n">
        <f aca="false">(F221- Motore_Operativo!BH221-(Motore_Operativo!CK221)*Parametri_v3!$C$28-Motore_Operativo!CF221)*Parametri_v3!$C$26</f>
        <v>5878.08283333334</v>
      </c>
      <c r="AL221" s="15" t="n">
        <f aca="false">MAX(0,(AM220))</f>
        <v>4067.39813333333</v>
      </c>
      <c r="AM221" s="15" t="n">
        <f aca="false">(AM220)+AK221-AL221</f>
        <v>5878.08283333334</v>
      </c>
      <c r="AN221" s="15" t="n">
        <f aca="false">SUM(X209:X220)</f>
        <v>0</v>
      </c>
      <c r="AO221" s="15" t="n">
        <f aca="false">SUM(AP209:AP220)</f>
        <v>0</v>
      </c>
      <c r="AP221" s="15" t="n">
        <f aca="false">MAX(0,AN221)*IF(1=Parametri_v3!$C$43,Parametri_v3!$C$45,IF(1=Parametri_v3!$C$44,1-Parametri_v3!$C$45,0))</f>
        <v>0</v>
      </c>
      <c r="AQ221" s="15" t="n">
        <f aca="false">MAX(0,AP221+IF(1=Parametri_v3!$C$43,MAX(0,AN221-AO221),0)-MAX(0,-(AR220)))</f>
        <v>0</v>
      </c>
      <c r="AR221" s="15" t="n">
        <f aca="false">(AR220)+X221-AQ221</f>
        <v>0</v>
      </c>
      <c r="AS221" s="15" t="n">
        <f aca="false">Motore_Operativo!AC221-AT221+AU221</f>
        <v>32137.5563729167</v>
      </c>
      <c r="AT221" s="15" t="n">
        <f aca="false">Motore_Operativo!CI221</f>
        <v>1691.45033541667</v>
      </c>
      <c r="AU221" s="15" t="n">
        <f aca="false">MIN(MAX(0,(AV220)+AT221),Parametri_v3!$C$61/12)</f>
        <v>0</v>
      </c>
      <c r="AV221" s="15" t="n">
        <f aca="false">(AV220)+AT221-AU221</f>
        <v>29670.8878354167</v>
      </c>
      <c r="AW221" s="15" t="n">
        <f aca="false">IF(AND(Motore_Operativo!C221=Finanziamenti!$D$7,Finanziamenti!$F$7=1),Finanziamenti!$C$7,0)</f>
        <v>0</v>
      </c>
      <c r="AX221" s="15" t="n">
        <f aca="false">0</f>
        <v>0</v>
      </c>
      <c r="AY221" s="15" t="n">
        <f aca="false">IF(1=Parametri_v3!$C$33,IF(BV221&lt;MIN(12,$B221-1),0,MIN(MAX(0,SUM(Y209:Y220))*Ipotesi!$C$94,MAX(0,(BM220)-(BO220)-BP221),MAX(0,BD221-Parametri_v3!$C$31))),0)</f>
        <v>0</v>
      </c>
      <c r="AZ221" s="15" t="n">
        <f aca="false">0</f>
        <v>0</v>
      </c>
      <c r="BA221" s="15" t="n">
        <f aca="false">0</f>
        <v>0</v>
      </c>
      <c r="BB221" s="15" t="n">
        <f aca="false">0</f>
        <v>0</v>
      </c>
      <c r="BC221" s="15" t="n">
        <f aca="false">0</f>
        <v>0</v>
      </c>
      <c r="BD221" s="15" t="n">
        <f aca="false">(BH220)+AC221-AF221-AI221-AS221-K221*(1+Parametri_v3!$C$26)-AL221-AQ221-O221+AW221+AX221+AZ221+BA221-BB221</f>
        <v>-328800.507006249</v>
      </c>
      <c r="BE221" s="15" t="n">
        <f aca="false">0</f>
        <v>0</v>
      </c>
      <c r="BF221" s="15" t="n">
        <f aca="false">0</f>
        <v>0</v>
      </c>
      <c r="BG221" s="15" t="n">
        <f aca="false">0</f>
        <v>0</v>
      </c>
      <c r="BH221" s="15" t="n">
        <f aca="false">BD221+BE221-BF221-AY221</f>
        <v>-328800.507006249</v>
      </c>
      <c r="BI221" s="15" t="n">
        <f aca="false">MAX(0,Parametri_v3!$C$31-BH221)</f>
        <v>338800.507006249</v>
      </c>
      <c r="BJ221" s="15" t="n">
        <f aca="false">(BJ220)+K221</f>
        <v>13666.6666666667</v>
      </c>
      <c r="BK221" s="15" t="n">
        <f aca="false">(BK220)+L221</f>
        <v>6386.57407407407</v>
      </c>
      <c r="BL221" s="15" t="n">
        <f aca="false">BJ221-BK221</f>
        <v>7280.09259259259</v>
      </c>
      <c r="BM221" s="15" t="n">
        <f aca="false">(BM220)+Y221</f>
        <v>-242928.980782407</v>
      </c>
      <c r="BN221" s="15" t="n">
        <f aca="false">(BN220)+AW221+AX221+AZ221</f>
        <v>20000</v>
      </c>
      <c r="BO221" s="15" t="n">
        <f aca="false">(BO220)+AY221</f>
        <v>0</v>
      </c>
      <c r="BP221" s="15" t="n">
        <f aca="false">MIN(Parametri_v3!$C$36*Parametri_v3!$C$35,(BP220)+IF(1=1,MAX(0,SUM(Y209:Y220))*Parametri_v3!$C$34,0))</f>
        <v>0</v>
      </c>
      <c r="BQ221" s="15" t="n">
        <f aca="false">BN221+BM221-BO221</f>
        <v>-222928.980782407</v>
      </c>
      <c r="BR221" s="15" t="n">
        <f aca="false">BH221+AD221+BL221+MAX(0,-AM221)+MAX(0,-AR221)</f>
        <v>-146339.089413657</v>
      </c>
      <c r="BS221" s="15" t="n">
        <f aca="false">AJ221+AV221+MAX(0,AM221)+MAX(0,AR221)+BC221+BG221+BQ221+AG221</f>
        <v>-146339.089413657</v>
      </c>
      <c r="BT221" s="15" t="n">
        <f aca="false">BR221-BS221</f>
        <v>0</v>
      </c>
      <c r="BU221" s="15" t="n">
        <f aca="false">BH221-(BD221+BE221-BF221-AY221)</f>
        <v>0</v>
      </c>
      <c r="BV221" s="15" t="n">
        <f aca="false">IF(BH220&lt;Parametri_v3!$C$31,0,BV220+1)</f>
        <v>0</v>
      </c>
    </row>
    <row r="222" customFormat="false" ht="18" hidden="false" customHeight="true" outlineLevel="0" collapsed="false">
      <c r="A222" s="68" t="n">
        <f aca="false">4</f>
        <v>4</v>
      </c>
      <c r="B222" s="68" t="n">
        <f aca="false">38</f>
        <v>38</v>
      </c>
      <c r="C222" s="18" t="n">
        <f aca="false">Motore_Operativo!C222</f>
        <v>47515</v>
      </c>
      <c r="D222" s="68" t="n">
        <f aca="false">Motore_Operativo!D222</f>
        <v>2030</v>
      </c>
      <c r="E222" s="68" t="n">
        <f aca="false">Motore_Operativo!E222</f>
        <v>2</v>
      </c>
      <c r="F222" s="15" t="n">
        <f aca="false">Motore_Operativo!AM222</f>
        <v>45581.25</v>
      </c>
      <c r="G222" s="15" t="n">
        <f aca="false">Motore_Operativo!BH222</f>
        <v>4558.125</v>
      </c>
      <c r="H222" s="15" t="n">
        <f aca="false">Motore_Operativo!AM222</f>
        <v>45581.25</v>
      </c>
      <c r="I222" s="15" t="n">
        <f aca="false">Motore_Operativo!CB222</f>
        <v>55434.5067083333</v>
      </c>
      <c r="J222" s="15" t="n">
        <f aca="false">Motore_Operativo!CD222</f>
        <v>-9853.25670833333</v>
      </c>
      <c r="K222" s="15" t="n">
        <f aca="false">Motore_Operativo!CF222</f>
        <v>666.666666666667</v>
      </c>
      <c r="L222" s="15" t="n">
        <f aca="false">SUM(INDEX($K$185:$K$244,MAX(1,38-Parametri_v3!$C$59+1)):K222)/Parametri_v3!$C$59</f>
        <v>384.259259259259</v>
      </c>
      <c r="M222" s="15" t="n">
        <f aca="false">J222-L222</f>
        <v>-10237.5159675926</v>
      </c>
      <c r="N222" s="15" t="n">
        <f aca="false">0</f>
        <v>0</v>
      </c>
      <c r="O222" s="15" t="n">
        <f aca="false">0</f>
        <v>0</v>
      </c>
      <c r="P222" s="15" t="n">
        <f aca="false">M222+N222-O222</f>
        <v>-10237.5159675926</v>
      </c>
      <c r="Q222" s="15" t="n">
        <f aca="false">SUM(P221:P222)+Parametri_v3!$C$56*2/12</f>
        <v>-20463.4578611111</v>
      </c>
      <c r="R222" s="15" t="n">
        <f aca="false">Z220</f>
        <v>232703.038888889</v>
      </c>
      <c r="S222" s="15" t="n">
        <f aca="false">AA220</f>
        <v>0</v>
      </c>
      <c r="T222" s="15" t="n">
        <f aca="false">MIN(R222,MAX(0,Q222))</f>
        <v>0</v>
      </c>
      <c r="U222" s="15" t="n">
        <f aca="false">MIN(S222,MAX(0,Q222-T222)*Parametri_v3!$C$42)</f>
        <v>0</v>
      </c>
      <c r="V222" s="15" t="n">
        <f aca="false">MAX(0,Q222-T222-U222)*Ipotesi!$C$92</f>
        <v>0</v>
      </c>
      <c r="W222" s="15" t="n">
        <f aca="false">MAX(0,SUM(M221:M222)+Parametri_v3!$C$57*2/12)*Ipotesi!$C$93</f>
        <v>0</v>
      </c>
      <c r="X222" s="15" t="n">
        <f aca="false">V222+W222-(V221+W221)</f>
        <v>0</v>
      </c>
      <c r="Y222" s="15" t="n">
        <f aca="false">P222-X222</f>
        <v>-10237.5159675926</v>
      </c>
      <c r="Z222" s="15" t="n">
        <f aca="false">R222-T222+IF(AND(Parametri_v3!$C$40=1,D222-YEAR(Parametri_v3!$C$50)&lt;Parametri_v3!$C$41),MAX(0,-Q222),0)</f>
        <v>232703.038888889</v>
      </c>
      <c r="AA222" s="15" t="n">
        <f aca="false">S222-U222+IF(AND(Parametri_v3!$C$40=1,D222-YEAR(Parametri_v3!$C$50)&lt;Parametri_v3!$C$41),0,MAX(0,-Q222))</f>
        <v>20463.4578611111</v>
      </c>
      <c r="AB222" s="15" t="n">
        <f aca="false">F222*(1+Parametri_v3!$C$26)</f>
        <v>55609.125</v>
      </c>
      <c r="AC222" s="15" t="n">
        <f aca="false">(IF(38-(INT((Motore_Operativo!L222)/30))&lt;1,0,INDEX(Motore_Advisory!$AB$185:$AB$244,MAX(1,38-(INT((Motore_Operativo!L222)/30)))))*(1-(MOD((Motore_Operativo!L222),30)/30))+IF(38-(INT((Motore_Operativo!L222)/30))-1&lt;1,0,INDEX(Motore_Advisory!$AB$185:$AB$244,MAX(1,38-(INT((Motore_Operativo!L222)/30))-1)))*(MOD((Motore_Operativo!L222),30)/30))</f>
        <v>39857.4</v>
      </c>
      <c r="AD222" s="15" t="n">
        <f aca="false">(AD221)+AB222-AC222</f>
        <v>190933.05</v>
      </c>
      <c r="AE222" s="15" t="n">
        <f aca="false">Motore_Operativo!BH222*(1+Parametri_v3!$C$26)</f>
        <v>5560.9125</v>
      </c>
      <c r="AF222" s="15" t="n">
        <f aca="false">(IF(38-(INT((Parametri_v3!$C$29)/30))&lt;1,0,INDEX(Motore_Operativo!$BH$185:$BH$244,MAX(1,38-(INT((Parametri_v3!$C$29)/30)))))*(1-(MOD((Parametri_v3!$C$29),30)/30))+IF(38-(INT((Parametri_v3!$C$29)/30))-1&lt;1,0,INDEX(Motore_Operativo!$BH$185:$BH$244,MAX(1,38-(INT((Parametri_v3!$C$29)/30))-1)))*(MOD((Parametri_v3!$C$29),30)/30))*(1+Parametri_v3!$C$26)</f>
        <v>5560.9125</v>
      </c>
      <c r="AG222" s="15" t="n">
        <f aca="false">(AG221)+AE222-AF222</f>
        <v>5560.9125</v>
      </c>
      <c r="AH222" s="15" t="n">
        <f aca="false">(Motore_Operativo!CK222)*(1+Parametri_v3!$C$28*Parametri_v3!$C$26)</f>
        <v>20047.713</v>
      </c>
      <c r="AI222" s="15" t="n">
        <f aca="false">(IF(38-(INT((Ipotesi!$C$91)/30))&lt;1,0,INDEX(Motore_Advisory!$AH$185:$AH$244,MAX(1,38-(INT((Ipotesi!$C$91)/30)))))*(1-(MOD((Ipotesi!$C$91),30)/30))+IF(38-(INT((Ipotesi!$C$91)/30))-1&lt;1,0,INDEX(Motore_Advisory!$AH$185:$AH$244,MAX(1,38-(INT((Ipotesi!$C$91)/30))-1)))*(MOD((Ipotesi!$C$91),30)/30))</f>
        <v>15432.2952</v>
      </c>
      <c r="AJ222" s="15" t="n">
        <f aca="false">(AJ221)+AH222-AI222</f>
        <v>40095.426</v>
      </c>
      <c r="AK222" s="15" t="n">
        <f aca="false">(F222- Motore_Operativo!BH222-(Motore_Operativo!CK222)*Parametri_v3!$C$28-Motore_Operativo!CF222)*Parametri_v3!$C$26</f>
        <v>5878.08283333334</v>
      </c>
      <c r="AL222" s="15" t="n">
        <f aca="false">MAX(0,(AM221))</f>
        <v>5878.08283333334</v>
      </c>
      <c r="AM222" s="15" t="n">
        <f aca="false">(AM221)+AK222-AL222</f>
        <v>5878.08283333334</v>
      </c>
      <c r="AN222" s="15" t="n">
        <f aca="false">SUM(X209:X220)</f>
        <v>0</v>
      </c>
      <c r="AO222" s="15" t="n">
        <f aca="false">SUM(AP209:AP220)</f>
        <v>0</v>
      </c>
      <c r="AP222" s="15" t="n">
        <f aca="false">MAX(0,AN222)*IF(2=Parametri_v3!$C$43,Parametri_v3!$C$45,IF(2=Parametri_v3!$C$44,1-Parametri_v3!$C$45,0))</f>
        <v>0</v>
      </c>
      <c r="AQ222" s="15" t="n">
        <f aca="false">MAX(0,AP222+IF(2=Parametri_v3!$C$43,MAX(0,AN222-AO222),0)-MAX(0,-(AR221)))</f>
        <v>0</v>
      </c>
      <c r="AR222" s="15" t="n">
        <f aca="false">(AR221)+X222-AQ222</f>
        <v>0</v>
      </c>
      <c r="AS222" s="15" t="n">
        <f aca="false">Motore_Operativo!AC222-AT222+AU222</f>
        <v>32137.5563729167</v>
      </c>
      <c r="AT222" s="15" t="n">
        <f aca="false">Motore_Operativo!CI222</f>
        <v>1691.45033541667</v>
      </c>
      <c r="AU222" s="15" t="n">
        <f aca="false">MIN(MAX(0,(AV221)+AT222),Parametri_v3!$C$61/12)</f>
        <v>0</v>
      </c>
      <c r="AV222" s="15" t="n">
        <f aca="false">(AV221)+AT222-AU222</f>
        <v>31362.3381708333</v>
      </c>
      <c r="AW222" s="15" t="n">
        <f aca="false">IF(AND(Motore_Operativo!C222=Finanziamenti!$D$7,Finanziamenti!$F$7=1),Finanziamenti!$C$7,0)</f>
        <v>0</v>
      </c>
      <c r="AX222" s="15" t="n">
        <f aca="false">0</f>
        <v>0</v>
      </c>
      <c r="AY222" s="15" t="n">
        <f aca="false">IF(2=Parametri_v3!$C$33,IF(BV222&lt;MIN(12,$B222-1),0,MIN(MAX(0,SUM(Y209:Y220))*Ipotesi!$C$94,MAX(0,(BM220)-(BO221)-BP222),MAX(0,BD222-Parametri_v3!$C$31))),0)</f>
        <v>0</v>
      </c>
      <c r="AZ222" s="15" t="n">
        <f aca="false">0</f>
        <v>0</v>
      </c>
      <c r="BA222" s="15" t="n">
        <f aca="false">0</f>
        <v>0</v>
      </c>
      <c r="BB222" s="15" t="n">
        <f aca="false">0</f>
        <v>0</v>
      </c>
      <c r="BC222" s="15" t="n">
        <f aca="false">0</f>
        <v>0</v>
      </c>
      <c r="BD222" s="15" t="n">
        <f aca="false">(BH221)+AC222-AF222-AI222-AS222-K222*(1+Parametri_v3!$C$26)-AL222-AQ222-O222+AW222+AX222+AZ222+BA222-BB222</f>
        <v>-348765.287245833</v>
      </c>
      <c r="BE222" s="15" t="n">
        <f aca="false">0</f>
        <v>0</v>
      </c>
      <c r="BF222" s="15" t="n">
        <f aca="false">0</f>
        <v>0</v>
      </c>
      <c r="BG222" s="15" t="n">
        <f aca="false">0</f>
        <v>0</v>
      </c>
      <c r="BH222" s="15" t="n">
        <f aca="false">BD222+BE222-BF222-AY222</f>
        <v>-348765.287245833</v>
      </c>
      <c r="BI222" s="15" t="n">
        <f aca="false">MAX(0,Parametri_v3!$C$31-BH222)</f>
        <v>358765.287245833</v>
      </c>
      <c r="BJ222" s="15" t="n">
        <f aca="false">(BJ221)+K222</f>
        <v>14333.3333333333</v>
      </c>
      <c r="BK222" s="15" t="n">
        <f aca="false">(BK221)+L222</f>
        <v>6770.83333333333</v>
      </c>
      <c r="BL222" s="15" t="n">
        <f aca="false">BJ222-BK222</f>
        <v>7562.5</v>
      </c>
      <c r="BM222" s="15" t="n">
        <f aca="false">(BM221)+Y222</f>
        <v>-253166.49675</v>
      </c>
      <c r="BN222" s="15" t="n">
        <f aca="false">(BN221)+AW222+AX222+AZ222</f>
        <v>20000</v>
      </c>
      <c r="BO222" s="15" t="n">
        <f aca="false">(BO221)+AY222</f>
        <v>0</v>
      </c>
      <c r="BP222" s="15" t="n">
        <f aca="false">MIN(Parametri_v3!$C$36*Parametri_v3!$C$35,(BP221)+IF(2=1,MAX(0,SUM(Y209:Y220))*Parametri_v3!$C$34,0))</f>
        <v>0</v>
      </c>
      <c r="BQ222" s="15" t="n">
        <f aca="false">BN222+BM222-BO222</f>
        <v>-233166.49675</v>
      </c>
      <c r="BR222" s="15" t="n">
        <f aca="false">BH222+AD222+BL222+MAX(0,-AM222)+MAX(0,-AR222)</f>
        <v>-150269.737245833</v>
      </c>
      <c r="BS222" s="15" t="n">
        <f aca="false">AJ222+AV222+MAX(0,AM222)+MAX(0,AR222)+BC222+BG222+BQ222+AG222</f>
        <v>-150269.737245833</v>
      </c>
      <c r="BT222" s="15" t="n">
        <f aca="false">BR222-BS222</f>
        <v>0</v>
      </c>
      <c r="BU222" s="15" t="n">
        <f aca="false">BH222-(BD222+BE222-BF222-AY222)</f>
        <v>0</v>
      </c>
      <c r="BV222" s="15" t="n">
        <f aca="false">IF(BH221&lt;Parametri_v3!$C$31,0,BV221+1)</f>
        <v>0</v>
      </c>
    </row>
    <row r="223" customFormat="false" ht="18" hidden="false" customHeight="true" outlineLevel="0" collapsed="false">
      <c r="A223" s="68" t="n">
        <f aca="false">4</f>
        <v>4</v>
      </c>
      <c r="B223" s="68" t="n">
        <f aca="false">39</f>
        <v>39</v>
      </c>
      <c r="C223" s="18" t="n">
        <f aca="false">Motore_Operativo!C223</f>
        <v>47543</v>
      </c>
      <c r="D223" s="68" t="n">
        <f aca="false">Motore_Operativo!D223</f>
        <v>2030</v>
      </c>
      <c r="E223" s="68" t="n">
        <f aca="false">Motore_Operativo!E223</f>
        <v>3</v>
      </c>
      <c r="F223" s="15" t="n">
        <f aca="false">Motore_Operativo!AM223</f>
        <v>45581.25</v>
      </c>
      <c r="G223" s="15" t="n">
        <f aca="false">Motore_Operativo!BH223</f>
        <v>4558.125</v>
      </c>
      <c r="H223" s="15" t="n">
        <f aca="false">Motore_Operativo!AM223</f>
        <v>45581.25</v>
      </c>
      <c r="I223" s="15" t="n">
        <f aca="false">Motore_Operativo!CB223</f>
        <v>55434.5067083333</v>
      </c>
      <c r="J223" s="15" t="n">
        <f aca="false">Motore_Operativo!CD223</f>
        <v>-9853.25670833333</v>
      </c>
      <c r="K223" s="15" t="n">
        <f aca="false">Motore_Operativo!CF223</f>
        <v>666.666666666667</v>
      </c>
      <c r="L223" s="15" t="n">
        <f aca="false">SUM(INDEX($K$185:$K$244,MAX(1,39-Parametri_v3!$C$59+1)):K223)/Parametri_v3!$C$59</f>
        <v>395.833333333333</v>
      </c>
      <c r="M223" s="15" t="n">
        <f aca="false">J223-L223</f>
        <v>-10249.0900416667</v>
      </c>
      <c r="N223" s="15" t="n">
        <f aca="false">0</f>
        <v>0</v>
      </c>
      <c r="O223" s="15" t="n">
        <f aca="false">0</f>
        <v>0</v>
      </c>
      <c r="P223" s="15" t="n">
        <f aca="false">M223+N223-O223</f>
        <v>-10249.0900416667</v>
      </c>
      <c r="Q223" s="15" t="n">
        <f aca="false">SUM(P221:P223)+Parametri_v3!$C$56*3/12</f>
        <v>-30712.5479027778</v>
      </c>
      <c r="R223" s="15" t="n">
        <f aca="false">Z220</f>
        <v>232703.038888889</v>
      </c>
      <c r="S223" s="15" t="n">
        <f aca="false">AA220</f>
        <v>0</v>
      </c>
      <c r="T223" s="15" t="n">
        <f aca="false">MIN(R223,MAX(0,Q223))</f>
        <v>0</v>
      </c>
      <c r="U223" s="15" t="n">
        <f aca="false">MIN(S223,MAX(0,Q223-T223)*Parametri_v3!$C$42)</f>
        <v>0</v>
      </c>
      <c r="V223" s="15" t="n">
        <f aca="false">MAX(0,Q223-T223-U223)*Ipotesi!$C$92</f>
        <v>0</v>
      </c>
      <c r="W223" s="15" t="n">
        <f aca="false">MAX(0,SUM(M221:M223)+Parametri_v3!$C$57*3/12)*Ipotesi!$C$93</f>
        <v>0</v>
      </c>
      <c r="X223" s="15" t="n">
        <f aca="false">V223+W223-(V222+W222)</f>
        <v>0</v>
      </c>
      <c r="Y223" s="15" t="n">
        <f aca="false">P223-X223</f>
        <v>-10249.0900416667</v>
      </c>
      <c r="Z223" s="15" t="n">
        <f aca="false">R223-T223+IF(AND(Parametri_v3!$C$40=1,D223-YEAR(Parametri_v3!$C$50)&lt;Parametri_v3!$C$41),MAX(0,-Q223),0)</f>
        <v>232703.038888889</v>
      </c>
      <c r="AA223" s="15" t="n">
        <f aca="false">S223-U223+IF(AND(Parametri_v3!$C$40=1,D223-YEAR(Parametri_v3!$C$50)&lt;Parametri_v3!$C$41),0,MAX(0,-Q223))</f>
        <v>30712.5479027778</v>
      </c>
      <c r="AB223" s="15" t="n">
        <f aca="false">F223*(1+Parametri_v3!$C$26)</f>
        <v>55609.125</v>
      </c>
      <c r="AC223" s="15" t="n">
        <f aca="false">(IF(39-(INT((Motore_Operativo!L223)/30))&lt;1,0,INDEX(Motore_Advisory!$AB$185:$AB$244,MAX(1,39-(INT((Motore_Operativo!L223)/30)))))*(1-(MOD((Motore_Operativo!L223),30)/30))+IF(39-(INT((Motore_Operativo!L223)/30))-1&lt;1,0,INDEX(Motore_Advisory!$AB$185:$AB$244,MAX(1,39-(INT((Motore_Operativo!L223)/30))-1)))*(MOD((Motore_Operativo!L223),30)/30))</f>
        <v>39857.4</v>
      </c>
      <c r="AD223" s="15" t="n">
        <f aca="false">(AD222)+AB223-AC223</f>
        <v>206684.775</v>
      </c>
      <c r="AE223" s="15" t="n">
        <f aca="false">Motore_Operativo!BH223*(1+Parametri_v3!$C$26)</f>
        <v>5560.9125</v>
      </c>
      <c r="AF223" s="15" t="n">
        <f aca="false">(IF(39-(INT((Parametri_v3!$C$29)/30))&lt;1,0,INDEX(Motore_Operativo!$BH$185:$BH$244,MAX(1,39-(INT((Parametri_v3!$C$29)/30)))))*(1-(MOD((Parametri_v3!$C$29),30)/30))+IF(39-(INT((Parametri_v3!$C$29)/30))-1&lt;1,0,INDEX(Motore_Operativo!$BH$185:$BH$244,MAX(1,39-(INT((Parametri_v3!$C$29)/30))-1)))*(MOD((Parametri_v3!$C$29),30)/30))*(1+Parametri_v3!$C$26)</f>
        <v>5560.9125</v>
      </c>
      <c r="AG223" s="15" t="n">
        <f aca="false">(AG222)+AE223-AF223</f>
        <v>5560.9125</v>
      </c>
      <c r="AH223" s="15" t="n">
        <f aca="false">(Motore_Operativo!CK223)*(1+Parametri_v3!$C$28*Parametri_v3!$C$26)</f>
        <v>20047.713</v>
      </c>
      <c r="AI223" s="15" t="n">
        <f aca="false">(IF(39-(INT((Ipotesi!$C$91)/30))&lt;1,0,INDEX(Motore_Advisory!$AH$185:$AH$244,MAX(1,39-(INT((Ipotesi!$C$91)/30)))))*(1-(MOD((Ipotesi!$C$91),30)/30))+IF(39-(INT((Ipotesi!$C$91)/30))-1&lt;1,0,INDEX(Motore_Advisory!$AH$185:$AH$244,MAX(1,39-(INT((Ipotesi!$C$91)/30))-1)))*(MOD((Ipotesi!$C$91),30)/30))</f>
        <v>20047.713</v>
      </c>
      <c r="AJ223" s="15" t="n">
        <f aca="false">(AJ222)+AH223-AI223</f>
        <v>40095.426</v>
      </c>
      <c r="AK223" s="15" t="n">
        <f aca="false">(F223- Motore_Operativo!BH223-(Motore_Operativo!CK223)*Parametri_v3!$C$28-Motore_Operativo!CF223)*Parametri_v3!$C$26</f>
        <v>5878.08283333334</v>
      </c>
      <c r="AL223" s="15" t="n">
        <f aca="false">MAX(0,(AM222))</f>
        <v>5878.08283333334</v>
      </c>
      <c r="AM223" s="15" t="n">
        <f aca="false">(AM222)+AK223-AL223</f>
        <v>5878.08283333334</v>
      </c>
      <c r="AN223" s="15" t="n">
        <f aca="false">SUM(X209:X220)</f>
        <v>0</v>
      </c>
      <c r="AO223" s="15" t="n">
        <f aca="false">SUM(AP209:AP220)</f>
        <v>0</v>
      </c>
      <c r="AP223" s="15" t="n">
        <f aca="false">MAX(0,AN223)*IF(3=Parametri_v3!$C$43,Parametri_v3!$C$45,IF(3=Parametri_v3!$C$44,1-Parametri_v3!$C$45,0))</f>
        <v>0</v>
      </c>
      <c r="AQ223" s="15" t="n">
        <f aca="false">MAX(0,AP223+IF(3=Parametri_v3!$C$43,MAX(0,AN223-AO223),0)-MAX(0,-(AR222)))</f>
        <v>0</v>
      </c>
      <c r="AR223" s="15" t="n">
        <f aca="false">(AR222)+X223-AQ223</f>
        <v>0</v>
      </c>
      <c r="AS223" s="15" t="n">
        <f aca="false">Motore_Operativo!AC223-AT223+AU223</f>
        <v>32137.5563729167</v>
      </c>
      <c r="AT223" s="15" t="n">
        <f aca="false">Motore_Operativo!CI223</f>
        <v>1691.45033541667</v>
      </c>
      <c r="AU223" s="15" t="n">
        <f aca="false">MIN(MAX(0,(AV222)+AT223),Parametri_v3!$C$61/12)</f>
        <v>0</v>
      </c>
      <c r="AV223" s="15" t="n">
        <f aca="false">(AV222)+AT223-AU223</f>
        <v>33053.78850625</v>
      </c>
      <c r="AW223" s="15" t="n">
        <f aca="false">IF(AND(Motore_Operativo!C223=Finanziamenti!$D$7,Finanziamenti!$F$7=1),Finanziamenti!$C$7,0)</f>
        <v>0</v>
      </c>
      <c r="AX223" s="15" t="n">
        <f aca="false">0</f>
        <v>0</v>
      </c>
      <c r="AY223" s="15" t="n">
        <f aca="false">IF(3=Parametri_v3!$C$33,IF(BV223&lt;MIN(12,$B223-1),0,MIN(MAX(0,SUM(Y209:Y220))*Ipotesi!$C$94,MAX(0,(BM220)-(BO222)-BP223),MAX(0,BD223-Parametri_v3!$C$31))),0)</f>
        <v>0</v>
      </c>
      <c r="AZ223" s="15" t="n">
        <f aca="false">0</f>
        <v>0</v>
      </c>
      <c r="BA223" s="15" t="n">
        <f aca="false">0</f>
        <v>0</v>
      </c>
      <c r="BB223" s="15" t="n">
        <f aca="false">0</f>
        <v>0</v>
      </c>
      <c r="BC223" s="15" t="n">
        <f aca="false">0</f>
        <v>0</v>
      </c>
      <c r="BD223" s="15" t="n">
        <f aca="false">(BH222)+AC223-AF223-AI223-AS223-K223*(1+Parametri_v3!$C$26)-AL223-AQ223-O223+AW223+AX223+AZ223+BA223-BB223</f>
        <v>-373345.485285416</v>
      </c>
      <c r="BE223" s="15" t="n">
        <f aca="false">0</f>
        <v>0</v>
      </c>
      <c r="BF223" s="15" t="n">
        <f aca="false">0</f>
        <v>0</v>
      </c>
      <c r="BG223" s="15" t="n">
        <f aca="false">0</f>
        <v>0</v>
      </c>
      <c r="BH223" s="15" t="n">
        <f aca="false">BD223+BE223-BF223-AY223</f>
        <v>-373345.485285416</v>
      </c>
      <c r="BI223" s="15" t="n">
        <f aca="false">MAX(0,Parametri_v3!$C$31-BH223)</f>
        <v>383345.485285416</v>
      </c>
      <c r="BJ223" s="15" t="n">
        <f aca="false">(BJ222)+K223</f>
        <v>15000</v>
      </c>
      <c r="BK223" s="15" t="n">
        <f aca="false">(BK222)+L223</f>
        <v>7166.66666666667</v>
      </c>
      <c r="BL223" s="15" t="n">
        <f aca="false">BJ223-BK223</f>
        <v>7833.33333333333</v>
      </c>
      <c r="BM223" s="15" t="n">
        <f aca="false">(BM222)+Y223</f>
        <v>-263415.586791666</v>
      </c>
      <c r="BN223" s="15" t="n">
        <f aca="false">(BN222)+AW223+AX223+AZ223</f>
        <v>20000</v>
      </c>
      <c r="BO223" s="15" t="n">
        <f aca="false">(BO222)+AY223</f>
        <v>0</v>
      </c>
      <c r="BP223" s="15" t="n">
        <f aca="false">MIN(Parametri_v3!$C$36*Parametri_v3!$C$35,(BP222)+IF(3=1,MAX(0,SUM(Y209:Y220))*Parametri_v3!$C$34,0))</f>
        <v>0</v>
      </c>
      <c r="BQ223" s="15" t="n">
        <f aca="false">BN223+BM223-BO223</f>
        <v>-243415.586791666</v>
      </c>
      <c r="BR223" s="15" t="n">
        <f aca="false">BH223+AD223+BL223+MAX(0,-AM223)+MAX(0,-AR223)</f>
        <v>-158827.376952083</v>
      </c>
      <c r="BS223" s="15" t="n">
        <f aca="false">AJ223+AV223+MAX(0,AM223)+MAX(0,AR223)+BC223+BG223+BQ223+AG223</f>
        <v>-158827.376952083</v>
      </c>
      <c r="BT223" s="15" t="n">
        <f aca="false">BR223-BS223</f>
        <v>0</v>
      </c>
      <c r="BU223" s="15" t="n">
        <f aca="false">BH223-(BD223+BE223-BF223-AY223)</f>
        <v>0</v>
      </c>
      <c r="BV223" s="15" t="n">
        <f aca="false">IF(BH222&lt;Parametri_v3!$C$31,0,BV222+1)</f>
        <v>0</v>
      </c>
    </row>
    <row r="224" customFormat="false" ht="18" hidden="false" customHeight="true" outlineLevel="0" collapsed="false">
      <c r="A224" s="68" t="n">
        <f aca="false">4</f>
        <v>4</v>
      </c>
      <c r="B224" s="68" t="n">
        <f aca="false">40</f>
        <v>40</v>
      </c>
      <c r="C224" s="18" t="n">
        <f aca="false">Motore_Operativo!C224</f>
        <v>47574</v>
      </c>
      <c r="D224" s="68" t="n">
        <f aca="false">Motore_Operativo!D224</f>
        <v>2030</v>
      </c>
      <c r="E224" s="68" t="n">
        <f aca="false">Motore_Operativo!E224</f>
        <v>4</v>
      </c>
      <c r="F224" s="15" t="n">
        <f aca="false">Motore_Operativo!AM224</f>
        <v>45581.25</v>
      </c>
      <c r="G224" s="15" t="n">
        <f aca="false">Motore_Operativo!BH224</f>
        <v>4558.125</v>
      </c>
      <c r="H224" s="15" t="n">
        <f aca="false">Motore_Operativo!AM224</f>
        <v>45581.25</v>
      </c>
      <c r="I224" s="15" t="n">
        <f aca="false">Motore_Operativo!CB224</f>
        <v>55434.5067083333</v>
      </c>
      <c r="J224" s="15" t="n">
        <f aca="false">Motore_Operativo!CD224</f>
        <v>-9853.25670833333</v>
      </c>
      <c r="K224" s="15" t="n">
        <f aca="false">Motore_Operativo!CF224</f>
        <v>666.666666666667</v>
      </c>
      <c r="L224" s="15" t="n">
        <f aca="false">SUM(INDEX($K$185:$K$244,MAX(1,40-Parametri_v3!$C$59+1)):K224)/Parametri_v3!$C$59</f>
        <v>407.407407407407</v>
      </c>
      <c r="M224" s="15" t="n">
        <f aca="false">J224-L224</f>
        <v>-10260.6641157407</v>
      </c>
      <c r="N224" s="15" t="n">
        <f aca="false">0</f>
        <v>0</v>
      </c>
      <c r="O224" s="15" t="n">
        <f aca="false">0</f>
        <v>0</v>
      </c>
      <c r="P224" s="15" t="n">
        <f aca="false">M224+N224-O224</f>
        <v>-10260.6641157407</v>
      </c>
      <c r="Q224" s="15" t="n">
        <f aca="false">SUM(P221:P224)+Parametri_v3!$C$56*4/12</f>
        <v>-40973.2120185185</v>
      </c>
      <c r="R224" s="15" t="n">
        <f aca="false">Z220</f>
        <v>232703.038888889</v>
      </c>
      <c r="S224" s="15" t="n">
        <f aca="false">AA220</f>
        <v>0</v>
      </c>
      <c r="T224" s="15" t="n">
        <f aca="false">MIN(R224,MAX(0,Q224))</f>
        <v>0</v>
      </c>
      <c r="U224" s="15" t="n">
        <f aca="false">MIN(S224,MAX(0,Q224-T224)*Parametri_v3!$C$42)</f>
        <v>0</v>
      </c>
      <c r="V224" s="15" t="n">
        <f aca="false">MAX(0,Q224-T224-U224)*Ipotesi!$C$92</f>
        <v>0</v>
      </c>
      <c r="W224" s="15" t="n">
        <f aca="false">MAX(0,SUM(M221:M224)+Parametri_v3!$C$57*4/12)*Ipotesi!$C$93</f>
        <v>0</v>
      </c>
      <c r="X224" s="15" t="n">
        <f aca="false">V224+W224-(V223+W223)</f>
        <v>0</v>
      </c>
      <c r="Y224" s="15" t="n">
        <f aca="false">P224-X224</f>
        <v>-10260.6641157407</v>
      </c>
      <c r="Z224" s="15" t="n">
        <f aca="false">R224-T224+IF(AND(Parametri_v3!$C$40=1,D224-YEAR(Parametri_v3!$C$50)&lt;Parametri_v3!$C$41),MAX(0,-Q224),0)</f>
        <v>232703.038888889</v>
      </c>
      <c r="AA224" s="15" t="n">
        <f aca="false">S224-U224+IF(AND(Parametri_v3!$C$40=1,D224-YEAR(Parametri_v3!$C$50)&lt;Parametri_v3!$C$41),0,MAX(0,-Q224))</f>
        <v>40973.2120185185</v>
      </c>
      <c r="AB224" s="15" t="n">
        <f aca="false">F224*(1+Parametri_v3!$C$26)</f>
        <v>55609.125</v>
      </c>
      <c r="AC224" s="15" t="n">
        <f aca="false">(IF(40-(INT((Motore_Operativo!L224)/30))&lt;1,0,INDEX(Motore_Advisory!$AB$185:$AB$244,MAX(1,40-(INT((Motore_Operativo!L224)/30)))))*(1-(MOD((Motore_Operativo!L224),30)/30))+IF(40-(INT((Motore_Operativo!L224)/30))-1&lt;1,0,INDEX(Motore_Advisory!$AB$185:$AB$244,MAX(1,40-(INT((Motore_Operativo!L224)/30))-1)))*(MOD((Motore_Operativo!L224),30)/30))</f>
        <v>39857.4</v>
      </c>
      <c r="AD224" s="15" t="n">
        <f aca="false">(AD223)+AB224-AC224</f>
        <v>222436.5</v>
      </c>
      <c r="AE224" s="15" t="n">
        <f aca="false">Motore_Operativo!BH224*(1+Parametri_v3!$C$26)</f>
        <v>5560.9125</v>
      </c>
      <c r="AF224" s="15" t="n">
        <f aca="false">(IF(40-(INT((Parametri_v3!$C$29)/30))&lt;1,0,INDEX(Motore_Operativo!$BH$185:$BH$244,MAX(1,40-(INT((Parametri_v3!$C$29)/30)))))*(1-(MOD((Parametri_v3!$C$29),30)/30))+IF(40-(INT((Parametri_v3!$C$29)/30))-1&lt;1,0,INDEX(Motore_Operativo!$BH$185:$BH$244,MAX(1,40-(INT((Parametri_v3!$C$29)/30))-1)))*(MOD((Parametri_v3!$C$29),30)/30))*(1+Parametri_v3!$C$26)</f>
        <v>5560.9125</v>
      </c>
      <c r="AG224" s="15" t="n">
        <f aca="false">(AG223)+AE224-AF224</f>
        <v>5560.9125</v>
      </c>
      <c r="AH224" s="15" t="n">
        <f aca="false">(Motore_Operativo!CK224)*(1+Parametri_v3!$C$28*Parametri_v3!$C$26)</f>
        <v>20047.713</v>
      </c>
      <c r="AI224" s="15" t="n">
        <f aca="false">(IF(40-(INT((Ipotesi!$C$91)/30))&lt;1,0,INDEX(Motore_Advisory!$AH$185:$AH$244,MAX(1,40-(INT((Ipotesi!$C$91)/30)))))*(1-(MOD((Ipotesi!$C$91),30)/30))+IF(40-(INT((Ipotesi!$C$91)/30))-1&lt;1,0,INDEX(Motore_Advisory!$AH$185:$AH$244,MAX(1,40-(INT((Ipotesi!$C$91)/30))-1)))*(MOD((Ipotesi!$C$91),30)/30))</f>
        <v>20047.713</v>
      </c>
      <c r="AJ224" s="15" t="n">
        <f aca="false">(AJ223)+AH224-AI224</f>
        <v>40095.426</v>
      </c>
      <c r="AK224" s="15" t="n">
        <f aca="false">(F224- Motore_Operativo!BH224-(Motore_Operativo!CK224)*Parametri_v3!$C$28-Motore_Operativo!CF224)*Parametri_v3!$C$26</f>
        <v>5878.08283333334</v>
      </c>
      <c r="AL224" s="15" t="n">
        <f aca="false">MAX(0,(AM223))</f>
        <v>5878.08283333334</v>
      </c>
      <c r="AM224" s="15" t="n">
        <f aca="false">(AM223)+AK224-AL224</f>
        <v>5878.08283333334</v>
      </c>
      <c r="AN224" s="15" t="n">
        <f aca="false">SUM(X209:X220)</f>
        <v>0</v>
      </c>
      <c r="AO224" s="15" t="n">
        <f aca="false">SUM(AP209:AP220)</f>
        <v>0</v>
      </c>
      <c r="AP224" s="15" t="n">
        <f aca="false">MAX(0,AN224)*IF(4=Parametri_v3!$C$43,Parametri_v3!$C$45,IF(4=Parametri_v3!$C$44,1-Parametri_v3!$C$45,0))</f>
        <v>0</v>
      </c>
      <c r="AQ224" s="15" t="n">
        <f aca="false">MAX(0,AP224+IF(4=Parametri_v3!$C$43,MAX(0,AN224-AO224),0)-MAX(0,-(AR223)))</f>
        <v>0</v>
      </c>
      <c r="AR224" s="15" t="n">
        <f aca="false">(AR223)+X224-AQ224</f>
        <v>0</v>
      </c>
      <c r="AS224" s="15" t="n">
        <f aca="false">Motore_Operativo!AC224-AT224+AU224</f>
        <v>32137.5563729167</v>
      </c>
      <c r="AT224" s="15" t="n">
        <f aca="false">Motore_Operativo!CI224</f>
        <v>1691.45033541667</v>
      </c>
      <c r="AU224" s="15" t="n">
        <f aca="false">MIN(MAX(0,(AV223)+AT224),Parametri_v3!$C$61/12)</f>
        <v>0</v>
      </c>
      <c r="AV224" s="15" t="n">
        <f aca="false">(AV223)+AT224-AU224</f>
        <v>34745.2388416667</v>
      </c>
      <c r="AW224" s="15" t="n">
        <f aca="false">IF(AND(Motore_Operativo!C224=Finanziamenti!$D$7,Finanziamenti!$F$7=1),Finanziamenti!$C$7,0)</f>
        <v>0</v>
      </c>
      <c r="AX224" s="15" t="n">
        <f aca="false">0</f>
        <v>0</v>
      </c>
      <c r="AY224" s="15" t="n">
        <f aca="false">IF(4=Parametri_v3!$C$33,IF(BV224&lt;MIN(12,$B224-1),0,MIN(MAX(0,SUM(Y209:Y220))*Ipotesi!$C$94,MAX(0,(BM220)-(BO223)-BP224),MAX(0,BD224-Parametri_v3!$C$31))),0)</f>
        <v>0</v>
      </c>
      <c r="AZ224" s="15" t="n">
        <f aca="false">0</f>
        <v>0</v>
      </c>
      <c r="BA224" s="15" t="n">
        <f aca="false">0</f>
        <v>0</v>
      </c>
      <c r="BB224" s="15" t="n">
        <f aca="false">0</f>
        <v>0</v>
      </c>
      <c r="BC224" s="15" t="n">
        <f aca="false">0</f>
        <v>0</v>
      </c>
      <c r="BD224" s="15" t="n">
        <f aca="false">(BH223)+AC224-AF224-AI224-AS224-K224*(1+Parametri_v3!$C$26)-AL224-AQ224-O224+AW224+AX224+AZ224+BA224-BB224</f>
        <v>-397925.683324999</v>
      </c>
      <c r="BE224" s="15" t="n">
        <f aca="false">0</f>
        <v>0</v>
      </c>
      <c r="BF224" s="15" t="n">
        <f aca="false">0</f>
        <v>0</v>
      </c>
      <c r="BG224" s="15" t="n">
        <f aca="false">0</f>
        <v>0</v>
      </c>
      <c r="BH224" s="15" t="n">
        <f aca="false">BD224+BE224-BF224-AY224</f>
        <v>-397925.683324999</v>
      </c>
      <c r="BI224" s="15" t="n">
        <f aca="false">MAX(0,Parametri_v3!$C$31-BH224)</f>
        <v>407925.683324999</v>
      </c>
      <c r="BJ224" s="15" t="n">
        <f aca="false">(BJ223)+K224</f>
        <v>15666.6666666667</v>
      </c>
      <c r="BK224" s="15" t="n">
        <f aca="false">(BK223)+L224</f>
        <v>7574.07407407407</v>
      </c>
      <c r="BL224" s="15" t="n">
        <f aca="false">BJ224-BK224</f>
        <v>8092.59259259259</v>
      </c>
      <c r="BM224" s="15" t="n">
        <f aca="false">(BM223)+Y224</f>
        <v>-273676.250907407</v>
      </c>
      <c r="BN224" s="15" t="n">
        <f aca="false">(BN223)+AW224+AX224+AZ224</f>
        <v>20000</v>
      </c>
      <c r="BO224" s="15" t="n">
        <f aca="false">(BO223)+AY224</f>
        <v>0</v>
      </c>
      <c r="BP224" s="15" t="n">
        <f aca="false">MIN(Parametri_v3!$C$36*Parametri_v3!$C$35,(BP223)+IF(4=1,MAX(0,SUM(Y209:Y220))*Parametri_v3!$C$34,0))</f>
        <v>0</v>
      </c>
      <c r="BQ224" s="15" t="n">
        <f aca="false">BN224+BM224-BO224</f>
        <v>-253676.250907407</v>
      </c>
      <c r="BR224" s="15" t="n">
        <f aca="false">BH224+AD224+BL224+MAX(0,-AM224)+MAX(0,-AR224)</f>
        <v>-167396.590732407</v>
      </c>
      <c r="BS224" s="15" t="n">
        <f aca="false">AJ224+AV224+MAX(0,AM224)+MAX(0,AR224)+BC224+BG224+BQ224+AG224</f>
        <v>-167396.590732407</v>
      </c>
      <c r="BT224" s="15" t="n">
        <f aca="false">BR224-BS224</f>
        <v>0</v>
      </c>
      <c r="BU224" s="15" t="n">
        <f aca="false">BH224-(BD224+BE224-BF224-AY224)</f>
        <v>0</v>
      </c>
      <c r="BV224" s="15" t="n">
        <f aca="false">IF(BH223&lt;Parametri_v3!$C$31,0,BV223+1)</f>
        <v>0</v>
      </c>
    </row>
    <row r="225" customFormat="false" ht="18" hidden="false" customHeight="true" outlineLevel="0" collapsed="false">
      <c r="A225" s="68" t="n">
        <f aca="false">4</f>
        <v>4</v>
      </c>
      <c r="B225" s="68" t="n">
        <f aca="false">41</f>
        <v>41</v>
      </c>
      <c r="C225" s="18" t="n">
        <f aca="false">Motore_Operativo!C225</f>
        <v>47604</v>
      </c>
      <c r="D225" s="68" t="n">
        <f aca="false">Motore_Operativo!D225</f>
        <v>2030</v>
      </c>
      <c r="E225" s="68" t="n">
        <f aca="false">Motore_Operativo!E225</f>
        <v>5</v>
      </c>
      <c r="F225" s="15" t="n">
        <f aca="false">Motore_Operativo!AM225</f>
        <v>45581.25</v>
      </c>
      <c r="G225" s="15" t="n">
        <f aca="false">Motore_Operativo!BH225</f>
        <v>4558.125</v>
      </c>
      <c r="H225" s="15" t="n">
        <f aca="false">Motore_Operativo!AM225</f>
        <v>45581.25</v>
      </c>
      <c r="I225" s="15" t="n">
        <f aca="false">Motore_Operativo!CB225</f>
        <v>55434.5067083333</v>
      </c>
      <c r="J225" s="15" t="n">
        <f aca="false">Motore_Operativo!CD225</f>
        <v>-9853.25670833333</v>
      </c>
      <c r="K225" s="15" t="n">
        <f aca="false">Motore_Operativo!CF225</f>
        <v>666.666666666667</v>
      </c>
      <c r="L225" s="15" t="n">
        <f aca="false">SUM(INDEX($K$185:$K$244,MAX(1,41-Parametri_v3!$C$59+1)):K225)/Parametri_v3!$C$59</f>
        <v>418.981481481482</v>
      </c>
      <c r="M225" s="15" t="n">
        <f aca="false">J225-L225</f>
        <v>-10272.2381898148</v>
      </c>
      <c r="N225" s="15" t="n">
        <f aca="false">0</f>
        <v>0</v>
      </c>
      <c r="O225" s="15" t="n">
        <f aca="false">0</f>
        <v>0</v>
      </c>
      <c r="P225" s="15" t="n">
        <f aca="false">M225+N225-O225</f>
        <v>-10272.2381898148</v>
      </c>
      <c r="Q225" s="15" t="n">
        <f aca="false">SUM(P221:P225)+Parametri_v3!$C$56*5/12</f>
        <v>-51245.4502083333</v>
      </c>
      <c r="R225" s="15" t="n">
        <f aca="false">Z220</f>
        <v>232703.038888889</v>
      </c>
      <c r="S225" s="15" t="n">
        <f aca="false">AA220</f>
        <v>0</v>
      </c>
      <c r="T225" s="15" t="n">
        <f aca="false">MIN(R225,MAX(0,Q225))</f>
        <v>0</v>
      </c>
      <c r="U225" s="15" t="n">
        <f aca="false">MIN(S225,MAX(0,Q225-T225)*Parametri_v3!$C$42)</f>
        <v>0</v>
      </c>
      <c r="V225" s="15" t="n">
        <f aca="false">MAX(0,Q225-T225-U225)*Ipotesi!$C$92</f>
        <v>0</v>
      </c>
      <c r="W225" s="15" t="n">
        <f aca="false">MAX(0,SUM(M221:M225)+Parametri_v3!$C$57*5/12)*Ipotesi!$C$93</f>
        <v>0</v>
      </c>
      <c r="X225" s="15" t="n">
        <f aca="false">V225+W225-(V224+W224)</f>
        <v>0</v>
      </c>
      <c r="Y225" s="15" t="n">
        <f aca="false">P225-X225</f>
        <v>-10272.2381898148</v>
      </c>
      <c r="Z225" s="15" t="n">
        <f aca="false">R225-T225+IF(AND(Parametri_v3!$C$40=1,D225-YEAR(Parametri_v3!$C$50)&lt;Parametri_v3!$C$41),MAX(0,-Q225),0)</f>
        <v>232703.038888889</v>
      </c>
      <c r="AA225" s="15" t="n">
        <f aca="false">S225-U225+IF(AND(Parametri_v3!$C$40=1,D225-YEAR(Parametri_v3!$C$50)&lt;Parametri_v3!$C$41),0,MAX(0,-Q225))</f>
        <v>51245.4502083333</v>
      </c>
      <c r="AB225" s="15" t="n">
        <f aca="false">F225*(1+Parametri_v3!$C$26)</f>
        <v>55609.125</v>
      </c>
      <c r="AC225" s="15" t="n">
        <f aca="false">(IF(41-(INT((Motore_Operativo!L225)/30))&lt;1,0,INDEX(Motore_Advisory!$AB$185:$AB$244,MAX(1,41-(INT((Motore_Operativo!L225)/30)))))*(1-(MOD((Motore_Operativo!L225),30)/30))+IF(41-(INT((Motore_Operativo!L225)/30))-1&lt;1,0,INDEX(Motore_Advisory!$AB$185:$AB$244,MAX(1,41-(INT((Motore_Operativo!L225)/30))-1)))*(MOD((Motore_Operativo!L225),30)/30))</f>
        <v>55609.125</v>
      </c>
      <c r="AD225" s="15" t="n">
        <f aca="false">(AD224)+AB225-AC225</f>
        <v>222436.5</v>
      </c>
      <c r="AE225" s="15" t="n">
        <f aca="false">Motore_Operativo!BH225*(1+Parametri_v3!$C$26)</f>
        <v>5560.9125</v>
      </c>
      <c r="AF225" s="15" t="n">
        <f aca="false">(IF(41-(INT((Parametri_v3!$C$29)/30))&lt;1,0,INDEX(Motore_Operativo!$BH$185:$BH$244,MAX(1,41-(INT((Parametri_v3!$C$29)/30)))))*(1-(MOD((Parametri_v3!$C$29),30)/30))+IF(41-(INT((Parametri_v3!$C$29)/30))-1&lt;1,0,INDEX(Motore_Operativo!$BH$185:$BH$244,MAX(1,41-(INT((Parametri_v3!$C$29)/30))-1)))*(MOD((Parametri_v3!$C$29),30)/30))*(1+Parametri_v3!$C$26)</f>
        <v>5560.9125</v>
      </c>
      <c r="AG225" s="15" t="n">
        <f aca="false">(AG224)+AE225-AF225</f>
        <v>5560.9125</v>
      </c>
      <c r="AH225" s="15" t="n">
        <f aca="false">(Motore_Operativo!CK225)*(1+Parametri_v3!$C$28*Parametri_v3!$C$26)</f>
        <v>20047.713</v>
      </c>
      <c r="AI225" s="15" t="n">
        <f aca="false">(IF(41-(INT((Ipotesi!$C$91)/30))&lt;1,0,INDEX(Motore_Advisory!$AH$185:$AH$244,MAX(1,41-(INT((Ipotesi!$C$91)/30)))))*(1-(MOD((Ipotesi!$C$91),30)/30))+IF(41-(INT((Ipotesi!$C$91)/30))-1&lt;1,0,INDEX(Motore_Advisory!$AH$185:$AH$244,MAX(1,41-(INT((Ipotesi!$C$91)/30))-1)))*(MOD((Ipotesi!$C$91),30)/30))</f>
        <v>20047.713</v>
      </c>
      <c r="AJ225" s="15" t="n">
        <f aca="false">(AJ224)+AH225-AI225</f>
        <v>40095.426</v>
      </c>
      <c r="AK225" s="15" t="n">
        <f aca="false">(F225- Motore_Operativo!BH225-(Motore_Operativo!CK225)*Parametri_v3!$C$28-Motore_Operativo!CF225)*Parametri_v3!$C$26</f>
        <v>5878.08283333334</v>
      </c>
      <c r="AL225" s="15" t="n">
        <f aca="false">MAX(0,(AM224))</f>
        <v>5878.08283333334</v>
      </c>
      <c r="AM225" s="15" t="n">
        <f aca="false">(AM224)+AK225-AL225</f>
        <v>5878.08283333334</v>
      </c>
      <c r="AN225" s="15" t="n">
        <f aca="false">SUM(X209:X220)</f>
        <v>0</v>
      </c>
      <c r="AO225" s="15" t="n">
        <f aca="false">SUM(AP209:AP220)</f>
        <v>0</v>
      </c>
      <c r="AP225" s="15" t="n">
        <f aca="false">MAX(0,AN225)*IF(5=Parametri_v3!$C$43,Parametri_v3!$C$45,IF(5=Parametri_v3!$C$44,1-Parametri_v3!$C$45,0))</f>
        <v>0</v>
      </c>
      <c r="AQ225" s="15" t="n">
        <f aca="false">MAX(0,AP225+IF(5=Parametri_v3!$C$43,MAX(0,AN225-AO225),0)-MAX(0,-(AR224)))</f>
        <v>0</v>
      </c>
      <c r="AR225" s="15" t="n">
        <f aca="false">(AR224)+X225-AQ225</f>
        <v>0</v>
      </c>
      <c r="AS225" s="15" t="n">
        <f aca="false">Motore_Operativo!AC225-AT225+AU225</f>
        <v>32137.5563729167</v>
      </c>
      <c r="AT225" s="15" t="n">
        <f aca="false">Motore_Operativo!CI225</f>
        <v>1691.45033541667</v>
      </c>
      <c r="AU225" s="15" t="n">
        <f aca="false">MIN(MAX(0,(AV224)+AT225),Parametri_v3!$C$61/12)</f>
        <v>0</v>
      </c>
      <c r="AV225" s="15" t="n">
        <f aca="false">(AV224)+AT225-AU225</f>
        <v>36436.6891770833</v>
      </c>
      <c r="AW225" s="15" t="n">
        <f aca="false">IF(AND(Motore_Operativo!C225=Finanziamenti!$D$7,Finanziamenti!$F$7=1),Finanziamenti!$C$7,0)</f>
        <v>0</v>
      </c>
      <c r="AX225" s="15" t="n">
        <f aca="false">0</f>
        <v>0</v>
      </c>
      <c r="AY225" s="15" t="n">
        <f aca="false">IF(5=Parametri_v3!$C$33,IF(BV225&lt;MIN(12,$B225-1),0,MIN(MAX(0,SUM(Y209:Y220))*Ipotesi!$C$94,MAX(0,(BM220)-(BO224)-BP225),MAX(0,BD225-Parametri_v3!$C$31))),0)</f>
        <v>0</v>
      </c>
      <c r="AZ225" s="15" t="n">
        <f aca="false">0</f>
        <v>0</v>
      </c>
      <c r="BA225" s="15" t="n">
        <f aca="false">0</f>
        <v>0</v>
      </c>
      <c r="BB225" s="15" t="n">
        <f aca="false">0</f>
        <v>0</v>
      </c>
      <c r="BC225" s="15" t="n">
        <f aca="false">0</f>
        <v>0</v>
      </c>
      <c r="BD225" s="15" t="n">
        <f aca="false">(BH224)+AC225-AF225-AI225-AS225-K225*(1+Parametri_v3!$C$26)-AL225-AQ225-O225+AW225+AX225+AZ225+BA225-BB225</f>
        <v>-406754.156364583</v>
      </c>
      <c r="BE225" s="15" t="n">
        <f aca="false">0</f>
        <v>0</v>
      </c>
      <c r="BF225" s="15" t="n">
        <f aca="false">0</f>
        <v>0</v>
      </c>
      <c r="BG225" s="15" t="n">
        <f aca="false">0</f>
        <v>0</v>
      </c>
      <c r="BH225" s="15" t="n">
        <f aca="false">BD225+BE225-BF225-AY225</f>
        <v>-406754.156364583</v>
      </c>
      <c r="BI225" s="15" t="n">
        <f aca="false">MAX(0,Parametri_v3!$C$31-BH225)</f>
        <v>416754.156364583</v>
      </c>
      <c r="BJ225" s="15" t="n">
        <f aca="false">(BJ224)+K225</f>
        <v>16333.3333333333</v>
      </c>
      <c r="BK225" s="15" t="n">
        <f aca="false">(BK224)+L225</f>
        <v>7993.05555555556</v>
      </c>
      <c r="BL225" s="15" t="n">
        <f aca="false">BJ225-BK225</f>
        <v>8340.27777777777</v>
      </c>
      <c r="BM225" s="15" t="n">
        <f aca="false">(BM224)+Y225</f>
        <v>-283948.489097222</v>
      </c>
      <c r="BN225" s="15" t="n">
        <f aca="false">(BN224)+AW225+AX225+AZ225</f>
        <v>20000</v>
      </c>
      <c r="BO225" s="15" t="n">
        <f aca="false">(BO224)+AY225</f>
        <v>0</v>
      </c>
      <c r="BP225" s="15" t="n">
        <f aca="false">MIN(Parametri_v3!$C$36*Parametri_v3!$C$35,(BP224)+IF(5=1,MAX(0,SUM(Y209:Y220))*Parametri_v3!$C$34,0))</f>
        <v>0</v>
      </c>
      <c r="BQ225" s="15" t="n">
        <f aca="false">BN225+BM225-BO225</f>
        <v>-263948.489097222</v>
      </c>
      <c r="BR225" s="15" t="n">
        <f aca="false">BH225+AD225+BL225+MAX(0,-AM225)+MAX(0,-AR225)</f>
        <v>-175977.378586805</v>
      </c>
      <c r="BS225" s="15" t="n">
        <f aca="false">AJ225+AV225+MAX(0,AM225)+MAX(0,AR225)+BC225+BG225+BQ225+AG225</f>
        <v>-175977.378586805</v>
      </c>
      <c r="BT225" s="15" t="n">
        <f aca="false">BR225-BS225</f>
        <v>0</v>
      </c>
      <c r="BU225" s="15" t="n">
        <f aca="false">BH225-(BD225+BE225-BF225-AY225)</f>
        <v>0</v>
      </c>
      <c r="BV225" s="15" t="n">
        <f aca="false">IF(BH224&lt;Parametri_v3!$C$31,0,BV224+1)</f>
        <v>0</v>
      </c>
    </row>
    <row r="226" customFormat="false" ht="18" hidden="false" customHeight="true" outlineLevel="0" collapsed="false">
      <c r="A226" s="68" t="n">
        <f aca="false">4</f>
        <v>4</v>
      </c>
      <c r="B226" s="68" t="n">
        <f aca="false">42</f>
        <v>42</v>
      </c>
      <c r="C226" s="18" t="n">
        <f aca="false">Motore_Operativo!C226</f>
        <v>47635</v>
      </c>
      <c r="D226" s="68" t="n">
        <f aca="false">Motore_Operativo!D226</f>
        <v>2030</v>
      </c>
      <c r="E226" s="68" t="n">
        <f aca="false">Motore_Operativo!E226</f>
        <v>6</v>
      </c>
      <c r="F226" s="15" t="n">
        <f aca="false">Motore_Operativo!AM226</f>
        <v>45581.25</v>
      </c>
      <c r="G226" s="15" t="n">
        <f aca="false">Motore_Operativo!BH226</f>
        <v>4558.125</v>
      </c>
      <c r="H226" s="15" t="n">
        <f aca="false">Motore_Operativo!AM226</f>
        <v>45581.25</v>
      </c>
      <c r="I226" s="15" t="n">
        <f aca="false">Motore_Operativo!CB226</f>
        <v>55434.5067083333</v>
      </c>
      <c r="J226" s="15" t="n">
        <f aca="false">Motore_Operativo!CD226</f>
        <v>-9853.25670833333</v>
      </c>
      <c r="K226" s="15" t="n">
        <f aca="false">Motore_Operativo!CF226</f>
        <v>666.666666666667</v>
      </c>
      <c r="L226" s="15" t="n">
        <f aca="false">SUM(INDEX($K$185:$K$244,MAX(1,42-Parametri_v3!$C$59+1)):K226)/Parametri_v3!$C$59</f>
        <v>430.555555555556</v>
      </c>
      <c r="M226" s="15" t="n">
        <f aca="false">J226-L226</f>
        <v>-10283.8122638889</v>
      </c>
      <c r="N226" s="15" t="n">
        <f aca="false">0</f>
        <v>0</v>
      </c>
      <c r="O226" s="15" t="n">
        <f aca="false">0</f>
        <v>0</v>
      </c>
      <c r="P226" s="15" t="n">
        <f aca="false">M226+N226-O226</f>
        <v>-10283.8122638889</v>
      </c>
      <c r="Q226" s="15" t="n">
        <f aca="false">SUM(P221:P226)+Parametri_v3!$C$56*6/12</f>
        <v>-61529.2624722222</v>
      </c>
      <c r="R226" s="15" t="n">
        <f aca="false">Z220</f>
        <v>232703.038888889</v>
      </c>
      <c r="S226" s="15" t="n">
        <f aca="false">AA220</f>
        <v>0</v>
      </c>
      <c r="T226" s="15" t="n">
        <f aca="false">MIN(R226,MAX(0,Q226))</f>
        <v>0</v>
      </c>
      <c r="U226" s="15" t="n">
        <f aca="false">MIN(S226,MAX(0,Q226-T226)*Parametri_v3!$C$42)</f>
        <v>0</v>
      </c>
      <c r="V226" s="15" t="n">
        <f aca="false">MAX(0,Q226-T226-U226)*Ipotesi!$C$92</f>
        <v>0</v>
      </c>
      <c r="W226" s="15" t="n">
        <f aca="false">MAX(0,SUM(M221:M226)+Parametri_v3!$C$57*6/12)*Ipotesi!$C$93</f>
        <v>0</v>
      </c>
      <c r="X226" s="15" t="n">
        <f aca="false">V226+W226-(V225+W225)</f>
        <v>0</v>
      </c>
      <c r="Y226" s="15" t="n">
        <f aca="false">P226-X226</f>
        <v>-10283.8122638889</v>
      </c>
      <c r="Z226" s="15" t="n">
        <f aca="false">R226-T226+IF(AND(Parametri_v3!$C$40=1,D226-YEAR(Parametri_v3!$C$50)&lt;Parametri_v3!$C$41),MAX(0,-Q226),0)</f>
        <v>232703.038888889</v>
      </c>
      <c r="AA226" s="15" t="n">
        <f aca="false">S226-U226+IF(AND(Parametri_v3!$C$40=1,D226-YEAR(Parametri_v3!$C$50)&lt;Parametri_v3!$C$41),0,MAX(0,-Q226))</f>
        <v>61529.2624722222</v>
      </c>
      <c r="AB226" s="15" t="n">
        <f aca="false">F226*(1+Parametri_v3!$C$26)</f>
        <v>55609.125</v>
      </c>
      <c r="AC226" s="15" t="n">
        <f aca="false">(IF(42-(INT((Motore_Operativo!L226)/30))&lt;1,0,INDEX(Motore_Advisory!$AB$185:$AB$244,MAX(1,42-(INT((Motore_Operativo!L226)/30)))))*(1-(MOD((Motore_Operativo!L226),30)/30))+IF(42-(INT((Motore_Operativo!L226)/30))-1&lt;1,0,INDEX(Motore_Advisory!$AB$185:$AB$244,MAX(1,42-(INT((Motore_Operativo!L226)/30))-1)))*(MOD((Motore_Operativo!L226),30)/30))</f>
        <v>55609.125</v>
      </c>
      <c r="AD226" s="15" t="n">
        <f aca="false">(AD225)+AB226-AC226</f>
        <v>222436.5</v>
      </c>
      <c r="AE226" s="15" t="n">
        <f aca="false">Motore_Operativo!BH226*(1+Parametri_v3!$C$26)</f>
        <v>5560.9125</v>
      </c>
      <c r="AF226" s="15" t="n">
        <f aca="false">(IF(42-(INT((Parametri_v3!$C$29)/30))&lt;1,0,INDEX(Motore_Operativo!$BH$185:$BH$244,MAX(1,42-(INT((Parametri_v3!$C$29)/30)))))*(1-(MOD((Parametri_v3!$C$29),30)/30))+IF(42-(INT((Parametri_v3!$C$29)/30))-1&lt;1,0,INDEX(Motore_Operativo!$BH$185:$BH$244,MAX(1,42-(INT((Parametri_v3!$C$29)/30))-1)))*(MOD((Parametri_v3!$C$29),30)/30))*(1+Parametri_v3!$C$26)</f>
        <v>5560.9125</v>
      </c>
      <c r="AG226" s="15" t="n">
        <f aca="false">(AG225)+AE226-AF226</f>
        <v>5560.9125</v>
      </c>
      <c r="AH226" s="15" t="n">
        <f aca="false">(Motore_Operativo!CK226)*(1+Parametri_v3!$C$28*Parametri_v3!$C$26)</f>
        <v>20047.713</v>
      </c>
      <c r="AI226" s="15" t="n">
        <f aca="false">(IF(42-(INT((Ipotesi!$C$91)/30))&lt;1,0,INDEX(Motore_Advisory!$AH$185:$AH$244,MAX(1,42-(INT((Ipotesi!$C$91)/30)))))*(1-(MOD((Ipotesi!$C$91),30)/30))+IF(42-(INT((Ipotesi!$C$91)/30))-1&lt;1,0,INDEX(Motore_Advisory!$AH$185:$AH$244,MAX(1,42-(INT((Ipotesi!$C$91)/30))-1)))*(MOD((Ipotesi!$C$91),30)/30))</f>
        <v>20047.713</v>
      </c>
      <c r="AJ226" s="15" t="n">
        <f aca="false">(AJ225)+AH226-AI226</f>
        <v>40095.426</v>
      </c>
      <c r="AK226" s="15" t="n">
        <f aca="false">(F226- Motore_Operativo!BH226-(Motore_Operativo!CK226)*Parametri_v3!$C$28-Motore_Operativo!CF226)*Parametri_v3!$C$26</f>
        <v>5878.08283333334</v>
      </c>
      <c r="AL226" s="15" t="n">
        <f aca="false">MAX(0,(AM225))</f>
        <v>5878.08283333334</v>
      </c>
      <c r="AM226" s="15" t="n">
        <f aca="false">(AM225)+AK226-AL226</f>
        <v>5878.08283333334</v>
      </c>
      <c r="AN226" s="15" t="n">
        <f aca="false">SUM(X209:X220)</f>
        <v>0</v>
      </c>
      <c r="AO226" s="15" t="n">
        <f aca="false">SUM(AP209:AP220)</f>
        <v>0</v>
      </c>
      <c r="AP226" s="15" t="n">
        <f aca="false">MAX(0,AN226)*IF(6=Parametri_v3!$C$43,Parametri_v3!$C$45,IF(6=Parametri_v3!$C$44,1-Parametri_v3!$C$45,0))</f>
        <v>0</v>
      </c>
      <c r="AQ226" s="15" t="n">
        <f aca="false">MAX(0,AP226+IF(6=Parametri_v3!$C$43,MAX(0,AN226-AO226),0)-MAX(0,-(AR225)))</f>
        <v>0</v>
      </c>
      <c r="AR226" s="15" t="n">
        <f aca="false">(AR225)+X226-AQ226</f>
        <v>0</v>
      </c>
      <c r="AS226" s="15" t="n">
        <f aca="false">Motore_Operativo!AC226-AT226+AU226</f>
        <v>32137.5563729167</v>
      </c>
      <c r="AT226" s="15" t="n">
        <f aca="false">Motore_Operativo!CI226</f>
        <v>1691.45033541667</v>
      </c>
      <c r="AU226" s="15" t="n">
        <f aca="false">MIN(MAX(0,(AV225)+AT226),Parametri_v3!$C$61/12)</f>
        <v>0</v>
      </c>
      <c r="AV226" s="15" t="n">
        <f aca="false">(AV225)+AT226-AU226</f>
        <v>38128.1395125</v>
      </c>
      <c r="AW226" s="15" t="n">
        <f aca="false">IF(AND(Motore_Operativo!C226=Finanziamenti!$D$7,Finanziamenti!$F$7=1),Finanziamenti!$C$7,0)</f>
        <v>0</v>
      </c>
      <c r="AX226" s="15" t="n">
        <f aca="false">0</f>
        <v>0</v>
      </c>
      <c r="AY226" s="15" t="n">
        <f aca="false">IF(6=Parametri_v3!$C$33,IF(BV226&lt;MIN(12,$B226-1),0,MIN(MAX(0,SUM(Y209:Y220))*Ipotesi!$C$94,MAX(0,(BM220)-(BO225)-BP226),MAX(0,BD226-Parametri_v3!$C$31))),0)</f>
        <v>0</v>
      </c>
      <c r="AZ226" s="15" t="n">
        <f aca="false">0</f>
        <v>0</v>
      </c>
      <c r="BA226" s="15" t="n">
        <f aca="false">0</f>
        <v>0</v>
      </c>
      <c r="BB226" s="15" t="n">
        <f aca="false">0</f>
        <v>0</v>
      </c>
      <c r="BC226" s="15" t="n">
        <f aca="false">0</f>
        <v>0</v>
      </c>
      <c r="BD226" s="15" t="n">
        <f aca="false">(BH225)+AC226-AF226-AI226-AS226-K226*(1+Parametri_v3!$C$26)-AL226-AQ226-O226+AW226+AX226+AZ226+BA226-BB226</f>
        <v>-415582.629404166</v>
      </c>
      <c r="BE226" s="15" t="n">
        <f aca="false">0</f>
        <v>0</v>
      </c>
      <c r="BF226" s="15" t="n">
        <f aca="false">0</f>
        <v>0</v>
      </c>
      <c r="BG226" s="15" t="n">
        <f aca="false">0</f>
        <v>0</v>
      </c>
      <c r="BH226" s="15" t="n">
        <f aca="false">BD226+BE226-BF226-AY226</f>
        <v>-415582.629404166</v>
      </c>
      <c r="BI226" s="15" t="n">
        <f aca="false">MAX(0,Parametri_v3!$C$31-BH226)</f>
        <v>425582.629404166</v>
      </c>
      <c r="BJ226" s="15" t="n">
        <f aca="false">(BJ225)+K226</f>
        <v>17000</v>
      </c>
      <c r="BK226" s="15" t="n">
        <f aca="false">(BK225)+L226</f>
        <v>8423.61111111111</v>
      </c>
      <c r="BL226" s="15" t="n">
        <f aca="false">BJ226-BK226</f>
        <v>8576.38888888888</v>
      </c>
      <c r="BM226" s="15" t="n">
        <f aca="false">(BM225)+Y226</f>
        <v>-294232.301361111</v>
      </c>
      <c r="BN226" s="15" t="n">
        <f aca="false">(BN225)+AW226+AX226+AZ226</f>
        <v>20000</v>
      </c>
      <c r="BO226" s="15" t="n">
        <f aca="false">(BO225)+AY226</f>
        <v>0</v>
      </c>
      <c r="BP226" s="15" t="n">
        <f aca="false">MIN(Parametri_v3!$C$36*Parametri_v3!$C$35,(BP225)+IF(6=1,MAX(0,SUM(Y209:Y220))*Parametri_v3!$C$34,0))</f>
        <v>0</v>
      </c>
      <c r="BQ226" s="15" t="n">
        <f aca="false">BN226+BM226-BO226</f>
        <v>-274232.301361111</v>
      </c>
      <c r="BR226" s="15" t="n">
        <f aca="false">BH226+AD226+BL226+MAX(0,-AM226)+MAX(0,-AR226)</f>
        <v>-184569.740515277</v>
      </c>
      <c r="BS226" s="15" t="n">
        <f aca="false">AJ226+AV226+MAX(0,AM226)+MAX(0,AR226)+BC226+BG226+BQ226+AG226</f>
        <v>-184569.740515278</v>
      </c>
      <c r="BT226" s="15" t="n">
        <f aca="false">BR226-BS226</f>
        <v>0</v>
      </c>
      <c r="BU226" s="15" t="n">
        <f aca="false">BH226-(BD226+BE226-BF226-AY226)</f>
        <v>0</v>
      </c>
      <c r="BV226" s="15" t="n">
        <f aca="false">IF(BH225&lt;Parametri_v3!$C$31,0,BV225+1)</f>
        <v>0</v>
      </c>
    </row>
    <row r="227" customFormat="false" ht="18" hidden="false" customHeight="true" outlineLevel="0" collapsed="false">
      <c r="A227" s="68" t="n">
        <f aca="false">4</f>
        <v>4</v>
      </c>
      <c r="B227" s="68" t="n">
        <f aca="false">43</f>
        <v>43</v>
      </c>
      <c r="C227" s="18" t="n">
        <f aca="false">Motore_Operativo!C227</f>
        <v>47665</v>
      </c>
      <c r="D227" s="68" t="n">
        <f aca="false">Motore_Operativo!D227</f>
        <v>2030</v>
      </c>
      <c r="E227" s="68" t="n">
        <f aca="false">Motore_Operativo!E227</f>
        <v>7</v>
      </c>
      <c r="F227" s="15" t="n">
        <f aca="false">Motore_Operativo!AM227</f>
        <v>45581.25</v>
      </c>
      <c r="G227" s="15" t="n">
        <f aca="false">Motore_Operativo!BH227</f>
        <v>4558.125</v>
      </c>
      <c r="H227" s="15" t="n">
        <f aca="false">Motore_Operativo!AM227</f>
        <v>45581.25</v>
      </c>
      <c r="I227" s="15" t="n">
        <f aca="false">Motore_Operativo!CB227</f>
        <v>55434.5067083333</v>
      </c>
      <c r="J227" s="15" t="n">
        <f aca="false">Motore_Operativo!CD227</f>
        <v>-9853.25670833333</v>
      </c>
      <c r="K227" s="15" t="n">
        <f aca="false">Motore_Operativo!CF227</f>
        <v>666.666666666667</v>
      </c>
      <c r="L227" s="15" t="n">
        <f aca="false">SUM(INDEX($K$185:$K$244,MAX(1,43-Parametri_v3!$C$59+1)):K227)/Parametri_v3!$C$59</f>
        <v>442.12962962963</v>
      </c>
      <c r="M227" s="15" t="n">
        <f aca="false">J227-L227</f>
        <v>-10295.386337963</v>
      </c>
      <c r="N227" s="15" t="n">
        <f aca="false">0</f>
        <v>0</v>
      </c>
      <c r="O227" s="15" t="n">
        <f aca="false">0</f>
        <v>0</v>
      </c>
      <c r="P227" s="15" t="n">
        <f aca="false">M227+N227-O227</f>
        <v>-10295.386337963</v>
      </c>
      <c r="Q227" s="15" t="n">
        <f aca="false">SUM(P221:P227)+Parametri_v3!$C$56*7/12</f>
        <v>-71824.6488101851</v>
      </c>
      <c r="R227" s="15" t="n">
        <f aca="false">Z220</f>
        <v>232703.038888889</v>
      </c>
      <c r="S227" s="15" t="n">
        <f aca="false">AA220</f>
        <v>0</v>
      </c>
      <c r="T227" s="15" t="n">
        <f aca="false">MIN(R227,MAX(0,Q227))</f>
        <v>0</v>
      </c>
      <c r="U227" s="15" t="n">
        <f aca="false">MIN(S227,MAX(0,Q227-T227)*Parametri_v3!$C$42)</f>
        <v>0</v>
      </c>
      <c r="V227" s="15" t="n">
        <f aca="false">MAX(0,Q227-T227-U227)*Ipotesi!$C$92</f>
        <v>0</v>
      </c>
      <c r="W227" s="15" t="n">
        <f aca="false">MAX(0,SUM(M221:M227)+Parametri_v3!$C$57*7/12)*Ipotesi!$C$93</f>
        <v>0</v>
      </c>
      <c r="X227" s="15" t="n">
        <f aca="false">V227+W227-(V226+W226)</f>
        <v>0</v>
      </c>
      <c r="Y227" s="15" t="n">
        <f aca="false">P227-X227</f>
        <v>-10295.386337963</v>
      </c>
      <c r="Z227" s="15" t="n">
        <f aca="false">R227-T227+IF(AND(Parametri_v3!$C$40=1,D227-YEAR(Parametri_v3!$C$50)&lt;Parametri_v3!$C$41),MAX(0,-Q227),0)</f>
        <v>232703.038888889</v>
      </c>
      <c r="AA227" s="15" t="n">
        <f aca="false">S227-U227+IF(AND(Parametri_v3!$C$40=1,D227-YEAR(Parametri_v3!$C$50)&lt;Parametri_v3!$C$41),0,MAX(0,-Q227))</f>
        <v>71824.6488101851</v>
      </c>
      <c r="AB227" s="15" t="n">
        <f aca="false">F227*(1+Parametri_v3!$C$26)</f>
        <v>55609.125</v>
      </c>
      <c r="AC227" s="15" t="n">
        <f aca="false">(IF(43-(INT((Motore_Operativo!L227)/30))&lt;1,0,INDEX(Motore_Advisory!$AB$185:$AB$244,MAX(1,43-(INT((Motore_Operativo!L227)/30)))))*(1-(MOD((Motore_Operativo!L227),30)/30))+IF(43-(INT((Motore_Operativo!L227)/30))-1&lt;1,0,INDEX(Motore_Advisory!$AB$185:$AB$244,MAX(1,43-(INT((Motore_Operativo!L227)/30))-1)))*(MOD((Motore_Operativo!L227),30)/30))</f>
        <v>55609.125</v>
      </c>
      <c r="AD227" s="15" t="n">
        <f aca="false">(AD226)+AB227-AC227</f>
        <v>222436.5</v>
      </c>
      <c r="AE227" s="15" t="n">
        <f aca="false">Motore_Operativo!BH227*(1+Parametri_v3!$C$26)</f>
        <v>5560.9125</v>
      </c>
      <c r="AF227" s="15" t="n">
        <f aca="false">(IF(43-(INT((Parametri_v3!$C$29)/30))&lt;1,0,INDEX(Motore_Operativo!$BH$185:$BH$244,MAX(1,43-(INT((Parametri_v3!$C$29)/30)))))*(1-(MOD((Parametri_v3!$C$29),30)/30))+IF(43-(INT((Parametri_v3!$C$29)/30))-1&lt;1,0,INDEX(Motore_Operativo!$BH$185:$BH$244,MAX(1,43-(INT((Parametri_v3!$C$29)/30))-1)))*(MOD((Parametri_v3!$C$29),30)/30))*(1+Parametri_v3!$C$26)</f>
        <v>5560.9125</v>
      </c>
      <c r="AG227" s="15" t="n">
        <f aca="false">(AG226)+AE227-AF227</f>
        <v>5560.9125</v>
      </c>
      <c r="AH227" s="15" t="n">
        <f aca="false">(Motore_Operativo!CK227)*(1+Parametri_v3!$C$28*Parametri_v3!$C$26)</f>
        <v>20047.713</v>
      </c>
      <c r="AI227" s="15" t="n">
        <f aca="false">(IF(43-(INT((Ipotesi!$C$91)/30))&lt;1,0,INDEX(Motore_Advisory!$AH$185:$AH$244,MAX(1,43-(INT((Ipotesi!$C$91)/30)))))*(1-(MOD((Ipotesi!$C$91),30)/30))+IF(43-(INT((Ipotesi!$C$91)/30))-1&lt;1,0,INDEX(Motore_Advisory!$AH$185:$AH$244,MAX(1,43-(INT((Ipotesi!$C$91)/30))-1)))*(MOD((Ipotesi!$C$91),30)/30))</f>
        <v>20047.713</v>
      </c>
      <c r="AJ227" s="15" t="n">
        <f aca="false">(AJ226)+AH227-AI227</f>
        <v>40095.426</v>
      </c>
      <c r="AK227" s="15" t="n">
        <f aca="false">(F227- Motore_Operativo!BH227-(Motore_Operativo!CK227)*Parametri_v3!$C$28-Motore_Operativo!CF227)*Parametri_v3!$C$26</f>
        <v>5878.08283333334</v>
      </c>
      <c r="AL227" s="15" t="n">
        <f aca="false">MAX(0,(AM226))</f>
        <v>5878.08283333334</v>
      </c>
      <c r="AM227" s="15" t="n">
        <f aca="false">(AM226)+AK227-AL227</f>
        <v>5878.08283333334</v>
      </c>
      <c r="AN227" s="15" t="n">
        <f aca="false">SUM(X209:X220)</f>
        <v>0</v>
      </c>
      <c r="AO227" s="15" t="n">
        <f aca="false">SUM(AP209:AP220)</f>
        <v>0</v>
      </c>
      <c r="AP227" s="15" t="n">
        <f aca="false">MAX(0,AN227)*IF(7=Parametri_v3!$C$43,Parametri_v3!$C$45,IF(7=Parametri_v3!$C$44,1-Parametri_v3!$C$45,0))</f>
        <v>0</v>
      </c>
      <c r="AQ227" s="15" t="n">
        <f aca="false">MAX(0,AP227+IF(7=Parametri_v3!$C$43,MAX(0,AN227-AO227),0)-MAX(0,-(AR226)))</f>
        <v>0</v>
      </c>
      <c r="AR227" s="15" t="n">
        <f aca="false">(AR226)+X227-AQ227</f>
        <v>0</v>
      </c>
      <c r="AS227" s="15" t="n">
        <f aca="false">Motore_Operativo!AC227-AT227+AU227</f>
        <v>32137.5563729167</v>
      </c>
      <c r="AT227" s="15" t="n">
        <f aca="false">Motore_Operativo!CI227</f>
        <v>1691.45033541667</v>
      </c>
      <c r="AU227" s="15" t="n">
        <f aca="false">MIN(MAX(0,(AV226)+AT227),Parametri_v3!$C$61/12)</f>
        <v>0</v>
      </c>
      <c r="AV227" s="15" t="n">
        <f aca="false">(AV226)+AT227-AU227</f>
        <v>39819.5898479167</v>
      </c>
      <c r="AW227" s="15" t="n">
        <f aca="false">IF(AND(Motore_Operativo!C227=Finanziamenti!$D$7,Finanziamenti!$F$7=1),Finanziamenti!$C$7,0)</f>
        <v>0</v>
      </c>
      <c r="AX227" s="15" t="n">
        <f aca="false">0</f>
        <v>0</v>
      </c>
      <c r="AY227" s="15" t="n">
        <f aca="false">IF(7=Parametri_v3!$C$33,IF(BV227&lt;MIN(12,$B227-1),0,MIN(MAX(0,SUM(Y209:Y220))*Ipotesi!$C$94,MAX(0,(BM220)-(BO226)-BP227),MAX(0,BD227-Parametri_v3!$C$31))),0)</f>
        <v>0</v>
      </c>
      <c r="AZ227" s="15" t="n">
        <f aca="false">0</f>
        <v>0</v>
      </c>
      <c r="BA227" s="15" t="n">
        <f aca="false">0</f>
        <v>0</v>
      </c>
      <c r="BB227" s="15" t="n">
        <f aca="false">0</f>
        <v>0</v>
      </c>
      <c r="BC227" s="15" t="n">
        <f aca="false">0</f>
        <v>0</v>
      </c>
      <c r="BD227" s="15" t="n">
        <f aca="false">(BH226)+AC227-AF227-AI227-AS227-K227*(1+Parametri_v3!$C$26)-AL227-AQ227-O227+AW227+AX227+AZ227+BA227-BB227</f>
        <v>-424411.102443749</v>
      </c>
      <c r="BE227" s="15" t="n">
        <f aca="false">0</f>
        <v>0</v>
      </c>
      <c r="BF227" s="15" t="n">
        <f aca="false">0</f>
        <v>0</v>
      </c>
      <c r="BG227" s="15" t="n">
        <f aca="false">0</f>
        <v>0</v>
      </c>
      <c r="BH227" s="15" t="n">
        <f aca="false">BD227+BE227-BF227-AY227</f>
        <v>-424411.102443749</v>
      </c>
      <c r="BI227" s="15" t="n">
        <f aca="false">MAX(0,Parametri_v3!$C$31-BH227)</f>
        <v>434411.102443749</v>
      </c>
      <c r="BJ227" s="15" t="n">
        <f aca="false">(BJ226)+K227</f>
        <v>17666.6666666667</v>
      </c>
      <c r="BK227" s="15" t="n">
        <f aca="false">(BK226)+L227</f>
        <v>8865.74074074074</v>
      </c>
      <c r="BL227" s="15" t="n">
        <f aca="false">BJ227-BK227</f>
        <v>8800.92592592592</v>
      </c>
      <c r="BM227" s="15" t="n">
        <f aca="false">(BM226)+Y227</f>
        <v>-304527.687699074</v>
      </c>
      <c r="BN227" s="15" t="n">
        <f aca="false">(BN226)+AW227+AX227+AZ227</f>
        <v>20000</v>
      </c>
      <c r="BO227" s="15" t="n">
        <f aca="false">(BO226)+AY227</f>
        <v>0</v>
      </c>
      <c r="BP227" s="15" t="n">
        <f aca="false">MIN(Parametri_v3!$C$36*Parametri_v3!$C$35,(BP226)+IF(7=1,MAX(0,SUM(Y209:Y220))*Parametri_v3!$C$34,0))</f>
        <v>0</v>
      </c>
      <c r="BQ227" s="15" t="n">
        <f aca="false">BN227+BM227-BO227</f>
        <v>-284527.687699074</v>
      </c>
      <c r="BR227" s="15" t="n">
        <f aca="false">BH227+AD227+BL227+MAX(0,-AM227)+MAX(0,-AR227)</f>
        <v>-193173.676517823</v>
      </c>
      <c r="BS227" s="15" t="n">
        <f aca="false">AJ227+AV227+MAX(0,AM227)+MAX(0,AR227)+BC227+BG227+BQ227+AG227</f>
        <v>-193173.676517824</v>
      </c>
      <c r="BT227" s="15" t="n">
        <f aca="false">BR227-BS227</f>
        <v>0</v>
      </c>
      <c r="BU227" s="15" t="n">
        <f aca="false">BH227-(BD227+BE227-BF227-AY227)</f>
        <v>0</v>
      </c>
      <c r="BV227" s="15" t="n">
        <f aca="false">IF(BH226&lt;Parametri_v3!$C$31,0,BV226+1)</f>
        <v>0</v>
      </c>
    </row>
    <row r="228" customFormat="false" ht="18" hidden="false" customHeight="true" outlineLevel="0" collapsed="false">
      <c r="A228" s="68" t="n">
        <f aca="false">4</f>
        <v>4</v>
      </c>
      <c r="B228" s="68" t="n">
        <f aca="false">44</f>
        <v>44</v>
      </c>
      <c r="C228" s="18" t="n">
        <f aca="false">Motore_Operativo!C228</f>
        <v>47696</v>
      </c>
      <c r="D228" s="68" t="n">
        <f aca="false">Motore_Operativo!D228</f>
        <v>2030</v>
      </c>
      <c r="E228" s="68" t="n">
        <f aca="false">Motore_Operativo!E228</f>
        <v>8</v>
      </c>
      <c r="F228" s="15" t="n">
        <f aca="false">Motore_Operativo!AM228</f>
        <v>45581.25</v>
      </c>
      <c r="G228" s="15" t="n">
        <f aca="false">Motore_Operativo!BH228</f>
        <v>4558.125</v>
      </c>
      <c r="H228" s="15" t="n">
        <f aca="false">Motore_Operativo!AM228</f>
        <v>45581.25</v>
      </c>
      <c r="I228" s="15" t="n">
        <f aca="false">Motore_Operativo!CB228</f>
        <v>55434.5067083333</v>
      </c>
      <c r="J228" s="15" t="n">
        <f aca="false">Motore_Operativo!CD228</f>
        <v>-9853.25670833333</v>
      </c>
      <c r="K228" s="15" t="n">
        <f aca="false">Motore_Operativo!CF228</f>
        <v>666.666666666667</v>
      </c>
      <c r="L228" s="15" t="n">
        <f aca="false">SUM(INDEX($K$185:$K$244,MAX(1,44-Parametri_v3!$C$59+1)):K228)/Parametri_v3!$C$59</f>
        <v>453.703703703704</v>
      </c>
      <c r="M228" s="15" t="n">
        <f aca="false">J228-L228</f>
        <v>-10306.960412037</v>
      </c>
      <c r="N228" s="15" t="n">
        <f aca="false">0</f>
        <v>0</v>
      </c>
      <c r="O228" s="15" t="n">
        <f aca="false">0</f>
        <v>0</v>
      </c>
      <c r="P228" s="15" t="n">
        <f aca="false">M228+N228-O228</f>
        <v>-10306.960412037</v>
      </c>
      <c r="Q228" s="15" t="n">
        <f aca="false">SUM(P221:P228)+Parametri_v3!$C$56*8/12</f>
        <v>-82131.6092222222</v>
      </c>
      <c r="R228" s="15" t="n">
        <f aca="false">Z220</f>
        <v>232703.038888889</v>
      </c>
      <c r="S228" s="15" t="n">
        <f aca="false">AA220</f>
        <v>0</v>
      </c>
      <c r="T228" s="15" t="n">
        <f aca="false">MIN(R228,MAX(0,Q228))</f>
        <v>0</v>
      </c>
      <c r="U228" s="15" t="n">
        <f aca="false">MIN(S228,MAX(0,Q228-T228)*Parametri_v3!$C$42)</f>
        <v>0</v>
      </c>
      <c r="V228" s="15" t="n">
        <f aca="false">MAX(0,Q228-T228-U228)*Ipotesi!$C$92</f>
        <v>0</v>
      </c>
      <c r="W228" s="15" t="n">
        <f aca="false">MAX(0,SUM(M221:M228)+Parametri_v3!$C$57*8/12)*Ipotesi!$C$93</f>
        <v>0</v>
      </c>
      <c r="X228" s="15" t="n">
        <f aca="false">V228+W228-(V227+W227)</f>
        <v>0</v>
      </c>
      <c r="Y228" s="15" t="n">
        <f aca="false">P228-X228</f>
        <v>-10306.960412037</v>
      </c>
      <c r="Z228" s="15" t="n">
        <f aca="false">R228-T228+IF(AND(Parametri_v3!$C$40=1,D228-YEAR(Parametri_v3!$C$50)&lt;Parametri_v3!$C$41),MAX(0,-Q228),0)</f>
        <v>232703.038888889</v>
      </c>
      <c r="AA228" s="15" t="n">
        <f aca="false">S228-U228+IF(AND(Parametri_v3!$C$40=1,D228-YEAR(Parametri_v3!$C$50)&lt;Parametri_v3!$C$41),0,MAX(0,-Q228))</f>
        <v>82131.6092222222</v>
      </c>
      <c r="AB228" s="15" t="n">
        <f aca="false">F228*(1+Parametri_v3!$C$26)</f>
        <v>55609.125</v>
      </c>
      <c r="AC228" s="15" t="n">
        <f aca="false">(IF(44-(INT((Motore_Operativo!L228)/30))&lt;1,0,INDEX(Motore_Advisory!$AB$185:$AB$244,MAX(1,44-(INT((Motore_Operativo!L228)/30)))))*(1-(MOD((Motore_Operativo!L228),30)/30))+IF(44-(INT((Motore_Operativo!L228)/30))-1&lt;1,0,INDEX(Motore_Advisory!$AB$185:$AB$244,MAX(1,44-(INT((Motore_Operativo!L228)/30))-1)))*(MOD((Motore_Operativo!L228),30)/30))</f>
        <v>55609.125</v>
      </c>
      <c r="AD228" s="15" t="n">
        <f aca="false">(AD227)+AB228-AC228</f>
        <v>222436.5</v>
      </c>
      <c r="AE228" s="15" t="n">
        <f aca="false">Motore_Operativo!BH228*(1+Parametri_v3!$C$26)</f>
        <v>5560.9125</v>
      </c>
      <c r="AF228" s="15" t="n">
        <f aca="false">(IF(44-(INT((Parametri_v3!$C$29)/30))&lt;1,0,INDEX(Motore_Operativo!$BH$185:$BH$244,MAX(1,44-(INT((Parametri_v3!$C$29)/30)))))*(1-(MOD((Parametri_v3!$C$29),30)/30))+IF(44-(INT((Parametri_v3!$C$29)/30))-1&lt;1,0,INDEX(Motore_Operativo!$BH$185:$BH$244,MAX(1,44-(INT((Parametri_v3!$C$29)/30))-1)))*(MOD((Parametri_v3!$C$29),30)/30))*(1+Parametri_v3!$C$26)</f>
        <v>5560.9125</v>
      </c>
      <c r="AG228" s="15" t="n">
        <f aca="false">(AG227)+AE228-AF228</f>
        <v>5560.9125</v>
      </c>
      <c r="AH228" s="15" t="n">
        <f aca="false">(Motore_Operativo!CK228)*(1+Parametri_v3!$C$28*Parametri_v3!$C$26)</f>
        <v>20047.713</v>
      </c>
      <c r="AI228" s="15" t="n">
        <f aca="false">(IF(44-(INT((Ipotesi!$C$91)/30))&lt;1,0,INDEX(Motore_Advisory!$AH$185:$AH$244,MAX(1,44-(INT((Ipotesi!$C$91)/30)))))*(1-(MOD((Ipotesi!$C$91),30)/30))+IF(44-(INT((Ipotesi!$C$91)/30))-1&lt;1,0,INDEX(Motore_Advisory!$AH$185:$AH$244,MAX(1,44-(INT((Ipotesi!$C$91)/30))-1)))*(MOD((Ipotesi!$C$91),30)/30))</f>
        <v>20047.713</v>
      </c>
      <c r="AJ228" s="15" t="n">
        <f aca="false">(AJ227)+AH228-AI228</f>
        <v>40095.426</v>
      </c>
      <c r="AK228" s="15" t="n">
        <f aca="false">(F228- Motore_Operativo!BH228-(Motore_Operativo!CK228)*Parametri_v3!$C$28-Motore_Operativo!CF228)*Parametri_v3!$C$26</f>
        <v>5878.08283333334</v>
      </c>
      <c r="AL228" s="15" t="n">
        <f aca="false">MAX(0,(AM227))</f>
        <v>5878.08283333334</v>
      </c>
      <c r="AM228" s="15" t="n">
        <f aca="false">(AM227)+AK228-AL228</f>
        <v>5878.08283333334</v>
      </c>
      <c r="AN228" s="15" t="n">
        <f aca="false">SUM(X209:X220)</f>
        <v>0</v>
      </c>
      <c r="AO228" s="15" t="n">
        <f aca="false">SUM(AP209:AP220)</f>
        <v>0</v>
      </c>
      <c r="AP228" s="15" t="n">
        <f aca="false">MAX(0,AN228)*IF(8=Parametri_v3!$C$43,Parametri_v3!$C$45,IF(8=Parametri_v3!$C$44,1-Parametri_v3!$C$45,0))</f>
        <v>0</v>
      </c>
      <c r="AQ228" s="15" t="n">
        <f aca="false">MAX(0,AP228+IF(8=Parametri_v3!$C$43,MAX(0,AN228-AO228),0)-MAX(0,-(AR227)))</f>
        <v>0</v>
      </c>
      <c r="AR228" s="15" t="n">
        <f aca="false">(AR227)+X228-AQ228</f>
        <v>0</v>
      </c>
      <c r="AS228" s="15" t="n">
        <f aca="false">Motore_Operativo!AC228-AT228+AU228</f>
        <v>32137.5563729167</v>
      </c>
      <c r="AT228" s="15" t="n">
        <f aca="false">Motore_Operativo!CI228</f>
        <v>1691.45033541667</v>
      </c>
      <c r="AU228" s="15" t="n">
        <f aca="false">MIN(MAX(0,(AV227)+AT228),Parametri_v3!$C$61/12)</f>
        <v>0</v>
      </c>
      <c r="AV228" s="15" t="n">
        <f aca="false">(AV227)+AT228-AU228</f>
        <v>41511.0401833333</v>
      </c>
      <c r="AW228" s="15" t="n">
        <f aca="false">IF(AND(Motore_Operativo!C228=Finanziamenti!$D$7,Finanziamenti!$F$7=1),Finanziamenti!$C$7,0)</f>
        <v>0</v>
      </c>
      <c r="AX228" s="15" t="n">
        <f aca="false">0</f>
        <v>0</v>
      </c>
      <c r="AY228" s="15" t="n">
        <f aca="false">IF(8=Parametri_v3!$C$33,IF(BV228&lt;MIN(12,$B228-1),0,MIN(MAX(0,SUM(Y209:Y220))*Ipotesi!$C$94,MAX(0,(BM220)-(BO227)-BP228),MAX(0,BD228-Parametri_v3!$C$31))),0)</f>
        <v>0</v>
      </c>
      <c r="AZ228" s="15" t="n">
        <f aca="false">0</f>
        <v>0</v>
      </c>
      <c r="BA228" s="15" t="n">
        <f aca="false">0</f>
        <v>0</v>
      </c>
      <c r="BB228" s="15" t="n">
        <f aca="false">0</f>
        <v>0</v>
      </c>
      <c r="BC228" s="15" t="n">
        <f aca="false">0</f>
        <v>0</v>
      </c>
      <c r="BD228" s="15" t="n">
        <f aca="false">(BH227)+AC228-AF228-AI228-AS228-K228*(1+Parametri_v3!$C$26)-AL228-AQ228-O228+AW228+AX228+AZ228+BA228-BB228</f>
        <v>-433239.575483332</v>
      </c>
      <c r="BE228" s="15" t="n">
        <f aca="false">0</f>
        <v>0</v>
      </c>
      <c r="BF228" s="15" t="n">
        <f aca="false">0</f>
        <v>0</v>
      </c>
      <c r="BG228" s="15" t="n">
        <f aca="false">0</f>
        <v>0</v>
      </c>
      <c r="BH228" s="15" t="n">
        <f aca="false">BD228+BE228-BF228-AY228</f>
        <v>-433239.575483332</v>
      </c>
      <c r="BI228" s="15" t="n">
        <f aca="false">MAX(0,Parametri_v3!$C$31-BH228)</f>
        <v>443239.575483332</v>
      </c>
      <c r="BJ228" s="15" t="n">
        <f aca="false">(BJ227)+K228</f>
        <v>18333.3333333333</v>
      </c>
      <c r="BK228" s="15" t="n">
        <f aca="false">(BK227)+L228</f>
        <v>9319.44444444444</v>
      </c>
      <c r="BL228" s="15" t="n">
        <f aca="false">BJ228-BK228</f>
        <v>9013.88888888889</v>
      </c>
      <c r="BM228" s="15" t="n">
        <f aca="false">(BM227)+Y228</f>
        <v>-314834.648111111</v>
      </c>
      <c r="BN228" s="15" t="n">
        <f aca="false">(BN227)+AW228+AX228+AZ228</f>
        <v>20000</v>
      </c>
      <c r="BO228" s="15" t="n">
        <f aca="false">(BO227)+AY228</f>
        <v>0</v>
      </c>
      <c r="BP228" s="15" t="n">
        <f aca="false">MIN(Parametri_v3!$C$36*Parametri_v3!$C$35,(BP227)+IF(8=1,MAX(0,SUM(Y209:Y220))*Parametri_v3!$C$34,0))</f>
        <v>0</v>
      </c>
      <c r="BQ228" s="15" t="n">
        <f aca="false">BN228+BM228-BO228</f>
        <v>-294834.648111111</v>
      </c>
      <c r="BR228" s="15" t="n">
        <f aca="false">BH228+AD228+BL228+MAX(0,-AM228)+MAX(0,-AR228)</f>
        <v>-201789.186594444</v>
      </c>
      <c r="BS228" s="15" t="n">
        <f aca="false">AJ228+AV228+MAX(0,AM228)+MAX(0,AR228)+BC228+BG228+BQ228+AG228</f>
        <v>-201789.186594444</v>
      </c>
      <c r="BT228" s="15" t="n">
        <f aca="false">BR228-BS228</f>
        <v>0</v>
      </c>
      <c r="BU228" s="15" t="n">
        <f aca="false">BH228-(BD228+BE228-BF228-AY228)</f>
        <v>0</v>
      </c>
      <c r="BV228" s="15" t="n">
        <f aca="false">IF(BH227&lt;Parametri_v3!$C$31,0,BV227+1)</f>
        <v>0</v>
      </c>
    </row>
    <row r="229" customFormat="false" ht="18" hidden="false" customHeight="true" outlineLevel="0" collapsed="false">
      <c r="A229" s="68" t="n">
        <f aca="false">4</f>
        <v>4</v>
      </c>
      <c r="B229" s="68" t="n">
        <f aca="false">45</f>
        <v>45</v>
      </c>
      <c r="C229" s="18" t="n">
        <f aca="false">Motore_Operativo!C229</f>
        <v>47727</v>
      </c>
      <c r="D229" s="68" t="n">
        <f aca="false">Motore_Operativo!D229</f>
        <v>2030</v>
      </c>
      <c r="E229" s="68" t="n">
        <f aca="false">Motore_Operativo!E229</f>
        <v>9</v>
      </c>
      <c r="F229" s="15" t="n">
        <f aca="false">Motore_Operativo!AM229</f>
        <v>45581.25</v>
      </c>
      <c r="G229" s="15" t="n">
        <f aca="false">Motore_Operativo!BH229</f>
        <v>4558.125</v>
      </c>
      <c r="H229" s="15" t="n">
        <f aca="false">Motore_Operativo!AM229</f>
        <v>45581.25</v>
      </c>
      <c r="I229" s="15" t="n">
        <f aca="false">Motore_Operativo!CB229</f>
        <v>55434.5067083333</v>
      </c>
      <c r="J229" s="15" t="n">
        <f aca="false">Motore_Operativo!CD229</f>
        <v>-9853.25670833333</v>
      </c>
      <c r="K229" s="15" t="n">
        <f aca="false">Motore_Operativo!CF229</f>
        <v>666.666666666667</v>
      </c>
      <c r="L229" s="15" t="n">
        <f aca="false">SUM(INDEX($K$185:$K$244,MAX(1,45-Parametri_v3!$C$59+1)):K229)/Parametri_v3!$C$59</f>
        <v>465.277777777778</v>
      </c>
      <c r="M229" s="15" t="n">
        <f aca="false">J229-L229</f>
        <v>-10318.5344861111</v>
      </c>
      <c r="N229" s="15" t="n">
        <f aca="false">0</f>
        <v>0</v>
      </c>
      <c r="O229" s="15" t="n">
        <f aca="false">0</f>
        <v>0</v>
      </c>
      <c r="P229" s="15" t="n">
        <f aca="false">M229+N229-O229</f>
        <v>-10318.5344861111</v>
      </c>
      <c r="Q229" s="15" t="n">
        <f aca="false">SUM(P221:P229)+Parametri_v3!$C$56*9/12</f>
        <v>-92450.1437083333</v>
      </c>
      <c r="R229" s="15" t="n">
        <f aca="false">Z220</f>
        <v>232703.038888889</v>
      </c>
      <c r="S229" s="15" t="n">
        <f aca="false">AA220</f>
        <v>0</v>
      </c>
      <c r="T229" s="15" t="n">
        <f aca="false">MIN(R229,MAX(0,Q229))</f>
        <v>0</v>
      </c>
      <c r="U229" s="15" t="n">
        <f aca="false">MIN(S229,MAX(0,Q229-T229)*Parametri_v3!$C$42)</f>
        <v>0</v>
      </c>
      <c r="V229" s="15" t="n">
        <f aca="false">MAX(0,Q229-T229-U229)*Ipotesi!$C$92</f>
        <v>0</v>
      </c>
      <c r="W229" s="15" t="n">
        <f aca="false">MAX(0,SUM(M221:M229)+Parametri_v3!$C$57*9/12)*Ipotesi!$C$93</f>
        <v>0</v>
      </c>
      <c r="X229" s="15" t="n">
        <f aca="false">V229+W229-(V228+W228)</f>
        <v>0</v>
      </c>
      <c r="Y229" s="15" t="n">
        <f aca="false">P229-X229</f>
        <v>-10318.5344861111</v>
      </c>
      <c r="Z229" s="15" t="n">
        <f aca="false">R229-T229+IF(AND(Parametri_v3!$C$40=1,D229-YEAR(Parametri_v3!$C$50)&lt;Parametri_v3!$C$41),MAX(0,-Q229),0)</f>
        <v>232703.038888889</v>
      </c>
      <c r="AA229" s="15" t="n">
        <f aca="false">S229-U229+IF(AND(Parametri_v3!$C$40=1,D229-YEAR(Parametri_v3!$C$50)&lt;Parametri_v3!$C$41),0,MAX(0,-Q229))</f>
        <v>92450.1437083333</v>
      </c>
      <c r="AB229" s="15" t="n">
        <f aca="false">F229*(1+Parametri_v3!$C$26)</f>
        <v>55609.125</v>
      </c>
      <c r="AC229" s="15" t="n">
        <f aca="false">(IF(45-(INT((Motore_Operativo!L229)/30))&lt;1,0,INDEX(Motore_Advisory!$AB$185:$AB$244,MAX(1,45-(INT((Motore_Operativo!L229)/30)))))*(1-(MOD((Motore_Operativo!L229),30)/30))+IF(45-(INT((Motore_Operativo!L229)/30))-1&lt;1,0,INDEX(Motore_Advisory!$AB$185:$AB$244,MAX(1,45-(INT((Motore_Operativo!L229)/30))-1)))*(MOD((Motore_Operativo!L229),30)/30))</f>
        <v>55609.125</v>
      </c>
      <c r="AD229" s="15" t="n">
        <f aca="false">(AD228)+AB229-AC229</f>
        <v>222436.5</v>
      </c>
      <c r="AE229" s="15" t="n">
        <f aca="false">Motore_Operativo!BH229*(1+Parametri_v3!$C$26)</f>
        <v>5560.9125</v>
      </c>
      <c r="AF229" s="15" t="n">
        <f aca="false">(IF(45-(INT((Parametri_v3!$C$29)/30))&lt;1,0,INDEX(Motore_Operativo!$BH$185:$BH$244,MAX(1,45-(INT((Parametri_v3!$C$29)/30)))))*(1-(MOD((Parametri_v3!$C$29),30)/30))+IF(45-(INT((Parametri_v3!$C$29)/30))-1&lt;1,0,INDEX(Motore_Operativo!$BH$185:$BH$244,MAX(1,45-(INT((Parametri_v3!$C$29)/30))-1)))*(MOD((Parametri_v3!$C$29),30)/30))*(1+Parametri_v3!$C$26)</f>
        <v>5560.9125</v>
      </c>
      <c r="AG229" s="15" t="n">
        <f aca="false">(AG228)+AE229-AF229</f>
        <v>5560.9125</v>
      </c>
      <c r="AH229" s="15" t="n">
        <f aca="false">(Motore_Operativo!CK229)*(1+Parametri_v3!$C$28*Parametri_v3!$C$26)</f>
        <v>20047.713</v>
      </c>
      <c r="AI229" s="15" t="n">
        <f aca="false">(IF(45-(INT((Ipotesi!$C$91)/30))&lt;1,0,INDEX(Motore_Advisory!$AH$185:$AH$244,MAX(1,45-(INT((Ipotesi!$C$91)/30)))))*(1-(MOD((Ipotesi!$C$91),30)/30))+IF(45-(INT((Ipotesi!$C$91)/30))-1&lt;1,0,INDEX(Motore_Advisory!$AH$185:$AH$244,MAX(1,45-(INT((Ipotesi!$C$91)/30))-1)))*(MOD((Ipotesi!$C$91),30)/30))</f>
        <v>20047.713</v>
      </c>
      <c r="AJ229" s="15" t="n">
        <f aca="false">(AJ228)+AH229-AI229</f>
        <v>40095.426</v>
      </c>
      <c r="AK229" s="15" t="n">
        <f aca="false">(F229- Motore_Operativo!BH229-(Motore_Operativo!CK229)*Parametri_v3!$C$28-Motore_Operativo!CF229)*Parametri_v3!$C$26</f>
        <v>5878.08283333334</v>
      </c>
      <c r="AL229" s="15" t="n">
        <f aca="false">MAX(0,(AM228))</f>
        <v>5878.08283333334</v>
      </c>
      <c r="AM229" s="15" t="n">
        <f aca="false">(AM228)+AK229-AL229</f>
        <v>5878.08283333334</v>
      </c>
      <c r="AN229" s="15" t="n">
        <f aca="false">SUM(X209:X220)</f>
        <v>0</v>
      </c>
      <c r="AO229" s="15" t="n">
        <f aca="false">SUM(AP209:AP220)</f>
        <v>0</v>
      </c>
      <c r="AP229" s="15" t="n">
        <f aca="false">MAX(0,AN229)*IF(9=Parametri_v3!$C$43,Parametri_v3!$C$45,IF(9=Parametri_v3!$C$44,1-Parametri_v3!$C$45,0))</f>
        <v>0</v>
      </c>
      <c r="AQ229" s="15" t="n">
        <f aca="false">MAX(0,AP229+IF(9=Parametri_v3!$C$43,MAX(0,AN229-AO229),0)-MAX(0,-(AR228)))</f>
        <v>0</v>
      </c>
      <c r="AR229" s="15" t="n">
        <f aca="false">(AR228)+X229-AQ229</f>
        <v>0</v>
      </c>
      <c r="AS229" s="15" t="n">
        <f aca="false">Motore_Operativo!AC229-AT229+AU229</f>
        <v>32137.5563729167</v>
      </c>
      <c r="AT229" s="15" t="n">
        <f aca="false">Motore_Operativo!CI229</f>
        <v>1691.45033541667</v>
      </c>
      <c r="AU229" s="15" t="n">
        <f aca="false">MIN(MAX(0,(AV228)+AT229),Parametri_v3!$C$61/12)</f>
        <v>0</v>
      </c>
      <c r="AV229" s="15" t="n">
        <f aca="false">(AV228)+AT229-AU229</f>
        <v>43202.49051875</v>
      </c>
      <c r="AW229" s="15" t="n">
        <f aca="false">IF(AND(Motore_Operativo!C229=Finanziamenti!$D$7,Finanziamenti!$F$7=1),Finanziamenti!$C$7,0)</f>
        <v>0</v>
      </c>
      <c r="AX229" s="15" t="n">
        <f aca="false">0</f>
        <v>0</v>
      </c>
      <c r="AY229" s="15" t="n">
        <f aca="false">IF(9=Parametri_v3!$C$33,IF(BV229&lt;MIN(12,$B229-1),0,MIN(MAX(0,SUM(Y209:Y220))*Ipotesi!$C$94,MAX(0,(BM220)-(BO228)-BP229),MAX(0,BD229-Parametri_v3!$C$31))),0)</f>
        <v>0</v>
      </c>
      <c r="AZ229" s="15" t="n">
        <f aca="false">0</f>
        <v>0</v>
      </c>
      <c r="BA229" s="15" t="n">
        <f aca="false">0</f>
        <v>0</v>
      </c>
      <c r="BB229" s="15" t="n">
        <f aca="false">0</f>
        <v>0</v>
      </c>
      <c r="BC229" s="15" t="n">
        <f aca="false">0</f>
        <v>0</v>
      </c>
      <c r="BD229" s="15" t="n">
        <f aca="false">(BH228)+AC229-AF229-AI229-AS229-K229*(1+Parametri_v3!$C$26)-AL229-AQ229-O229+AW229+AX229+AZ229+BA229-BB229</f>
        <v>-442068.048522916</v>
      </c>
      <c r="BE229" s="15" t="n">
        <f aca="false">0</f>
        <v>0</v>
      </c>
      <c r="BF229" s="15" t="n">
        <f aca="false">0</f>
        <v>0</v>
      </c>
      <c r="BG229" s="15" t="n">
        <f aca="false">0</f>
        <v>0</v>
      </c>
      <c r="BH229" s="15" t="n">
        <f aca="false">BD229+BE229-BF229-AY229</f>
        <v>-442068.048522916</v>
      </c>
      <c r="BI229" s="15" t="n">
        <f aca="false">MAX(0,Parametri_v3!$C$31-BH229)</f>
        <v>452068.048522916</v>
      </c>
      <c r="BJ229" s="15" t="n">
        <f aca="false">(BJ228)+K229</f>
        <v>19000</v>
      </c>
      <c r="BK229" s="15" t="n">
        <f aca="false">(BK228)+L229</f>
        <v>9784.72222222222</v>
      </c>
      <c r="BL229" s="15" t="n">
        <f aca="false">BJ229-BK229</f>
        <v>9215.27777777778</v>
      </c>
      <c r="BM229" s="15" t="n">
        <f aca="false">(BM228)+Y229</f>
        <v>-325153.182597222</v>
      </c>
      <c r="BN229" s="15" t="n">
        <f aca="false">(BN228)+AW229+AX229+AZ229</f>
        <v>20000</v>
      </c>
      <c r="BO229" s="15" t="n">
        <f aca="false">(BO228)+AY229</f>
        <v>0</v>
      </c>
      <c r="BP229" s="15" t="n">
        <f aca="false">MIN(Parametri_v3!$C$36*Parametri_v3!$C$35,(BP228)+IF(9=1,MAX(0,SUM(Y209:Y220))*Parametri_v3!$C$34,0))</f>
        <v>0</v>
      </c>
      <c r="BQ229" s="15" t="n">
        <f aca="false">BN229+BM229-BO229</f>
        <v>-305153.182597222</v>
      </c>
      <c r="BR229" s="15" t="n">
        <f aca="false">BH229+AD229+BL229+MAX(0,-AM229)+MAX(0,-AR229)</f>
        <v>-210416.270745138</v>
      </c>
      <c r="BS229" s="15" t="n">
        <f aca="false">AJ229+AV229+MAX(0,AM229)+MAX(0,AR229)+BC229+BG229+BQ229+AG229</f>
        <v>-210416.270745139</v>
      </c>
      <c r="BT229" s="15" t="n">
        <f aca="false">BR229-BS229</f>
        <v>0</v>
      </c>
      <c r="BU229" s="15" t="n">
        <f aca="false">BH229-(BD229+BE229-BF229-AY229)</f>
        <v>0</v>
      </c>
      <c r="BV229" s="15" t="n">
        <f aca="false">IF(BH228&lt;Parametri_v3!$C$31,0,BV228+1)</f>
        <v>0</v>
      </c>
    </row>
    <row r="230" customFormat="false" ht="18" hidden="false" customHeight="true" outlineLevel="0" collapsed="false">
      <c r="A230" s="68" t="n">
        <f aca="false">4</f>
        <v>4</v>
      </c>
      <c r="B230" s="68" t="n">
        <f aca="false">46</f>
        <v>46</v>
      </c>
      <c r="C230" s="18" t="n">
        <f aca="false">Motore_Operativo!C230</f>
        <v>47757</v>
      </c>
      <c r="D230" s="68" t="n">
        <f aca="false">Motore_Operativo!D230</f>
        <v>2030</v>
      </c>
      <c r="E230" s="68" t="n">
        <f aca="false">Motore_Operativo!E230</f>
        <v>10</v>
      </c>
      <c r="F230" s="15" t="n">
        <f aca="false">Motore_Operativo!AM230</f>
        <v>45581.25</v>
      </c>
      <c r="G230" s="15" t="n">
        <f aca="false">Motore_Operativo!BH230</f>
        <v>4558.125</v>
      </c>
      <c r="H230" s="15" t="n">
        <f aca="false">Motore_Operativo!AM230</f>
        <v>45581.25</v>
      </c>
      <c r="I230" s="15" t="n">
        <f aca="false">Motore_Operativo!CB230</f>
        <v>55434.5067083333</v>
      </c>
      <c r="J230" s="15" t="n">
        <f aca="false">Motore_Operativo!CD230</f>
        <v>-9853.25670833333</v>
      </c>
      <c r="K230" s="15" t="n">
        <f aca="false">Motore_Operativo!CF230</f>
        <v>666.666666666667</v>
      </c>
      <c r="L230" s="15" t="n">
        <f aca="false">SUM(INDEX($K$185:$K$244,MAX(1,46-Parametri_v3!$C$59+1)):K230)/Parametri_v3!$C$59</f>
        <v>476.851851851852</v>
      </c>
      <c r="M230" s="15" t="n">
        <f aca="false">J230-L230</f>
        <v>-10330.1085601852</v>
      </c>
      <c r="N230" s="15" t="n">
        <f aca="false">0</f>
        <v>0</v>
      </c>
      <c r="O230" s="15" t="n">
        <f aca="false">0</f>
        <v>0</v>
      </c>
      <c r="P230" s="15" t="n">
        <f aca="false">M230+N230-O230</f>
        <v>-10330.1085601852</v>
      </c>
      <c r="Q230" s="15" t="n">
        <f aca="false">SUM(P221:P230)+Parametri_v3!$C$56*10/12</f>
        <v>-102780.252268518</v>
      </c>
      <c r="R230" s="15" t="n">
        <f aca="false">Z220</f>
        <v>232703.038888889</v>
      </c>
      <c r="S230" s="15" t="n">
        <f aca="false">AA220</f>
        <v>0</v>
      </c>
      <c r="T230" s="15" t="n">
        <f aca="false">MIN(R230,MAX(0,Q230))</f>
        <v>0</v>
      </c>
      <c r="U230" s="15" t="n">
        <f aca="false">MIN(S230,MAX(0,Q230-T230)*Parametri_v3!$C$42)</f>
        <v>0</v>
      </c>
      <c r="V230" s="15" t="n">
        <f aca="false">MAX(0,Q230-T230-U230)*Ipotesi!$C$92</f>
        <v>0</v>
      </c>
      <c r="W230" s="15" t="n">
        <f aca="false">MAX(0,SUM(M221:M230)+Parametri_v3!$C$57*10/12)*Ipotesi!$C$93</f>
        <v>0</v>
      </c>
      <c r="X230" s="15" t="n">
        <f aca="false">V230+W230-(V229+W229)</f>
        <v>0</v>
      </c>
      <c r="Y230" s="15" t="n">
        <f aca="false">P230-X230</f>
        <v>-10330.1085601852</v>
      </c>
      <c r="Z230" s="15" t="n">
        <f aca="false">R230-T230+IF(AND(Parametri_v3!$C$40=1,D230-YEAR(Parametri_v3!$C$50)&lt;Parametri_v3!$C$41),MAX(0,-Q230),0)</f>
        <v>232703.038888889</v>
      </c>
      <c r="AA230" s="15" t="n">
        <f aca="false">S230-U230+IF(AND(Parametri_v3!$C$40=1,D230-YEAR(Parametri_v3!$C$50)&lt;Parametri_v3!$C$41),0,MAX(0,-Q230))</f>
        <v>102780.252268518</v>
      </c>
      <c r="AB230" s="15" t="n">
        <f aca="false">F230*(1+Parametri_v3!$C$26)</f>
        <v>55609.125</v>
      </c>
      <c r="AC230" s="15" t="n">
        <f aca="false">(IF(46-(INT((Motore_Operativo!L230)/30))&lt;1,0,INDEX(Motore_Advisory!$AB$185:$AB$244,MAX(1,46-(INT((Motore_Operativo!L230)/30)))))*(1-(MOD((Motore_Operativo!L230),30)/30))+IF(46-(INT((Motore_Operativo!L230)/30))-1&lt;1,0,INDEX(Motore_Advisory!$AB$185:$AB$244,MAX(1,46-(INT((Motore_Operativo!L230)/30))-1)))*(MOD((Motore_Operativo!L230),30)/30))</f>
        <v>55609.125</v>
      </c>
      <c r="AD230" s="15" t="n">
        <f aca="false">(AD229)+AB230-AC230</f>
        <v>222436.5</v>
      </c>
      <c r="AE230" s="15" t="n">
        <f aca="false">Motore_Operativo!BH230*(1+Parametri_v3!$C$26)</f>
        <v>5560.9125</v>
      </c>
      <c r="AF230" s="15" t="n">
        <f aca="false">(IF(46-(INT((Parametri_v3!$C$29)/30))&lt;1,0,INDEX(Motore_Operativo!$BH$185:$BH$244,MAX(1,46-(INT((Parametri_v3!$C$29)/30)))))*(1-(MOD((Parametri_v3!$C$29),30)/30))+IF(46-(INT((Parametri_v3!$C$29)/30))-1&lt;1,0,INDEX(Motore_Operativo!$BH$185:$BH$244,MAX(1,46-(INT((Parametri_v3!$C$29)/30))-1)))*(MOD((Parametri_v3!$C$29),30)/30))*(1+Parametri_v3!$C$26)</f>
        <v>5560.9125</v>
      </c>
      <c r="AG230" s="15" t="n">
        <f aca="false">(AG229)+AE230-AF230</f>
        <v>5560.9125</v>
      </c>
      <c r="AH230" s="15" t="n">
        <f aca="false">(Motore_Operativo!CK230)*(1+Parametri_v3!$C$28*Parametri_v3!$C$26)</f>
        <v>20047.713</v>
      </c>
      <c r="AI230" s="15" t="n">
        <f aca="false">(IF(46-(INT((Ipotesi!$C$91)/30))&lt;1,0,INDEX(Motore_Advisory!$AH$185:$AH$244,MAX(1,46-(INT((Ipotesi!$C$91)/30)))))*(1-(MOD((Ipotesi!$C$91),30)/30))+IF(46-(INT((Ipotesi!$C$91)/30))-1&lt;1,0,INDEX(Motore_Advisory!$AH$185:$AH$244,MAX(1,46-(INT((Ipotesi!$C$91)/30))-1)))*(MOD((Ipotesi!$C$91),30)/30))</f>
        <v>20047.713</v>
      </c>
      <c r="AJ230" s="15" t="n">
        <f aca="false">(AJ229)+AH230-AI230</f>
        <v>40095.426</v>
      </c>
      <c r="AK230" s="15" t="n">
        <f aca="false">(F230- Motore_Operativo!BH230-(Motore_Operativo!CK230)*Parametri_v3!$C$28-Motore_Operativo!CF230)*Parametri_v3!$C$26</f>
        <v>5878.08283333334</v>
      </c>
      <c r="AL230" s="15" t="n">
        <f aca="false">MAX(0,(AM229))</f>
        <v>5878.08283333334</v>
      </c>
      <c r="AM230" s="15" t="n">
        <f aca="false">(AM229)+AK230-AL230</f>
        <v>5878.08283333334</v>
      </c>
      <c r="AN230" s="15" t="n">
        <f aca="false">SUM(X209:X220)</f>
        <v>0</v>
      </c>
      <c r="AO230" s="15" t="n">
        <f aca="false">SUM(AP209:AP220)</f>
        <v>0</v>
      </c>
      <c r="AP230" s="15" t="n">
        <f aca="false">MAX(0,AN230)*IF(10=Parametri_v3!$C$43,Parametri_v3!$C$45,IF(10=Parametri_v3!$C$44,1-Parametri_v3!$C$45,0))</f>
        <v>0</v>
      </c>
      <c r="AQ230" s="15" t="n">
        <f aca="false">MAX(0,AP230+IF(10=Parametri_v3!$C$43,MAX(0,AN230-AO230),0)-MAX(0,-(AR229)))</f>
        <v>0</v>
      </c>
      <c r="AR230" s="15" t="n">
        <f aca="false">(AR229)+X230-AQ230</f>
        <v>0</v>
      </c>
      <c r="AS230" s="15" t="n">
        <f aca="false">Motore_Operativo!AC230-AT230+AU230</f>
        <v>32137.5563729167</v>
      </c>
      <c r="AT230" s="15" t="n">
        <f aca="false">Motore_Operativo!CI230</f>
        <v>1691.45033541667</v>
      </c>
      <c r="AU230" s="15" t="n">
        <f aca="false">MIN(MAX(0,(AV229)+AT230),Parametri_v3!$C$61/12)</f>
        <v>0</v>
      </c>
      <c r="AV230" s="15" t="n">
        <f aca="false">(AV229)+AT230-AU230</f>
        <v>44893.9408541667</v>
      </c>
      <c r="AW230" s="15" t="n">
        <f aca="false">IF(AND(Motore_Operativo!C230=Finanziamenti!$D$7,Finanziamenti!$F$7=1),Finanziamenti!$C$7,0)</f>
        <v>0</v>
      </c>
      <c r="AX230" s="15" t="n">
        <f aca="false">0</f>
        <v>0</v>
      </c>
      <c r="AY230" s="15" t="n">
        <f aca="false">IF(10=Parametri_v3!$C$33,IF(BV230&lt;MIN(12,$B230-1),0,MIN(MAX(0,SUM(Y209:Y220))*Ipotesi!$C$94,MAX(0,(BM220)-(BO229)-BP230),MAX(0,BD230-Parametri_v3!$C$31))),0)</f>
        <v>0</v>
      </c>
      <c r="AZ230" s="15" t="n">
        <f aca="false">0</f>
        <v>0</v>
      </c>
      <c r="BA230" s="15" t="n">
        <f aca="false">0</f>
        <v>0</v>
      </c>
      <c r="BB230" s="15" t="n">
        <f aca="false">0</f>
        <v>0</v>
      </c>
      <c r="BC230" s="15" t="n">
        <f aca="false">0</f>
        <v>0</v>
      </c>
      <c r="BD230" s="15" t="n">
        <f aca="false">(BH229)+AC230-AF230-AI230-AS230-K230*(1+Parametri_v3!$C$26)-AL230-AQ230-O230+AW230+AX230+AZ230+BA230-BB230</f>
        <v>-450896.521562499</v>
      </c>
      <c r="BE230" s="15" t="n">
        <f aca="false">0</f>
        <v>0</v>
      </c>
      <c r="BF230" s="15" t="n">
        <f aca="false">0</f>
        <v>0</v>
      </c>
      <c r="BG230" s="15" t="n">
        <f aca="false">0</f>
        <v>0</v>
      </c>
      <c r="BH230" s="15" t="n">
        <f aca="false">BD230+BE230-BF230-AY230</f>
        <v>-450896.521562499</v>
      </c>
      <c r="BI230" s="15" t="n">
        <f aca="false">MAX(0,Parametri_v3!$C$31-BH230)</f>
        <v>460896.521562499</v>
      </c>
      <c r="BJ230" s="15" t="n">
        <f aca="false">(BJ229)+K230</f>
        <v>19666.6666666667</v>
      </c>
      <c r="BK230" s="15" t="n">
        <f aca="false">(BK229)+L230</f>
        <v>10261.5740740741</v>
      </c>
      <c r="BL230" s="15" t="n">
        <f aca="false">BJ230-BK230</f>
        <v>9405.09259259259</v>
      </c>
      <c r="BM230" s="15" t="n">
        <f aca="false">(BM229)+Y230</f>
        <v>-335483.291157407</v>
      </c>
      <c r="BN230" s="15" t="n">
        <f aca="false">(BN229)+AW230+AX230+AZ230</f>
        <v>20000</v>
      </c>
      <c r="BO230" s="15" t="n">
        <f aca="false">(BO229)+AY230</f>
        <v>0</v>
      </c>
      <c r="BP230" s="15" t="n">
        <f aca="false">MIN(Parametri_v3!$C$36*Parametri_v3!$C$35,(BP229)+IF(10=1,MAX(0,SUM(Y209:Y220))*Parametri_v3!$C$34,0))</f>
        <v>0</v>
      </c>
      <c r="BQ230" s="15" t="n">
        <f aca="false">BN230+BM230-BO230</f>
        <v>-315483.291157407</v>
      </c>
      <c r="BR230" s="15" t="n">
        <f aca="false">BH230+AD230+BL230+MAX(0,-AM230)+MAX(0,-AR230)</f>
        <v>-219054.928969906</v>
      </c>
      <c r="BS230" s="15" t="n">
        <f aca="false">AJ230+AV230+MAX(0,AM230)+MAX(0,AR230)+BC230+BG230+BQ230+AG230</f>
        <v>-219054.928969907</v>
      </c>
      <c r="BT230" s="15" t="n">
        <f aca="false">BR230-BS230</f>
        <v>0</v>
      </c>
      <c r="BU230" s="15" t="n">
        <f aca="false">BH230-(BD230+BE230-BF230-AY230)</f>
        <v>0</v>
      </c>
      <c r="BV230" s="15" t="n">
        <f aca="false">IF(BH229&lt;Parametri_v3!$C$31,0,BV229+1)</f>
        <v>0</v>
      </c>
    </row>
    <row r="231" customFormat="false" ht="18" hidden="false" customHeight="true" outlineLevel="0" collapsed="false">
      <c r="A231" s="68" t="n">
        <f aca="false">4</f>
        <v>4</v>
      </c>
      <c r="B231" s="68" t="n">
        <f aca="false">47</f>
        <v>47</v>
      </c>
      <c r="C231" s="18" t="n">
        <f aca="false">Motore_Operativo!C231</f>
        <v>47788</v>
      </c>
      <c r="D231" s="68" t="n">
        <f aca="false">Motore_Operativo!D231</f>
        <v>2030</v>
      </c>
      <c r="E231" s="68" t="n">
        <f aca="false">Motore_Operativo!E231</f>
        <v>11</v>
      </c>
      <c r="F231" s="15" t="n">
        <f aca="false">Motore_Operativo!AM231</f>
        <v>45581.25</v>
      </c>
      <c r="G231" s="15" t="n">
        <f aca="false">Motore_Operativo!BH231</f>
        <v>4558.125</v>
      </c>
      <c r="H231" s="15" t="n">
        <f aca="false">Motore_Operativo!AM231</f>
        <v>45581.25</v>
      </c>
      <c r="I231" s="15" t="n">
        <f aca="false">Motore_Operativo!CB231</f>
        <v>55434.5067083333</v>
      </c>
      <c r="J231" s="15" t="n">
        <f aca="false">Motore_Operativo!CD231</f>
        <v>-9853.25670833333</v>
      </c>
      <c r="K231" s="15" t="n">
        <f aca="false">Motore_Operativo!CF231</f>
        <v>666.666666666667</v>
      </c>
      <c r="L231" s="15" t="n">
        <f aca="false">SUM(INDEX($K$185:$K$244,MAX(1,47-Parametri_v3!$C$59+1)):K231)/Parametri_v3!$C$59</f>
        <v>488.425925925926</v>
      </c>
      <c r="M231" s="15" t="n">
        <f aca="false">J231-L231</f>
        <v>-10341.6826342593</v>
      </c>
      <c r="N231" s="15" t="n">
        <f aca="false">0</f>
        <v>0</v>
      </c>
      <c r="O231" s="15" t="n">
        <f aca="false">0</f>
        <v>0</v>
      </c>
      <c r="P231" s="15" t="n">
        <f aca="false">M231+N231-O231</f>
        <v>-10341.6826342593</v>
      </c>
      <c r="Q231" s="15" t="n">
        <f aca="false">SUM(P221:P231)+Parametri_v3!$C$56*11/12</f>
        <v>-113121.934902778</v>
      </c>
      <c r="R231" s="15" t="n">
        <f aca="false">Z220</f>
        <v>232703.038888889</v>
      </c>
      <c r="S231" s="15" t="n">
        <f aca="false">AA220</f>
        <v>0</v>
      </c>
      <c r="T231" s="15" t="n">
        <f aca="false">MIN(R231,MAX(0,Q231))</f>
        <v>0</v>
      </c>
      <c r="U231" s="15" t="n">
        <f aca="false">MIN(S231,MAX(0,Q231-T231)*Parametri_v3!$C$42)</f>
        <v>0</v>
      </c>
      <c r="V231" s="15" t="n">
        <f aca="false">MAX(0,Q231-T231-U231)*Ipotesi!$C$92</f>
        <v>0</v>
      </c>
      <c r="W231" s="15" t="n">
        <f aca="false">MAX(0,SUM(M221:M231)+Parametri_v3!$C$57*11/12)*Ipotesi!$C$93</f>
        <v>0</v>
      </c>
      <c r="X231" s="15" t="n">
        <f aca="false">V231+W231-(V230+W230)</f>
        <v>0</v>
      </c>
      <c r="Y231" s="15" t="n">
        <f aca="false">P231-X231</f>
        <v>-10341.6826342593</v>
      </c>
      <c r="Z231" s="15" t="n">
        <f aca="false">R231-T231+IF(AND(Parametri_v3!$C$40=1,D231-YEAR(Parametri_v3!$C$50)&lt;Parametri_v3!$C$41),MAX(0,-Q231),0)</f>
        <v>232703.038888889</v>
      </c>
      <c r="AA231" s="15" t="n">
        <f aca="false">S231-U231+IF(AND(Parametri_v3!$C$40=1,D231-YEAR(Parametri_v3!$C$50)&lt;Parametri_v3!$C$41),0,MAX(0,-Q231))</f>
        <v>113121.934902778</v>
      </c>
      <c r="AB231" s="15" t="n">
        <f aca="false">F231*(1+Parametri_v3!$C$26)</f>
        <v>55609.125</v>
      </c>
      <c r="AC231" s="15" t="n">
        <f aca="false">(IF(47-(INT((Motore_Operativo!L231)/30))&lt;1,0,INDEX(Motore_Advisory!$AB$185:$AB$244,MAX(1,47-(INT((Motore_Operativo!L231)/30)))))*(1-(MOD((Motore_Operativo!L231),30)/30))+IF(47-(INT((Motore_Operativo!L231)/30))-1&lt;1,0,INDEX(Motore_Advisory!$AB$185:$AB$244,MAX(1,47-(INT((Motore_Operativo!L231)/30))-1)))*(MOD((Motore_Operativo!L231),30)/30))</f>
        <v>55609.125</v>
      </c>
      <c r="AD231" s="15" t="n">
        <f aca="false">(AD230)+AB231-AC231</f>
        <v>222436.5</v>
      </c>
      <c r="AE231" s="15" t="n">
        <f aca="false">Motore_Operativo!BH231*(1+Parametri_v3!$C$26)</f>
        <v>5560.9125</v>
      </c>
      <c r="AF231" s="15" t="n">
        <f aca="false">(IF(47-(INT((Parametri_v3!$C$29)/30))&lt;1,0,INDEX(Motore_Operativo!$BH$185:$BH$244,MAX(1,47-(INT((Parametri_v3!$C$29)/30)))))*(1-(MOD((Parametri_v3!$C$29),30)/30))+IF(47-(INT((Parametri_v3!$C$29)/30))-1&lt;1,0,INDEX(Motore_Operativo!$BH$185:$BH$244,MAX(1,47-(INT((Parametri_v3!$C$29)/30))-1)))*(MOD((Parametri_v3!$C$29),30)/30))*(1+Parametri_v3!$C$26)</f>
        <v>5560.9125</v>
      </c>
      <c r="AG231" s="15" t="n">
        <f aca="false">(AG230)+AE231-AF231</f>
        <v>5560.9125</v>
      </c>
      <c r="AH231" s="15" t="n">
        <f aca="false">(Motore_Operativo!CK231)*(1+Parametri_v3!$C$28*Parametri_v3!$C$26)</f>
        <v>20047.713</v>
      </c>
      <c r="AI231" s="15" t="n">
        <f aca="false">(IF(47-(INT((Ipotesi!$C$91)/30))&lt;1,0,INDEX(Motore_Advisory!$AH$185:$AH$244,MAX(1,47-(INT((Ipotesi!$C$91)/30)))))*(1-(MOD((Ipotesi!$C$91),30)/30))+IF(47-(INT((Ipotesi!$C$91)/30))-1&lt;1,0,INDEX(Motore_Advisory!$AH$185:$AH$244,MAX(1,47-(INT((Ipotesi!$C$91)/30))-1)))*(MOD((Ipotesi!$C$91),30)/30))</f>
        <v>20047.713</v>
      </c>
      <c r="AJ231" s="15" t="n">
        <f aca="false">(AJ230)+AH231-AI231</f>
        <v>40095.426</v>
      </c>
      <c r="AK231" s="15" t="n">
        <f aca="false">(F231- Motore_Operativo!BH231-(Motore_Operativo!CK231)*Parametri_v3!$C$28-Motore_Operativo!CF231)*Parametri_v3!$C$26</f>
        <v>5878.08283333334</v>
      </c>
      <c r="AL231" s="15" t="n">
        <f aca="false">MAX(0,(AM230))</f>
        <v>5878.08283333334</v>
      </c>
      <c r="AM231" s="15" t="n">
        <f aca="false">(AM230)+AK231-AL231</f>
        <v>5878.08283333334</v>
      </c>
      <c r="AN231" s="15" t="n">
        <f aca="false">SUM(X209:X220)</f>
        <v>0</v>
      </c>
      <c r="AO231" s="15" t="n">
        <f aca="false">SUM(AP209:AP220)</f>
        <v>0</v>
      </c>
      <c r="AP231" s="15" t="n">
        <f aca="false">MAX(0,AN231)*IF(11=Parametri_v3!$C$43,Parametri_v3!$C$45,IF(11=Parametri_v3!$C$44,1-Parametri_v3!$C$45,0))</f>
        <v>0</v>
      </c>
      <c r="AQ231" s="15" t="n">
        <f aca="false">MAX(0,AP231+IF(11=Parametri_v3!$C$43,MAX(0,AN231-AO231),0)-MAX(0,-(AR230)))</f>
        <v>0</v>
      </c>
      <c r="AR231" s="15" t="n">
        <f aca="false">(AR230)+X231-AQ231</f>
        <v>0</v>
      </c>
      <c r="AS231" s="15" t="n">
        <f aca="false">Motore_Operativo!AC231-AT231+AU231</f>
        <v>32137.5563729167</v>
      </c>
      <c r="AT231" s="15" t="n">
        <f aca="false">Motore_Operativo!CI231</f>
        <v>1691.45033541667</v>
      </c>
      <c r="AU231" s="15" t="n">
        <f aca="false">MIN(MAX(0,(AV230)+AT231),Parametri_v3!$C$61/12)</f>
        <v>0</v>
      </c>
      <c r="AV231" s="15" t="n">
        <f aca="false">(AV230)+AT231-AU231</f>
        <v>46585.3911895833</v>
      </c>
      <c r="AW231" s="15" t="n">
        <f aca="false">IF(AND(Motore_Operativo!C231=Finanziamenti!$D$7,Finanziamenti!$F$7=1),Finanziamenti!$C$7,0)</f>
        <v>0</v>
      </c>
      <c r="AX231" s="15" t="n">
        <f aca="false">0</f>
        <v>0</v>
      </c>
      <c r="AY231" s="15" t="n">
        <f aca="false">IF(11=Parametri_v3!$C$33,IF(BV231&lt;MIN(12,$B231-1),0,MIN(MAX(0,SUM(Y209:Y220))*Ipotesi!$C$94,MAX(0,(BM220)-(BO230)-BP231),MAX(0,BD231-Parametri_v3!$C$31))),0)</f>
        <v>0</v>
      </c>
      <c r="AZ231" s="15" t="n">
        <f aca="false">0</f>
        <v>0</v>
      </c>
      <c r="BA231" s="15" t="n">
        <f aca="false">0</f>
        <v>0</v>
      </c>
      <c r="BB231" s="15" t="n">
        <f aca="false">0</f>
        <v>0</v>
      </c>
      <c r="BC231" s="15" t="n">
        <f aca="false">0</f>
        <v>0</v>
      </c>
      <c r="BD231" s="15" t="n">
        <f aca="false">(BH230)+AC231-AF231-AI231-AS231-K231*(1+Parametri_v3!$C$26)-AL231-AQ231-O231+AW231+AX231+AZ231+BA231-BB231</f>
        <v>-459724.994602082</v>
      </c>
      <c r="BE231" s="15" t="n">
        <f aca="false">0</f>
        <v>0</v>
      </c>
      <c r="BF231" s="15" t="n">
        <f aca="false">0</f>
        <v>0</v>
      </c>
      <c r="BG231" s="15" t="n">
        <f aca="false">0</f>
        <v>0</v>
      </c>
      <c r="BH231" s="15" t="n">
        <f aca="false">BD231+BE231-BF231-AY231</f>
        <v>-459724.994602082</v>
      </c>
      <c r="BI231" s="15" t="n">
        <f aca="false">MAX(0,Parametri_v3!$C$31-BH231)</f>
        <v>469724.994602082</v>
      </c>
      <c r="BJ231" s="15" t="n">
        <f aca="false">(BJ230)+K231</f>
        <v>20333.3333333333</v>
      </c>
      <c r="BK231" s="15" t="n">
        <f aca="false">(BK230)+L231</f>
        <v>10750</v>
      </c>
      <c r="BL231" s="15" t="n">
        <f aca="false">BJ231-BK231</f>
        <v>9583.33333333333</v>
      </c>
      <c r="BM231" s="15" t="n">
        <f aca="false">(BM230)+Y231</f>
        <v>-345824.973791666</v>
      </c>
      <c r="BN231" s="15" t="n">
        <f aca="false">(BN230)+AW231+AX231+AZ231</f>
        <v>20000</v>
      </c>
      <c r="BO231" s="15" t="n">
        <f aca="false">(BO230)+AY231</f>
        <v>0</v>
      </c>
      <c r="BP231" s="15" t="n">
        <f aca="false">MIN(Parametri_v3!$C$36*Parametri_v3!$C$35,(BP230)+IF(11=1,MAX(0,SUM(Y209:Y220))*Parametri_v3!$C$34,0))</f>
        <v>0</v>
      </c>
      <c r="BQ231" s="15" t="n">
        <f aca="false">BN231+BM231-BO231</f>
        <v>-325824.973791666</v>
      </c>
      <c r="BR231" s="15" t="n">
        <f aca="false">BH231+AD231+BL231+MAX(0,-AM231)+MAX(0,-AR231)</f>
        <v>-227705.161268749</v>
      </c>
      <c r="BS231" s="15" t="n">
        <f aca="false">AJ231+AV231+MAX(0,AM231)+MAX(0,AR231)+BC231+BG231+BQ231+AG231</f>
        <v>-227705.16126875</v>
      </c>
      <c r="BT231" s="15" t="n">
        <f aca="false">BR231-BS231</f>
        <v>0</v>
      </c>
      <c r="BU231" s="15" t="n">
        <f aca="false">BH231-(BD231+BE231-BF231-AY231)</f>
        <v>0</v>
      </c>
      <c r="BV231" s="15" t="n">
        <f aca="false">IF(BH230&lt;Parametri_v3!$C$31,0,BV230+1)</f>
        <v>0</v>
      </c>
    </row>
    <row r="232" customFormat="false" ht="18" hidden="false" customHeight="true" outlineLevel="0" collapsed="false">
      <c r="A232" s="68" t="n">
        <f aca="false">4</f>
        <v>4</v>
      </c>
      <c r="B232" s="68" t="n">
        <f aca="false">48</f>
        <v>48</v>
      </c>
      <c r="C232" s="18" t="n">
        <f aca="false">Motore_Operativo!C232</f>
        <v>47818</v>
      </c>
      <c r="D232" s="68" t="n">
        <f aca="false">Motore_Operativo!D232</f>
        <v>2030</v>
      </c>
      <c r="E232" s="68" t="n">
        <f aca="false">Motore_Operativo!E232</f>
        <v>12</v>
      </c>
      <c r="F232" s="15" t="n">
        <f aca="false">Motore_Operativo!AM232</f>
        <v>45581.25</v>
      </c>
      <c r="G232" s="15" t="n">
        <f aca="false">Motore_Operativo!BH232</f>
        <v>4558.125</v>
      </c>
      <c r="H232" s="15" t="n">
        <f aca="false">Motore_Operativo!AM232</f>
        <v>45581.25</v>
      </c>
      <c r="I232" s="15" t="n">
        <f aca="false">Motore_Operativo!CB232</f>
        <v>55434.5067083333</v>
      </c>
      <c r="J232" s="15" t="n">
        <f aca="false">Motore_Operativo!CD232</f>
        <v>-9853.25670833333</v>
      </c>
      <c r="K232" s="15" t="n">
        <f aca="false">Motore_Operativo!CF232</f>
        <v>666.666666666667</v>
      </c>
      <c r="L232" s="15" t="n">
        <f aca="false">SUM(INDEX($K$185:$K$244,MAX(1,48-Parametri_v3!$C$59+1)):K232)/Parametri_v3!$C$59</f>
        <v>500</v>
      </c>
      <c r="M232" s="15" t="n">
        <f aca="false">J232-L232</f>
        <v>-10353.2567083333</v>
      </c>
      <c r="N232" s="15" t="n">
        <f aca="false">0</f>
        <v>0</v>
      </c>
      <c r="O232" s="15" t="n">
        <f aca="false">0</f>
        <v>0</v>
      </c>
      <c r="P232" s="15" t="n">
        <f aca="false">M232+N232-O232</f>
        <v>-10353.2567083333</v>
      </c>
      <c r="Q232" s="15" t="n">
        <f aca="false">SUM(P221:P232)+Parametri_v3!$C$56*12/12</f>
        <v>-123475.191611111</v>
      </c>
      <c r="R232" s="15" t="n">
        <f aca="false">Z220</f>
        <v>232703.038888889</v>
      </c>
      <c r="S232" s="15" t="n">
        <f aca="false">AA220</f>
        <v>0</v>
      </c>
      <c r="T232" s="15" t="n">
        <f aca="false">MIN(R232,MAX(0,Q232))</f>
        <v>0</v>
      </c>
      <c r="U232" s="15" t="n">
        <f aca="false">MIN(S232,MAX(0,Q232-T232)*Parametri_v3!$C$42)</f>
        <v>0</v>
      </c>
      <c r="V232" s="15" t="n">
        <f aca="false">MAX(0,Q232-T232-U232)*Ipotesi!$C$92</f>
        <v>0</v>
      </c>
      <c r="W232" s="15" t="n">
        <f aca="false">MAX(0,SUM(M221:M232)+Parametri_v3!$C$57*12/12)*Ipotesi!$C$93</f>
        <v>0</v>
      </c>
      <c r="X232" s="15" t="n">
        <f aca="false">V232+W232-(V231+W231)</f>
        <v>0</v>
      </c>
      <c r="Y232" s="15" t="n">
        <f aca="false">P232-X232</f>
        <v>-10353.2567083333</v>
      </c>
      <c r="Z232" s="15" t="n">
        <f aca="false">R232-T232+IF(AND(Parametri_v3!$C$40=1,D232-YEAR(Parametri_v3!$C$50)&lt;Parametri_v3!$C$41),MAX(0,-Q232),0)</f>
        <v>232703.038888889</v>
      </c>
      <c r="AA232" s="15" t="n">
        <f aca="false">S232-U232+IF(AND(Parametri_v3!$C$40=1,D232-YEAR(Parametri_v3!$C$50)&lt;Parametri_v3!$C$41),0,MAX(0,-Q232))</f>
        <v>123475.191611111</v>
      </c>
      <c r="AB232" s="15" t="n">
        <f aca="false">F232*(1+Parametri_v3!$C$26)</f>
        <v>55609.125</v>
      </c>
      <c r="AC232" s="15" t="n">
        <f aca="false">(IF(48-(INT((Motore_Operativo!L232)/30))&lt;1,0,INDEX(Motore_Advisory!$AB$185:$AB$244,MAX(1,48-(INT((Motore_Operativo!L232)/30)))))*(1-(MOD((Motore_Operativo!L232),30)/30))+IF(48-(INT((Motore_Operativo!L232)/30))-1&lt;1,0,INDEX(Motore_Advisory!$AB$185:$AB$244,MAX(1,48-(INT((Motore_Operativo!L232)/30))-1)))*(MOD((Motore_Operativo!L232),30)/30))</f>
        <v>55609.125</v>
      </c>
      <c r="AD232" s="15" t="n">
        <f aca="false">(AD231)+AB232-AC232</f>
        <v>222436.5</v>
      </c>
      <c r="AE232" s="15" t="n">
        <f aca="false">Motore_Operativo!BH232*(1+Parametri_v3!$C$26)</f>
        <v>5560.9125</v>
      </c>
      <c r="AF232" s="15" t="n">
        <f aca="false">(IF(48-(INT((Parametri_v3!$C$29)/30))&lt;1,0,INDEX(Motore_Operativo!$BH$185:$BH$244,MAX(1,48-(INT((Parametri_v3!$C$29)/30)))))*(1-(MOD((Parametri_v3!$C$29),30)/30))+IF(48-(INT((Parametri_v3!$C$29)/30))-1&lt;1,0,INDEX(Motore_Operativo!$BH$185:$BH$244,MAX(1,48-(INT((Parametri_v3!$C$29)/30))-1)))*(MOD((Parametri_v3!$C$29),30)/30))*(1+Parametri_v3!$C$26)</f>
        <v>5560.9125</v>
      </c>
      <c r="AG232" s="15" t="n">
        <f aca="false">(AG231)+AE232-AF232</f>
        <v>5560.9125</v>
      </c>
      <c r="AH232" s="15" t="n">
        <f aca="false">(Motore_Operativo!CK232)*(1+Parametri_v3!$C$28*Parametri_v3!$C$26)</f>
        <v>20047.713</v>
      </c>
      <c r="AI232" s="15" t="n">
        <f aca="false">(IF(48-(INT((Ipotesi!$C$91)/30))&lt;1,0,INDEX(Motore_Advisory!$AH$185:$AH$244,MAX(1,48-(INT((Ipotesi!$C$91)/30)))))*(1-(MOD((Ipotesi!$C$91),30)/30))+IF(48-(INT((Ipotesi!$C$91)/30))-1&lt;1,0,INDEX(Motore_Advisory!$AH$185:$AH$244,MAX(1,48-(INT((Ipotesi!$C$91)/30))-1)))*(MOD((Ipotesi!$C$91),30)/30))</f>
        <v>20047.713</v>
      </c>
      <c r="AJ232" s="15" t="n">
        <f aca="false">(AJ231)+AH232-AI232</f>
        <v>40095.426</v>
      </c>
      <c r="AK232" s="15" t="n">
        <f aca="false">(F232- Motore_Operativo!BH232-(Motore_Operativo!CK232)*Parametri_v3!$C$28-Motore_Operativo!CF232)*Parametri_v3!$C$26</f>
        <v>5878.08283333334</v>
      </c>
      <c r="AL232" s="15" t="n">
        <f aca="false">MAX(0,(AM231))</f>
        <v>5878.08283333334</v>
      </c>
      <c r="AM232" s="15" t="n">
        <f aca="false">(AM231)+AK232-AL232</f>
        <v>5878.08283333334</v>
      </c>
      <c r="AN232" s="15" t="n">
        <f aca="false">SUM(X209:X220)</f>
        <v>0</v>
      </c>
      <c r="AO232" s="15" t="n">
        <f aca="false">SUM(AP209:AP220)</f>
        <v>0</v>
      </c>
      <c r="AP232" s="15" t="n">
        <f aca="false">MAX(0,AN232)*IF(12=Parametri_v3!$C$43,Parametri_v3!$C$45,IF(12=Parametri_v3!$C$44,1-Parametri_v3!$C$45,0))</f>
        <v>0</v>
      </c>
      <c r="AQ232" s="15" t="n">
        <f aca="false">MAX(0,AP232+IF(12=Parametri_v3!$C$43,MAX(0,AN232-AO232),0)-MAX(0,-(AR231)))</f>
        <v>0</v>
      </c>
      <c r="AR232" s="15" t="n">
        <f aca="false">(AR231)+X232-AQ232</f>
        <v>0</v>
      </c>
      <c r="AS232" s="15" t="n">
        <f aca="false">Motore_Operativo!AC232-AT232+AU232</f>
        <v>32137.5563729167</v>
      </c>
      <c r="AT232" s="15" t="n">
        <f aca="false">Motore_Operativo!CI232</f>
        <v>1691.45033541667</v>
      </c>
      <c r="AU232" s="15" t="n">
        <f aca="false">MIN(MAX(0,(AV231)+AT232),Parametri_v3!$C$61/12)</f>
        <v>0</v>
      </c>
      <c r="AV232" s="15" t="n">
        <f aca="false">(AV231)+AT232-AU232</f>
        <v>48276.841525</v>
      </c>
      <c r="AW232" s="15" t="n">
        <f aca="false">IF(AND(Motore_Operativo!C232=Finanziamenti!$D$7,Finanziamenti!$F$7=1),Finanziamenti!$C$7,0)</f>
        <v>0</v>
      </c>
      <c r="AX232" s="15" t="n">
        <f aca="false">0</f>
        <v>0</v>
      </c>
      <c r="AY232" s="15" t="n">
        <f aca="false">IF(12=Parametri_v3!$C$33,IF(BV232&lt;MIN(12,$B232-1),0,MIN(MAX(0,SUM(Y209:Y220))*Ipotesi!$C$94,MAX(0,(BM220)-(BO231)-BP232),MAX(0,BD232-Parametri_v3!$C$31))),0)</f>
        <v>0</v>
      </c>
      <c r="AZ232" s="15" t="n">
        <f aca="false">0</f>
        <v>0</v>
      </c>
      <c r="BA232" s="15" t="n">
        <f aca="false">0</f>
        <v>0</v>
      </c>
      <c r="BB232" s="15" t="n">
        <f aca="false">0</f>
        <v>0</v>
      </c>
      <c r="BC232" s="15" t="n">
        <f aca="false">0</f>
        <v>0</v>
      </c>
      <c r="BD232" s="15" t="n">
        <f aca="false">(BH231)+AC232-AF232-AI232-AS232-K232*(1+Parametri_v3!$C$26)-AL232-AQ232-O232+AW232+AX232+AZ232+BA232-BB232</f>
        <v>-468553.467641666</v>
      </c>
      <c r="BE232" s="15" t="n">
        <f aca="false">0</f>
        <v>0</v>
      </c>
      <c r="BF232" s="15" t="n">
        <f aca="false">0</f>
        <v>0</v>
      </c>
      <c r="BG232" s="15" t="n">
        <f aca="false">0</f>
        <v>0</v>
      </c>
      <c r="BH232" s="15" t="n">
        <f aca="false">BD232+BE232-BF232-AY232</f>
        <v>-468553.467641666</v>
      </c>
      <c r="BI232" s="15" t="n">
        <f aca="false">MAX(0,Parametri_v3!$C$31-BH232)</f>
        <v>478553.467641666</v>
      </c>
      <c r="BJ232" s="15" t="n">
        <f aca="false">(BJ231)+K232</f>
        <v>21000</v>
      </c>
      <c r="BK232" s="15" t="n">
        <f aca="false">(BK231)+L232</f>
        <v>11250</v>
      </c>
      <c r="BL232" s="15" t="n">
        <f aca="false">BJ232-BK232</f>
        <v>9750</v>
      </c>
      <c r="BM232" s="15" t="n">
        <f aca="false">(BM231)+Y232</f>
        <v>-356178.2305</v>
      </c>
      <c r="BN232" s="15" t="n">
        <f aca="false">(BN231)+AW232+AX232+AZ232</f>
        <v>20000</v>
      </c>
      <c r="BO232" s="15" t="n">
        <f aca="false">(BO231)+AY232</f>
        <v>0</v>
      </c>
      <c r="BP232" s="15" t="n">
        <f aca="false">MIN(Parametri_v3!$C$36*Parametri_v3!$C$35,(BP231)+IF(12=1,MAX(0,SUM(Y209:Y220))*Parametri_v3!$C$34,0))</f>
        <v>0</v>
      </c>
      <c r="BQ232" s="15" t="n">
        <f aca="false">BN232+BM232-BO232</f>
        <v>-336178.2305</v>
      </c>
      <c r="BR232" s="15" t="n">
        <f aca="false">BH232+AD232+BL232+MAX(0,-AM232)+MAX(0,-AR232)</f>
        <v>-236366.967641666</v>
      </c>
      <c r="BS232" s="15" t="n">
        <f aca="false">AJ232+AV232+MAX(0,AM232)+MAX(0,AR232)+BC232+BG232+BQ232+AG232</f>
        <v>-236366.967641666</v>
      </c>
      <c r="BT232" s="15" t="n">
        <f aca="false">BR232-BS232</f>
        <v>0</v>
      </c>
      <c r="BU232" s="15" t="n">
        <f aca="false">BH232-(BD232+BE232-BF232-AY232)</f>
        <v>0</v>
      </c>
      <c r="BV232" s="15" t="n">
        <f aca="false">IF(BH231&lt;Parametri_v3!$C$31,0,BV231+1)</f>
        <v>0</v>
      </c>
    </row>
    <row r="233" customFormat="false" ht="18" hidden="false" customHeight="true" outlineLevel="0" collapsed="false">
      <c r="A233" s="68" t="n">
        <f aca="false">4</f>
        <v>4</v>
      </c>
      <c r="B233" s="68" t="n">
        <f aca="false">49</f>
        <v>49</v>
      </c>
      <c r="C233" s="18" t="n">
        <f aca="false">Motore_Operativo!C233</f>
        <v>47849</v>
      </c>
      <c r="D233" s="68" t="n">
        <f aca="false">Motore_Operativo!D233</f>
        <v>2031</v>
      </c>
      <c r="E233" s="68" t="n">
        <f aca="false">Motore_Operativo!E233</f>
        <v>1</v>
      </c>
      <c r="F233" s="15" t="n">
        <f aca="false">Motore_Operativo!AM233</f>
        <v>57399.375</v>
      </c>
      <c r="G233" s="15" t="n">
        <f aca="false">Motore_Operativo!BH233</f>
        <v>5739.9375</v>
      </c>
      <c r="H233" s="15" t="n">
        <f aca="false">Motore_Operativo!AM233</f>
        <v>57399.375</v>
      </c>
      <c r="I233" s="15" t="n">
        <f aca="false">Motore_Operativo!CB233</f>
        <v>70256.0389275</v>
      </c>
      <c r="J233" s="15" t="n">
        <f aca="false">Motore_Operativo!CD233</f>
        <v>-12856.6639275</v>
      </c>
      <c r="K233" s="15" t="n">
        <f aca="false">Motore_Operativo!CF233</f>
        <v>666.666666666667</v>
      </c>
      <c r="L233" s="15" t="n">
        <f aca="false">SUM(INDEX($K$185:$K$244,MAX(1,49-Parametri_v3!$C$59+1)):K233)/Parametri_v3!$C$59</f>
        <v>506.944444444444</v>
      </c>
      <c r="M233" s="15" t="n">
        <f aca="false">J233-L233</f>
        <v>-13363.6083719444</v>
      </c>
      <c r="N233" s="15" t="n">
        <f aca="false">0</f>
        <v>0</v>
      </c>
      <c r="O233" s="15" t="n">
        <f aca="false">0</f>
        <v>0</v>
      </c>
      <c r="P233" s="15" t="n">
        <f aca="false">M233+N233-O233</f>
        <v>-13363.6083719444</v>
      </c>
      <c r="Q233" s="15" t="n">
        <f aca="false">SUM(P233)+Parametri_v3!$C$56*1/12</f>
        <v>-13363.6083719444</v>
      </c>
      <c r="R233" s="15" t="n">
        <f aca="false">Z232</f>
        <v>232703.038888889</v>
      </c>
      <c r="S233" s="15" t="n">
        <f aca="false">AA232</f>
        <v>123475.191611111</v>
      </c>
      <c r="T233" s="15" t="n">
        <f aca="false">MIN(R233,MAX(0,Q233))</f>
        <v>0</v>
      </c>
      <c r="U233" s="15" t="n">
        <f aca="false">MIN(S233,MAX(0,Q233-T233)*Parametri_v3!$C$42)</f>
        <v>0</v>
      </c>
      <c r="V233" s="15" t="n">
        <f aca="false">MAX(0,Q233-T233-U233)*Ipotesi!$C$92</f>
        <v>0</v>
      </c>
      <c r="W233" s="15" t="n">
        <f aca="false">MAX(0,SUM(M233)+Parametri_v3!$C$57*1/12)*Ipotesi!$C$93</f>
        <v>0</v>
      </c>
      <c r="X233" s="15" t="n">
        <f aca="false">V233+W233-(0)</f>
        <v>0</v>
      </c>
      <c r="Y233" s="15" t="n">
        <f aca="false">P233-X233</f>
        <v>-13363.6083719444</v>
      </c>
      <c r="Z233" s="15" t="n">
        <f aca="false">R233-T233+IF(AND(Parametri_v3!$C$40=1,D233-YEAR(Parametri_v3!$C$50)&lt;Parametri_v3!$C$41),MAX(0,-Q233),0)</f>
        <v>232703.038888889</v>
      </c>
      <c r="AA233" s="15" t="n">
        <f aca="false">S233-U233+IF(AND(Parametri_v3!$C$40=1,D233-YEAR(Parametri_v3!$C$50)&lt;Parametri_v3!$C$41),0,MAX(0,-Q233))</f>
        <v>136838.799983055</v>
      </c>
      <c r="AB233" s="15" t="n">
        <f aca="false">F233*(1+Parametri_v3!$C$26)</f>
        <v>70027.2375</v>
      </c>
      <c r="AC233" s="15" t="n">
        <f aca="false">(IF(49-(INT((Motore_Operativo!L233)/30))&lt;1,0,INDEX(Motore_Advisory!$AB$185:$AB$244,MAX(1,49-(INT((Motore_Operativo!L233)/30)))))*(1-(MOD((Motore_Operativo!L233),30)/30))+IF(49-(INT((Motore_Operativo!L233)/30))-1&lt;1,0,INDEX(Motore_Advisory!$AB$185:$AB$244,MAX(1,49-(INT((Motore_Operativo!L233)/30))-1)))*(MOD((Motore_Operativo!L233),30)/30))</f>
        <v>55609.125</v>
      </c>
      <c r="AD233" s="15" t="n">
        <f aca="false">(AD232)+AB233-AC233</f>
        <v>236854.6125</v>
      </c>
      <c r="AE233" s="15" t="n">
        <f aca="false">Motore_Operativo!BH233*(1+Parametri_v3!$C$26)</f>
        <v>7002.72375</v>
      </c>
      <c r="AF233" s="15" t="n">
        <f aca="false">(IF(49-(INT((Parametri_v3!$C$29)/30))&lt;1,0,INDEX(Motore_Operativo!$BH$185:$BH$244,MAX(1,49-(INT((Parametri_v3!$C$29)/30)))))*(1-(MOD((Parametri_v3!$C$29),30)/30))+IF(49-(INT((Parametri_v3!$C$29)/30))-1&lt;1,0,INDEX(Motore_Operativo!$BH$185:$BH$244,MAX(1,49-(INT((Parametri_v3!$C$29)/30))-1)))*(MOD((Parametri_v3!$C$29),30)/30))*(1+Parametri_v3!$C$26)</f>
        <v>5560.9125</v>
      </c>
      <c r="AG233" s="15" t="n">
        <f aca="false">(AG232)+AE233-AF233</f>
        <v>7002.72375</v>
      </c>
      <c r="AH233" s="15" t="n">
        <f aca="false">(Motore_Operativo!CK233)*(1+Parametri_v3!$C$28*Parametri_v3!$C$26)</f>
        <v>23699.0999</v>
      </c>
      <c r="AI233" s="15" t="n">
        <f aca="false">(IF(49-(INT((Ipotesi!$C$91)/30))&lt;1,0,INDEX(Motore_Advisory!$AH$185:$AH$244,MAX(1,49-(INT((Ipotesi!$C$91)/30)))))*(1-(MOD((Ipotesi!$C$91),30)/30))+IF(49-(INT((Ipotesi!$C$91)/30))-1&lt;1,0,INDEX(Motore_Advisory!$AH$185:$AH$244,MAX(1,49-(INT((Ipotesi!$C$91)/30))-1)))*(MOD((Ipotesi!$C$91),30)/30))</f>
        <v>20047.713</v>
      </c>
      <c r="AJ233" s="15" t="n">
        <f aca="false">(AJ232)+AH233-AI233</f>
        <v>43746.8129</v>
      </c>
      <c r="AK233" s="15" t="n">
        <f aca="false">(F233- Motore_Operativo!BH233-(Motore_Operativo!CK233)*Parametri_v3!$C$28-Motore_Operativo!CF233)*Parametri_v3!$C$26</f>
        <v>7671.60551666667</v>
      </c>
      <c r="AL233" s="15" t="n">
        <f aca="false">MAX(0,(AM232))</f>
        <v>5878.08283333334</v>
      </c>
      <c r="AM233" s="15" t="n">
        <f aca="false">(AM232)+AK233-AL233</f>
        <v>7671.60551666667</v>
      </c>
      <c r="AN233" s="15" t="n">
        <f aca="false">SUM(X221:X232)</f>
        <v>0</v>
      </c>
      <c r="AO233" s="15" t="n">
        <f aca="false">SUM(AP221:AP232)</f>
        <v>0</v>
      </c>
      <c r="AP233" s="15" t="n">
        <f aca="false">MAX(0,AN233)*IF(1=Parametri_v3!$C$43,Parametri_v3!$C$45,IF(1=Parametri_v3!$C$44,1-Parametri_v3!$C$45,0))</f>
        <v>0</v>
      </c>
      <c r="AQ233" s="15" t="n">
        <f aca="false">MAX(0,AP233+IF(1=Parametri_v3!$C$43,MAX(0,AN233-AO233),0)-MAX(0,-(AR232)))</f>
        <v>0</v>
      </c>
      <c r="AR233" s="15" t="n">
        <f aca="false">(AR232)+X233-AQ233</f>
        <v>0</v>
      </c>
      <c r="AS233" s="15" t="n">
        <f aca="false">Motore_Operativo!AC233-AT233+AU233</f>
        <v>42145.6153144583</v>
      </c>
      <c r="AT233" s="15" t="n">
        <f aca="false">Motore_Operativo!CI233</f>
        <v>2218.19027970833</v>
      </c>
      <c r="AU233" s="15" t="n">
        <f aca="false">MIN(MAX(0,(AV232)+AT233),Parametri_v3!$C$61/12)</f>
        <v>0</v>
      </c>
      <c r="AV233" s="15" t="n">
        <f aca="false">(AV232)+AT233-AU233</f>
        <v>50495.0318047083</v>
      </c>
      <c r="AW233" s="15" t="n">
        <f aca="false">IF(AND(Motore_Operativo!C233=Finanziamenti!$D$7,Finanziamenti!$F$7=1),Finanziamenti!$C$7,0)</f>
        <v>0</v>
      </c>
      <c r="AX233" s="15" t="n">
        <f aca="false">0</f>
        <v>0</v>
      </c>
      <c r="AY233" s="15" t="n">
        <f aca="false">IF(1=Parametri_v3!$C$33,IF(BV233&lt;MIN(12,$B233-1),0,MIN(MAX(0,SUM(Y221:Y232))*Ipotesi!$C$94,MAX(0,(BM232)-(BO232)-BP233),MAX(0,BD233-Parametri_v3!$C$31))),0)</f>
        <v>0</v>
      </c>
      <c r="AZ233" s="15" t="n">
        <f aca="false">0</f>
        <v>0</v>
      </c>
      <c r="BA233" s="15" t="n">
        <f aca="false">0</f>
        <v>0</v>
      </c>
      <c r="BB233" s="15" t="n">
        <f aca="false">0</f>
        <v>0</v>
      </c>
      <c r="BC233" s="15" t="n">
        <f aca="false">0</f>
        <v>0</v>
      </c>
      <c r="BD233" s="15" t="n">
        <f aca="false">(BH232)+AC233-AF233-AI233-AS233-K233*(1+Parametri_v3!$C$26)-AL233-AQ233-O233+AW233+AX233+AZ233+BA233-BB233</f>
        <v>-487389.999622791</v>
      </c>
      <c r="BE233" s="15" t="n">
        <f aca="false">0</f>
        <v>0</v>
      </c>
      <c r="BF233" s="15" t="n">
        <f aca="false">0</f>
        <v>0</v>
      </c>
      <c r="BG233" s="15" t="n">
        <f aca="false">0</f>
        <v>0</v>
      </c>
      <c r="BH233" s="15" t="n">
        <f aca="false">BD233+BE233-BF233-AY233</f>
        <v>-487389.999622791</v>
      </c>
      <c r="BI233" s="15" t="n">
        <f aca="false">MAX(0,Parametri_v3!$C$31-BH233)</f>
        <v>497389.999622791</v>
      </c>
      <c r="BJ233" s="15" t="n">
        <f aca="false">(BJ232)+K233</f>
        <v>21666.6666666667</v>
      </c>
      <c r="BK233" s="15" t="n">
        <f aca="false">(BK232)+L233</f>
        <v>11756.9444444444</v>
      </c>
      <c r="BL233" s="15" t="n">
        <f aca="false">BJ233-BK233</f>
        <v>9909.72222222222</v>
      </c>
      <c r="BM233" s="15" t="n">
        <f aca="false">(BM232)+Y233</f>
        <v>-369541.838871944</v>
      </c>
      <c r="BN233" s="15" t="n">
        <f aca="false">(BN232)+AW233+AX233+AZ233</f>
        <v>20000</v>
      </c>
      <c r="BO233" s="15" t="n">
        <f aca="false">(BO232)+AY233</f>
        <v>0</v>
      </c>
      <c r="BP233" s="15" t="n">
        <f aca="false">MIN(Parametri_v3!$C$36*Parametri_v3!$C$35,(BP232)+IF(1=1,MAX(0,SUM(Y221:Y232))*Parametri_v3!$C$34,0))</f>
        <v>0</v>
      </c>
      <c r="BQ233" s="15" t="n">
        <f aca="false">BN233+BM233-BO233</f>
        <v>-349541.838871944</v>
      </c>
      <c r="BR233" s="15" t="n">
        <f aca="false">BH233+AD233+BL233+MAX(0,-AM233)+MAX(0,-AR233)</f>
        <v>-240625.664900568</v>
      </c>
      <c r="BS233" s="15" t="n">
        <f aca="false">AJ233+AV233+MAX(0,AM233)+MAX(0,AR233)+BC233+BG233+BQ233+AG233</f>
        <v>-240625.664900569</v>
      </c>
      <c r="BT233" s="15" t="n">
        <f aca="false">BR233-BS233</f>
        <v>0</v>
      </c>
      <c r="BU233" s="15" t="n">
        <f aca="false">BH233-(BD233+BE233-BF233-AY233)</f>
        <v>0</v>
      </c>
      <c r="BV233" s="15" t="n">
        <f aca="false">IF(BH232&lt;Parametri_v3!$C$31,0,BV232+1)</f>
        <v>0</v>
      </c>
    </row>
    <row r="234" customFormat="false" ht="18" hidden="false" customHeight="true" outlineLevel="0" collapsed="false">
      <c r="A234" s="68" t="n">
        <f aca="false">4</f>
        <v>4</v>
      </c>
      <c r="B234" s="68" t="n">
        <f aca="false">50</f>
        <v>50</v>
      </c>
      <c r="C234" s="18" t="n">
        <f aca="false">Motore_Operativo!C234</f>
        <v>47880</v>
      </c>
      <c r="D234" s="68" t="n">
        <f aca="false">Motore_Operativo!D234</f>
        <v>2031</v>
      </c>
      <c r="E234" s="68" t="n">
        <f aca="false">Motore_Operativo!E234</f>
        <v>2</v>
      </c>
      <c r="F234" s="15" t="n">
        <f aca="false">Motore_Operativo!AM234</f>
        <v>57399.375</v>
      </c>
      <c r="G234" s="15" t="n">
        <f aca="false">Motore_Operativo!BH234</f>
        <v>5739.9375</v>
      </c>
      <c r="H234" s="15" t="n">
        <f aca="false">Motore_Operativo!AM234</f>
        <v>57399.375</v>
      </c>
      <c r="I234" s="15" t="n">
        <f aca="false">Motore_Operativo!CB234</f>
        <v>70256.0389275</v>
      </c>
      <c r="J234" s="15" t="n">
        <f aca="false">Motore_Operativo!CD234</f>
        <v>-12856.6639275</v>
      </c>
      <c r="K234" s="15" t="n">
        <f aca="false">Motore_Operativo!CF234</f>
        <v>666.666666666667</v>
      </c>
      <c r="L234" s="15" t="n">
        <f aca="false">SUM(INDEX($K$185:$K$244,MAX(1,50-Parametri_v3!$C$59+1)):K234)/Parametri_v3!$C$59</f>
        <v>513.888888888889</v>
      </c>
      <c r="M234" s="15" t="n">
        <f aca="false">J234-L234</f>
        <v>-13370.5528163889</v>
      </c>
      <c r="N234" s="15" t="n">
        <f aca="false">0</f>
        <v>0</v>
      </c>
      <c r="O234" s="15" t="n">
        <f aca="false">0</f>
        <v>0</v>
      </c>
      <c r="P234" s="15" t="n">
        <f aca="false">M234+N234-O234</f>
        <v>-13370.5528163889</v>
      </c>
      <c r="Q234" s="15" t="n">
        <f aca="false">SUM(P233:P234)+Parametri_v3!$C$56*2/12</f>
        <v>-26734.1611883333</v>
      </c>
      <c r="R234" s="15" t="n">
        <f aca="false">Z232</f>
        <v>232703.038888889</v>
      </c>
      <c r="S234" s="15" t="n">
        <f aca="false">AA232</f>
        <v>123475.191611111</v>
      </c>
      <c r="T234" s="15" t="n">
        <f aca="false">MIN(R234,MAX(0,Q234))</f>
        <v>0</v>
      </c>
      <c r="U234" s="15" t="n">
        <f aca="false">MIN(S234,MAX(0,Q234-T234)*Parametri_v3!$C$42)</f>
        <v>0</v>
      </c>
      <c r="V234" s="15" t="n">
        <f aca="false">MAX(0,Q234-T234-U234)*Ipotesi!$C$92</f>
        <v>0</v>
      </c>
      <c r="W234" s="15" t="n">
        <f aca="false">MAX(0,SUM(M233:M234)+Parametri_v3!$C$57*2/12)*Ipotesi!$C$93</f>
        <v>0</v>
      </c>
      <c r="X234" s="15" t="n">
        <f aca="false">V234+W234-(V233+W233)</f>
        <v>0</v>
      </c>
      <c r="Y234" s="15" t="n">
        <f aca="false">P234-X234</f>
        <v>-13370.5528163889</v>
      </c>
      <c r="Z234" s="15" t="n">
        <f aca="false">R234-T234+IF(AND(Parametri_v3!$C$40=1,D234-YEAR(Parametri_v3!$C$50)&lt;Parametri_v3!$C$41),MAX(0,-Q234),0)</f>
        <v>232703.038888889</v>
      </c>
      <c r="AA234" s="15" t="n">
        <f aca="false">S234-U234+IF(AND(Parametri_v3!$C$40=1,D234-YEAR(Parametri_v3!$C$50)&lt;Parametri_v3!$C$41),0,MAX(0,-Q234))</f>
        <v>150209.352799444</v>
      </c>
      <c r="AB234" s="15" t="n">
        <f aca="false">F234*(1+Parametri_v3!$C$26)</f>
        <v>70027.2375</v>
      </c>
      <c r="AC234" s="15" t="n">
        <f aca="false">(IF(50-(INT((Motore_Operativo!L234)/30))&lt;1,0,INDEX(Motore_Advisory!$AB$185:$AB$244,MAX(1,50-(INT((Motore_Operativo!L234)/30)))))*(1-(MOD((Motore_Operativo!L234),30)/30))+IF(50-(INT((Motore_Operativo!L234)/30))-1&lt;1,0,INDEX(Motore_Advisory!$AB$185:$AB$244,MAX(1,50-(INT((Motore_Operativo!L234)/30))-1)))*(MOD((Motore_Operativo!L234),30)/30))</f>
        <v>55609.125</v>
      </c>
      <c r="AD234" s="15" t="n">
        <f aca="false">(AD233)+AB234-AC234</f>
        <v>251272.725</v>
      </c>
      <c r="AE234" s="15" t="n">
        <f aca="false">Motore_Operativo!BH234*(1+Parametri_v3!$C$26)</f>
        <v>7002.72375</v>
      </c>
      <c r="AF234" s="15" t="n">
        <f aca="false">(IF(50-(INT((Parametri_v3!$C$29)/30))&lt;1,0,INDEX(Motore_Operativo!$BH$185:$BH$244,MAX(1,50-(INT((Parametri_v3!$C$29)/30)))))*(1-(MOD((Parametri_v3!$C$29),30)/30))+IF(50-(INT((Parametri_v3!$C$29)/30))-1&lt;1,0,INDEX(Motore_Operativo!$BH$185:$BH$244,MAX(1,50-(INT((Parametri_v3!$C$29)/30))-1)))*(MOD((Parametri_v3!$C$29),30)/30))*(1+Parametri_v3!$C$26)</f>
        <v>7002.72375</v>
      </c>
      <c r="AG234" s="15" t="n">
        <f aca="false">(AG233)+AE234-AF234</f>
        <v>7002.72375</v>
      </c>
      <c r="AH234" s="15" t="n">
        <f aca="false">(Motore_Operativo!CK234)*(1+Parametri_v3!$C$28*Parametri_v3!$C$26)</f>
        <v>23699.0999</v>
      </c>
      <c r="AI234" s="15" t="n">
        <f aca="false">(IF(50-(INT((Ipotesi!$C$91)/30))&lt;1,0,INDEX(Motore_Advisory!$AH$185:$AH$244,MAX(1,50-(INT((Ipotesi!$C$91)/30)))))*(1-(MOD((Ipotesi!$C$91),30)/30))+IF(50-(INT((Ipotesi!$C$91)/30))-1&lt;1,0,INDEX(Motore_Advisory!$AH$185:$AH$244,MAX(1,50-(INT((Ipotesi!$C$91)/30))-1)))*(MOD((Ipotesi!$C$91),30)/30))</f>
        <v>20047.713</v>
      </c>
      <c r="AJ234" s="15" t="n">
        <f aca="false">(AJ233)+AH234-AI234</f>
        <v>47398.1998</v>
      </c>
      <c r="AK234" s="15" t="n">
        <f aca="false">(F234- Motore_Operativo!BH234-(Motore_Operativo!CK234)*Parametri_v3!$C$28-Motore_Operativo!CF234)*Parametri_v3!$C$26</f>
        <v>7671.60551666667</v>
      </c>
      <c r="AL234" s="15" t="n">
        <f aca="false">MAX(0,(AM233))</f>
        <v>7671.60551666667</v>
      </c>
      <c r="AM234" s="15" t="n">
        <f aca="false">(AM233)+AK234-AL234</f>
        <v>7671.60551666667</v>
      </c>
      <c r="AN234" s="15" t="n">
        <f aca="false">SUM(X221:X232)</f>
        <v>0</v>
      </c>
      <c r="AO234" s="15" t="n">
        <f aca="false">SUM(AP221:AP232)</f>
        <v>0</v>
      </c>
      <c r="AP234" s="15" t="n">
        <f aca="false">MAX(0,AN234)*IF(2=Parametri_v3!$C$43,Parametri_v3!$C$45,IF(2=Parametri_v3!$C$44,1-Parametri_v3!$C$45,0))</f>
        <v>0</v>
      </c>
      <c r="AQ234" s="15" t="n">
        <f aca="false">MAX(0,AP234+IF(2=Parametri_v3!$C$43,MAX(0,AN234-AO234),0)-MAX(0,-(AR233)))</f>
        <v>0</v>
      </c>
      <c r="AR234" s="15" t="n">
        <f aca="false">(AR233)+X234-AQ234</f>
        <v>0</v>
      </c>
      <c r="AS234" s="15" t="n">
        <f aca="false">Motore_Operativo!AC234-AT234+AU234</f>
        <v>42145.6153144583</v>
      </c>
      <c r="AT234" s="15" t="n">
        <f aca="false">Motore_Operativo!CI234</f>
        <v>2218.19027970833</v>
      </c>
      <c r="AU234" s="15" t="n">
        <f aca="false">MIN(MAX(0,(AV233)+AT234),Parametri_v3!$C$61/12)</f>
        <v>0</v>
      </c>
      <c r="AV234" s="15" t="n">
        <f aca="false">(AV233)+AT234-AU234</f>
        <v>52713.2220844167</v>
      </c>
      <c r="AW234" s="15" t="n">
        <f aca="false">IF(AND(Motore_Operativo!C234=Finanziamenti!$D$7,Finanziamenti!$F$7=1),Finanziamenti!$C$7,0)</f>
        <v>0</v>
      </c>
      <c r="AX234" s="15" t="n">
        <f aca="false">0</f>
        <v>0</v>
      </c>
      <c r="AY234" s="15" t="n">
        <f aca="false">IF(2=Parametri_v3!$C$33,IF(BV234&lt;MIN(12,$B234-1),0,MIN(MAX(0,SUM(Y221:Y232))*Ipotesi!$C$94,MAX(0,(BM232)-(BO233)-BP234),MAX(0,BD234-Parametri_v3!$C$31))),0)</f>
        <v>0</v>
      </c>
      <c r="AZ234" s="15" t="n">
        <f aca="false">0</f>
        <v>0</v>
      </c>
      <c r="BA234" s="15" t="n">
        <f aca="false">0</f>
        <v>0</v>
      </c>
      <c r="BB234" s="15" t="n">
        <f aca="false">0</f>
        <v>0</v>
      </c>
      <c r="BC234" s="15" t="n">
        <f aca="false">0</f>
        <v>0</v>
      </c>
      <c r="BD234" s="15" t="n">
        <f aca="false">(BH233)+AC234-AF234-AI234-AS234-K234*(1+Parametri_v3!$C$26)-AL234-AQ234-O234+AW234+AX234+AZ234+BA234-BB234</f>
        <v>-509461.865537249</v>
      </c>
      <c r="BE234" s="15" t="n">
        <f aca="false">0</f>
        <v>0</v>
      </c>
      <c r="BF234" s="15" t="n">
        <f aca="false">0</f>
        <v>0</v>
      </c>
      <c r="BG234" s="15" t="n">
        <f aca="false">0</f>
        <v>0</v>
      </c>
      <c r="BH234" s="15" t="n">
        <f aca="false">BD234+BE234-BF234-AY234</f>
        <v>-509461.865537249</v>
      </c>
      <c r="BI234" s="15" t="n">
        <f aca="false">MAX(0,Parametri_v3!$C$31-BH234)</f>
        <v>519461.865537249</v>
      </c>
      <c r="BJ234" s="15" t="n">
        <f aca="false">(BJ233)+K234</f>
        <v>22333.3333333333</v>
      </c>
      <c r="BK234" s="15" t="n">
        <f aca="false">(BK233)+L234</f>
        <v>12270.8333333333</v>
      </c>
      <c r="BL234" s="15" t="n">
        <f aca="false">BJ234-BK234</f>
        <v>10062.5</v>
      </c>
      <c r="BM234" s="15" t="n">
        <f aca="false">(BM233)+Y234</f>
        <v>-382912.391688333</v>
      </c>
      <c r="BN234" s="15" t="n">
        <f aca="false">(BN233)+AW234+AX234+AZ234</f>
        <v>20000</v>
      </c>
      <c r="BO234" s="15" t="n">
        <f aca="false">(BO233)+AY234</f>
        <v>0</v>
      </c>
      <c r="BP234" s="15" t="n">
        <f aca="false">MIN(Parametri_v3!$C$36*Parametri_v3!$C$35,(BP233)+IF(2=1,MAX(0,SUM(Y221:Y232))*Parametri_v3!$C$34,0))</f>
        <v>0</v>
      </c>
      <c r="BQ234" s="15" t="n">
        <f aca="false">BN234+BM234-BO234</f>
        <v>-362912.391688333</v>
      </c>
      <c r="BR234" s="15" t="n">
        <f aca="false">BH234+AD234+BL234+MAX(0,-AM234)+MAX(0,-AR234)</f>
        <v>-248126.640537249</v>
      </c>
      <c r="BS234" s="15" t="n">
        <f aca="false">AJ234+AV234+MAX(0,AM234)+MAX(0,AR234)+BC234+BG234+BQ234+AG234</f>
        <v>-248126.64053725</v>
      </c>
      <c r="BT234" s="15" t="n">
        <f aca="false">BR234-BS234</f>
        <v>0</v>
      </c>
      <c r="BU234" s="15" t="n">
        <f aca="false">BH234-(BD234+BE234-BF234-AY234)</f>
        <v>0</v>
      </c>
      <c r="BV234" s="15" t="n">
        <f aca="false">IF(BH233&lt;Parametri_v3!$C$31,0,BV233+1)</f>
        <v>0</v>
      </c>
    </row>
    <row r="235" customFormat="false" ht="18" hidden="false" customHeight="true" outlineLevel="0" collapsed="false">
      <c r="A235" s="68" t="n">
        <f aca="false">4</f>
        <v>4</v>
      </c>
      <c r="B235" s="68" t="n">
        <f aca="false">51</f>
        <v>51</v>
      </c>
      <c r="C235" s="18" t="n">
        <f aca="false">Motore_Operativo!C235</f>
        <v>47908</v>
      </c>
      <c r="D235" s="68" t="n">
        <f aca="false">Motore_Operativo!D235</f>
        <v>2031</v>
      </c>
      <c r="E235" s="68" t="n">
        <f aca="false">Motore_Operativo!E235</f>
        <v>3</v>
      </c>
      <c r="F235" s="15" t="n">
        <f aca="false">Motore_Operativo!AM235</f>
        <v>57399.375</v>
      </c>
      <c r="G235" s="15" t="n">
        <f aca="false">Motore_Operativo!BH235</f>
        <v>5739.9375</v>
      </c>
      <c r="H235" s="15" t="n">
        <f aca="false">Motore_Operativo!AM235</f>
        <v>57399.375</v>
      </c>
      <c r="I235" s="15" t="n">
        <f aca="false">Motore_Operativo!CB235</f>
        <v>70256.0389275</v>
      </c>
      <c r="J235" s="15" t="n">
        <f aca="false">Motore_Operativo!CD235</f>
        <v>-12856.6639275</v>
      </c>
      <c r="K235" s="15" t="n">
        <f aca="false">Motore_Operativo!CF235</f>
        <v>666.666666666667</v>
      </c>
      <c r="L235" s="15" t="n">
        <f aca="false">SUM(INDEX($K$185:$K$244,MAX(1,51-Parametri_v3!$C$59+1)):K235)/Parametri_v3!$C$59</f>
        <v>520.833333333333</v>
      </c>
      <c r="M235" s="15" t="n">
        <f aca="false">J235-L235</f>
        <v>-13377.4972608333</v>
      </c>
      <c r="N235" s="15" t="n">
        <f aca="false">0</f>
        <v>0</v>
      </c>
      <c r="O235" s="15" t="n">
        <f aca="false">0</f>
        <v>0</v>
      </c>
      <c r="P235" s="15" t="n">
        <f aca="false">M235+N235-O235</f>
        <v>-13377.4972608333</v>
      </c>
      <c r="Q235" s="15" t="n">
        <f aca="false">SUM(P233:P235)+Parametri_v3!$C$56*3/12</f>
        <v>-40111.6584491667</v>
      </c>
      <c r="R235" s="15" t="n">
        <f aca="false">Z232</f>
        <v>232703.038888889</v>
      </c>
      <c r="S235" s="15" t="n">
        <f aca="false">AA232</f>
        <v>123475.191611111</v>
      </c>
      <c r="T235" s="15" t="n">
        <f aca="false">MIN(R235,MAX(0,Q235))</f>
        <v>0</v>
      </c>
      <c r="U235" s="15" t="n">
        <f aca="false">MIN(S235,MAX(0,Q235-T235)*Parametri_v3!$C$42)</f>
        <v>0</v>
      </c>
      <c r="V235" s="15" t="n">
        <f aca="false">MAX(0,Q235-T235-U235)*Ipotesi!$C$92</f>
        <v>0</v>
      </c>
      <c r="W235" s="15" t="n">
        <f aca="false">MAX(0,SUM(M233:M235)+Parametri_v3!$C$57*3/12)*Ipotesi!$C$93</f>
        <v>0</v>
      </c>
      <c r="X235" s="15" t="n">
        <f aca="false">V235+W235-(V234+W234)</f>
        <v>0</v>
      </c>
      <c r="Y235" s="15" t="n">
        <f aca="false">P235-X235</f>
        <v>-13377.4972608333</v>
      </c>
      <c r="Z235" s="15" t="n">
        <f aca="false">R235-T235+IF(AND(Parametri_v3!$C$40=1,D235-YEAR(Parametri_v3!$C$50)&lt;Parametri_v3!$C$41),MAX(0,-Q235),0)</f>
        <v>232703.038888889</v>
      </c>
      <c r="AA235" s="15" t="n">
        <f aca="false">S235-U235+IF(AND(Parametri_v3!$C$40=1,D235-YEAR(Parametri_v3!$C$50)&lt;Parametri_v3!$C$41),0,MAX(0,-Q235))</f>
        <v>163586.850060278</v>
      </c>
      <c r="AB235" s="15" t="n">
        <f aca="false">F235*(1+Parametri_v3!$C$26)</f>
        <v>70027.2375</v>
      </c>
      <c r="AC235" s="15" t="n">
        <f aca="false">(IF(51-(INT((Motore_Operativo!L235)/30))&lt;1,0,INDEX(Motore_Advisory!$AB$185:$AB$244,MAX(1,51-(INT((Motore_Operativo!L235)/30)))))*(1-(MOD((Motore_Operativo!L235),30)/30))+IF(51-(INT((Motore_Operativo!L235)/30))-1&lt;1,0,INDEX(Motore_Advisory!$AB$185:$AB$244,MAX(1,51-(INT((Motore_Operativo!L235)/30))-1)))*(MOD((Motore_Operativo!L235),30)/30))</f>
        <v>55609.125</v>
      </c>
      <c r="AD235" s="15" t="n">
        <f aca="false">(AD234)+AB235-AC235</f>
        <v>265690.8375</v>
      </c>
      <c r="AE235" s="15" t="n">
        <f aca="false">Motore_Operativo!BH235*(1+Parametri_v3!$C$26)</f>
        <v>7002.72375</v>
      </c>
      <c r="AF235" s="15" t="n">
        <f aca="false">(IF(51-(INT((Parametri_v3!$C$29)/30))&lt;1,0,INDEX(Motore_Operativo!$BH$185:$BH$244,MAX(1,51-(INT((Parametri_v3!$C$29)/30)))))*(1-(MOD((Parametri_v3!$C$29),30)/30))+IF(51-(INT((Parametri_v3!$C$29)/30))-1&lt;1,0,INDEX(Motore_Operativo!$BH$185:$BH$244,MAX(1,51-(INT((Parametri_v3!$C$29)/30))-1)))*(MOD((Parametri_v3!$C$29),30)/30))*(1+Parametri_v3!$C$26)</f>
        <v>7002.72375</v>
      </c>
      <c r="AG235" s="15" t="n">
        <f aca="false">(AG234)+AE235-AF235</f>
        <v>7002.72375</v>
      </c>
      <c r="AH235" s="15" t="n">
        <f aca="false">(Motore_Operativo!CK235)*(1+Parametri_v3!$C$28*Parametri_v3!$C$26)</f>
        <v>23699.0999</v>
      </c>
      <c r="AI235" s="15" t="n">
        <f aca="false">(IF(51-(INT((Ipotesi!$C$91)/30))&lt;1,0,INDEX(Motore_Advisory!$AH$185:$AH$244,MAX(1,51-(INT((Ipotesi!$C$91)/30)))))*(1-(MOD((Ipotesi!$C$91),30)/30))+IF(51-(INT((Ipotesi!$C$91)/30))-1&lt;1,0,INDEX(Motore_Advisory!$AH$185:$AH$244,MAX(1,51-(INT((Ipotesi!$C$91)/30))-1)))*(MOD((Ipotesi!$C$91),30)/30))</f>
        <v>23699.0999</v>
      </c>
      <c r="AJ235" s="15" t="n">
        <f aca="false">(AJ234)+AH235-AI235</f>
        <v>47398.1998</v>
      </c>
      <c r="AK235" s="15" t="n">
        <f aca="false">(F235- Motore_Operativo!BH235-(Motore_Operativo!CK235)*Parametri_v3!$C$28-Motore_Operativo!CF235)*Parametri_v3!$C$26</f>
        <v>7671.60551666667</v>
      </c>
      <c r="AL235" s="15" t="n">
        <f aca="false">MAX(0,(AM234))</f>
        <v>7671.60551666667</v>
      </c>
      <c r="AM235" s="15" t="n">
        <f aca="false">(AM234)+AK235-AL235</f>
        <v>7671.60551666667</v>
      </c>
      <c r="AN235" s="15" t="n">
        <f aca="false">SUM(X221:X232)</f>
        <v>0</v>
      </c>
      <c r="AO235" s="15" t="n">
        <f aca="false">SUM(AP221:AP232)</f>
        <v>0</v>
      </c>
      <c r="AP235" s="15" t="n">
        <f aca="false">MAX(0,AN235)*IF(3=Parametri_v3!$C$43,Parametri_v3!$C$45,IF(3=Parametri_v3!$C$44,1-Parametri_v3!$C$45,0))</f>
        <v>0</v>
      </c>
      <c r="AQ235" s="15" t="n">
        <f aca="false">MAX(0,AP235+IF(3=Parametri_v3!$C$43,MAX(0,AN235-AO235),0)-MAX(0,-(AR234)))</f>
        <v>0</v>
      </c>
      <c r="AR235" s="15" t="n">
        <f aca="false">(AR234)+X235-AQ235</f>
        <v>0</v>
      </c>
      <c r="AS235" s="15" t="n">
        <f aca="false">Motore_Operativo!AC235-AT235+AU235</f>
        <v>42145.6153144583</v>
      </c>
      <c r="AT235" s="15" t="n">
        <f aca="false">Motore_Operativo!CI235</f>
        <v>2218.19027970833</v>
      </c>
      <c r="AU235" s="15" t="n">
        <f aca="false">MIN(MAX(0,(AV234)+AT235),Parametri_v3!$C$61/12)</f>
        <v>0</v>
      </c>
      <c r="AV235" s="15" t="n">
        <f aca="false">(AV234)+AT235-AU235</f>
        <v>54931.412364125</v>
      </c>
      <c r="AW235" s="15" t="n">
        <f aca="false">IF(AND(Motore_Operativo!C235=Finanziamenti!$D$7,Finanziamenti!$F$7=1),Finanziamenti!$C$7,0)</f>
        <v>0</v>
      </c>
      <c r="AX235" s="15" t="n">
        <f aca="false">0</f>
        <v>0</v>
      </c>
      <c r="AY235" s="15" t="n">
        <f aca="false">IF(3=Parametri_v3!$C$33,IF(BV235&lt;MIN(12,$B235-1),0,MIN(MAX(0,SUM(Y221:Y232))*Ipotesi!$C$94,MAX(0,(BM232)-(BO234)-BP235),MAX(0,BD235-Parametri_v3!$C$31))),0)</f>
        <v>0</v>
      </c>
      <c r="AZ235" s="15" t="n">
        <f aca="false">0</f>
        <v>0</v>
      </c>
      <c r="BA235" s="15" t="n">
        <f aca="false">0</f>
        <v>0</v>
      </c>
      <c r="BB235" s="15" t="n">
        <f aca="false">0</f>
        <v>0</v>
      </c>
      <c r="BC235" s="15" t="n">
        <f aca="false">0</f>
        <v>0</v>
      </c>
      <c r="BD235" s="15" t="n">
        <f aca="false">(BH234)+AC235-AF235-AI235-AS235-K235*(1+Parametri_v3!$C$26)-AL235-AQ235-O235+AW235+AX235+AZ235+BA235-BB235</f>
        <v>-535185.118351707</v>
      </c>
      <c r="BE235" s="15" t="n">
        <f aca="false">0</f>
        <v>0</v>
      </c>
      <c r="BF235" s="15" t="n">
        <f aca="false">0</f>
        <v>0</v>
      </c>
      <c r="BG235" s="15" t="n">
        <f aca="false">0</f>
        <v>0</v>
      </c>
      <c r="BH235" s="15" t="n">
        <f aca="false">BD235+BE235-BF235-AY235</f>
        <v>-535185.118351707</v>
      </c>
      <c r="BI235" s="15" t="n">
        <f aca="false">MAX(0,Parametri_v3!$C$31-BH235)</f>
        <v>545185.118351707</v>
      </c>
      <c r="BJ235" s="15" t="n">
        <f aca="false">(BJ234)+K235</f>
        <v>23000</v>
      </c>
      <c r="BK235" s="15" t="n">
        <f aca="false">(BK234)+L235</f>
        <v>12791.6666666667</v>
      </c>
      <c r="BL235" s="15" t="n">
        <f aca="false">BJ235-BK235</f>
        <v>10208.3333333333</v>
      </c>
      <c r="BM235" s="15" t="n">
        <f aca="false">(BM234)+Y235</f>
        <v>-396289.888949166</v>
      </c>
      <c r="BN235" s="15" t="n">
        <f aca="false">(BN234)+AW235+AX235+AZ235</f>
        <v>20000</v>
      </c>
      <c r="BO235" s="15" t="n">
        <f aca="false">(BO234)+AY235</f>
        <v>0</v>
      </c>
      <c r="BP235" s="15" t="n">
        <f aca="false">MIN(Parametri_v3!$C$36*Parametri_v3!$C$35,(BP234)+IF(3=1,MAX(0,SUM(Y221:Y232))*Parametri_v3!$C$34,0))</f>
        <v>0</v>
      </c>
      <c r="BQ235" s="15" t="n">
        <f aca="false">BN235+BM235-BO235</f>
        <v>-376289.888949166</v>
      </c>
      <c r="BR235" s="15" t="n">
        <f aca="false">BH235+AD235+BL235+MAX(0,-AM235)+MAX(0,-AR235)</f>
        <v>-259285.947518374</v>
      </c>
      <c r="BS235" s="15" t="n">
        <f aca="false">AJ235+AV235+MAX(0,AM235)+MAX(0,AR235)+BC235+BG235+BQ235+AG235</f>
        <v>-259285.947518375</v>
      </c>
      <c r="BT235" s="15" t="n">
        <f aca="false">BR235-BS235</f>
        <v>0</v>
      </c>
      <c r="BU235" s="15" t="n">
        <f aca="false">BH235-(BD235+BE235-BF235-AY235)</f>
        <v>0</v>
      </c>
      <c r="BV235" s="15" t="n">
        <f aca="false">IF(BH234&lt;Parametri_v3!$C$31,0,BV234+1)</f>
        <v>0</v>
      </c>
    </row>
    <row r="236" customFormat="false" ht="18" hidden="false" customHeight="true" outlineLevel="0" collapsed="false">
      <c r="A236" s="68" t="n">
        <f aca="false">4</f>
        <v>4</v>
      </c>
      <c r="B236" s="68" t="n">
        <f aca="false">52</f>
        <v>52</v>
      </c>
      <c r="C236" s="18" t="n">
        <f aca="false">Motore_Operativo!C236</f>
        <v>47939</v>
      </c>
      <c r="D236" s="68" t="n">
        <f aca="false">Motore_Operativo!D236</f>
        <v>2031</v>
      </c>
      <c r="E236" s="68" t="n">
        <f aca="false">Motore_Operativo!E236</f>
        <v>4</v>
      </c>
      <c r="F236" s="15" t="n">
        <f aca="false">Motore_Operativo!AM236</f>
        <v>57399.375</v>
      </c>
      <c r="G236" s="15" t="n">
        <f aca="false">Motore_Operativo!BH236</f>
        <v>5739.9375</v>
      </c>
      <c r="H236" s="15" t="n">
        <f aca="false">Motore_Operativo!AM236</f>
        <v>57399.375</v>
      </c>
      <c r="I236" s="15" t="n">
        <f aca="false">Motore_Operativo!CB236</f>
        <v>70256.0389275</v>
      </c>
      <c r="J236" s="15" t="n">
        <f aca="false">Motore_Operativo!CD236</f>
        <v>-12856.6639275</v>
      </c>
      <c r="K236" s="15" t="n">
        <f aca="false">Motore_Operativo!CF236</f>
        <v>666.666666666667</v>
      </c>
      <c r="L236" s="15" t="n">
        <f aca="false">SUM(INDEX($K$185:$K$244,MAX(1,52-Parametri_v3!$C$59+1)):K236)/Parametri_v3!$C$59</f>
        <v>527.777777777778</v>
      </c>
      <c r="M236" s="15" t="n">
        <f aca="false">J236-L236</f>
        <v>-13384.4417052778</v>
      </c>
      <c r="N236" s="15" t="n">
        <f aca="false">0</f>
        <v>0</v>
      </c>
      <c r="O236" s="15" t="n">
        <f aca="false">0</f>
        <v>0</v>
      </c>
      <c r="P236" s="15" t="n">
        <f aca="false">M236+N236-O236</f>
        <v>-13384.4417052778</v>
      </c>
      <c r="Q236" s="15" t="n">
        <f aca="false">SUM(P233:P236)+Parametri_v3!$C$56*4/12</f>
        <v>-53496.1001544444</v>
      </c>
      <c r="R236" s="15" t="n">
        <f aca="false">Z232</f>
        <v>232703.038888889</v>
      </c>
      <c r="S236" s="15" t="n">
        <f aca="false">AA232</f>
        <v>123475.191611111</v>
      </c>
      <c r="T236" s="15" t="n">
        <f aca="false">MIN(R236,MAX(0,Q236))</f>
        <v>0</v>
      </c>
      <c r="U236" s="15" t="n">
        <f aca="false">MIN(S236,MAX(0,Q236-T236)*Parametri_v3!$C$42)</f>
        <v>0</v>
      </c>
      <c r="V236" s="15" t="n">
        <f aca="false">MAX(0,Q236-T236-U236)*Ipotesi!$C$92</f>
        <v>0</v>
      </c>
      <c r="W236" s="15" t="n">
        <f aca="false">MAX(0,SUM(M233:M236)+Parametri_v3!$C$57*4/12)*Ipotesi!$C$93</f>
        <v>0</v>
      </c>
      <c r="X236" s="15" t="n">
        <f aca="false">V236+W236-(V235+W235)</f>
        <v>0</v>
      </c>
      <c r="Y236" s="15" t="n">
        <f aca="false">P236-X236</f>
        <v>-13384.4417052778</v>
      </c>
      <c r="Z236" s="15" t="n">
        <f aca="false">R236-T236+IF(AND(Parametri_v3!$C$40=1,D236-YEAR(Parametri_v3!$C$50)&lt;Parametri_v3!$C$41),MAX(0,-Q236),0)</f>
        <v>232703.038888889</v>
      </c>
      <c r="AA236" s="15" t="n">
        <f aca="false">S236-U236+IF(AND(Parametri_v3!$C$40=1,D236-YEAR(Parametri_v3!$C$50)&lt;Parametri_v3!$C$41),0,MAX(0,-Q236))</f>
        <v>176971.291765555</v>
      </c>
      <c r="AB236" s="15" t="n">
        <f aca="false">F236*(1+Parametri_v3!$C$26)</f>
        <v>70027.2375</v>
      </c>
      <c r="AC236" s="15" t="n">
        <f aca="false">(IF(52-(INT((Motore_Operativo!L236)/30))&lt;1,0,INDEX(Motore_Advisory!$AB$185:$AB$244,MAX(1,52-(INT((Motore_Operativo!L236)/30)))))*(1-(MOD((Motore_Operativo!L236),30)/30))+IF(52-(INT((Motore_Operativo!L236)/30))-1&lt;1,0,INDEX(Motore_Advisory!$AB$185:$AB$244,MAX(1,52-(INT((Motore_Operativo!L236)/30))-1)))*(MOD((Motore_Operativo!L236),30)/30))</f>
        <v>55609.125</v>
      </c>
      <c r="AD236" s="15" t="n">
        <f aca="false">(AD235)+AB236-AC236</f>
        <v>280108.95</v>
      </c>
      <c r="AE236" s="15" t="n">
        <f aca="false">Motore_Operativo!BH236*(1+Parametri_v3!$C$26)</f>
        <v>7002.72375</v>
      </c>
      <c r="AF236" s="15" t="n">
        <f aca="false">(IF(52-(INT((Parametri_v3!$C$29)/30))&lt;1,0,INDEX(Motore_Operativo!$BH$185:$BH$244,MAX(1,52-(INT((Parametri_v3!$C$29)/30)))))*(1-(MOD((Parametri_v3!$C$29),30)/30))+IF(52-(INT((Parametri_v3!$C$29)/30))-1&lt;1,0,INDEX(Motore_Operativo!$BH$185:$BH$244,MAX(1,52-(INT((Parametri_v3!$C$29)/30))-1)))*(MOD((Parametri_v3!$C$29),30)/30))*(1+Parametri_v3!$C$26)</f>
        <v>7002.72375</v>
      </c>
      <c r="AG236" s="15" t="n">
        <f aca="false">(AG235)+AE236-AF236</f>
        <v>7002.72375</v>
      </c>
      <c r="AH236" s="15" t="n">
        <f aca="false">(Motore_Operativo!CK236)*(1+Parametri_v3!$C$28*Parametri_v3!$C$26)</f>
        <v>23699.0999</v>
      </c>
      <c r="AI236" s="15" t="n">
        <f aca="false">(IF(52-(INT((Ipotesi!$C$91)/30))&lt;1,0,INDEX(Motore_Advisory!$AH$185:$AH$244,MAX(1,52-(INT((Ipotesi!$C$91)/30)))))*(1-(MOD((Ipotesi!$C$91),30)/30))+IF(52-(INT((Ipotesi!$C$91)/30))-1&lt;1,0,INDEX(Motore_Advisory!$AH$185:$AH$244,MAX(1,52-(INT((Ipotesi!$C$91)/30))-1)))*(MOD((Ipotesi!$C$91),30)/30))</f>
        <v>23699.0999</v>
      </c>
      <c r="AJ236" s="15" t="n">
        <f aca="false">(AJ235)+AH236-AI236</f>
        <v>47398.1998</v>
      </c>
      <c r="AK236" s="15" t="n">
        <f aca="false">(F236- Motore_Operativo!BH236-(Motore_Operativo!CK236)*Parametri_v3!$C$28-Motore_Operativo!CF236)*Parametri_v3!$C$26</f>
        <v>7671.60551666667</v>
      </c>
      <c r="AL236" s="15" t="n">
        <f aca="false">MAX(0,(AM235))</f>
        <v>7671.60551666667</v>
      </c>
      <c r="AM236" s="15" t="n">
        <f aca="false">(AM235)+AK236-AL236</f>
        <v>7671.60551666667</v>
      </c>
      <c r="AN236" s="15" t="n">
        <f aca="false">SUM(X221:X232)</f>
        <v>0</v>
      </c>
      <c r="AO236" s="15" t="n">
        <f aca="false">SUM(AP221:AP232)</f>
        <v>0</v>
      </c>
      <c r="AP236" s="15" t="n">
        <f aca="false">MAX(0,AN236)*IF(4=Parametri_v3!$C$43,Parametri_v3!$C$45,IF(4=Parametri_v3!$C$44,1-Parametri_v3!$C$45,0))</f>
        <v>0</v>
      </c>
      <c r="AQ236" s="15" t="n">
        <f aca="false">MAX(0,AP236+IF(4=Parametri_v3!$C$43,MAX(0,AN236-AO236),0)-MAX(0,-(AR235)))</f>
        <v>0</v>
      </c>
      <c r="AR236" s="15" t="n">
        <f aca="false">(AR235)+X236-AQ236</f>
        <v>0</v>
      </c>
      <c r="AS236" s="15" t="n">
        <f aca="false">Motore_Operativo!AC236-AT236+AU236</f>
        <v>42145.6153144583</v>
      </c>
      <c r="AT236" s="15" t="n">
        <f aca="false">Motore_Operativo!CI236</f>
        <v>2218.19027970833</v>
      </c>
      <c r="AU236" s="15" t="n">
        <f aca="false">MIN(MAX(0,(AV235)+AT236),Parametri_v3!$C$61/12)</f>
        <v>0</v>
      </c>
      <c r="AV236" s="15" t="n">
        <f aca="false">(AV235)+AT236-AU236</f>
        <v>57149.6026438333</v>
      </c>
      <c r="AW236" s="15" t="n">
        <f aca="false">IF(AND(Motore_Operativo!C236=Finanziamenti!$D$7,Finanziamenti!$F$7=1),Finanziamenti!$C$7,0)</f>
        <v>0</v>
      </c>
      <c r="AX236" s="15" t="n">
        <f aca="false">0</f>
        <v>0</v>
      </c>
      <c r="AY236" s="15" t="n">
        <f aca="false">IF(4=Parametri_v3!$C$33,IF(BV236&lt;MIN(12,$B236-1),0,MIN(MAX(0,SUM(Y221:Y232))*Ipotesi!$C$94,MAX(0,(BM232)-(BO235)-BP236),MAX(0,BD236-Parametri_v3!$C$31))),0)</f>
        <v>0</v>
      </c>
      <c r="AZ236" s="15" t="n">
        <f aca="false">0</f>
        <v>0</v>
      </c>
      <c r="BA236" s="15" t="n">
        <f aca="false">0</f>
        <v>0</v>
      </c>
      <c r="BB236" s="15" t="n">
        <f aca="false">0</f>
        <v>0</v>
      </c>
      <c r="BC236" s="15" t="n">
        <f aca="false">0</f>
        <v>0</v>
      </c>
      <c r="BD236" s="15" t="n">
        <f aca="false">(BH235)+AC236-AF236-AI236-AS236-K236*(1+Parametri_v3!$C$26)-AL236-AQ236-O236+AW236+AX236+AZ236+BA236-BB236</f>
        <v>-560908.371166166</v>
      </c>
      <c r="BE236" s="15" t="n">
        <f aca="false">0</f>
        <v>0</v>
      </c>
      <c r="BF236" s="15" t="n">
        <f aca="false">0</f>
        <v>0</v>
      </c>
      <c r="BG236" s="15" t="n">
        <f aca="false">0</f>
        <v>0</v>
      </c>
      <c r="BH236" s="15" t="n">
        <f aca="false">BD236+BE236-BF236-AY236</f>
        <v>-560908.371166166</v>
      </c>
      <c r="BI236" s="15" t="n">
        <f aca="false">MAX(0,Parametri_v3!$C$31-BH236)</f>
        <v>570908.371166166</v>
      </c>
      <c r="BJ236" s="15" t="n">
        <f aca="false">(BJ235)+K236</f>
        <v>23666.6666666667</v>
      </c>
      <c r="BK236" s="15" t="n">
        <f aca="false">(BK235)+L236</f>
        <v>13319.4444444444</v>
      </c>
      <c r="BL236" s="15" t="n">
        <f aca="false">BJ236-BK236</f>
        <v>10347.2222222222</v>
      </c>
      <c r="BM236" s="15" t="n">
        <f aca="false">(BM235)+Y236</f>
        <v>-409674.330654444</v>
      </c>
      <c r="BN236" s="15" t="n">
        <f aca="false">(BN235)+AW236+AX236+AZ236</f>
        <v>20000</v>
      </c>
      <c r="BO236" s="15" t="n">
        <f aca="false">(BO235)+AY236</f>
        <v>0</v>
      </c>
      <c r="BP236" s="15" t="n">
        <f aca="false">MIN(Parametri_v3!$C$36*Parametri_v3!$C$35,(BP235)+IF(4=1,MAX(0,SUM(Y221:Y232))*Parametri_v3!$C$34,0))</f>
        <v>0</v>
      </c>
      <c r="BQ236" s="15" t="n">
        <f aca="false">BN236+BM236-BO236</f>
        <v>-389674.330654444</v>
      </c>
      <c r="BR236" s="15" t="n">
        <f aca="false">BH236+AD236+BL236+MAX(0,-AM236)+MAX(0,-AR236)</f>
        <v>-270452.198943943</v>
      </c>
      <c r="BS236" s="15" t="n">
        <f aca="false">AJ236+AV236+MAX(0,AM236)+MAX(0,AR236)+BC236+BG236+BQ236+AG236</f>
        <v>-270452.198943944</v>
      </c>
      <c r="BT236" s="15" t="n">
        <f aca="false">BR236-BS236</f>
        <v>0</v>
      </c>
      <c r="BU236" s="15" t="n">
        <f aca="false">BH236-(BD236+BE236-BF236-AY236)</f>
        <v>0</v>
      </c>
      <c r="BV236" s="15" t="n">
        <f aca="false">IF(BH235&lt;Parametri_v3!$C$31,0,BV235+1)</f>
        <v>0</v>
      </c>
    </row>
    <row r="237" customFormat="false" ht="18" hidden="false" customHeight="true" outlineLevel="0" collapsed="false">
      <c r="A237" s="68" t="n">
        <f aca="false">4</f>
        <v>4</v>
      </c>
      <c r="B237" s="68" t="n">
        <f aca="false">53</f>
        <v>53</v>
      </c>
      <c r="C237" s="18" t="n">
        <f aca="false">Motore_Operativo!C237</f>
        <v>47969</v>
      </c>
      <c r="D237" s="68" t="n">
        <f aca="false">Motore_Operativo!D237</f>
        <v>2031</v>
      </c>
      <c r="E237" s="68" t="n">
        <f aca="false">Motore_Operativo!E237</f>
        <v>5</v>
      </c>
      <c r="F237" s="15" t="n">
        <f aca="false">Motore_Operativo!AM237</f>
        <v>57399.375</v>
      </c>
      <c r="G237" s="15" t="n">
        <f aca="false">Motore_Operativo!BH237</f>
        <v>5739.9375</v>
      </c>
      <c r="H237" s="15" t="n">
        <f aca="false">Motore_Operativo!AM237</f>
        <v>57399.375</v>
      </c>
      <c r="I237" s="15" t="n">
        <f aca="false">Motore_Operativo!CB237</f>
        <v>70256.0389275</v>
      </c>
      <c r="J237" s="15" t="n">
        <f aca="false">Motore_Operativo!CD237</f>
        <v>-12856.6639275</v>
      </c>
      <c r="K237" s="15" t="n">
        <f aca="false">Motore_Operativo!CF237</f>
        <v>666.666666666667</v>
      </c>
      <c r="L237" s="15" t="n">
        <f aca="false">SUM(INDEX($K$185:$K$244,MAX(1,53-Parametri_v3!$C$59+1)):K237)/Parametri_v3!$C$59</f>
        <v>534.722222222222</v>
      </c>
      <c r="M237" s="15" t="n">
        <f aca="false">J237-L237</f>
        <v>-13391.3861497222</v>
      </c>
      <c r="N237" s="15" t="n">
        <f aca="false">0</f>
        <v>0</v>
      </c>
      <c r="O237" s="15" t="n">
        <f aca="false">0</f>
        <v>0</v>
      </c>
      <c r="P237" s="15" t="n">
        <f aca="false">M237+N237-O237</f>
        <v>-13391.3861497222</v>
      </c>
      <c r="Q237" s="15" t="n">
        <f aca="false">SUM(P233:P237)+Parametri_v3!$C$56*5/12</f>
        <v>-66887.4863041667</v>
      </c>
      <c r="R237" s="15" t="n">
        <f aca="false">Z232</f>
        <v>232703.038888889</v>
      </c>
      <c r="S237" s="15" t="n">
        <f aca="false">AA232</f>
        <v>123475.191611111</v>
      </c>
      <c r="T237" s="15" t="n">
        <f aca="false">MIN(R237,MAX(0,Q237))</f>
        <v>0</v>
      </c>
      <c r="U237" s="15" t="n">
        <f aca="false">MIN(S237,MAX(0,Q237-T237)*Parametri_v3!$C$42)</f>
        <v>0</v>
      </c>
      <c r="V237" s="15" t="n">
        <f aca="false">MAX(0,Q237-T237-U237)*Ipotesi!$C$92</f>
        <v>0</v>
      </c>
      <c r="W237" s="15" t="n">
        <f aca="false">MAX(0,SUM(M233:M237)+Parametri_v3!$C$57*5/12)*Ipotesi!$C$93</f>
        <v>0</v>
      </c>
      <c r="X237" s="15" t="n">
        <f aca="false">V237+W237-(V236+W236)</f>
        <v>0</v>
      </c>
      <c r="Y237" s="15" t="n">
        <f aca="false">P237-X237</f>
        <v>-13391.3861497222</v>
      </c>
      <c r="Z237" s="15" t="n">
        <f aca="false">R237-T237+IF(AND(Parametri_v3!$C$40=1,D237-YEAR(Parametri_v3!$C$50)&lt;Parametri_v3!$C$41),MAX(0,-Q237),0)</f>
        <v>232703.038888889</v>
      </c>
      <c r="AA237" s="15" t="n">
        <f aca="false">S237-U237+IF(AND(Parametri_v3!$C$40=1,D237-YEAR(Parametri_v3!$C$50)&lt;Parametri_v3!$C$41),0,MAX(0,-Q237))</f>
        <v>190362.677915278</v>
      </c>
      <c r="AB237" s="15" t="n">
        <f aca="false">F237*(1+Parametri_v3!$C$26)</f>
        <v>70027.2375</v>
      </c>
      <c r="AC237" s="15" t="n">
        <f aca="false">(IF(53-(INT((Motore_Operativo!L237)/30))&lt;1,0,INDEX(Motore_Advisory!$AB$185:$AB$244,MAX(1,53-(INT((Motore_Operativo!L237)/30)))))*(1-(MOD((Motore_Operativo!L237),30)/30))+IF(53-(INT((Motore_Operativo!L237)/30))-1&lt;1,0,INDEX(Motore_Advisory!$AB$185:$AB$244,MAX(1,53-(INT((Motore_Operativo!L237)/30))-1)))*(MOD((Motore_Operativo!L237),30)/30))</f>
        <v>70027.2375</v>
      </c>
      <c r="AD237" s="15" t="n">
        <f aca="false">(AD236)+AB237-AC237</f>
        <v>280108.95</v>
      </c>
      <c r="AE237" s="15" t="n">
        <f aca="false">Motore_Operativo!BH237*(1+Parametri_v3!$C$26)</f>
        <v>7002.72375</v>
      </c>
      <c r="AF237" s="15" t="n">
        <f aca="false">(IF(53-(INT((Parametri_v3!$C$29)/30))&lt;1,0,INDEX(Motore_Operativo!$BH$185:$BH$244,MAX(1,53-(INT((Parametri_v3!$C$29)/30)))))*(1-(MOD((Parametri_v3!$C$29),30)/30))+IF(53-(INT((Parametri_v3!$C$29)/30))-1&lt;1,0,INDEX(Motore_Operativo!$BH$185:$BH$244,MAX(1,53-(INT((Parametri_v3!$C$29)/30))-1)))*(MOD((Parametri_v3!$C$29),30)/30))*(1+Parametri_v3!$C$26)</f>
        <v>7002.72375</v>
      </c>
      <c r="AG237" s="15" t="n">
        <f aca="false">(AG236)+AE237-AF237</f>
        <v>7002.72375</v>
      </c>
      <c r="AH237" s="15" t="n">
        <f aca="false">(Motore_Operativo!CK237)*(1+Parametri_v3!$C$28*Parametri_v3!$C$26)</f>
        <v>23699.0999</v>
      </c>
      <c r="AI237" s="15" t="n">
        <f aca="false">(IF(53-(INT((Ipotesi!$C$91)/30))&lt;1,0,INDEX(Motore_Advisory!$AH$185:$AH$244,MAX(1,53-(INT((Ipotesi!$C$91)/30)))))*(1-(MOD((Ipotesi!$C$91),30)/30))+IF(53-(INT((Ipotesi!$C$91)/30))-1&lt;1,0,INDEX(Motore_Advisory!$AH$185:$AH$244,MAX(1,53-(INT((Ipotesi!$C$91)/30))-1)))*(MOD((Ipotesi!$C$91),30)/30))</f>
        <v>23699.0999</v>
      </c>
      <c r="AJ237" s="15" t="n">
        <f aca="false">(AJ236)+AH237-AI237</f>
        <v>47398.1998</v>
      </c>
      <c r="AK237" s="15" t="n">
        <f aca="false">(F237- Motore_Operativo!BH237-(Motore_Operativo!CK237)*Parametri_v3!$C$28-Motore_Operativo!CF237)*Parametri_v3!$C$26</f>
        <v>7671.60551666667</v>
      </c>
      <c r="AL237" s="15" t="n">
        <f aca="false">MAX(0,(AM236))</f>
        <v>7671.60551666667</v>
      </c>
      <c r="AM237" s="15" t="n">
        <f aca="false">(AM236)+AK237-AL237</f>
        <v>7671.60551666667</v>
      </c>
      <c r="AN237" s="15" t="n">
        <f aca="false">SUM(X221:X232)</f>
        <v>0</v>
      </c>
      <c r="AO237" s="15" t="n">
        <f aca="false">SUM(AP221:AP232)</f>
        <v>0</v>
      </c>
      <c r="AP237" s="15" t="n">
        <f aca="false">MAX(0,AN237)*IF(5=Parametri_v3!$C$43,Parametri_v3!$C$45,IF(5=Parametri_v3!$C$44,1-Parametri_v3!$C$45,0))</f>
        <v>0</v>
      </c>
      <c r="AQ237" s="15" t="n">
        <f aca="false">MAX(0,AP237+IF(5=Parametri_v3!$C$43,MAX(0,AN237-AO237),0)-MAX(0,-(AR236)))</f>
        <v>0</v>
      </c>
      <c r="AR237" s="15" t="n">
        <f aca="false">(AR236)+X237-AQ237</f>
        <v>0</v>
      </c>
      <c r="AS237" s="15" t="n">
        <f aca="false">Motore_Operativo!AC237-AT237+AU237</f>
        <v>42145.6153144583</v>
      </c>
      <c r="AT237" s="15" t="n">
        <f aca="false">Motore_Operativo!CI237</f>
        <v>2218.19027970833</v>
      </c>
      <c r="AU237" s="15" t="n">
        <f aca="false">MIN(MAX(0,(AV236)+AT237),Parametri_v3!$C$61/12)</f>
        <v>0</v>
      </c>
      <c r="AV237" s="15" t="n">
        <f aca="false">(AV236)+AT237-AU237</f>
        <v>59367.7929235417</v>
      </c>
      <c r="AW237" s="15" t="n">
        <f aca="false">IF(AND(Motore_Operativo!C237=Finanziamenti!$D$7,Finanziamenti!$F$7=1),Finanziamenti!$C$7,0)</f>
        <v>0</v>
      </c>
      <c r="AX237" s="15" t="n">
        <f aca="false">0</f>
        <v>0</v>
      </c>
      <c r="AY237" s="15" t="n">
        <f aca="false">IF(5=Parametri_v3!$C$33,IF(BV237&lt;MIN(12,$B237-1),0,MIN(MAX(0,SUM(Y221:Y232))*Ipotesi!$C$94,MAX(0,(BM232)-(BO236)-BP237),MAX(0,BD237-Parametri_v3!$C$31))),0)</f>
        <v>0</v>
      </c>
      <c r="AZ237" s="15" t="n">
        <f aca="false">0</f>
        <v>0</v>
      </c>
      <c r="BA237" s="15" t="n">
        <f aca="false">0</f>
        <v>0</v>
      </c>
      <c r="BB237" s="15" t="n">
        <f aca="false">0</f>
        <v>0</v>
      </c>
      <c r="BC237" s="15" t="n">
        <f aca="false">0</f>
        <v>0</v>
      </c>
      <c r="BD237" s="15" t="n">
        <f aca="false">(BH236)+AC237-AF237-AI237-AS237-K237*(1+Parametri_v3!$C$26)-AL237-AQ237-O237+AW237+AX237+AZ237+BA237-BB237</f>
        <v>-572213.511480624</v>
      </c>
      <c r="BE237" s="15" t="n">
        <f aca="false">0</f>
        <v>0</v>
      </c>
      <c r="BF237" s="15" t="n">
        <f aca="false">0</f>
        <v>0</v>
      </c>
      <c r="BG237" s="15" t="n">
        <f aca="false">0</f>
        <v>0</v>
      </c>
      <c r="BH237" s="15" t="n">
        <f aca="false">BD237+BE237-BF237-AY237</f>
        <v>-572213.511480624</v>
      </c>
      <c r="BI237" s="15" t="n">
        <f aca="false">MAX(0,Parametri_v3!$C$31-BH237)</f>
        <v>582213.511480624</v>
      </c>
      <c r="BJ237" s="15" t="n">
        <f aca="false">(BJ236)+K237</f>
        <v>24333.3333333333</v>
      </c>
      <c r="BK237" s="15" t="n">
        <f aca="false">(BK236)+L237</f>
        <v>13854.1666666667</v>
      </c>
      <c r="BL237" s="15" t="n">
        <f aca="false">BJ237-BK237</f>
        <v>10479.1666666667</v>
      </c>
      <c r="BM237" s="15" t="n">
        <f aca="false">(BM236)+Y237</f>
        <v>-423065.716804166</v>
      </c>
      <c r="BN237" s="15" t="n">
        <f aca="false">(BN236)+AW237+AX237+AZ237</f>
        <v>20000</v>
      </c>
      <c r="BO237" s="15" t="n">
        <f aca="false">(BO236)+AY237</f>
        <v>0</v>
      </c>
      <c r="BP237" s="15" t="n">
        <f aca="false">MIN(Parametri_v3!$C$36*Parametri_v3!$C$35,(BP236)+IF(5=1,MAX(0,SUM(Y221:Y232))*Parametri_v3!$C$34,0))</f>
        <v>0</v>
      </c>
      <c r="BQ237" s="15" t="n">
        <f aca="false">BN237+BM237-BO237</f>
        <v>-403065.716804166</v>
      </c>
      <c r="BR237" s="15" t="n">
        <f aca="false">BH237+AD237+BL237+MAX(0,-AM237)+MAX(0,-AR237)</f>
        <v>-281625.394813957</v>
      </c>
      <c r="BS237" s="15" t="n">
        <f aca="false">AJ237+AV237+MAX(0,AM237)+MAX(0,AR237)+BC237+BG237+BQ237+AG237</f>
        <v>-281625.394813958</v>
      </c>
      <c r="BT237" s="15" t="n">
        <f aca="false">BR237-BS237</f>
        <v>0</v>
      </c>
      <c r="BU237" s="15" t="n">
        <f aca="false">BH237-(BD237+BE237-BF237-AY237)</f>
        <v>0</v>
      </c>
      <c r="BV237" s="15" t="n">
        <f aca="false">IF(BH236&lt;Parametri_v3!$C$31,0,BV236+1)</f>
        <v>0</v>
      </c>
    </row>
    <row r="238" customFormat="false" ht="18" hidden="false" customHeight="true" outlineLevel="0" collapsed="false">
      <c r="A238" s="68" t="n">
        <f aca="false">4</f>
        <v>4</v>
      </c>
      <c r="B238" s="68" t="n">
        <f aca="false">54</f>
        <v>54</v>
      </c>
      <c r="C238" s="18" t="n">
        <f aca="false">Motore_Operativo!C238</f>
        <v>48000</v>
      </c>
      <c r="D238" s="68" t="n">
        <f aca="false">Motore_Operativo!D238</f>
        <v>2031</v>
      </c>
      <c r="E238" s="68" t="n">
        <f aca="false">Motore_Operativo!E238</f>
        <v>6</v>
      </c>
      <c r="F238" s="15" t="n">
        <f aca="false">Motore_Operativo!AM238</f>
        <v>57399.375</v>
      </c>
      <c r="G238" s="15" t="n">
        <f aca="false">Motore_Operativo!BH238</f>
        <v>5739.9375</v>
      </c>
      <c r="H238" s="15" t="n">
        <f aca="false">Motore_Operativo!AM238</f>
        <v>57399.375</v>
      </c>
      <c r="I238" s="15" t="n">
        <f aca="false">Motore_Operativo!CB238</f>
        <v>70256.0389275</v>
      </c>
      <c r="J238" s="15" t="n">
        <f aca="false">Motore_Operativo!CD238</f>
        <v>-12856.6639275</v>
      </c>
      <c r="K238" s="15" t="n">
        <f aca="false">Motore_Operativo!CF238</f>
        <v>666.666666666667</v>
      </c>
      <c r="L238" s="15" t="n">
        <f aca="false">SUM(INDEX($K$185:$K$244,MAX(1,54-Parametri_v3!$C$59+1)):K238)/Parametri_v3!$C$59</f>
        <v>541.666666666667</v>
      </c>
      <c r="M238" s="15" t="n">
        <f aca="false">J238-L238</f>
        <v>-13398.3305941667</v>
      </c>
      <c r="N238" s="15" t="n">
        <f aca="false">0</f>
        <v>0</v>
      </c>
      <c r="O238" s="15" t="n">
        <f aca="false">0</f>
        <v>0</v>
      </c>
      <c r="P238" s="15" t="n">
        <f aca="false">M238+N238-O238</f>
        <v>-13398.3305941667</v>
      </c>
      <c r="Q238" s="15" t="n">
        <f aca="false">SUM(P233:P238)+Parametri_v3!$C$56*6/12</f>
        <v>-80285.8168983333</v>
      </c>
      <c r="R238" s="15" t="n">
        <f aca="false">Z232</f>
        <v>232703.038888889</v>
      </c>
      <c r="S238" s="15" t="n">
        <f aca="false">AA232</f>
        <v>123475.191611111</v>
      </c>
      <c r="T238" s="15" t="n">
        <f aca="false">MIN(R238,MAX(0,Q238))</f>
        <v>0</v>
      </c>
      <c r="U238" s="15" t="n">
        <f aca="false">MIN(S238,MAX(0,Q238-T238)*Parametri_v3!$C$42)</f>
        <v>0</v>
      </c>
      <c r="V238" s="15" t="n">
        <f aca="false">MAX(0,Q238-T238-U238)*Ipotesi!$C$92</f>
        <v>0</v>
      </c>
      <c r="W238" s="15" t="n">
        <f aca="false">MAX(0,SUM(M233:M238)+Parametri_v3!$C$57*6/12)*Ipotesi!$C$93</f>
        <v>0</v>
      </c>
      <c r="X238" s="15" t="n">
        <f aca="false">V238+W238-(V237+W237)</f>
        <v>0</v>
      </c>
      <c r="Y238" s="15" t="n">
        <f aca="false">P238-X238</f>
        <v>-13398.3305941667</v>
      </c>
      <c r="Z238" s="15" t="n">
        <f aca="false">R238-T238+IF(AND(Parametri_v3!$C$40=1,D238-YEAR(Parametri_v3!$C$50)&lt;Parametri_v3!$C$41),MAX(0,-Q238),0)</f>
        <v>232703.038888889</v>
      </c>
      <c r="AA238" s="15" t="n">
        <f aca="false">S238-U238+IF(AND(Parametri_v3!$C$40=1,D238-YEAR(Parametri_v3!$C$50)&lt;Parametri_v3!$C$41),0,MAX(0,-Q238))</f>
        <v>203761.008509444</v>
      </c>
      <c r="AB238" s="15" t="n">
        <f aca="false">F238*(1+Parametri_v3!$C$26)</f>
        <v>70027.2375</v>
      </c>
      <c r="AC238" s="15" t="n">
        <f aca="false">(IF(54-(INT((Motore_Operativo!L238)/30))&lt;1,0,INDEX(Motore_Advisory!$AB$185:$AB$244,MAX(1,54-(INT((Motore_Operativo!L238)/30)))))*(1-(MOD((Motore_Operativo!L238),30)/30))+IF(54-(INT((Motore_Operativo!L238)/30))-1&lt;1,0,INDEX(Motore_Advisory!$AB$185:$AB$244,MAX(1,54-(INT((Motore_Operativo!L238)/30))-1)))*(MOD((Motore_Operativo!L238),30)/30))</f>
        <v>70027.2375</v>
      </c>
      <c r="AD238" s="15" t="n">
        <f aca="false">(AD237)+AB238-AC238</f>
        <v>280108.95</v>
      </c>
      <c r="AE238" s="15" t="n">
        <f aca="false">Motore_Operativo!BH238*(1+Parametri_v3!$C$26)</f>
        <v>7002.72375</v>
      </c>
      <c r="AF238" s="15" t="n">
        <f aca="false">(IF(54-(INT((Parametri_v3!$C$29)/30))&lt;1,0,INDEX(Motore_Operativo!$BH$185:$BH$244,MAX(1,54-(INT((Parametri_v3!$C$29)/30)))))*(1-(MOD((Parametri_v3!$C$29),30)/30))+IF(54-(INT((Parametri_v3!$C$29)/30))-1&lt;1,0,INDEX(Motore_Operativo!$BH$185:$BH$244,MAX(1,54-(INT((Parametri_v3!$C$29)/30))-1)))*(MOD((Parametri_v3!$C$29),30)/30))*(1+Parametri_v3!$C$26)</f>
        <v>7002.72375</v>
      </c>
      <c r="AG238" s="15" t="n">
        <f aca="false">(AG237)+AE238-AF238</f>
        <v>7002.72375</v>
      </c>
      <c r="AH238" s="15" t="n">
        <f aca="false">(Motore_Operativo!CK238)*(1+Parametri_v3!$C$28*Parametri_v3!$C$26)</f>
        <v>23699.0999</v>
      </c>
      <c r="AI238" s="15" t="n">
        <f aca="false">(IF(54-(INT((Ipotesi!$C$91)/30))&lt;1,0,INDEX(Motore_Advisory!$AH$185:$AH$244,MAX(1,54-(INT((Ipotesi!$C$91)/30)))))*(1-(MOD((Ipotesi!$C$91),30)/30))+IF(54-(INT((Ipotesi!$C$91)/30))-1&lt;1,0,INDEX(Motore_Advisory!$AH$185:$AH$244,MAX(1,54-(INT((Ipotesi!$C$91)/30))-1)))*(MOD((Ipotesi!$C$91),30)/30))</f>
        <v>23699.0999</v>
      </c>
      <c r="AJ238" s="15" t="n">
        <f aca="false">(AJ237)+AH238-AI238</f>
        <v>47398.1998</v>
      </c>
      <c r="AK238" s="15" t="n">
        <f aca="false">(F238- Motore_Operativo!BH238-(Motore_Operativo!CK238)*Parametri_v3!$C$28-Motore_Operativo!CF238)*Parametri_v3!$C$26</f>
        <v>7671.60551666667</v>
      </c>
      <c r="AL238" s="15" t="n">
        <f aca="false">MAX(0,(AM237))</f>
        <v>7671.60551666667</v>
      </c>
      <c r="AM238" s="15" t="n">
        <f aca="false">(AM237)+AK238-AL238</f>
        <v>7671.60551666667</v>
      </c>
      <c r="AN238" s="15" t="n">
        <f aca="false">SUM(X221:X232)</f>
        <v>0</v>
      </c>
      <c r="AO238" s="15" t="n">
        <f aca="false">SUM(AP221:AP232)</f>
        <v>0</v>
      </c>
      <c r="AP238" s="15" t="n">
        <f aca="false">MAX(0,AN238)*IF(6=Parametri_v3!$C$43,Parametri_v3!$C$45,IF(6=Parametri_v3!$C$44,1-Parametri_v3!$C$45,0))</f>
        <v>0</v>
      </c>
      <c r="AQ238" s="15" t="n">
        <f aca="false">MAX(0,AP238+IF(6=Parametri_v3!$C$43,MAX(0,AN238-AO238),0)-MAX(0,-(AR237)))</f>
        <v>0</v>
      </c>
      <c r="AR238" s="15" t="n">
        <f aca="false">(AR237)+X238-AQ238</f>
        <v>0</v>
      </c>
      <c r="AS238" s="15" t="n">
        <f aca="false">Motore_Operativo!AC238-AT238+AU238</f>
        <v>42145.6153144583</v>
      </c>
      <c r="AT238" s="15" t="n">
        <f aca="false">Motore_Operativo!CI238</f>
        <v>2218.19027970833</v>
      </c>
      <c r="AU238" s="15" t="n">
        <f aca="false">MIN(MAX(0,(AV237)+AT238),Parametri_v3!$C$61/12)</f>
        <v>0</v>
      </c>
      <c r="AV238" s="15" t="n">
        <f aca="false">(AV237)+AT238-AU238</f>
        <v>61585.98320325</v>
      </c>
      <c r="AW238" s="15" t="n">
        <f aca="false">IF(AND(Motore_Operativo!C238=Finanziamenti!$D$7,Finanziamenti!$F$7=1),Finanziamenti!$C$7,0)</f>
        <v>0</v>
      </c>
      <c r="AX238" s="15" t="n">
        <f aca="false">0</f>
        <v>0</v>
      </c>
      <c r="AY238" s="15" t="n">
        <f aca="false">IF(6=Parametri_v3!$C$33,IF(BV238&lt;MIN(12,$B238-1),0,MIN(MAX(0,SUM(Y221:Y232))*Ipotesi!$C$94,MAX(0,(BM232)-(BO237)-BP238),MAX(0,BD238-Parametri_v3!$C$31))),0)</f>
        <v>0</v>
      </c>
      <c r="AZ238" s="15" t="n">
        <f aca="false">0</f>
        <v>0</v>
      </c>
      <c r="BA238" s="15" t="n">
        <f aca="false">0</f>
        <v>0</v>
      </c>
      <c r="BB238" s="15" t="n">
        <f aca="false">0</f>
        <v>0</v>
      </c>
      <c r="BC238" s="15" t="n">
        <f aca="false">0</f>
        <v>0</v>
      </c>
      <c r="BD238" s="15" t="n">
        <f aca="false">(BH237)+AC238-AF238-AI238-AS238-K238*(1+Parametri_v3!$C$26)-AL238-AQ238-O238+AW238+AX238+AZ238+BA238-BB238</f>
        <v>-583518.651795082</v>
      </c>
      <c r="BE238" s="15" t="n">
        <f aca="false">0</f>
        <v>0</v>
      </c>
      <c r="BF238" s="15" t="n">
        <f aca="false">0</f>
        <v>0</v>
      </c>
      <c r="BG238" s="15" t="n">
        <f aca="false">0</f>
        <v>0</v>
      </c>
      <c r="BH238" s="15" t="n">
        <f aca="false">BD238+BE238-BF238-AY238</f>
        <v>-583518.651795082</v>
      </c>
      <c r="BI238" s="15" t="n">
        <f aca="false">MAX(0,Parametri_v3!$C$31-BH238)</f>
        <v>593518.651795082</v>
      </c>
      <c r="BJ238" s="15" t="n">
        <f aca="false">(BJ237)+K238</f>
        <v>25000</v>
      </c>
      <c r="BK238" s="15" t="n">
        <f aca="false">(BK237)+L238</f>
        <v>14395.8333333333</v>
      </c>
      <c r="BL238" s="15" t="n">
        <f aca="false">BJ238-BK238</f>
        <v>10604.1666666667</v>
      </c>
      <c r="BM238" s="15" t="n">
        <f aca="false">(BM237)+Y238</f>
        <v>-436464.047398333</v>
      </c>
      <c r="BN238" s="15" t="n">
        <f aca="false">(BN237)+AW238+AX238+AZ238</f>
        <v>20000</v>
      </c>
      <c r="BO238" s="15" t="n">
        <f aca="false">(BO237)+AY238</f>
        <v>0</v>
      </c>
      <c r="BP238" s="15" t="n">
        <f aca="false">MIN(Parametri_v3!$C$36*Parametri_v3!$C$35,(BP237)+IF(6=1,MAX(0,SUM(Y221:Y232))*Parametri_v3!$C$34,0))</f>
        <v>0</v>
      </c>
      <c r="BQ238" s="15" t="n">
        <f aca="false">BN238+BM238-BO238</f>
        <v>-416464.047398333</v>
      </c>
      <c r="BR238" s="15" t="n">
        <f aca="false">BH238+AD238+BL238+MAX(0,-AM238)+MAX(0,-AR238)</f>
        <v>-292805.535128416</v>
      </c>
      <c r="BS238" s="15" t="n">
        <f aca="false">AJ238+AV238+MAX(0,AM238)+MAX(0,AR238)+BC238+BG238+BQ238+AG238</f>
        <v>-292805.535128416</v>
      </c>
      <c r="BT238" s="15" t="n">
        <f aca="false">BR238-BS238</f>
        <v>0</v>
      </c>
      <c r="BU238" s="15" t="n">
        <f aca="false">BH238-(BD238+BE238-BF238-AY238)</f>
        <v>0</v>
      </c>
      <c r="BV238" s="15" t="n">
        <f aca="false">IF(BH237&lt;Parametri_v3!$C$31,0,BV237+1)</f>
        <v>0</v>
      </c>
    </row>
    <row r="239" customFormat="false" ht="18" hidden="false" customHeight="true" outlineLevel="0" collapsed="false">
      <c r="A239" s="68" t="n">
        <f aca="false">4</f>
        <v>4</v>
      </c>
      <c r="B239" s="68" t="n">
        <f aca="false">55</f>
        <v>55</v>
      </c>
      <c r="C239" s="18" t="n">
        <f aca="false">Motore_Operativo!C239</f>
        <v>48030</v>
      </c>
      <c r="D239" s="68" t="n">
        <f aca="false">Motore_Operativo!D239</f>
        <v>2031</v>
      </c>
      <c r="E239" s="68" t="n">
        <f aca="false">Motore_Operativo!E239</f>
        <v>7</v>
      </c>
      <c r="F239" s="15" t="n">
        <f aca="false">Motore_Operativo!AM239</f>
        <v>57399.375</v>
      </c>
      <c r="G239" s="15" t="n">
        <f aca="false">Motore_Operativo!BH239</f>
        <v>5739.9375</v>
      </c>
      <c r="H239" s="15" t="n">
        <f aca="false">Motore_Operativo!AM239</f>
        <v>57399.375</v>
      </c>
      <c r="I239" s="15" t="n">
        <f aca="false">Motore_Operativo!CB239</f>
        <v>70256.0389275</v>
      </c>
      <c r="J239" s="15" t="n">
        <f aca="false">Motore_Operativo!CD239</f>
        <v>-12856.6639275</v>
      </c>
      <c r="K239" s="15" t="n">
        <f aca="false">Motore_Operativo!CF239</f>
        <v>666.666666666667</v>
      </c>
      <c r="L239" s="15" t="n">
        <f aca="false">SUM(INDEX($K$185:$K$244,MAX(1,55-Parametri_v3!$C$59+1)):K239)/Parametri_v3!$C$59</f>
        <v>548.611111111111</v>
      </c>
      <c r="M239" s="15" t="n">
        <f aca="false">J239-L239</f>
        <v>-13405.2750386111</v>
      </c>
      <c r="N239" s="15" t="n">
        <f aca="false">0</f>
        <v>0</v>
      </c>
      <c r="O239" s="15" t="n">
        <f aca="false">0</f>
        <v>0</v>
      </c>
      <c r="P239" s="15" t="n">
        <f aca="false">M239+N239-O239</f>
        <v>-13405.2750386111</v>
      </c>
      <c r="Q239" s="15" t="n">
        <f aca="false">SUM(P233:P239)+Parametri_v3!$C$56*7/12</f>
        <v>-93691.0919369444</v>
      </c>
      <c r="R239" s="15" t="n">
        <f aca="false">Z232</f>
        <v>232703.038888889</v>
      </c>
      <c r="S239" s="15" t="n">
        <f aca="false">AA232</f>
        <v>123475.191611111</v>
      </c>
      <c r="T239" s="15" t="n">
        <f aca="false">MIN(R239,MAX(0,Q239))</f>
        <v>0</v>
      </c>
      <c r="U239" s="15" t="n">
        <f aca="false">MIN(S239,MAX(0,Q239-T239)*Parametri_v3!$C$42)</f>
        <v>0</v>
      </c>
      <c r="V239" s="15" t="n">
        <f aca="false">MAX(0,Q239-T239-U239)*Ipotesi!$C$92</f>
        <v>0</v>
      </c>
      <c r="W239" s="15" t="n">
        <f aca="false">MAX(0,SUM(M233:M239)+Parametri_v3!$C$57*7/12)*Ipotesi!$C$93</f>
        <v>0</v>
      </c>
      <c r="X239" s="15" t="n">
        <f aca="false">V239+W239-(V238+W238)</f>
        <v>0</v>
      </c>
      <c r="Y239" s="15" t="n">
        <f aca="false">P239-X239</f>
        <v>-13405.2750386111</v>
      </c>
      <c r="Z239" s="15" t="n">
        <f aca="false">R239-T239+IF(AND(Parametri_v3!$C$40=1,D239-YEAR(Parametri_v3!$C$50)&lt;Parametri_v3!$C$41),MAX(0,-Q239),0)</f>
        <v>232703.038888889</v>
      </c>
      <c r="AA239" s="15" t="n">
        <f aca="false">S239-U239+IF(AND(Parametri_v3!$C$40=1,D239-YEAR(Parametri_v3!$C$50)&lt;Parametri_v3!$C$41),0,MAX(0,-Q239))</f>
        <v>217166.283548055</v>
      </c>
      <c r="AB239" s="15" t="n">
        <f aca="false">F239*(1+Parametri_v3!$C$26)</f>
        <v>70027.2375</v>
      </c>
      <c r="AC239" s="15" t="n">
        <f aca="false">(IF(55-(INT((Motore_Operativo!L239)/30))&lt;1,0,INDEX(Motore_Advisory!$AB$185:$AB$244,MAX(1,55-(INT((Motore_Operativo!L239)/30)))))*(1-(MOD((Motore_Operativo!L239),30)/30))+IF(55-(INT((Motore_Operativo!L239)/30))-1&lt;1,0,INDEX(Motore_Advisory!$AB$185:$AB$244,MAX(1,55-(INT((Motore_Operativo!L239)/30))-1)))*(MOD((Motore_Operativo!L239),30)/30))</f>
        <v>70027.2375</v>
      </c>
      <c r="AD239" s="15" t="n">
        <f aca="false">(AD238)+AB239-AC239</f>
        <v>280108.95</v>
      </c>
      <c r="AE239" s="15" t="n">
        <f aca="false">Motore_Operativo!BH239*(1+Parametri_v3!$C$26)</f>
        <v>7002.72375</v>
      </c>
      <c r="AF239" s="15" t="n">
        <f aca="false">(IF(55-(INT((Parametri_v3!$C$29)/30))&lt;1,0,INDEX(Motore_Operativo!$BH$185:$BH$244,MAX(1,55-(INT((Parametri_v3!$C$29)/30)))))*(1-(MOD((Parametri_v3!$C$29),30)/30))+IF(55-(INT((Parametri_v3!$C$29)/30))-1&lt;1,0,INDEX(Motore_Operativo!$BH$185:$BH$244,MAX(1,55-(INT((Parametri_v3!$C$29)/30))-1)))*(MOD((Parametri_v3!$C$29),30)/30))*(1+Parametri_v3!$C$26)</f>
        <v>7002.72375</v>
      </c>
      <c r="AG239" s="15" t="n">
        <f aca="false">(AG238)+AE239-AF239</f>
        <v>7002.72375</v>
      </c>
      <c r="AH239" s="15" t="n">
        <f aca="false">(Motore_Operativo!CK239)*(1+Parametri_v3!$C$28*Parametri_v3!$C$26)</f>
        <v>23699.0999</v>
      </c>
      <c r="AI239" s="15" t="n">
        <f aca="false">(IF(55-(INT((Ipotesi!$C$91)/30))&lt;1,0,INDEX(Motore_Advisory!$AH$185:$AH$244,MAX(1,55-(INT((Ipotesi!$C$91)/30)))))*(1-(MOD((Ipotesi!$C$91),30)/30))+IF(55-(INT((Ipotesi!$C$91)/30))-1&lt;1,0,INDEX(Motore_Advisory!$AH$185:$AH$244,MAX(1,55-(INT((Ipotesi!$C$91)/30))-1)))*(MOD((Ipotesi!$C$91),30)/30))</f>
        <v>23699.0999</v>
      </c>
      <c r="AJ239" s="15" t="n">
        <f aca="false">(AJ238)+AH239-AI239</f>
        <v>47398.1998</v>
      </c>
      <c r="AK239" s="15" t="n">
        <f aca="false">(F239- Motore_Operativo!BH239-(Motore_Operativo!CK239)*Parametri_v3!$C$28-Motore_Operativo!CF239)*Parametri_v3!$C$26</f>
        <v>7671.60551666667</v>
      </c>
      <c r="AL239" s="15" t="n">
        <f aca="false">MAX(0,(AM238))</f>
        <v>7671.60551666667</v>
      </c>
      <c r="AM239" s="15" t="n">
        <f aca="false">(AM238)+AK239-AL239</f>
        <v>7671.60551666667</v>
      </c>
      <c r="AN239" s="15" t="n">
        <f aca="false">SUM(X221:X232)</f>
        <v>0</v>
      </c>
      <c r="AO239" s="15" t="n">
        <f aca="false">SUM(AP221:AP232)</f>
        <v>0</v>
      </c>
      <c r="AP239" s="15" t="n">
        <f aca="false">MAX(0,AN239)*IF(7=Parametri_v3!$C$43,Parametri_v3!$C$45,IF(7=Parametri_v3!$C$44,1-Parametri_v3!$C$45,0))</f>
        <v>0</v>
      </c>
      <c r="AQ239" s="15" t="n">
        <f aca="false">MAX(0,AP239+IF(7=Parametri_v3!$C$43,MAX(0,AN239-AO239),0)-MAX(0,-(AR238)))</f>
        <v>0</v>
      </c>
      <c r="AR239" s="15" t="n">
        <f aca="false">(AR238)+X239-AQ239</f>
        <v>0</v>
      </c>
      <c r="AS239" s="15" t="n">
        <f aca="false">Motore_Operativo!AC239-AT239+AU239</f>
        <v>42145.6153144583</v>
      </c>
      <c r="AT239" s="15" t="n">
        <f aca="false">Motore_Operativo!CI239</f>
        <v>2218.19027970833</v>
      </c>
      <c r="AU239" s="15" t="n">
        <f aca="false">MIN(MAX(0,(AV238)+AT239),Parametri_v3!$C$61/12)</f>
        <v>0</v>
      </c>
      <c r="AV239" s="15" t="n">
        <f aca="false">(AV238)+AT239-AU239</f>
        <v>63804.1734829583</v>
      </c>
      <c r="AW239" s="15" t="n">
        <f aca="false">IF(AND(Motore_Operativo!C239=Finanziamenti!$D$7,Finanziamenti!$F$7=1),Finanziamenti!$C$7,0)</f>
        <v>0</v>
      </c>
      <c r="AX239" s="15" t="n">
        <f aca="false">0</f>
        <v>0</v>
      </c>
      <c r="AY239" s="15" t="n">
        <f aca="false">IF(7=Parametri_v3!$C$33,IF(BV239&lt;MIN(12,$B239-1),0,MIN(MAX(0,SUM(Y221:Y232))*Ipotesi!$C$94,MAX(0,(BM232)-(BO238)-BP239),MAX(0,BD239-Parametri_v3!$C$31))),0)</f>
        <v>0</v>
      </c>
      <c r="AZ239" s="15" t="n">
        <f aca="false">0</f>
        <v>0</v>
      </c>
      <c r="BA239" s="15" t="n">
        <f aca="false">0</f>
        <v>0</v>
      </c>
      <c r="BB239" s="15" t="n">
        <f aca="false">0</f>
        <v>0</v>
      </c>
      <c r="BC239" s="15" t="n">
        <f aca="false">0</f>
        <v>0</v>
      </c>
      <c r="BD239" s="15" t="n">
        <f aca="false">(BH238)+AC239-AF239-AI239-AS239-K239*(1+Parametri_v3!$C$26)-AL239-AQ239-O239+AW239+AX239+AZ239+BA239-BB239</f>
        <v>-594823.792109541</v>
      </c>
      <c r="BE239" s="15" t="n">
        <f aca="false">0</f>
        <v>0</v>
      </c>
      <c r="BF239" s="15" t="n">
        <f aca="false">0</f>
        <v>0</v>
      </c>
      <c r="BG239" s="15" t="n">
        <f aca="false">0</f>
        <v>0</v>
      </c>
      <c r="BH239" s="15" t="n">
        <f aca="false">BD239+BE239-BF239-AY239</f>
        <v>-594823.792109541</v>
      </c>
      <c r="BI239" s="15" t="n">
        <f aca="false">MAX(0,Parametri_v3!$C$31-BH239)</f>
        <v>604823.792109541</v>
      </c>
      <c r="BJ239" s="15" t="n">
        <f aca="false">(BJ238)+K239</f>
        <v>25666.6666666667</v>
      </c>
      <c r="BK239" s="15" t="n">
        <f aca="false">(BK238)+L239</f>
        <v>14944.4444444444</v>
      </c>
      <c r="BL239" s="15" t="n">
        <f aca="false">BJ239-BK239</f>
        <v>10722.2222222222</v>
      </c>
      <c r="BM239" s="15" t="n">
        <f aca="false">(BM238)+Y239</f>
        <v>-449869.322436944</v>
      </c>
      <c r="BN239" s="15" t="n">
        <f aca="false">(BN238)+AW239+AX239+AZ239</f>
        <v>20000</v>
      </c>
      <c r="BO239" s="15" t="n">
        <f aca="false">(BO238)+AY239</f>
        <v>0</v>
      </c>
      <c r="BP239" s="15" t="n">
        <f aca="false">MIN(Parametri_v3!$C$36*Parametri_v3!$C$35,(BP238)+IF(7=1,MAX(0,SUM(Y221:Y232))*Parametri_v3!$C$34,0))</f>
        <v>0</v>
      </c>
      <c r="BQ239" s="15" t="n">
        <f aca="false">BN239+BM239-BO239</f>
        <v>-429869.322436944</v>
      </c>
      <c r="BR239" s="15" t="n">
        <f aca="false">BH239+AD239+BL239+MAX(0,-AM239)+MAX(0,-AR239)</f>
        <v>-303992.619887319</v>
      </c>
      <c r="BS239" s="15" t="n">
        <f aca="false">AJ239+AV239+MAX(0,AM239)+MAX(0,AR239)+BC239+BG239+BQ239+AG239</f>
        <v>-303992.619887319</v>
      </c>
      <c r="BT239" s="15" t="n">
        <f aca="false">BR239-BS239</f>
        <v>0</v>
      </c>
      <c r="BU239" s="15" t="n">
        <f aca="false">BH239-(BD239+BE239-BF239-AY239)</f>
        <v>0</v>
      </c>
      <c r="BV239" s="15" t="n">
        <f aca="false">IF(BH238&lt;Parametri_v3!$C$31,0,BV238+1)</f>
        <v>0</v>
      </c>
    </row>
    <row r="240" customFormat="false" ht="18" hidden="false" customHeight="true" outlineLevel="0" collapsed="false">
      <c r="A240" s="68" t="n">
        <f aca="false">4</f>
        <v>4</v>
      </c>
      <c r="B240" s="68" t="n">
        <f aca="false">56</f>
        <v>56</v>
      </c>
      <c r="C240" s="18" t="n">
        <f aca="false">Motore_Operativo!C240</f>
        <v>48061</v>
      </c>
      <c r="D240" s="68" t="n">
        <f aca="false">Motore_Operativo!D240</f>
        <v>2031</v>
      </c>
      <c r="E240" s="68" t="n">
        <f aca="false">Motore_Operativo!E240</f>
        <v>8</v>
      </c>
      <c r="F240" s="15" t="n">
        <f aca="false">Motore_Operativo!AM240</f>
        <v>57399.375</v>
      </c>
      <c r="G240" s="15" t="n">
        <f aca="false">Motore_Operativo!BH240</f>
        <v>5739.9375</v>
      </c>
      <c r="H240" s="15" t="n">
        <f aca="false">Motore_Operativo!AM240</f>
        <v>57399.375</v>
      </c>
      <c r="I240" s="15" t="n">
        <f aca="false">Motore_Operativo!CB240</f>
        <v>70256.0389275</v>
      </c>
      <c r="J240" s="15" t="n">
        <f aca="false">Motore_Operativo!CD240</f>
        <v>-12856.6639275</v>
      </c>
      <c r="K240" s="15" t="n">
        <f aca="false">Motore_Operativo!CF240</f>
        <v>666.666666666667</v>
      </c>
      <c r="L240" s="15" t="n">
        <f aca="false">SUM(INDEX($K$185:$K$244,MAX(1,56-Parametri_v3!$C$59+1)):K240)/Parametri_v3!$C$59</f>
        <v>555.555555555556</v>
      </c>
      <c r="M240" s="15" t="n">
        <f aca="false">J240-L240</f>
        <v>-13412.2194830556</v>
      </c>
      <c r="N240" s="15" t="n">
        <f aca="false">0</f>
        <v>0</v>
      </c>
      <c r="O240" s="15" t="n">
        <f aca="false">0</f>
        <v>0</v>
      </c>
      <c r="P240" s="15" t="n">
        <f aca="false">M240+N240-O240</f>
        <v>-13412.2194830556</v>
      </c>
      <c r="Q240" s="15" t="n">
        <f aca="false">SUM(P233:P240)+Parametri_v3!$C$56*8/12</f>
        <v>-107103.31142</v>
      </c>
      <c r="R240" s="15" t="n">
        <f aca="false">Z232</f>
        <v>232703.038888889</v>
      </c>
      <c r="S240" s="15" t="n">
        <f aca="false">AA232</f>
        <v>123475.191611111</v>
      </c>
      <c r="T240" s="15" t="n">
        <f aca="false">MIN(R240,MAX(0,Q240))</f>
        <v>0</v>
      </c>
      <c r="U240" s="15" t="n">
        <f aca="false">MIN(S240,MAX(0,Q240-T240)*Parametri_v3!$C$42)</f>
        <v>0</v>
      </c>
      <c r="V240" s="15" t="n">
        <f aca="false">MAX(0,Q240-T240-U240)*Ipotesi!$C$92</f>
        <v>0</v>
      </c>
      <c r="W240" s="15" t="n">
        <f aca="false">MAX(0,SUM(M233:M240)+Parametri_v3!$C$57*8/12)*Ipotesi!$C$93</f>
        <v>0</v>
      </c>
      <c r="X240" s="15" t="n">
        <f aca="false">V240+W240-(V239+W239)</f>
        <v>0</v>
      </c>
      <c r="Y240" s="15" t="n">
        <f aca="false">P240-X240</f>
        <v>-13412.2194830556</v>
      </c>
      <c r="Z240" s="15" t="n">
        <f aca="false">R240-T240+IF(AND(Parametri_v3!$C$40=1,D240-YEAR(Parametri_v3!$C$50)&lt;Parametri_v3!$C$41),MAX(0,-Q240),0)</f>
        <v>232703.038888889</v>
      </c>
      <c r="AA240" s="15" t="n">
        <f aca="false">S240-U240+IF(AND(Parametri_v3!$C$40=1,D240-YEAR(Parametri_v3!$C$50)&lt;Parametri_v3!$C$41),0,MAX(0,-Q240))</f>
        <v>230578.503031111</v>
      </c>
      <c r="AB240" s="15" t="n">
        <f aca="false">F240*(1+Parametri_v3!$C$26)</f>
        <v>70027.2375</v>
      </c>
      <c r="AC240" s="15" t="n">
        <f aca="false">(IF(56-(INT((Motore_Operativo!L240)/30))&lt;1,0,INDEX(Motore_Advisory!$AB$185:$AB$244,MAX(1,56-(INT((Motore_Operativo!L240)/30)))))*(1-(MOD((Motore_Operativo!L240),30)/30))+IF(56-(INT((Motore_Operativo!L240)/30))-1&lt;1,0,INDEX(Motore_Advisory!$AB$185:$AB$244,MAX(1,56-(INT((Motore_Operativo!L240)/30))-1)))*(MOD((Motore_Operativo!L240),30)/30))</f>
        <v>70027.2375</v>
      </c>
      <c r="AD240" s="15" t="n">
        <f aca="false">(AD239)+AB240-AC240</f>
        <v>280108.95</v>
      </c>
      <c r="AE240" s="15" t="n">
        <f aca="false">Motore_Operativo!BH240*(1+Parametri_v3!$C$26)</f>
        <v>7002.72375</v>
      </c>
      <c r="AF240" s="15" t="n">
        <f aca="false">(IF(56-(INT((Parametri_v3!$C$29)/30))&lt;1,0,INDEX(Motore_Operativo!$BH$185:$BH$244,MAX(1,56-(INT((Parametri_v3!$C$29)/30)))))*(1-(MOD((Parametri_v3!$C$29),30)/30))+IF(56-(INT((Parametri_v3!$C$29)/30))-1&lt;1,0,INDEX(Motore_Operativo!$BH$185:$BH$244,MAX(1,56-(INT((Parametri_v3!$C$29)/30))-1)))*(MOD((Parametri_v3!$C$29),30)/30))*(1+Parametri_v3!$C$26)</f>
        <v>7002.72375</v>
      </c>
      <c r="AG240" s="15" t="n">
        <f aca="false">(AG239)+AE240-AF240</f>
        <v>7002.72375</v>
      </c>
      <c r="AH240" s="15" t="n">
        <f aca="false">(Motore_Operativo!CK240)*(1+Parametri_v3!$C$28*Parametri_v3!$C$26)</f>
        <v>23699.0999</v>
      </c>
      <c r="AI240" s="15" t="n">
        <f aca="false">(IF(56-(INT((Ipotesi!$C$91)/30))&lt;1,0,INDEX(Motore_Advisory!$AH$185:$AH$244,MAX(1,56-(INT((Ipotesi!$C$91)/30)))))*(1-(MOD((Ipotesi!$C$91),30)/30))+IF(56-(INT((Ipotesi!$C$91)/30))-1&lt;1,0,INDEX(Motore_Advisory!$AH$185:$AH$244,MAX(1,56-(INT((Ipotesi!$C$91)/30))-1)))*(MOD((Ipotesi!$C$91),30)/30))</f>
        <v>23699.0999</v>
      </c>
      <c r="AJ240" s="15" t="n">
        <f aca="false">(AJ239)+AH240-AI240</f>
        <v>47398.1998</v>
      </c>
      <c r="AK240" s="15" t="n">
        <f aca="false">(F240- Motore_Operativo!BH240-(Motore_Operativo!CK240)*Parametri_v3!$C$28-Motore_Operativo!CF240)*Parametri_v3!$C$26</f>
        <v>7671.60551666667</v>
      </c>
      <c r="AL240" s="15" t="n">
        <f aca="false">MAX(0,(AM239))</f>
        <v>7671.60551666667</v>
      </c>
      <c r="AM240" s="15" t="n">
        <f aca="false">(AM239)+AK240-AL240</f>
        <v>7671.60551666667</v>
      </c>
      <c r="AN240" s="15" t="n">
        <f aca="false">SUM(X221:X232)</f>
        <v>0</v>
      </c>
      <c r="AO240" s="15" t="n">
        <f aca="false">SUM(AP221:AP232)</f>
        <v>0</v>
      </c>
      <c r="AP240" s="15" t="n">
        <f aca="false">MAX(0,AN240)*IF(8=Parametri_v3!$C$43,Parametri_v3!$C$45,IF(8=Parametri_v3!$C$44,1-Parametri_v3!$C$45,0))</f>
        <v>0</v>
      </c>
      <c r="AQ240" s="15" t="n">
        <f aca="false">MAX(0,AP240+IF(8=Parametri_v3!$C$43,MAX(0,AN240-AO240),0)-MAX(0,-(AR239)))</f>
        <v>0</v>
      </c>
      <c r="AR240" s="15" t="n">
        <f aca="false">(AR239)+X240-AQ240</f>
        <v>0</v>
      </c>
      <c r="AS240" s="15" t="n">
        <f aca="false">Motore_Operativo!AC240-AT240+AU240</f>
        <v>42145.6153144583</v>
      </c>
      <c r="AT240" s="15" t="n">
        <f aca="false">Motore_Operativo!CI240</f>
        <v>2218.19027970833</v>
      </c>
      <c r="AU240" s="15" t="n">
        <f aca="false">MIN(MAX(0,(AV239)+AT240),Parametri_v3!$C$61/12)</f>
        <v>0</v>
      </c>
      <c r="AV240" s="15" t="n">
        <f aca="false">(AV239)+AT240-AU240</f>
        <v>66022.3637626667</v>
      </c>
      <c r="AW240" s="15" t="n">
        <f aca="false">IF(AND(Motore_Operativo!C240=Finanziamenti!$D$7,Finanziamenti!$F$7=1),Finanziamenti!$C$7,0)</f>
        <v>0</v>
      </c>
      <c r="AX240" s="15" t="n">
        <f aca="false">0</f>
        <v>0</v>
      </c>
      <c r="AY240" s="15" t="n">
        <f aca="false">IF(8=Parametri_v3!$C$33,IF(BV240&lt;MIN(12,$B240-1),0,MIN(MAX(0,SUM(Y221:Y232))*Ipotesi!$C$94,MAX(0,(BM232)-(BO239)-BP240),MAX(0,BD240-Parametri_v3!$C$31))),0)</f>
        <v>0</v>
      </c>
      <c r="AZ240" s="15" t="n">
        <f aca="false">0</f>
        <v>0</v>
      </c>
      <c r="BA240" s="15" t="n">
        <f aca="false">0</f>
        <v>0</v>
      </c>
      <c r="BB240" s="15" t="n">
        <f aca="false">0</f>
        <v>0</v>
      </c>
      <c r="BC240" s="15" t="n">
        <f aca="false">0</f>
        <v>0</v>
      </c>
      <c r="BD240" s="15" t="n">
        <f aca="false">(BH239)+AC240-AF240-AI240-AS240-K240*(1+Parametri_v3!$C$26)-AL240-AQ240-O240+AW240+AX240+AZ240+BA240-BB240</f>
        <v>-606128.932423999</v>
      </c>
      <c r="BE240" s="15" t="n">
        <f aca="false">0</f>
        <v>0</v>
      </c>
      <c r="BF240" s="15" t="n">
        <f aca="false">0</f>
        <v>0</v>
      </c>
      <c r="BG240" s="15" t="n">
        <f aca="false">0</f>
        <v>0</v>
      </c>
      <c r="BH240" s="15" t="n">
        <f aca="false">BD240+BE240-BF240-AY240</f>
        <v>-606128.932423999</v>
      </c>
      <c r="BI240" s="15" t="n">
        <f aca="false">MAX(0,Parametri_v3!$C$31-BH240)</f>
        <v>616128.932423999</v>
      </c>
      <c r="BJ240" s="15" t="n">
        <f aca="false">(BJ239)+K240</f>
        <v>26333.3333333333</v>
      </c>
      <c r="BK240" s="15" t="n">
        <f aca="false">(BK239)+L240</f>
        <v>15500</v>
      </c>
      <c r="BL240" s="15" t="n">
        <f aca="false">BJ240-BK240</f>
        <v>10833.3333333333</v>
      </c>
      <c r="BM240" s="15" t="n">
        <f aca="false">(BM239)+Y240</f>
        <v>-463281.54192</v>
      </c>
      <c r="BN240" s="15" t="n">
        <f aca="false">(BN239)+AW240+AX240+AZ240</f>
        <v>20000</v>
      </c>
      <c r="BO240" s="15" t="n">
        <f aca="false">(BO239)+AY240</f>
        <v>0</v>
      </c>
      <c r="BP240" s="15" t="n">
        <f aca="false">MIN(Parametri_v3!$C$36*Parametri_v3!$C$35,(BP239)+IF(8=1,MAX(0,SUM(Y221:Y232))*Parametri_v3!$C$34,0))</f>
        <v>0</v>
      </c>
      <c r="BQ240" s="15" t="n">
        <f aca="false">BN240+BM240-BO240</f>
        <v>-443281.54192</v>
      </c>
      <c r="BR240" s="15" t="n">
        <f aca="false">BH240+AD240+BL240+MAX(0,-AM240)+MAX(0,-AR240)</f>
        <v>-315186.649090666</v>
      </c>
      <c r="BS240" s="15" t="n">
        <f aca="false">AJ240+AV240+MAX(0,AM240)+MAX(0,AR240)+BC240+BG240+BQ240+AG240</f>
        <v>-315186.649090666</v>
      </c>
      <c r="BT240" s="15" t="n">
        <f aca="false">BR240-BS240</f>
        <v>0</v>
      </c>
      <c r="BU240" s="15" t="n">
        <f aca="false">BH240-(BD240+BE240-BF240-AY240)</f>
        <v>0</v>
      </c>
      <c r="BV240" s="15" t="n">
        <f aca="false">IF(BH239&lt;Parametri_v3!$C$31,0,BV239+1)</f>
        <v>0</v>
      </c>
    </row>
    <row r="241" customFormat="false" ht="18" hidden="false" customHeight="true" outlineLevel="0" collapsed="false">
      <c r="A241" s="68" t="n">
        <f aca="false">4</f>
        <v>4</v>
      </c>
      <c r="B241" s="68" t="n">
        <f aca="false">57</f>
        <v>57</v>
      </c>
      <c r="C241" s="18" t="n">
        <f aca="false">Motore_Operativo!C241</f>
        <v>48092</v>
      </c>
      <c r="D241" s="68" t="n">
        <f aca="false">Motore_Operativo!D241</f>
        <v>2031</v>
      </c>
      <c r="E241" s="68" t="n">
        <f aca="false">Motore_Operativo!E241</f>
        <v>9</v>
      </c>
      <c r="F241" s="15" t="n">
        <f aca="false">Motore_Operativo!AM241</f>
        <v>57399.375</v>
      </c>
      <c r="G241" s="15" t="n">
        <f aca="false">Motore_Operativo!BH241</f>
        <v>5739.9375</v>
      </c>
      <c r="H241" s="15" t="n">
        <f aca="false">Motore_Operativo!AM241</f>
        <v>57399.375</v>
      </c>
      <c r="I241" s="15" t="n">
        <f aca="false">Motore_Operativo!CB241</f>
        <v>70256.0389275</v>
      </c>
      <c r="J241" s="15" t="n">
        <f aca="false">Motore_Operativo!CD241</f>
        <v>-12856.6639275</v>
      </c>
      <c r="K241" s="15" t="n">
        <f aca="false">Motore_Operativo!CF241</f>
        <v>666.666666666667</v>
      </c>
      <c r="L241" s="15" t="n">
        <f aca="false">SUM(INDEX($K$185:$K$244,MAX(1,57-Parametri_v3!$C$59+1)):K241)/Parametri_v3!$C$59</f>
        <v>562.5</v>
      </c>
      <c r="M241" s="15" t="n">
        <f aca="false">J241-L241</f>
        <v>-13419.1639275</v>
      </c>
      <c r="N241" s="15" t="n">
        <f aca="false">0</f>
        <v>0</v>
      </c>
      <c r="O241" s="15" t="n">
        <f aca="false">0</f>
        <v>0</v>
      </c>
      <c r="P241" s="15" t="n">
        <f aca="false">M241+N241-O241</f>
        <v>-13419.1639275</v>
      </c>
      <c r="Q241" s="15" t="n">
        <f aca="false">SUM(P233:P241)+Parametri_v3!$C$56*9/12</f>
        <v>-120522.4753475</v>
      </c>
      <c r="R241" s="15" t="n">
        <f aca="false">Z232</f>
        <v>232703.038888889</v>
      </c>
      <c r="S241" s="15" t="n">
        <f aca="false">AA232</f>
        <v>123475.191611111</v>
      </c>
      <c r="T241" s="15" t="n">
        <f aca="false">MIN(R241,MAX(0,Q241))</f>
        <v>0</v>
      </c>
      <c r="U241" s="15" t="n">
        <f aca="false">MIN(S241,MAX(0,Q241-T241)*Parametri_v3!$C$42)</f>
        <v>0</v>
      </c>
      <c r="V241" s="15" t="n">
        <f aca="false">MAX(0,Q241-T241-U241)*Ipotesi!$C$92</f>
        <v>0</v>
      </c>
      <c r="W241" s="15" t="n">
        <f aca="false">MAX(0,SUM(M233:M241)+Parametri_v3!$C$57*9/12)*Ipotesi!$C$93</f>
        <v>0</v>
      </c>
      <c r="X241" s="15" t="n">
        <f aca="false">V241+W241-(V240+W240)</f>
        <v>0</v>
      </c>
      <c r="Y241" s="15" t="n">
        <f aca="false">P241-X241</f>
        <v>-13419.1639275</v>
      </c>
      <c r="Z241" s="15" t="n">
        <f aca="false">R241-T241+IF(AND(Parametri_v3!$C$40=1,D241-YEAR(Parametri_v3!$C$50)&lt;Parametri_v3!$C$41),MAX(0,-Q241),0)</f>
        <v>232703.038888889</v>
      </c>
      <c r="AA241" s="15" t="n">
        <f aca="false">S241-U241+IF(AND(Parametri_v3!$C$40=1,D241-YEAR(Parametri_v3!$C$50)&lt;Parametri_v3!$C$41),0,MAX(0,-Q241))</f>
        <v>243997.666958611</v>
      </c>
      <c r="AB241" s="15" t="n">
        <f aca="false">F241*(1+Parametri_v3!$C$26)</f>
        <v>70027.2375</v>
      </c>
      <c r="AC241" s="15" t="n">
        <f aca="false">(IF(57-(INT((Motore_Operativo!L241)/30))&lt;1,0,INDEX(Motore_Advisory!$AB$185:$AB$244,MAX(1,57-(INT((Motore_Operativo!L241)/30)))))*(1-(MOD((Motore_Operativo!L241),30)/30))+IF(57-(INT((Motore_Operativo!L241)/30))-1&lt;1,0,INDEX(Motore_Advisory!$AB$185:$AB$244,MAX(1,57-(INT((Motore_Operativo!L241)/30))-1)))*(MOD((Motore_Operativo!L241),30)/30))</f>
        <v>70027.2375</v>
      </c>
      <c r="AD241" s="15" t="n">
        <f aca="false">(AD240)+AB241-AC241</f>
        <v>280108.95</v>
      </c>
      <c r="AE241" s="15" t="n">
        <f aca="false">Motore_Operativo!BH241*(1+Parametri_v3!$C$26)</f>
        <v>7002.72375</v>
      </c>
      <c r="AF241" s="15" t="n">
        <f aca="false">(IF(57-(INT((Parametri_v3!$C$29)/30))&lt;1,0,INDEX(Motore_Operativo!$BH$185:$BH$244,MAX(1,57-(INT((Parametri_v3!$C$29)/30)))))*(1-(MOD((Parametri_v3!$C$29),30)/30))+IF(57-(INT((Parametri_v3!$C$29)/30))-1&lt;1,0,INDEX(Motore_Operativo!$BH$185:$BH$244,MAX(1,57-(INT((Parametri_v3!$C$29)/30))-1)))*(MOD((Parametri_v3!$C$29),30)/30))*(1+Parametri_v3!$C$26)</f>
        <v>7002.72375</v>
      </c>
      <c r="AG241" s="15" t="n">
        <f aca="false">(AG240)+AE241-AF241</f>
        <v>7002.72375</v>
      </c>
      <c r="AH241" s="15" t="n">
        <f aca="false">(Motore_Operativo!CK241)*(1+Parametri_v3!$C$28*Parametri_v3!$C$26)</f>
        <v>23699.0999</v>
      </c>
      <c r="AI241" s="15" t="n">
        <f aca="false">(IF(57-(INT((Ipotesi!$C$91)/30))&lt;1,0,INDEX(Motore_Advisory!$AH$185:$AH$244,MAX(1,57-(INT((Ipotesi!$C$91)/30)))))*(1-(MOD((Ipotesi!$C$91),30)/30))+IF(57-(INT((Ipotesi!$C$91)/30))-1&lt;1,0,INDEX(Motore_Advisory!$AH$185:$AH$244,MAX(1,57-(INT((Ipotesi!$C$91)/30))-1)))*(MOD((Ipotesi!$C$91),30)/30))</f>
        <v>23699.0999</v>
      </c>
      <c r="AJ241" s="15" t="n">
        <f aca="false">(AJ240)+AH241-AI241</f>
        <v>47398.1998</v>
      </c>
      <c r="AK241" s="15" t="n">
        <f aca="false">(F241- Motore_Operativo!BH241-(Motore_Operativo!CK241)*Parametri_v3!$C$28-Motore_Operativo!CF241)*Parametri_v3!$C$26</f>
        <v>7671.60551666667</v>
      </c>
      <c r="AL241" s="15" t="n">
        <f aca="false">MAX(0,(AM240))</f>
        <v>7671.60551666667</v>
      </c>
      <c r="AM241" s="15" t="n">
        <f aca="false">(AM240)+AK241-AL241</f>
        <v>7671.60551666667</v>
      </c>
      <c r="AN241" s="15" t="n">
        <f aca="false">SUM(X221:X232)</f>
        <v>0</v>
      </c>
      <c r="AO241" s="15" t="n">
        <f aca="false">SUM(AP221:AP232)</f>
        <v>0</v>
      </c>
      <c r="AP241" s="15" t="n">
        <f aca="false">MAX(0,AN241)*IF(9=Parametri_v3!$C$43,Parametri_v3!$C$45,IF(9=Parametri_v3!$C$44,1-Parametri_v3!$C$45,0))</f>
        <v>0</v>
      </c>
      <c r="AQ241" s="15" t="n">
        <f aca="false">MAX(0,AP241+IF(9=Parametri_v3!$C$43,MAX(0,AN241-AO241),0)-MAX(0,-(AR240)))</f>
        <v>0</v>
      </c>
      <c r="AR241" s="15" t="n">
        <f aca="false">(AR240)+X241-AQ241</f>
        <v>0</v>
      </c>
      <c r="AS241" s="15" t="n">
        <f aca="false">Motore_Operativo!AC241-AT241+AU241</f>
        <v>42145.6153144583</v>
      </c>
      <c r="AT241" s="15" t="n">
        <f aca="false">Motore_Operativo!CI241</f>
        <v>2218.19027970833</v>
      </c>
      <c r="AU241" s="15" t="n">
        <f aca="false">MIN(MAX(0,(AV240)+AT241),Parametri_v3!$C$61/12)</f>
        <v>0</v>
      </c>
      <c r="AV241" s="15" t="n">
        <f aca="false">(AV240)+AT241-AU241</f>
        <v>68240.554042375</v>
      </c>
      <c r="AW241" s="15" t="n">
        <f aca="false">IF(AND(Motore_Operativo!C241=Finanziamenti!$D$7,Finanziamenti!$F$7=1),Finanziamenti!$C$7,0)</f>
        <v>0</v>
      </c>
      <c r="AX241" s="15" t="n">
        <f aca="false">0</f>
        <v>0</v>
      </c>
      <c r="AY241" s="15" t="n">
        <f aca="false">IF(9=Parametri_v3!$C$33,IF(BV241&lt;MIN(12,$B241-1),0,MIN(MAX(0,SUM(Y221:Y232))*Ipotesi!$C$94,MAX(0,(BM232)-(BO240)-BP241),MAX(0,BD241-Parametri_v3!$C$31))),0)</f>
        <v>0</v>
      </c>
      <c r="AZ241" s="15" t="n">
        <f aca="false">0</f>
        <v>0</v>
      </c>
      <c r="BA241" s="15" t="n">
        <f aca="false">0</f>
        <v>0</v>
      </c>
      <c r="BB241" s="15" t="n">
        <f aca="false">0</f>
        <v>0</v>
      </c>
      <c r="BC241" s="15" t="n">
        <f aca="false">0</f>
        <v>0</v>
      </c>
      <c r="BD241" s="15" t="n">
        <f aca="false">(BH240)+AC241-AF241-AI241-AS241-K241*(1+Parametri_v3!$C$26)-AL241-AQ241-O241+AW241+AX241+AZ241+BA241-BB241</f>
        <v>-617434.072738458</v>
      </c>
      <c r="BE241" s="15" t="n">
        <f aca="false">0</f>
        <v>0</v>
      </c>
      <c r="BF241" s="15" t="n">
        <f aca="false">0</f>
        <v>0</v>
      </c>
      <c r="BG241" s="15" t="n">
        <f aca="false">0</f>
        <v>0</v>
      </c>
      <c r="BH241" s="15" t="n">
        <f aca="false">BD241+BE241-BF241-AY241</f>
        <v>-617434.072738458</v>
      </c>
      <c r="BI241" s="15" t="n">
        <f aca="false">MAX(0,Parametri_v3!$C$31-BH241)</f>
        <v>627434.072738458</v>
      </c>
      <c r="BJ241" s="15" t="n">
        <f aca="false">(BJ240)+K241</f>
        <v>27000</v>
      </c>
      <c r="BK241" s="15" t="n">
        <f aca="false">(BK240)+L241</f>
        <v>16062.5</v>
      </c>
      <c r="BL241" s="15" t="n">
        <f aca="false">BJ241-BK241</f>
        <v>10937.5</v>
      </c>
      <c r="BM241" s="15" t="n">
        <f aca="false">(BM240)+Y241</f>
        <v>-476700.7058475</v>
      </c>
      <c r="BN241" s="15" t="n">
        <f aca="false">(BN240)+AW241+AX241+AZ241</f>
        <v>20000</v>
      </c>
      <c r="BO241" s="15" t="n">
        <f aca="false">(BO240)+AY241</f>
        <v>0</v>
      </c>
      <c r="BP241" s="15" t="n">
        <f aca="false">MIN(Parametri_v3!$C$36*Parametri_v3!$C$35,(BP240)+IF(9=1,MAX(0,SUM(Y221:Y232))*Parametri_v3!$C$34,0))</f>
        <v>0</v>
      </c>
      <c r="BQ241" s="15" t="n">
        <f aca="false">BN241+BM241-BO241</f>
        <v>-456700.7058475</v>
      </c>
      <c r="BR241" s="15" t="n">
        <f aca="false">BH241+AD241+BL241+MAX(0,-AM241)+MAX(0,-AR241)</f>
        <v>-326387.622738458</v>
      </c>
      <c r="BS241" s="15" t="n">
        <f aca="false">AJ241+AV241+MAX(0,AM241)+MAX(0,AR241)+BC241+BG241+BQ241+AG241</f>
        <v>-326387.622738458</v>
      </c>
      <c r="BT241" s="15" t="n">
        <f aca="false">BR241-BS241</f>
        <v>0</v>
      </c>
      <c r="BU241" s="15" t="n">
        <f aca="false">BH241-(BD241+BE241-BF241-AY241)</f>
        <v>0</v>
      </c>
      <c r="BV241" s="15" t="n">
        <f aca="false">IF(BH240&lt;Parametri_v3!$C$31,0,BV240+1)</f>
        <v>0</v>
      </c>
    </row>
    <row r="242" customFormat="false" ht="18" hidden="false" customHeight="true" outlineLevel="0" collapsed="false">
      <c r="A242" s="68" t="n">
        <f aca="false">4</f>
        <v>4</v>
      </c>
      <c r="B242" s="68" t="n">
        <f aca="false">58</f>
        <v>58</v>
      </c>
      <c r="C242" s="18" t="n">
        <f aca="false">Motore_Operativo!C242</f>
        <v>48122</v>
      </c>
      <c r="D242" s="68" t="n">
        <f aca="false">Motore_Operativo!D242</f>
        <v>2031</v>
      </c>
      <c r="E242" s="68" t="n">
        <f aca="false">Motore_Operativo!E242</f>
        <v>10</v>
      </c>
      <c r="F242" s="15" t="n">
        <f aca="false">Motore_Operativo!AM242</f>
        <v>57399.375</v>
      </c>
      <c r="G242" s="15" t="n">
        <f aca="false">Motore_Operativo!BH242</f>
        <v>5739.9375</v>
      </c>
      <c r="H242" s="15" t="n">
        <f aca="false">Motore_Operativo!AM242</f>
        <v>57399.375</v>
      </c>
      <c r="I242" s="15" t="n">
        <f aca="false">Motore_Operativo!CB242</f>
        <v>70256.0389275</v>
      </c>
      <c r="J242" s="15" t="n">
        <f aca="false">Motore_Operativo!CD242</f>
        <v>-12856.6639275</v>
      </c>
      <c r="K242" s="15" t="n">
        <f aca="false">Motore_Operativo!CF242</f>
        <v>666.666666666667</v>
      </c>
      <c r="L242" s="15" t="n">
        <f aca="false">SUM(INDEX($K$185:$K$244,MAX(1,58-Parametri_v3!$C$59+1)):K242)/Parametri_v3!$C$59</f>
        <v>569.444444444445</v>
      </c>
      <c r="M242" s="15" t="n">
        <f aca="false">J242-L242</f>
        <v>-13426.1083719444</v>
      </c>
      <c r="N242" s="15" t="n">
        <f aca="false">0</f>
        <v>0</v>
      </c>
      <c r="O242" s="15" t="n">
        <f aca="false">0</f>
        <v>0</v>
      </c>
      <c r="P242" s="15" t="n">
        <f aca="false">M242+N242-O242</f>
        <v>-13426.1083719444</v>
      </c>
      <c r="Q242" s="15" t="n">
        <f aca="false">SUM(P233:P242)+Parametri_v3!$C$56*10/12</f>
        <v>-133948.583719444</v>
      </c>
      <c r="R242" s="15" t="n">
        <f aca="false">Z232</f>
        <v>232703.038888889</v>
      </c>
      <c r="S242" s="15" t="n">
        <f aca="false">AA232</f>
        <v>123475.191611111</v>
      </c>
      <c r="T242" s="15" t="n">
        <f aca="false">MIN(R242,MAX(0,Q242))</f>
        <v>0</v>
      </c>
      <c r="U242" s="15" t="n">
        <f aca="false">MIN(S242,MAX(0,Q242-T242)*Parametri_v3!$C$42)</f>
        <v>0</v>
      </c>
      <c r="V242" s="15" t="n">
        <f aca="false">MAX(0,Q242-T242-U242)*Ipotesi!$C$92</f>
        <v>0</v>
      </c>
      <c r="W242" s="15" t="n">
        <f aca="false">MAX(0,SUM(M233:M242)+Parametri_v3!$C$57*10/12)*Ipotesi!$C$93</f>
        <v>0</v>
      </c>
      <c r="X242" s="15" t="n">
        <f aca="false">V242+W242-(V241+W241)</f>
        <v>0</v>
      </c>
      <c r="Y242" s="15" t="n">
        <f aca="false">P242-X242</f>
        <v>-13426.1083719444</v>
      </c>
      <c r="Z242" s="15" t="n">
        <f aca="false">R242-T242+IF(AND(Parametri_v3!$C$40=1,D242-YEAR(Parametri_v3!$C$50)&lt;Parametri_v3!$C$41),MAX(0,-Q242),0)</f>
        <v>232703.038888889</v>
      </c>
      <c r="AA242" s="15" t="n">
        <f aca="false">S242-U242+IF(AND(Parametri_v3!$C$40=1,D242-YEAR(Parametri_v3!$C$50)&lt;Parametri_v3!$C$41),0,MAX(0,-Q242))</f>
        <v>257423.775330555</v>
      </c>
      <c r="AB242" s="15" t="n">
        <f aca="false">F242*(1+Parametri_v3!$C$26)</f>
        <v>70027.2375</v>
      </c>
      <c r="AC242" s="15" t="n">
        <f aca="false">(IF(58-(INT((Motore_Operativo!L242)/30))&lt;1,0,INDEX(Motore_Advisory!$AB$185:$AB$244,MAX(1,58-(INT((Motore_Operativo!L242)/30)))))*(1-(MOD((Motore_Operativo!L242),30)/30))+IF(58-(INT((Motore_Operativo!L242)/30))-1&lt;1,0,INDEX(Motore_Advisory!$AB$185:$AB$244,MAX(1,58-(INT((Motore_Operativo!L242)/30))-1)))*(MOD((Motore_Operativo!L242),30)/30))</f>
        <v>70027.2375</v>
      </c>
      <c r="AD242" s="15" t="n">
        <f aca="false">(AD241)+AB242-AC242</f>
        <v>280108.95</v>
      </c>
      <c r="AE242" s="15" t="n">
        <f aca="false">Motore_Operativo!BH242*(1+Parametri_v3!$C$26)</f>
        <v>7002.72375</v>
      </c>
      <c r="AF242" s="15" t="n">
        <f aca="false">(IF(58-(INT((Parametri_v3!$C$29)/30))&lt;1,0,INDEX(Motore_Operativo!$BH$185:$BH$244,MAX(1,58-(INT((Parametri_v3!$C$29)/30)))))*(1-(MOD((Parametri_v3!$C$29),30)/30))+IF(58-(INT((Parametri_v3!$C$29)/30))-1&lt;1,0,INDEX(Motore_Operativo!$BH$185:$BH$244,MAX(1,58-(INT((Parametri_v3!$C$29)/30))-1)))*(MOD((Parametri_v3!$C$29),30)/30))*(1+Parametri_v3!$C$26)</f>
        <v>7002.72375</v>
      </c>
      <c r="AG242" s="15" t="n">
        <f aca="false">(AG241)+AE242-AF242</f>
        <v>7002.72375</v>
      </c>
      <c r="AH242" s="15" t="n">
        <f aca="false">(Motore_Operativo!CK242)*(1+Parametri_v3!$C$28*Parametri_v3!$C$26)</f>
        <v>23699.0999</v>
      </c>
      <c r="AI242" s="15" t="n">
        <f aca="false">(IF(58-(INT((Ipotesi!$C$91)/30))&lt;1,0,INDEX(Motore_Advisory!$AH$185:$AH$244,MAX(1,58-(INT((Ipotesi!$C$91)/30)))))*(1-(MOD((Ipotesi!$C$91),30)/30))+IF(58-(INT((Ipotesi!$C$91)/30))-1&lt;1,0,INDEX(Motore_Advisory!$AH$185:$AH$244,MAX(1,58-(INT((Ipotesi!$C$91)/30))-1)))*(MOD((Ipotesi!$C$91),30)/30))</f>
        <v>23699.0999</v>
      </c>
      <c r="AJ242" s="15" t="n">
        <f aca="false">(AJ241)+AH242-AI242</f>
        <v>47398.1998</v>
      </c>
      <c r="AK242" s="15" t="n">
        <f aca="false">(F242- Motore_Operativo!BH242-(Motore_Operativo!CK242)*Parametri_v3!$C$28-Motore_Operativo!CF242)*Parametri_v3!$C$26</f>
        <v>7671.60551666667</v>
      </c>
      <c r="AL242" s="15" t="n">
        <f aca="false">MAX(0,(AM241))</f>
        <v>7671.60551666667</v>
      </c>
      <c r="AM242" s="15" t="n">
        <f aca="false">(AM241)+AK242-AL242</f>
        <v>7671.60551666667</v>
      </c>
      <c r="AN242" s="15" t="n">
        <f aca="false">SUM(X221:X232)</f>
        <v>0</v>
      </c>
      <c r="AO242" s="15" t="n">
        <f aca="false">SUM(AP221:AP232)</f>
        <v>0</v>
      </c>
      <c r="AP242" s="15" t="n">
        <f aca="false">MAX(0,AN242)*IF(10=Parametri_v3!$C$43,Parametri_v3!$C$45,IF(10=Parametri_v3!$C$44,1-Parametri_v3!$C$45,0))</f>
        <v>0</v>
      </c>
      <c r="AQ242" s="15" t="n">
        <f aca="false">MAX(0,AP242+IF(10=Parametri_v3!$C$43,MAX(0,AN242-AO242),0)-MAX(0,-(AR241)))</f>
        <v>0</v>
      </c>
      <c r="AR242" s="15" t="n">
        <f aca="false">(AR241)+X242-AQ242</f>
        <v>0</v>
      </c>
      <c r="AS242" s="15" t="n">
        <f aca="false">Motore_Operativo!AC242-AT242+AU242</f>
        <v>42145.6153144583</v>
      </c>
      <c r="AT242" s="15" t="n">
        <f aca="false">Motore_Operativo!CI242</f>
        <v>2218.19027970833</v>
      </c>
      <c r="AU242" s="15" t="n">
        <f aca="false">MIN(MAX(0,(AV241)+AT242),Parametri_v3!$C$61/12)</f>
        <v>0</v>
      </c>
      <c r="AV242" s="15" t="n">
        <f aca="false">(AV241)+AT242-AU242</f>
        <v>70458.7443220833</v>
      </c>
      <c r="AW242" s="15" t="n">
        <f aca="false">IF(AND(Motore_Operativo!C242=Finanziamenti!$D$7,Finanziamenti!$F$7=1),Finanziamenti!$C$7,0)</f>
        <v>0</v>
      </c>
      <c r="AX242" s="15" t="n">
        <f aca="false">0</f>
        <v>0</v>
      </c>
      <c r="AY242" s="15" t="n">
        <f aca="false">IF(10=Parametri_v3!$C$33,IF(BV242&lt;MIN(12,$B242-1),0,MIN(MAX(0,SUM(Y221:Y232))*Ipotesi!$C$94,MAX(0,(BM232)-(BO241)-BP242),MAX(0,BD242-Parametri_v3!$C$31))),0)</f>
        <v>0</v>
      </c>
      <c r="AZ242" s="15" t="n">
        <f aca="false">0</f>
        <v>0</v>
      </c>
      <c r="BA242" s="15" t="n">
        <f aca="false">0</f>
        <v>0</v>
      </c>
      <c r="BB242" s="15" t="n">
        <f aca="false">0</f>
        <v>0</v>
      </c>
      <c r="BC242" s="15" t="n">
        <f aca="false">0</f>
        <v>0</v>
      </c>
      <c r="BD242" s="15" t="n">
        <f aca="false">(BH241)+AC242-AF242-AI242-AS242-K242*(1+Parametri_v3!$C$26)-AL242-AQ242-O242+AW242+AX242+AZ242+BA242-BB242</f>
        <v>-628739.213052916</v>
      </c>
      <c r="BE242" s="15" t="n">
        <f aca="false">0</f>
        <v>0</v>
      </c>
      <c r="BF242" s="15" t="n">
        <f aca="false">0</f>
        <v>0</v>
      </c>
      <c r="BG242" s="15" t="n">
        <f aca="false">0</f>
        <v>0</v>
      </c>
      <c r="BH242" s="15" t="n">
        <f aca="false">BD242+BE242-BF242-AY242</f>
        <v>-628739.213052916</v>
      </c>
      <c r="BI242" s="15" t="n">
        <f aca="false">MAX(0,Parametri_v3!$C$31-BH242)</f>
        <v>638739.213052916</v>
      </c>
      <c r="BJ242" s="15" t="n">
        <f aca="false">(BJ241)+K242</f>
        <v>27666.6666666667</v>
      </c>
      <c r="BK242" s="15" t="n">
        <f aca="false">(BK241)+L242</f>
        <v>16631.9444444444</v>
      </c>
      <c r="BL242" s="15" t="n">
        <f aca="false">BJ242-BK242</f>
        <v>11034.7222222222</v>
      </c>
      <c r="BM242" s="15" t="n">
        <f aca="false">(BM241)+Y242</f>
        <v>-490126.814219444</v>
      </c>
      <c r="BN242" s="15" t="n">
        <f aca="false">(BN241)+AW242+AX242+AZ242</f>
        <v>20000</v>
      </c>
      <c r="BO242" s="15" t="n">
        <f aca="false">(BO241)+AY242</f>
        <v>0</v>
      </c>
      <c r="BP242" s="15" t="n">
        <f aca="false">MIN(Parametri_v3!$C$36*Parametri_v3!$C$35,(BP241)+IF(10=1,MAX(0,SUM(Y221:Y232))*Parametri_v3!$C$34,0))</f>
        <v>0</v>
      </c>
      <c r="BQ242" s="15" t="n">
        <f aca="false">BN242+BM242-BO242</f>
        <v>-470126.814219444</v>
      </c>
      <c r="BR242" s="15" t="n">
        <f aca="false">BH242+AD242+BL242+MAX(0,-AM242)+MAX(0,-AR242)</f>
        <v>-337595.540830694</v>
      </c>
      <c r="BS242" s="15" t="n">
        <f aca="false">AJ242+AV242+MAX(0,AM242)+MAX(0,AR242)+BC242+BG242+BQ242+AG242</f>
        <v>-337595.540830694</v>
      </c>
      <c r="BT242" s="15" t="n">
        <f aca="false">BR242-BS242</f>
        <v>0</v>
      </c>
      <c r="BU242" s="15" t="n">
        <f aca="false">BH242-(BD242+BE242-BF242-AY242)</f>
        <v>0</v>
      </c>
      <c r="BV242" s="15" t="n">
        <f aca="false">IF(BH241&lt;Parametri_v3!$C$31,0,BV241+1)</f>
        <v>0</v>
      </c>
    </row>
    <row r="243" customFormat="false" ht="18" hidden="false" customHeight="true" outlineLevel="0" collapsed="false">
      <c r="A243" s="68" t="n">
        <f aca="false">4</f>
        <v>4</v>
      </c>
      <c r="B243" s="68" t="n">
        <f aca="false">59</f>
        <v>59</v>
      </c>
      <c r="C243" s="18" t="n">
        <f aca="false">Motore_Operativo!C243</f>
        <v>48153</v>
      </c>
      <c r="D243" s="68" t="n">
        <f aca="false">Motore_Operativo!D243</f>
        <v>2031</v>
      </c>
      <c r="E243" s="68" t="n">
        <f aca="false">Motore_Operativo!E243</f>
        <v>11</v>
      </c>
      <c r="F243" s="15" t="n">
        <f aca="false">Motore_Operativo!AM243</f>
        <v>57399.375</v>
      </c>
      <c r="G243" s="15" t="n">
        <f aca="false">Motore_Operativo!BH243</f>
        <v>5739.9375</v>
      </c>
      <c r="H243" s="15" t="n">
        <f aca="false">Motore_Operativo!AM243</f>
        <v>57399.375</v>
      </c>
      <c r="I243" s="15" t="n">
        <f aca="false">Motore_Operativo!CB243</f>
        <v>70256.0389275</v>
      </c>
      <c r="J243" s="15" t="n">
        <f aca="false">Motore_Operativo!CD243</f>
        <v>-12856.6639275</v>
      </c>
      <c r="K243" s="15" t="n">
        <f aca="false">Motore_Operativo!CF243</f>
        <v>666.666666666667</v>
      </c>
      <c r="L243" s="15" t="n">
        <f aca="false">SUM(INDEX($K$185:$K$244,MAX(1,59-Parametri_v3!$C$59+1)):K243)/Parametri_v3!$C$59</f>
        <v>576.388888888889</v>
      </c>
      <c r="M243" s="15" t="n">
        <f aca="false">J243-L243</f>
        <v>-13433.0528163889</v>
      </c>
      <c r="N243" s="15" t="n">
        <f aca="false">0</f>
        <v>0</v>
      </c>
      <c r="O243" s="15" t="n">
        <f aca="false">0</f>
        <v>0</v>
      </c>
      <c r="P243" s="15" t="n">
        <f aca="false">M243+N243-O243</f>
        <v>-13433.0528163889</v>
      </c>
      <c r="Q243" s="15" t="n">
        <f aca="false">SUM(P233:P243)+Parametri_v3!$C$56*11/12</f>
        <v>-147381.636535833</v>
      </c>
      <c r="R243" s="15" t="n">
        <f aca="false">Z232</f>
        <v>232703.038888889</v>
      </c>
      <c r="S243" s="15" t="n">
        <f aca="false">AA232</f>
        <v>123475.191611111</v>
      </c>
      <c r="T243" s="15" t="n">
        <f aca="false">MIN(R243,MAX(0,Q243))</f>
        <v>0</v>
      </c>
      <c r="U243" s="15" t="n">
        <f aca="false">MIN(S243,MAX(0,Q243-T243)*Parametri_v3!$C$42)</f>
        <v>0</v>
      </c>
      <c r="V243" s="15" t="n">
        <f aca="false">MAX(0,Q243-T243-U243)*Ipotesi!$C$92</f>
        <v>0</v>
      </c>
      <c r="W243" s="15" t="n">
        <f aca="false">MAX(0,SUM(M233:M243)+Parametri_v3!$C$57*11/12)*Ipotesi!$C$93</f>
        <v>0</v>
      </c>
      <c r="X243" s="15" t="n">
        <f aca="false">V243+W243-(V242+W242)</f>
        <v>0</v>
      </c>
      <c r="Y243" s="15" t="n">
        <f aca="false">P243-X243</f>
        <v>-13433.0528163889</v>
      </c>
      <c r="Z243" s="15" t="n">
        <f aca="false">R243-T243+IF(AND(Parametri_v3!$C$40=1,D243-YEAR(Parametri_v3!$C$50)&lt;Parametri_v3!$C$41),MAX(0,-Q243),0)</f>
        <v>232703.038888889</v>
      </c>
      <c r="AA243" s="15" t="n">
        <f aca="false">S243-U243+IF(AND(Parametri_v3!$C$40=1,D243-YEAR(Parametri_v3!$C$50)&lt;Parametri_v3!$C$41),0,MAX(0,-Q243))</f>
        <v>270856.828146944</v>
      </c>
      <c r="AB243" s="15" t="n">
        <f aca="false">F243*(1+Parametri_v3!$C$26)</f>
        <v>70027.2375</v>
      </c>
      <c r="AC243" s="15" t="n">
        <f aca="false">(IF(59-(INT((Motore_Operativo!L243)/30))&lt;1,0,INDEX(Motore_Advisory!$AB$185:$AB$244,MAX(1,59-(INT((Motore_Operativo!L243)/30)))))*(1-(MOD((Motore_Operativo!L243),30)/30))+IF(59-(INT((Motore_Operativo!L243)/30))-1&lt;1,0,INDEX(Motore_Advisory!$AB$185:$AB$244,MAX(1,59-(INT((Motore_Operativo!L243)/30))-1)))*(MOD((Motore_Operativo!L243),30)/30))</f>
        <v>70027.2375</v>
      </c>
      <c r="AD243" s="15" t="n">
        <f aca="false">(AD242)+AB243-AC243</f>
        <v>280108.95</v>
      </c>
      <c r="AE243" s="15" t="n">
        <f aca="false">Motore_Operativo!BH243*(1+Parametri_v3!$C$26)</f>
        <v>7002.72375</v>
      </c>
      <c r="AF243" s="15" t="n">
        <f aca="false">(IF(59-(INT((Parametri_v3!$C$29)/30))&lt;1,0,INDEX(Motore_Operativo!$BH$185:$BH$244,MAX(1,59-(INT((Parametri_v3!$C$29)/30)))))*(1-(MOD((Parametri_v3!$C$29),30)/30))+IF(59-(INT((Parametri_v3!$C$29)/30))-1&lt;1,0,INDEX(Motore_Operativo!$BH$185:$BH$244,MAX(1,59-(INT((Parametri_v3!$C$29)/30))-1)))*(MOD((Parametri_v3!$C$29),30)/30))*(1+Parametri_v3!$C$26)</f>
        <v>7002.72375</v>
      </c>
      <c r="AG243" s="15" t="n">
        <f aca="false">(AG242)+AE243-AF243</f>
        <v>7002.72375</v>
      </c>
      <c r="AH243" s="15" t="n">
        <f aca="false">(Motore_Operativo!CK243)*(1+Parametri_v3!$C$28*Parametri_v3!$C$26)</f>
        <v>23699.0999</v>
      </c>
      <c r="AI243" s="15" t="n">
        <f aca="false">(IF(59-(INT((Ipotesi!$C$91)/30))&lt;1,0,INDEX(Motore_Advisory!$AH$185:$AH$244,MAX(1,59-(INT((Ipotesi!$C$91)/30)))))*(1-(MOD((Ipotesi!$C$91),30)/30))+IF(59-(INT((Ipotesi!$C$91)/30))-1&lt;1,0,INDEX(Motore_Advisory!$AH$185:$AH$244,MAX(1,59-(INT((Ipotesi!$C$91)/30))-1)))*(MOD((Ipotesi!$C$91),30)/30))</f>
        <v>23699.0999</v>
      </c>
      <c r="AJ243" s="15" t="n">
        <f aca="false">(AJ242)+AH243-AI243</f>
        <v>47398.1998</v>
      </c>
      <c r="AK243" s="15" t="n">
        <f aca="false">(F243- Motore_Operativo!BH243-(Motore_Operativo!CK243)*Parametri_v3!$C$28-Motore_Operativo!CF243)*Parametri_v3!$C$26</f>
        <v>7671.60551666667</v>
      </c>
      <c r="AL243" s="15" t="n">
        <f aca="false">MAX(0,(AM242))</f>
        <v>7671.60551666667</v>
      </c>
      <c r="AM243" s="15" t="n">
        <f aca="false">(AM242)+AK243-AL243</f>
        <v>7671.60551666667</v>
      </c>
      <c r="AN243" s="15" t="n">
        <f aca="false">SUM(X221:X232)</f>
        <v>0</v>
      </c>
      <c r="AO243" s="15" t="n">
        <f aca="false">SUM(AP221:AP232)</f>
        <v>0</v>
      </c>
      <c r="AP243" s="15" t="n">
        <f aca="false">MAX(0,AN243)*IF(11=Parametri_v3!$C$43,Parametri_v3!$C$45,IF(11=Parametri_v3!$C$44,1-Parametri_v3!$C$45,0))</f>
        <v>0</v>
      </c>
      <c r="AQ243" s="15" t="n">
        <f aca="false">MAX(0,AP243+IF(11=Parametri_v3!$C$43,MAX(0,AN243-AO243),0)-MAX(0,-(AR242)))</f>
        <v>0</v>
      </c>
      <c r="AR243" s="15" t="n">
        <f aca="false">(AR242)+X243-AQ243</f>
        <v>0</v>
      </c>
      <c r="AS243" s="15" t="n">
        <f aca="false">Motore_Operativo!AC243-AT243+AU243</f>
        <v>42145.6153144583</v>
      </c>
      <c r="AT243" s="15" t="n">
        <f aca="false">Motore_Operativo!CI243</f>
        <v>2218.19027970833</v>
      </c>
      <c r="AU243" s="15" t="n">
        <f aca="false">MIN(MAX(0,(AV242)+AT243),Parametri_v3!$C$61/12)</f>
        <v>0</v>
      </c>
      <c r="AV243" s="15" t="n">
        <f aca="false">(AV242)+AT243-AU243</f>
        <v>72676.9346017917</v>
      </c>
      <c r="AW243" s="15" t="n">
        <f aca="false">IF(AND(Motore_Operativo!C243=Finanziamenti!$D$7,Finanziamenti!$F$7=1),Finanziamenti!$C$7,0)</f>
        <v>0</v>
      </c>
      <c r="AX243" s="15" t="n">
        <f aca="false">0</f>
        <v>0</v>
      </c>
      <c r="AY243" s="15" t="n">
        <f aca="false">IF(11=Parametri_v3!$C$33,IF(BV243&lt;MIN(12,$B243-1),0,MIN(MAX(0,SUM(Y221:Y232))*Ipotesi!$C$94,MAX(0,(BM232)-(BO242)-BP243),MAX(0,BD243-Parametri_v3!$C$31))),0)</f>
        <v>0</v>
      </c>
      <c r="AZ243" s="15" t="n">
        <f aca="false">0</f>
        <v>0</v>
      </c>
      <c r="BA243" s="15" t="n">
        <f aca="false">0</f>
        <v>0</v>
      </c>
      <c r="BB243" s="15" t="n">
        <f aca="false">0</f>
        <v>0</v>
      </c>
      <c r="BC243" s="15" t="n">
        <f aca="false">0</f>
        <v>0</v>
      </c>
      <c r="BD243" s="15" t="n">
        <f aca="false">(BH242)+AC243-AF243-AI243-AS243-K243*(1+Parametri_v3!$C$26)-AL243-AQ243-O243+AW243+AX243+AZ243+BA243-BB243</f>
        <v>-640044.353367374</v>
      </c>
      <c r="BE243" s="15" t="n">
        <f aca="false">0</f>
        <v>0</v>
      </c>
      <c r="BF243" s="15" t="n">
        <f aca="false">0</f>
        <v>0</v>
      </c>
      <c r="BG243" s="15" t="n">
        <f aca="false">0</f>
        <v>0</v>
      </c>
      <c r="BH243" s="15" t="n">
        <f aca="false">BD243+BE243-BF243-AY243</f>
        <v>-640044.353367374</v>
      </c>
      <c r="BI243" s="15" t="n">
        <f aca="false">MAX(0,Parametri_v3!$C$31-BH243)</f>
        <v>650044.353367374</v>
      </c>
      <c r="BJ243" s="15" t="n">
        <f aca="false">(BJ242)+K243</f>
        <v>28333.3333333333</v>
      </c>
      <c r="BK243" s="15" t="n">
        <f aca="false">(BK242)+L243</f>
        <v>17208.3333333333</v>
      </c>
      <c r="BL243" s="15" t="n">
        <f aca="false">BJ243-BK243</f>
        <v>11125</v>
      </c>
      <c r="BM243" s="15" t="n">
        <f aca="false">(BM242)+Y243</f>
        <v>-503559.867035833</v>
      </c>
      <c r="BN243" s="15" t="n">
        <f aca="false">(BN242)+AW243+AX243+AZ243</f>
        <v>20000</v>
      </c>
      <c r="BO243" s="15" t="n">
        <f aca="false">(BO242)+AY243</f>
        <v>0</v>
      </c>
      <c r="BP243" s="15" t="n">
        <f aca="false">MIN(Parametri_v3!$C$36*Parametri_v3!$C$35,(BP242)+IF(11=1,MAX(0,SUM(Y221:Y232))*Parametri_v3!$C$34,0))</f>
        <v>0</v>
      </c>
      <c r="BQ243" s="15" t="n">
        <f aca="false">BN243+BM243-BO243</f>
        <v>-483559.867035833</v>
      </c>
      <c r="BR243" s="15" t="n">
        <f aca="false">BH243+AD243+BL243+MAX(0,-AM243)+MAX(0,-AR243)</f>
        <v>-348810.403367374</v>
      </c>
      <c r="BS243" s="15" t="n">
        <f aca="false">AJ243+AV243+MAX(0,AM243)+MAX(0,AR243)+BC243+BG243+BQ243+AG243</f>
        <v>-348810.403367375</v>
      </c>
      <c r="BT243" s="15" t="n">
        <f aca="false">BR243-BS243</f>
        <v>0</v>
      </c>
      <c r="BU243" s="15" t="n">
        <f aca="false">BH243-(BD243+BE243-BF243-AY243)</f>
        <v>0</v>
      </c>
      <c r="BV243" s="15" t="n">
        <f aca="false">IF(BH242&lt;Parametri_v3!$C$31,0,BV242+1)</f>
        <v>0</v>
      </c>
    </row>
    <row r="244" customFormat="false" ht="18" hidden="false" customHeight="true" outlineLevel="0" collapsed="false">
      <c r="A244" s="68" t="n">
        <f aca="false">4</f>
        <v>4</v>
      </c>
      <c r="B244" s="68" t="n">
        <f aca="false">60</f>
        <v>60</v>
      </c>
      <c r="C244" s="18" t="n">
        <f aca="false">Motore_Operativo!C244</f>
        <v>48183</v>
      </c>
      <c r="D244" s="68" t="n">
        <f aca="false">Motore_Operativo!D244</f>
        <v>2031</v>
      </c>
      <c r="E244" s="68" t="n">
        <f aca="false">Motore_Operativo!E244</f>
        <v>12</v>
      </c>
      <c r="F244" s="15" t="n">
        <f aca="false">Motore_Operativo!AM244</f>
        <v>57399.375</v>
      </c>
      <c r="G244" s="15" t="n">
        <f aca="false">Motore_Operativo!BH244</f>
        <v>5739.9375</v>
      </c>
      <c r="H244" s="15" t="n">
        <f aca="false">Motore_Operativo!AM244</f>
        <v>57399.375</v>
      </c>
      <c r="I244" s="15" t="n">
        <f aca="false">Motore_Operativo!CB244</f>
        <v>70256.0389275</v>
      </c>
      <c r="J244" s="15" t="n">
        <f aca="false">Motore_Operativo!CD244</f>
        <v>-12856.6639275</v>
      </c>
      <c r="K244" s="15" t="n">
        <f aca="false">Motore_Operativo!CF244</f>
        <v>666.666666666667</v>
      </c>
      <c r="L244" s="15" t="n">
        <f aca="false">SUM(INDEX($K$185:$K$244,MAX(1,60-Parametri_v3!$C$59+1)):K244)/Parametri_v3!$C$59</f>
        <v>583.333333333333</v>
      </c>
      <c r="M244" s="15" t="n">
        <f aca="false">J244-L244</f>
        <v>-13439.9972608333</v>
      </c>
      <c r="N244" s="15" t="n">
        <f aca="false">0</f>
        <v>0</v>
      </c>
      <c r="O244" s="15" t="n">
        <f aca="false">0</f>
        <v>0</v>
      </c>
      <c r="P244" s="15" t="n">
        <f aca="false">M244+N244-O244</f>
        <v>-13439.9972608333</v>
      </c>
      <c r="Q244" s="15" t="n">
        <f aca="false">SUM(P233:P244)+Parametri_v3!$C$56*12/12</f>
        <v>-160821.633796667</v>
      </c>
      <c r="R244" s="15" t="n">
        <f aca="false">Z232</f>
        <v>232703.038888889</v>
      </c>
      <c r="S244" s="15" t="n">
        <f aca="false">AA232</f>
        <v>123475.191611111</v>
      </c>
      <c r="T244" s="15" t="n">
        <f aca="false">MIN(R244,MAX(0,Q244))</f>
        <v>0</v>
      </c>
      <c r="U244" s="15" t="n">
        <f aca="false">MIN(S244,MAX(0,Q244-T244)*Parametri_v3!$C$42)</f>
        <v>0</v>
      </c>
      <c r="V244" s="15" t="n">
        <f aca="false">MAX(0,Q244-T244-U244)*Ipotesi!$C$92</f>
        <v>0</v>
      </c>
      <c r="W244" s="15" t="n">
        <f aca="false">MAX(0,SUM(M233:M244)+Parametri_v3!$C$57*12/12)*Ipotesi!$C$93</f>
        <v>0</v>
      </c>
      <c r="X244" s="15" t="n">
        <f aca="false">V244+W244-(V243+W243)</f>
        <v>0</v>
      </c>
      <c r="Y244" s="15" t="n">
        <f aca="false">P244-X244</f>
        <v>-13439.9972608333</v>
      </c>
      <c r="Z244" s="15" t="n">
        <f aca="false">R244-T244+IF(AND(Parametri_v3!$C$40=1,D244-YEAR(Parametri_v3!$C$50)&lt;Parametri_v3!$C$41),MAX(0,-Q244),0)</f>
        <v>232703.038888889</v>
      </c>
      <c r="AA244" s="15" t="n">
        <f aca="false">S244-U244+IF(AND(Parametri_v3!$C$40=1,D244-YEAR(Parametri_v3!$C$50)&lt;Parametri_v3!$C$41),0,MAX(0,-Q244))</f>
        <v>284296.825407778</v>
      </c>
      <c r="AB244" s="15" t="n">
        <f aca="false">F244*(1+Parametri_v3!$C$26)</f>
        <v>70027.2375</v>
      </c>
      <c r="AC244" s="15" t="n">
        <f aca="false">(IF(60-(INT((Motore_Operativo!L244)/30))&lt;1,0,INDEX(Motore_Advisory!$AB$185:$AB$244,MAX(1,60-(INT((Motore_Operativo!L244)/30)))))*(1-(MOD((Motore_Operativo!L244),30)/30))+IF(60-(INT((Motore_Operativo!L244)/30))-1&lt;1,0,INDEX(Motore_Advisory!$AB$185:$AB$244,MAX(1,60-(INT((Motore_Operativo!L244)/30))-1)))*(MOD((Motore_Operativo!L244),30)/30))</f>
        <v>70027.2375</v>
      </c>
      <c r="AD244" s="15" t="n">
        <f aca="false">(AD243)+AB244-AC244</f>
        <v>280108.95</v>
      </c>
      <c r="AE244" s="15" t="n">
        <f aca="false">Motore_Operativo!BH244*(1+Parametri_v3!$C$26)</f>
        <v>7002.72375</v>
      </c>
      <c r="AF244" s="15" t="n">
        <f aca="false">(IF(60-(INT((Parametri_v3!$C$29)/30))&lt;1,0,INDEX(Motore_Operativo!$BH$185:$BH$244,MAX(1,60-(INT((Parametri_v3!$C$29)/30)))))*(1-(MOD((Parametri_v3!$C$29),30)/30))+IF(60-(INT((Parametri_v3!$C$29)/30))-1&lt;1,0,INDEX(Motore_Operativo!$BH$185:$BH$244,MAX(1,60-(INT((Parametri_v3!$C$29)/30))-1)))*(MOD((Parametri_v3!$C$29),30)/30))*(1+Parametri_v3!$C$26)</f>
        <v>7002.72375</v>
      </c>
      <c r="AG244" s="15" t="n">
        <f aca="false">(AG243)+AE244-AF244</f>
        <v>7002.72375</v>
      </c>
      <c r="AH244" s="15" t="n">
        <f aca="false">(Motore_Operativo!CK244)*(1+Parametri_v3!$C$28*Parametri_v3!$C$26)</f>
        <v>23699.0999</v>
      </c>
      <c r="AI244" s="15" t="n">
        <f aca="false">(IF(60-(INT((Ipotesi!$C$91)/30))&lt;1,0,INDEX(Motore_Advisory!$AH$185:$AH$244,MAX(1,60-(INT((Ipotesi!$C$91)/30)))))*(1-(MOD((Ipotesi!$C$91),30)/30))+IF(60-(INT((Ipotesi!$C$91)/30))-1&lt;1,0,INDEX(Motore_Advisory!$AH$185:$AH$244,MAX(1,60-(INT((Ipotesi!$C$91)/30))-1)))*(MOD((Ipotesi!$C$91),30)/30))</f>
        <v>23699.0999</v>
      </c>
      <c r="AJ244" s="15" t="n">
        <f aca="false">(AJ243)+AH244-AI244</f>
        <v>47398.1998</v>
      </c>
      <c r="AK244" s="15" t="n">
        <f aca="false">(F244- Motore_Operativo!BH244-(Motore_Operativo!CK244)*Parametri_v3!$C$28-Motore_Operativo!CF244)*Parametri_v3!$C$26</f>
        <v>7671.60551666667</v>
      </c>
      <c r="AL244" s="15" t="n">
        <f aca="false">MAX(0,(AM243))</f>
        <v>7671.60551666667</v>
      </c>
      <c r="AM244" s="15" t="n">
        <f aca="false">(AM243)+AK244-AL244</f>
        <v>7671.60551666667</v>
      </c>
      <c r="AN244" s="15" t="n">
        <f aca="false">SUM(X221:X232)</f>
        <v>0</v>
      </c>
      <c r="AO244" s="15" t="n">
        <f aca="false">SUM(AP221:AP232)</f>
        <v>0</v>
      </c>
      <c r="AP244" s="15" t="n">
        <f aca="false">MAX(0,AN244)*IF(12=Parametri_v3!$C$43,Parametri_v3!$C$45,IF(12=Parametri_v3!$C$44,1-Parametri_v3!$C$45,0))</f>
        <v>0</v>
      </c>
      <c r="AQ244" s="15" t="n">
        <f aca="false">MAX(0,AP244+IF(12=Parametri_v3!$C$43,MAX(0,AN244-AO244),0)-MAX(0,-(AR243)))</f>
        <v>0</v>
      </c>
      <c r="AR244" s="15" t="n">
        <f aca="false">(AR243)+X244-AQ244</f>
        <v>0</v>
      </c>
      <c r="AS244" s="15" t="n">
        <f aca="false">Motore_Operativo!AC244-AT244+AU244</f>
        <v>42145.6153144583</v>
      </c>
      <c r="AT244" s="15" t="n">
        <f aca="false">Motore_Operativo!CI244</f>
        <v>2218.19027970833</v>
      </c>
      <c r="AU244" s="15" t="n">
        <f aca="false">MIN(MAX(0,(AV243)+AT244),Parametri_v3!$C$61/12)</f>
        <v>0</v>
      </c>
      <c r="AV244" s="15" t="n">
        <f aca="false">(AV243)+AT244-AU244</f>
        <v>74895.1248815</v>
      </c>
      <c r="AW244" s="15" t="n">
        <f aca="false">IF(AND(Motore_Operativo!C244=Finanziamenti!$D$7,Finanziamenti!$F$7=1),Finanziamenti!$C$7,0)</f>
        <v>0</v>
      </c>
      <c r="AX244" s="15" t="n">
        <f aca="false">0</f>
        <v>0</v>
      </c>
      <c r="AY244" s="15" t="n">
        <f aca="false">IF(12=Parametri_v3!$C$33,IF(BV244&lt;MIN(12,$B244-1),0,MIN(MAX(0,SUM(Y221:Y232))*Ipotesi!$C$94,MAX(0,(BM232)-(BO243)-BP244),MAX(0,BD244-Parametri_v3!$C$31))),0)</f>
        <v>0</v>
      </c>
      <c r="AZ244" s="15" t="n">
        <f aca="false">0</f>
        <v>0</v>
      </c>
      <c r="BA244" s="15" t="n">
        <f aca="false">0</f>
        <v>0</v>
      </c>
      <c r="BB244" s="15" t="n">
        <f aca="false">0</f>
        <v>0</v>
      </c>
      <c r="BC244" s="15" t="n">
        <f aca="false">0</f>
        <v>0</v>
      </c>
      <c r="BD244" s="15" t="n">
        <f aca="false">(BH243)+AC244-AF244-AI244-AS244-K244*(1+Parametri_v3!$C$26)-AL244-AQ244-O244+AW244+AX244+AZ244+BA244-BB244</f>
        <v>-651349.493681833</v>
      </c>
      <c r="BE244" s="15" t="n">
        <f aca="false">0</f>
        <v>0</v>
      </c>
      <c r="BF244" s="15" t="n">
        <f aca="false">0</f>
        <v>0</v>
      </c>
      <c r="BG244" s="15" t="n">
        <f aca="false">0</f>
        <v>0</v>
      </c>
      <c r="BH244" s="15" t="n">
        <f aca="false">BD244+BE244-BF244-AY244</f>
        <v>-651349.493681833</v>
      </c>
      <c r="BI244" s="15" t="n">
        <f aca="false">MAX(0,Parametri_v3!$C$31-BH244)</f>
        <v>661349.493681833</v>
      </c>
      <c r="BJ244" s="15" t="n">
        <f aca="false">(BJ243)+K244</f>
        <v>29000</v>
      </c>
      <c r="BK244" s="15" t="n">
        <f aca="false">(BK243)+L244</f>
        <v>17791.6666666667</v>
      </c>
      <c r="BL244" s="15" t="n">
        <f aca="false">BJ244-BK244</f>
        <v>11208.3333333334</v>
      </c>
      <c r="BM244" s="15" t="n">
        <f aca="false">(BM243)+Y244</f>
        <v>-516999.864296666</v>
      </c>
      <c r="BN244" s="15" t="n">
        <f aca="false">(BN243)+AW244+AX244+AZ244</f>
        <v>20000</v>
      </c>
      <c r="BO244" s="15" t="n">
        <f aca="false">(BO243)+AY244</f>
        <v>0</v>
      </c>
      <c r="BP244" s="15" t="n">
        <f aca="false">MIN(Parametri_v3!$C$36*Parametri_v3!$C$35,(BP243)+IF(12=1,MAX(0,SUM(Y221:Y232))*Parametri_v3!$C$34,0))</f>
        <v>0</v>
      </c>
      <c r="BQ244" s="15" t="n">
        <f aca="false">BN244+BM244-BO244</f>
        <v>-496999.864296666</v>
      </c>
      <c r="BR244" s="15" t="n">
        <f aca="false">BH244+AD244+BL244+MAX(0,-AM244)+MAX(0,-AR244)</f>
        <v>-360032.2103485</v>
      </c>
      <c r="BS244" s="15" t="n">
        <f aca="false">AJ244+AV244+MAX(0,AM244)+MAX(0,AR244)+BC244+BG244+BQ244+AG244</f>
        <v>-360032.2103485</v>
      </c>
      <c r="BT244" s="15" t="n">
        <f aca="false">BR244-BS244</f>
        <v>0</v>
      </c>
      <c r="BU244" s="15" t="n">
        <f aca="false">BH244-(BD244+BE244-BF244-AY244)</f>
        <v>0</v>
      </c>
      <c r="BV244" s="15" t="n">
        <f aca="false">IF(BH243&lt;Parametri_v3!$C$31,0,BV243+1)</f>
        <v>0</v>
      </c>
    </row>
    <row r="245" customFormat="false" ht="18" hidden="false" customHeight="true" outlineLevel="0" collapsed="false">
      <c r="A245" s="68" t="n">
        <f aca="false">5</f>
        <v>5</v>
      </c>
      <c r="B245" s="68" t="n">
        <f aca="false">1</f>
        <v>1</v>
      </c>
      <c r="C245" s="18" t="n">
        <f aca="false">Motore_Operativo!C245</f>
        <v>46388</v>
      </c>
      <c r="D245" s="68" t="n">
        <f aca="false">Motore_Operativo!D245</f>
        <v>2027</v>
      </c>
      <c r="E245" s="68" t="n">
        <f aca="false">Motore_Operativo!E245</f>
        <v>1</v>
      </c>
      <c r="F245" s="15" t="n">
        <f aca="false">Motore_Operativo!AM245</f>
        <v>8024.21052631579</v>
      </c>
      <c r="G245" s="15" t="n">
        <f aca="false">Motore_Operativo!BH245</f>
        <v>802.421052631579</v>
      </c>
      <c r="H245" s="15" t="n">
        <f aca="false">Motore_Operativo!AM245</f>
        <v>8024.21052631579</v>
      </c>
      <c r="I245" s="15" t="n">
        <f aca="false">Motore_Operativo!CB245</f>
        <v>7511.99868421053</v>
      </c>
      <c r="J245" s="15" t="n">
        <f aca="false">Motore_Operativo!CD245</f>
        <v>512.211842105264</v>
      </c>
      <c r="K245" s="15" t="n">
        <f aca="false">Motore_Operativo!CF245</f>
        <v>250</v>
      </c>
      <c r="L245" s="15" t="n">
        <f aca="false">SUM(INDEX($K$245:$K$304,MAX(1,1-Parametri_v3!$C$59+1)):K245)/Parametri_v3!$C$59</f>
        <v>6.94444444444445</v>
      </c>
      <c r="M245" s="15" t="n">
        <f aca="false">J245-L245</f>
        <v>505.267397660819</v>
      </c>
      <c r="N245" s="15" t="n">
        <f aca="false">0</f>
        <v>0</v>
      </c>
      <c r="O245" s="15" t="n">
        <f aca="false">0</f>
        <v>0</v>
      </c>
      <c r="P245" s="15" t="n">
        <f aca="false">M245+N245-O245</f>
        <v>505.267397660819</v>
      </c>
      <c r="Q245" s="15" t="n">
        <f aca="false">SUM(P245)+Parametri_v3!$C$56*1/12</f>
        <v>505.267397660819</v>
      </c>
      <c r="R245" s="15" t="n">
        <f aca="false">0</f>
        <v>0</v>
      </c>
      <c r="S245" s="15" t="n">
        <f aca="false">0</f>
        <v>0</v>
      </c>
      <c r="T245" s="15" t="n">
        <f aca="false">MIN(R245,MAX(0,Q245))</f>
        <v>0</v>
      </c>
      <c r="U245" s="15" t="n">
        <f aca="false">MIN(S245,MAX(0,Q245-T245)*Parametri_v3!$C$42)</f>
        <v>0</v>
      </c>
      <c r="V245" s="15" t="n">
        <f aca="false">MAX(0,Q245-T245-U245)*Ipotesi!$C$92</f>
        <v>121.264175438597</v>
      </c>
      <c r="W245" s="15" t="n">
        <f aca="false">MAX(0,SUM(M245)+Parametri_v3!$C$57*1/12)*Ipotesi!$C$93</f>
        <v>19.705428508772</v>
      </c>
      <c r="X245" s="15" t="n">
        <f aca="false">V245+W245-(0)</f>
        <v>140.969603947369</v>
      </c>
      <c r="Y245" s="15" t="n">
        <f aca="false">P245-X245</f>
        <v>364.297793713451</v>
      </c>
      <c r="Z245" s="15" t="n">
        <f aca="false">R245-T245+IF(AND(Parametri_v3!$C$40=1,D245-YEAR(Parametri_v3!$C$50)&lt;Parametri_v3!$C$41),MAX(0,-Q245),0)</f>
        <v>0</v>
      </c>
      <c r="AA245" s="15" t="n">
        <f aca="false">S245-U245+IF(AND(Parametri_v3!$C$40=1,D245-YEAR(Parametri_v3!$C$50)&lt;Parametri_v3!$C$41),0,MAX(0,-Q245))</f>
        <v>0</v>
      </c>
      <c r="AB245" s="15" t="n">
        <f aca="false">F245*(1+Parametri_v3!$C$26)</f>
        <v>9789.53684210526</v>
      </c>
      <c r="AC245" s="15" t="n">
        <f aca="false">(IF(1-(INT((Motore_Operativo!L245)/30))&lt;1,0,INDEX(Motore_Advisory!$AB$245:$AB$304,MAX(1,1-(INT((Motore_Operativo!L245)/30)))))*(1-(MOD((Motore_Operativo!L245),30)/30))+IF(1-(INT((Motore_Operativo!L245)/30))-1&lt;1,0,INDEX(Motore_Advisory!$AB$245:$AB$304,MAX(1,1-(INT((Motore_Operativo!L245)/30))-1)))*(MOD((Motore_Operativo!L245),30)/30))</f>
        <v>0</v>
      </c>
      <c r="AD245" s="15" t="n">
        <f aca="false">(0)+AB245-AC245</f>
        <v>9789.53684210526</v>
      </c>
      <c r="AE245" s="15" t="n">
        <f aca="false">Motore_Operativo!BH245*(1+Parametri_v3!$C$26)</f>
        <v>978.953684210527</v>
      </c>
      <c r="AF245" s="15" t="n">
        <f aca="false">(IF(1-(INT((Parametri_v3!$C$29)/30))&lt;1,0,INDEX(Motore_Operativo!$BH$245:$BH$304,MAX(1,1-(INT((Parametri_v3!$C$29)/30)))))*(1-(MOD((Parametri_v3!$C$29),30)/30))+IF(1-(INT((Parametri_v3!$C$29)/30))-1&lt;1,0,INDEX(Motore_Operativo!$BH$245:$BH$304,MAX(1,1-(INT((Parametri_v3!$C$29)/30))-1)))*(MOD((Parametri_v3!$C$29),30)/30))*(1+Parametri_v3!$C$26)</f>
        <v>0</v>
      </c>
      <c r="AG245" s="15" t="n">
        <f aca="false">(0)+AE245-AF245</f>
        <v>978.953684210527</v>
      </c>
      <c r="AH245" s="15" t="n">
        <f aca="false">(Motore_Operativo!CK245)*(1+Parametri_v3!$C$28*Parametri_v3!$C$26)</f>
        <v>4494.76329473684</v>
      </c>
      <c r="AI245" s="15" t="n">
        <f aca="false">(IF(1-(INT((Ipotesi!$C$91)/30))&lt;1,0,INDEX(Motore_Advisory!$AH$245:$AH$304,MAX(1,1-(INT((Ipotesi!$C$91)/30)))))*(1-(MOD((Ipotesi!$C$91),30)/30))+IF(1-(INT((Ipotesi!$C$91)/30))-1&lt;1,0,INDEX(Motore_Advisory!$AH$245:$AH$304,MAX(1,1-(INT((Ipotesi!$C$91)/30))-1)))*(MOD((Ipotesi!$C$91),30)/30))</f>
        <v>0</v>
      </c>
      <c r="AJ245" s="15" t="n">
        <f aca="false">(0)+AH245-AI245</f>
        <v>4494.76329473684</v>
      </c>
      <c r="AK245" s="15" t="n">
        <f aca="false">(F245- Motore_Operativo!BH245-(Motore_Operativo!CK245)*Parametri_v3!$C$28-Motore_Operativo!CF245)*Parametri_v3!$C$26</f>
        <v>861.108021052632</v>
      </c>
      <c r="AL245" s="15" t="n">
        <f aca="false">MAX(0,(0))</f>
        <v>0</v>
      </c>
      <c r="AM245" s="15" t="n">
        <f aca="false">(0)+AK245-AL245</f>
        <v>861.108021052632</v>
      </c>
      <c r="AN245" s="15" t="n">
        <f aca="false">0</f>
        <v>0</v>
      </c>
      <c r="AO245" s="15" t="n">
        <f aca="false">0</f>
        <v>0</v>
      </c>
      <c r="AP245" s="15" t="n">
        <f aca="false">MAX(0,AN245)*IF(1=Parametri_v3!$C$43,Parametri_v3!$C$45,IF(1=Parametri_v3!$C$44,1-Parametri_v3!$C$45,0))</f>
        <v>0</v>
      </c>
      <c r="AQ245" s="15" t="n">
        <f aca="false">MAX(0,AP245+IF(1=Parametri_v3!$C$43,MAX(0,AN245-AO245),0)-MAX(0,-(0)))</f>
        <v>0</v>
      </c>
      <c r="AR245" s="15" t="n">
        <f aca="false">(0)+X245-AQ245</f>
        <v>140.969603947369</v>
      </c>
      <c r="AS245" s="15" t="n">
        <f aca="false">Motore_Operativo!AC245-AT245+AU245</f>
        <v>2743.125</v>
      </c>
      <c r="AT245" s="15" t="n">
        <f aca="false">Motore_Operativo!CI245</f>
        <v>144.375</v>
      </c>
      <c r="AU245" s="15" t="n">
        <f aca="false">MIN(MAX(0,(0)+AT245),Parametri_v3!$C$61/12)</f>
        <v>0</v>
      </c>
      <c r="AV245" s="15" t="n">
        <f aca="false">(0)+AT245-AU245</f>
        <v>144.375</v>
      </c>
      <c r="AW245" s="15" t="n">
        <f aca="false">IF(AND(Motore_Operativo!C245=Finanziamenti!$D$7,Finanziamenti!$F$7=1),Finanziamenti!$C$7,0)</f>
        <v>20000</v>
      </c>
      <c r="AX245" s="15" t="n">
        <f aca="false">0</f>
        <v>0</v>
      </c>
      <c r="AY245" s="15" t="n">
        <f aca="false">IF(1=Parametri_v3!$C$33,MIN(MAX(0,0)*Ipotesi!$C$94,MAX(0,(0)-(0)-BP245),MAX(0,BD245-Parametri_v3!$C$31)),0)</f>
        <v>0</v>
      </c>
      <c r="AZ245" s="15" t="n">
        <f aca="false">0</f>
        <v>0</v>
      </c>
      <c r="BA245" s="15" t="n">
        <f aca="false">0</f>
        <v>0</v>
      </c>
      <c r="BB245" s="15" t="n">
        <f aca="false">0</f>
        <v>0</v>
      </c>
      <c r="BC245" s="15" t="n">
        <f aca="false">0</f>
        <v>0</v>
      </c>
      <c r="BD245" s="15" t="n">
        <f aca="false">(0)+AC245-AF245-AI245-AS245-K245*(1+Parametri_v3!$C$26)-AL245-AQ245-O245+AW245+AX245+AZ245+BA245-BB245</f>
        <v>16951.875</v>
      </c>
      <c r="BE245" s="15" t="n">
        <f aca="false">0</f>
        <v>0</v>
      </c>
      <c r="BF245" s="15" t="n">
        <f aca="false">0</f>
        <v>0</v>
      </c>
      <c r="BG245" s="15" t="n">
        <f aca="false">0</f>
        <v>0</v>
      </c>
      <c r="BH245" s="15" t="n">
        <f aca="false">BD245+BE245-BF245-AY245</f>
        <v>16951.875</v>
      </c>
      <c r="BI245" s="15" t="n">
        <f aca="false">MAX(0,Parametri_v3!$C$31-BH245)</f>
        <v>0</v>
      </c>
      <c r="BJ245" s="15" t="n">
        <f aca="false">(0)+K245</f>
        <v>250</v>
      </c>
      <c r="BK245" s="15" t="n">
        <f aca="false">(0)+L245</f>
        <v>6.94444444444445</v>
      </c>
      <c r="BL245" s="15" t="n">
        <f aca="false">BJ245-BK245</f>
        <v>243.055555555556</v>
      </c>
      <c r="BM245" s="15" t="n">
        <f aca="false">(0)+Y245</f>
        <v>364.297793713451</v>
      </c>
      <c r="BN245" s="15" t="n">
        <f aca="false">(0)+AW245+AX245+AZ245</f>
        <v>20000</v>
      </c>
      <c r="BO245" s="15" t="n">
        <f aca="false">(0)+AY245</f>
        <v>0</v>
      </c>
      <c r="BP245" s="15" t="n">
        <f aca="false">MIN(Parametri_v3!$C$36*Parametri_v3!$C$35,(0)+IF(1=1,MAX(0,0)*Parametri_v3!$C$34,0))</f>
        <v>0</v>
      </c>
      <c r="BQ245" s="15" t="n">
        <f aca="false">BN245+BM245-BO245</f>
        <v>20364.2977937135</v>
      </c>
      <c r="BR245" s="15" t="n">
        <f aca="false">BH245+AD245+BL245+MAX(0,-AM245)+MAX(0,-AR245)</f>
        <v>26984.4673976608</v>
      </c>
      <c r="BS245" s="15" t="n">
        <f aca="false">AJ245+AV245+MAX(0,AM245)+MAX(0,AR245)+BC245+BG245+BQ245+AG245</f>
        <v>26984.4673976608</v>
      </c>
      <c r="BT245" s="15" t="n">
        <f aca="false">BR245-BS245</f>
        <v>0</v>
      </c>
      <c r="BU245" s="15" t="n">
        <f aca="false">BH245-(BD245+BE245-BF245-AY245)</f>
        <v>0</v>
      </c>
      <c r="BV245" s="15" t="n">
        <f aca="false">0</f>
        <v>0</v>
      </c>
    </row>
    <row r="246" customFormat="false" ht="18" hidden="false" customHeight="true" outlineLevel="0" collapsed="false">
      <c r="A246" s="68" t="n">
        <f aca="false">5</f>
        <v>5</v>
      </c>
      <c r="B246" s="68" t="n">
        <f aca="false">2</f>
        <v>2</v>
      </c>
      <c r="C246" s="18" t="n">
        <f aca="false">Motore_Operativo!C246</f>
        <v>46419</v>
      </c>
      <c r="D246" s="68" t="n">
        <f aca="false">Motore_Operativo!D246</f>
        <v>2027</v>
      </c>
      <c r="E246" s="68" t="n">
        <f aca="false">Motore_Operativo!E246</f>
        <v>2</v>
      </c>
      <c r="F246" s="15" t="n">
        <f aca="false">Motore_Operativo!AM246</f>
        <v>8024.21052631579</v>
      </c>
      <c r="G246" s="15" t="n">
        <f aca="false">Motore_Operativo!BH246</f>
        <v>802.421052631579</v>
      </c>
      <c r="H246" s="15" t="n">
        <f aca="false">Motore_Operativo!AM246</f>
        <v>8024.21052631579</v>
      </c>
      <c r="I246" s="15" t="n">
        <f aca="false">Motore_Operativo!CB246</f>
        <v>7511.99868421053</v>
      </c>
      <c r="J246" s="15" t="n">
        <f aca="false">Motore_Operativo!CD246</f>
        <v>512.211842105264</v>
      </c>
      <c r="K246" s="15" t="n">
        <f aca="false">Motore_Operativo!CF246</f>
        <v>250</v>
      </c>
      <c r="L246" s="15" t="n">
        <f aca="false">SUM(INDEX($K$245:$K$304,MAX(1,2-Parametri_v3!$C$59+1)):K246)/Parametri_v3!$C$59</f>
        <v>13.8888888888889</v>
      </c>
      <c r="M246" s="15" t="n">
        <f aca="false">J246-L246</f>
        <v>498.322953216375</v>
      </c>
      <c r="N246" s="15" t="n">
        <f aca="false">0</f>
        <v>0</v>
      </c>
      <c r="O246" s="15" t="n">
        <f aca="false">0</f>
        <v>0</v>
      </c>
      <c r="P246" s="15" t="n">
        <f aca="false">M246+N246-O246</f>
        <v>498.322953216375</v>
      </c>
      <c r="Q246" s="15" t="n">
        <f aca="false">SUM(P245:P246)+Parametri_v3!$C$56*2/12</f>
        <v>1003.59035087719</v>
      </c>
      <c r="R246" s="15" t="n">
        <f aca="false">0</f>
        <v>0</v>
      </c>
      <c r="S246" s="15" t="n">
        <f aca="false">0</f>
        <v>0</v>
      </c>
      <c r="T246" s="15" t="n">
        <f aca="false">MIN(R246,MAX(0,Q246))</f>
        <v>0</v>
      </c>
      <c r="U246" s="15" t="n">
        <f aca="false">MIN(S246,MAX(0,Q246-T246)*Parametri_v3!$C$42)</f>
        <v>0</v>
      </c>
      <c r="V246" s="15" t="n">
        <f aca="false">MAX(0,Q246-T246-U246)*Ipotesi!$C$92</f>
        <v>240.861684210527</v>
      </c>
      <c r="W246" s="15" t="n">
        <f aca="false">MAX(0,SUM(M245:M246)+Parametri_v3!$C$57*2/12)*Ipotesi!$C$93</f>
        <v>39.1400236842106</v>
      </c>
      <c r="X246" s="15" t="n">
        <f aca="false">V246+W246-(V245+W245)</f>
        <v>139.032103947369</v>
      </c>
      <c r="Y246" s="15" t="n">
        <f aca="false">P246-X246</f>
        <v>359.290849269006</v>
      </c>
      <c r="Z246" s="15" t="n">
        <f aca="false">R246-T246+IF(AND(Parametri_v3!$C$40=1,D246-YEAR(Parametri_v3!$C$50)&lt;Parametri_v3!$C$41),MAX(0,-Q246),0)</f>
        <v>0</v>
      </c>
      <c r="AA246" s="15" t="n">
        <f aca="false">S246-U246+IF(AND(Parametri_v3!$C$40=1,D246-YEAR(Parametri_v3!$C$50)&lt;Parametri_v3!$C$41),0,MAX(0,-Q246))</f>
        <v>0</v>
      </c>
      <c r="AB246" s="15" t="n">
        <f aca="false">F246*(1+Parametri_v3!$C$26)</f>
        <v>9789.53684210526</v>
      </c>
      <c r="AC246" s="15" t="n">
        <f aca="false">(IF(2-(INT((Motore_Operativo!L246)/30))&lt;1,0,INDEX(Motore_Advisory!$AB$245:$AB$304,MAX(1,2-(INT((Motore_Operativo!L246)/30)))))*(1-(MOD((Motore_Operativo!L246),30)/30))+IF(2-(INT((Motore_Operativo!L246)/30))-1&lt;1,0,INDEX(Motore_Advisory!$AB$245:$AB$304,MAX(1,2-(INT((Motore_Operativo!L246)/30))-1)))*(MOD((Motore_Operativo!L246),30)/30))</f>
        <v>0</v>
      </c>
      <c r="AD246" s="15" t="n">
        <f aca="false">(AD245)+AB246-AC246</f>
        <v>19579.0736842105</v>
      </c>
      <c r="AE246" s="15" t="n">
        <f aca="false">Motore_Operativo!BH246*(1+Parametri_v3!$C$26)</f>
        <v>978.953684210527</v>
      </c>
      <c r="AF246" s="15" t="n">
        <f aca="false">(IF(2-(INT((Parametri_v3!$C$29)/30))&lt;1,0,INDEX(Motore_Operativo!$BH$245:$BH$304,MAX(1,2-(INT((Parametri_v3!$C$29)/30)))))*(1-(MOD((Parametri_v3!$C$29),30)/30))+IF(2-(INT((Parametri_v3!$C$29)/30))-1&lt;1,0,INDEX(Motore_Operativo!$BH$245:$BH$304,MAX(1,2-(INT((Parametri_v3!$C$29)/30))-1)))*(MOD((Parametri_v3!$C$29),30)/30))*(1+Parametri_v3!$C$26)</f>
        <v>978.953684210527</v>
      </c>
      <c r="AG246" s="15" t="n">
        <f aca="false">(AG245)+AE246-AF246</f>
        <v>978.953684210527</v>
      </c>
      <c r="AH246" s="15" t="n">
        <f aca="false">(Motore_Operativo!CK246)*(1+Parametri_v3!$C$28*Parametri_v3!$C$26)</f>
        <v>4494.76329473684</v>
      </c>
      <c r="AI246" s="15" t="n">
        <f aca="false">(IF(2-(INT((Ipotesi!$C$91)/30))&lt;1,0,INDEX(Motore_Advisory!$AH$245:$AH$304,MAX(1,2-(INT((Ipotesi!$C$91)/30)))))*(1-(MOD((Ipotesi!$C$91),30)/30))+IF(2-(INT((Ipotesi!$C$91)/30))-1&lt;1,0,INDEX(Motore_Advisory!$AH$245:$AH$304,MAX(1,2-(INT((Ipotesi!$C$91)/30))-1)))*(MOD((Ipotesi!$C$91),30)/30))</f>
        <v>0</v>
      </c>
      <c r="AJ246" s="15" t="n">
        <f aca="false">(AJ245)+AH246-AI246</f>
        <v>8989.52658947369</v>
      </c>
      <c r="AK246" s="15" t="n">
        <f aca="false">(F246- Motore_Operativo!BH246-(Motore_Operativo!CK246)*Parametri_v3!$C$28-Motore_Operativo!CF246)*Parametri_v3!$C$26</f>
        <v>861.108021052632</v>
      </c>
      <c r="AL246" s="15" t="n">
        <f aca="false">MAX(0,(AM245))</f>
        <v>861.108021052632</v>
      </c>
      <c r="AM246" s="15" t="n">
        <f aca="false">(AM245)+AK246-AL246</f>
        <v>861.108021052632</v>
      </c>
      <c r="AN246" s="15" t="n">
        <f aca="false">0</f>
        <v>0</v>
      </c>
      <c r="AO246" s="15" t="n">
        <f aca="false">0</f>
        <v>0</v>
      </c>
      <c r="AP246" s="15" t="n">
        <f aca="false">MAX(0,AN246)*IF(2=Parametri_v3!$C$43,Parametri_v3!$C$45,IF(2=Parametri_v3!$C$44,1-Parametri_v3!$C$45,0))</f>
        <v>0</v>
      </c>
      <c r="AQ246" s="15" t="n">
        <f aca="false">MAX(0,AP246+IF(2=Parametri_v3!$C$43,MAX(0,AN246-AO246),0)-MAX(0,-(AR245)))</f>
        <v>0</v>
      </c>
      <c r="AR246" s="15" t="n">
        <f aca="false">(AR245)+X246-AQ246</f>
        <v>280.001707894737</v>
      </c>
      <c r="AS246" s="15" t="n">
        <f aca="false">Motore_Operativo!AC246-AT246+AU246</f>
        <v>2743.125</v>
      </c>
      <c r="AT246" s="15" t="n">
        <f aca="false">Motore_Operativo!CI246</f>
        <v>144.375</v>
      </c>
      <c r="AU246" s="15" t="n">
        <f aca="false">MIN(MAX(0,(AV245)+AT246),Parametri_v3!$C$61/12)</f>
        <v>0</v>
      </c>
      <c r="AV246" s="15" t="n">
        <f aca="false">(AV245)+AT246-AU246</f>
        <v>288.75</v>
      </c>
      <c r="AW246" s="15" t="n">
        <f aca="false">IF(AND(Motore_Operativo!C246=Finanziamenti!$D$7,Finanziamenti!$F$7=1),Finanziamenti!$C$7,0)</f>
        <v>0</v>
      </c>
      <c r="AX246" s="15" t="n">
        <f aca="false">0</f>
        <v>0</v>
      </c>
      <c r="AY246" s="15" t="n">
        <f aca="false">IF(2=Parametri_v3!$C$33,IF(BV246&lt;MIN(12,$B246-1),0,MIN(MAX(0,0)*Ipotesi!$C$94,MAX(0,(0)-(BO245)-BP246),MAX(0,BD246-Parametri_v3!$C$31))),0)</f>
        <v>0</v>
      </c>
      <c r="AZ246" s="15" t="n">
        <f aca="false">0</f>
        <v>0</v>
      </c>
      <c r="BA246" s="15" t="n">
        <f aca="false">0</f>
        <v>0</v>
      </c>
      <c r="BB246" s="15" t="n">
        <f aca="false">0</f>
        <v>0</v>
      </c>
      <c r="BC246" s="15" t="n">
        <f aca="false">0</f>
        <v>0</v>
      </c>
      <c r="BD246" s="15" t="n">
        <f aca="false">(BH245)+AC246-AF246-AI246-AS246-K246*(1+Parametri_v3!$C$26)-AL246-AQ246-O246+AW246+AX246+AZ246+BA246-BB246</f>
        <v>12063.6882947368</v>
      </c>
      <c r="BE246" s="15" t="n">
        <f aca="false">0</f>
        <v>0</v>
      </c>
      <c r="BF246" s="15" t="n">
        <f aca="false">0</f>
        <v>0</v>
      </c>
      <c r="BG246" s="15" t="n">
        <f aca="false">0</f>
        <v>0</v>
      </c>
      <c r="BH246" s="15" t="n">
        <f aca="false">BD246+BE246-BF246-AY246</f>
        <v>12063.6882947368</v>
      </c>
      <c r="BI246" s="15" t="n">
        <f aca="false">MAX(0,Parametri_v3!$C$31-BH246)</f>
        <v>0</v>
      </c>
      <c r="BJ246" s="15" t="n">
        <f aca="false">(BJ245)+K246</f>
        <v>500</v>
      </c>
      <c r="BK246" s="15" t="n">
        <f aca="false">(BK245)+L246</f>
        <v>20.8333333333333</v>
      </c>
      <c r="BL246" s="15" t="n">
        <f aca="false">BJ246-BK246</f>
        <v>479.166666666667</v>
      </c>
      <c r="BM246" s="15" t="n">
        <f aca="false">(BM245)+Y246</f>
        <v>723.588642982457</v>
      </c>
      <c r="BN246" s="15" t="n">
        <f aca="false">(BN245)+AW246+AX246+AZ246</f>
        <v>20000</v>
      </c>
      <c r="BO246" s="15" t="n">
        <f aca="false">(BO245)+AY246</f>
        <v>0</v>
      </c>
      <c r="BP246" s="15" t="n">
        <f aca="false">MIN(Parametri_v3!$C$36*Parametri_v3!$C$35,(BP245)+IF(2=1,MAX(0,0)*Parametri_v3!$C$34,0))</f>
        <v>0</v>
      </c>
      <c r="BQ246" s="15" t="n">
        <f aca="false">BN246+BM246-BO246</f>
        <v>20723.5886429825</v>
      </c>
      <c r="BR246" s="15" t="n">
        <f aca="false">BH246+AD246+BL246+MAX(0,-AM246)+MAX(0,-AR246)</f>
        <v>32121.928645614</v>
      </c>
      <c r="BS246" s="15" t="n">
        <f aca="false">AJ246+AV246+MAX(0,AM246)+MAX(0,AR246)+BC246+BG246+BQ246+AG246</f>
        <v>32121.928645614</v>
      </c>
      <c r="BT246" s="15" t="n">
        <f aca="false">BR246-BS246</f>
        <v>0</v>
      </c>
      <c r="BU246" s="15" t="n">
        <f aca="false">BH246-(BD246+BE246-BF246-AY246)</f>
        <v>0</v>
      </c>
      <c r="BV246" s="15" t="n">
        <f aca="false">IF(BH245&lt;Parametri_v3!$C$31,0,BV245+1)</f>
        <v>1</v>
      </c>
    </row>
    <row r="247" customFormat="false" ht="18" hidden="false" customHeight="true" outlineLevel="0" collapsed="false">
      <c r="A247" s="68" t="n">
        <f aca="false">5</f>
        <v>5</v>
      </c>
      <c r="B247" s="68" t="n">
        <f aca="false">3</f>
        <v>3</v>
      </c>
      <c r="C247" s="18" t="n">
        <f aca="false">Motore_Operativo!C247</f>
        <v>46447</v>
      </c>
      <c r="D247" s="68" t="n">
        <f aca="false">Motore_Operativo!D247</f>
        <v>2027</v>
      </c>
      <c r="E247" s="68" t="n">
        <f aca="false">Motore_Operativo!E247</f>
        <v>3</v>
      </c>
      <c r="F247" s="15" t="n">
        <f aca="false">Motore_Operativo!AM247</f>
        <v>8024.21052631579</v>
      </c>
      <c r="G247" s="15" t="n">
        <f aca="false">Motore_Operativo!BH247</f>
        <v>802.421052631579</v>
      </c>
      <c r="H247" s="15" t="n">
        <f aca="false">Motore_Operativo!AM247</f>
        <v>8024.21052631579</v>
      </c>
      <c r="I247" s="15" t="n">
        <f aca="false">Motore_Operativo!CB247</f>
        <v>7511.99868421053</v>
      </c>
      <c r="J247" s="15" t="n">
        <f aca="false">Motore_Operativo!CD247</f>
        <v>512.211842105264</v>
      </c>
      <c r="K247" s="15" t="n">
        <f aca="false">Motore_Operativo!CF247</f>
        <v>250</v>
      </c>
      <c r="L247" s="15" t="n">
        <f aca="false">SUM(INDEX($K$245:$K$304,MAX(1,3-Parametri_v3!$C$59+1)):K247)/Parametri_v3!$C$59</f>
        <v>20.8333333333333</v>
      </c>
      <c r="M247" s="15" t="n">
        <f aca="false">J247-L247</f>
        <v>491.37850877193</v>
      </c>
      <c r="N247" s="15" t="n">
        <f aca="false">0</f>
        <v>0</v>
      </c>
      <c r="O247" s="15" t="n">
        <f aca="false">0</f>
        <v>0</v>
      </c>
      <c r="P247" s="15" t="n">
        <f aca="false">M247+N247-O247</f>
        <v>491.37850877193</v>
      </c>
      <c r="Q247" s="15" t="n">
        <f aca="false">SUM(P245:P247)+Parametri_v3!$C$56*3/12</f>
        <v>1494.96885964912</v>
      </c>
      <c r="R247" s="15" t="n">
        <f aca="false">0</f>
        <v>0</v>
      </c>
      <c r="S247" s="15" t="n">
        <f aca="false">0</f>
        <v>0</v>
      </c>
      <c r="T247" s="15" t="n">
        <f aca="false">MIN(R247,MAX(0,Q247))</f>
        <v>0</v>
      </c>
      <c r="U247" s="15" t="n">
        <f aca="false">MIN(S247,MAX(0,Q247-T247)*Parametri_v3!$C$42)</f>
        <v>0</v>
      </c>
      <c r="V247" s="15" t="n">
        <f aca="false">MAX(0,Q247-T247-U247)*Ipotesi!$C$92</f>
        <v>358.79252631579</v>
      </c>
      <c r="W247" s="15" t="n">
        <f aca="false">MAX(0,SUM(M245:M247)+Parametri_v3!$C$57*3/12)*Ipotesi!$C$93</f>
        <v>58.3037855263159</v>
      </c>
      <c r="X247" s="15" t="n">
        <f aca="false">V247+W247-(V246+W246)</f>
        <v>137.094603947369</v>
      </c>
      <c r="Y247" s="15" t="n">
        <f aca="false">P247-X247</f>
        <v>354.283904824562</v>
      </c>
      <c r="Z247" s="15" t="n">
        <f aca="false">R247-T247+IF(AND(Parametri_v3!$C$40=1,D247-YEAR(Parametri_v3!$C$50)&lt;Parametri_v3!$C$41),MAX(0,-Q247),0)</f>
        <v>0</v>
      </c>
      <c r="AA247" s="15" t="n">
        <f aca="false">S247-U247+IF(AND(Parametri_v3!$C$40=1,D247-YEAR(Parametri_v3!$C$50)&lt;Parametri_v3!$C$41),0,MAX(0,-Q247))</f>
        <v>0</v>
      </c>
      <c r="AB247" s="15" t="n">
        <f aca="false">F247*(1+Parametri_v3!$C$26)</f>
        <v>9789.53684210526</v>
      </c>
      <c r="AC247" s="15" t="n">
        <f aca="false">(IF(3-(INT((Motore_Operativo!L247)/30))&lt;1,0,INDEX(Motore_Advisory!$AB$245:$AB$304,MAX(1,3-(INT((Motore_Operativo!L247)/30)))))*(1-(MOD((Motore_Operativo!L247),30)/30))+IF(3-(INT((Motore_Operativo!L247)/30))-1&lt;1,0,INDEX(Motore_Advisory!$AB$245:$AB$304,MAX(1,3-(INT((Motore_Operativo!L247)/30))-1)))*(MOD((Motore_Operativo!L247),30)/30))</f>
        <v>0</v>
      </c>
      <c r="AD247" s="15" t="n">
        <f aca="false">(AD246)+AB247-AC247</f>
        <v>29368.6105263158</v>
      </c>
      <c r="AE247" s="15" t="n">
        <f aca="false">Motore_Operativo!BH247*(1+Parametri_v3!$C$26)</f>
        <v>978.953684210527</v>
      </c>
      <c r="AF247" s="15" t="n">
        <f aca="false">(IF(3-(INT((Parametri_v3!$C$29)/30))&lt;1,0,INDEX(Motore_Operativo!$BH$245:$BH$304,MAX(1,3-(INT((Parametri_v3!$C$29)/30)))))*(1-(MOD((Parametri_v3!$C$29),30)/30))+IF(3-(INT((Parametri_v3!$C$29)/30))-1&lt;1,0,INDEX(Motore_Operativo!$BH$245:$BH$304,MAX(1,3-(INT((Parametri_v3!$C$29)/30))-1)))*(MOD((Parametri_v3!$C$29),30)/30))*(1+Parametri_v3!$C$26)</f>
        <v>978.953684210527</v>
      </c>
      <c r="AG247" s="15" t="n">
        <f aca="false">(AG246)+AE247-AF247</f>
        <v>978.953684210527</v>
      </c>
      <c r="AH247" s="15" t="n">
        <f aca="false">(Motore_Operativo!CK247)*(1+Parametri_v3!$C$28*Parametri_v3!$C$26)</f>
        <v>4494.76329473684</v>
      </c>
      <c r="AI247" s="15" t="n">
        <f aca="false">(IF(3-(INT((Ipotesi!$C$91)/30))&lt;1,0,INDEX(Motore_Advisory!$AH$245:$AH$304,MAX(1,3-(INT((Ipotesi!$C$91)/30)))))*(1-(MOD((Ipotesi!$C$91),30)/30))+IF(3-(INT((Ipotesi!$C$91)/30))-1&lt;1,0,INDEX(Motore_Advisory!$AH$245:$AH$304,MAX(1,3-(INT((Ipotesi!$C$91)/30))-1)))*(MOD((Ipotesi!$C$91),30)/30))</f>
        <v>4494.76329473684</v>
      </c>
      <c r="AJ247" s="15" t="n">
        <f aca="false">(AJ246)+AH247-AI247</f>
        <v>8989.52658947368</v>
      </c>
      <c r="AK247" s="15" t="n">
        <f aca="false">(F247- Motore_Operativo!BH247-(Motore_Operativo!CK247)*Parametri_v3!$C$28-Motore_Operativo!CF247)*Parametri_v3!$C$26</f>
        <v>861.108021052632</v>
      </c>
      <c r="AL247" s="15" t="n">
        <f aca="false">MAX(0,(AM246))</f>
        <v>861.108021052632</v>
      </c>
      <c r="AM247" s="15" t="n">
        <f aca="false">(AM246)+AK247-AL247</f>
        <v>861.108021052632</v>
      </c>
      <c r="AN247" s="15" t="n">
        <f aca="false">0</f>
        <v>0</v>
      </c>
      <c r="AO247" s="15" t="n">
        <f aca="false">0</f>
        <v>0</v>
      </c>
      <c r="AP247" s="15" t="n">
        <f aca="false">MAX(0,AN247)*IF(3=Parametri_v3!$C$43,Parametri_v3!$C$45,IF(3=Parametri_v3!$C$44,1-Parametri_v3!$C$45,0))</f>
        <v>0</v>
      </c>
      <c r="AQ247" s="15" t="n">
        <f aca="false">MAX(0,AP247+IF(3=Parametri_v3!$C$43,MAX(0,AN247-AO247),0)-MAX(0,-(AR246)))</f>
        <v>0</v>
      </c>
      <c r="AR247" s="15" t="n">
        <f aca="false">(AR246)+X247-AQ247</f>
        <v>417.096311842106</v>
      </c>
      <c r="AS247" s="15" t="n">
        <f aca="false">Motore_Operativo!AC247-AT247+AU247</f>
        <v>2743.125</v>
      </c>
      <c r="AT247" s="15" t="n">
        <f aca="false">Motore_Operativo!CI247</f>
        <v>144.375</v>
      </c>
      <c r="AU247" s="15" t="n">
        <f aca="false">MIN(MAX(0,(AV246)+AT247),Parametri_v3!$C$61/12)</f>
        <v>0</v>
      </c>
      <c r="AV247" s="15" t="n">
        <f aca="false">(AV246)+AT247-AU247</f>
        <v>433.125</v>
      </c>
      <c r="AW247" s="15" t="n">
        <f aca="false">IF(AND(Motore_Operativo!C247=Finanziamenti!$D$7,Finanziamenti!$F$7=1),Finanziamenti!$C$7,0)</f>
        <v>0</v>
      </c>
      <c r="AX247" s="15" t="n">
        <f aca="false">0</f>
        <v>0</v>
      </c>
      <c r="AY247" s="15" t="n">
        <f aca="false">IF(3=Parametri_v3!$C$33,IF(BV247&lt;MIN(12,$B247-1),0,MIN(MAX(0,0)*Ipotesi!$C$94,MAX(0,(0)-(BO246)-BP247),MAX(0,BD247-Parametri_v3!$C$31))),0)</f>
        <v>0</v>
      </c>
      <c r="AZ247" s="15" t="n">
        <f aca="false">0</f>
        <v>0</v>
      </c>
      <c r="BA247" s="15" t="n">
        <f aca="false">0</f>
        <v>0</v>
      </c>
      <c r="BB247" s="15" t="n">
        <f aca="false">0</f>
        <v>0</v>
      </c>
      <c r="BC247" s="15" t="n">
        <f aca="false">0</f>
        <v>0</v>
      </c>
      <c r="BD247" s="15" t="n">
        <f aca="false">(BH246)+AC247-AF247-AI247-AS247-K247*(1+Parametri_v3!$C$26)-AL247-AQ247-O247+AW247+AX247+AZ247+BA247-BB247</f>
        <v>2680.73829473684</v>
      </c>
      <c r="BE247" s="15" t="n">
        <f aca="false">0</f>
        <v>0</v>
      </c>
      <c r="BF247" s="15" t="n">
        <f aca="false">0</f>
        <v>0</v>
      </c>
      <c r="BG247" s="15" t="n">
        <f aca="false">0</f>
        <v>0</v>
      </c>
      <c r="BH247" s="15" t="n">
        <f aca="false">BD247+BE247-BF247-AY247</f>
        <v>2680.73829473684</v>
      </c>
      <c r="BI247" s="15" t="n">
        <f aca="false">MAX(0,Parametri_v3!$C$31-BH247)</f>
        <v>7319.26170526316</v>
      </c>
      <c r="BJ247" s="15" t="n">
        <f aca="false">(BJ246)+K247</f>
        <v>750</v>
      </c>
      <c r="BK247" s="15" t="n">
        <f aca="false">(BK246)+L247</f>
        <v>41.6666666666667</v>
      </c>
      <c r="BL247" s="15" t="n">
        <f aca="false">BJ247-BK247</f>
        <v>708.333333333333</v>
      </c>
      <c r="BM247" s="15" t="n">
        <f aca="false">(BM246)+Y247</f>
        <v>1077.87254780702</v>
      </c>
      <c r="BN247" s="15" t="n">
        <f aca="false">(BN246)+AW247+AX247+AZ247</f>
        <v>20000</v>
      </c>
      <c r="BO247" s="15" t="n">
        <f aca="false">(BO246)+AY247</f>
        <v>0</v>
      </c>
      <c r="BP247" s="15" t="n">
        <f aca="false">MIN(Parametri_v3!$C$36*Parametri_v3!$C$35,(BP246)+IF(3=1,MAX(0,0)*Parametri_v3!$C$34,0))</f>
        <v>0</v>
      </c>
      <c r="BQ247" s="15" t="n">
        <f aca="false">BN247+BM247-BO247</f>
        <v>21077.872547807</v>
      </c>
      <c r="BR247" s="15" t="n">
        <f aca="false">BH247+AD247+BL247+MAX(0,-AM247)+MAX(0,-AR247)</f>
        <v>32757.682154386</v>
      </c>
      <c r="BS247" s="15" t="n">
        <f aca="false">AJ247+AV247+MAX(0,AM247)+MAX(0,AR247)+BC247+BG247+BQ247+AG247</f>
        <v>32757.682154386</v>
      </c>
      <c r="BT247" s="15" t="n">
        <f aca="false">BR247-BS247</f>
        <v>0</v>
      </c>
      <c r="BU247" s="15" t="n">
        <f aca="false">BH247-(BD247+BE247-BF247-AY247)</f>
        <v>0</v>
      </c>
      <c r="BV247" s="15" t="n">
        <f aca="false">IF(BH246&lt;Parametri_v3!$C$31,0,BV246+1)</f>
        <v>2</v>
      </c>
    </row>
    <row r="248" customFormat="false" ht="18" hidden="false" customHeight="true" outlineLevel="0" collapsed="false">
      <c r="A248" s="68" t="n">
        <f aca="false">5</f>
        <v>5</v>
      </c>
      <c r="B248" s="68" t="n">
        <f aca="false">4</f>
        <v>4</v>
      </c>
      <c r="C248" s="18" t="n">
        <f aca="false">Motore_Operativo!C248</f>
        <v>46478</v>
      </c>
      <c r="D248" s="68" t="n">
        <f aca="false">Motore_Operativo!D248</f>
        <v>2027</v>
      </c>
      <c r="E248" s="68" t="n">
        <f aca="false">Motore_Operativo!E248</f>
        <v>4</v>
      </c>
      <c r="F248" s="15" t="n">
        <f aca="false">Motore_Operativo!AM248</f>
        <v>8024.21052631579</v>
      </c>
      <c r="G248" s="15" t="n">
        <f aca="false">Motore_Operativo!BH248</f>
        <v>802.421052631579</v>
      </c>
      <c r="H248" s="15" t="n">
        <f aca="false">Motore_Operativo!AM248</f>
        <v>8024.21052631579</v>
      </c>
      <c r="I248" s="15" t="n">
        <f aca="false">Motore_Operativo!CB248</f>
        <v>7511.99868421053</v>
      </c>
      <c r="J248" s="15" t="n">
        <f aca="false">Motore_Operativo!CD248</f>
        <v>512.211842105264</v>
      </c>
      <c r="K248" s="15" t="n">
        <f aca="false">Motore_Operativo!CF248</f>
        <v>250</v>
      </c>
      <c r="L248" s="15" t="n">
        <f aca="false">SUM(INDEX($K$245:$K$304,MAX(1,4-Parametri_v3!$C$59+1)):K248)/Parametri_v3!$C$59</f>
        <v>27.7777777777778</v>
      </c>
      <c r="M248" s="15" t="n">
        <f aca="false">J248-L248</f>
        <v>484.434064327486</v>
      </c>
      <c r="N248" s="15" t="n">
        <f aca="false">0</f>
        <v>0</v>
      </c>
      <c r="O248" s="15" t="n">
        <f aca="false">0</f>
        <v>0</v>
      </c>
      <c r="P248" s="15" t="n">
        <f aca="false">M248+N248-O248</f>
        <v>484.434064327486</v>
      </c>
      <c r="Q248" s="15" t="n">
        <f aca="false">SUM(P245:P248)+Parametri_v3!$C$56*4/12</f>
        <v>1979.40292397661</v>
      </c>
      <c r="R248" s="15" t="n">
        <f aca="false">0</f>
        <v>0</v>
      </c>
      <c r="S248" s="15" t="n">
        <f aca="false">0</f>
        <v>0</v>
      </c>
      <c r="T248" s="15" t="n">
        <f aca="false">MIN(R248,MAX(0,Q248))</f>
        <v>0</v>
      </c>
      <c r="U248" s="15" t="n">
        <f aca="false">MIN(S248,MAX(0,Q248-T248)*Parametri_v3!$C$42)</f>
        <v>0</v>
      </c>
      <c r="V248" s="15" t="n">
        <f aca="false">MAX(0,Q248-T248-U248)*Ipotesi!$C$92</f>
        <v>475.056701754386</v>
      </c>
      <c r="W248" s="15" t="n">
        <f aca="false">MAX(0,SUM(M245:M248)+Parametri_v3!$C$57*4/12)*Ipotesi!$C$93</f>
        <v>77.1967140350878</v>
      </c>
      <c r="X248" s="15" t="n">
        <f aca="false">V248+W248-(V247+W247)</f>
        <v>135.157103947369</v>
      </c>
      <c r="Y248" s="15" t="n">
        <f aca="false">P248-X248</f>
        <v>349.276960380117</v>
      </c>
      <c r="Z248" s="15" t="n">
        <f aca="false">R248-T248+IF(AND(Parametri_v3!$C$40=1,D248-YEAR(Parametri_v3!$C$50)&lt;Parametri_v3!$C$41),MAX(0,-Q248),0)</f>
        <v>0</v>
      </c>
      <c r="AA248" s="15" t="n">
        <f aca="false">S248-U248+IF(AND(Parametri_v3!$C$40=1,D248-YEAR(Parametri_v3!$C$50)&lt;Parametri_v3!$C$41),0,MAX(0,-Q248))</f>
        <v>0</v>
      </c>
      <c r="AB248" s="15" t="n">
        <f aca="false">F248*(1+Parametri_v3!$C$26)</f>
        <v>9789.53684210526</v>
      </c>
      <c r="AC248" s="15" t="n">
        <f aca="false">(IF(4-(INT((Motore_Operativo!L248)/30))&lt;1,0,INDEX(Motore_Advisory!$AB$245:$AB$304,MAX(1,4-(INT((Motore_Operativo!L248)/30)))))*(1-(MOD((Motore_Operativo!L248),30)/30))+IF(4-(INT((Motore_Operativo!L248)/30))-1&lt;1,0,INDEX(Motore_Advisory!$AB$245:$AB$304,MAX(1,4-(INT((Motore_Operativo!L248)/30))-1)))*(MOD((Motore_Operativo!L248),30)/30))</f>
        <v>0</v>
      </c>
      <c r="AD248" s="15" t="n">
        <f aca="false">(AD247)+AB248-AC248</f>
        <v>39158.1473684211</v>
      </c>
      <c r="AE248" s="15" t="n">
        <f aca="false">Motore_Operativo!BH248*(1+Parametri_v3!$C$26)</f>
        <v>978.953684210527</v>
      </c>
      <c r="AF248" s="15" t="n">
        <f aca="false">(IF(4-(INT((Parametri_v3!$C$29)/30))&lt;1,0,INDEX(Motore_Operativo!$BH$245:$BH$304,MAX(1,4-(INT((Parametri_v3!$C$29)/30)))))*(1-(MOD((Parametri_v3!$C$29),30)/30))+IF(4-(INT((Parametri_v3!$C$29)/30))-1&lt;1,0,INDEX(Motore_Operativo!$BH$245:$BH$304,MAX(1,4-(INT((Parametri_v3!$C$29)/30))-1)))*(MOD((Parametri_v3!$C$29),30)/30))*(1+Parametri_v3!$C$26)</f>
        <v>978.953684210527</v>
      </c>
      <c r="AG248" s="15" t="n">
        <f aca="false">(AG247)+AE248-AF248</f>
        <v>978.953684210527</v>
      </c>
      <c r="AH248" s="15" t="n">
        <f aca="false">(Motore_Operativo!CK248)*(1+Parametri_v3!$C$28*Parametri_v3!$C$26)</f>
        <v>4494.76329473684</v>
      </c>
      <c r="AI248" s="15" t="n">
        <f aca="false">(IF(4-(INT((Ipotesi!$C$91)/30))&lt;1,0,INDEX(Motore_Advisory!$AH$245:$AH$304,MAX(1,4-(INT((Ipotesi!$C$91)/30)))))*(1-(MOD((Ipotesi!$C$91),30)/30))+IF(4-(INT((Ipotesi!$C$91)/30))-1&lt;1,0,INDEX(Motore_Advisory!$AH$245:$AH$304,MAX(1,4-(INT((Ipotesi!$C$91)/30))-1)))*(MOD((Ipotesi!$C$91),30)/30))</f>
        <v>4494.76329473684</v>
      </c>
      <c r="AJ248" s="15" t="n">
        <f aca="false">(AJ247)+AH248-AI248</f>
        <v>8989.52658947368</v>
      </c>
      <c r="AK248" s="15" t="n">
        <f aca="false">(F248- Motore_Operativo!BH248-(Motore_Operativo!CK248)*Parametri_v3!$C$28-Motore_Operativo!CF248)*Parametri_v3!$C$26</f>
        <v>861.108021052632</v>
      </c>
      <c r="AL248" s="15" t="n">
        <f aca="false">MAX(0,(AM247))</f>
        <v>861.108021052632</v>
      </c>
      <c r="AM248" s="15" t="n">
        <f aca="false">(AM247)+AK248-AL248</f>
        <v>861.108021052632</v>
      </c>
      <c r="AN248" s="15" t="n">
        <f aca="false">0</f>
        <v>0</v>
      </c>
      <c r="AO248" s="15" t="n">
        <f aca="false">0</f>
        <v>0</v>
      </c>
      <c r="AP248" s="15" t="n">
        <f aca="false">MAX(0,AN248)*IF(4=Parametri_v3!$C$43,Parametri_v3!$C$45,IF(4=Parametri_v3!$C$44,1-Parametri_v3!$C$45,0))</f>
        <v>0</v>
      </c>
      <c r="AQ248" s="15" t="n">
        <f aca="false">MAX(0,AP248+IF(4=Parametri_v3!$C$43,MAX(0,AN248-AO248),0)-MAX(0,-(AR247)))</f>
        <v>0</v>
      </c>
      <c r="AR248" s="15" t="n">
        <f aca="false">(AR247)+X248-AQ248</f>
        <v>552.253415789474</v>
      </c>
      <c r="AS248" s="15" t="n">
        <f aca="false">Motore_Operativo!AC248-AT248+AU248</f>
        <v>2743.125</v>
      </c>
      <c r="AT248" s="15" t="n">
        <f aca="false">Motore_Operativo!CI248</f>
        <v>144.375</v>
      </c>
      <c r="AU248" s="15" t="n">
        <f aca="false">MIN(MAX(0,(AV247)+AT248),Parametri_v3!$C$61/12)</f>
        <v>0</v>
      </c>
      <c r="AV248" s="15" t="n">
        <f aca="false">(AV247)+AT248-AU248</f>
        <v>577.5</v>
      </c>
      <c r="AW248" s="15" t="n">
        <f aca="false">IF(AND(Motore_Operativo!C248=Finanziamenti!$D$7,Finanziamenti!$F$7=1),Finanziamenti!$C$7,0)</f>
        <v>0</v>
      </c>
      <c r="AX248" s="15" t="n">
        <f aca="false">0</f>
        <v>0</v>
      </c>
      <c r="AY248" s="15" t="n">
        <f aca="false">IF(4=Parametri_v3!$C$33,IF(BV248&lt;MIN(12,$B248-1),0,MIN(MAX(0,0)*Ipotesi!$C$94,MAX(0,(0)-(BO247)-BP248),MAX(0,BD248-Parametri_v3!$C$31))),0)</f>
        <v>0</v>
      </c>
      <c r="AZ248" s="15" t="n">
        <f aca="false">0</f>
        <v>0</v>
      </c>
      <c r="BA248" s="15" t="n">
        <f aca="false">0</f>
        <v>0</v>
      </c>
      <c r="BB248" s="15" t="n">
        <f aca="false">0</f>
        <v>0</v>
      </c>
      <c r="BC248" s="15" t="n">
        <f aca="false">0</f>
        <v>0</v>
      </c>
      <c r="BD248" s="15" t="n">
        <f aca="false">(BH247)+AC248-AF248-AI248-AS248-K248*(1+Parametri_v3!$C$26)-AL248-AQ248-O248+AW248+AX248+AZ248+BA248-BB248</f>
        <v>-6702.21170526316</v>
      </c>
      <c r="BE248" s="15" t="n">
        <f aca="false">0</f>
        <v>0</v>
      </c>
      <c r="BF248" s="15" t="n">
        <f aca="false">0</f>
        <v>0</v>
      </c>
      <c r="BG248" s="15" t="n">
        <f aca="false">0</f>
        <v>0</v>
      </c>
      <c r="BH248" s="15" t="n">
        <f aca="false">BD248+BE248-BF248-AY248</f>
        <v>-6702.21170526316</v>
      </c>
      <c r="BI248" s="15" t="n">
        <f aca="false">MAX(0,Parametri_v3!$C$31-BH248)</f>
        <v>16702.2117052632</v>
      </c>
      <c r="BJ248" s="15" t="n">
        <f aca="false">(BJ247)+K248</f>
        <v>1000</v>
      </c>
      <c r="BK248" s="15" t="n">
        <f aca="false">(BK247)+L248</f>
        <v>69.4444444444445</v>
      </c>
      <c r="BL248" s="15" t="n">
        <f aca="false">BJ248-BK248</f>
        <v>930.555555555556</v>
      </c>
      <c r="BM248" s="15" t="n">
        <f aca="false">(BM247)+Y248</f>
        <v>1427.14950818714</v>
      </c>
      <c r="BN248" s="15" t="n">
        <f aca="false">(BN247)+AW248+AX248+AZ248</f>
        <v>20000</v>
      </c>
      <c r="BO248" s="15" t="n">
        <f aca="false">(BO247)+AY248</f>
        <v>0</v>
      </c>
      <c r="BP248" s="15" t="n">
        <f aca="false">MIN(Parametri_v3!$C$36*Parametri_v3!$C$35,(BP247)+IF(4=1,MAX(0,0)*Parametri_v3!$C$34,0))</f>
        <v>0</v>
      </c>
      <c r="BQ248" s="15" t="n">
        <f aca="false">BN248+BM248-BO248</f>
        <v>21427.1495081871</v>
      </c>
      <c r="BR248" s="15" t="n">
        <f aca="false">BH248+AD248+BL248+MAX(0,-AM248)+MAX(0,-AR248)</f>
        <v>33386.4912187135</v>
      </c>
      <c r="BS248" s="15" t="n">
        <f aca="false">AJ248+AV248+MAX(0,AM248)+MAX(0,AR248)+BC248+BG248+BQ248+AG248</f>
        <v>33386.4912187135</v>
      </c>
      <c r="BT248" s="15" t="n">
        <f aca="false">BR248-BS248</f>
        <v>0</v>
      </c>
      <c r="BU248" s="15" t="n">
        <f aca="false">BH248-(BD248+BE248-BF248-AY248)</f>
        <v>0</v>
      </c>
      <c r="BV248" s="15" t="n">
        <f aca="false">IF(BH247&lt;Parametri_v3!$C$31,0,BV247+1)</f>
        <v>0</v>
      </c>
    </row>
    <row r="249" customFormat="false" ht="18" hidden="false" customHeight="true" outlineLevel="0" collapsed="false">
      <c r="A249" s="68" t="n">
        <f aca="false">5</f>
        <v>5</v>
      </c>
      <c r="B249" s="68" t="n">
        <f aca="false">5</f>
        <v>5</v>
      </c>
      <c r="C249" s="18" t="n">
        <f aca="false">Motore_Operativo!C249</f>
        <v>46508</v>
      </c>
      <c r="D249" s="68" t="n">
        <f aca="false">Motore_Operativo!D249</f>
        <v>2027</v>
      </c>
      <c r="E249" s="68" t="n">
        <f aca="false">Motore_Operativo!E249</f>
        <v>5</v>
      </c>
      <c r="F249" s="15" t="n">
        <f aca="false">Motore_Operativo!AM249</f>
        <v>8024.21052631579</v>
      </c>
      <c r="G249" s="15" t="n">
        <f aca="false">Motore_Operativo!BH249</f>
        <v>802.421052631579</v>
      </c>
      <c r="H249" s="15" t="n">
        <f aca="false">Motore_Operativo!AM249</f>
        <v>8024.21052631579</v>
      </c>
      <c r="I249" s="15" t="n">
        <f aca="false">Motore_Operativo!CB249</f>
        <v>7511.99868421053</v>
      </c>
      <c r="J249" s="15" t="n">
        <f aca="false">Motore_Operativo!CD249</f>
        <v>512.211842105264</v>
      </c>
      <c r="K249" s="15" t="n">
        <f aca="false">Motore_Operativo!CF249</f>
        <v>250</v>
      </c>
      <c r="L249" s="15" t="n">
        <f aca="false">SUM(INDEX($K$245:$K$304,MAX(1,5-Parametri_v3!$C$59+1)):K249)/Parametri_v3!$C$59</f>
        <v>34.7222222222222</v>
      </c>
      <c r="M249" s="15" t="n">
        <f aca="false">J249-L249</f>
        <v>477.489619883042</v>
      </c>
      <c r="N249" s="15" t="n">
        <f aca="false">0</f>
        <v>0</v>
      </c>
      <c r="O249" s="15" t="n">
        <f aca="false">0</f>
        <v>0</v>
      </c>
      <c r="P249" s="15" t="n">
        <f aca="false">M249+N249-O249</f>
        <v>477.489619883042</v>
      </c>
      <c r="Q249" s="15" t="n">
        <f aca="false">SUM(P245:P249)+Parametri_v3!$C$56*5/12</f>
        <v>2456.89254385965</v>
      </c>
      <c r="R249" s="15" t="n">
        <f aca="false">0</f>
        <v>0</v>
      </c>
      <c r="S249" s="15" t="n">
        <f aca="false">0</f>
        <v>0</v>
      </c>
      <c r="T249" s="15" t="n">
        <f aca="false">MIN(R249,MAX(0,Q249))</f>
        <v>0</v>
      </c>
      <c r="U249" s="15" t="n">
        <f aca="false">MIN(S249,MAX(0,Q249-T249)*Parametri_v3!$C$42)</f>
        <v>0</v>
      </c>
      <c r="V249" s="15" t="n">
        <f aca="false">MAX(0,Q249-T249-U249)*Ipotesi!$C$92</f>
        <v>589.654210526316</v>
      </c>
      <c r="W249" s="15" t="n">
        <f aca="false">MAX(0,SUM(M245:M249)+Parametri_v3!$C$57*5/12)*Ipotesi!$C$93</f>
        <v>95.8188092105264</v>
      </c>
      <c r="X249" s="15" t="n">
        <f aca="false">V249+W249-(V248+W248)</f>
        <v>133.219603947369</v>
      </c>
      <c r="Y249" s="15" t="n">
        <f aca="false">P249-X249</f>
        <v>344.270015935673</v>
      </c>
      <c r="Z249" s="15" t="n">
        <f aca="false">R249-T249+IF(AND(Parametri_v3!$C$40=1,D249-YEAR(Parametri_v3!$C$50)&lt;Parametri_v3!$C$41),MAX(0,-Q249),0)</f>
        <v>0</v>
      </c>
      <c r="AA249" s="15" t="n">
        <f aca="false">S249-U249+IF(AND(Parametri_v3!$C$40=1,D249-YEAR(Parametri_v3!$C$50)&lt;Parametri_v3!$C$41),0,MAX(0,-Q249))</f>
        <v>0</v>
      </c>
      <c r="AB249" s="15" t="n">
        <f aca="false">F249*(1+Parametri_v3!$C$26)</f>
        <v>9789.53684210526</v>
      </c>
      <c r="AC249" s="15" t="n">
        <f aca="false">(IF(5-(INT((Motore_Operativo!L249)/30))&lt;1,0,INDEX(Motore_Advisory!$AB$245:$AB$304,MAX(1,5-(INT((Motore_Operativo!L249)/30)))))*(1-(MOD((Motore_Operativo!L249),30)/30))+IF(5-(INT((Motore_Operativo!L249)/30))-1&lt;1,0,INDEX(Motore_Advisory!$AB$245:$AB$304,MAX(1,5-(INT((Motore_Operativo!L249)/30))-1)))*(MOD((Motore_Operativo!L249),30)/30))</f>
        <v>9789.53684210526</v>
      </c>
      <c r="AD249" s="15" t="n">
        <f aca="false">(AD248)+AB249-AC249</f>
        <v>39158.1473684211</v>
      </c>
      <c r="AE249" s="15" t="n">
        <f aca="false">Motore_Operativo!BH249*(1+Parametri_v3!$C$26)</f>
        <v>978.953684210527</v>
      </c>
      <c r="AF249" s="15" t="n">
        <f aca="false">(IF(5-(INT((Parametri_v3!$C$29)/30))&lt;1,0,INDEX(Motore_Operativo!$BH$245:$BH$304,MAX(1,5-(INT((Parametri_v3!$C$29)/30)))))*(1-(MOD((Parametri_v3!$C$29),30)/30))+IF(5-(INT((Parametri_v3!$C$29)/30))-1&lt;1,0,INDEX(Motore_Operativo!$BH$245:$BH$304,MAX(1,5-(INT((Parametri_v3!$C$29)/30))-1)))*(MOD((Parametri_v3!$C$29),30)/30))*(1+Parametri_v3!$C$26)</f>
        <v>978.953684210527</v>
      </c>
      <c r="AG249" s="15" t="n">
        <f aca="false">(AG248)+AE249-AF249</f>
        <v>978.953684210527</v>
      </c>
      <c r="AH249" s="15" t="n">
        <f aca="false">(Motore_Operativo!CK249)*(1+Parametri_v3!$C$28*Parametri_v3!$C$26)</f>
        <v>4494.76329473684</v>
      </c>
      <c r="AI249" s="15" t="n">
        <f aca="false">(IF(5-(INT((Ipotesi!$C$91)/30))&lt;1,0,INDEX(Motore_Advisory!$AH$245:$AH$304,MAX(1,5-(INT((Ipotesi!$C$91)/30)))))*(1-(MOD((Ipotesi!$C$91),30)/30))+IF(5-(INT((Ipotesi!$C$91)/30))-1&lt;1,0,INDEX(Motore_Advisory!$AH$245:$AH$304,MAX(1,5-(INT((Ipotesi!$C$91)/30))-1)))*(MOD((Ipotesi!$C$91),30)/30))</f>
        <v>4494.76329473684</v>
      </c>
      <c r="AJ249" s="15" t="n">
        <f aca="false">(AJ248)+AH249-AI249</f>
        <v>8989.52658947368</v>
      </c>
      <c r="AK249" s="15" t="n">
        <f aca="false">(F249- Motore_Operativo!BH249-(Motore_Operativo!CK249)*Parametri_v3!$C$28-Motore_Operativo!CF249)*Parametri_v3!$C$26</f>
        <v>861.108021052632</v>
      </c>
      <c r="AL249" s="15" t="n">
        <f aca="false">MAX(0,(AM248))</f>
        <v>861.108021052632</v>
      </c>
      <c r="AM249" s="15" t="n">
        <f aca="false">(AM248)+AK249-AL249</f>
        <v>861.108021052632</v>
      </c>
      <c r="AN249" s="15" t="n">
        <f aca="false">0</f>
        <v>0</v>
      </c>
      <c r="AO249" s="15" t="n">
        <f aca="false">0</f>
        <v>0</v>
      </c>
      <c r="AP249" s="15" t="n">
        <f aca="false">MAX(0,AN249)*IF(5=Parametri_v3!$C$43,Parametri_v3!$C$45,IF(5=Parametri_v3!$C$44,1-Parametri_v3!$C$45,0))</f>
        <v>0</v>
      </c>
      <c r="AQ249" s="15" t="n">
        <f aca="false">MAX(0,AP249+IF(5=Parametri_v3!$C$43,MAX(0,AN249-AO249),0)-MAX(0,-(AR248)))</f>
        <v>0</v>
      </c>
      <c r="AR249" s="15" t="n">
        <f aca="false">(AR248)+X249-AQ249</f>
        <v>685.473019736843</v>
      </c>
      <c r="AS249" s="15" t="n">
        <f aca="false">Motore_Operativo!AC249-AT249+AU249</f>
        <v>2743.125</v>
      </c>
      <c r="AT249" s="15" t="n">
        <f aca="false">Motore_Operativo!CI249</f>
        <v>144.375</v>
      </c>
      <c r="AU249" s="15" t="n">
        <f aca="false">MIN(MAX(0,(AV248)+AT249),Parametri_v3!$C$61/12)</f>
        <v>0</v>
      </c>
      <c r="AV249" s="15" t="n">
        <f aca="false">(AV248)+AT249-AU249</f>
        <v>721.875</v>
      </c>
      <c r="AW249" s="15" t="n">
        <f aca="false">IF(AND(Motore_Operativo!C249=Finanziamenti!$D$7,Finanziamenti!$F$7=1),Finanziamenti!$C$7,0)</f>
        <v>0</v>
      </c>
      <c r="AX249" s="15" t="n">
        <f aca="false">0</f>
        <v>0</v>
      </c>
      <c r="AY249" s="15" t="n">
        <f aca="false">IF(5=Parametri_v3!$C$33,IF(BV249&lt;MIN(12,$B249-1),0,MIN(MAX(0,0)*Ipotesi!$C$94,MAX(0,(0)-(BO248)-BP249),MAX(0,BD249-Parametri_v3!$C$31))),0)</f>
        <v>0</v>
      </c>
      <c r="AZ249" s="15" t="n">
        <f aca="false">0</f>
        <v>0</v>
      </c>
      <c r="BA249" s="15" t="n">
        <f aca="false">0</f>
        <v>0</v>
      </c>
      <c r="BB249" s="15" t="n">
        <f aca="false">0</f>
        <v>0</v>
      </c>
      <c r="BC249" s="15" t="n">
        <f aca="false">0</f>
        <v>0</v>
      </c>
      <c r="BD249" s="15" t="n">
        <f aca="false">(BH248)+AC249-AF249-AI249-AS249-K249*(1+Parametri_v3!$C$26)-AL249-AQ249-O249+AW249+AX249+AZ249+BA249-BB249</f>
        <v>-6295.6248631579</v>
      </c>
      <c r="BE249" s="15" t="n">
        <f aca="false">0</f>
        <v>0</v>
      </c>
      <c r="BF249" s="15" t="n">
        <f aca="false">0</f>
        <v>0</v>
      </c>
      <c r="BG249" s="15" t="n">
        <f aca="false">0</f>
        <v>0</v>
      </c>
      <c r="BH249" s="15" t="n">
        <f aca="false">BD249+BE249-BF249-AY249</f>
        <v>-6295.6248631579</v>
      </c>
      <c r="BI249" s="15" t="n">
        <f aca="false">MAX(0,Parametri_v3!$C$31-BH249)</f>
        <v>16295.6248631579</v>
      </c>
      <c r="BJ249" s="15" t="n">
        <f aca="false">(BJ248)+K249</f>
        <v>1250</v>
      </c>
      <c r="BK249" s="15" t="n">
        <f aca="false">(BK248)+L249</f>
        <v>104.166666666667</v>
      </c>
      <c r="BL249" s="15" t="n">
        <f aca="false">BJ249-BK249</f>
        <v>1145.83333333333</v>
      </c>
      <c r="BM249" s="15" t="n">
        <f aca="false">(BM248)+Y249</f>
        <v>1771.41952412281</v>
      </c>
      <c r="BN249" s="15" t="n">
        <f aca="false">(BN248)+AW249+AX249+AZ249</f>
        <v>20000</v>
      </c>
      <c r="BO249" s="15" t="n">
        <f aca="false">(BO248)+AY249</f>
        <v>0</v>
      </c>
      <c r="BP249" s="15" t="n">
        <f aca="false">MIN(Parametri_v3!$C$36*Parametri_v3!$C$35,(BP248)+IF(5=1,MAX(0,0)*Parametri_v3!$C$34,0))</f>
        <v>0</v>
      </c>
      <c r="BQ249" s="15" t="n">
        <f aca="false">BN249+BM249-BO249</f>
        <v>21771.4195241228</v>
      </c>
      <c r="BR249" s="15" t="n">
        <f aca="false">BH249+AD249+BL249+MAX(0,-AM249)+MAX(0,-AR249)</f>
        <v>34008.3558385965</v>
      </c>
      <c r="BS249" s="15" t="n">
        <f aca="false">AJ249+AV249+MAX(0,AM249)+MAX(0,AR249)+BC249+BG249+BQ249+AG249</f>
        <v>34008.3558385965</v>
      </c>
      <c r="BT249" s="15" t="n">
        <f aca="false">BR249-BS249</f>
        <v>0</v>
      </c>
      <c r="BU249" s="15" t="n">
        <f aca="false">BH249-(BD249+BE249-BF249-AY249)</f>
        <v>0</v>
      </c>
      <c r="BV249" s="15" t="n">
        <f aca="false">IF(BH248&lt;Parametri_v3!$C$31,0,BV248+1)</f>
        <v>0</v>
      </c>
    </row>
    <row r="250" customFormat="false" ht="18" hidden="false" customHeight="true" outlineLevel="0" collapsed="false">
      <c r="A250" s="68" t="n">
        <f aca="false">5</f>
        <v>5</v>
      </c>
      <c r="B250" s="68" t="n">
        <f aca="false">6</f>
        <v>6</v>
      </c>
      <c r="C250" s="18" t="n">
        <f aca="false">Motore_Operativo!C250</f>
        <v>46539</v>
      </c>
      <c r="D250" s="68" t="n">
        <f aca="false">Motore_Operativo!D250</f>
        <v>2027</v>
      </c>
      <c r="E250" s="68" t="n">
        <f aca="false">Motore_Operativo!E250</f>
        <v>6</v>
      </c>
      <c r="F250" s="15" t="n">
        <f aca="false">Motore_Operativo!AM250</f>
        <v>8024.21052631579</v>
      </c>
      <c r="G250" s="15" t="n">
        <f aca="false">Motore_Operativo!BH250</f>
        <v>802.421052631579</v>
      </c>
      <c r="H250" s="15" t="n">
        <f aca="false">Motore_Operativo!AM250</f>
        <v>8024.21052631579</v>
      </c>
      <c r="I250" s="15" t="n">
        <f aca="false">Motore_Operativo!CB250</f>
        <v>7511.99868421053</v>
      </c>
      <c r="J250" s="15" t="n">
        <f aca="false">Motore_Operativo!CD250</f>
        <v>512.211842105264</v>
      </c>
      <c r="K250" s="15" t="n">
        <f aca="false">Motore_Operativo!CF250</f>
        <v>250</v>
      </c>
      <c r="L250" s="15" t="n">
        <f aca="false">SUM(INDEX($K$245:$K$304,MAX(1,6-Parametri_v3!$C$59+1)):K250)/Parametri_v3!$C$59</f>
        <v>41.6666666666667</v>
      </c>
      <c r="M250" s="15" t="n">
        <f aca="false">J250-L250</f>
        <v>470.545175438597</v>
      </c>
      <c r="N250" s="15" t="n">
        <f aca="false">0</f>
        <v>0</v>
      </c>
      <c r="O250" s="15" t="n">
        <f aca="false">0</f>
        <v>0</v>
      </c>
      <c r="P250" s="15" t="n">
        <f aca="false">M250+N250-O250</f>
        <v>470.545175438597</v>
      </c>
      <c r="Q250" s="15" t="n">
        <f aca="false">SUM(P245:P250)+Parametri_v3!$C$56*6/12</f>
        <v>2927.43771929825</v>
      </c>
      <c r="R250" s="15" t="n">
        <f aca="false">0</f>
        <v>0</v>
      </c>
      <c r="S250" s="15" t="n">
        <f aca="false">0</f>
        <v>0</v>
      </c>
      <c r="T250" s="15" t="n">
        <f aca="false">MIN(R250,MAX(0,Q250))</f>
        <v>0</v>
      </c>
      <c r="U250" s="15" t="n">
        <f aca="false">MIN(S250,MAX(0,Q250-T250)*Parametri_v3!$C$42)</f>
        <v>0</v>
      </c>
      <c r="V250" s="15" t="n">
        <f aca="false">MAX(0,Q250-T250-U250)*Ipotesi!$C$92</f>
        <v>702.58505263158</v>
      </c>
      <c r="W250" s="15" t="n">
        <f aca="false">MAX(0,SUM(M245:M250)+Parametri_v3!$C$57*6/12)*Ipotesi!$C$93</f>
        <v>114.170071052632</v>
      </c>
      <c r="X250" s="15" t="n">
        <f aca="false">V250+W250-(V249+W249)</f>
        <v>131.282103947369</v>
      </c>
      <c r="Y250" s="15" t="n">
        <f aca="false">P250-X250</f>
        <v>339.263071491228</v>
      </c>
      <c r="Z250" s="15" t="n">
        <f aca="false">R250-T250+IF(AND(Parametri_v3!$C$40=1,D250-YEAR(Parametri_v3!$C$50)&lt;Parametri_v3!$C$41),MAX(0,-Q250),0)</f>
        <v>0</v>
      </c>
      <c r="AA250" s="15" t="n">
        <f aca="false">S250-U250+IF(AND(Parametri_v3!$C$40=1,D250-YEAR(Parametri_v3!$C$50)&lt;Parametri_v3!$C$41),0,MAX(0,-Q250))</f>
        <v>0</v>
      </c>
      <c r="AB250" s="15" t="n">
        <f aca="false">F250*(1+Parametri_v3!$C$26)</f>
        <v>9789.53684210526</v>
      </c>
      <c r="AC250" s="15" t="n">
        <f aca="false">(IF(6-(INT((Motore_Operativo!L250)/30))&lt;1,0,INDEX(Motore_Advisory!$AB$245:$AB$304,MAX(1,6-(INT((Motore_Operativo!L250)/30)))))*(1-(MOD((Motore_Operativo!L250),30)/30))+IF(6-(INT((Motore_Operativo!L250)/30))-1&lt;1,0,INDEX(Motore_Advisory!$AB$245:$AB$304,MAX(1,6-(INT((Motore_Operativo!L250)/30))-1)))*(MOD((Motore_Operativo!L250),30)/30))</f>
        <v>9789.53684210526</v>
      </c>
      <c r="AD250" s="15" t="n">
        <f aca="false">(AD249)+AB250-AC250</f>
        <v>39158.1473684211</v>
      </c>
      <c r="AE250" s="15" t="n">
        <f aca="false">Motore_Operativo!BH250*(1+Parametri_v3!$C$26)</f>
        <v>978.953684210527</v>
      </c>
      <c r="AF250" s="15" t="n">
        <f aca="false">(IF(6-(INT((Parametri_v3!$C$29)/30))&lt;1,0,INDEX(Motore_Operativo!$BH$245:$BH$304,MAX(1,6-(INT((Parametri_v3!$C$29)/30)))))*(1-(MOD((Parametri_v3!$C$29),30)/30))+IF(6-(INT((Parametri_v3!$C$29)/30))-1&lt;1,0,INDEX(Motore_Operativo!$BH$245:$BH$304,MAX(1,6-(INT((Parametri_v3!$C$29)/30))-1)))*(MOD((Parametri_v3!$C$29),30)/30))*(1+Parametri_v3!$C$26)</f>
        <v>978.953684210527</v>
      </c>
      <c r="AG250" s="15" t="n">
        <f aca="false">(AG249)+AE250-AF250</f>
        <v>978.953684210527</v>
      </c>
      <c r="AH250" s="15" t="n">
        <f aca="false">(Motore_Operativo!CK250)*(1+Parametri_v3!$C$28*Parametri_v3!$C$26)</f>
        <v>4494.76329473684</v>
      </c>
      <c r="AI250" s="15" t="n">
        <f aca="false">(IF(6-(INT((Ipotesi!$C$91)/30))&lt;1,0,INDEX(Motore_Advisory!$AH$245:$AH$304,MAX(1,6-(INT((Ipotesi!$C$91)/30)))))*(1-(MOD((Ipotesi!$C$91),30)/30))+IF(6-(INT((Ipotesi!$C$91)/30))-1&lt;1,0,INDEX(Motore_Advisory!$AH$245:$AH$304,MAX(1,6-(INT((Ipotesi!$C$91)/30))-1)))*(MOD((Ipotesi!$C$91),30)/30))</f>
        <v>4494.76329473684</v>
      </c>
      <c r="AJ250" s="15" t="n">
        <f aca="false">(AJ249)+AH250-AI250</f>
        <v>8989.52658947368</v>
      </c>
      <c r="AK250" s="15" t="n">
        <f aca="false">(F250- Motore_Operativo!BH250-(Motore_Operativo!CK250)*Parametri_v3!$C$28-Motore_Operativo!CF250)*Parametri_v3!$C$26</f>
        <v>861.108021052632</v>
      </c>
      <c r="AL250" s="15" t="n">
        <f aca="false">MAX(0,(AM249))</f>
        <v>861.108021052632</v>
      </c>
      <c r="AM250" s="15" t="n">
        <f aca="false">(AM249)+AK250-AL250</f>
        <v>861.108021052632</v>
      </c>
      <c r="AN250" s="15" t="n">
        <f aca="false">0</f>
        <v>0</v>
      </c>
      <c r="AO250" s="15" t="n">
        <f aca="false">0</f>
        <v>0</v>
      </c>
      <c r="AP250" s="15" t="n">
        <f aca="false">MAX(0,AN250)*IF(6=Parametri_v3!$C$43,Parametri_v3!$C$45,IF(6=Parametri_v3!$C$44,1-Parametri_v3!$C$45,0))</f>
        <v>0</v>
      </c>
      <c r="AQ250" s="15" t="n">
        <f aca="false">MAX(0,AP250+IF(6=Parametri_v3!$C$43,MAX(0,AN250-AO250),0)-MAX(0,-(AR249)))</f>
        <v>0</v>
      </c>
      <c r="AR250" s="15" t="n">
        <f aca="false">(AR249)+X250-AQ250</f>
        <v>816.755123684211</v>
      </c>
      <c r="AS250" s="15" t="n">
        <f aca="false">Motore_Operativo!AC250-AT250+AU250</f>
        <v>2743.125</v>
      </c>
      <c r="AT250" s="15" t="n">
        <f aca="false">Motore_Operativo!CI250</f>
        <v>144.375</v>
      </c>
      <c r="AU250" s="15" t="n">
        <f aca="false">MIN(MAX(0,(AV249)+AT250),Parametri_v3!$C$61/12)</f>
        <v>0</v>
      </c>
      <c r="AV250" s="15" t="n">
        <f aca="false">(AV249)+AT250-AU250</f>
        <v>866.25</v>
      </c>
      <c r="AW250" s="15" t="n">
        <f aca="false">IF(AND(Motore_Operativo!C250=Finanziamenti!$D$7,Finanziamenti!$F$7=1),Finanziamenti!$C$7,0)</f>
        <v>0</v>
      </c>
      <c r="AX250" s="15" t="n">
        <f aca="false">0</f>
        <v>0</v>
      </c>
      <c r="AY250" s="15" t="n">
        <f aca="false">IF(6=Parametri_v3!$C$33,IF(BV250&lt;MIN(12,$B250-1),0,MIN(MAX(0,0)*Ipotesi!$C$94,MAX(0,(0)-(BO249)-BP250),MAX(0,BD250-Parametri_v3!$C$31))),0)</f>
        <v>0</v>
      </c>
      <c r="AZ250" s="15" t="n">
        <f aca="false">0</f>
        <v>0</v>
      </c>
      <c r="BA250" s="15" t="n">
        <f aca="false">0</f>
        <v>0</v>
      </c>
      <c r="BB250" s="15" t="n">
        <f aca="false">0</f>
        <v>0</v>
      </c>
      <c r="BC250" s="15" t="n">
        <f aca="false">0</f>
        <v>0</v>
      </c>
      <c r="BD250" s="15" t="n">
        <f aca="false">(BH249)+AC250-AF250-AI250-AS250-K250*(1+Parametri_v3!$C$26)-AL250-AQ250-O250+AW250+AX250+AZ250+BA250-BB250</f>
        <v>-5889.03802105263</v>
      </c>
      <c r="BE250" s="15" t="n">
        <f aca="false">0</f>
        <v>0</v>
      </c>
      <c r="BF250" s="15" t="n">
        <f aca="false">0</f>
        <v>0</v>
      </c>
      <c r="BG250" s="15" t="n">
        <f aca="false">0</f>
        <v>0</v>
      </c>
      <c r="BH250" s="15" t="n">
        <f aca="false">BD250+BE250-BF250-AY250</f>
        <v>-5889.03802105263</v>
      </c>
      <c r="BI250" s="15" t="n">
        <f aca="false">MAX(0,Parametri_v3!$C$31-BH250)</f>
        <v>15889.0380210526</v>
      </c>
      <c r="BJ250" s="15" t="n">
        <f aca="false">(BJ249)+K250</f>
        <v>1500</v>
      </c>
      <c r="BK250" s="15" t="n">
        <f aca="false">(BK249)+L250</f>
        <v>145.833333333333</v>
      </c>
      <c r="BL250" s="15" t="n">
        <f aca="false">BJ250-BK250</f>
        <v>1354.16666666667</v>
      </c>
      <c r="BM250" s="15" t="n">
        <f aca="false">(BM249)+Y250</f>
        <v>2110.68259561404</v>
      </c>
      <c r="BN250" s="15" t="n">
        <f aca="false">(BN249)+AW250+AX250+AZ250</f>
        <v>20000</v>
      </c>
      <c r="BO250" s="15" t="n">
        <f aca="false">(BO249)+AY250</f>
        <v>0</v>
      </c>
      <c r="BP250" s="15" t="n">
        <f aca="false">MIN(Parametri_v3!$C$36*Parametri_v3!$C$35,(BP249)+IF(6=1,MAX(0,0)*Parametri_v3!$C$34,0))</f>
        <v>0</v>
      </c>
      <c r="BQ250" s="15" t="n">
        <f aca="false">BN250+BM250-BO250</f>
        <v>22110.682595614</v>
      </c>
      <c r="BR250" s="15" t="n">
        <f aca="false">BH250+AD250+BL250+MAX(0,-AM250)+MAX(0,-AR250)</f>
        <v>34623.2760140351</v>
      </c>
      <c r="BS250" s="15" t="n">
        <f aca="false">AJ250+AV250+MAX(0,AM250)+MAX(0,AR250)+BC250+BG250+BQ250+AG250</f>
        <v>34623.2760140351</v>
      </c>
      <c r="BT250" s="15" t="n">
        <f aca="false">BR250-BS250</f>
        <v>0</v>
      </c>
      <c r="BU250" s="15" t="n">
        <f aca="false">BH250-(BD250+BE250-BF250-AY250)</f>
        <v>0</v>
      </c>
      <c r="BV250" s="15" t="n">
        <f aca="false">IF(BH249&lt;Parametri_v3!$C$31,0,BV249+1)</f>
        <v>0</v>
      </c>
    </row>
    <row r="251" customFormat="false" ht="18" hidden="false" customHeight="true" outlineLevel="0" collapsed="false">
      <c r="A251" s="68" t="n">
        <f aca="false">5</f>
        <v>5</v>
      </c>
      <c r="B251" s="68" t="n">
        <f aca="false">7</f>
        <v>7</v>
      </c>
      <c r="C251" s="18" t="n">
        <f aca="false">Motore_Operativo!C251</f>
        <v>46569</v>
      </c>
      <c r="D251" s="68" t="n">
        <f aca="false">Motore_Operativo!D251</f>
        <v>2027</v>
      </c>
      <c r="E251" s="68" t="n">
        <f aca="false">Motore_Operativo!E251</f>
        <v>7</v>
      </c>
      <c r="F251" s="15" t="n">
        <f aca="false">Motore_Operativo!AM251</f>
        <v>8024.21052631579</v>
      </c>
      <c r="G251" s="15" t="n">
        <f aca="false">Motore_Operativo!BH251</f>
        <v>802.421052631579</v>
      </c>
      <c r="H251" s="15" t="n">
        <f aca="false">Motore_Operativo!AM251</f>
        <v>8024.21052631579</v>
      </c>
      <c r="I251" s="15" t="n">
        <f aca="false">Motore_Operativo!CB251</f>
        <v>7511.99868421053</v>
      </c>
      <c r="J251" s="15" t="n">
        <f aca="false">Motore_Operativo!CD251</f>
        <v>512.211842105264</v>
      </c>
      <c r="K251" s="15" t="n">
        <f aca="false">Motore_Operativo!CF251</f>
        <v>250</v>
      </c>
      <c r="L251" s="15" t="n">
        <f aca="false">SUM(INDEX($K$245:$K$304,MAX(1,7-Parametri_v3!$C$59+1)):K251)/Parametri_v3!$C$59</f>
        <v>48.6111111111111</v>
      </c>
      <c r="M251" s="15" t="n">
        <f aca="false">J251-L251</f>
        <v>463.600730994153</v>
      </c>
      <c r="N251" s="15" t="n">
        <f aca="false">0</f>
        <v>0</v>
      </c>
      <c r="O251" s="15" t="n">
        <f aca="false">0</f>
        <v>0</v>
      </c>
      <c r="P251" s="15" t="n">
        <f aca="false">M251+N251-O251</f>
        <v>463.600730994153</v>
      </c>
      <c r="Q251" s="15" t="n">
        <f aca="false">SUM(P245:P251)+Parametri_v3!$C$56*7/12</f>
        <v>3391.0384502924</v>
      </c>
      <c r="R251" s="15" t="n">
        <f aca="false">0</f>
        <v>0</v>
      </c>
      <c r="S251" s="15" t="n">
        <f aca="false">0</f>
        <v>0</v>
      </c>
      <c r="T251" s="15" t="n">
        <f aca="false">MIN(R251,MAX(0,Q251))</f>
        <v>0</v>
      </c>
      <c r="U251" s="15" t="n">
        <f aca="false">MIN(S251,MAX(0,Q251-T251)*Parametri_v3!$C$42)</f>
        <v>0</v>
      </c>
      <c r="V251" s="15" t="n">
        <f aca="false">MAX(0,Q251-T251-U251)*Ipotesi!$C$92</f>
        <v>813.849228070176</v>
      </c>
      <c r="W251" s="15" t="n">
        <f aca="false">MAX(0,SUM(M245:M251)+Parametri_v3!$C$57*7/12)*Ipotesi!$C$93</f>
        <v>132.250499561404</v>
      </c>
      <c r="X251" s="15" t="n">
        <f aca="false">V251+W251-(V250+W250)</f>
        <v>129.344603947369</v>
      </c>
      <c r="Y251" s="15" t="n">
        <f aca="false">P251-X251</f>
        <v>334.256127046784</v>
      </c>
      <c r="Z251" s="15" t="n">
        <f aca="false">R251-T251+IF(AND(Parametri_v3!$C$40=1,D251-YEAR(Parametri_v3!$C$50)&lt;Parametri_v3!$C$41),MAX(0,-Q251),0)</f>
        <v>0</v>
      </c>
      <c r="AA251" s="15" t="n">
        <f aca="false">S251-U251+IF(AND(Parametri_v3!$C$40=1,D251-YEAR(Parametri_v3!$C$50)&lt;Parametri_v3!$C$41),0,MAX(0,-Q251))</f>
        <v>0</v>
      </c>
      <c r="AB251" s="15" t="n">
        <f aca="false">F251*(1+Parametri_v3!$C$26)</f>
        <v>9789.53684210526</v>
      </c>
      <c r="AC251" s="15" t="n">
        <f aca="false">(IF(7-(INT((Motore_Operativo!L251)/30))&lt;1,0,INDEX(Motore_Advisory!$AB$245:$AB$304,MAX(1,7-(INT((Motore_Operativo!L251)/30)))))*(1-(MOD((Motore_Operativo!L251),30)/30))+IF(7-(INT((Motore_Operativo!L251)/30))-1&lt;1,0,INDEX(Motore_Advisory!$AB$245:$AB$304,MAX(1,7-(INT((Motore_Operativo!L251)/30))-1)))*(MOD((Motore_Operativo!L251),30)/30))</f>
        <v>9789.53684210526</v>
      </c>
      <c r="AD251" s="15" t="n">
        <f aca="false">(AD250)+AB251-AC251</f>
        <v>39158.1473684211</v>
      </c>
      <c r="AE251" s="15" t="n">
        <f aca="false">Motore_Operativo!BH251*(1+Parametri_v3!$C$26)</f>
        <v>978.953684210527</v>
      </c>
      <c r="AF251" s="15" t="n">
        <f aca="false">(IF(7-(INT((Parametri_v3!$C$29)/30))&lt;1,0,INDEX(Motore_Operativo!$BH$245:$BH$304,MAX(1,7-(INT((Parametri_v3!$C$29)/30)))))*(1-(MOD((Parametri_v3!$C$29),30)/30))+IF(7-(INT((Parametri_v3!$C$29)/30))-1&lt;1,0,INDEX(Motore_Operativo!$BH$245:$BH$304,MAX(1,7-(INT((Parametri_v3!$C$29)/30))-1)))*(MOD((Parametri_v3!$C$29),30)/30))*(1+Parametri_v3!$C$26)</f>
        <v>978.953684210527</v>
      </c>
      <c r="AG251" s="15" t="n">
        <f aca="false">(AG250)+AE251-AF251</f>
        <v>978.953684210527</v>
      </c>
      <c r="AH251" s="15" t="n">
        <f aca="false">(Motore_Operativo!CK251)*(1+Parametri_v3!$C$28*Parametri_v3!$C$26)</f>
        <v>4494.76329473684</v>
      </c>
      <c r="AI251" s="15" t="n">
        <f aca="false">(IF(7-(INT((Ipotesi!$C$91)/30))&lt;1,0,INDEX(Motore_Advisory!$AH$245:$AH$304,MAX(1,7-(INT((Ipotesi!$C$91)/30)))))*(1-(MOD((Ipotesi!$C$91),30)/30))+IF(7-(INT((Ipotesi!$C$91)/30))-1&lt;1,0,INDEX(Motore_Advisory!$AH$245:$AH$304,MAX(1,7-(INT((Ipotesi!$C$91)/30))-1)))*(MOD((Ipotesi!$C$91),30)/30))</f>
        <v>4494.76329473684</v>
      </c>
      <c r="AJ251" s="15" t="n">
        <f aca="false">(AJ250)+AH251-AI251</f>
        <v>8989.52658947368</v>
      </c>
      <c r="AK251" s="15" t="n">
        <f aca="false">(F251- Motore_Operativo!BH251-(Motore_Operativo!CK251)*Parametri_v3!$C$28-Motore_Operativo!CF251)*Parametri_v3!$C$26</f>
        <v>861.108021052632</v>
      </c>
      <c r="AL251" s="15" t="n">
        <f aca="false">MAX(0,(AM250))</f>
        <v>861.108021052632</v>
      </c>
      <c r="AM251" s="15" t="n">
        <f aca="false">(AM250)+AK251-AL251</f>
        <v>861.108021052632</v>
      </c>
      <c r="AN251" s="15" t="n">
        <f aca="false">0</f>
        <v>0</v>
      </c>
      <c r="AO251" s="15" t="n">
        <f aca="false">0</f>
        <v>0</v>
      </c>
      <c r="AP251" s="15" t="n">
        <f aca="false">MAX(0,AN251)*IF(7=Parametri_v3!$C$43,Parametri_v3!$C$45,IF(7=Parametri_v3!$C$44,1-Parametri_v3!$C$45,0))</f>
        <v>0</v>
      </c>
      <c r="AQ251" s="15" t="n">
        <f aca="false">MAX(0,AP251+IF(7=Parametri_v3!$C$43,MAX(0,AN251-AO251),0)-MAX(0,-(AR250)))</f>
        <v>0</v>
      </c>
      <c r="AR251" s="15" t="n">
        <f aca="false">(AR250)+X251-AQ251</f>
        <v>946.09972763158</v>
      </c>
      <c r="AS251" s="15" t="n">
        <f aca="false">Motore_Operativo!AC251-AT251+AU251</f>
        <v>2743.125</v>
      </c>
      <c r="AT251" s="15" t="n">
        <f aca="false">Motore_Operativo!CI251</f>
        <v>144.375</v>
      </c>
      <c r="AU251" s="15" t="n">
        <f aca="false">MIN(MAX(0,(AV250)+AT251),Parametri_v3!$C$61/12)</f>
        <v>0</v>
      </c>
      <c r="AV251" s="15" t="n">
        <f aca="false">(AV250)+AT251-AU251</f>
        <v>1010.625</v>
      </c>
      <c r="AW251" s="15" t="n">
        <f aca="false">IF(AND(Motore_Operativo!C251=Finanziamenti!$D$7,Finanziamenti!$F$7=1),Finanziamenti!$C$7,0)</f>
        <v>0</v>
      </c>
      <c r="AX251" s="15" t="n">
        <f aca="false">0</f>
        <v>0</v>
      </c>
      <c r="AY251" s="15" t="n">
        <f aca="false">IF(7=Parametri_v3!$C$33,IF(BV251&lt;MIN(12,$B251-1),0,MIN(MAX(0,0)*Ipotesi!$C$94,MAX(0,(0)-(BO250)-BP251),MAX(0,BD251-Parametri_v3!$C$31))),0)</f>
        <v>0</v>
      </c>
      <c r="AZ251" s="15" t="n">
        <f aca="false">0</f>
        <v>0</v>
      </c>
      <c r="BA251" s="15" t="n">
        <f aca="false">0</f>
        <v>0</v>
      </c>
      <c r="BB251" s="15" t="n">
        <f aca="false">0</f>
        <v>0</v>
      </c>
      <c r="BC251" s="15" t="n">
        <f aca="false">0</f>
        <v>0</v>
      </c>
      <c r="BD251" s="15" t="n">
        <f aca="false">(BH250)+AC251-AF251-AI251-AS251-K251*(1+Parametri_v3!$C$26)-AL251-AQ251-O251+AW251+AX251+AZ251+BA251-BB251</f>
        <v>-5482.45117894737</v>
      </c>
      <c r="BE251" s="15" t="n">
        <f aca="false">0</f>
        <v>0</v>
      </c>
      <c r="BF251" s="15" t="n">
        <f aca="false">0</f>
        <v>0</v>
      </c>
      <c r="BG251" s="15" t="n">
        <f aca="false">0</f>
        <v>0</v>
      </c>
      <c r="BH251" s="15" t="n">
        <f aca="false">BD251+BE251-BF251-AY251</f>
        <v>-5482.45117894737</v>
      </c>
      <c r="BI251" s="15" t="n">
        <f aca="false">MAX(0,Parametri_v3!$C$31-BH251)</f>
        <v>15482.4511789474</v>
      </c>
      <c r="BJ251" s="15" t="n">
        <f aca="false">(BJ250)+K251</f>
        <v>1750</v>
      </c>
      <c r="BK251" s="15" t="n">
        <f aca="false">(BK250)+L251</f>
        <v>194.444444444444</v>
      </c>
      <c r="BL251" s="15" t="n">
        <f aca="false">BJ251-BK251</f>
        <v>1555.55555555556</v>
      </c>
      <c r="BM251" s="15" t="n">
        <f aca="false">(BM250)+Y251</f>
        <v>2444.93872266082</v>
      </c>
      <c r="BN251" s="15" t="n">
        <f aca="false">(BN250)+AW251+AX251+AZ251</f>
        <v>20000</v>
      </c>
      <c r="BO251" s="15" t="n">
        <f aca="false">(BO250)+AY251</f>
        <v>0</v>
      </c>
      <c r="BP251" s="15" t="n">
        <f aca="false">MIN(Parametri_v3!$C$36*Parametri_v3!$C$35,(BP250)+IF(7=1,MAX(0,0)*Parametri_v3!$C$34,0))</f>
        <v>0</v>
      </c>
      <c r="BQ251" s="15" t="n">
        <f aca="false">BN251+BM251-BO251</f>
        <v>22444.9387226608</v>
      </c>
      <c r="BR251" s="15" t="n">
        <f aca="false">BH251+AD251+BL251+MAX(0,-AM251)+MAX(0,-AR251)</f>
        <v>35231.2517450292</v>
      </c>
      <c r="BS251" s="15" t="n">
        <f aca="false">AJ251+AV251+MAX(0,AM251)+MAX(0,AR251)+BC251+BG251+BQ251+AG251</f>
        <v>35231.2517450293</v>
      </c>
      <c r="BT251" s="15" t="n">
        <f aca="false">BR251-BS251</f>
        <v>0</v>
      </c>
      <c r="BU251" s="15" t="n">
        <f aca="false">BH251-(BD251+BE251-BF251-AY251)</f>
        <v>0</v>
      </c>
      <c r="BV251" s="15" t="n">
        <f aca="false">IF(BH250&lt;Parametri_v3!$C$31,0,BV250+1)</f>
        <v>0</v>
      </c>
    </row>
    <row r="252" customFormat="false" ht="18" hidden="false" customHeight="true" outlineLevel="0" collapsed="false">
      <c r="A252" s="68" t="n">
        <f aca="false">5</f>
        <v>5</v>
      </c>
      <c r="B252" s="68" t="n">
        <f aca="false">8</f>
        <v>8</v>
      </c>
      <c r="C252" s="18" t="n">
        <f aca="false">Motore_Operativo!C252</f>
        <v>46600</v>
      </c>
      <c r="D252" s="68" t="n">
        <f aca="false">Motore_Operativo!D252</f>
        <v>2027</v>
      </c>
      <c r="E252" s="68" t="n">
        <f aca="false">Motore_Operativo!E252</f>
        <v>8</v>
      </c>
      <c r="F252" s="15" t="n">
        <f aca="false">Motore_Operativo!AM252</f>
        <v>8024.21052631579</v>
      </c>
      <c r="G252" s="15" t="n">
        <f aca="false">Motore_Operativo!BH252</f>
        <v>802.421052631579</v>
      </c>
      <c r="H252" s="15" t="n">
        <f aca="false">Motore_Operativo!AM252</f>
        <v>8024.21052631579</v>
      </c>
      <c r="I252" s="15" t="n">
        <f aca="false">Motore_Operativo!CB252</f>
        <v>7511.99868421053</v>
      </c>
      <c r="J252" s="15" t="n">
        <f aca="false">Motore_Operativo!CD252</f>
        <v>512.211842105264</v>
      </c>
      <c r="K252" s="15" t="n">
        <f aca="false">Motore_Operativo!CF252</f>
        <v>250</v>
      </c>
      <c r="L252" s="15" t="n">
        <f aca="false">SUM(INDEX($K$245:$K$304,MAX(1,8-Parametri_v3!$C$59+1)):K252)/Parametri_v3!$C$59</f>
        <v>55.5555555555556</v>
      </c>
      <c r="M252" s="15" t="n">
        <f aca="false">J252-L252</f>
        <v>456.656286549708</v>
      </c>
      <c r="N252" s="15" t="n">
        <f aca="false">0</f>
        <v>0</v>
      </c>
      <c r="O252" s="15" t="n">
        <f aca="false">0</f>
        <v>0</v>
      </c>
      <c r="P252" s="15" t="n">
        <f aca="false">M252+N252-O252</f>
        <v>456.656286549708</v>
      </c>
      <c r="Q252" s="15" t="n">
        <f aca="false">SUM(P245:P252)+Parametri_v3!$C$56*8/12</f>
        <v>3847.69473684211</v>
      </c>
      <c r="R252" s="15" t="n">
        <f aca="false">0</f>
        <v>0</v>
      </c>
      <c r="S252" s="15" t="n">
        <f aca="false">0</f>
        <v>0</v>
      </c>
      <c r="T252" s="15" t="n">
        <f aca="false">MIN(R252,MAX(0,Q252))</f>
        <v>0</v>
      </c>
      <c r="U252" s="15" t="n">
        <f aca="false">MIN(S252,MAX(0,Q252-T252)*Parametri_v3!$C$42)</f>
        <v>0</v>
      </c>
      <c r="V252" s="15" t="n">
        <f aca="false">MAX(0,Q252-T252-U252)*Ipotesi!$C$92</f>
        <v>923.446736842106</v>
      </c>
      <c r="W252" s="15" t="n">
        <f aca="false">MAX(0,SUM(M245:M252)+Parametri_v3!$C$57*8/12)*Ipotesi!$C$93</f>
        <v>150.060094736842</v>
      </c>
      <c r="X252" s="15" t="n">
        <f aca="false">V252+W252-(V251+W251)</f>
        <v>127.407103947369</v>
      </c>
      <c r="Y252" s="15" t="n">
        <f aca="false">P252-X252</f>
        <v>329.24918260234</v>
      </c>
      <c r="Z252" s="15" t="n">
        <f aca="false">R252-T252+IF(AND(Parametri_v3!$C$40=1,D252-YEAR(Parametri_v3!$C$50)&lt;Parametri_v3!$C$41),MAX(0,-Q252),0)</f>
        <v>0</v>
      </c>
      <c r="AA252" s="15" t="n">
        <f aca="false">S252-U252+IF(AND(Parametri_v3!$C$40=1,D252-YEAR(Parametri_v3!$C$50)&lt;Parametri_v3!$C$41),0,MAX(0,-Q252))</f>
        <v>0</v>
      </c>
      <c r="AB252" s="15" t="n">
        <f aca="false">F252*(1+Parametri_v3!$C$26)</f>
        <v>9789.53684210526</v>
      </c>
      <c r="AC252" s="15" t="n">
        <f aca="false">(IF(8-(INT((Motore_Operativo!L252)/30))&lt;1,0,INDEX(Motore_Advisory!$AB$245:$AB$304,MAX(1,8-(INT((Motore_Operativo!L252)/30)))))*(1-(MOD((Motore_Operativo!L252),30)/30))+IF(8-(INT((Motore_Operativo!L252)/30))-1&lt;1,0,INDEX(Motore_Advisory!$AB$245:$AB$304,MAX(1,8-(INT((Motore_Operativo!L252)/30))-1)))*(MOD((Motore_Operativo!L252),30)/30))</f>
        <v>9789.53684210526</v>
      </c>
      <c r="AD252" s="15" t="n">
        <f aca="false">(AD251)+AB252-AC252</f>
        <v>39158.1473684211</v>
      </c>
      <c r="AE252" s="15" t="n">
        <f aca="false">Motore_Operativo!BH252*(1+Parametri_v3!$C$26)</f>
        <v>978.953684210527</v>
      </c>
      <c r="AF252" s="15" t="n">
        <f aca="false">(IF(8-(INT((Parametri_v3!$C$29)/30))&lt;1,0,INDEX(Motore_Operativo!$BH$245:$BH$304,MAX(1,8-(INT((Parametri_v3!$C$29)/30)))))*(1-(MOD((Parametri_v3!$C$29),30)/30))+IF(8-(INT((Parametri_v3!$C$29)/30))-1&lt;1,0,INDEX(Motore_Operativo!$BH$245:$BH$304,MAX(1,8-(INT((Parametri_v3!$C$29)/30))-1)))*(MOD((Parametri_v3!$C$29),30)/30))*(1+Parametri_v3!$C$26)</f>
        <v>978.953684210527</v>
      </c>
      <c r="AG252" s="15" t="n">
        <f aca="false">(AG251)+AE252-AF252</f>
        <v>978.953684210527</v>
      </c>
      <c r="AH252" s="15" t="n">
        <f aca="false">(Motore_Operativo!CK252)*(1+Parametri_v3!$C$28*Parametri_v3!$C$26)</f>
        <v>4494.76329473684</v>
      </c>
      <c r="AI252" s="15" t="n">
        <f aca="false">(IF(8-(INT((Ipotesi!$C$91)/30))&lt;1,0,INDEX(Motore_Advisory!$AH$245:$AH$304,MAX(1,8-(INT((Ipotesi!$C$91)/30)))))*(1-(MOD((Ipotesi!$C$91),30)/30))+IF(8-(INT((Ipotesi!$C$91)/30))-1&lt;1,0,INDEX(Motore_Advisory!$AH$245:$AH$304,MAX(1,8-(INT((Ipotesi!$C$91)/30))-1)))*(MOD((Ipotesi!$C$91),30)/30))</f>
        <v>4494.76329473684</v>
      </c>
      <c r="AJ252" s="15" t="n">
        <f aca="false">(AJ251)+AH252-AI252</f>
        <v>8989.52658947368</v>
      </c>
      <c r="AK252" s="15" t="n">
        <f aca="false">(F252- Motore_Operativo!BH252-(Motore_Operativo!CK252)*Parametri_v3!$C$28-Motore_Operativo!CF252)*Parametri_v3!$C$26</f>
        <v>861.108021052632</v>
      </c>
      <c r="AL252" s="15" t="n">
        <f aca="false">MAX(0,(AM251))</f>
        <v>861.108021052632</v>
      </c>
      <c r="AM252" s="15" t="n">
        <f aca="false">(AM251)+AK252-AL252</f>
        <v>861.108021052632</v>
      </c>
      <c r="AN252" s="15" t="n">
        <f aca="false">0</f>
        <v>0</v>
      </c>
      <c r="AO252" s="15" t="n">
        <f aca="false">0</f>
        <v>0</v>
      </c>
      <c r="AP252" s="15" t="n">
        <f aca="false">MAX(0,AN252)*IF(8=Parametri_v3!$C$43,Parametri_v3!$C$45,IF(8=Parametri_v3!$C$44,1-Parametri_v3!$C$45,0))</f>
        <v>0</v>
      </c>
      <c r="AQ252" s="15" t="n">
        <f aca="false">MAX(0,AP252+IF(8=Parametri_v3!$C$43,MAX(0,AN252-AO252),0)-MAX(0,-(AR251)))</f>
        <v>0</v>
      </c>
      <c r="AR252" s="15" t="n">
        <f aca="false">(AR251)+X252-AQ252</f>
        <v>1073.50683157895</v>
      </c>
      <c r="AS252" s="15" t="n">
        <f aca="false">Motore_Operativo!AC252-AT252+AU252</f>
        <v>2743.125</v>
      </c>
      <c r="AT252" s="15" t="n">
        <f aca="false">Motore_Operativo!CI252</f>
        <v>144.375</v>
      </c>
      <c r="AU252" s="15" t="n">
        <f aca="false">MIN(MAX(0,(AV251)+AT252),Parametri_v3!$C$61/12)</f>
        <v>0</v>
      </c>
      <c r="AV252" s="15" t="n">
        <f aca="false">(AV251)+AT252-AU252</f>
        <v>1155</v>
      </c>
      <c r="AW252" s="15" t="n">
        <f aca="false">IF(AND(Motore_Operativo!C252=Finanziamenti!$D$7,Finanziamenti!$F$7=1),Finanziamenti!$C$7,0)</f>
        <v>0</v>
      </c>
      <c r="AX252" s="15" t="n">
        <f aca="false">0</f>
        <v>0</v>
      </c>
      <c r="AY252" s="15" t="n">
        <f aca="false">IF(8=Parametri_v3!$C$33,IF(BV252&lt;MIN(12,$B252-1),0,MIN(MAX(0,0)*Ipotesi!$C$94,MAX(0,(0)-(BO251)-BP252),MAX(0,BD252-Parametri_v3!$C$31))),0)</f>
        <v>0</v>
      </c>
      <c r="AZ252" s="15" t="n">
        <f aca="false">0</f>
        <v>0</v>
      </c>
      <c r="BA252" s="15" t="n">
        <f aca="false">0</f>
        <v>0</v>
      </c>
      <c r="BB252" s="15" t="n">
        <f aca="false">0</f>
        <v>0</v>
      </c>
      <c r="BC252" s="15" t="n">
        <f aca="false">0</f>
        <v>0</v>
      </c>
      <c r="BD252" s="15" t="n">
        <f aca="false">(BH251)+AC252-AF252-AI252-AS252-K252*(1+Parametri_v3!$C$26)-AL252-AQ252-O252+AW252+AX252+AZ252+BA252-BB252</f>
        <v>-5075.86433684211</v>
      </c>
      <c r="BE252" s="15" t="n">
        <f aca="false">0</f>
        <v>0</v>
      </c>
      <c r="BF252" s="15" t="n">
        <f aca="false">0</f>
        <v>0</v>
      </c>
      <c r="BG252" s="15" t="n">
        <f aca="false">0</f>
        <v>0</v>
      </c>
      <c r="BH252" s="15" t="n">
        <f aca="false">BD252+BE252-BF252-AY252</f>
        <v>-5075.86433684211</v>
      </c>
      <c r="BI252" s="15" t="n">
        <f aca="false">MAX(0,Parametri_v3!$C$31-BH252)</f>
        <v>15075.8643368421</v>
      </c>
      <c r="BJ252" s="15" t="n">
        <f aca="false">(BJ251)+K252</f>
        <v>2000</v>
      </c>
      <c r="BK252" s="15" t="n">
        <f aca="false">(BK251)+L252</f>
        <v>250</v>
      </c>
      <c r="BL252" s="15" t="n">
        <f aca="false">BJ252-BK252</f>
        <v>1750</v>
      </c>
      <c r="BM252" s="15" t="n">
        <f aca="false">(BM251)+Y252</f>
        <v>2774.18790526316</v>
      </c>
      <c r="BN252" s="15" t="n">
        <f aca="false">(BN251)+AW252+AX252+AZ252</f>
        <v>20000</v>
      </c>
      <c r="BO252" s="15" t="n">
        <f aca="false">(BO251)+AY252</f>
        <v>0</v>
      </c>
      <c r="BP252" s="15" t="n">
        <f aca="false">MIN(Parametri_v3!$C$36*Parametri_v3!$C$35,(BP251)+IF(8=1,MAX(0,0)*Parametri_v3!$C$34,0))</f>
        <v>0</v>
      </c>
      <c r="BQ252" s="15" t="n">
        <f aca="false">BN252+BM252-BO252</f>
        <v>22774.1879052632</v>
      </c>
      <c r="BR252" s="15" t="n">
        <f aca="false">BH252+AD252+BL252+MAX(0,-AM252)+MAX(0,-AR252)</f>
        <v>35832.283031579</v>
      </c>
      <c r="BS252" s="15" t="n">
        <f aca="false">AJ252+AV252+MAX(0,AM252)+MAX(0,AR252)+BC252+BG252+BQ252+AG252</f>
        <v>35832.283031579</v>
      </c>
      <c r="BT252" s="15" t="n">
        <f aca="false">BR252-BS252</f>
        <v>0</v>
      </c>
      <c r="BU252" s="15" t="n">
        <f aca="false">BH252-(BD252+BE252-BF252-AY252)</f>
        <v>0</v>
      </c>
      <c r="BV252" s="15" t="n">
        <f aca="false">IF(BH251&lt;Parametri_v3!$C$31,0,BV251+1)</f>
        <v>0</v>
      </c>
    </row>
    <row r="253" customFormat="false" ht="18" hidden="false" customHeight="true" outlineLevel="0" collapsed="false">
      <c r="A253" s="68" t="n">
        <f aca="false">5</f>
        <v>5</v>
      </c>
      <c r="B253" s="68" t="n">
        <f aca="false">9</f>
        <v>9</v>
      </c>
      <c r="C253" s="18" t="n">
        <f aca="false">Motore_Operativo!C253</f>
        <v>46631</v>
      </c>
      <c r="D253" s="68" t="n">
        <f aca="false">Motore_Operativo!D253</f>
        <v>2027</v>
      </c>
      <c r="E253" s="68" t="n">
        <f aca="false">Motore_Operativo!E253</f>
        <v>9</v>
      </c>
      <c r="F253" s="15" t="n">
        <f aca="false">Motore_Operativo!AM253</f>
        <v>8024.21052631579</v>
      </c>
      <c r="G253" s="15" t="n">
        <f aca="false">Motore_Operativo!BH253</f>
        <v>802.421052631579</v>
      </c>
      <c r="H253" s="15" t="n">
        <f aca="false">Motore_Operativo!AM253</f>
        <v>8024.21052631579</v>
      </c>
      <c r="I253" s="15" t="n">
        <f aca="false">Motore_Operativo!CB253</f>
        <v>7511.99868421053</v>
      </c>
      <c r="J253" s="15" t="n">
        <f aca="false">Motore_Operativo!CD253</f>
        <v>512.211842105264</v>
      </c>
      <c r="K253" s="15" t="n">
        <f aca="false">Motore_Operativo!CF253</f>
        <v>250</v>
      </c>
      <c r="L253" s="15" t="n">
        <f aca="false">SUM(INDEX($K$245:$K$304,MAX(1,9-Parametri_v3!$C$59+1)):K253)/Parametri_v3!$C$59</f>
        <v>62.5</v>
      </c>
      <c r="M253" s="15" t="n">
        <f aca="false">J253-L253</f>
        <v>449.711842105264</v>
      </c>
      <c r="N253" s="15" t="n">
        <f aca="false">0</f>
        <v>0</v>
      </c>
      <c r="O253" s="15" t="n">
        <f aca="false">0</f>
        <v>0</v>
      </c>
      <c r="P253" s="15" t="n">
        <f aca="false">M253+N253-O253</f>
        <v>449.711842105264</v>
      </c>
      <c r="Q253" s="15" t="n">
        <f aca="false">SUM(P245:P253)+Parametri_v3!$C$56*9/12</f>
        <v>4297.40657894737</v>
      </c>
      <c r="R253" s="15" t="n">
        <f aca="false">0</f>
        <v>0</v>
      </c>
      <c r="S253" s="15" t="n">
        <f aca="false">0</f>
        <v>0</v>
      </c>
      <c r="T253" s="15" t="n">
        <f aca="false">MIN(R253,MAX(0,Q253))</f>
        <v>0</v>
      </c>
      <c r="U253" s="15" t="n">
        <f aca="false">MIN(S253,MAX(0,Q253-T253)*Parametri_v3!$C$42)</f>
        <v>0</v>
      </c>
      <c r="V253" s="15" t="n">
        <f aca="false">MAX(0,Q253-T253-U253)*Ipotesi!$C$92</f>
        <v>1031.37757894737</v>
      </c>
      <c r="W253" s="15" t="n">
        <f aca="false">MAX(0,SUM(M245:M253)+Parametri_v3!$C$57*9/12)*Ipotesi!$C$93</f>
        <v>167.598856578948</v>
      </c>
      <c r="X253" s="15" t="n">
        <f aca="false">V253+W253-(V252+W252)</f>
        <v>125.469603947369</v>
      </c>
      <c r="Y253" s="15" t="n">
        <f aca="false">P253-X253</f>
        <v>324.242238157895</v>
      </c>
      <c r="Z253" s="15" t="n">
        <f aca="false">R253-T253+IF(AND(Parametri_v3!$C$40=1,D253-YEAR(Parametri_v3!$C$50)&lt;Parametri_v3!$C$41),MAX(0,-Q253),0)</f>
        <v>0</v>
      </c>
      <c r="AA253" s="15" t="n">
        <f aca="false">S253-U253+IF(AND(Parametri_v3!$C$40=1,D253-YEAR(Parametri_v3!$C$50)&lt;Parametri_v3!$C$41),0,MAX(0,-Q253))</f>
        <v>0</v>
      </c>
      <c r="AB253" s="15" t="n">
        <f aca="false">F253*(1+Parametri_v3!$C$26)</f>
        <v>9789.53684210526</v>
      </c>
      <c r="AC253" s="15" t="n">
        <f aca="false">(IF(9-(INT((Motore_Operativo!L253)/30))&lt;1,0,INDEX(Motore_Advisory!$AB$245:$AB$304,MAX(1,9-(INT((Motore_Operativo!L253)/30)))))*(1-(MOD((Motore_Operativo!L253),30)/30))+IF(9-(INT((Motore_Operativo!L253)/30))-1&lt;1,0,INDEX(Motore_Advisory!$AB$245:$AB$304,MAX(1,9-(INT((Motore_Operativo!L253)/30))-1)))*(MOD((Motore_Operativo!L253),30)/30))</f>
        <v>9789.53684210526</v>
      </c>
      <c r="AD253" s="15" t="n">
        <f aca="false">(AD252)+AB253-AC253</f>
        <v>39158.1473684211</v>
      </c>
      <c r="AE253" s="15" t="n">
        <f aca="false">Motore_Operativo!BH253*(1+Parametri_v3!$C$26)</f>
        <v>978.953684210527</v>
      </c>
      <c r="AF253" s="15" t="n">
        <f aca="false">(IF(9-(INT((Parametri_v3!$C$29)/30))&lt;1,0,INDEX(Motore_Operativo!$BH$245:$BH$304,MAX(1,9-(INT((Parametri_v3!$C$29)/30)))))*(1-(MOD((Parametri_v3!$C$29),30)/30))+IF(9-(INT((Parametri_v3!$C$29)/30))-1&lt;1,0,INDEX(Motore_Operativo!$BH$245:$BH$304,MAX(1,9-(INT((Parametri_v3!$C$29)/30))-1)))*(MOD((Parametri_v3!$C$29),30)/30))*(1+Parametri_v3!$C$26)</f>
        <v>978.953684210527</v>
      </c>
      <c r="AG253" s="15" t="n">
        <f aca="false">(AG252)+AE253-AF253</f>
        <v>978.953684210527</v>
      </c>
      <c r="AH253" s="15" t="n">
        <f aca="false">(Motore_Operativo!CK253)*(1+Parametri_v3!$C$28*Parametri_v3!$C$26)</f>
        <v>4494.76329473684</v>
      </c>
      <c r="AI253" s="15" t="n">
        <f aca="false">(IF(9-(INT((Ipotesi!$C$91)/30))&lt;1,0,INDEX(Motore_Advisory!$AH$245:$AH$304,MAX(1,9-(INT((Ipotesi!$C$91)/30)))))*(1-(MOD((Ipotesi!$C$91),30)/30))+IF(9-(INT((Ipotesi!$C$91)/30))-1&lt;1,0,INDEX(Motore_Advisory!$AH$245:$AH$304,MAX(1,9-(INT((Ipotesi!$C$91)/30))-1)))*(MOD((Ipotesi!$C$91),30)/30))</f>
        <v>4494.76329473684</v>
      </c>
      <c r="AJ253" s="15" t="n">
        <f aca="false">(AJ252)+AH253-AI253</f>
        <v>8989.52658947368</v>
      </c>
      <c r="AK253" s="15" t="n">
        <f aca="false">(F253- Motore_Operativo!BH253-(Motore_Operativo!CK253)*Parametri_v3!$C$28-Motore_Operativo!CF253)*Parametri_v3!$C$26</f>
        <v>861.108021052632</v>
      </c>
      <c r="AL253" s="15" t="n">
        <f aca="false">MAX(0,(AM252))</f>
        <v>861.108021052632</v>
      </c>
      <c r="AM253" s="15" t="n">
        <f aca="false">(AM252)+AK253-AL253</f>
        <v>861.108021052632</v>
      </c>
      <c r="AN253" s="15" t="n">
        <f aca="false">0</f>
        <v>0</v>
      </c>
      <c r="AO253" s="15" t="n">
        <f aca="false">0</f>
        <v>0</v>
      </c>
      <c r="AP253" s="15" t="n">
        <f aca="false">MAX(0,AN253)*IF(9=Parametri_v3!$C$43,Parametri_v3!$C$45,IF(9=Parametri_v3!$C$44,1-Parametri_v3!$C$45,0))</f>
        <v>0</v>
      </c>
      <c r="AQ253" s="15" t="n">
        <f aca="false">MAX(0,AP253+IF(9=Parametri_v3!$C$43,MAX(0,AN253-AO253),0)-MAX(0,-(AR252)))</f>
        <v>0</v>
      </c>
      <c r="AR253" s="15" t="n">
        <f aca="false">(AR252)+X253-AQ253</f>
        <v>1198.97643552632</v>
      </c>
      <c r="AS253" s="15" t="n">
        <f aca="false">Motore_Operativo!AC253-AT253+AU253</f>
        <v>2743.125</v>
      </c>
      <c r="AT253" s="15" t="n">
        <f aca="false">Motore_Operativo!CI253</f>
        <v>144.375</v>
      </c>
      <c r="AU253" s="15" t="n">
        <f aca="false">MIN(MAX(0,(AV252)+AT253),Parametri_v3!$C$61/12)</f>
        <v>0</v>
      </c>
      <c r="AV253" s="15" t="n">
        <f aca="false">(AV252)+AT253-AU253</f>
        <v>1299.375</v>
      </c>
      <c r="AW253" s="15" t="n">
        <f aca="false">IF(AND(Motore_Operativo!C253=Finanziamenti!$D$7,Finanziamenti!$F$7=1),Finanziamenti!$C$7,0)</f>
        <v>0</v>
      </c>
      <c r="AX253" s="15" t="n">
        <f aca="false">0</f>
        <v>0</v>
      </c>
      <c r="AY253" s="15" t="n">
        <f aca="false">IF(9=Parametri_v3!$C$33,IF(BV253&lt;MIN(12,$B253-1),0,MIN(MAX(0,0)*Ipotesi!$C$94,MAX(0,(0)-(BO252)-BP253),MAX(0,BD253-Parametri_v3!$C$31))),0)</f>
        <v>0</v>
      </c>
      <c r="AZ253" s="15" t="n">
        <f aca="false">0</f>
        <v>0</v>
      </c>
      <c r="BA253" s="15" t="n">
        <f aca="false">0</f>
        <v>0</v>
      </c>
      <c r="BB253" s="15" t="n">
        <f aca="false">0</f>
        <v>0</v>
      </c>
      <c r="BC253" s="15" t="n">
        <f aca="false">0</f>
        <v>0</v>
      </c>
      <c r="BD253" s="15" t="n">
        <f aca="false">(BH252)+AC253-AF253-AI253-AS253-K253*(1+Parametri_v3!$C$26)-AL253-AQ253-O253+AW253+AX253+AZ253+BA253-BB253</f>
        <v>-4669.27749473684</v>
      </c>
      <c r="BE253" s="15" t="n">
        <f aca="false">0</f>
        <v>0</v>
      </c>
      <c r="BF253" s="15" t="n">
        <f aca="false">0</f>
        <v>0</v>
      </c>
      <c r="BG253" s="15" t="n">
        <f aca="false">0</f>
        <v>0</v>
      </c>
      <c r="BH253" s="15" t="n">
        <f aca="false">BD253+BE253-BF253-AY253</f>
        <v>-4669.27749473684</v>
      </c>
      <c r="BI253" s="15" t="n">
        <f aca="false">MAX(0,Parametri_v3!$C$31-BH253)</f>
        <v>14669.2774947368</v>
      </c>
      <c r="BJ253" s="15" t="n">
        <f aca="false">(BJ252)+K253</f>
        <v>2250</v>
      </c>
      <c r="BK253" s="15" t="n">
        <f aca="false">(BK252)+L253</f>
        <v>312.5</v>
      </c>
      <c r="BL253" s="15" t="n">
        <f aca="false">BJ253-BK253</f>
        <v>1937.5</v>
      </c>
      <c r="BM253" s="15" t="n">
        <f aca="false">(BM252)+Y253</f>
        <v>3098.43014342106</v>
      </c>
      <c r="BN253" s="15" t="n">
        <f aca="false">(BN252)+AW253+AX253+AZ253</f>
        <v>20000</v>
      </c>
      <c r="BO253" s="15" t="n">
        <f aca="false">(BO252)+AY253</f>
        <v>0</v>
      </c>
      <c r="BP253" s="15" t="n">
        <f aca="false">MIN(Parametri_v3!$C$36*Parametri_v3!$C$35,(BP252)+IF(9=1,MAX(0,0)*Parametri_v3!$C$34,0))</f>
        <v>0</v>
      </c>
      <c r="BQ253" s="15" t="n">
        <f aca="false">BN253+BM253-BO253</f>
        <v>23098.4301434211</v>
      </c>
      <c r="BR253" s="15" t="n">
        <f aca="false">BH253+AD253+BL253+MAX(0,-AM253)+MAX(0,-AR253)</f>
        <v>36426.3698736842</v>
      </c>
      <c r="BS253" s="15" t="n">
        <f aca="false">AJ253+AV253+MAX(0,AM253)+MAX(0,AR253)+BC253+BG253+BQ253+AG253</f>
        <v>36426.3698736842</v>
      </c>
      <c r="BT253" s="15" t="n">
        <f aca="false">BR253-BS253</f>
        <v>0</v>
      </c>
      <c r="BU253" s="15" t="n">
        <f aca="false">BH253-(BD253+BE253-BF253-AY253)</f>
        <v>0</v>
      </c>
      <c r="BV253" s="15" t="n">
        <f aca="false">IF(BH252&lt;Parametri_v3!$C$31,0,BV252+1)</f>
        <v>0</v>
      </c>
    </row>
    <row r="254" customFormat="false" ht="18" hidden="false" customHeight="true" outlineLevel="0" collapsed="false">
      <c r="A254" s="68" t="n">
        <f aca="false">5</f>
        <v>5</v>
      </c>
      <c r="B254" s="68" t="n">
        <f aca="false">10</f>
        <v>10</v>
      </c>
      <c r="C254" s="18" t="n">
        <f aca="false">Motore_Operativo!C254</f>
        <v>46661</v>
      </c>
      <c r="D254" s="68" t="n">
        <f aca="false">Motore_Operativo!D254</f>
        <v>2027</v>
      </c>
      <c r="E254" s="68" t="n">
        <f aca="false">Motore_Operativo!E254</f>
        <v>10</v>
      </c>
      <c r="F254" s="15" t="n">
        <f aca="false">Motore_Operativo!AM254</f>
        <v>8024.21052631579</v>
      </c>
      <c r="G254" s="15" t="n">
        <f aca="false">Motore_Operativo!BH254</f>
        <v>802.421052631579</v>
      </c>
      <c r="H254" s="15" t="n">
        <f aca="false">Motore_Operativo!AM254</f>
        <v>8024.21052631579</v>
      </c>
      <c r="I254" s="15" t="n">
        <f aca="false">Motore_Operativo!CB254</f>
        <v>7511.99868421053</v>
      </c>
      <c r="J254" s="15" t="n">
        <f aca="false">Motore_Operativo!CD254</f>
        <v>512.211842105264</v>
      </c>
      <c r="K254" s="15" t="n">
        <f aca="false">Motore_Operativo!CF254</f>
        <v>250</v>
      </c>
      <c r="L254" s="15" t="n">
        <f aca="false">SUM(INDEX($K$245:$K$304,MAX(1,10-Parametri_v3!$C$59+1)):K254)/Parametri_v3!$C$59</f>
        <v>69.4444444444444</v>
      </c>
      <c r="M254" s="15" t="n">
        <f aca="false">J254-L254</f>
        <v>442.767397660819</v>
      </c>
      <c r="N254" s="15" t="n">
        <f aca="false">0</f>
        <v>0</v>
      </c>
      <c r="O254" s="15" t="n">
        <f aca="false">0</f>
        <v>0</v>
      </c>
      <c r="P254" s="15" t="n">
        <f aca="false">M254+N254-O254</f>
        <v>442.767397660819</v>
      </c>
      <c r="Q254" s="15" t="n">
        <f aca="false">SUM(P245:P254)+Parametri_v3!$C$56*10/12</f>
        <v>4740.17397660819</v>
      </c>
      <c r="R254" s="15" t="n">
        <f aca="false">0</f>
        <v>0</v>
      </c>
      <c r="S254" s="15" t="n">
        <f aca="false">0</f>
        <v>0</v>
      </c>
      <c r="T254" s="15" t="n">
        <f aca="false">MIN(R254,MAX(0,Q254))</f>
        <v>0</v>
      </c>
      <c r="U254" s="15" t="n">
        <f aca="false">MIN(S254,MAX(0,Q254-T254)*Parametri_v3!$C$42)</f>
        <v>0</v>
      </c>
      <c r="V254" s="15" t="n">
        <f aca="false">MAX(0,Q254-T254-U254)*Ipotesi!$C$92</f>
        <v>1137.64175438597</v>
      </c>
      <c r="W254" s="15" t="n">
        <f aca="false">MAX(0,SUM(M245:M254)+Parametri_v3!$C$57*10/12)*Ipotesi!$C$93</f>
        <v>184.86678508772</v>
      </c>
      <c r="X254" s="15" t="n">
        <f aca="false">V254+W254-(V253+W253)</f>
        <v>123.532103947369</v>
      </c>
      <c r="Y254" s="15" t="n">
        <f aca="false">P254-X254</f>
        <v>319.235293713451</v>
      </c>
      <c r="Z254" s="15" t="n">
        <f aca="false">R254-T254+IF(AND(Parametri_v3!$C$40=1,D254-YEAR(Parametri_v3!$C$50)&lt;Parametri_v3!$C$41),MAX(0,-Q254),0)</f>
        <v>0</v>
      </c>
      <c r="AA254" s="15" t="n">
        <f aca="false">S254-U254+IF(AND(Parametri_v3!$C$40=1,D254-YEAR(Parametri_v3!$C$50)&lt;Parametri_v3!$C$41),0,MAX(0,-Q254))</f>
        <v>0</v>
      </c>
      <c r="AB254" s="15" t="n">
        <f aca="false">F254*(1+Parametri_v3!$C$26)</f>
        <v>9789.53684210526</v>
      </c>
      <c r="AC254" s="15" t="n">
        <f aca="false">(IF(10-(INT((Motore_Operativo!L254)/30))&lt;1,0,INDEX(Motore_Advisory!$AB$245:$AB$304,MAX(1,10-(INT((Motore_Operativo!L254)/30)))))*(1-(MOD((Motore_Operativo!L254),30)/30))+IF(10-(INT((Motore_Operativo!L254)/30))-1&lt;1,0,INDEX(Motore_Advisory!$AB$245:$AB$304,MAX(1,10-(INT((Motore_Operativo!L254)/30))-1)))*(MOD((Motore_Operativo!L254),30)/30))</f>
        <v>9789.53684210526</v>
      </c>
      <c r="AD254" s="15" t="n">
        <f aca="false">(AD253)+AB254-AC254</f>
        <v>39158.1473684211</v>
      </c>
      <c r="AE254" s="15" t="n">
        <f aca="false">Motore_Operativo!BH254*(1+Parametri_v3!$C$26)</f>
        <v>978.953684210527</v>
      </c>
      <c r="AF254" s="15" t="n">
        <f aca="false">(IF(10-(INT((Parametri_v3!$C$29)/30))&lt;1,0,INDEX(Motore_Operativo!$BH$245:$BH$304,MAX(1,10-(INT((Parametri_v3!$C$29)/30)))))*(1-(MOD((Parametri_v3!$C$29),30)/30))+IF(10-(INT((Parametri_v3!$C$29)/30))-1&lt;1,0,INDEX(Motore_Operativo!$BH$245:$BH$304,MAX(1,10-(INT((Parametri_v3!$C$29)/30))-1)))*(MOD((Parametri_v3!$C$29),30)/30))*(1+Parametri_v3!$C$26)</f>
        <v>978.953684210527</v>
      </c>
      <c r="AG254" s="15" t="n">
        <f aca="false">(AG253)+AE254-AF254</f>
        <v>978.953684210527</v>
      </c>
      <c r="AH254" s="15" t="n">
        <f aca="false">(Motore_Operativo!CK254)*(1+Parametri_v3!$C$28*Parametri_v3!$C$26)</f>
        <v>4494.76329473684</v>
      </c>
      <c r="AI254" s="15" t="n">
        <f aca="false">(IF(10-(INT((Ipotesi!$C$91)/30))&lt;1,0,INDEX(Motore_Advisory!$AH$245:$AH$304,MAX(1,10-(INT((Ipotesi!$C$91)/30)))))*(1-(MOD((Ipotesi!$C$91),30)/30))+IF(10-(INT((Ipotesi!$C$91)/30))-1&lt;1,0,INDEX(Motore_Advisory!$AH$245:$AH$304,MAX(1,10-(INT((Ipotesi!$C$91)/30))-1)))*(MOD((Ipotesi!$C$91),30)/30))</f>
        <v>4494.76329473684</v>
      </c>
      <c r="AJ254" s="15" t="n">
        <f aca="false">(AJ253)+AH254-AI254</f>
        <v>8989.52658947368</v>
      </c>
      <c r="AK254" s="15" t="n">
        <f aca="false">(F254- Motore_Operativo!BH254-(Motore_Operativo!CK254)*Parametri_v3!$C$28-Motore_Operativo!CF254)*Parametri_v3!$C$26</f>
        <v>861.108021052632</v>
      </c>
      <c r="AL254" s="15" t="n">
        <f aca="false">MAX(0,(AM253))</f>
        <v>861.108021052632</v>
      </c>
      <c r="AM254" s="15" t="n">
        <f aca="false">(AM253)+AK254-AL254</f>
        <v>861.108021052632</v>
      </c>
      <c r="AN254" s="15" t="n">
        <f aca="false">0</f>
        <v>0</v>
      </c>
      <c r="AO254" s="15" t="n">
        <f aca="false">0</f>
        <v>0</v>
      </c>
      <c r="AP254" s="15" t="n">
        <f aca="false">MAX(0,AN254)*IF(10=Parametri_v3!$C$43,Parametri_v3!$C$45,IF(10=Parametri_v3!$C$44,1-Parametri_v3!$C$45,0))</f>
        <v>0</v>
      </c>
      <c r="AQ254" s="15" t="n">
        <f aca="false">MAX(0,AP254+IF(10=Parametri_v3!$C$43,MAX(0,AN254-AO254),0)-MAX(0,-(AR253)))</f>
        <v>0</v>
      </c>
      <c r="AR254" s="15" t="n">
        <f aca="false">(AR253)+X254-AQ254</f>
        <v>1322.50853947369</v>
      </c>
      <c r="AS254" s="15" t="n">
        <f aca="false">Motore_Operativo!AC254-AT254+AU254</f>
        <v>2743.125</v>
      </c>
      <c r="AT254" s="15" t="n">
        <f aca="false">Motore_Operativo!CI254</f>
        <v>144.375</v>
      </c>
      <c r="AU254" s="15" t="n">
        <f aca="false">MIN(MAX(0,(AV253)+AT254),Parametri_v3!$C$61/12)</f>
        <v>0</v>
      </c>
      <c r="AV254" s="15" t="n">
        <f aca="false">(AV253)+AT254-AU254</f>
        <v>1443.75</v>
      </c>
      <c r="AW254" s="15" t="n">
        <f aca="false">IF(AND(Motore_Operativo!C254=Finanziamenti!$D$7,Finanziamenti!$F$7=1),Finanziamenti!$C$7,0)</f>
        <v>0</v>
      </c>
      <c r="AX254" s="15" t="n">
        <f aca="false">0</f>
        <v>0</v>
      </c>
      <c r="AY254" s="15" t="n">
        <f aca="false">IF(10=Parametri_v3!$C$33,IF(BV254&lt;MIN(12,$B254-1),0,MIN(MAX(0,0)*Ipotesi!$C$94,MAX(0,(0)-(BO253)-BP254),MAX(0,BD254-Parametri_v3!$C$31))),0)</f>
        <v>0</v>
      </c>
      <c r="AZ254" s="15" t="n">
        <f aca="false">0</f>
        <v>0</v>
      </c>
      <c r="BA254" s="15" t="n">
        <f aca="false">0</f>
        <v>0</v>
      </c>
      <c r="BB254" s="15" t="n">
        <f aca="false">0</f>
        <v>0</v>
      </c>
      <c r="BC254" s="15" t="n">
        <f aca="false">0</f>
        <v>0</v>
      </c>
      <c r="BD254" s="15" t="n">
        <f aca="false">(BH253)+AC254-AF254-AI254-AS254-K254*(1+Parametri_v3!$C$26)-AL254-AQ254-O254+AW254+AX254+AZ254+BA254-BB254</f>
        <v>-4262.69065263158</v>
      </c>
      <c r="BE254" s="15" t="n">
        <f aca="false">0</f>
        <v>0</v>
      </c>
      <c r="BF254" s="15" t="n">
        <f aca="false">0</f>
        <v>0</v>
      </c>
      <c r="BG254" s="15" t="n">
        <f aca="false">0</f>
        <v>0</v>
      </c>
      <c r="BH254" s="15" t="n">
        <f aca="false">BD254+BE254-BF254-AY254</f>
        <v>-4262.69065263158</v>
      </c>
      <c r="BI254" s="15" t="n">
        <f aca="false">MAX(0,Parametri_v3!$C$31-BH254)</f>
        <v>14262.6906526316</v>
      </c>
      <c r="BJ254" s="15" t="n">
        <f aca="false">(BJ253)+K254</f>
        <v>2500</v>
      </c>
      <c r="BK254" s="15" t="n">
        <f aca="false">(BK253)+L254</f>
        <v>381.944444444444</v>
      </c>
      <c r="BL254" s="15" t="n">
        <f aca="false">BJ254-BK254</f>
        <v>2118.05555555556</v>
      </c>
      <c r="BM254" s="15" t="n">
        <f aca="false">(BM253)+Y254</f>
        <v>3417.66543713451</v>
      </c>
      <c r="BN254" s="15" t="n">
        <f aca="false">(BN253)+AW254+AX254+AZ254</f>
        <v>20000</v>
      </c>
      <c r="BO254" s="15" t="n">
        <f aca="false">(BO253)+AY254</f>
        <v>0</v>
      </c>
      <c r="BP254" s="15" t="n">
        <f aca="false">MIN(Parametri_v3!$C$36*Parametri_v3!$C$35,(BP253)+IF(10=1,MAX(0,0)*Parametri_v3!$C$34,0))</f>
        <v>0</v>
      </c>
      <c r="BQ254" s="15" t="n">
        <f aca="false">BN254+BM254-BO254</f>
        <v>23417.6654371345</v>
      </c>
      <c r="BR254" s="15" t="n">
        <f aca="false">BH254+AD254+BL254+MAX(0,-AM254)+MAX(0,-AR254)</f>
        <v>37013.512271345</v>
      </c>
      <c r="BS254" s="15" t="n">
        <f aca="false">AJ254+AV254+MAX(0,AM254)+MAX(0,AR254)+BC254+BG254+BQ254+AG254</f>
        <v>37013.512271345</v>
      </c>
      <c r="BT254" s="15" t="n">
        <f aca="false">BR254-BS254</f>
        <v>0</v>
      </c>
      <c r="BU254" s="15" t="n">
        <f aca="false">BH254-(BD254+BE254-BF254-AY254)</f>
        <v>0</v>
      </c>
      <c r="BV254" s="15" t="n">
        <f aca="false">IF(BH253&lt;Parametri_v3!$C$31,0,BV253+1)</f>
        <v>0</v>
      </c>
    </row>
    <row r="255" customFormat="false" ht="18" hidden="false" customHeight="true" outlineLevel="0" collapsed="false">
      <c r="A255" s="68" t="n">
        <f aca="false">5</f>
        <v>5</v>
      </c>
      <c r="B255" s="68" t="n">
        <f aca="false">11</f>
        <v>11</v>
      </c>
      <c r="C255" s="18" t="n">
        <f aca="false">Motore_Operativo!C255</f>
        <v>46692</v>
      </c>
      <c r="D255" s="68" t="n">
        <f aca="false">Motore_Operativo!D255</f>
        <v>2027</v>
      </c>
      <c r="E255" s="68" t="n">
        <f aca="false">Motore_Operativo!E255</f>
        <v>11</v>
      </c>
      <c r="F255" s="15" t="n">
        <f aca="false">Motore_Operativo!AM255</f>
        <v>8024.21052631579</v>
      </c>
      <c r="G255" s="15" t="n">
        <f aca="false">Motore_Operativo!BH255</f>
        <v>802.421052631579</v>
      </c>
      <c r="H255" s="15" t="n">
        <f aca="false">Motore_Operativo!AM255</f>
        <v>8024.21052631579</v>
      </c>
      <c r="I255" s="15" t="n">
        <f aca="false">Motore_Operativo!CB255</f>
        <v>7511.99868421053</v>
      </c>
      <c r="J255" s="15" t="n">
        <f aca="false">Motore_Operativo!CD255</f>
        <v>512.211842105264</v>
      </c>
      <c r="K255" s="15" t="n">
        <f aca="false">Motore_Operativo!CF255</f>
        <v>250</v>
      </c>
      <c r="L255" s="15" t="n">
        <f aca="false">SUM(INDEX($K$245:$K$304,MAX(1,11-Parametri_v3!$C$59+1)):K255)/Parametri_v3!$C$59</f>
        <v>76.3888888888889</v>
      </c>
      <c r="M255" s="15" t="n">
        <f aca="false">J255-L255</f>
        <v>435.822953216375</v>
      </c>
      <c r="N255" s="15" t="n">
        <f aca="false">0</f>
        <v>0</v>
      </c>
      <c r="O255" s="15" t="n">
        <f aca="false">0</f>
        <v>0</v>
      </c>
      <c r="P255" s="15" t="n">
        <f aca="false">M255+N255-O255</f>
        <v>435.822953216375</v>
      </c>
      <c r="Q255" s="15" t="n">
        <f aca="false">SUM(P245:P255)+Parametri_v3!$C$56*11/12</f>
        <v>5175.99692982457</v>
      </c>
      <c r="R255" s="15" t="n">
        <f aca="false">0</f>
        <v>0</v>
      </c>
      <c r="S255" s="15" t="n">
        <f aca="false">0</f>
        <v>0</v>
      </c>
      <c r="T255" s="15" t="n">
        <f aca="false">MIN(R255,MAX(0,Q255))</f>
        <v>0</v>
      </c>
      <c r="U255" s="15" t="n">
        <f aca="false">MIN(S255,MAX(0,Q255-T255)*Parametri_v3!$C$42)</f>
        <v>0</v>
      </c>
      <c r="V255" s="15" t="n">
        <f aca="false">MAX(0,Q255-T255-U255)*Ipotesi!$C$92</f>
        <v>1242.2392631579</v>
      </c>
      <c r="W255" s="15" t="n">
        <f aca="false">MAX(0,SUM(M245:M255)+Parametri_v3!$C$57*11/12)*Ipotesi!$C$93</f>
        <v>201.863880263158</v>
      </c>
      <c r="X255" s="15" t="n">
        <f aca="false">V255+W255-(V254+W254)</f>
        <v>121.594603947369</v>
      </c>
      <c r="Y255" s="15" t="n">
        <f aca="false">P255-X255</f>
        <v>314.228349269006</v>
      </c>
      <c r="Z255" s="15" t="n">
        <f aca="false">R255-T255+IF(AND(Parametri_v3!$C$40=1,D255-YEAR(Parametri_v3!$C$50)&lt;Parametri_v3!$C$41),MAX(0,-Q255),0)</f>
        <v>0</v>
      </c>
      <c r="AA255" s="15" t="n">
        <f aca="false">S255-U255+IF(AND(Parametri_v3!$C$40=1,D255-YEAR(Parametri_v3!$C$50)&lt;Parametri_v3!$C$41),0,MAX(0,-Q255))</f>
        <v>0</v>
      </c>
      <c r="AB255" s="15" t="n">
        <f aca="false">F255*(1+Parametri_v3!$C$26)</f>
        <v>9789.53684210526</v>
      </c>
      <c r="AC255" s="15" t="n">
        <f aca="false">(IF(11-(INT((Motore_Operativo!L255)/30))&lt;1,0,INDEX(Motore_Advisory!$AB$245:$AB$304,MAX(1,11-(INT((Motore_Operativo!L255)/30)))))*(1-(MOD((Motore_Operativo!L255),30)/30))+IF(11-(INT((Motore_Operativo!L255)/30))-1&lt;1,0,INDEX(Motore_Advisory!$AB$245:$AB$304,MAX(1,11-(INT((Motore_Operativo!L255)/30))-1)))*(MOD((Motore_Operativo!L255),30)/30))</f>
        <v>9789.53684210526</v>
      </c>
      <c r="AD255" s="15" t="n">
        <f aca="false">(AD254)+AB255-AC255</f>
        <v>39158.1473684211</v>
      </c>
      <c r="AE255" s="15" t="n">
        <f aca="false">Motore_Operativo!BH255*(1+Parametri_v3!$C$26)</f>
        <v>978.953684210527</v>
      </c>
      <c r="AF255" s="15" t="n">
        <f aca="false">(IF(11-(INT((Parametri_v3!$C$29)/30))&lt;1,0,INDEX(Motore_Operativo!$BH$245:$BH$304,MAX(1,11-(INT((Parametri_v3!$C$29)/30)))))*(1-(MOD((Parametri_v3!$C$29),30)/30))+IF(11-(INT((Parametri_v3!$C$29)/30))-1&lt;1,0,INDEX(Motore_Operativo!$BH$245:$BH$304,MAX(1,11-(INT((Parametri_v3!$C$29)/30))-1)))*(MOD((Parametri_v3!$C$29),30)/30))*(1+Parametri_v3!$C$26)</f>
        <v>978.953684210527</v>
      </c>
      <c r="AG255" s="15" t="n">
        <f aca="false">(AG254)+AE255-AF255</f>
        <v>978.953684210527</v>
      </c>
      <c r="AH255" s="15" t="n">
        <f aca="false">(Motore_Operativo!CK255)*(1+Parametri_v3!$C$28*Parametri_v3!$C$26)</f>
        <v>4494.76329473684</v>
      </c>
      <c r="AI255" s="15" t="n">
        <f aca="false">(IF(11-(INT((Ipotesi!$C$91)/30))&lt;1,0,INDEX(Motore_Advisory!$AH$245:$AH$304,MAX(1,11-(INT((Ipotesi!$C$91)/30)))))*(1-(MOD((Ipotesi!$C$91),30)/30))+IF(11-(INT((Ipotesi!$C$91)/30))-1&lt;1,0,INDEX(Motore_Advisory!$AH$245:$AH$304,MAX(1,11-(INT((Ipotesi!$C$91)/30))-1)))*(MOD((Ipotesi!$C$91),30)/30))</f>
        <v>4494.76329473684</v>
      </c>
      <c r="AJ255" s="15" t="n">
        <f aca="false">(AJ254)+AH255-AI255</f>
        <v>8989.52658947368</v>
      </c>
      <c r="AK255" s="15" t="n">
        <f aca="false">(F255- Motore_Operativo!BH255-(Motore_Operativo!CK255)*Parametri_v3!$C$28-Motore_Operativo!CF255)*Parametri_v3!$C$26</f>
        <v>861.108021052632</v>
      </c>
      <c r="AL255" s="15" t="n">
        <f aca="false">MAX(0,(AM254))</f>
        <v>861.108021052632</v>
      </c>
      <c r="AM255" s="15" t="n">
        <f aca="false">(AM254)+AK255-AL255</f>
        <v>861.108021052632</v>
      </c>
      <c r="AN255" s="15" t="n">
        <f aca="false">0</f>
        <v>0</v>
      </c>
      <c r="AO255" s="15" t="n">
        <f aca="false">0</f>
        <v>0</v>
      </c>
      <c r="AP255" s="15" t="n">
        <f aca="false">MAX(0,AN255)*IF(11=Parametri_v3!$C$43,Parametri_v3!$C$45,IF(11=Parametri_v3!$C$44,1-Parametri_v3!$C$45,0))</f>
        <v>0</v>
      </c>
      <c r="AQ255" s="15" t="n">
        <f aca="false">MAX(0,AP255+IF(11=Parametri_v3!$C$43,MAX(0,AN255-AO255),0)-MAX(0,-(AR254)))</f>
        <v>0</v>
      </c>
      <c r="AR255" s="15" t="n">
        <f aca="false">(AR254)+X255-AQ255</f>
        <v>1444.10314342105</v>
      </c>
      <c r="AS255" s="15" t="n">
        <f aca="false">Motore_Operativo!AC255-AT255+AU255</f>
        <v>2743.125</v>
      </c>
      <c r="AT255" s="15" t="n">
        <f aca="false">Motore_Operativo!CI255</f>
        <v>144.375</v>
      </c>
      <c r="AU255" s="15" t="n">
        <f aca="false">MIN(MAX(0,(AV254)+AT255),Parametri_v3!$C$61/12)</f>
        <v>0</v>
      </c>
      <c r="AV255" s="15" t="n">
        <f aca="false">(AV254)+AT255-AU255</f>
        <v>1588.125</v>
      </c>
      <c r="AW255" s="15" t="n">
        <f aca="false">IF(AND(Motore_Operativo!C255=Finanziamenti!$D$7,Finanziamenti!$F$7=1),Finanziamenti!$C$7,0)</f>
        <v>0</v>
      </c>
      <c r="AX255" s="15" t="n">
        <f aca="false">0</f>
        <v>0</v>
      </c>
      <c r="AY255" s="15" t="n">
        <f aca="false">IF(11=Parametri_v3!$C$33,IF(BV255&lt;MIN(12,$B255-1),0,MIN(MAX(0,0)*Ipotesi!$C$94,MAX(0,(0)-(BO254)-BP255),MAX(0,BD255-Parametri_v3!$C$31))),0)</f>
        <v>0</v>
      </c>
      <c r="AZ255" s="15" t="n">
        <f aca="false">0</f>
        <v>0</v>
      </c>
      <c r="BA255" s="15" t="n">
        <f aca="false">0</f>
        <v>0</v>
      </c>
      <c r="BB255" s="15" t="n">
        <f aca="false">0</f>
        <v>0</v>
      </c>
      <c r="BC255" s="15" t="n">
        <f aca="false">0</f>
        <v>0</v>
      </c>
      <c r="BD255" s="15" t="n">
        <f aca="false">(BH254)+AC255-AF255-AI255-AS255-K255*(1+Parametri_v3!$C$26)-AL255-AQ255-O255+AW255+AX255+AZ255+BA255-BB255</f>
        <v>-3856.10381052632</v>
      </c>
      <c r="BE255" s="15" t="n">
        <f aca="false">0</f>
        <v>0</v>
      </c>
      <c r="BF255" s="15" t="n">
        <f aca="false">0</f>
        <v>0</v>
      </c>
      <c r="BG255" s="15" t="n">
        <f aca="false">0</f>
        <v>0</v>
      </c>
      <c r="BH255" s="15" t="n">
        <f aca="false">BD255+BE255-BF255-AY255</f>
        <v>-3856.10381052632</v>
      </c>
      <c r="BI255" s="15" t="n">
        <f aca="false">MAX(0,Parametri_v3!$C$31-BH255)</f>
        <v>13856.1038105263</v>
      </c>
      <c r="BJ255" s="15" t="n">
        <f aca="false">(BJ254)+K255</f>
        <v>2750</v>
      </c>
      <c r="BK255" s="15" t="n">
        <f aca="false">(BK254)+L255</f>
        <v>458.333333333333</v>
      </c>
      <c r="BL255" s="15" t="n">
        <f aca="false">BJ255-BK255</f>
        <v>2291.66666666667</v>
      </c>
      <c r="BM255" s="15" t="n">
        <f aca="false">(BM254)+Y255</f>
        <v>3731.89378640351</v>
      </c>
      <c r="BN255" s="15" t="n">
        <f aca="false">(BN254)+AW255+AX255+AZ255</f>
        <v>20000</v>
      </c>
      <c r="BO255" s="15" t="n">
        <f aca="false">(BO254)+AY255</f>
        <v>0</v>
      </c>
      <c r="BP255" s="15" t="n">
        <f aca="false">MIN(Parametri_v3!$C$36*Parametri_v3!$C$35,(BP254)+IF(11=1,MAX(0,0)*Parametri_v3!$C$34,0))</f>
        <v>0</v>
      </c>
      <c r="BQ255" s="15" t="n">
        <f aca="false">BN255+BM255-BO255</f>
        <v>23731.8937864035</v>
      </c>
      <c r="BR255" s="15" t="n">
        <f aca="false">BH255+AD255+BL255+MAX(0,-AM255)+MAX(0,-AR255)</f>
        <v>37593.7102245614</v>
      </c>
      <c r="BS255" s="15" t="n">
        <f aca="false">AJ255+AV255+MAX(0,AM255)+MAX(0,AR255)+BC255+BG255+BQ255+AG255</f>
        <v>37593.7102245614</v>
      </c>
      <c r="BT255" s="15" t="n">
        <f aca="false">BR255-BS255</f>
        <v>0</v>
      </c>
      <c r="BU255" s="15" t="n">
        <f aca="false">BH255-(BD255+BE255-BF255-AY255)</f>
        <v>0</v>
      </c>
      <c r="BV255" s="15" t="n">
        <f aca="false">IF(BH254&lt;Parametri_v3!$C$31,0,BV254+1)</f>
        <v>0</v>
      </c>
    </row>
    <row r="256" customFormat="false" ht="18" hidden="false" customHeight="true" outlineLevel="0" collapsed="false">
      <c r="A256" s="68" t="n">
        <f aca="false">5</f>
        <v>5</v>
      </c>
      <c r="B256" s="68" t="n">
        <f aca="false">12</f>
        <v>12</v>
      </c>
      <c r="C256" s="18" t="n">
        <f aca="false">Motore_Operativo!C256</f>
        <v>46722</v>
      </c>
      <c r="D256" s="68" t="n">
        <f aca="false">Motore_Operativo!D256</f>
        <v>2027</v>
      </c>
      <c r="E256" s="68" t="n">
        <f aca="false">Motore_Operativo!E256</f>
        <v>12</v>
      </c>
      <c r="F256" s="15" t="n">
        <f aca="false">Motore_Operativo!AM256</f>
        <v>8024.21052631579</v>
      </c>
      <c r="G256" s="15" t="n">
        <f aca="false">Motore_Operativo!BH256</f>
        <v>802.421052631579</v>
      </c>
      <c r="H256" s="15" t="n">
        <f aca="false">Motore_Operativo!AM256</f>
        <v>8024.21052631579</v>
      </c>
      <c r="I256" s="15" t="n">
        <f aca="false">Motore_Operativo!CB256</f>
        <v>7511.99868421053</v>
      </c>
      <c r="J256" s="15" t="n">
        <f aca="false">Motore_Operativo!CD256</f>
        <v>512.211842105264</v>
      </c>
      <c r="K256" s="15" t="n">
        <f aca="false">Motore_Operativo!CF256</f>
        <v>250</v>
      </c>
      <c r="L256" s="15" t="n">
        <f aca="false">SUM(INDEX($K$245:$K$304,MAX(1,12-Parametri_v3!$C$59+1)):K256)/Parametri_v3!$C$59</f>
        <v>83.3333333333333</v>
      </c>
      <c r="M256" s="15" t="n">
        <f aca="false">J256-L256</f>
        <v>428.87850877193</v>
      </c>
      <c r="N256" s="15" t="n">
        <f aca="false">0</f>
        <v>0</v>
      </c>
      <c r="O256" s="15" t="n">
        <f aca="false">0</f>
        <v>0</v>
      </c>
      <c r="P256" s="15" t="n">
        <f aca="false">M256+N256-O256</f>
        <v>428.87850877193</v>
      </c>
      <c r="Q256" s="15" t="n">
        <f aca="false">SUM(P245:P256)+Parametri_v3!$C$56*12/12</f>
        <v>5604.8754385965</v>
      </c>
      <c r="R256" s="15" t="n">
        <f aca="false">0</f>
        <v>0</v>
      </c>
      <c r="S256" s="15" t="n">
        <f aca="false">0</f>
        <v>0</v>
      </c>
      <c r="T256" s="15" t="n">
        <f aca="false">MIN(R256,MAX(0,Q256))</f>
        <v>0</v>
      </c>
      <c r="U256" s="15" t="n">
        <f aca="false">MIN(S256,MAX(0,Q256-T256)*Parametri_v3!$C$42)</f>
        <v>0</v>
      </c>
      <c r="V256" s="15" t="n">
        <f aca="false">MAX(0,Q256-T256-U256)*Ipotesi!$C$92</f>
        <v>1345.17010526316</v>
      </c>
      <c r="W256" s="15" t="n">
        <f aca="false">MAX(0,SUM(M245:M256)+Parametri_v3!$C$57*12/12)*Ipotesi!$C$93</f>
        <v>218.590142105263</v>
      </c>
      <c r="X256" s="15" t="n">
        <f aca="false">V256+W256-(V255+W255)</f>
        <v>119.657103947369</v>
      </c>
      <c r="Y256" s="15" t="n">
        <f aca="false">P256-X256</f>
        <v>309.221404824562</v>
      </c>
      <c r="Z256" s="15" t="n">
        <f aca="false">R256-T256+IF(AND(Parametri_v3!$C$40=1,D256-YEAR(Parametri_v3!$C$50)&lt;Parametri_v3!$C$41),MAX(0,-Q256),0)</f>
        <v>0</v>
      </c>
      <c r="AA256" s="15" t="n">
        <f aca="false">S256-U256+IF(AND(Parametri_v3!$C$40=1,D256-YEAR(Parametri_v3!$C$50)&lt;Parametri_v3!$C$41),0,MAX(0,-Q256))</f>
        <v>0</v>
      </c>
      <c r="AB256" s="15" t="n">
        <f aca="false">F256*(1+Parametri_v3!$C$26)</f>
        <v>9789.53684210526</v>
      </c>
      <c r="AC256" s="15" t="n">
        <f aca="false">(IF(12-(INT((Motore_Operativo!L256)/30))&lt;1,0,INDEX(Motore_Advisory!$AB$245:$AB$304,MAX(1,12-(INT((Motore_Operativo!L256)/30)))))*(1-(MOD((Motore_Operativo!L256),30)/30))+IF(12-(INT((Motore_Operativo!L256)/30))-1&lt;1,0,INDEX(Motore_Advisory!$AB$245:$AB$304,MAX(1,12-(INT((Motore_Operativo!L256)/30))-1)))*(MOD((Motore_Operativo!L256),30)/30))</f>
        <v>9789.53684210526</v>
      </c>
      <c r="AD256" s="15" t="n">
        <f aca="false">(AD255)+AB256-AC256</f>
        <v>39158.1473684211</v>
      </c>
      <c r="AE256" s="15" t="n">
        <f aca="false">Motore_Operativo!BH256*(1+Parametri_v3!$C$26)</f>
        <v>978.953684210527</v>
      </c>
      <c r="AF256" s="15" t="n">
        <f aca="false">(IF(12-(INT((Parametri_v3!$C$29)/30))&lt;1,0,INDEX(Motore_Operativo!$BH$245:$BH$304,MAX(1,12-(INT((Parametri_v3!$C$29)/30)))))*(1-(MOD((Parametri_v3!$C$29),30)/30))+IF(12-(INT((Parametri_v3!$C$29)/30))-1&lt;1,0,INDEX(Motore_Operativo!$BH$245:$BH$304,MAX(1,12-(INT((Parametri_v3!$C$29)/30))-1)))*(MOD((Parametri_v3!$C$29),30)/30))*(1+Parametri_v3!$C$26)</f>
        <v>978.953684210527</v>
      </c>
      <c r="AG256" s="15" t="n">
        <f aca="false">(AG255)+AE256-AF256</f>
        <v>978.953684210527</v>
      </c>
      <c r="AH256" s="15" t="n">
        <f aca="false">(Motore_Operativo!CK256)*(1+Parametri_v3!$C$28*Parametri_v3!$C$26)</f>
        <v>4494.76329473684</v>
      </c>
      <c r="AI256" s="15" t="n">
        <f aca="false">(IF(12-(INT((Ipotesi!$C$91)/30))&lt;1,0,INDEX(Motore_Advisory!$AH$245:$AH$304,MAX(1,12-(INT((Ipotesi!$C$91)/30)))))*(1-(MOD((Ipotesi!$C$91),30)/30))+IF(12-(INT((Ipotesi!$C$91)/30))-1&lt;1,0,INDEX(Motore_Advisory!$AH$245:$AH$304,MAX(1,12-(INT((Ipotesi!$C$91)/30))-1)))*(MOD((Ipotesi!$C$91),30)/30))</f>
        <v>4494.76329473684</v>
      </c>
      <c r="AJ256" s="15" t="n">
        <f aca="false">(AJ255)+AH256-AI256</f>
        <v>8989.52658947368</v>
      </c>
      <c r="AK256" s="15" t="n">
        <f aca="false">(F256- Motore_Operativo!BH256-(Motore_Operativo!CK256)*Parametri_v3!$C$28-Motore_Operativo!CF256)*Parametri_v3!$C$26</f>
        <v>861.108021052632</v>
      </c>
      <c r="AL256" s="15" t="n">
        <f aca="false">MAX(0,(AM255))</f>
        <v>861.108021052632</v>
      </c>
      <c r="AM256" s="15" t="n">
        <f aca="false">(AM255)+AK256-AL256</f>
        <v>861.108021052632</v>
      </c>
      <c r="AN256" s="15" t="n">
        <f aca="false">0</f>
        <v>0</v>
      </c>
      <c r="AO256" s="15" t="n">
        <f aca="false">0</f>
        <v>0</v>
      </c>
      <c r="AP256" s="15" t="n">
        <f aca="false">MAX(0,AN256)*IF(12=Parametri_v3!$C$43,Parametri_v3!$C$45,IF(12=Parametri_v3!$C$44,1-Parametri_v3!$C$45,0))</f>
        <v>0</v>
      </c>
      <c r="AQ256" s="15" t="n">
        <f aca="false">MAX(0,AP256+IF(12=Parametri_v3!$C$43,MAX(0,AN256-AO256),0)-MAX(0,-(AR255)))</f>
        <v>0</v>
      </c>
      <c r="AR256" s="15" t="n">
        <f aca="false">(AR255)+X256-AQ256</f>
        <v>1563.76024736842</v>
      </c>
      <c r="AS256" s="15" t="n">
        <f aca="false">Motore_Operativo!AC256-AT256+AU256</f>
        <v>2743.125</v>
      </c>
      <c r="AT256" s="15" t="n">
        <f aca="false">Motore_Operativo!CI256</f>
        <v>144.375</v>
      </c>
      <c r="AU256" s="15" t="n">
        <f aca="false">MIN(MAX(0,(AV255)+AT256),Parametri_v3!$C$61/12)</f>
        <v>0</v>
      </c>
      <c r="AV256" s="15" t="n">
        <f aca="false">(AV255)+AT256-AU256</f>
        <v>1732.5</v>
      </c>
      <c r="AW256" s="15" t="n">
        <f aca="false">IF(AND(Motore_Operativo!C256=Finanziamenti!$D$7,Finanziamenti!$F$7=1),Finanziamenti!$C$7,0)</f>
        <v>0</v>
      </c>
      <c r="AX256" s="15" t="n">
        <f aca="false">0</f>
        <v>0</v>
      </c>
      <c r="AY256" s="15" t="n">
        <f aca="false">IF(12=Parametri_v3!$C$33,IF(BV256&lt;MIN(12,$B256-1),0,MIN(MAX(0,0)*Ipotesi!$C$94,MAX(0,(0)-(BO255)-BP256),MAX(0,BD256-Parametri_v3!$C$31))),0)</f>
        <v>0</v>
      </c>
      <c r="AZ256" s="15" t="n">
        <f aca="false">0</f>
        <v>0</v>
      </c>
      <c r="BA256" s="15" t="n">
        <f aca="false">0</f>
        <v>0</v>
      </c>
      <c r="BB256" s="15" t="n">
        <f aca="false">0</f>
        <v>0</v>
      </c>
      <c r="BC256" s="15" t="n">
        <f aca="false">0</f>
        <v>0</v>
      </c>
      <c r="BD256" s="15" t="n">
        <f aca="false">(BH255)+AC256-AF256-AI256-AS256-K256*(1+Parametri_v3!$C$26)-AL256-AQ256-O256+AW256+AX256+AZ256+BA256-BB256</f>
        <v>-3449.51696842105</v>
      </c>
      <c r="BE256" s="15" t="n">
        <f aca="false">0</f>
        <v>0</v>
      </c>
      <c r="BF256" s="15" t="n">
        <f aca="false">0</f>
        <v>0</v>
      </c>
      <c r="BG256" s="15" t="n">
        <f aca="false">0</f>
        <v>0</v>
      </c>
      <c r="BH256" s="15" t="n">
        <f aca="false">BD256+BE256-BF256-AY256</f>
        <v>-3449.51696842105</v>
      </c>
      <c r="BI256" s="15" t="n">
        <f aca="false">MAX(0,Parametri_v3!$C$31-BH256)</f>
        <v>13449.5169684211</v>
      </c>
      <c r="BJ256" s="15" t="n">
        <f aca="false">(BJ255)+K256</f>
        <v>3000</v>
      </c>
      <c r="BK256" s="15" t="n">
        <f aca="false">(BK255)+L256</f>
        <v>541.666666666667</v>
      </c>
      <c r="BL256" s="15" t="n">
        <f aca="false">BJ256-BK256</f>
        <v>2458.33333333333</v>
      </c>
      <c r="BM256" s="15" t="n">
        <f aca="false">(BM255)+Y256</f>
        <v>4041.11519122808</v>
      </c>
      <c r="BN256" s="15" t="n">
        <f aca="false">(BN255)+AW256+AX256+AZ256</f>
        <v>20000</v>
      </c>
      <c r="BO256" s="15" t="n">
        <f aca="false">(BO255)+AY256</f>
        <v>0</v>
      </c>
      <c r="BP256" s="15" t="n">
        <f aca="false">MIN(Parametri_v3!$C$36*Parametri_v3!$C$35,(BP255)+IF(12=1,MAX(0,0)*Parametri_v3!$C$34,0))</f>
        <v>0</v>
      </c>
      <c r="BQ256" s="15" t="n">
        <f aca="false">BN256+BM256-BO256</f>
        <v>24041.1151912281</v>
      </c>
      <c r="BR256" s="15" t="n">
        <f aca="false">BH256+AD256+BL256+MAX(0,-AM256)+MAX(0,-AR256)</f>
        <v>38166.9637333333</v>
      </c>
      <c r="BS256" s="15" t="n">
        <f aca="false">AJ256+AV256+MAX(0,AM256)+MAX(0,AR256)+BC256+BG256+BQ256+AG256</f>
        <v>38166.9637333333</v>
      </c>
      <c r="BT256" s="15" t="n">
        <f aca="false">BR256-BS256</f>
        <v>0</v>
      </c>
      <c r="BU256" s="15" t="n">
        <f aca="false">BH256-(BD256+BE256-BF256-AY256)</f>
        <v>0</v>
      </c>
      <c r="BV256" s="15" t="n">
        <f aca="false">IF(BH255&lt;Parametri_v3!$C$31,0,BV255+1)</f>
        <v>0</v>
      </c>
    </row>
    <row r="257" customFormat="false" ht="18" hidden="false" customHeight="true" outlineLevel="0" collapsed="false">
      <c r="A257" s="68" t="n">
        <f aca="false">5</f>
        <v>5</v>
      </c>
      <c r="B257" s="68" t="n">
        <f aca="false">13</f>
        <v>13</v>
      </c>
      <c r="C257" s="18" t="n">
        <f aca="false">Motore_Operativo!C257</f>
        <v>46753</v>
      </c>
      <c r="D257" s="68" t="n">
        <f aca="false">Motore_Operativo!D257</f>
        <v>2028</v>
      </c>
      <c r="E257" s="68" t="n">
        <f aca="false">Motore_Operativo!E257</f>
        <v>1</v>
      </c>
      <c r="F257" s="15" t="n">
        <f aca="false">Motore_Operativo!AM257</f>
        <v>16820.7042253521</v>
      </c>
      <c r="G257" s="15" t="n">
        <f aca="false">Motore_Operativo!BH257</f>
        <v>1682.07042253521</v>
      </c>
      <c r="H257" s="15" t="n">
        <f aca="false">Motore_Operativo!AM257</f>
        <v>16820.7042253521</v>
      </c>
      <c r="I257" s="15" t="n">
        <f aca="false">Motore_Operativo!CB257</f>
        <v>15669.979342723</v>
      </c>
      <c r="J257" s="15" t="n">
        <f aca="false">Motore_Operativo!CD257</f>
        <v>1150.72488262911</v>
      </c>
      <c r="K257" s="15" t="n">
        <f aca="false">Motore_Operativo!CF257</f>
        <v>416.666666666667</v>
      </c>
      <c r="L257" s="15" t="n">
        <f aca="false">SUM(INDEX($K$245:$K$304,MAX(1,13-Parametri_v3!$C$59+1)):K257)/Parametri_v3!$C$59</f>
        <v>94.9074074074074</v>
      </c>
      <c r="M257" s="15" t="n">
        <f aca="false">J257-L257</f>
        <v>1055.8174752217</v>
      </c>
      <c r="N257" s="15" t="n">
        <f aca="false">0</f>
        <v>0</v>
      </c>
      <c r="O257" s="15" t="n">
        <f aca="false">0</f>
        <v>0</v>
      </c>
      <c r="P257" s="15" t="n">
        <f aca="false">M257+N257-O257</f>
        <v>1055.8174752217</v>
      </c>
      <c r="Q257" s="15" t="n">
        <f aca="false">SUM(P257)+Parametri_v3!$C$56*1/12</f>
        <v>1055.8174752217</v>
      </c>
      <c r="R257" s="15" t="n">
        <f aca="false">Z256</f>
        <v>0</v>
      </c>
      <c r="S257" s="15" t="n">
        <f aca="false">AA256</f>
        <v>0</v>
      </c>
      <c r="T257" s="15" t="n">
        <f aca="false">MIN(R257,MAX(0,Q257))</f>
        <v>0</v>
      </c>
      <c r="U257" s="15" t="n">
        <f aca="false">MIN(S257,MAX(0,Q257-T257)*Parametri_v3!$C$42)</f>
        <v>0</v>
      </c>
      <c r="V257" s="15" t="n">
        <f aca="false">MAX(0,Q257-T257-U257)*Ipotesi!$C$92</f>
        <v>253.396194053209</v>
      </c>
      <c r="W257" s="15" t="n">
        <f aca="false">MAX(0,SUM(M257)+Parametri_v3!$C$57*1/12)*Ipotesi!$C$93</f>
        <v>41.1768815336464</v>
      </c>
      <c r="X257" s="15" t="n">
        <f aca="false">V257+W257-(0)</f>
        <v>294.573075586855</v>
      </c>
      <c r="Y257" s="15" t="n">
        <f aca="false">P257-X257</f>
        <v>761.244399634848</v>
      </c>
      <c r="Z257" s="15" t="n">
        <f aca="false">R257-T257+IF(AND(Parametri_v3!$C$40=1,D257-YEAR(Parametri_v3!$C$50)&lt;Parametri_v3!$C$41),MAX(0,-Q257),0)</f>
        <v>0</v>
      </c>
      <c r="AA257" s="15" t="n">
        <f aca="false">S257-U257+IF(AND(Parametri_v3!$C$40=1,D257-YEAR(Parametri_v3!$C$50)&lt;Parametri_v3!$C$41),0,MAX(0,-Q257))</f>
        <v>0</v>
      </c>
      <c r="AB257" s="15" t="n">
        <f aca="false">F257*(1+Parametri_v3!$C$26)</f>
        <v>20521.2591549296</v>
      </c>
      <c r="AC257" s="15" t="n">
        <f aca="false">(IF(13-(INT((Motore_Operativo!L257)/30))&lt;1,0,INDEX(Motore_Advisory!$AB$245:$AB$304,MAX(1,13-(INT((Motore_Operativo!L257)/30)))))*(1-(MOD((Motore_Operativo!L257),30)/30))+IF(13-(INT((Motore_Operativo!L257)/30))-1&lt;1,0,INDEX(Motore_Advisory!$AB$245:$AB$304,MAX(1,13-(INT((Motore_Operativo!L257)/30))-1)))*(MOD((Motore_Operativo!L257),30)/30))</f>
        <v>9789.53684210526</v>
      </c>
      <c r="AD257" s="15" t="n">
        <f aca="false">(AD256)+AB257-AC257</f>
        <v>49889.8696812454</v>
      </c>
      <c r="AE257" s="15" t="n">
        <f aca="false">Motore_Operativo!BH257*(1+Parametri_v3!$C$26)</f>
        <v>2052.12591549296</v>
      </c>
      <c r="AF257" s="15" t="n">
        <f aca="false">(IF(13-(INT((Parametri_v3!$C$29)/30))&lt;1,0,INDEX(Motore_Operativo!$BH$245:$BH$304,MAX(1,13-(INT((Parametri_v3!$C$29)/30)))))*(1-(MOD((Parametri_v3!$C$29),30)/30))+IF(13-(INT((Parametri_v3!$C$29)/30))-1&lt;1,0,INDEX(Motore_Operativo!$BH$245:$BH$304,MAX(1,13-(INT((Parametri_v3!$C$29)/30))-1)))*(MOD((Parametri_v3!$C$29),30)/30))*(1+Parametri_v3!$C$26)</f>
        <v>978.953684210527</v>
      </c>
      <c r="AG257" s="15" t="n">
        <f aca="false">(AG256)+AE257-AF257</f>
        <v>2052.12591549296</v>
      </c>
      <c r="AH257" s="15" t="n">
        <f aca="false">(Motore_Operativo!CK257)*(1+Parametri_v3!$C$28*Parametri_v3!$C$26)</f>
        <v>7637.71889014084</v>
      </c>
      <c r="AI257" s="15" t="n">
        <f aca="false">(IF(13-(INT((Ipotesi!$C$91)/30))&lt;1,0,INDEX(Motore_Advisory!$AH$245:$AH$304,MAX(1,13-(INT((Ipotesi!$C$91)/30)))))*(1-(MOD((Ipotesi!$C$91),30)/30))+IF(13-(INT((Ipotesi!$C$91)/30))-1&lt;1,0,INDEX(Motore_Advisory!$AH$245:$AH$304,MAX(1,13-(INT((Ipotesi!$C$91)/30))-1)))*(MOD((Ipotesi!$C$91),30)/30))</f>
        <v>4494.76329473684</v>
      </c>
      <c r="AJ257" s="15" t="n">
        <f aca="false">(AJ256)+AH257-AI257</f>
        <v>12132.4821848777</v>
      </c>
      <c r="AK257" s="15" t="n">
        <f aca="false">(F257- Motore_Operativo!BH257-(Motore_Operativo!CK257)*Parametri_v3!$C$28-Motore_Operativo!CF257)*Parametri_v3!$C$26</f>
        <v>2095.7728</v>
      </c>
      <c r="AL257" s="15" t="n">
        <f aca="false">MAX(0,(AM256))</f>
        <v>861.108021052632</v>
      </c>
      <c r="AM257" s="15" t="n">
        <f aca="false">(AM256)+AK257-AL257</f>
        <v>2095.7728</v>
      </c>
      <c r="AN257" s="15" t="n">
        <f aca="false">SUM(X245:X256)</f>
        <v>1563.76024736842</v>
      </c>
      <c r="AO257" s="15" t="n">
        <f aca="false">SUM(AP245:AP256)</f>
        <v>0</v>
      </c>
      <c r="AP257" s="15" t="n">
        <f aca="false">MAX(0,AN257)*IF(1=Parametri_v3!$C$43,Parametri_v3!$C$45,IF(1=Parametri_v3!$C$44,1-Parametri_v3!$C$45,0))</f>
        <v>0</v>
      </c>
      <c r="AQ257" s="15" t="n">
        <f aca="false">MAX(0,AP257+IF(1=Parametri_v3!$C$43,MAX(0,AN257-AO257),0)-MAX(0,-(AR256)))</f>
        <v>0</v>
      </c>
      <c r="AR257" s="15" t="n">
        <f aca="false">(AR256)+X257-AQ257</f>
        <v>1858.33332295528</v>
      </c>
      <c r="AS257" s="15" t="n">
        <f aca="false">Motore_Operativo!AC257-AT257+AU257</f>
        <v>7118.5875</v>
      </c>
      <c r="AT257" s="15" t="n">
        <f aca="false">Motore_Operativo!CI257</f>
        <v>374.6625</v>
      </c>
      <c r="AU257" s="15" t="n">
        <f aca="false">MIN(MAX(0,(AV256)+AT257),Parametri_v3!$C$61/12)</f>
        <v>0</v>
      </c>
      <c r="AV257" s="15" t="n">
        <f aca="false">(AV256)+AT257-AU257</f>
        <v>2107.1625</v>
      </c>
      <c r="AW257" s="15" t="n">
        <f aca="false">IF(AND(Motore_Operativo!C257=Finanziamenti!$D$7,Finanziamenti!$F$7=1),Finanziamenti!$C$7,0)</f>
        <v>0</v>
      </c>
      <c r="AX257" s="15" t="n">
        <f aca="false">0</f>
        <v>0</v>
      </c>
      <c r="AY257" s="15" t="n">
        <f aca="false">IF(1=Parametri_v3!$C$33,IF(BV257&lt;MIN(12,$B257-1),0,MIN(MAX(0,SUM(Y245:Y256))*Ipotesi!$C$94,MAX(0,(BM256)-(BO256)-BP257),MAX(0,BD257-Parametri_v3!$C$31))),0)</f>
        <v>0</v>
      </c>
      <c r="AZ257" s="15" t="n">
        <f aca="false">0</f>
        <v>0</v>
      </c>
      <c r="BA257" s="15" t="n">
        <f aca="false">0</f>
        <v>0</v>
      </c>
      <c r="BB257" s="15" t="n">
        <f aca="false">0</f>
        <v>0</v>
      </c>
      <c r="BC257" s="15" t="n">
        <f aca="false">0</f>
        <v>0</v>
      </c>
      <c r="BD257" s="15" t="n">
        <f aca="false">(BH256)+AC257-AF257-AI257-AS257-K257*(1+Parametri_v3!$C$26)-AL257-AQ257-O257+AW257+AX257+AZ257+BA257-BB257</f>
        <v>-7621.72595964912</v>
      </c>
      <c r="BE257" s="15" t="n">
        <f aca="false">0</f>
        <v>0</v>
      </c>
      <c r="BF257" s="15" t="n">
        <f aca="false">0</f>
        <v>0</v>
      </c>
      <c r="BG257" s="15" t="n">
        <f aca="false">0</f>
        <v>0</v>
      </c>
      <c r="BH257" s="15" t="n">
        <f aca="false">BD257+BE257-BF257-AY257</f>
        <v>-7621.72595964912</v>
      </c>
      <c r="BI257" s="15" t="n">
        <f aca="false">MAX(0,Parametri_v3!$C$31-BH257)</f>
        <v>17621.7259596491</v>
      </c>
      <c r="BJ257" s="15" t="n">
        <f aca="false">(BJ256)+K257</f>
        <v>3416.66666666667</v>
      </c>
      <c r="BK257" s="15" t="n">
        <f aca="false">(BK256)+L257</f>
        <v>636.574074074074</v>
      </c>
      <c r="BL257" s="15" t="n">
        <f aca="false">BJ257-BK257</f>
        <v>2780.09259259259</v>
      </c>
      <c r="BM257" s="15" t="n">
        <f aca="false">(BM256)+Y257</f>
        <v>4802.35959086292</v>
      </c>
      <c r="BN257" s="15" t="n">
        <f aca="false">(BN256)+AW257+AX257+AZ257</f>
        <v>20000</v>
      </c>
      <c r="BO257" s="15" t="n">
        <f aca="false">(BO256)+AY257</f>
        <v>0</v>
      </c>
      <c r="BP257" s="15" t="n">
        <f aca="false">MIN(Parametri_v3!$C$36*Parametri_v3!$C$35,(BP256)+IF(1=1,MAX(0,SUM(Y245:Y256))*Parametri_v3!$C$34,0))</f>
        <v>202.055759561404</v>
      </c>
      <c r="BQ257" s="15" t="n">
        <f aca="false">BN257+BM257-BO257</f>
        <v>24802.3595908629</v>
      </c>
      <c r="BR257" s="15" t="n">
        <f aca="false">BH257+AD257+BL257+MAX(0,-AM257)+MAX(0,-AR257)</f>
        <v>45048.2363141889</v>
      </c>
      <c r="BS257" s="15" t="n">
        <f aca="false">AJ257+AV257+MAX(0,AM257)+MAX(0,AR257)+BC257+BG257+BQ257+AG257</f>
        <v>45048.2363141888</v>
      </c>
      <c r="BT257" s="15" t="n">
        <f aca="false">BR257-BS257</f>
        <v>0</v>
      </c>
      <c r="BU257" s="15" t="n">
        <f aca="false">BH257-(BD257+BE257-BF257-AY257)</f>
        <v>0</v>
      </c>
      <c r="BV257" s="15" t="n">
        <f aca="false">IF(BH256&lt;Parametri_v3!$C$31,0,BV256+1)</f>
        <v>0</v>
      </c>
    </row>
    <row r="258" customFormat="false" ht="18" hidden="false" customHeight="true" outlineLevel="0" collapsed="false">
      <c r="A258" s="68" t="n">
        <f aca="false">5</f>
        <v>5</v>
      </c>
      <c r="B258" s="68" t="n">
        <f aca="false">14</f>
        <v>14</v>
      </c>
      <c r="C258" s="18" t="n">
        <f aca="false">Motore_Operativo!C258</f>
        <v>46784</v>
      </c>
      <c r="D258" s="68" t="n">
        <f aca="false">Motore_Operativo!D258</f>
        <v>2028</v>
      </c>
      <c r="E258" s="68" t="n">
        <f aca="false">Motore_Operativo!E258</f>
        <v>2</v>
      </c>
      <c r="F258" s="15" t="n">
        <f aca="false">Motore_Operativo!AM258</f>
        <v>16820.7042253521</v>
      </c>
      <c r="G258" s="15" t="n">
        <f aca="false">Motore_Operativo!BH258</f>
        <v>1682.07042253521</v>
      </c>
      <c r="H258" s="15" t="n">
        <f aca="false">Motore_Operativo!AM258</f>
        <v>16820.7042253521</v>
      </c>
      <c r="I258" s="15" t="n">
        <f aca="false">Motore_Operativo!CB258</f>
        <v>15669.979342723</v>
      </c>
      <c r="J258" s="15" t="n">
        <f aca="false">Motore_Operativo!CD258</f>
        <v>1150.72488262911</v>
      </c>
      <c r="K258" s="15" t="n">
        <f aca="false">Motore_Operativo!CF258</f>
        <v>416.666666666667</v>
      </c>
      <c r="L258" s="15" t="n">
        <f aca="false">SUM(INDEX($K$245:$K$304,MAX(1,14-Parametri_v3!$C$59+1)):K258)/Parametri_v3!$C$59</f>
        <v>106.481481481481</v>
      </c>
      <c r="M258" s="15" t="n">
        <f aca="false">J258-L258</f>
        <v>1044.24340114763</v>
      </c>
      <c r="N258" s="15" t="n">
        <f aca="false">0</f>
        <v>0</v>
      </c>
      <c r="O258" s="15" t="n">
        <f aca="false">0</f>
        <v>0</v>
      </c>
      <c r="P258" s="15" t="n">
        <f aca="false">M258+N258-O258</f>
        <v>1044.24340114763</v>
      </c>
      <c r="Q258" s="15" t="n">
        <f aca="false">SUM(P257:P258)+Parametri_v3!$C$56*2/12</f>
        <v>2100.06087636933</v>
      </c>
      <c r="R258" s="15" t="n">
        <f aca="false">Z256</f>
        <v>0</v>
      </c>
      <c r="S258" s="15" t="n">
        <f aca="false">AA256</f>
        <v>0</v>
      </c>
      <c r="T258" s="15" t="n">
        <f aca="false">MIN(R258,MAX(0,Q258))</f>
        <v>0</v>
      </c>
      <c r="U258" s="15" t="n">
        <f aca="false">MIN(S258,MAX(0,Q258-T258)*Parametri_v3!$C$42)</f>
        <v>0</v>
      </c>
      <c r="V258" s="15" t="n">
        <f aca="false">MAX(0,Q258-T258-U258)*Ipotesi!$C$92</f>
        <v>504.01461032864</v>
      </c>
      <c r="W258" s="15" t="n">
        <f aca="false">MAX(0,SUM(M257:M258)+Parametri_v3!$C$57*2/12)*Ipotesi!$C$93</f>
        <v>81.902374178404</v>
      </c>
      <c r="X258" s="15" t="n">
        <f aca="false">V258+W258-(V257+W257)</f>
        <v>291.343908920189</v>
      </c>
      <c r="Y258" s="15" t="n">
        <f aca="false">P258-X258</f>
        <v>752.899492227441</v>
      </c>
      <c r="Z258" s="15" t="n">
        <f aca="false">R258-T258+IF(AND(Parametri_v3!$C$40=1,D258-YEAR(Parametri_v3!$C$50)&lt;Parametri_v3!$C$41),MAX(0,-Q258),0)</f>
        <v>0</v>
      </c>
      <c r="AA258" s="15" t="n">
        <f aca="false">S258-U258+IF(AND(Parametri_v3!$C$40=1,D258-YEAR(Parametri_v3!$C$50)&lt;Parametri_v3!$C$41),0,MAX(0,-Q258))</f>
        <v>0</v>
      </c>
      <c r="AB258" s="15" t="n">
        <f aca="false">F258*(1+Parametri_v3!$C$26)</f>
        <v>20521.2591549296</v>
      </c>
      <c r="AC258" s="15" t="n">
        <f aca="false">(IF(14-(INT((Motore_Operativo!L258)/30))&lt;1,0,INDEX(Motore_Advisory!$AB$245:$AB$304,MAX(1,14-(INT((Motore_Operativo!L258)/30)))))*(1-(MOD((Motore_Operativo!L258),30)/30))+IF(14-(INT((Motore_Operativo!L258)/30))-1&lt;1,0,INDEX(Motore_Advisory!$AB$245:$AB$304,MAX(1,14-(INT((Motore_Operativo!L258)/30))-1)))*(MOD((Motore_Operativo!L258),30)/30))</f>
        <v>9789.53684210526</v>
      </c>
      <c r="AD258" s="15" t="n">
        <f aca="false">(AD257)+AB258-AC258</f>
        <v>60621.5919940697</v>
      </c>
      <c r="AE258" s="15" t="n">
        <f aca="false">Motore_Operativo!BH258*(1+Parametri_v3!$C$26)</f>
        <v>2052.12591549296</v>
      </c>
      <c r="AF258" s="15" t="n">
        <f aca="false">(IF(14-(INT((Parametri_v3!$C$29)/30))&lt;1,0,INDEX(Motore_Operativo!$BH$245:$BH$304,MAX(1,14-(INT((Parametri_v3!$C$29)/30)))))*(1-(MOD((Parametri_v3!$C$29),30)/30))+IF(14-(INT((Parametri_v3!$C$29)/30))-1&lt;1,0,INDEX(Motore_Operativo!$BH$245:$BH$304,MAX(1,14-(INT((Parametri_v3!$C$29)/30))-1)))*(MOD((Parametri_v3!$C$29),30)/30))*(1+Parametri_v3!$C$26)</f>
        <v>2052.12591549296</v>
      </c>
      <c r="AG258" s="15" t="n">
        <f aca="false">(AG257)+AE258-AF258</f>
        <v>2052.12591549296</v>
      </c>
      <c r="AH258" s="15" t="n">
        <f aca="false">(Motore_Operativo!CK258)*(1+Parametri_v3!$C$28*Parametri_v3!$C$26)</f>
        <v>7637.71889014084</v>
      </c>
      <c r="AI258" s="15" t="n">
        <f aca="false">(IF(14-(INT((Ipotesi!$C$91)/30))&lt;1,0,INDEX(Motore_Advisory!$AH$245:$AH$304,MAX(1,14-(INT((Ipotesi!$C$91)/30)))))*(1-(MOD((Ipotesi!$C$91),30)/30))+IF(14-(INT((Ipotesi!$C$91)/30))-1&lt;1,0,INDEX(Motore_Advisory!$AH$245:$AH$304,MAX(1,14-(INT((Ipotesi!$C$91)/30))-1)))*(MOD((Ipotesi!$C$91),30)/30))</f>
        <v>4494.76329473684</v>
      </c>
      <c r="AJ258" s="15" t="n">
        <f aca="false">(AJ257)+AH258-AI258</f>
        <v>15275.4377802817</v>
      </c>
      <c r="AK258" s="15" t="n">
        <f aca="false">(F258- Motore_Operativo!BH258-(Motore_Operativo!CK258)*Parametri_v3!$C$28-Motore_Operativo!CF258)*Parametri_v3!$C$26</f>
        <v>2095.7728</v>
      </c>
      <c r="AL258" s="15" t="n">
        <f aca="false">MAX(0,(AM257))</f>
        <v>2095.7728</v>
      </c>
      <c r="AM258" s="15" t="n">
        <f aca="false">(AM257)+AK258-AL258</f>
        <v>2095.7728</v>
      </c>
      <c r="AN258" s="15" t="n">
        <f aca="false">SUM(X245:X256)</f>
        <v>1563.76024736842</v>
      </c>
      <c r="AO258" s="15" t="n">
        <f aca="false">SUM(AP245:AP256)</f>
        <v>0</v>
      </c>
      <c r="AP258" s="15" t="n">
        <f aca="false">MAX(0,AN258)*IF(2=Parametri_v3!$C$43,Parametri_v3!$C$45,IF(2=Parametri_v3!$C$44,1-Parametri_v3!$C$45,0))</f>
        <v>0</v>
      </c>
      <c r="AQ258" s="15" t="n">
        <f aca="false">MAX(0,AP258+IF(2=Parametri_v3!$C$43,MAX(0,AN258-AO258),0)-MAX(0,-(AR257)))</f>
        <v>0</v>
      </c>
      <c r="AR258" s="15" t="n">
        <f aca="false">(AR257)+X258-AQ258</f>
        <v>2149.67723187547</v>
      </c>
      <c r="AS258" s="15" t="n">
        <f aca="false">Motore_Operativo!AC258-AT258+AU258</f>
        <v>7118.5875</v>
      </c>
      <c r="AT258" s="15" t="n">
        <f aca="false">Motore_Operativo!CI258</f>
        <v>374.6625</v>
      </c>
      <c r="AU258" s="15" t="n">
        <f aca="false">MIN(MAX(0,(AV257)+AT258),Parametri_v3!$C$61/12)</f>
        <v>0</v>
      </c>
      <c r="AV258" s="15" t="n">
        <f aca="false">(AV257)+AT258-AU258</f>
        <v>2481.825</v>
      </c>
      <c r="AW258" s="15" t="n">
        <f aca="false">IF(AND(Motore_Operativo!C258=Finanziamenti!$D$7,Finanziamenti!$F$7=1),Finanziamenti!$C$7,0)</f>
        <v>0</v>
      </c>
      <c r="AX258" s="15" t="n">
        <f aca="false">0</f>
        <v>0</v>
      </c>
      <c r="AY258" s="15" t="n">
        <f aca="false">IF(2=Parametri_v3!$C$33,IF(BV258&lt;MIN(12,$B258-1),0,MIN(MAX(0,SUM(Y245:Y256))*Ipotesi!$C$94,MAX(0,(BM256)-(BO257)-BP258),MAX(0,BD258-Parametri_v3!$C$31))),0)</f>
        <v>0</v>
      </c>
      <c r="AZ258" s="15" t="n">
        <f aca="false">0</f>
        <v>0</v>
      </c>
      <c r="BA258" s="15" t="n">
        <f aca="false">0</f>
        <v>0</v>
      </c>
      <c r="BB258" s="15" t="n">
        <f aca="false">0</f>
        <v>0</v>
      </c>
      <c r="BC258" s="15" t="n">
        <f aca="false">0</f>
        <v>0</v>
      </c>
      <c r="BD258" s="15" t="n">
        <f aca="false">(BH257)+AC258-AF258-AI258-AS258-K258*(1+Parametri_v3!$C$26)-AL258-AQ258-O258+AW258+AX258+AZ258+BA258-BB258</f>
        <v>-14101.771961107</v>
      </c>
      <c r="BE258" s="15" t="n">
        <f aca="false">0</f>
        <v>0</v>
      </c>
      <c r="BF258" s="15" t="n">
        <f aca="false">0</f>
        <v>0</v>
      </c>
      <c r="BG258" s="15" t="n">
        <f aca="false">0</f>
        <v>0</v>
      </c>
      <c r="BH258" s="15" t="n">
        <f aca="false">BD258+BE258-BF258-AY258</f>
        <v>-14101.771961107</v>
      </c>
      <c r="BI258" s="15" t="n">
        <f aca="false">MAX(0,Parametri_v3!$C$31-BH258)</f>
        <v>24101.771961107</v>
      </c>
      <c r="BJ258" s="15" t="n">
        <f aca="false">(BJ257)+K258</f>
        <v>3833.33333333333</v>
      </c>
      <c r="BK258" s="15" t="n">
        <f aca="false">(BK257)+L258</f>
        <v>743.055555555556</v>
      </c>
      <c r="BL258" s="15" t="n">
        <f aca="false">BJ258-BK258</f>
        <v>3090.27777777778</v>
      </c>
      <c r="BM258" s="15" t="n">
        <f aca="false">(BM257)+Y258</f>
        <v>5555.25908309036</v>
      </c>
      <c r="BN258" s="15" t="n">
        <f aca="false">(BN257)+AW258+AX258+AZ258</f>
        <v>20000</v>
      </c>
      <c r="BO258" s="15" t="n">
        <f aca="false">(BO257)+AY258</f>
        <v>0</v>
      </c>
      <c r="BP258" s="15" t="n">
        <f aca="false">MIN(Parametri_v3!$C$36*Parametri_v3!$C$35,(BP257)+IF(2=1,MAX(0,SUM(Y245:Y256))*Parametri_v3!$C$34,0))</f>
        <v>202.055759561404</v>
      </c>
      <c r="BQ258" s="15" t="n">
        <f aca="false">BN258+BM258-BO258</f>
        <v>25555.2590830904</v>
      </c>
      <c r="BR258" s="15" t="n">
        <f aca="false">BH258+AD258+BL258+MAX(0,-AM258)+MAX(0,-AR258)</f>
        <v>49610.0978107405</v>
      </c>
      <c r="BS258" s="15" t="n">
        <f aca="false">AJ258+AV258+MAX(0,AM258)+MAX(0,AR258)+BC258+BG258+BQ258+AG258</f>
        <v>49610.0978107405</v>
      </c>
      <c r="BT258" s="15" t="n">
        <f aca="false">BR258-BS258</f>
        <v>0</v>
      </c>
      <c r="BU258" s="15" t="n">
        <f aca="false">BH258-(BD258+BE258-BF258-AY258)</f>
        <v>0</v>
      </c>
      <c r="BV258" s="15" t="n">
        <f aca="false">IF(BH257&lt;Parametri_v3!$C$31,0,BV257+1)</f>
        <v>0</v>
      </c>
    </row>
    <row r="259" customFormat="false" ht="18" hidden="false" customHeight="true" outlineLevel="0" collapsed="false">
      <c r="A259" s="68" t="n">
        <f aca="false">5</f>
        <v>5</v>
      </c>
      <c r="B259" s="68" t="n">
        <f aca="false">15</f>
        <v>15</v>
      </c>
      <c r="C259" s="18" t="n">
        <f aca="false">Motore_Operativo!C259</f>
        <v>46813</v>
      </c>
      <c r="D259" s="68" t="n">
        <f aca="false">Motore_Operativo!D259</f>
        <v>2028</v>
      </c>
      <c r="E259" s="68" t="n">
        <f aca="false">Motore_Operativo!E259</f>
        <v>3</v>
      </c>
      <c r="F259" s="15" t="n">
        <f aca="false">Motore_Operativo!AM259</f>
        <v>16820.7042253521</v>
      </c>
      <c r="G259" s="15" t="n">
        <f aca="false">Motore_Operativo!BH259</f>
        <v>1682.07042253521</v>
      </c>
      <c r="H259" s="15" t="n">
        <f aca="false">Motore_Operativo!AM259</f>
        <v>16820.7042253521</v>
      </c>
      <c r="I259" s="15" t="n">
        <f aca="false">Motore_Operativo!CB259</f>
        <v>15669.979342723</v>
      </c>
      <c r="J259" s="15" t="n">
        <f aca="false">Motore_Operativo!CD259</f>
        <v>1150.72488262911</v>
      </c>
      <c r="K259" s="15" t="n">
        <f aca="false">Motore_Operativo!CF259</f>
        <v>416.666666666667</v>
      </c>
      <c r="L259" s="15" t="n">
        <f aca="false">SUM(INDEX($K$245:$K$304,MAX(1,15-Parametri_v3!$C$59+1)):K259)/Parametri_v3!$C$59</f>
        <v>118.055555555556</v>
      </c>
      <c r="M259" s="15" t="n">
        <f aca="false">J259-L259</f>
        <v>1032.66932707356</v>
      </c>
      <c r="N259" s="15" t="n">
        <f aca="false">0</f>
        <v>0</v>
      </c>
      <c r="O259" s="15" t="n">
        <f aca="false">0</f>
        <v>0</v>
      </c>
      <c r="P259" s="15" t="n">
        <f aca="false">M259+N259-O259</f>
        <v>1032.66932707356</v>
      </c>
      <c r="Q259" s="15" t="n">
        <f aca="false">SUM(P257:P259)+Parametri_v3!$C$56*3/12</f>
        <v>3132.73020344289</v>
      </c>
      <c r="R259" s="15" t="n">
        <f aca="false">Z256</f>
        <v>0</v>
      </c>
      <c r="S259" s="15" t="n">
        <f aca="false">AA256</f>
        <v>0</v>
      </c>
      <c r="T259" s="15" t="n">
        <f aca="false">MIN(R259,MAX(0,Q259))</f>
        <v>0</v>
      </c>
      <c r="U259" s="15" t="n">
        <f aca="false">MIN(S259,MAX(0,Q259-T259)*Parametri_v3!$C$42)</f>
        <v>0</v>
      </c>
      <c r="V259" s="15" t="n">
        <f aca="false">MAX(0,Q259-T259-U259)*Ipotesi!$C$92</f>
        <v>751.855248826293</v>
      </c>
      <c r="W259" s="15" t="n">
        <f aca="false">MAX(0,SUM(M257:M259)+Parametri_v3!$C$57*3/12)*Ipotesi!$C$93</f>
        <v>122.176477934273</v>
      </c>
      <c r="X259" s="15" t="n">
        <f aca="false">V259+W259-(V258+W258)</f>
        <v>288.114742253522</v>
      </c>
      <c r="Y259" s="15" t="n">
        <f aca="false">P259-X259</f>
        <v>744.554584820033</v>
      </c>
      <c r="Z259" s="15" t="n">
        <f aca="false">R259-T259+IF(AND(Parametri_v3!$C$40=1,D259-YEAR(Parametri_v3!$C$50)&lt;Parametri_v3!$C$41),MAX(0,-Q259),0)</f>
        <v>0</v>
      </c>
      <c r="AA259" s="15" t="n">
        <f aca="false">S259-U259+IF(AND(Parametri_v3!$C$40=1,D259-YEAR(Parametri_v3!$C$50)&lt;Parametri_v3!$C$41),0,MAX(0,-Q259))</f>
        <v>0</v>
      </c>
      <c r="AB259" s="15" t="n">
        <f aca="false">F259*(1+Parametri_v3!$C$26)</f>
        <v>20521.2591549296</v>
      </c>
      <c r="AC259" s="15" t="n">
        <f aca="false">(IF(15-(INT((Motore_Operativo!L259)/30))&lt;1,0,INDEX(Motore_Advisory!$AB$245:$AB$304,MAX(1,15-(INT((Motore_Operativo!L259)/30)))))*(1-(MOD((Motore_Operativo!L259),30)/30))+IF(15-(INT((Motore_Operativo!L259)/30))-1&lt;1,0,INDEX(Motore_Advisory!$AB$245:$AB$304,MAX(1,15-(INT((Motore_Operativo!L259)/30))-1)))*(MOD((Motore_Operativo!L259),30)/30))</f>
        <v>9789.53684210526</v>
      </c>
      <c r="AD259" s="15" t="n">
        <f aca="false">(AD258)+AB259-AC259</f>
        <v>71353.314306894</v>
      </c>
      <c r="AE259" s="15" t="n">
        <f aca="false">Motore_Operativo!BH259*(1+Parametri_v3!$C$26)</f>
        <v>2052.12591549296</v>
      </c>
      <c r="AF259" s="15" t="n">
        <f aca="false">(IF(15-(INT((Parametri_v3!$C$29)/30))&lt;1,0,INDEX(Motore_Operativo!$BH$245:$BH$304,MAX(1,15-(INT((Parametri_v3!$C$29)/30)))))*(1-(MOD((Parametri_v3!$C$29),30)/30))+IF(15-(INT((Parametri_v3!$C$29)/30))-1&lt;1,0,INDEX(Motore_Operativo!$BH$245:$BH$304,MAX(1,15-(INT((Parametri_v3!$C$29)/30))-1)))*(MOD((Parametri_v3!$C$29),30)/30))*(1+Parametri_v3!$C$26)</f>
        <v>2052.12591549296</v>
      </c>
      <c r="AG259" s="15" t="n">
        <f aca="false">(AG258)+AE259-AF259</f>
        <v>2052.12591549296</v>
      </c>
      <c r="AH259" s="15" t="n">
        <f aca="false">(Motore_Operativo!CK259)*(1+Parametri_v3!$C$28*Parametri_v3!$C$26)</f>
        <v>7637.71889014084</v>
      </c>
      <c r="AI259" s="15" t="n">
        <f aca="false">(IF(15-(INT((Ipotesi!$C$91)/30))&lt;1,0,INDEX(Motore_Advisory!$AH$245:$AH$304,MAX(1,15-(INT((Ipotesi!$C$91)/30)))))*(1-(MOD((Ipotesi!$C$91),30)/30))+IF(15-(INT((Ipotesi!$C$91)/30))-1&lt;1,0,INDEX(Motore_Advisory!$AH$245:$AH$304,MAX(1,15-(INT((Ipotesi!$C$91)/30))-1)))*(MOD((Ipotesi!$C$91),30)/30))</f>
        <v>7637.71889014084</v>
      </c>
      <c r="AJ259" s="15" t="n">
        <f aca="false">(AJ258)+AH259-AI259</f>
        <v>15275.4377802817</v>
      </c>
      <c r="AK259" s="15" t="n">
        <f aca="false">(F259- Motore_Operativo!BH259-(Motore_Operativo!CK259)*Parametri_v3!$C$28-Motore_Operativo!CF259)*Parametri_v3!$C$26</f>
        <v>2095.7728</v>
      </c>
      <c r="AL259" s="15" t="n">
        <f aca="false">MAX(0,(AM258))</f>
        <v>2095.7728</v>
      </c>
      <c r="AM259" s="15" t="n">
        <f aca="false">(AM258)+AK259-AL259</f>
        <v>2095.7728</v>
      </c>
      <c r="AN259" s="15" t="n">
        <f aca="false">SUM(X245:X256)</f>
        <v>1563.76024736842</v>
      </c>
      <c r="AO259" s="15" t="n">
        <f aca="false">SUM(AP245:AP256)</f>
        <v>0</v>
      </c>
      <c r="AP259" s="15" t="n">
        <f aca="false">MAX(0,AN259)*IF(3=Parametri_v3!$C$43,Parametri_v3!$C$45,IF(3=Parametri_v3!$C$44,1-Parametri_v3!$C$45,0))</f>
        <v>0</v>
      </c>
      <c r="AQ259" s="15" t="n">
        <f aca="false">MAX(0,AP259+IF(3=Parametri_v3!$C$43,MAX(0,AN259-AO259),0)-MAX(0,-(AR258)))</f>
        <v>0</v>
      </c>
      <c r="AR259" s="15" t="n">
        <f aca="false">(AR258)+X259-AQ259</f>
        <v>2437.79197412899</v>
      </c>
      <c r="AS259" s="15" t="n">
        <f aca="false">Motore_Operativo!AC259-AT259+AU259</f>
        <v>7118.5875</v>
      </c>
      <c r="AT259" s="15" t="n">
        <f aca="false">Motore_Operativo!CI259</f>
        <v>374.6625</v>
      </c>
      <c r="AU259" s="15" t="n">
        <f aca="false">MIN(MAX(0,(AV258)+AT259),Parametri_v3!$C$61/12)</f>
        <v>0</v>
      </c>
      <c r="AV259" s="15" t="n">
        <f aca="false">(AV258)+AT259-AU259</f>
        <v>2856.4875</v>
      </c>
      <c r="AW259" s="15" t="n">
        <f aca="false">IF(AND(Motore_Operativo!C259=Finanziamenti!$D$7,Finanziamenti!$F$7=1),Finanziamenti!$C$7,0)</f>
        <v>0</v>
      </c>
      <c r="AX259" s="15" t="n">
        <f aca="false">0</f>
        <v>0</v>
      </c>
      <c r="AY259" s="15" t="n">
        <f aca="false">IF(3=Parametri_v3!$C$33,IF(BV259&lt;MIN(12,$B259-1),0,MIN(MAX(0,SUM(Y245:Y256))*Ipotesi!$C$94,MAX(0,(BM256)-(BO258)-BP259),MAX(0,BD259-Parametri_v3!$C$31))),0)</f>
        <v>0</v>
      </c>
      <c r="AZ259" s="15" t="n">
        <f aca="false">0</f>
        <v>0</v>
      </c>
      <c r="BA259" s="15" t="n">
        <f aca="false">0</f>
        <v>0</v>
      </c>
      <c r="BB259" s="15" t="n">
        <f aca="false">0</f>
        <v>0</v>
      </c>
      <c r="BC259" s="15" t="n">
        <f aca="false">0</f>
        <v>0</v>
      </c>
      <c r="BD259" s="15" t="n">
        <f aca="false">(BH258)+AC259-AF259-AI259-AS259-K259*(1+Parametri_v3!$C$26)-AL259-AQ259-O259+AW259+AX259+AZ259+BA259-BB259</f>
        <v>-23724.7735579689</v>
      </c>
      <c r="BE259" s="15" t="n">
        <f aca="false">0</f>
        <v>0</v>
      </c>
      <c r="BF259" s="15" t="n">
        <f aca="false">0</f>
        <v>0</v>
      </c>
      <c r="BG259" s="15" t="n">
        <f aca="false">0</f>
        <v>0</v>
      </c>
      <c r="BH259" s="15" t="n">
        <f aca="false">BD259+BE259-BF259-AY259</f>
        <v>-23724.7735579689</v>
      </c>
      <c r="BI259" s="15" t="n">
        <f aca="false">MAX(0,Parametri_v3!$C$31-BH259)</f>
        <v>33724.7735579689</v>
      </c>
      <c r="BJ259" s="15" t="n">
        <f aca="false">(BJ258)+K259</f>
        <v>4250</v>
      </c>
      <c r="BK259" s="15" t="n">
        <f aca="false">(BK258)+L259</f>
        <v>861.111111111111</v>
      </c>
      <c r="BL259" s="15" t="n">
        <f aca="false">BJ259-BK259</f>
        <v>3388.88888888889</v>
      </c>
      <c r="BM259" s="15" t="n">
        <f aca="false">(BM258)+Y259</f>
        <v>6299.8136679104</v>
      </c>
      <c r="BN259" s="15" t="n">
        <f aca="false">(BN258)+AW259+AX259+AZ259</f>
        <v>20000</v>
      </c>
      <c r="BO259" s="15" t="n">
        <f aca="false">(BO258)+AY259</f>
        <v>0</v>
      </c>
      <c r="BP259" s="15" t="n">
        <f aca="false">MIN(Parametri_v3!$C$36*Parametri_v3!$C$35,(BP258)+IF(3=1,MAX(0,SUM(Y245:Y256))*Parametri_v3!$C$34,0))</f>
        <v>202.055759561404</v>
      </c>
      <c r="BQ259" s="15" t="n">
        <f aca="false">BN259+BM259-BO259</f>
        <v>26299.8136679104</v>
      </c>
      <c r="BR259" s="15" t="n">
        <f aca="false">BH259+AD259+BL259+MAX(0,-AM259)+MAX(0,-AR259)</f>
        <v>51017.429637814</v>
      </c>
      <c r="BS259" s="15" t="n">
        <f aca="false">AJ259+AV259+MAX(0,AM259)+MAX(0,AR259)+BC259+BG259+BQ259+AG259</f>
        <v>51017.429637814</v>
      </c>
      <c r="BT259" s="15" t="n">
        <f aca="false">BR259-BS259</f>
        <v>0</v>
      </c>
      <c r="BU259" s="15" t="n">
        <f aca="false">BH259-(BD259+BE259-BF259-AY259)</f>
        <v>0</v>
      </c>
      <c r="BV259" s="15" t="n">
        <f aca="false">IF(BH258&lt;Parametri_v3!$C$31,0,BV258+1)</f>
        <v>0</v>
      </c>
    </row>
    <row r="260" customFormat="false" ht="18" hidden="false" customHeight="true" outlineLevel="0" collapsed="false">
      <c r="A260" s="68" t="n">
        <f aca="false">5</f>
        <v>5</v>
      </c>
      <c r="B260" s="68" t="n">
        <f aca="false">16</f>
        <v>16</v>
      </c>
      <c r="C260" s="18" t="n">
        <f aca="false">Motore_Operativo!C260</f>
        <v>46844</v>
      </c>
      <c r="D260" s="68" t="n">
        <f aca="false">Motore_Operativo!D260</f>
        <v>2028</v>
      </c>
      <c r="E260" s="68" t="n">
        <f aca="false">Motore_Operativo!E260</f>
        <v>4</v>
      </c>
      <c r="F260" s="15" t="n">
        <f aca="false">Motore_Operativo!AM260</f>
        <v>16820.7042253521</v>
      </c>
      <c r="G260" s="15" t="n">
        <f aca="false">Motore_Operativo!BH260</f>
        <v>1682.07042253521</v>
      </c>
      <c r="H260" s="15" t="n">
        <f aca="false">Motore_Operativo!AM260</f>
        <v>16820.7042253521</v>
      </c>
      <c r="I260" s="15" t="n">
        <f aca="false">Motore_Operativo!CB260</f>
        <v>15669.979342723</v>
      </c>
      <c r="J260" s="15" t="n">
        <f aca="false">Motore_Operativo!CD260</f>
        <v>1150.72488262911</v>
      </c>
      <c r="K260" s="15" t="n">
        <f aca="false">Motore_Operativo!CF260</f>
        <v>416.666666666667</v>
      </c>
      <c r="L260" s="15" t="n">
        <f aca="false">SUM(INDEX($K$245:$K$304,MAX(1,16-Parametri_v3!$C$59+1)):K260)/Parametri_v3!$C$59</f>
        <v>129.62962962963</v>
      </c>
      <c r="M260" s="15" t="n">
        <f aca="false">J260-L260</f>
        <v>1021.09525299948</v>
      </c>
      <c r="N260" s="15" t="n">
        <f aca="false">0</f>
        <v>0</v>
      </c>
      <c r="O260" s="15" t="n">
        <f aca="false">0</f>
        <v>0</v>
      </c>
      <c r="P260" s="15" t="n">
        <f aca="false">M260+N260-O260</f>
        <v>1021.09525299948</v>
      </c>
      <c r="Q260" s="15" t="n">
        <f aca="false">SUM(P257:P260)+Parametri_v3!$C$56*4/12</f>
        <v>4153.82545644237</v>
      </c>
      <c r="R260" s="15" t="n">
        <f aca="false">Z256</f>
        <v>0</v>
      </c>
      <c r="S260" s="15" t="n">
        <f aca="false">AA256</f>
        <v>0</v>
      </c>
      <c r="T260" s="15" t="n">
        <f aca="false">MIN(R260,MAX(0,Q260))</f>
        <v>0</v>
      </c>
      <c r="U260" s="15" t="n">
        <f aca="false">MIN(S260,MAX(0,Q260-T260)*Parametri_v3!$C$42)</f>
        <v>0</v>
      </c>
      <c r="V260" s="15" t="n">
        <f aca="false">MAX(0,Q260-T260-U260)*Ipotesi!$C$92</f>
        <v>996.918109546169</v>
      </c>
      <c r="W260" s="15" t="n">
        <f aca="false">MAX(0,SUM(M257:M260)+Parametri_v3!$C$57*4/12)*Ipotesi!$C$93</f>
        <v>161.999192801252</v>
      </c>
      <c r="X260" s="15" t="n">
        <f aca="false">V260+W260-(V259+W259)</f>
        <v>284.885575586855</v>
      </c>
      <c r="Y260" s="15" t="n">
        <f aca="false">P260-X260</f>
        <v>736.209677412626</v>
      </c>
      <c r="Z260" s="15" t="n">
        <f aca="false">R260-T260+IF(AND(Parametri_v3!$C$40=1,D260-YEAR(Parametri_v3!$C$50)&lt;Parametri_v3!$C$41),MAX(0,-Q260),0)</f>
        <v>0</v>
      </c>
      <c r="AA260" s="15" t="n">
        <f aca="false">S260-U260+IF(AND(Parametri_v3!$C$40=1,D260-YEAR(Parametri_v3!$C$50)&lt;Parametri_v3!$C$41),0,MAX(0,-Q260))</f>
        <v>0</v>
      </c>
      <c r="AB260" s="15" t="n">
        <f aca="false">F260*(1+Parametri_v3!$C$26)</f>
        <v>20521.2591549296</v>
      </c>
      <c r="AC260" s="15" t="n">
        <f aca="false">(IF(16-(INT((Motore_Operativo!L260)/30))&lt;1,0,INDEX(Motore_Advisory!$AB$245:$AB$304,MAX(1,16-(INT((Motore_Operativo!L260)/30)))))*(1-(MOD((Motore_Operativo!L260),30)/30))+IF(16-(INT((Motore_Operativo!L260)/30))-1&lt;1,0,INDEX(Motore_Advisory!$AB$245:$AB$304,MAX(1,16-(INT((Motore_Operativo!L260)/30))-1)))*(MOD((Motore_Operativo!L260),30)/30))</f>
        <v>9789.53684210526</v>
      </c>
      <c r="AD260" s="15" t="n">
        <f aca="false">(AD259)+AB260-AC260</f>
        <v>82085.0366197183</v>
      </c>
      <c r="AE260" s="15" t="n">
        <f aca="false">Motore_Operativo!BH260*(1+Parametri_v3!$C$26)</f>
        <v>2052.12591549296</v>
      </c>
      <c r="AF260" s="15" t="n">
        <f aca="false">(IF(16-(INT((Parametri_v3!$C$29)/30))&lt;1,0,INDEX(Motore_Operativo!$BH$245:$BH$304,MAX(1,16-(INT((Parametri_v3!$C$29)/30)))))*(1-(MOD((Parametri_v3!$C$29),30)/30))+IF(16-(INT((Parametri_v3!$C$29)/30))-1&lt;1,0,INDEX(Motore_Operativo!$BH$245:$BH$304,MAX(1,16-(INT((Parametri_v3!$C$29)/30))-1)))*(MOD((Parametri_v3!$C$29),30)/30))*(1+Parametri_v3!$C$26)</f>
        <v>2052.12591549296</v>
      </c>
      <c r="AG260" s="15" t="n">
        <f aca="false">(AG259)+AE260-AF260</f>
        <v>2052.12591549296</v>
      </c>
      <c r="AH260" s="15" t="n">
        <f aca="false">(Motore_Operativo!CK260)*(1+Parametri_v3!$C$28*Parametri_v3!$C$26)</f>
        <v>7637.71889014084</v>
      </c>
      <c r="AI260" s="15" t="n">
        <f aca="false">(IF(16-(INT((Ipotesi!$C$91)/30))&lt;1,0,INDEX(Motore_Advisory!$AH$245:$AH$304,MAX(1,16-(INT((Ipotesi!$C$91)/30)))))*(1-(MOD((Ipotesi!$C$91),30)/30))+IF(16-(INT((Ipotesi!$C$91)/30))-1&lt;1,0,INDEX(Motore_Advisory!$AH$245:$AH$304,MAX(1,16-(INT((Ipotesi!$C$91)/30))-1)))*(MOD((Ipotesi!$C$91),30)/30))</f>
        <v>7637.71889014084</v>
      </c>
      <c r="AJ260" s="15" t="n">
        <f aca="false">(AJ259)+AH260-AI260</f>
        <v>15275.4377802817</v>
      </c>
      <c r="AK260" s="15" t="n">
        <f aca="false">(F260- Motore_Operativo!BH260-(Motore_Operativo!CK260)*Parametri_v3!$C$28-Motore_Operativo!CF260)*Parametri_v3!$C$26</f>
        <v>2095.7728</v>
      </c>
      <c r="AL260" s="15" t="n">
        <f aca="false">MAX(0,(AM259))</f>
        <v>2095.7728</v>
      </c>
      <c r="AM260" s="15" t="n">
        <f aca="false">(AM259)+AK260-AL260</f>
        <v>2095.7728</v>
      </c>
      <c r="AN260" s="15" t="n">
        <f aca="false">SUM(X245:X256)</f>
        <v>1563.76024736842</v>
      </c>
      <c r="AO260" s="15" t="n">
        <f aca="false">SUM(AP245:AP256)</f>
        <v>0</v>
      </c>
      <c r="AP260" s="15" t="n">
        <f aca="false">MAX(0,AN260)*IF(4=Parametri_v3!$C$43,Parametri_v3!$C$45,IF(4=Parametri_v3!$C$44,1-Parametri_v3!$C$45,0))</f>
        <v>0</v>
      </c>
      <c r="AQ260" s="15" t="n">
        <f aca="false">MAX(0,AP260+IF(4=Parametri_v3!$C$43,MAX(0,AN260-AO260),0)-MAX(0,-(AR259)))</f>
        <v>0</v>
      </c>
      <c r="AR260" s="15" t="n">
        <f aca="false">(AR259)+X260-AQ260</f>
        <v>2722.67754971584</v>
      </c>
      <c r="AS260" s="15" t="n">
        <f aca="false">Motore_Operativo!AC260-AT260+AU260</f>
        <v>7118.5875</v>
      </c>
      <c r="AT260" s="15" t="n">
        <f aca="false">Motore_Operativo!CI260</f>
        <v>374.6625</v>
      </c>
      <c r="AU260" s="15" t="n">
        <f aca="false">MIN(MAX(0,(AV259)+AT260),Parametri_v3!$C$61/12)</f>
        <v>0</v>
      </c>
      <c r="AV260" s="15" t="n">
        <f aca="false">(AV259)+AT260-AU260</f>
        <v>3231.15</v>
      </c>
      <c r="AW260" s="15" t="n">
        <f aca="false">IF(AND(Motore_Operativo!C260=Finanziamenti!$D$7,Finanziamenti!$F$7=1),Finanziamenti!$C$7,0)</f>
        <v>0</v>
      </c>
      <c r="AX260" s="15" t="n">
        <f aca="false">0</f>
        <v>0</v>
      </c>
      <c r="AY260" s="15" t="n">
        <f aca="false">IF(4=Parametri_v3!$C$33,IF(BV260&lt;MIN(12,$B260-1),0,MIN(MAX(0,SUM(Y245:Y256))*Ipotesi!$C$94,MAX(0,(BM256)-(BO259)-BP260),MAX(0,BD260-Parametri_v3!$C$31))),0)</f>
        <v>0</v>
      </c>
      <c r="AZ260" s="15" t="n">
        <f aca="false">0</f>
        <v>0</v>
      </c>
      <c r="BA260" s="15" t="n">
        <f aca="false">0</f>
        <v>0</v>
      </c>
      <c r="BB260" s="15" t="n">
        <f aca="false">0</f>
        <v>0</v>
      </c>
      <c r="BC260" s="15" t="n">
        <f aca="false">0</f>
        <v>0</v>
      </c>
      <c r="BD260" s="15" t="n">
        <f aca="false">(BH259)+AC260-AF260-AI260-AS260-K260*(1+Parametri_v3!$C$26)-AL260-AQ260-O260+AW260+AX260+AZ260+BA260-BB260</f>
        <v>-33347.7751548307</v>
      </c>
      <c r="BE260" s="15" t="n">
        <f aca="false">0</f>
        <v>0</v>
      </c>
      <c r="BF260" s="15" t="n">
        <f aca="false">0</f>
        <v>0</v>
      </c>
      <c r="BG260" s="15" t="n">
        <f aca="false">0</f>
        <v>0</v>
      </c>
      <c r="BH260" s="15" t="n">
        <f aca="false">BD260+BE260-BF260-AY260</f>
        <v>-33347.7751548307</v>
      </c>
      <c r="BI260" s="15" t="n">
        <f aca="false">MAX(0,Parametri_v3!$C$31-BH260)</f>
        <v>43347.7751548307</v>
      </c>
      <c r="BJ260" s="15" t="n">
        <f aca="false">(BJ259)+K260</f>
        <v>4666.66666666667</v>
      </c>
      <c r="BK260" s="15" t="n">
        <f aca="false">(BK259)+L260</f>
        <v>990.740740740741</v>
      </c>
      <c r="BL260" s="15" t="n">
        <f aca="false">BJ260-BK260</f>
        <v>3675.92592592593</v>
      </c>
      <c r="BM260" s="15" t="n">
        <f aca="false">(BM259)+Y260</f>
        <v>7036.02334532302</v>
      </c>
      <c r="BN260" s="15" t="n">
        <f aca="false">(BN259)+AW260+AX260+AZ260</f>
        <v>20000</v>
      </c>
      <c r="BO260" s="15" t="n">
        <f aca="false">(BO259)+AY260</f>
        <v>0</v>
      </c>
      <c r="BP260" s="15" t="n">
        <f aca="false">MIN(Parametri_v3!$C$36*Parametri_v3!$C$35,(BP259)+IF(4=1,MAX(0,SUM(Y245:Y256))*Parametri_v3!$C$34,0))</f>
        <v>202.055759561404</v>
      </c>
      <c r="BQ260" s="15" t="n">
        <f aca="false">BN260+BM260-BO260</f>
        <v>27036.023345323</v>
      </c>
      <c r="BR260" s="15" t="n">
        <f aca="false">BH260+AD260+BL260+MAX(0,-AM260)+MAX(0,-AR260)</f>
        <v>52413.1873908135</v>
      </c>
      <c r="BS260" s="15" t="n">
        <f aca="false">AJ260+AV260+MAX(0,AM260)+MAX(0,AR260)+BC260+BG260+BQ260+AG260</f>
        <v>52413.1873908135</v>
      </c>
      <c r="BT260" s="15" t="n">
        <f aca="false">BR260-BS260</f>
        <v>0</v>
      </c>
      <c r="BU260" s="15" t="n">
        <f aca="false">BH260-(BD260+BE260-BF260-AY260)</f>
        <v>0</v>
      </c>
      <c r="BV260" s="15" t="n">
        <f aca="false">IF(BH259&lt;Parametri_v3!$C$31,0,BV259+1)</f>
        <v>0</v>
      </c>
    </row>
    <row r="261" customFormat="false" ht="18" hidden="false" customHeight="true" outlineLevel="0" collapsed="false">
      <c r="A261" s="68" t="n">
        <f aca="false">5</f>
        <v>5</v>
      </c>
      <c r="B261" s="68" t="n">
        <f aca="false">17</f>
        <v>17</v>
      </c>
      <c r="C261" s="18" t="n">
        <f aca="false">Motore_Operativo!C261</f>
        <v>46874</v>
      </c>
      <c r="D261" s="68" t="n">
        <f aca="false">Motore_Operativo!D261</f>
        <v>2028</v>
      </c>
      <c r="E261" s="68" t="n">
        <f aca="false">Motore_Operativo!E261</f>
        <v>5</v>
      </c>
      <c r="F261" s="15" t="n">
        <f aca="false">Motore_Operativo!AM261</f>
        <v>16820.7042253521</v>
      </c>
      <c r="G261" s="15" t="n">
        <f aca="false">Motore_Operativo!BH261</f>
        <v>1682.07042253521</v>
      </c>
      <c r="H261" s="15" t="n">
        <f aca="false">Motore_Operativo!AM261</f>
        <v>16820.7042253521</v>
      </c>
      <c r="I261" s="15" t="n">
        <f aca="false">Motore_Operativo!CB261</f>
        <v>15669.979342723</v>
      </c>
      <c r="J261" s="15" t="n">
        <f aca="false">Motore_Operativo!CD261</f>
        <v>1150.72488262911</v>
      </c>
      <c r="K261" s="15" t="n">
        <f aca="false">Motore_Operativo!CF261</f>
        <v>416.666666666667</v>
      </c>
      <c r="L261" s="15" t="n">
        <f aca="false">SUM(INDEX($K$245:$K$304,MAX(1,17-Parametri_v3!$C$59+1)):K261)/Parametri_v3!$C$59</f>
        <v>141.203703703704</v>
      </c>
      <c r="M261" s="15" t="n">
        <f aca="false">J261-L261</f>
        <v>1009.52117892541</v>
      </c>
      <c r="N261" s="15" t="n">
        <f aca="false">0</f>
        <v>0</v>
      </c>
      <c r="O261" s="15" t="n">
        <f aca="false">0</f>
        <v>0</v>
      </c>
      <c r="P261" s="15" t="n">
        <f aca="false">M261+N261-O261</f>
        <v>1009.52117892541</v>
      </c>
      <c r="Q261" s="15" t="n">
        <f aca="false">SUM(P257:P261)+Parametri_v3!$C$56*5/12</f>
        <v>5163.34663536778</v>
      </c>
      <c r="R261" s="15" t="n">
        <f aca="false">Z256</f>
        <v>0</v>
      </c>
      <c r="S261" s="15" t="n">
        <f aca="false">AA256</f>
        <v>0</v>
      </c>
      <c r="T261" s="15" t="n">
        <f aca="false">MIN(R261,MAX(0,Q261))</f>
        <v>0</v>
      </c>
      <c r="U261" s="15" t="n">
        <f aca="false">MIN(S261,MAX(0,Q261-T261)*Parametri_v3!$C$42)</f>
        <v>0</v>
      </c>
      <c r="V261" s="15" t="n">
        <f aca="false">MAX(0,Q261-T261-U261)*Ipotesi!$C$92</f>
        <v>1239.20319248827</v>
      </c>
      <c r="W261" s="15" t="n">
        <f aca="false">MAX(0,SUM(M257:M261)+Parametri_v3!$C$57*5/12)*Ipotesi!$C$93</f>
        <v>201.370518779343</v>
      </c>
      <c r="X261" s="15" t="n">
        <f aca="false">V261+W261-(V260+W260)</f>
        <v>281.656408920189</v>
      </c>
      <c r="Y261" s="15" t="n">
        <f aca="false">P261-X261</f>
        <v>727.864770005218</v>
      </c>
      <c r="Z261" s="15" t="n">
        <f aca="false">R261-T261+IF(AND(Parametri_v3!$C$40=1,D261-YEAR(Parametri_v3!$C$50)&lt;Parametri_v3!$C$41),MAX(0,-Q261),0)</f>
        <v>0</v>
      </c>
      <c r="AA261" s="15" t="n">
        <f aca="false">S261-U261+IF(AND(Parametri_v3!$C$40=1,D261-YEAR(Parametri_v3!$C$50)&lt;Parametri_v3!$C$41),0,MAX(0,-Q261))</f>
        <v>0</v>
      </c>
      <c r="AB261" s="15" t="n">
        <f aca="false">F261*(1+Parametri_v3!$C$26)</f>
        <v>20521.2591549296</v>
      </c>
      <c r="AC261" s="15" t="n">
        <f aca="false">(IF(17-(INT((Motore_Operativo!L261)/30))&lt;1,0,INDEX(Motore_Advisory!$AB$245:$AB$304,MAX(1,17-(INT((Motore_Operativo!L261)/30)))))*(1-(MOD((Motore_Operativo!L261),30)/30))+IF(17-(INT((Motore_Operativo!L261)/30))-1&lt;1,0,INDEX(Motore_Advisory!$AB$245:$AB$304,MAX(1,17-(INT((Motore_Operativo!L261)/30))-1)))*(MOD((Motore_Operativo!L261),30)/30))</f>
        <v>20521.2591549296</v>
      </c>
      <c r="AD261" s="15" t="n">
        <f aca="false">(AD260)+AB261-AC261</f>
        <v>82085.0366197183</v>
      </c>
      <c r="AE261" s="15" t="n">
        <f aca="false">Motore_Operativo!BH261*(1+Parametri_v3!$C$26)</f>
        <v>2052.12591549296</v>
      </c>
      <c r="AF261" s="15" t="n">
        <f aca="false">(IF(17-(INT((Parametri_v3!$C$29)/30))&lt;1,0,INDEX(Motore_Operativo!$BH$245:$BH$304,MAX(1,17-(INT((Parametri_v3!$C$29)/30)))))*(1-(MOD((Parametri_v3!$C$29),30)/30))+IF(17-(INT((Parametri_v3!$C$29)/30))-1&lt;1,0,INDEX(Motore_Operativo!$BH$245:$BH$304,MAX(1,17-(INT((Parametri_v3!$C$29)/30))-1)))*(MOD((Parametri_v3!$C$29),30)/30))*(1+Parametri_v3!$C$26)</f>
        <v>2052.12591549296</v>
      </c>
      <c r="AG261" s="15" t="n">
        <f aca="false">(AG260)+AE261-AF261</f>
        <v>2052.12591549296</v>
      </c>
      <c r="AH261" s="15" t="n">
        <f aca="false">(Motore_Operativo!CK261)*(1+Parametri_v3!$C$28*Parametri_v3!$C$26)</f>
        <v>7637.71889014084</v>
      </c>
      <c r="AI261" s="15" t="n">
        <f aca="false">(IF(17-(INT((Ipotesi!$C$91)/30))&lt;1,0,INDEX(Motore_Advisory!$AH$245:$AH$304,MAX(1,17-(INT((Ipotesi!$C$91)/30)))))*(1-(MOD((Ipotesi!$C$91),30)/30))+IF(17-(INT((Ipotesi!$C$91)/30))-1&lt;1,0,INDEX(Motore_Advisory!$AH$245:$AH$304,MAX(1,17-(INT((Ipotesi!$C$91)/30))-1)))*(MOD((Ipotesi!$C$91),30)/30))</f>
        <v>7637.71889014084</v>
      </c>
      <c r="AJ261" s="15" t="n">
        <f aca="false">(AJ260)+AH261-AI261</f>
        <v>15275.4377802817</v>
      </c>
      <c r="AK261" s="15" t="n">
        <f aca="false">(F261- Motore_Operativo!BH261-(Motore_Operativo!CK261)*Parametri_v3!$C$28-Motore_Operativo!CF261)*Parametri_v3!$C$26</f>
        <v>2095.7728</v>
      </c>
      <c r="AL261" s="15" t="n">
        <f aca="false">MAX(0,(AM260))</f>
        <v>2095.7728</v>
      </c>
      <c r="AM261" s="15" t="n">
        <f aca="false">(AM260)+AK261-AL261</f>
        <v>2095.7728</v>
      </c>
      <c r="AN261" s="15" t="n">
        <f aca="false">SUM(X245:X256)</f>
        <v>1563.76024736842</v>
      </c>
      <c r="AO261" s="15" t="n">
        <f aca="false">SUM(AP245:AP256)</f>
        <v>0</v>
      </c>
      <c r="AP261" s="15" t="n">
        <f aca="false">MAX(0,AN261)*IF(5=Parametri_v3!$C$43,Parametri_v3!$C$45,IF(5=Parametri_v3!$C$44,1-Parametri_v3!$C$45,0))</f>
        <v>0</v>
      </c>
      <c r="AQ261" s="15" t="n">
        <f aca="false">MAX(0,AP261+IF(5=Parametri_v3!$C$43,MAX(0,AN261-AO261),0)-MAX(0,-(AR260)))</f>
        <v>0</v>
      </c>
      <c r="AR261" s="15" t="n">
        <f aca="false">(AR260)+X261-AQ261</f>
        <v>3004.33395863603</v>
      </c>
      <c r="AS261" s="15" t="n">
        <f aca="false">Motore_Operativo!AC261-AT261+AU261</f>
        <v>7118.5875</v>
      </c>
      <c r="AT261" s="15" t="n">
        <f aca="false">Motore_Operativo!CI261</f>
        <v>374.6625</v>
      </c>
      <c r="AU261" s="15" t="n">
        <f aca="false">MIN(MAX(0,(AV260)+AT261),Parametri_v3!$C$61/12)</f>
        <v>0</v>
      </c>
      <c r="AV261" s="15" t="n">
        <f aca="false">(AV260)+AT261-AU261</f>
        <v>3605.8125</v>
      </c>
      <c r="AW261" s="15" t="n">
        <f aca="false">IF(AND(Motore_Operativo!C261=Finanziamenti!$D$7,Finanziamenti!$F$7=1),Finanziamenti!$C$7,0)</f>
        <v>0</v>
      </c>
      <c r="AX261" s="15" t="n">
        <f aca="false">0</f>
        <v>0</v>
      </c>
      <c r="AY261" s="15" t="n">
        <f aca="false">IF(5=Parametri_v3!$C$33,IF(BV261&lt;MIN(12,$B261-1),0,MIN(MAX(0,SUM(Y245:Y256))*Ipotesi!$C$94,MAX(0,(BM256)-(BO260)-BP261),MAX(0,BD261-Parametri_v3!$C$31))),0)</f>
        <v>0</v>
      </c>
      <c r="AZ261" s="15" t="n">
        <f aca="false">0</f>
        <v>0</v>
      </c>
      <c r="BA261" s="15" t="n">
        <f aca="false">0</f>
        <v>0</v>
      </c>
      <c r="BB261" s="15" t="n">
        <f aca="false">0</f>
        <v>0</v>
      </c>
      <c r="BC261" s="15" t="n">
        <f aca="false">0</f>
        <v>0</v>
      </c>
      <c r="BD261" s="15" t="n">
        <f aca="false">(BH260)+AC261-AF261-AI261-AS261-K261*(1+Parametri_v3!$C$26)-AL261-AQ261-O261+AW261+AX261+AZ261+BA261-BB261</f>
        <v>-32239.0544388683</v>
      </c>
      <c r="BE261" s="15" t="n">
        <f aca="false">0</f>
        <v>0</v>
      </c>
      <c r="BF261" s="15" t="n">
        <f aca="false">0</f>
        <v>0</v>
      </c>
      <c r="BG261" s="15" t="n">
        <f aca="false">0</f>
        <v>0</v>
      </c>
      <c r="BH261" s="15" t="n">
        <f aca="false">BD261+BE261-BF261-AY261</f>
        <v>-32239.0544388683</v>
      </c>
      <c r="BI261" s="15" t="n">
        <f aca="false">MAX(0,Parametri_v3!$C$31-BH261)</f>
        <v>42239.0544388683</v>
      </c>
      <c r="BJ261" s="15" t="n">
        <f aca="false">(BJ260)+K261</f>
        <v>5083.33333333333</v>
      </c>
      <c r="BK261" s="15" t="n">
        <f aca="false">(BK260)+L261</f>
        <v>1131.94444444444</v>
      </c>
      <c r="BL261" s="15" t="n">
        <f aca="false">BJ261-BK261</f>
        <v>3951.38888888889</v>
      </c>
      <c r="BM261" s="15" t="n">
        <f aca="false">(BM260)+Y261</f>
        <v>7763.88811532824</v>
      </c>
      <c r="BN261" s="15" t="n">
        <f aca="false">(BN260)+AW261+AX261+AZ261</f>
        <v>20000</v>
      </c>
      <c r="BO261" s="15" t="n">
        <f aca="false">(BO260)+AY261</f>
        <v>0</v>
      </c>
      <c r="BP261" s="15" t="n">
        <f aca="false">MIN(Parametri_v3!$C$36*Parametri_v3!$C$35,(BP260)+IF(5=1,MAX(0,SUM(Y245:Y256))*Parametri_v3!$C$34,0))</f>
        <v>202.055759561404</v>
      </c>
      <c r="BQ261" s="15" t="n">
        <f aca="false">BN261+BM261-BO261</f>
        <v>27763.8881153282</v>
      </c>
      <c r="BR261" s="15" t="n">
        <f aca="false">BH261+AD261+BL261+MAX(0,-AM261)+MAX(0,-AR261)</f>
        <v>53797.3710697389</v>
      </c>
      <c r="BS261" s="15" t="n">
        <f aca="false">AJ261+AV261+MAX(0,AM261)+MAX(0,AR261)+BC261+BG261+BQ261+AG261</f>
        <v>53797.3710697389</v>
      </c>
      <c r="BT261" s="15" t="n">
        <f aca="false">BR261-BS261</f>
        <v>0</v>
      </c>
      <c r="BU261" s="15" t="n">
        <f aca="false">BH261-(BD261+BE261-BF261-AY261)</f>
        <v>0</v>
      </c>
      <c r="BV261" s="15" t="n">
        <f aca="false">IF(BH260&lt;Parametri_v3!$C$31,0,BV260+1)</f>
        <v>0</v>
      </c>
    </row>
    <row r="262" customFormat="false" ht="18" hidden="false" customHeight="true" outlineLevel="0" collapsed="false">
      <c r="A262" s="68" t="n">
        <f aca="false">5</f>
        <v>5</v>
      </c>
      <c r="B262" s="68" t="n">
        <f aca="false">18</f>
        <v>18</v>
      </c>
      <c r="C262" s="18" t="n">
        <f aca="false">Motore_Operativo!C262</f>
        <v>46905</v>
      </c>
      <c r="D262" s="68" t="n">
        <f aca="false">Motore_Operativo!D262</f>
        <v>2028</v>
      </c>
      <c r="E262" s="68" t="n">
        <f aca="false">Motore_Operativo!E262</f>
        <v>6</v>
      </c>
      <c r="F262" s="15" t="n">
        <f aca="false">Motore_Operativo!AM262</f>
        <v>16820.7042253521</v>
      </c>
      <c r="G262" s="15" t="n">
        <f aca="false">Motore_Operativo!BH262</f>
        <v>1682.07042253521</v>
      </c>
      <c r="H262" s="15" t="n">
        <f aca="false">Motore_Operativo!AM262</f>
        <v>16820.7042253521</v>
      </c>
      <c r="I262" s="15" t="n">
        <f aca="false">Motore_Operativo!CB262</f>
        <v>15669.979342723</v>
      </c>
      <c r="J262" s="15" t="n">
        <f aca="false">Motore_Operativo!CD262</f>
        <v>1150.72488262911</v>
      </c>
      <c r="K262" s="15" t="n">
        <f aca="false">Motore_Operativo!CF262</f>
        <v>416.666666666667</v>
      </c>
      <c r="L262" s="15" t="n">
        <f aca="false">SUM(INDEX($K$245:$K$304,MAX(1,18-Parametri_v3!$C$59+1)):K262)/Parametri_v3!$C$59</f>
        <v>152.777777777778</v>
      </c>
      <c r="M262" s="15" t="n">
        <f aca="false">J262-L262</f>
        <v>997.947104851333</v>
      </c>
      <c r="N262" s="15" t="n">
        <f aca="false">0</f>
        <v>0</v>
      </c>
      <c r="O262" s="15" t="n">
        <f aca="false">0</f>
        <v>0</v>
      </c>
      <c r="P262" s="15" t="n">
        <f aca="false">M262+N262-O262</f>
        <v>997.947104851333</v>
      </c>
      <c r="Q262" s="15" t="n">
        <f aca="false">SUM(P257:P262)+Parametri_v3!$C$56*6/12</f>
        <v>6161.29374021911</v>
      </c>
      <c r="R262" s="15" t="n">
        <f aca="false">Z256</f>
        <v>0</v>
      </c>
      <c r="S262" s="15" t="n">
        <f aca="false">AA256</f>
        <v>0</v>
      </c>
      <c r="T262" s="15" t="n">
        <f aca="false">MIN(R262,MAX(0,Q262))</f>
        <v>0</v>
      </c>
      <c r="U262" s="15" t="n">
        <f aca="false">MIN(S262,MAX(0,Q262-T262)*Parametri_v3!$C$42)</f>
        <v>0</v>
      </c>
      <c r="V262" s="15" t="n">
        <f aca="false">MAX(0,Q262-T262-U262)*Ipotesi!$C$92</f>
        <v>1478.71049765259</v>
      </c>
      <c r="W262" s="15" t="n">
        <f aca="false">MAX(0,SUM(M257:M262)+Parametri_v3!$C$57*6/12)*Ipotesi!$C$93</f>
        <v>240.290455868545</v>
      </c>
      <c r="X262" s="15" t="n">
        <f aca="false">V262+W262-(V261+W261)</f>
        <v>278.427242253521</v>
      </c>
      <c r="Y262" s="15" t="n">
        <f aca="false">P262-X262</f>
        <v>719.519862597811</v>
      </c>
      <c r="Z262" s="15" t="n">
        <f aca="false">R262-T262+IF(AND(Parametri_v3!$C$40=1,D262-YEAR(Parametri_v3!$C$50)&lt;Parametri_v3!$C$41),MAX(0,-Q262),0)</f>
        <v>0</v>
      </c>
      <c r="AA262" s="15" t="n">
        <f aca="false">S262-U262+IF(AND(Parametri_v3!$C$40=1,D262-YEAR(Parametri_v3!$C$50)&lt;Parametri_v3!$C$41),0,MAX(0,-Q262))</f>
        <v>0</v>
      </c>
      <c r="AB262" s="15" t="n">
        <f aca="false">F262*(1+Parametri_v3!$C$26)</f>
        <v>20521.2591549296</v>
      </c>
      <c r="AC262" s="15" t="n">
        <f aca="false">(IF(18-(INT((Motore_Operativo!L262)/30))&lt;1,0,INDEX(Motore_Advisory!$AB$245:$AB$304,MAX(1,18-(INT((Motore_Operativo!L262)/30)))))*(1-(MOD((Motore_Operativo!L262),30)/30))+IF(18-(INT((Motore_Operativo!L262)/30))-1&lt;1,0,INDEX(Motore_Advisory!$AB$245:$AB$304,MAX(1,18-(INT((Motore_Operativo!L262)/30))-1)))*(MOD((Motore_Operativo!L262),30)/30))</f>
        <v>20521.2591549296</v>
      </c>
      <c r="AD262" s="15" t="n">
        <f aca="false">(AD261)+AB262-AC262</f>
        <v>82085.0366197183</v>
      </c>
      <c r="AE262" s="15" t="n">
        <f aca="false">Motore_Operativo!BH262*(1+Parametri_v3!$C$26)</f>
        <v>2052.12591549296</v>
      </c>
      <c r="AF262" s="15" t="n">
        <f aca="false">(IF(18-(INT((Parametri_v3!$C$29)/30))&lt;1,0,INDEX(Motore_Operativo!$BH$245:$BH$304,MAX(1,18-(INT((Parametri_v3!$C$29)/30)))))*(1-(MOD((Parametri_v3!$C$29),30)/30))+IF(18-(INT((Parametri_v3!$C$29)/30))-1&lt;1,0,INDEX(Motore_Operativo!$BH$245:$BH$304,MAX(1,18-(INT((Parametri_v3!$C$29)/30))-1)))*(MOD((Parametri_v3!$C$29),30)/30))*(1+Parametri_v3!$C$26)</f>
        <v>2052.12591549296</v>
      </c>
      <c r="AG262" s="15" t="n">
        <f aca="false">(AG261)+AE262-AF262</f>
        <v>2052.12591549296</v>
      </c>
      <c r="AH262" s="15" t="n">
        <f aca="false">(Motore_Operativo!CK262)*(1+Parametri_v3!$C$28*Parametri_v3!$C$26)</f>
        <v>7637.71889014084</v>
      </c>
      <c r="AI262" s="15" t="n">
        <f aca="false">(IF(18-(INT((Ipotesi!$C$91)/30))&lt;1,0,INDEX(Motore_Advisory!$AH$245:$AH$304,MAX(1,18-(INT((Ipotesi!$C$91)/30)))))*(1-(MOD((Ipotesi!$C$91),30)/30))+IF(18-(INT((Ipotesi!$C$91)/30))-1&lt;1,0,INDEX(Motore_Advisory!$AH$245:$AH$304,MAX(1,18-(INT((Ipotesi!$C$91)/30))-1)))*(MOD((Ipotesi!$C$91),30)/30))</f>
        <v>7637.71889014084</v>
      </c>
      <c r="AJ262" s="15" t="n">
        <f aca="false">(AJ261)+AH262-AI262</f>
        <v>15275.4377802817</v>
      </c>
      <c r="AK262" s="15" t="n">
        <f aca="false">(F262- Motore_Operativo!BH262-(Motore_Operativo!CK262)*Parametri_v3!$C$28-Motore_Operativo!CF262)*Parametri_v3!$C$26</f>
        <v>2095.7728</v>
      </c>
      <c r="AL262" s="15" t="n">
        <f aca="false">MAX(0,(AM261))</f>
        <v>2095.7728</v>
      </c>
      <c r="AM262" s="15" t="n">
        <f aca="false">(AM261)+AK262-AL262</f>
        <v>2095.7728</v>
      </c>
      <c r="AN262" s="15" t="n">
        <f aca="false">SUM(X245:X256)</f>
        <v>1563.76024736842</v>
      </c>
      <c r="AO262" s="15" t="n">
        <f aca="false">SUM(AP245:AP256)</f>
        <v>0</v>
      </c>
      <c r="AP262" s="15" t="n">
        <f aca="false">MAX(0,AN262)*IF(6=Parametri_v3!$C$43,Parametri_v3!$C$45,IF(6=Parametri_v3!$C$44,1-Parametri_v3!$C$45,0))</f>
        <v>625.504098947369</v>
      </c>
      <c r="AQ262" s="15" t="n">
        <f aca="false">MAX(0,AP262+IF(6=Parametri_v3!$C$43,MAX(0,AN262-AO262),0)-MAX(0,-(AR261)))</f>
        <v>2189.26434631579</v>
      </c>
      <c r="AR262" s="15" t="n">
        <f aca="false">(AR261)+X262-AQ262</f>
        <v>1093.49685457376</v>
      </c>
      <c r="AS262" s="15" t="n">
        <f aca="false">Motore_Operativo!AC262-AT262+AU262</f>
        <v>7118.5875</v>
      </c>
      <c r="AT262" s="15" t="n">
        <f aca="false">Motore_Operativo!CI262</f>
        <v>374.6625</v>
      </c>
      <c r="AU262" s="15" t="n">
        <f aca="false">MIN(MAX(0,(AV261)+AT262),Parametri_v3!$C$61/12)</f>
        <v>0</v>
      </c>
      <c r="AV262" s="15" t="n">
        <f aca="false">(AV261)+AT262-AU262</f>
        <v>3980.475</v>
      </c>
      <c r="AW262" s="15" t="n">
        <f aca="false">IF(AND(Motore_Operativo!C262=Finanziamenti!$D$7,Finanziamenti!$F$7=1),Finanziamenti!$C$7,0)</f>
        <v>0</v>
      </c>
      <c r="AX262" s="15" t="n">
        <f aca="false">0</f>
        <v>0</v>
      </c>
      <c r="AY262" s="15" t="n">
        <f aca="false">IF(6=Parametri_v3!$C$33,IF(BV262&lt;MIN(12,$B262-1),0,MIN(MAX(0,SUM(Y245:Y256))*Ipotesi!$C$94,MAX(0,(BM256)-(BO261)-BP262),MAX(0,BD262-Parametri_v3!$C$31))),0)</f>
        <v>0</v>
      </c>
      <c r="AZ262" s="15" t="n">
        <f aca="false">0</f>
        <v>0</v>
      </c>
      <c r="BA262" s="15" t="n">
        <f aca="false">0</f>
        <v>0</v>
      </c>
      <c r="BB262" s="15" t="n">
        <f aca="false">0</f>
        <v>0</v>
      </c>
      <c r="BC262" s="15" t="n">
        <f aca="false">0</f>
        <v>0</v>
      </c>
      <c r="BD262" s="15" t="n">
        <f aca="false">(BH261)+AC262-AF262-AI262-AS262-K262*(1+Parametri_v3!$C$26)-AL262-AQ262-O262+AW262+AX262+AZ262+BA262-BB262</f>
        <v>-33319.5980692216</v>
      </c>
      <c r="BE262" s="15" t="n">
        <f aca="false">0</f>
        <v>0</v>
      </c>
      <c r="BF262" s="15" t="n">
        <f aca="false">0</f>
        <v>0</v>
      </c>
      <c r="BG262" s="15" t="n">
        <f aca="false">0</f>
        <v>0</v>
      </c>
      <c r="BH262" s="15" t="n">
        <f aca="false">BD262+BE262-BF262-AY262</f>
        <v>-33319.5980692216</v>
      </c>
      <c r="BI262" s="15" t="n">
        <f aca="false">MAX(0,Parametri_v3!$C$31-BH262)</f>
        <v>43319.5980692216</v>
      </c>
      <c r="BJ262" s="15" t="n">
        <f aca="false">(BJ261)+K262</f>
        <v>5500</v>
      </c>
      <c r="BK262" s="15" t="n">
        <f aca="false">(BK261)+L262</f>
        <v>1284.72222222222</v>
      </c>
      <c r="BL262" s="15" t="n">
        <f aca="false">BJ262-BK262</f>
        <v>4215.27777777778</v>
      </c>
      <c r="BM262" s="15" t="n">
        <f aca="false">(BM261)+Y262</f>
        <v>8483.40797792605</v>
      </c>
      <c r="BN262" s="15" t="n">
        <f aca="false">(BN261)+AW262+AX262+AZ262</f>
        <v>20000</v>
      </c>
      <c r="BO262" s="15" t="n">
        <f aca="false">(BO261)+AY262</f>
        <v>0</v>
      </c>
      <c r="BP262" s="15" t="n">
        <f aca="false">MIN(Parametri_v3!$C$36*Parametri_v3!$C$35,(BP261)+IF(6=1,MAX(0,SUM(Y245:Y256))*Parametri_v3!$C$34,0))</f>
        <v>202.055759561404</v>
      </c>
      <c r="BQ262" s="15" t="n">
        <f aca="false">BN262+BM262-BO262</f>
        <v>28483.4079779261</v>
      </c>
      <c r="BR262" s="15" t="n">
        <f aca="false">BH262+AD262+BL262+MAX(0,-AM262)+MAX(0,-AR262)</f>
        <v>52980.7163282745</v>
      </c>
      <c r="BS262" s="15" t="n">
        <f aca="false">AJ262+AV262+MAX(0,AM262)+MAX(0,AR262)+BC262+BG262+BQ262+AG262</f>
        <v>52980.7163282745</v>
      </c>
      <c r="BT262" s="15" t="n">
        <f aca="false">BR262-BS262</f>
        <v>0</v>
      </c>
      <c r="BU262" s="15" t="n">
        <f aca="false">BH262-(BD262+BE262-BF262-AY262)</f>
        <v>0</v>
      </c>
      <c r="BV262" s="15" t="n">
        <f aca="false">IF(BH261&lt;Parametri_v3!$C$31,0,BV261+1)</f>
        <v>0</v>
      </c>
    </row>
    <row r="263" customFormat="false" ht="18" hidden="false" customHeight="true" outlineLevel="0" collapsed="false">
      <c r="A263" s="68" t="n">
        <f aca="false">5</f>
        <v>5</v>
      </c>
      <c r="B263" s="68" t="n">
        <f aca="false">19</f>
        <v>19</v>
      </c>
      <c r="C263" s="18" t="n">
        <f aca="false">Motore_Operativo!C263</f>
        <v>46935</v>
      </c>
      <c r="D263" s="68" t="n">
        <f aca="false">Motore_Operativo!D263</f>
        <v>2028</v>
      </c>
      <c r="E263" s="68" t="n">
        <f aca="false">Motore_Operativo!E263</f>
        <v>7</v>
      </c>
      <c r="F263" s="15" t="n">
        <f aca="false">Motore_Operativo!AM263</f>
        <v>16820.7042253521</v>
      </c>
      <c r="G263" s="15" t="n">
        <f aca="false">Motore_Operativo!BH263</f>
        <v>1682.07042253521</v>
      </c>
      <c r="H263" s="15" t="n">
        <f aca="false">Motore_Operativo!AM263</f>
        <v>16820.7042253521</v>
      </c>
      <c r="I263" s="15" t="n">
        <f aca="false">Motore_Operativo!CB263</f>
        <v>15669.979342723</v>
      </c>
      <c r="J263" s="15" t="n">
        <f aca="false">Motore_Operativo!CD263</f>
        <v>1150.72488262911</v>
      </c>
      <c r="K263" s="15" t="n">
        <f aca="false">Motore_Operativo!CF263</f>
        <v>416.666666666667</v>
      </c>
      <c r="L263" s="15" t="n">
        <f aca="false">SUM(INDEX($K$245:$K$304,MAX(1,19-Parametri_v3!$C$59+1)):K263)/Parametri_v3!$C$59</f>
        <v>164.351851851852</v>
      </c>
      <c r="M263" s="15" t="n">
        <f aca="false">J263-L263</f>
        <v>986.373030777259</v>
      </c>
      <c r="N263" s="15" t="n">
        <f aca="false">0</f>
        <v>0</v>
      </c>
      <c r="O263" s="15" t="n">
        <f aca="false">0</f>
        <v>0</v>
      </c>
      <c r="P263" s="15" t="n">
        <f aca="false">M263+N263-O263</f>
        <v>986.373030777259</v>
      </c>
      <c r="Q263" s="15" t="n">
        <f aca="false">SUM(P257:P263)+Parametri_v3!$C$56*7/12</f>
        <v>7147.66677099637</v>
      </c>
      <c r="R263" s="15" t="n">
        <f aca="false">Z256</f>
        <v>0</v>
      </c>
      <c r="S263" s="15" t="n">
        <f aca="false">AA256</f>
        <v>0</v>
      </c>
      <c r="T263" s="15" t="n">
        <f aca="false">MIN(R263,MAX(0,Q263))</f>
        <v>0</v>
      </c>
      <c r="U263" s="15" t="n">
        <f aca="false">MIN(S263,MAX(0,Q263-T263)*Parametri_v3!$C$42)</f>
        <v>0</v>
      </c>
      <c r="V263" s="15" t="n">
        <f aca="false">MAX(0,Q263-T263-U263)*Ipotesi!$C$92</f>
        <v>1715.44002503913</v>
      </c>
      <c r="W263" s="15" t="n">
        <f aca="false">MAX(0,SUM(M257:M263)+Parametri_v3!$C$57*7/12)*Ipotesi!$C$93</f>
        <v>278.759004068858</v>
      </c>
      <c r="X263" s="15" t="n">
        <f aca="false">V263+W263-(V262+W262)</f>
        <v>275.198075586855</v>
      </c>
      <c r="Y263" s="15" t="n">
        <f aca="false">P263-X263</f>
        <v>711.174955190404</v>
      </c>
      <c r="Z263" s="15" t="n">
        <f aca="false">R263-T263+IF(AND(Parametri_v3!$C$40=1,D263-YEAR(Parametri_v3!$C$50)&lt;Parametri_v3!$C$41),MAX(0,-Q263),0)</f>
        <v>0</v>
      </c>
      <c r="AA263" s="15" t="n">
        <f aca="false">S263-U263+IF(AND(Parametri_v3!$C$40=1,D263-YEAR(Parametri_v3!$C$50)&lt;Parametri_v3!$C$41),0,MAX(0,-Q263))</f>
        <v>0</v>
      </c>
      <c r="AB263" s="15" t="n">
        <f aca="false">F263*(1+Parametri_v3!$C$26)</f>
        <v>20521.2591549296</v>
      </c>
      <c r="AC263" s="15" t="n">
        <f aca="false">(IF(19-(INT((Motore_Operativo!L263)/30))&lt;1,0,INDEX(Motore_Advisory!$AB$245:$AB$304,MAX(1,19-(INT((Motore_Operativo!L263)/30)))))*(1-(MOD((Motore_Operativo!L263),30)/30))+IF(19-(INT((Motore_Operativo!L263)/30))-1&lt;1,0,INDEX(Motore_Advisory!$AB$245:$AB$304,MAX(1,19-(INT((Motore_Operativo!L263)/30))-1)))*(MOD((Motore_Operativo!L263),30)/30))</f>
        <v>20521.2591549296</v>
      </c>
      <c r="AD263" s="15" t="n">
        <f aca="false">(AD262)+AB263-AC263</f>
        <v>82085.0366197183</v>
      </c>
      <c r="AE263" s="15" t="n">
        <f aca="false">Motore_Operativo!BH263*(1+Parametri_v3!$C$26)</f>
        <v>2052.12591549296</v>
      </c>
      <c r="AF263" s="15" t="n">
        <f aca="false">(IF(19-(INT((Parametri_v3!$C$29)/30))&lt;1,0,INDEX(Motore_Operativo!$BH$245:$BH$304,MAX(1,19-(INT((Parametri_v3!$C$29)/30)))))*(1-(MOD((Parametri_v3!$C$29),30)/30))+IF(19-(INT((Parametri_v3!$C$29)/30))-1&lt;1,0,INDEX(Motore_Operativo!$BH$245:$BH$304,MAX(1,19-(INT((Parametri_v3!$C$29)/30))-1)))*(MOD((Parametri_v3!$C$29),30)/30))*(1+Parametri_v3!$C$26)</f>
        <v>2052.12591549296</v>
      </c>
      <c r="AG263" s="15" t="n">
        <f aca="false">(AG262)+AE263-AF263</f>
        <v>2052.12591549296</v>
      </c>
      <c r="AH263" s="15" t="n">
        <f aca="false">(Motore_Operativo!CK263)*(1+Parametri_v3!$C$28*Parametri_v3!$C$26)</f>
        <v>7637.71889014084</v>
      </c>
      <c r="AI263" s="15" t="n">
        <f aca="false">(IF(19-(INT((Ipotesi!$C$91)/30))&lt;1,0,INDEX(Motore_Advisory!$AH$245:$AH$304,MAX(1,19-(INT((Ipotesi!$C$91)/30)))))*(1-(MOD((Ipotesi!$C$91),30)/30))+IF(19-(INT((Ipotesi!$C$91)/30))-1&lt;1,0,INDEX(Motore_Advisory!$AH$245:$AH$304,MAX(1,19-(INT((Ipotesi!$C$91)/30))-1)))*(MOD((Ipotesi!$C$91),30)/30))</f>
        <v>7637.71889014084</v>
      </c>
      <c r="AJ263" s="15" t="n">
        <f aca="false">(AJ262)+AH263-AI263</f>
        <v>15275.4377802817</v>
      </c>
      <c r="AK263" s="15" t="n">
        <f aca="false">(F263- Motore_Operativo!BH263-(Motore_Operativo!CK263)*Parametri_v3!$C$28-Motore_Operativo!CF263)*Parametri_v3!$C$26</f>
        <v>2095.7728</v>
      </c>
      <c r="AL263" s="15" t="n">
        <f aca="false">MAX(0,(AM262))</f>
        <v>2095.7728</v>
      </c>
      <c r="AM263" s="15" t="n">
        <f aca="false">(AM262)+AK263-AL263</f>
        <v>2095.7728</v>
      </c>
      <c r="AN263" s="15" t="n">
        <f aca="false">SUM(X245:X256)</f>
        <v>1563.76024736842</v>
      </c>
      <c r="AO263" s="15" t="n">
        <f aca="false">SUM(AP245:AP256)</f>
        <v>0</v>
      </c>
      <c r="AP263" s="15" t="n">
        <f aca="false">MAX(0,AN263)*IF(7=Parametri_v3!$C$43,Parametri_v3!$C$45,IF(7=Parametri_v3!$C$44,1-Parametri_v3!$C$45,0))</f>
        <v>0</v>
      </c>
      <c r="AQ263" s="15" t="n">
        <f aca="false">MAX(0,AP263+IF(7=Parametri_v3!$C$43,MAX(0,AN263-AO263),0)-MAX(0,-(AR262)))</f>
        <v>0</v>
      </c>
      <c r="AR263" s="15" t="n">
        <f aca="false">(AR262)+X263-AQ263</f>
        <v>1368.69493016062</v>
      </c>
      <c r="AS263" s="15" t="n">
        <f aca="false">Motore_Operativo!AC263-AT263+AU263</f>
        <v>7118.5875</v>
      </c>
      <c r="AT263" s="15" t="n">
        <f aca="false">Motore_Operativo!CI263</f>
        <v>374.6625</v>
      </c>
      <c r="AU263" s="15" t="n">
        <f aca="false">MIN(MAX(0,(AV262)+AT263),Parametri_v3!$C$61/12)</f>
        <v>0</v>
      </c>
      <c r="AV263" s="15" t="n">
        <f aca="false">(AV262)+AT263-AU263</f>
        <v>4355.1375</v>
      </c>
      <c r="AW263" s="15" t="n">
        <f aca="false">IF(AND(Motore_Operativo!C263=Finanziamenti!$D$7,Finanziamenti!$F$7=1),Finanziamenti!$C$7,0)</f>
        <v>0</v>
      </c>
      <c r="AX263" s="15" t="n">
        <f aca="false">0</f>
        <v>0</v>
      </c>
      <c r="AY263" s="15" t="n">
        <f aca="false">IF(7=Parametri_v3!$C$33,IF(BV263&lt;MIN(12,$B263-1),0,MIN(MAX(0,SUM(Y245:Y256))*Ipotesi!$C$94,MAX(0,(BM256)-(BO262)-BP263),MAX(0,BD263-Parametri_v3!$C$31))),0)</f>
        <v>0</v>
      </c>
      <c r="AZ263" s="15" t="n">
        <f aca="false">0</f>
        <v>0</v>
      </c>
      <c r="BA263" s="15" t="n">
        <f aca="false">0</f>
        <v>0</v>
      </c>
      <c r="BB263" s="15" t="n">
        <f aca="false">0</f>
        <v>0</v>
      </c>
      <c r="BC263" s="15" t="n">
        <f aca="false">0</f>
        <v>0</v>
      </c>
      <c r="BD263" s="15" t="n">
        <f aca="false">(BH262)+AC263-AF263-AI263-AS263-K263*(1+Parametri_v3!$C$26)-AL263-AQ263-O263+AW263+AX263+AZ263+BA263-BB263</f>
        <v>-32210.8773532592</v>
      </c>
      <c r="BE263" s="15" t="n">
        <f aca="false">0</f>
        <v>0</v>
      </c>
      <c r="BF263" s="15" t="n">
        <f aca="false">0</f>
        <v>0</v>
      </c>
      <c r="BG263" s="15" t="n">
        <f aca="false">0</f>
        <v>0</v>
      </c>
      <c r="BH263" s="15" t="n">
        <f aca="false">BD263+BE263-BF263-AY263</f>
        <v>-32210.8773532592</v>
      </c>
      <c r="BI263" s="15" t="n">
        <f aca="false">MAX(0,Parametri_v3!$C$31-BH263)</f>
        <v>42210.8773532592</v>
      </c>
      <c r="BJ263" s="15" t="n">
        <f aca="false">(BJ262)+K263</f>
        <v>5916.66666666667</v>
      </c>
      <c r="BK263" s="15" t="n">
        <f aca="false">(BK262)+L263</f>
        <v>1449.07407407407</v>
      </c>
      <c r="BL263" s="15" t="n">
        <f aca="false">BJ263-BK263</f>
        <v>4467.59259259259</v>
      </c>
      <c r="BM263" s="15" t="n">
        <f aca="false">(BM262)+Y263</f>
        <v>9194.58293311646</v>
      </c>
      <c r="BN263" s="15" t="n">
        <f aca="false">(BN262)+AW263+AX263+AZ263</f>
        <v>20000</v>
      </c>
      <c r="BO263" s="15" t="n">
        <f aca="false">(BO262)+AY263</f>
        <v>0</v>
      </c>
      <c r="BP263" s="15" t="n">
        <f aca="false">MIN(Parametri_v3!$C$36*Parametri_v3!$C$35,(BP262)+IF(7=1,MAX(0,SUM(Y245:Y256))*Parametri_v3!$C$34,0))</f>
        <v>202.055759561404</v>
      </c>
      <c r="BQ263" s="15" t="n">
        <f aca="false">BN263+BM263-BO263</f>
        <v>29194.5829331165</v>
      </c>
      <c r="BR263" s="15" t="n">
        <f aca="false">BH263+AD263+BL263+MAX(0,-AM263)+MAX(0,-AR263)</f>
        <v>54341.7518590517</v>
      </c>
      <c r="BS263" s="15" t="n">
        <f aca="false">AJ263+AV263+MAX(0,AM263)+MAX(0,AR263)+BC263+BG263+BQ263+AG263</f>
        <v>54341.7518590517</v>
      </c>
      <c r="BT263" s="15" t="n">
        <f aca="false">BR263-BS263</f>
        <v>0</v>
      </c>
      <c r="BU263" s="15" t="n">
        <f aca="false">BH263-(BD263+BE263-BF263-AY263)</f>
        <v>0</v>
      </c>
      <c r="BV263" s="15" t="n">
        <f aca="false">IF(BH262&lt;Parametri_v3!$C$31,0,BV262+1)</f>
        <v>0</v>
      </c>
    </row>
    <row r="264" customFormat="false" ht="18" hidden="false" customHeight="true" outlineLevel="0" collapsed="false">
      <c r="A264" s="68" t="n">
        <f aca="false">5</f>
        <v>5</v>
      </c>
      <c r="B264" s="68" t="n">
        <f aca="false">20</f>
        <v>20</v>
      </c>
      <c r="C264" s="18" t="n">
        <f aca="false">Motore_Operativo!C264</f>
        <v>46966</v>
      </c>
      <c r="D264" s="68" t="n">
        <f aca="false">Motore_Operativo!D264</f>
        <v>2028</v>
      </c>
      <c r="E264" s="68" t="n">
        <f aca="false">Motore_Operativo!E264</f>
        <v>8</v>
      </c>
      <c r="F264" s="15" t="n">
        <f aca="false">Motore_Operativo!AM264</f>
        <v>16820.7042253521</v>
      </c>
      <c r="G264" s="15" t="n">
        <f aca="false">Motore_Operativo!BH264</f>
        <v>1682.07042253521</v>
      </c>
      <c r="H264" s="15" t="n">
        <f aca="false">Motore_Operativo!AM264</f>
        <v>16820.7042253521</v>
      </c>
      <c r="I264" s="15" t="n">
        <f aca="false">Motore_Operativo!CB264</f>
        <v>15669.979342723</v>
      </c>
      <c r="J264" s="15" t="n">
        <f aca="false">Motore_Operativo!CD264</f>
        <v>1150.72488262911</v>
      </c>
      <c r="K264" s="15" t="n">
        <f aca="false">Motore_Operativo!CF264</f>
        <v>416.666666666667</v>
      </c>
      <c r="L264" s="15" t="n">
        <f aca="false">SUM(INDEX($K$245:$K$304,MAX(1,20-Parametri_v3!$C$59+1)):K264)/Parametri_v3!$C$59</f>
        <v>175.925925925926</v>
      </c>
      <c r="M264" s="15" t="n">
        <f aca="false">J264-L264</f>
        <v>974.798956703185</v>
      </c>
      <c r="N264" s="15" t="n">
        <f aca="false">0</f>
        <v>0</v>
      </c>
      <c r="O264" s="15" t="n">
        <f aca="false">0</f>
        <v>0</v>
      </c>
      <c r="P264" s="15" t="n">
        <f aca="false">M264+N264-O264</f>
        <v>974.798956703185</v>
      </c>
      <c r="Q264" s="15" t="n">
        <f aca="false">SUM(P257:P264)+Parametri_v3!$C$56*8/12</f>
        <v>8122.46572769955</v>
      </c>
      <c r="R264" s="15" t="n">
        <f aca="false">Z256</f>
        <v>0</v>
      </c>
      <c r="S264" s="15" t="n">
        <f aca="false">AA256</f>
        <v>0</v>
      </c>
      <c r="T264" s="15" t="n">
        <f aca="false">MIN(R264,MAX(0,Q264))</f>
        <v>0</v>
      </c>
      <c r="U264" s="15" t="n">
        <f aca="false">MIN(S264,MAX(0,Q264-T264)*Parametri_v3!$C$42)</f>
        <v>0</v>
      </c>
      <c r="V264" s="15" t="n">
        <f aca="false">MAX(0,Q264-T264-U264)*Ipotesi!$C$92</f>
        <v>1949.39177464789</v>
      </c>
      <c r="W264" s="15" t="n">
        <f aca="false">MAX(0,SUM(M257:M264)+Parametri_v3!$C$57*8/12)*Ipotesi!$C$93</f>
        <v>316.776163380283</v>
      </c>
      <c r="X264" s="15" t="n">
        <f aca="false">V264+W264-(V263+W263)</f>
        <v>271.968908920189</v>
      </c>
      <c r="Y264" s="15" t="n">
        <f aca="false">P264-X264</f>
        <v>702.830047782996</v>
      </c>
      <c r="Z264" s="15" t="n">
        <f aca="false">R264-T264+IF(AND(Parametri_v3!$C$40=1,D264-YEAR(Parametri_v3!$C$50)&lt;Parametri_v3!$C$41),MAX(0,-Q264),0)</f>
        <v>0</v>
      </c>
      <c r="AA264" s="15" t="n">
        <f aca="false">S264-U264+IF(AND(Parametri_v3!$C$40=1,D264-YEAR(Parametri_v3!$C$50)&lt;Parametri_v3!$C$41),0,MAX(0,-Q264))</f>
        <v>0</v>
      </c>
      <c r="AB264" s="15" t="n">
        <f aca="false">F264*(1+Parametri_v3!$C$26)</f>
        <v>20521.2591549296</v>
      </c>
      <c r="AC264" s="15" t="n">
        <f aca="false">(IF(20-(INT((Motore_Operativo!L264)/30))&lt;1,0,INDEX(Motore_Advisory!$AB$245:$AB$304,MAX(1,20-(INT((Motore_Operativo!L264)/30)))))*(1-(MOD((Motore_Operativo!L264),30)/30))+IF(20-(INT((Motore_Operativo!L264)/30))-1&lt;1,0,INDEX(Motore_Advisory!$AB$245:$AB$304,MAX(1,20-(INT((Motore_Operativo!L264)/30))-1)))*(MOD((Motore_Operativo!L264),30)/30))</f>
        <v>20521.2591549296</v>
      </c>
      <c r="AD264" s="15" t="n">
        <f aca="false">(AD263)+AB264-AC264</f>
        <v>82085.0366197183</v>
      </c>
      <c r="AE264" s="15" t="n">
        <f aca="false">Motore_Operativo!BH264*(1+Parametri_v3!$C$26)</f>
        <v>2052.12591549296</v>
      </c>
      <c r="AF264" s="15" t="n">
        <f aca="false">(IF(20-(INT((Parametri_v3!$C$29)/30))&lt;1,0,INDEX(Motore_Operativo!$BH$245:$BH$304,MAX(1,20-(INT((Parametri_v3!$C$29)/30)))))*(1-(MOD((Parametri_v3!$C$29),30)/30))+IF(20-(INT((Parametri_v3!$C$29)/30))-1&lt;1,0,INDEX(Motore_Operativo!$BH$245:$BH$304,MAX(1,20-(INT((Parametri_v3!$C$29)/30))-1)))*(MOD((Parametri_v3!$C$29),30)/30))*(1+Parametri_v3!$C$26)</f>
        <v>2052.12591549296</v>
      </c>
      <c r="AG264" s="15" t="n">
        <f aca="false">(AG263)+AE264-AF264</f>
        <v>2052.12591549296</v>
      </c>
      <c r="AH264" s="15" t="n">
        <f aca="false">(Motore_Operativo!CK264)*(1+Parametri_v3!$C$28*Parametri_v3!$C$26)</f>
        <v>7637.71889014084</v>
      </c>
      <c r="AI264" s="15" t="n">
        <f aca="false">(IF(20-(INT((Ipotesi!$C$91)/30))&lt;1,0,INDEX(Motore_Advisory!$AH$245:$AH$304,MAX(1,20-(INT((Ipotesi!$C$91)/30)))))*(1-(MOD((Ipotesi!$C$91),30)/30))+IF(20-(INT((Ipotesi!$C$91)/30))-1&lt;1,0,INDEX(Motore_Advisory!$AH$245:$AH$304,MAX(1,20-(INT((Ipotesi!$C$91)/30))-1)))*(MOD((Ipotesi!$C$91),30)/30))</f>
        <v>7637.71889014084</v>
      </c>
      <c r="AJ264" s="15" t="n">
        <f aca="false">(AJ263)+AH264-AI264</f>
        <v>15275.4377802817</v>
      </c>
      <c r="AK264" s="15" t="n">
        <f aca="false">(F264- Motore_Operativo!BH264-(Motore_Operativo!CK264)*Parametri_v3!$C$28-Motore_Operativo!CF264)*Parametri_v3!$C$26</f>
        <v>2095.7728</v>
      </c>
      <c r="AL264" s="15" t="n">
        <f aca="false">MAX(0,(AM263))</f>
        <v>2095.7728</v>
      </c>
      <c r="AM264" s="15" t="n">
        <f aca="false">(AM263)+AK264-AL264</f>
        <v>2095.7728</v>
      </c>
      <c r="AN264" s="15" t="n">
        <f aca="false">SUM(X245:X256)</f>
        <v>1563.76024736842</v>
      </c>
      <c r="AO264" s="15" t="n">
        <f aca="false">SUM(AP245:AP256)</f>
        <v>0</v>
      </c>
      <c r="AP264" s="15" t="n">
        <f aca="false">MAX(0,AN264)*IF(8=Parametri_v3!$C$43,Parametri_v3!$C$45,IF(8=Parametri_v3!$C$44,1-Parametri_v3!$C$45,0))</f>
        <v>0</v>
      </c>
      <c r="AQ264" s="15" t="n">
        <f aca="false">MAX(0,AP264+IF(8=Parametri_v3!$C$43,MAX(0,AN264-AO264),0)-MAX(0,-(AR263)))</f>
        <v>0</v>
      </c>
      <c r="AR264" s="15" t="n">
        <f aca="false">(AR263)+X264-AQ264</f>
        <v>1640.66383908081</v>
      </c>
      <c r="AS264" s="15" t="n">
        <f aca="false">Motore_Operativo!AC264-AT264+AU264</f>
        <v>7118.5875</v>
      </c>
      <c r="AT264" s="15" t="n">
        <f aca="false">Motore_Operativo!CI264</f>
        <v>374.6625</v>
      </c>
      <c r="AU264" s="15" t="n">
        <f aca="false">MIN(MAX(0,(AV263)+AT264),Parametri_v3!$C$61/12)</f>
        <v>0</v>
      </c>
      <c r="AV264" s="15" t="n">
        <f aca="false">(AV263)+AT264-AU264</f>
        <v>4729.8</v>
      </c>
      <c r="AW264" s="15" t="n">
        <f aca="false">IF(AND(Motore_Operativo!C264=Finanziamenti!$D$7,Finanziamenti!$F$7=1),Finanziamenti!$C$7,0)</f>
        <v>0</v>
      </c>
      <c r="AX264" s="15" t="n">
        <f aca="false">0</f>
        <v>0</v>
      </c>
      <c r="AY264" s="15" t="n">
        <f aca="false">IF(8=Parametri_v3!$C$33,IF(BV264&lt;MIN(12,$B264-1),0,MIN(MAX(0,SUM(Y245:Y256))*Ipotesi!$C$94,MAX(0,(BM256)-(BO263)-BP264),MAX(0,BD264-Parametri_v3!$C$31))),0)</f>
        <v>0</v>
      </c>
      <c r="AZ264" s="15" t="n">
        <f aca="false">0</f>
        <v>0</v>
      </c>
      <c r="BA264" s="15" t="n">
        <f aca="false">0</f>
        <v>0</v>
      </c>
      <c r="BB264" s="15" t="n">
        <f aca="false">0</f>
        <v>0</v>
      </c>
      <c r="BC264" s="15" t="n">
        <f aca="false">0</f>
        <v>0</v>
      </c>
      <c r="BD264" s="15" t="n">
        <f aca="false">(BH263)+AC264-AF264-AI264-AS264-K264*(1+Parametri_v3!$C$26)-AL264-AQ264-O264+AW264+AX264+AZ264+BA264-BB264</f>
        <v>-31102.1566372967</v>
      </c>
      <c r="BE264" s="15" t="n">
        <f aca="false">0</f>
        <v>0</v>
      </c>
      <c r="BF264" s="15" t="n">
        <f aca="false">0</f>
        <v>0</v>
      </c>
      <c r="BG264" s="15" t="n">
        <f aca="false">0</f>
        <v>0</v>
      </c>
      <c r="BH264" s="15" t="n">
        <f aca="false">BD264+BE264-BF264-AY264</f>
        <v>-31102.1566372967</v>
      </c>
      <c r="BI264" s="15" t="n">
        <f aca="false">MAX(0,Parametri_v3!$C$31-BH264)</f>
        <v>41102.1566372967</v>
      </c>
      <c r="BJ264" s="15" t="n">
        <f aca="false">(BJ263)+K264</f>
        <v>6333.33333333334</v>
      </c>
      <c r="BK264" s="15" t="n">
        <f aca="false">(BK263)+L264</f>
        <v>1625</v>
      </c>
      <c r="BL264" s="15" t="n">
        <f aca="false">BJ264-BK264</f>
        <v>4708.33333333334</v>
      </c>
      <c r="BM264" s="15" t="n">
        <f aca="false">(BM263)+Y264</f>
        <v>9897.41298089945</v>
      </c>
      <c r="BN264" s="15" t="n">
        <f aca="false">(BN263)+AW264+AX264+AZ264</f>
        <v>20000</v>
      </c>
      <c r="BO264" s="15" t="n">
        <f aca="false">(BO263)+AY264</f>
        <v>0</v>
      </c>
      <c r="BP264" s="15" t="n">
        <f aca="false">MIN(Parametri_v3!$C$36*Parametri_v3!$C$35,(BP263)+IF(8=1,MAX(0,SUM(Y245:Y256))*Parametri_v3!$C$34,0))</f>
        <v>202.055759561404</v>
      </c>
      <c r="BQ264" s="15" t="n">
        <f aca="false">BN264+BM264-BO264</f>
        <v>29897.4129808995</v>
      </c>
      <c r="BR264" s="15" t="n">
        <f aca="false">BH264+AD264+BL264+MAX(0,-AM264)+MAX(0,-AR264)</f>
        <v>55691.2133157549</v>
      </c>
      <c r="BS264" s="15" t="n">
        <f aca="false">AJ264+AV264+MAX(0,AM264)+MAX(0,AR264)+BC264+BG264+BQ264+AG264</f>
        <v>55691.2133157549</v>
      </c>
      <c r="BT264" s="15" t="n">
        <f aca="false">BR264-BS264</f>
        <v>0</v>
      </c>
      <c r="BU264" s="15" t="n">
        <f aca="false">BH264-(BD264+BE264-BF264-AY264)</f>
        <v>0</v>
      </c>
      <c r="BV264" s="15" t="n">
        <f aca="false">IF(BH263&lt;Parametri_v3!$C$31,0,BV263+1)</f>
        <v>0</v>
      </c>
    </row>
    <row r="265" customFormat="false" ht="18" hidden="false" customHeight="true" outlineLevel="0" collapsed="false">
      <c r="A265" s="68" t="n">
        <f aca="false">5</f>
        <v>5</v>
      </c>
      <c r="B265" s="68" t="n">
        <f aca="false">21</f>
        <v>21</v>
      </c>
      <c r="C265" s="18" t="n">
        <f aca="false">Motore_Operativo!C265</f>
        <v>46997</v>
      </c>
      <c r="D265" s="68" t="n">
        <f aca="false">Motore_Operativo!D265</f>
        <v>2028</v>
      </c>
      <c r="E265" s="68" t="n">
        <f aca="false">Motore_Operativo!E265</f>
        <v>9</v>
      </c>
      <c r="F265" s="15" t="n">
        <f aca="false">Motore_Operativo!AM265</f>
        <v>16820.7042253521</v>
      </c>
      <c r="G265" s="15" t="n">
        <f aca="false">Motore_Operativo!BH265</f>
        <v>1682.07042253521</v>
      </c>
      <c r="H265" s="15" t="n">
        <f aca="false">Motore_Operativo!AM265</f>
        <v>16820.7042253521</v>
      </c>
      <c r="I265" s="15" t="n">
        <f aca="false">Motore_Operativo!CB265</f>
        <v>15669.979342723</v>
      </c>
      <c r="J265" s="15" t="n">
        <f aca="false">Motore_Operativo!CD265</f>
        <v>1150.72488262911</v>
      </c>
      <c r="K265" s="15" t="n">
        <f aca="false">Motore_Operativo!CF265</f>
        <v>416.666666666667</v>
      </c>
      <c r="L265" s="15" t="n">
        <f aca="false">SUM(INDEX($K$245:$K$304,MAX(1,21-Parametri_v3!$C$59+1)):K265)/Parametri_v3!$C$59</f>
        <v>187.5</v>
      </c>
      <c r="M265" s="15" t="n">
        <f aca="false">J265-L265</f>
        <v>963.224882629111</v>
      </c>
      <c r="N265" s="15" t="n">
        <f aca="false">0</f>
        <v>0</v>
      </c>
      <c r="O265" s="15" t="n">
        <f aca="false">0</f>
        <v>0</v>
      </c>
      <c r="P265" s="15" t="n">
        <f aca="false">M265+N265-O265</f>
        <v>963.224882629111</v>
      </c>
      <c r="Q265" s="15" t="n">
        <f aca="false">SUM(P257:P265)+Parametri_v3!$C$56*9/12</f>
        <v>9085.69061032866</v>
      </c>
      <c r="R265" s="15" t="n">
        <f aca="false">Z256</f>
        <v>0</v>
      </c>
      <c r="S265" s="15" t="n">
        <f aca="false">AA256</f>
        <v>0</v>
      </c>
      <c r="T265" s="15" t="n">
        <f aca="false">MIN(R265,MAX(0,Q265))</f>
        <v>0</v>
      </c>
      <c r="U265" s="15" t="n">
        <f aca="false">MIN(S265,MAX(0,Q265-T265)*Parametri_v3!$C$42)</f>
        <v>0</v>
      </c>
      <c r="V265" s="15" t="n">
        <f aca="false">MAX(0,Q265-T265-U265)*Ipotesi!$C$92</f>
        <v>2180.56574647888</v>
      </c>
      <c r="W265" s="15" t="n">
        <f aca="false">MAX(0,SUM(M257:M265)+Parametri_v3!$C$57*9/12)*Ipotesi!$C$93</f>
        <v>354.341933802818</v>
      </c>
      <c r="X265" s="15" t="n">
        <f aca="false">V265+W265-(V264+W264)</f>
        <v>268.739742253522</v>
      </c>
      <c r="Y265" s="15" t="n">
        <f aca="false">P265-X265</f>
        <v>694.485140375589</v>
      </c>
      <c r="Z265" s="15" t="n">
        <f aca="false">R265-T265+IF(AND(Parametri_v3!$C$40=1,D265-YEAR(Parametri_v3!$C$50)&lt;Parametri_v3!$C$41),MAX(0,-Q265),0)</f>
        <v>0</v>
      </c>
      <c r="AA265" s="15" t="n">
        <f aca="false">S265-U265+IF(AND(Parametri_v3!$C$40=1,D265-YEAR(Parametri_v3!$C$50)&lt;Parametri_v3!$C$41),0,MAX(0,-Q265))</f>
        <v>0</v>
      </c>
      <c r="AB265" s="15" t="n">
        <f aca="false">F265*(1+Parametri_v3!$C$26)</f>
        <v>20521.2591549296</v>
      </c>
      <c r="AC265" s="15" t="n">
        <f aca="false">(IF(21-(INT((Motore_Operativo!L265)/30))&lt;1,0,INDEX(Motore_Advisory!$AB$245:$AB$304,MAX(1,21-(INT((Motore_Operativo!L265)/30)))))*(1-(MOD((Motore_Operativo!L265),30)/30))+IF(21-(INT((Motore_Operativo!L265)/30))-1&lt;1,0,INDEX(Motore_Advisory!$AB$245:$AB$304,MAX(1,21-(INT((Motore_Operativo!L265)/30))-1)))*(MOD((Motore_Operativo!L265),30)/30))</f>
        <v>20521.2591549296</v>
      </c>
      <c r="AD265" s="15" t="n">
        <f aca="false">(AD264)+AB265-AC265</f>
        <v>82085.0366197183</v>
      </c>
      <c r="AE265" s="15" t="n">
        <f aca="false">Motore_Operativo!BH265*(1+Parametri_v3!$C$26)</f>
        <v>2052.12591549296</v>
      </c>
      <c r="AF265" s="15" t="n">
        <f aca="false">(IF(21-(INT((Parametri_v3!$C$29)/30))&lt;1,0,INDEX(Motore_Operativo!$BH$245:$BH$304,MAX(1,21-(INT((Parametri_v3!$C$29)/30)))))*(1-(MOD((Parametri_v3!$C$29),30)/30))+IF(21-(INT((Parametri_v3!$C$29)/30))-1&lt;1,0,INDEX(Motore_Operativo!$BH$245:$BH$304,MAX(1,21-(INT((Parametri_v3!$C$29)/30))-1)))*(MOD((Parametri_v3!$C$29),30)/30))*(1+Parametri_v3!$C$26)</f>
        <v>2052.12591549296</v>
      </c>
      <c r="AG265" s="15" t="n">
        <f aca="false">(AG264)+AE265-AF265</f>
        <v>2052.12591549296</v>
      </c>
      <c r="AH265" s="15" t="n">
        <f aca="false">(Motore_Operativo!CK265)*(1+Parametri_v3!$C$28*Parametri_v3!$C$26)</f>
        <v>7637.71889014084</v>
      </c>
      <c r="AI265" s="15" t="n">
        <f aca="false">(IF(21-(INT((Ipotesi!$C$91)/30))&lt;1,0,INDEX(Motore_Advisory!$AH$245:$AH$304,MAX(1,21-(INT((Ipotesi!$C$91)/30)))))*(1-(MOD((Ipotesi!$C$91),30)/30))+IF(21-(INT((Ipotesi!$C$91)/30))-1&lt;1,0,INDEX(Motore_Advisory!$AH$245:$AH$304,MAX(1,21-(INT((Ipotesi!$C$91)/30))-1)))*(MOD((Ipotesi!$C$91),30)/30))</f>
        <v>7637.71889014084</v>
      </c>
      <c r="AJ265" s="15" t="n">
        <f aca="false">(AJ264)+AH265-AI265</f>
        <v>15275.4377802817</v>
      </c>
      <c r="AK265" s="15" t="n">
        <f aca="false">(F265- Motore_Operativo!BH265-(Motore_Operativo!CK265)*Parametri_v3!$C$28-Motore_Operativo!CF265)*Parametri_v3!$C$26</f>
        <v>2095.7728</v>
      </c>
      <c r="AL265" s="15" t="n">
        <f aca="false">MAX(0,(AM264))</f>
        <v>2095.7728</v>
      </c>
      <c r="AM265" s="15" t="n">
        <f aca="false">(AM264)+AK265-AL265</f>
        <v>2095.7728</v>
      </c>
      <c r="AN265" s="15" t="n">
        <f aca="false">SUM(X245:X256)</f>
        <v>1563.76024736842</v>
      </c>
      <c r="AO265" s="15" t="n">
        <f aca="false">SUM(AP245:AP256)</f>
        <v>0</v>
      </c>
      <c r="AP265" s="15" t="n">
        <f aca="false">MAX(0,AN265)*IF(9=Parametri_v3!$C$43,Parametri_v3!$C$45,IF(9=Parametri_v3!$C$44,1-Parametri_v3!$C$45,0))</f>
        <v>0</v>
      </c>
      <c r="AQ265" s="15" t="n">
        <f aca="false">MAX(0,AP265+IF(9=Parametri_v3!$C$43,MAX(0,AN265-AO265),0)-MAX(0,-(AR264)))</f>
        <v>0</v>
      </c>
      <c r="AR265" s="15" t="n">
        <f aca="false">(AR264)+X265-AQ265</f>
        <v>1909.40358133433</v>
      </c>
      <c r="AS265" s="15" t="n">
        <f aca="false">Motore_Operativo!AC265-AT265+AU265</f>
        <v>7118.5875</v>
      </c>
      <c r="AT265" s="15" t="n">
        <f aca="false">Motore_Operativo!CI265</f>
        <v>374.6625</v>
      </c>
      <c r="AU265" s="15" t="n">
        <f aca="false">MIN(MAX(0,(AV264)+AT265),Parametri_v3!$C$61/12)</f>
        <v>0</v>
      </c>
      <c r="AV265" s="15" t="n">
        <f aca="false">(AV264)+AT265-AU265</f>
        <v>5104.4625</v>
      </c>
      <c r="AW265" s="15" t="n">
        <f aca="false">IF(AND(Motore_Operativo!C265=Finanziamenti!$D$7,Finanziamenti!$F$7=1),Finanziamenti!$C$7,0)</f>
        <v>0</v>
      </c>
      <c r="AX265" s="15" t="n">
        <f aca="false">0</f>
        <v>0</v>
      </c>
      <c r="AY265" s="15" t="n">
        <f aca="false">IF(9=Parametri_v3!$C$33,IF(BV265&lt;MIN(12,$B265-1),0,MIN(MAX(0,SUM(Y245:Y256))*Ipotesi!$C$94,MAX(0,(BM256)-(BO264)-BP265),MAX(0,BD265-Parametri_v3!$C$31))),0)</f>
        <v>0</v>
      </c>
      <c r="AZ265" s="15" t="n">
        <f aca="false">0</f>
        <v>0</v>
      </c>
      <c r="BA265" s="15" t="n">
        <f aca="false">0</f>
        <v>0</v>
      </c>
      <c r="BB265" s="15" t="n">
        <f aca="false">0</f>
        <v>0</v>
      </c>
      <c r="BC265" s="15" t="n">
        <f aca="false">0</f>
        <v>0</v>
      </c>
      <c r="BD265" s="15" t="n">
        <f aca="false">(BH264)+AC265-AF265-AI265-AS265-K265*(1+Parametri_v3!$C$26)-AL265-AQ265-O265+AW265+AX265+AZ265+BA265-BB265</f>
        <v>-29993.4359213343</v>
      </c>
      <c r="BE265" s="15" t="n">
        <f aca="false">0</f>
        <v>0</v>
      </c>
      <c r="BF265" s="15" t="n">
        <f aca="false">0</f>
        <v>0</v>
      </c>
      <c r="BG265" s="15" t="n">
        <f aca="false">0</f>
        <v>0</v>
      </c>
      <c r="BH265" s="15" t="n">
        <f aca="false">BD265+BE265-BF265-AY265</f>
        <v>-29993.4359213343</v>
      </c>
      <c r="BI265" s="15" t="n">
        <f aca="false">MAX(0,Parametri_v3!$C$31-BH265)</f>
        <v>39993.4359213343</v>
      </c>
      <c r="BJ265" s="15" t="n">
        <f aca="false">(BJ264)+K265</f>
        <v>6750</v>
      </c>
      <c r="BK265" s="15" t="n">
        <f aca="false">(BK264)+L265</f>
        <v>1812.5</v>
      </c>
      <c r="BL265" s="15" t="n">
        <f aca="false">BJ265-BK265</f>
        <v>4937.5</v>
      </c>
      <c r="BM265" s="15" t="n">
        <f aca="false">(BM264)+Y265</f>
        <v>10591.898121275</v>
      </c>
      <c r="BN265" s="15" t="n">
        <f aca="false">(BN264)+AW265+AX265+AZ265</f>
        <v>20000</v>
      </c>
      <c r="BO265" s="15" t="n">
        <f aca="false">(BO264)+AY265</f>
        <v>0</v>
      </c>
      <c r="BP265" s="15" t="n">
        <f aca="false">MIN(Parametri_v3!$C$36*Parametri_v3!$C$35,(BP264)+IF(9=1,MAX(0,SUM(Y245:Y256))*Parametri_v3!$C$34,0))</f>
        <v>202.055759561404</v>
      </c>
      <c r="BQ265" s="15" t="n">
        <f aca="false">BN265+BM265-BO265</f>
        <v>30591.898121275</v>
      </c>
      <c r="BR265" s="15" t="n">
        <f aca="false">BH265+AD265+BL265+MAX(0,-AM265)+MAX(0,-AR265)</f>
        <v>57029.100698384</v>
      </c>
      <c r="BS265" s="15" t="n">
        <f aca="false">AJ265+AV265+MAX(0,AM265)+MAX(0,AR265)+BC265+BG265+BQ265+AG265</f>
        <v>57029.100698384</v>
      </c>
      <c r="BT265" s="15" t="n">
        <f aca="false">BR265-BS265</f>
        <v>0</v>
      </c>
      <c r="BU265" s="15" t="n">
        <f aca="false">BH265-(BD265+BE265-BF265-AY265)</f>
        <v>0</v>
      </c>
      <c r="BV265" s="15" t="n">
        <f aca="false">IF(BH264&lt;Parametri_v3!$C$31,0,BV264+1)</f>
        <v>0</v>
      </c>
    </row>
    <row r="266" customFormat="false" ht="18" hidden="false" customHeight="true" outlineLevel="0" collapsed="false">
      <c r="A266" s="68" t="n">
        <f aca="false">5</f>
        <v>5</v>
      </c>
      <c r="B266" s="68" t="n">
        <f aca="false">22</f>
        <v>22</v>
      </c>
      <c r="C266" s="18" t="n">
        <f aca="false">Motore_Operativo!C266</f>
        <v>47027</v>
      </c>
      <c r="D266" s="68" t="n">
        <f aca="false">Motore_Operativo!D266</f>
        <v>2028</v>
      </c>
      <c r="E266" s="68" t="n">
        <f aca="false">Motore_Operativo!E266</f>
        <v>10</v>
      </c>
      <c r="F266" s="15" t="n">
        <f aca="false">Motore_Operativo!AM266</f>
        <v>16820.7042253521</v>
      </c>
      <c r="G266" s="15" t="n">
        <f aca="false">Motore_Operativo!BH266</f>
        <v>1682.07042253521</v>
      </c>
      <c r="H266" s="15" t="n">
        <f aca="false">Motore_Operativo!AM266</f>
        <v>16820.7042253521</v>
      </c>
      <c r="I266" s="15" t="n">
        <f aca="false">Motore_Operativo!CB266</f>
        <v>15669.979342723</v>
      </c>
      <c r="J266" s="15" t="n">
        <f aca="false">Motore_Operativo!CD266</f>
        <v>1150.72488262911</v>
      </c>
      <c r="K266" s="15" t="n">
        <f aca="false">Motore_Operativo!CF266</f>
        <v>416.666666666667</v>
      </c>
      <c r="L266" s="15" t="n">
        <f aca="false">SUM(INDEX($K$245:$K$304,MAX(1,22-Parametri_v3!$C$59+1)):K266)/Parametri_v3!$C$59</f>
        <v>199.074074074074</v>
      </c>
      <c r="M266" s="15" t="n">
        <f aca="false">J266-L266</f>
        <v>951.650808555037</v>
      </c>
      <c r="N266" s="15" t="n">
        <f aca="false">0</f>
        <v>0</v>
      </c>
      <c r="O266" s="15" t="n">
        <f aca="false">0</f>
        <v>0</v>
      </c>
      <c r="P266" s="15" t="n">
        <f aca="false">M266+N266-O266</f>
        <v>951.650808555037</v>
      </c>
      <c r="Q266" s="15" t="n">
        <f aca="false">SUM(P257:P266)+Parametri_v3!$C$56*10/12</f>
        <v>10037.3414188837</v>
      </c>
      <c r="R266" s="15" t="n">
        <f aca="false">Z256</f>
        <v>0</v>
      </c>
      <c r="S266" s="15" t="n">
        <f aca="false">AA256</f>
        <v>0</v>
      </c>
      <c r="T266" s="15" t="n">
        <f aca="false">MIN(R266,MAX(0,Q266))</f>
        <v>0</v>
      </c>
      <c r="U266" s="15" t="n">
        <f aca="false">MIN(S266,MAX(0,Q266-T266)*Parametri_v3!$C$42)</f>
        <v>0</v>
      </c>
      <c r="V266" s="15" t="n">
        <f aca="false">MAX(0,Q266-T266-U266)*Ipotesi!$C$92</f>
        <v>2408.96194053209</v>
      </c>
      <c r="W266" s="15" t="n">
        <f aca="false">MAX(0,SUM(M257:M266)+Parametri_v3!$C$57*10/12)*Ipotesi!$C$93</f>
        <v>391.456315336464</v>
      </c>
      <c r="X266" s="15" t="n">
        <f aca="false">V266+W266-(V265+W265)</f>
        <v>265.510575586855</v>
      </c>
      <c r="Y266" s="15" t="n">
        <f aca="false">P266-X266</f>
        <v>686.140232968182</v>
      </c>
      <c r="Z266" s="15" t="n">
        <f aca="false">R266-T266+IF(AND(Parametri_v3!$C$40=1,D266-YEAR(Parametri_v3!$C$50)&lt;Parametri_v3!$C$41),MAX(0,-Q266),0)</f>
        <v>0</v>
      </c>
      <c r="AA266" s="15" t="n">
        <f aca="false">S266-U266+IF(AND(Parametri_v3!$C$40=1,D266-YEAR(Parametri_v3!$C$50)&lt;Parametri_v3!$C$41),0,MAX(0,-Q266))</f>
        <v>0</v>
      </c>
      <c r="AB266" s="15" t="n">
        <f aca="false">F266*(1+Parametri_v3!$C$26)</f>
        <v>20521.2591549296</v>
      </c>
      <c r="AC266" s="15" t="n">
        <f aca="false">(IF(22-(INT((Motore_Operativo!L266)/30))&lt;1,0,INDEX(Motore_Advisory!$AB$245:$AB$304,MAX(1,22-(INT((Motore_Operativo!L266)/30)))))*(1-(MOD((Motore_Operativo!L266),30)/30))+IF(22-(INT((Motore_Operativo!L266)/30))-1&lt;1,0,INDEX(Motore_Advisory!$AB$245:$AB$304,MAX(1,22-(INT((Motore_Operativo!L266)/30))-1)))*(MOD((Motore_Operativo!L266),30)/30))</f>
        <v>20521.2591549296</v>
      </c>
      <c r="AD266" s="15" t="n">
        <f aca="false">(AD265)+AB266-AC266</f>
        <v>82085.0366197183</v>
      </c>
      <c r="AE266" s="15" t="n">
        <f aca="false">Motore_Operativo!BH266*(1+Parametri_v3!$C$26)</f>
        <v>2052.12591549296</v>
      </c>
      <c r="AF266" s="15" t="n">
        <f aca="false">(IF(22-(INT((Parametri_v3!$C$29)/30))&lt;1,0,INDEX(Motore_Operativo!$BH$245:$BH$304,MAX(1,22-(INT((Parametri_v3!$C$29)/30)))))*(1-(MOD((Parametri_v3!$C$29),30)/30))+IF(22-(INT((Parametri_v3!$C$29)/30))-1&lt;1,0,INDEX(Motore_Operativo!$BH$245:$BH$304,MAX(1,22-(INT((Parametri_v3!$C$29)/30))-1)))*(MOD((Parametri_v3!$C$29),30)/30))*(1+Parametri_v3!$C$26)</f>
        <v>2052.12591549296</v>
      </c>
      <c r="AG266" s="15" t="n">
        <f aca="false">(AG265)+AE266-AF266</f>
        <v>2052.12591549296</v>
      </c>
      <c r="AH266" s="15" t="n">
        <f aca="false">(Motore_Operativo!CK266)*(1+Parametri_v3!$C$28*Parametri_v3!$C$26)</f>
        <v>7637.71889014084</v>
      </c>
      <c r="AI266" s="15" t="n">
        <f aca="false">(IF(22-(INT((Ipotesi!$C$91)/30))&lt;1,0,INDEX(Motore_Advisory!$AH$245:$AH$304,MAX(1,22-(INT((Ipotesi!$C$91)/30)))))*(1-(MOD((Ipotesi!$C$91),30)/30))+IF(22-(INT((Ipotesi!$C$91)/30))-1&lt;1,0,INDEX(Motore_Advisory!$AH$245:$AH$304,MAX(1,22-(INT((Ipotesi!$C$91)/30))-1)))*(MOD((Ipotesi!$C$91),30)/30))</f>
        <v>7637.71889014084</v>
      </c>
      <c r="AJ266" s="15" t="n">
        <f aca="false">(AJ265)+AH266-AI266</f>
        <v>15275.4377802817</v>
      </c>
      <c r="AK266" s="15" t="n">
        <f aca="false">(F266- Motore_Operativo!BH266-(Motore_Operativo!CK266)*Parametri_v3!$C$28-Motore_Operativo!CF266)*Parametri_v3!$C$26</f>
        <v>2095.7728</v>
      </c>
      <c r="AL266" s="15" t="n">
        <f aca="false">MAX(0,(AM265))</f>
        <v>2095.7728</v>
      </c>
      <c r="AM266" s="15" t="n">
        <f aca="false">(AM265)+AK266-AL266</f>
        <v>2095.7728</v>
      </c>
      <c r="AN266" s="15" t="n">
        <f aca="false">SUM(X245:X256)</f>
        <v>1563.76024736842</v>
      </c>
      <c r="AO266" s="15" t="n">
        <f aca="false">SUM(AP245:AP256)</f>
        <v>0</v>
      </c>
      <c r="AP266" s="15" t="n">
        <f aca="false">MAX(0,AN266)*IF(10=Parametri_v3!$C$43,Parametri_v3!$C$45,IF(10=Parametri_v3!$C$44,1-Parametri_v3!$C$45,0))</f>
        <v>0</v>
      </c>
      <c r="AQ266" s="15" t="n">
        <f aca="false">MAX(0,AP266+IF(10=Parametri_v3!$C$43,MAX(0,AN266-AO266),0)-MAX(0,-(AR265)))</f>
        <v>0</v>
      </c>
      <c r="AR266" s="15" t="n">
        <f aca="false">(AR265)+X266-AQ266</f>
        <v>2174.91415692118</v>
      </c>
      <c r="AS266" s="15" t="n">
        <f aca="false">Motore_Operativo!AC266-AT266+AU266</f>
        <v>7118.5875</v>
      </c>
      <c r="AT266" s="15" t="n">
        <f aca="false">Motore_Operativo!CI266</f>
        <v>374.6625</v>
      </c>
      <c r="AU266" s="15" t="n">
        <f aca="false">MIN(MAX(0,(AV265)+AT266),Parametri_v3!$C$61/12)</f>
        <v>0</v>
      </c>
      <c r="AV266" s="15" t="n">
        <f aca="false">(AV265)+AT266-AU266</f>
        <v>5479.125</v>
      </c>
      <c r="AW266" s="15" t="n">
        <f aca="false">IF(AND(Motore_Operativo!C266=Finanziamenti!$D$7,Finanziamenti!$F$7=1),Finanziamenti!$C$7,0)</f>
        <v>0</v>
      </c>
      <c r="AX266" s="15" t="n">
        <f aca="false">0</f>
        <v>0</v>
      </c>
      <c r="AY266" s="15" t="n">
        <f aca="false">IF(10=Parametri_v3!$C$33,IF(BV266&lt;MIN(12,$B266-1),0,MIN(MAX(0,SUM(Y245:Y256))*Ipotesi!$C$94,MAX(0,(BM256)-(BO265)-BP266),MAX(0,BD266-Parametri_v3!$C$31))),0)</f>
        <v>0</v>
      </c>
      <c r="AZ266" s="15" t="n">
        <f aca="false">0</f>
        <v>0</v>
      </c>
      <c r="BA266" s="15" t="n">
        <f aca="false">0</f>
        <v>0</v>
      </c>
      <c r="BB266" s="15" t="n">
        <f aca="false">0</f>
        <v>0</v>
      </c>
      <c r="BC266" s="15" t="n">
        <f aca="false">0</f>
        <v>0</v>
      </c>
      <c r="BD266" s="15" t="n">
        <f aca="false">(BH265)+AC266-AF266-AI266-AS266-K266*(1+Parametri_v3!$C$26)-AL266-AQ266-O266+AW266+AX266+AZ266+BA266-BB266</f>
        <v>-28884.7152053719</v>
      </c>
      <c r="BE266" s="15" t="n">
        <f aca="false">0</f>
        <v>0</v>
      </c>
      <c r="BF266" s="15" t="n">
        <f aca="false">0</f>
        <v>0</v>
      </c>
      <c r="BG266" s="15" t="n">
        <f aca="false">0</f>
        <v>0</v>
      </c>
      <c r="BH266" s="15" t="n">
        <f aca="false">BD266+BE266-BF266-AY266</f>
        <v>-28884.7152053719</v>
      </c>
      <c r="BI266" s="15" t="n">
        <f aca="false">MAX(0,Parametri_v3!$C$31-BH266)</f>
        <v>38884.7152053719</v>
      </c>
      <c r="BJ266" s="15" t="n">
        <f aca="false">(BJ265)+K266</f>
        <v>7166.66666666667</v>
      </c>
      <c r="BK266" s="15" t="n">
        <f aca="false">(BK265)+L266</f>
        <v>2011.57407407407</v>
      </c>
      <c r="BL266" s="15" t="n">
        <f aca="false">BJ266-BK266</f>
        <v>5155.0925925926</v>
      </c>
      <c r="BM266" s="15" t="n">
        <f aca="false">(BM265)+Y266</f>
        <v>11278.0383542432</v>
      </c>
      <c r="BN266" s="15" t="n">
        <f aca="false">(BN265)+AW266+AX266+AZ266</f>
        <v>20000</v>
      </c>
      <c r="BO266" s="15" t="n">
        <f aca="false">(BO265)+AY266</f>
        <v>0</v>
      </c>
      <c r="BP266" s="15" t="n">
        <f aca="false">MIN(Parametri_v3!$C$36*Parametri_v3!$C$35,(BP265)+IF(10=1,MAX(0,SUM(Y245:Y256))*Parametri_v3!$C$34,0))</f>
        <v>202.055759561404</v>
      </c>
      <c r="BQ266" s="15" t="n">
        <f aca="false">BN266+BM266-BO266</f>
        <v>31278.0383542432</v>
      </c>
      <c r="BR266" s="15" t="n">
        <f aca="false">BH266+AD266+BL266+MAX(0,-AM266)+MAX(0,-AR266)</f>
        <v>58355.4140069391</v>
      </c>
      <c r="BS266" s="15" t="n">
        <f aca="false">AJ266+AV266+MAX(0,AM266)+MAX(0,AR266)+BC266+BG266+BQ266+AG266</f>
        <v>58355.4140069391</v>
      </c>
      <c r="BT266" s="15" t="n">
        <f aca="false">BR266-BS266</f>
        <v>0</v>
      </c>
      <c r="BU266" s="15" t="n">
        <f aca="false">BH266-(BD266+BE266-BF266-AY266)</f>
        <v>0</v>
      </c>
      <c r="BV266" s="15" t="n">
        <f aca="false">IF(BH265&lt;Parametri_v3!$C$31,0,BV265+1)</f>
        <v>0</v>
      </c>
    </row>
    <row r="267" customFormat="false" ht="18" hidden="false" customHeight="true" outlineLevel="0" collapsed="false">
      <c r="A267" s="68" t="n">
        <f aca="false">5</f>
        <v>5</v>
      </c>
      <c r="B267" s="68" t="n">
        <f aca="false">23</f>
        <v>23</v>
      </c>
      <c r="C267" s="18" t="n">
        <f aca="false">Motore_Operativo!C267</f>
        <v>47058</v>
      </c>
      <c r="D267" s="68" t="n">
        <f aca="false">Motore_Operativo!D267</f>
        <v>2028</v>
      </c>
      <c r="E267" s="68" t="n">
        <f aca="false">Motore_Operativo!E267</f>
        <v>11</v>
      </c>
      <c r="F267" s="15" t="n">
        <f aca="false">Motore_Operativo!AM267</f>
        <v>16820.7042253521</v>
      </c>
      <c r="G267" s="15" t="n">
        <f aca="false">Motore_Operativo!BH267</f>
        <v>1682.07042253521</v>
      </c>
      <c r="H267" s="15" t="n">
        <f aca="false">Motore_Operativo!AM267</f>
        <v>16820.7042253521</v>
      </c>
      <c r="I267" s="15" t="n">
        <f aca="false">Motore_Operativo!CB267</f>
        <v>15669.979342723</v>
      </c>
      <c r="J267" s="15" t="n">
        <f aca="false">Motore_Operativo!CD267</f>
        <v>1150.72488262911</v>
      </c>
      <c r="K267" s="15" t="n">
        <f aca="false">Motore_Operativo!CF267</f>
        <v>416.666666666667</v>
      </c>
      <c r="L267" s="15" t="n">
        <f aca="false">SUM(INDEX($K$245:$K$304,MAX(1,23-Parametri_v3!$C$59+1)):K267)/Parametri_v3!$C$59</f>
        <v>210.648148148148</v>
      </c>
      <c r="M267" s="15" t="n">
        <f aca="false">J267-L267</f>
        <v>940.076734480963</v>
      </c>
      <c r="N267" s="15" t="n">
        <f aca="false">0</f>
        <v>0</v>
      </c>
      <c r="O267" s="15" t="n">
        <f aca="false">0</f>
        <v>0</v>
      </c>
      <c r="P267" s="15" t="n">
        <f aca="false">M267+N267-O267</f>
        <v>940.076734480963</v>
      </c>
      <c r="Q267" s="15" t="n">
        <f aca="false">SUM(P257:P267)+Parametri_v3!$C$56*11/12</f>
        <v>10977.4181533647</v>
      </c>
      <c r="R267" s="15" t="n">
        <f aca="false">Z256</f>
        <v>0</v>
      </c>
      <c r="S267" s="15" t="n">
        <f aca="false">AA256</f>
        <v>0</v>
      </c>
      <c r="T267" s="15" t="n">
        <f aca="false">MIN(R267,MAX(0,Q267))</f>
        <v>0</v>
      </c>
      <c r="U267" s="15" t="n">
        <f aca="false">MIN(S267,MAX(0,Q267-T267)*Parametri_v3!$C$42)</f>
        <v>0</v>
      </c>
      <c r="V267" s="15" t="n">
        <f aca="false">MAX(0,Q267-T267-U267)*Ipotesi!$C$92</f>
        <v>2634.58035680752</v>
      </c>
      <c r="W267" s="15" t="n">
        <f aca="false">MAX(0,SUM(M257:M267)+Parametri_v3!$C$57*11/12)*Ipotesi!$C$93</f>
        <v>428.119307981222</v>
      </c>
      <c r="X267" s="15" t="n">
        <f aca="false">V267+W267-(V266+W266)</f>
        <v>262.281408920189</v>
      </c>
      <c r="Y267" s="15" t="n">
        <f aca="false">P267-X267</f>
        <v>677.795325560773</v>
      </c>
      <c r="Z267" s="15" t="n">
        <f aca="false">R267-T267+IF(AND(Parametri_v3!$C$40=1,D267-YEAR(Parametri_v3!$C$50)&lt;Parametri_v3!$C$41),MAX(0,-Q267),0)</f>
        <v>0</v>
      </c>
      <c r="AA267" s="15" t="n">
        <f aca="false">S267-U267+IF(AND(Parametri_v3!$C$40=1,D267-YEAR(Parametri_v3!$C$50)&lt;Parametri_v3!$C$41),0,MAX(0,-Q267))</f>
        <v>0</v>
      </c>
      <c r="AB267" s="15" t="n">
        <f aca="false">F267*(1+Parametri_v3!$C$26)</f>
        <v>20521.2591549296</v>
      </c>
      <c r="AC267" s="15" t="n">
        <f aca="false">(IF(23-(INT((Motore_Operativo!L267)/30))&lt;1,0,INDEX(Motore_Advisory!$AB$245:$AB$304,MAX(1,23-(INT((Motore_Operativo!L267)/30)))))*(1-(MOD((Motore_Operativo!L267),30)/30))+IF(23-(INT((Motore_Operativo!L267)/30))-1&lt;1,0,INDEX(Motore_Advisory!$AB$245:$AB$304,MAX(1,23-(INT((Motore_Operativo!L267)/30))-1)))*(MOD((Motore_Operativo!L267),30)/30))</f>
        <v>20521.2591549296</v>
      </c>
      <c r="AD267" s="15" t="n">
        <f aca="false">(AD266)+AB267-AC267</f>
        <v>82085.0366197183</v>
      </c>
      <c r="AE267" s="15" t="n">
        <f aca="false">Motore_Operativo!BH267*(1+Parametri_v3!$C$26)</f>
        <v>2052.12591549296</v>
      </c>
      <c r="AF267" s="15" t="n">
        <f aca="false">(IF(23-(INT((Parametri_v3!$C$29)/30))&lt;1,0,INDEX(Motore_Operativo!$BH$245:$BH$304,MAX(1,23-(INT((Parametri_v3!$C$29)/30)))))*(1-(MOD((Parametri_v3!$C$29),30)/30))+IF(23-(INT((Parametri_v3!$C$29)/30))-1&lt;1,0,INDEX(Motore_Operativo!$BH$245:$BH$304,MAX(1,23-(INT((Parametri_v3!$C$29)/30))-1)))*(MOD((Parametri_v3!$C$29),30)/30))*(1+Parametri_v3!$C$26)</f>
        <v>2052.12591549296</v>
      </c>
      <c r="AG267" s="15" t="n">
        <f aca="false">(AG266)+AE267-AF267</f>
        <v>2052.12591549296</v>
      </c>
      <c r="AH267" s="15" t="n">
        <f aca="false">(Motore_Operativo!CK267)*(1+Parametri_v3!$C$28*Parametri_v3!$C$26)</f>
        <v>7637.71889014084</v>
      </c>
      <c r="AI267" s="15" t="n">
        <f aca="false">(IF(23-(INT((Ipotesi!$C$91)/30))&lt;1,0,INDEX(Motore_Advisory!$AH$245:$AH$304,MAX(1,23-(INT((Ipotesi!$C$91)/30)))))*(1-(MOD((Ipotesi!$C$91),30)/30))+IF(23-(INT((Ipotesi!$C$91)/30))-1&lt;1,0,INDEX(Motore_Advisory!$AH$245:$AH$304,MAX(1,23-(INT((Ipotesi!$C$91)/30))-1)))*(MOD((Ipotesi!$C$91),30)/30))</f>
        <v>7637.71889014084</v>
      </c>
      <c r="AJ267" s="15" t="n">
        <f aca="false">(AJ266)+AH267-AI267</f>
        <v>15275.4377802817</v>
      </c>
      <c r="AK267" s="15" t="n">
        <f aca="false">(F267- Motore_Operativo!BH267-(Motore_Operativo!CK267)*Parametri_v3!$C$28-Motore_Operativo!CF267)*Parametri_v3!$C$26</f>
        <v>2095.7728</v>
      </c>
      <c r="AL267" s="15" t="n">
        <f aca="false">MAX(0,(AM266))</f>
        <v>2095.7728</v>
      </c>
      <c r="AM267" s="15" t="n">
        <f aca="false">(AM266)+AK267-AL267</f>
        <v>2095.7728</v>
      </c>
      <c r="AN267" s="15" t="n">
        <f aca="false">SUM(X245:X256)</f>
        <v>1563.76024736842</v>
      </c>
      <c r="AO267" s="15" t="n">
        <f aca="false">SUM(AP245:AP256)</f>
        <v>0</v>
      </c>
      <c r="AP267" s="15" t="n">
        <f aca="false">MAX(0,AN267)*IF(11=Parametri_v3!$C$43,Parametri_v3!$C$45,IF(11=Parametri_v3!$C$44,1-Parametri_v3!$C$45,0))</f>
        <v>938.256148421054</v>
      </c>
      <c r="AQ267" s="15" t="n">
        <f aca="false">MAX(0,AP267+IF(11=Parametri_v3!$C$43,MAX(0,AN267-AO267),0)-MAX(0,-(AR266)))</f>
        <v>938.256148421054</v>
      </c>
      <c r="AR267" s="15" t="n">
        <f aca="false">(AR266)+X267-AQ267</f>
        <v>1498.93941742032</v>
      </c>
      <c r="AS267" s="15" t="n">
        <f aca="false">Motore_Operativo!AC267-AT267+AU267</f>
        <v>7118.5875</v>
      </c>
      <c r="AT267" s="15" t="n">
        <f aca="false">Motore_Operativo!CI267</f>
        <v>374.6625</v>
      </c>
      <c r="AU267" s="15" t="n">
        <f aca="false">MIN(MAX(0,(AV266)+AT267),Parametri_v3!$C$61/12)</f>
        <v>0</v>
      </c>
      <c r="AV267" s="15" t="n">
        <f aca="false">(AV266)+AT267-AU267</f>
        <v>5853.7875</v>
      </c>
      <c r="AW267" s="15" t="n">
        <f aca="false">IF(AND(Motore_Operativo!C267=Finanziamenti!$D$7,Finanziamenti!$F$7=1),Finanziamenti!$C$7,0)</f>
        <v>0</v>
      </c>
      <c r="AX267" s="15" t="n">
        <f aca="false">0</f>
        <v>0</v>
      </c>
      <c r="AY267" s="15" t="n">
        <f aca="false">IF(11=Parametri_v3!$C$33,IF(BV267&lt;MIN(12,$B267-1),0,MIN(MAX(0,SUM(Y245:Y256))*Ipotesi!$C$94,MAX(0,(BM256)-(BO266)-BP267),MAX(0,BD267-Parametri_v3!$C$31))),0)</f>
        <v>0</v>
      </c>
      <c r="AZ267" s="15" t="n">
        <f aca="false">0</f>
        <v>0</v>
      </c>
      <c r="BA267" s="15" t="n">
        <f aca="false">0</f>
        <v>0</v>
      </c>
      <c r="BB267" s="15" t="n">
        <f aca="false">0</f>
        <v>0</v>
      </c>
      <c r="BC267" s="15" t="n">
        <f aca="false">0</f>
        <v>0</v>
      </c>
      <c r="BD267" s="15" t="n">
        <f aca="false">(BH266)+AC267-AF267-AI267-AS267-K267*(1+Parametri_v3!$C$26)-AL267-AQ267-O267+AW267+AX267+AZ267+BA267-BB267</f>
        <v>-28714.2506378305</v>
      </c>
      <c r="BE267" s="15" t="n">
        <f aca="false">0</f>
        <v>0</v>
      </c>
      <c r="BF267" s="15" t="n">
        <f aca="false">0</f>
        <v>0</v>
      </c>
      <c r="BG267" s="15" t="n">
        <f aca="false">0</f>
        <v>0</v>
      </c>
      <c r="BH267" s="15" t="n">
        <f aca="false">BD267+BE267-BF267-AY267</f>
        <v>-28714.2506378305</v>
      </c>
      <c r="BI267" s="15" t="n">
        <f aca="false">MAX(0,Parametri_v3!$C$31-BH267)</f>
        <v>38714.2506378305</v>
      </c>
      <c r="BJ267" s="15" t="n">
        <f aca="false">(BJ266)+K267</f>
        <v>7583.33333333334</v>
      </c>
      <c r="BK267" s="15" t="n">
        <f aca="false">(BK266)+L267</f>
        <v>2222.22222222222</v>
      </c>
      <c r="BL267" s="15" t="n">
        <f aca="false">BJ267-BK267</f>
        <v>5361.11111111111</v>
      </c>
      <c r="BM267" s="15" t="n">
        <f aca="false">(BM266)+Y267</f>
        <v>11955.833679804</v>
      </c>
      <c r="BN267" s="15" t="n">
        <f aca="false">(BN266)+AW267+AX267+AZ267</f>
        <v>20000</v>
      </c>
      <c r="BO267" s="15" t="n">
        <f aca="false">(BO266)+AY267</f>
        <v>0</v>
      </c>
      <c r="BP267" s="15" t="n">
        <f aca="false">MIN(Parametri_v3!$C$36*Parametri_v3!$C$35,(BP266)+IF(11=1,MAX(0,SUM(Y245:Y256))*Parametri_v3!$C$34,0))</f>
        <v>202.055759561404</v>
      </c>
      <c r="BQ267" s="15" t="n">
        <f aca="false">BN267+BM267-BO267</f>
        <v>31955.833679804</v>
      </c>
      <c r="BR267" s="15" t="n">
        <f aca="false">BH267+AD267+BL267+MAX(0,-AM267)+MAX(0,-AR267)</f>
        <v>58731.897092999</v>
      </c>
      <c r="BS267" s="15" t="n">
        <f aca="false">AJ267+AV267+MAX(0,AM267)+MAX(0,AR267)+BC267+BG267+BQ267+AG267</f>
        <v>58731.897092999</v>
      </c>
      <c r="BT267" s="15" t="n">
        <f aca="false">BR267-BS267</f>
        <v>0</v>
      </c>
      <c r="BU267" s="15" t="n">
        <f aca="false">BH267-(BD267+BE267-BF267-AY267)</f>
        <v>0</v>
      </c>
      <c r="BV267" s="15" t="n">
        <f aca="false">IF(BH266&lt;Parametri_v3!$C$31,0,BV266+1)</f>
        <v>0</v>
      </c>
    </row>
    <row r="268" customFormat="false" ht="18" hidden="false" customHeight="true" outlineLevel="0" collapsed="false">
      <c r="A268" s="68" t="n">
        <f aca="false">5</f>
        <v>5</v>
      </c>
      <c r="B268" s="68" t="n">
        <f aca="false">24</f>
        <v>24</v>
      </c>
      <c r="C268" s="18" t="n">
        <f aca="false">Motore_Operativo!C268</f>
        <v>47088</v>
      </c>
      <c r="D268" s="68" t="n">
        <f aca="false">Motore_Operativo!D268</f>
        <v>2028</v>
      </c>
      <c r="E268" s="68" t="n">
        <f aca="false">Motore_Operativo!E268</f>
        <v>12</v>
      </c>
      <c r="F268" s="15" t="n">
        <f aca="false">Motore_Operativo!AM268</f>
        <v>16820.7042253521</v>
      </c>
      <c r="G268" s="15" t="n">
        <f aca="false">Motore_Operativo!BH268</f>
        <v>1682.07042253521</v>
      </c>
      <c r="H268" s="15" t="n">
        <f aca="false">Motore_Operativo!AM268</f>
        <v>16820.7042253521</v>
      </c>
      <c r="I268" s="15" t="n">
        <f aca="false">Motore_Operativo!CB268</f>
        <v>15669.979342723</v>
      </c>
      <c r="J268" s="15" t="n">
        <f aca="false">Motore_Operativo!CD268</f>
        <v>1150.72488262911</v>
      </c>
      <c r="K268" s="15" t="n">
        <f aca="false">Motore_Operativo!CF268</f>
        <v>416.666666666667</v>
      </c>
      <c r="L268" s="15" t="n">
        <f aca="false">SUM(INDEX($K$245:$K$304,MAX(1,24-Parametri_v3!$C$59+1)):K268)/Parametri_v3!$C$59</f>
        <v>222.222222222222</v>
      </c>
      <c r="M268" s="15" t="n">
        <f aca="false">J268-L268</f>
        <v>928.502660406888</v>
      </c>
      <c r="N268" s="15" t="n">
        <f aca="false">0</f>
        <v>0</v>
      </c>
      <c r="O268" s="15" t="n">
        <f aca="false">0</f>
        <v>0</v>
      </c>
      <c r="P268" s="15" t="n">
        <f aca="false">M268+N268-O268</f>
        <v>928.502660406888</v>
      </c>
      <c r="Q268" s="15" t="n">
        <f aca="false">SUM(P257:P268)+Parametri_v3!$C$56*12/12</f>
        <v>11905.9208137715</v>
      </c>
      <c r="R268" s="15" t="n">
        <f aca="false">Z256</f>
        <v>0</v>
      </c>
      <c r="S268" s="15" t="n">
        <f aca="false">AA256</f>
        <v>0</v>
      </c>
      <c r="T268" s="15" t="n">
        <f aca="false">MIN(R268,MAX(0,Q268))</f>
        <v>0</v>
      </c>
      <c r="U268" s="15" t="n">
        <f aca="false">MIN(S268,MAX(0,Q268-T268)*Parametri_v3!$C$42)</f>
        <v>0</v>
      </c>
      <c r="V268" s="15" t="n">
        <f aca="false">MAX(0,Q268-T268-U268)*Ipotesi!$C$92</f>
        <v>2857.42099530517</v>
      </c>
      <c r="W268" s="15" t="n">
        <f aca="false">MAX(0,SUM(M257:M268)+Parametri_v3!$C$57*12/12)*Ipotesi!$C$93</f>
        <v>464.33091173709</v>
      </c>
      <c r="X268" s="15" t="n">
        <f aca="false">V268+W268-(V267+W267)</f>
        <v>259.052242253521</v>
      </c>
      <c r="Y268" s="15" t="n">
        <f aca="false">P268-X268</f>
        <v>669.450418153367</v>
      </c>
      <c r="Z268" s="15" t="n">
        <f aca="false">R268-T268+IF(AND(Parametri_v3!$C$40=1,D268-YEAR(Parametri_v3!$C$50)&lt;Parametri_v3!$C$41),MAX(0,-Q268),0)</f>
        <v>0</v>
      </c>
      <c r="AA268" s="15" t="n">
        <f aca="false">S268-U268+IF(AND(Parametri_v3!$C$40=1,D268-YEAR(Parametri_v3!$C$50)&lt;Parametri_v3!$C$41),0,MAX(0,-Q268))</f>
        <v>0</v>
      </c>
      <c r="AB268" s="15" t="n">
        <f aca="false">F268*(1+Parametri_v3!$C$26)</f>
        <v>20521.2591549296</v>
      </c>
      <c r="AC268" s="15" t="n">
        <f aca="false">(IF(24-(INT((Motore_Operativo!L268)/30))&lt;1,0,INDEX(Motore_Advisory!$AB$245:$AB$304,MAX(1,24-(INT((Motore_Operativo!L268)/30)))))*(1-(MOD((Motore_Operativo!L268),30)/30))+IF(24-(INT((Motore_Operativo!L268)/30))-1&lt;1,0,INDEX(Motore_Advisory!$AB$245:$AB$304,MAX(1,24-(INT((Motore_Operativo!L268)/30))-1)))*(MOD((Motore_Operativo!L268),30)/30))</f>
        <v>20521.2591549296</v>
      </c>
      <c r="AD268" s="15" t="n">
        <f aca="false">(AD267)+AB268-AC268</f>
        <v>82085.0366197183</v>
      </c>
      <c r="AE268" s="15" t="n">
        <f aca="false">Motore_Operativo!BH268*(1+Parametri_v3!$C$26)</f>
        <v>2052.12591549296</v>
      </c>
      <c r="AF268" s="15" t="n">
        <f aca="false">(IF(24-(INT((Parametri_v3!$C$29)/30))&lt;1,0,INDEX(Motore_Operativo!$BH$245:$BH$304,MAX(1,24-(INT((Parametri_v3!$C$29)/30)))))*(1-(MOD((Parametri_v3!$C$29),30)/30))+IF(24-(INT((Parametri_v3!$C$29)/30))-1&lt;1,0,INDEX(Motore_Operativo!$BH$245:$BH$304,MAX(1,24-(INT((Parametri_v3!$C$29)/30))-1)))*(MOD((Parametri_v3!$C$29),30)/30))*(1+Parametri_v3!$C$26)</f>
        <v>2052.12591549296</v>
      </c>
      <c r="AG268" s="15" t="n">
        <f aca="false">(AG267)+AE268-AF268</f>
        <v>2052.12591549296</v>
      </c>
      <c r="AH268" s="15" t="n">
        <f aca="false">(Motore_Operativo!CK268)*(1+Parametri_v3!$C$28*Parametri_v3!$C$26)</f>
        <v>7637.71889014084</v>
      </c>
      <c r="AI268" s="15" t="n">
        <f aca="false">(IF(24-(INT((Ipotesi!$C$91)/30))&lt;1,0,INDEX(Motore_Advisory!$AH$245:$AH$304,MAX(1,24-(INT((Ipotesi!$C$91)/30)))))*(1-(MOD((Ipotesi!$C$91),30)/30))+IF(24-(INT((Ipotesi!$C$91)/30))-1&lt;1,0,INDEX(Motore_Advisory!$AH$245:$AH$304,MAX(1,24-(INT((Ipotesi!$C$91)/30))-1)))*(MOD((Ipotesi!$C$91),30)/30))</f>
        <v>7637.71889014084</v>
      </c>
      <c r="AJ268" s="15" t="n">
        <f aca="false">(AJ267)+AH268-AI268</f>
        <v>15275.4377802817</v>
      </c>
      <c r="AK268" s="15" t="n">
        <f aca="false">(F268- Motore_Operativo!BH268-(Motore_Operativo!CK268)*Parametri_v3!$C$28-Motore_Operativo!CF268)*Parametri_v3!$C$26</f>
        <v>2095.7728</v>
      </c>
      <c r="AL268" s="15" t="n">
        <f aca="false">MAX(0,(AM267))</f>
        <v>2095.7728</v>
      </c>
      <c r="AM268" s="15" t="n">
        <f aca="false">(AM267)+AK268-AL268</f>
        <v>2095.7728</v>
      </c>
      <c r="AN268" s="15" t="n">
        <f aca="false">SUM(X245:X256)</f>
        <v>1563.76024736842</v>
      </c>
      <c r="AO268" s="15" t="n">
        <f aca="false">SUM(AP245:AP256)</f>
        <v>0</v>
      </c>
      <c r="AP268" s="15" t="n">
        <f aca="false">MAX(0,AN268)*IF(12=Parametri_v3!$C$43,Parametri_v3!$C$45,IF(12=Parametri_v3!$C$44,1-Parametri_v3!$C$45,0))</f>
        <v>0</v>
      </c>
      <c r="AQ268" s="15" t="n">
        <f aca="false">MAX(0,AP268+IF(12=Parametri_v3!$C$43,MAX(0,AN268-AO268),0)-MAX(0,-(AR267)))</f>
        <v>0</v>
      </c>
      <c r="AR268" s="15" t="n">
        <f aca="false">(AR267)+X268-AQ268</f>
        <v>1757.99165967384</v>
      </c>
      <c r="AS268" s="15" t="n">
        <f aca="false">Motore_Operativo!AC268-AT268+AU268</f>
        <v>7118.5875</v>
      </c>
      <c r="AT268" s="15" t="n">
        <f aca="false">Motore_Operativo!CI268</f>
        <v>374.6625</v>
      </c>
      <c r="AU268" s="15" t="n">
        <f aca="false">MIN(MAX(0,(AV267)+AT268),Parametri_v3!$C$61/12)</f>
        <v>0</v>
      </c>
      <c r="AV268" s="15" t="n">
        <f aca="false">(AV267)+AT268-AU268</f>
        <v>6228.45</v>
      </c>
      <c r="AW268" s="15" t="n">
        <f aca="false">IF(AND(Motore_Operativo!C268=Finanziamenti!$D$7,Finanziamenti!$F$7=1),Finanziamenti!$C$7,0)</f>
        <v>0</v>
      </c>
      <c r="AX268" s="15" t="n">
        <f aca="false">0</f>
        <v>0</v>
      </c>
      <c r="AY268" s="15" t="n">
        <f aca="false">IF(12=Parametri_v3!$C$33,IF(BV268&lt;MIN(12,$B268-1),0,MIN(MAX(0,SUM(Y245:Y256))*Ipotesi!$C$94,MAX(0,(BM256)-(BO267)-BP268),MAX(0,BD268-Parametri_v3!$C$31))),0)</f>
        <v>0</v>
      </c>
      <c r="AZ268" s="15" t="n">
        <f aca="false">0</f>
        <v>0</v>
      </c>
      <c r="BA268" s="15" t="n">
        <f aca="false">0</f>
        <v>0</v>
      </c>
      <c r="BB268" s="15" t="n">
        <f aca="false">0</f>
        <v>0</v>
      </c>
      <c r="BC268" s="15" t="n">
        <f aca="false">0</f>
        <v>0</v>
      </c>
      <c r="BD268" s="15" t="n">
        <f aca="false">(BH267)+AC268-AF268-AI268-AS268-K268*(1+Parametri_v3!$C$26)-AL268-AQ268-O268+AW268+AX268+AZ268+BA268-BB268</f>
        <v>-27605.529921868</v>
      </c>
      <c r="BE268" s="15" t="n">
        <f aca="false">0</f>
        <v>0</v>
      </c>
      <c r="BF268" s="15" t="n">
        <f aca="false">0</f>
        <v>0</v>
      </c>
      <c r="BG268" s="15" t="n">
        <f aca="false">0</f>
        <v>0</v>
      </c>
      <c r="BH268" s="15" t="n">
        <f aca="false">BD268+BE268-BF268-AY268</f>
        <v>-27605.529921868</v>
      </c>
      <c r="BI268" s="15" t="n">
        <f aca="false">MAX(0,Parametri_v3!$C$31-BH268)</f>
        <v>37605.529921868</v>
      </c>
      <c r="BJ268" s="15" t="n">
        <f aca="false">(BJ267)+K268</f>
        <v>8000</v>
      </c>
      <c r="BK268" s="15" t="n">
        <f aca="false">(BK267)+L268</f>
        <v>2444.44444444445</v>
      </c>
      <c r="BL268" s="15" t="n">
        <f aca="false">BJ268-BK268</f>
        <v>5555.55555555556</v>
      </c>
      <c r="BM268" s="15" t="n">
        <f aca="false">(BM267)+Y268</f>
        <v>12625.2840979574</v>
      </c>
      <c r="BN268" s="15" t="n">
        <f aca="false">(BN267)+AW268+AX268+AZ268</f>
        <v>20000</v>
      </c>
      <c r="BO268" s="15" t="n">
        <f aca="false">(BO267)+AY268</f>
        <v>0</v>
      </c>
      <c r="BP268" s="15" t="n">
        <f aca="false">MIN(Parametri_v3!$C$36*Parametri_v3!$C$35,(BP267)+IF(12=1,MAX(0,SUM(Y245:Y256))*Parametri_v3!$C$34,0))</f>
        <v>202.055759561404</v>
      </c>
      <c r="BQ268" s="15" t="n">
        <f aca="false">BN268+BM268-BO268</f>
        <v>32625.2840979574</v>
      </c>
      <c r="BR268" s="15" t="n">
        <f aca="false">BH268+AD268+BL268+MAX(0,-AM268)+MAX(0,-AR268)</f>
        <v>60035.0622534059</v>
      </c>
      <c r="BS268" s="15" t="n">
        <f aca="false">AJ268+AV268+MAX(0,AM268)+MAX(0,AR268)+BC268+BG268+BQ268+AG268</f>
        <v>60035.0622534059</v>
      </c>
      <c r="BT268" s="15" t="n">
        <f aca="false">BR268-BS268</f>
        <v>0</v>
      </c>
      <c r="BU268" s="15" t="n">
        <f aca="false">BH268-(BD268+BE268-BF268-AY268)</f>
        <v>0</v>
      </c>
      <c r="BV268" s="15" t="n">
        <f aca="false">IF(BH267&lt;Parametri_v3!$C$31,0,BV267+1)</f>
        <v>0</v>
      </c>
    </row>
    <row r="269" customFormat="false" ht="18" hidden="false" customHeight="true" outlineLevel="0" collapsed="false">
      <c r="A269" s="68" t="n">
        <f aca="false">5</f>
        <v>5</v>
      </c>
      <c r="B269" s="68" t="n">
        <f aca="false">25</f>
        <v>25</v>
      </c>
      <c r="C269" s="18" t="n">
        <f aca="false">Motore_Operativo!C269</f>
        <v>47119</v>
      </c>
      <c r="D269" s="68" t="n">
        <f aca="false">Motore_Operativo!D269</f>
        <v>2029</v>
      </c>
      <c r="E269" s="68" t="n">
        <f aca="false">Motore_Operativo!E269</f>
        <v>1</v>
      </c>
      <c r="F269" s="15" t="n">
        <f aca="false">Motore_Operativo!AM269</f>
        <v>29947.5</v>
      </c>
      <c r="G269" s="15" t="n">
        <f aca="false">Motore_Operativo!BH269</f>
        <v>2994.75</v>
      </c>
      <c r="H269" s="15" t="n">
        <f aca="false">Motore_Operativo!AM269</f>
        <v>29947.5</v>
      </c>
      <c r="I269" s="15" t="n">
        <f aca="false">Motore_Operativo!CB269</f>
        <v>25158.25625</v>
      </c>
      <c r="J269" s="15" t="n">
        <f aca="false">Motore_Operativo!CD269</f>
        <v>4789.24374999999</v>
      </c>
      <c r="K269" s="15" t="n">
        <f aca="false">Motore_Operativo!CF269</f>
        <v>416.666666666667</v>
      </c>
      <c r="L269" s="15" t="n">
        <f aca="false">SUM(INDEX($K$245:$K$304,MAX(1,25-Parametri_v3!$C$59+1)):K269)/Parametri_v3!$C$59</f>
        <v>233.796296296296</v>
      </c>
      <c r="M269" s="15" t="n">
        <f aca="false">J269-L269</f>
        <v>4555.4474537037</v>
      </c>
      <c r="N269" s="15" t="n">
        <f aca="false">0</f>
        <v>0</v>
      </c>
      <c r="O269" s="15" t="n">
        <f aca="false">0</f>
        <v>0</v>
      </c>
      <c r="P269" s="15" t="n">
        <f aca="false">M269+N269-O269</f>
        <v>4555.4474537037</v>
      </c>
      <c r="Q269" s="15" t="n">
        <f aca="false">SUM(P269)+Parametri_v3!$C$56*1/12</f>
        <v>4555.4474537037</v>
      </c>
      <c r="R269" s="15" t="n">
        <f aca="false">Z268</f>
        <v>0</v>
      </c>
      <c r="S269" s="15" t="n">
        <f aca="false">AA268</f>
        <v>0</v>
      </c>
      <c r="T269" s="15" t="n">
        <f aca="false">MIN(R269,MAX(0,Q269))</f>
        <v>0</v>
      </c>
      <c r="U269" s="15" t="n">
        <f aca="false">MIN(S269,MAX(0,Q269-T269)*Parametri_v3!$C$42)</f>
        <v>0</v>
      </c>
      <c r="V269" s="15" t="n">
        <f aca="false">MAX(0,Q269-T269-U269)*Ipotesi!$C$92</f>
        <v>1093.30738888889</v>
      </c>
      <c r="W269" s="15" t="n">
        <f aca="false">MAX(0,SUM(M269)+Parametri_v3!$C$57*1/12)*Ipotesi!$C$93</f>
        <v>177.662450694444</v>
      </c>
      <c r="X269" s="15" t="n">
        <f aca="false">V269+W269-(0)</f>
        <v>1270.96983958333</v>
      </c>
      <c r="Y269" s="15" t="n">
        <f aca="false">P269-X269</f>
        <v>3284.47761412037</v>
      </c>
      <c r="Z269" s="15" t="n">
        <f aca="false">R269-T269+IF(AND(Parametri_v3!$C$40=1,D269-YEAR(Parametri_v3!$C$50)&lt;Parametri_v3!$C$41),MAX(0,-Q269),0)</f>
        <v>0</v>
      </c>
      <c r="AA269" s="15" t="n">
        <f aca="false">S269-U269+IF(AND(Parametri_v3!$C$40=1,D269-YEAR(Parametri_v3!$C$50)&lt;Parametri_v3!$C$41),0,MAX(0,-Q269))</f>
        <v>0</v>
      </c>
      <c r="AB269" s="15" t="n">
        <f aca="false">F269*(1+Parametri_v3!$C$26)</f>
        <v>36535.95</v>
      </c>
      <c r="AC269" s="15" t="n">
        <f aca="false">(IF(25-(INT((Motore_Operativo!L269)/30))&lt;1,0,INDEX(Motore_Advisory!$AB$245:$AB$304,MAX(1,25-(INT((Motore_Operativo!L269)/30)))))*(1-(MOD((Motore_Operativo!L269),30)/30))+IF(25-(INT((Motore_Operativo!L269)/30))-1&lt;1,0,INDEX(Motore_Advisory!$AB$245:$AB$304,MAX(1,25-(INT((Motore_Operativo!L269)/30))-1)))*(MOD((Motore_Operativo!L269),30)/30))</f>
        <v>20521.2591549296</v>
      </c>
      <c r="AD269" s="15" t="n">
        <f aca="false">(AD268)+AB269-AC269</f>
        <v>98099.7274647887</v>
      </c>
      <c r="AE269" s="15" t="n">
        <f aca="false">Motore_Operativo!BH269*(1+Parametri_v3!$C$26)</f>
        <v>3653.595</v>
      </c>
      <c r="AF269" s="15" t="n">
        <f aca="false">(IF(25-(INT((Parametri_v3!$C$29)/30))&lt;1,0,INDEX(Motore_Operativo!$BH$245:$BH$304,MAX(1,25-(INT((Parametri_v3!$C$29)/30)))))*(1-(MOD((Parametri_v3!$C$29),30)/30))+IF(25-(INT((Parametri_v3!$C$29)/30))-1&lt;1,0,INDEX(Motore_Operativo!$BH$245:$BH$304,MAX(1,25-(INT((Parametri_v3!$C$29)/30))-1)))*(MOD((Parametri_v3!$C$29),30)/30))*(1+Parametri_v3!$C$26)</f>
        <v>2052.12591549296</v>
      </c>
      <c r="AG269" s="15" t="n">
        <f aca="false">(AG268)+AE269-AF269</f>
        <v>3653.595</v>
      </c>
      <c r="AH269" s="15" t="n">
        <f aca="false">(Motore_Operativo!CK269)*(1+Parametri_v3!$C$28*Parametri_v3!$C$26)</f>
        <v>11638.6956</v>
      </c>
      <c r="AI269" s="15" t="n">
        <f aca="false">(IF(25-(INT((Ipotesi!$C$91)/30))&lt;1,0,INDEX(Motore_Advisory!$AH$245:$AH$304,MAX(1,25-(INT((Ipotesi!$C$91)/30)))))*(1-(MOD((Ipotesi!$C$91),30)/30))+IF(25-(INT((Ipotesi!$C$91)/30))-1&lt;1,0,INDEX(Motore_Advisory!$AH$245:$AH$304,MAX(1,25-(INT((Ipotesi!$C$91)/30))-1)))*(MOD((Ipotesi!$C$91),30)/30))</f>
        <v>7637.71889014084</v>
      </c>
      <c r="AJ269" s="15" t="n">
        <f aca="false">(AJ268)+AH269-AI269</f>
        <v>19276.4144901408</v>
      </c>
      <c r="AK269" s="15" t="n">
        <f aca="false">(F269- Motore_Operativo!BH269-(Motore_Operativo!CK269)*Parametri_v3!$C$28-Motore_Operativo!CF269)*Parametri_v3!$C$26</f>
        <v>4096.09273333333</v>
      </c>
      <c r="AL269" s="15" t="n">
        <f aca="false">MAX(0,(AM268))</f>
        <v>2095.7728</v>
      </c>
      <c r="AM269" s="15" t="n">
        <f aca="false">(AM268)+AK269-AL269</f>
        <v>4096.09273333333</v>
      </c>
      <c r="AN269" s="15" t="n">
        <f aca="false">SUM(X257:X268)</f>
        <v>3321.75190704226</v>
      </c>
      <c r="AO269" s="15" t="n">
        <f aca="false">SUM(AP257:AP268)</f>
        <v>1563.76024736842</v>
      </c>
      <c r="AP269" s="15" t="n">
        <f aca="false">MAX(0,AN269)*IF(1=Parametri_v3!$C$43,Parametri_v3!$C$45,IF(1=Parametri_v3!$C$44,1-Parametri_v3!$C$45,0))</f>
        <v>0</v>
      </c>
      <c r="AQ269" s="15" t="n">
        <f aca="false">MAX(0,AP269+IF(1=Parametri_v3!$C$43,MAX(0,AN269-AO269),0)-MAX(0,-(AR268)))</f>
        <v>0</v>
      </c>
      <c r="AR269" s="15" t="n">
        <f aca="false">(AR268)+X269-AQ269</f>
        <v>3028.96149925717</v>
      </c>
      <c r="AS269" s="15" t="n">
        <f aca="false">Motore_Operativo!AC269-AT269+AU269</f>
        <v>11653.3234375</v>
      </c>
      <c r="AT269" s="15" t="n">
        <f aca="false">Motore_Operativo!CI269</f>
        <v>613.3328125</v>
      </c>
      <c r="AU269" s="15" t="n">
        <f aca="false">MIN(MAX(0,(AV268)+AT269),Parametri_v3!$C$61/12)</f>
        <v>0</v>
      </c>
      <c r="AV269" s="15" t="n">
        <f aca="false">(AV268)+AT269-AU269</f>
        <v>6841.7828125</v>
      </c>
      <c r="AW269" s="15" t="n">
        <f aca="false">IF(AND(Motore_Operativo!C269=Finanziamenti!$D$7,Finanziamenti!$F$7=1),Finanziamenti!$C$7,0)</f>
        <v>0</v>
      </c>
      <c r="AX269" s="15" t="n">
        <f aca="false">0</f>
        <v>0</v>
      </c>
      <c r="AY269" s="15" t="n">
        <f aca="false">IF(1=Parametri_v3!$C$33,IF(BV269&lt;MIN(12,$B269-1),0,MIN(MAX(0,SUM(Y257:Y268))*Ipotesi!$C$94,MAX(0,(BM268)-(BO268)-BP269),MAX(0,BD269-Parametri_v3!$C$31))),0)</f>
        <v>0</v>
      </c>
      <c r="AZ269" s="15" t="n">
        <f aca="false">0</f>
        <v>0</v>
      </c>
      <c r="BA269" s="15" t="n">
        <f aca="false">0</f>
        <v>0</v>
      </c>
      <c r="BB269" s="15" t="n">
        <f aca="false">0</f>
        <v>0</v>
      </c>
      <c r="BC269" s="15" t="n">
        <f aca="false">0</f>
        <v>0</v>
      </c>
      <c r="BD269" s="15" t="n">
        <f aca="false">(BH268)+AC269-AF269-AI269-AS269-K269*(1+Parametri_v3!$C$26)-AL269-AQ269-O269+AW269+AX269+AZ269+BA269-BB269</f>
        <v>-31031.5451434056</v>
      </c>
      <c r="BE269" s="15" t="n">
        <f aca="false">0</f>
        <v>0</v>
      </c>
      <c r="BF269" s="15" t="n">
        <f aca="false">0</f>
        <v>0</v>
      </c>
      <c r="BG269" s="15" t="n">
        <f aca="false">0</f>
        <v>0</v>
      </c>
      <c r="BH269" s="15" t="n">
        <f aca="false">BD269+BE269-BF269-AY269</f>
        <v>-31031.5451434056</v>
      </c>
      <c r="BI269" s="15" t="n">
        <f aca="false">MAX(0,Parametri_v3!$C$31-BH269)</f>
        <v>41031.5451434056</v>
      </c>
      <c r="BJ269" s="15" t="n">
        <f aca="false">(BJ268)+K269</f>
        <v>8416.66666666667</v>
      </c>
      <c r="BK269" s="15" t="n">
        <f aca="false">(BK268)+L269</f>
        <v>2678.24074074074</v>
      </c>
      <c r="BL269" s="15" t="n">
        <f aca="false">BJ269-BK269</f>
        <v>5738.42592592593</v>
      </c>
      <c r="BM269" s="15" t="n">
        <f aca="false">(BM268)+Y269</f>
        <v>15909.7617120777</v>
      </c>
      <c r="BN269" s="15" t="n">
        <f aca="false">(BN268)+AW269+AX269+AZ269</f>
        <v>20000</v>
      </c>
      <c r="BO269" s="15" t="n">
        <f aca="false">(BO268)+AY269</f>
        <v>0</v>
      </c>
      <c r="BP269" s="15" t="n">
        <f aca="false">MIN(Parametri_v3!$C$36*Parametri_v3!$C$35,(BP268)+IF(1=1,MAX(0,SUM(Y257:Y268))*Parametri_v3!$C$34,0))</f>
        <v>631.264204897868</v>
      </c>
      <c r="BQ269" s="15" t="n">
        <f aca="false">BN269+BM269-BO269</f>
        <v>35909.7617120777</v>
      </c>
      <c r="BR269" s="15" t="n">
        <f aca="false">BH269+AD269+BL269+MAX(0,-AM269)+MAX(0,-AR269)</f>
        <v>72806.6082473091</v>
      </c>
      <c r="BS269" s="15" t="n">
        <f aca="false">AJ269+AV269+MAX(0,AM269)+MAX(0,AR269)+BC269+BG269+BQ269+AG269</f>
        <v>72806.6082473091</v>
      </c>
      <c r="BT269" s="15" t="n">
        <f aca="false">BR269-BS269</f>
        <v>0</v>
      </c>
      <c r="BU269" s="15" t="n">
        <f aca="false">BH269-(BD269+BE269-BF269-AY269)</f>
        <v>0</v>
      </c>
      <c r="BV269" s="15" t="n">
        <f aca="false">IF(BH268&lt;Parametri_v3!$C$31,0,BV268+1)</f>
        <v>0</v>
      </c>
    </row>
    <row r="270" customFormat="false" ht="18" hidden="false" customHeight="true" outlineLevel="0" collapsed="false">
      <c r="A270" s="68" t="n">
        <f aca="false">5</f>
        <v>5</v>
      </c>
      <c r="B270" s="68" t="n">
        <f aca="false">26</f>
        <v>26</v>
      </c>
      <c r="C270" s="18" t="n">
        <f aca="false">Motore_Operativo!C270</f>
        <v>47150</v>
      </c>
      <c r="D270" s="68" t="n">
        <f aca="false">Motore_Operativo!D270</f>
        <v>2029</v>
      </c>
      <c r="E270" s="68" t="n">
        <f aca="false">Motore_Operativo!E270</f>
        <v>2</v>
      </c>
      <c r="F270" s="15" t="n">
        <f aca="false">Motore_Operativo!AM270</f>
        <v>29947.5</v>
      </c>
      <c r="G270" s="15" t="n">
        <f aca="false">Motore_Operativo!BH270</f>
        <v>2994.75</v>
      </c>
      <c r="H270" s="15" t="n">
        <f aca="false">Motore_Operativo!AM270</f>
        <v>29947.5</v>
      </c>
      <c r="I270" s="15" t="n">
        <f aca="false">Motore_Operativo!CB270</f>
        <v>25158.25625</v>
      </c>
      <c r="J270" s="15" t="n">
        <f aca="false">Motore_Operativo!CD270</f>
        <v>4789.24374999999</v>
      </c>
      <c r="K270" s="15" t="n">
        <f aca="false">Motore_Operativo!CF270</f>
        <v>416.666666666667</v>
      </c>
      <c r="L270" s="15" t="n">
        <f aca="false">SUM(INDEX($K$245:$K$304,MAX(1,26-Parametri_v3!$C$59+1)):K270)/Parametri_v3!$C$59</f>
        <v>245.37037037037</v>
      </c>
      <c r="M270" s="15" t="n">
        <f aca="false">J270-L270</f>
        <v>4543.87337962962</v>
      </c>
      <c r="N270" s="15" t="n">
        <f aca="false">0</f>
        <v>0</v>
      </c>
      <c r="O270" s="15" t="n">
        <f aca="false">0</f>
        <v>0</v>
      </c>
      <c r="P270" s="15" t="n">
        <f aca="false">M270+N270-O270</f>
        <v>4543.87337962962</v>
      </c>
      <c r="Q270" s="15" t="n">
        <f aca="false">SUM(P269:P270)+Parametri_v3!$C$56*2/12</f>
        <v>9099.32083333332</v>
      </c>
      <c r="R270" s="15" t="n">
        <f aca="false">Z268</f>
        <v>0</v>
      </c>
      <c r="S270" s="15" t="n">
        <f aca="false">AA268</f>
        <v>0</v>
      </c>
      <c r="T270" s="15" t="n">
        <f aca="false">MIN(R270,MAX(0,Q270))</f>
        <v>0</v>
      </c>
      <c r="U270" s="15" t="n">
        <f aca="false">MIN(S270,MAX(0,Q270-T270)*Parametri_v3!$C$42)</f>
        <v>0</v>
      </c>
      <c r="V270" s="15" t="n">
        <f aca="false">MAX(0,Q270-T270-U270)*Ipotesi!$C$92</f>
        <v>2183.837</v>
      </c>
      <c r="W270" s="15" t="n">
        <f aca="false">MAX(0,SUM(M269:M270)+Parametri_v3!$C$57*2/12)*Ipotesi!$C$93</f>
        <v>354.8735125</v>
      </c>
      <c r="X270" s="15" t="n">
        <f aca="false">V270+W270-(V269+W269)</f>
        <v>1267.74067291666</v>
      </c>
      <c r="Y270" s="15" t="n">
        <f aca="false">P270-X270</f>
        <v>3276.13270671296</v>
      </c>
      <c r="Z270" s="15" t="n">
        <f aca="false">R270-T270+IF(AND(Parametri_v3!$C$40=1,D270-YEAR(Parametri_v3!$C$50)&lt;Parametri_v3!$C$41),MAX(0,-Q270),0)</f>
        <v>0</v>
      </c>
      <c r="AA270" s="15" t="n">
        <f aca="false">S270-U270+IF(AND(Parametri_v3!$C$40=1,D270-YEAR(Parametri_v3!$C$50)&lt;Parametri_v3!$C$41),0,MAX(0,-Q270))</f>
        <v>0</v>
      </c>
      <c r="AB270" s="15" t="n">
        <f aca="false">F270*(1+Parametri_v3!$C$26)</f>
        <v>36535.95</v>
      </c>
      <c r="AC270" s="15" t="n">
        <f aca="false">(IF(26-(INT((Motore_Operativo!L270)/30))&lt;1,0,INDEX(Motore_Advisory!$AB$245:$AB$304,MAX(1,26-(INT((Motore_Operativo!L270)/30)))))*(1-(MOD((Motore_Operativo!L270),30)/30))+IF(26-(INT((Motore_Operativo!L270)/30))-1&lt;1,0,INDEX(Motore_Advisory!$AB$245:$AB$304,MAX(1,26-(INT((Motore_Operativo!L270)/30))-1)))*(MOD((Motore_Operativo!L270),30)/30))</f>
        <v>20521.2591549296</v>
      </c>
      <c r="AD270" s="15" t="n">
        <f aca="false">(AD269)+AB270-AC270</f>
        <v>114114.418309859</v>
      </c>
      <c r="AE270" s="15" t="n">
        <f aca="false">Motore_Operativo!BH270*(1+Parametri_v3!$C$26)</f>
        <v>3653.595</v>
      </c>
      <c r="AF270" s="15" t="n">
        <f aca="false">(IF(26-(INT((Parametri_v3!$C$29)/30))&lt;1,0,INDEX(Motore_Operativo!$BH$245:$BH$304,MAX(1,26-(INT((Parametri_v3!$C$29)/30)))))*(1-(MOD((Parametri_v3!$C$29),30)/30))+IF(26-(INT((Parametri_v3!$C$29)/30))-1&lt;1,0,INDEX(Motore_Operativo!$BH$245:$BH$304,MAX(1,26-(INT((Parametri_v3!$C$29)/30))-1)))*(MOD((Parametri_v3!$C$29),30)/30))*(1+Parametri_v3!$C$26)</f>
        <v>3653.595</v>
      </c>
      <c r="AG270" s="15" t="n">
        <f aca="false">(AG269)+AE270-AF270</f>
        <v>3653.595</v>
      </c>
      <c r="AH270" s="15" t="n">
        <f aca="false">(Motore_Operativo!CK270)*(1+Parametri_v3!$C$28*Parametri_v3!$C$26)</f>
        <v>11638.6956</v>
      </c>
      <c r="AI270" s="15" t="n">
        <f aca="false">(IF(26-(INT((Ipotesi!$C$91)/30))&lt;1,0,INDEX(Motore_Advisory!$AH$245:$AH$304,MAX(1,26-(INT((Ipotesi!$C$91)/30)))))*(1-(MOD((Ipotesi!$C$91),30)/30))+IF(26-(INT((Ipotesi!$C$91)/30))-1&lt;1,0,INDEX(Motore_Advisory!$AH$245:$AH$304,MAX(1,26-(INT((Ipotesi!$C$91)/30))-1)))*(MOD((Ipotesi!$C$91),30)/30))</f>
        <v>7637.71889014084</v>
      </c>
      <c r="AJ270" s="15" t="n">
        <f aca="false">(AJ269)+AH270-AI270</f>
        <v>23277.3912</v>
      </c>
      <c r="AK270" s="15" t="n">
        <f aca="false">(F270- Motore_Operativo!BH270-(Motore_Operativo!CK270)*Parametri_v3!$C$28-Motore_Operativo!CF270)*Parametri_v3!$C$26</f>
        <v>4096.09273333333</v>
      </c>
      <c r="AL270" s="15" t="n">
        <f aca="false">MAX(0,(AM269))</f>
        <v>4096.09273333333</v>
      </c>
      <c r="AM270" s="15" t="n">
        <f aca="false">(AM269)+AK270-AL270</f>
        <v>4096.09273333333</v>
      </c>
      <c r="AN270" s="15" t="n">
        <f aca="false">SUM(X257:X268)</f>
        <v>3321.75190704226</v>
      </c>
      <c r="AO270" s="15" t="n">
        <f aca="false">SUM(AP257:AP268)</f>
        <v>1563.76024736842</v>
      </c>
      <c r="AP270" s="15" t="n">
        <f aca="false">MAX(0,AN270)*IF(2=Parametri_v3!$C$43,Parametri_v3!$C$45,IF(2=Parametri_v3!$C$44,1-Parametri_v3!$C$45,0))</f>
        <v>0</v>
      </c>
      <c r="AQ270" s="15" t="n">
        <f aca="false">MAX(0,AP270+IF(2=Parametri_v3!$C$43,MAX(0,AN270-AO270),0)-MAX(0,-(AR269)))</f>
        <v>0</v>
      </c>
      <c r="AR270" s="15" t="n">
        <f aca="false">(AR269)+X270-AQ270</f>
        <v>4296.70217217384</v>
      </c>
      <c r="AS270" s="15" t="n">
        <f aca="false">Motore_Operativo!AC270-AT270+AU270</f>
        <v>11653.3234375</v>
      </c>
      <c r="AT270" s="15" t="n">
        <f aca="false">Motore_Operativo!CI270</f>
        <v>613.3328125</v>
      </c>
      <c r="AU270" s="15" t="n">
        <f aca="false">MIN(MAX(0,(AV269)+AT270),Parametri_v3!$C$61/12)</f>
        <v>0</v>
      </c>
      <c r="AV270" s="15" t="n">
        <f aca="false">(AV269)+AT270-AU270</f>
        <v>7455.115625</v>
      </c>
      <c r="AW270" s="15" t="n">
        <f aca="false">IF(AND(Motore_Operativo!C270=Finanziamenti!$D$7,Finanziamenti!$F$7=1),Finanziamenti!$C$7,0)</f>
        <v>0</v>
      </c>
      <c r="AX270" s="15" t="n">
        <f aca="false">0</f>
        <v>0</v>
      </c>
      <c r="AY270" s="15" t="n">
        <f aca="false">IF(2=Parametri_v3!$C$33,IF(BV270&lt;MIN(12,$B270-1),0,MIN(MAX(0,SUM(Y257:Y268))*Ipotesi!$C$94,MAX(0,(BM268)-(BO269)-BP270),MAX(0,BD270-Parametri_v3!$C$31))),0)</f>
        <v>0</v>
      </c>
      <c r="AZ270" s="15" t="n">
        <f aca="false">0</f>
        <v>0</v>
      </c>
      <c r="BA270" s="15" t="n">
        <f aca="false">0</f>
        <v>0</v>
      </c>
      <c r="BB270" s="15" t="n">
        <f aca="false">0</f>
        <v>0</v>
      </c>
      <c r="BC270" s="15" t="n">
        <f aca="false">0</f>
        <v>0</v>
      </c>
      <c r="BD270" s="15" t="n">
        <f aca="false">(BH269)+AC270-AF270-AI270-AS270-K270*(1+Parametri_v3!$C$26)-AL270-AQ270-O270+AW270+AX270+AZ270+BA270-BB270</f>
        <v>-38059.3493827835</v>
      </c>
      <c r="BE270" s="15" t="n">
        <f aca="false">0</f>
        <v>0</v>
      </c>
      <c r="BF270" s="15" t="n">
        <f aca="false">0</f>
        <v>0</v>
      </c>
      <c r="BG270" s="15" t="n">
        <f aca="false">0</f>
        <v>0</v>
      </c>
      <c r="BH270" s="15" t="n">
        <f aca="false">BD270+BE270-BF270-AY270</f>
        <v>-38059.3493827835</v>
      </c>
      <c r="BI270" s="15" t="n">
        <f aca="false">MAX(0,Parametri_v3!$C$31-BH270)</f>
        <v>48059.3493827835</v>
      </c>
      <c r="BJ270" s="15" t="n">
        <f aca="false">(BJ269)+K270</f>
        <v>8833.33333333334</v>
      </c>
      <c r="BK270" s="15" t="n">
        <f aca="false">(BK269)+L270</f>
        <v>2923.61111111111</v>
      </c>
      <c r="BL270" s="15" t="n">
        <f aca="false">BJ270-BK270</f>
        <v>5909.72222222222</v>
      </c>
      <c r="BM270" s="15" t="n">
        <f aca="false">(BM269)+Y270</f>
        <v>19185.8944187907</v>
      </c>
      <c r="BN270" s="15" t="n">
        <f aca="false">(BN269)+AW270+AX270+AZ270</f>
        <v>20000</v>
      </c>
      <c r="BO270" s="15" t="n">
        <f aca="false">(BO269)+AY270</f>
        <v>0</v>
      </c>
      <c r="BP270" s="15" t="n">
        <f aca="false">MIN(Parametri_v3!$C$36*Parametri_v3!$C$35,(BP269)+IF(2=1,MAX(0,SUM(Y257:Y268))*Parametri_v3!$C$34,0))</f>
        <v>631.264204897868</v>
      </c>
      <c r="BQ270" s="15" t="n">
        <f aca="false">BN270+BM270-BO270</f>
        <v>39185.8944187907</v>
      </c>
      <c r="BR270" s="15" t="n">
        <f aca="false">BH270+AD270+BL270+MAX(0,-AM270)+MAX(0,-AR270)</f>
        <v>81964.7911492979</v>
      </c>
      <c r="BS270" s="15" t="n">
        <f aca="false">AJ270+AV270+MAX(0,AM270)+MAX(0,AR270)+BC270+BG270+BQ270+AG270</f>
        <v>81964.7911492979</v>
      </c>
      <c r="BT270" s="15" t="n">
        <f aca="false">BR270-BS270</f>
        <v>0</v>
      </c>
      <c r="BU270" s="15" t="n">
        <f aca="false">BH270-(BD270+BE270-BF270-AY270)</f>
        <v>0</v>
      </c>
      <c r="BV270" s="15" t="n">
        <f aca="false">IF(BH269&lt;Parametri_v3!$C$31,0,BV269+1)</f>
        <v>0</v>
      </c>
    </row>
    <row r="271" customFormat="false" ht="18" hidden="false" customHeight="true" outlineLevel="0" collapsed="false">
      <c r="A271" s="68" t="n">
        <f aca="false">5</f>
        <v>5</v>
      </c>
      <c r="B271" s="68" t="n">
        <f aca="false">27</f>
        <v>27</v>
      </c>
      <c r="C271" s="18" t="n">
        <f aca="false">Motore_Operativo!C271</f>
        <v>47178</v>
      </c>
      <c r="D271" s="68" t="n">
        <f aca="false">Motore_Operativo!D271</f>
        <v>2029</v>
      </c>
      <c r="E271" s="68" t="n">
        <f aca="false">Motore_Operativo!E271</f>
        <v>3</v>
      </c>
      <c r="F271" s="15" t="n">
        <f aca="false">Motore_Operativo!AM271</f>
        <v>29947.5</v>
      </c>
      <c r="G271" s="15" t="n">
        <f aca="false">Motore_Operativo!BH271</f>
        <v>2994.75</v>
      </c>
      <c r="H271" s="15" t="n">
        <f aca="false">Motore_Operativo!AM271</f>
        <v>29947.5</v>
      </c>
      <c r="I271" s="15" t="n">
        <f aca="false">Motore_Operativo!CB271</f>
        <v>25158.25625</v>
      </c>
      <c r="J271" s="15" t="n">
        <f aca="false">Motore_Operativo!CD271</f>
        <v>4789.24374999999</v>
      </c>
      <c r="K271" s="15" t="n">
        <f aca="false">Motore_Operativo!CF271</f>
        <v>416.666666666667</v>
      </c>
      <c r="L271" s="15" t="n">
        <f aca="false">SUM(INDEX($K$245:$K$304,MAX(1,27-Parametri_v3!$C$59+1)):K271)/Parametri_v3!$C$59</f>
        <v>256.944444444444</v>
      </c>
      <c r="M271" s="15" t="n">
        <f aca="false">J271-L271</f>
        <v>4532.29930555555</v>
      </c>
      <c r="N271" s="15" t="n">
        <f aca="false">0</f>
        <v>0</v>
      </c>
      <c r="O271" s="15" t="n">
        <f aca="false">0</f>
        <v>0</v>
      </c>
      <c r="P271" s="15" t="n">
        <f aca="false">M271+N271-O271</f>
        <v>4532.29930555555</v>
      </c>
      <c r="Q271" s="15" t="n">
        <f aca="false">SUM(P269:P271)+Parametri_v3!$C$56*3/12</f>
        <v>13631.6201388889</v>
      </c>
      <c r="R271" s="15" t="n">
        <f aca="false">Z268</f>
        <v>0</v>
      </c>
      <c r="S271" s="15" t="n">
        <f aca="false">AA268</f>
        <v>0</v>
      </c>
      <c r="T271" s="15" t="n">
        <f aca="false">MIN(R271,MAX(0,Q271))</f>
        <v>0</v>
      </c>
      <c r="U271" s="15" t="n">
        <f aca="false">MIN(S271,MAX(0,Q271-T271)*Parametri_v3!$C$42)</f>
        <v>0</v>
      </c>
      <c r="V271" s="15" t="n">
        <f aca="false">MAX(0,Q271-T271-U271)*Ipotesi!$C$92</f>
        <v>3271.58883333333</v>
      </c>
      <c r="W271" s="15" t="n">
        <f aca="false">MAX(0,SUM(M269:M271)+Parametri_v3!$C$57*3/12)*Ipotesi!$C$93</f>
        <v>531.633185416666</v>
      </c>
      <c r="X271" s="15" t="n">
        <f aca="false">V271+W271-(V270+W270)</f>
        <v>1264.51150625</v>
      </c>
      <c r="Y271" s="15" t="n">
        <f aca="false">P271-X271</f>
        <v>3267.78779930555</v>
      </c>
      <c r="Z271" s="15" t="n">
        <f aca="false">R271-T271+IF(AND(Parametri_v3!$C$40=1,D271-YEAR(Parametri_v3!$C$50)&lt;Parametri_v3!$C$41),MAX(0,-Q271),0)</f>
        <v>0</v>
      </c>
      <c r="AA271" s="15" t="n">
        <f aca="false">S271-U271+IF(AND(Parametri_v3!$C$40=1,D271-YEAR(Parametri_v3!$C$50)&lt;Parametri_v3!$C$41),0,MAX(0,-Q271))</f>
        <v>0</v>
      </c>
      <c r="AB271" s="15" t="n">
        <f aca="false">F271*(1+Parametri_v3!$C$26)</f>
        <v>36535.95</v>
      </c>
      <c r="AC271" s="15" t="n">
        <f aca="false">(IF(27-(INT((Motore_Operativo!L271)/30))&lt;1,0,INDEX(Motore_Advisory!$AB$245:$AB$304,MAX(1,27-(INT((Motore_Operativo!L271)/30)))))*(1-(MOD((Motore_Operativo!L271),30)/30))+IF(27-(INT((Motore_Operativo!L271)/30))-1&lt;1,0,INDEX(Motore_Advisory!$AB$245:$AB$304,MAX(1,27-(INT((Motore_Operativo!L271)/30))-1)))*(MOD((Motore_Operativo!L271),30)/30))</f>
        <v>20521.2591549296</v>
      </c>
      <c r="AD271" s="15" t="n">
        <f aca="false">(AD270)+AB271-AC271</f>
        <v>130129.10915493</v>
      </c>
      <c r="AE271" s="15" t="n">
        <f aca="false">Motore_Operativo!BH271*(1+Parametri_v3!$C$26)</f>
        <v>3653.595</v>
      </c>
      <c r="AF271" s="15" t="n">
        <f aca="false">(IF(27-(INT((Parametri_v3!$C$29)/30))&lt;1,0,INDEX(Motore_Operativo!$BH$245:$BH$304,MAX(1,27-(INT((Parametri_v3!$C$29)/30)))))*(1-(MOD((Parametri_v3!$C$29),30)/30))+IF(27-(INT((Parametri_v3!$C$29)/30))-1&lt;1,0,INDEX(Motore_Operativo!$BH$245:$BH$304,MAX(1,27-(INT((Parametri_v3!$C$29)/30))-1)))*(MOD((Parametri_v3!$C$29),30)/30))*(1+Parametri_v3!$C$26)</f>
        <v>3653.595</v>
      </c>
      <c r="AG271" s="15" t="n">
        <f aca="false">(AG270)+AE271-AF271</f>
        <v>3653.595</v>
      </c>
      <c r="AH271" s="15" t="n">
        <f aca="false">(Motore_Operativo!CK271)*(1+Parametri_v3!$C$28*Parametri_v3!$C$26)</f>
        <v>11638.6956</v>
      </c>
      <c r="AI271" s="15" t="n">
        <f aca="false">(IF(27-(INT((Ipotesi!$C$91)/30))&lt;1,0,INDEX(Motore_Advisory!$AH$245:$AH$304,MAX(1,27-(INT((Ipotesi!$C$91)/30)))))*(1-(MOD((Ipotesi!$C$91),30)/30))+IF(27-(INT((Ipotesi!$C$91)/30))-1&lt;1,0,INDEX(Motore_Advisory!$AH$245:$AH$304,MAX(1,27-(INT((Ipotesi!$C$91)/30))-1)))*(MOD((Ipotesi!$C$91),30)/30))</f>
        <v>11638.6956</v>
      </c>
      <c r="AJ271" s="15" t="n">
        <f aca="false">(AJ270)+AH271-AI271</f>
        <v>23277.3912</v>
      </c>
      <c r="AK271" s="15" t="n">
        <f aca="false">(F271- Motore_Operativo!BH271-(Motore_Operativo!CK271)*Parametri_v3!$C$28-Motore_Operativo!CF271)*Parametri_v3!$C$26</f>
        <v>4096.09273333333</v>
      </c>
      <c r="AL271" s="15" t="n">
        <f aca="false">MAX(0,(AM270))</f>
        <v>4096.09273333333</v>
      </c>
      <c r="AM271" s="15" t="n">
        <f aca="false">(AM270)+AK271-AL271</f>
        <v>4096.09273333333</v>
      </c>
      <c r="AN271" s="15" t="n">
        <f aca="false">SUM(X257:X268)</f>
        <v>3321.75190704226</v>
      </c>
      <c r="AO271" s="15" t="n">
        <f aca="false">SUM(AP257:AP268)</f>
        <v>1563.76024736842</v>
      </c>
      <c r="AP271" s="15" t="n">
        <f aca="false">MAX(0,AN271)*IF(3=Parametri_v3!$C$43,Parametri_v3!$C$45,IF(3=Parametri_v3!$C$44,1-Parametri_v3!$C$45,0))</f>
        <v>0</v>
      </c>
      <c r="AQ271" s="15" t="n">
        <f aca="false">MAX(0,AP271+IF(3=Parametri_v3!$C$43,MAX(0,AN271-AO271),0)-MAX(0,-(AR270)))</f>
        <v>0</v>
      </c>
      <c r="AR271" s="15" t="n">
        <f aca="false">(AR270)+X271-AQ271</f>
        <v>5561.21367842383</v>
      </c>
      <c r="AS271" s="15" t="n">
        <f aca="false">Motore_Operativo!AC271-AT271+AU271</f>
        <v>11653.3234375</v>
      </c>
      <c r="AT271" s="15" t="n">
        <f aca="false">Motore_Operativo!CI271</f>
        <v>613.3328125</v>
      </c>
      <c r="AU271" s="15" t="n">
        <f aca="false">MIN(MAX(0,(AV270)+AT271),Parametri_v3!$C$61/12)</f>
        <v>0</v>
      </c>
      <c r="AV271" s="15" t="n">
        <f aca="false">(AV270)+AT271-AU271</f>
        <v>8068.4484375</v>
      </c>
      <c r="AW271" s="15" t="n">
        <f aca="false">IF(AND(Motore_Operativo!C271=Finanziamenti!$D$7,Finanziamenti!$F$7=1),Finanziamenti!$C$7,0)</f>
        <v>0</v>
      </c>
      <c r="AX271" s="15" t="n">
        <f aca="false">0</f>
        <v>0</v>
      </c>
      <c r="AY271" s="15" t="n">
        <f aca="false">IF(3=Parametri_v3!$C$33,IF(BV271&lt;MIN(12,$B271-1),0,MIN(MAX(0,SUM(Y257:Y268))*Ipotesi!$C$94,MAX(0,(BM268)-(BO270)-BP271),MAX(0,BD271-Parametri_v3!$C$31))),0)</f>
        <v>0</v>
      </c>
      <c r="AZ271" s="15" t="n">
        <f aca="false">0</f>
        <v>0</v>
      </c>
      <c r="BA271" s="15" t="n">
        <f aca="false">0</f>
        <v>0</v>
      </c>
      <c r="BB271" s="15" t="n">
        <f aca="false">0</f>
        <v>0</v>
      </c>
      <c r="BC271" s="15" t="n">
        <f aca="false">0</f>
        <v>0</v>
      </c>
      <c r="BD271" s="15" t="n">
        <f aca="false">(BH270)+AC271-AF271-AI271-AS271-K271*(1+Parametri_v3!$C$26)-AL271-AQ271-O271+AW271+AX271+AZ271+BA271-BB271</f>
        <v>-49088.1303320206</v>
      </c>
      <c r="BE271" s="15" t="n">
        <f aca="false">0</f>
        <v>0</v>
      </c>
      <c r="BF271" s="15" t="n">
        <f aca="false">0</f>
        <v>0</v>
      </c>
      <c r="BG271" s="15" t="n">
        <f aca="false">0</f>
        <v>0</v>
      </c>
      <c r="BH271" s="15" t="n">
        <f aca="false">BD271+BE271-BF271-AY271</f>
        <v>-49088.1303320206</v>
      </c>
      <c r="BI271" s="15" t="n">
        <f aca="false">MAX(0,Parametri_v3!$C$31-BH271)</f>
        <v>59088.1303320206</v>
      </c>
      <c r="BJ271" s="15" t="n">
        <f aca="false">(BJ270)+K271</f>
        <v>9250</v>
      </c>
      <c r="BK271" s="15" t="n">
        <f aca="false">(BK270)+L271</f>
        <v>3180.55555555556</v>
      </c>
      <c r="BL271" s="15" t="n">
        <f aca="false">BJ271-BK271</f>
        <v>6069.44444444445</v>
      </c>
      <c r="BM271" s="15" t="n">
        <f aca="false">(BM270)+Y271</f>
        <v>22453.6822180962</v>
      </c>
      <c r="BN271" s="15" t="n">
        <f aca="false">(BN270)+AW271+AX271+AZ271</f>
        <v>20000</v>
      </c>
      <c r="BO271" s="15" t="n">
        <f aca="false">(BO270)+AY271</f>
        <v>0</v>
      </c>
      <c r="BP271" s="15" t="n">
        <f aca="false">MIN(Parametri_v3!$C$36*Parametri_v3!$C$35,(BP270)+IF(3=1,MAX(0,SUM(Y257:Y268))*Parametri_v3!$C$34,0))</f>
        <v>631.264204897868</v>
      </c>
      <c r="BQ271" s="15" t="n">
        <f aca="false">BN271+BM271-BO271</f>
        <v>42453.6822180962</v>
      </c>
      <c r="BR271" s="15" t="n">
        <f aca="false">BH271+AD271+BL271+MAX(0,-AM271)+MAX(0,-AR271)</f>
        <v>87110.4232673534</v>
      </c>
      <c r="BS271" s="15" t="n">
        <f aca="false">AJ271+AV271+MAX(0,AM271)+MAX(0,AR271)+BC271+BG271+BQ271+AG271</f>
        <v>87110.4232673534</v>
      </c>
      <c r="BT271" s="15" t="n">
        <f aca="false">BR271-BS271</f>
        <v>0</v>
      </c>
      <c r="BU271" s="15" t="n">
        <f aca="false">BH271-(BD271+BE271-BF271-AY271)</f>
        <v>0</v>
      </c>
      <c r="BV271" s="15" t="n">
        <f aca="false">IF(BH270&lt;Parametri_v3!$C$31,0,BV270+1)</f>
        <v>0</v>
      </c>
    </row>
    <row r="272" customFormat="false" ht="18" hidden="false" customHeight="true" outlineLevel="0" collapsed="false">
      <c r="A272" s="68" t="n">
        <f aca="false">5</f>
        <v>5</v>
      </c>
      <c r="B272" s="68" t="n">
        <f aca="false">28</f>
        <v>28</v>
      </c>
      <c r="C272" s="18" t="n">
        <f aca="false">Motore_Operativo!C272</f>
        <v>47209</v>
      </c>
      <c r="D272" s="68" t="n">
        <f aca="false">Motore_Operativo!D272</f>
        <v>2029</v>
      </c>
      <c r="E272" s="68" t="n">
        <f aca="false">Motore_Operativo!E272</f>
        <v>4</v>
      </c>
      <c r="F272" s="15" t="n">
        <f aca="false">Motore_Operativo!AM272</f>
        <v>29947.5</v>
      </c>
      <c r="G272" s="15" t="n">
        <f aca="false">Motore_Operativo!BH272</f>
        <v>2994.75</v>
      </c>
      <c r="H272" s="15" t="n">
        <f aca="false">Motore_Operativo!AM272</f>
        <v>29947.5</v>
      </c>
      <c r="I272" s="15" t="n">
        <f aca="false">Motore_Operativo!CB272</f>
        <v>25158.25625</v>
      </c>
      <c r="J272" s="15" t="n">
        <f aca="false">Motore_Operativo!CD272</f>
        <v>4789.24374999999</v>
      </c>
      <c r="K272" s="15" t="n">
        <f aca="false">Motore_Operativo!CF272</f>
        <v>416.666666666667</v>
      </c>
      <c r="L272" s="15" t="n">
        <f aca="false">SUM(INDEX($K$245:$K$304,MAX(1,28-Parametri_v3!$C$59+1)):K272)/Parametri_v3!$C$59</f>
        <v>268.518518518519</v>
      </c>
      <c r="M272" s="15" t="n">
        <f aca="false">J272-L272</f>
        <v>4520.72523148148</v>
      </c>
      <c r="N272" s="15" t="n">
        <f aca="false">0</f>
        <v>0</v>
      </c>
      <c r="O272" s="15" t="n">
        <f aca="false">0</f>
        <v>0</v>
      </c>
      <c r="P272" s="15" t="n">
        <f aca="false">M272+N272-O272</f>
        <v>4520.72523148148</v>
      </c>
      <c r="Q272" s="15" t="n">
        <f aca="false">SUM(P269:P272)+Parametri_v3!$C$56*4/12</f>
        <v>18152.3453703704</v>
      </c>
      <c r="R272" s="15" t="n">
        <f aca="false">Z268</f>
        <v>0</v>
      </c>
      <c r="S272" s="15" t="n">
        <f aca="false">AA268</f>
        <v>0</v>
      </c>
      <c r="T272" s="15" t="n">
        <f aca="false">MIN(R272,MAX(0,Q272))</f>
        <v>0</v>
      </c>
      <c r="U272" s="15" t="n">
        <f aca="false">MIN(S272,MAX(0,Q272-T272)*Parametri_v3!$C$42)</f>
        <v>0</v>
      </c>
      <c r="V272" s="15" t="n">
        <f aca="false">MAX(0,Q272-T272-U272)*Ipotesi!$C$92</f>
        <v>4356.56288888888</v>
      </c>
      <c r="W272" s="15" t="n">
        <f aca="false">MAX(0,SUM(M269:M272)+Parametri_v3!$C$57*4/12)*Ipotesi!$C$93</f>
        <v>707.941469444444</v>
      </c>
      <c r="X272" s="15" t="n">
        <f aca="false">V272+W272-(V271+W271)</f>
        <v>1261.28233958333</v>
      </c>
      <c r="Y272" s="15" t="n">
        <f aca="false">P272-X272</f>
        <v>3259.44289189814</v>
      </c>
      <c r="Z272" s="15" t="n">
        <f aca="false">R272-T272+IF(AND(Parametri_v3!$C$40=1,D272-YEAR(Parametri_v3!$C$50)&lt;Parametri_v3!$C$41),MAX(0,-Q272),0)</f>
        <v>0</v>
      </c>
      <c r="AA272" s="15" t="n">
        <f aca="false">S272-U272+IF(AND(Parametri_v3!$C$40=1,D272-YEAR(Parametri_v3!$C$50)&lt;Parametri_v3!$C$41),0,MAX(0,-Q272))</f>
        <v>0</v>
      </c>
      <c r="AB272" s="15" t="n">
        <f aca="false">F272*(1+Parametri_v3!$C$26)</f>
        <v>36535.95</v>
      </c>
      <c r="AC272" s="15" t="n">
        <f aca="false">(IF(28-(INT((Motore_Operativo!L272)/30))&lt;1,0,INDEX(Motore_Advisory!$AB$245:$AB$304,MAX(1,28-(INT((Motore_Operativo!L272)/30)))))*(1-(MOD((Motore_Operativo!L272),30)/30))+IF(28-(INT((Motore_Operativo!L272)/30))-1&lt;1,0,INDEX(Motore_Advisory!$AB$245:$AB$304,MAX(1,28-(INT((Motore_Operativo!L272)/30))-1)))*(MOD((Motore_Operativo!L272),30)/30))</f>
        <v>20521.2591549296</v>
      </c>
      <c r="AD272" s="15" t="n">
        <f aca="false">(AD271)+AB272-AC272</f>
        <v>146143.8</v>
      </c>
      <c r="AE272" s="15" t="n">
        <f aca="false">Motore_Operativo!BH272*(1+Parametri_v3!$C$26)</f>
        <v>3653.595</v>
      </c>
      <c r="AF272" s="15" t="n">
        <f aca="false">(IF(28-(INT((Parametri_v3!$C$29)/30))&lt;1,0,INDEX(Motore_Operativo!$BH$245:$BH$304,MAX(1,28-(INT((Parametri_v3!$C$29)/30)))))*(1-(MOD((Parametri_v3!$C$29),30)/30))+IF(28-(INT((Parametri_v3!$C$29)/30))-1&lt;1,0,INDEX(Motore_Operativo!$BH$245:$BH$304,MAX(1,28-(INT((Parametri_v3!$C$29)/30))-1)))*(MOD((Parametri_v3!$C$29),30)/30))*(1+Parametri_v3!$C$26)</f>
        <v>3653.595</v>
      </c>
      <c r="AG272" s="15" t="n">
        <f aca="false">(AG271)+AE272-AF272</f>
        <v>3653.595</v>
      </c>
      <c r="AH272" s="15" t="n">
        <f aca="false">(Motore_Operativo!CK272)*(1+Parametri_v3!$C$28*Parametri_v3!$C$26)</f>
        <v>11638.6956</v>
      </c>
      <c r="AI272" s="15" t="n">
        <f aca="false">(IF(28-(INT((Ipotesi!$C$91)/30))&lt;1,0,INDEX(Motore_Advisory!$AH$245:$AH$304,MAX(1,28-(INT((Ipotesi!$C$91)/30)))))*(1-(MOD((Ipotesi!$C$91),30)/30))+IF(28-(INT((Ipotesi!$C$91)/30))-1&lt;1,0,INDEX(Motore_Advisory!$AH$245:$AH$304,MAX(1,28-(INT((Ipotesi!$C$91)/30))-1)))*(MOD((Ipotesi!$C$91),30)/30))</f>
        <v>11638.6956</v>
      </c>
      <c r="AJ272" s="15" t="n">
        <f aca="false">(AJ271)+AH272-AI272</f>
        <v>23277.3912</v>
      </c>
      <c r="AK272" s="15" t="n">
        <f aca="false">(F272- Motore_Operativo!BH272-(Motore_Operativo!CK272)*Parametri_v3!$C$28-Motore_Operativo!CF272)*Parametri_v3!$C$26</f>
        <v>4096.09273333333</v>
      </c>
      <c r="AL272" s="15" t="n">
        <f aca="false">MAX(0,(AM271))</f>
        <v>4096.09273333333</v>
      </c>
      <c r="AM272" s="15" t="n">
        <f aca="false">(AM271)+AK272-AL272</f>
        <v>4096.09273333333</v>
      </c>
      <c r="AN272" s="15" t="n">
        <f aca="false">SUM(X257:X268)</f>
        <v>3321.75190704226</v>
      </c>
      <c r="AO272" s="15" t="n">
        <f aca="false">SUM(AP257:AP268)</f>
        <v>1563.76024736842</v>
      </c>
      <c r="AP272" s="15" t="n">
        <f aca="false">MAX(0,AN272)*IF(4=Parametri_v3!$C$43,Parametri_v3!$C$45,IF(4=Parametri_v3!$C$44,1-Parametri_v3!$C$45,0))</f>
        <v>0</v>
      </c>
      <c r="AQ272" s="15" t="n">
        <f aca="false">MAX(0,AP272+IF(4=Parametri_v3!$C$43,MAX(0,AN272-AO272),0)-MAX(0,-(AR271)))</f>
        <v>0</v>
      </c>
      <c r="AR272" s="15" t="n">
        <f aca="false">(AR271)+X272-AQ272</f>
        <v>6822.49601800717</v>
      </c>
      <c r="AS272" s="15" t="n">
        <f aca="false">Motore_Operativo!AC272-AT272+AU272</f>
        <v>11653.3234375</v>
      </c>
      <c r="AT272" s="15" t="n">
        <f aca="false">Motore_Operativo!CI272</f>
        <v>613.3328125</v>
      </c>
      <c r="AU272" s="15" t="n">
        <f aca="false">MIN(MAX(0,(AV271)+AT272),Parametri_v3!$C$61/12)</f>
        <v>0</v>
      </c>
      <c r="AV272" s="15" t="n">
        <f aca="false">(AV271)+AT272-AU272</f>
        <v>8681.78125</v>
      </c>
      <c r="AW272" s="15" t="n">
        <f aca="false">IF(AND(Motore_Operativo!C272=Finanziamenti!$D$7,Finanziamenti!$F$7=1),Finanziamenti!$C$7,0)</f>
        <v>0</v>
      </c>
      <c r="AX272" s="15" t="n">
        <f aca="false">0</f>
        <v>0</v>
      </c>
      <c r="AY272" s="15" t="n">
        <f aca="false">IF(4=Parametri_v3!$C$33,IF(BV272&lt;MIN(12,$B272-1),0,MIN(MAX(0,SUM(Y257:Y268))*Ipotesi!$C$94,MAX(0,(BM268)-(BO271)-BP272),MAX(0,BD272-Parametri_v3!$C$31))),0)</f>
        <v>0</v>
      </c>
      <c r="AZ272" s="15" t="n">
        <f aca="false">0</f>
        <v>0</v>
      </c>
      <c r="BA272" s="15" t="n">
        <f aca="false">0</f>
        <v>0</v>
      </c>
      <c r="BB272" s="15" t="n">
        <f aca="false">0</f>
        <v>0</v>
      </c>
      <c r="BC272" s="15" t="n">
        <f aca="false">0</f>
        <v>0</v>
      </c>
      <c r="BD272" s="15" t="n">
        <f aca="false">(BH271)+AC272-AF272-AI272-AS272-K272*(1+Parametri_v3!$C$26)-AL272-AQ272-O272+AW272+AX272+AZ272+BA272-BB272</f>
        <v>-60116.9112812577</v>
      </c>
      <c r="BE272" s="15" t="n">
        <f aca="false">0</f>
        <v>0</v>
      </c>
      <c r="BF272" s="15" t="n">
        <f aca="false">0</f>
        <v>0</v>
      </c>
      <c r="BG272" s="15" t="n">
        <f aca="false">0</f>
        <v>0</v>
      </c>
      <c r="BH272" s="15" t="n">
        <f aca="false">BD272+BE272-BF272-AY272</f>
        <v>-60116.9112812577</v>
      </c>
      <c r="BI272" s="15" t="n">
        <f aca="false">MAX(0,Parametri_v3!$C$31-BH272)</f>
        <v>70116.9112812577</v>
      </c>
      <c r="BJ272" s="15" t="n">
        <f aca="false">(BJ271)+K272</f>
        <v>9666.66666666667</v>
      </c>
      <c r="BK272" s="15" t="n">
        <f aca="false">(BK271)+L272</f>
        <v>3449.07407407407</v>
      </c>
      <c r="BL272" s="15" t="n">
        <f aca="false">BJ272-BK272</f>
        <v>6217.59259259259</v>
      </c>
      <c r="BM272" s="15" t="n">
        <f aca="false">(BM271)+Y272</f>
        <v>25713.1251099944</v>
      </c>
      <c r="BN272" s="15" t="n">
        <f aca="false">(BN271)+AW272+AX272+AZ272</f>
        <v>20000</v>
      </c>
      <c r="BO272" s="15" t="n">
        <f aca="false">(BO271)+AY272</f>
        <v>0</v>
      </c>
      <c r="BP272" s="15" t="n">
        <f aca="false">MIN(Parametri_v3!$C$36*Parametri_v3!$C$35,(BP271)+IF(4=1,MAX(0,SUM(Y257:Y268))*Parametri_v3!$C$34,0))</f>
        <v>631.264204897868</v>
      </c>
      <c r="BQ272" s="15" t="n">
        <f aca="false">BN272+BM272-BO272</f>
        <v>45713.1251099944</v>
      </c>
      <c r="BR272" s="15" t="n">
        <f aca="false">BH272+AD272+BL272+MAX(0,-AM272)+MAX(0,-AR272)</f>
        <v>92244.4813113349</v>
      </c>
      <c r="BS272" s="15" t="n">
        <f aca="false">AJ272+AV272+MAX(0,AM272)+MAX(0,AR272)+BC272+BG272+BQ272+AG272</f>
        <v>92244.4813113349</v>
      </c>
      <c r="BT272" s="15" t="n">
        <f aca="false">BR272-BS272</f>
        <v>0</v>
      </c>
      <c r="BU272" s="15" t="n">
        <f aca="false">BH272-(BD272+BE272-BF272-AY272)</f>
        <v>0</v>
      </c>
      <c r="BV272" s="15" t="n">
        <f aca="false">IF(BH271&lt;Parametri_v3!$C$31,0,BV271+1)</f>
        <v>0</v>
      </c>
    </row>
    <row r="273" customFormat="false" ht="18" hidden="false" customHeight="true" outlineLevel="0" collapsed="false">
      <c r="A273" s="68" t="n">
        <f aca="false">5</f>
        <v>5</v>
      </c>
      <c r="B273" s="68" t="n">
        <f aca="false">29</f>
        <v>29</v>
      </c>
      <c r="C273" s="18" t="n">
        <f aca="false">Motore_Operativo!C273</f>
        <v>47239</v>
      </c>
      <c r="D273" s="68" t="n">
        <f aca="false">Motore_Operativo!D273</f>
        <v>2029</v>
      </c>
      <c r="E273" s="68" t="n">
        <f aca="false">Motore_Operativo!E273</f>
        <v>5</v>
      </c>
      <c r="F273" s="15" t="n">
        <f aca="false">Motore_Operativo!AM273</f>
        <v>29947.5</v>
      </c>
      <c r="G273" s="15" t="n">
        <f aca="false">Motore_Operativo!BH273</f>
        <v>2994.75</v>
      </c>
      <c r="H273" s="15" t="n">
        <f aca="false">Motore_Operativo!AM273</f>
        <v>29947.5</v>
      </c>
      <c r="I273" s="15" t="n">
        <f aca="false">Motore_Operativo!CB273</f>
        <v>25158.25625</v>
      </c>
      <c r="J273" s="15" t="n">
        <f aca="false">Motore_Operativo!CD273</f>
        <v>4789.24374999999</v>
      </c>
      <c r="K273" s="15" t="n">
        <f aca="false">Motore_Operativo!CF273</f>
        <v>416.666666666667</v>
      </c>
      <c r="L273" s="15" t="n">
        <f aca="false">SUM(INDEX($K$245:$K$304,MAX(1,29-Parametri_v3!$C$59+1)):K273)/Parametri_v3!$C$59</f>
        <v>280.092592592593</v>
      </c>
      <c r="M273" s="15" t="n">
        <f aca="false">J273-L273</f>
        <v>4509.1511574074</v>
      </c>
      <c r="N273" s="15" t="n">
        <f aca="false">0</f>
        <v>0</v>
      </c>
      <c r="O273" s="15" t="n">
        <f aca="false">0</f>
        <v>0</v>
      </c>
      <c r="P273" s="15" t="n">
        <f aca="false">M273+N273-O273</f>
        <v>4509.1511574074</v>
      </c>
      <c r="Q273" s="15" t="n">
        <f aca="false">SUM(P269:P273)+Parametri_v3!$C$56*5/12</f>
        <v>22661.4965277778</v>
      </c>
      <c r="R273" s="15" t="n">
        <f aca="false">Z268</f>
        <v>0</v>
      </c>
      <c r="S273" s="15" t="n">
        <f aca="false">AA268</f>
        <v>0</v>
      </c>
      <c r="T273" s="15" t="n">
        <f aca="false">MIN(R273,MAX(0,Q273))</f>
        <v>0</v>
      </c>
      <c r="U273" s="15" t="n">
        <f aca="false">MIN(S273,MAX(0,Q273-T273)*Parametri_v3!$C$42)</f>
        <v>0</v>
      </c>
      <c r="V273" s="15" t="n">
        <f aca="false">MAX(0,Q273-T273-U273)*Ipotesi!$C$92</f>
        <v>5438.75916666666</v>
      </c>
      <c r="W273" s="15" t="n">
        <f aca="false">MAX(0,SUM(M269:M273)+Parametri_v3!$C$57*5/12)*Ipotesi!$C$93</f>
        <v>883.798364583332</v>
      </c>
      <c r="X273" s="15" t="n">
        <f aca="false">V273+W273-(V272+W272)</f>
        <v>1258.05317291667</v>
      </c>
      <c r="Y273" s="15" t="n">
        <f aca="false">P273-X273</f>
        <v>3251.09798449074</v>
      </c>
      <c r="Z273" s="15" t="n">
        <f aca="false">R273-T273+IF(AND(Parametri_v3!$C$40=1,D273-YEAR(Parametri_v3!$C$50)&lt;Parametri_v3!$C$41),MAX(0,-Q273),0)</f>
        <v>0</v>
      </c>
      <c r="AA273" s="15" t="n">
        <f aca="false">S273-U273+IF(AND(Parametri_v3!$C$40=1,D273-YEAR(Parametri_v3!$C$50)&lt;Parametri_v3!$C$41),0,MAX(0,-Q273))</f>
        <v>0</v>
      </c>
      <c r="AB273" s="15" t="n">
        <f aca="false">F273*(1+Parametri_v3!$C$26)</f>
        <v>36535.95</v>
      </c>
      <c r="AC273" s="15" t="n">
        <f aca="false">(IF(29-(INT((Motore_Operativo!L273)/30))&lt;1,0,INDEX(Motore_Advisory!$AB$245:$AB$304,MAX(1,29-(INT((Motore_Operativo!L273)/30)))))*(1-(MOD((Motore_Operativo!L273),30)/30))+IF(29-(INT((Motore_Operativo!L273)/30))-1&lt;1,0,INDEX(Motore_Advisory!$AB$245:$AB$304,MAX(1,29-(INT((Motore_Operativo!L273)/30))-1)))*(MOD((Motore_Operativo!L273),30)/30))</f>
        <v>36535.95</v>
      </c>
      <c r="AD273" s="15" t="n">
        <f aca="false">(AD272)+AB273-AC273</f>
        <v>146143.8</v>
      </c>
      <c r="AE273" s="15" t="n">
        <f aca="false">Motore_Operativo!BH273*(1+Parametri_v3!$C$26)</f>
        <v>3653.595</v>
      </c>
      <c r="AF273" s="15" t="n">
        <f aca="false">(IF(29-(INT((Parametri_v3!$C$29)/30))&lt;1,0,INDEX(Motore_Operativo!$BH$245:$BH$304,MAX(1,29-(INT((Parametri_v3!$C$29)/30)))))*(1-(MOD((Parametri_v3!$C$29),30)/30))+IF(29-(INT((Parametri_v3!$C$29)/30))-1&lt;1,0,INDEX(Motore_Operativo!$BH$245:$BH$304,MAX(1,29-(INT((Parametri_v3!$C$29)/30))-1)))*(MOD((Parametri_v3!$C$29),30)/30))*(1+Parametri_v3!$C$26)</f>
        <v>3653.595</v>
      </c>
      <c r="AG273" s="15" t="n">
        <f aca="false">(AG272)+AE273-AF273</f>
        <v>3653.595</v>
      </c>
      <c r="AH273" s="15" t="n">
        <f aca="false">(Motore_Operativo!CK273)*(1+Parametri_v3!$C$28*Parametri_v3!$C$26)</f>
        <v>11638.6956</v>
      </c>
      <c r="AI273" s="15" t="n">
        <f aca="false">(IF(29-(INT((Ipotesi!$C$91)/30))&lt;1,0,INDEX(Motore_Advisory!$AH$245:$AH$304,MAX(1,29-(INT((Ipotesi!$C$91)/30)))))*(1-(MOD((Ipotesi!$C$91),30)/30))+IF(29-(INT((Ipotesi!$C$91)/30))-1&lt;1,0,INDEX(Motore_Advisory!$AH$245:$AH$304,MAX(1,29-(INT((Ipotesi!$C$91)/30))-1)))*(MOD((Ipotesi!$C$91),30)/30))</f>
        <v>11638.6956</v>
      </c>
      <c r="AJ273" s="15" t="n">
        <f aca="false">(AJ272)+AH273-AI273</f>
        <v>23277.3912</v>
      </c>
      <c r="AK273" s="15" t="n">
        <f aca="false">(F273- Motore_Operativo!BH273-(Motore_Operativo!CK273)*Parametri_v3!$C$28-Motore_Operativo!CF273)*Parametri_v3!$C$26</f>
        <v>4096.09273333333</v>
      </c>
      <c r="AL273" s="15" t="n">
        <f aca="false">MAX(0,(AM272))</f>
        <v>4096.09273333333</v>
      </c>
      <c r="AM273" s="15" t="n">
        <f aca="false">(AM272)+AK273-AL273</f>
        <v>4096.09273333333</v>
      </c>
      <c r="AN273" s="15" t="n">
        <f aca="false">SUM(X257:X268)</f>
        <v>3321.75190704226</v>
      </c>
      <c r="AO273" s="15" t="n">
        <f aca="false">SUM(AP257:AP268)</f>
        <v>1563.76024736842</v>
      </c>
      <c r="AP273" s="15" t="n">
        <f aca="false">MAX(0,AN273)*IF(5=Parametri_v3!$C$43,Parametri_v3!$C$45,IF(5=Parametri_v3!$C$44,1-Parametri_v3!$C$45,0))</f>
        <v>0</v>
      </c>
      <c r="AQ273" s="15" t="n">
        <f aca="false">MAX(0,AP273+IF(5=Parametri_v3!$C$43,MAX(0,AN273-AO273),0)-MAX(0,-(AR272)))</f>
        <v>0</v>
      </c>
      <c r="AR273" s="15" t="n">
        <f aca="false">(AR272)+X273-AQ273</f>
        <v>8080.54919092383</v>
      </c>
      <c r="AS273" s="15" t="n">
        <f aca="false">Motore_Operativo!AC273-AT273+AU273</f>
        <v>11653.3234375</v>
      </c>
      <c r="AT273" s="15" t="n">
        <f aca="false">Motore_Operativo!CI273</f>
        <v>613.3328125</v>
      </c>
      <c r="AU273" s="15" t="n">
        <f aca="false">MIN(MAX(0,(AV272)+AT273),Parametri_v3!$C$61/12)</f>
        <v>0</v>
      </c>
      <c r="AV273" s="15" t="n">
        <f aca="false">(AV272)+AT273-AU273</f>
        <v>9295.1140625</v>
      </c>
      <c r="AW273" s="15" t="n">
        <f aca="false">IF(AND(Motore_Operativo!C273=Finanziamenti!$D$7,Finanziamenti!$F$7=1),Finanziamenti!$C$7,0)</f>
        <v>0</v>
      </c>
      <c r="AX273" s="15" t="n">
        <f aca="false">0</f>
        <v>0</v>
      </c>
      <c r="AY273" s="15" t="n">
        <f aca="false">IF(5=Parametri_v3!$C$33,IF(BV273&lt;MIN(12,$B273-1),0,MIN(MAX(0,SUM(Y257:Y268))*Ipotesi!$C$94,MAX(0,(BM268)-(BO272)-BP273),MAX(0,BD273-Parametri_v3!$C$31))),0)</f>
        <v>0</v>
      </c>
      <c r="AZ273" s="15" t="n">
        <f aca="false">0</f>
        <v>0</v>
      </c>
      <c r="BA273" s="15" t="n">
        <f aca="false">0</f>
        <v>0</v>
      </c>
      <c r="BB273" s="15" t="n">
        <f aca="false">0</f>
        <v>0</v>
      </c>
      <c r="BC273" s="15" t="n">
        <f aca="false">0</f>
        <v>0</v>
      </c>
      <c r="BD273" s="15" t="n">
        <f aca="false">(BH272)+AC273-AF273-AI273-AS273-K273*(1+Parametri_v3!$C$26)-AL273-AQ273-O273+AW273+AX273+AZ273+BA273-BB273</f>
        <v>-55131.0013854244</v>
      </c>
      <c r="BE273" s="15" t="n">
        <f aca="false">0</f>
        <v>0</v>
      </c>
      <c r="BF273" s="15" t="n">
        <f aca="false">0</f>
        <v>0</v>
      </c>
      <c r="BG273" s="15" t="n">
        <f aca="false">0</f>
        <v>0</v>
      </c>
      <c r="BH273" s="15" t="n">
        <f aca="false">BD273+BE273-BF273-AY273</f>
        <v>-55131.0013854244</v>
      </c>
      <c r="BI273" s="15" t="n">
        <f aca="false">MAX(0,Parametri_v3!$C$31-BH273)</f>
        <v>65131.0013854244</v>
      </c>
      <c r="BJ273" s="15" t="n">
        <f aca="false">(BJ272)+K273</f>
        <v>10083.3333333333</v>
      </c>
      <c r="BK273" s="15" t="n">
        <f aca="false">(BK272)+L273</f>
        <v>3729.16666666667</v>
      </c>
      <c r="BL273" s="15" t="n">
        <f aca="false">BJ273-BK273</f>
        <v>6354.16666666667</v>
      </c>
      <c r="BM273" s="15" t="n">
        <f aca="false">(BM272)+Y273</f>
        <v>28964.2230944851</v>
      </c>
      <c r="BN273" s="15" t="n">
        <f aca="false">(BN272)+AW273+AX273+AZ273</f>
        <v>20000</v>
      </c>
      <c r="BO273" s="15" t="n">
        <f aca="false">(BO272)+AY273</f>
        <v>0</v>
      </c>
      <c r="BP273" s="15" t="n">
        <f aca="false">MIN(Parametri_v3!$C$36*Parametri_v3!$C$35,(BP272)+IF(5=1,MAX(0,SUM(Y257:Y268))*Parametri_v3!$C$34,0))</f>
        <v>631.264204897868</v>
      </c>
      <c r="BQ273" s="15" t="n">
        <f aca="false">BN273+BM273-BO273</f>
        <v>48964.2230944851</v>
      </c>
      <c r="BR273" s="15" t="n">
        <f aca="false">BH273+AD273+BL273+MAX(0,-AM273)+MAX(0,-AR273)</f>
        <v>97366.9652812423</v>
      </c>
      <c r="BS273" s="15" t="n">
        <f aca="false">AJ273+AV273+MAX(0,AM273)+MAX(0,AR273)+BC273+BG273+BQ273+AG273</f>
        <v>97366.9652812423</v>
      </c>
      <c r="BT273" s="15" t="n">
        <f aca="false">BR273-BS273</f>
        <v>0</v>
      </c>
      <c r="BU273" s="15" t="n">
        <f aca="false">BH273-(BD273+BE273-BF273-AY273)</f>
        <v>0</v>
      </c>
      <c r="BV273" s="15" t="n">
        <f aca="false">IF(BH272&lt;Parametri_v3!$C$31,0,BV272+1)</f>
        <v>0</v>
      </c>
    </row>
    <row r="274" customFormat="false" ht="18" hidden="false" customHeight="true" outlineLevel="0" collapsed="false">
      <c r="A274" s="68" t="n">
        <f aca="false">5</f>
        <v>5</v>
      </c>
      <c r="B274" s="68" t="n">
        <f aca="false">30</f>
        <v>30</v>
      </c>
      <c r="C274" s="18" t="n">
        <f aca="false">Motore_Operativo!C274</f>
        <v>47270</v>
      </c>
      <c r="D274" s="68" t="n">
        <f aca="false">Motore_Operativo!D274</f>
        <v>2029</v>
      </c>
      <c r="E274" s="68" t="n">
        <f aca="false">Motore_Operativo!E274</f>
        <v>6</v>
      </c>
      <c r="F274" s="15" t="n">
        <f aca="false">Motore_Operativo!AM274</f>
        <v>29947.5</v>
      </c>
      <c r="G274" s="15" t="n">
        <f aca="false">Motore_Operativo!BH274</f>
        <v>2994.75</v>
      </c>
      <c r="H274" s="15" t="n">
        <f aca="false">Motore_Operativo!AM274</f>
        <v>29947.5</v>
      </c>
      <c r="I274" s="15" t="n">
        <f aca="false">Motore_Operativo!CB274</f>
        <v>25158.25625</v>
      </c>
      <c r="J274" s="15" t="n">
        <f aca="false">Motore_Operativo!CD274</f>
        <v>4789.24374999999</v>
      </c>
      <c r="K274" s="15" t="n">
        <f aca="false">Motore_Operativo!CF274</f>
        <v>416.666666666667</v>
      </c>
      <c r="L274" s="15" t="n">
        <f aca="false">SUM(INDEX($K$245:$K$304,MAX(1,30-Parametri_v3!$C$59+1)):K274)/Parametri_v3!$C$59</f>
        <v>291.666666666667</v>
      </c>
      <c r="M274" s="15" t="n">
        <f aca="false">J274-L274</f>
        <v>4497.57708333333</v>
      </c>
      <c r="N274" s="15" t="n">
        <f aca="false">0</f>
        <v>0</v>
      </c>
      <c r="O274" s="15" t="n">
        <f aca="false">0</f>
        <v>0</v>
      </c>
      <c r="P274" s="15" t="n">
        <f aca="false">M274+N274-O274</f>
        <v>4497.57708333333</v>
      </c>
      <c r="Q274" s="15" t="n">
        <f aca="false">SUM(P269:P274)+Parametri_v3!$C$56*6/12</f>
        <v>27159.0736111111</v>
      </c>
      <c r="R274" s="15" t="n">
        <f aca="false">Z268</f>
        <v>0</v>
      </c>
      <c r="S274" s="15" t="n">
        <f aca="false">AA268</f>
        <v>0</v>
      </c>
      <c r="T274" s="15" t="n">
        <f aca="false">MIN(R274,MAX(0,Q274))</f>
        <v>0</v>
      </c>
      <c r="U274" s="15" t="n">
        <f aca="false">MIN(S274,MAX(0,Q274-T274)*Parametri_v3!$C$42)</f>
        <v>0</v>
      </c>
      <c r="V274" s="15" t="n">
        <f aca="false">MAX(0,Q274-T274-U274)*Ipotesi!$C$92</f>
        <v>6518.17766666666</v>
      </c>
      <c r="W274" s="15" t="n">
        <f aca="false">MAX(0,SUM(M269:M274)+Parametri_v3!$C$57*6/12)*Ipotesi!$C$93</f>
        <v>1059.20387083333</v>
      </c>
      <c r="X274" s="15" t="n">
        <f aca="false">V274+W274-(V273+W273)</f>
        <v>1254.82400625</v>
      </c>
      <c r="Y274" s="15" t="n">
        <f aca="false">P274-X274</f>
        <v>3242.75307708333</v>
      </c>
      <c r="Z274" s="15" t="n">
        <f aca="false">R274-T274+IF(AND(Parametri_v3!$C$40=1,D274-YEAR(Parametri_v3!$C$50)&lt;Parametri_v3!$C$41),MAX(0,-Q274),0)</f>
        <v>0</v>
      </c>
      <c r="AA274" s="15" t="n">
        <f aca="false">S274-U274+IF(AND(Parametri_v3!$C$40=1,D274-YEAR(Parametri_v3!$C$50)&lt;Parametri_v3!$C$41),0,MAX(0,-Q274))</f>
        <v>0</v>
      </c>
      <c r="AB274" s="15" t="n">
        <f aca="false">F274*(1+Parametri_v3!$C$26)</f>
        <v>36535.95</v>
      </c>
      <c r="AC274" s="15" t="n">
        <f aca="false">(IF(30-(INT((Motore_Operativo!L274)/30))&lt;1,0,INDEX(Motore_Advisory!$AB$245:$AB$304,MAX(1,30-(INT((Motore_Operativo!L274)/30)))))*(1-(MOD((Motore_Operativo!L274),30)/30))+IF(30-(INT((Motore_Operativo!L274)/30))-1&lt;1,0,INDEX(Motore_Advisory!$AB$245:$AB$304,MAX(1,30-(INT((Motore_Operativo!L274)/30))-1)))*(MOD((Motore_Operativo!L274),30)/30))</f>
        <v>36535.95</v>
      </c>
      <c r="AD274" s="15" t="n">
        <f aca="false">(AD273)+AB274-AC274</f>
        <v>146143.8</v>
      </c>
      <c r="AE274" s="15" t="n">
        <f aca="false">Motore_Operativo!BH274*(1+Parametri_v3!$C$26)</f>
        <v>3653.595</v>
      </c>
      <c r="AF274" s="15" t="n">
        <f aca="false">(IF(30-(INT((Parametri_v3!$C$29)/30))&lt;1,0,INDEX(Motore_Operativo!$BH$245:$BH$304,MAX(1,30-(INT((Parametri_v3!$C$29)/30)))))*(1-(MOD((Parametri_v3!$C$29),30)/30))+IF(30-(INT((Parametri_v3!$C$29)/30))-1&lt;1,0,INDEX(Motore_Operativo!$BH$245:$BH$304,MAX(1,30-(INT((Parametri_v3!$C$29)/30))-1)))*(MOD((Parametri_v3!$C$29),30)/30))*(1+Parametri_v3!$C$26)</f>
        <v>3653.595</v>
      </c>
      <c r="AG274" s="15" t="n">
        <f aca="false">(AG273)+AE274-AF274</f>
        <v>3653.595</v>
      </c>
      <c r="AH274" s="15" t="n">
        <f aca="false">(Motore_Operativo!CK274)*(1+Parametri_v3!$C$28*Parametri_v3!$C$26)</f>
        <v>11638.6956</v>
      </c>
      <c r="AI274" s="15" t="n">
        <f aca="false">(IF(30-(INT((Ipotesi!$C$91)/30))&lt;1,0,INDEX(Motore_Advisory!$AH$245:$AH$304,MAX(1,30-(INT((Ipotesi!$C$91)/30)))))*(1-(MOD((Ipotesi!$C$91),30)/30))+IF(30-(INT((Ipotesi!$C$91)/30))-1&lt;1,0,INDEX(Motore_Advisory!$AH$245:$AH$304,MAX(1,30-(INT((Ipotesi!$C$91)/30))-1)))*(MOD((Ipotesi!$C$91),30)/30))</f>
        <v>11638.6956</v>
      </c>
      <c r="AJ274" s="15" t="n">
        <f aca="false">(AJ273)+AH274-AI274</f>
        <v>23277.3912</v>
      </c>
      <c r="AK274" s="15" t="n">
        <f aca="false">(F274- Motore_Operativo!BH274-(Motore_Operativo!CK274)*Parametri_v3!$C$28-Motore_Operativo!CF274)*Parametri_v3!$C$26</f>
        <v>4096.09273333333</v>
      </c>
      <c r="AL274" s="15" t="n">
        <f aca="false">MAX(0,(AM273))</f>
        <v>4096.09273333333</v>
      </c>
      <c r="AM274" s="15" t="n">
        <f aca="false">(AM273)+AK274-AL274</f>
        <v>4096.09273333333</v>
      </c>
      <c r="AN274" s="15" t="n">
        <f aca="false">SUM(X257:X268)</f>
        <v>3321.75190704226</v>
      </c>
      <c r="AO274" s="15" t="n">
        <f aca="false">SUM(AP257:AP268)</f>
        <v>1563.76024736842</v>
      </c>
      <c r="AP274" s="15" t="n">
        <f aca="false">MAX(0,AN274)*IF(6=Parametri_v3!$C$43,Parametri_v3!$C$45,IF(6=Parametri_v3!$C$44,1-Parametri_v3!$C$45,0))</f>
        <v>1328.70076281691</v>
      </c>
      <c r="AQ274" s="15" t="n">
        <f aca="false">MAX(0,AP274+IF(6=Parametri_v3!$C$43,MAX(0,AN274-AO274),0)-MAX(0,-(AR273)))</f>
        <v>3086.69242249074</v>
      </c>
      <c r="AR274" s="15" t="n">
        <f aca="false">(AR273)+X274-AQ274</f>
        <v>6248.68077468308</v>
      </c>
      <c r="AS274" s="15" t="n">
        <f aca="false">Motore_Operativo!AC274-AT274+AU274</f>
        <v>11653.3234375</v>
      </c>
      <c r="AT274" s="15" t="n">
        <f aca="false">Motore_Operativo!CI274</f>
        <v>613.3328125</v>
      </c>
      <c r="AU274" s="15" t="n">
        <f aca="false">MIN(MAX(0,(AV273)+AT274),Parametri_v3!$C$61/12)</f>
        <v>0</v>
      </c>
      <c r="AV274" s="15" t="n">
        <f aca="false">(AV273)+AT274-AU274</f>
        <v>9908.446875</v>
      </c>
      <c r="AW274" s="15" t="n">
        <f aca="false">IF(AND(Motore_Operativo!C274=Finanziamenti!$D$7,Finanziamenti!$F$7=1),Finanziamenti!$C$7,0)</f>
        <v>0</v>
      </c>
      <c r="AX274" s="15" t="n">
        <f aca="false">0</f>
        <v>0</v>
      </c>
      <c r="AY274" s="15" t="n">
        <f aca="false">IF(6=Parametri_v3!$C$33,IF(BV274&lt;MIN(12,$B274-1),0,MIN(MAX(0,SUM(Y257:Y268))*Ipotesi!$C$94,MAX(0,(BM268)-(BO273)-BP274),MAX(0,BD274-Parametri_v3!$C$31))),0)</f>
        <v>0</v>
      </c>
      <c r="AZ274" s="15" t="n">
        <f aca="false">0</f>
        <v>0</v>
      </c>
      <c r="BA274" s="15" t="n">
        <f aca="false">0</f>
        <v>0</v>
      </c>
      <c r="BB274" s="15" t="n">
        <f aca="false">0</f>
        <v>0</v>
      </c>
      <c r="BC274" s="15" t="n">
        <f aca="false">0</f>
        <v>0</v>
      </c>
      <c r="BD274" s="15" t="n">
        <f aca="false">(BH273)+AC274-AF274-AI274-AS274-K274*(1+Parametri_v3!$C$26)-AL274-AQ274-O274+AW274+AX274+AZ274+BA274-BB274</f>
        <v>-53231.7839120818</v>
      </c>
      <c r="BE274" s="15" t="n">
        <f aca="false">0</f>
        <v>0</v>
      </c>
      <c r="BF274" s="15" t="n">
        <f aca="false">0</f>
        <v>0</v>
      </c>
      <c r="BG274" s="15" t="n">
        <f aca="false">0</f>
        <v>0</v>
      </c>
      <c r="BH274" s="15" t="n">
        <f aca="false">BD274+BE274-BF274-AY274</f>
        <v>-53231.7839120818</v>
      </c>
      <c r="BI274" s="15" t="n">
        <f aca="false">MAX(0,Parametri_v3!$C$31-BH274)</f>
        <v>63231.7839120818</v>
      </c>
      <c r="BJ274" s="15" t="n">
        <f aca="false">(BJ273)+K274</f>
        <v>10500</v>
      </c>
      <c r="BK274" s="15" t="n">
        <f aca="false">(BK273)+L274</f>
        <v>4020.83333333333</v>
      </c>
      <c r="BL274" s="15" t="n">
        <f aca="false">BJ274-BK274</f>
        <v>6479.16666666667</v>
      </c>
      <c r="BM274" s="15" t="n">
        <f aca="false">(BM273)+Y274</f>
        <v>32206.9761715684</v>
      </c>
      <c r="BN274" s="15" t="n">
        <f aca="false">(BN273)+AW274+AX274+AZ274</f>
        <v>20000</v>
      </c>
      <c r="BO274" s="15" t="n">
        <f aca="false">(BO273)+AY274</f>
        <v>0</v>
      </c>
      <c r="BP274" s="15" t="n">
        <f aca="false">MIN(Parametri_v3!$C$36*Parametri_v3!$C$35,(BP273)+IF(6=1,MAX(0,SUM(Y257:Y268))*Parametri_v3!$C$34,0))</f>
        <v>631.264204897868</v>
      </c>
      <c r="BQ274" s="15" t="n">
        <f aca="false">BN274+BM274-BO274</f>
        <v>52206.9761715684</v>
      </c>
      <c r="BR274" s="15" t="n">
        <f aca="false">BH274+AD274+BL274+MAX(0,-AM274)+MAX(0,-AR274)</f>
        <v>99391.1827545849</v>
      </c>
      <c r="BS274" s="15" t="n">
        <f aca="false">AJ274+AV274+MAX(0,AM274)+MAX(0,AR274)+BC274+BG274+BQ274+AG274</f>
        <v>99391.1827545849</v>
      </c>
      <c r="BT274" s="15" t="n">
        <f aca="false">BR274-BS274</f>
        <v>0</v>
      </c>
      <c r="BU274" s="15" t="n">
        <f aca="false">BH274-(BD274+BE274-BF274-AY274)</f>
        <v>0</v>
      </c>
      <c r="BV274" s="15" t="n">
        <f aca="false">IF(BH273&lt;Parametri_v3!$C$31,0,BV273+1)</f>
        <v>0</v>
      </c>
    </row>
    <row r="275" customFormat="false" ht="18" hidden="false" customHeight="true" outlineLevel="0" collapsed="false">
      <c r="A275" s="68" t="n">
        <f aca="false">5</f>
        <v>5</v>
      </c>
      <c r="B275" s="68" t="n">
        <f aca="false">31</f>
        <v>31</v>
      </c>
      <c r="C275" s="18" t="n">
        <f aca="false">Motore_Operativo!C275</f>
        <v>47300</v>
      </c>
      <c r="D275" s="68" t="n">
        <f aca="false">Motore_Operativo!D275</f>
        <v>2029</v>
      </c>
      <c r="E275" s="68" t="n">
        <f aca="false">Motore_Operativo!E275</f>
        <v>7</v>
      </c>
      <c r="F275" s="15" t="n">
        <f aca="false">Motore_Operativo!AM275</f>
        <v>29947.5</v>
      </c>
      <c r="G275" s="15" t="n">
        <f aca="false">Motore_Operativo!BH275</f>
        <v>2994.75</v>
      </c>
      <c r="H275" s="15" t="n">
        <f aca="false">Motore_Operativo!AM275</f>
        <v>29947.5</v>
      </c>
      <c r="I275" s="15" t="n">
        <f aca="false">Motore_Operativo!CB275</f>
        <v>25158.25625</v>
      </c>
      <c r="J275" s="15" t="n">
        <f aca="false">Motore_Operativo!CD275</f>
        <v>4789.24374999999</v>
      </c>
      <c r="K275" s="15" t="n">
        <f aca="false">Motore_Operativo!CF275</f>
        <v>416.666666666667</v>
      </c>
      <c r="L275" s="15" t="n">
        <f aca="false">SUM(INDEX($K$245:$K$304,MAX(1,31-Parametri_v3!$C$59+1)):K275)/Parametri_v3!$C$59</f>
        <v>303.240740740741</v>
      </c>
      <c r="M275" s="15" t="n">
        <f aca="false">J275-L275</f>
        <v>4486.00300925925</v>
      </c>
      <c r="N275" s="15" t="n">
        <f aca="false">0</f>
        <v>0</v>
      </c>
      <c r="O275" s="15" t="n">
        <f aca="false">0</f>
        <v>0</v>
      </c>
      <c r="P275" s="15" t="n">
        <f aca="false">M275+N275-O275</f>
        <v>4486.00300925925</v>
      </c>
      <c r="Q275" s="15" t="n">
        <f aca="false">SUM(P269:P275)+Parametri_v3!$C$56*7/12</f>
        <v>31645.0766203703</v>
      </c>
      <c r="R275" s="15" t="n">
        <f aca="false">Z268</f>
        <v>0</v>
      </c>
      <c r="S275" s="15" t="n">
        <f aca="false">AA268</f>
        <v>0</v>
      </c>
      <c r="T275" s="15" t="n">
        <f aca="false">MIN(R275,MAX(0,Q275))</f>
        <v>0</v>
      </c>
      <c r="U275" s="15" t="n">
        <f aca="false">MIN(S275,MAX(0,Q275-T275)*Parametri_v3!$C$42)</f>
        <v>0</v>
      </c>
      <c r="V275" s="15" t="n">
        <f aca="false">MAX(0,Q275-T275-U275)*Ipotesi!$C$92</f>
        <v>7594.81838888888</v>
      </c>
      <c r="W275" s="15" t="n">
        <f aca="false">MAX(0,SUM(M269:M275)+Parametri_v3!$C$57*7/12)*Ipotesi!$C$93</f>
        <v>1234.15798819444</v>
      </c>
      <c r="X275" s="15" t="n">
        <f aca="false">V275+W275-(V274+W274)</f>
        <v>1251.59483958333</v>
      </c>
      <c r="Y275" s="15" t="n">
        <f aca="false">P275-X275</f>
        <v>3234.40816967592</v>
      </c>
      <c r="Z275" s="15" t="n">
        <f aca="false">R275-T275+IF(AND(Parametri_v3!$C$40=1,D275-YEAR(Parametri_v3!$C$50)&lt;Parametri_v3!$C$41),MAX(0,-Q275),0)</f>
        <v>0</v>
      </c>
      <c r="AA275" s="15" t="n">
        <f aca="false">S275-U275+IF(AND(Parametri_v3!$C$40=1,D275-YEAR(Parametri_v3!$C$50)&lt;Parametri_v3!$C$41),0,MAX(0,-Q275))</f>
        <v>0</v>
      </c>
      <c r="AB275" s="15" t="n">
        <f aca="false">F275*(1+Parametri_v3!$C$26)</f>
        <v>36535.95</v>
      </c>
      <c r="AC275" s="15" t="n">
        <f aca="false">(IF(31-(INT((Motore_Operativo!L275)/30))&lt;1,0,INDEX(Motore_Advisory!$AB$245:$AB$304,MAX(1,31-(INT((Motore_Operativo!L275)/30)))))*(1-(MOD((Motore_Operativo!L275),30)/30))+IF(31-(INT((Motore_Operativo!L275)/30))-1&lt;1,0,INDEX(Motore_Advisory!$AB$245:$AB$304,MAX(1,31-(INT((Motore_Operativo!L275)/30))-1)))*(MOD((Motore_Operativo!L275),30)/30))</f>
        <v>36535.95</v>
      </c>
      <c r="AD275" s="15" t="n">
        <f aca="false">(AD274)+AB275-AC275</f>
        <v>146143.8</v>
      </c>
      <c r="AE275" s="15" t="n">
        <f aca="false">Motore_Operativo!BH275*(1+Parametri_v3!$C$26)</f>
        <v>3653.595</v>
      </c>
      <c r="AF275" s="15" t="n">
        <f aca="false">(IF(31-(INT((Parametri_v3!$C$29)/30))&lt;1,0,INDEX(Motore_Operativo!$BH$245:$BH$304,MAX(1,31-(INT((Parametri_v3!$C$29)/30)))))*(1-(MOD((Parametri_v3!$C$29),30)/30))+IF(31-(INT((Parametri_v3!$C$29)/30))-1&lt;1,0,INDEX(Motore_Operativo!$BH$245:$BH$304,MAX(1,31-(INT((Parametri_v3!$C$29)/30))-1)))*(MOD((Parametri_v3!$C$29),30)/30))*(1+Parametri_v3!$C$26)</f>
        <v>3653.595</v>
      </c>
      <c r="AG275" s="15" t="n">
        <f aca="false">(AG274)+AE275-AF275</f>
        <v>3653.595</v>
      </c>
      <c r="AH275" s="15" t="n">
        <f aca="false">(Motore_Operativo!CK275)*(1+Parametri_v3!$C$28*Parametri_v3!$C$26)</f>
        <v>11638.6956</v>
      </c>
      <c r="AI275" s="15" t="n">
        <f aca="false">(IF(31-(INT((Ipotesi!$C$91)/30))&lt;1,0,INDEX(Motore_Advisory!$AH$245:$AH$304,MAX(1,31-(INT((Ipotesi!$C$91)/30)))))*(1-(MOD((Ipotesi!$C$91),30)/30))+IF(31-(INT((Ipotesi!$C$91)/30))-1&lt;1,0,INDEX(Motore_Advisory!$AH$245:$AH$304,MAX(1,31-(INT((Ipotesi!$C$91)/30))-1)))*(MOD((Ipotesi!$C$91),30)/30))</f>
        <v>11638.6956</v>
      </c>
      <c r="AJ275" s="15" t="n">
        <f aca="false">(AJ274)+AH275-AI275</f>
        <v>23277.3912</v>
      </c>
      <c r="AK275" s="15" t="n">
        <f aca="false">(F275- Motore_Operativo!BH275-(Motore_Operativo!CK275)*Parametri_v3!$C$28-Motore_Operativo!CF275)*Parametri_v3!$C$26</f>
        <v>4096.09273333333</v>
      </c>
      <c r="AL275" s="15" t="n">
        <f aca="false">MAX(0,(AM274))</f>
        <v>4096.09273333333</v>
      </c>
      <c r="AM275" s="15" t="n">
        <f aca="false">(AM274)+AK275-AL275</f>
        <v>4096.09273333333</v>
      </c>
      <c r="AN275" s="15" t="n">
        <f aca="false">SUM(X257:X268)</f>
        <v>3321.75190704226</v>
      </c>
      <c r="AO275" s="15" t="n">
        <f aca="false">SUM(AP257:AP268)</f>
        <v>1563.76024736842</v>
      </c>
      <c r="AP275" s="15" t="n">
        <f aca="false">MAX(0,AN275)*IF(7=Parametri_v3!$C$43,Parametri_v3!$C$45,IF(7=Parametri_v3!$C$44,1-Parametri_v3!$C$45,0))</f>
        <v>0</v>
      </c>
      <c r="AQ275" s="15" t="n">
        <f aca="false">MAX(0,AP275+IF(7=Parametri_v3!$C$43,MAX(0,AN275-AO275),0)-MAX(0,-(AR274)))</f>
        <v>0</v>
      </c>
      <c r="AR275" s="15" t="n">
        <f aca="false">(AR274)+X275-AQ275</f>
        <v>7500.27561426642</v>
      </c>
      <c r="AS275" s="15" t="n">
        <f aca="false">Motore_Operativo!AC275-AT275+AU275</f>
        <v>11653.3234375</v>
      </c>
      <c r="AT275" s="15" t="n">
        <f aca="false">Motore_Operativo!CI275</f>
        <v>613.3328125</v>
      </c>
      <c r="AU275" s="15" t="n">
        <f aca="false">MIN(MAX(0,(AV274)+AT275),Parametri_v3!$C$61/12)</f>
        <v>0</v>
      </c>
      <c r="AV275" s="15" t="n">
        <f aca="false">(AV274)+AT275-AU275</f>
        <v>10521.7796875</v>
      </c>
      <c r="AW275" s="15" t="n">
        <f aca="false">IF(AND(Motore_Operativo!C275=Finanziamenti!$D$7,Finanziamenti!$F$7=1),Finanziamenti!$C$7,0)</f>
        <v>0</v>
      </c>
      <c r="AX275" s="15" t="n">
        <f aca="false">0</f>
        <v>0</v>
      </c>
      <c r="AY275" s="15" t="n">
        <f aca="false">IF(7=Parametri_v3!$C$33,IF(BV275&lt;MIN(12,$B275-1),0,MIN(MAX(0,SUM(Y257:Y268))*Ipotesi!$C$94,MAX(0,(BM268)-(BO274)-BP275),MAX(0,BD275-Parametri_v3!$C$31))),0)</f>
        <v>0</v>
      </c>
      <c r="AZ275" s="15" t="n">
        <f aca="false">0</f>
        <v>0</v>
      </c>
      <c r="BA275" s="15" t="n">
        <f aca="false">0</f>
        <v>0</v>
      </c>
      <c r="BB275" s="15" t="n">
        <f aca="false">0</f>
        <v>0</v>
      </c>
      <c r="BC275" s="15" t="n">
        <f aca="false">0</f>
        <v>0</v>
      </c>
      <c r="BD275" s="15" t="n">
        <f aca="false">(BH274)+AC275-AF275-AI275-AS275-K275*(1+Parametri_v3!$C$26)-AL275-AQ275-O275+AW275+AX275+AZ275+BA275-BB275</f>
        <v>-48245.8740162485</v>
      </c>
      <c r="BE275" s="15" t="n">
        <f aca="false">0</f>
        <v>0</v>
      </c>
      <c r="BF275" s="15" t="n">
        <f aca="false">0</f>
        <v>0</v>
      </c>
      <c r="BG275" s="15" t="n">
        <f aca="false">0</f>
        <v>0</v>
      </c>
      <c r="BH275" s="15" t="n">
        <f aca="false">BD275+BE275-BF275-AY275</f>
        <v>-48245.8740162485</v>
      </c>
      <c r="BI275" s="15" t="n">
        <f aca="false">MAX(0,Parametri_v3!$C$31-BH275)</f>
        <v>58245.8740162485</v>
      </c>
      <c r="BJ275" s="15" t="n">
        <f aca="false">(BJ274)+K275</f>
        <v>10916.6666666667</v>
      </c>
      <c r="BK275" s="15" t="n">
        <f aca="false">(BK274)+L275</f>
        <v>4324.07407407407</v>
      </c>
      <c r="BL275" s="15" t="n">
        <f aca="false">BJ275-BK275</f>
        <v>6592.59259259259</v>
      </c>
      <c r="BM275" s="15" t="n">
        <f aca="false">(BM274)+Y275</f>
        <v>35441.3843412444</v>
      </c>
      <c r="BN275" s="15" t="n">
        <f aca="false">(BN274)+AW275+AX275+AZ275</f>
        <v>20000</v>
      </c>
      <c r="BO275" s="15" t="n">
        <f aca="false">(BO274)+AY275</f>
        <v>0</v>
      </c>
      <c r="BP275" s="15" t="n">
        <f aca="false">MIN(Parametri_v3!$C$36*Parametri_v3!$C$35,(BP274)+IF(7=1,MAX(0,SUM(Y257:Y268))*Parametri_v3!$C$34,0))</f>
        <v>631.264204897868</v>
      </c>
      <c r="BQ275" s="15" t="n">
        <f aca="false">BN275+BM275-BO275</f>
        <v>55441.3843412444</v>
      </c>
      <c r="BR275" s="15" t="n">
        <f aca="false">BH275+AD275+BL275+MAX(0,-AM275)+MAX(0,-AR275)</f>
        <v>104490.518576344</v>
      </c>
      <c r="BS275" s="15" t="n">
        <f aca="false">AJ275+AV275+MAX(0,AM275)+MAX(0,AR275)+BC275+BG275+BQ275+AG275</f>
        <v>104490.518576344</v>
      </c>
      <c r="BT275" s="15" t="n">
        <f aca="false">BR275-BS275</f>
        <v>0</v>
      </c>
      <c r="BU275" s="15" t="n">
        <f aca="false">BH275-(BD275+BE275-BF275-AY275)</f>
        <v>0</v>
      </c>
      <c r="BV275" s="15" t="n">
        <f aca="false">IF(BH274&lt;Parametri_v3!$C$31,0,BV274+1)</f>
        <v>0</v>
      </c>
    </row>
    <row r="276" customFormat="false" ht="18" hidden="false" customHeight="true" outlineLevel="0" collapsed="false">
      <c r="A276" s="68" t="n">
        <f aca="false">5</f>
        <v>5</v>
      </c>
      <c r="B276" s="68" t="n">
        <f aca="false">32</f>
        <v>32</v>
      </c>
      <c r="C276" s="18" t="n">
        <f aca="false">Motore_Operativo!C276</f>
        <v>47331</v>
      </c>
      <c r="D276" s="68" t="n">
        <f aca="false">Motore_Operativo!D276</f>
        <v>2029</v>
      </c>
      <c r="E276" s="68" t="n">
        <f aca="false">Motore_Operativo!E276</f>
        <v>8</v>
      </c>
      <c r="F276" s="15" t="n">
        <f aca="false">Motore_Operativo!AM276</f>
        <v>29947.5</v>
      </c>
      <c r="G276" s="15" t="n">
        <f aca="false">Motore_Operativo!BH276</f>
        <v>2994.75</v>
      </c>
      <c r="H276" s="15" t="n">
        <f aca="false">Motore_Operativo!AM276</f>
        <v>29947.5</v>
      </c>
      <c r="I276" s="15" t="n">
        <f aca="false">Motore_Operativo!CB276</f>
        <v>25158.25625</v>
      </c>
      <c r="J276" s="15" t="n">
        <f aca="false">Motore_Operativo!CD276</f>
        <v>4789.24374999999</v>
      </c>
      <c r="K276" s="15" t="n">
        <f aca="false">Motore_Operativo!CF276</f>
        <v>416.666666666667</v>
      </c>
      <c r="L276" s="15" t="n">
        <f aca="false">SUM(INDEX($K$245:$K$304,MAX(1,32-Parametri_v3!$C$59+1)):K276)/Parametri_v3!$C$59</f>
        <v>314.814814814815</v>
      </c>
      <c r="M276" s="15" t="n">
        <f aca="false">J276-L276</f>
        <v>4474.42893518518</v>
      </c>
      <c r="N276" s="15" t="n">
        <f aca="false">0</f>
        <v>0</v>
      </c>
      <c r="O276" s="15" t="n">
        <f aca="false">0</f>
        <v>0</v>
      </c>
      <c r="P276" s="15" t="n">
        <f aca="false">M276+N276-O276</f>
        <v>4474.42893518518</v>
      </c>
      <c r="Q276" s="15" t="n">
        <f aca="false">SUM(P269:P276)+Parametri_v3!$C$56*8/12</f>
        <v>36119.5055555555</v>
      </c>
      <c r="R276" s="15" t="n">
        <f aca="false">Z268</f>
        <v>0</v>
      </c>
      <c r="S276" s="15" t="n">
        <f aca="false">AA268</f>
        <v>0</v>
      </c>
      <c r="T276" s="15" t="n">
        <f aca="false">MIN(R276,MAX(0,Q276))</f>
        <v>0</v>
      </c>
      <c r="U276" s="15" t="n">
        <f aca="false">MIN(S276,MAX(0,Q276-T276)*Parametri_v3!$C$42)</f>
        <v>0</v>
      </c>
      <c r="V276" s="15" t="n">
        <f aca="false">MAX(0,Q276-T276-U276)*Ipotesi!$C$92</f>
        <v>8668.68133333332</v>
      </c>
      <c r="W276" s="15" t="n">
        <f aca="false">MAX(0,SUM(M269:M276)+Parametri_v3!$C$57*8/12)*Ipotesi!$C$93</f>
        <v>1408.66071666666</v>
      </c>
      <c r="X276" s="15" t="n">
        <f aca="false">V276+W276-(V275+W275)</f>
        <v>1248.36567291667</v>
      </c>
      <c r="Y276" s="15" t="n">
        <f aca="false">P276-X276</f>
        <v>3226.06326226851</v>
      </c>
      <c r="Z276" s="15" t="n">
        <f aca="false">R276-T276+IF(AND(Parametri_v3!$C$40=1,D276-YEAR(Parametri_v3!$C$50)&lt;Parametri_v3!$C$41),MAX(0,-Q276),0)</f>
        <v>0</v>
      </c>
      <c r="AA276" s="15" t="n">
        <f aca="false">S276-U276+IF(AND(Parametri_v3!$C$40=1,D276-YEAR(Parametri_v3!$C$50)&lt;Parametri_v3!$C$41),0,MAX(0,-Q276))</f>
        <v>0</v>
      </c>
      <c r="AB276" s="15" t="n">
        <f aca="false">F276*(1+Parametri_v3!$C$26)</f>
        <v>36535.95</v>
      </c>
      <c r="AC276" s="15" t="n">
        <f aca="false">(IF(32-(INT((Motore_Operativo!L276)/30))&lt;1,0,INDEX(Motore_Advisory!$AB$245:$AB$304,MAX(1,32-(INT((Motore_Operativo!L276)/30)))))*(1-(MOD((Motore_Operativo!L276),30)/30))+IF(32-(INT((Motore_Operativo!L276)/30))-1&lt;1,0,INDEX(Motore_Advisory!$AB$245:$AB$304,MAX(1,32-(INT((Motore_Operativo!L276)/30))-1)))*(MOD((Motore_Operativo!L276),30)/30))</f>
        <v>36535.95</v>
      </c>
      <c r="AD276" s="15" t="n">
        <f aca="false">(AD275)+AB276-AC276</f>
        <v>146143.8</v>
      </c>
      <c r="AE276" s="15" t="n">
        <f aca="false">Motore_Operativo!BH276*(1+Parametri_v3!$C$26)</f>
        <v>3653.595</v>
      </c>
      <c r="AF276" s="15" t="n">
        <f aca="false">(IF(32-(INT((Parametri_v3!$C$29)/30))&lt;1,0,INDEX(Motore_Operativo!$BH$245:$BH$304,MAX(1,32-(INT((Parametri_v3!$C$29)/30)))))*(1-(MOD((Parametri_v3!$C$29),30)/30))+IF(32-(INT((Parametri_v3!$C$29)/30))-1&lt;1,0,INDEX(Motore_Operativo!$BH$245:$BH$304,MAX(1,32-(INT((Parametri_v3!$C$29)/30))-1)))*(MOD((Parametri_v3!$C$29),30)/30))*(1+Parametri_v3!$C$26)</f>
        <v>3653.595</v>
      </c>
      <c r="AG276" s="15" t="n">
        <f aca="false">(AG275)+AE276-AF276</f>
        <v>3653.595</v>
      </c>
      <c r="AH276" s="15" t="n">
        <f aca="false">(Motore_Operativo!CK276)*(1+Parametri_v3!$C$28*Parametri_v3!$C$26)</f>
        <v>11638.6956</v>
      </c>
      <c r="AI276" s="15" t="n">
        <f aca="false">(IF(32-(INT((Ipotesi!$C$91)/30))&lt;1,0,INDEX(Motore_Advisory!$AH$245:$AH$304,MAX(1,32-(INT((Ipotesi!$C$91)/30)))))*(1-(MOD((Ipotesi!$C$91),30)/30))+IF(32-(INT((Ipotesi!$C$91)/30))-1&lt;1,0,INDEX(Motore_Advisory!$AH$245:$AH$304,MAX(1,32-(INT((Ipotesi!$C$91)/30))-1)))*(MOD((Ipotesi!$C$91),30)/30))</f>
        <v>11638.6956</v>
      </c>
      <c r="AJ276" s="15" t="n">
        <f aca="false">(AJ275)+AH276-AI276</f>
        <v>23277.3912</v>
      </c>
      <c r="AK276" s="15" t="n">
        <f aca="false">(F276- Motore_Operativo!BH276-(Motore_Operativo!CK276)*Parametri_v3!$C$28-Motore_Operativo!CF276)*Parametri_v3!$C$26</f>
        <v>4096.09273333333</v>
      </c>
      <c r="AL276" s="15" t="n">
        <f aca="false">MAX(0,(AM275))</f>
        <v>4096.09273333333</v>
      </c>
      <c r="AM276" s="15" t="n">
        <f aca="false">(AM275)+AK276-AL276</f>
        <v>4096.09273333333</v>
      </c>
      <c r="AN276" s="15" t="n">
        <f aca="false">SUM(X257:X268)</f>
        <v>3321.75190704226</v>
      </c>
      <c r="AO276" s="15" t="n">
        <f aca="false">SUM(AP257:AP268)</f>
        <v>1563.76024736842</v>
      </c>
      <c r="AP276" s="15" t="n">
        <f aca="false">MAX(0,AN276)*IF(8=Parametri_v3!$C$43,Parametri_v3!$C$45,IF(8=Parametri_v3!$C$44,1-Parametri_v3!$C$45,0))</f>
        <v>0</v>
      </c>
      <c r="AQ276" s="15" t="n">
        <f aca="false">MAX(0,AP276+IF(8=Parametri_v3!$C$43,MAX(0,AN276-AO276),0)-MAX(0,-(AR275)))</f>
        <v>0</v>
      </c>
      <c r="AR276" s="15" t="n">
        <f aca="false">(AR275)+X276-AQ276</f>
        <v>8748.64128718308</v>
      </c>
      <c r="AS276" s="15" t="n">
        <f aca="false">Motore_Operativo!AC276-AT276+AU276</f>
        <v>11653.3234375</v>
      </c>
      <c r="AT276" s="15" t="n">
        <f aca="false">Motore_Operativo!CI276</f>
        <v>613.3328125</v>
      </c>
      <c r="AU276" s="15" t="n">
        <f aca="false">MIN(MAX(0,(AV275)+AT276),Parametri_v3!$C$61/12)</f>
        <v>0</v>
      </c>
      <c r="AV276" s="15" t="n">
        <f aca="false">(AV275)+AT276-AU276</f>
        <v>11135.1125</v>
      </c>
      <c r="AW276" s="15" t="n">
        <f aca="false">IF(AND(Motore_Operativo!C276=Finanziamenti!$D$7,Finanziamenti!$F$7=1),Finanziamenti!$C$7,0)</f>
        <v>0</v>
      </c>
      <c r="AX276" s="15" t="n">
        <f aca="false">0</f>
        <v>0</v>
      </c>
      <c r="AY276" s="15" t="n">
        <f aca="false">IF(8=Parametri_v3!$C$33,IF(BV276&lt;MIN(12,$B276-1),0,MIN(MAX(0,SUM(Y257:Y268))*Ipotesi!$C$94,MAX(0,(BM268)-(BO275)-BP276),MAX(0,BD276-Parametri_v3!$C$31))),0)</f>
        <v>0</v>
      </c>
      <c r="AZ276" s="15" t="n">
        <f aca="false">0</f>
        <v>0</v>
      </c>
      <c r="BA276" s="15" t="n">
        <f aca="false">0</f>
        <v>0</v>
      </c>
      <c r="BB276" s="15" t="n">
        <f aca="false">0</f>
        <v>0</v>
      </c>
      <c r="BC276" s="15" t="n">
        <f aca="false">0</f>
        <v>0</v>
      </c>
      <c r="BD276" s="15" t="n">
        <f aca="false">(BH275)+AC276-AF276-AI276-AS276-K276*(1+Parametri_v3!$C$26)-AL276-AQ276-O276+AW276+AX276+AZ276+BA276-BB276</f>
        <v>-43259.9641204151</v>
      </c>
      <c r="BE276" s="15" t="n">
        <f aca="false">0</f>
        <v>0</v>
      </c>
      <c r="BF276" s="15" t="n">
        <f aca="false">0</f>
        <v>0</v>
      </c>
      <c r="BG276" s="15" t="n">
        <f aca="false">0</f>
        <v>0</v>
      </c>
      <c r="BH276" s="15" t="n">
        <f aca="false">BD276+BE276-BF276-AY276</f>
        <v>-43259.9641204151</v>
      </c>
      <c r="BI276" s="15" t="n">
        <f aca="false">MAX(0,Parametri_v3!$C$31-BH276)</f>
        <v>53259.9641204151</v>
      </c>
      <c r="BJ276" s="15" t="n">
        <f aca="false">(BJ275)+K276</f>
        <v>11333.3333333333</v>
      </c>
      <c r="BK276" s="15" t="n">
        <f aca="false">(BK275)+L276</f>
        <v>4638.88888888889</v>
      </c>
      <c r="BL276" s="15" t="n">
        <f aca="false">BJ276-BK276</f>
        <v>6694.44444444444</v>
      </c>
      <c r="BM276" s="15" t="n">
        <f aca="false">(BM275)+Y276</f>
        <v>38667.4476035129</v>
      </c>
      <c r="BN276" s="15" t="n">
        <f aca="false">(BN275)+AW276+AX276+AZ276</f>
        <v>20000</v>
      </c>
      <c r="BO276" s="15" t="n">
        <f aca="false">(BO275)+AY276</f>
        <v>0</v>
      </c>
      <c r="BP276" s="15" t="n">
        <f aca="false">MIN(Parametri_v3!$C$36*Parametri_v3!$C$35,(BP275)+IF(8=1,MAX(0,SUM(Y257:Y268))*Parametri_v3!$C$34,0))</f>
        <v>631.264204897868</v>
      </c>
      <c r="BQ276" s="15" t="n">
        <f aca="false">BN276+BM276-BO276</f>
        <v>58667.4476035129</v>
      </c>
      <c r="BR276" s="15" t="n">
        <f aca="false">BH276+AD276+BL276+MAX(0,-AM276)+MAX(0,-AR276)</f>
        <v>109578.280324029</v>
      </c>
      <c r="BS276" s="15" t="n">
        <f aca="false">AJ276+AV276+MAX(0,AM276)+MAX(0,AR276)+BC276+BG276+BQ276+AG276</f>
        <v>109578.280324029</v>
      </c>
      <c r="BT276" s="15" t="n">
        <f aca="false">BR276-BS276</f>
        <v>0</v>
      </c>
      <c r="BU276" s="15" t="n">
        <f aca="false">BH276-(BD276+BE276-BF276-AY276)</f>
        <v>0</v>
      </c>
      <c r="BV276" s="15" t="n">
        <f aca="false">IF(BH275&lt;Parametri_v3!$C$31,0,BV275+1)</f>
        <v>0</v>
      </c>
    </row>
    <row r="277" customFormat="false" ht="18" hidden="false" customHeight="true" outlineLevel="0" collapsed="false">
      <c r="A277" s="68" t="n">
        <f aca="false">5</f>
        <v>5</v>
      </c>
      <c r="B277" s="68" t="n">
        <f aca="false">33</f>
        <v>33</v>
      </c>
      <c r="C277" s="18" t="n">
        <f aca="false">Motore_Operativo!C277</f>
        <v>47362</v>
      </c>
      <c r="D277" s="68" t="n">
        <f aca="false">Motore_Operativo!D277</f>
        <v>2029</v>
      </c>
      <c r="E277" s="68" t="n">
        <f aca="false">Motore_Operativo!E277</f>
        <v>9</v>
      </c>
      <c r="F277" s="15" t="n">
        <f aca="false">Motore_Operativo!AM277</f>
        <v>29947.5</v>
      </c>
      <c r="G277" s="15" t="n">
        <f aca="false">Motore_Operativo!BH277</f>
        <v>2994.75</v>
      </c>
      <c r="H277" s="15" t="n">
        <f aca="false">Motore_Operativo!AM277</f>
        <v>29947.5</v>
      </c>
      <c r="I277" s="15" t="n">
        <f aca="false">Motore_Operativo!CB277</f>
        <v>25158.25625</v>
      </c>
      <c r="J277" s="15" t="n">
        <f aca="false">Motore_Operativo!CD277</f>
        <v>4789.24374999999</v>
      </c>
      <c r="K277" s="15" t="n">
        <f aca="false">Motore_Operativo!CF277</f>
        <v>416.666666666667</v>
      </c>
      <c r="L277" s="15" t="n">
        <f aca="false">SUM(INDEX($K$245:$K$304,MAX(1,33-Parametri_v3!$C$59+1)):K277)/Parametri_v3!$C$59</f>
        <v>326.388888888889</v>
      </c>
      <c r="M277" s="15" t="n">
        <f aca="false">J277-L277</f>
        <v>4462.85486111111</v>
      </c>
      <c r="N277" s="15" t="n">
        <f aca="false">0</f>
        <v>0</v>
      </c>
      <c r="O277" s="15" t="n">
        <f aca="false">0</f>
        <v>0</v>
      </c>
      <c r="P277" s="15" t="n">
        <f aca="false">M277+N277-O277</f>
        <v>4462.85486111111</v>
      </c>
      <c r="Q277" s="15" t="n">
        <f aca="false">SUM(P269:P277)+Parametri_v3!$C$56*9/12</f>
        <v>40582.3604166666</v>
      </c>
      <c r="R277" s="15" t="n">
        <f aca="false">Z268</f>
        <v>0</v>
      </c>
      <c r="S277" s="15" t="n">
        <f aca="false">AA268</f>
        <v>0</v>
      </c>
      <c r="T277" s="15" t="n">
        <f aca="false">MIN(R277,MAX(0,Q277))</f>
        <v>0</v>
      </c>
      <c r="U277" s="15" t="n">
        <f aca="false">MIN(S277,MAX(0,Q277-T277)*Parametri_v3!$C$42)</f>
        <v>0</v>
      </c>
      <c r="V277" s="15" t="n">
        <f aca="false">MAX(0,Q277-T277-U277)*Ipotesi!$C$92</f>
        <v>9739.76649999999</v>
      </c>
      <c r="W277" s="15" t="n">
        <f aca="false">MAX(0,SUM(M269:M277)+Parametri_v3!$C$57*9/12)*Ipotesi!$C$93</f>
        <v>1582.71205625</v>
      </c>
      <c r="X277" s="15" t="n">
        <f aca="false">V277+W277-(V276+W276)</f>
        <v>1245.13650625</v>
      </c>
      <c r="Y277" s="15" t="n">
        <f aca="false">P277-X277</f>
        <v>3217.71835486111</v>
      </c>
      <c r="Z277" s="15" t="n">
        <f aca="false">R277-T277+IF(AND(Parametri_v3!$C$40=1,D277-YEAR(Parametri_v3!$C$50)&lt;Parametri_v3!$C$41),MAX(0,-Q277),0)</f>
        <v>0</v>
      </c>
      <c r="AA277" s="15" t="n">
        <f aca="false">S277-U277+IF(AND(Parametri_v3!$C$40=1,D277-YEAR(Parametri_v3!$C$50)&lt;Parametri_v3!$C$41),0,MAX(0,-Q277))</f>
        <v>0</v>
      </c>
      <c r="AB277" s="15" t="n">
        <f aca="false">F277*(1+Parametri_v3!$C$26)</f>
        <v>36535.95</v>
      </c>
      <c r="AC277" s="15" t="n">
        <f aca="false">(IF(33-(INT((Motore_Operativo!L277)/30))&lt;1,0,INDEX(Motore_Advisory!$AB$245:$AB$304,MAX(1,33-(INT((Motore_Operativo!L277)/30)))))*(1-(MOD((Motore_Operativo!L277),30)/30))+IF(33-(INT((Motore_Operativo!L277)/30))-1&lt;1,0,INDEX(Motore_Advisory!$AB$245:$AB$304,MAX(1,33-(INT((Motore_Operativo!L277)/30))-1)))*(MOD((Motore_Operativo!L277),30)/30))</f>
        <v>36535.95</v>
      </c>
      <c r="AD277" s="15" t="n">
        <f aca="false">(AD276)+AB277-AC277</f>
        <v>146143.8</v>
      </c>
      <c r="AE277" s="15" t="n">
        <f aca="false">Motore_Operativo!BH277*(1+Parametri_v3!$C$26)</f>
        <v>3653.595</v>
      </c>
      <c r="AF277" s="15" t="n">
        <f aca="false">(IF(33-(INT((Parametri_v3!$C$29)/30))&lt;1,0,INDEX(Motore_Operativo!$BH$245:$BH$304,MAX(1,33-(INT((Parametri_v3!$C$29)/30)))))*(1-(MOD((Parametri_v3!$C$29),30)/30))+IF(33-(INT((Parametri_v3!$C$29)/30))-1&lt;1,0,INDEX(Motore_Operativo!$BH$245:$BH$304,MAX(1,33-(INT((Parametri_v3!$C$29)/30))-1)))*(MOD((Parametri_v3!$C$29),30)/30))*(1+Parametri_v3!$C$26)</f>
        <v>3653.595</v>
      </c>
      <c r="AG277" s="15" t="n">
        <f aca="false">(AG276)+AE277-AF277</f>
        <v>3653.595</v>
      </c>
      <c r="AH277" s="15" t="n">
        <f aca="false">(Motore_Operativo!CK277)*(1+Parametri_v3!$C$28*Parametri_v3!$C$26)</f>
        <v>11638.6956</v>
      </c>
      <c r="AI277" s="15" t="n">
        <f aca="false">(IF(33-(INT((Ipotesi!$C$91)/30))&lt;1,0,INDEX(Motore_Advisory!$AH$245:$AH$304,MAX(1,33-(INT((Ipotesi!$C$91)/30)))))*(1-(MOD((Ipotesi!$C$91),30)/30))+IF(33-(INT((Ipotesi!$C$91)/30))-1&lt;1,0,INDEX(Motore_Advisory!$AH$245:$AH$304,MAX(1,33-(INT((Ipotesi!$C$91)/30))-1)))*(MOD((Ipotesi!$C$91),30)/30))</f>
        <v>11638.6956</v>
      </c>
      <c r="AJ277" s="15" t="n">
        <f aca="false">(AJ276)+AH277-AI277</f>
        <v>23277.3912</v>
      </c>
      <c r="AK277" s="15" t="n">
        <f aca="false">(F277- Motore_Operativo!BH277-(Motore_Operativo!CK277)*Parametri_v3!$C$28-Motore_Operativo!CF277)*Parametri_v3!$C$26</f>
        <v>4096.09273333333</v>
      </c>
      <c r="AL277" s="15" t="n">
        <f aca="false">MAX(0,(AM276))</f>
        <v>4096.09273333333</v>
      </c>
      <c r="AM277" s="15" t="n">
        <f aca="false">(AM276)+AK277-AL277</f>
        <v>4096.09273333333</v>
      </c>
      <c r="AN277" s="15" t="n">
        <f aca="false">SUM(X257:X268)</f>
        <v>3321.75190704226</v>
      </c>
      <c r="AO277" s="15" t="n">
        <f aca="false">SUM(AP257:AP268)</f>
        <v>1563.76024736842</v>
      </c>
      <c r="AP277" s="15" t="n">
        <f aca="false">MAX(0,AN277)*IF(9=Parametri_v3!$C$43,Parametri_v3!$C$45,IF(9=Parametri_v3!$C$44,1-Parametri_v3!$C$45,0))</f>
        <v>0</v>
      </c>
      <c r="AQ277" s="15" t="n">
        <f aca="false">MAX(0,AP277+IF(9=Parametri_v3!$C$43,MAX(0,AN277-AO277),0)-MAX(0,-(AR276)))</f>
        <v>0</v>
      </c>
      <c r="AR277" s="15" t="n">
        <f aca="false">(AR276)+X277-AQ277</f>
        <v>9993.77779343308</v>
      </c>
      <c r="AS277" s="15" t="n">
        <f aca="false">Motore_Operativo!AC277-AT277+AU277</f>
        <v>11653.3234375</v>
      </c>
      <c r="AT277" s="15" t="n">
        <f aca="false">Motore_Operativo!CI277</f>
        <v>613.3328125</v>
      </c>
      <c r="AU277" s="15" t="n">
        <f aca="false">MIN(MAX(0,(AV276)+AT277),Parametri_v3!$C$61/12)</f>
        <v>0</v>
      </c>
      <c r="AV277" s="15" t="n">
        <f aca="false">(AV276)+AT277-AU277</f>
        <v>11748.4453125</v>
      </c>
      <c r="AW277" s="15" t="n">
        <f aca="false">IF(AND(Motore_Operativo!C277=Finanziamenti!$D$7,Finanziamenti!$F$7=1),Finanziamenti!$C$7,0)</f>
        <v>0</v>
      </c>
      <c r="AX277" s="15" t="n">
        <f aca="false">0</f>
        <v>0</v>
      </c>
      <c r="AY277" s="15" t="n">
        <f aca="false">IF(9=Parametri_v3!$C$33,IF(BV277&lt;MIN(12,$B277-1),0,MIN(MAX(0,SUM(Y257:Y268))*Ipotesi!$C$94,MAX(0,(BM268)-(BO276)-BP277),MAX(0,BD277-Parametri_v3!$C$31))),0)</f>
        <v>0</v>
      </c>
      <c r="AZ277" s="15" t="n">
        <f aca="false">0</f>
        <v>0</v>
      </c>
      <c r="BA277" s="15" t="n">
        <f aca="false">0</f>
        <v>0</v>
      </c>
      <c r="BB277" s="15" t="n">
        <f aca="false">0</f>
        <v>0</v>
      </c>
      <c r="BC277" s="15" t="n">
        <f aca="false">0</f>
        <v>0</v>
      </c>
      <c r="BD277" s="15" t="n">
        <f aca="false">(BH276)+AC277-AF277-AI277-AS277-K277*(1+Parametri_v3!$C$26)-AL277-AQ277-O277+AW277+AX277+AZ277+BA277-BB277</f>
        <v>-38274.0542245818</v>
      </c>
      <c r="BE277" s="15" t="n">
        <f aca="false">0</f>
        <v>0</v>
      </c>
      <c r="BF277" s="15" t="n">
        <f aca="false">0</f>
        <v>0</v>
      </c>
      <c r="BG277" s="15" t="n">
        <f aca="false">0</f>
        <v>0</v>
      </c>
      <c r="BH277" s="15" t="n">
        <f aca="false">BD277+BE277-BF277-AY277</f>
        <v>-38274.0542245818</v>
      </c>
      <c r="BI277" s="15" t="n">
        <f aca="false">MAX(0,Parametri_v3!$C$31-BH277)</f>
        <v>48274.0542245818</v>
      </c>
      <c r="BJ277" s="15" t="n">
        <f aca="false">(BJ276)+K277</f>
        <v>11750</v>
      </c>
      <c r="BK277" s="15" t="n">
        <f aca="false">(BK276)+L277</f>
        <v>4965.27777777778</v>
      </c>
      <c r="BL277" s="15" t="n">
        <f aca="false">BJ277-BK277</f>
        <v>6784.72222222222</v>
      </c>
      <c r="BM277" s="15" t="n">
        <f aca="false">(BM276)+Y277</f>
        <v>41885.165958374</v>
      </c>
      <c r="BN277" s="15" t="n">
        <f aca="false">(BN276)+AW277+AX277+AZ277</f>
        <v>20000</v>
      </c>
      <c r="BO277" s="15" t="n">
        <f aca="false">(BO276)+AY277</f>
        <v>0</v>
      </c>
      <c r="BP277" s="15" t="n">
        <f aca="false">MIN(Parametri_v3!$C$36*Parametri_v3!$C$35,(BP276)+IF(9=1,MAX(0,SUM(Y257:Y268))*Parametri_v3!$C$34,0))</f>
        <v>631.264204897868</v>
      </c>
      <c r="BQ277" s="15" t="n">
        <f aca="false">BN277+BM277-BO277</f>
        <v>61885.165958374</v>
      </c>
      <c r="BR277" s="15" t="n">
        <f aca="false">BH277+AD277+BL277+MAX(0,-AM277)+MAX(0,-AR277)</f>
        <v>114654.46799764</v>
      </c>
      <c r="BS277" s="15" t="n">
        <f aca="false">AJ277+AV277+MAX(0,AM277)+MAX(0,AR277)+BC277+BG277+BQ277+AG277</f>
        <v>114654.46799764</v>
      </c>
      <c r="BT277" s="15" t="n">
        <f aca="false">BR277-BS277</f>
        <v>0</v>
      </c>
      <c r="BU277" s="15" t="n">
        <f aca="false">BH277-(BD277+BE277-BF277-AY277)</f>
        <v>0</v>
      </c>
      <c r="BV277" s="15" t="n">
        <f aca="false">IF(BH276&lt;Parametri_v3!$C$31,0,BV276+1)</f>
        <v>0</v>
      </c>
    </row>
    <row r="278" customFormat="false" ht="18" hidden="false" customHeight="true" outlineLevel="0" collapsed="false">
      <c r="A278" s="68" t="n">
        <f aca="false">5</f>
        <v>5</v>
      </c>
      <c r="B278" s="68" t="n">
        <f aca="false">34</f>
        <v>34</v>
      </c>
      <c r="C278" s="18" t="n">
        <f aca="false">Motore_Operativo!C278</f>
        <v>47392</v>
      </c>
      <c r="D278" s="68" t="n">
        <f aca="false">Motore_Operativo!D278</f>
        <v>2029</v>
      </c>
      <c r="E278" s="68" t="n">
        <f aca="false">Motore_Operativo!E278</f>
        <v>10</v>
      </c>
      <c r="F278" s="15" t="n">
        <f aca="false">Motore_Operativo!AM278</f>
        <v>29947.5</v>
      </c>
      <c r="G278" s="15" t="n">
        <f aca="false">Motore_Operativo!BH278</f>
        <v>2994.75</v>
      </c>
      <c r="H278" s="15" t="n">
        <f aca="false">Motore_Operativo!AM278</f>
        <v>29947.5</v>
      </c>
      <c r="I278" s="15" t="n">
        <f aca="false">Motore_Operativo!CB278</f>
        <v>25158.25625</v>
      </c>
      <c r="J278" s="15" t="n">
        <f aca="false">Motore_Operativo!CD278</f>
        <v>4789.24374999999</v>
      </c>
      <c r="K278" s="15" t="n">
        <f aca="false">Motore_Operativo!CF278</f>
        <v>416.666666666667</v>
      </c>
      <c r="L278" s="15" t="n">
        <f aca="false">SUM(INDEX($K$245:$K$304,MAX(1,34-Parametri_v3!$C$59+1)):K278)/Parametri_v3!$C$59</f>
        <v>337.962962962963</v>
      </c>
      <c r="M278" s="15" t="n">
        <f aca="false">J278-L278</f>
        <v>4451.28078703703</v>
      </c>
      <c r="N278" s="15" t="n">
        <f aca="false">0</f>
        <v>0</v>
      </c>
      <c r="O278" s="15" t="n">
        <f aca="false">0</f>
        <v>0</v>
      </c>
      <c r="P278" s="15" t="n">
        <f aca="false">M278+N278-O278</f>
        <v>4451.28078703703</v>
      </c>
      <c r="Q278" s="15" t="n">
        <f aca="false">SUM(P269:P278)+Parametri_v3!$C$56*10/12</f>
        <v>45033.6412037036</v>
      </c>
      <c r="R278" s="15" t="n">
        <f aca="false">Z268</f>
        <v>0</v>
      </c>
      <c r="S278" s="15" t="n">
        <f aca="false">AA268</f>
        <v>0</v>
      </c>
      <c r="T278" s="15" t="n">
        <f aca="false">MIN(R278,MAX(0,Q278))</f>
        <v>0</v>
      </c>
      <c r="U278" s="15" t="n">
        <f aca="false">MIN(S278,MAX(0,Q278-T278)*Parametri_v3!$C$42)</f>
        <v>0</v>
      </c>
      <c r="V278" s="15" t="n">
        <f aca="false">MAX(0,Q278-T278-U278)*Ipotesi!$C$92</f>
        <v>10808.0738888889</v>
      </c>
      <c r="W278" s="15" t="n">
        <f aca="false">MAX(0,SUM(M269:M278)+Parametri_v3!$C$57*10/12)*Ipotesi!$C$93</f>
        <v>1756.31200694444</v>
      </c>
      <c r="X278" s="15" t="n">
        <f aca="false">V278+W278-(V277+W277)</f>
        <v>1241.90733958333</v>
      </c>
      <c r="Y278" s="15" t="n">
        <f aca="false">P278-X278</f>
        <v>3209.3734474537</v>
      </c>
      <c r="Z278" s="15" t="n">
        <f aca="false">R278-T278+IF(AND(Parametri_v3!$C$40=1,D278-YEAR(Parametri_v3!$C$50)&lt;Parametri_v3!$C$41),MAX(0,-Q278),0)</f>
        <v>0</v>
      </c>
      <c r="AA278" s="15" t="n">
        <f aca="false">S278-U278+IF(AND(Parametri_v3!$C$40=1,D278-YEAR(Parametri_v3!$C$50)&lt;Parametri_v3!$C$41),0,MAX(0,-Q278))</f>
        <v>0</v>
      </c>
      <c r="AB278" s="15" t="n">
        <f aca="false">F278*(1+Parametri_v3!$C$26)</f>
        <v>36535.95</v>
      </c>
      <c r="AC278" s="15" t="n">
        <f aca="false">(IF(34-(INT((Motore_Operativo!L278)/30))&lt;1,0,INDEX(Motore_Advisory!$AB$245:$AB$304,MAX(1,34-(INT((Motore_Operativo!L278)/30)))))*(1-(MOD((Motore_Operativo!L278),30)/30))+IF(34-(INT((Motore_Operativo!L278)/30))-1&lt;1,0,INDEX(Motore_Advisory!$AB$245:$AB$304,MAX(1,34-(INT((Motore_Operativo!L278)/30))-1)))*(MOD((Motore_Operativo!L278),30)/30))</f>
        <v>36535.95</v>
      </c>
      <c r="AD278" s="15" t="n">
        <f aca="false">(AD277)+AB278-AC278</f>
        <v>146143.8</v>
      </c>
      <c r="AE278" s="15" t="n">
        <f aca="false">Motore_Operativo!BH278*(1+Parametri_v3!$C$26)</f>
        <v>3653.595</v>
      </c>
      <c r="AF278" s="15" t="n">
        <f aca="false">(IF(34-(INT((Parametri_v3!$C$29)/30))&lt;1,0,INDEX(Motore_Operativo!$BH$245:$BH$304,MAX(1,34-(INT((Parametri_v3!$C$29)/30)))))*(1-(MOD((Parametri_v3!$C$29),30)/30))+IF(34-(INT((Parametri_v3!$C$29)/30))-1&lt;1,0,INDEX(Motore_Operativo!$BH$245:$BH$304,MAX(1,34-(INT((Parametri_v3!$C$29)/30))-1)))*(MOD((Parametri_v3!$C$29),30)/30))*(1+Parametri_v3!$C$26)</f>
        <v>3653.595</v>
      </c>
      <c r="AG278" s="15" t="n">
        <f aca="false">(AG277)+AE278-AF278</f>
        <v>3653.595</v>
      </c>
      <c r="AH278" s="15" t="n">
        <f aca="false">(Motore_Operativo!CK278)*(1+Parametri_v3!$C$28*Parametri_v3!$C$26)</f>
        <v>11638.6956</v>
      </c>
      <c r="AI278" s="15" t="n">
        <f aca="false">(IF(34-(INT((Ipotesi!$C$91)/30))&lt;1,0,INDEX(Motore_Advisory!$AH$245:$AH$304,MAX(1,34-(INT((Ipotesi!$C$91)/30)))))*(1-(MOD((Ipotesi!$C$91),30)/30))+IF(34-(INT((Ipotesi!$C$91)/30))-1&lt;1,0,INDEX(Motore_Advisory!$AH$245:$AH$304,MAX(1,34-(INT((Ipotesi!$C$91)/30))-1)))*(MOD((Ipotesi!$C$91),30)/30))</f>
        <v>11638.6956</v>
      </c>
      <c r="AJ278" s="15" t="n">
        <f aca="false">(AJ277)+AH278-AI278</f>
        <v>23277.3912</v>
      </c>
      <c r="AK278" s="15" t="n">
        <f aca="false">(F278- Motore_Operativo!BH278-(Motore_Operativo!CK278)*Parametri_v3!$C$28-Motore_Operativo!CF278)*Parametri_v3!$C$26</f>
        <v>4096.09273333333</v>
      </c>
      <c r="AL278" s="15" t="n">
        <f aca="false">MAX(0,(AM277))</f>
        <v>4096.09273333333</v>
      </c>
      <c r="AM278" s="15" t="n">
        <f aca="false">(AM277)+AK278-AL278</f>
        <v>4096.09273333333</v>
      </c>
      <c r="AN278" s="15" t="n">
        <f aca="false">SUM(X257:X268)</f>
        <v>3321.75190704226</v>
      </c>
      <c r="AO278" s="15" t="n">
        <f aca="false">SUM(AP257:AP268)</f>
        <v>1563.76024736842</v>
      </c>
      <c r="AP278" s="15" t="n">
        <f aca="false">MAX(0,AN278)*IF(10=Parametri_v3!$C$43,Parametri_v3!$C$45,IF(10=Parametri_v3!$C$44,1-Parametri_v3!$C$45,0))</f>
        <v>0</v>
      </c>
      <c r="AQ278" s="15" t="n">
        <f aca="false">MAX(0,AP278+IF(10=Parametri_v3!$C$43,MAX(0,AN278-AO278),0)-MAX(0,-(AR277)))</f>
        <v>0</v>
      </c>
      <c r="AR278" s="15" t="n">
        <f aca="false">(AR277)+X278-AQ278</f>
        <v>11235.6851330164</v>
      </c>
      <c r="AS278" s="15" t="n">
        <f aca="false">Motore_Operativo!AC278-AT278+AU278</f>
        <v>11653.3234375</v>
      </c>
      <c r="AT278" s="15" t="n">
        <f aca="false">Motore_Operativo!CI278</f>
        <v>613.3328125</v>
      </c>
      <c r="AU278" s="15" t="n">
        <f aca="false">MIN(MAX(0,(AV277)+AT278),Parametri_v3!$C$61/12)</f>
        <v>0</v>
      </c>
      <c r="AV278" s="15" t="n">
        <f aca="false">(AV277)+AT278-AU278</f>
        <v>12361.778125</v>
      </c>
      <c r="AW278" s="15" t="n">
        <f aca="false">IF(AND(Motore_Operativo!C278=Finanziamenti!$D$7,Finanziamenti!$F$7=1),Finanziamenti!$C$7,0)</f>
        <v>0</v>
      </c>
      <c r="AX278" s="15" t="n">
        <f aca="false">0</f>
        <v>0</v>
      </c>
      <c r="AY278" s="15" t="n">
        <f aca="false">IF(10=Parametri_v3!$C$33,IF(BV278&lt;MIN(12,$B278-1),0,MIN(MAX(0,SUM(Y257:Y268))*Ipotesi!$C$94,MAX(0,(BM268)-(BO277)-BP278),MAX(0,BD278-Parametri_v3!$C$31))),0)</f>
        <v>0</v>
      </c>
      <c r="AZ278" s="15" t="n">
        <f aca="false">0</f>
        <v>0</v>
      </c>
      <c r="BA278" s="15" t="n">
        <f aca="false">0</f>
        <v>0</v>
      </c>
      <c r="BB278" s="15" t="n">
        <f aca="false">0</f>
        <v>0</v>
      </c>
      <c r="BC278" s="15" t="n">
        <f aca="false">0</f>
        <v>0</v>
      </c>
      <c r="BD278" s="15" t="n">
        <f aca="false">(BH277)+AC278-AF278-AI278-AS278-K278*(1+Parametri_v3!$C$26)-AL278-AQ278-O278+AW278+AX278+AZ278+BA278-BB278</f>
        <v>-33288.1443287485</v>
      </c>
      <c r="BE278" s="15" t="n">
        <f aca="false">0</f>
        <v>0</v>
      </c>
      <c r="BF278" s="15" t="n">
        <f aca="false">0</f>
        <v>0</v>
      </c>
      <c r="BG278" s="15" t="n">
        <f aca="false">0</f>
        <v>0</v>
      </c>
      <c r="BH278" s="15" t="n">
        <f aca="false">BD278+BE278-BF278-AY278</f>
        <v>-33288.1443287485</v>
      </c>
      <c r="BI278" s="15" t="n">
        <f aca="false">MAX(0,Parametri_v3!$C$31-BH278)</f>
        <v>43288.1443287485</v>
      </c>
      <c r="BJ278" s="15" t="n">
        <f aca="false">(BJ277)+K278</f>
        <v>12166.6666666667</v>
      </c>
      <c r="BK278" s="15" t="n">
        <f aca="false">(BK277)+L278</f>
        <v>5303.24074074074</v>
      </c>
      <c r="BL278" s="15" t="n">
        <f aca="false">BJ278-BK278</f>
        <v>6863.42592592592</v>
      </c>
      <c r="BM278" s="15" t="n">
        <f aca="false">(BM277)+Y278</f>
        <v>45094.5394058277</v>
      </c>
      <c r="BN278" s="15" t="n">
        <f aca="false">(BN277)+AW278+AX278+AZ278</f>
        <v>20000</v>
      </c>
      <c r="BO278" s="15" t="n">
        <f aca="false">(BO277)+AY278</f>
        <v>0</v>
      </c>
      <c r="BP278" s="15" t="n">
        <f aca="false">MIN(Parametri_v3!$C$36*Parametri_v3!$C$35,(BP277)+IF(10=1,MAX(0,SUM(Y257:Y268))*Parametri_v3!$C$34,0))</f>
        <v>631.264204897868</v>
      </c>
      <c r="BQ278" s="15" t="n">
        <f aca="false">BN278+BM278-BO278</f>
        <v>65094.5394058277</v>
      </c>
      <c r="BR278" s="15" t="n">
        <f aca="false">BH278+AD278+BL278+MAX(0,-AM278)+MAX(0,-AR278)</f>
        <v>119719.081597177</v>
      </c>
      <c r="BS278" s="15" t="n">
        <f aca="false">AJ278+AV278+MAX(0,AM278)+MAX(0,AR278)+BC278+BG278+BQ278+AG278</f>
        <v>119719.081597177</v>
      </c>
      <c r="BT278" s="15" t="n">
        <f aca="false">BR278-BS278</f>
        <v>0</v>
      </c>
      <c r="BU278" s="15" t="n">
        <f aca="false">BH278-(BD278+BE278-BF278-AY278)</f>
        <v>0</v>
      </c>
      <c r="BV278" s="15" t="n">
        <f aca="false">IF(BH277&lt;Parametri_v3!$C$31,0,BV277+1)</f>
        <v>0</v>
      </c>
    </row>
    <row r="279" customFormat="false" ht="18" hidden="false" customHeight="true" outlineLevel="0" collapsed="false">
      <c r="A279" s="68" t="n">
        <f aca="false">5</f>
        <v>5</v>
      </c>
      <c r="B279" s="68" t="n">
        <f aca="false">35</f>
        <v>35</v>
      </c>
      <c r="C279" s="18" t="n">
        <f aca="false">Motore_Operativo!C279</f>
        <v>47423</v>
      </c>
      <c r="D279" s="68" t="n">
        <f aca="false">Motore_Operativo!D279</f>
        <v>2029</v>
      </c>
      <c r="E279" s="68" t="n">
        <f aca="false">Motore_Operativo!E279</f>
        <v>11</v>
      </c>
      <c r="F279" s="15" t="n">
        <f aca="false">Motore_Operativo!AM279</f>
        <v>29947.5</v>
      </c>
      <c r="G279" s="15" t="n">
        <f aca="false">Motore_Operativo!BH279</f>
        <v>2994.75</v>
      </c>
      <c r="H279" s="15" t="n">
        <f aca="false">Motore_Operativo!AM279</f>
        <v>29947.5</v>
      </c>
      <c r="I279" s="15" t="n">
        <f aca="false">Motore_Operativo!CB279</f>
        <v>25158.25625</v>
      </c>
      <c r="J279" s="15" t="n">
        <f aca="false">Motore_Operativo!CD279</f>
        <v>4789.24374999999</v>
      </c>
      <c r="K279" s="15" t="n">
        <f aca="false">Motore_Operativo!CF279</f>
        <v>416.666666666667</v>
      </c>
      <c r="L279" s="15" t="n">
        <f aca="false">SUM(INDEX($K$245:$K$304,MAX(1,35-Parametri_v3!$C$59+1)):K279)/Parametri_v3!$C$59</f>
        <v>349.537037037037</v>
      </c>
      <c r="M279" s="15" t="n">
        <f aca="false">J279-L279</f>
        <v>4439.70671296296</v>
      </c>
      <c r="N279" s="15" t="n">
        <f aca="false">0</f>
        <v>0</v>
      </c>
      <c r="O279" s="15" t="n">
        <f aca="false">0</f>
        <v>0</v>
      </c>
      <c r="P279" s="15" t="n">
        <f aca="false">M279+N279-O279</f>
        <v>4439.70671296296</v>
      </c>
      <c r="Q279" s="15" t="n">
        <f aca="false">SUM(P269:P279)+Parametri_v3!$C$56*11/12</f>
        <v>49473.3479166666</v>
      </c>
      <c r="R279" s="15" t="n">
        <f aca="false">Z268</f>
        <v>0</v>
      </c>
      <c r="S279" s="15" t="n">
        <f aca="false">AA268</f>
        <v>0</v>
      </c>
      <c r="T279" s="15" t="n">
        <f aca="false">MIN(R279,MAX(0,Q279))</f>
        <v>0</v>
      </c>
      <c r="U279" s="15" t="n">
        <f aca="false">MIN(S279,MAX(0,Q279-T279)*Parametri_v3!$C$42)</f>
        <v>0</v>
      </c>
      <c r="V279" s="15" t="n">
        <f aca="false">MAX(0,Q279-T279-U279)*Ipotesi!$C$92</f>
        <v>11873.6035</v>
      </c>
      <c r="W279" s="15" t="n">
        <f aca="false">MAX(0,SUM(M269:M279)+Parametri_v3!$C$57*11/12)*Ipotesi!$C$93</f>
        <v>1929.46056875</v>
      </c>
      <c r="X279" s="15" t="n">
        <f aca="false">V279+W279-(V278+W278)</f>
        <v>1238.67817291667</v>
      </c>
      <c r="Y279" s="15" t="n">
        <f aca="false">P279-X279</f>
        <v>3201.02854004629</v>
      </c>
      <c r="Z279" s="15" t="n">
        <f aca="false">R279-T279+IF(AND(Parametri_v3!$C$40=1,D279-YEAR(Parametri_v3!$C$50)&lt;Parametri_v3!$C$41),MAX(0,-Q279),0)</f>
        <v>0</v>
      </c>
      <c r="AA279" s="15" t="n">
        <f aca="false">S279-U279+IF(AND(Parametri_v3!$C$40=1,D279-YEAR(Parametri_v3!$C$50)&lt;Parametri_v3!$C$41),0,MAX(0,-Q279))</f>
        <v>0</v>
      </c>
      <c r="AB279" s="15" t="n">
        <f aca="false">F279*(1+Parametri_v3!$C$26)</f>
        <v>36535.95</v>
      </c>
      <c r="AC279" s="15" t="n">
        <f aca="false">(IF(35-(INT((Motore_Operativo!L279)/30))&lt;1,0,INDEX(Motore_Advisory!$AB$245:$AB$304,MAX(1,35-(INT((Motore_Operativo!L279)/30)))))*(1-(MOD((Motore_Operativo!L279),30)/30))+IF(35-(INT((Motore_Operativo!L279)/30))-1&lt;1,0,INDEX(Motore_Advisory!$AB$245:$AB$304,MAX(1,35-(INT((Motore_Operativo!L279)/30))-1)))*(MOD((Motore_Operativo!L279),30)/30))</f>
        <v>36535.95</v>
      </c>
      <c r="AD279" s="15" t="n">
        <f aca="false">(AD278)+AB279-AC279</f>
        <v>146143.8</v>
      </c>
      <c r="AE279" s="15" t="n">
        <f aca="false">Motore_Operativo!BH279*(1+Parametri_v3!$C$26)</f>
        <v>3653.595</v>
      </c>
      <c r="AF279" s="15" t="n">
        <f aca="false">(IF(35-(INT((Parametri_v3!$C$29)/30))&lt;1,0,INDEX(Motore_Operativo!$BH$245:$BH$304,MAX(1,35-(INT((Parametri_v3!$C$29)/30)))))*(1-(MOD((Parametri_v3!$C$29),30)/30))+IF(35-(INT((Parametri_v3!$C$29)/30))-1&lt;1,0,INDEX(Motore_Operativo!$BH$245:$BH$304,MAX(1,35-(INT((Parametri_v3!$C$29)/30))-1)))*(MOD((Parametri_v3!$C$29),30)/30))*(1+Parametri_v3!$C$26)</f>
        <v>3653.595</v>
      </c>
      <c r="AG279" s="15" t="n">
        <f aca="false">(AG278)+AE279-AF279</f>
        <v>3653.595</v>
      </c>
      <c r="AH279" s="15" t="n">
        <f aca="false">(Motore_Operativo!CK279)*(1+Parametri_v3!$C$28*Parametri_v3!$C$26)</f>
        <v>11638.6956</v>
      </c>
      <c r="AI279" s="15" t="n">
        <f aca="false">(IF(35-(INT((Ipotesi!$C$91)/30))&lt;1,0,INDEX(Motore_Advisory!$AH$245:$AH$304,MAX(1,35-(INT((Ipotesi!$C$91)/30)))))*(1-(MOD((Ipotesi!$C$91),30)/30))+IF(35-(INT((Ipotesi!$C$91)/30))-1&lt;1,0,INDEX(Motore_Advisory!$AH$245:$AH$304,MAX(1,35-(INT((Ipotesi!$C$91)/30))-1)))*(MOD((Ipotesi!$C$91),30)/30))</f>
        <v>11638.6956</v>
      </c>
      <c r="AJ279" s="15" t="n">
        <f aca="false">(AJ278)+AH279-AI279</f>
        <v>23277.3912</v>
      </c>
      <c r="AK279" s="15" t="n">
        <f aca="false">(F279- Motore_Operativo!BH279-(Motore_Operativo!CK279)*Parametri_v3!$C$28-Motore_Operativo!CF279)*Parametri_v3!$C$26</f>
        <v>4096.09273333333</v>
      </c>
      <c r="AL279" s="15" t="n">
        <f aca="false">MAX(0,(AM278))</f>
        <v>4096.09273333333</v>
      </c>
      <c r="AM279" s="15" t="n">
        <f aca="false">(AM278)+AK279-AL279</f>
        <v>4096.09273333333</v>
      </c>
      <c r="AN279" s="15" t="n">
        <f aca="false">SUM(X257:X268)</f>
        <v>3321.75190704226</v>
      </c>
      <c r="AO279" s="15" t="n">
        <f aca="false">SUM(AP257:AP268)</f>
        <v>1563.76024736842</v>
      </c>
      <c r="AP279" s="15" t="n">
        <f aca="false">MAX(0,AN279)*IF(11=Parametri_v3!$C$43,Parametri_v3!$C$45,IF(11=Parametri_v3!$C$44,1-Parametri_v3!$C$45,0))</f>
        <v>1993.05114422536</v>
      </c>
      <c r="AQ279" s="15" t="n">
        <f aca="false">MAX(0,AP279+IF(11=Parametri_v3!$C$43,MAX(0,AN279-AO279),0)-MAX(0,-(AR278)))</f>
        <v>1993.05114422536</v>
      </c>
      <c r="AR279" s="15" t="n">
        <f aca="false">(AR278)+X279-AQ279</f>
        <v>10481.3121617077</v>
      </c>
      <c r="AS279" s="15" t="n">
        <f aca="false">Motore_Operativo!AC279-AT279+AU279</f>
        <v>11653.3234375</v>
      </c>
      <c r="AT279" s="15" t="n">
        <f aca="false">Motore_Operativo!CI279</f>
        <v>613.3328125</v>
      </c>
      <c r="AU279" s="15" t="n">
        <f aca="false">MIN(MAX(0,(AV278)+AT279),Parametri_v3!$C$61/12)</f>
        <v>0</v>
      </c>
      <c r="AV279" s="15" t="n">
        <f aca="false">(AV278)+AT279-AU279</f>
        <v>12975.1109375</v>
      </c>
      <c r="AW279" s="15" t="n">
        <f aca="false">IF(AND(Motore_Operativo!C279=Finanziamenti!$D$7,Finanziamenti!$F$7=1),Finanziamenti!$C$7,0)</f>
        <v>0</v>
      </c>
      <c r="AX279" s="15" t="n">
        <f aca="false">0</f>
        <v>0</v>
      </c>
      <c r="AY279" s="15" t="n">
        <f aca="false">IF(11=Parametri_v3!$C$33,IF(BV279&lt;MIN(12,$B279-1),0,MIN(MAX(0,SUM(Y257:Y268))*Ipotesi!$C$94,MAX(0,(BM268)-(BO278)-BP279),MAX(0,BD279-Parametri_v3!$C$31))),0)</f>
        <v>0</v>
      </c>
      <c r="AZ279" s="15" t="n">
        <f aca="false">0</f>
        <v>0</v>
      </c>
      <c r="BA279" s="15" t="n">
        <f aca="false">0</f>
        <v>0</v>
      </c>
      <c r="BB279" s="15" t="n">
        <f aca="false">0</f>
        <v>0</v>
      </c>
      <c r="BC279" s="15" t="n">
        <f aca="false">0</f>
        <v>0</v>
      </c>
      <c r="BD279" s="15" t="n">
        <f aca="false">(BH278)+AC279-AF279-AI279-AS279-K279*(1+Parametri_v3!$C$26)-AL279-AQ279-O279+AW279+AX279+AZ279+BA279-BB279</f>
        <v>-30295.2855771405</v>
      </c>
      <c r="BE279" s="15" t="n">
        <f aca="false">0</f>
        <v>0</v>
      </c>
      <c r="BF279" s="15" t="n">
        <f aca="false">0</f>
        <v>0</v>
      </c>
      <c r="BG279" s="15" t="n">
        <f aca="false">0</f>
        <v>0</v>
      </c>
      <c r="BH279" s="15" t="n">
        <f aca="false">BD279+BE279-BF279-AY279</f>
        <v>-30295.2855771405</v>
      </c>
      <c r="BI279" s="15" t="n">
        <f aca="false">MAX(0,Parametri_v3!$C$31-BH279)</f>
        <v>40295.2855771405</v>
      </c>
      <c r="BJ279" s="15" t="n">
        <f aca="false">(BJ278)+K279</f>
        <v>12583.3333333333</v>
      </c>
      <c r="BK279" s="15" t="n">
        <f aca="false">(BK278)+L279</f>
        <v>5652.77777777778</v>
      </c>
      <c r="BL279" s="15" t="n">
        <f aca="false">BJ279-BK279</f>
        <v>6930.55555555555</v>
      </c>
      <c r="BM279" s="15" t="n">
        <f aca="false">(BM278)+Y279</f>
        <v>48295.567945874</v>
      </c>
      <c r="BN279" s="15" t="n">
        <f aca="false">(BN278)+AW279+AX279+AZ279</f>
        <v>20000</v>
      </c>
      <c r="BO279" s="15" t="n">
        <f aca="false">(BO278)+AY279</f>
        <v>0</v>
      </c>
      <c r="BP279" s="15" t="n">
        <f aca="false">MIN(Parametri_v3!$C$36*Parametri_v3!$C$35,(BP278)+IF(11=1,MAX(0,SUM(Y257:Y268))*Parametri_v3!$C$34,0))</f>
        <v>631.264204897868</v>
      </c>
      <c r="BQ279" s="15" t="n">
        <f aca="false">BN279+BM279-BO279</f>
        <v>68295.567945874</v>
      </c>
      <c r="BR279" s="15" t="n">
        <f aca="false">BH279+AD279+BL279+MAX(0,-AM279)+MAX(0,-AR279)</f>
        <v>122779.069978415</v>
      </c>
      <c r="BS279" s="15" t="n">
        <f aca="false">AJ279+AV279+MAX(0,AM279)+MAX(0,AR279)+BC279+BG279+BQ279+AG279</f>
        <v>122779.069978415</v>
      </c>
      <c r="BT279" s="15" t="n">
        <f aca="false">BR279-BS279</f>
        <v>0</v>
      </c>
      <c r="BU279" s="15" t="n">
        <f aca="false">BH279-(BD279+BE279-BF279-AY279)</f>
        <v>0</v>
      </c>
      <c r="BV279" s="15" t="n">
        <f aca="false">IF(BH278&lt;Parametri_v3!$C$31,0,BV278+1)</f>
        <v>0</v>
      </c>
    </row>
    <row r="280" customFormat="false" ht="18" hidden="false" customHeight="true" outlineLevel="0" collapsed="false">
      <c r="A280" s="68" t="n">
        <f aca="false">5</f>
        <v>5</v>
      </c>
      <c r="B280" s="68" t="n">
        <f aca="false">36</f>
        <v>36</v>
      </c>
      <c r="C280" s="18" t="n">
        <f aca="false">Motore_Operativo!C280</f>
        <v>47453</v>
      </c>
      <c r="D280" s="68" t="n">
        <f aca="false">Motore_Operativo!D280</f>
        <v>2029</v>
      </c>
      <c r="E280" s="68" t="n">
        <f aca="false">Motore_Operativo!E280</f>
        <v>12</v>
      </c>
      <c r="F280" s="15" t="n">
        <f aca="false">Motore_Operativo!AM280</f>
        <v>29947.5</v>
      </c>
      <c r="G280" s="15" t="n">
        <f aca="false">Motore_Operativo!BH280</f>
        <v>2994.75</v>
      </c>
      <c r="H280" s="15" t="n">
        <f aca="false">Motore_Operativo!AM280</f>
        <v>29947.5</v>
      </c>
      <c r="I280" s="15" t="n">
        <f aca="false">Motore_Operativo!CB280</f>
        <v>25158.25625</v>
      </c>
      <c r="J280" s="15" t="n">
        <f aca="false">Motore_Operativo!CD280</f>
        <v>4789.24374999999</v>
      </c>
      <c r="K280" s="15" t="n">
        <f aca="false">Motore_Operativo!CF280</f>
        <v>416.666666666667</v>
      </c>
      <c r="L280" s="15" t="n">
        <f aca="false">SUM(INDEX($K$245:$K$304,MAX(1,36-Parametri_v3!$C$59+1)):K280)/Parametri_v3!$C$59</f>
        <v>361.111111111111</v>
      </c>
      <c r="M280" s="15" t="n">
        <f aca="false">J280-L280</f>
        <v>4428.13263888888</v>
      </c>
      <c r="N280" s="15" t="n">
        <f aca="false">0</f>
        <v>0</v>
      </c>
      <c r="O280" s="15" t="n">
        <f aca="false">0</f>
        <v>0</v>
      </c>
      <c r="P280" s="15" t="n">
        <f aca="false">M280+N280-O280</f>
        <v>4428.13263888888</v>
      </c>
      <c r="Q280" s="15" t="n">
        <f aca="false">SUM(P269:P280)+Parametri_v3!$C$56*12/12</f>
        <v>53901.4805555555</v>
      </c>
      <c r="R280" s="15" t="n">
        <f aca="false">Z268</f>
        <v>0</v>
      </c>
      <c r="S280" s="15" t="n">
        <f aca="false">AA268</f>
        <v>0</v>
      </c>
      <c r="T280" s="15" t="n">
        <f aca="false">MIN(R280,MAX(0,Q280))</f>
        <v>0</v>
      </c>
      <c r="U280" s="15" t="n">
        <f aca="false">MIN(S280,MAX(0,Q280-T280)*Parametri_v3!$C$42)</f>
        <v>0</v>
      </c>
      <c r="V280" s="15" t="n">
        <f aca="false">MAX(0,Q280-T280-U280)*Ipotesi!$C$92</f>
        <v>12936.3553333333</v>
      </c>
      <c r="W280" s="15" t="n">
        <f aca="false">MAX(0,SUM(M269:M280)+Parametri_v3!$C$57*12/12)*Ipotesi!$C$93</f>
        <v>2102.15774166666</v>
      </c>
      <c r="X280" s="15" t="n">
        <f aca="false">V280+W280-(V279+W279)</f>
        <v>1235.44900625</v>
      </c>
      <c r="Y280" s="15" t="n">
        <f aca="false">P280-X280</f>
        <v>3192.68363263888</v>
      </c>
      <c r="Z280" s="15" t="n">
        <f aca="false">R280-T280+IF(AND(Parametri_v3!$C$40=1,D280-YEAR(Parametri_v3!$C$50)&lt;Parametri_v3!$C$41),MAX(0,-Q280),0)</f>
        <v>0</v>
      </c>
      <c r="AA280" s="15" t="n">
        <f aca="false">S280-U280+IF(AND(Parametri_v3!$C$40=1,D280-YEAR(Parametri_v3!$C$50)&lt;Parametri_v3!$C$41),0,MAX(0,-Q280))</f>
        <v>0</v>
      </c>
      <c r="AB280" s="15" t="n">
        <f aca="false">F280*(1+Parametri_v3!$C$26)</f>
        <v>36535.95</v>
      </c>
      <c r="AC280" s="15" t="n">
        <f aca="false">(IF(36-(INT((Motore_Operativo!L280)/30))&lt;1,0,INDEX(Motore_Advisory!$AB$245:$AB$304,MAX(1,36-(INT((Motore_Operativo!L280)/30)))))*(1-(MOD((Motore_Operativo!L280),30)/30))+IF(36-(INT((Motore_Operativo!L280)/30))-1&lt;1,0,INDEX(Motore_Advisory!$AB$245:$AB$304,MAX(1,36-(INT((Motore_Operativo!L280)/30))-1)))*(MOD((Motore_Operativo!L280),30)/30))</f>
        <v>36535.95</v>
      </c>
      <c r="AD280" s="15" t="n">
        <f aca="false">(AD279)+AB280-AC280</f>
        <v>146143.8</v>
      </c>
      <c r="AE280" s="15" t="n">
        <f aca="false">Motore_Operativo!BH280*(1+Parametri_v3!$C$26)</f>
        <v>3653.595</v>
      </c>
      <c r="AF280" s="15" t="n">
        <f aca="false">(IF(36-(INT((Parametri_v3!$C$29)/30))&lt;1,0,INDEX(Motore_Operativo!$BH$245:$BH$304,MAX(1,36-(INT((Parametri_v3!$C$29)/30)))))*(1-(MOD((Parametri_v3!$C$29),30)/30))+IF(36-(INT((Parametri_v3!$C$29)/30))-1&lt;1,0,INDEX(Motore_Operativo!$BH$245:$BH$304,MAX(1,36-(INT((Parametri_v3!$C$29)/30))-1)))*(MOD((Parametri_v3!$C$29),30)/30))*(1+Parametri_v3!$C$26)</f>
        <v>3653.595</v>
      </c>
      <c r="AG280" s="15" t="n">
        <f aca="false">(AG279)+AE280-AF280</f>
        <v>3653.595</v>
      </c>
      <c r="AH280" s="15" t="n">
        <f aca="false">(Motore_Operativo!CK280)*(1+Parametri_v3!$C$28*Parametri_v3!$C$26)</f>
        <v>11638.6956</v>
      </c>
      <c r="AI280" s="15" t="n">
        <f aca="false">(IF(36-(INT((Ipotesi!$C$91)/30))&lt;1,0,INDEX(Motore_Advisory!$AH$245:$AH$304,MAX(1,36-(INT((Ipotesi!$C$91)/30)))))*(1-(MOD((Ipotesi!$C$91),30)/30))+IF(36-(INT((Ipotesi!$C$91)/30))-1&lt;1,0,INDEX(Motore_Advisory!$AH$245:$AH$304,MAX(1,36-(INT((Ipotesi!$C$91)/30))-1)))*(MOD((Ipotesi!$C$91),30)/30))</f>
        <v>11638.6956</v>
      </c>
      <c r="AJ280" s="15" t="n">
        <f aca="false">(AJ279)+AH280-AI280</f>
        <v>23277.3912</v>
      </c>
      <c r="AK280" s="15" t="n">
        <f aca="false">(F280- Motore_Operativo!BH280-(Motore_Operativo!CK280)*Parametri_v3!$C$28-Motore_Operativo!CF280)*Parametri_v3!$C$26</f>
        <v>4096.09273333333</v>
      </c>
      <c r="AL280" s="15" t="n">
        <f aca="false">MAX(0,(AM279))</f>
        <v>4096.09273333333</v>
      </c>
      <c r="AM280" s="15" t="n">
        <f aca="false">(AM279)+AK280-AL280</f>
        <v>4096.09273333333</v>
      </c>
      <c r="AN280" s="15" t="n">
        <f aca="false">SUM(X257:X268)</f>
        <v>3321.75190704226</v>
      </c>
      <c r="AO280" s="15" t="n">
        <f aca="false">SUM(AP257:AP268)</f>
        <v>1563.76024736842</v>
      </c>
      <c r="AP280" s="15" t="n">
        <f aca="false">MAX(0,AN280)*IF(12=Parametri_v3!$C$43,Parametri_v3!$C$45,IF(12=Parametri_v3!$C$44,1-Parametri_v3!$C$45,0))</f>
        <v>0</v>
      </c>
      <c r="AQ280" s="15" t="n">
        <f aca="false">MAX(0,AP280+IF(12=Parametri_v3!$C$43,MAX(0,AN280-AO280),0)-MAX(0,-(AR279)))</f>
        <v>0</v>
      </c>
      <c r="AR280" s="15" t="n">
        <f aca="false">(AR279)+X280-AQ280</f>
        <v>11716.7611679577</v>
      </c>
      <c r="AS280" s="15" t="n">
        <f aca="false">Motore_Operativo!AC280-AT280+AU280</f>
        <v>11653.3234375</v>
      </c>
      <c r="AT280" s="15" t="n">
        <f aca="false">Motore_Operativo!CI280</f>
        <v>613.3328125</v>
      </c>
      <c r="AU280" s="15" t="n">
        <f aca="false">MIN(MAX(0,(AV279)+AT280),Parametri_v3!$C$61/12)</f>
        <v>0</v>
      </c>
      <c r="AV280" s="15" t="n">
        <f aca="false">(AV279)+AT280-AU280</f>
        <v>13588.44375</v>
      </c>
      <c r="AW280" s="15" t="n">
        <f aca="false">IF(AND(Motore_Operativo!C280=Finanziamenti!$D$7,Finanziamenti!$F$7=1),Finanziamenti!$C$7,0)</f>
        <v>0</v>
      </c>
      <c r="AX280" s="15" t="n">
        <f aca="false">0</f>
        <v>0</v>
      </c>
      <c r="AY280" s="15" t="n">
        <f aca="false">IF(12=Parametri_v3!$C$33,IF(BV280&lt;MIN(12,$B280-1),0,MIN(MAX(0,SUM(Y257:Y268))*Ipotesi!$C$94,MAX(0,(BM268)-(BO279)-BP280),MAX(0,BD280-Parametri_v3!$C$31))),0)</f>
        <v>0</v>
      </c>
      <c r="AZ280" s="15" t="n">
        <f aca="false">0</f>
        <v>0</v>
      </c>
      <c r="BA280" s="15" t="n">
        <f aca="false">0</f>
        <v>0</v>
      </c>
      <c r="BB280" s="15" t="n">
        <f aca="false">0</f>
        <v>0</v>
      </c>
      <c r="BC280" s="15" t="n">
        <f aca="false">0</f>
        <v>0</v>
      </c>
      <c r="BD280" s="15" t="n">
        <f aca="false">(BH279)+AC280-AF280-AI280-AS280-K280*(1+Parametri_v3!$C$26)-AL280-AQ280-O280+AW280+AX280+AZ280+BA280-BB280</f>
        <v>-25309.3756813072</v>
      </c>
      <c r="BE280" s="15" t="n">
        <f aca="false">0</f>
        <v>0</v>
      </c>
      <c r="BF280" s="15" t="n">
        <f aca="false">0</f>
        <v>0</v>
      </c>
      <c r="BG280" s="15" t="n">
        <f aca="false">0</f>
        <v>0</v>
      </c>
      <c r="BH280" s="15" t="n">
        <f aca="false">BD280+BE280-BF280-AY280</f>
        <v>-25309.3756813072</v>
      </c>
      <c r="BI280" s="15" t="n">
        <f aca="false">MAX(0,Parametri_v3!$C$31-BH280)</f>
        <v>35309.3756813072</v>
      </c>
      <c r="BJ280" s="15" t="n">
        <f aca="false">(BJ279)+K280</f>
        <v>13000</v>
      </c>
      <c r="BK280" s="15" t="n">
        <f aca="false">(BK279)+L280</f>
        <v>6013.88888888889</v>
      </c>
      <c r="BL280" s="15" t="n">
        <f aca="false">BJ280-BK280</f>
        <v>6986.11111111111</v>
      </c>
      <c r="BM280" s="15" t="n">
        <f aca="false">(BM279)+Y280</f>
        <v>51488.2515785129</v>
      </c>
      <c r="BN280" s="15" t="n">
        <f aca="false">(BN279)+AW280+AX280+AZ280</f>
        <v>20000</v>
      </c>
      <c r="BO280" s="15" t="n">
        <f aca="false">(BO279)+AY280</f>
        <v>0</v>
      </c>
      <c r="BP280" s="15" t="n">
        <f aca="false">MIN(Parametri_v3!$C$36*Parametri_v3!$C$35,(BP279)+IF(12=1,MAX(0,SUM(Y257:Y268))*Parametri_v3!$C$34,0))</f>
        <v>631.264204897868</v>
      </c>
      <c r="BQ280" s="15" t="n">
        <f aca="false">BN280+BM280-BO280</f>
        <v>71488.2515785129</v>
      </c>
      <c r="BR280" s="15" t="n">
        <f aca="false">BH280+AD280+BL280+MAX(0,-AM280)+MAX(0,-AR280)</f>
        <v>127820.535429804</v>
      </c>
      <c r="BS280" s="15" t="n">
        <f aca="false">AJ280+AV280+MAX(0,AM280)+MAX(0,AR280)+BC280+BG280+BQ280+AG280</f>
        <v>127820.535429804</v>
      </c>
      <c r="BT280" s="15" t="n">
        <f aca="false">BR280-BS280</f>
        <v>0</v>
      </c>
      <c r="BU280" s="15" t="n">
        <f aca="false">BH280-(BD280+BE280-BF280-AY280)</f>
        <v>0</v>
      </c>
      <c r="BV280" s="15" t="n">
        <f aca="false">IF(BH279&lt;Parametri_v3!$C$31,0,BV279+1)</f>
        <v>0</v>
      </c>
    </row>
    <row r="281" customFormat="false" ht="18" hidden="false" customHeight="true" outlineLevel="0" collapsed="false">
      <c r="A281" s="68" t="n">
        <f aca="false">5</f>
        <v>5</v>
      </c>
      <c r="B281" s="68" t="n">
        <f aca="false">37</f>
        <v>37</v>
      </c>
      <c r="C281" s="18" t="n">
        <f aca="false">Motore_Operativo!C281</f>
        <v>47484</v>
      </c>
      <c r="D281" s="68" t="n">
        <f aca="false">Motore_Operativo!D281</f>
        <v>2030</v>
      </c>
      <c r="E281" s="68" t="n">
        <f aca="false">Motore_Operativo!E281</f>
        <v>1</v>
      </c>
      <c r="F281" s="15" t="n">
        <f aca="false">Motore_Operativo!AM281</f>
        <v>44669.625</v>
      </c>
      <c r="G281" s="15" t="n">
        <f aca="false">Motore_Operativo!BH281</f>
        <v>4466.9625</v>
      </c>
      <c r="H281" s="15" t="n">
        <f aca="false">Motore_Operativo!AM281</f>
        <v>44669.625</v>
      </c>
      <c r="I281" s="15" t="n">
        <f aca="false">Motore_Operativo!CB281</f>
        <v>34276.2948875</v>
      </c>
      <c r="J281" s="15" t="n">
        <f aca="false">Motore_Operativo!CD281</f>
        <v>10393.3301125</v>
      </c>
      <c r="K281" s="15" t="n">
        <f aca="false">Motore_Operativo!CF281</f>
        <v>666.666666666667</v>
      </c>
      <c r="L281" s="15" t="n">
        <f aca="false">SUM(INDEX($K$245:$K$304,MAX(1,37-Parametri_v3!$C$59+1)):K281)/Parametri_v3!$C$59</f>
        <v>372.685185185185</v>
      </c>
      <c r="M281" s="15" t="n">
        <f aca="false">J281-L281</f>
        <v>10020.6449273148</v>
      </c>
      <c r="N281" s="15" t="n">
        <f aca="false">0</f>
        <v>0</v>
      </c>
      <c r="O281" s="15" t="n">
        <f aca="false">0</f>
        <v>0</v>
      </c>
      <c r="P281" s="15" t="n">
        <f aca="false">M281+N281-O281</f>
        <v>10020.6449273148</v>
      </c>
      <c r="Q281" s="15" t="n">
        <f aca="false">SUM(P281)+Parametri_v3!$C$56*1/12</f>
        <v>10020.6449273148</v>
      </c>
      <c r="R281" s="15" t="n">
        <f aca="false">Z280</f>
        <v>0</v>
      </c>
      <c r="S281" s="15" t="n">
        <f aca="false">AA280</f>
        <v>0</v>
      </c>
      <c r="T281" s="15" t="n">
        <f aca="false">MIN(R281,MAX(0,Q281))</f>
        <v>0</v>
      </c>
      <c r="U281" s="15" t="n">
        <f aca="false">MIN(S281,MAX(0,Q281-T281)*Parametri_v3!$C$42)</f>
        <v>0</v>
      </c>
      <c r="V281" s="15" t="n">
        <f aca="false">MAX(0,Q281-T281-U281)*Ipotesi!$C$92</f>
        <v>2404.95478255556</v>
      </c>
      <c r="W281" s="15" t="n">
        <f aca="false">MAX(0,SUM(M281)+Parametri_v3!$C$57*1/12)*Ipotesi!$C$93</f>
        <v>390.805152165278</v>
      </c>
      <c r="X281" s="15" t="n">
        <f aca="false">V281+W281-(0)</f>
        <v>2795.75993472084</v>
      </c>
      <c r="Y281" s="15" t="n">
        <f aca="false">P281-X281</f>
        <v>7224.88499259399</v>
      </c>
      <c r="Z281" s="15" t="n">
        <f aca="false">R281-T281+IF(AND(Parametri_v3!$C$40=1,D281-YEAR(Parametri_v3!$C$50)&lt;Parametri_v3!$C$41),MAX(0,-Q281),0)</f>
        <v>0</v>
      </c>
      <c r="AA281" s="15" t="n">
        <f aca="false">S281-U281+IF(AND(Parametri_v3!$C$40=1,D281-YEAR(Parametri_v3!$C$50)&lt;Parametri_v3!$C$41),0,MAX(0,-Q281))</f>
        <v>0</v>
      </c>
      <c r="AB281" s="15" t="n">
        <f aca="false">F281*(1+Parametri_v3!$C$26)</f>
        <v>54496.9425</v>
      </c>
      <c r="AC281" s="15" t="n">
        <f aca="false">(IF(37-(INT((Motore_Operativo!L281)/30))&lt;1,0,INDEX(Motore_Advisory!$AB$245:$AB$304,MAX(1,37-(INT((Motore_Operativo!L281)/30)))))*(1-(MOD((Motore_Operativo!L281),30)/30))+IF(37-(INT((Motore_Operativo!L281)/30))-1&lt;1,0,INDEX(Motore_Advisory!$AB$245:$AB$304,MAX(1,37-(INT((Motore_Operativo!L281)/30))-1)))*(MOD((Motore_Operativo!L281),30)/30))</f>
        <v>36535.95</v>
      </c>
      <c r="AD281" s="15" t="n">
        <f aca="false">(AD280)+AB281-AC281</f>
        <v>164104.7925</v>
      </c>
      <c r="AE281" s="15" t="n">
        <f aca="false">Motore_Operativo!BH281*(1+Parametri_v3!$C$26)</f>
        <v>5449.69425</v>
      </c>
      <c r="AF281" s="15" t="n">
        <f aca="false">(IF(37-(INT((Parametri_v3!$C$29)/30))&lt;1,0,INDEX(Motore_Operativo!$BH$245:$BH$304,MAX(1,37-(INT((Parametri_v3!$C$29)/30)))))*(1-(MOD((Parametri_v3!$C$29),30)/30))+IF(37-(INT((Parametri_v3!$C$29)/30))-1&lt;1,0,INDEX(Motore_Operativo!$BH$245:$BH$304,MAX(1,37-(INT((Parametri_v3!$C$29)/30))-1)))*(MOD((Parametri_v3!$C$29),30)/30))*(1+Parametri_v3!$C$26)</f>
        <v>3653.595</v>
      </c>
      <c r="AG281" s="15" t="n">
        <f aca="false">(AG280)+AE281-AF281</f>
        <v>5449.69425</v>
      </c>
      <c r="AH281" s="15" t="n">
        <f aca="false">(Motore_Operativo!CK281)*(1+Parametri_v3!$C$28*Parametri_v3!$C$26)</f>
        <v>15249.98874</v>
      </c>
      <c r="AI281" s="15" t="n">
        <f aca="false">(IF(37-(INT((Ipotesi!$C$91)/30))&lt;1,0,INDEX(Motore_Advisory!$AH$245:$AH$304,MAX(1,37-(INT((Ipotesi!$C$91)/30)))))*(1-(MOD((Ipotesi!$C$91),30)/30))+IF(37-(INT((Ipotesi!$C$91)/30))-1&lt;1,0,INDEX(Motore_Advisory!$AH$245:$AH$304,MAX(1,37-(INT((Ipotesi!$C$91)/30))-1)))*(MOD((Ipotesi!$C$91),30)/30))</f>
        <v>11638.6956</v>
      </c>
      <c r="AJ281" s="15" t="n">
        <f aca="false">(AJ280)+AH281-AI281</f>
        <v>26888.68434</v>
      </c>
      <c r="AK281" s="15" t="n">
        <f aca="false">(F281- Motore_Operativo!BH281-(Motore_Operativo!CK281)*Parametri_v3!$C$28-Motore_Operativo!CF281)*Parametri_v3!$C$26</f>
        <v>6415.60784333334</v>
      </c>
      <c r="AL281" s="15" t="n">
        <f aca="false">MAX(0,(AM280))</f>
        <v>4096.09273333333</v>
      </c>
      <c r="AM281" s="15" t="n">
        <f aca="false">(AM280)+AK281-AL281</f>
        <v>6415.60784333334</v>
      </c>
      <c r="AN281" s="15" t="n">
        <f aca="false">SUM(X269:X280)</f>
        <v>15038.513075</v>
      </c>
      <c r="AO281" s="15" t="n">
        <f aca="false">SUM(AP269:AP280)</f>
        <v>3321.75190704226</v>
      </c>
      <c r="AP281" s="15" t="n">
        <f aca="false">MAX(0,AN281)*IF(1=Parametri_v3!$C$43,Parametri_v3!$C$45,IF(1=Parametri_v3!$C$44,1-Parametri_v3!$C$45,0))</f>
        <v>0</v>
      </c>
      <c r="AQ281" s="15" t="n">
        <f aca="false">MAX(0,AP281+IF(1=Parametri_v3!$C$43,MAX(0,AN281-AO281),0)-MAX(0,-(AR280)))</f>
        <v>0</v>
      </c>
      <c r="AR281" s="15" t="n">
        <f aca="false">(AR280)+X281-AQ281</f>
        <v>14512.5211026786</v>
      </c>
      <c r="AS281" s="15" t="n">
        <f aca="false">Motore_Operativo!AC281-AT281+AU281</f>
        <v>15999.572143125</v>
      </c>
      <c r="AT281" s="15" t="n">
        <f aca="false">Motore_Operativo!CI281</f>
        <v>842.082744375</v>
      </c>
      <c r="AU281" s="15" t="n">
        <f aca="false">MIN(MAX(0,(AV280)+AT281),Parametri_v3!$C$61/12)</f>
        <v>0</v>
      </c>
      <c r="AV281" s="15" t="n">
        <f aca="false">(AV280)+AT281-AU281</f>
        <v>14430.526494375</v>
      </c>
      <c r="AW281" s="15" t="n">
        <f aca="false">IF(AND(Motore_Operativo!C281=Finanziamenti!$D$7,Finanziamenti!$F$7=1),Finanziamenti!$C$7,0)</f>
        <v>0</v>
      </c>
      <c r="AX281" s="15" t="n">
        <f aca="false">0</f>
        <v>0</v>
      </c>
      <c r="AY281" s="15" t="n">
        <f aca="false">IF(1=Parametri_v3!$C$33,IF(BV281&lt;MIN(12,$B281-1),0,MIN(MAX(0,SUM(Y269:Y280))*Ipotesi!$C$94,MAX(0,(BM280)-(BO280)-BP281),MAX(0,BD281-Parametri_v3!$C$31))),0)</f>
        <v>0</v>
      </c>
      <c r="AZ281" s="15" t="n">
        <f aca="false">0</f>
        <v>0</v>
      </c>
      <c r="BA281" s="15" t="n">
        <f aca="false">0</f>
        <v>0</v>
      </c>
      <c r="BB281" s="15" t="n">
        <f aca="false">0</f>
        <v>0</v>
      </c>
      <c r="BC281" s="15" t="n">
        <f aca="false">0</f>
        <v>0</v>
      </c>
      <c r="BD281" s="15" t="n">
        <f aca="false">(BH280)+AC281-AF281-AI281-AS281-K281*(1+Parametri_v3!$C$26)-AL281-AQ281-O281+AW281+AX281+AZ281+BA281-BB281</f>
        <v>-24974.7144910988</v>
      </c>
      <c r="BE281" s="15" t="n">
        <f aca="false">0</f>
        <v>0</v>
      </c>
      <c r="BF281" s="15" t="n">
        <f aca="false">0</f>
        <v>0</v>
      </c>
      <c r="BG281" s="15" t="n">
        <f aca="false">0</f>
        <v>0</v>
      </c>
      <c r="BH281" s="15" t="n">
        <f aca="false">BD281+BE281-BF281-AY281</f>
        <v>-24974.7144910988</v>
      </c>
      <c r="BI281" s="15" t="n">
        <f aca="false">MAX(0,Parametri_v3!$C$31-BH281)</f>
        <v>34974.7144910988</v>
      </c>
      <c r="BJ281" s="15" t="n">
        <f aca="false">(BJ280)+K281</f>
        <v>13666.6666666667</v>
      </c>
      <c r="BK281" s="15" t="n">
        <f aca="false">(BK280)+L281</f>
        <v>6386.57407407407</v>
      </c>
      <c r="BL281" s="15" t="n">
        <f aca="false">BJ281-BK281</f>
        <v>7280.09259259259</v>
      </c>
      <c r="BM281" s="15" t="n">
        <f aca="false">(BM280)+Y281</f>
        <v>58713.1365711069</v>
      </c>
      <c r="BN281" s="15" t="n">
        <f aca="false">(BN280)+AW281+AX281+AZ281</f>
        <v>20000</v>
      </c>
      <c r="BO281" s="15" t="n">
        <f aca="false">(BO280)+AY281</f>
        <v>0</v>
      </c>
      <c r="BP281" s="15" t="n">
        <f aca="false">MIN(Parametri_v3!$C$36*Parametri_v3!$C$35,(BP280)+IF(1=1,MAX(0,SUM(Y269:Y280))*Parametri_v3!$C$34,0))</f>
        <v>2000</v>
      </c>
      <c r="BQ281" s="15" t="n">
        <f aca="false">BN281+BM281-BO281</f>
        <v>78713.1365711069</v>
      </c>
      <c r="BR281" s="15" t="n">
        <f aca="false">BH281+AD281+BL281+MAX(0,-AM281)+MAX(0,-AR281)</f>
        <v>146410.170601494</v>
      </c>
      <c r="BS281" s="15" t="n">
        <f aca="false">AJ281+AV281+MAX(0,AM281)+MAX(0,AR281)+BC281+BG281+BQ281+AG281</f>
        <v>146410.170601494</v>
      </c>
      <c r="BT281" s="15" t="n">
        <f aca="false">BR281-BS281</f>
        <v>0</v>
      </c>
      <c r="BU281" s="15" t="n">
        <f aca="false">BH281-(BD281+BE281-BF281-AY281)</f>
        <v>0</v>
      </c>
      <c r="BV281" s="15" t="n">
        <f aca="false">IF(BH280&lt;Parametri_v3!$C$31,0,BV280+1)</f>
        <v>0</v>
      </c>
    </row>
    <row r="282" customFormat="false" ht="18" hidden="false" customHeight="true" outlineLevel="0" collapsed="false">
      <c r="A282" s="68" t="n">
        <f aca="false">5</f>
        <v>5</v>
      </c>
      <c r="B282" s="68" t="n">
        <f aca="false">38</f>
        <v>38</v>
      </c>
      <c r="C282" s="18" t="n">
        <f aca="false">Motore_Operativo!C282</f>
        <v>47515</v>
      </c>
      <c r="D282" s="68" t="n">
        <f aca="false">Motore_Operativo!D282</f>
        <v>2030</v>
      </c>
      <c r="E282" s="68" t="n">
        <f aca="false">Motore_Operativo!E282</f>
        <v>2</v>
      </c>
      <c r="F282" s="15" t="n">
        <f aca="false">Motore_Operativo!AM282</f>
        <v>44669.625</v>
      </c>
      <c r="G282" s="15" t="n">
        <f aca="false">Motore_Operativo!BH282</f>
        <v>4466.9625</v>
      </c>
      <c r="H282" s="15" t="n">
        <f aca="false">Motore_Operativo!AM282</f>
        <v>44669.625</v>
      </c>
      <c r="I282" s="15" t="n">
        <f aca="false">Motore_Operativo!CB282</f>
        <v>34276.2948875</v>
      </c>
      <c r="J282" s="15" t="n">
        <f aca="false">Motore_Operativo!CD282</f>
        <v>10393.3301125</v>
      </c>
      <c r="K282" s="15" t="n">
        <f aca="false">Motore_Operativo!CF282</f>
        <v>666.666666666667</v>
      </c>
      <c r="L282" s="15" t="n">
        <f aca="false">SUM(INDEX($K$245:$K$304,MAX(1,38-Parametri_v3!$C$59+1)):K282)/Parametri_v3!$C$59</f>
        <v>384.259259259259</v>
      </c>
      <c r="M282" s="15" t="n">
        <f aca="false">J282-L282</f>
        <v>10009.0708532407</v>
      </c>
      <c r="N282" s="15" t="n">
        <f aca="false">0</f>
        <v>0</v>
      </c>
      <c r="O282" s="15" t="n">
        <f aca="false">0</f>
        <v>0</v>
      </c>
      <c r="P282" s="15" t="n">
        <f aca="false">M282+N282-O282</f>
        <v>10009.0708532407</v>
      </c>
      <c r="Q282" s="15" t="n">
        <f aca="false">SUM(P281:P282)+Parametri_v3!$C$56*2/12</f>
        <v>20029.7157805556</v>
      </c>
      <c r="R282" s="15" t="n">
        <f aca="false">Z280</f>
        <v>0</v>
      </c>
      <c r="S282" s="15" t="n">
        <f aca="false">AA280</f>
        <v>0</v>
      </c>
      <c r="T282" s="15" t="n">
        <f aca="false">MIN(R282,MAX(0,Q282))</f>
        <v>0</v>
      </c>
      <c r="U282" s="15" t="n">
        <f aca="false">MIN(S282,MAX(0,Q282-T282)*Parametri_v3!$C$42)</f>
        <v>0</v>
      </c>
      <c r="V282" s="15" t="n">
        <f aca="false">MAX(0,Q282-T282-U282)*Ipotesi!$C$92</f>
        <v>4807.13178733334</v>
      </c>
      <c r="W282" s="15" t="n">
        <f aca="false">MAX(0,SUM(M281:M282)+Parametri_v3!$C$57*2/12)*Ipotesi!$C$93</f>
        <v>781.158915441667</v>
      </c>
      <c r="X282" s="15" t="n">
        <f aca="false">V282+W282-(V281+W281)</f>
        <v>2792.53076805417</v>
      </c>
      <c r="Y282" s="15" t="n">
        <f aca="false">P282-X282</f>
        <v>7216.54008518658</v>
      </c>
      <c r="Z282" s="15" t="n">
        <f aca="false">R282-T282+IF(AND(Parametri_v3!$C$40=1,D282-YEAR(Parametri_v3!$C$50)&lt;Parametri_v3!$C$41),MAX(0,-Q282),0)</f>
        <v>0</v>
      </c>
      <c r="AA282" s="15" t="n">
        <f aca="false">S282-U282+IF(AND(Parametri_v3!$C$40=1,D282-YEAR(Parametri_v3!$C$50)&lt;Parametri_v3!$C$41),0,MAX(0,-Q282))</f>
        <v>0</v>
      </c>
      <c r="AB282" s="15" t="n">
        <f aca="false">F282*(1+Parametri_v3!$C$26)</f>
        <v>54496.9425</v>
      </c>
      <c r="AC282" s="15" t="n">
        <f aca="false">(IF(38-(INT((Motore_Operativo!L282)/30))&lt;1,0,INDEX(Motore_Advisory!$AB$245:$AB$304,MAX(1,38-(INT((Motore_Operativo!L282)/30)))))*(1-(MOD((Motore_Operativo!L282),30)/30))+IF(38-(INT((Motore_Operativo!L282)/30))-1&lt;1,0,INDEX(Motore_Advisory!$AB$245:$AB$304,MAX(1,38-(INT((Motore_Operativo!L282)/30))-1)))*(MOD((Motore_Operativo!L282),30)/30))</f>
        <v>36535.95</v>
      </c>
      <c r="AD282" s="15" t="n">
        <f aca="false">(AD281)+AB282-AC282</f>
        <v>182065.785</v>
      </c>
      <c r="AE282" s="15" t="n">
        <f aca="false">Motore_Operativo!BH282*(1+Parametri_v3!$C$26)</f>
        <v>5449.69425</v>
      </c>
      <c r="AF282" s="15" t="n">
        <f aca="false">(IF(38-(INT((Parametri_v3!$C$29)/30))&lt;1,0,INDEX(Motore_Operativo!$BH$245:$BH$304,MAX(1,38-(INT((Parametri_v3!$C$29)/30)))))*(1-(MOD((Parametri_v3!$C$29),30)/30))+IF(38-(INT((Parametri_v3!$C$29)/30))-1&lt;1,0,INDEX(Motore_Operativo!$BH$245:$BH$304,MAX(1,38-(INT((Parametri_v3!$C$29)/30))-1)))*(MOD((Parametri_v3!$C$29),30)/30))*(1+Parametri_v3!$C$26)</f>
        <v>5449.69425</v>
      </c>
      <c r="AG282" s="15" t="n">
        <f aca="false">(AG281)+AE282-AF282</f>
        <v>5449.69425</v>
      </c>
      <c r="AH282" s="15" t="n">
        <f aca="false">(Motore_Operativo!CK282)*(1+Parametri_v3!$C$28*Parametri_v3!$C$26)</f>
        <v>15249.98874</v>
      </c>
      <c r="AI282" s="15" t="n">
        <f aca="false">(IF(38-(INT((Ipotesi!$C$91)/30))&lt;1,0,INDEX(Motore_Advisory!$AH$245:$AH$304,MAX(1,38-(INT((Ipotesi!$C$91)/30)))))*(1-(MOD((Ipotesi!$C$91),30)/30))+IF(38-(INT((Ipotesi!$C$91)/30))-1&lt;1,0,INDEX(Motore_Advisory!$AH$245:$AH$304,MAX(1,38-(INT((Ipotesi!$C$91)/30))-1)))*(MOD((Ipotesi!$C$91),30)/30))</f>
        <v>11638.6956</v>
      </c>
      <c r="AJ282" s="15" t="n">
        <f aca="false">(AJ281)+AH282-AI282</f>
        <v>30499.97748</v>
      </c>
      <c r="AK282" s="15" t="n">
        <f aca="false">(F282- Motore_Operativo!BH282-(Motore_Operativo!CK282)*Parametri_v3!$C$28-Motore_Operativo!CF282)*Parametri_v3!$C$26</f>
        <v>6415.60784333334</v>
      </c>
      <c r="AL282" s="15" t="n">
        <f aca="false">MAX(0,(AM281))</f>
        <v>6415.60784333334</v>
      </c>
      <c r="AM282" s="15" t="n">
        <f aca="false">(AM281)+AK282-AL282</f>
        <v>6415.60784333334</v>
      </c>
      <c r="AN282" s="15" t="n">
        <f aca="false">SUM(X269:X280)</f>
        <v>15038.513075</v>
      </c>
      <c r="AO282" s="15" t="n">
        <f aca="false">SUM(AP269:AP280)</f>
        <v>3321.75190704226</v>
      </c>
      <c r="AP282" s="15" t="n">
        <f aca="false">MAX(0,AN282)*IF(2=Parametri_v3!$C$43,Parametri_v3!$C$45,IF(2=Parametri_v3!$C$44,1-Parametri_v3!$C$45,0))</f>
        <v>0</v>
      </c>
      <c r="AQ282" s="15" t="n">
        <f aca="false">MAX(0,AP282+IF(2=Parametri_v3!$C$43,MAX(0,AN282-AO282),0)-MAX(0,-(AR281)))</f>
        <v>0</v>
      </c>
      <c r="AR282" s="15" t="n">
        <f aca="false">(AR281)+X282-AQ282</f>
        <v>17305.0518707327</v>
      </c>
      <c r="AS282" s="15" t="n">
        <f aca="false">Motore_Operativo!AC282-AT282+AU282</f>
        <v>15999.572143125</v>
      </c>
      <c r="AT282" s="15" t="n">
        <f aca="false">Motore_Operativo!CI282</f>
        <v>842.082744375</v>
      </c>
      <c r="AU282" s="15" t="n">
        <f aca="false">MIN(MAX(0,(AV281)+AT282),Parametri_v3!$C$61/12)</f>
        <v>0</v>
      </c>
      <c r="AV282" s="15" t="n">
        <f aca="false">(AV281)+AT282-AU282</f>
        <v>15272.60923875</v>
      </c>
      <c r="AW282" s="15" t="n">
        <f aca="false">IF(AND(Motore_Operativo!C282=Finanziamenti!$D$7,Finanziamenti!$F$7=1),Finanziamenti!$C$7,0)</f>
        <v>0</v>
      </c>
      <c r="AX282" s="15" t="n">
        <f aca="false">0</f>
        <v>0</v>
      </c>
      <c r="AY282" s="15" t="n">
        <f aca="false">IF(2=Parametri_v3!$C$33,IF(BV282&lt;MIN(12,$B282-1),0,MIN(MAX(0,SUM(Y269:Y280))*Ipotesi!$C$94,MAX(0,(BM280)-(BO281)-BP282),MAX(0,BD282-Parametri_v3!$C$31))),0)</f>
        <v>0</v>
      </c>
      <c r="AZ282" s="15" t="n">
        <f aca="false">0</f>
        <v>0</v>
      </c>
      <c r="BA282" s="15" t="n">
        <f aca="false">0</f>
        <v>0</v>
      </c>
      <c r="BB282" s="15" t="n">
        <f aca="false">0</f>
        <v>0</v>
      </c>
      <c r="BC282" s="15" t="n">
        <f aca="false">0</f>
        <v>0</v>
      </c>
      <c r="BD282" s="15" t="n">
        <f aca="false">(BH281)+AC282-AF282-AI282-AS282-K282*(1+Parametri_v3!$C$26)-AL282-AQ282-O282+AW282+AX282+AZ282+BA282-BB282</f>
        <v>-28755.6676608905</v>
      </c>
      <c r="BE282" s="15" t="n">
        <f aca="false">0</f>
        <v>0</v>
      </c>
      <c r="BF282" s="15" t="n">
        <f aca="false">0</f>
        <v>0</v>
      </c>
      <c r="BG282" s="15" t="n">
        <f aca="false">0</f>
        <v>0</v>
      </c>
      <c r="BH282" s="15" t="n">
        <f aca="false">BD282+BE282-BF282-AY282</f>
        <v>-28755.6676608905</v>
      </c>
      <c r="BI282" s="15" t="n">
        <f aca="false">MAX(0,Parametri_v3!$C$31-BH282)</f>
        <v>38755.6676608905</v>
      </c>
      <c r="BJ282" s="15" t="n">
        <f aca="false">(BJ281)+K282</f>
        <v>14333.3333333333</v>
      </c>
      <c r="BK282" s="15" t="n">
        <f aca="false">(BK281)+L282</f>
        <v>6770.83333333333</v>
      </c>
      <c r="BL282" s="15" t="n">
        <f aca="false">BJ282-BK282</f>
        <v>7562.5</v>
      </c>
      <c r="BM282" s="15" t="n">
        <f aca="false">(BM281)+Y282</f>
        <v>65929.6766562934</v>
      </c>
      <c r="BN282" s="15" t="n">
        <f aca="false">(BN281)+AW282+AX282+AZ282</f>
        <v>20000</v>
      </c>
      <c r="BO282" s="15" t="n">
        <f aca="false">(BO281)+AY282</f>
        <v>0</v>
      </c>
      <c r="BP282" s="15" t="n">
        <f aca="false">MIN(Parametri_v3!$C$36*Parametri_v3!$C$35,(BP281)+IF(2=1,MAX(0,SUM(Y269:Y280))*Parametri_v3!$C$34,0))</f>
        <v>2000</v>
      </c>
      <c r="BQ282" s="15" t="n">
        <f aca="false">BN282+BM282-BO282</f>
        <v>85929.6766562934</v>
      </c>
      <c r="BR282" s="15" t="n">
        <f aca="false">BH282+AD282+BL282+MAX(0,-AM282)+MAX(0,-AR282)</f>
        <v>160872.61733911</v>
      </c>
      <c r="BS282" s="15" t="n">
        <f aca="false">AJ282+AV282+MAX(0,AM282)+MAX(0,AR282)+BC282+BG282+BQ282+AG282</f>
        <v>160872.617339109</v>
      </c>
      <c r="BT282" s="15" t="n">
        <f aca="false">BR282-BS282</f>
        <v>0</v>
      </c>
      <c r="BU282" s="15" t="n">
        <f aca="false">BH282-(BD282+BE282-BF282-AY282)</f>
        <v>0</v>
      </c>
      <c r="BV282" s="15" t="n">
        <f aca="false">IF(BH281&lt;Parametri_v3!$C$31,0,BV281+1)</f>
        <v>0</v>
      </c>
    </row>
    <row r="283" customFormat="false" ht="18" hidden="false" customHeight="true" outlineLevel="0" collapsed="false">
      <c r="A283" s="68" t="n">
        <f aca="false">5</f>
        <v>5</v>
      </c>
      <c r="B283" s="68" t="n">
        <f aca="false">39</f>
        <v>39</v>
      </c>
      <c r="C283" s="18" t="n">
        <f aca="false">Motore_Operativo!C283</f>
        <v>47543</v>
      </c>
      <c r="D283" s="68" t="n">
        <f aca="false">Motore_Operativo!D283</f>
        <v>2030</v>
      </c>
      <c r="E283" s="68" t="n">
        <f aca="false">Motore_Operativo!E283</f>
        <v>3</v>
      </c>
      <c r="F283" s="15" t="n">
        <f aca="false">Motore_Operativo!AM283</f>
        <v>44669.625</v>
      </c>
      <c r="G283" s="15" t="n">
        <f aca="false">Motore_Operativo!BH283</f>
        <v>4466.9625</v>
      </c>
      <c r="H283" s="15" t="n">
        <f aca="false">Motore_Operativo!AM283</f>
        <v>44669.625</v>
      </c>
      <c r="I283" s="15" t="n">
        <f aca="false">Motore_Operativo!CB283</f>
        <v>34276.2948875</v>
      </c>
      <c r="J283" s="15" t="n">
        <f aca="false">Motore_Operativo!CD283</f>
        <v>10393.3301125</v>
      </c>
      <c r="K283" s="15" t="n">
        <f aca="false">Motore_Operativo!CF283</f>
        <v>666.666666666667</v>
      </c>
      <c r="L283" s="15" t="n">
        <f aca="false">SUM(INDEX($K$245:$K$304,MAX(1,39-Parametri_v3!$C$59+1)):K283)/Parametri_v3!$C$59</f>
        <v>395.833333333333</v>
      </c>
      <c r="M283" s="15" t="n">
        <f aca="false">J283-L283</f>
        <v>9997.49677916667</v>
      </c>
      <c r="N283" s="15" t="n">
        <f aca="false">0</f>
        <v>0</v>
      </c>
      <c r="O283" s="15" t="n">
        <f aca="false">0</f>
        <v>0</v>
      </c>
      <c r="P283" s="15" t="n">
        <f aca="false">M283+N283-O283</f>
        <v>9997.49677916667</v>
      </c>
      <c r="Q283" s="15" t="n">
        <f aca="false">SUM(P281:P283)+Parametri_v3!$C$56*3/12</f>
        <v>30027.2125597222</v>
      </c>
      <c r="R283" s="15" t="n">
        <f aca="false">Z280</f>
        <v>0</v>
      </c>
      <c r="S283" s="15" t="n">
        <f aca="false">AA280</f>
        <v>0</v>
      </c>
      <c r="T283" s="15" t="n">
        <f aca="false">MIN(R283,MAX(0,Q283))</f>
        <v>0</v>
      </c>
      <c r="U283" s="15" t="n">
        <f aca="false">MIN(S283,MAX(0,Q283-T283)*Parametri_v3!$C$42)</f>
        <v>0</v>
      </c>
      <c r="V283" s="15" t="n">
        <f aca="false">MAX(0,Q283-T283-U283)*Ipotesi!$C$92</f>
        <v>7206.53101433334</v>
      </c>
      <c r="W283" s="15" t="n">
        <f aca="false">MAX(0,SUM(M281:M283)+Parametri_v3!$C$57*3/12)*Ipotesi!$C$93</f>
        <v>1171.06128982917</v>
      </c>
      <c r="X283" s="15" t="n">
        <f aca="false">V283+W283-(V282+W282)</f>
        <v>2789.3016013875</v>
      </c>
      <c r="Y283" s="15" t="n">
        <f aca="false">P283-X283</f>
        <v>7208.19517777917</v>
      </c>
      <c r="Z283" s="15" t="n">
        <f aca="false">R283-T283+IF(AND(Parametri_v3!$C$40=1,D283-YEAR(Parametri_v3!$C$50)&lt;Parametri_v3!$C$41),MAX(0,-Q283),0)</f>
        <v>0</v>
      </c>
      <c r="AA283" s="15" t="n">
        <f aca="false">S283-U283+IF(AND(Parametri_v3!$C$40=1,D283-YEAR(Parametri_v3!$C$50)&lt;Parametri_v3!$C$41),0,MAX(0,-Q283))</f>
        <v>0</v>
      </c>
      <c r="AB283" s="15" t="n">
        <f aca="false">F283*(1+Parametri_v3!$C$26)</f>
        <v>54496.9425</v>
      </c>
      <c r="AC283" s="15" t="n">
        <f aca="false">(IF(39-(INT((Motore_Operativo!L283)/30))&lt;1,0,INDEX(Motore_Advisory!$AB$245:$AB$304,MAX(1,39-(INT((Motore_Operativo!L283)/30)))))*(1-(MOD((Motore_Operativo!L283),30)/30))+IF(39-(INT((Motore_Operativo!L283)/30))-1&lt;1,0,INDEX(Motore_Advisory!$AB$245:$AB$304,MAX(1,39-(INT((Motore_Operativo!L283)/30))-1)))*(MOD((Motore_Operativo!L283),30)/30))</f>
        <v>36535.95</v>
      </c>
      <c r="AD283" s="15" t="n">
        <f aca="false">(AD282)+AB283-AC283</f>
        <v>200026.7775</v>
      </c>
      <c r="AE283" s="15" t="n">
        <f aca="false">Motore_Operativo!BH283*(1+Parametri_v3!$C$26)</f>
        <v>5449.69425</v>
      </c>
      <c r="AF283" s="15" t="n">
        <f aca="false">(IF(39-(INT((Parametri_v3!$C$29)/30))&lt;1,0,INDEX(Motore_Operativo!$BH$245:$BH$304,MAX(1,39-(INT((Parametri_v3!$C$29)/30)))))*(1-(MOD((Parametri_v3!$C$29),30)/30))+IF(39-(INT((Parametri_v3!$C$29)/30))-1&lt;1,0,INDEX(Motore_Operativo!$BH$245:$BH$304,MAX(1,39-(INT((Parametri_v3!$C$29)/30))-1)))*(MOD((Parametri_v3!$C$29),30)/30))*(1+Parametri_v3!$C$26)</f>
        <v>5449.69425</v>
      </c>
      <c r="AG283" s="15" t="n">
        <f aca="false">(AG282)+AE283-AF283</f>
        <v>5449.69425</v>
      </c>
      <c r="AH283" s="15" t="n">
        <f aca="false">(Motore_Operativo!CK283)*(1+Parametri_v3!$C$28*Parametri_v3!$C$26)</f>
        <v>15249.98874</v>
      </c>
      <c r="AI283" s="15" t="n">
        <f aca="false">(IF(39-(INT((Ipotesi!$C$91)/30))&lt;1,0,INDEX(Motore_Advisory!$AH$245:$AH$304,MAX(1,39-(INT((Ipotesi!$C$91)/30)))))*(1-(MOD((Ipotesi!$C$91),30)/30))+IF(39-(INT((Ipotesi!$C$91)/30))-1&lt;1,0,INDEX(Motore_Advisory!$AH$245:$AH$304,MAX(1,39-(INT((Ipotesi!$C$91)/30))-1)))*(MOD((Ipotesi!$C$91),30)/30))</f>
        <v>15249.98874</v>
      </c>
      <c r="AJ283" s="15" t="n">
        <f aca="false">(AJ282)+AH283-AI283</f>
        <v>30499.97748</v>
      </c>
      <c r="AK283" s="15" t="n">
        <f aca="false">(F283- Motore_Operativo!BH283-(Motore_Operativo!CK283)*Parametri_v3!$C$28-Motore_Operativo!CF283)*Parametri_v3!$C$26</f>
        <v>6415.60784333334</v>
      </c>
      <c r="AL283" s="15" t="n">
        <f aca="false">MAX(0,(AM282))</f>
        <v>6415.60784333334</v>
      </c>
      <c r="AM283" s="15" t="n">
        <f aca="false">(AM282)+AK283-AL283</f>
        <v>6415.60784333334</v>
      </c>
      <c r="AN283" s="15" t="n">
        <f aca="false">SUM(X269:X280)</f>
        <v>15038.513075</v>
      </c>
      <c r="AO283" s="15" t="n">
        <f aca="false">SUM(AP269:AP280)</f>
        <v>3321.75190704226</v>
      </c>
      <c r="AP283" s="15" t="n">
        <f aca="false">MAX(0,AN283)*IF(3=Parametri_v3!$C$43,Parametri_v3!$C$45,IF(3=Parametri_v3!$C$44,1-Parametri_v3!$C$45,0))</f>
        <v>0</v>
      </c>
      <c r="AQ283" s="15" t="n">
        <f aca="false">MAX(0,AP283+IF(3=Parametri_v3!$C$43,MAX(0,AN283-AO283),0)-MAX(0,-(AR282)))</f>
        <v>0</v>
      </c>
      <c r="AR283" s="15" t="n">
        <f aca="false">(AR282)+X283-AQ283</f>
        <v>20094.3534721202</v>
      </c>
      <c r="AS283" s="15" t="n">
        <f aca="false">Motore_Operativo!AC283-AT283+AU283</f>
        <v>15999.572143125</v>
      </c>
      <c r="AT283" s="15" t="n">
        <f aca="false">Motore_Operativo!CI283</f>
        <v>842.082744375</v>
      </c>
      <c r="AU283" s="15" t="n">
        <f aca="false">MIN(MAX(0,(AV282)+AT283),Parametri_v3!$C$61/12)</f>
        <v>0</v>
      </c>
      <c r="AV283" s="15" t="n">
        <f aca="false">(AV282)+AT283-AU283</f>
        <v>16114.691983125</v>
      </c>
      <c r="AW283" s="15" t="n">
        <f aca="false">IF(AND(Motore_Operativo!C283=Finanziamenti!$D$7,Finanziamenti!$F$7=1),Finanziamenti!$C$7,0)</f>
        <v>0</v>
      </c>
      <c r="AX283" s="15" t="n">
        <f aca="false">0</f>
        <v>0</v>
      </c>
      <c r="AY283" s="15" t="n">
        <f aca="false">IF(3=Parametri_v3!$C$33,IF(BV283&lt;MIN(12,$B283-1),0,MIN(MAX(0,SUM(Y269:Y280))*Ipotesi!$C$94,MAX(0,(BM280)-(BO282)-BP283),MAX(0,BD283-Parametri_v3!$C$31))),0)</f>
        <v>0</v>
      </c>
      <c r="AZ283" s="15" t="n">
        <f aca="false">0</f>
        <v>0</v>
      </c>
      <c r="BA283" s="15" t="n">
        <f aca="false">0</f>
        <v>0</v>
      </c>
      <c r="BB283" s="15" t="n">
        <f aca="false">0</f>
        <v>0</v>
      </c>
      <c r="BC283" s="15" t="n">
        <f aca="false">0</f>
        <v>0</v>
      </c>
      <c r="BD283" s="15" t="n">
        <f aca="false">(BH282)+AC283-AF283-AI283-AS283-K283*(1+Parametri_v3!$C$26)-AL283-AQ283-O283+AW283+AX283+AZ283+BA283-BB283</f>
        <v>-36147.9139706822</v>
      </c>
      <c r="BE283" s="15" t="n">
        <f aca="false">0</f>
        <v>0</v>
      </c>
      <c r="BF283" s="15" t="n">
        <f aca="false">0</f>
        <v>0</v>
      </c>
      <c r="BG283" s="15" t="n">
        <f aca="false">0</f>
        <v>0</v>
      </c>
      <c r="BH283" s="15" t="n">
        <f aca="false">BD283+BE283-BF283-AY283</f>
        <v>-36147.9139706822</v>
      </c>
      <c r="BI283" s="15" t="n">
        <f aca="false">MAX(0,Parametri_v3!$C$31-BH283)</f>
        <v>46147.9139706822</v>
      </c>
      <c r="BJ283" s="15" t="n">
        <f aca="false">(BJ282)+K283</f>
        <v>15000</v>
      </c>
      <c r="BK283" s="15" t="n">
        <f aca="false">(BK282)+L283</f>
        <v>7166.66666666667</v>
      </c>
      <c r="BL283" s="15" t="n">
        <f aca="false">BJ283-BK283</f>
        <v>7833.33333333333</v>
      </c>
      <c r="BM283" s="15" t="n">
        <f aca="false">(BM282)+Y283</f>
        <v>73137.8718340726</v>
      </c>
      <c r="BN283" s="15" t="n">
        <f aca="false">(BN282)+AW283+AX283+AZ283</f>
        <v>20000</v>
      </c>
      <c r="BO283" s="15" t="n">
        <f aca="false">(BO282)+AY283</f>
        <v>0</v>
      </c>
      <c r="BP283" s="15" t="n">
        <f aca="false">MIN(Parametri_v3!$C$36*Parametri_v3!$C$35,(BP282)+IF(3=1,MAX(0,SUM(Y269:Y280))*Parametri_v3!$C$34,0))</f>
        <v>2000</v>
      </c>
      <c r="BQ283" s="15" t="n">
        <f aca="false">BN283+BM283-BO283</f>
        <v>93137.8718340726</v>
      </c>
      <c r="BR283" s="15" t="n">
        <f aca="false">BH283+AD283+BL283+MAX(0,-AM283)+MAX(0,-AR283)</f>
        <v>171712.196862651</v>
      </c>
      <c r="BS283" s="15" t="n">
        <f aca="false">AJ283+AV283+MAX(0,AM283)+MAX(0,AR283)+BC283+BG283+BQ283+AG283</f>
        <v>171712.196862651</v>
      </c>
      <c r="BT283" s="15" t="n">
        <f aca="false">BR283-BS283</f>
        <v>0</v>
      </c>
      <c r="BU283" s="15" t="n">
        <f aca="false">BH283-(BD283+BE283-BF283-AY283)</f>
        <v>0</v>
      </c>
      <c r="BV283" s="15" t="n">
        <f aca="false">IF(BH282&lt;Parametri_v3!$C$31,0,BV282+1)</f>
        <v>0</v>
      </c>
    </row>
    <row r="284" customFormat="false" ht="18" hidden="false" customHeight="true" outlineLevel="0" collapsed="false">
      <c r="A284" s="68" t="n">
        <f aca="false">5</f>
        <v>5</v>
      </c>
      <c r="B284" s="68" t="n">
        <f aca="false">40</f>
        <v>40</v>
      </c>
      <c r="C284" s="18" t="n">
        <f aca="false">Motore_Operativo!C284</f>
        <v>47574</v>
      </c>
      <c r="D284" s="68" t="n">
        <f aca="false">Motore_Operativo!D284</f>
        <v>2030</v>
      </c>
      <c r="E284" s="68" t="n">
        <f aca="false">Motore_Operativo!E284</f>
        <v>4</v>
      </c>
      <c r="F284" s="15" t="n">
        <f aca="false">Motore_Operativo!AM284</f>
        <v>44669.625</v>
      </c>
      <c r="G284" s="15" t="n">
        <f aca="false">Motore_Operativo!BH284</f>
        <v>4466.9625</v>
      </c>
      <c r="H284" s="15" t="n">
        <f aca="false">Motore_Operativo!AM284</f>
        <v>44669.625</v>
      </c>
      <c r="I284" s="15" t="n">
        <f aca="false">Motore_Operativo!CB284</f>
        <v>34276.2948875</v>
      </c>
      <c r="J284" s="15" t="n">
        <f aca="false">Motore_Operativo!CD284</f>
        <v>10393.3301125</v>
      </c>
      <c r="K284" s="15" t="n">
        <f aca="false">Motore_Operativo!CF284</f>
        <v>666.666666666667</v>
      </c>
      <c r="L284" s="15" t="n">
        <f aca="false">SUM(INDEX($K$245:$K$304,MAX(1,40-Parametri_v3!$C$59+1)):K284)/Parametri_v3!$C$59</f>
        <v>407.407407407407</v>
      </c>
      <c r="M284" s="15" t="n">
        <f aca="false">J284-L284</f>
        <v>9985.9227050926</v>
      </c>
      <c r="N284" s="15" t="n">
        <f aca="false">0</f>
        <v>0</v>
      </c>
      <c r="O284" s="15" t="n">
        <f aca="false">0</f>
        <v>0</v>
      </c>
      <c r="P284" s="15" t="n">
        <f aca="false">M284+N284-O284</f>
        <v>9985.9227050926</v>
      </c>
      <c r="Q284" s="15" t="n">
        <f aca="false">SUM(P281:P284)+Parametri_v3!$C$56*4/12</f>
        <v>40013.1352648148</v>
      </c>
      <c r="R284" s="15" t="n">
        <f aca="false">Z280</f>
        <v>0</v>
      </c>
      <c r="S284" s="15" t="n">
        <f aca="false">AA280</f>
        <v>0</v>
      </c>
      <c r="T284" s="15" t="n">
        <f aca="false">MIN(R284,MAX(0,Q284))</f>
        <v>0</v>
      </c>
      <c r="U284" s="15" t="n">
        <f aca="false">MIN(S284,MAX(0,Q284-T284)*Parametri_v3!$C$42)</f>
        <v>0</v>
      </c>
      <c r="V284" s="15" t="n">
        <f aca="false">MAX(0,Q284-T284-U284)*Ipotesi!$C$92</f>
        <v>9603.15246355556</v>
      </c>
      <c r="W284" s="15" t="n">
        <f aca="false">MAX(0,SUM(M281:M284)+Parametri_v3!$C$57*4/12)*Ipotesi!$C$93</f>
        <v>1560.51227532778</v>
      </c>
      <c r="X284" s="15" t="n">
        <f aca="false">V284+W284-(V283+W283)</f>
        <v>2786.07243472084</v>
      </c>
      <c r="Y284" s="15" t="n">
        <f aca="false">P284-X284</f>
        <v>7199.85027037176</v>
      </c>
      <c r="Z284" s="15" t="n">
        <f aca="false">R284-T284+IF(AND(Parametri_v3!$C$40=1,D284-YEAR(Parametri_v3!$C$50)&lt;Parametri_v3!$C$41),MAX(0,-Q284),0)</f>
        <v>0</v>
      </c>
      <c r="AA284" s="15" t="n">
        <f aca="false">S284-U284+IF(AND(Parametri_v3!$C$40=1,D284-YEAR(Parametri_v3!$C$50)&lt;Parametri_v3!$C$41),0,MAX(0,-Q284))</f>
        <v>0</v>
      </c>
      <c r="AB284" s="15" t="n">
        <f aca="false">F284*(1+Parametri_v3!$C$26)</f>
        <v>54496.9425</v>
      </c>
      <c r="AC284" s="15" t="n">
        <f aca="false">(IF(40-(INT((Motore_Operativo!L284)/30))&lt;1,0,INDEX(Motore_Advisory!$AB$245:$AB$304,MAX(1,40-(INT((Motore_Operativo!L284)/30)))))*(1-(MOD((Motore_Operativo!L284),30)/30))+IF(40-(INT((Motore_Operativo!L284)/30))-1&lt;1,0,INDEX(Motore_Advisory!$AB$245:$AB$304,MAX(1,40-(INT((Motore_Operativo!L284)/30))-1)))*(MOD((Motore_Operativo!L284),30)/30))</f>
        <v>36535.95</v>
      </c>
      <c r="AD284" s="15" t="n">
        <f aca="false">(AD283)+AB284-AC284</f>
        <v>217987.77</v>
      </c>
      <c r="AE284" s="15" t="n">
        <f aca="false">Motore_Operativo!BH284*(1+Parametri_v3!$C$26)</f>
        <v>5449.69425</v>
      </c>
      <c r="AF284" s="15" t="n">
        <f aca="false">(IF(40-(INT((Parametri_v3!$C$29)/30))&lt;1,0,INDEX(Motore_Operativo!$BH$245:$BH$304,MAX(1,40-(INT((Parametri_v3!$C$29)/30)))))*(1-(MOD((Parametri_v3!$C$29),30)/30))+IF(40-(INT((Parametri_v3!$C$29)/30))-1&lt;1,0,INDEX(Motore_Operativo!$BH$245:$BH$304,MAX(1,40-(INT((Parametri_v3!$C$29)/30))-1)))*(MOD((Parametri_v3!$C$29),30)/30))*(1+Parametri_v3!$C$26)</f>
        <v>5449.69425</v>
      </c>
      <c r="AG284" s="15" t="n">
        <f aca="false">(AG283)+AE284-AF284</f>
        <v>5449.69425</v>
      </c>
      <c r="AH284" s="15" t="n">
        <f aca="false">(Motore_Operativo!CK284)*(1+Parametri_v3!$C$28*Parametri_v3!$C$26)</f>
        <v>15249.98874</v>
      </c>
      <c r="AI284" s="15" t="n">
        <f aca="false">(IF(40-(INT((Ipotesi!$C$91)/30))&lt;1,0,INDEX(Motore_Advisory!$AH$245:$AH$304,MAX(1,40-(INT((Ipotesi!$C$91)/30)))))*(1-(MOD((Ipotesi!$C$91),30)/30))+IF(40-(INT((Ipotesi!$C$91)/30))-1&lt;1,0,INDEX(Motore_Advisory!$AH$245:$AH$304,MAX(1,40-(INT((Ipotesi!$C$91)/30))-1)))*(MOD((Ipotesi!$C$91),30)/30))</f>
        <v>15249.98874</v>
      </c>
      <c r="AJ284" s="15" t="n">
        <f aca="false">(AJ283)+AH284-AI284</f>
        <v>30499.97748</v>
      </c>
      <c r="AK284" s="15" t="n">
        <f aca="false">(F284- Motore_Operativo!BH284-(Motore_Operativo!CK284)*Parametri_v3!$C$28-Motore_Operativo!CF284)*Parametri_v3!$C$26</f>
        <v>6415.60784333334</v>
      </c>
      <c r="AL284" s="15" t="n">
        <f aca="false">MAX(0,(AM283))</f>
        <v>6415.60784333334</v>
      </c>
      <c r="AM284" s="15" t="n">
        <f aca="false">(AM283)+AK284-AL284</f>
        <v>6415.60784333334</v>
      </c>
      <c r="AN284" s="15" t="n">
        <f aca="false">SUM(X269:X280)</f>
        <v>15038.513075</v>
      </c>
      <c r="AO284" s="15" t="n">
        <f aca="false">SUM(AP269:AP280)</f>
        <v>3321.75190704226</v>
      </c>
      <c r="AP284" s="15" t="n">
        <f aca="false">MAX(0,AN284)*IF(4=Parametri_v3!$C$43,Parametri_v3!$C$45,IF(4=Parametri_v3!$C$44,1-Parametri_v3!$C$45,0))</f>
        <v>0</v>
      </c>
      <c r="AQ284" s="15" t="n">
        <f aca="false">MAX(0,AP284+IF(4=Parametri_v3!$C$43,MAX(0,AN284-AO284),0)-MAX(0,-(AR283)))</f>
        <v>0</v>
      </c>
      <c r="AR284" s="15" t="n">
        <f aca="false">(AR283)+X284-AQ284</f>
        <v>22880.4259068411</v>
      </c>
      <c r="AS284" s="15" t="n">
        <f aca="false">Motore_Operativo!AC284-AT284+AU284</f>
        <v>15999.572143125</v>
      </c>
      <c r="AT284" s="15" t="n">
        <f aca="false">Motore_Operativo!CI284</f>
        <v>842.082744375</v>
      </c>
      <c r="AU284" s="15" t="n">
        <f aca="false">MIN(MAX(0,(AV283)+AT284),Parametri_v3!$C$61/12)</f>
        <v>0</v>
      </c>
      <c r="AV284" s="15" t="n">
        <f aca="false">(AV283)+AT284-AU284</f>
        <v>16956.7747275</v>
      </c>
      <c r="AW284" s="15" t="n">
        <f aca="false">IF(AND(Motore_Operativo!C284=Finanziamenti!$D$7,Finanziamenti!$F$7=1),Finanziamenti!$C$7,0)</f>
        <v>0</v>
      </c>
      <c r="AX284" s="15" t="n">
        <f aca="false">0</f>
        <v>0</v>
      </c>
      <c r="AY284" s="15" t="n">
        <f aca="false">IF(4=Parametri_v3!$C$33,IF(BV284&lt;MIN(12,$B284-1),0,MIN(MAX(0,SUM(Y269:Y280))*Ipotesi!$C$94,MAX(0,(BM280)-(BO283)-BP284),MAX(0,BD284-Parametri_v3!$C$31))),0)</f>
        <v>0</v>
      </c>
      <c r="AZ284" s="15" t="n">
        <f aca="false">0</f>
        <v>0</v>
      </c>
      <c r="BA284" s="15" t="n">
        <f aca="false">0</f>
        <v>0</v>
      </c>
      <c r="BB284" s="15" t="n">
        <f aca="false">0</f>
        <v>0</v>
      </c>
      <c r="BC284" s="15" t="n">
        <f aca="false">0</f>
        <v>0</v>
      </c>
      <c r="BD284" s="15" t="n">
        <f aca="false">(BH283)+AC284-AF284-AI284-AS284-K284*(1+Parametri_v3!$C$26)-AL284-AQ284-O284+AW284+AX284+AZ284+BA284-BB284</f>
        <v>-43540.1602804739</v>
      </c>
      <c r="BE284" s="15" t="n">
        <f aca="false">0</f>
        <v>0</v>
      </c>
      <c r="BF284" s="15" t="n">
        <f aca="false">0</f>
        <v>0</v>
      </c>
      <c r="BG284" s="15" t="n">
        <f aca="false">0</f>
        <v>0</v>
      </c>
      <c r="BH284" s="15" t="n">
        <f aca="false">BD284+BE284-BF284-AY284</f>
        <v>-43540.1602804739</v>
      </c>
      <c r="BI284" s="15" t="n">
        <f aca="false">MAX(0,Parametri_v3!$C$31-BH284)</f>
        <v>53540.1602804739</v>
      </c>
      <c r="BJ284" s="15" t="n">
        <f aca="false">(BJ283)+K284</f>
        <v>15666.6666666667</v>
      </c>
      <c r="BK284" s="15" t="n">
        <f aca="false">(BK283)+L284</f>
        <v>7574.07407407407</v>
      </c>
      <c r="BL284" s="15" t="n">
        <f aca="false">BJ284-BK284</f>
        <v>8092.59259259259</v>
      </c>
      <c r="BM284" s="15" t="n">
        <f aca="false">(BM283)+Y284</f>
        <v>80337.7221044444</v>
      </c>
      <c r="BN284" s="15" t="n">
        <f aca="false">(BN283)+AW284+AX284+AZ284</f>
        <v>20000</v>
      </c>
      <c r="BO284" s="15" t="n">
        <f aca="false">(BO283)+AY284</f>
        <v>0</v>
      </c>
      <c r="BP284" s="15" t="n">
        <f aca="false">MIN(Parametri_v3!$C$36*Parametri_v3!$C$35,(BP283)+IF(4=1,MAX(0,SUM(Y269:Y280))*Parametri_v3!$C$34,0))</f>
        <v>2000</v>
      </c>
      <c r="BQ284" s="15" t="n">
        <f aca="false">BN284+BM284-BO284</f>
        <v>100337.722104444</v>
      </c>
      <c r="BR284" s="15" t="n">
        <f aca="false">BH284+AD284+BL284+MAX(0,-AM284)+MAX(0,-AR284)</f>
        <v>182540.202312119</v>
      </c>
      <c r="BS284" s="15" t="n">
        <f aca="false">AJ284+AV284+MAX(0,AM284)+MAX(0,AR284)+BC284+BG284+BQ284+AG284</f>
        <v>182540.202312119</v>
      </c>
      <c r="BT284" s="15" t="n">
        <f aca="false">BR284-BS284</f>
        <v>0</v>
      </c>
      <c r="BU284" s="15" t="n">
        <f aca="false">BH284-(BD284+BE284-BF284-AY284)</f>
        <v>0</v>
      </c>
      <c r="BV284" s="15" t="n">
        <f aca="false">IF(BH283&lt;Parametri_v3!$C$31,0,BV283+1)</f>
        <v>0</v>
      </c>
    </row>
    <row r="285" customFormat="false" ht="18" hidden="false" customHeight="true" outlineLevel="0" collapsed="false">
      <c r="A285" s="68" t="n">
        <f aca="false">5</f>
        <v>5</v>
      </c>
      <c r="B285" s="68" t="n">
        <f aca="false">41</f>
        <v>41</v>
      </c>
      <c r="C285" s="18" t="n">
        <f aca="false">Motore_Operativo!C285</f>
        <v>47604</v>
      </c>
      <c r="D285" s="68" t="n">
        <f aca="false">Motore_Operativo!D285</f>
        <v>2030</v>
      </c>
      <c r="E285" s="68" t="n">
        <f aca="false">Motore_Operativo!E285</f>
        <v>5</v>
      </c>
      <c r="F285" s="15" t="n">
        <f aca="false">Motore_Operativo!AM285</f>
        <v>44669.625</v>
      </c>
      <c r="G285" s="15" t="n">
        <f aca="false">Motore_Operativo!BH285</f>
        <v>4466.9625</v>
      </c>
      <c r="H285" s="15" t="n">
        <f aca="false">Motore_Operativo!AM285</f>
        <v>44669.625</v>
      </c>
      <c r="I285" s="15" t="n">
        <f aca="false">Motore_Operativo!CB285</f>
        <v>34276.2948875</v>
      </c>
      <c r="J285" s="15" t="n">
        <f aca="false">Motore_Operativo!CD285</f>
        <v>10393.3301125</v>
      </c>
      <c r="K285" s="15" t="n">
        <f aca="false">Motore_Operativo!CF285</f>
        <v>666.666666666667</v>
      </c>
      <c r="L285" s="15" t="n">
        <f aca="false">SUM(INDEX($K$245:$K$304,MAX(1,41-Parametri_v3!$C$59+1)):K285)/Parametri_v3!$C$59</f>
        <v>418.981481481482</v>
      </c>
      <c r="M285" s="15" t="n">
        <f aca="false">J285-L285</f>
        <v>9974.34863101853</v>
      </c>
      <c r="N285" s="15" t="n">
        <f aca="false">0</f>
        <v>0</v>
      </c>
      <c r="O285" s="15" t="n">
        <f aca="false">0</f>
        <v>0</v>
      </c>
      <c r="P285" s="15" t="n">
        <f aca="false">M285+N285-O285</f>
        <v>9974.34863101853</v>
      </c>
      <c r="Q285" s="15" t="n">
        <f aca="false">SUM(P281:P285)+Parametri_v3!$C$56*5/12</f>
        <v>49987.4838958334</v>
      </c>
      <c r="R285" s="15" t="n">
        <f aca="false">Z280</f>
        <v>0</v>
      </c>
      <c r="S285" s="15" t="n">
        <f aca="false">AA280</f>
        <v>0</v>
      </c>
      <c r="T285" s="15" t="n">
        <f aca="false">MIN(R285,MAX(0,Q285))</f>
        <v>0</v>
      </c>
      <c r="U285" s="15" t="n">
        <f aca="false">MIN(S285,MAX(0,Q285-T285)*Parametri_v3!$C$42)</f>
        <v>0</v>
      </c>
      <c r="V285" s="15" t="n">
        <f aca="false">MAX(0,Q285-T285-U285)*Ipotesi!$C$92</f>
        <v>11996.996135</v>
      </c>
      <c r="W285" s="15" t="n">
        <f aca="false">MAX(0,SUM(M281:M285)+Parametri_v3!$C$57*5/12)*Ipotesi!$C$93</f>
        <v>1949.5118719375</v>
      </c>
      <c r="X285" s="15" t="n">
        <f aca="false">V285+W285-(V284+W284)</f>
        <v>2782.84326805417</v>
      </c>
      <c r="Y285" s="15" t="n">
        <f aca="false">P285-X285</f>
        <v>7191.50536296436</v>
      </c>
      <c r="Z285" s="15" t="n">
        <f aca="false">R285-T285+IF(AND(Parametri_v3!$C$40=1,D285-YEAR(Parametri_v3!$C$50)&lt;Parametri_v3!$C$41),MAX(0,-Q285),0)</f>
        <v>0</v>
      </c>
      <c r="AA285" s="15" t="n">
        <f aca="false">S285-U285+IF(AND(Parametri_v3!$C$40=1,D285-YEAR(Parametri_v3!$C$50)&lt;Parametri_v3!$C$41),0,MAX(0,-Q285))</f>
        <v>0</v>
      </c>
      <c r="AB285" s="15" t="n">
        <f aca="false">F285*(1+Parametri_v3!$C$26)</f>
        <v>54496.9425</v>
      </c>
      <c r="AC285" s="15" t="n">
        <f aca="false">(IF(41-(INT((Motore_Operativo!L285)/30))&lt;1,0,INDEX(Motore_Advisory!$AB$245:$AB$304,MAX(1,41-(INT((Motore_Operativo!L285)/30)))))*(1-(MOD((Motore_Operativo!L285),30)/30))+IF(41-(INT((Motore_Operativo!L285)/30))-1&lt;1,0,INDEX(Motore_Advisory!$AB$245:$AB$304,MAX(1,41-(INT((Motore_Operativo!L285)/30))-1)))*(MOD((Motore_Operativo!L285),30)/30))</f>
        <v>54496.9425</v>
      </c>
      <c r="AD285" s="15" t="n">
        <f aca="false">(AD284)+AB285-AC285</f>
        <v>217987.77</v>
      </c>
      <c r="AE285" s="15" t="n">
        <f aca="false">Motore_Operativo!BH285*(1+Parametri_v3!$C$26)</f>
        <v>5449.69425</v>
      </c>
      <c r="AF285" s="15" t="n">
        <f aca="false">(IF(41-(INT((Parametri_v3!$C$29)/30))&lt;1,0,INDEX(Motore_Operativo!$BH$245:$BH$304,MAX(1,41-(INT((Parametri_v3!$C$29)/30)))))*(1-(MOD((Parametri_v3!$C$29),30)/30))+IF(41-(INT((Parametri_v3!$C$29)/30))-1&lt;1,0,INDEX(Motore_Operativo!$BH$245:$BH$304,MAX(1,41-(INT((Parametri_v3!$C$29)/30))-1)))*(MOD((Parametri_v3!$C$29),30)/30))*(1+Parametri_v3!$C$26)</f>
        <v>5449.69425</v>
      </c>
      <c r="AG285" s="15" t="n">
        <f aca="false">(AG284)+AE285-AF285</f>
        <v>5449.69425</v>
      </c>
      <c r="AH285" s="15" t="n">
        <f aca="false">(Motore_Operativo!CK285)*(1+Parametri_v3!$C$28*Parametri_v3!$C$26)</f>
        <v>15249.98874</v>
      </c>
      <c r="AI285" s="15" t="n">
        <f aca="false">(IF(41-(INT((Ipotesi!$C$91)/30))&lt;1,0,INDEX(Motore_Advisory!$AH$245:$AH$304,MAX(1,41-(INT((Ipotesi!$C$91)/30)))))*(1-(MOD((Ipotesi!$C$91),30)/30))+IF(41-(INT((Ipotesi!$C$91)/30))-1&lt;1,0,INDEX(Motore_Advisory!$AH$245:$AH$304,MAX(1,41-(INT((Ipotesi!$C$91)/30))-1)))*(MOD((Ipotesi!$C$91),30)/30))</f>
        <v>15249.98874</v>
      </c>
      <c r="AJ285" s="15" t="n">
        <f aca="false">(AJ284)+AH285-AI285</f>
        <v>30499.97748</v>
      </c>
      <c r="AK285" s="15" t="n">
        <f aca="false">(F285- Motore_Operativo!BH285-(Motore_Operativo!CK285)*Parametri_v3!$C$28-Motore_Operativo!CF285)*Parametri_v3!$C$26</f>
        <v>6415.60784333334</v>
      </c>
      <c r="AL285" s="15" t="n">
        <f aca="false">MAX(0,(AM284))</f>
        <v>6415.60784333334</v>
      </c>
      <c r="AM285" s="15" t="n">
        <f aca="false">(AM284)+AK285-AL285</f>
        <v>6415.60784333334</v>
      </c>
      <c r="AN285" s="15" t="n">
        <f aca="false">SUM(X269:X280)</f>
        <v>15038.513075</v>
      </c>
      <c r="AO285" s="15" t="n">
        <f aca="false">SUM(AP269:AP280)</f>
        <v>3321.75190704226</v>
      </c>
      <c r="AP285" s="15" t="n">
        <f aca="false">MAX(0,AN285)*IF(5=Parametri_v3!$C$43,Parametri_v3!$C$45,IF(5=Parametri_v3!$C$44,1-Parametri_v3!$C$45,0))</f>
        <v>0</v>
      </c>
      <c r="AQ285" s="15" t="n">
        <f aca="false">MAX(0,AP285+IF(5=Parametri_v3!$C$43,MAX(0,AN285-AO285),0)-MAX(0,-(AR284)))</f>
        <v>0</v>
      </c>
      <c r="AR285" s="15" t="n">
        <f aca="false">(AR284)+X285-AQ285</f>
        <v>25663.2691748952</v>
      </c>
      <c r="AS285" s="15" t="n">
        <f aca="false">Motore_Operativo!AC285-AT285+AU285</f>
        <v>15999.572143125</v>
      </c>
      <c r="AT285" s="15" t="n">
        <f aca="false">Motore_Operativo!CI285</f>
        <v>842.082744375</v>
      </c>
      <c r="AU285" s="15" t="n">
        <f aca="false">MIN(MAX(0,(AV284)+AT285),Parametri_v3!$C$61/12)</f>
        <v>0</v>
      </c>
      <c r="AV285" s="15" t="n">
        <f aca="false">(AV284)+AT285-AU285</f>
        <v>17798.857471875</v>
      </c>
      <c r="AW285" s="15" t="n">
        <f aca="false">IF(AND(Motore_Operativo!C285=Finanziamenti!$D$7,Finanziamenti!$F$7=1),Finanziamenti!$C$7,0)</f>
        <v>0</v>
      </c>
      <c r="AX285" s="15" t="n">
        <f aca="false">0</f>
        <v>0</v>
      </c>
      <c r="AY285" s="15" t="n">
        <f aca="false">IF(5=Parametri_v3!$C$33,IF(BV285&lt;MIN(12,$B285-1),0,MIN(MAX(0,SUM(Y269:Y280))*Ipotesi!$C$94,MAX(0,(BM280)-(BO284)-BP285),MAX(0,BD285-Parametri_v3!$C$31))),0)</f>
        <v>0</v>
      </c>
      <c r="AZ285" s="15" t="n">
        <f aca="false">0</f>
        <v>0</v>
      </c>
      <c r="BA285" s="15" t="n">
        <f aca="false">0</f>
        <v>0</v>
      </c>
      <c r="BB285" s="15" t="n">
        <f aca="false">0</f>
        <v>0</v>
      </c>
      <c r="BC285" s="15" t="n">
        <f aca="false">0</f>
        <v>0</v>
      </c>
      <c r="BD285" s="15" t="n">
        <f aca="false">(BH284)+AC285-AF285-AI285-AS285-K285*(1+Parametri_v3!$C$26)-AL285-AQ285-O285+AW285+AX285+AZ285+BA285-BB285</f>
        <v>-32971.4140902656</v>
      </c>
      <c r="BE285" s="15" t="n">
        <f aca="false">0</f>
        <v>0</v>
      </c>
      <c r="BF285" s="15" t="n">
        <f aca="false">0</f>
        <v>0</v>
      </c>
      <c r="BG285" s="15" t="n">
        <f aca="false">0</f>
        <v>0</v>
      </c>
      <c r="BH285" s="15" t="n">
        <f aca="false">BD285+BE285-BF285-AY285</f>
        <v>-32971.4140902656</v>
      </c>
      <c r="BI285" s="15" t="n">
        <f aca="false">MAX(0,Parametri_v3!$C$31-BH285)</f>
        <v>42971.4140902656</v>
      </c>
      <c r="BJ285" s="15" t="n">
        <f aca="false">(BJ284)+K285</f>
        <v>16333.3333333333</v>
      </c>
      <c r="BK285" s="15" t="n">
        <f aca="false">(BK284)+L285</f>
        <v>7993.05555555556</v>
      </c>
      <c r="BL285" s="15" t="n">
        <f aca="false">BJ285-BK285</f>
        <v>8340.27777777777</v>
      </c>
      <c r="BM285" s="15" t="n">
        <f aca="false">(BM284)+Y285</f>
        <v>87529.2274674087</v>
      </c>
      <c r="BN285" s="15" t="n">
        <f aca="false">(BN284)+AW285+AX285+AZ285</f>
        <v>20000</v>
      </c>
      <c r="BO285" s="15" t="n">
        <f aca="false">(BO284)+AY285</f>
        <v>0</v>
      </c>
      <c r="BP285" s="15" t="n">
        <f aca="false">MIN(Parametri_v3!$C$36*Parametri_v3!$C$35,(BP284)+IF(5=1,MAX(0,SUM(Y269:Y280))*Parametri_v3!$C$34,0))</f>
        <v>2000</v>
      </c>
      <c r="BQ285" s="15" t="n">
        <f aca="false">BN285+BM285-BO285</f>
        <v>107529.227467409</v>
      </c>
      <c r="BR285" s="15" t="n">
        <f aca="false">BH285+AD285+BL285+MAX(0,-AM285)+MAX(0,-AR285)</f>
        <v>193356.633687512</v>
      </c>
      <c r="BS285" s="15" t="n">
        <f aca="false">AJ285+AV285+MAX(0,AM285)+MAX(0,AR285)+BC285+BG285+BQ285+AG285</f>
        <v>193356.633687512</v>
      </c>
      <c r="BT285" s="15" t="n">
        <f aca="false">BR285-BS285</f>
        <v>0</v>
      </c>
      <c r="BU285" s="15" t="n">
        <f aca="false">BH285-(BD285+BE285-BF285-AY285)</f>
        <v>0</v>
      </c>
      <c r="BV285" s="15" t="n">
        <f aca="false">IF(BH284&lt;Parametri_v3!$C$31,0,BV284+1)</f>
        <v>0</v>
      </c>
    </row>
    <row r="286" customFormat="false" ht="18" hidden="false" customHeight="true" outlineLevel="0" collapsed="false">
      <c r="A286" s="68" t="n">
        <f aca="false">5</f>
        <v>5</v>
      </c>
      <c r="B286" s="68" t="n">
        <f aca="false">42</f>
        <v>42</v>
      </c>
      <c r="C286" s="18" t="n">
        <f aca="false">Motore_Operativo!C286</f>
        <v>47635</v>
      </c>
      <c r="D286" s="68" t="n">
        <f aca="false">Motore_Operativo!D286</f>
        <v>2030</v>
      </c>
      <c r="E286" s="68" t="n">
        <f aca="false">Motore_Operativo!E286</f>
        <v>6</v>
      </c>
      <c r="F286" s="15" t="n">
        <f aca="false">Motore_Operativo!AM286</f>
        <v>44669.625</v>
      </c>
      <c r="G286" s="15" t="n">
        <f aca="false">Motore_Operativo!BH286</f>
        <v>4466.9625</v>
      </c>
      <c r="H286" s="15" t="n">
        <f aca="false">Motore_Operativo!AM286</f>
        <v>44669.625</v>
      </c>
      <c r="I286" s="15" t="n">
        <f aca="false">Motore_Operativo!CB286</f>
        <v>34276.2948875</v>
      </c>
      <c r="J286" s="15" t="n">
        <f aca="false">Motore_Operativo!CD286</f>
        <v>10393.3301125</v>
      </c>
      <c r="K286" s="15" t="n">
        <f aca="false">Motore_Operativo!CF286</f>
        <v>666.666666666667</v>
      </c>
      <c r="L286" s="15" t="n">
        <f aca="false">SUM(INDEX($K$245:$K$304,MAX(1,42-Parametri_v3!$C$59+1)):K286)/Parametri_v3!$C$59</f>
        <v>430.555555555556</v>
      </c>
      <c r="M286" s="15" t="n">
        <f aca="false">J286-L286</f>
        <v>9962.77455694445</v>
      </c>
      <c r="N286" s="15" t="n">
        <f aca="false">0</f>
        <v>0</v>
      </c>
      <c r="O286" s="15" t="n">
        <f aca="false">0</f>
        <v>0</v>
      </c>
      <c r="P286" s="15" t="n">
        <f aca="false">M286+N286-O286</f>
        <v>9962.77455694445</v>
      </c>
      <c r="Q286" s="15" t="n">
        <f aca="false">SUM(P281:P286)+Parametri_v3!$C$56*6/12</f>
        <v>59950.2584527778</v>
      </c>
      <c r="R286" s="15" t="n">
        <f aca="false">Z280</f>
        <v>0</v>
      </c>
      <c r="S286" s="15" t="n">
        <f aca="false">AA280</f>
        <v>0</v>
      </c>
      <c r="T286" s="15" t="n">
        <f aca="false">MIN(R286,MAX(0,Q286))</f>
        <v>0</v>
      </c>
      <c r="U286" s="15" t="n">
        <f aca="false">MIN(S286,MAX(0,Q286-T286)*Parametri_v3!$C$42)</f>
        <v>0</v>
      </c>
      <c r="V286" s="15" t="n">
        <f aca="false">MAX(0,Q286-T286-U286)*Ipotesi!$C$92</f>
        <v>14388.0620286667</v>
      </c>
      <c r="W286" s="15" t="n">
        <f aca="false">MAX(0,SUM(M281:M286)+Parametri_v3!$C$57*6/12)*Ipotesi!$C$93</f>
        <v>2338.06007965834</v>
      </c>
      <c r="X286" s="15" t="n">
        <f aca="false">V286+W286-(V285+W285)</f>
        <v>2779.6141013875</v>
      </c>
      <c r="Y286" s="15" t="n">
        <f aca="false">P286-X286</f>
        <v>7183.16045555695</v>
      </c>
      <c r="Z286" s="15" t="n">
        <f aca="false">R286-T286+IF(AND(Parametri_v3!$C$40=1,D286-YEAR(Parametri_v3!$C$50)&lt;Parametri_v3!$C$41),MAX(0,-Q286),0)</f>
        <v>0</v>
      </c>
      <c r="AA286" s="15" t="n">
        <f aca="false">S286-U286+IF(AND(Parametri_v3!$C$40=1,D286-YEAR(Parametri_v3!$C$50)&lt;Parametri_v3!$C$41),0,MAX(0,-Q286))</f>
        <v>0</v>
      </c>
      <c r="AB286" s="15" t="n">
        <f aca="false">F286*(1+Parametri_v3!$C$26)</f>
        <v>54496.9425</v>
      </c>
      <c r="AC286" s="15" t="n">
        <f aca="false">(IF(42-(INT((Motore_Operativo!L286)/30))&lt;1,0,INDEX(Motore_Advisory!$AB$245:$AB$304,MAX(1,42-(INT((Motore_Operativo!L286)/30)))))*(1-(MOD((Motore_Operativo!L286),30)/30))+IF(42-(INT((Motore_Operativo!L286)/30))-1&lt;1,0,INDEX(Motore_Advisory!$AB$245:$AB$304,MAX(1,42-(INT((Motore_Operativo!L286)/30))-1)))*(MOD((Motore_Operativo!L286),30)/30))</f>
        <v>54496.9425</v>
      </c>
      <c r="AD286" s="15" t="n">
        <f aca="false">(AD285)+AB286-AC286</f>
        <v>217987.77</v>
      </c>
      <c r="AE286" s="15" t="n">
        <f aca="false">Motore_Operativo!BH286*(1+Parametri_v3!$C$26)</f>
        <v>5449.69425</v>
      </c>
      <c r="AF286" s="15" t="n">
        <f aca="false">(IF(42-(INT((Parametri_v3!$C$29)/30))&lt;1,0,INDEX(Motore_Operativo!$BH$245:$BH$304,MAX(1,42-(INT((Parametri_v3!$C$29)/30)))))*(1-(MOD((Parametri_v3!$C$29),30)/30))+IF(42-(INT((Parametri_v3!$C$29)/30))-1&lt;1,0,INDEX(Motore_Operativo!$BH$245:$BH$304,MAX(1,42-(INT((Parametri_v3!$C$29)/30))-1)))*(MOD((Parametri_v3!$C$29),30)/30))*(1+Parametri_v3!$C$26)</f>
        <v>5449.69425</v>
      </c>
      <c r="AG286" s="15" t="n">
        <f aca="false">(AG285)+AE286-AF286</f>
        <v>5449.69425</v>
      </c>
      <c r="AH286" s="15" t="n">
        <f aca="false">(Motore_Operativo!CK286)*(1+Parametri_v3!$C$28*Parametri_v3!$C$26)</f>
        <v>15249.98874</v>
      </c>
      <c r="AI286" s="15" t="n">
        <f aca="false">(IF(42-(INT((Ipotesi!$C$91)/30))&lt;1,0,INDEX(Motore_Advisory!$AH$245:$AH$304,MAX(1,42-(INT((Ipotesi!$C$91)/30)))))*(1-(MOD((Ipotesi!$C$91),30)/30))+IF(42-(INT((Ipotesi!$C$91)/30))-1&lt;1,0,INDEX(Motore_Advisory!$AH$245:$AH$304,MAX(1,42-(INT((Ipotesi!$C$91)/30))-1)))*(MOD((Ipotesi!$C$91),30)/30))</f>
        <v>15249.98874</v>
      </c>
      <c r="AJ286" s="15" t="n">
        <f aca="false">(AJ285)+AH286-AI286</f>
        <v>30499.97748</v>
      </c>
      <c r="AK286" s="15" t="n">
        <f aca="false">(F286- Motore_Operativo!BH286-(Motore_Operativo!CK286)*Parametri_v3!$C$28-Motore_Operativo!CF286)*Parametri_v3!$C$26</f>
        <v>6415.60784333334</v>
      </c>
      <c r="AL286" s="15" t="n">
        <f aca="false">MAX(0,(AM285))</f>
        <v>6415.60784333334</v>
      </c>
      <c r="AM286" s="15" t="n">
        <f aca="false">(AM285)+AK286-AL286</f>
        <v>6415.60784333334</v>
      </c>
      <c r="AN286" s="15" t="n">
        <f aca="false">SUM(X269:X280)</f>
        <v>15038.513075</v>
      </c>
      <c r="AO286" s="15" t="n">
        <f aca="false">SUM(AP269:AP280)</f>
        <v>3321.75190704226</v>
      </c>
      <c r="AP286" s="15" t="n">
        <f aca="false">MAX(0,AN286)*IF(6=Parametri_v3!$C$43,Parametri_v3!$C$45,IF(6=Parametri_v3!$C$44,1-Parametri_v3!$C$45,0))</f>
        <v>6015.40522999999</v>
      </c>
      <c r="AQ286" s="15" t="n">
        <f aca="false">MAX(0,AP286+IF(6=Parametri_v3!$C$43,MAX(0,AN286-AO286),0)-MAX(0,-(AR285)))</f>
        <v>17732.1663979577</v>
      </c>
      <c r="AR286" s="15" t="n">
        <f aca="false">(AR285)+X286-AQ286</f>
        <v>10710.716878325</v>
      </c>
      <c r="AS286" s="15" t="n">
        <f aca="false">Motore_Operativo!AC286-AT286+AU286</f>
        <v>15999.572143125</v>
      </c>
      <c r="AT286" s="15" t="n">
        <f aca="false">Motore_Operativo!CI286</f>
        <v>842.082744375</v>
      </c>
      <c r="AU286" s="15" t="n">
        <f aca="false">MIN(MAX(0,(AV285)+AT286),Parametri_v3!$C$61/12)</f>
        <v>0</v>
      </c>
      <c r="AV286" s="15" t="n">
        <f aca="false">(AV285)+AT286-AU286</f>
        <v>18640.94021625</v>
      </c>
      <c r="AW286" s="15" t="n">
        <f aca="false">IF(AND(Motore_Operativo!C286=Finanziamenti!$D$7,Finanziamenti!$F$7=1),Finanziamenti!$C$7,0)</f>
        <v>0</v>
      </c>
      <c r="AX286" s="15" t="n">
        <f aca="false">0</f>
        <v>0</v>
      </c>
      <c r="AY286" s="15" t="n">
        <f aca="false">IF(6=Parametri_v3!$C$33,IF(BV286&lt;MIN(12,$B286-1),0,MIN(MAX(0,SUM(Y269:Y280))*Ipotesi!$C$94,MAX(0,(BM280)-(BO285)-BP286),MAX(0,BD286-Parametri_v3!$C$31))),0)</f>
        <v>0</v>
      </c>
      <c r="AZ286" s="15" t="n">
        <f aca="false">0</f>
        <v>0</v>
      </c>
      <c r="BA286" s="15" t="n">
        <f aca="false">0</f>
        <v>0</v>
      </c>
      <c r="BB286" s="15" t="n">
        <f aca="false">0</f>
        <v>0</v>
      </c>
      <c r="BC286" s="15" t="n">
        <f aca="false">0</f>
        <v>0</v>
      </c>
      <c r="BD286" s="15" t="n">
        <f aca="false">(BH285)+AC286-AF286-AI286-AS286-K286*(1+Parametri_v3!$C$26)-AL286-AQ286-O286+AW286+AX286+AZ286+BA286-BB286</f>
        <v>-40134.8342980149</v>
      </c>
      <c r="BE286" s="15" t="n">
        <f aca="false">0</f>
        <v>0</v>
      </c>
      <c r="BF286" s="15" t="n">
        <f aca="false">0</f>
        <v>0</v>
      </c>
      <c r="BG286" s="15" t="n">
        <f aca="false">0</f>
        <v>0</v>
      </c>
      <c r="BH286" s="15" t="n">
        <f aca="false">BD286+BE286-BF286-AY286</f>
        <v>-40134.8342980149</v>
      </c>
      <c r="BI286" s="15" t="n">
        <f aca="false">MAX(0,Parametri_v3!$C$31-BH286)</f>
        <v>50134.8342980149</v>
      </c>
      <c r="BJ286" s="15" t="n">
        <f aca="false">(BJ285)+K286</f>
        <v>17000</v>
      </c>
      <c r="BK286" s="15" t="n">
        <f aca="false">(BK285)+L286</f>
        <v>8423.61111111111</v>
      </c>
      <c r="BL286" s="15" t="n">
        <f aca="false">BJ286-BK286</f>
        <v>8576.38888888888</v>
      </c>
      <c r="BM286" s="15" t="n">
        <f aca="false">(BM285)+Y286</f>
        <v>94712.3879229657</v>
      </c>
      <c r="BN286" s="15" t="n">
        <f aca="false">(BN285)+AW286+AX286+AZ286</f>
        <v>20000</v>
      </c>
      <c r="BO286" s="15" t="n">
        <f aca="false">(BO285)+AY286</f>
        <v>0</v>
      </c>
      <c r="BP286" s="15" t="n">
        <f aca="false">MIN(Parametri_v3!$C$36*Parametri_v3!$C$35,(BP285)+IF(6=1,MAX(0,SUM(Y269:Y280))*Parametri_v3!$C$34,0))</f>
        <v>2000</v>
      </c>
      <c r="BQ286" s="15" t="n">
        <f aca="false">BN286+BM286-BO286</f>
        <v>114712.387922966</v>
      </c>
      <c r="BR286" s="15" t="n">
        <f aca="false">BH286+AD286+BL286+MAX(0,-AM286)+MAX(0,-AR286)</f>
        <v>186429.324590874</v>
      </c>
      <c r="BS286" s="15" t="n">
        <f aca="false">AJ286+AV286+MAX(0,AM286)+MAX(0,AR286)+BC286+BG286+BQ286+AG286</f>
        <v>186429.324590874</v>
      </c>
      <c r="BT286" s="15" t="n">
        <f aca="false">BR286-BS286</f>
        <v>0</v>
      </c>
      <c r="BU286" s="15" t="n">
        <f aca="false">BH286-(BD286+BE286-BF286-AY286)</f>
        <v>0</v>
      </c>
      <c r="BV286" s="15" t="n">
        <f aca="false">IF(BH285&lt;Parametri_v3!$C$31,0,BV285+1)</f>
        <v>0</v>
      </c>
    </row>
    <row r="287" customFormat="false" ht="18" hidden="false" customHeight="true" outlineLevel="0" collapsed="false">
      <c r="A287" s="68" t="n">
        <f aca="false">5</f>
        <v>5</v>
      </c>
      <c r="B287" s="68" t="n">
        <f aca="false">43</f>
        <v>43</v>
      </c>
      <c r="C287" s="18" t="n">
        <f aca="false">Motore_Operativo!C287</f>
        <v>47665</v>
      </c>
      <c r="D287" s="68" t="n">
        <f aca="false">Motore_Operativo!D287</f>
        <v>2030</v>
      </c>
      <c r="E287" s="68" t="n">
        <f aca="false">Motore_Operativo!E287</f>
        <v>7</v>
      </c>
      <c r="F287" s="15" t="n">
        <f aca="false">Motore_Operativo!AM287</f>
        <v>44669.625</v>
      </c>
      <c r="G287" s="15" t="n">
        <f aca="false">Motore_Operativo!BH287</f>
        <v>4466.9625</v>
      </c>
      <c r="H287" s="15" t="n">
        <f aca="false">Motore_Operativo!AM287</f>
        <v>44669.625</v>
      </c>
      <c r="I287" s="15" t="n">
        <f aca="false">Motore_Operativo!CB287</f>
        <v>34276.2948875</v>
      </c>
      <c r="J287" s="15" t="n">
        <f aca="false">Motore_Operativo!CD287</f>
        <v>10393.3301125</v>
      </c>
      <c r="K287" s="15" t="n">
        <f aca="false">Motore_Operativo!CF287</f>
        <v>666.666666666667</v>
      </c>
      <c r="L287" s="15" t="n">
        <f aca="false">SUM(INDEX($K$245:$K$304,MAX(1,43-Parametri_v3!$C$59+1)):K287)/Parametri_v3!$C$59</f>
        <v>442.12962962963</v>
      </c>
      <c r="M287" s="15" t="n">
        <f aca="false">J287-L287</f>
        <v>9951.20048287038</v>
      </c>
      <c r="N287" s="15" t="n">
        <f aca="false">0</f>
        <v>0</v>
      </c>
      <c r="O287" s="15" t="n">
        <f aca="false">0</f>
        <v>0</v>
      </c>
      <c r="P287" s="15" t="n">
        <f aca="false">M287+N287-O287</f>
        <v>9951.20048287038</v>
      </c>
      <c r="Q287" s="15" t="n">
        <f aca="false">SUM(P281:P287)+Parametri_v3!$C$56*7/12</f>
        <v>69901.4589356482</v>
      </c>
      <c r="R287" s="15" t="n">
        <f aca="false">Z280</f>
        <v>0</v>
      </c>
      <c r="S287" s="15" t="n">
        <f aca="false">AA280</f>
        <v>0</v>
      </c>
      <c r="T287" s="15" t="n">
        <f aca="false">MIN(R287,MAX(0,Q287))</f>
        <v>0</v>
      </c>
      <c r="U287" s="15" t="n">
        <f aca="false">MIN(S287,MAX(0,Q287-T287)*Parametri_v3!$C$42)</f>
        <v>0</v>
      </c>
      <c r="V287" s="15" t="n">
        <f aca="false">MAX(0,Q287-T287-U287)*Ipotesi!$C$92</f>
        <v>16776.3501445556</v>
      </c>
      <c r="W287" s="15" t="n">
        <f aca="false">MAX(0,SUM(M281:M287)+Parametri_v3!$C$57*7/12)*Ipotesi!$C$93</f>
        <v>2726.15689849028</v>
      </c>
      <c r="X287" s="15" t="n">
        <f aca="false">V287+W287-(V286+W286)</f>
        <v>2776.38493472083</v>
      </c>
      <c r="Y287" s="15" t="n">
        <f aca="false">P287-X287</f>
        <v>7174.81554814954</v>
      </c>
      <c r="Z287" s="15" t="n">
        <f aca="false">R287-T287+IF(AND(Parametri_v3!$C$40=1,D287-YEAR(Parametri_v3!$C$50)&lt;Parametri_v3!$C$41),MAX(0,-Q287),0)</f>
        <v>0</v>
      </c>
      <c r="AA287" s="15" t="n">
        <f aca="false">S287-U287+IF(AND(Parametri_v3!$C$40=1,D287-YEAR(Parametri_v3!$C$50)&lt;Parametri_v3!$C$41),0,MAX(0,-Q287))</f>
        <v>0</v>
      </c>
      <c r="AB287" s="15" t="n">
        <f aca="false">F287*(1+Parametri_v3!$C$26)</f>
        <v>54496.9425</v>
      </c>
      <c r="AC287" s="15" t="n">
        <f aca="false">(IF(43-(INT((Motore_Operativo!L287)/30))&lt;1,0,INDEX(Motore_Advisory!$AB$245:$AB$304,MAX(1,43-(INT((Motore_Operativo!L287)/30)))))*(1-(MOD((Motore_Operativo!L287),30)/30))+IF(43-(INT((Motore_Operativo!L287)/30))-1&lt;1,0,INDEX(Motore_Advisory!$AB$245:$AB$304,MAX(1,43-(INT((Motore_Operativo!L287)/30))-1)))*(MOD((Motore_Operativo!L287),30)/30))</f>
        <v>54496.9425</v>
      </c>
      <c r="AD287" s="15" t="n">
        <f aca="false">(AD286)+AB287-AC287</f>
        <v>217987.77</v>
      </c>
      <c r="AE287" s="15" t="n">
        <f aca="false">Motore_Operativo!BH287*(1+Parametri_v3!$C$26)</f>
        <v>5449.69425</v>
      </c>
      <c r="AF287" s="15" t="n">
        <f aca="false">(IF(43-(INT((Parametri_v3!$C$29)/30))&lt;1,0,INDEX(Motore_Operativo!$BH$245:$BH$304,MAX(1,43-(INT((Parametri_v3!$C$29)/30)))))*(1-(MOD((Parametri_v3!$C$29),30)/30))+IF(43-(INT((Parametri_v3!$C$29)/30))-1&lt;1,0,INDEX(Motore_Operativo!$BH$245:$BH$304,MAX(1,43-(INT((Parametri_v3!$C$29)/30))-1)))*(MOD((Parametri_v3!$C$29),30)/30))*(1+Parametri_v3!$C$26)</f>
        <v>5449.69425</v>
      </c>
      <c r="AG287" s="15" t="n">
        <f aca="false">(AG286)+AE287-AF287</f>
        <v>5449.69425</v>
      </c>
      <c r="AH287" s="15" t="n">
        <f aca="false">(Motore_Operativo!CK287)*(1+Parametri_v3!$C$28*Parametri_v3!$C$26)</f>
        <v>15249.98874</v>
      </c>
      <c r="AI287" s="15" t="n">
        <f aca="false">(IF(43-(INT((Ipotesi!$C$91)/30))&lt;1,0,INDEX(Motore_Advisory!$AH$245:$AH$304,MAX(1,43-(INT((Ipotesi!$C$91)/30)))))*(1-(MOD((Ipotesi!$C$91),30)/30))+IF(43-(INT((Ipotesi!$C$91)/30))-1&lt;1,0,INDEX(Motore_Advisory!$AH$245:$AH$304,MAX(1,43-(INT((Ipotesi!$C$91)/30))-1)))*(MOD((Ipotesi!$C$91),30)/30))</f>
        <v>15249.98874</v>
      </c>
      <c r="AJ287" s="15" t="n">
        <f aca="false">(AJ286)+AH287-AI287</f>
        <v>30499.97748</v>
      </c>
      <c r="AK287" s="15" t="n">
        <f aca="false">(F287- Motore_Operativo!BH287-(Motore_Operativo!CK287)*Parametri_v3!$C$28-Motore_Operativo!CF287)*Parametri_v3!$C$26</f>
        <v>6415.60784333334</v>
      </c>
      <c r="AL287" s="15" t="n">
        <f aca="false">MAX(0,(AM286))</f>
        <v>6415.60784333334</v>
      </c>
      <c r="AM287" s="15" t="n">
        <f aca="false">(AM286)+AK287-AL287</f>
        <v>6415.60784333334</v>
      </c>
      <c r="AN287" s="15" t="n">
        <f aca="false">SUM(X269:X280)</f>
        <v>15038.513075</v>
      </c>
      <c r="AO287" s="15" t="n">
        <f aca="false">SUM(AP269:AP280)</f>
        <v>3321.75190704226</v>
      </c>
      <c r="AP287" s="15" t="n">
        <f aca="false">MAX(0,AN287)*IF(7=Parametri_v3!$C$43,Parametri_v3!$C$45,IF(7=Parametri_v3!$C$44,1-Parametri_v3!$C$45,0))</f>
        <v>0</v>
      </c>
      <c r="AQ287" s="15" t="n">
        <f aca="false">MAX(0,AP287+IF(7=Parametri_v3!$C$43,MAX(0,AN287-AO287),0)-MAX(0,-(AR286)))</f>
        <v>0</v>
      </c>
      <c r="AR287" s="15" t="n">
        <f aca="false">(AR286)+X287-AQ287</f>
        <v>13487.1018130459</v>
      </c>
      <c r="AS287" s="15" t="n">
        <f aca="false">Motore_Operativo!AC287-AT287+AU287</f>
        <v>15999.572143125</v>
      </c>
      <c r="AT287" s="15" t="n">
        <f aca="false">Motore_Operativo!CI287</f>
        <v>842.082744375</v>
      </c>
      <c r="AU287" s="15" t="n">
        <f aca="false">MIN(MAX(0,(AV286)+AT287),Parametri_v3!$C$61/12)</f>
        <v>0</v>
      </c>
      <c r="AV287" s="15" t="n">
        <f aca="false">(AV286)+AT287-AU287</f>
        <v>19483.022960625</v>
      </c>
      <c r="AW287" s="15" t="n">
        <f aca="false">IF(AND(Motore_Operativo!C287=Finanziamenti!$D$7,Finanziamenti!$F$7=1),Finanziamenti!$C$7,0)</f>
        <v>0</v>
      </c>
      <c r="AX287" s="15" t="n">
        <f aca="false">0</f>
        <v>0</v>
      </c>
      <c r="AY287" s="15" t="n">
        <f aca="false">IF(7=Parametri_v3!$C$33,IF(BV287&lt;MIN(12,$B287-1),0,MIN(MAX(0,SUM(Y269:Y280))*Ipotesi!$C$94,MAX(0,(BM280)-(BO286)-BP287),MAX(0,BD287-Parametri_v3!$C$31))),0)</f>
        <v>0</v>
      </c>
      <c r="AZ287" s="15" t="n">
        <f aca="false">0</f>
        <v>0</v>
      </c>
      <c r="BA287" s="15" t="n">
        <f aca="false">0</f>
        <v>0</v>
      </c>
      <c r="BB287" s="15" t="n">
        <f aca="false">0</f>
        <v>0</v>
      </c>
      <c r="BC287" s="15" t="n">
        <f aca="false">0</f>
        <v>0</v>
      </c>
      <c r="BD287" s="15" t="n">
        <f aca="false">(BH286)+AC287-AF287-AI287-AS287-K287*(1+Parametri_v3!$C$26)-AL287-AQ287-O287+AW287+AX287+AZ287+BA287-BB287</f>
        <v>-29566.0881078066</v>
      </c>
      <c r="BE287" s="15" t="n">
        <f aca="false">0</f>
        <v>0</v>
      </c>
      <c r="BF287" s="15" t="n">
        <f aca="false">0</f>
        <v>0</v>
      </c>
      <c r="BG287" s="15" t="n">
        <f aca="false">0</f>
        <v>0</v>
      </c>
      <c r="BH287" s="15" t="n">
        <f aca="false">BD287+BE287-BF287-AY287</f>
        <v>-29566.0881078066</v>
      </c>
      <c r="BI287" s="15" t="n">
        <f aca="false">MAX(0,Parametri_v3!$C$31-BH287)</f>
        <v>39566.0881078066</v>
      </c>
      <c r="BJ287" s="15" t="n">
        <f aca="false">(BJ286)+K287</f>
        <v>17666.6666666667</v>
      </c>
      <c r="BK287" s="15" t="n">
        <f aca="false">(BK286)+L287</f>
        <v>8865.74074074074</v>
      </c>
      <c r="BL287" s="15" t="n">
        <f aca="false">BJ287-BK287</f>
        <v>8800.92592592592</v>
      </c>
      <c r="BM287" s="15" t="n">
        <f aca="false">(BM286)+Y287</f>
        <v>101887.203471115</v>
      </c>
      <c r="BN287" s="15" t="n">
        <f aca="false">(BN286)+AW287+AX287+AZ287</f>
        <v>20000</v>
      </c>
      <c r="BO287" s="15" t="n">
        <f aca="false">(BO286)+AY287</f>
        <v>0</v>
      </c>
      <c r="BP287" s="15" t="n">
        <f aca="false">MIN(Parametri_v3!$C$36*Parametri_v3!$C$35,(BP286)+IF(7=1,MAX(0,SUM(Y269:Y280))*Parametri_v3!$C$34,0))</f>
        <v>2000</v>
      </c>
      <c r="BQ287" s="15" t="n">
        <f aca="false">BN287+BM287-BO287</f>
        <v>121887.203471115</v>
      </c>
      <c r="BR287" s="15" t="n">
        <f aca="false">BH287+AD287+BL287+MAX(0,-AM287)+MAX(0,-AR287)</f>
        <v>197222.60781812</v>
      </c>
      <c r="BS287" s="15" t="n">
        <f aca="false">AJ287+AV287+MAX(0,AM287)+MAX(0,AR287)+BC287+BG287+BQ287+AG287</f>
        <v>197222.607818119</v>
      </c>
      <c r="BT287" s="15" t="n">
        <f aca="false">BR287-BS287</f>
        <v>0</v>
      </c>
      <c r="BU287" s="15" t="n">
        <f aca="false">BH287-(BD287+BE287-BF287-AY287)</f>
        <v>0</v>
      </c>
      <c r="BV287" s="15" t="n">
        <f aca="false">IF(BH286&lt;Parametri_v3!$C$31,0,BV286+1)</f>
        <v>0</v>
      </c>
    </row>
    <row r="288" customFormat="false" ht="18" hidden="false" customHeight="true" outlineLevel="0" collapsed="false">
      <c r="A288" s="68" t="n">
        <f aca="false">5</f>
        <v>5</v>
      </c>
      <c r="B288" s="68" t="n">
        <f aca="false">44</f>
        <v>44</v>
      </c>
      <c r="C288" s="18" t="n">
        <f aca="false">Motore_Operativo!C288</f>
        <v>47696</v>
      </c>
      <c r="D288" s="68" t="n">
        <f aca="false">Motore_Operativo!D288</f>
        <v>2030</v>
      </c>
      <c r="E288" s="68" t="n">
        <f aca="false">Motore_Operativo!E288</f>
        <v>8</v>
      </c>
      <c r="F288" s="15" t="n">
        <f aca="false">Motore_Operativo!AM288</f>
        <v>44669.625</v>
      </c>
      <c r="G288" s="15" t="n">
        <f aca="false">Motore_Operativo!BH288</f>
        <v>4466.9625</v>
      </c>
      <c r="H288" s="15" t="n">
        <f aca="false">Motore_Operativo!AM288</f>
        <v>44669.625</v>
      </c>
      <c r="I288" s="15" t="n">
        <f aca="false">Motore_Operativo!CB288</f>
        <v>34276.2948875</v>
      </c>
      <c r="J288" s="15" t="n">
        <f aca="false">Motore_Operativo!CD288</f>
        <v>10393.3301125</v>
      </c>
      <c r="K288" s="15" t="n">
        <f aca="false">Motore_Operativo!CF288</f>
        <v>666.666666666667</v>
      </c>
      <c r="L288" s="15" t="n">
        <f aca="false">SUM(INDEX($K$245:$K$304,MAX(1,44-Parametri_v3!$C$59+1)):K288)/Parametri_v3!$C$59</f>
        <v>453.703703703704</v>
      </c>
      <c r="M288" s="15" t="n">
        <f aca="false">J288-L288</f>
        <v>9939.6264087963</v>
      </c>
      <c r="N288" s="15" t="n">
        <f aca="false">0</f>
        <v>0</v>
      </c>
      <c r="O288" s="15" t="n">
        <f aca="false">0</f>
        <v>0</v>
      </c>
      <c r="P288" s="15" t="n">
        <f aca="false">M288+N288-O288</f>
        <v>9939.6264087963</v>
      </c>
      <c r="Q288" s="15" t="n">
        <f aca="false">SUM(P281:P288)+Parametri_v3!$C$56*8/12</f>
        <v>79841.0853444445</v>
      </c>
      <c r="R288" s="15" t="n">
        <f aca="false">Z280</f>
        <v>0</v>
      </c>
      <c r="S288" s="15" t="n">
        <f aca="false">AA280</f>
        <v>0</v>
      </c>
      <c r="T288" s="15" t="n">
        <f aca="false">MIN(R288,MAX(0,Q288))</f>
        <v>0</v>
      </c>
      <c r="U288" s="15" t="n">
        <f aca="false">MIN(S288,MAX(0,Q288-T288)*Parametri_v3!$C$42)</f>
        <v>0</v>
      </c>
      <c r="V288" s="15" t="n">
        <f aca="false">MAX(0,Q288-T288-U288)*Ipotesi!$C$92</f>
        <v>19161.8604826667</v>
      </c>
      <c r="W288" s="15" t="n">
        <f aca="false">MAX(0,SUM(M281:M288)+Parametri_v3!$C$57*8/12)*Ipotesi!$C$93</f>
        <v>3113.80232843334</v>
      </c>
      <c r="X288" s="15" t="n">
        <f aca="false">V288+W288-(V287+W287)</f>
        <v>2773.15576805417</v>
      </c>
      <c r="Y288" s="15" t="n">
        <f aca="false">P288-X288</f>
        <v>7166.47064074213</v>
      </c>
      <c r="Z288" s="15" t="n">
        <f aca="false">R288-T288+IF(AND(Parametri_v3!$C$40=1,D288-YEAR(Parametri_v3!$C$50)&lt;Parametri_v3!$C$41),MAX(0,-Q288),0)</f>
        <v>0</v>
      </c>
      <c r="AA288" s="15" t="n">
        <f aca="false">S288-U288+IF(AND(Parametri_v3!$C$40=1,D288-YEAR(Parametri_v3!$C$50)&lt;Parametri_v3!$C$41),0,MAX(0,-Q288))</f>
        <v>0</v>
      </c>
      <c r="AB288" s="15" t="n">
        <f aca="false">F288*(1+Parametri_v3!$C$26)</f>
        <v>54496.9425</v>
      </c>
      <c r="AC288" s="15" t="n">
        <f aca="false">(IF(44-(INT((Motore_Operativo!L288)/30))&lt;1,0,INDEX(Motore_Advisory!$AB$245:$AB$304,MAX(1,44-(INT((Motore_Operativo!L288)/30)))))*(1-(MOD((Motore_Operativo!L288),30)/30))+IF(44-(INT((Motore_Operativo!L288)/30))-1&lt;1,0,INDEX(Motore_Advisory!$AB$245:$AB$304,MAX(1,44-(INT((Motore_Operativo!L288)/30))-1)))*(MOD((Motore_Operativo!L288),30)/30))</f>
        <v>54496.9425</v>
      </c>
      <c r="AD288" s="15" t="n">
        <f aca="false">(AD287)+AB288-AC288</f>
        <v>217987.77</v>
      </c>
      <c r="AE288" s="15" t="n">
        <f aca="false">Motore_Operativo!BH288*(1+Parametri_v3!$C$26)</f>
        <v>5449.69425</v>
      </c>
      <c r="AF288" s="15" t="n">
        <f aca="false">(IF(44-(INT((Parametri_v3!$C$29)/30))&lt;1,0,INDEX(Motore_Operativo!$BH$245:$BH$304,MAX(1,44-(INT((Parametri_v3!$C$29)/30)))))*(1-(MOD((Parametri_v3!$C$29),30)/30))+IF(44-(INT((Parametri_v3!$C$29)/30))-1&lt;1,0,INDEX(Motore_Operativo!$BH$245:$BH$304,MAX(1,44-(INT((Parametri_v3!$C$29)/30))-1)))*(MOD((Parametri_v3!$C$29),30)/30))*(1+Parametri_v3!$C$26)</f>
        <v>5449.69425</v>
      </c>
      <c r="AG288" s="15" t="n">
        <f aca="false">(AG287)+AE288-AF288</f>
        <v>5449.69425</v>
      </c>
      <c r="AH288" s="15" t="n">
        <f aca="false">(Motore_Operativo!CK288)*(1+Parametri_v3!$C$28*Parametri_v3!$C$26)</f>
        <v>15249.98874</v>
      </c>
      <c r="AI288" s="15" t="n">
        <f aca="false">(IF(44-(INT((Ipotesi!$C$91)/30))&lt;1,0,INDEX(Motore_Advisory!$AH$245:$AH$304,MAX(1,44-(INT((Ipotesi!$C$91)/30)))))*(1-(MOD((Ipotesi!$C$91),30)/30))+IF(44-(INT((Ipotesi!$C$91)/30))-1&lt;1,0,INDEX(Motore_Advisory!$AH$245:$AH$304,MAX(1,44-(INT((Ipotesi!$C$91)/30))-1)))*(MOD((Ipotesi!$C$91),30)/30))</f>
        <v>15249.98874</v>
      </c>
      <c r="AJ288" s="15" t="n">
        <f aca="false">(AJ287)+AH288-AI288</f>
        <v>30499.97748</v>
      </c>
      <c r="AK288" s="15" t="n">
        <f aca="false">(F288- Motore_Operativo!BH288-(Motore_Operativo!CK288)*Parametri_v3!$C$28-Motore_Operativo!CF288)*Parametri_v3!$C$26</f>
        <v>6415.60784333334</v>
      </c>
      <c r="AL288" s="15" t="n">
        <f aca="false">MAX(0,(AM287))</f>
        <v>6415.60784333334</v>
      </c>
      <c r="AM288" s="15" t="n">
        <f aca="false">(AM287)+AK288-AL288</f>
        <v>6415.60784333334</v>
      </c>
      <c r="AN288" s="15" t="n">
        <f aca="false">SUM(X269:X280)</f>
        <v>15038.513075</v>
      </c>
      <c r="AO288" s="15" t="n">
        <f aca="false">SUM(AP269:AP280)</f>
        <v>3321.75190704226</v>
      </c>
      <c r="AP288" s="15" t="n">
        <f aca="false">MAX(0,AN288)*IF(8=Parametri_v3!$C$43,Parametri_v3!$C$45,IF(8=Parametri_v3!$C$44,1-Parametri_v3!$C$45,0))</f>
        <v>0</v>
      </c>
      <c r="AQ288" s="15" t="n">
        <f aca="false">MAX(0,AP288+IF(8=Parametri_v3!$C$43,MAX(0,AN288-AO288),0)-MAX(0,-(AR287)))</f>
        <v>0</v>
      </c>
      <c r="AR288" s="15" t="n">
        <f aca="false">(AR287)+X288-AQ288</f>
        <v>16260.2575811</v>
      </c>
      <c r="AS288" s="15" t="n">
        <f aca="false">Motore_Operativo!AC288-AT288+AU288</f>
        <v>15999.572143125</v>
      </c>
      <c r="AT288" s="15" t="n">
        <f aca="false">Motore_Operativo!CI288</f>
        <v>842.082744375</v>
      </c>
      <c r="AU288" s="15" t="n">
        <f aca="false">MIN(MAX(0,(AV287)+AT288),Parametri_v3!$C$61/12)</f>
        <v>0</v>
      </c>
      <c r="AV288" s="15" t="n">
        <f aca="false">(AV287)+AT288-AU288</f>
        <v>20325.105705</v>
      </c>
      <c r="AW288" s="15" t="n">
        <f aca="false">IF(AND(Motore_Operativo!C288=Finanziamenti!$D$7,Finanziamenti!$F$7=1),Finanziamenti!$C$7,0)</f>
        <v>0</v>
      </c>
      <c r="AX288" s="15" t="n">
        <f aca="false">0</f>
        <v>0</v>
      </c>
      <c r="AY288" s="15" t="n">
        <f aca="false">IF(8=Parametri_v3!$C$33,IF(BV288&lt;MIN(12,$B288-1),0,MIN(MAX(0,SUM(Y269:Y280))*Ipotesi!$C$94,MAX(0,(BM280)-(BO287)-BP288),MAX(0,BD288-Parametri_v3!$C$31))),0)</f>
        <v>0</v>
      </c>
      <c r="AZ288" s="15" t="n">
        <f aca="false">0</f>
        <v>0</v>
      </c>
      <c r="BA288" s="15" t="n">
        <f aca="false">0</f>
        <v>0</v>
      </c>
      <c r="BB288" s="15" t="n">
        <f aca="false">0</f>
        <v>0</v>
      </c>
      <c r="BC288" s="15" t="n">
        <f aca="false">0</f>
        <v>0</v>
      </c>
      <c r="BD288" s="15" t="n">
        <f aca="false">(BH287)+AC288-AF288-AI288-AS288-K288*(1+Parametri_v3!$C$26)-AL288-AQ288-O288+AW288+AX288+AZ288+BA288-BB288</f>
        <v>-18997.3419175982</v>
      </c>
      <c r="BE288" s="15" t="n">
        <f aca="false">0</f>
        <v>0</v>
      </c>
      <c r="BF288" s="15" t="n">
        <f aca="false">0</f>
        <v>0</v>
      </c>
      <c r="BG288" s="15" t="n">
        <f aca="false">0</f>
        <v>0</v>
      </c>
      <c r="BH288" s="15" t="n">
        <f aca="false">BD288+BE288-BF288-AY288</f>
        <v>-18997.3419175982</v>
      </c>
      <c r="BI288" s="15" t="n">
        <f aca="false">MAX(0,Parametri_v3!$C$31-BH288)</f>
        <v>28997.3419175982</v>
      </c>
      <c r="BJ288" s="15" t="n">
        <f aca="false">(BJ287)+K288</f>
        <v>18333.3333333333</v>
      </c>
      <c r="BK288" s="15" t="n">
        <f aca="false">(BK287)+L288</f>
        <v>9319.44444444444</v>
      </c>
      <c r="BL288" s="15" t="n">
        <f aca="false">BJ288-BK288</f>
        <v>9013.88888888889</v>
      </c>
      <c r="BM288" s="15" t="n">
        <f aca="false">(BM287)+Y288</f>
        <v>109053.674111857</v>
      </c>
      <c r="BN288" s="15" t="n">
        <f aca="false">(BN287)+AW288+AX288+AZ288</f>
        <v>20000</v>
      </c>
      <c r="BO288" s="15" t="n">
        <f aca="false">(BO287)+AY288</f>
        <v>0</v>
      </c>
      <c r="BP288" s="15" t="n">
        <f aca="false">MIN(Parametri_v3!$C$36*Parametri_v3!$C$35,(BP287)+IF(8=1,MAX(0,SUM(Y269:Y280))*Parametri_v3!$C$34,0))</f>
        <v>2000</v>
      </c>
      <c r="BQ288" s="15" t="n">
        <f aca="false">BN288+BM288-BO288</f>
        <v>129053.674111857</v>
      </c>
      <c r="BR288" s="15" t="n">
        <f aca="false">BH288+AD288+BL288+MAX(0,-AM288)+MAX(0,-AR288)</f>
        <v>208004.316971291</v>
      </c>
      <c r="BS288" s="15" t="n">
        <f aca="false">AJ288+AV288+MAX(0,AM288)+MAX(0,AR288)+BC288+BG288+BQ288+AG288</f>
        <v>208004.316971291</v>
      </c>
      <c r="BT288" s="15" t="n">
        <f aca="false">BR288-BS288</f>
        <v>0</v>
      </c>
      <c r="BU288" s="15" t="n">
        <f aca="false">BH288-(BD288+BE288-BF288-AY288)</f>
        <v>0</v>
      </c>
      <c r="BV288" s="15" t="n">
        <f aca="false">IF(BH287&lt;Parametri_v3!$C$31,0,BV287+1)</f>
        <v>0</v>
      </c>
    </row>
    <row r="289" customFormat="false" ht="18" hidden="false" customHeight="true" outlineLevel="0" collapsed="false">
      <c r="A289" s="68" t="n">
        <f aca="false">5</f>
        <v>5</v>
      </c>
      <c r="B289" s="68" t="n">
        <f aca="false">45</f>
        <v>45</v>
      </c>
      <c r="C289" s="18" t="n">
        <f aca="false">Motore_Operativo!C289</f>
        <v>47727</v>
      </c>
      <c r="D289" s="68" t="n">
        <f aca="false">Motore_Operativo!D289</f>
        <v>2030</v>
      </c>
      <c r="E289" s="68" t="n">
        <f aca="false">Motore_Operativo!E289</f>
        <v>9</v>
      </c>
      <c r="F289" s="15" t="n">
        <f aca="false">Motore_Operativo!AM289</f>
        <v>44669.625</v>
      </c>
      <c r="G289" s="15" t="n">
        <f aca="false">Motore_Operativo!BH289</f>
        <v>4466.9625</v>
      </c>
      <c r="H289" s="15" t="n">
        <f aca="false">Motore_Operativo!AM289</f>
        <v>44669.625</v>
      </c>
      <c r="I289" s="15" t="n">
        <f aca="false">Motore_Operativo!CB289</f>
        <v>34276.2948875</v>
      </c>
      <c r="J289" s="15" t="n">
        <f aca="false">Motore_Operativo!CD289</f>
        <v>10393.3301125</v>
      </c>
      <c r="K289" s="15" t="n">
        <f aca="false">Motore_Operativo!CF289</f>
        <v>666.666666666667</v>
      </c>
      <c r="L289" s="15" t="n">
        <f aca="false">SUM(INDEX($K$245:$K$304,MAX(1,45-Parametri_v3!$C$59+1)):K289)/Parametri_v3!$C$59</f>
        <v>465.277777777778</v>
      </c>
      <c r="M289" s="15" t="n">
        <f aca="false">J289-L289</f>
        <v>9928.05233472223</v>
      </c>
      <c r="N289" s="15" t="n">
        <f aca="false">0</f>
        <v>0</v>
      </c>
      <c r="O289" s="15" t="n">
        <f aca="false">0</f>
        <v>0</v>
      </c>
      <c r="P289" s="15" t="n">
        <f aca="false">M289+N289-O289</f>
        <v>9928.05233472223</v>
      </c>
      <c r="Q289" s="15" t="n">
        <f aca="false">SUM(P281:P289)+Parametri_v3!$C$56*9/12</f>
        <v>89769.1376791667</v>
      </c>
      <c r="R289" s="15" t="n">
        <f aca="false">Z280</f>
        <v>0</v>
      </c>
      <c r="S289" s="15" t="n">
        <f aca="false">AA280</f>
        <v>0</v>
      </c>
      <c r="T289" s="15" t="n">
        <f aca="false">MIN(R289,MAX(0,Q289))</f>
        <v>0</v>
      </c>
      <c r="U289" s="15" t="n">
        <f aca="false">MIN(S289,MAX(0,Q289-T289)*Parametri_v3!$C$42)</f>
        <v>0</v>
      </c>
      <c r="V289" s="15" t="n">
        <f aca="false">MAX(0,Q289-T289-U289)*Ipotesi!$C$92</f>
        <v>21544.593043</v>
      </c>
      <c r="W289" s="15" t="n">
        <f aca="false">MAX(0,SUM(M281:M289)+Parametri_v3!$C$57*9/12)*Ipotesi!$C$93</f>
        <v>3500.9963694875</v>
      </c>
      <c r="X289" s="15" t="n">
        <f aca="false">V289+W289-(V288+W288)</f>
        <v>2769.9266013875</v>
      </c>
      <c r="Y289" s="15" t="n">
        <f aca="false">P289-X289</f>
        <v>7158.12573333473</v>
      </c>
      <c r="Z289" s="15" t="n">
        <f aca="false">R289-T289+IF(AND(Parametri_v3!$C$40=1,D289-YEAR(Parametri_v3!$C$50)&lt;Parametri_v3!$C$41),MAX(0,-Q289),0)</f>
        <v>0</v>
      </c>
      <c r="AA289" s="15" t="n">
        <f aca="false">S289-U289+IF(AND(Parametri_v3!$C$40=1,D289-YEAR(Parametri_v3!$C$50)&lt;Parametri_v3!$C$41),0,MAX(0,-Q289))</f>
        <v>0</v>
      </c>
      <c r="AB289" s="15" t="n">
        <f aca="false">F289*(1+Parametri_v3!$C$26)</f>
        <v>54496.9425</v>
      </c>
      <c r="AC289" s="15" t="n">
        <f aca="false">(IF(45-(INT((Motore_Operativo!L289)/30))&lt;1,0,INDEX(Motore_Advisory!$AB$245:$AB$304,MAX(1,45-(INT((Motore_Operativo!L289)/30)))))*(1-(MOD((Motore_Operativo!L289),30)/30))+IF(45-(INT((Motore_Operativo!L289)/30))-1&lt;1,0,INDEX(Motore_Advisory!$AB$245:$AB$304,MAX(1,45-(INT((Motore_Operativo!L289)/30))-1)))*(MOD((Motore_Operativo!L289),30)/30))</f>
        <v>54496.9425</v>
      </c>
      <c r="AD289" s="15" t="n">
        <f aca="false">(AD288)+AB289-AC289</f>
        <v>217987.77</v>
      </c>
      <c r="AE289" s="15" t="n">
        <f aca="false">Motore_Operativo!BH289*(1+Parametri_v3!$C$26)</f>
        <v>5449.69425</v>
      </c>
      <c r="AF289" s="15" t="n">
        <f aca="false">(IF(45-(INT((Parametri_v3!$C$29)/30))&lt;1,0,INDEX(Motore_Operativo!$BH$245:$BH$304,MAX(1,45-(INT((Parametri_v3!$C$29)/30)))))*(1-(MOD((Parametri_v3!$C$29),30)/30))+IF(45-(INT((Parametri_v3!$C$29)/30))-1&lt;1,0,INDEX(Motore_Operativo!$BH$245:$BH$304,MAX(1,45-(INT((Parametri_v3!$C$29)/30))-1)))*(MOD((Parametri_v3!$C$29),30)/30))*(1+Parametri_v3!$C$26)</f>
        <v>5449.69425</v>
      </c>
      <c r="AG289" s="15" t="n">
        <f aca="false">(AG288)+AE289-AF289</f>
        <v>5449.69425</v>
      </c>
      <c r="AH289" s="15" t="n">
        <f aca="false">(Motore_Operativo!CK289)*(1+Parametri_v3!$C$28*Parametri_v3!$C$26)</f>
        <v>15249.98874</v>
      </c>
      <c r="AI289" s="15" t="n">
        <f aca="false">(IF(45-(INT((Ipotesi!$C$91)/30))&lt;1,0,INDEX(Motore_Advisory!$AH$245:$AH$304,MAX(1,45-(INT((Ipotesi!$C$91)/30)))))*(1-(MOD((Ipotesi!$C$91),30)/30))+IF(45-(INT((Ipotesi!$C$91)/30))-1&lt;1,0,INDEX(Motore_Advisory!$AH$245:$AH$304,MAX(1,45-(INT((Ipotesi!$C$91)/30))-1)))*(MOD((Ipotesi!$C$91),30)/30))</f>
        <v>15249.98874</v>
      </c>
      <c r="AJ289" s="15" t="n">
        <f aca="false">(AJ288)+AH289-AI289</f>
        <v>30499.97748</v>
      </c>
      <c r="AK289" s="15" t="n">
        <f aca="false">(F289- Motore_Operativo!BH289-(Motore_Operativo!CK289)*Parametri_v3!$C$28-Motore_Operativo!CF289)*Parametri_v3!$C$26</f>
        <v>6415.60784333334</v>
      </c>
      <c r="AL289" s="15" t="n">
        <f aca="false">MAX(0,(AM288))</f>
        <v>6415.60784333334</v>
      </c>
      <c r="AM289" s="15" t="n">
        <f aca="false">(AM288)+AK289-AL289</f>
        <v>6415.60784333334</v>
      </c>
      <c r="AN289" s="15" t="n">
        <f aca="false">SUM(X269:X280)</f>
        <v>15038.513075</v>
      </c>
      <c r="AO289" s="15" t="n">
        <f aca="false">SUM(AP269:AP280)</f>
        <v>3321.75190704226</v>
      </c>
      <c r="AP289" s="15" t="n">
        <f aca="false">MAX(0,AN289)*IF(9=Parametri_v3!$C$43,Parametri_v3!$C$45,IF(9=Parametri_v3!$C$44,1-Parametri_v3!$C$45,0))</f>
        <v>0</v>
      </c>
      <c r="AQ289" s="15" t="n">
        <f aca="false">MAX(0,AP289+IF(9=Parametri_v3!$C$43,MAX(0,AN289-AO289),0)-MAX(0,-(AR288)))</f>
        <v>0</v>
      </c>
      <c r="AR289" s="15" t="n">
        <f aca="false">(AR288)+X289-AQ289</f>
        <v>19030.1841824875</v>
      </c>
      <c r="AS289" s="15" t="n">
        <f aca="false">Motore_Operativo!AC289-AT289+AU289</f>
        <v>15999.572143125</v>
      </c>
      <c r="AT289" s="15" t="n">
        <f aca="false">Motore_Operativo!CI289</f>
        <v>842.082744375</v>
      </c>
      <c r="AU289" s="15" t="n">
        <f aca="false">MIN(MAX(0,(AV288)+AT289),Parametri_v3!$C$61/12)</f>
        <v>0</v>
      </c>
      <c r="AV289" s="15" t="n">
        <f aca="false">(AV288)+AT289-AU289</f>
        <v>21167.188449375</v>
      </c>
      <c r="AW289" s="15" t="n">
        <f aca="false">IF(AND(Motore_Operativo!C289=Finanziamenti!$D$7,Finanziamenti!$F$7=1),Finanziamenti!$C$7,0)</f>
        <v>0</v>
      </c>
      <c r="AX289" s="15" t="n">
        <f aca="false">0</f>
        <v>0</v>
      </c>
      <c r="AY289" s="15" t="n">
        <f aca="false">IF(9=Parametri_v3!$C$33,IF(BV289&lt;MIN(12,$B289-1),0,MIN(MAX(0,SUM(Y269:Y280))*Ipotesi!$C$94,MAX(0,(BM280)-(BO288)-BP289),MAX(0,BD289-Parametri_v3!$C$31))),0)</f>
        <v>0</v>
      </c>
      <c r="AZ289" s="15" t="n">
        <f aca="false">0</f>
        <v>0</v>
      </c>
      <c r="BA289" s="15" t="n">
        <f aca="false">0</f>
        <v>0</v>
      </c>
      <c r="BB289" s="15" t="n">
        <f aca="false">0</f>
        <v>0</v>
      </c>
      <c r="BC289" s="15" t="n">
        <f aca="false">0</f>
        <v>0</v>
      </c>
      <c r="BD289" s="15" t="n">
        <f aca="false">(BH288)+AC289-AF289-AI289-AS289-K289*(1+Parametri_v3!$C$26)-AL289-AQ289-O289+AW289+AX289+AZ289+BA289-BB289</f>
        <v>-8428.59572738989</v>
      </c>
      <c r="BE289" s="15" t="n">
        <f aca="false">0</f>
        <v>0</v>
      </c>
      <c r="BF289" s="15" t="n">
        <f aca="false">0</f>
        <v>0</v>
      </c>
      <c r="BG289" s="15" t="n">
        <f aca="false">0</f>
        <v>0</v>
      </c>
      <c r="BH289" s="15" t="n">
        <f aca="false">BD289+BE289-BF289-AY289</f>
        <v>-8428.59572738989</v>
      </c>
      <c r="BI289" s="15" t="n">
        <f aca="false">MAX(0,Parametri_v3!$C$31-BH289)</f>
        <v>18428.5957273899</v>
      </c>
      <c r="BJ289" s="15" t="n">
        <f aca="false">(BJ288)+K289</f>
        <v>19000</v>
      </c>
      <c r="BK289" s="15" t="n">
        <f aca="false">(BK288)+L289</f>
        <v>9784.72222222222</v>
      </c>
      <c r="BL289" s="15" t="n">
        <f aca="false">BJ289-BK289</f>
        <v>9215.27777777778</v>
      </c>
      <c r="BM289" s="15" t="n">
        <f aca="false">(BM288)+Y289</f>
        <v>116211.799845192</v>
      </c>
      <c r="BN289" s="15" t="n">
        <f aca="false">(BN288)+AW289+AX289+AZ289</f>
        <v>20000</v>
      </c>
      <c r="BO289" s="15" t="n">
        <f aca="false">(BO288)+AY289</f>
        <v>0</v>
      </c>
      <c r="BP289" s="15" t="n">
        <f aca="false">MIN(Parametri_v3!$C$36*Parametri_v3!$C$35,(BP288)+IF(9=1,MAX(0,SUM(Y269:Y280))*Parametri_v3!$C$34,0))</f>
        <v>2000</v>
      </c>
      <c r="BQ289" s="15" t="n">
        <f aca="false">BN289+BM289-BO289</f>
        <v>136211.799845192</v>
      </c>
      <c r="BR289" s="15" t="n">
        <f aca="false">BH289+AD289+BL289+MAX(0,-AM289)+MAX(0,-AR289)</f>
        <v>218774.452050388</v>
      </c>
      <c r="BS289" s="15" t="n">
        <f aca="false">AJ289+AV289+MAX(0,AM289)+MAX(0,AR289)+BC289+BG289+BQ289+AG289</f>
        <v>218774.452050388</v>
      </c>
      <c r="BT289" s="15" t="n">
        <f aca="false">BR289-BS289</f>
        <v>0</v>
      </c>
      <c r="BU289" s="15" t="n">
        <f aca="false">BH289-(BD289+BE289-BF289-AY289)</f>
        <v>0</v>
      </c>
      <c r="BV289" s="15" t="n">
        <f aca="false">IF(BH288&lt;Parametri_v3!$C$31,0,BV288+1)</f>
        <v>0</v>
      </c>
    </row>
    <row r="290" customFormat="false" ht="18" hidden="false" customHeight="true" outlineLevel="0" collapsed="false">
      <c r="A290" s="68" t="n">
        <f aca="false">5</f>
        <v>5</v>
      </c>
      <c r="B290" s="68" t="n">
        <f aca="false">46</f>
        <v>46</v>
      </c>
      <c r="C290" s="18" t="n">
        <f aca="false">Motore_Operativo!C290</f>
        <v>47757</v>
      </c>
      <c r="D290" s="68" t="n">
        <f aca="false">Motore_Operativo!D290</f>
        <v>2030</v>
      </c>
      <c r="E290" s="68" t="n">
        <f aca="false">Motore_Operativo!E290</f>
        <v>10</v>
      </c>
      <c r="F290" s="15" t="n">
        <f aca="false">Motore_Operativo!AM290</f>
        <v>44669.625</v>
      </c>
      <c r="G290" s="15" t="n">
        <f aca="false">Motore_Operativo!BH290</f>
        <v>4466.9625</v>
      </c>
      <c r="H290" s="15" t="n">
        <f aca="false">Motore_Operativo!AM290</f>
        <v>44669.625</v>
      </c>
      <c r="I290" s="15" t="n">
        <f aca="false">Motore_Operativo!CB290</f>
        <v>34276.2948875</v>
      </c>
      <c r="J290" s="15" t="n">
        <f aca="false">Motore_Operativo!CD290</f>
        <v>10393.3301125</v>
      </c>
      <c r="K290" s="15" t="n">
        <f aca="false">Motore_Operativo!CF290</f>
        <v>666.666666666667</v>
      </c>
      <c r="L290" s="15" t="n">
        <f aca="false">SUM(INDEX($K$245:$K$304,MAX(1,46-Parametri_v3!$C$59+1)):K290)/Parametri_v3!$C$59</f>
        <v>476.851851851852</v>
      </c>
      <c r="M290" s="15" t="n">
        <f aca="false">J290-L290</f>
        <v>9916.47826064816</v>
      </c>
      <c r="N290" s="15" t="n">
        <f aca="false">0</f>
        <v>0</v>
      </c>
      <c r="O290" s="15" t="n">
        <f aca="false">0</f>
        <v>0</v>
      </c>
      <c r="P290" s="15" t="n">
        <f aca="false">M290+N290-O290</f>
        <v>9916.47826064816</v>
      </c>
      <c r="Q290" s="15" t="n">
        <f aca="false">SUM(P281:P290)+Parametri_v3!$C$56*10/12</f>
        <v>99685.6159398149</v>
      </c>
      <c r="R290" s="15" t="n">
        <f aca="false">Z280</f>
        <v>0</v>
      </c>
      <c r="S290" s="15" t="n">
        <f aca="false">AA280</f>
        <v>0</v>
      </c>
      <c r="T290" s="15" t="n">
        <f aca="false">MIN(R290,MAX(0,Q290))</f>
        <v>0</v>
      </c>
      <c r="U290" s="15" t="n">
        <f aca="false">MIN(S290,MAX(0,Q290-T290)*Parametri_v3!$C$42)</f>
        <v>0</v>
      </c>
      <c r="V290" s="15" t="n">
        <f aca="false">MAX(0,Q290-T290-U290)*Ipotesi!$C$92</f>
        <v>23924.5478255556</v>
      </c>
      <c r="W290" s="15" t="n">
        <f aca="false">MAX(0,SUM(M281:M290)+Parametri_v3!$C$57*10/12)*Ipotesi!$C$93</f>
        <v>3887.73902165278</v>
      </c>
      <c r="X290" s="15" t="n">
        <f aca="false">V290+W290-(V289+W289)</f>
        <v>2766.69743472083</v>
      </c>
      <c r="Y290" s="15" t="n">
        <f aca="false">P290-X290</f>
        <v>7149.78082592732</v>
      </c>
      <c r="Z290" s="15" t="n">
        <f aca="false">R290-T290+IF(AND(Parametri_v3!$C$40=1,D290-YEAR(Parametri_v3!$C$50)&lt;Parametri_v3!$C$41),MAX(0,-Q290),0)</f>
        <v>0</v>
      </c>
      <c r="AA290" s="15" t="n">
        <f aca="false">S290-U290+IF(AND(Parametri_v3!$C$40=1,D290-YEAR(Parametri_v3!$C$50)&lt;Parametri_v3!$C$41),0,MAX(0,-Q290))</f>
        <v>0</v>
      </c>
      <c r="AB290" s="15" t="n">
        <f aca="false">F290*(1+Parametri_v3!$C$26)</f>
        <v>54496.9425</v>
      </c>
      <c r="AC290" s="15" t="n">
        <f aca="false">(IF(46-(INT((Motore_Operativo!L290)/30))&lt;1,0,INDEX(Motore_Advisory!$AB$245:$AB$304,MAX(1,46-(INT((Motore_Operativo!L290)/30)))))*(1-(MOD((Motore_Operativo!L290),30)/30))+IF(46-(INT((Motore_Operativo!L290)/30))-1&lt;1,0,INDEX(Motore_Advisory!$AB$245:$AB$304,MAX(1,46-(INT((Motore_Operativo!L290)/30))-1)))*(MOD((Motore_Operativo!L290),30)/30))</f>
        <v>54496.9425</v>
      </c>
      <c r="AD290" s="15" t="n">
        <f aca="false">(AD289)+AB290-AC290</f>
        <v>217987.77</v>
      </c>
      <c r="AE290" s="15" t="n">
        <f aca="false">Motore_Operativo!BH290*(1+Parametri_v3!$C$26)</f>
        <v>5449.69425</v>
      </c>
      <c r="AF290" s="15" t="n">
        <f aca="false">(IF(46-(INT((Parametri_v3!$C$29)/30))&lt;1,0,INDEX(Motore_Operativo!$BH$245:$BH$304,MAX(1,46-(INT((Parametri_v3!$C$29)/30)))))*(1-(MOD((Parametri_v3!$C$29),30)/30))+IF(46-(INT((Parametri_v3!$C$29)/30))-1&lt;1,0,INDEX(Motore_Operativo!$BH$245:$BH$304,MAX(1,46-(INT((Parametri_v3!$C$29)/30))-1)))*(MOD((Parametri_v3!$C$29),30)/30))*(1+Parametri_v3!$C$26)</f>
        <v>5449.69425</v>
      </c>
      <c r="AG290" s="15" t="n">
        <f aca="false">(AG289)+AE290-AF290</f>
        <v>5449.69425</v>
      </c>
      <c r="AH290" s="15" t="n">
        <f aca="false">(Motore_Operativo!CK290)*(1+Parametri_v3!$C$28*Parametri_v3!$C$26)</f>
        <v>15249.98874</v>
      </c>
      <c r="AI290" s="15" t="n">
        <f aca="false">(IF(46-(INT((Ipotesi!$C$91)/30))&lt;1,0,INDEX(Motore_Advisory!$AH$245:$AH$304,MAX(1,46-(INT((Ipotesi!$C$91)/30)))))*(1-(MOD((Ipotesi!$C$91),30)/30))+IF(46-(INT((Ipotesi!$C$91)/30))-1&lt;1,0,INDEX(Motore_Advisory!$AH$245:$AH$304,MAX(1,46-(INT((Ipotesi!$C$91)/30))-1)))*(MOD((Ipotesi!$C$91),30)/30))</f>
        <v>15249.98874</v>
      </c>
      <c r="AJ290" s="15" t="n">
        <f aca="false">(AJ289)+AH290-AI290</f>
        <v>30499.97748</v>
      </c>
      <c r="AK290" s="15" t="n">
        <f aca="false">(F290- Motore_Operativo!BH290-(Motore_Operativo!CK290)*Parametri_v3!$C$28-Motore_Operativo!CF290)*Parametri_v3!$C$26</f>
        <v>6415.60784333334</v>
      </c>
      <c r="AL290" s="15" t="n">
        <f aca="false">MAX(0,(AM289))</f>
        <v>6415.60784333334</v>
      </c>
      <c r="AM290" s="15" t="n">
        <f aca="false">(AM289)+AK290-AL290</f>
        <v>6415.60784333334</v>
      </c>
      <c r="AN290" s="15" t="n">
        <f aca="false">SUM(X269:X280)</f>
        <v>15038.513075</v>
      </c>
      <c r="AO290" s="15" t="n">
        <f aca="false">SUM(AP269:AP280)</f>
        <v>3321.75190704226</v>
      </c>
      <c r="AP290" s="15" t="n">
        <f aca="false">MAX(0,AN290)*IF(10=Parametri_v3!$C$43,Parametri_v3!$C$45,IF(10=Parametri_v3!$C$44,1-Parametri_v3!$C$45,0))</f>
        <v>0</v>
      </c>
      <c r="AQ290" s="15" t="n">
        <f aca="false">MAX(0,AP290+IF(10=Parametri_v3!$C$43,MAX(0,AN290-AO290),0)-MAX(0,-(AR289)))</f>
        <v>0</v>
      </c>
      <c r="AR290" s="15" t="n">
        <f aca="false">(AR289)+X290-AQ290</f>
        <v>21796.8816172084</v>
      </c>
      <c r="AS290" s="15" t="n">
        <f aca="false">Motore_Operativo!AC290-AT290+AU290</f>
        <v>15999.572143125</v>
      </c>
      <c r="AT290" s="15" t="n">
        <f aca="false">Motore_Operativo!CI290</f>
        <v>842.082744375</v>
      </c>
      <c r="AU290" s="15" t="n">
        <f aca="false">MIN(MAX(0,(AV289)+AT290),Parametri_v3!$C$61/12)</f>
        <v>0</v>
      </c>
      <c r="AV290" s="15" t="n">
        <f aca="false">(AV289)+AT290-AU290</f>
        <v>22009.27119375</v>
      </c>
      <c r="AW290" s="15" t="n">
        <f aca="false">IF(AND(Motore_Operativo!C290=Finanziamenti!$D$7,Finanziamenti!$F$7=1),Finanziamenti!$C$7,0)</f>
        <v>0</v>
      </c>
      <c r="AX290" s="15" t="n">
        <f aca="false">0</f>
        <v>0</v>
      </c>
      <c r="AY290" s="15" t="n">
        <f aca="false">IF(10=Parametri_v3!$C$33,IF(BV290&lt;MIN(12,$B290-1),0,MIN(MAX(0,SUM(Y269:Y280))*Ipotesi!$C$94,MAX(0,(BM280)-(BO289)-BP290),MAX(0,BD290-Parametri_v3!$C$31))),0)</f>
        <v>0</v>
      </c>
      <c r="AZ290" s="15" t="n">
        <f aca="false">0</f>
        <v>0</v>
      </c>
      <c r="BA290" s="15" t="n">
        <f aca="false">0</f>
        <v>0</v>
      </c>
      <c r="BB290" s="15" t="n">
        <f aca="false">0</f>
        <v>0</v>
      </c>
      <c r="BC290" s="15" t="n">
        <f aca="false">0</f>
        <v>0</v>
      </c>
      <c r="BD290" s="15" t="n">
        <f aca="false">(BH289)+AC290-AF290-AI290-AS290-K290*(1+Parametri_v3!$C$26)-AL290-AQ290-O290+AW290+AX290+AZ290+BA290-BB290</f>
        <v>2140.15046281846</v>
      </c>
      <c r="BE290" s="15" t="n">
        <f aca="false">0</f>
        <v>0</v>
      </c>
      <c r="BF290" s="15" t="n">
        <f aca="false">0</f>
        <v>0</v>
      </c>
      <c r="BG290" s="15" t="n">
        <f aca="false">0</f>
        <v>0</v>
      </c>
      <c r="BH290" s="15" t="n">
        <f aca="false">BD290+BE290-BF290-AY290</f>
        <v>2140.15046281846</v>
      </c>
      <c r="BI290" s="15" t="n">
        <f aca="false">MAX(0,Parametri_v3!$C$31-BH290)</f>
        <v>7859.84953718155</v>
      </c>
      <c r="BJ290" s="15" t="n">
        <f aca="false">(BJ289)+K290</f>
        <v>19666.6666666667</v>
      </c>
      <c r="BK290" s="15" t="n">
        <f aca="false">(BK289)+L290</f>
        <v>10261.5740740741</v>
      </c>
      <c r="BL290" s="15" t="n">
        <f aca="false">BJ290-BK290</f>
        <v>9405.09259259259</v>
      </c>
      <c r="BM290" s="15" t="n">
        <f aca="false">(BM289)+Y290</f>
        <v>123361.580671119</v>
      </c>
      <c r="BN290" s="15" t="n">
        <f aca="false">(BN289)+AW290+AX290+AZ290</f>
        <v>20000</v>
      </c>
      <c r="BO290" s="15" t="n">
        <f aca="false">(BO289)+AY290</f>
        <v>0</v>
      </c>
      <c r="BP290" s="15" t="n">
        <f aca="false">MIN(Parametri_v3!$C$36*Parametri_v3!$C$35,(BP289)+IF(10=1,MAX(0,SUM(Y269:Y280))*Parametri_v3!$C$34,0))</f>
        <v>2000</v>
      </c>
      <c r="BQ290" s="15" t="n">
        <f aca="false">BN290+BM290-BO290</f>
        <v>143361.580671119</v>
      </c>
      <c r="BR290" s="15" t="n">
        <f aca="false">BH290+AD290+BL290+MAX(0,-AM290)+MAX(0,-AR290)</f>
        <v>229533.013055411</v>
      </c>
      <c r="BS290" s="15" t="n">
        <f aca="false">AJ290+AV290+MAX(0,AM290)+MAX(0,AR290)+BC290+BG290+BQ290+AG290</f>
        <v>229533.013055411</v>
      </c>
      <c r="BT290" s="15" t="n">
        <f aca="false">BR290-BS290</f>
        <v>0</v>
      </c>
      <c r="BU290" s="15" t="n">
        <f aca="false">BH290-(BD290+BE290-BF290-AY290)</f>
        <v>0</v>
      </c>
      <c r="BV290" s="15" t="n">
        <f aca="false">IF(BH289&lt;Parametri_v3!$C$31,0,BV289+1)</f>
        <v>0</v>
      </c>
    </row>
    <row r="291" customFormat="false" ht="18" hidden="false" customHeight="true" outlineLevel="0" collapsed="false">
      <c r="A291" s="68" t="n">
        <f aca="false">5</f>
        <v>5</v>
      </c>
      <c r="B291" s="68" t="n">
        <f aca="false">47</f>
        <v>47</v>
      </c>
      <c r="C291" s="18" t="n">
        <f aca="false">Motore_Operativo!C291</f>
        <v>47788</v>
      </c>
      <c r="D291" s="68" t="n">
        <f aca="false">Motore_Operativo!D291</f>
        <v>2030</v>
      </c>
      <c r="E291" s="68" t="n">
        <f aca="false">Motore_Operativo!E291</f>
        <v>11</v>
      </c>
      <c r="F291" s="15" t="n">
        <f aca="false">Motore_Operativo!AM291</f>
        <v>44669.625</v>
      </c>
      <c r="G291" s="15" t="n">
        <f aca="false">Motore_Operativo!BH291</f>
        <v>4466.9625</v>
      </c>
      <c r="H291" s="15" t="n">
        <f aca="false">Motore_Operativo!AM291</f>
        <v>44669.625</v>
      </c>
      <c r="I291" s="15" t="n">
        <f aca="false">Motore_Operativo!CB291</f>
        <v>34276.2948875</v>
      </c>
      <c r="J291" s="15" t="n">
        <f aca="false">Motore_Operativo!CD291</f>
        <v>10393.3301125</v>
      </c>
      <c r="K291" s="15" t="n">
        <f aca="false">Motore_Operativo!CF291</f>
        <v>666.666666666667</v>
      </c>
      <c r="L291" s="15" t="n">
        <f aca="false">SUM(INDEX($K$245:$K$304,MAX(1,47-Parametri_v3!$C$59+1)):K291)/Parametri_v3!$C$59</f>
        <v>488.425925925926</v>
      </c>
      <c r="M291" s="15" t="n">
        <f aca="false">J291-L291</f>
        <v>9904.90418657408</v>
      </c>
      <c r="N291" s="15" t="n">
        <f aca="false">0</f>
        <v>0</v>
      </c>
      <c r="O291" s="15" t="n">
        <f aca="false">0</f>
        <v>0</v>
      </c>
      <c r="P291" s="15" t="n">
        <f aca="false">M291+N291-O291</f>
        <v>9904.90418657408</v>
      </c>
      <c r="Q291" s="15" t="n">
        <f aca="false">SUM(P281:P291)+Parametri_v3!$C$56*11/12</f>
        <v>109590.520126389</v>
      </c>
      <c r="R291" s="15" t="n">
        <f aca="false">Z280</f>
        <v>0</v>
      </c>
      <c r="S291" s="15" t="n">
        <f aca="false">AA280</f>
        <v>0</v>
      </c>
      <c r="T291" s="15" t="n">
        <f aca="false">MIN(R291,MAX(0,Q291))</f>
        <v>0</v>
      </c>
      <c r="U291" s="15" t="n">
        <f aca="false">MIN(S291,MAX(0,Q291-T291)*Parametri_v3!$C$42)</f>
        <v>0</v>
      </c>
      <c r="V291" s="15" t="n">
        <f aca="false">MAX(0,Q291-T291-U291)*Ipotesi!$C$92</f>
        <v>26301.7248303334</v>
      </c>
      <c r="W291" s="15" t="n">
        <f aca="false">MAX(0,SUM(M281:M291)+Parametri_v3!$C$57*11/12)*Ipotesi!$C$93</f>
        <v>4274.03028492917</v>
      </c>
      <c r="X291" s="15" t="n">
        <f aca="false">V291+W291-(V290+W290)</f>
        <v>2763.46826805417</v>
      </c>
      <c r="Y291" s="15" t="n">
        <f aca="false">P291-X291</f>
        <v>7141.43591851991</v>
      </c>
      <c r="Z291" s="15" t="n">
        <f aca="false">R291-T291+IF(AND(Parametri_v3!$C$40=1,D291-YEAR(Parametri_v3!$C$50)&lt;Parametri_v3!$C$41),MAX(0,-Q291),0)</f>
        <v>0</v>
      </c>
      <c r="AA291" s="15" t="n">
        <f aca="false">S291-U291+IF(AND(Parametri_v3!$C$40=1,D291-YEAR(Parametri_v3!$C$50)&lt;Parametri_v3!$C$41),0,MAX(0,-Q291))</f>
        <v>0</v>
      </c>
      <c r="AB291" s="15" t="n">
        <f aca="false">F291*(1+Parametri_v3!$C$26)</f>
        <v>54496.9425</v>
      </c>
      <c r="AC291" s="15" t="n">
        <f aca="false">(IF(47-(INT((Motore_Operativo!L291)/30))&lt;1,0,INDEX(Motore_Advisory!$AB$245:$AB$304,MAX(1,47-(INT((Motore_Operativo!L291)/30)))))*(1-(MOD((Motore_Operativo!L291),30)/30))+IF(47-(INT((Motore_Operativo!L291)/30))-1&lt;1,0,INDEX(Motore_Advisory!$AB$245:$AB$304,MAX(1,47-(INT((Motore_Operativo!L291)/30))-1)))*(MOD((Motore_Operativo!L291),30)/30))</f>
        <v>54496.9425</v>
      </c>
      <c r="AD291" s="15" t="n">
        <f aca="false">(AD290)+AB291-AC291</f>
        <v>217987.77</v>
      </c>
      <c r="AE291" s="15" t="n">
        <f aca="false">Motore_Operativo!BH291*(1+Parametri_v3!$C$26)</f>
        <v>5449.69425</v>
      </c>
      <c r="AF291" s="15" t="n">
        <f aca="false">(IF(47-(INT((Parametri_v3!$C$29)/30))&lt;1,0,INDEX(Motore_Operativo!$BH$245:$BH$304,MAX(1,47-(INT((Parametri_v3!$C$29)/30)))))*(1-(MOD((Parametri_v3!$C$29),30)/30))+IF(47-(INT((Parametri_v3!$C$29)/30))-1&lt;1,0,INDEX(Motore_Operativo!$BH$245:$BH$304,MAX(1,47-(INT((Parametri_v3!$C$29)/30))-1)))*(MOD((Parametri_v3!$C$29),30)/30))*(1+Parametri_v3!$C$26)</f>
        <v>5449.69425</v>
      </c>
      <c r="AG291" s="15" t="n">
        <f aca="false">(AG290)+AE291-AF291</f>
        <v>5449.69425</v>
      </c>
      <c r="AH291" s="15" t="n">
        <f aca="false">(Motore_Operativo!CK291)*(1+Parametri_v3!$C$28*Parametri_v3!$C$26)</f>
        <v>15249.98874</v>
      </c>
      <c r="AI291" s="15" t="n">
        <f aca="false">(IF(47-(INT((Ipotesi!$C$91)/30))&lt;1,0,INDEX(Motore_Advisory!$AH$245:$AH$304,MAX(1,47-(INT((Ipotesi!$C$91)/30)))))*(1-(MOD((Ipotesi!$C$91),30)/30))+IF(47-(INT((Ipotesi!$C$91)/30))-1&lt;1,0,INDEX(Motore_Advisory!$AH$245:$AH$304,MAX(1,47-(INT((Ipotesi!$C$91)/30))-1)))*(MOD((Ipotesi!$C$91),30)/30))</f>
        <v>15249.98874</v>
      </c>
      <c r="AJ291" s="15" t="n">
        <f aca="false">(AJ290)+AH291-AI291</f>
        <v>30499.97748</v>
      </c>
      <c r="AK291" s="15" t="n">
        <f aca="false">(F291- Motore_Operativo!BH291-(Motore_Operativo!CK291)*Parametri_v3!$C$28-Motore_Operativo!CF291)*Parametri_v3!$C$26</f>
        <v>6415.60784333334</v>
      </c>
      <c r="AL291" s="15" t="n">
        <f aca="false">MAX(0,(AM290))</f>
        <v>6415.60784333334</v>
      </c>
      <c r="AM291" s="15" t="n">
        <f aca="false">(AM290)+AK291-AL291</f>
        <v>6415.60784333334</v>
      </c>
      <c r="AN291" s="15" t="n">
        <f aca="false">SUM(X269:X280)</f>
        <v>15038.513075</v>
      </c>
      <c r="AO291" s="15" t="n">
        <f aca="false">SUM(AP269:AP280)</f>
        <v>3321.75190704226</v>
      </c>
      <c r="AP291" s="15" t="n">
        <f aca="false">MAX(0,AN291)*IF(11=Parametri_v3!$C$43,Parametri_v3!$C$45,IF(11=Parametri_v3!$C$44,1-Parametri_v3!$C$45,0))</f>
        <v>9023.10784499999</v>
      </c>
      <c r="AQ291" s="15" t="n">
        <f aca="false">MAX(0,AP291+IF(11=Parametri_v3!$C$43,MAX(0,AN291-AO291),0)-MAX(0,-(AR290)))</f>
        <v>9023.10784499999</v>
      </c>
      <c r="AR291" s="15" t="n">
        <f aca="false">(AR290)+X291-AQ291</f>
        <v>15537.2420402625</v>
      </c>
      <c r="AS291" s="15" t="n">
        <f aca="false">Motore_Operativo!AC291-AT291+AU291</f>
        <v>15999.572143125</v>
      </c>
      <c r="AT291" s="15" t="n">
        <f aca="false">Motore_Operativo!CI291</f>
        <v>842.082744375</v>
      </c>
      <c r="AU291" s="15" t="n">
        <f aca="false">MIN(MAX(0,(AV290)+AT291),Parametri_v3!$C$61/12)</f>
        <v>0</v>
      </c>
      <c r="AV291" s="15" t="n">
        <f aca="false">(AV290)+AT291-AU291</f>
        <v>22851.353938125</v>
      </c>
      <c r="AW291" s="15" t="n">
        <f aca="false">IF(AND(Motore_Operativo!C291=Finanziamenti!$D$7,Finanziamenti!$F$7=1),Finanziamenti!$C$7,0)</f>
        <v>0</v>
      </c>
      <c r="AX291" s="15" t="n">
        <f aca="false">0</f>
        <v>0</v>
      </c>
      <c r="AY291" s="15" t="n">
        <f aca="false">IF(11=Parametri_v3!$C$33,IF(BV291&lt;MIN(12,$B291-1),0,MIN(MAX(0,SUM(Y269:Y280))*Ipotesi!$C$94,MAX(0,(BM280)-(BO290)-BP291),MAX(0,BD291-Parametri_v3!$C$31))),0)</f>
        <v>0</v>
      </c>
      <c r="AZ291" s="15" t="n">
        <f aca="false">0</f>
        <v>0</v>
      </c>
      <c r="BA291" s="15" t="n">
        <f aca="false">0</f>
        <v>0</v>
      </c>
      <c r="BB291" s="15" t="n">
        <f aca="false">0</f>
        <v>0</v>
      </c>
      <c r="BC291" s="15" t="n">
        <f aca="false">0</f>
        <v>0</v>
      </c>
      <c r="BD291" s="15" t="n">
        <f aca="false">(BH290)+AC291-AF291-AI291-AS291-K291*(1+Parametri_v3!$C$26)-AL291-AQ291-O291+AW291+AX291+AZ291+BA291-BB291</f>
        <v>3685.78880802681</v>
      </c>
      <c r="BE291" s="15" t="n">
        <f aca="false">0</f>
        <v>0</v>
      </c>
      <c r="BF291" s="15" t="n">
        <f aca="false">0</f>
        <v>0</v>
      </c>
      <c r="BG291" s="15" t="n">
        <f aca="false">0</f>
        <v>0</v>
      </c>
      <c r="BH291" s="15" t="n">
        <f aca="false">BD291+BE291-BF291-AY291</f>
        <v>3685.78880802681</v>
      </c>
      <c r="BI291" s="15" t="n">
        <f aca="false">MAX(0,Parametri_v3!$C$31-BH291)</f>
        <v>6314.21119197319</v>
      </c>
      <c r="BJ291" s="15" t="n">
        <f aca="false">(BJ290)+K291</f>
        <v>20333.3333333333</v>
      </c>
      <c r="BK291" s="15" t="n">
        <f aca="false">(BK290)+L291</f>
        <v>10750</v>
      </c>
      <c r="BL291" s="15" t="n">
        <f aca="false">BJ291-BK291</f>
        <v>9583.33333333333</v>
      </c>
      <c r="BM291" s="15" t="n">
        <f aca="false">(BM290)+Y291</f>
        <v>130503.016589639</v>
      </c>
      <c r="BN291" s="15" t="n">
        <f aca="false">(BN290)+AW291+AX291+AZ291</f>
        <v>20000</v>
      </c>
      <c r="BO291" s="15" t="n">
        <f aca="false">(BO290)+AY291</f>
        <v>0</v>
      </c>
      <c r="BP291" s="15" t="n">
        <f aca="false">MIN(Parametri_v3!$C$36*Parametri_v3!$C$35,(BP290)+IF(11=1,MAX(0,SUM(Y269:Y280))*Parametri_v3!$C$34,0))</f>
        <v>2000</v>
      </c>
      <c r="BQ291" s="15" t="n">
        <f aca="false">BN291+BM291-BO291</f>
        <v>150503.016589639</v>
      </c>
      <c r="BR291" s="15" t="n">
        <f aca="false">BH291+AD291+BL291+MAX(0,-AM291)+MAX(0,-AR291)</f>
        <v>231256.89214136</v>
      </c>
      <c r="BS291" s="15" t="n">
        <f aca="false">AJ291+AV291+MAX(0,AM291)+MAX(0,AR291)+BC291+BG291+BQ291+AG291</f>
        <v>231256.89214136</v>
      </c>
      <c r="BT291" s="15" t="n">
        <f aca="false">BR291-BS291</f>
        <v>0</v>
      </c>
      <c r="BU291" s="15" t="n">
        <f aca="false">BH291-(BD291+BE291-BF291-AY291)</f>
        <v>0</v>
      </c>
      <c r="BV291" s="15" t="n">
        <f aca="false">IF(BH290&lt;Parametri_v3!$C$31,0,BV290+1)</f>
        <v>0</v>
      </c>
    </row>
    <row r="292" customFormat="false" ht="18" hidden="false" customHeight="true" outlineLevel="0" collapsed="false">
      <c r="A292" s="68" t="n">
        <f aca="false">5</f>
        <v>5</v>
      </c>
      <c r="B292" s="68" t="n">
        <f aca="false">48</f>
        <v>48</v>
      </c>
      <c r="C292" s="18" t="n">
        <f aca="false">Motore_Operativo!C292</f>
        <v>47818</v>
      </c>
      <c r="D292" s="68" t="n">
        <f aca="false">Motore_Operativo!D292</f>
        <v>2030</v>
      </c>
      <c r="E292" s="68" t="n">
        <f aca="false">Motore_Operativo!E292</f>
        <v>12</v>
      </c>
      <c r="F292" s="15" t="n">
        <f aca="false">Motore_Operativo!AM292</f>
        <v>44669.625</v>
      </c>
      <c r="G292" s="15" t="n">
        <f aca="false">Motore_Operativo!BH292</f>
        <v>4466.9625</v>
      </c>
      <c r="H292" s="15" t="n">
        <f aca="false">Motore_Operativo!AM292</f>
        <v>44669.625</v>
      </c>
      <c r="I292" s="15" t="n">
        <f aca="false">Motore_Operativo!CB292</f>
        <v>34276.2948875</v>
      </c>
      <c r="J292" s="15" t="n">
        <f aca="false">Motore_Operativo!CD292</f>
        <v>10393.3301125</v>
      </c>
      <c r="K292" s="15" t="n">
        <f aca="false">Motore_Operativo!CF292</f>
        <v>666.666666666667</v>
      </c>
      <c r="L292" s="15" t="n">
        <f aca="false">SUM(INDEX($K$245:$K$304,MAX(1,48-Parametri_v3!$C$59+1)):K292)/Parametri_v3!$C$59</f>
        <v>500</v>
      </c>
      <c r="M292" s="15" t="n">
        <f aca="false">J292-L292</f>
        <v>9893.33011250001</v>
      </c>
      <c r="N292" s="15" t="n">
        <f aca="false">0</f>
        <v>0</v>
      </c>
      <c r="O292" s="15" t="n">
        <f aca="false">0</f>
        <v>0</v>
      </c>
      <c r="P292" s="15" t="n">
        <f aca="false">M292+N292-O292</f>
        <v>9893.33011250001</v>
      </c>
      <c r="Q292" s="15" t="n">
        <f aca="false">SUM(P281:P292)+Parametri_v3!$C$56*12/12</f>
        <v>119483.850238889</v>
      </c>
      <c r="R292" s="15" t="n">
        <f aca="false">Z280</f>
        <v>0</v>
      </c>
      <c r="S292" s="15" t="n">
        <f aca="false">AA280</f>
        <v>0</v>
      </c>
      <c r="T292" s="15" t="n">
        <f aca="false">MIN(R292,MAX(0,Q292))</f>
        <v>0</v>
      </c>
      <c r="U292" s="15" t="n">
        <f aca="false">MIN(S292,MAX(0,Q292-T292)*Parametri_v3!$C$42)</f>
        <v>0</v>
      </c>
      <c r="V292" s="15" t="n">
        <f aca="false">MAX(0,Q292-T292-U292)*Ipotesi!$C$92</f>
        <v>28676.1240573334</v>
      </c>
      <c r="W292" s="15" t="n">
        <f aca="false">MAX(0,SUM(M281:M292)+Parametri_v3!$C$57*12/12)*Ipotesi!$C$93</f>
        <v>4659.87015931667</v>
      </c>
      <c r="X292" s="15" t="n">
        <f aca="false">V292+W292-(V291+W291)</f>
        <v>2760.2391013875</v>
      </c>
      <c r="Y292" s="15" t="n">
        <f aca="false">P292-X292</f>
        <v>7133.09101111251</v>
      </c>
      <c r="Z292" s="15" t="n">
        <f aca="false">R292-T292+IF(AND(Parametri_v3!$C$40=1,D292-YEAR(Parametri_v3!$C$50)&lt;Parametri_v3!$C$41),MAX(0,-Q292),0)</f>
        <v>0</v>
      </c>
      <c r="AA292" s="15" t="n">
        <f aca="false">S292-U292+IF(AND(Parametri_v3!$C$40=1,D292-YEAR(Parametri_v3!$C$50)&lt;Parametri_v3!$C$41),0,MAX(0,-Q292))</f>
        <v>0</v>
      </c>
      <c r="AB292" s="15" t="n">
        <f aca="false">F292*(1+Parametri_v3!$C$26)</f>
        <v>54496.9425</v>
      </c>
      <c r="AC292" s="15" t="n">
        <f aca="false">(IF(48-(INT((Motore_Operativo!L292)/30))&lt;1,0,INDEX(Motore_Advisory!$AB$245:$AB$304,MAX(1,48-(INT((Motore_Operativo!L292)/30)))))*(1-(MOD((Motore_Operativo!L292),30)/30))+IF(48-(INT((Motore_Operativo!L292)/30))-1&lt;1,0,INDEX(Motore_Advisory!$AB$245:$AB$304,MAX(1,48-(INT((Motore_Operativo!L292)/30))-1)))*(MOD((Motore_Operativo!L292),30)/30))</f>
        <v>54496.9425</v>
      </c>
      <c r="AD292" s="15" t="n">
        <f aca="false">(AD291)+AB292-AC292</f>
        <v>217987.77</v>
      </c>
      <c r="AE292" s="15" t="n">
        <f aca="false">Motore_Operativo!BH292*(1+Parametri_v3!$C$26)</f>
        <v>5449.69425</v>
      </c>
      <c r="AF292" s="15" t="n">
        <f aca="false">(IF(48-(INT((Parametri_v3!$C$29)/30))&lt;1,0,INDEX(Motore_Operativo!$BH$245:$BH$304,MAX(1,48-(INT((Parametri_v3!$C$29)/30)))))*(1-(MOD((Parametri_v3!$C$29),30)/30))+IF(48-(INT((Parametri_v3!$C$29)/30))-1&lt;1,0,INDEX(Motore_Operativo!$BH$245:$BH$304,MAX(1,48-(INT((Parametri_v3!$C$29)/30))-1)))*(MOD((Parametri_v3!$C$29),30)/30))*(1+Parametri_v3!$C$26)</f>
        <v>5449.69425</v>
      </c>
      <c r="AG292" s="15" t="n">
        <f aca="false">(AG291)+AE292-AF292</f>
        <v>5449.69425</v>
      </c>
      <c r="AH292" s="15" t="n">
        <f aca="false">(Motore_Operativo!CK292)*(1+Parametri_v3!$C$28*Parametri_v3!$C$26)</f>
        <v>15249.98874</v>
      </c>
      <c r="AI292" s="15" t="n">
        <f aca="false">(IF(48-(INT((Ipotesi!$C$91)/30))&lt;1,0,INDEX(Motore_Advisory!$AH$245:$AH$304,MAX(1,48-(INT((Ipotesi!$C$91)/30)))))*(1-(MOD((Ipotesi!$C$91),30)/30))+IF(48-(INT((Ipotesi!$C$91)/30))-1&lt;1,0,INDEX(Motore_Advisory!$AH$245:$AH$304,MAX(1,48-(INT((Ipotesi!$C$91)/30))-1)))*(MOD((Ipotesi!$C$91),30)/30))</f>
        <v>15249.98874</v>
      </c>
      <c r="AJ292" s="15" t="n">
        <f aca="false">(AJ291)+AH292-AI292</f>
        <v>30499.97748</v>
      </c>
      <c r="AK292" s="15" t="n">
        <f aca="false">(F292- Motore_Operativo!BH292-(Motore_Operativo!CK292)*Parametri_v3!$C$28-Motore_Operativo!CF292)*Parametri_v3!$C$26</f>
        <v>6415.60784333334</v>
      </c>
      <c r="AL292" s="15" t="n">
        <f aca="false">MAX(0,(AM291))</f>
        <v>6415.60784333334</v>
      </c>
      <c r="AM292" s="15" t="n">
        <f aca="false">(AM291)+AK292-AL292</f>
        <v>6415.60784333334</v>
      </c>
      <c r="AN292" s="15" t="n">
        <f aca="false">SUM(X269:X280)</f>
        <v>15038.513075</v>
      </c>
      <c r="AO292" s="15" t="n">
        <f aca="false">SUM(AP269:AP280)</f>
        <v>3321.75190704226</v>
      </c>
      <c r="AP292" s="15" t="n">
        <f aca="false">MAX(0,AN292)*IF(12=Parametri_v3!$C$43,Parametri_v3!$C$45,IF(12=Parametri_v3!$C$44,1-Parametri_v3!$C$45,0))</f>
        <v>0</v>
      </c>
      <c r="AQ292" s="15" t="n">
        <f aca="false">MAX(0,AP292+IF(12=Parametri_v3!$C$43,MAX(0,AN292-AO292),0)-MAX(0,-(AR291)))</f>
        <v>0</v>
      </c>
      <c r="AR292" s="15" t="n">
        <f aca="false">(AR291)+X292-AQ292</f>
        <v>18297.48114165</v>
      </c>
      <c r="AS292" s="15" t="n">
        <f aca="false">Motore_Operativo!AC292-AT292+AU292</f>
        <v>15999.572143125</v>
      </c>
      <c r="AT292" s="15" t="n">
        <f aca="false">Motore_Operativo!CI292</f>
        <v>842.082744375</v>
      </c>
      <c r="AU292" s="15" t="n">
        <f aca="false">MIN(MAX(0,(AV291)+AT292),Parametri_v3!$C$61/12)</f>
        <v>0</v>
      </c>
      <c r="AV292" s="15" t="n">
        <f aca="false">(AV291)+AT292-AU292</f>
        <v>23693.4366825</v>
      </c>
      <c r="AW292" s="15" t="n">
        <f aca="false">IF(AND(Motore_Operativo!C292=Finanziamenti!$D$7,Finanziamenti!$F$7=1),Finanziamenti!$C$7,0)</f>
        <v>0</v>
      </c>
      <c r="AX292" s="15" t="n">
        <f aca="false">0</f>
        <v>0</v>
      </c>
      <c r="AY292" s="15" t="n">
        <f aca="false">IF(12=Parametri_v3!$C$33,IF(BV292&lt;MIN(12,$B292-1),0,MIN(MAX(0,SUM(Y269:Y280))*Ipotesi!$C$94,MAX(0,(BM280)-(BO291)-BP292),MAX(0,BD292-Parametri_v3!$C$31))),0)</f>
        <v>0</v>
      </c>
      <c r="AZ292" s="15" t="n">
        <f aca="false">0</f>
        <v>0</v>
      </c>
      <c r="BA292" s="15" t="n">
        <f aca="false">0</f>
        <v>0</v>
      </c>
      <c r="BB292" s="15" t="n">
        <f aca="false">0</f>
        <v>0</v>
      </c>
      <c r="BC292" s="15" t="n">
        <f aca="false">0</f>
        <v>0</v>
      </c>
      <c r="BD292" s="15" t="n">
        <f aca="false">(BH291)+AC292-AF292-AI292-AS292-K292*(1+Parametri_v3!$C$26)-AL292-AQ292-O292+AW292+AX292+AZ292+BA292-BB292</f>
        <v>14254.5349982352</v>
      </c>
      <c r="BE292" s="15" t="n">
        <f aca="false">0</f>
        <v>0</v>
      </c>
      <c r="BF292" s="15" t="n">
        <f aca="false">0</f>
        <v>0</v>
      </c>
      <c r="BG292" s="15" t="n">
        <f aca="false">0</f>
        <v>0</v>
      </c>
      <c r="BH292" s="15" t="n">
        <f aca="false">BD292+BE292-BF292-AY292</f>
        <v>14254.5349982352</v>
      </c>
      <c r="BI292" s="15" t="n">
        <f aca="false">MAX(0,Parametri_v3!$C$31-BH292)</f>
        <v>0</v>
      </c>
      <c r="BJ292" s="15" t="n">
        <f aca="false">(BJ291)+K292</f>
        <v>21000</v>
      </c>
      <c r="BK292" s="15" t="n">
        <f aca="false">(BK291)+L292</f>
        <v>11250</v>
      </c>
      <c r="BL292" s="15" t="n">
        <f aca="false">BJ292-BK292</f>
        <v>9750</v>
      </c>
      <c r="BM292" s="15" t="n">
        <f aca="false">(BM291)+Y292</f>
        <v>137636.107600752</v>
      </c>
      <c r="BN292" s="15" t="n">
        <f aca="false">(BN291)+AW292+AX292+AZ292</f>
        <v>20000</v>
      </c>
      <c r="BO292" s="15" t="n">
        <f aca="false">(BO291)+AY292</f>
        <v>0</v>
      </c>
      <c r="BP292" s="15" t="n">
        <f aca="false">MIN(Parametri_v3!$C$36*Parametri_v3!$C$35,(BP291)+IF(12=1,MAX(0,SUM(Y269:Y280))*Parametri_v3!$C$34,0))</f>
        <v>2000</v>
      </c>
      <c r="BQ292" s="15" t="n">
        <f aca="false">BN292+BM292-BO292</f>
        <v>157636.107600752</v>
      </c>
      <c r="BR292" s="15" t="n">
        <f aca="false">BH292+AD292+BL292+MAX(0,-AM292)+MAX(0,-AR292)</f>
        <v>241992.304998235</v>
      </c>
      <c r="BS292" s="15" t="n">
        <f aca="false">AJ292+AV292+MAX(0,AM292)+MAX(0,AR292)+BC292+BG292+BQ292+AG292</f>
        <v>241992.304998235</v>
      </c>
      <c r="BT292" s="15" t="n">
        <f aca="false">BR292-BS292</f>
        <v>0</v>
      </c>
      <c r="BU292" s="15" t="n">
        <f aca="false">BH292-(BD292+BE292-BF292-AY292)</f>
        <v>0</v>
      </c>
      <c r="BV292" s="15" t="n">
        <f aca="false">IF(BH291&lt;Parametri_v3!$C$31,0,BV291+1)</f>
        <v>0</v>
      </c>
    </row>
    <row r="293" customFormat="false" ht="18" hidden="false" customHeight="true" outlineLevel="0" collapsed="false">
      <c r="A293" s="68" t="n">
        <f aca="false">5</f>
        <v>5</v>
      </c>
      <c r="B293" s="68" t="n">
        <f aca="false">49</f>
        <v>49</v>
      </c>
      <c r="C293" s="18" t="n">
        <f aca="false">Motore_Operativo!C293</f>
        <v>47849</v>
      </c>
      <c r="D293" s="68" t="n">
        <f aca="false">Motore_Operativo!D293</f>
        <v>2031</v>
      </c>
      <c r="E293" s="68" t="n">
        <f aca="false">Motore_Operativo!E293</f>
        <v>1</v>
      </c>
      <c r="F293" s="15" t="n">
        <f aca="false">Motore_Operativo!AM293</f>
        <v>57399.375</v>
      </c>
      <c r="G293" s="15" t="n">
        <f aca="false">Motore_Operativo!BH293</f>
        <v>5739.9375</v>
      </c>
      <c r="H293" s="15" t="n">
        <f aca="false">Motore_Operativo!AM293</f>
        <v>57399.375</v>
      </c>
      <c r="I293" s="15" t="n">
        <f aca="false">Motore_Operativo!CB293</f>
        <v>43175.173557</v>
      </c>
      <c r="J293" s="15" t="n">
        <f aca="false">Motore_Operativo!CD293</f>
        <v>14224.201443</v>
      </c>
      <c r="K293" s="15" t="n">
        <f aca="false">Motore_Operativo!CF293</f>
        <v>666.666666666667</v>
      </c>
      <c r="L293" s="15" t="n">
        <f aca="false">SUM(INDEX($K$245:$K$304,MAX(1,49-Parametri_v3!$C$59+1)):K293)/Parametri_v3!$C$59</f>
        <v>506.944444444444</v>
      </c>
      <c r="M293" s="15" t="n">
        <f aca="false">J293-L293</f>
        <v>13717.2569985556</v>
      </c>
      <c r="N293" s="15" t="n">
        <f aca="false">0</f>
        <v>0</v>
      </c>
      <c r="O293" s="15" t="n">
        <f aca="false">0</f>
        <v>0</v>
      </c>
      <c r="P293" s="15" t="n">
        <f aca="false">M293+N293-O293</f>
        <v>13717.2569985556</v>
      </c>
      <c r="Q293" s="15" t="n">
        <f aca="false">SUM(P293)+Parametri_v3!$C$56*1/12</f>
        <v>13717.2569985556</v>
      </c>
      <c r="R293" s="15" t="n">
        <f aca="false">Z292</f>
        <v>0</v>
      </c>
      <c r="S293" s="15" t="n">
        <f aca="false">AA292</f>
        <v>0</v>
      </c>
      <c r="T293" s="15" t="n">
        <f aca="false">MIN(R293,MAX(0,Q293))</f>
        <v>0</v>
      </c>
      <c r="U293" s="15" t="n">
        <f aca="false">MIN(S293,MAX(0,Q293-T293)*Parametri_v3!$C$42)</f>
        <v>0</v>
      </c>
      <c r="V293" s="15" t="n">
        <f aca="false">MAX(0,Q293-T293-U293)*Ipotesi!$C$92</f>
        <v>3292.14167965333</v>
      </c>
      <c r="W293" s="15" t="n">
        <f aca="false">MAX(0,SUM(M293)+Parametri_v3!$C$57*1/12)*Ipotesi!$C$93</f>
        <v>534.973022943667</v>
      </c>
      <c r="X293" s="15" t="n">
        <f aca="false">V293+W293-(0)</f>
        <v>3827.114702597</v>
      </c>
      <c r="Y293" s="15" t="n">
        <f aca="false">P293-X293</f>
        <v>9890.14229595856</v>
      </c>
      <c r="Z293" s="15" t="n">
        <f aca="false">R293-T293+IF(AND(Parametri_v3!$C$40=1,D293-YEAR(Parametri_v3!$C$50)&lt;Parametri_v3!$C$41),MAX(0,-Q293),0)</f>
        <v>0</v>
      </c>
      <c r="AA293" s="15" t="n">
        <f aca="false">S293-U293+IF(AND(Parametri_v3!$C$40=1,D293-YEAR(Parametri_v3!$C$50)&lt;Parametri_v3!$C$41),0,MAX(0,-Q293))</f>
        <v>0</v>
      </c>
      <c r="AB293" s="15" t="n">
        <f aca="false">F293*(1+Parametri_v3!$C$26)</f>
        <v>70027.2375</v>
      </c>
      <c r="AC293" s="15" t="n">
        <f aca="false">(IF(49-(INT((Motore_Operativo!L293)/30))&lt;1,0,INDEX(Motore_Advisory!$AB$245:$AB$304,MAX(1,49-(INT((Motore_Operativo!L293)/30)))))*(1-(MOD((Motore_Operativo!L293),30)/30))+IF(49-(INT((Motore_Operativo!L293)/30))-1&lt;1,0,INDEX(Motore_Advisory!$AB$245:$AB$304,MAX(1,49-(INT((Motore_Operativo!L293)/30))-1)))*(MOD((Motore_Operativo!L293),30)/30))</f>
        <v>54496.9425</v>
      </c>
      <c r="AD293" s="15" t="n">
        <f aca="false">(AD292)+AB293-AC293</f>
        <v>233518.065</v>
      </c>
      <c r="AE293" s="15" t="n">
        <f aca="false">Motore_Operativo!BH293*(1+Parametri_v3!$C$26)</f>
        <v>7002.72375</v>
      </c>
      <c r="AF293" s="15" t="n">
        <f aca="false">(IF(49-(INT((Parametri_v3!$C$29)/30))&lt;1,0,INDEX(Motore_Operativo!$BH$245:$BH$304,MAX(1,49-(INT((Parametri_v3!$C$29)/30)))))*(1-(MOD((Parametri_v3!$C$29),30)/30))+IF(49-(INT((Parametri_v3!$C$29)/30))-1&lt;1,0,INDEX(Motore_Operativo!$BH$245:$BH$304,MAX(1,49-(INT((Parametri_v3!$C$29)/30))-1)))*(MOD((Parametri_v3!$C$29),30)/30))*(1+Parametri_v3!$C$26)</f>
        <v>5449.69425</v>
      </c>
      <c r="AG293" s="15" t="n">
        <f aca="false">(AG292)+AE293-AF293</f>
        <v>7002.72375</v>
      </c>
      <c r="AH293" s="15" t="n">
        <f aca="false">(Motore_Operativo!CK293)*(1+Parametri_v3!$C$28*Parametri_v3!$C$26)</f>
        <v>17948.9499</v>
      </c>
      <c r="AI293" s="15" t="n">
        <f aca="false">(IF(49-(INT((Ipotesi!$C$91)/30))&lt;1,0,INDEX(Motore_Advisory!$AH$245:$AH$304,MAX(1,49-(INT((Ipotesi!$C$91)/30)))))*(1-(MOD((Ipotesi!$C$91),30)/30))+IF(49-(INT((Ipotesi!$C$91)/30))-1&lt;1,0,INDEX(Motore_Advisory!$AH$245:$AH$304,MAX(1,49-(INT((Ipotesi!$C$91)/30))-1)))*(MOD((Ipotesi!$C$91),30)/30))</f>
        <v>15249.98874</v>
      </c>
      <c r="AJ293" s="15" t="n">
        <f aca="false">(AJ292)+AH293-AI293</f>
        <v>33198.93864</v>
      </c>
      <c r="AK293" s="15" t="n">
        <f aca="false">(F293- Motore_Operativo!BH293-(Motore_Operativo!CK293)*Parametri_v3!$C$28-Motore_Operativo!CF293)*Parametri_v3!$C$26</f>
        <v>8532.17218333334</v>
      </c>
      <c r="AL293" s="15" t="n">
        <f aca="false">MAX(0,(AM292))</f>
        <v>6415.60784333334</v>
      </c>
      <c r="AM293" s="15" t="n">
        <f aca="false">(AM292)+AK293-AL293</f>
        <v>8532.17218333334</v>
      </c>
      <c r="AN293" s="15" t="n">
        <f aca="false">SUM(X281:X292)</f>
        <v>33335.99421665</v>
      </c>
      <c r="AO293" s="15" t="n">
        <f aca="false">SUM(AP281:AP292)</f>
        <v>15038.513075</v>
      </c>
      <c r="AP293" s="15" t="n">
        <f aca="false">MAX(0,AN293)*IF(1=Parametri_v3!$C$43,Parametri_v3!$C$45,IF(1=Parametri_v3!$C$44,1-Parametri_v3!$C$45,0))</f>
        <v>0</v>
      </c>
      <c r="AQ293" s="15" t="n">
        <f aca="false">MAX(0,AP293+IF(1=Parametri_v3!$C$43,MAX(0,AN293-AO293),0)-MAX(0,-(AR292)))</f>
        <v>0</v>
      </c>
      <c r="AR293" s="15" t="n">
        <f aca="false">(AR292)+X293-AQ293</f>
        <v>22124.595844247</v>
      </c>
      <c r="AS293" s="15" t="n">
        <f aca="false">Motore_Operativo!AC293-AT293+AU293</f>
        <v>21063.89737915</v>
      </c>
      <c r="AT293" s="15" t="n">
        <f aca="false">Motore_Operativo!CI293</f>
        <v>1108.62617785</v>
      </c>
      <c r="AU293" s="15" t="n">
        <f aca="false">MIN(MAX(0,(AV292)+AT293),Parametri_v3!$C$61/12)</f>
        <v>0</v>
      </c>
      <c r="AV293" s="15" t="n">
        <f aca="false">(AV292)+AT293-AU293</f>
        <v>24802.06286035</v>
      </c>
      <c r="AW293" s="15" t="n">
        <f aca="false">IF(AND(Motore_Operativo!C293=Finanziamenti!$D$7,Finanziamenti!$F$7=1),Finanziamenti!$C$7,0)</f>
        <v>0</v>
      </c>
      <c r="AX293" s="15" t="n">
        <f aca="false">0</f>
        <v>0</v>
      </c>
      <c r="AY293" s="15" t="n">
        <f aca="false">IF(1=Parametri_v3!$C$33,IF(BV293&lt;MIN(12,$B293-1),0,MIN(MAX(0,SUM(Y281:Y292))*Ipotesi!$C$94,MAX(0,(BM292)-(BO292)-BP293),MAX(0,BD293-Parametri_v3!$C$31))),0)</f>
        <v>0</v>
      </c>
      <c r="AZ293" s="15" t="n">
        <f aca="false">0</f>
        <v>0</v>
      </c>
      <c r="BA293" s="15" t="n">
        <f aca="false">0</f>
        <v>0</v>
      </c>
      <c r="BB293" s="15" t="n">
        <f aca="false">0</f>
        <v>0</v>
      </c>
      <c r="BC293" s="15" t="n">
        <f aca="false">0</f>
        <v>0</v>
      </c>
      <c r="BD293" s="15" t="n">
        <f aca="false">(BH292)+AC293-AF293-AI293-AS293-K293*(1+Parametri_v3!$C$26)-AL293-AQ293-O293+AW293+AX293+AZ293+BA293-BB293</f>
        <v>19758.9559524185</v>
      </c>
      <c r="BE293" s="15" t="n">
        <f aca="false">0</f>
        <v>0</v>
      </c>
      <c r="BF293" s="15" t="n">
        <f aca="false">0</f>
        <v>0</v>
      </c>
      <c r="BG293" s="15" t="n">
        <f aca="false">0</f>
        <v>0</v>
      </c>
      <c r="BH293" s="15" t="n">
        <f aca="false">BD293+BE293-BF293-AY293</f>
        <v>19758.9559524185</v>
      </c>
      <c r="BI293" s="15" t="n">
        <f aca="false">MAX(0,Parametri_v3!$C$31-BH293)</f>
        <v>0</v>
      </c>
      <c r="BJ293" s="15" t="n">
        <f aca="false">(BJ292)+K293</f>
        <v>21666.6666666667</v>
      </c>
      <c r="BK293" s="15" t="n">
        <f aca="false">(BK292)+L293</f>
        <v>11756.9444444444</v>
      </c>
      <c r="BL293" s="15" t="n">
        <f aca="false">BJ293-BK293</f>
        <v>9909.72222222222</v>
      </c>
      <c r="BM293" s="15" t="n">
        <f aca="false">(BM292)+Y293</f>
        <v>147526.24989671</v>
      </c>
      <c r="BN293" s="15" t="n">
        <f aca="false">(BN292)+AW293+AX293+AZ293</f>
        <v>20000</v>
      </c>
      <c r="BO293" s="15" t="n">
        <f aca="false">(BO292)+AY293</f>
        <v>0</v>
      </c>
      <c r="BP293" s="15" t="n">
        <f aca="false">MIN(Parametri_v3!$C$36*Parametri_v3!$C$35,(BP292)+IF(1=1,MAX(0,SUM(Y281:Y292))*Parametri_v3!$C$34,0))</f>
        <v>2000</v>
      </c>
      <c r="BQ293" s="15" t="n">
        <f aca="false">BN293+BM293-BO293</f>
        <v>167526.24989671</v>
      </c>
      <c r="BR293" s="15" t="n">
        <f aca="false">BH293+AD293+BL293+MAX(0,-AM293)+MAX(0,-AR293)</f>
        <v>263186.743174641</v>
      </c>
      <c r="BS293" s="15" t="n">
        <f aca="false">AJ293+AV293+MAX(0,AM293)+MAX(0,AR293)+BC293+BG293+BQ293+AG293</f>
        <v>263186.743174641</v>
      </c>
      <c r="BT293" s="15" t="n">
        <f aca="false">BR293-BS293</f>
        <v>0</v>
      </c>
      <c r="BU293" s="15" t="n">
        <f aca="false">BH293-(BD293+BE293-BF293-AY293)</f>
        <v>0</v>
      </c>
      <c r="BV293" s="15" t="n">
        <f aca="false">IF(BH292&lt;Parametri_v3!$C$31,0,BV292+1)</f>
        <v>1</v>
      </c>
    </row>
    <row r="294" customFormat="false" ht="18" hidden="false" customHeight="true" outlineLevel="0" collapsed="false">
      <c r="A294" s="68" t="n">
        <f aca="false">5</f>
        <v>5</v>
      </c>
      <c r="B294" s="68" t="n">
        <f aca="false">50</f>
        <v>50</v>
      </c>
      <c r="C294" s="18" t="n">
        <f aca="false">Motore_Operativo!C294</f>
        <v>47880</v>
      </c>
      <c r="D294" s="68" t="n">
        <f aca="false">Motore_Operativo!D294</f>
        <v>2031</v>
      </c>
      <c r="E294" s="68" t="n">
        <f aca="false">Motore_Operativo!E294</f>
        <v>2</v>
      </c>
      <c r="F294" s="15" t="n">
        <f aca="false">Motore_Operativo!AM294</f>
        <v>57399.375</v>
      </c>
      <c r="G294" s="15" t="n">
        <f aca="false">Motore_Operativo!BH294</f>
        <v>5739.9375</v>
      </c>
      <c r="H294" s="15" t="n">
        <f aca="false">Motore_Operativo!AM294</f>
        <v>57399.375</v>
      </c>
      <c r="I294" s="15" t="n">
        <f aca="false">Motore_Operativo!CB294</f>
        <v>43175.173557</v>
      </c>
      <c r="J294" s="15" t="n">
        <f aca="false">Motore_Operativo!CD294</f>
        <v>14224.201443</v>
      </c>
      <c r="K294" s="15" t="n">
        <f aca="false">Motore_Operativo!CF294</f>
        <v>666.666666666667</v>
      </c>
      <c r="L294" s="15" t="n">
        <f aca="false">SUM(INDEX($K$245:$K$304,MAX(1,50-Parametri_v3!$C$59+1)):K294)/Parametri_v3!$C$59</f>
        <v>513.888888888889</v>
      </c>
      <c r="M294" s="15" t="n">
        <f aca="false">J294-L294</f>
        <v>13710.3125541111</v>
      </c>
      <c r="N294" s="15" t="n">
        <f aca="false">0</f>
        <v>0</v>
      </c>
      <c r="O294" s="15" t="n">
        <f aca="false">0</f>
        <v>0</v>
      </c>
      <c r="P294" s="15" t="n">
        <f aca="false">M294+N294-O294</f>
        <v>13710.3125541111</v>
      </c>
      <c r="Q294" s="15" t="n">
        <f aca="false">SUM(P293:P294)+Parametri_v3!$C$56*2/12</f>
        <v>27427.5695526667</v>
      </c>
      <c r="R294" s="15" t="n">
        <f aca="false">Z292</f>
        <v>0</v>
      </c>
      <c r="S294" s="15" t="n">
        <f aca="false">AA292</f>
        <v>0</v>
      </c>
      <c r="T294" s="15" t="n">
        <f aca="false">MIN(R294,MAX(0,Q294))</f>
        <v>0</v>
      </c>
      <c r="U294" s="15" t="n">
        <f aca="false">MIN(S294,MAX(0,Q294-T294)*Parametri_v3!$C$42)</f>
        <v>0</v>
      </c>
      <c r="V294" s="15" t="n">
        <f aca="false">MAX(0,Q294-T294-U294)*Ipotesi!$C$92</f>
        <v>6582.61669264</v>
      </c>
      <c r="W294" s="15" t="n">
        <f aca="false">MAX(0,SUM(M293:M294)+Parametri_v3!$C$57*2/12)*Ipotesi!$C$93</f>
        <v>1069.675212554</v>
      </c>
      <c r="X294" s="15" t="n">
        <f aca="false">V294+W294-(V293+W293)</f>
        <v>3825.177202597</v>
      </c>
      <c r="Y294" s="15" t="n">
        <f aca="false">P294-X294</f>
        <v>9885.13535151412</v>
      </c>
      <c r="Z294" s="15" t="n">
        <f aca="false">R294-T294+IF(AND(Parametri_v3!$C$40=1,D294-YEAR(Parametri_v3!$C$50)&lt;Parametri_v3!$C$41),MAX(0,-Q294),0)</f>
        <v>0</v>
      </c>
      <c r="AA294" s="15" t="n">
        <f aca="false">S294-U294+IF(AND(Parametri_v3!$C$40=1,D294-YEAR(Parametri_v3!$C$50)&lt;Parametri_v3!$C$41),0,MAX(0,-Q294))</f>
        <v>0</v>
      </c>
      <c r="AB294" s="15" t="n">
        <f aca="false">F294*(1+Parametri_v3!$C$26)</f>
        <v>70027.2375</v>
      </c>
      <c r="AC294" s="15" t="n">
        <f aca="false">(IF(50-(INT((Motore_Operativo!L294)/30))&lt;1,0,INDEX(Motore_Advisory!$AB$245:$AB$304,MAX(1,50-(INT((Motore_Operativo!L294)/30)))))*(1-(MOD((Motore_Operativo!L294),30)/30))+IF(50-(INT((Motore_Operativo!L294)/30))-1&lt;1,0,INDEX(Motore_Advisory!$AB$245:$AB$304,MAX(1,50-(INT((Motore_Operativo!L294)/30))-1)))*(MOD((Motore_Operativo!L294),30)/30))</f>
        <v>54496.9425</v>
      </c>
      <c r="AD294" s="15" t="n">
        <f aca="false">(AD293)+AB294-AC294</f>
        <v>249048.36</v>
      </c>
      <c r="AE294" s="15" t="n">
        <f aca="false">Motore_Operativo!BH294*(1+Parametri_v3!$C$26)</f>
        <v>7002.72375</v>
      </c>
      <c r="AF294" s="15" t="n">
        <f aca="false">(IF(50-(INT((Parametri_v3!$C$29)/30))&lt;1,0,INDEX(Motore_Operativo!$BH$245:$BH$304,MAX(1,50-(INT((Parametri_v3!$C$29)/30)))))*(1-(MOD((Parametri_v3!$C$29),30)/30))+IF(50-(INT((Parametri_v3!$C$29)/30))-1&lt;1,0,INDEX(Motore_Operativo!$BH$245:$BH$304,MAX(1,50-(INT((Parametri_v3!$C$29)/30))-1)))*(MOD((Parametri_v3!$C$29),30)/30))*(1+Parametri_v3!$C$26)</f>
        <v>7002.72375</v>
      </c>
      <c r="AG294" s="15" t="n">
        <f aca="false">(AG293)+AE294-AF294</f>
        <v>7002.72375000001</v>
      </c>
      <c r="AH294" s="15" t="n">
        <f aca="false">(Motore_Operativo!CK294)*(1+Parametri_v3!$C$28*Parametri_v3!$C$26)</f>
        <v>17948.9499</v>
      </c>
      <c r="AI294" s="15" t="n">
        <f aca="false">(IF(50-(INT((Ipotesi!$C$91)/30))&lt;1,0,INDEX(Motore_Advisory!$AH$245:$AH$304,MAX(1,50-(INT((Ipotesi!$C$91)/30)))))*(1-(MOD((Ipotesi!$C$91),30)/30))+IF(50-(INT((Ipotesi!$C$91)/30))-1&lt;1,0,INDEX(Motore_Advisory!$AH$245:$AH$304,MAX(1,50-(INT((Ipotesi!$C$91)/30))-1)))*(MOD((Ipotesi!$C$91),30)/30))</f>
        <v>15249.98874</v>
      </c>
      <c r="AJ294" s="15" t="n">
        <f aca="false">(AJ293)+AH294-AI294</f>
        <v>35897.8998</v>
      </c>
      <c r="AK294" s="15" t="n">
        <f aca="false">(F294- Motore_Operativo!BH294-(Motore_Operativo!CK294)*Parametri_v3!$C$28-Motore_Operativo!CF294)*Parametri_v3!$C$26</f>
        <v>8532.17218333334</v>
      </c>
      <c r="AL294" s="15" t="n">
        <f aca="false">MAX(0,(AM293))</f>
        <v>8532.17218333334</v>
      </c>
      <c r="AM294" s="15" t="n">
        <f aca="false">(AM293)+AK294-AL294</f>
        <v>8532.17218333334</v>
      </c>
      <c r="AN294" s="15" t="n">
        <f aca="false">SUM(X281:X292)</f>
        <v>33335.99421665</v>
      </c>
      <c r="AO294" s="15" t="n">
        <f aca="false">SUM(AP281:AP292)</f>
        <v>15038.513075</v>
      </c>
      <c r="AP294" s="15" t="n">
        <f aca="false">MAX(0,AN294)*IF(2=Parametri_v3!$C$43,Parametri_v3!$C$45,IF(2=Parametri_v3!$C$44,1-Parametri_v3!$C$45,0))</f>
        <v>0</v>
      </c>
      <c r="AQ294" s="15" t="n">
        <f aca="false">MAX(0,AP294+IF(2=Parametri_v3!$C$43,MAX(0,AN294-AO294),0)-MAX(0,-(AR293)))</f>
        <v>0</v>
      </c>
      <c r="AR294" s="15" t="n">
        <f aca="false">(AR293)+X294-AQ294</f>
        <v>25949.773046844</v>
      </c>
      <c r="AS294" s="15" t="n">
        <f aca="false">Motore_Operativo!AC294-AT294+AU294</f>
        <v>21063.89737915</v>
      </c>
      <c r="AT294" s="15" t="n">
        <f aca="false">Motore_Operativo!CI294</f>
        <v>1108.62617785</v>
      </c>
      <c r="AU294" s="15" t="n">
        <f aca="false">MIN(MAX(0,(AV293)+AT294),Parametri_v3!$C$61/12)</f>
        <v>0</v>
      </c>
      <c r="AV294" s="15" t="n">
        <f aca="false">(AV293)+AT294-AU294</f>
        <v>25910.6890382</v>
      </c>
      <c r="AW294" s="15" t="n">
        <f aca="false">IF(AND(Motore_Operativo!C294=Finanziamenti!$D$7,Finanziamenti!$F$7=1),Finanziamenti!$C$7,0)</f>
        <v>0</v>
      </c>
      <c r="AX294" s="15" t="n">
        <f aca="false">0</f>
        <v>0</v>
      </c>
      <c r="AY294" s="15" t="n">
        <f aca="false">IF(2=Parametri_v3!$C$33,IF(BV294&lt;MIN(12,$B294-1),0,MIN(MAX(0,SUM(Y281:Y292))*Ipotesi!$C$94,MAX(0,(BM292)-(BO293)-BP294),MAX(0,BD294-Parametri_v3!$C$31))),0)</f>
        <v>0</v>
      </c>
      <c r="AZ294" s="15" t="n">
        <f aca="false">0</f>
        <v>0</v>
      </c>
      <c r="BA294" s="15" t="n">
        <f aca="false">0</f>
        <v>0</v>
      </c>
      <c r="BB294" s="15" t="n">
        <f aca="false">0</f>
        <v>0</v>
      </c>
      <c r="BC294" s="15" t="n">
        <f aca="false">0</f>
        <v>0</v>
      </c>
      <c r="BD294" s="15" t="n">
        <f aca="false">(BH293)+AC294-AF294-AI294-AS294-K294*(1+Parametri_v3!$C$26)-AL294-AQ294-O294+AW294+AX294+AZ294+BA294-BB294</f>
        <v>21593.7830666019</v>
      </c>
      <c r="BE294" s="15" t="n">
        <f aca="false">0</f>
        <v>0</v>
      </c>
      <c r="BF294" s="15" t="n">
        <f aca="false">0</f>
        <v>0</v>
      </c>
      <c r="BG294" s="15" t="n">
        <f aca="false">0</f>
        <v>0</v>
      </c>
      <c r="BH294" s="15" t="n">
        <f aca="false">BD294+BE294-BF294-AY294</f>
        <v>21593.7830666019</v>
      </c>
      <c r="BI294" s="15" t="n">
        <f aca="false">MAX(0,Parametri_v3!$C$31-BH294)</f>
        <v>0</v>
      </c>
      <c r="BJ294" s="15" t="n">
        <f aca="false">(BJ293)+K294</f>
        <v>22333.3333333333</v>
      </c>
      <c r="BK294" s="15" t="n">
        <f aca="false">(BK293)+L294</f>
        <v>12270.8333333333</v>
      </c>
      <c r="BL294" s="15" t="n">
        <f aca="false">BJ294-BK294</f>
        <v>10062.5</v>
      </c>
      <c r="BM294" s="15" t="n">
        <f aca="false">(BM293)+Y294</f>
        <v>157411.385248225</v>
      </c>
      <c r="BN294" s="15" t="n">
        <f aca="false">(BN293)+AW294+AX294+AZ294</f>
        <v>20000</v>
      </c>
      <c r="BO294" s="15" t="n">
        <f aca="false">(BO293)+AY294</f>
        <v>0</v>
      </c>
      <c r="BP294" s="15" t="n">
        <f aca="false">MIN(Parametri_v3!$C$36*Parametri_v3!$C$35,(BP293)+IF(2=1,MAX(0,SUM(Y281:Y292))*Parametri_v3!$C$34,0))</f>
        <v>2000</v>
      </c>
      <c r="BQ294" s="15" t="n">
        <f aca="false">BN294+BM294-BO294</f>
        <v>177411.385248225</v>
      </c>
      <c r="BR294" s="15" t="n">
        <f aca="false">BH294+AD294+BL294+MAX(0,-AM294)+MAX(0,-AR294)</f>
        <v>280704.643066602</v>
      </c>
      <c r="BS294" s="15" t="n">
        <f aca="false">AJ294+AV294+MAX(0,AM294)+MAX(0,AR294)+BC294+BG294+BQ294+AG294</f>
        <v>280704.643066602</v>
      </c>
      <c r="BT294" s="15" t="n">
        <f aca="false">BR294-BS294</f>
        <v>0</v>
      </c>
      <c r="BU294" s="15" t="n">
        <f aca="false">BH294-(BD294+BE294-BF294-AY294)</f>
        <v>0</v>
      </c>
      <c r="BV294" s="15" t="n">
        <f aca="false">IF(BH293&lt;Parametri_v3!$C$31,0,BV293+1)</f>
        <v>2</v>
      </c>
    </row>
    <row r="295" customFormat="false" ht="18" hidden="false" customHeight="true" outlineLevel="0" collapsed="false">
      <c r="A295" s="68" t="n">
        <f aca="false">5</f>
        <v>5</v>
      </c>
      <c r="B295" s="68" t="n">
        <f aca="false">51</f>
        <v>51</v>
      </c>
      <c r="C295" s="18" t="n">
        <f aca="false">Motore_Operativo!C295</f>
        <v>47908</v>
      </c>
      <c r="D295" s="68" t="n">
        <f aca="false">Motore_Operativo!D295</f>
        <v>2031</v>
      </c>
      <c r="E295" s="68" t="n">
        <f aca="false">Motore_Operativo!E295</f>
        <v>3</v>
      </c>
      <c r="F295" s="15" t="n">
        <f aca="false">Motore_Operativo!AM295</f>
        <v>57399.375</v>
      </c>
      <c r="G295" s="15" t="n">
        <f aca="false">Motore_Operativo!BH295</f>
        <v>5739.9375</v>
      </c>
      <c r="H295" s="15" t="n">
        <f aca="false">Motore_Operativo!AM295</f>
        <v>57399.375</v>
      </c>
      <c r="I295" s="15" t="n">
        <f aca="false">Motore_Operativo!CB295</f>
        <v>43175.173557</v>
      </c>
      <c r="J295" s="15" t="n">
        <f aca="false">Motore_Operativo!CD295</f>
        <v>14224.201443</v>
      </c>
      <c r="K295" s="15" t="n">
        <f aca="false">Motore_Operativo!CF295</f>
        <v>666.666666666667</v>
      </c>
      <c r="L295" s="15" t="n">
        <f aca="false">SUM(INDEX($K$245:$K$304,MAX(1,51-Parametri_v3!$C$59+1)):K295)/Parametri_v3!$C$59</f>
        <v>520.833333333333</v>
      </c>
      <c r="M295" s="15" t="n">
        <f aca="false">J295-L295</f>
        <v>13703.3681096667</v>
      </c>
      <c r="N295" s="15" t="n">
        <f aca="false">0</f>
        <v>0</v>
      </c>
      <c r="O295" s="15" t="n">
        <f aca="false">0</f>
        <v>0</v>
      </c>
      <c r="P295" s="15" t="n">
        <f aca="false">M295+N295-O295</f>
        <v>13703.3681096667</v>
      </c>
      <c r="Q295" s="15" t="n">
        <f aca="false">SUM(P293:P295)+Parametri_v3!$C$56*3/12</f>
        <v>41130.9376623333</v>
      </c>
      <c r="R295" s="15" t="n">
        <f aca="false">Z292</f>
        <v>0</v>
      </c>
      <c r="S295" s="15" t="n">
        <f aca="false">AA292</f>
        <v>0</v>
      </c>
      <c r="T295" s="15" t="n">
        <f aca="false">MIN(R295,MAX(0,Q295))</f>
        <v>0</v>
      </c>
      <c r="U295" s="15" t="n">
        <f aca="false">MIN(S295,MAX(0,Q295-T295)*Parametri_v3!$C$42)</f>
        <v>0</v>
      </c>
      <c r="V295" s="15" t="n">
        <f aca="false">MAX(0,Q295-T295-U295)*Ipotesi!$C$92</f>
        <v>9871.42503896</v>
      </c>
      <c r="W295" s="15" t="n">
        <f aca="false">MAX(0,SUM(M293:M295)+Parametri_v3!$C$57*3/12)*Ipotesi!$C$93</f>
        <v>1604.106568831</v>
      </c>
      <c r="X295" s="15" t="n">
        <f aca="false">V295+W295-(V294+W294)</f>
        <v>3823.239702597</v>
      </c>
      <c r="Y295" s="15" t="n">
        <f aca="false">P295-X295</f>
        <v>9880.12840706967</v>
      </c>
      <c r="Z295" s="15" t="n">
        <f aca="false">R295-T295+IF(AND(Parametri_v3!$C$40=1,D295-YEAR(Parametri_v3!$C$50)&lt;Parametri_v3!$C$41),MAX(0,-Q295),0)</f>
        <v>0</v>
      </c>
      <c r="AA295" s="15" t="n">
        <f aca="false">S295-U295+IF(AND(Parametri_v3!$C$40=1,D295-YEAR(Parametri_v3!$C$50)&lt;Parametri_v3!$C$41),0,MAX(0,-Q295))</f>
        <v>0</v>
      </c>
      <c r="AB295" s="15" t="n">
        <f aca="false">F295*(1+Parametri_v3!$C$26)</f>
        <v>70027.2375</v>
      </c>
      <c r="AC295" s="15" t="n">
        <f aca="false">(IF(51-(INT((Motore_Operativo!L295)/30))&lt;1,0,INDEX(Motore_Advisory!$AB$245:$AB$304,MAX(1,51-(INT((Motore_Operativo!L295)/30)))))*(1-(MOD((Motore_Operativo!L295),30)/30))+IF(51-(INT((Motore_Operativo!L295)/30))-1&lt;1,0,INDEX(Motore_Advisory!$AB$245:$AB$304,MAX(1,51-(INT((Motore_Operativo!L295)/30))-1)))*(MOD((Motore_Operativo!L295),30)/30))</f>
        <v>54496.9425</v>
      </c>
      <c r="AD295" s="15" t="n">
        <f aca="false">(AD294)+AB295-AC295</f>
        <v>264578.655</v>
      </c>
      <c r="AE295" s="15" t="n">
        <f aca="false">Motore_Operativo!BH295*(1+Parametri_v3!$C$26)</f>
        <v>7002.72375</v>
      </c>
      <c r="AF295" s="15" t="n">
        <f aca="false">(IF(51-(INT((Parametri_v3!$C$29)/30))&lt;1,0,INDEX(Motore_Operativo!$BH$245:$BH$304,MAX(1,51-(INT((Parametri_v3!$C$29)/30)))))*(1-(MOD((Parametri_v3!$C$29),30)/30))+IF(51-(INT((Parametri_v3!$C$29)/30))-1&lt;1,0,INDEX(Motore_Operativo!$BH$245:$BH$304,MAX(1,51-(INT((Parametri_v3!$C$29)/30))-1)))*(MOD((Parametri_v3!$C$29),30)/30))*(1+Parametri_v3!$C$26)</f>
        <v>7002.72375</v>
      </c>
      <c r="AG295" s="15" t="n">
        <f aca="false">(AG294)+AE295-AF295</f>
        <v>7002.72375000001</v>
      </c>
      <c r="AH295" s="15" t="n">
        <f aca="false">(Motore_Operativo!CK295)*(1+Parametri_v3!$C$28*Parametri_v3!$C$26)</f>
        <v>17948.9499</v>
      </c>
      <c r="AI295" s="15" t="n">
        <f aca="false">(IF(51-(INT((Ipotesi!$C$91)/30))&lt;1,0,INDEX(Motore_Advisory!$AH$245:$AH$304,MAX(1,51-(INT((Ipotesi!$C$91)/30)))))*(1-(MOD((Ipotesi!$C$91),30)/30))+IF(51-(INT((Ipotesi!$C$91)/30))-1&lt;1,0,INDEX(Motore_Advisory!$AH$245:$AH$304,MAX(1,51-(INT((Ipotesi!$C$91)/30))-1)))*(MOD((Ipotesi!$C$91),30)/30))</f>
        <v>17948.9499</v>
      </c>
      <c r="AJ295" s="15" t="n">
        <f aca="false">(AJ294)+AH295-AI295</f>
        <v>35897.8998</v>
      </c>
      <c r="AK295" s="15" t="n">
        <f aca="false">(F295- Motore_Operativo!BH295-(Motore_Operativo!CK295)*Parametri_v3!$C$28-Motore_Operativo!CF295)*Parametri_v3!$C$26</f>
        <v>8532.17218333334</v>
      </c>
      <c r="AL295" s="15" t="n">
        <f aca="false">MAX(0,(AM294))</f>
        <v>8532.17218333334</v>
      </c>
      <c r="AM295" s="15" t="n">
        <f aca="false">(AM294)+AK295-AL295</f>
        <v>8532.17218333334</v>
      </c>
      <c r="AN295" s="15" t="n">
        <f aca="false">SUM(X281:X292)</f>
        <v>33335.99421665</v>
      </c>
      <c r="AO295" s="15" t="n">
        <f aca="false">SUM(AP281:AP292)</f>
        <v>15038.513075</v>
      </c>
      <c r="AP295" s="15" t="n">
        <f aca="false">MAX(0,AN295)*IF(3=Parametri_v3!$C$43,Parametri_v3!$C$45,IF(3=Parametri_v3!$C$44,1-Parametri_v3!$C$45,0))</f>
        <v>0</v>
      </c>
      <c r="AQ295" s="15" t="n">
        <f aca="false">MAX(0,AP295+IF(3=Parametri_v3!$C$43,MAX(0,AN295-AO295),0)-MAX(0,-(AR294)))</f>
        <v>0</v>
      </c>
      <c r="AR295" s="15" t="n">
        <f aca="false">(AR294)+X295-AQ295</f>
        <v>29773.012749441</v>
      </c>
      <c r="AS295" s="15" t="n">
        <f aca="false">Motore_Operativo!AC295-AT295+AU295</f>
        <v>21063.89737915</v>
      </c>
      <c r="AT295" s="15" t="n">
        <f aca="false">Motore_Operativo!CI295</f>
        <v>1108.62617785</v>
      </c>
      <c r="AU295" s="15" t="n">
        <f aca="false">MIN(MAX(0,(AV294)+AT295),Parametri_v3!$C$61/12)</f>
        <v>0</v>
      </c>
      <c r="AV295" s="15" t="n">
        <f aca="false">(AV294)+AT295-AU295</f>
        <v>27019.31521605</v>
      </c>
      <c r="AW295" s="15" t="n">
        <f aca="false">IF(AND(Motore_Operativo!C295=Finanziamenti!$D$7,Finanziamenti!$F$7=1),Finanziamenti!$C$7,0)</f>
        <v>0</v>
      </c>
      <c r="AX295" s="15" t="n">
        <f aca="false">0</f>
        <v>0</v>
      </c>
      <c r="AY295" s="15" t="n">
        <f aca="false">IF(3=Parametri_v3!$C$33,IF(BV295&lt;MIN(12,$B295-1),0,MIN(MAX(0,SUM(Y281:Y292))*Ipotesi!$C$94,MAX(0,(BM292)-(BO294)-BP295),MAX(0,BD295-Parametri_v3!$C$31))),0)</f>
        <v>0</v>
      </c>
      <c r="AZ295" s="15" t="n">
        <f aca="false">0</f>
        <v>0</v>
      </c>
      <c r="BA295" s="15" t="n">
        <f aca="false">0</f>
        <v>0</v>
      </c>
      <c r="BB295" s="15" t="n">
        <f aca="false">0</f>
        <v>0</v>
      </c>
      <c r="BC295" s="15" t="n">
        <f aca="false">0</f>
        <v>0</v>
      </c>
      <c r="BD295" s="15" t="n">
        <f aca="false">(BH294)+AC295-AF295-AI295-AS295-K295*(1+Parametri_v3!$C$26)-AL295-AQ295-O295+AW295+AX295+AZ295+BA295-BB295</f>
        <v>20729.6490207852</v>
      </c>
      <c r="BE295" s="15" t="n">
        <f aca="false">0</f>
        <v>0</v>
      </c>
      <c r="BF295" s="15" t="n">
        <f aca="false">0</f>
        <v>0</v>
      </c>
      <c r="BG295" s="15" t="n">
        <f aca="false">0</f>
        <v>0</v>
      </c>
      <c r="BH295" s="15" t="n">
        <f aca="false">BD295+BE295-BF295-AY295</f>
        <v>20729.6490207852</v>
      </c>
      <c r="BI295" s="15" t="n">
        <f aca="false">MAX(0,Parametri_v3!$C$31-BH295)</f>
        <v>0</v>
      </c>
      <c r="BJ295" s="15" t="n">
        <f aca="false">(BJ294)+K295</f>
        <v>23000</v>
      </c>
      <c r="BK295" s="15" t="n">
        <f aca="false">(BK294)+L295</f>
        <v>12791.6666666667</v>
      </c>
      <c r="BL295" s="15" t="n">
        <f aca="false">BJ295-BK295</f>
        <v>10208.3333333333</v>
      </c>
      <c r="BM295" s="15" t="n">
        <f aca="false">(BM294)+Y295</f>
        <v>167291.513655294</v>
      </c>
      <c r="BN295" s="15" t="n">
        <f aca="false">(BN294)+AW295+AX295+AZ295</f>
        <v>20000</v>
      </c>
      <c r="BO295" s="15" t="n">
        <f aca="false">(BO294)+AY295</f>
        <v>0</v>
      </c>
      <c r="BP295" s="15" t="n">
        <f aca="false">MIN(Parametri_v3!$C$36*Parametri_v3!$C$35,(BP294)+IF(3=1,MAX(0,SUM(Y281:Y292))*Parametri_v3!$C$34,0))</f>
        <v>2000</v>
      </c>
      <c r="BQ295" s="15" t="n">
        <f aca="false">BN295+BM295-BO295</f>
        <v>187291.513655294</v>
      </c>
      <c r="BR295" s="15" t="n">
        <f aca="false">BH295+AD295+BL295+MAX(0,-AM295)+MAX(0,-AR295)</f>
        <v>295516.637354119</v>
      </c>
      <c r="BS295" s="15" t="n">
        <f aca="false">AJ295+AV295+MAX(0,AM295)+MAX(0,AR295)+BC295+BG295+BQ295+AG295</f>
        <v>295516.637354119</v>
      </c>
      <c r="BT295" s="15" t="n">
        <f aca="false">BR295-BS295</f>
        <v>0</v>
      </c>
      <c r="BU295" s="15" t="n">
        <f aca="false">BH295-(BD295+BE295-BF295-AY295)</f>
        <v>0</v>
      </c>
      <c r="BV295" s="15" t="n">
        <f aca="false">IF(BH294&lt;Parametri_v3!$C$31,0,BV294+1)</f>
        <v>3</v>
      </c>
    </row>
    <row r="296" customFormat="false" ht="18" hidden="false" customHeight="true" outlineLevel="0" collapsed="false">
      <c r="A296" s="68" t="n">
        <f aca="false">5</f>
        <v>5</v>
      </c>
      <c r="B296" s="68" t="n">
        <f aca="false">52</f>
        <v>52</v>
      </c>
      <c r="C296" s="18" t="n">
        <f aca="false">Motore_Operativo!C296</f>
        <v>47939</v>
      </c>
      <c r="D296" s="68" t="n">
        <f aca="false">Motore_Operativo!D296</f>
        <v>2031</v>
      </c>
      <c r="E296" s="68" t="n">
        <f aca="false">Motore_Operativo!E296</f>
        <v>4</v>
      </c>
      <c r="F296" s="15" t="n">
        <f aca="false">Motore_Operativo!AM296</f>
        <v>57399.375</v>
      </c>
      <c r="G296" s="15" t="n">
        <f aca="false">Motore_Operativo!BH296</f>
        <v>5739.9375</v>
      </c>
      <c r="H296" s="15" t="n">
        <f aca="false">Motore_Operativo!AM296</f>
        <v>57399.375</v>
      </c>
      <c r="I296" s="15" t="n">
        <f aca="false">Motore_Operativo!CB296</f>
        <v>43175.173557</v>
      </c>
      <c r="J296" s="15" t="n">
        <f aca="false">Motore_Operativo!CD296</f>
        <v>14224.201443</v>
      </c>
      <c r="K296" s="15" t="n">
        <f aca="false">Motore_Operativo!CF296</f>
        <v>666.666666666667</v>
      </c>
      <c r="L296" s="15" t="n">
        <f aca="false">SUM(INDEX($K$245:$K$304,MAX(1,52-Parametri_v3!$C$59+1)):K296)/Parametri_v3!$C$59</f>
        <v>527.777777777778</v>
      </c>
      <c r="M296" s="15" t="n">
        <f aca="false">J296-L296</f>
        <v>13696.4236652222</v>
      </c>
      <c r="N296" s="15" t="n">
        <f aca="false">0</f>
        <v>0</v>
      </c>
      <c r="O296" s="15" t="n">
        <f aca="false">0</f>
        <v>0</v>
      </c>
      <c r="P296" s="15" t="n">
        <f aca="false">M296+N296-O296</f>
        <v>13696.4236652222</v>
      </c>
      <c r="Q296" s="15" t="n">
        <f aca="false">SUM(P293:P296)+Parametri_v3!$C$56*4/12</f>
        <v>54827.3613275556</v>
      </c>
      <c r="R296" s="15" t="n">
        <f aca="false">Z292</f>
        <v>0</v>
      </c>
      <c r="S296" s="15" t="n">
        <f aca="false">AA292</f>
        <v>0</v>
      </c>
      <c r="T296" s="15" t="n">
        <f aca="false">MIN(R296,MAX(0,Q296))</f>
        <v>0</v>
      </c>
      <c r="U296" s="15" t="n">
        <f aca="false">MIN(S296,MAX(0,Q296-T296)*Parametri_v3!$C$42)</f>
        <v>0</v>
      </c>
      <c r="V296" s="15" t="n">
        <f aca="false">MAX(0,Q296-T296-U296)*Ipotesi!$C$92</f>
        <v>13158.5667186133</v>
      </c>
      <c r="W296" s="15" t="n">
        <f aca="false">MAX(0,SUM(M293:M296)+Parametri_v3!$C$57*4/12)*Ipotesi!$C$93</f>
        <v>2138.26709177467</v>
      </c>
      <c r="X296" s="15" t="n">
        <f aca="false">V296+W296-(V295+W295)</f>
        <v>3821.302202597</v>
      </c>
      <c r="Y296" s="15" t="n">
        <f aca="false">P296-X296</f>
        <v>9875.12146262522</v>
      </c>
      <c r="Z296" s="15" t="n">
        <f aca="false">R296-T296+IF(AND(Parametri_v3!$C$40=1,D296-YEAR(Parametri_v3!$C$50)&lt;Parametri_v3!$C$41),MAX(0,-Q296),0)</f>
        <v>0</v>
      </c>
      <c r="AA296" s="15" t="n">
        <f aca="false">S296-U296+IF(AND(Parametri_v3!$C$40=1,D296-YEAR(Parametri_v3!$C$50)&lt;Parametri_v3!$C$41),0,MAX(0,-Q296))</f>
        <v>0</v>
      </c>
      <c r="AB296" s="15" t="n">
        <f aca="false">F296*(1+Parametri_v3!$C$26)</f>
        <v>70027.2375</v>
      </c>
      <c r="AC296" s="15" t="n">
        <f aca="false">(IF(52-(INT((Motore_Operativo!L296)/30))&lt;1,0,INDEX(Motore_Advisory!$AB$245:$AB$304,MAX(1,52-(INT((Motore_Operativo!L296)/30)))))*(1-(MOD((Motore_Operativo!L296),30)/30))+IF(52-(INT((Motore_Operativo!L296)/30))-1&lt;1,0,INDEX(Motore_Advisory!$AB$245:$AB$304,MAX(1,52-(INT((Motore_Operativo!L296)/30))-1)))*(MOD((Motore_Operativo!L296),30)/30))</f>
        <v>54496.9425</v>
      </c>
      <c r="AD296" s="15" t="n">
        <f aca="false">(AD295)+AB296-AC296</f>
        <v>280108.95</v>
      </c>
      <c r="AE296" s="15" t="n">
        <f aca="false">Motore_Operativo!BH296*(1+Parametri_v3!$C$26)</f>
        <v>7002.72375</v>
      </c>
      <c r="AF296" s="15" t="n">
        <f aca="false">(IF(52-(INT((Parametri_v3!$C$29)/30))&lt;1,0,INDEX(Motore_Operativo!$BH$245:$BH$304,MAX(1,52-(INT((Parametri_v3!$C$29)/30)))))*(1-(MOD((Parametri_v3!$C$29),30)/30))+IF(52-(INT((Parametri_v3!$C$29)/30))-1&lt;1,0,INDEX(Motore_Operativo!$BH$245:$BH$304,MAX(1,52-(INT((Parametri_v3!$C$29)/30))-1)))*(MOD((Parametri_v3!$C$29),30)/30))*(1+Parametri_v3!$C$26)</f>
        <v>7002.72375</v>
      </c>
      <c r="AG296" s="15" t="n">
        <f aca="false">(AG295)+AE296-AF296</f>
        <v>7002.72375000001</v>
      </c>
      <c r="AH296" s="15" t="n">
        <f aca="false">(Motore_Operativo!CK296)*(1+Parametri_v3!$C$28*Parametri_v3!$C$26)</f>
        <v>17948.9499</v>
      </c>
      <c r="AI296" s="15" t="n">
        <f aca="false">(IF(52-(INT((Ipotesi!$C$91)/30))&lt;1,0,INDEX(Motore_Advisory!$AH$245:$AH$304,MAX(1,52-(INT((Ipotesi!$C$91)/30)))))*(1-(MOD((Ipotesi!$C$91),30)/30))+IF(52-(INT((Ipotesi!$C$91)/30))-1&lt;1,0,INDEX(Motore_Advisory!$AH$245:$AH$304,MAX(1,52-(INT((Ipotesi!$C$91)/30))-1)))*(MOD((Ipotesi!$C$91),30)/30))</f>
        <v>17948.9499</v>
      </c>
      <c r="AJ296" s="15" t="n">
        <f aca="false">(AJ295)+AH296-AI296</f>
        <v>35897.8998</v>
      </c>
      <c r="AK296" s="15" t="n">
        <f aca="false">(F296- Motore_Operativo!BH296-(Motore_Operativo!CK296)*Parametri_v3!$C$28-Motore_Operativo!CF296)*Parametri_v3!$C$26</f>
        <v>8532.17218333334</v>
      </c>
      <c r="AL296" s="15" t="n">
        <f aca="false">MAX(0,(AM295))</f>
        <v>8532.17218333334</v>
      </c>
      <c r="AM296" s="15" t="n">
        <f aca="false">(AM295)+AK296-AL296</f>
        <v>8532.17218333334</v>
      </c>
      <c r="AN296" s="15" t="n">
        <f aca="false">SUM(X281:X292)</f>
        <v>33335.99421665</v>
      </c>
      <c r="AO296" s="15" t="n">
        <f aca="false">SUM(AP281:AP292)</f>
        <v>15038.513075</v>
      </c>
      <c r="AP296" s="15" t="n">
        <f aca="false">MAX(0,AN296)*IF(4=Parametri_v3!$C$43,Parametri_v3!$C$45,IF(4=Parametri_v3!$C$44,1-Parametri_v3!$C$45,0))</f>
        <v>0</v>
      </c>
      <c r="AQ296" s="15" t="n">
        <f aca="false">MAX(0,AP296+IF(4=Parametri_v3!$C$43,MAX(0,AN296-AO296),0)-MAX(0,-(AR295)))</f>
        <v>0</v>
      </c>
      <c r="AR296" s="15" t="n">
        <f aca="false">(AR295)+X296-AQ296</f>
        <v>33594.3149520381</v>
      </c>
      <c r="AS296" s="15" t="n">
        <f aca="false">Motore_Operativo!AC296-AT296+AU296</f>
        <v>21063.89737915</v>
      </c>
      <c r="AT296" s="15" t="n">
        <f aca="false">Motore_Operativo!CI296</f>
        <v>1108.62617785</v>
      </c>
      <c r="AU296" s="15" t="n">
        <f aca="false">MIN(MAX(0,(AV295)+AT296),Parametri_v3!$C$61/12)</f>
        <v>0</v>
      </c>
      <c r="AV296" s="15" t="n">
        <f aca="false">(AV295)+AT296-AU296</f>
        <v>28127.9413939</v>
      </c>
      <c r="AW296" s="15" t="n">
        <f aca="false">IF(AND(Motore_Operativo!C296=Finanziamenti!$D$7,Finanziamenti!$F$7=1),Finanziamenti!$C$7,0)</f>
        <v>0</v>
      </c>
      <c r="AX296" s="15" t="n">
        <f aca="false">0</f>
        <v>0</v>
      </c>
      <c r="AY296" s="15" t="n">
        <f aca="false">IF(4=Parametri_v3!$C$33,IF(BV296&lt;MIN(12,$B296-1),0,MIN(MAX(0,SUM(Y281:Y292))*Ipotesi!$C$94,MAX(0,(BM292)-(BO295)-BP296),MAX(0,BD296-Parametri_v3!$C$31))),0)</f>
        <v>0</v>
      </c>
      <c r="AZ296" s="15" t="n">
        <f aca="false">0</f>
        <v>0</v>
      </c>
      <c r="BA296" s="15" t="n">
        <f aca="false">0</f>
        <v>0</v>
      </c>
      <c r="BB296" s="15" t="n">
        <f aca="false">0</f>
        <v>0</v>
      </c>
      <c r="BC296" s="15" t="n">
        <f aca="false">0</f>
        <v>0</v>
      </c>
      <c r="BD296" s="15" t="n">
        <f aca="false">(BH295)+AC296-AF296-AI296-AS296-K296*(1+Parametri_v3!$C$26)-AL296-AQ296-O296+AW296+AX296+AZ296+BA296-BB296</f>
        <v>19865.5149749686</v>
      </c>
      <c r="BE296" s="15" t="n">
        <f aca="false">0</f>
        <v>0</v>
      </c>
      <c r="BF296" s="15" t="n">
        <f aca="false">0</f>
        <v>0</v>
      </c>
      <c r="BG296" s="15" t="n">
        <f aca="false">0</f>
        <v>0</v>
      </c>
      <c r="BH296" s="15" t="n">
        <f aca="false">BD296+BE296-BF296-AY296</f>
        <v>19865.5149749686</v>
      </c>
      <c r="BI296" s="15" t="n">
        <f aca="false">MAX(0,Parametri_v3!$C$31-BH296)</f>
        <v>0</v>
      </c>
      <c r="BJ296" s="15" t="n">
        <f aca="false">(BJ295)+K296</f>
        <v>23666.6666666667</v>
      </c>
      <c r="BK296" s="15" t="n">
        <f aca="false">(BK295)+L296</f>
        <v>13319.4444444444</v>
      </c>
      <c r="BL296" s="15" t="n">
        <f aca="false">BJ296-BK296</f>
        <v>10347.2222222222</v>
      </c>
      <c r="BM296" s="15" t="n">
        <f aca="false">(BM295)+Y296</f>
        <v>177166.635117919</v>
      </c>
      <c r="BN296" s="15" t="n">
        <f aca="false">(BN295)+AW296+AX296+AZ296</f>
        <v>20000</v>
      </c>
      <c r="BO296" s="15" t="n">
        <f aca="false">(BO295)+AY296</f>
        <v>0</v>
      </c>
      <c r="BP296" s="15" t="n">
        <f aca="false">MIN(Parametri_v3!$C$36*Parametri_v3!$C$35,(BP295)+IF(4=1,MAX(0,SUM(Y281:Y292))*Parametri_v3!$C$34,0))</f>
        <v>2000</v>
      </c>
      <c r="BQ296" s="15" t="n">
        <f aca="false">BN296+BM296-BO296</f>
        <v>197166.635117919</v>
      </c>
      <c r="BR296" s="15" t="n">
        <f aca="false">BH296+AD296+BL296+MAX(0,-AM296)+MAX(0,-AR296)</f>
        <v>310321.687197191</v>
      </c>
      <c r="BS296" s="15" t="n">
        <f aca="false">AJ296+AV296+MAX(0,AM296)+MAX(0,AR296)+BC296+BG296+BQ296+AG296</f>
        <v>310321.687197191</v>
      </c>
      <c r="BT296" s="15" t="n">
        <f aca="false">BR296-BS296</f>
        <v>0</v>
      </c>
      <c r="BU296" s="15" t="n">
        <f aca="false">BH296-(BD296+BE296-BF296-AY296)</f>
        <v>0</v>
      </c>
      <c r="BV296" s="15" t="n">
        <f aca="false">IF(BH295&lt;Parametri_v3!$C$31,0,BV295+1)</f>
        <v>4</v>
      </c>
    </row>
    <row r="297" customFormat="false" ht="18" hidden="false" customHeight="true" outlineLevel="0" collapsed="false">
      <c r="A297" s="68" t="n">
        <f aca="false">5</f>
        <v>5</v>
      </c>
      <c r="B297" s="68" t="n">
        <f aca="false">53</f>
        <v>53</v>
      </c>
      <c r="C297" s="18" t="n">
        <f aca="false">Motore_Operativo!C297</f>
        <v>47969</v>
      </c>
      <c r="D297" s="68" t="n">
        <f aca="false">Motore_Operativo!D297</f>
        <v>2031</v>
      </c>
      <c r="E297" s="68" t="n">
        <f aca="false">Motore_Operativo!E297</f>
        <v>5</v>
      </c>
      <c r="F297" s="15" t="n">
        <f aca="false">Motore_Operativo!AM297</f>
        <v>57399.375</v>
      </c>
      <c r="G297" s="15" t="n">
        <f aca="false">Motore_Operativo!BH297</f>
        <v>5739.9375</v>
      </c>
      <c r="H297" s="15" t="n">
        <f aca="false">Motore_Operativo!AM297</f>
        <v>57399.375</v>
      </c>
      <c r="I297" s="15" t="n">
        <f aca="false">Motore_Operativo!CB297</f>
        <v>43175.173557</v>
      </c>
      <c r="J297" s="15" t="n">
        <f aca="false">Motore_Operativo!CD297</f>
        <v>14224.201443</v>
      </c>
      <c r="K297" s="15" t="n">
        <f aca="false">Motore_Operativo!CF297</f>
        <v>666.666666666667</v>
      </c>
      <c r="L297" s="15" t="n">
        <f aca="false">SUM(INDEX($K$245:$K$304,MAX(1,53-Parametri_v3!$C$59+1)):K297)/Parametri_v3!$C$59</f>
        <v>534.722222222222</v>
      </c>
      <c r="M297" s="15" t="n">
        <f aca="false">J297-L297</f>
        <v>13689.4792207778</v>
      </c>
      <c r="N297" s="15" t="n">
        <f aca="false">0</f>
        <v>0</v>
      </c>
      <c r="O297" s="15" t="n">
        <f aca="false">0</f>
        <v>0</v>
      </c>
      <c r="P297" s="15" t="n">
        <f aca="false">M297+N297-O297</f>
        <v>13689.4792207778</v>
      </c>
      <c r="Q297" s="15" t="n">
        <f aca="false">SUM(P293:P297)+Parametri_v3!$C$56*5/12</f>
        <v>68516.8405483334</v>
      </c>
      <c r="R297" s="15" t="n">
        <f aca="false">Z292</f>
        <v>0</v>
      </c>
      <c r="S297" s="15" t="n">
        <f aca="false">AA292</f>
        <v>0</v>
      </c>
      <c r="T297" s="15" t="n">
        <f aca="false">MIN(R297,MAX(0,Q297))</f>
        <v>0</v>
      </c>
      <c r="U297" s="15" t="n">
        <f aca="false">MIN(S297,MAX(0,Q297-T297)*Parametri_v3!$C$42)</f>
        <v>0</v>
      </c>
      <c r="V297" s="15" t="n">
        <f aca="false">MAX(0,Q297-T297-U297)*Ipotesi!$C$92</f>
        <v>16444.0417316</v>
      </c>
      <c r="W297" s="15" t="n">
        <f aca="false">MAX(0,SUM(M293:M297)+Parametri_v3!$C$57*5/12)*Ipotesi!$C$93</f>
        <v>2672.156781385</v>
      </c>
      <c r="X297" s="15" t="n">
        <f aca="false">V297+W297-(V296+W296)</f>
        <v>3819.364702597</v>
      </c>
      <c r="Y297" s="15" t="n">
        <f aca="false">P297-X297</f>
        <v>9870.11451818078</v>
      </c>
      <c r="Z297" s="15" t="n">
        <f aca="false">R297-T297+IF(AND(Parametri_v3!$C$40=1,D297-YEAR(Parametri_v3!$C$50)&lt;Parametri_v3!$C$41),MAX(0,-Q297),0)</f>
        <v>0</v>
      </c>
      <c r="AA297" s="15" t="n">
        <f aca="false">S297-U297+IF(AND(Parametri_v3!$C$40=1,D297-YEAR(Parametri_v3!$C$50)&lt;Parametri_v3!$C$41),0,MAX(0,-Q297))</f>
        <v>0</v>
      </c>
      <c r="AB297" s="15" t="n">
        <f aca="false">F297*(1+Parametri_v3!$C$26)</f>
        <v>70027.2375</v>
      </c>
      <c r="AC297" s="15" t="n">
        <f aca="false">(IF(53-(INT((Motore_Operativo!L297)/30))&lt;1,0,INDEX(Motore_Advisory!$AB$245:$AB$304,MAX(1,53-(INT((Motore_Operativo!L297)/30)))))*(1-(MOD((Motore_Operativo!L297),30)/30))+IF(53-(INT((Motore_Operativo!L297)/30))-1&lt;1,0,INDEX(Motore_Advisory!$AB$245:$AB$304,MAX(1,53-(INT((Motore_Operativo!L297)/30))-1)))*(MOD((Motore_Operativo!L297),30)/30))</f>
        <v>70027.2375</v>
      </c>
      <c r="AD297" s="15" t="n">
        <f aca="false">(AD296)+AB297-AC297</f>
        <v>280108.95</v>
      </c>
      <c r="AE297" s="15" t="n">
        <f aca="false">Motore_Operativo!BH297*(1+Parametri_v3!$C$26)</f>
        <v>7002.72375</v>
      </c>
      <c r="AF297" s="15" t="n">
        <f aca="false">(IF(53-(INT((Parametri_v3!$C$29)/30))&lt;1,0,INDEX(Motore_Operativo!$BH$245:$BH$304,MAX(1,53-(INT((Parametri_v3!$C$29)/30)))))*(1-(MOD((Parametri_v3!$C$29),30)/30))+IF(53-(INT((Parametri_v3!$C$29)/30))-1&lt;1,0,INDEX(Motore_Operativo!$BH$245:$BH$304,MAX(1,53-(INT((Parametri_v3!$C$29)/30))-1)))*(MOD((Parametri_v3!$C$29),30)/30))*(1+Parametri_v3!$C$26)</f>
        <v>7002.72375</v>
      </c>
      <c r="AG297" s="15" t="n">
        <f aca="false">(AG296)+AE297-AF297</f>
        <v>7002.72375000001</v>
      </c>
      <c r="AH297" s="15" t="n">
        <f aca="false">(Motore_Operativo!CK297)*(1+Parametri_v3!$C$28*Parametri_v3!$C$26)</f>
        <v>17948.9499</v>
      </c>
      <c r="AI297" s="15" t="n">
        <f aca="false">(IF(53-(INT((Ipotesi!$C$91)/30))&lt;1,0,INDEX(Motore_Advisory!$AH$245:$AH$304,MAX(1,53-(INT((Ipotesi!$C$91)/30)))))*(1-(MOD((Ipotesi!$C$91),30)/30))+IF(53-(INT((Ipotesi!$C$91)/30))-1&lt;1,0,INDEX(Motore_Advisory!$AH$245:$AH$304,MAX(1,53-(INT((Ipotesi!$C$91)/30))-1)))*(MOD((Ipotesi!$C$91),30)/30))</f>
        <v>17948.9499</v>
      </c>
      <c r="AJ297" s="15" t="n">
        <f aca="false">(AJ296)+AH297-AI297</f>
        <v>35897.8998</v>
      </c>
      <c r="AK297" s="15" t="n">
        <f aca="false">(F297- Motore_Operativo!BH297-(Motore_Operativo!CK297)*Parametri_v3!$C$28-Motore_Operativo!CF297)*Parametri_v3!$C$26</f>
        <v>8532.17218333334</v>
      </c>
      <c r="AL297" s="15" t="n">
        <f aca="false">MAX(0,(AM296))</f>
        <v>8532.17218333334</v>
      </c>
      <c r="AM297" s="15" t="n">
        <f aca="false">(AM296)+AK297-AL297</f>
        <v>8532.17218333334</v>
      </c>
      <c r="AN297" s="15" t="n">
        <f aca="false">SUM(X281:X292)</f>
        <v>33335.99421665</v>
      </c>
      <c r="AO297" s="15" t="n">
        <f aca="false">SUM(AP281:AP292)</f>
        <v>15038.513075</v>
      </c>
      <c r="AP297" s="15" t="n">
        <f aca="false">MAX(0,AN297)*IF(5=Parametri_v3!$C$43,Parametri_v3!$C$45,IF(5=Parametri_v3!$C$44,1-Parametri_v3!$C$45,0))</f>
        <v>0</v>
      </c>
      <c r="AQ297" s="15" t="n">
        <f aca="false">MAX(0,AP297+IF(5=Parametri_v3!$C$43,MAX(0,AN297-AO297),0)-MAX(0,-(AR296)))</f>
        <v>0</v>
      </c>
      <c r="AR297" s="15" t="n">
        <f aca="false">(AR296)+X297-AQ297</f>
        <v>37413.679654635</v>
      </c>
      <c r="AS297" s="15" t="n">
        <f aca="false">Motore_Operativo!AC297-AT297+AU297</f>
        <v>21063.89737915</v>
      </c>
      <c r="AT297" s="15" t="n">
        <f aca="false">Motore_Operativo!CI297</f>
        <v>1108.62617785</v>
      </c>
      <c r="AU297" s="15" t="n">
        <f aca="false">MIN(MAX(0,(AV296)+AT297),Parametri_v3!$C$61/12)</f>
        <v>0</v>
      </c>
      <c r="AV297" s="15" t="n">
        <f aca="false">(AV296)+AT297-AU297</f>
        <v>29236.56757175</v>
      </c>
      <c r="AW297" s="15" t="n">
        <f aca="false">IF(AND(Motore_Operativo!C297=Finanziamenti!$D$7,Finanziamenti!$F$7=1),Finanziamenti!$C$7,0)</f>
        <v>0</v>
      </c>
      <c r="AX297" s="15" t="n">
        <f aca="false">0</f>
        <v>0</v>
      </c>
      <c r="AY297" s="15" t="n">
        <f aca="false">IF(5=Parametri_v3!$C$33,IF(BV297&lt;MIN(12,$B297-1),0,MIN(MAX(0,SUM(Y281:Y292))*Ipotesi!$C$94,MAX(0,(BM292)-(BO296)-BP297),MAX(0,BD297-Parametri_v3!$C$31))),0)</f>
        <v>0</v>
      </c>
      <c r="AZ297" s="15" t="n">
        <f aca="false">0</f>
        <v>0</v>
      </c>
      <c r="BA297" s="15" t="n">
        <f aca="false">0</f>
        <v>0</v>
      </c>
      <c r="BB297" s="15" t="n">
        <f aca="false">0</f>
        <v>0</v>
      </c>
      <c r="BC297" s="15" t="n">
        <f aca="false">0</f>
        <v>0</v>
      </c>
      <c r="BD297" s="15" t="n">
        <f aca="false">(BH296)+AC297-AF297-AI297-AS297-K297*(1+Parametri_v3!$C$26)-AL297-AQ297-O297+AW297+AX297+AZ297+BA297-BB297</f>
        <v>34531.6759291519</v>
      </c>
      <c r="BE297" s="15" t="n">
        <f aca="false">0</f>
        <v>0</v>
      </c>
      <c r="BF297" s="15" t="n">
        <f aca="false">0</f>
        <v>0</v>
      </c>
      <c r="BG297" s="15" t="n">
        <f aca="false">0</f>
        <v>0</v>
      </c>
      <c r="BH297" s="15" t="n">
        <f aca="false">BD297+BE297-BF297-AY297</f>
        <v>34531.6759291519</v>
      </c>
      <c r="BI297" s="15" t="n">
        <f aca="false">MAX(0,Parametri_v3!$C$31-BH297)</f>
        <v>0</v>
      </c>
      <c r="BJ297" s="15" t="n">
        <f aca="false">(BJ296)+K297</f>
        <v>24333.3333333333</v>
      </c>
      <c r="BK297" s="15" t="n">
        <f aca="false">(BK296)+L297</f>
        <v>13854.1666666667</v>
      </c>
      <c r="BL297" s="15" t="n">
        <f aca="false">BJ297-BK297</f>
        <v>10479.1666666667</v>
      </c>
      <c r="BM297" s="15" t="n">
        <f aca="false">(BM296)+Y297</f>
        <v>187036.7496361</v>
      </c>
      <c r="BN297" s="15" t="n">
        <f aca="false">(BN296)+AW297+AX297+AZ297</f>
        <v>20000</v>
      </c>
      <c r="BO297" s="15" t="n">
        <f aca="false">(BO296)+AY297</f>
        <v>0</v>
      </c>
      <c r="BP297" s="15" t="n">
        <f aca="false">MIN(Parametri_v3!$C$36*Parametri_v3!$C$35,(BP296)+IF(5=1,MAX(0,SUM(Y281:Y292))*Parametri_v3!$C$34,0))</f>
        <v>2000</v>
      </c>
      <c r="BQ297" s="15" t="n">
        <f aca="false">BN297+BM297-BO297</f>
        <v>207036.7496361</v>
      </c>
      <c r="BR297" s="15" t="n">
        <f aca="false">BH297+AD297+BL297+MAX(0,-AM297)+MAX(0,-AR297)</f>
        <v>325119.792595819</v>
      </c>
      <c r="BS297" s="15" t="n">
        <f aca="false">AJ297+AV297+MAX(0,AM297)+MAX(0,AR297)+BC297+BG297+BQ297+AG297</f>
        <v>325119.792595819</v>
      </c>
      <c r="BT297" s="15" t="n">
        <f aca="false">BR297-BS297</f>
        <v>0</v>
      </c>
      <c r="BU297" s="15" t="n">
        <f aca="false">BH297-(BD297+BE297-BF297-AY297)</f>
        <v>0</v>
      </c>
      <c r="BV297" s="15" t="n">
        <f aca="false">IF(BH296&lt;Parametri_v3!$C$31,0,BV296+1)</f>
        <v>5</v>
      </c>
    </row>
    <row r="298" customFormat="false" ht="18" hidden="false" customHeight="true" outlineLevel="0" collapsed="false">
      <c r="A298" s="68" t="n">
        <f aca="false">5</f>
        <v>5</v>
      </c>
      <c r="B298" s="68" t="n">
        <f aca="false">54</f>
        <v>54</v>
      </c>
      <c r="C298" s="18" t="n">
        <f aca="false">Motore_Operativo!C298</f>
        <v>48000</v>
      </c>
      <c r="D298" s="68" t="n">
        <f aca="false">Motore_Operativo!D298</f>
        <v>2031</v>
      </c>
      <c r="E298" s="68" t="n">
        <f aca="false">Motore_Operativo!E298</f>
        <v>6</v>
      </c>
      <c r="F298" s="15" t="n">
        <f aca="false">Motore_Operativo!AM298</f>
        <v>57399.375</v>
      </c>
      <c r="G298" s="15" t="n">
        <f aca="false">Motore_Operativo!BH298</f>
        <v>5739.9375</v>
      </c>
      <c r="H298" s="15" t="n">
        <f aca="false">Motore_Operativo!AM298</f>
        <v>57399.375</v>
      </c>
      <c r="I298" s="15" t="n">
        <f aca="false">Motore_Operativo!CB298</f>
        <v>43175.173557</v>
      </c>
      <c r="J298" s="15" t="n">
        <f aca="false">Motore_Operativo!CD298</f>
        <v>14224.201443</v>
      </c>
      <c r="K298" s="15" t="n">
        <f aca="false">Motore_Operativo!CF298</f>
        <v>666.666666666667</v>
      </c>
      <c r="L298" s="15" t="n">
        <f aca="false">SUM(INDEX($K$245:$K$304,MAX(1,54-Parametri_v3!$C$59+1)):K298)/Parametri_v3!$C$59</f>
        <v>541.666666666667</v>
      </c>
      <c r="M298" s="15" t="n">
        <f aca="false">J298-L298</f>
        <v>13682.5347763333</v>
      </c>
      <c r="N298" s="15" t="n">
        <f aca="false">0</f>
        <v>0</v>
      </c>
      <c r="O298" s="15" t="n">
        <f aca="false">0</f>
        <v>0</v>
      </c>
      <c r="P298" s="15" t="n">
        <f aca="false">M298+N298-O298</f>
        <v>13682.5347763333</v>
      </c>
      <c r="Q298" s="15" t="n">
        <f aca="false">SUM(P293:P298)+Parametri_v3!$C$56*6/12</f>
        <v>82199.3753246667</v>
      </c>
      <c r="R298" s="15" t="n">
        <f aca="false">Z292</f>
        <v>0</v>
      </c>
      <c r="S298" s="15" t="n">
        <f aca="false">AA292</f>
        <v>0</v>
      </c>
      <c r="T298" s="15" t="n">
        <f aca="false">MIN(R298,MAX(0,Q298))</f>
        <v>0</v>
      </c>
      <c r="U298" s="15" t="n">
        <f aca="false">MIN(S298,MAX(0,Q298-T298)*Parametri_v3!$C$42)</f>
        <v>0</v>
      </c>
      <c r="V298" s="15" t="n">
        <f aca="false">MAX(0,Q298-T298-U298)*Ipotesi!$C$92</f>
        <v>19727.85007792</v>
      </c>
      <c r="W298" s="15" t="n">
        <f aca="false">MAX(0,SUM(M293:M298)+Parametri_v3!$C$57*6/12)*Ipotesi!$C$93</f>
        <v>3205.775637662</v>
      </c>
      <c r="X298" s="15" t="n">
        <f aca="false">V298+W298-(V297+W297)</f>
        <v>3817.427202597</v>
      </c>
      <c r="Y298" s="15" t="n">
        <f aca="false">P298-X298</f>
        <v>9865.10757373634</v>
      </c>
      <c r="Z298" s="15" t="n">
        <f aca="false">R298-T298+IF(AND(Parametri_v3!$C$40=1,D298-YEAR(Parametri_v3!$C$50)&lt;Parametri_v3!$C$41),MAX(0,-Q298),0)</f>
        <v>0</v>
      </c>
      <c r="AA298" s="15" t="n">
        <f aca="false">S298-U298+IF(AND(Parametri_v3!$C$40=1,D298-YEAR(Parametri_v3!$C$50)&lt;Parametri_v3!$C$41),0,MAX(0,-Q298))</f>
        <v>0</v>
      </c>
      <c r="AB298" s="15" t="n">
        <f aca="false">F298*(1+Parametri_v3!$C$26)</f>
        <v>70027.2375</v>
      </c>
      <c r="AC298" s="15" t="n">
        <f aca="false">(IF(54-(INT((Motore_Operativo!L298)/30))&lt;1,0,INDEX(Motore_Advisory!$AB$245:$AB$304,MAX(1,54-(INT((Motore_Operativo!L298)/30)))))*(1-(MOD((Motore_Operativo!L298),30)/30))+IF(54-(INT((Motore_Operativo!L298)/30))-1&lt;1,0,INDEX(Motore_Advisory!$AB$245:$AB$304,MAX(1,54-(INT((Motore_Operativo!L298)/30))-1)))*(MOD((Motore_Operativo!L298),30)/30))</f>
        <v>70027.2375</v>
      </c>
      <c r="AD298" s="15" t="n">
        <f aca="false">(AD297)+AB298-AC298</f>
        <v>280108.95</v>
      </c>
      <c r="AE298" s="15" t="n">
        <f aca="false">Motore_Operativo!BH298*(1+Parametri_v3!$C$26)</f>
        <v>7002.72375</v>
      </c>
      <c r="AF298" s="15" t="n">
        <f aca="false">(IF(54-(INT((Parametri_v3!$C$29)/30))&lt;1,0,INDEX(Motore_Operativo!$BH$245:$BH$304,MAX(1,54-(INT((Parametri_v3!$C$29)/30)))))*(1-(MOD((Parametri_v3!$C$29),30)/30))+IF(54-(INT((Parametri_v3!$C$29)/30))-1&lt;1,0,INDEX(Motore_Operativo!$BH$245:$BH$304,MAX(1,54-(INT((Parametri_v3!$C$29)/30))-1)))*(MOD((Parametri_v3!$C$29),30)/30))*(1+Parametri_v3!$C$26)</f>
        <v>7002.72375</v>
      </c>
      <c r="AG298" s="15" t="n">
        <f aca="false">(AG297)+AE298-AF298</f>
        <v>7002.72375000001</v>
      </c>
      <c r="AH298" s="15" t="n">
        <f aca="false">(Motore_Operativo!CK298)*(1+Parametri_v3!$C$28*Parametri_v3!$C$26)</f>
        <v>17948.9499</v>
      </c>
      <c r="AI298" s="15" t="n">
        <f aca="false">(IF(54-(INT((Ipotesi!$C$91)/30))&lt;1,0,INDEX(Motore_Advisory!$AH$245:$AH$304,MAX(1,54-(INT((Ipotesi!$C$91)/30)))))*(1-(MOD((Ipotesi!$C$91),30)/30))+IF(54-(INT((Ipotesi!$C$91)/30))-1&lt;1,0,INDEX(Motore_Advisory!$AH$245:$AH$304,MAX(1,54-(INT((Ipotesi!$C$91)/30))-1)))*(MOD((Ipotesi!$C$91),30)/30))</f>
        <v>17948.9499</v>
      </c>
      <c r="AJ298" s="15" t="n">
        <f aca="false">(AJ297)+AH298-AI298</f>
        <v>35897.8998</v>
      </c>
      <c r="AK298" s="15" t="n">
        <f aca="false">(F298- Motore_Operativo!BH298-(Motore_Operativo!CK298)*Parametri_v3!$C$28-Motore_Operativo!CF298)*Parametri_v3!$C$26</f>
        <v>8532.17218333334</v>
      </c>
      <c r="AL298" s="15" t="n">
        <f aca="false">MAX(0,(AM297))</f>
        <v>8532.17218333334</v>
      </c>
      <c r="AM298" s="15" t="n">
        <f aca="false">(AM297)+AK298-AL298</f>
        <v>8532.17218333334</v>
      </c>
      <c r="AN298" s="15" t="n">
        <f aca="false">SUM(X281:X292)</f>
        <v>33335.99421665</v>
      </c>
      <c r="AO298" s="15" t="n">
        <f aca="false">SUM(AP281:AP292)</f>
        <v>15038.513075</v>
      </c>
      <c r="AP298" s="15" t="n">
        <f aca="false">MAX(0,AN298)*IF(6=Parametri_v3!$C$43,Parametri_v3!$C$45,IF(6=Parametri_v3!$C$44,1-Parametri_v3!$C$45,0))</f>
        <v>13334.39768666</v>
      </c>
      <c r="AQ298" s="15" t="n">
        <f aca="false">MAX(0,AP298+IF(6=Parametri_v3!$C$43,MAX(0,AN298-AO298),0)-MAX(0,-(AR297)))</f>
        <v>31631.87882831</v>
      </c>
      <c r="AR298" s="15" t="n">
        <f aca="false">(AR297)+X298-AQ298</f>
        <v>9599.22802892201</v>
      </c>
      <c r="AS298" s="15" t="n">
        <f aca="false">Motore_Operativo!AC298-AT298+AU298</f>
        <v>21063.89737915</v>
      </c>
      <c r="AT298" s="15" t="n">
        <f aca="false">Motore_Operativo!CI298</f>
        <v>1108.62617785</v>
      </c>
      <c r="AU298" s="15" t="n">
        <f aca="false">MIN(MAX(0,(AV297)+AT298),Parametri_v3!$C$61/12)</f>
        <v>0</v>
      </c>
      <c r="AV298" s="15" t="n">
        <f aca="false">(AV297)+AT298-AU298</f>
        <v>30345.1937496</v>
      </c>
      <c r="AW298" s="15" t="n">
        <f aca="false">IF(AND(Motore_Operativo!C298=Finanziamenti!$D$7,Finanziamenti!$F$7=1),Finanziamenti!$C$7,0)</f>
        <v>0</v>
      </c>
      <c r="AX298" s="15" t="n">
        <f aca="false">0</f>
        <v>0</v>
      </c>
      <c r="AY298" s="15" t="n">
        <f aca="false">IF(6=Parametri_v3!$C$33,IF(BV298&lt;MIN(12,$B298-1),0,MIN(MAX(0,SUM(Y281:Y292))*Ipotesi!$C$94,MAX(0,(BM292)-(BO297)-BP298),MAX(0,BD298-Parametri_v3!$C$31))),0)</f>
        <v>0</v>
      </c>
      <c r="AZ298" s="15" t="n">
        <f aca="false">0</f>
        <v>0</v>
      </c>
      <c r="BA298" s="15" t="n">
        <f aca="false">0</f>
        <v>0</v>
      </c>
      <c r="BB298" s="15" t="n">
        <f aca="false">0</f>
        <v>0</v>
      </c>
      <c r="BC298" s="15" t="n">
        <f aca="false">0</f>
        <v>0</v>
      </c>
      <c r="BD298" s="15" t="n">
        <f aca="false">(BH297)+AC298-AF298-AI298-AS298-K298*(1+Parametri_v3!$C$26)-AL298-AQ298-O298+AW298+AX298+AZ298+BA298-BB298</f>
        <v>17565.9580550252</v>
      </c>
      <c r="BE298" s="15" t="n">
        <f aca="false">0</f>
        <v>0</v>
      </c>
      <c r="BF298" s="15" t="n">
        <f aca="false">0</f>
        <v>0</v>
      </c>
      <c r="BG298" s="15" t="n">
        <f aca="false">0</f>
        <v>0</v>
      </c>
      <c r="BH298" s="15" t="n">
        <f aca="false">BD298+BE298-BF298-AY298</f>
        <v>17565.9580550252</v>
      </c>
      <c r="BI298" s="15" t="n">
        <f aca="false">MAX(0,Parametri_v3!$C$31-BH298)</f>
        <v>0</v>
      </c>
      <c r="BJ298" s="15" t="n">
        <f aca="false">(BJ297)+K298</f>
        <v>25000</v>
      </c>
      <c r="BK298" s="15" t="n">
        <f aca="false">(BK297)+L298</f>
        <v>14395.8333333333</v>
      </c>
      <c r="BL298" s="15" t="n">
        <f aca="false">BJ298-BK298</f>
        <v>10604.1666666667</v>
      </c>
      <c r="BM298" s="15" t="n">
        <f aca="false">(BM297)+Y298</f>
        <v>196901.857209837</v>
      </c>
      <c r="BN298" s="15" t="n">
        <f aca="false">(BN297)+AW298+AX298+AZ298</f>
        <v>20000</v>
      </c>
      <c r="BO298" s="15" t="n">
        <f aca="false">(BO297)+AY298</f>
        <v>0</v>
      </c>
      <c r="BP298" s="15" t="n">
        <f aca="false">MIN(Parametri_v3!$C$36*Parametri_v3!$C$35,(BP297)+IF(6=1,MAX(0,SUM(Y281:Y292))*Parametri_v3!$C$34,0))</f>
        <v>2000</v>
      </c>
      <c r="BQ298" s="15" t="n">
        <f aca="false">BN298+BM298-BO298</f>
        <v>216901.857209837</v>
      </c>
      <c r="BR298" s="15" t="n">
        <f aca="false">BH298+AD298+BL298+MAX(0,-AM298)+MAX(0,-AR298)</f>
        <v>308279.074721692</v>
      </c>
      <c r="BS298" s="15" t="n">
        <f aca="false">AJ298+AV298+MAX(0,AM298)+MAX(0,AR298)+BC298+BG298+BQ298+AG298</f>
        <v>308279.074721692</v>
      </c>
      <c r="BT298" s="15" t="n">
        <f aca="false">BR298-BS298</f>
        <v>0</v>
      </c>
      <c r="BU298" s="15" t="n">
        <f aca="false">BH298-(BD298+BE298-BF298-AY298)</f>
        <v>0</v>
      </c>
      <c r="BV298" s="15" t="n">
        <f aca="false">IF(BH297&lt;Parametri_v3!$C$31,0,BV297+1)</f>
        <v>6</v>
      </c>
    </row>
    <row r="299" customFormat="false" ht="18" hidden="false" customHeight="true" outlineLevel="0" collapsed="false">
      <c r="A299" s="68" t="n">
        <f aca="false">5</f>
        <v>5</v>
      </c>
      <c r="B299" s="68" t="n">
        <f aca="false">55</f>
        <v>55</v>
      </c>
      <c r="C299" s="18" t="n">
        <f aca="false">Motore_Operativo!C299</f>
        <v>48030</v>
      </c>
      <c r="D299" s="68" t="n">
        <f aca="false">Motore_Operativo!D299</f>
        <v>2031</v>
      </c>
      <c r="E299" s="68" t="n">
        <f aca="false">Motore_Operativo!E299</f>
        <v>7</v>
      </c>
      <c r="F299" s="15" t="n">
        <f aca="false">Motore_Operativo!AM299</f>
        <v>57399.375</v>
      </c>
      <c r="G299" s="15" t="n">
        <f aca="false">Motore_Operativo!BH299</f>
        <v>5739.9375</v>
      </c>
      <c r="H299" s="15" t="n">
        <f aca="false">Motore_Operativo!AM299</f>
        <v>57399.375</v>
      </c>
      <c r="I299" s="15" t="n">
        <f aca="false">Motore_Operativo!CB299</f>
        <v>43175.173557</v>
      </c>
      <c r="J299" s="15" t="n">
        <f aca="false">Motore_Operativo!CD299</f>
        <v>14224.201443</v>
      </c>
      <c r="K299" s="15" t="n">
        <f aca="false">Motore_Operativo!CF299</f>
        <v>666.666666666667</v>
      </c>
      <c r="L299" s="15" t="n">
        <f aca="false">SUM(INDEX($K$245:$K$304,MAX(1,55-Parametri_v3!$C$59+1)):K299)/Parametri_v3!$C$59</f>
        <v>548.611111111111</v>
      </c>
      <c r="M299" s="15" t="n">
        <f aca="false">J299-L299</f>
        <v>13675.5903318889</v>
      </c>
      <c r="N299" s="15" t="n">
        <f aca="false">0</f>
        <v>0</v>
      </c>
      <c r="O299" s="15" t="n">
        <f aca="false">0</f>
        <v>0</v>
      </c>
      <c r="P299" s="15" t="n">
        <f aca="false">M299+N299-O299</f>
        <v>13675.5903318889</v>
      </c>
      <c r="Q299" s="15" t="n">
        <f aca="false">SUM(P293:P299)+Parametri_v3!$C$56*7/12</f>
        <v>95874.9656565556</v>
      </c>
      <c r="R299" s="15" t="n">
        <f aca="false">Z292</f>
        <v>0</v>
      </c>
      <c r="S299" s="15" t="n">
        <f aca="false">AA292</f>
        <v>0</v>
      </c>
      <c r="T299" s="15" t="n">
        <f aca="false">MIN(R299,MAX(0,Q299))</f>
        <v>0</v>
      </c>
      <c r="U299" s="15" t="n">
        <f aca="false">MIN(S299,MAX(0,Q299-T299)*Parametri_v3!$C$42)</f>
        <v>0</v>
      </c>
      <c r="V299" s="15" t="n">
        <f aca="false">MAX(0,Q299-T299-U299)*Ipotesi!$C$92</f>
        <v>23009.9917575733</v>
      </c>
      <c r="W299" s="15" t="n">
        <f aca="false">MAX(0,SUM(M293:M299)+Parametri_v3!$C$57*7/12)*Ipotesi!$C$93</f>
        <v>3739.12366060567</v>
      </c>
      <c r="X299" s="15" t="n">
        <f aca="false">V299+W299-(V298+W298)</f>
        <v>3815.489702597</v>
      </c>
      <c r="Y299" s="15" t="n">
        <f aca="false">P299-X299</f>
        <v>9860.10062929189</v>
      </c>
      <c r="Z299" s="15" t="n">
        <f aca="false">R299-T299+IF(AND(Parametri_v3!$C$40=1,D299-YEAR(Parametri_v3!$C$50)&lt;Parametri_v3!$C$41),MAX(0,-Q299),0)</f>
        <v>0</v>
      </c>
      <c r="AA299" s="15" t="n">
        <f aca="false">S299-U299+IF(AND(Parametri_v3!$C$40=1,D299-YEAR(Parametri_v3!$C$50)&lt;Parametri_v3!$C$41),0,MAX(0,-Q299))</f>
        <v>0</v>
      </c>
      <c r="AB299" s="15" t="n">
        <f aca="false">F299*(1+Parametri_v3!$C$26)</f>
        <v>70027.2375</v>
      </c>
      <c r="AC299" s="15" t="n">
        <f aca="false">(IF(55-(INT((Motore_Operativo!L299)/30))&lt;1,0,INDEX(Motore_Advisory!$AB$245:$AB$304,MAX(1,55-(INT((Motore_Operativo!L299)/30)))))*(1-(MOD((Motore_Operativo!L299),30)/30))+IF(55-(INT((Motore_Operativo!L299)/30))-1&lt;1,0,INDEX(Motore_Advisory!$AB$245:$AB$304,MAX(1,55-(INT((Motore_Operativo!L299)/30))-1)))*(MOD((Motore_Operativo!L299),30)/30))</f>
        <v>70027.2375</v>
      </c>
      <c r="AD299" s="15" t="n">
        <f aca="false">(AD298)+AB299-AC299</f>
        <v>280108.95</v>
      </c>
      <c r="AE299" s="15" t="n">
        <f aca="false">Motore_Operativo!BH299*(1+Parametri_v3!$C$26)</f>
        <v>7002.72375</v>
      </c>
      <c r="AF299" s="15" t="n">
        <f aca="false">(IF(55-(INT((Parametri_v3!$C$29)/30))&lt;1,0,INDEX(Motore_Operativo!$BH$245:$BH$304,MAX(1,55-(INT((Parametri_v3!$C$29)/30)))))*(1-(MOD((Parametri_v3!$C$29),30)/30))+IF(55-(INT((Parametri_v3!$C$29)/30))-1&lt;1,0,INDEX(Motore_Operativo!$BH$245:$BH$304,MAX(1,55-(INT((Parametri_v3!$C$29)/30))-1)))*(MOD((Parametri_v3!$C$29),30)/30))*(1+Parametri_v3!$C$26)</f>
        <v>7002.72375</v>
      </c>
      <c r="AG299" s="15" t="n">
        <f aca="false">(AG298)+AE299-AF299</f>
        <v>7002.72375000001</v>
      </c>
      <c r="AH299" s="15" t="n">
        <f aca="false">(Motore_Operativo!CK299)*(1+Parametri_v3!$C$28*Parametri_v3!$C$26)</f>
        <v>17948.9499</v>
      </c>
      <c r="AI299" s="15" t="n">
        <f aca="false">(IF(55-(INT((Ipotesi!$C$91)/30))&lt;1,0,INDEX(Motore_Advisory!$AH$245:$AH$304,MAX(1,55-(INT((Ipotesi!$C$91)/30)))))*(1-(MOD((Ipotesi!$C$91),30)/30))+IF(55-(INT((Ipotesi!$C$91)/30))-1&lt;1,0,INDEX(Motore_Advisory!$AH$245:$AH$304,MAX(1,55-(INT((Ipotesi!$C$91)/30))-1)))*(MOD((Ipotesi!$C$91),30)/30))</f>
        <v>17948.9499</v>
      </c>
      <c r="AJ299" s="15" t="n">
        <f aca="false">(AJ298)+AH299-AI299</f>
        <v>35897.8998</v>
      </c>
      <c r="AK299" s="15" t="n">
        <f aca="false">(F299- Motore_Operativo!BH299-(Motore_Operativo!CK299)*Parametri_v3!$C$28-Motore_Operativo!CF299)*Parametri_v3!$C$26</f>
        <v>8532.17218333334</v>
      </c>
      <c r="AL299" s="15" t="n">
        <f aca="false">MAX(0,(AM298))</f>
        <v>8532.17218333334</v>
      </c>
      <c r="AM299" s="15" t="n">
        <f aca="false">(AM298)+AK299-AL299</f>
        <v>8532.17218333334</v>
      </c>
      <c r="AN299" s="15" t="n">
        <f aca="false">SUM(X281:X292)</f>
        <v>33335.99421665</v>
      </c>
      <c r="AO299" s="15" t="n">
        <f aca="false">SUM(AP281:AP292)</f>
        <v>15038.513075</v>
      </c>
      <c r="AP299" s="15" t="n">
        <f aca="false">MAX(0,AN299)*IF(7=Parametri_v3!$C$43,Parametri_v3!$C$45,IF(7=Parametri_v3!$C$44,1-Parametri_v3!$C$45,0))</f>
        <v>0</v>
      </c>
      <c r="AQ299" s="15" t="n">
        <f aca="false">MAX(0,AP299+IF(7=Parametri_v3!$C$43,MAX(0,AN299-AO299),0)-MAX(0,-(AR298)))</f>
        <v>0</v>
      </c>
      <c r="AR299" s="15" t="n">
        <f aca="false">(AR298)+X299-AQ299</f>
        <v>13414.717731519</v>
      </c>
      <c r="AS299" s="15" t="n">
        <f aca="false">Motore_Operativo!AC299-AT299+AU299</f>
        <v>21063.89737915</v>
      </c>
      <c r="AT299" s="15" t="n">
        <f aca="false">Motore_Operativo!CI299</f>
        <v>1108.62617785</v>
      </c>
      <c r="AU299" s="15" t="n">
        <f aca="false">MIN(MAX(0,(AV298)+AT299),Parametri_v3!$C$61/12)</f>
        <v>0</v>
      </c>
      <c r="AV299" s="15" t="n">
        <f aca="false">(AV298)+AT299-AU299</f>
        <v>31453.81992745</v>
      </c>
      <c r="AW299" s="15" t="n">
        <f aca="false">IF(AND(Motore_Operativo!C299=Finanziamenti!$D$7,Finanziamenti!$F$7=1),Finanziamenti!$C$7,0)</f>
        <v>0</v>
      </c>
      <c r="AX299" s="15" t="n">
        <f aca="false">0</f>
        <v>0</v>
      </c>
      <c r="AY299" s="15" t="n">
        <f aca="false">IF(7=Parametri_v3!$C$33,IF(BV299&lt;MIN(12,$B299-1),0,MIN(MAX(0,SUM(Y281:Y292))*Ipotesi!$C$94,MAX(0,(BM292)-(BO298)-BP299),MAX(0,BD299-Parametri_v3!$C$31))),0)</f>
        <v>0</v>
      </c>
      <c r="AZ299" s="15" t="n">
        <f aca="false">0</f>
        <v>0</v>
      </c>
      <c r="BA299" s="15" t="n">
        <f aca="false">0</f>
        <v>0</v>
      </c>
      <c r="BB299" s="15" t="n">
        <f aca="false">0</f>
        <v>0</v>
      </c>
      <c r="BC299" s="15" t="n">
        <f aca="false">0</f>
        <v>0</v>
      </c>
      <c r="BD299" s="15" t="n">
        <f aca="false">(BH298)+AC299-AF299-AI299-AS299-K299*(1+Parametri_v3!$C$26)-AL299-AQ299-O299+AW299+AX299+AZ299+BA299-BB299</f>
        <v>32232.1190092085</v>
      </c>
      <c r="BE299" s="15" t="n">
        <f aca="false">0</f>
        <v>0</v>
      </c>
      <c r="BF299" s="15" t="n">
        <f aca="false">0</f>
        <v>0</v>
      </c>
      <c r="BG299" s="15" t="n">
        <f aca="false">0</f>
        <v>0</v>
      </c>
      <c r="BH299" s="15" t="n">
        <f aca="false">BD299+BE299-BF299-AY299</f>
        <v>32232.1190092085</v>
      </c>
      <c r="BI299" s="15" t="n">
        <f aca="false">MAX(0,Parametri_v3!$C$31-BH299)</f>
        <v>0</v>
      </c>
      <c r="BJ299" s="15" t="n">
        <f aca="false">(BJ298)+K299</f>
        <v>25666.6666666667</v>
      </c>
      <c r="BK299" s="15" t="n">
        <f aca="false">(BK298)+L299</f>
        <v>14944.4444444444</v>
      </c>
      <c r="BL299" s="15" t="n">
        <f aca="false">BJ299-BK299</f>
        <v>10722.2222222222</v>
      </c>
      <c r="BM299" s="15" t="n">
        <f aca="false">(BM298)+Y299</f>
        <v>206761.957839128</v>
      </c>
      <c r="BN299" s="15" t="n">
        <f aca="false">(BN298)+AW299+AX299+AZ299</f>
        <v>20000</v>
      </c>
      <c r="BO299" s="15" t="n">
        <f aca="false">(BO298)+AY299</f>
        <v>0</v>
      </c>
      <c r="BP299" s="15" t="n">
        <f aca="false">MIN(Parametri_v3!$C$36*Parametri_v3!$C$35,(BP298)+IF(7=1,MAX(0,SUM(Y281:Y292))*Parametri_v3!$C$34,0))</f>
        <v>2000</v>
      </c>
      <c r="BQ299" s="15" t="n">
        <f aca="false">BN299+BM299-BO299</f>
        <v>226761.957839128</v>
      </c>
      <c r="BR299" s="15" t="n">
        <f aca="false">BH299+AD299+BL299+MAX(0,-AM299)+MAX(0,-AR299)</f>
        <v>323063.291231431</v>
      </c>
      <c r="BS299" s="15" t="n">
        <f aca="false">AJ299+AV299+MAX(0,AM299)+MAX(0,AR299)+BC299+BG299+BQ299+AG299</f>
        <v>323063.291231431</v>
      </c>
      <c r="BT299" s="15" t="n">
        <f aca="false">BR299-BS299</f>
        <v>0</v>
      </c>
      <c r="BU299" s="15" t="n">
        <f aca="false">BH299-(BD299+BE299-BF299-AY299)</f>
        <v>0</v>
      </c>
      <c r="BV299" s="15" t="n">
        <f aca="false">IF(BH298&lt;Parametri_v3!$C$31,0,BV298+1)</f>
        <v>7</v>
      </c>
    </row>
    <row r="300" customFormat="false" ht="18" hidden="false" customHeight="true" outlineLevel="0" collapsed="false">
      <c r="A300" s="68" t="n">
        <f aca="false">5</f>
        <v>5</v>
      </c>
      <c r="B300" s="68" t="n">
        <f aca="false">56</f>
        <v>56</v>
      </c>
      <c r="C300" s="18" t="n">
        <f aca="false">Motore_Operativo!C300</f>
        <v>48061</v>
      </c>
      <c r="D300" s="68" t="n">
        <f aca="false">Motore_Operativo!D300</f>
        <v>2031</v>
      </c>
      <c r="E300" s="68" t="n">
        <f aca="false">Motore_Operativo!E300</f>
        <v>8</v>
      </c>
      <c r="F300" s="15" t="n">
        <f aca="false">Motore_Operativo!AM300</f>
        <v>57399.375</v>
      </c>
      <c r="G300" s="15" t="n">
        <f aca="false">Motore_Operativo!BH300</f>
        <v>5739.9375</v>
      </c>
      <c r="H300" s="15" t="n">
        <f aca="false">Motore_Operativo!AM300</f>
        <v>57399.375</v>
      </c>
      <c r="I300" s="15" t="n">
        <f aca="false">Motore_Operativo!CB300</f>
        <v>43175.173557</v>
      </c>
      <c r="J300" s="15" t="n">
        <f aca="false">Motore_Operativo!CD300</f>
        <v>14224.201443</v>
      </c>
      <c r="K300" s="15" t="n">
        <f aca="false">Motore_Operativo!CF300</f>
        <v>666.666666666667</v>
      </c>
      <c r="L300" s="15" t="n">
        <f aca="false">SUM(INDEX($K$245:$K$304,MAX(1,56-Parametri_v3!$C$59+1)):K300)/Parametri_v3!$C$59</f>
        <v>555.555555555556</v>
      </c>
      <c r="M300" s="15" t="n">
        <f aca="false">J300-L300</f>
        <v>13668.6458874445</v>
      </c>
      <c r="N300" s="15" t="n">
        <f aca="false">0</f>
        <v>0</v>
      </c>
      <c r="O300" s="15" t="n">
        <f aca="false">0</f>
        <v>0</v>
      </c>
      <c r="P300" s="15" t="n">
        <f aca="false">M300+N300-O300</f>
        <v>13668.6458874445</v>
      </c>
      <c r="Q300" s="15" t="n">
        <f aca="false">SUM(P293:P300)+Parametri_v3!$C$56*8/12</f>
        <v>109543.611544</v>
      </c>
      <c r="R300" s="15" t="n">
        <f aca="false">Z292</f>
        <v>0</v>
      </c>
      <c r="S300" s="15" t="n">
        <f aca="false">AA292</f>
        <v>0</v>
      </c>
      <c r="T300" s="15" t="n">
        <f aca="false">MIN(R300,MAX(0,Q300))</f>
        <v>0</v>
      </c>
      <c r="U300" s="15" t="n">
        <f aca="false">MIN(S300,MAX(0,Q300-T300)*Parametri_v3!$C$42)</f>
        <v>0</v>
      </c>
      <c r="V300" s="15" t="n">
        <f aca="false">MAX(0,Q300-T300-U300)*Ipotesi!$C$92</f>
        <v>26290.46677056</v>
      </c>
      <c r="W300" s="15" t="n">
        <f aca="false">MAX(0,SUM(M293:M300)+Parametri_v3!$C$57*8/12)*Ipotesi!$C$93</f>
        <v>4272.200850216</v>
      </c>
      <c r="X300" s="15" t="n">
        <f aca="false">V300+W300-(V299+W299)</f>
        <v>3813.552202597</v>
      </c>
      <c r="Y300" s="15" t="n">
        <f aca="false">P300-X300</f>
        <v>9855.09368484745</v>
      </c>
      <c r="Z300" s="15" t="n">
        <f aca="false">R300-T300+IF(AND(Parametri_v3!$C$40=1,D300-YEAR(Parametri_v3!$C$50)&lt;Parametri_v3!$C$41),MAX(0,-Q300),0)</f>
        <v>0</v>
      </c>
      <c r="AA300" s="15" t="n">
        <f aca="false">S300-U300+IF(AND(Parametri_v3!$C$40=1,D300-YEAR(Parametri_v3!$C$50)&lt;Parametri_v3!$C$41),0,MAX(0,-Q300))</f>
        <v>0</v>
      </c>
      <c r="AB300" s="15" t="n">
        <f aca="false">F300*(1+Parametri_v3!$C$26)</f>
        <v>70027.2375</v>
      </c>
      <c r="AC300" s="15" t="n">
        <f aca="false">(IF(56-(INT((Motore_Operativo!L300)/30))&lt;1,0,INDEX(Motore_Advisory!$AB$245:$AB$304,MAX(1,56-(INT((Motore_Operativo!L300)/30)))))*(1-(MOD((Motore_Operativo!L300),30)/30))+IF(56-(INT((Motore_Operativo!L300)/30))-1&lt;1,0,INDEX(Motore_Advisory!$AB$245:$AB$304,MAX(1,56-(INT((Motore_Operativo!L300)/30))-1)))*(MOD((Motore_Operativo!L300),30)/30))</f>
        <v>70027.2375</v>
      </c>
      <c r="AD300" s="15" t="n">
        <f aca="false">(AD299)+AB300-AC300</f>
        <v>280108.95</v>
      </c>
      <c r="AE300" s="15" t="n">
        <f aca="false">Motore_Operativo!BH300*(1+Parametri_v3!$C$26)</f>
        <v>7002.72375</v>
      </c>
      <c r="AF300" s="15" t="n">
        <f aca="false">(IF(56-(INT((Parametri_v3!$C$29)/30))&lt;1,0,INDEX(Motore_Operativo!$BH$245:$BH$304,MAX(1,56-(INT((Parametri_v3!$C$29)/30)))))*(1-(MOD((Parametri_v3!$C$29),30)/30))+IF(56-(INT((Parametri_v3!$C$29)/30))-1&lt;1,0,INDEX(Motore_Operativo!$BH$245:$BH$304,MAX(1,56-(INT((Parametri_v3!$C$29)/30))-1)))*(MOD((Parametri_v3!$C$29),30)/30))*(1+Parametri_v3!$C$26)</f>
        <v>7002.72375</v>
      </c>
      <c r="AG300" s="15" t="n">
        <f aca="false">(AG299)+AE300-AF300</f>
        <v>7002.72375000001</v>
      </c>
      <c r="AH300" s="15" t="n">
        <f aca="false">(Motore_Operativo!CK300)*(1+Parametri_v3!$C$28*Parametri_v3!$C$26)</f>
        <v>17948.9499</v>
      </c>
      <c r="AI300" s="15" t="n">
        <f aca="false">(IF(56-(INT((Ipotesi!$C$91)/30))&lt;1,0,INDEX(Motore_Advisory!$AH$245:$AH$304,MAX(1,56-(INT((Ipotesi!$C$91)/30)))))*(1-(MOD((Ipotesi!$C$91),30)/30))+IF(56-(INT((Ipotesi!$C$91)/30))-1&lt;1,0,INDEX(Motore_Advisory!$AH$245:$AH$304,MAX(1,56-(INT((Ipotesi!$C$91)/30))-1)))*(MOD((Ipotesi!$C$91),30)/30))</f>
        <v>17948.9499</v>
      </c>
      <c r="AJ300" s="15" t="n">
        <f aca="false">(AJ299)+AH300-AI300</f>
        <v>35897.8998</v>
      </c>
      <c r="AK300" s="15" t="n">
        <f aca="false">(F300- Motore_Operativo!BH300-(Motore_Operativo!CK300)*Parametri_v3!$C$28-Motore_Operativo!CF300)*Parametri_v3!$C$26</f>
        <v>8532.17218333334</v>
      </c>
      <c r="AL300" s="15" t="n">
        <f aca="false">MAX(0,(AM299))</f>
        <v>8532.17218333334</v>
      </c>
      <c r="AM300" s="15" t="n">
        <f aca="false">(AM299)+AK300-AL300</f>
        <v>8532.17218333334</v>
      </c>
      <c r="AN300" s="15" t="n">
        <f aca="false">SUM(X281:X292)</f>
        <v>33335.99421665</v>
      </c>
      <c r="AO300" s="15" t="n">
        <f aca="false">SUM(AP281:AP292)</f>
        <v>15038.513075</v>
      </c>
      <c r="AP300" s="15" t="n">
        <f aca="false">MAX(0,AN300)*IF(8=Parametri_v3!$C$43,Parametri_v3!$C$45,IF(8=Parametri_v3!$C$44,1-Parametri_v3!$C$45,0))</f>
        <v>0</v>
      </c>
      <c r="AQ300" s="15" t="n">
        <f aca="false">MAX(0,AP300+IF(8=Parametri_v3!$C$43,MAX(0,AN300-AO300),0)-MAX(0,-(AR299)))</f>
        <v>0</v>
      </c>
      <c r="AR300" s="15" t="n">
        <f aca="false">(AR299)+X300-AQ300</f>
        <v>17228.269934116</v>
      </c>
      <c r="AS300" s="15" t="n">
        <f aca="false">Motore_Operativo!AC300-AT300+AU300</f>
        <v>21063.89737915</v>
      </c>
      <c r="AT300" s="15" t="n">
        <f aca="false">Motore_Operativo!CI300</f>
        <v>1108.62617785</v>
      </c>
      <c r="AU300" s="15" t="n">
        <f aca="false">MIN(MAX(0,(AV299)+AT300),Parametri_v3!$C$61/12)</f>
        <v>0</v>
      </c>
      <c r="AV300" s="15" t="n">
        <f aca="false">(AV299)+AT300-AU300</f>
        <v>32562.4461053</v>
      </c>
      <c r="AW300" s="15" t="n">
        <f aca="false">IF(AND(Motore_Operativo!C300=Finanziamenti!$D$7,Finanziamenti!$F$7=1),Finanziamenti!$C$7,0)</f>
        <v>0</v>
      </c>
      <c r="AX300" s="15" t="n">
        <f aca="false">0</f>
        <v>0</v>
      </c>
      <c r="AY300" s="15" t="n">
        <f aca="false">IF(8=Parametri_v3!$C$33,IF(BV300&lt;MIN(12,$B300-1),0,MIN(MAX(0,SUM(Y281:Y292))*Ipotesi!$C$94,MAX(0,(BM292)-(BO299)-BP300),MAX(0,BD300-Parametri_v3!$C$31))),0)</f>
        <v>0</v>
      </c>
      <c r="AZ300" s="15" t="n">
        <f aca="false">0</f>
        <v>0</v>
      </c>
      <c r="BA300" s="15" t="n">
        <f aca="false">0</f>
        <v>0</v>
      </c>
      <c r="BB300" s="15" t="n">
        <f aca="false">0</f>
        <v>0</v>
      </c>
      <c r="BC300" s="15" t="n">
        <f aca="false">0</f>
        <v>0</v>
      </c>
      <c r="BD300" s="15" t="n">
        <f aca="false">(BH299)+AC300-AF300-AI300-AS300-K300*(1+Parametri_v3!$C$26)-AL300-AQ300-O300+AW300+AX300+AZ300+BA300-BB300</f>
        <v>46898.2799633918</v>
      </c>
      <c r="BE300" s="15" t="n">
        <f aca="false">0</f>
        <v>0</v>
      </c>
      <c r="BF300" s="15" t="n">
        <f aca="false">0</f>
        <v>0</v>
      </c>
      <c r="BG300" s="15" t="n">
        <f aca="false">0</f>
        <v>0</v>
      </c>
      <c r="BH300" s="15" t="n">
        <f aca="false">BD300+BE300-BF300-AY300</f>
        <v>46898.2799633918</v>
      </c>
      <c r="BI300" s="15" t="n">
        <f aca="false">MAX(0,Parametri_v3!$C$31-BH300)</f>
        <v>0</v>
      </c>
      <c r="BJ300" s="15" t="n">
        <f aca="false">(BJ299)+K300</f>
        <v>26333.3333333333</v>
      </c>
      <c r="BK300" s="15" t="n">
        <f aca="false">(BK299)+L300</f>
        <v>15500</v>
      </c>
      <c r="BL300" s="15" t="n">
        <f aca="false">BJ300-BK300</f>
        <v>10833.3333333333</v>
      </c>
      <c r="BM300" s="15" t="n">
        <f aca="false">(BM299)+Y300</f>
        <v>216617.051523976</v>
      </c>
      <c r="BN300" s="15" t="n">
        <f aca="false">(BN299)+AW300+AX300+AZ300</f>
        <v>20000</v>
      </c>
      <c r="BO300" s="15" t="n">
        <f aca="false">(BO299)+AY300</f>
        <v>0</v>
      </c>
      <c r="BP300" s="15" t="n">
        <f aca="false">MIN(Parametri_v3!$C$36*Parametri_v3!$C$35,(BP299)+IF(8=1,MAX(0,SUM(Y281:Y292))*Parametri_v3!$C$34,0))</f>
        <v>2000</v>
      </c>
      <c r="BQ300" s="15" t="n">
        <f aca="false">BN300+BM300-BO300</f>
        <v>236617.051523976</v>
      </c>
      <c r="BR300" s="15" t="n">
        <f aca="false">BH300+AD300+BL300+MAX(0,-AM300)+MAX(0,-AR300)</f>
        <v>337840.563296725</v>
      </c>
      <c r="BS300" s="15" t="n">
        <f aca="false">AJ300+AV300+MAX(0,AM300)+MAX(0,AR300)+BC300+BG300+BQ300+AG300</f>
        <v>337840.563296725</v>
      </c>
      <c r="BT300" s="15" t="n">
        <f aca="false">BR300-BS300</f>
        <v>0</v>
      </c>
      <c r="BU300" s="15" t="n">
        <f aca="false">BH300-(BD300+BE300-BF300-AY300)</f>
        <v>0</v>
      </c>
      <c r="BV300" s="15" t="n">
        <f aca="false">IF(BH299&lt;Parametri_v3!$C$31,0,BV299+1)</f>
        <v>8</v>
      </c>
    </row>
    <row r="301" customFormat="false" ht="18" hidden="false" customHeight="true" outlineLevel="0" collapsed="false">
      <c r="A301" s="68" t="n">
        <f aca="false">5</f>
        <v>5</v>
      </c>
      <c r="B301" s="68" t="n">
        <f aca="false">57</f>
        <v>57</v>
      </c>
      <c r="C301" s="18" t="n">
        <f aca="false">Motore_Operativo!C301</f>
        <v>48092</v>
      </c>
      <c r="D301" s="68" t="n">
        <f aca="false">Motore_Operativo!D301</f>
        <v>2031</v>
      </c>
      <c r="E301" s="68" t="n">
        <f aca="false">Motore_Operativo!E301</f>
        <v>9</v>
      </c>
      <c r="F301" s="15" t="n">
        <f aca="false">Motore_Operativo!AM301</f>
        <v>57399.375</v>
      </c>
      <c r="G301" s="15" t="n">
        <f aca="false">Motore_Operativo!BH301</f>
        <v>5739.9375</v>
      </c>
      <c r="H301" s="15" t="n">
        <f aca="false">Motore_Operativo!AM301</f>
        <v>57399.375</v>
      </c>
      <c r="I301" s="15" t="n">
        <f aca="false">Motore_Operativo!CB301</f>
        <v>43175.173557</v>
      </c>
      <c r="J301" s="15" t="n">
        <f aca="false">Motore_Operativo!CD301</f>
        <v>14224.201443</v>
      </c>
      <c r="K301" s="15" t="n">
        <f aca="false">Motore_Operativo!CF301</f>
        <v>666.666666666667</v>
      </c>
      <c r="L301" s="15" t="n">
        <f aca="false">SUM(INDEX($K$245:$K$304,MAX(1,57-Parametri_v3!$C$59+1)):K301)/Parametri_v3!$C$59</f>
        <v>562.5</v>
      </c>
      <c r="M301" s="15" t="n">
        <f aca="false">J301-L301</f>
        <v>13661.701443</v>
      </c>
      <c r="N301" s="15" t="n">
        <f aca="false">0</f>
        <v>0</v>
      </c>
      <c r="O301" s="15" t="n">
        <f aca="false">0</f>
        <v>0</v>
      </c>
      <c r="P301" s="15" t="n">
        <f aca="false">M301+N301-O301</f>
        <v>13661.701443</v>
      </c>
      <c r="Q301" s="15" t="n">
        <f aca="false">SUM(P293:P301)+Parametri_v3!$C$56*9/12</f>
        <v>123205.312987</v>
      </c>
      <c r="R301" s="15" t="n">
        <f aca="false">Z292</f>
        <v>0</v>
      </c>
      <c r="S301" s="15" t="n">
        <f aca="false">AA292</f>
        <v>0</v>
      </c>
      <c r="T301" s="15" t="n">
        <f aca="false">MIN(R301,MAX(0,Q301))</f>
        <v>0</v>
      </c>
      <c r="U301" s="15" t="n">
        <f aca="false">MIN(S301,MAX(0,Q301-T301)*Parametri_v3!$C$42)</f>
        <v>0</v>
      </c>
      <c r="V301" s="15" t="n">
        <f aca="false">MAX(0,Q301-T301-U301)*Ipotesi!$C$92</f>
        <v>29569.27511688</v>
      </c>
      <c r="W301" s="15" t="n">
        <f aca="false">MAX(0,SUM(M293:M301)+Parametri_v3!$C$57*9/12)*Ipotesi!$C$93</f>
        <v>4805.007206493</v>
      </c>
      <c r="X301" s="15" t="n">
        <f aca="false">V301+W301-(V300+W300)</f>
        <v>3811.614702597</v>
      </c>
      <c r="Y301" s="15" t="n">
        <f aca="false">P301-X301</f>
        <v>9850.08674040301</v>
      </c>
      <c r="Z301" s="15" t="n">
        <f aca="false">R301-T301+IF(AND(Parametri_v3!$C$40=1,D301-YEAR(Parametri_v3!$C$50)&lt;Parametri_v3!$C$41),MAX(0,-Q301),0)</f>
        <v>0</v>
      </c>
      <c r="AA301" s="15" t="n">
        <f aca="false">S301-U301+IF(AND(Parametri_v3!$C$40=1,D301-YEAR(Parametri_v3!$C$50)&lt;Parametri_v3!$C$41),0,MAX(0,-Q301))</f>
        <v>0</v>
      </c>
      <c r="AB301" s="15" t="n">
        <f aca="false">F301*(1+Parametri_v3!$C$26)</f>
        <v>70027.2375</v>
      </c>
      <c r="AC301" s="15" t="n">
        <f aca="false">(IF(57-(INT((Motore_Operativo!L301)/30))&lt;1,0,INDEX(Motore_Advisory!$AB$245:$AB$304,MAX(1,57-(INT((Motore_Operativo!L301)/30)))))*(1-(MOD((Motore_Operativo!L301),30)/30))+IF(57-(INT((Motore_Operativo!L301)/30))-1&lt;1,0,INDEX(Motore_Advisory!$AB$245:$AB$304,MAX(1,57-(INT((Motore_Operativo!L301)/30))-1)))*(MOD((Motore_Operativo!L301),30)/30))</f>
        <v>70027.2375</v>
      </c>
      <c r="AD301" s="15" t="n">
        <f aca="false">(AD300)+AB301-AC301</f>
        <v>280108.95</v>
      </c>
      <c r="AE301" s="15" t="n">
        <f aca="false">Motore_Operativo!BH301*(1+Parametri_v3!$C$26)</f>
        <v>7002.72375</v>
      </c>
      <c r="AF301" s="15" t="n">
        <f aca="false">(IF(57-(INT((Parametri_v3!$C$29)/30))&lt;1,0,INDEX(Motore_Operativo!$BH$245:$BH$304,MAX(1,57-(INT((Parametri_v3!$C$29)/30)))))*(1-(MOD((Parametri_v3!$C$29),30)/30))+IF(57-(INT((Parametri_v3!$C$29)/30))-1&lt;1,0,INDEX(Motore_Operativo!$BH$245:$BH$304,MAX(1,57-(INT((Parametri_v3!$C$29)/30))-1)))*(MOD((Parametri_v3!$C$29),30)/30))*(1+Parametri_v3!$C$26)</f>
        <v>7002.72375</v>
      </c>
      <c r="AG301" s="15" t="n">
        <f aca="false">(AG300)+AE301-AF301</f>
        <v>7002.72375000001</v>
      </c>
      <c r="AH301" s="15" t="n">
        <f aca="false">(Motore_Operativo!CK301)*(1+Parametri_v3!$C$28*Parametri_v3!$C$26)</f>
        <v>17948.9499</v>
      </c>
      <c r="AI301" s="15" t="n">
        <f aca="false">(IF(57-(INT((Ipotesi!$C$91)/30))&lt;1,0,INDEX(Motore_Advisory!$AH$245:$AH$304,MAX(1,57-(INT((Ipotesi!$C$91)/30)))))*(1-(MOD((Ipotesi!$C$91),30)/30))+IF(57-(INT((Ipotesi!$C$91)/30))-1&lt;1,0,INDEX(Motore_Advisory!$AH$245:$AH$304,MAX(1,57-(INT((Ipotesi!$C$91)/30))-1)))*(MOD((Ipotesi!$C$91),30)/30))</f>
        <v>17948.9499</v>
      </c>
      <c r="AJ301" s="15" t="n">
        <f aca="false">(AJ300)+AH301-AI301</f>
        <v>35897.8998</v>
      </c>
      <c r="AK301" s="15" t="n">
        <f aca="false">(F301- Motore_Operativo!BH301-(Motore_Operativo!CK301)*Parametri_v3!$C$28-Motore_Operativo!CF301)*Parametri_v3!$C$26</f>
        <v>8532.17218333334</v>
      </c>
      <c r="AL301" s="15" t="n">
        <f aca="false">MAX(0,(AM300))</f>
        <v>8532.17218333334</v>
      </c>
      <c r="AM301" s="15" t="n">
        <f aca="false">(AM300)+AK301-AL301</f>
        <v>8532.17218333334</v>
      </c>
      <c r="AN301" s="15" t="n">
        <f aca="false">SUM(X281:X292)</f>
        <v>33335.99421665</v>
      </c>
      <c r="AO301" s="15" t="n">
        <f aca="false">SUM(AP281:AP292)</f>
        <v>15038.513075</v>
      </c>
      <c r="AP301" s="15" t="n">
        <f aca="false">MAX(0,AN301)*IF(9=Parametri_v3!$C$43,Parametri_v3!$C$45,IF(9=Parametri_v3!$C$44,1-Parametri_v3!$C$45,0))</f>
        <v>0</v>
      </c>
      <c r="AQ301" s="15" t="n">
        <f aca="false">MAX(0,AP301+IF(9=Parametri_v3!$C$43,MAX(0,AN301-AO301),0)-MAX(0,-(AR300)))</f>
        <v>0</v>
      </c>
      <c r="AR301" s="15" t="n">
        <f aca="false">(AR300)+X301-AQ301</f>
        <v>21039.884636713</v>
      </c>
      <c r="AS301" s="15" t="n">
        <f aca="false">Motore_Operativo!AC301-AT301+AU301</f>
        <v>21063.89737915</v>
      </c>
      <c r="AT301" s="15" t="n">
        <f aca="false">Motore_Operativo!CI301</f>
        <v>1108.62617785</v>
      </c>
      <c r="AU301" s="15" t="n">
        <f aca="false">MIN(MAX(0,(AV300)+AT301),Parametri_v3!$C$61/12)</f>
        <v>0</v>
      </c>
      <c r="AV301" s="15" t="n">
        <f aca="false">(AV300)+AT301-AU301</f>
        <v>33671.07228315</v>
      </c>
      <c r="AW301" s="15" t="n">
        <f aca="false">IF(AND(Motore_Operativo!C301=Finanziamenti!$D$7,Finanziamenti!$F$7=1),Finanziamenti!$C$7,0)</f>
        <v>0</v>
      </c>
      <c r="AX301" s="15" t="n">
        <f aca="false">0</f>
        <v>0</v>
      </c>
      <c r="AY301" s="15" t="n">
        <f aca="false">IF(9=Parametri_v3!$C$33,IF(BV301&lt;MIN(12,$B301-1),0,MIN(MAX(0,SUM(Y281:Y292))*Ipotesi!$C$94,MAX(0,(BM292)-(BO300)-BP301),MAX(0,BD301-Parametri_v3!$C$31))),0)</f>
        <v>0</v>
      </c>
      <c r="AZ301" s="15" t="n">
        <f aca="false">0</f>
        <v>0</v>
      </c>
      <c r="BA301" s="15" t="n">
        <f aca="false">0</f>
        <v>0</v>
      </c>
      <c r="BB301" s="15" t="n">
        <f aca="false">0</f>
        <v>0</v>
      </c>
      <c r="BC301" s="15" t="n">
        <f aca="false">0</f>
        <v>0</v>
      </c>
      <c r="BD301" s="15" t="n">
        <f aca="false">(BH300)+AC301-AF301-AI301-AS301-K301*(1+Parametri_v3!$C$26)-AL301-AQ301-O301+AW301+AX301+AZ301+BA301-BB301</f>
        <v>61564.4409175752</v>
      </c>
      <c r="BE301" s="15" t="n">
        <f aca="false">0</f>
        <v>0</v>
      </c>
      <c r="BF301" s="15" t="n">
        <f aca="false">0</f>
        <v>0</v>
      </c>
      <c r="BG301" s="15" t="n">
        <f aca="false">0</f>
        <v>0</v>
      </c>
      <c r="BH301" s="15" t="n">
        <f aca="false">BD301+BE301-BF301-AY301</f>
        <v>61564.4409175752</v>
      </c>
      <c r="BI301" s="15" t="n">
        <f aca="false">MAX(0,Parametri_v3!$C$31-BH301)</f>
        <v>0</v>
      </c>
      <c r="BJ301" s="15" t="n">
        <f aca="false">(BJ300)+K301</f>
        <v>27000</v>
      </c>
      <c r="BK301" s="15" t="n">
        <f aca="false">(BK300)+L301</f>
        <v>16062.5</v>
      </c>
      <c r="BL301" s="15" t="n">
        <f aca="false">BJ301-BK301</f>
        <v>10937.5</v>
      </c>
      <c r="BM301" s="15" t="n">
        <f aca="false">(BM300)+Y301</f>
        <v>226467.138264379</v>
      </c>
      <c r="BN301" s="15" t="n">
        <f aca="false">(BN300)+AW301+AX301+AZ301</f>
        <v>20000</v>
      </c>
      <c r="BO301" s="15" t="n">
        <f aca="false">(BO300)+AY301</f>
        <v>0</v>
      </c>
      <c r="BP301" s="15" t="n">
        <f aca="false">MIN(Parametri_v3!$C$36*Parametri_v3!$C$35,(BP300)+IF(9=1,MAX(0,SUM(Y281:Y292))*Parametri_v3!$C$34,0))</f>
        <v>2000</v>
      </c>
      <c r="BQ301" s="15" t="n">
        <f aca="false">BN301+BM301-BO301</f>
        <v>246467.138264379</v>
      </c>
      <c r="BR301" s="15" t="n">
        <f aca="false">BH301+AD301+BL301+MAX(0,-AM301)+MAX(0,-AR301)</f>
        <v>352610.890917575</v>
      </c>
      <c r="BS301" s="15" t="n">
        <f aca="false">AJ301+AV301+MAX(0,AM301)+MAX(0,AR301)+BC301+BG301+BQ301+AG301</f>
        <v>352610.890917575</v>
      </c>
      <c r="BT301" s="15" t="n">
        <f aca="false">BR301-BS301</f>
        <v>0</v>
      </c>
      <c r="BU301" s="15" t="n">
        <f aca="false">BH301-(BD301+BE301-BF301-AY301)</f>
        <v>0</v>
      </c>
      <c r="BV301" s="15" t="n">
        <f aca="false">IF(BH300&lt;Parametri_v3!$C$31,0,BV300+1)</f>
        <v>9</v>
      </c>
    </row>
    <row r="302" customFormat="false" ht="18" hidden="false" customHeight="true" outlineLevel="0" collapsed="false">
      <c r="A302" s="68" t="n">
        <f aca="false">5</f>
        <v>5</v>
      </c>
      <c r="B302" s="68" t="n">
        <f aca="false">58</f>
        <v>58</v>
      </c>
      <c r="C302" s="18" t="n">
        <f aca="false">Motore_Operativo!C302</f>
        <v>48122</v>
      </c>
      <c r="D302" s="68" t="n">
        <f aca="false">Motore_Operativo!D302</f>
        <v>2031</v>
      </c>
      <c r="E302" s="68" t="n">
        <f aca="false">Motore_Operativo!E302</f>
        <v>10</v>
      </c>
      <c r="F302" s="15" t="n">
        <f aca="false">Motore_Operativo!AM302</f>
        <v>57399.375</v>
      </c>
      <c r="G302" s="15" t="n">
        <f aca="false">Motore_Operativo!BH302</f>
        <v>5739.9375</v>
      </c>
      <c r="H302" s="15" t="n">
        <f aca="false">Motore_Operativo!AM302</f>
        <v>57399.375</v>
      </c>
      <c r="I302" s="15" t="n">
        <f aca="false">Motore_Operativo!CB302</f>
        <v>43175.173557</v>
      </c>
      <c r="J302" s="15" t="n">
        <f aca="false">Motore_Operativo!CD302</f>
        <v>14224.201443</v>
      </c>
      <c r="K302" s="15" t="n">
        <f aca="false">Motore_Operativo!CF302</f>
        <v>666.666666666667</v>
      </c>
      <c r="L302" s="15" t="n">
        <f aca="false">SUM(INDEX($K$245:$K$304,MAX(1,58-Parametri_v3!$C$59+1)):K302)/Parametri_v3!$C$59</f>
        <v>569.444444444445</v>
      </c>
      <c r="M302" s="15" t="n">
        <f aca="false">J302-L302</f>
        <v>13654.7569985556</v>
      </c>
      <c r="N302" s="15" t="n">
        <f aca="false">0</f>
        <v>0</v>
      </c>
      <c r="O302" s="15" t="n">
        <f aca="false">0</f>
        <v>0</v>
      </c>
      <c r="P302" s="15" t="n">
        <f aca="false">M302+N302-O302</f>
        <v>13654.7569985556</v>
      </c>
      <c r="Q302" s="15" t="n">
        <f aca="false">SUM(P293:P302)+Parametri_v3!$C$56*10/12</f>
        <v>136860.069985556</v>
      </c>
      <c r="R302" s="15" t="n">
        <f aca="false">Z292</f>
        <v>0</v>
      </c>
      <c r="S302" s="15" t="n">
        <f aca="false">AA292</f>
        <v>0</v>
      </c>
      <c r="T302" s="15" t="n">
        <f aca="false">MIN(R302,MAX(0,Q302))</f>
        <v>0</v>
      </c>
      <c r="U302" s="15" t="n">
        <f aca="false">MIN(S302,MAX(0,Q302-T302)*Parametri_v3!$C$42)</f>
        <v>0</v>
      </c>
      <c r="V302" s="15" t="n">
        <f aca="false">MAX(0,Q302-T302-U302)*Ipotesi!$C$92</f>
        <v>32846.4167965333</v>
      </c>
      <c r="W302" s="15" t="n">
        <f aca="false">MAX(0,SUM(M293:M302)+Parametri_v3!$C$57*10/12)*Ipotesi!$C$93</f>
        <v>5337.54272943667</v>
      </c>
      <c r="X302" s="15" t="n">
        <f aca="false">V302+W302-(V301+W301)</f>
        <v>3809.677202597</v>
      </c>
      <c r="Y302" s="15" t="n">
        <f aca="false">P302-X302</f>
        <v>9845.07979595856</v>
      </c>
      <c r="Z302" s="15" t="n">
        <f aca="false">R302-T302+IF(AND(Parametri_v3!$C$40=1,D302-YEAR(Parametri_v3!$C$50)&lt;Parametri_v3!$C$41),MAX(0,-Q302),0)</f>
        <v>0</v>
      </c>
      <c r="AA302" s="15" t="n">
        <f aca="false">S302-U302+IF(AND(Parametri_v3!$C$40=1,D302-YEAR(Parametri_v3!$C$50)&lt;Parametri_v3!$C$41),0,MAX(0,-Q302))</f>
        <v>0</v>
      </c>
      <c r="AB302" s="15" t="n">
        <f aca="false">F302*(1+Parametri_v3!$C$26)</f>
        <v>70027.2375</v>
      </c>
      <c r="AC302" s="15" t="n">
        <f aca="false">(IF(58-(INT((Motore_Operativo!L302)/30))&lt;1,0,INDEX(Motore_Advisory!$AB$245:$AB$304,MAX(1,58-(INT((Motore_Operativo!L302)/30)))))*(1-(MOD((Motore_Operativo!L302),30)/30))+IF(58-(INT((Motore_Operativo!L302)/30))-1&lt;1,0,INDEX(Motore_Advisory!$AB$245:$AB$304,MAX(1,58-(INT((Motore_Operativo!L302)/30))-1)))*(MOD((Motore_Operativo!L302),30)/30))</f>
        <v>70027.2375</v>
      </c>
      <c r="AD302" s="15" t="n">
        <f aca="false">(AD301)+AB302-AC302</f>
        <v>280108.95</v>
      </c>
      <c r="AE302" s="15" t="n">
        <f aca="false">Motore_Operativo!BH302*(1+Parametri_v3!$C$26)</f>
        <v>7002.72375</v>
      </c>
      <c r="AF302" s="15" t="n">
        <f aca="false">(IF(58-(INT((Parametri_v3!$C$29)/30))&lt;1,0,INDEX(Motore_Operativo!$BH$245:$BH$304,MAX(1,58-(INT((Parametri_v3!$C$29)/30)))))*(1-(MOD((Parametri_v3!$C$29),30)/30))+IF(58-(INT((Parametri_v3!$C$29)/30))-1&lt;1,0,INDEX(Motore_Operativo!$BH$245:$BH$304,MAX(1,58-(INT((Parametri_v3!$C$29)/30))-1)))*(MOD((Parametri_v3!$C$29),30)/30))*(1+Parametri_v3!$C$26)</f>
        <v>7002.72375</v>
      </c>
      <c r="AG302" s="15" t="n">
        <f aca="false">(AG301)+AE302-AF302</f>
        <v>7002.72375000001</v>
      </c>
      <c r="AH302" s="15" t="n">
        <f aca="false">(Motore_Operativo!CK302)*(1+Parametri_v3!$C$28*Parametri_v3!$C$26)</f>
        <v>17948.9499</v>
      </c>
      <c r="AI302" s="15" t="n">
        <f aca="false">(IF(58-(INT((Ipotesi!$C$91)/30))&lt;1,0,INDEX(Motore_Advisory!$AH$245:$AH$304,MAX(1,58-(INT((Ipotesi!$C$91)/30)))))*(1-(MOD((Ipotesi!$C$91),30)/30))+IF(58-(INT((Ipotesi!$C$91)/30))-1&lt;1,0,INDEX(Motore_Advisory!$AH$245:$AH$304,MAX(1,58-(INT((Ipotesi!$C$91)/30))-1)))*(MOD((Ipotesi!$C$91),30)/30))</f>
        <v>17948.9499</v>
      </c>
      <c r="AJ302" s="15" t="n">
        <f aca="false">(AJ301)+AH302-AI302</f>
        <v>35897.8998</v>
      </c>
      <c r="AK302" s="15" t="n">
        <f aca="false">(F302- Motore_Operativo!BH302-(Motore_Operativo!CK302)*Parametri_v3!$C$28-Motore_Operativo!CF302)*Parametri_v3!$C$26</f>
        <v>8532.17218333334</v>
      </c>
      <c r="AL302" s="15" t="n">
        <f aca="false">MAX(0,(AM301))</f>
        <v>8532.17218333334</v>
      </c>
      <c r="AM302" s="15" t="n">
        <f aca="false">(AM301)+AK302-AL302</f>
        <v>8532.17218333334</v>
      </c>
      <c r="AN302" s="15" t="n">
        <f aca="false">SUM(X281:X292)</f>
        <v>33335.99421665</v>
      </c>
      <c r="AO302" s="15" t="n">
        <f aca="false">SUM(AP281:AP292)</f>
        <v>15038.513075</v>
      </c>
      <c r="AP302" s="15" t="n">
        <f aca="false">MAX(0,AN302)*IF(10=Parametri_v3!$C$43,Parametri_v3!$C$45,IF(10=Parametri_v3!$C$44,1-Parametri_v3!$C$45,0))</f>
        <v>0</v>
      </c>
      <c r="AQ302" s="15" t="n">
        <f aca="false">MAX(0,AP302+IF(10=Parametri_v3!$C$43,MAX(0,AN302-AO302),0)-MAX(0,-(AR301)))</f>
        <v>0</v>
      </c>
      <c r="AR302" s="15" t="n">
        <f aca="false">(AR301)+X302-AQ302</f>
        <v>24849.56183931</v>
      </c>
      <c r="AS302" s="15" t="n">
        <f aca="false">Motore_Operativo!AC302-AT302+AU302</f>
        <v>21063.89737915</v>
      </c>
      <c r="AT302" s="15" t="n">
        <f aca="false">Motore_Operativo!CI302</f>
        <v>1108.62617785</v>
      </c>
      <c r="AU302" s="15" t="n">
        <f aca="false">MIN(MAX(0,(AV301)+AT302),Parametri_v3!$C$61/12)</f>
        <v>0</v>
      </c>
      <c r="AV302" s="15" t="n">
        <f aca="false">(AV301)+AT302-AU302</f>
        <v>34779.698461</v>
      </c>
      <c r="AW302" s="15" t="n">
        <f aca="false">IF(AND(Motore_Operativo!C302=Finanziamenti!$D$7,Finanziamenti!$F$7=1),Finanziamenti!$C$7,0)</f>
        <v>0</v>
      </c>
      <c r="AX302" s="15" t="n">
        <f aca="false">0</f>
        <v>0</v>
      </c>
      <c r="AY302" s="15" t="n">
        <f aca="false">IF(10=Parametri_v3!$C$33,IF(BV302&lt;MIN(12,$B302-1),0,MIN(MAX(0,SUM(Y281:Y292))*Ipotesi!$C$94,MAX(0,(BM292)-(BO301)-BP302),MAX(0,BD302-Parametri_v3!$C$31))),0)</f>
        <v>0</v>
      </c>
      <c r="AZ302" s="15" t="n">
        <f aca="false">0</f>
        <v>0</v>
      </c>
      <c r="BA302" s="15" t="n">
        <f aca="false">0</f>
        <v>0</v>
      </c>
      <c r="BB302" s="15" t="n">
        <f aca="false">0</f>
        <v>0</v>
      </c>
      <c r="BC302" s="15" t="n">
        <f aca="false">0</f>
        <v>0</v>
      </c>
      <c r="BD302" s="15" t="n">
        <f aca="false">(BH301)+AC302-AF302-AI302-AS302-K302*(1+Parametri_v3!$C$26)-AL302-AQ302-O302+AW302+AX302+AZ302+BA302-BB302</f>
        <v>76230.6018717585</v>
      </c>
      <c r="BE302" s="15" t="n">
        <f aca="false">0</f>
        <v>0</v>
      </c>
      <c r="BF302" s="15" t="n">
        <f aca="false">0</f>
        <v>0</v>
      </c>
      <c r="BG302" s="15" t="n">
        <f aca="false">0</f>
        <v>0</v>
      </c>
      <c r="BH302" s="15" t="n">
        <f aca="false">BD302+BE302-BF302-AY302</f>
        <v>76230.6018717585</v>
      </c>
      <c r="BI302" s="15" t="n">
        <f aca="false">MAX(0,Parametri_v3!$C$31-BH302)</f>
        <v>0</v>
      </c>
      <c r="BJ302" s="15" t="n">
        <f aca="false">(BJ301)+K302</f>
        <v>27666.6666666667</v>
      </c>
      <c r="BK302" s="15" t="n">
        <f aca="false">(BK301)+L302</f>
        <v>16631.9444444444</v>
      </c>
      <c r="BL302" s="15" t="n">
        <f aca="false">BJ302-BK302</f>
        <v>11034.7222222222</v>
      </c>
      <c r="BM302" s="15" t="n">
        <f aca="false">(BM301)+Y302</f>
        <v>236312.218060337</v>
      </c>
      <c r="BN302" s="15" t="n">
        <f aca="false">(BN301)+AW302+AX302+AZ302</f>
        <v>20000</v>
      </c>
      <c r="BO302" s="15" t="n">
        <f aca="false">(BO301)+AY302</f>
        <v>0</v>
      </c>
      <c r="BP302" s="15" t="n">
        <f aca="false">MIN(Parametri_v3!$C$36*Parametri_v3!$C$35,(BP301)+IF(10=1,MAX(0,SUM(Y281:Y292))*Parametri_v3!$C$34,0))</f>
        <v>2000</v>
      </c>
      <c r="BQ302" s="15" t="n">
        <f aca="false">BN302+BM302-BO302</f>
        <v>256312.218060337</v>
      </c>
      <c r="BR302" s="15" t="n">
        <f aca="false">BH302+AD302+BL302+MAX(0,-AM302)+MAX(0,-AR302)</f>
        <v>367374.274093981</v>
      </c>
      <c r="BS302" s="15" t="n">
        <f aca="false">AJ302+AV302+MAX(0,AM302)+MAX(0,AR302)+BC302+BG302+BQ302+AG302</f>
        <v>367374.274093981</v>
      </c>
      <c r="BT302" s="15" t="n">
        <f aca="false">BR302-BS302</f>
        <v>0</v>
      </c>
      <c r="BU302" s="15" t="n">
        <f aca="false">BH302-(BD302+BE302-BF302-AY302)</f>
        <v>0</v>
      </c>
      <c r="BV302" s="15" t="n">
        <f aca="false">IF(BH301&lt;Parametri_v3!$C$31,0,BV301+1)</f>
        <v>10</v>
      </c>
    </row>
    <row r="303" customFormat="false" ht="18" hidden="false" customHeight="true" outlineLevel="0" collapsed="false">
      <c r="A303" s="68" t="n">
        <f aca="false">5</f>
        <v>5</v>
      </c>
      <c r="B303" s="68" t="n">
        <f aca="false">59</f>
        <v>59</v>
      </c>
      <c r="C303" s="18" t="n">
        <f aca="false">Motore_Operativo!C303</f>
        <v>48153</v>
      </c>
      <c r="D303" s="68" t="n">
        <f aca="false">Motore_Operativo!D303</f>
        <v>2031</v>
      </c>
      <c r="E303" s="68" t="n">
        <f aca="false">Motore_Operativo!E303</f>
        <v>11</v>
      </c>
      <c r="F303" s="15" t="n">
        <f aca="false">Motore_Operativo!AM303</f>
        <v>57399.375</v>
      </c>
      <c r="G303" s="15" t="n">
        <f aca="false">Motore_Operativo!BH303</f>
        <v>5739.9375</v>
      </c>
      <c r="H303" s="15" t="n">
        <f aca="false">Motore_Operativo!AM303</f>
        <v>57399.375</v>
      </c>
      <c r="I303" s="15" t="n">
        <f aca="false">Motore_Operativo!CB303</f>
        <v>43175.173557</v>
      </c>
      <c r="J303" s="15" t="n">
        <f aca="false">Motore_Operativo!CD303</f>
        <v>14224.201443</v>
      </c>
      <c r="K303" s="15" t="n">
        <f aca="false">Motore_Operativo!CF303</f>
        <v>666.666666666667</v>
      </c>
      <c r="L303" s="15" t="n">
        <f aca="false">SUM(INDEX($K$245:$K$304,MAX(1,59-Parametri_v3!$C$59+1)):K303)/Parametri_v3!$C$59</f>
        <v>576.388888888889</v>
      </c>
      <c r="M303" s="15" t="n">
        <f aca="false">J303-L303</f>
        <v>13647.8125541111</v>
      </c>
      <c r="N303" s="15" t="n">
        <f aca="false">0</f>
        <v>0</v>
      </c>
      <c r="O303" s="15" t="n">
        <f aca="false">0</f>
        <v>0</v>
      </c>
      <c r="P303" s="15" t="n">
        <f aca="false">M303+N303-O303</f>
        <v>13647.8125541111</v>
      </c>
      <c r="Q303" s="15" t="n">
        <f aca="false">SUM(P293:P303)+Parametri_v3!$C$56*11/12</f>
        <v>150507.882539667</v>
      </c>
      <c r="R303" s="15" t="n">
        <f aca="false">Z292</f>
        <v>0</v>
      </c>
      <c r="S303" s="15" t="n">
        <f aca="false">AA292</f>
        <v>0</v>
      </c>
      <c r="T303" s="15" t="n">
        <f aca="false">MIN(R303,MAX(0,Q303))</f>
        <v>0</v>
      </c>
      <c r="U303" s="15" t="n">
        <f aca="false">MIN(S303,MAX(0,Q303-T303)*Parametri_v3!$C$42)</f>
        <v>0</v>
      </c>
      <c r="V303" s="15" t="n">
        <f aca="false">MAX(0,Q303-T303-U303)*Ipotesi!$C$92</f>
        <v>36121.89180952</v>
      </c>
      <c r="W303" s="15" t="n">
        <f aca="false">MAX(0,SUM(M293:M303)+Parametri_v3!$C$57*11/12)*Ipotesi!$C$93</f>
        <v>5869.807419047</v>
      </c>
      <c r="X303" s="15" t="n">
        <f aca="false">V303+W303-(V302+W302)</f>
        <v>3807.73970259701</v>
      </c>
      <c r="Y303" s="15" t="n">
        <f aca="false">P303-X303</f>
        <v>9840.07285151411</v>
      </c>
      <c r="Z303" s="15" t="n">
        <f aca="false">R303-T303+IF(AND(Parametri_v3!$C$40=1,D303-YEAR(Parametri_v3!$C$50)&lt;Parametri_v3!$C$41),MAX(0,-Q303),0)</f>
        <v>0</v>
      </c>
      <c r="AA303" s="15" t="n">
        <f aca="false">S303-U303+IF(AND(Parametri_v3!$C$40=1,D303-YEAR(Parametri_v3!$C$50)&lt;Parametri_v3!$C$41),0,MAX(0,-Q303))</f>
        <v>0</v>
      </c>
      <c r="AB303" s="15" t="n">
        <f aca="false">F303*(1+Parametri_v3!$C$26)</f>
        <v>70027.2375</v>
      </c>
      <c r="AC303" s="15" t="n">
        <f aca="false">(IF(59-(INT((Motore_Operativo!L303)/30))&lt;1,0,INDEX(Motore_Advisory!$AB$245:$AB$304,MAX(1,59-(INT((Motore_Operativo!L303)/30)))))*(1-(MOD((Motore_Operativo!L303),30)/30))+IF(59-(INT((Motore_Operativo!L303)/30))-1&lt;1,0,INDEX(Motore_Advisory!$AB$245:$AB$304,MAX(1,59-(INT((Motore_Operativo!L303)/30))-1)))*(MOD((Motore_Operativo!L303),30)/30))</f>
        <v>70027.2375</v>
      </c>
      <c r="AD303" s="15" t="n">
        <f aca="false">(AD302)+AB303-AC303</f>
        <v>280108.95</v>
      </c>
      <c r="AE303" s="15" t="n">
        <f aca="false">Motore_Operativo!BH303*(1+Parametri_v3!$C$26)</f>
        <v>7002.72375</v>
      </c>
      <c r="AF303" s="15" t="n">
        <f aca="false">(IF(59-(INT((Parametri_v3!$C$29)/30))&lt;1,0,INDEX(Motore_Operativo!$BH$245:$BH$304,MAX(1,59-(INT((Parametri_v3!$C$29)/30)))))*(1-(MOD((Parametri_v3!$C$29),30)/30))+IF(59-(INT((Parametri_v3!$C$29)/30))-1&lt;1,0,INDEX(Motore_Operativo!$BH$245:$BH$304,MAX(1,59-(INT((Parametri_v3!$C$29)/30))-1)))*(MOD((Parametri_v3!$C$29),30)/30))*(1+Parametri_v3!$C$26)</f>
        <v>7002.72375</v>
      </c>
      <c r="AG303" s="15" t="n">
        <f aca="false">(AG302)+AE303-AF303</f>
        <v>7002.72375000001</v>
      </c>
      <c r="AH303" s="15" t="n">
        <f aca="false">(Motore_Operativo!CK303)*(1+Parametri_v3!$C$28*Parametri_v3!$C$26)</f>
        <v>17948.9499</v>
      </c>
      <c r="AI303" s="15" t="n">
        <f aca="false">(IF(59-(INT((Ipotesi!$C$91)/30))&lt;1,0,INDEX(Motore_Advisory!$AH$245:$AH$304,MAX(1,59-(INT((Ipotesi!$C$91)/30)))))*(1-(MOD((Ipotesi!$C$91),30)/30))+IF(59-(INT((Ipotesi!$C$91)/30))-1&lt;1,0,INDEX(Motore_Advisory!$AH$245:$AH$304,MAX(1,59-(INT((Ipotesi!$C$91)/30))-1)))*(MOD((Ipotesi!$C$91),30)/30))</f>
        <v>17948.9499</v>
      </c>
      <c r="AJ303" s="15" t="n">
        <f aca="false">(AJ302)+AH303-AI303</f>
        <v>35897.8998</v>
      </c>
      <c r="AK303" s="15" t="n">
        <f aca="false">(F303- Motore_Operativo!BH303-(Motore_Operativo!CK303)*Parametri_v3!$C$28-Motore_Operativo!CF303)*Parametri_v3!$C$26</f>
        <v>8532.17218333334</v>
      </c>
      <c r="AL303" s="15" t="n">
        <f aca="false">MAX(0,(AM302))</f>
        <v>8532.17218333334</v>
      </c>
      <c r="AM303" s="15" t="n">
        <f aca="false">(AM302)+AK303-AL303</f>
        <v>8532.17218333334</v>
      </c>
      <c r="AN303" s="15" t="n">
        <f aca="false">SUM(X281:X292)</f>
        <v>33335.99421665</v>
      </c>
      <c r="AO303" s="15" t="n">
        <f aca="false">SUM(AP281:AP292)</f>
        <v>15038.513075</v>
      </c>
      <c r="AP303" s="15" t="n">
        <f aca="false">MAX(0,AN303)*IF(11=Parametri_v3!$C$43,Parametri_v3!$C$45,IF(11=Parametri_v3!$C$44,1-Parametri_v3!$C$45,0))</f>
        <v>20001.59652999</v>
      </c>
      <c r="AQ303" s="15" t="n">
        <f aca="false">MAX(0,AP303+IF(11=Parametri_v3!$C$43,MAX(0,AN303-AO303),0)-MAX(0,-(AR302)))</f>
        <v>20001.59652999</v>
      </c>
      <c r="AR303" s="15" t="n">
        <f aca="false">(AR302)+X303-AQ303</f>
        <v>8655.705011917</v>
      </c>
      <c r="AS303" s="15" t="n">
        <f aca="false">Motore_Operativo!AC303-AT303+AU303</f>
        <v>21063.89737915</v>
      </c>
      <c r="AT303" s="15" t="n">
        <f aca="false">Motore_Operativo!CI303</f>
        <v>1108.62617785</v>
      </c>
      <c r="AU303" s="15" t="n">
        <f aca="false">MIN(MAX(0,(AV302)+AT303),Parametri_v3!$C$61/12)</f>
        <v>0</v>
      </c>
      <c r="AV303" s="15" t="n">
        <f aca="false">(AV302)+AT303-AU303</f>
        <v>35888.32463885</v>
      </c>
      <c r="AW303" s="15" t="n">
        <f aca="false">IF(AND(Motore_Operativo!C303=Finanziamenti!$D$7,Finanziamenti!$F$7=1),Finanziamenti!$C$7,0)</f>
        <v>0</v>
      </c>
      <c r="AX303" s="15" t="n">
        <f aca="false">0</f>
        <v>0</v>
      </c>
      <c r="AY303" s="15" t="n">
        <f aca="false">IF(11=Parametri_v3!$C$33,IF(BV303&lt;MIN(12,$B303-1),0,MIN(MAX(0,SUM(Y281:Y292))*Ipotesi!$C$94,MAX(0,(BM292)-(BO302)-BP303),MAX(0,BD303-Parametri_v3!$C$31))),0)</f>
        <v>0</v>
      </c>
      <c r="AZ303" s="15" t="n">
        <f aca="false">0</f>
        <v>0</v>
      </c>
      <c r="BA303" s="15" t="n">
        <f aca="false">0</f>
        <v>0</v>
      </c>
      <c r="BB303" s="15" t="n">
        <f aca="false">0</f>
        <v>0</v>
      </c>
      <c r="BC303" s="15" t="n">
        <f aca="false">0</f>
        <v>0</v>
      </c>
      <c r="BD303" s="15" t="n">
        <f aca="false">(BH302)+AC303-AF303-AI303-AS303-K303*(1+Parametri_v3!$C$26)-AL303-AQ303-O303+AW303+AX303+AZ303+BA303-BB303</f>
        <v>70895.1662959518</v>
      </c>
      <c r="BE303" s="15" t="n">
        <f aca="false">0</f>
        <v>0</v>
      </c>
      <c r="BF303" s="15" t="n">
        <f aca="false">0</f>
        <v>0</v>
      </c>
      <c r="BG303" s="15" t="n">
        <f aca="false">0</f>
        <v>0</v>
      </c>
      <c r="BH303" s="15" t="n">
        <f aca="false">BD303+BE303-BF303-AY303</f>
        <v>70895.1662959518</v>
      </c>
      <c r="BI303" s="15" t="n">
        <f aca="false">MAX(0,Parametri_v3!$C$31-BH303)</f>
        <v>0</v>
      </c>
      <c r="BJ303" s="15" t="n">
        <f aca="false">(BJ302)+K303</f>
        <v>28333.3333333333</v>
      </c>
      <c r="BK303" s="15" t="n">
        <f aca="false">(BK302)+L303</f>
        <v>17208.3333333333</v>
      </c>
      <c r="BL303" s="15" t="n">
        <f aca="false">BJ303-BK303</f>
        <v>11125</v>
      </c>
      <c r="BM303" s="15" t="n">
        <f aca="false">(BM302)+Y303</f>
        <v>246152.290911852</v>
      </c>
      <c r="BN303" s="15" t="n">
        <f aca="false">(BN302)+AW303+AX303+AZ303</f>
        <v>20000</v>
      </c>
      <c r="BO303" s="15" t="n">
        <f aca="false">(BO302)+AY303</f>
        <v>0</v>
      </c>
      <c r="BP303" s="15" t="n">
        <f aca="false">MIN(Parametri_v3!$C$36*Parametri_v3!$C$35,(BP302)+IF(11=1,MAX(0,SUM(Y281:Y292))*Parametri_v3!$C$34,0))</f>
        <v>2000</v>
      </c>
      <c r="BQ303" s="15" t="n">
        <f aca="false">BN303+BM303-BO303</f>
        <v>266152.290911852</v>
      </c>
      <c r="BR303" s="15" t="n">
        <f aca="false">BH303+AD303+BL303+MAX(0,-AM303)+MAX(0,-AR303)</f>
        <v>362129.116295952</v>
      </c>
      <c r="BS303" s="15" t="n">
        <f aca="false">AJ303+AV303+MAX(0,AM303)+MAX(0,AR303)+BC303+BG303+BQ303+AG303</f>
        <v>362129.116295952</v>
      </c>
      <c r="BT303" s="15" t="n">
        <f aca="false">BR303-BS303</f>
        <v>0</v>
      </c>
      <c r="BU303" s="15" t="n">
        <f aca="false">BH303-(BD303+BE303-BF303-AY303)</f>
        <v>0</v>
      </c>
      <c r="BV303" s="15" t="n">
        <f aca="false">IF(BH302&lt;Parametri_v3!$C$31,0,BV302+1)</f>
        <v>11</v>
      </c>
    </row>
    <row r="304" customFormat="false" ht="18" hidden="false" customHeight="true" outlineLevel="0" collapsed="false">
      <c r="A304" s="68" t="n">
        <f aca="false">5</f>
        <v>5</v>
      </c>
      <c r="B304" s="68" t="n">
        <f aca="false">60</f>
        <v>60</v>
      </c>
      <c r="C304" s="18" t="n">
        <f aca="false">Motore_Operativo!C304</f>
        <v>48183</v>
      </c>
      <c r="D304" s="68" t="n">
        <f aca="false">Motore_Operativo!D304</f>
        <v>2031</v>
      </c>
      <c r="E304" s="68" t="n">
        <f aca="false">Motore_Operativo!E304</f>
        <v>12</v>
      </c>
      <c r="F304" s="15" t="n">
        <f aca="false">Motore_Operativo!AM304</f>
        <v>57399.375</v>
      </c>
      <c r="G304" s="15" t="n">
        <f aca="false">Motore_Operativo!BH304</f>
        <v>5739.9375</v>
      </c>
      <c r="H304" s="15" t="n">
        <f aca="false">Motore_Operativo!AM304</f>
        <v>57399.375</v>
      </c>
      <c r="I304" s="15" t="n">
        <f aca="false">Motore_Operativo!CB304</f>
        <v>43175.173557</v>
      </c>
      <c r="J304" s="15" t="n">
        <f aca="false">Motore_Operativo!CD304</f>
        <v>14224.201443</v>
      </c>
      <c r="K304" s="15" t="n">
        <f aca="false">Motore_Operativo!CF304</f>
        <v>666.666666666667</v>
      </c>
      <c r="L304" s="15" t="n">
        <f aca="false">SUM(INDEX($K$245:$K$304,MAX(1,60-Parametri_v3!$C$59+1)):K304)/Parametri_v3!$C$59</f>
        <v>583.333333333333</v>
      </c>
      <c r="M304" s="15" t="n">
        <f aca="false">J304-L304</f>
        <v>13640.8681096667</v>
      </c>
      <c r="N304" s="15" t="n">
        <f aca="false">0</f>
        <v>0</v>
      </c>
      <c r="O304" s="15" t="n">
        <f aca="false">0</f>
        <v>0</v>
      </c>
      <c r="P304" s="15" t="n">
        <f aca="false">M304+N304-O304</f>
        <v>13640.8681096667</v>
      </c>
      <c r="Q304" s="15" t="n">
        <f aca="false">SUM(P293:P304)+Parametri_v3!$C$56*12/12</f>
        <v>164148.750649333</v>
      </c>
      <c r="R304" s="15" t="n">
        <f aca="false">Z292</f>
        <v>0</v>
      </c>
      <c r="S304" s="15" t="n">
        <f aca="false">AA292</f>
        <v>0</v>
      </c>
      <c r="T304" s="15" t="n">
        <f aca="false">MIN(R304,MAX(0,Q304))</f>
        <v>0</v>
      </c>
      <c r="U304" s="15" t="n">
        <f aca="false">MIN(S304,MAX(0,Q304-T304)*Parametri_v3!$C$42)</f>
        <v>0</v>
      </c>
      <c r="V304" s="15" t="n">
        <f aca="false">MAX(0,Q304-T304-U304)*Ipotesi!$C$92</f>
        <v>39395.70015584</v>
      </c>
      <c r="W304" s="15" t="n">
        <f aca="false">MAX(0,SUM(M293:M304)+Parametri_v3!$C$57*12/12)*Ipotesi!$C$93</f>
        <v>6401.801275324</v>
      </c>
      <c r="X304" s="15" t="n">
        <f aca="false">V304+W304-(V303+W303)</f>
        <v>3805.80220259701</v>
      </c>
      <c r="Y304" s="15" t="n">
        <f aca="false">P304-X304</f>
        <v>9835.06590706967</v>
      </c>
      <c r="Z304" s="15" t="n">
        <f aca="false">R304-T304+IF(AND(Parametri_v3!$C$40=1,D304-YEAR(Parametri_v3!$C$50)&lt;Parametri_v3!$C$41),MAX(0,-Q304),0)</f>
        <v>0</v>
      </c>
      <c r="AA304" s="15" t="n">
        <f aca="false">S304-U304+IF(AND(Parametri_v3!$C$40=1,D304-YEAR(Parametri_v3!$C$50)&lt;Parametri_v3!$C$41),0,MAX(0,-Q304))</f>
        <v>0</v>
      </c>
      <c r="AB304" s="15" t="n">
        <f aca="false">F304*(1+Parametri_v3!$C$26)</f>
        <v>70027.2375</v>
      </c>
      <c r="AC304" s="15" t="n">
        <f aca="false">(IF(60-(INT((Motore_Operativo!L304)/30))&lt;1,0,INDEX(Motore_Advisory!$AB$245:$AB$304,MAX(1,60-(INT((Motore_Operativo!L304)/30)))))*(1-(MOD((Motore_Operativo!L304),30)/30))+IF(60-(INT((Motore_Operativo!L304)/30))-1&lt;1,0,INDEX(Motore_Advisory!$AB$245:$AB$304,MAX(1,60-(INT((Motore_Operativo!L304)/30))-1)))*(MOD((Motore_Operativo!L304),30)/30))</f>
        <v>70027.2375</v>
      </c>
      <c r="AD304" s="15" t="n">
        <f aca="false">(AD303)+AB304-AC304</f>
        <v>280108.95</v>
      </c>
      <c r="AE304" s="15" t="n">
        <f aca="false">Motore_Operativo!BH304*(1+Parametri_v3!$C$26)</f>
        <v>7002.72375</v>
      </c>
      <c r="AF304" s="15" t="n">
        <f aca="false">(IF(60-(INT((Parametri_v3!$C$29)/30))&lt;1,0,INDEX(Motore_Operativo!$BH$245:$BH$304,MAX(1,60-(INT((Parametri_v3!$C$29)/30)))))*(1-(MOD((Parametri_v3!$C$29),30)/30))+IF(60-(INT((Parametri_v3!$C$29)/30))-1&lt;1,0,INDEX(Motore_Operativo!$BH$245:$BH$304,MAX(1,60-(INT((Parametri_v3!$C$29)/30))-1)))*(MOD((Parametri_v3!$C$29),30)/30))*(1+Parametri_v3!$C$26)</f>
        <v>7002.72375</v>
      </c>
      <c r="AG304" s="15" t="n">
        <f aca="false">(AG303)+AE304-AF304</f>
        <v>7002.72375000001</v>
      </c>
      <c r="AH304" s="15" t="n">
        <f aca="false">(Motore_Operativo!CK304)*(1+Parametri_v3!$C$28*Parametri_v3!$C$26)</f>
        <v>17948.9499</v>
      </c>
      <c r="AI304" s="15" t="n">
        <f aca="false">(IF(60-(INT((Ipotesi!$C$91)/30))&lt;1,0,INDEX(Motore_Advisory!$AH$245:$AH$304,MAX(1,60-(INT((Ipotesi!$C$91)/30)))))*(1-(MOD((Ipotesi!$C$91),30)/30))+IF(60-(INT((Ipotesi!$C$91)/30))-1&lt;1,0,INDEX(Motore_Advisory!$AH$245:$AH$304,MAX(1,60-(INT((Ipotesi!$C$91)/30))-1)))*(MOD((Ipotesi!$C$91),30)/30))</f>
        <v>17948.9499</v>
      </c>
      <c r="AJ304" s="15" t="n">
        <f aca="false">(AJ303)+AH304-AI304</f>
        <v>35897.8998</v>
      </c>
      <c r="AK304" s="15" t="n">
        <f aca="false">(F304- Motore_Operativo!BH304-(Motore_Operativo!CK304)*Parametri_v3!$C$28-Motore_Operativo!CF304)*Parametri_v3!$C$26</f>
        <v>8532.17218333334</v>
      </c>
      <c r="AL304" s="15" t="n">
        <f aca="false">MAX(0,(AM303))</f>
        <v>8532.17218333334</v>
      </c>
      <c r="AM304" s="15" t="n">
        <f aca="false">(AM303)+AK304-AL304</f>
        <v>8532.17218333334</v>
      </c>
      <c r="AN304" s="15" t="n">
        <f aca="false">SUM(X281:X292)</f>
        <v>33335.99421665</v>
      </c>
      <c r="AO304" s="15" t="n">
        <f aca="false">SUM(AP281:AP292)</f>
        <v>15038.513075</v>
      </c>
      <c r="AP304" s="15" t="n">
        <f aca="false">MAX(0,AN304)*IF(12=Parametri_v3!$C$43,Parametri_v3!$C$45,IF(12=Parametri_v3!$C$44,1-Parametri_v3!$C$45,0))</f>
        <v>0</v>
      </c>
      <c r="AQ304" s="15" t="n">
        <f aca="false">MAX(0,AP304+IF(12=Parametri_v3!$C$43,MAX(0,AN304-AO304),0)-MAX(0,-(AR303)))</f>
        <v>0</v>
      </c>
      <c r="AR304" s="15" t="n">
        <f aca="false">(AR303)+X304-AQ304</f>
        <v>12461.507214514</v>
      </c>
      <c r="AS304" s="15" t="n">
        <f aca="false">Motore_Operativo!AC304-AT304+AU304</f>
        <v>21063.89737915</v>
      </c>
      <c r="AT304" s="15" t="n">
        <f aca="false">Motore_Operativo!CI304</f>
        <v>1108.62617785</v>
      </c>
      <c r="AU304" s="15" t="n">
        <f aca="false">MIN(MAX(0,(AV303)+AT304),Parametri_v3!$C$61/12)</f>
        <v>0</v>
      </c>
      <c r="AV304" s="15" t="n">
        <f aca="false">(AV303)+AT304-AU304</f>
        <v>36996.9508167</v>
      </c>
      <c r="AW304" s="15" t="n">
        <f aca="false">IF(AND(Motore_Operativo!C304=Finanziamenti!$D$7,Finanziamenti!$F$7=1),Finanziamenti!$C$7,0)</f>
        <v>0</v>
      </c>
      <c r="AX304" s="15" t="n">
        <f aca="false">0</f>
        <v>0</v>
      </c>
      <c r="AY304" s="15" t="n">
        <f aca="false">IF(12=Parametri_v3!$C$33,IF(BV304&lt;MIN(12,$B304-1),0,MIN(MAX(0,SUM(Y281:Y292))*Ipotesi!$C$94,MAX(0,(BM292)-(BO303)-BP304),MAX(0,BD304-Parametri_v3!$C$31))),0)</f>
        <v>0</v>
      </c>
      <c r="AZ304" s="15" t="n">
        <f aca="false">0</f>
        <v>0</v>
      </c>
      <c r="BA304" s="15" t="n">
        <f aca="false">0</f>
        <v>0</v>
      </c>
      <c r="BB304" s="15" t="n">
        <f aca="false">0</f>
        <v>0</v>
      </c>
      <c r="BC304" s="15" t="n">
        <f aca="false">0</f>
        <v>0</v>
      </c>
      <c r="BD304" s="15" t="n">
        <f aca="false">(BH303)+AC304-AF304-AI304-AS304-K304*(1+Parametri_v3!$C$26)-AL304-AQ304-O304+AW304+AX304+AZ304+BA304-BB304</f>
        <v>85561.3272501352</v>
      </c>
      <c r="BE304" s="15" t="n">
        <f aca="false">0</f>
        <v>0</v>
      </c>
      <c r="BF304" s="15" t="n">
        <f aca="false">0</f>
        <v>0</v>
      </c>
      <c r="BG304" s="15" t="n">
        <f aca="false">0</f>
        <v>0</v>
      </c>
      <c r="BH304" s="15" t="n">
        <f aca="false">BD304+BE304-BF304-AY304</f>
        <v>85561.3272501352</v>
      </c>
      <c r="BI304" s="15" t="n">
        <f aca="false">MAX(0,Parametri_v3!$C$31-BH304)</f>
        <v>0</v>
      </c>
      <c r="BJ304" s="15" t="n">
        <f aca="false">(BJ303)+K304</f>
        <v>29000</v>
      </c>
      <c r="BK304" s="15" t="n">
        <f aca="false">(BK303)+L304</f>
        <v>17791.6666666667</v>
      </c>
      <c r="BL304" s="15" t="n">
        <f aca="false">BJ304-BK304</f>
        <v>11208.3333333334</v>
      </c>
      <c r="BM304" s="15" t="n">
        <f aca="false">(BM303)+Y304</f>
        <v>255987.356818921</v>
      </c>
      <c r="BN304" s="15" t="n">
        <f aca="false">(BN303)+AW304+AX304+AZ304</f>
        <v>20000</v>
      </c>
      <c r="BO304" s="15" t="n">
        <f aca="false">(BO303)+AY304</f>
        <v>0</v>
      </c>
      <c r="BP304" s="15" t="n">
        <f aca="false">MIN(Parametri_v3!$C$36*Parametri_v3!$C$35,(BP303)+IF(12=1,MAX(0,SUM(Y281:Y292))*Parametri_v3!$C$34,0))</f>
        <v>2000</v>
      </c>
      <c r="BQ304" s="15" t="n">
        <f aca="false">BN304+BM304-BO304</f>
        <v>275987.356818921</v>
      </c>
      <c r="BR304" s="15" t="n">
        <f aca="false">BH304+AD304+BL304+MAX(0,-AM304)+MAX(0,-AR304)</f>
        <v>376878.610583469</v>
      </c>
      <c r="BS304" s="15" t="n">
        <f aca="false">AJ304+AV304+MAX(0,AM304)+MAX(0,AR304)+BC304+BG304+BQ304+AG304</f>
        <v>376878.610583469</v>
      </c>
      <c r="BT304" s="15" t="n">
        <f aca="false">BR304-BS304</f>
        <v>0</v>
      </c>
      <c r="BU304" s="15" t="n">
        <f aca="false">BH304-(BD304+BE304-BF304-AY304)</f>
        <v>0</v>
      </c>
      <c r="BV304" s="15" t="n">
        <f aca="false">IF(BH303&lt;Parametri_v3!$C$31,0,BV303+1)</f>
        <v>12</v>
      </c>
    </row>
    <row r="305" customFormat="false" ht="18" hidden="false" customHeight="true" outlineLevel="0" collapsed="false">
      <c r="A305" s="68" t="n">
        <f aca="false">6</f>
        <v>6</v>
      </c>
      <c r="B305" s="68" t="n">
        <f aca="false">1</f>
        <v>1</v>
      </c>
      <c r="C305" s="18" t="n">
        <f aca="false">Motore_Operativo!C305</f>
        <v>46388</v>
      </c>
      <c r="D305" s="68" t="n">
        <f aca="false">Motore_Operativo!D305</f>
        <v>2027</v>
      </c>
      <c r="E305" s="68" t="n">
        <f aca="false">Motore_Operativo!E305</f>
        <v>1</v>
      </c>
      <c r="F305" s="15" t="n">
        <f aca="false">Motore_Operativo!AM305</f>
        <v>16210.5263157895</v>
      </c>
      <c r="G305" s="15" t="n">
        <f aca="false">Motore_Operativo!BH305</f>
        <v>1621.05263157895</v>
      </c>
      <c r="H305" s="15" t="n">
        <f aca="false">Motore_Operativo!AM305</f>
        <v>16210.5263157895</v>
      </c>
      <c r="I305" s="15" t="n">
        <f aca="false">Motore_Operativo!CB305</f>
        <v>12114.5175438596</v>
      </c>
      <c r="J305" s="15" t="n">
        <f aca="false">Motore_Operativo!CD305</f>
        <v>4096.00877192982</v>
      </c>
      <c r="K305" s="15" t="n">
        <f aca="false">Motore_Operativo!CF305</f>
        <v>250</v>
      </c>
      <c r="L305" s="15" t="n">
        <f aca="false">SUM(INDEX($K$305:$K$364,MAX(1,1-Parametri_v3!$C$59+1)):K305)/Parametri_v3!$C$59</f>
        <v>6.94444444444445</v>
      </c>
      <c r="M305" s="15" t="n">
        <f aca="false">J305-L305</f>
        <v>4089.06432748538</v>
      </c>
      <c r="N305" s="15" t="n">
        <f aca="false">0</f>
        <v>0</v>
      </c>
      <c r="O305" s="15" t="n">
        <f aca="false">0</f>
        <v>0</v>
      </c>
      <c r="P305" s="15" t="n">
        <f aca="false">M305+N305-O305</f>
        <v>4089.06432748538</v>
      </c>
      <c r="Q305" s="15" t="n">
        <f aca="false">SUM(P305)+Parametri_v3!$C$56*1/12</f>
        <v>4089.06432748538</v>
      </c>
      <c r="R305" s="15" t="n">
        <f aca="false">0</f>
        <v>0</v>
      </c>
      <c r="S305" s="15" t="n">
        <f aca="false">0</f>
        <v>0</v>
      </c>
      <c r="T305" s="15" t="n">
        <f aca="false">MIN(R305,MAX(0,Q305))</f>
        <v>0</v>
      </c>
      <c r="U305" s="15" t="n">
        <f aca="false">MIN(S305,MAX(0,Q305-T305)*Parametri_v3!$C$42)</f>
        <v>0</v>
      </c>
      <c r="V305" s="15" t="n">
        <f aca="false">MAX(0,Q305-T305-U305)*Ipotesi!$C$92</f>
        <v>981.375438596491</v>
      </c>
      <c r="W305" s="15" t="n">
        <f aca="false">MAX(0,SUM(M305)+Parametri_v3!$C$57*1/12)*Ipotesi!$C$93</f>
        <v>159.47350877193</v>
      </c>
      <c r="X305" s="15" t="n">
        <f aca="false">V305+W305-(0)</f>
        <v>1140.84894736842</v>
      </c>
      <c r="Y305" s="15" t="n">
        <f aca="false">P305-X305</f>
        <v>2948.21538011696</v>
      </c>
      <c r="Z305" s="15" t="n">
        <f aca="false">R305-T305+IF(AND(Parametri_v3!$C$40=1,D305-YEAR(Parametri_v3!$C$50)&lt;Parametri_v3!$C$41),MAX(0,-Q305),0)</f>
        <v>0</v>
      </c>
      <c r="AA305" s="15" t="n">
        <f aca="false">S305-U305+IF(AND(Parametri_v3!$C$40=1,D305-YEAR(Parametri_v3!$C$50)&lt;Parametri_v3!$C$41),0,MAX(0,-Q305))</f>
        <v>0</v>
      </c>
      <c r="AB305" s="15" t="n">
        <f aca="false">F305*(1+Parametri_v3!$C$26)</f>
        <v>19776.8421052632</v>
      </c>
      <c r="AC305" s="15" t="n">
        <f aca="false">(IF(1-(INT((Motore_Operativo!L305)/30))&lt;1,0,INDEX(Motore_Advisory!$AB$305:$AB$364,MAX(1,1-(INT((Motore_Operativo!L305)/30)))))*(1-(MOD((Motore_Operativo!L305),30)/30))+IF(1-(INT((Motore_Operativo!L305)/30))-1&lt;1,0,INDEX(Motore_Advisory!$AB$305:$AB$364,MAX(1,1-(INT((Motore_Operativo!L305)/30))-1)))*(MOD((Motore_Operativo!L305),30)/30))</f>
        <v>0</v>
      </c>
      <c r="AD305" s="15" t="n">
        <f aca="false">(0)+AB305-AC305</f>
        <v>19776.8421052632</v>
      </c>
      <c r="AE305" s="15" t="n">
        <f aca="false">Motore_Operativo!BH305*(1+Parametri_v3!$C$26)</f>
        <v>1977.68421052632</v>
      </c>
      <c r="AF305" s="15" t="n">
        <f aca="false">(IF(1-(INT((Parametri_v3!$C$29)/30))&lt;1,0,INDEX(Motore_Operativo!$BH$305:$BH$364,MAX(1,1-(INT((Parametri_v3!$C$29)/30)))))*(1-(MOD((Parametri_v3!$C$29),30)/30))+IF(1-(INT((Parametri_v3!$C$29)/30))-1&lt;1,0,INDEX(Motore_Operativo!$BH$305:$BH$364,MAX(1,1-(INT((Parametri_v3!$C$29)/30))-1)))*(MOD((Parametri_v3!$C$29),30)/30))*(1+Parametri_v3!$C$26)</f>
        <v>0</v>
      </c>
      <c r="AG305" s="15" t="n">
        <f aca="false">(0)+AE305-AF305</f>
        <v>1977.68421052632</v>
      </c>
      <c r="AH305" s="15" t="n">
        <f aca="false">(Motore_Operativo!CK305)*(1+Parametri_v3!$C$28*Parametri_v3!$C$26)</f>
        <v>6166.3147368421</v>
      </c>
      <c r="AI305" s="15" t="n">
        <f aca="false">(IF(1-(INT((Ipotesi!$C$91)/30))&lt;1,0,INDEX(Motore_Advisory!$AH$305:$AH$364,MAX(1,1-(INT((Ipotesi!$C$91)/30)))))*(1-(MOD((Ipotesi!$C$91),30)/30))+IF(1-(INT((Ipotesi!$C$91)/30))-1&lt;1,0,INDEX(Motore_Advisory!$AH$305:$AH$364,MAX(1,1-(INT((Ipotesi!$C$91)/30))-1)))*(MOD((Ipotesi!$C$91),30)/30))</f>
        <v>0</v>
      </c>
      <c r="AJ305" s="15" t="n">
        <f aca="false">(0)+AH305-AI305</f>
        <v>6166.3147368421</v>
      </c>
      <c r="AK305" s="15" t="n">
        <f aca="false">(F305- Motore_Operativo!BH305-(Motore_Operativo!CK305)*Parametri_v3!$C$28-Motore_Operativo!CF305)*Parametri_v3!$C$26</f>
        <v>2231.83438596491</v>
      </c>
      <c r="AL305" s="15" t="n">
        <f aca="false">MAX(0,(0))</f>
        <v>0</v>
      </c>
      <c r="AM305" s="15" t="n">
        <f aca="false">(0)+AK305-AL305</f>
        <v>2231.83438596491</v>
      </c>
      <c r="AN305" s="15" t="n">
        <f aca="false">0</f>
        <v>0</v>
      </c>
      <c r="AO305" s="15" t="n">
        <f aca="false">0</f>
        <v>0</v>
      </c>
      <c r="AP305" s="15" t="n">
        <f aca="false">MAX(0,AN305)*IF(1=Parametri_v3!$C$43,Parametri_v3!$C$45,IF(1=Parametri_v3!$C$44,1-Parametri_v3!$C$45,0))</f>
        <v>0</v>
      </c>
      <c r="AQ305" s="15" t="n">
        <f aca="false">MAX(0,AP305+IF(1=Parametri_v3!$C$43,MAX(0,AN305-AO305),0)-MAX(0,-(0)))</f>
        <v>0</v>
      </c>
      <c r="AR305" s="15" t="n">
        <f aca="false">(0)+X305-AQ305</f>
        <v>1140.84894736842</v>
      </c>
      <c r="AS305" s="15" t="n">
        <f aca="false">Motore_Operativo!AC305-AT305+AU305</f>
        <v>4987.5</v>
      </c>
      <c r="AT305" s="15" t="n">
        <f aca="false">Motore_Operativo!CI305</f>
        <v>262.5</v>
      </c>
      <c r="AU305" s="15" t="n">
        <f aca="false">MIN(MAX(0,(0)+AT305),Parametri_v3!$C$61/12)</f>
        <v>0</v>
      </c>
      <c r="AV305" s="15" t="n">
        <f aca="false">(0)+AT305-AU305</f>
        <v>262.5</v>
      </c>
      <c r="AW305" s="15" t="n">
        <f aca="false">IF(AND(Motore_Operativo!C305=Finanziamenti!$D$7,Finanziamenti!$F$7=1),Finanziamenti!$C$7,0)</f>
        <v>20000</v>
      </c>
      <c r="AX305" s="15" t="n">
        <f aca="false">0</f>
        <v>0</v>
      </c>
      <c r="AY305" s="15" t="n">
        <f aca="false">IF(1=Parametri_v3!$C$33,MIN(MAX(0,0)*Ipotesi!$C$94,MAX(0,(0)-(0)-BP305),MAX(0,BD305-Parametri_v3!$C$31)),0)</f>
        <v>0</v>
      </c>
      <c r="AZ305" s="15" t="n">
        <f aca="false">0</f>
        <v>0</v>
      </c>
      <c r="BA305" s="15" t="n">
        <f aca="false">0</f>
        <v>0</v>
      </c>
      <c r="BB305" s="15" t="n">
        <f aca="false">0</f>
        <v>0</v>
      </c>
      <c r="BC305" s="15" t="n">
        <f aca="false">0</f>
        <v>0</v>
      </c>
      <c r="BD305" s="15" t="n">
        <f aca="false">(0)+AC305-AF305-AI305-AS305-K305*(1+Parametri_v3!$C$26)-AL305-AQ305-O305+AW305+AX305+AZ305+BA305-BB305</f>
        <v>14707.5</v>
      </c>
      <c r="BE305" s="15" t="n">
        <f aca="false">0</f>
        <v>0</v>
      </c>
      <c r="BF305" s="15" t="n">
        <f aca="false">0</f>
        <v>0</v>
      </c>
      <c r="BG305" s="15" t="n">
        <f aca="false">0</f>
        <v>0</v>
      </c>
      <c r="BH305" s="15" t="n">
        <f aca="false">BD305+BE305-BF305-AY305</f>
        <v>14707.5</v>
      </c>
      <c r="BI305" s="15" t="n">
        <f aca="false">MAX(0,Parametri_v3!$C$31-BH305)</f>
        <v>0</v>
      </c>
      <c r="BJ305" s="15" t="n">
        <f aca="false">(0)+K305</f>
        <v>250</v>
      </c>
      <c r="BK305" s="15" t="n">
        <f aca="false">(0)+L305</f>
        <v>6.94444444444445</v>
      </c>
      <c r="BL305" s="15" t="n">
        <f aca="false">BJ305-BK305</f>
        <v>243.055555555556</v>
      </c>
      <c r="BM305" s="15" t="n">
        <f aca="false">(0)+Y305</f>
        <v>2948.21538011696</v>
      </c>
      <c r="BN305" s="15" t="n">
        <f aca="false">(0)+AW305+AX305+AZ305</f>
        <v>20000</v>
      </c>
      <c r="BO305" s="15" t="n">
        <f aca="false">(0)+AY305</f>
        <v>0</v>
      </c>
      <c r="BP305" s="15" t="n">
        <f aca="false">MIN(Parametri_v3!$C$36*Parametri_v3!$C$35,(0)+IF(1=1,MAX(0,0)*Parametri_v3!$C$34,0))</f>
        <v>0</v>
      </c>
      <c r="BQ305" s="15" t="n">
        <f aca="false">BN305+BM305-BO305</f>
        <v>22948.215380117</v>
      </c>
      <c r="BR305" s="15" t="n">
        <f aca="false">BH305+AD305+BL305+MAX(0,-AM305)+MAX(0,-AR305)</f>
        <v>34727.3976608187</v>
      </c>
      <c r="BS305" s="15" t="n">
        <f aca="false">AJ305+AV305+MAX(0,AM305)+MAX(0,AR305)+BC305+BG305+BQ305+AG305</f>
        <v>34727.3976608187</v>
      </c>
      <c r="BT305" s="15" t="n">
        <f aca="false">BR305-BS305</f>
        <v>0</v>
      </c>
      <c r="BU305" s="15" t="n">
        <f aca="false">BH305-(BD305+BE305-BF305-AY305)</f>
        <v>0</v>
      </c>
      <c r="BV305" s="15" t="n">
        <f aca="false">0</f>
        <v>0</v>
      </c>
    </row>
    <row r="306" customFormat="false" ht="18" hidden="false" customHeight="true" outlineLevel="0" collapsed="false">
      <c r="A306" s="68" t="n">
        <f aca="false">6</f>
        <v>6</v>
      </c>
      <c r="B306" s="68" t="n">
        <f aca="false">2</f>
        <v>2</v>
      </c>
      <c r="C306" s="18" t="n">
        <f aca="false">Motore_Operativo!C306</f>
        <v>46419</v>
      </c>
      <c r="D306" s="68" t="n">
        <f aca="false">Motore_Operativo!D306</f>
        <v>2027</v>
      </c>
      <c r="E306" s="68" t="n">
        <f aca="false">Motore_Operativo!E306</f>
        <v>2</v>
      </c>
      <c r="F306" s="15" t="n">
        <f aca="false">Motore_Operativo!AM306</f>
        <v>16210.5263157895</v>
      </c>
      <c r="G306" s="15" t="n">
        <f aca="false">Motore_Operativo!BH306</f>
        <v>1621.05263157895</v>
      </c>
      <c r="H306" s="15" t="n">
        <f aca="false">Motore_Operativo!AM306</f>
        <v>16210.5263157895</v>
      </c>
      <c r="I306" s="15" t="n">
        <f aca="false">Motore_Operativo!CB306</f>
        <v>12114.5175438596</v>
      </c>
      <c r="J306" s="15" t="n">
        <f aca="false">Motore_Operativo!CD306</f>
        <v>4096.00877192982</v>
      </c>
      <c r="K306" s="15" t="n">
        <f aca="false">Motore_Operativo!CF306</f>
        <v>250</v>
      </c>
      <c r="L306" s="15" t="n">
        <f aca="false">SUM(INDEX($K$305:$K$364,MAX(1,2-Parametri_v3!$C$59+1)):K306)/Parametri_v3!$C$59</f>
        <v>13.8888888888889</v>
      </c>
      <c r="M306" s="15" t="n">
        <f aca="false">J306-L306</f>
        <v>4082.11988304094</v>
      </c>
      <c r="N306" s="15" t="n">
        <f aca="false">0</f>
        <v>0</v>
      </c>
      <c r="O306" s="15" t="n">
        <f aca="false">0</f>
        <v>0</v>
      </c>
      <c r="P306" s="15" t="n">
        <f aca="false">M306+N306-O306</f>
        <v>4082.11988304094</v>
      </c>
      <c r="Q306" s="15" t="n">
        <f aca="false">SUM(P305:P306)+Parametri_v3!$C$56*2/12</f>
        <v>8171.18421052632</v>
      </c>
      <c r="R306" s="15" t="n">
        <f aca="false">0</f>
        <v>0</v>
      </c>
      <c r="S306" s="15" t="n">
        <f aca="false">0</f>
        <v>0</v>
      </c>
      <c r="T306" s="15" t="n">
        <f aca="false">MIN(R306,MAX(0,Q306))</f>
        <v>0</v>
      </c>
      <c r="U306" s="15" t="n">
        <f aca="false">MIN(S306,MAX(0,Q306-T306)*Parametri_v3!$C$42)</f>
        <v>0</v>
      </c>
      <c r="V306" s="15" t="n">
        <f aca="false">MAX(0,Q306-T306-U306)*Ipotesi!$C$92</f>
        <v>1961.08421052632</v>
      </c>
      <c r="W306" s="15" t="n">
        <f aca="false">MAX(0,SUM(M305:M306)+Parametri_v3!$C$57*2/12)*Ipotesi!$C$93</f>
        <v>318.676184210526</v>
      </c>
      <c r="X306" s="15" t="n">
        <f aca="false">V306+W306-(V305+W305)</f>
        <v>1138.91144736842</v>
      </c>
      <c r="Y306" s="15" t="n">
        <f aca="false">P306-X306</f>
        <v>2943.20843567251</v>
      </c>
      <c r="Z306" s="15" t="n">
        <f aca="false">R306-T306+IF(AND(Parametri_v3!$C$40=1,D306-YEAR(Parametri_v3!$C$50)&lt;Parametri_v3!$C$41),MAX(0,-Q306),0)</f>
        <v>0</v>
      </c>
      <c r="AA306" s="15" t="n">
        <f aca="false">S306-U306+IF(AND(Parametri_v3!$C$40=1,D306-YEAR(Parametri_v3!$C$50)&lt;Parametri_v3!$C$41),0,MAX(0,-Q306))</f>
        <v>0</v>
      </c>
      <c r="AB306" s="15" t="n">
        <f aca="false">F306*(1+Parametri_v3!$C$26)</f>
        <v>19776.8421052632</v>
      </c>
      <c r="AC306" s="15" t="n">
        <f aca="false">(IF(2-(INT((Motore_Operativo!L306)/30))&lt;1,0,INDEX(Motore_Advisory!$AB$305:$AB$364,MAX(1,2-(INT((Motore_Operativo!L306)/30)))))*(1-(MOD((Motore_Operativo!L306),30)/30))+IF(2-(INT((Motore_Operativo!L306)/30))-1&lt;1,0,INDEX(Motore_Advisory!$AB$305:$AB$364,MAX(1,2-(INT((Motore_Operativo!L306)/30))-1)))*(MOD((Motore_Operativo!L306),30)/30))</f>
        <v>0</v>
      </c>
      <c r="AD306" s="15" t="n">
        <f aca="false">(AD305)+AB306-AC306</f>
        <v>39553.6842105263</v>
      </c>
      <c r="AE306" s="15" t="n">
        <f aca="false">Motore_Operativo!BH306*(1+Parametri_v3!$C$26)</f>
        <v>1977.68421052632</v>
      </c>
      <c r="AF306" s="15" t="n">
        <f aca="false">(IF(2-(INT((Parametri_v3!$C$29)/30))&lt;1,0,INDEX(Motore_Operativo!$BH$305:$BH$364,MAX(1,2-(INT((Parametri_v3!$C$29)/30)))))*(1-(MOD((Parametri_v3!$C$29),30)/30))+IF(2-(INT((Parametri_v3!$C$29)/30))-1&lt;1,0,INDEX(Motore_Operativo!$BH$305:$BH$364,MAX(1,2-(INT((Parametri_v3!$C$29)/30))-1)))*(MOD((Parametri_v3!$C$29),30)/30))*(1+Parametri_v3!$C$26)</f>
        <v>1977.68421052632</v>
      </c>
      <c r="AG306" s="15" t="n">
        <f aca="false">(AG305)+AE306-AF306</f>
        <v>1977.68421052632</v>
      </c>
      <c r="AH306" s="15" t="n">
        <f aca="false">(Motore_Operativo!CK306)*(1+Parametri_v3!$C$28*Parametri_v3!$C$26)</f>
        <v>6166.3147368421</v>
      </c>
      <c r="AI306" s="15" t="n">
        <f aca="false">(IF(2-(INT((Ipotesi!$C$91)/30))&lt;1,0,INDEX(Motore_Advisory!$AH$305:$AH$364,MAX(1,2-(INT((Ipotesi!$C$91)/30)))))*(1-(MOD((Ipotesi!$C$91),30)/30))+IF(2-(INT((Ipotesi!$C$91)/30))-1&lt;1,0,INDEX(Motore_Advisory!$AH$305:$AH$364,MAX(1,2-(INT((Ipotesi!$C$91)/30))-1)))*(MOD((Ipotesi!$C$91),30)/30))</f>
        <v>0</v>
      </c>
      <c r="AJ306" s="15" t="n">
        <f aca="false">(AJ305)+AH306-AI306</f>
        <v>12332.6294736842</v>
      </c>
      <c r="AK306" s="15" t="n">
        <f aca="false">(F306- Motore_Operativo!BH306-(Motore_Operativo!CK306)*Parametri_v3!$C$28-Motore_Operativo!CF306)*Parametri_v3!$C$26</f>
        <v>2231.83438596491</v>
      </c>
      <c r="AL306" s="15" t="n">
        <f aca="false">MAX(0,(AM305))</f>
        <v>2231.83438596491</v>
      </c>
      <c r="AM306" s="15" t="n">
        <f aca="false">(AM305)+AK306-AL306</f>
        <v>2231.83438596491</v>
      </c>
      <c r="AN306" s="15" t="n">
        <f aca="false">0</f>
        <v>0</v>
      </c>
      <c r="AO306" s="15" t="n">
        <f aca="false">0</f>
        <v>0</v>
      </c>
      <c r="AP306" s="15" t="n">
        <f aca="false">MAX(0,AN306)*IF(2=Parametri_v3!$C$43,Parametri_v3!$C$45,IF(2=Parametri_v3!$C$44,1-Parametri_v3!$C$45,0))</f>
        <v>0</v>
      </c>
      <c r="AQ306" s="15" t="n">
        <f aca="false">MAX(0,AP306+IF(2=Parametri_v3!$C$43,MAX(0,AN306-AO306),0)-MAX(0,-(AR305)))</f>
        <v>0</v>
      </c>
      <c r="AR306" s="15" t="n">
        <f aca="false">(AR305)+X306-AQ306</f>
        <v>2279.76039473684</v>
      </c>
      <c r="AS306" s="15" t="n">
        <f aca="false">Motore_Operativo!AC306-AT306+AU306</f>
        <v>4987.5</v>
      </c>
      <c r="AT306" s="15" t="n">
        <f aca="false">Motore_Operativo!CI306</f>
        <v>262.5</v>
      </c>
      <c r="AU306" s="15" t="n">
        <f aca="false">MIN(MAX(0,(AV305)+AT306),Parametri_v3!$C$61/12)</f>
        <v>0</v>
      </c>
      <c r="AV306" s="15" t="n">
        <f aca="false">(AV305)+AT306-AU306</f>
        <v>525</v>
      </c>
      <c r="AW306" s="15" t="n">
        <f aca="false">IF(AND(Motore_Operativo!C306=Finanziamenti!$D$7,Finanziamenti!$F$7=1),Finanziamenti!$C$7,0)</f>
        <v>0</v>
      </c>
      <c r="AX306" s="15" t="n">
        <f aca="false">0</f>
        <v>0</v>
      </c>
      <c r="AY306" s="15" t="n">
        <f aca="false">IF(2=Parametri_v3!$C$33,IF(BV306&lt;MIN(12,$B306-1),0,MIN(MAX(0,0)*Ipotesi!$C$94,MAX(0,(0)-(BO305)-BP306),MAX(0,BD306-Parametri_v3!$C$31))),0)</f>
        <v>0</v>
      </c>
      <c r="AZ306" s="15" t="n">
        <f aca="false">0</f>
        <v>0</v>
      </c>
      <c r="BA306" s="15" t="n">
        <f aca="false">0</f>
        <v>0</v>
      </c>
      <c r="BB306" s="15" t="n">
        <f aca="false">0</f>
        <v>0</v>
      </c>
      <c r="BC306" s="15" t="n">
        <f aca="false">0</f>
        <v>0</v>
      </c>
      <c r="BD306" s="15" t="n">
        <f aca="false">(BH305)+AC306-AF306-AI306-AS306-K306*(1+Parametri_v3!$C$26)-AL306-AQ306-O306+AW306+AX306+AZ306+BA306-BB306</f>
        <v>5205.48140350877</v>
      </c>
      <c r="BE306" s="15" t="n">
        <f aca="false">0</f>
        <v>0</v>
      </c>
      <c r="BF306" s="15" t="n">
        <f aca="false">0</f>
        <v>0</v>
      </c>
      <c r="BG306" s="15" t="n">
        <f aca="false">0</f>
        <v>0</v>
      </c>
      <c r="BH306" s="15" t="n">
        <f aca="false">BD306+BE306-BF306-AY306</f>
        <v>5205.48140350877</v>
      </c>
      <c r="BI306" s="15" t="n">
        <f aca="false">MAX(0,Parametri_v3!$C$31-BH306)</f>
        <v>4794.51859649123</v>
      </c>
      <c r="BJ306" s="15" t="n">
        <f aca="false">(BJ305)+K306</f>
        <v>500</v>
      </c>
      <c r="BK306" s="15" t="n">
        <f aca="false">(BK305)+L306</f>
        <v>20.8333333333333</v>
      </c>
      <c r="BL306" s="15" t="n">
        <f aca="false">BJ306-BK306</f>
        <v>479.166666666667</v>
      </c>
      <c r="BM306" s="15" t="n">
        <f aca="false">(BM305)+Y306</f>
        <v>5891.42381578947</v>
      </c>
      <c r="BN306" s="15" t="n">
        <f aca="false">(BN305)+AW306+AX306+AZ306</f>
        <v>20000</v>
      </c>
      <c r="BO306" s="15" t="n">
        <f aca="false">(BO305)+AY306</f>
        <v>0</v>
      </c>
      <c r="BP306" s="15" t="n">
        <f aca="false">MIN(Parametri_v3!$C$36*Parametri_v3!$C$35,(BP305)+IF(2=1,MAX(0,0)*Parametri_v3!$C$34,0))</f>
        <v>0</v>
      </c>
      <c r="BQ306" s="15" t="n">
        <f aca="false">BN306+BM306-BO306</f>
        <v>25891.4238157895</v>
      </c>
      <c r="BR306" s="15" t="n">
        <f aca="false">BH306+AD306+BL306+MAX(0,-AM306)+MAX(0,-AR306)</f>
        <v>45238.3322807018</v>
      </c>
      <c r="BS306" s="15" t="n">
        <f aca="false">AJ306+AV306+MAX(0,AM306)+MAX(0,AR306)+BC306+BG306+BQ306+AG306</f>
        <v>45238.3322807018</v>
      </c>
      <c r="BT306" s="15" t="n">
        <f aca="false">BR306-BS306</f>
        <v>0</v>
      </c>
      <c r="BU306" s="15" t="n">
        <f aca="false">BH306-(BD306+BE306-BF306-AY306)</f>
        <v>0</v>
      </c>
      <c r="BV306" s="15" t="n">
        <f aca="false">IF(BH305&lt;Parametri_v3!$C$31,0,BV305+1)</f>
        <v>1</v>
      </c>
    </row>
    <row r="307" customFormat="false" ht="18" hidden="false" customHeight="true" outlineLevel="0" collapsed="false">
      <c r="A307" s="68" t="n">
        <f aca="false">6</f>
        <v>6</v>
      </c>
      <c r="B307" s="68" t="n">
        <f aca="false">3</f>
        <v>3</v>
      </c>
      <c r="C307" s="18" t="n">
        <f aca="false">Motore_Operativo!C307</f>
        <v>46447</v>
      </c>
      <c r="D307" s="68" t="n">
        <f aca="false">Motore_Operativo!D307</f>
        <v>2027</v>
      </c>
      <c r="E307" s="68" t="n">
        <f aca="false">Motore_Operativo!E307</f>
        <v>3</v>
      </c>
      <c r="F307" s="15" t="n">
        <f aca="false">Motore_Operativo!AM307</f>
        <v>16210.5263157895</v>
      </c>
      <c r="G307" s="15" t="n">
        <f aca="false">Motore_Operativo!BH307</f>
        <v>1621.05263157895</v>
      </c>
      <c r="H307" s="15" t="n">
        <f aca="false">Motore_Operativo!AM307</f>
        <v>16210.5263157895</v>
      </c>
      <c r="I307" s="15" t="n">
        <f aca="false">Motore_Operativo!CB307</f>
        <v>12114.5175438596</v>
      </c>
      <c r="J307" s="15" t="n">
        <f aca="false">Motore_Operativo!CD307</f>
        <v>4096.00877192982</v>
      </c>
      <c r="K307" s="15" t="n">
        <f aca="false">Motore_Operativo!CF307</f>
        <v>250</v>
      </c>
      <c r="L307" s="15" t="n">
        <f aca="false">SUM(INDEX($K$305:$K$364,MAX(1,3-Parametri_v3!$C$59+1)):K307)/Parametri_v3!$C$59</f>
        <v>20.8333333333333</v>
      </c>
      <c r="M307" s="15" t="n">
        <f aca="false">J307-L307</f>
        <v>4075.17543859649</v>
      </c>
      <c r="N307" s="15" t="n">
        <f aca="false">0</f>
        <v>0</v>
      </c>
      <c r="O307" s="15" t="n">
        <f aca="false">0</f>
        <v>0</v>
      </c>
      <c r="P307" s="15" t="n">
        <f aca="false">M307+N307-O307</f>
        <v>4075.17543859649</v>
      </c>
      <c r="Q307" s="15" t="n">
        <f aca="false">SUM(P305:P307)+Parametri_v3!$C$56*3/12</f>
        <v>12246.3596491228</v>
      </c>
      <c r="R307" s="15" t="n">
        <f aca="false">0</f>
        <v>0</v>
      </c>
      <c r="S307" s="15" t="n">
        <f aca="false">0</f>
        <v>0</v>
      </c>
      <c r="T307" s="15" t="n">
        <f aca="false">MIN(R307,MAX(0,Q307))</f>
        <v>0</v>
      </c>
      <c r="U307" s="15" t="n">
        <f aca="false">MIN(S307,MAX(0,Q307-T307)*Parametri_v3!$C$42)</f>
        <v>0</v>
      </c>
      <c r="V307" s="15" t="n">
        <f aca="false">MAX(0,Q307-T307-U307)*Ipotesi!$C$92</f>
        <v>2939.12631578947</v>
      </c>
      <c r="W307" s="15" t="n">
        <f aca="false">MAX(0,SUM(M305:M307)+Parametri_v3!$C$57*3/12)*Ipotesi!$C$93</f>
        <v>477.608026315789</v>
      </c>
      <c r="X307" s="15" t="n">
        <f aca="false">V307+W307-(V306+W306)</f>
        <v>1136.97394736842</v>
      </c>
      <c r="Y307" s="15" t="n">
        <f aca="false">P307-X307</f>
        <v>2938.20149122807</v>
      </c>
      <c r="Z307" s="15" t="n">
        <f aca="false">R307-T307+IF(AND(Parametri_v3!$C$40=1,D307-YEAR(Parametri_v3!$C$50)&lt;Parametri_v3!$C$41),MAX(0,-Q307),0)</f>
        <v>0</v>
      </c>
      <c r="AA307" s="15" t="n">
        <f aca="false">S307-U307+IF(AND(Parametri_v3!$C$40=1,D307-YEAR(Parametri_v3!$C$50)&lt;Parametri_v3!$C$41),0,MAX(0,-Q307))</f>
        <v>0</v>
      </c>
      <c r="AB307" s="15" t="n">
        <f aca="false">F307*(1+Parametri_v3!$C$26)</f>
        <v>19776.8421052632</v>
      </c>
      <c r="AC307" s="15" t="n">
        <f aca="false">(IF(3-(INT((Motore_Operativo!L307)/30))&lt;1,0,INDEX(Motore_Advisory!$AB$305:$AB$364,MAX(1,3-(INT((Motore_Operativo!L307)/30)))))*(1-(MOD((Motore_Operativo!L307),30)/30))+IF(3-(INT((Motore_Operativo!L307)/30))-1&lt;1,0,INDEX(Motore_Advisory!$AB$305:$AB$364,MAX(1,3-(INT((Motore_Operativo!L307)/30))-1)))*(MOD((Motore_Operativo!L307),30)/30))</f>
        <v>0</v>
      </c>
      <c r="AD307" s="15" t="n">
        <f aca="false">(AD306)+AB307-AC307</f>
        <v>59330.5263157895</v>
      </c>
      <c r="AE307" s="15" t="n">
        <f aca="false">Motore_Operativo!BH307*(1+Parametri_v3!$C$26)</f>
        <v>1977.68421052632</v>
      </c>
      <c r="AF307" s="15" t="n">
        <f aca="false">(IF(3-(INT((Parametri_v3!$C$29)/30))&lt;1,0,INDEX(Motore_Operativo!$BH$305:$BH$364,MAX(1,3-(INT((Parametri_v3!$C$29)/30)))))*(1-(MOD((Parametri_v3!$C$29),30)/30))+IF(3-(INT((Parametri_v3!$C$29)/30))-1&lt;1,0,INDEX(Motore_Operativo!$BH$305:$BH$364,MAX(1,3-(INT((Parametri_v3!$C$29)/30))-1)))*(MOD((Parametri_v3!$C$29),30)/30))*(1+Parametri_v3!$C$26)</f>
        <v>1977.68421052632</v>
      </c>
      <c r="AG307" s="15" t="n">
        <f aca="false">(AG306)+AE307-AF307</f>
        <v>1977.68421052632</v>
      </c>
      <c r="AH307" s="15" t="n">
        <f aca="false">(Motore_Operativo!CK307)*(1+Parametri_v3!$C$28*Parametri_v3!$C$26)</f>
        <v>6166.3147368421</v>
      </c>
      <c r="AI307" s="15" t="n">
        <f aca="false">(IF(3-(INT((Ipotesi!$C$91)/30))&lt;1,0,INDEX(Motore_Advisory!$AH$305:$AH$364,MAX(1,3-(INT((Ipotesi!$C$91)/30)))))*(1-(MOD((Ipotesi!$C$91),30)/30))+IF(3-(INT((Ipotesi!$C$91)/30))-1&lt;1,0,INDEX(Motore_Advisory!$AH$305:$AH$364,MAX(1,3-(INT((Ipotesi!$C$91)/30))-1)))*(MOD((Ipotesi!$C$91),30)/30))</f>
        <v>6166.3147368421</v>
      </c>
      <c r="AJ307" s="15" t="n">
        <f aca="false">(AJ306)+AH307-AI307</f>
        <v>12332.6294736842</v>
      </c>
      <c r="AK307" s="15" t="n">
        <f aca="false">(F307- Motore_Operativo!BH307-(Motore_Operativo!CK307)*Parametri_v3!$C$28-Motore_Operativo!CF307)*Parametri_v3!$C$26</f>
        <v>2231.83438596491</v>
      </c>
      <c r="AL307" s="15" t="n">
        <f aca="false">MAX(0,(AM306))</f>
        <v>2231.83438596491</v>
      </c>
      <c r="AM307" s="15" t="n">
        <f aca="false">(AM306)+AK307-AL307</f>
        <v>2231.83438596491</v>
      </c>
      <c r="AN307" s="15" t="n">
        <f aca="false">0</f>
        <v>0</v>
      </c>
      <c r="AO307" s="15" t="n">
        <f aca="false">0</f>
        <v>0</v>
      </c>
      <c r="AP307" s="15" t="n">
        <f aca="false">MAX(0,AN307)*IF(3=Parametri_v3!$C$43,Parametri_v3!$C$45,IF(3=Parametri_v3!$C$44,1-Parametri_v3!$C$45,0))</f>
        <v>0</v>
      </c>
      <c r="AQ307" s="15" t="n">
        <f aca="false">MAX(0,AP307+IF(3=Parametri_v3!$C$43,MAX(0,AN307-AO307),0)-MAX(0,-(AR306)))</f>
        <v>0</v>
      </c>
      <c r="AR307" s="15" t="n">
        <f aca="false">(AR306)+X307-AQ307</f>
        <v>3416.73434210526</v>
      </c>
      <c r="AS307" s="15" t="n">
        <f aca="false">Motore_Operativo!AC307-AT307+AU307</f>
        <v>4987.5</v>
      </c>
      <c r="AT307" s="15" t="n">
        <f aca="false">Motore_Operativo!CI307</f>
        <v>262.5</v>
      </c>
      <c r="AU307" s="15" t="n">
        <f aca="false">MIN(MAX(0,(AV306)+AT307),Parametri_v3!$C$61/12)</f>
        <v>0</v>
      </c>
      <c r="AV307" s="15" t="n">
        <f aca="false">(AV306)+AT307-AU307</f>
        <v>787.5</v>
      </c>
      <c r="AW307" s="15" t="n">
        <f aca="false">IF(AND(Motore_Operativo!C307=Finanziamenti!$D$7,Finanziamenti!$F$7=1),Finanziamenti!$C$7,0)</f>
        <v>0</v>
      </c>
      <c r="AX307" s="15" t="n">
        <f aca="false">0</f>
        <v>0</v>
      </c>
      <c r="AY307" s="15" t="n">
        <f aca="false">IF(3=Parametri_v3!$C$33,IF(BV307&lt;MIN(12,$B307-1),0,MIN(MAX(0,0)*Ipotesi!$C$94,MAX(0,(0)-(BO306)-BP307),MAX(0,BD307-Parametri_v3!$C$31))),0)</f>
        <v>0</v>
      </c>
      <c r="AZ307" s="15" t="n">
        <f aca="false">0</f>
        <v>0</v>
      </c>
      <c r="BA307" s="15" t="n">
        <f aca="false">0</f>
        <v>0</v>
      </c>
      <c r="BB307" s="15" t="n">
        <f aca="false">0</f>
        <v>0</v>
      </c>
      <c r="BC307" s="15" t="n">
        <f aca="false">0</f>
        <v>0</v>
      </c>
      <c r="BD307" s="15" t="n">
        <f aca="false">(BH306)+AC307-AF307-AI307-AS307-K307*(1+Parametri_v3!$C$26)-AL307-AQ307-O307+AW307+AX307+AZ307+BA307-BB307</f>
        <v>-10462.8519298246</v>
      </c>
      <c r="BE307" s="15" t="n">
        <f aca="false">0</f>
        <v>0</v>
      </c>
      <c r="BF307" s="15" t="n">
        <f aca="false">0</f>
        <v>0</v>
      </c>
      <c r="BG307" s="15" t="n">
        <f aca="false">0</f>
        <v>0</v>
      </c>
      <c r="BH307" s="15" t="n">
        <f aca="false">BD307+BE307-BF307-AY307</f>
        <v>-10462.8519298246</v>
      </c>
      <c r="BI307" s="15" t="n">
        <f aca="false">MAX(0,Parametri_v3!$C$31-BH307)</f>
        <v>20462.8519298246</v>
      </c>
      <c r="BJ307" s="15" t="n">
        <f aca="false">(BJ306)+K307</f>
        <v>750</v>
      </c>
      <c r="BK307" s="15" t="n">
        <f aca="false">(BK306)+L307</f>
        <v>41.6666666666667</v>
      </c>
      <c r="BL307" s="15" t="n">
        <f aca="false">BJ307-BK307</f>
        <v>708.333333333333</v>
      </c>
      <c r="BM307" s="15" t="n">
        <f aca="false">(BM306)+Y307</f>
        <v>8829.62530701754</v>
      </c>
      <c r="BN307" s="15" t="n">
        <f aca="false">(BN306)+AW307+AX307+AZ307</f>
        <v>20000</v>
      </c>
      <c r="BO307" s="15" t="n">
        <f aca="false">(BO306)+AY307</f>
        <v>0</v>
      </c>
      <c r="BP307" s="15" t="n">
        <f aca="false">MIN(Parametri_v3!$C$36*Parametri_v3!$C$35,(BP306)+IF(3=1,MAX(0,0)*Parametri_v3!$C$34,0))</f>
        <v>0</v>
      </c>
      <c r="BQ307" s="15" t="n">
        <f aca="false">BN307+BM307-BO307</f>
        <v>28829.6253070175</v>
      </c>
      <c r="BR307" s="15" t="n">
        <f aca="false">BH307+AD307+BL307+MAX(0,-AM307)+MAX(0,-AR307)</f>
        <v>49576.0077192982</v>
      </c>
      <c r="BS307" s="15" t="n">
        <f aca="false">AJ307+AV307+MAX(0,AM307)+MAX(0,AR307)+BC307+BG307+BQ307+AG307</f>
        <v>49576.0077192982</v>
      </c>
      <c r="BT307" s="15" t="n">
        <f aca="false">BR307-BS307</f>
        <v>0</v>
      </c>
      <c r="BU307" s="15" t="n">
        <f aca="false">BH307-(BD307+BE307-BF307-AY307)</f>
        <v>0</v>
      </c>
      <c r="BV307" s="15" t="n">
        <f aca="false">IF(BH306&lt;Parametri_v3!$C$31,0,BV306+1)</f>
        <v>0</v>
      </c>
    </row>
    <row r="308" customFormat="false" ht="18" hidden="false" customHeight="true" outlineLevel="0" collapsed="false">
      <c r="A308" s="68" t="n">
        <f aca="false">6</f>
        <v>6</v>
      </c>
      <c r="B308" s="68" t="n">
        <f aca="false">4</f>
        <v>4</v>
      </c>
      <c r="C308" s="18" t="n">
        <f aca="false">Motore_Operativo!C308</f>
        <v>46478</v>
      </c>
      <c r="D308" s="68" t="n">
        <f aca="false">Motore_Operativo!D308</f>
        <v>2027</v>
      </c>
      <c r="E308" s="68" t="n">
        <f aca="false">Motore_Operativo!E308</f>
        <v>4</v>
      </c>
      <c r="F308" s="15" t="n">
        <f aca="false">Motore_Operativo!AM308</f>
        <v>16210.5263157895</v>
      </c>
      <c r="G308" s="15" t="n">
        <f aca="false">Motore_Operativo!BH308</f>
        <v>1621.05263157895</v>
      </c>
      <c r="H308" s="15" t="n">
        <f aca="false">Motore_Operativo!AM308</f>
        <v>16210.5263157895</v>
      </c>
      <c r="I308" s="15" t="n">
        <f aca="false">Motore_Operativo!CB308</f>
        <v>12114.5175438596</v>
      </c>
      <c r="J308" s="15" t="n">
        <f aca="false">Motore_Operativo!CD308</f>
        <v>4096.00877192982</v>
      </c>
      <c r="K308" s="15" t="n">
        <f aca="false">Motore_Operativo!CF308</f>
        <v>250</v>
      </c>
      <c r="L308" s="15" t="n">
        <f aca="false">SUM(INDEX($K$305:$K$364,MAX(1,4-Parametri_v3!$C$59+1)):K308)/Parametri_v3!$C$59</f>
        <v>27.7777777777778</v>
      </c>
      <c r="M308" s="15" t="n">
        <f aca="false">J308-L308</f>
        <v>4068.23099415205</v>
      </c>
      <c r="N308" s="15" t="n">
        <f aca="false">0</f>
        <v>0</v>
      </c>
      <c r="O308" s="15" t="n">
        <f aca="false">0</f>
        <v>0</v>
      </c>
      <c r="P308" s="15" t="n">
        <f aca="false">M308+N308-O308</f>
        <v>4068.23099415205</v>
      </c>
      <c r="Q308" s="15" t="n">
        <f aca="false">SUM(P305:P308)+Parametri_v3!$C$56*4/12</f>
        <v>16314.5906432749</v>
      </c>
      <c r="R308" s="15" t="n">
        <f aca="false">0</f>
        <v>0</v>
      </c>
      <c r="S308" s="15" t="n">
        <f aca="false">0</f>
        <v>0</v>
      </c>
      <c r="T308" s="15" t="n">
        <f aca="false">MIN(R308,MAX(0,Q308))</f>
        <v>0</v>
      </c>
      <c r="U308" s="15" t="n">
        <f aca="false">MIN(S308,MAX(0,Q308-T308)*Parametri_v3!$C$42)</f>
        <v>0</v>
      </c>
      <c r="V308" s="15" t="n">
        <f aca="false">MAX(0,Q308-T308-U308)*Ipotesi!$C$92</f>
        <v>3915.50175438597</v>
      </c>
      <c r="W308" s="15" t="n">
        <f aca="false">MAX(0,SUM(M305:M308)+Parametri_v3!$C$57*4/12)*Ipotesi!$C$93</f>
        <v>636.269035087719</v>
      </c>
      <c r="X308" s="15" t="n">
        <f aca="false">V308+W308-(V307+W307)</f>
        <v>1135.03644736842</v>
      </c>
      <c r="Y308" s="15" t="n">
        <f aca="false">P308-X308</f>
        <v>2933.19454678363</v>
      </c>
      <c r="Z308" s="15" t="n">
        <f aca="false">R308-T308+IF(AND(Parametri_v3!$C$40=1,D308-YEAR(Parametri_v3!$C$50)&lt;Parametri_v3!$C$41),MAX(0,-Q308),0)</f>
        <v>0</v>
      </c>
      <c r="AA308" s="15" t="n">
        <f aca="false">S308-U308+IF(AND(Parametri_v3!$C$40=1,D308-YEAR(Parametri_v3!$C$50)&lt;Parametri_v3!$C$41),0,MAX(0,-Q308))</f>
        <v>0</v>
      </c>
      <c r="AB308" s="15" t="n">
        <f aca="false">F308*(1+Parametri_v3!$C$26)</f>
        <v>19776.8421052632</v>
      </c>
      <c r="AC308" s="15" t="n">
        <f aca="false">(IF(4-(INT((Motore_Operativo!L308)/30))&lt;1,0,INDEX(Motore_Advisory!$AB$305:$AB$364,MAX(1,4-(INT((Motore_Operativo!L308)/30)))))*(1-(MOD((Motore_Operativo!L308),30)/30))+IF(4-(INT((Motore_Operativo!L308)/30))-1&lt;1,0,INDEX(Motore_Advisory!$AB$305:$AB$364,MAX(1,4-(INT((Motore_Operativo!L308)/30))-1)))*(MOD((Motore_Operativo!L308),30)/30))</f>
        <v>19776.8421052632</v>
      </c>
      <c r="AD308" s="15" t="n">
        <f aca="false">(AD307)+AB308-AC308</f>
        <v>59330.5263157895</v>
      </c>
      <c r="AE308" s="15" t="n">
        <f aca="false">Motore_Operativo!BH308*(1+Parametri_v3!$C$26)</f>
        <v>1977.68421052632</v>
      </c>
      <c r="AF308" s="15" t="n">
        <f aca="false">(IF(4-(INT((Parametri_v3!$C$29)/30))&lt;1,0,INDEX(Motore_Operativo!$BH$305:$BH$364,MAX(1,4-(INT((Parametri_v3!$C$29)/30)))))*(1-(MOD((Parametri_v3!$C$29),30)/30))+IF(4-(INT((Parametri_v3!$C$29)/30))-1&lt;1,0,INDEX(Motore_Operativo!$BH$305:$BH$364,MAX(1,4-(INT((Parametri_v3!$C$29)/30))-1)))*(MOD((Parametri_v3!$C$29),30)/30))*(1+Parametri_v3!$C$26)</f>
        <v>1977.68421052632</v>
      </c>
      <c r="AG308" s="15" t="n">
        <f aca="false">(AG307)+AE308-AF308</f>
        <v>1977.68421052632</v>
      </c>
      <c r="AH308" s="15" t="n">
        <f aca="false">(Motore_Operativo!CK308)*(1+Parametri_v3!$C$28*Parametri_v3!$C$26)</f>
        <v>6166.3147368421</v>
      </c>
      <c r="AI308" s="15" t="n">
        <f aca="false">(IF(4-(INT((Ipotesi!$C$91)/30))&lt;1,0,INDEX(Motore_Advisory!$AH$305:$AH$364,MAX(1,4-(INT((Ipotesi!$C$91)/30)))))*(1-(MOD((Ipotesi!$C$91),30)/30))+IF(4-(INT((Ipotesi!$C$91)/30))-1&lt;1,0,INDEX(Motore_Advisory!$AH$305:$AH$364,MAX(1,4-(INT((Ipotesi!$C$91)/30))-1)))*(MOD((Ipotesi!$C$91),30)/30))</f>
        <v>6166.3147368421</v>
      </c>
      <c r="AJ308" s="15" t="n">
        <f aca="false">(AJ307)+AH308-AI308</f>
        <v>12332.6294736842</v>
      </c>
      <c r="AK308" s="15" t="n">
        <f aca="false">(F308- Motore_Operativo!BH308-(Motore_Operativo!CK308)*Parametri_v3!$C$28-Motore_Operativo!CF308)*Parametri_v3!$C$26</f>
        <v>2231.83438596491</v>
      </c>
      <c r="AL308" s="15" t="n">
        <f aca="false">MAX(0,(AM307))</f>
        <v>2231.83438596491</v>
      </c>
      <c r="AM308" s="15" t="n">
        <f aca="false">(AM307)+AK308-AL308</f>
        <v>2231.83438596491</v>
      </c>
      <c r="AN308" s="15" t="n">
        <f aca="false">0</f>
        <v>0</v>
      </c>
      <c r="AO308" s="15" t="n">
        <f aca="false">0</f>
        <v>0</v>
      </c>
      <c r="AP308" s="15" t="n">
        <f aca="false">MAX(0,AN308)*IF(4=Parametri_v3!$C$43,Parametri_v3!$C$45,IF(4=Parametri_v3!$C$44,1-Parametri_v3!$C$45,0))</f>
        <v>0</v>
      </c>
      <c r="AQ308" s="15" t="n">
        <f aca="false">MAX(0,AP308+IF(4=Parametri_v3!$C$43,MAX(0,AN308-AO308),0)-MAX(0,-(AR307)))</f>
        <v>0</v>
      </c>
      <c r="AR308" s="15" t="n">
        <f aca="false">(AR307)+X308-AQ308</f>
        <v>4551.77078947368</v>
      </c>
      <c r="AS308" s="15" t="n">
        <f aca="false">Motore_Operativo!AC308-AT308+AU308</f>
        <v>4987.5</v>
      </c>
      <c r="AT308" s="15" t="n">
        <f aca="false">Motore_Operativo!CI308</f>
        <v>262.5</v>
      </c>
      <c r="AU308" s="15" t="n">
        <f aca="false">MIN(MAX(0,(AV307)+AT308),Parametri_v3!$C$61/12)</f>
        <v>0</v>
      </c>
      <c r="AV308" s="15" t="n">
        <f aca="false">(AV307)+AT308-AU308</f>
        <v>1050</v>
      </c>
      <c r="AW308" s="15" t="n">
        <f aca="false">IF(AND(Motore_Operativo!C308=Finanziamenti!$D$7,Finanziamenti!$F$7=1),Finanziamenti!$C$7,0)</f>
        <v>0</v>
      </c>
      <c r="AX308" s="15" t="n">
        <f aca="false">0</f>
        <v>0</v>
      </c>
      <c r="AY308" s="15" t="n">
        <f aca="false">IF(4=Parametri_v3!$C$33,IF(BV308&lt;MIN(12,$B308-1),0,MIN(MAX(0,0)*Ipotesi!$C$94,MAX(0,(0)-(BO307)-BP308),MAX(0,BD308-Parametri_v3!$C$31))),0)</f>
        <v>0</v>
      </c>
      <c r="AZ308" s="15" t="n">
        <f aca="false">0</f>
        <v>0</v>
      </c>
      <c r="BA308" s="15" t="n">
        <f aca="false">0</f>
        <v>0</v>
      </c>
      <c r="BB308" s="15" t="n">
        <f aca="false">0</f>
        <v>0</v>
      </c>
      <c r="BC308" s="15" t="n">
        <f aca="false">0</f>
        <v>0</v>
      </c>
      <c r="BD308" s="15" t="n">
        <f aca="false">(BH307)+AC308-AF308-AI308-AS308-K308*(1+Parametri_v3!$C$26)-AL308-AQ308-O308+AW308+AX308+AZ308+BA308-BB308</f>
        <v>-6354.34315789474</v>
      </c>
      <c r="BE308" s="15" t="n">
        <f aca="false">0</f>
        <v>0</v>
      </c>
      <c r="BF308" s="15" t="n">
        <f aca="false">0</f>
        <v>0</v>
      </c>
      <c r="BG308" s="15" t="n">
        <f aca="false">0</f>
        <v>0</v>
      </c>
      <c r="BH308" s="15" t="n">
        <f aca="false">BD308+BE308-BF308-AY308</f>
        <v>-6354.34315789474</v>
      </c>
      <c r="BI308" s="15" t="n">
        <f aca="false">MAX(0,Parametri_v3!$C$31-BH308)</f>
        <v>16354.3431578947</v>
      </c>
      <c r="BJ308" s="15" t="n">
        <f aca="false">(BJ307)+K308</f>
        <v>1000</v>
      </c>
      <c r="BK308" s="15" t="n">
        <f aca="false">(BK307)+L308</f>
        <v>69.4444444444445</v>
      </c>
      <c r="BL308" s="15" t="n">
        <f aca="false">BJ308-BK308</f>
        <v>930.555555555556</v>
      </c>
      <c r="BM308" s="15" t="n">
        <f aca="false">(BM307)+Y308</f>
        <v>11762.8198538012</v>
      </c>
      <c r="BN308" s="15" t="n">
        <f aca="false">(BN307)+AW308+AX308+AZ308</f>
        <v>20000</v>
      </c>
      <c r="BO308" s="15" t="n">
        <f aca="false">(BO307)+AY308</f>
        <v>0</v>
      </c>
      <c r="BP308" s="15" t="n">
        <f aca="false">MIN(Parametri_v3!$C$36*Parametri_v3!$C$35,(BP307)+IF(4=1,MAX(0,0)*Parametri_v3!$C$34,0))</f>
        <v>0</v>
      </c>
      <c r="BQ308" s="15" t="n">
        <f aca="false">BN308+BM308-BO308</f>
        <v>31762.8198538012</v>
      </c>
      <c r="BR308" s="15" t="n">
        <f aca="false">BH308+AD308+BL308+MAX(0,-AM308)+MAX(0,-AR308)</f>
        <v>53906.7387134503</v>
      </c>
      <c r="BS308" s="15" t="n">
        <f aca="false">AJ308+AV308+MAX(0,AM308)+MAX(0,AR308)+BC308+BG308+BQ308+AG308</f>
        <v>53906.7387134503</v>
      </c>
      <c r="BT308" s="15" t="n">
        <f aca="false">BR308-BS308</f>
        <v>0</v>
      </c>
      <c r="BU308" s="15" t="n">
        <f aca="false">BH308-(BD308+BE308-BF308-AY308)</f>
        <v>0</v>
      </c>
      <c r="BV308" s="15" t="n">
        <f aca="false">IF(BH307&lt;Parametri_v3!$C$31,0,BV307+1)</f>
        <v>0</v>
      </c>
    </row>
    <row r="309" customFormat="false" ht="18" hidden="false" customHeight="true" outlineLevel="0" collapsed="false">
      <c r="A309" s="68" t="n">
        <f aca="false">6</f>
        <v>6</v>
      </c>
      <c r="B309" s="68" t="n">
        <f aca="false">5</f>
        <v>5</v>
      </c>
      <c r="C309" s="18" t="n">
        <f aca="false">Motore_Operativo!C309</f>
        <v>46508</v>
      </c>
      <c r="D309" s="68" t="n">
        <f aca="false">Motore_Operativo!D309</f>
        <v>2027</v>
      </c>
      <c r="E309" s="68" t="n">
        <f aca="false">Motore_Operativo!E309</f>
        <v>5</v>
      </c>
      <c r="F309" s="15" t="n">
        <f aca="false">Motore_Operativo!AM309</f>
        <v>16210.5263157895</v>
      </c>
      <c r="G309" s="15" t="n">
        <f aca="false">Motore_Operativo!BH309</f>
        <v>1621.05263157895</v>
      </c>
      <c r="H309" s="15" t="n">
        <f aca="false">Motore_Operativo!AM309</f>
        <v>16210.5263157895</v>
      </c>
      <c r="I309" s="15" t="n">
        <f aca="false">Motore_Operativo!CB309</f>
        <v>12114.5175438596</v>
      </c>
      <c r="J309" s="15" t="n">
        <f aca="false">Motore_Operativo!CD309</f>
        <v>4096.00877192982</v>
      </c>
      <c r="K309" s="15" t="n">
        <f aca="false">Motore_Operativo!CF309</f>
        <v>250</v>
      </c>
      <c r="L309" s="15" t="n">
        <f aca="false">SUM(INDEX($K$305:$K$364,MAX(1,5-Parametri_v3!$C$59+1)):K309)/Parametri_v3!$C$59</f>
        <v>34.7222222222222</v>
      </c>
      <c r="M309" s="15" t="n">
        <f aca="false">J309-L309</f>
        <v>4061.2865497076</v>
      </c>
      <c r="N309" s="15" t="n">
        <f aca="false">0</f>
        <v>0</v>
      </c>
      <c r="O309" s="15" t="n">
        <f aca="false">0</f>
        <v>0</v>
      </c>
      <c r="P309" s="15" t="n">
        <f aca="false">M309+N309-O309</f>
        <v>4061.2865497076</v>
      </c>
      <c r="Q309" s="15" t="n">
        <f aca="false">SUM(P305:P309)+Parametri_v3!$C$56*5/12</f>
        <v>20375.8771929825</v>
      </c>
      <c r="R309" s="15" t="n">
        <f aca="false">0</f>
        <v>0</v>
      </c>
      <c r="S309" s="15" t="n">
        <f aca="false">0</f>
        <v>0</v>
      </c>
      <c r="T309" s="15" t="n">
        <f aca="false">MIN(R309,MAX(0,Q309))</f>
        <v>0</v>
      </c>
      <c r="U309" s="15" t="n">
        <f aca="false">MIN(S309,MAX(0,Q309-T309)*Parametri_v3!$C$42)</f>
        <v>0</v>
      </c>
      <c r="V309" s="15" t="n">
        <f aca="false">MAX(0,Q309-T309-U309)*Ipotesi!$C$92</f>
        <v>4890.21052631579</v>
      </c>
      <c r="W309" s="15" t="n">
        <f aca="false">MAX(0,SUM(M305:M309)+Parametri_v3!$C$57*5/12)*Ipotesi!$C$93</f>
        <v>794.659210526316</v>
      </c>
      <c r="X309" s="15" t="n">
        <f aca="false">V309+W309-(V308+W308)</f>
        <v>1133.09894736842</v>
      </c>
      <c r="Y309" s="15" t="n">
        <f aca="false">P309-X309</f>
        <v>2928.18760233918</v>
      </c>
      <c r="Z309" s="15" t="n">
        <f aca="false">R309-T309+IF(AND(Parametri_v3!$C$40=1,D309-YEAR(Parametri_v3!$C$50)&lt;Parametri_v3!$C$41),MAX(0,-Q309),0)</f>
        <v>0</v>
      </c>
      <c r="AA309" s="15" t="n">
        <f aca="false">S309-U309+IF(AND(Parametri_v3!$C$40=1,D309-YEAR(Parametri_v3!$C$50)&lt;Parametri_v3!$C$41),0,MAX(0,-Q309))</f>
        <v>0</v>
      </c>
      <c r="AB309" s="15" t="n">
        <f aca="false">F309*(1+Parametri_v3!$C$26)</f>
        <v>19776.8421052632</v>
      </c>
      <c r="AC309" s="15" t="n">
        <f aca="false">(IF(5-(INT((Motore_Operativo!L309)/30))&lt;1,0,INDEX(Motore_Advisory!$AB$305:$AB$364,MAX(1,5-(INT((Motore_Operativo!L309)/30)))))*(1-(MOD((Motore_Operativo!L309),30)/30))+IF(5-(INT((Motore_Operativo!L309)/30))-1&lt;1,0,INDEX(Motore_Advisory!$AB$305:$AB$364,MAX(1,5-(INT((Motore_Operativo!L309)/30))-1)))*(MOD((Motore_Operativo!L309),30)/30))</f>
        <v>19776.8421052632</v>
      </c>
      <c r="AD309" s="15" t="n">
        <f aca="false">(AD308)+AB309-AC309</f>
        <v>59330.5263157895</v>
      </c>
      <c r="AE309" s="15" t="n">
        <f aca="false">Motore_Operativo!BH309*(1+Parametri_v3!$C$26)</f>
        <v>1977.68421052632</v>
      </c>
      <c r="AF309" s="15" t="n">
        <f aca="false">(IF(5-(INT((Parametri_v3!$C$29)/30))&lt;1,0,INDEX(Motore_Operativo!$BH$305:$BH$364,MAX(1,5-(INT((Parametri_v3!$C$29)/30)))))*(1-(MOD((Parametri_v3!$C$29),30)/30))+IF(5-(INT((Parametri_v3!$C$29)/30))-1&lt;1,0,INDEX(Motore_Operativo!$BH$305:$BH$364,MAX(1,5-(INT((Parametri_v3!$C$29)/30))-1)))*(MOD((Parametri_v3!$C$29),30)/30))*(1+Parametri_v3!$C$26)</f>
        <v>1977.68421052632</v>
      </c>
      <c r="AG309" s="15" t="n">
        <f aca="false">(AG308)+AE309-AF309</f>
        <v>1977.68421052632</v>
      </c>
      <c r="AH309" s="15" t="n">
        <f aca="false">(Motore_Operativo!CK309)*(1+Parametri_v3!$C$28*Parametri_v3!$C$26)</f>
        <v>6166.3147368421</v>
      </c>
      <c r="AI309" s="15" t="n">
        <f aca="false">(IF(5-(INT((Ipotesi!$C$91)/30))&lt;1,0,INDEX(Motore_Advisory!$AH$305:$AH$364,MAX(1,5-(INT((Ipotesi!$C$91)/30)))))*(1-(MOD((Ipotesi!$C$91),30)/30))+IF(5-(INT((Ipotesi!$C$91)/30))-1&lt;1,0,INDEX(Motore_Advisory!$AH$305:$AH$364,MAX(1,5-(INT((Ipotesi!$C$91)/30))-1)))*(MOD((Ipotesi!$C$91),30)/30))</f>
        <v>6166.3147368421</v>
      </c>
      <c r="AJ309" s="15" t="n">
        <f aca="false">(AJ308)+AH309-AI309</f>
        <v>12332.6294736842</v>
      </c>
      <c r="AK309" s="15" t="n">
        <f aca="false">(F309- Motore_Operativo!BH309-(Motore_Operativo!CK309)*Parametri_v3!$C$28-Motore_Operativo!CF309)*Parametri_v3!$C$26</f>
        <v>2231.83438596491</v>
      </c>
      <c r="AL309" s="15" t="n">
        <f aca="false">MAX(0,(AM308))</f>
        <v>2231.83438596491</v>
      </c>
      <c r="AM309" s="15" t="n">
        <f aca="false">(AM308)+AK309-AL309</f>
        <v>2231.83438596491</v>
      </c>
      <c r="AN309" s="15" t="n">
        <f aca="false">0</f>
        <v>0</v>
      </c>
      <c r="AO309" s="15" t="n">
        <f aca="false">0</f>
        <v>0</v>
      </c>
      <c r="AP309" s="15" t="n">
        <f aca="false">MAX(0,AN309)*IF(5=Parametri_v3!$C$43,Parametri_v3!$C$45,IF(5=Parametri_v3!$C$44,1-Parametri_v3!$C$45,0))</f>
        <v>0</v>
      </c>
      <c r="AQ309" s="15" t="n">
        <f aca="false">MAX(0,AP309+IF(5=Parametri_v3!$C$43,MAX(0,AN309-AO309),0)-MAX(0,-(AR308)))</f>
        <v>0</v>
      </c>
      <c r="AR309" s="15" t="n">
        <f aca="false">(AR308)+X309-AQ309</f>
        <v>5684.86973684211</v>
      </c>
      <c r="AS309" s="15" t="n">
        <f aca="false">Motore_Operativo!AC309-AT309+AU309</f>
        <v>4987.5</v>
      </c>
      <c r="AT309" s="15" t="n">
        <f aca="false">Motore_Operativo!CI309</f>
        <v>262.5</v>
      </c>
      <c r="AU309" s="15" t="n">
        <f aca="false">MIN(MAX(0,(AV308)+AT309),Parametri_v3!$C$61/12)</f>
        <v>0</v>
      </c>
      <c r="AV309" s="15" t="n">
        <f aca="false">(AV308)+AT309-AU309</f>
        <v>1312.5</v>
      </c>
      <c r="AW309" s="15" t="n">
        <f aca="false">IF(AND(Motore_Operativo!C309=Finanziamenti!$D$7,Finanziamenti!$F$7=1),Finanziamenti!$C$7,0)</f>
        <v>0</v>
      </c>
      <c r="AX309" s="15" t="n">
        <f aca="false">0</f>
        <v>0</v>
      </c>
      <c r="AY309" s="15" t="n">
        <f aca="false">IF(5=Parametri_v3!$C$33,IF(BV309&lt;MIN(12,$B309-1),0,MIN(MAX(0,0)*Ipotesi!$C$94,MAX(0,(0)-(BO308)-BP309),MAX(0,BD309-Parametri_v3!$C$31))),0)</f>
        <v>0</v>
      </c>
      <c r="AZ309" s="15" t="n">
        <f aca="false">0</f>
        <v>0</v>
      </c>
      <c r="BA309" s="15" t="n">
        <f aca="false">0</f>
        <v>0</v>
      </c>
      <c r="BB309" s="15" t="n">
        <f aca="false">0</f>
        <v>0</v>
      </c>
      <c r="BC309" s="15" t="n">
        <f aca="false">0</f>
        <v>0</v>
      </c>
      <c r="BD309" s="15" t="n">
        <f aca="false">(BH308)+AC309-AF309-AI309-AS309-K309*(1+Parametri_v3!$C$26)-AL309-AQ309-O309+AW309+AX309+AZ309+BA309-BB309</f>
        <v>-2245.83438596491</v>
      </c>
      <c r="BE309" s="15" t="n">
        <f aca="false">0</f>
        <v>0</v>
      </c>
      <c r="BF309" s="15" t="n">
        <f aca="false">0</f>
        <v>0</v>
      </c>
      <c r="BG309" s="15" t="n">
        <f aca="false">0</f>
        <v>0</v>
      </c>
      <c r="BH309" s="15" t="n">
        <f aca="false">BD309+BE309-BF309-AY309</f>
        <v>-2245.83438596491</v>
      </c>
      <c r="BI309" s="15" t="n">
        <f aca="false">MAX(0,Parametri_v3!$C$31-BH309)</f>
        <v>12245.8343859649</v>
      </c>
      <c r="BJ309" s="15" t="n">
        <f aca="false">(BJ308)+K309</f>
        <v>1250</v>
      </c>
      <c r="BK309" s="15" t="n">
        <f aca="false">(BK308)+L309</f>
        <v>104.166666666667</v>
      </c>
      <c r="BL309" s="15" t="n">
        <f aca="false">BJ309-BK309</f>
        <v>1145.83333333333</v>
      </c>
      <c r="BM309" s="15" t="n">
        <f aca="false">(BM308)+Y309</f>
        <v>14691.0074561403</v>
      </c>
      <c r="BN309" s="15" t="n">
        <f aca="false">(BN308)+AW309+AX309+AZ309</f>
        <v>20000</v>
      </c>
      <c r="BO309" s="15" t="n">
        <f aca="false">(BO308)+AY309</f>
        <v>0</v>
      </c>
      <c r="BP309" s="15" t="n">
        <f aca="false">MIN(Parametri_v3!$C$36*Parametri_v3!$C$35,(BP308)+IF(5=1,MAX(0,0)*Parametri_v3!$C$34,0))</f>
        <v>0</v>
      </c>
      <c r="BQ309" s="15" t="n">
        <f aca="false">BN309+BM309-BO309</f>
        <v>34691.0074561403</v>
      </c>
      <c r="BR309" s="15" t="n">
        <f aca="false">BH309+AD309+BL309+MAX(0,-AM309)+MAX(0,-AR309)</f>
        <v>58230.5252631579</v>
      </c>
      <c r="BS309" s="15" t="n">
        <f aca="false">AJ309+AV309+MAX(0,AM309)+MAX(0,AR309)+BC309+BG309+BQ309+AG309</f>
        <v>58230.5252631579</v>
      </c>
      <c r="BT309" s="15" t="n">
        <f aca="false">BR309-BS309</f>
        <v>0</v>
      </c>
      <c r="BU309" s="15" t="n">
        <f aca="false">BH309-(BD309+BE309-BF309-AY309)</f>
        <v>0</v>
      </c>
      <c r="BV309" s="15" t="n">
        <f aca="false">IF(BH308&lt;Parametri_v3!$C$31,0,BV308+1)</f>
        <v>0</v>
      </c>
    </row>
    <row r="310" customFormat="false" ht="18" hidden="false" customHeight="true" outlineLevel="0" collapsed="false">
      <c r="A310" s="68" t="n">
        <f aca="false">6</f>
        <v>6</v>
      </c>
      <c r="B310" s="68" t="n">
        <f aca="false">6</f>
        <v>6</v>
      </c>
      <c r="C310" s="18" t="n">
        <f aca="false">Motore_Operativo!C310</f>
        <v>46539</v>
      </c>
      <c r="D310" s="68" t="n">
        <f aca="false">Motore_Operativo!D310</f>
        <v>2027</v>
      </c>
      <c r="E310" s="68" t="n">
        <f aca="false">Motore_Operativo!E310</f>
        <v>6</v>
      </c>
      <c r="F310" s="15" t="n">
        <f aca="false">Motore_Operativo!AM310</f>
        <v>16210.5263157895</v>
      </c>
      <c r="G310" s="15" t="n">
        <f aca="false">Motore_Operativo!BH310</f>
        <v>1621.05263157895</v>
      </c>
      <c r="H310" s="15" t="n">
        <f aca="false">Motore_Operativo!AM310</f>
        <v>16210.5263157895</v>
      </c>
      <c r="I310" s="15" t="n">
        <f aca="false">Motore_Operativo!CB310</f>
        <v>12114.5175438596</v>
      </c>
      <c r="J310" s="15" t="n">
        <f aca="false">Motore_Operativo!CD310</f>
        <v>4096.00877192982</v>
      </c>
      <c r="K310" s="15" t="n">
        <f aca="false">Motore_Operativo!CF310</f>
        <v>250</v>
      </c>
      <c r="L310" s="15" t="n">
        <f aca="false">SUM(INDEX($K$305:$K$364,MAX(1,6-Parametri_v3!$C$59+1)):K310)/Parametri_v3!$C$59</f>
        <v>41.6666666666667</v>
      </c>
      <c r="M310" s="15" t="n">
        <f aca="false">J310-L310</f>
        <v>4054.34210526316</v>
      </c>
      <c r="N310" s="15" t="n">
        <f aca="false">0</f>
        <v>0</v>
      </c>
      <c r="O310" s="15" t="n">
        <f aca="false">0</f>
        <v>0</v>
      </c>
      <c r="P310" s="15" t="n">
        <f aca="false">M310+N310-O310</f>
        <v>4054.34210526316</v>
      </c>
      <c r="Q310" s="15" t="n">
        <f aca="false">SUM(P305:P310)+Parametri_v3!$C$56*6/12</f>
        <v>24430.2192982456</v>
      </c>
      <c r="R310" s="15" t="n">
        <f aca="false">0</f>
        <v>0</v>
      </c>
      <c r="S310" s="15" t="n">
        <f aca="false">0</f>
        <v>0</v>
      </c>
      <c r="T310" s="15" t="n">
        <f aca="false">MIN(R310,MAX(0,Q310))</f>
        <v>0</v>
      </c>
      <c r="U310" s="15" t="n">
        <f aca="false">MIN(S310,MAX(0,Q310-T310)*Parametri_v3!$C$42)</f>
        <v>0</v>
      </c>
      <c r="V310" s="15" t="n">
        <f aca="false">MAX(0,Q310-T310-U310)*Ipotesi!$C$92</f>
        <v>5863.25263157895</v>
      </c>
      <c r="W310" s="15" t="n">
        <f aca="false">MAX(0,SUM(M305:M310)+Parametri_v3!$C$57*6/12)*Ipotesi!$C$93</f>
        <v>952.778552631579</v>
      </c>
      <c r="X310" s="15" t="n">
        <f aca="false">V310+W310-(V309+W309)</f>
        <v>1131.16144736842</v>
      </c>
      <c r="Y310" s="15" t="n">
        <f aca="false">P310-X310</f>
        <v>2923.18065789474</v>
      </c>
      <c r="Z310" s="15" t="n">
        <f aca="false">R310-T310+IF(AND(Parametri_v3!$C$40=1,D310-YEAR(Parametri_v3!$C$50)&lt;Parametri_v3!$C$41),MAX(0,-Q310),0)</f>
        <v>0</v>
      </c>
      <c r="AA310" s="15" t="n">
        <f aca="false">S310-U310+IF(AND(Parametri_v3!$C$40=1,D310-YEAR(Parametri_v3!$C$50)&lt;Parametri_v3!$C$41),0,MAX(0,-Q310))</f>
        <v>0</v>
      </c>
      <c r="AB310" s="15" t="n">
        <f aca="false">F310*(1+Parametri_v3!$C$26)</f>
        <v>19776.8421052632</v>
      </c>
      <c r="AC310" s="15" t="n">
        <f aca="false">(IF(6-(INT((Motore_Operativo!L310)/30))&lt;1,0,INDEX(Motore_Advisory!$AB$305:$AB$364,MAX(1,6-(INT((Motore_Operativo!L310)/30)))))*(1-(MOD((Motore_Operativo!L310),30)/30))+IF(6-(INT((Motore_Operativo!L310)/30))-1&lt;1,0,INDEX(Motore_Advisory!$AB$305:$AB$364,MAX(1,6-(INT((Motore_Operativo!L310)/30))-1)))*(MOD((Motore_Operativo!L310),30)/30))</f>
        <v>19776.8421052632</v>
      </c>
      <c r="AD310" s="15" t="n">
        <f aca="false">(AD309)+AB310-AC310</f>
        <v>59330.5263157895</v>
      </c>
      <c r="AE310" s="15" t="n">
        <f aca="false">Motore_Operativo!BH310*(1+Parametri_v3!$C$26)</f>
        <v>1977.68421052632</v>
      </c>
      <c r="AF310" s="15" t="n">
        <f aca="false">(IF(6-(INT((Parametri_v3!$C$29)/30))&lt;1,0,INDEX(Motore_Operativo!$BH$305:$BH$364,MAX(1,6-(INT((Parametri_v3!$C$29)/30)))))*(1-(MOD((Parametri_v3!$C$29),30)/30))+IF(6-(INT((Parametri_v3!$C$29)/30))-1&lt;1,0,INDEX(Motore_Operativo!$BH$305:$BH$364,MAX(1,6-(INT((Parametri_v3!$C$29)/30))-1)))*(MOD((Parametri_v3!$C$29),30)/30))*(1+Parametri_v3!$C$26)</f>
        <v>1977.68421052632</v>
      </c>
      <c r="AG310" s="15" t="n">
        <f aca="false">(AG309)+AE310-AF310</f>
        <v>1977.68421052632</v>
      </c>
      <c r="AH310" s="15" t="n">
        <f aca="false">(Motore_Operativo!CK310)*(1+Parametri_v3!$C$28*Parametri_v3!$C$26)</f>
        <v>6166.3147368421</v>
      </c>
      <c r="AI310" s="15" t="n">
        <f aca="false">(IF(6-(INT((Ipotesi!$C$91)/30))&lt;1,0,INDEX(Motore_Advisory!$AH$305:$AH$364,MAX(1,6-(INT((Ipotesi!$C$91)/30)))))*(1-(MOD((Ipotesi!$C$91),30)/30))+IF(6-(INT((Ipotesi!$C$91)/30))-1&lt;1,0,INDEX(Motore_Advisory!$AH$305:$AH$364,MAX(1,6-(INT((Ipotesi!$C$91)/30))-1)))*(MOD((Ipotesi!$C$91),30)/30))</f>
        <v>6166.3147368421</v>
      </c>
      <c r="AJ310" s="15" t="n">
        <f aca="false">(AJ309)+AH310-AI310</f>
        <v>12332.6294736842</v>
      </c>
      <c r="AK310" s="15" t="n">
        <f aca="false">(F310- Motore_Operativo!BH310-(Motore_Operativo!CK310)*Parametri_v3!$C$28-Motore_Operativo!CF310)*Parametri_v3!$C$26</f>
        <v>2231.83438596491</v>
      </c>
      <c r="AL310" s="15" t="n">
        <f aca="false">MAX(0,(AM309))</f>
        <v>2231.83438596491</v>
      </c>
      <c r="AM310" s="15" t="n">
        <f aca="false">(AM309)+AK310-AL310</f>
        <v>2231.83438596491</v>
      </c>
      <c r="AN310" s="15" t="n">
        <f aca="false">0</f>
        <v>0</v>
      </c>
      <c r="AO310" s="15" t="n">
        <f aca="false">0</f>
        <v>0</v>
      </c>
      <c r="AP310" s="15" t="n">
        <f aca="false">MAX(0,AN310)*IF(6=Parametri_v3!$C$43,Parametri_v3!$C$45,IF(6=Parametri_v3!$C$44,1-Parametri_v3!$C$45,0))</f>
        <v>0</v>
      </c>
      <c r="AQ310" s="15" t="n">
        <f aca="false">MAX(0,AP310+IF(6=Parametri_v3!$C$43,MAX(0,AN310-AO310),0)-MAX(0,-(AR309)))</f>
        <v>0</v>
      </c>
      <c r="AR310" s="15" t="n">
        <f aca="false">(AR309)+X310-AQ310</f>
        <v>6816.03118421053</v>
      </c>
      <c r="AS310" s="15" t="n">
        <f aca="false">Motore_Operativo!AC310-AT310+AU310</f>
        <v>4987.5</v>
      </c>
      <c r="AT310" s="15" t="n">
        <f aca="false">Motore_Operativo!CI310</f>
        <v>262.5</v>
      </c>
      <c r="AU310" s="15" t="n">
        <f aca="false">MIN(MAX(0,(AV309)+AT310),Parametri_v3!$C$61/12)</f>
        <v>0</v>
      </c>
      <c r="AV310" s="15" t="n">
        <f aca="false">(AV309)+AT310-AU310</f>
        <v>1575</v>
      </c>
      <c r="AW310" s="15" t="n">
        <f aca="false">IF(AND(Motore_Operativo!C310=Finanziamenti!$D$7,Finanziamenti!$F$7=1),Finanziamenti!$C$7,0)</f>
        <v>0</v>
      </c>
      <c r="AX310" s="15" t="n">
        <f aca="false">0</f>
        <v>0</v>
      </c>
      <c r="AY310" s="15" t="n">
        <f aca="false">IF(6=Parametri_v3!$C$33,IF(BV310&lt;MIN(12,$B310-1),0,MIN(MAX(0,0)*Ipotesi!$C$94,MAX(0,(0)-(BO309)-BP310),MAX(0,BD310-Parametri_v3!$C$31))),0)</f>
        <v>0</v>
      </c>
      <c r="AZ310" s="15" t="n">
        <f aca="false">0</f>
        <v>0</v>
      </c>
      <c r="BA310" s="15" t="n">
        <f aca="false">0</f>
        <v>0</v>
      </c>
      <c r="BB310" s="15" t="n">
        <f aca="false">0</f>
        <v>0</v>
      </c>
      <c r="BC310" s="15" t="n">
        <f aca="false">0</f>
        <v>0</v>
      </c>
      <c r="BD310" s="15" t="n">
        <f aca="false">(BH309)+AC310-AF310-AI310-AS310-K310*(1+Parametri_v3!$C$26)-AL310-AQ310-O310+AW310+AX310+AZ310+BA310-BB310</f>
        <v>1862.67438596491</v>
      </c>
      <c r="BE310" s="15" t="n">
        <f aca="false">0</f>
        <v>0</v>
      </c>
      <c r="BF310" s="15" t="n">
        <f aca="false">0</f>
        <v>0</v>
      </c>
      <c r="BG310" s="15" t="n">
        <f aca="false">0</f>
        <v>0</v>
      </c>
      <c r="BH310" s="15" t="n">
        <f aca="false">BD310+BE310-BF310-AY310</f>
        <v>1862.67438596491</v>
      </c>
      <c r="BI310" s="15" t="n">
        <f aca="false">MAX(0,Parametri_v3!$C$31-BH310)</f>
        <v>8137.32561403509</v>
      </c>
      <c r="BJ310" s="15" t="n">
        <f aca="false">(BJ309)+K310</f>
        <v>1500</v>
      </c>
      <c r="BK310" s="15" t="n">
        <f aca="false">(BK309)+L310</f>
        <v>145.833333333333</v>
      </c>
      <c r="BL310" s="15" t="n">
        <f aca="false">BJ310-BK310</f>
        <v>1354.16666666667</v>
      </c>
      <c r="BM310" s="15" t="n">
        <f aca="false">(BM309)+Y310</f>
        <v>17614.1881140351</v>
      </c>
      <c r="BN310" s="15" t="n">
        <f aca="false">(BN309)+AW310+AX310+AZ310</f>
        <v>20000</v>
      </c>
      <c r="BO310" s="15" t="n">
        <f aca="false">(BO309)+AY310</f>
        <v>0</v>
      </c>
      <c r="BP310" s="15" t="n">
        <f aca="false">MIN(Parametri_v3!$C$36*Parametri_v3!$C$35,(BP309)+IF(6=1,MAX(0,0)*Parametri_v3!$C$34,0))</f>
        <v>0</v>
      </c>
      <c r="BQ310" s="15" t="n">
        <f aca="false">BN310+BM310-BO310</f>
        <v>37614.1881140351</v>
      </c>
      <c r="BR310" s="15" t="n">
        <f aca="false">BH310+AD310+BL310+MAX(0,-AM310)+MAX(0,-AR310)</f>
        <v>62547.367368421</v>
      </c>
      <c r="BS310" s="15" t="n">
        <f aca="false">AJ310+AV310+MAX(0,AM310)+MAX(0,AR310)+BC310+BG310+BQ310+AG310</f>
        <v>62547.367368421</v>
      </c>
      <c r="BT310" s="15" t="n">
        <f aca="false">BR310-BS310</f>
        <v>0</v>
      </c>
      <c r="BU310" s="15" t="n">
        <f aca="false">BH310-(BD310+BE310-BF310-AY310)</f>
        <v>0</v>
      </c>
      <c r="BV310" s="15" t="n">
        <f aca="false">IF(BH309&lt;Parametri_v3!$C$31,0,BV309+1)</f>
        <v>0</v>
      </c>
    </row>
    <row r="311" customFormat="false" ht="18" hidden="false" customHeight="true" outlineLevel="0" collapsed="false">
      <c r="A311" s="68" t="n">
        <f aca="false">6</f>
        <v>6</v>
      </c>
      <c r="B311" s="68" t="n">
        <f aca="false">7</f>
        <v>7</v>
      </c>
      <c r="C311" s="18" t="n">
        <f aca="false">Motore_Operativo!C311</f>
        <v>46569</v>
      </c>
      <c r="D311" s="68" t="n">
        <f aca="false">Motore_Operativo!D311</f>
        <v>2027</v>
      </c>
      <c r="E311" s="68" t="n">
        <f aca="false">Motore_Operativo!E311</f>
        <v>7</v>
      </c>
      <c r="F311" s="15" t="n">
        <f aca="false">Motore_Operativo!AM311</f>
        <v>16210.5263157895</v>
      </c>
      <c r="G311" s="15" t="n">
        <f aca="false">Motore_Operativo!BH311</f>
        <v>1621.05263157895</v>
      </c>
      <c r="H311" s="15" t="n">
        <f aca="false">Motore_Operativo!AM311</f>
        <v>16210.5263157895</v>
      </c>
      <c r="I311" s="15" t="n">
        <f aca="false">Motore_Operativo!CB311</f>
        <v>12114.5175438596</v>
      </c>
      <c r="J311" s="15" t="n">
        <f aca="false">Motore_Operativo!CD311</f>
        <v>4096.00877192982</v>
      </c>
      <c r="K311" s="15" t="n">
        <f aca="false">Motore_Operativo!CF311</f>
        <v>250</v>
      </c>
      <c r="L311" s="15" t="n">
        <f aca="false">SUM(INDEX($K$305:$K$364,MAX(1,7-Parametri_v3!$C$59+1)):K311)/Parametri_v3!$C$59</f>
        <v>48.6111111111111</v>
      </c>
      <c r="M311" s="15" t="n">
        <f aca="false">J311-L311</f>
        <v>4047.39766081871</v>
      </c>
      <c r="N311" s="15" t="n">
        <f aca="false">0</f>
        <v>0</v>
      </c>
      <c r="O311" s="15" t="n">
        <f aca="false">0</f>
        <v>0</v>
      </c>
      <c r="P311" s="15" t="n">
        <f aca="false">M311+N311-O311</f>
        <v>4047.39766081871</v>
      </c>
      <c r="Q311" s="15" t="n">
        <f aca="false">SUM(P305:P311)+Parametri_v3!$C$56*7/12</f>
        <v>28477.6169590643</v>
      </c>
      <c r="R311" s="15" t="n">
        <f aca="false">0</f>
        <v>0</v>
      </c>
      <c r="S311" s="15" t="n">
        <f aca="false">0</f>
        <v>0</v>
      </c>
      <c r="T311" s="15" t="n">
        <f aca="false">MIN(R311,MAX(0,Q311))</f>
        <v>0</v>
      </c>
      <c r="U311" s="15" t="n">
        <f aca="false">MIN(S311,MAX(0,Q311-T311)*Parametri_v3!$C$42)</f>
        <v>0</v>
      </c>
      <c r="V311" s="15" t="n">
        <f aca="false">MAX(0,Q311-T311-U311)*Ipotesi!$C$92</f>
        <v>6834.62807017544</v>
      </c>
      <c r="W311" s="15" t="n">
        <f aca="false">MAX(0,SUM(M305:M311)+Parametri_v3!$C$57*7/12)*Ipotesi!$C$93</f>
        <v>1110.62706140351</v>
      </c>
      <c r="X311" s="15" t="n">
        <f aca="false">V311+W311-(V310+W310)</f>
        <v>1129.22394736842</v>
      </c>
      <c r="Y311" s="15" t="n">
        <f aca="false">P311-X311</f>
        <v>2918.17371345029</v>
      </c>
      <c r="Z311" s="15" t="n">
        <f aca="false">R311-T311+IF(AND(Parametri_v3!$C$40=1,D311-YEAR(Parametri_v3!$C$50)&lt;Parametri_v3!$C$41),MAX(0,-Q311),0)</f>
        <v>0</v>
      </c>
      <c r="AA311" s="15" t="n">
        <f aca="false">S311-U311+IF(AND(Parametri_v3!$C$40=1,D311-YEAR(Parametri_v3!$C$50)&lt;Parametri_v3!$C$41),0,MAX(0,-Q311))</f>
        <v>0</v>
      </c>
      <c r="AB311" s="15" t="n">
        <f aca="false">F311*(1+Parametri_v3!$C$26)</f>
        <v>19776.8421052632</v>
      </c>
      <c r="AC311" s="15" t="n">
        <f aca="false">(IF(7-(INT((Motore_Operativo!L311)/30))&lt;1,0,INDEX(Motore_Advisory!$AB$305:$AB$364,MAX(1,7-(INT((Motore_Operativo!L311)/30)))))*(1-(MOD((Motore_Operativo!L311),30)/30))+IF(7-(INT((Motore_Operativo!L311)/30))-1&lt;1,0,INDEX(Motore_Advisory!$AB$305:$AB$364,MAX(1,7-(INT((Motore_Operativo!L311)/30))-1)))*(MOD((Motore_Operativo!L311),30)/30))</f>
        <v>19776.8421052632</v>
      </c>
      <c r="AD311" s="15" t="n">
        <f aca="false">(AD310)+AB311-AC311</f>
        <v>59330.5263157895</v>
      </c>
      <c r="AE311" s="15" t="n">
        <f aca="false">Motore_Operativo!BH311*(1+Parametri_v3!$C$26)</f>
        <v>1977.68421052632</v>
      </c>
      <c r="AF311" s="15" t="n">
        <f aca="false">(IF(7-(INT((Parametri_v3!$C$29)/30))&lt;1,0,INDEX(Motore_Operativo!$BH$305:$BH$364,MAX(1,7-(INT((Parametri_v3!$C$29)/30)))))*(1-(MOD((Parametri_v3!$C$29),30)/30))+IF(7-(INT((Parametri_v3!$C$29)/30))-1&lt;1,0,INDEX(Motore_Operativo!$BH$305:$BH$364,MAX(1,7-(INT((Parametri_v3!$C$29)/30))-1)))*(MOD((Parametri_v3!$C$29),30)/30))*(1+Parametri_v3!$C$26)</f>
        <v>1977.68421052632</v>
      </c>
      <c r="AG311" s="15" t="n">
        <f aca="false">(AG310)+AE311-AF311</f>
        <v>1977.68421052632</v>
      </c>
      <c r="AH311" s="15" t="n">
        <f aca="false">(Motore_Operativo!CK311)*(1+Parametri_v3!$C$28*Parametri_v3!$C$26)</f>
        <v>6166.3147368421</v>
      </c>
      <c r="AI311" s="15" t="n">
        <f aca="false">(IF(7-(INT((Ipotesi!$C$91)/30))&lt;1,0,INDEX(Motore_Advisory!$AH$305:$AH$364,MAX(1,7-(INT((Ipotesi!$C$91)/30)))))*(1-(MOD((Ipotesi!$C$91),30)/30))+IF(7-(INT((Ipotesi!$C$91)/30))-1&lt;1,0,INDEX(Motore_Advisory!$AH$305:$AH$364,MAX(1,7-(INT((Ipotesi!$C$91)/30))-1)))*(MOD((Ipotesi!$C$91),30)/30))</f>
        <v>6166.3147368421</v>
      </c>
      <c r="AJ311" s="15" t="n">
        <f aca="false">(AJ310)+AH311-AI311</f>
        <v>12332.6294736842</v>
      </c>
      <c r="AK311" s="15" t="n">
        <f aca="false">(F311- Motore_Operativo!BH311-(Motore_Operativo!CK311)*Parametri_v3!$C$28-Motore_Operativo!CF311)*Parametri_v3!$C$26</f>
        <v>2231.83438596491</v>
      </c>
      <c r="AL311" s="15" t="n">
        <f aca="false">MAX(0,(AM310))</f>
        <v>2231.83438596491</v>
      </c>
      <c r="AM311" s="15" t="n">
        <f aca="false">(AM310)+AK311-AL311</f>
        <v>2231.83438596491</v>
      </c>
      <c r="AN311" s="15" t="n">
        <f aca="false">0</f>
        <v>0</v>
      </c>
      <c r="AO311" s="15" t="n">
        <f aca="false">0</f>
        <v>0</v>
      </c>
      <c r="AP311" s="15" t="n">
        <f aca="false">MAX(0,AN311)*IF(7=Parametri_v3!$C$43,Parametri_v3!$C$45,IF(7=Parametri_v3!$C$44,1-Parametri_v3!$C$45,0))</f>
        <v>0</v>
      </c>
      <c r="AQ311" s="15" t="n">
        <f aca="false">MAX(0,AP311+IF(7=Parametri_v3!$C$43,MAX(0,AN311-AO311),0)-MAX(0,-(AR310)))</f>
        <v>0</v>
      </c>
      <c r="AR311" s="15" t="n">
        <f aca="false">(AR310)+X311-AQ311</f>
        <v>7945.25513157895</v>
      </c>
      <c r="AS311" s="15" t="n">
        <f aca="false">Motore_Operativo!AC311-AT311+AU311</f>
        <v>4987.5</v>
      </c>
      <c r="AT311" s="15" t="n">
        <f aca="false">Motore_Operativo!CI311</f>
        <v>262.5</v>
      </c>
      <c r="AU311" s="15" t="n">
        <f aca="false">MIN(MAX(0,(AV310)+AT311),Parametri_v3!$C$61/12)</f>
        <v>0</v>
      </c>
      <c r="AV311" s="15" t="n">
        <f aca="false">(AV310)+AT311-AU311</f>
        <v>1837.5</v>
      </c>
      <c r="AW311" s="15" t="n">
        <f aca="false">IF(AND(Motore_Operativo!C311=Finanziamenti!$D$7,Finanziamenti!$F$7=1),Finanziamenti!$C$7,0)</f>
        <v>0</v>
      </c>
      <c r="AX311" s="15" t="n">
        <f aca="false">0</f>
        <v>0</v>
      </c>
      <c r="AY311" s="15" t="n">
        <f aca="false">IF(7=Parametri_v3!$C$33,IF(BV311&lt;MIN(12,$B311-1),0,MIN(MAX(0,0)*Ipotesi!$C$94,MAX(0,(0)-(BO310)-BP311),MAX(0,BD311-Parametri_v3!$C$31))),0)</f>
        <v>0</v>
      </c>
      <c r="AZ311" s="15" t="n">
        <f aca="false">0</f>
        <v>0</v>
      </c>
      <c r="BA311" s="15" t="n">
        <f aca="false">0</f>
        <v>0</v>
      </c>
      <c r="BB311" s="15" t="n">
        <f aca="false">0</f>
        <v>0</v>
      </c>
      <c r="BC311" s="15" t="n">
        <f aca="false">0</f>
        <v>0</v>
      </c>
      <c r="BD311" s="15" t="n">
        <f aca="false">(BH310)+AC311-AF311-AI311-AS311-K311*(1+Parametri_v3!$C$26)-AL311-AQ311-O311+AW311+AX311+AZ311+BA311-BB311</f>
        <v>5971.18315789473</v>
      </c>
      <c r="BE311" s="15" t="n">
        <f aca="false">0</f>
        <v>0</v>
      </c>
      <c r="BF311" s="15" t="n">
        <f aca="false">0</f>
        <v>0</v>
      </c>
      <c r="BG311" s="15" t="n">
        <f aca="false">0</f>
        <v>0</v>
      </c>
      <c r="BH311" s="15" t="n">
        <f aca="false">BD311+BE311-BF311-AY311</f>
        <v>5971.18315789473</v>
      </c>
      <c r="BI311" s="15" t="n">
        <f aca="false">MAX(0,Parametri_v3!$C$31-BH311)</f>
        <v>4028.81684210527</v>
      </c>
      <c r="BJ311" s="15" t="n">
        <f aca="false">(BJ310)+K311</f>
        <v>1750</v>
      </c>
      <c r="BK311" s="15" t="n">
        <f aca="false">(BK310)+L311</f>
        <v>194.444444444444</v>
      </c>
      <c r="BL311" s="15" t="n">
        <f aca="false">BJ311-BK311</f>
        <v>1555.55555555556</v>
      </c>
      <c r="BM311" s="15" t="n">
        <f aca="false">(BM310)+Y311</f>
        <v>20532.3618274854</v>
      </c>
      <c r="BN311" s="15" t="n">
        <f aca="false">(BN310)+AW311+AX311+AZ311</f>
        <v>20000</v>
      </c>
      <c r="BO311" s="15" t="n">
        <f aca="false">(BO310)+AY311</f>
        <v>0</v>
      </c>
      <c r="BP311" s="15" t="n">
        <f aca="false">MIN(Parametri_v3!$C$36*Parametri_v3!$C$35,(BP310)+IF(7=1,MAX(0,0)*Parametri_v3!$C$34,0))</f>
        <v>0</v>
      </c>
      <c r="BQ311" s="15" t="n">
        <f aca="false">BN311+BM311-BO311</f>
        <v>40532.3618274854</v>
      </c>
      <c r="BR311" s="15" t="n">
        <f aca="false">BH311+AD311+BL311+MAX(0,-AM311)+MAX(0,-AR311)</f>
        <v>66857.2650292398</v>
      </c>
      <c r="BS311" s="15" t="n">
        <f aca="false">AJ311+AV311+MAX(0,AM311)+MAX(0,AR311)+BC311+BG311+BQ311+AG311</f>
        <v>66857.2650292398</v>
      </c>
      <c r="BT311" s="15" t="n">
        <f aca="false">BR311-BS311</f>
        <v>0</v>
      </c>
      <c r="BU311" s="15" t="n">
        <f aca="false">BH311-(BD311+BE311-BF311-AY311)</f>
        <v>0</v>
      </c>
      <c r="BV311" s="15" t="n">
        <f aca="false">IF(BH310&lt;Parametri_v3!$C$31,0,BV310+1)</f>
        <v>0</v>
      </c>
    </row>
    <row r="312" customFormat="false" ht="18" hidden="false" customHeight="true" outlineLevel="0" collapsed="false">
      <c r="A312" s="68" t="n">
        <f aca="false">6</f>
        <v>6</v>
      </c>
      <c r="B312" s="68" t="n">
        <f aca="false">8</f>
        <v>8</v>
      </c>
      <c r="C312" s="18" t="n">
        <f aca="false">Motore_Operativo!C312</f>
        <v>46600</v>
      </c>
      <c r="D312" s="68" t="n">
        <f aca="false">Motore_Operativo!D312</f>
        <v>2027</v>
      </c>
      <c r="E312" s="68" t="n">
        <f aca="false">Motore_Operativo!E312</f>
        <v>8</v>
      </c>
      <c r="F312" s="15" t="n">
        <f aca="false">Motore_Operativo!AM312</f>
        <v>16210.5263157895</v>
      </c>
      <c r="G312" s="15" t="n">
        <f aca="false">Motore_Operativo!BH312</f>
        <v>1621.05263157895</v>
      </c>
      <c r="H312" s="15" t="n">
        <f aca="false">Motore_Operativo!AM312</f>
        <v>16210.5263157895</v>
      </c>
      <c r="I312" s="15" t="n">
        <f aca="false">Motore_Operativo!CB312</f>
        <v>12114.5175438596</v>
      </c>
      <c r="J312" s="15" t="n">
        <f aca="false">Motore_Operativo!CD312</f>
        <v>4096.00877192982</v>
      </c>
      <c r="K312" s="15" t="n">
        <f aca="false">Motore_Operativo!CF312</f>
        <v>250</v>
      </c>
      <c r="L312" s="15" t="n">
        <f aca="false">SUM(INDEX($K$305:$K$364,MAX(1,8-Parametri_v3!$C$59+1)):K312)/Parametri_v3!$C$59</f>
        <v>55.5555555555556</v>
      </c>
      <c r="M312" s="15" t="n">
        <f aca="false">J312-L312</f>
        <v>4040.45321637427</v>
      </c>
      <c r="N312" s="15" t="n">
        <f aca="false">0</f>
        <v>0</v>
      </c>
      <c r="O312" s="15" t="n">
        <f aca="false">0</f>
        <v>0</v>
      </c>
      <c r="P312" s="15" t="n">
        <f aca="false">M312+N312-O312</f>
        <v>4040.45321637427</v>
      </c>
      <c r="Q312" s="15" t="n">
        <f aca="false">SUM(P305:P312)+Parametri_v3!$C$56*8/12</f>
        <v>32518.0701754386</v>
      </c>
      <c r="R312" s="15" t="n">
        <f aca="false">0</f>
        <v>0</v>
      </c>
      <c r="S312" s="15" t="n">
        <f aca="false">0</f>
        <v>0</v>
      </c>
      <c r="T312" s="15" t="n">
        <f aca="false">MIN(R312,MAX(0,Q312))</f>
        <v>0</v>
      </c>
      <c r="U312" s="15" t="n">
        <f aca="false">MIN(S312,MAX(0,Q312-T312)*Parametri_v3!$C$42)</f>
        <v>0</v>
      </c>
      <c r="V312" s="15" t="n">
        <f aca="false">MAX(0,Q312-T312-U312)*Ipotesi!$C$92</f>
        <v>7804.33684210526</v>
      </c>
      <c r="W312" s="15" t="n">
        <f aca="false">MAX(0,SUM(M305:M312)+Parametri_v3!$C$57*8/12)*Ipotesi!$C$93</f>
        <v>1268.20473684211</v>
      </c>
      <c r="X312" s="15" t="n">
        <f aca="false">V312+W312-(V311+W311)</f>
        <v>1127.28644736842</v>
      </c>
      <c r="Y312" s="15" t="n">
        <f aca="false">P312-X312</f>
        <v>2913.16676900585</v>
      </c>
      <c r="Z312" s="15" t="n">
        <f aca="false">R312-T312+IF(AND(Parametri_v3!$C$40=1,D312-YEAR(Parametri_v3!$C$50)&lt;Parametri_v3!$C$41),MAX(0,-Q312),0)</f>
        <v>0</v>
      </c>
      <c r="AA312" s="15" t="n">
        <f aca="false">S312-U312+IF(AND(Parametri_v3!$C$40=1,D312-YEAR(Parametri_v3!$C$50)&lt;Parametri_v3!$C$41),0,MAX(0,-Q312))</f>
        <v>0</v>
      </c>
      <c r="AB312" s="15" t="n">
        <f aca="false">F312*(1+Parametri_v3!$C$26)</f>
        <v>19776.8421052632</v>
      </c>
      <c r="AC312" s="15" t="n">
        <f aca="false">(IF(8-(INT((Motore_Operativo!L312)/30))&lt;1,0,INDEX(Motore_Advisory!$AB$305:$AB$364,MAX(1,8-(INT((Motore_Operativo!L312)/30)))))*(1-(MOD((Motore_Operativo!L312),30)/30))+IF(8-(INT((Motore_Operativo!L312)/30))-1&lt;1,0,INDEX(Motore_Advisory!$AB$305:$AB$364,MAX(1,8-(INT((Motore_Operativo!L312)/30))-1)))*(MOD((Motore_Operativo!L312),30)/30))</f>
        <v>19776.8421052632</v>
      </c>
      <c r="AD312" s="15" t="n">
        <f aca="false">(AD311)+AB312-AC312</f>
        <v>59330.5263157895</v>
      </c>
      <c r="AE312" s="15" t="n">
        <f aca="false">Motore_Operativo!BH312*(1+Parametri_v3!$C$26)</f>
        <v>1977.68421052632</v>
      </c>
      <c r="AF312" s="15" t="n">
        <f aca="false">(IF(8-(INT((Parametri_v3!$C$29)/30))&lt;1,0,INDEX(Motore_Operativo!$BH$305:$BH$364,MAX(1,8-(INT((Parametri_v3!$C$29)/30)))))*(1-(MOD((Parametri_v3!$C$29),30)/30))+IF(8-(INT((Parametri_v3!$C$29)/30))-1&lt;1,0,INDEX(Motore_Operativo!$BH$305:$BH$364,MAX(1,8-(INT((Parametri_v3!$C$29)/30))-1)))*(MOD((Parametri_v3!$C$29),30)/30))*(1+Parametri_v3!$C$26)</f>
        <v>1977.68421052632</v>
      </c>
      <c r="AG312" s="15" t="n">
        <f aca="false">(AG311)+AE312-AF312</f>
        <v>1977.68421052632</v>
      </c>
      <c r="AH312" s="15" t="n">
        <f aca="false">(Motore_Operativo!CK312)*(1+Parametri_v3!$C$28*Parametri_v3!$C$26)</f>
        <v>6166.3147368421</v>
      </c>
      <c r="AI312" s="15" t="n">
        <f aca="false">(IF(8-(INT((Ipotesi!$C$91)/30))&lt;1,0,INDEX(Motore_Advisory!$AH$305:$AH$364,MAX(1,8-(INT((Ipotesi!$C$91)/30)))))*(1-(MOD((Ipotesi!$C$91),30)/30))+IF(8-(INT((Ipotesi!$C$91)/30))-1&lt;1,0,INDEX(Motore_Advisory!$AH$305:$AH$364,MAX(1,8-(INT((Ipotesi!$C$91)/30))-1)))*(MOD((Ipotesi!$C$91),30)/30))</f>
        <v>6166.3147368421</v>
      </c>
      <c r="AJ312" s="15" t="n">
        <f aca="false">(AJ311)+AH312-AI312</f>
        <v>12332.6294736842</v>
      </c>
      <c r="AK312" s="15" t="n">
        <f aca="false">(F312- Motore_Operativo!BH312-(Motore_Operativo!CK312)*Parametri_v3!$C$28-Motore_Operativo!CF312)*Parametri_v3!$C$26</f>
        <v>2231.83438596491</v>
      </c>
      <c r="AL312" s="15" t="n">
        <f aca="false">MAX(0,(AM311))</f>
        <v>2231.83438596491</v>
      </c>
      <c r="AM312" s="15" t="n">
        <f aca="false">(AM311)+AK312-AL312</f>
        <v>2231.83438596491</v>
      </c>
      <c r="AN312" s="15" t="n">
        <f aca="false">0</f>
        <v>0</v>
      </c>
      <c r="AO312" s="15" t="n">
        <f aca="false">0</f>
        <v>0</v>
      </c>
      <c r="AP312" s="15" t="n">
        <f aca="false">MAX(0,AN312)*IF(8=Parametri_v3!$C$43,Parametri_v3!$C$45,IF(8=Parametri_v3!$C$44,1-Parametri_v3!$C$45,0))</f>
        <v>0</v>
      </c>
      <c r="AQ312" s="15" t="n">
        <f aca="false">MAX(0,AP312+IF(8=Parametri_v3!$C$43,MAX(0,AN312-AO312),0)-MAX(0,-(AR311)))</f>
        <v>0</v>
      </c>
      <c r="AR312" s="15" t="n">
        <f aca="false">(AR311)+X312-AQ312</f>
        <v>9072.54157894737</v>
      </c>
      <c r="AS312" s="15" t="n">
        <f aca="false">Motore_Operativo!AC312-AT312+AU312</f>
        <v>4987.5</v>
      </c>
      <c r="AT312" s="15" t="n">
        <f aca="false">Motore_Operativo!CI312</f>
        <v>262.5</v>
      </c>
      <c r="AU312" s="15" t="n">
        <f aca="false">MIN(MAX(0,(AV311)+AT312),Parametri_v3!$C$61/12)</f>
        <v>0</v>
      </c>
      <c r="AV312" s="15" t="n">
        <f aca="false">(AV311)+AT312-AU312</f>
        <v>2100</v>
      </c>
      <c r="AW312" s="15" t="n">
        <f aca="false">IF(AND(Motore_Operativo!C312=Finanziamenti!$D$7,Finanziamenti!$F$7=1),Finanziamenti!$C$7,0)</f>
        <v>0</v>
      </c>
      <c r="AX312" s="15" t="n">
        <f aca="false">0</f>
        <v>0</v>
      </c>
      <c r="AY312" s="15" t="n">
        <f aca="false">IF(8=Parametri_v3!$C$33,IF(BV312&lt;MIN(12,$B312-1),0,MIN(MAX(0,0)*Ipotesi!$C$94,MAX(0,(0)-(BO311)-BP312),MAX(0,BD312-Parametri_v3!$C$31))),0)</f>
        <v>0</v>
      </c>
      <c r="AZ312" s="15" t="n">
        <f aca="false">0</f>
        <v>0</v>
      </c>
      <c r="BA312" s="15" t="n">
        <f aca="false">0</f>
        <v>0</v>
      </c>
      <c r="BB312" s="15" t="n">
        <f aca="false">0</f>
        <v>0</v>
      </c>
      <c r="BC312" s="15" t="n">
        <f aca="false">0</f>
        <v>0</v>
      </c>
      <c r="BD312" s="15" t="n">
        <f aca="false">(BH311)+AC312-AF312-AI312-AS312-K312*(1+Parametri_v3!$C$26)-AL312-AQ312-O312+AW312+AX312+AZ312+BA312-BB312</f>
        <v>10079.6919298246</v>
      </c>
      <c r="BE312" s="15" t="n">
        <f aca="false">0</f>
        <v>0</v>
      </c>
      <c r="BF312" s="15" t="n">
        <f aca="false">0</f>
        <v>0</v>
      </c>
      <c r="BG312" s="15" t="n">
        <f aca="false">0</f>
        <v>0</v>
      </c>
      <c r="BH312" s="15" t="n">
        <f aca="false">BD312+BE312-BF312-AY312</f>
        <v>10079.6919298246</v>
      </c>
      <c r="BI312" s="15" t="n">
        <f aca="false">MAX(0,Parametri_v3!$C$31-BH312)</f>
        <v>0</v>
      </c>
      <c r="BJ312" s="15" t="n">
        <f aca="false">(BJ311)+K312</f>
        <v>2000</v>
      </c>
      <c r="BK312" s="15" t="n">
        <f aca="false">(BK311)+L312</f>
        <v>250</v>
      </c>
      <c r="BL312" s="15" t="n">
        <f aca="false">BJ312-BK312</f>
        <v>1750</v>
      </c>
      <c r="BM312" s="15" t="n">
        <f aca="false">(BM311)+Y312</f>
        <v>23445.5285964912</v>
      </c>
      <c r="BN312" s="15" t="n">
        <f aca="false">(BN311)+AW312+AX312+AZ312</f>
        <v>20000</v>
      </c>
      <c r="BO312" s="15" t="n">
        <f aca="false">(BO311)+AY312</f>
        <v>0</v>
      </c>
      <c r="BP312" s="15" t="n">
        <f aca="false">MIN(Parametri_v3!$C$36*Parametri_v3!$C$35,(BP311)+IF(8=1,MAX(0,0)*Parametri_v3!$C$34,0))</f>
        <v>0</v>
      </c>
      <c r="BQ312" s="15" t="n">
        <f aca="false">BN312+BM312-BO312</f>
        <v>43445.5285964912</v>
      </c>
      <c r="BR312" s="15" t="n">
        <f aca="false">BH312+AD312+BL312+MAX(0,-AM312)+MAX(0,-AR312)</f>
        <v>71160.218245614</v>
      </c>
      <c r="BS312" s="15" t="n">
        <f aca="false">AJ312+AV312+MAX(0,AM312)+MAX(0,AR312)+BC312+BG312+BQ312+AG312</f>
        <v>71160.218245614</v>
      </c>
      <c r="BT312" s="15" t="n">
        <f aca="false">BR312-BS312</f>
        <v>0</v>
      </c>
      <c r="BU312" s="15" t="n">
        <f aca="false">BH312-(BD312+BE312-BF312-AY312)</f>
        <v>0</v>
      </c>
      <c r="BV312" s="15" t="n">
        <f aca="false">IF(BH311&lt;Parametri_v3!$C$31,0,BV311+1)</f>
        <v>0</v>
      </c>
    </row>
    <row r="313" customFormat="false" ht="18" hidden="false" customHeight="true" outlineLevel="0" collapsed="false">
      <c r="A313" s="68" t="n">
        <f aca="false">6</f>
        <v>6</v>
      </c>
      <c r="B313" s="68" t="n">
        <f aca="false">9</f>
        <v>9</v>
      </c>
      <c r="C313" s="18" t="n">
        <f aca="false">Motore_Operativo!C313</f>
        <v>46631</v>
      </c>
      <c r="D313" s="68" t="n">
        <f aca="false">Motore_Operativo!D313</f>
        <v>2027</v>
      </c>
      <c r="E313" s="68" t="n">
        <f aca="false">Motore_Operativo!E313</f>
        <v>9</v>
      </c>
      <c r="F313" s="15" t="n">
        <f aca="false">Motore_Operativo!AM313</f>
        <v>16210.5263157895</v>
      </c>
      <c r="G313" s="15" t="n">
        <f aca="false">Motore_Operativo!BH313</f>
        <v>1621.05263157895</v>
      </c>
      <c r="H313" s="15" t="n">
        <f aca="false">Motore_Operativo!AM313</f>
        <v>16210.5263157895</v>
      </c>
      <c r="I313" s="15" t="n">
        <f aca="false">Motore_Operativo!CB313</f>
        <v>12114.5175438596</v>
      </c>
      <c r="J313" s="15" t="n">
        <f aca="false">Motore_Operativo!CD313</f>
        <v>4096.00877192982</v>
      </c>
      <c r="K313" s="15" t="n">
        <f aca="false">Motore_Operativo!CF313</f>
        <v>250</v>
      </c>
      <c r="L313" s="15" t="n">
        <f aca="false">SUM(INDEX($K$305:$K$364,MAX(1,9-Parametri_v3!$C$59+1)):K313)/Parametri_v3!$C$59</f>
        <v>62.5</v>
      </c>
      <c r="M313" s="15" t="n">
        <f aca="false">J313-L313</f>
        <v>4033.50877192982</v>
      </c>
      <c r="N313" s="15" t="n">
        <f aca="false">0</f>
        <v>0</v>
      </c>
      <c r="O313" s="15" t="n">
        <f aca="false">0</f>
        <v>0</v>
      </c>
      <c r="P313" s="15" t="n">
        <f aca="false">M313+N313-O313</f>
        <v>4033.50877192982</v>
      </c>
      <c r="Q313" s="15" t="n">
        <f aca="false">SUM(P305:P313)+Parametri_v3!$C$56*9/12</f>
        <v>36551.5789473684</v>
      </c>
      <c r="R313" s="15" t="n">
        <f aca="false">0</f>
        <v>0</v>
      </c>
      <c r="S313" s="15" t="n">
        <f aca="false">0</f>
        <v>0</v>
      </c>
      <c r="T313" s="15" t="n">
        <f aca="false">MIN(R313,MAX(0,Q313))</f>
        <v>0</v>
      </c>
      <c r="U313" s="15" t="n">
        <f aca="false">MIN(S313,MAX(0,Q313-T313)*Parametri_v3!$C$42)</f>
        <v>0</v>
      </c>
      <c r="V313" s="15" t="n">
        <f aca="false">MAX(0,Q313-T313-U313)*Ipotesi!$C$92</f>
        <v>8772.37894736842</v>
      </c>
      <c r="W313" s="15" t="n">
        <f aca="false">MAX(0,SUM(M305:M313)+Parametri_v3!$C$57*9/12)*Ipotesi!$C$93</f>
        <v>1425.51157894737</v>
      </c>
      <c r="X313" s="15" t="n">
        <f aca="false">V313+W313-(V312+W312)</f>
        <v>1125.34894736842</v>
      </c>
      <c r="Y313" s="15" t="n">
        <f aca="false">P313-X313</f>
        <v>2908.1598245614</v>
      </c>
      <c r="Z313" s="15" t="n">
        <f aca="false">R313-T313+IF(AND(Parametri_v3!$C$40=1,D313-YEAR(Parametri_v3!$C$50)&lt;Parametri_v3!$C$41),MAX(0,-Q313),0)</f>
        <v>0</v>
      </c>
      <c r="AA313" s="15" t="n">
        <f aca="false">S313-U313+IF(AND(Parametri_v3!$C$40=1,D313-YEAR(Parametri_v3!$C$50)&lt;Parametri_v3!$C$41),0,MAX(0,-Q313))</f>
        <v>0</v>
      </c>
      <c r="AB313" s="15" t="n">
        <f aca="false">F313*(1+Parametri_v3!$C$26)</f>
        <v>19776.8421052632</v>
      </c>
      <c r="AC313" s="15" t="n">
        <f aca="false">(IF(9-(INT((Motore_Operativo!L313)/30))&lt;1,0,INDEX(Motore_Advisory!$AB$305:$AB$364,MAX(1,9-(INT((Motore_Operativo!L313)/30)))))*(1-(MOD((Motore_Operativo!L313),30)/30))+IF(9-(INT((Motore_Operativo!L313)/30))-1&lt;1,0,INDEX(Motore_Advisory!$AB$305:$AB$364,MAX(1,9-(INT((Motore_Operativo!L313)/30))-1)))*(MOD((Motore_Operativo!L313),30)/30))</f>
        <v>19776.8421052632</v>
      </c>
      <c r="AD313" s="15" t="n">
        <f aca="false">(AD312)+AB313-AC313</f>
        <v>59330.5263157895</v>
      </c>
      <c r="AE313" s="15" t="n">
        <f aca="false">Motore_Operativo!BH313*(1+Parametri_v3!$C$26)</f>
        <v>1977.68421052632</v>
      </c>
      <c r="AF313" s="15" t="n">
        <f aca="false">(IF(9-(INT((Parametri_v3!$C$29)/30))&lt;1,0,INDEX(Motore_Operativo!$BH$305:$BH$364,MAX(1,9-(INT((Parametri_v3!$C$29)/30)))))*(1-(MOD((Parametri_v3!$C$29),30)/30))+IF(9-(INT((Parametri_v3!$C$29)/30))-1&lt;1,0,INDEX(Motore_Operativo!$BH$305:$BH$364,MAX(1,9-(INT((Parametri_v3!$C$29)/30))-1)))*(MOD((Parametri_v3!$C$29),30)/30))*(1+Parametri_v3!$C$26)</f>
        <v>1977.68421052632</v>
      </c>
      <c r="AG313" s="15" t="n">
        <f aca="false">(AG312)+AE313-AF313</f>
        <v>1977.68421052632</v>
      </c>
      <c r="AH313" s="15" t="n">
        <f aca="false">(Motore_Operativo!CK313)*(1+Parametri_v3!$C$28*Parametri_v3!$C$26)</f>
        <v>6166.3147368421</v>
      </c>
      <c r="AI313" s="15" t="n">
        <f aca="false">(IF(9-(INT((Ipotesi!$C$91)/30))&lt;1,0,INDEX(Motore_Advisory!$AH$305:$AH$364,MAX(1,9-(INT((Ipotesi!$C$91)/30)))))*(1-(MOD((Ipotesi!$C$91),30)/30))+IF(9-(INT((Ipotesi!$C$91)/30))-1&lt;1,0,INDEX(Motore_Advisory!$AH$305:$AH$364,MAX(1,9-(INT((Ipotesi!$C$91)/30))-1)))*(MOD((Ipotesi!$C$91),30)/30))</f>
        <v>6166.3147368421</v>
      </c>
      <c r="AJ313" s="15" t="n">
        <f aca="false">(AJ312)+AH313-AI313</f>
        <v>12332.6294736842</v>
      </c>
      <c r="AK313" s="15" t="n">
        <f aca="false">(F313- Motore_Operativo!BH313-(Motore_Operativo!CK313)*Parametri_v3!$C$28-Motore_Operativo!CF313)*Parametri_v3!$C$26</f>
        <v>2231.83438596491</v>
      </c>
      <c r="AL313" s="15" t="n">
        <f aca="false">MAX(0,(AM312))</f>
        <v>2231.83438596491</v>
      </c>
      <c r="AM313" s="15" t="n">
        <f aca="false">(AM312)+AK313-AL313</f>
        <v>2231.83438596491</v>
      </c>
      <c r="AN313" s="15" t="n">
        <f aca="false">0</f>
        <v>0</v>
      </c>
      <c r="AO313" s="15" t="n">
        <f aca="false">0</f>
        <v>0</v>
      </c>
      <c r="AP313" s="15" t="n">
        <f aca="false">MAX(0,AN313)*IF(9=Parametri_v3!$C$43,Parametri_v3!$C$45,IF(9=Parametri_v3!$C$44,1-Parametri_v3!$C$45,0))</f>
        <v>0</v>
      </c>
      <c r="AQ313" s="15" t="n">
        <f aca="false">MAX(0,AP313+IF(9=Parametri_v3!$C$43,MAX(0,AN313-AO313),0)-MAX(0,-(AR312)))</f>
        <v>0</v>
      </c>
      <c r="AR313" s="15" t="n">
        <f aca="false">(AR312)+X313-AQ313</f>
        <v>10197.8905263158</v>
      </c>
      <c r="AS313" s="15" t="n">
        <f aca="false">Motore_Operativo!AC313-AT313+AU313</f>
        <v>4987.5</v>
      </c>
      <c r="AT313" s="15" t="n">
        <f aca="false">Motore_Operativo!CI313</f>
        <v>262.5</v>
      </c>
      <c r="AU313" s="15" t="n">
        <f aca="false">MIN(MAX(0,(AV312)+AT313),Parametri_v3!$C$61/12)</f>
        <v>0</v>
      </c>
      <c r="AV313" s="15" t="n">
        <f aca="false">(AV312)+AT313-AU313</f>
        <v>2362.5</v>
      </c>
      <c r="AW313" s="15" t="n">
        <f aca="false">IF(AND(Motore_Operativo!C313=Finanziamenti!$D$7,Finanziamenti!$F$7=1),Finanziamenti!$C$7,0)</f>
        <v>0</v>
      </c>
      <c r="AX313" s="15" t="n">
        <f aca="false">0</f>
        <v>0</v>
      </c>
      <c r="AY313" s="15" t="n">
        <f aca="false">IF(9=Parametri_v3!$C$33,IF(BV313&lt;MIN(12,$B313-1),0,MIN(MAX(0,0)*Ipotesi!$C$94,MAX(0,(0)-(BO312)-BP313),MAX(0,BD313-Parametri_v3!$C$31))),0)</f>
        <v>0</v>
      </c>
      <c r="AZ313" s="15" t="n">
        <f aca="false">0</f>
        <v>0</v>
      </c>
      <c r="BA313" s="15" t="n">
        <f aca="false">0</f>
        <v>0</v>
      </c>
      <c r="BB313" s="15" t="n">
        <f aca="false">0</f>
        <v>0</v>
      </c>
      <c r="BC313" s="15" t="n">
        <f aca="false">0</f>
        <v>0</v>
      </c>
      <c r="BD313" s="15" t="n">
        <f aca="false">(BH312)+AC313-AF313-AI313-AS313-K313*(1+Parametri_v3!$C$26)-AL313-AQ313-O313+AW313+AX313+AZ313+BA313-BB313</f>
        <v>14188.2007017544</v>
      </c>
      <c r="BE313" s="15" t="n">
        <f aca="false">0</f>
        <v>0</v>
      </c>
      <c r="BF313" s="15" t="n">
        <f aca="false">0</f>
        <v>0</v>
      </c>
      <c r="BG313" s="15" t="n">
        <f aca="false">0</f>
        <v>0</v>
      </c>
      <c r="BH313" s="15" t="n">
        <f aca="false">BD313+BE313-BF313-AY313</f>
        <v>14188.2007017544</v>
      </c>
      <c r="BI313" s="15" t="n">
        <f aca="false">MAX(0,Parametri_v3!$C$31-BH313)</f>
        <v>0</v>
      </c>
      <c r="BJ313" s="15" t="n">
        <f aca="false">(BJ312)+K313</f>
        <v>2250</v>
      </c>
      <c r="BK313" s="15" t="n">
        <f aca="false">(BK312)+L313</f>
        <v>312.5</v>
      </c>
      <c r="BL313" s="15" t="n">
        <f aca="false">BJ313-BK313</f>
        <v>1937.5</v>
      </c>
      <c r="BM313" s="15" t="n">
        <f aca="false">(BM312)+Y313</f>
        <v>26353.6884210526</v>
      </c>
      <c r="BN313" s="15" t="n">
        <f aca="false">(BN312)+AW313+AX313+AZ313</f>
        <v>20000</v>
      </c>
      <c r="BO313" s="15" t="n">
        <f aca="false">(BO312)+AY313</f>
        <v>0</v>
      </c>
      <c r="BP313" s="15" t="n">
        <f aca="false">MIN(Parametri_v3!$C$36*Parametri_v3!$C$35,(BP312)+IF(9=1,MAX(0,0)*Parametri_v3!$C$34,0))</f>
        <v>0</v>
      </c>
      <c r="BQ313" s="15" t="n">
        <f aca="false">BN313+BM313-BO313</f>
        <v>46353.6884210526</v>
      </c>
      <c r="BR313" s="15" t="n">
        <f aca="false">BH313+AD313+BL313+MAX(0,-AM313)+MAX(0,-AR313)</f>
        <v>75456.2270175439</v>
      </c>
      <c r="BS313" s="15" t="n">
        <f aca="false">AJ313+AV313+MAX(0,AM313)+MAX(0,AR313)+BC313+BG313+BQ313+AG313</f>
        <v>75456.2270175439</v>
      </c>
      <c r="BT313" s="15" t="n">
        <f aca="false">BR313-BS313</f>
        <v>0</v>
      </c>
      <c r="BU313" s="15" t="n">
        <f aca="false">BH313-(BD313+BE313-BF313-AY313)</f>
        <v>0</v>
      </c>
      <c r="BV313" s="15" t="n">
        <f aca="false">IF(BH312&lt;Parametri_v3!$C$31,0,BV312+1)</f>
        <v>1</v>
      </c>
    </row>
    <row r="314" customFormat="false" ht="18" hidden="false" customHeight="true" outlineLevel="0" collapsed="false">
      <c r="A314" s="68" t="n">
        <f aca="false">6</f>
        <v>6</v>
      </c>
      <c r="B314" s="68" t="n">
        <f aca="false">10</f>
        <v>10</v>
      </c>
      <c r="C314" s="18" t="n">
        <f aca="false">Motore_Operativo!C314</f>
        <v>46661</v>
      </c>
      <c r="D314" s="68" t="n">
        <f aca="false">Motore_Operativo!D314</f>
        <v>2027</v>
      </c>
      <c r="E314" s="68" t="n">
        <f aca="false">Motore_Operativo!E314</f>
        <v>10</v>
      </c>
      <c r="F314" s="15" t="n">
        <f aca="false">Motore_Operativo!AM314</f>
        <v>16210.5263157895</v>
      </c>
      <c r="G314" s="15" t="n">
        <f aca="false">Motore_Operativo!BH314</f>
        <v>1621.05263157895</v>
      </c>
      <c r="H314" s="15" t="n">
        <f aca="false">Motore_Operativo!AM314</f>
        <v>16210.5263157895</v>
      </c>
      <c r="I314" s="15" t="n">
        <f aca="false">Motore_Operativo!CB314</f>
        <v>12114.5175438596</v>
      </c>
      <c r="J314" s="15" t="n">
        <f aca="false">Motore_Operativo!CD314</f>
        <v>4096.00877192982</v>
      </c>
      <c r="K314" s="15" t="n">
        <f aca="false">Motore_Operativo!CF314</f>
        <v>250</v>
      </c>
      <c r="L314" s="15" t="n">
        <f aca="false">SUM(INDEX($K$305:$K$364,MAX(1,10-Parametri_v3!$C$59+1)):K314)/Parametri_v3!$C$59</f>
        <v>69.4444444444444</v>
      </c>
      <c r="M314" s="15" t="n">
        <f aca="false">J314-L314</f>
        <v>4026.56432748538</v>
      </c>
      <c r="N314" s="15" t="n">
        <f aca="false">0</f>
        <v>0</v>
      </c>
      <c r="O314" s="15" t="n">
        <f aca="false">0</f>
        <v>0</v>
      </c>
      <c r="P314" s="15" t="n">
        <f aca="false">M314+N314-O314</f>
        <v>4026.56432748538</v>
      </c>
      <c r="Q314" s="15" t="n">
        <f aca="false">SUM(P305:P314)+Parametri_v3!$C$56*10/12</f>
        <v>40578.1432748538</v>
      </c>
      <c r="R314" s="15" t="n">
        <f aca="false">0</f>
        <v>0</v>
      </c>
      <c r="S314" s="15" t="n">
        <f aca="false">0</f>
        <v>0</v>
      </c>
      <c r="T314" s="15" t="n">
        <f aca="false">MIN(R314,MAX(0,Q314))</f>
        <v>0</v>
      </c>
      <c r="U314" s="15" t="n">
        <f aca="false">MIN(S314,MAX(0,Q314-T314)*Parametri_v3!$C$42)</f>
        <v>0</v>
      </c>
      <c r="V314" s="15" t="n">
        <f aca="false">MAX(0,Q314-T314-U314)*Ipotesi!$C$92</f>
        <v>9738.75438596491</v>
      </c>
      <c r="W314" s="15" t="n">
        <f aca="false">MAX(0,SUM(M305:M314)+Parametri_v3!$C$57*10/12)*Ipotesi!$C$93</f>
        <v>1582.5475877193</v>
      </c>
      <c r="X314" s="15" t="n">
        <f aca="false">V314+W314-(V313+W313)</f>
        <v>1123.41144736842</v>
      </c>
      <c r="Y314" s="15" t="n">
        <f aca="false">P314-X314</f>
        <v>2903.15288011696</v>
      </c>
      <c r="Z314" s="15" t="n">
        <f aca="false">R314-T314+IF(AND(Parametri_v3!$C$40=1,D314-YEAR(Parametri_v3!$C$50)&lt;Parametri_v3!$C$41),MAX(0,-Q314),0)</f>
        <v>0</v>
      </c>
      <c r="AA314" s="15" t="n">
        <f aca="false">S314-U314+IF(AND(Parametri_v3!$C$40=1,D314-YEAR(Parametri_v3!$C$50)&lt;Parametri_v3!$C$41),0,MAX(0,-Q314))</f>
        <v>0</v>
      </c>
      <c r="AB314" s="15" t="n">
        <f aca="false">F314*(1+Parametri_v3!$C$26)</f>
        <v>19776.8421052632</v>
      </c>
      <c r="AC314" s="15" t="n">
        <f aca="false">(IF(10-(INT((Motore_Operativo!L314)/30))&lt;1,0,INDEX(Motore_Advisory!$AB$305:$AB$364,MAX(1,10-(INT((Motore_Operativo!L314)/30)))))*(1-(MOD((Motore_Operativo!L314),30)/30))+IF(10-(INT((Motore_Operativo!L314)/30))-1&lt;1,0,INDEX(Motore_Advisory!$AB$305:$AB$364,MAX(1,10-(INT((Motore_Operativo!L314)/30))-1)))*(MOD((Motore_Operativo!L314),30)/30))</f>
        <v>19776.8421052632</v>
      </c>
      <c r="AD314" s="15" t="n">
        <f aca="false">(AD313)+AB314-AC314</f>
        <v>59330.5263157895</v>
      </c>
      <c r="AE314" s="15" t="n">
        <f aca="false">Motore_Operativo!BH314*(1+Parametri_v3!$C$26)</f>
        <v>1977.68421052632</v>
      </c>
      <c r="AF314" s="15" t="n">
        <f aca="false">(IF(10-(INT((Parametri_v3!$C$29)/30))&lt;1,0,INDEX(Motore_Operativo!$BH$305:$BH$364,MAX(1,10-(INT((Parametri_v3!$C$29)/30)))))*(1-(MOD((Parametri_v3!$C$29),30)/30))+IF(10-(INT((Parametri_v3!$C$29)/30))-1&lt;1,0,INDEX(Motore_Operativo!$BH$305:$BH$364,MAX(1,10-(INT((Parametri_v3!$C$29)/30))-1)))*(MOD((Parametri_v3!$C$29),30)/30))*(1+Parametri_v3!$C$26)</f>
        <v>1977.68421052632</v>
      </c>
      <c r="AG314" s="15" t="n">
        <f aca="false">(AG313)+AE314-AF314</f>
        <v>1977.68421052632</v>
      </c>
      <c r="AH314" s="15" t="n">
        <f aca="false">(Motore_Operativo!CK314)*(1+Parametri_v3!$C$28*Parametri_v3!$C$26)</f>
        <v>6166.3147368421</v>
      </c>
      <c r="AI314" s="15" t="n">
        <f aca="false">(IF(10-(INT((Ipotesi!$C$91)/30))&lt;1,0,INDEX(Motore_Advisory!$AH$305:$AH$364,MAX(1,10-(INT((Ipotesi!$C$91)/30)))))*(1-(MOD((Ipotesi!$C$91),30)/30))+IF(10-(INT((Ipotesi!$C$91)/30))-1&lt;1,0,INDEX(Motore_Advisory!$AH$305:$AH$364,MAX(1,10-(INT((Ipotesi!$C$91)/30))-1)))*(MOD((Ipotesi!$C$91),30)/30))</f>
        <v>6166.3147368421</v>
      </c>
      <c r="AJ314" s="15" t="n">
        <f aca="false">(AJ313)+AH314-AI314</f>
        <v>12332.6294736842</v>
      </c>
      <c r="AK314" s="15" t="n">
        <f aca="false">(F314- Motore_Operativo!BH314-(Motore_Operativo!CK314)*Parametri_v3!$C$28-Motore_Operativo!CF314)*Parametri_v3!$C$26</f>
        <v>2231.83438596491</v>
      </c>
      <c r="AL314" s="15" t="n">
        <f aca="false">MAX(0,(AM313))</f>
        <v>2231.83438596491</v>
      </c>
      <c r="AM314" s="15" t="n">
        <f aca="false">(AM313)+AK314-AL314</f>
        <v>2231.83438596491</v>
      </c>
      <c r="AN314" s="15" t="n">
        <f aca="false">0</f>
        <v>0</v>
      </c>
      <c r="AO314" s="15" t="n">
        <f aca="false">0</f>
        <v>0</v>
      </c>
      <c r="AP314" s="15" t="n">
        <f aca="false">MAX(0,AN314)*IF(10=Parametri_v3!$C$43,Parametri_v3!$C$45,IF(10=Parametri_v3!$C$44,1-Parametri_v3!$C$45,0))</f>
        <v>0</v>
      </c>
      <c r="AQ314" s="15" t="n">
        <f aca="false">MAX(0,AP314+IF(10=Parametri_v3!$C$43,MAX(0,AN314-AO314),0)-MAX(0,-(AR313)))</f>
        <v>0</v>
      </c>
      <c r="AR314" s="15" t="n">
        <f aca="false">(AR313)+X314-AQ314</f>
        <v>11321.3019736842</v>
      </c>
      <c r="AS314" s="15" t="n">
        <f aca="false">Motore_Operativo!AC314-AT314+AU314</f>
        <v>4987.5</v>
      </c>
      <c r="AT314" s="15" t="n">
        <f aca="false">Motore_Operativo!CI314</f>
        <v>262.5</v>
      </c>
      <c r="AU314" s="15" t="n">
        <f aca="false">MIN(MAX(0,(AV313)+AT314),Parametri_v3!$C$61/12)</f>
        <v>0</v>
      </c>
      <c r="AV314" s="15" t="n">
        <f aca="false">(AV313)+AT314-AU314</f>
        <v>2625</v>
      </c>
      <c r="AW314" s="15" t="n">
        <f aca="false">IF(AND(Motore_Operativo!C314=Finanziamenti!$D$7,Finanziamenti!$F$7=1),Finanziamenti!$C$7,0)</f>
        <v>0</v>
      </c>
      <c r="AX314" s="15" t="n">
        <f aca="false">0</f>
        <v>0</v>
      </c>
      <c r="AY314" s="15" t="n">
        <f aca="false">IF(10=Parametri_v3!$C$33,IF(BV314&lt;MIN(12,$B314-1),0,MIN(MAX(0,0)*Ipotesi!$C$94,MAX(0,(0)-(BO313)-BP314),MAX(0,BD314-Parametri_v3!$C$31))),0)</f>
        <v>0</v>
      </c>
      <c r="AZ314" s="15" t="n">
        <f aca="false">0</f>
        <v>0</v>
      </c>
      <c r="BA314" s="15" t="n">
        <f aca="false">0</f>
        <v>0</v>
      </c>
      <c r="BB314" s="15" t="n">
        <f aca="false">0</f>
        <v>0</v>
      </c>
      <c r="BC314" s="15" t="n">
        <f aca="false">0</f>
        <v>0</v>
      </c>
      <c r="BD314" s="15" t="n">
        <f aca="false">(BH313)+AC314-AF314-AI314-AS314-K314*(1+Parametri_v3!$C$26)-AL314-AQ314-O314+AW314+AX314+AZ314+BA314-BB314</f>
        <v>18296.7094736842</v>
      </c>
      <c r="BE314" s="15" t="n">
        <f aca="false">0</f>
        <v>0</v>
      </c>
      <c r="BF314" s="15" t="n">
        <f aca="false">0</f>
        <v>0</v>
      </c>
      <c r="BG314" s="15" t="n">
        <f aca="false">0</f>
        <v>0</v>
      </c>
      <c r="BH314" s="15" t="n">
        <f aca="false">BD314+BE314-BF314-AY314</f>
        <v>18296.7094736842</v>
      </c>
      <c r="BI314" s="15" t="n">
        <f aca="false">MAX(0,Parametri_v3!$C$31-BH314)</f>
        <v>0</v>
      </c>
      <c r="BJ314" s="15" t="n">
        <f aca="false">(BJ313)+K314</f>
        <v>2500</v>
      </c>
      <c r="BK314" s="15" t="n">
        <f aca="false">(BK313)+L314</f>
        <v>381.944444444444</v>
      </c>
      <c r="BL314" s="15" t="n">
        <f aca="false">BJ314-BK314</f>
        <v>2118.05555555556</v>
      </c>
      <c r="BM314" s="15" t="n">
        <f aca="false">(BM313)+Y314</f>
        <v>29256.8413011696</v>
      </c>
      <c r="BN314" s="15" t="n">
        <f aca="false">(BN313)+AW314+AX314+AZ314</f>
        <v>20000</v>
      </c>
      <c r="BO314" s="15" t="n">
        <f aca="false">(BO313)+AY314</f>
        <v>0</v>
      </c>
      <c r="BP314" s="15" t="n">
        <f aca="false">MIN(Parametri_v3!$C$36*Parametri_v3!$C$35,(BP313)+IF(10=1,MAX(0,0)*Parametri_v3!$C$34,0))</f>
        <v>0</v>
      </c>
      <c r="BQ314" s="15" t="n">
        <f aca="false">BN314+BM314-BO314</f>
        <v>49256.8413011696</v>
      </c>
      <c r="BR314" s="15" t="n">
        <f aca="false">BH314+AD314+BL314+MAX(0,-AM314)+MAX(0,-AR314)</f>
        <v>79745.2913450292</v>
      </c>
      <c r="BS314" s="15" t="n">
        <f aca="false">AJ314+AV314+MAX(0,AM314)+MAX(0,AR314)+BC314+BG314+BQ314+AG314</f>
        <v>79745.2913450292</v>
      </c>
      <c r="BT314" s="15" t="n">
        <f aca="false">BR314-BS314</f>
        <v>0</v>
      </c>
      <c r="BU314" s="15" t="n">
        <f aca="false">BH314-(BD314+BE314-BF314-AY314)</f>
        <v>0</v>
      </c>
      <c r="BV314" s="15" t="n">
        <f aca="false">IF(BH313&lt;Parametri_v3!$C$31,0,BV313+1)</f>
        <v>2</v>
      </c>
    </row>
    <row r="315" customFormat="false" ht="18" hidden="false" customHeight="true" outlineLevel="0" collapsed="false">
      <c r="A315" s="68" t="n">
        <f aca="false">6</f>
        <v>6</v>
      </c>
      <c r="B315" s="68" t="n">
        <f aca="false">11</f>
        <v>11</v>
      </c>
      <c r="C315" s="18" t="n">
        <f aca="false">Motore_Operativo!C315</f>
        <v>46692</v>
      </c>
      <c r="D315" s="68" t="n">
        <f aca="false">Motore_Operativo!D315</f>
        <v>2027</v>
      </c>
      <c r="E315" s="68" t="n">
        <f aca="false">Motore_Operativo!E315</f>
        <v>11</v>
      </c>
      <c r="F315" s="15" t="n">
        <f aca="false">Motore_Operativo!AM315</f>
        <v>16210.5263157895</v>
      </c>
      <c r="G315" s="15" t="n">
        <f aca="false">Motore_Operativo!BH315</f>
        <v>1621.05263157895</v>
      </c>
      <c r="H315" s="15" t="n">
        <f aca="false">Motore_Operativo!AM315</f>
        <v>16210.5263157895</v>
      </c>
      <c r="I315" s="15" t="n">
        <f aca="false">Motore_Operativo!CB315</f>
        <v>12114.5175438596</v>
      </c>
      <c r="J315" s="15" t="n">
        <f aca="false">Motore_Operativo!CD315</f>
        <v>4096.00877192982</v>
      </c>
      <c r="K315" s="15" t="n">
        <f aca="false">Motore_Operativo!CF315</f>
        <v>250</v>
      </c>
      <c r="L315" s="15" t="n">
        <f aca="false">SUM(INDEX($K$305:$K$364,MAX(1,11-Parametri_v3!$C$59+1)):K315)/Parametri_v3!$C$59</f>
        <v>76.3888888888889</v>
      </c>
      <c r="M315" s="15" t="n">
        <f aca="false">J315-L315</f>
        <v>4019.61988304094</v>
      </c>
      <c r="N315" s="15" t="n">
        <f aca="false">0</f>
        <v>0</v>
      </c>
      <c r="O315" s="15" t="n">
        <f aca="false">0</f>
        <v>0</v>
      </c>
      <c r="P315" s="15" t="n">
        <f aca="false">M315+N315-O315</f>
        <v>4019.61988304094</v>
      </c>
      <c r="Q315" s="15" t="n">
        <f aca="false">SUM(P305:P315)+Parametri_v3!$C$56*11/12</f>
        <v>44597.7631578947</v>
      </c>
      <c r="R315" s="15" t="n">
        <f aca="false">0</f>
        <v>0</v>
      </c>
      <c r="S315" s="15" t="n">
        <f aca="false">0</f>
        <v>0</v>
      </c>
      <c r="T315" s="15" t="n">
        <f aca="false">MIN(R315,MAX(0,Q315))</f>
        <v>0</v>
      </c>
      <c r="U315" s="15" t="n">
        <f aca="false">MIN(S315,MAX(0,Q315-T315)*Parametri_v3!$C$42)</f>
        <v>0</v>
      </c>
      <c r="V315" s="15" t="n">
        <f aca="false">MAX(0,Q315-T315-U315)*Ipotesi!$C$92</f>
        <v>10703.4631578947</v>
      </c>
      <c r="W315" s="15" t="n">
        <f aca="false">MAX(0,SUM(M305:M315)+Parametri_v3!$C$57*11/12)*Ipotesi!$C$93</f>
        <v>1739.31276315789</v>
      </c>
      <c r="X315" s="15" t="n">
        <f aca="false">V315+W315-(V314+W314)</f>
        <v>1121.47394736842</v>
      </c>
      <c r="Y315" s="15" t="n">
        <f aca="false">P315-X315</f>
        <v>2898.14593567252</v>
      </c>
      <c r="Z315" s="15" t="n">
        <f aca="false">R315-T315+IF(AND(Parametri_v3!$C$40=1,D315-YEAR(Parametri_v3!$C$50)&lt;Parametri_v3!$C$41),MAX(0,-Q315),0)</f>
        <v>0</v>
      </c>
      <c r="AA315" s="15" t="n">
        <f aca="false">S315-U315+IF(AND(Parametri_v3!$C$40=1,D315-YEAR(Parametri_v3!$C$50)&lt;Parametri_v3!$C$41),0,MAX(0,-Q315))</f>
        <v>0</v>
      </c>
      <c r="AB315" s="15" t="n">
        <f aca="false">F315*(1+Parametri_v3!$C$26)</f>
        <v>19776.8421052632</v>
      </c>
      <c r="AC315" s="15" t="n">
        <f aca="false">(IF(11-(INT((Motore_Operativo!L315)/30))&lt;1,0,INDEX(Motore_Advisory!$AB$305:$AB$364,MAX(1,11-(INT((Motore_Operativo!L315)/30)))))*(1-(MOD((Motore_Operativo!L315),30)/30))+IF(11-(INT((Motore_Operativo!L315)/30))-1&lt;1,0,INDEX(Motore_Advisory!$AB$305:$AB$364,MAX(1,11-(INT((Motore_Operativo!L315)/30))-1)))*(MOD((Motore_Operativo!L315),30)/30))</f>
        <v>19776.8421052632</v>
      </c>
      <c r="AD315" s="15" t="n">
        <f aca="false">(AD314)+AB315-AC315</f>
        <v>59330.5263157895</v>
      </c>
      <c r="AE315" s="15" t="n">
        <f aca="false">Motore_Operativo!BH315*(1+Parametri_v3!$C$26)</f>
        <v>1977.68421052632</v>
      </c>
      <c r="AF315" s="15" t="n">
        <f aca="false">(IF(11-(INT((Parametri_v3!$C$29)/30))&lt;1,0,INDEX(Motore_Operativo!$BH$305:$BH$364,MAX(1,11-(INT((Parametri_v3!$C$29)/30)))))*(1-(MOD((Parametri_v3!$C$29),30)/30))+IF(11-(INT((Parametri_v3!$C$29)/30))-1&lt;1,0,INDEX(Motore_Operativo!$BH$305:$BH$364,MAX(1,11-(INT((Parametri_v3!$C$29)/30))-1)))*(MOD((Parametri_v3!$C$29),30)/30))*(1+Parametri_v3!$C$26)</f>
        <v>1977.68421052632</v>
      </c>
      <c r="AG315" s="15" t="n">
        <f aca="false">(AG314)+AE315-AF315</f>
        <v>1977.68421052632</v>
      </c>
      <c r="AH315" s="15" t="n">
        <f aca="false">(Motore_Operativo!CK315)*(1+Parametri_v3!$C$28*Parametri_v3!$C$26)</f>
        <v>6166.3147368421</v>
      </c>
      <c r="AI315" s="15" t="n">
        <f aca="false">(IF(11-(INT((Ipotesi!$C$91)/30))&lt;1,0,INDEX(Motore_Advisory!$AH$305:$AH$364,MAX(1,11-(INT((Ipotesi!$C$91)/30)))))*(1-(MOD((Ipotesi!$C$91),30)/30))+IF(11-(INT((Ipotesi!$C$91)/30))-1&lt;1,0,INDEX(Motore_Advisory!$AH$305:$AH$364,MAX(1,11-(INT((Ipotesi!$C$91)/30))-1)))*(MOD((Ipotesi!$C$91),30)/30))</f>
        <v>6166.3147368421</v>
      </c>
      <c r="AJ315" s="15" t="n">
        <f aca="false">(AJ314)+AH315-AI315</f>
        <v>12332.6294736842</v>
      </c>
      <c r="AK315" s="15" t="n">
        <f aca="false">(F315- Motore_Operativo!BH315-(Motore_Operativo!CK315)*Parametri_v3!$C$28-Motore_Operativo!CF315)*Parametri_v3!$C$26</f>
        <v>2231.83438596491</v>
      </c>
      <c r="AL315" s="15" t="n">
        <f aca="false">MAX(0,(AM314))</f>
        <v>2231.83438596491</v>
      </c>
      <c r="AM315" s="15" t="n">
        <f aca="false">(AM314)+AK315-AL315</f>
        <v>2231.83438596491</v>
      </c>
      <c r="AN315" s="15" t="n">
        <f aca="false">0</f>
        <v>0</v>
      </c>
      <c r="AO315" s="15" t="n">
        <f aca="false">0</f>
        <v>0</v>
      </c>
      <c r="AP315" s="15" t="n">
        <f aca="false">MAX(0,AN315)*IF(11=Parametri_v3!$C$43,Parametri_v3!$C$45,IF(11=Parametri_v3!$C$44,1-Parametri_v3!$C$45,0))</f>
        <v>0</v>
      </c>
      <c r="AQ315" s="15" t="n">
        <f aca="false">MAX(0,AP315+IF(11=Parametri_v3!$C$43,MAX(0,AN315-AO315),0)-MAX(0,-(AR314)))</f>
        <v>0</v>
      </c>
      <c r="AR315" s="15" t="n">
        <f aca="false">(AR314)+X315-AQ315</f>
        <v>12442.7759210526</v>
      </c>
      <c r="AS315" s="15" t="n">
        <f aca="false">Motore_Operativo!AC315-AT315+AU315</f>
        <v>4987.5</v>
      </c>
      <c r="AT315" s="15" t="n">
        <f aca="false">Motore_Operativo!CI315</f>
        <v>262.5</v>
      </c>
      <c r="AU315" s="15" t="n">
        <f aca="false">MIN(MAX(0,(AV314)+AT315),Parametri_v3!$C$61/12)</f>
        <v>0</v>
      </c>
      <c r="AV315" s="15" t="n">
        <f aca="false">(AV314)+AT315-AU315</f>
        <v>2887.5</v>
      </c>
      <c r="AW315" s="15" t="n">
        <f aca="false">IF(AND(Motore_Operativo!C315=Finanziamenti!$D$7,Finanziamenti!$F$7=1),Finanziamenti!$C$7,0)</f>
        <v>0</v>
      </c>
      <c r="AX315" s="15" t="n">
        <f aca="false">0</f>
        <v>0</v>
      </c>
      <c r="AY315" s="15" t="n">
        <f aca="false">IF(11=Parametri_v3!$C$33,IF(BV315&lt;MIN(12,$B315-1),0,MIN(MAX(0,0)*Ipotesi!$C$94,MAX(0,(0)-(BO314)-BP315),MAX(0,BD315-Parametri_v3!$C$31))),0)</f>
        <v>0</v>
      </c>
      <c r="AZ315" s="15" t="n">
        <f aca="false">0</f>
        <v>0</v>
      </c>
      <c r="BA315" s="15" t="n">
        <f aca="false">0</f>
        <v>0</v>
      </c>
      <c r="BB315" s="15" t="n">
        <f aca="false">0</f>
        <v>0</v>
      </c>
      <c r="BC315" s="15" t="n">
        <f aca="false">0</f>
        <v>0</v>
      </c>
      <c r="BD315" s="15" t="n">
        <f aca="false">(BH314)+AC315-AF315-AI315-AS315-K315*(1+Parametri_v3!$C$26)-AL315-AQ315-O315+AW315+AX315+AZ315+BA315-BB315</f>
        <v>22405.218245614</v>
      </c>
      <c r="BE315" s="15" t="n">
        <f aca="false">0</f>
        <v>0</v>
      </c>
      <c r="BF315" s="15" t="n">
        <f aca="false">0</f>
        <v>0</v>
      </c>
      <c r="BG315" s="15" t="n">
        <f aca="false">0</f>
        <v>0</v>
      </c>
      <c r="BH315" s="15" t="n">
        <f aca="false">BD315+BE315-BF315-AY315</f>
        <v>22405.218245614</v>
      </c>
      <c r="BI315" s="15" t="n">
        <f aca="false">MAX(0,Parametri_v3!$C$31-BH315)</f>
        <v>0</v>
      </c>
      <c r="BJ315" s="15" t="n">
        <f aca="false">(BJ314)+K315</f>
        <v>2750</v>
      </c>
      <c r="BK315" s="15" t="n">
        <f aca="false">(BK314)+L315</f>
        <v>458.333333333333</v>
      </c>
      <c r="BL315" s="15" t="n">
        <f aca="false">BJ315-BK315</f>
        <v>2291.66666666667</v>
      </c>
      <c r="BM315" s="15" t="n">
        <f aca="false">(BM314)+Y315</f>
        <v>32154.9872368421</v>
      </c>
      <c r="BN315" s="15" t="n">
        <f aca="false">(BN314)+AW315+AX315+AZ315</f>
        <v>20000</v>
      </c>
      <c r="BO315" s="15" t="n">
        <f aca="false">(BO314)+AY315</f>
        <v>0</v>
      </c>
      <c r="BP315" s="15" t="n">
        <f aca="false">MIN(Parametri_v3!$C$36*Parametri_v3!$C$35,(BP314)+IF(11=1,MAX(0,0)*Parametri_v3!$C$34,0))</f>
        <v>0</v>
      </c>
      <c r="BQ315" s="15" t="n">
        <f aca="false">BN315+BM315-BO315</f>
        <v>52154.9872368421</v>
      </c>
      <c r="BR315" s="15" t="n">
        <f aca="false">BH315+AD315+BL315+MAX(0,-AM315)+MAX(0,-AR315)</f>
        <v>84027.4112280702</v>
      </c>
      <c r="BS315" s="15" t="n">
        <f aca="false">AJ315+AV315+MAX(0,AM315)+MAX(0,AR315)+BC315+BG315+BQ315+AG315</f>
        <v>84027.4112280702</v>
      </c>
      <c r="BT315" s="15" t="n">
        <f aca="false">BR315-BS315</f>
        <v>0</v>
      </c>
      <c r="BU315" s="15" t="n">
        <f aca="false">BH315-(BD315+BE315-BF315-AY315)</f>
        <v>0</v>
      </c>
      <c r="BV315" s="15" t="n">
        <f aca="false">IF(BH314&lt;Parametri_v3!$C$31,0,BV314+1)</f>
        <v>3</v>
      </c>
    </row>
    <row r="316" customFormat="false" ht="18" hidden="false" customHeight="true" outlineLevel="0" collapsed="false">
      <c r="A316" s="68" t="n">
        <f aca="false">6</f>
        <v>6</v>
      </c>
      <c r="B316" s="68" t="n">
        <f aca="false">12</f>
        <v>12</v>
      </c>
      <c r="C316" s="18" t="n">
        <f aca="false">Motore_Operativo!C316</f>
        <v>46722</v>
      </c>
      <c r="D316" s="68" t="n">
        <f aca="false">Motore_Operativo!D316</f>
        <v>2027</v>
      </c>
      <c r="E316" s="68" t="n">
        <f aca="false">Motore_Operativo!E316</f>
        <v>12</v>
      </c>
      <c r="F316" s="15" t="n">
        <f aca="false">Motore_Operativo!AM316</f>
        <v>16210.5263157895</v>
      </c>
      <c r="G316" s="15" t="n">
        <f aca="false">Motore_Operativo!BH316</f>
        <v>1621.05263157895</v>
      </c>
      <c r="H316" s="15" t="n">
        <f aca="false">Motore_Operativo!AM316</f>
        <v>16210.5263157895</v>
      </c>
      <c r="I316" s="15" t="n">
        <f aca="false">Motore_Operativo!CB316</f>
        <v>12114.5175438596</v>
      </c>
      <c r="J316" s="15" t="n">
        <f aca="false">Motore_Operativo!CD316</f>
        <v>4096.00877192982</v>
      </c>
      <c r="K316" s="15" t="n">
        <f aca="false">Motore_Operativo!CF316</f>
        <v>250</v>
      </c>
      <c r="L316" s="15" t="n">
        <f aca="false">SUM(INDEX($K$305:$K$364,MAX(1,12-Parametri_v3!$C$59+1)):K316)/Parametri_v3!$C$59</f>
        <v>83.3333333333333</v>
      </c>
      <c r="M316" s="15" t="n">
        <f aca="false">J316-L316</f>
        <v>4012.67543859649</v>
      </c>
      <c r="N316" s="15" t="n">
        <f aca="false">0</f>
        <v>0</v>
      </c>
      <c r="O316" s="15" t="n">
        <f aca="false">0</f>
        <v>0</v>
      </c>
      <c r="P316" s="15" t="n">
        <f aca="false">M316+N316-O316</f>
        <v>4012.67543859649</v>
      </c>
      <c r="Q316" s="15" t="n">
        <f aca="false">SUM(P305:P316)+Parametri_v3!$C$56*12/12</f>
        <v>48610.4385964912</v>
      </c>
      <c r="R316" s="15" t="n">
        <f aca="false">0</f>
        <v>0</v>
      </c>
      <c r="S316" s="15" t="n">
        <f aca="false">0</f>
        <v>0</v>
      </c>
      <c r="T316" s="15" t="n">
        <f aca="false">MIN(R316,MAX(0,Q316))</f>
        <v>0</v>
      </c>
      <c r="U316" s="15" t="n">
        <f aca="false">MIN(S316,MAX(0,Q316-T316)*Parametri_v3!$C$42)</f>
        <v>0</v>
      </c>
      <c r="V316" s="15" t="n">
        <f aca="false">MAX(0,Q316-T316-U316)*Ipotesi!$C$92</f>
        <v>11666.5052631579</v>
      </c>
      <c r="W316" s="15" t="n">
        <f aca="false">MAX(0,SUM(M305:M316)+Parametri_v3!$C$57*12/12)*Ipotesi!$C$93</f>
        <v>1895.80710526316</v>
      </c>
      <c r="X316" s="15" t="n">
        <f aca="false">V316+W316-(V315+W315)</f>
        <v>1119.53644736842</v>
      </c>
      <c r="Y316" s="15" t="n">
        <f aca="false">P316-X316</f>
        <v>2893.13899122807</v>
      </c>
      <c r="Z316" s="15" t="n">
        <f aca="false">R316-T316+IF(AND(Parametri_v3!$C$40=1,D316-YEAR(Parametri_v3!$C$50)&lt;Parametri_v3!$C$41),MAX(0,-Q316),0)</f>
        <v>0</v>
      </c>
      <c r="AA316" s="15" t="n">
        <f aca="false">S316-U316+IF(AND(Parametri_v3!$C$40=1,D316-YEAR(Parametri_v3!$C$50)&lt;Parametri_v3!$C$41),0,MAX(0,-Q316))</f>
        <v>0</v>
      </c>
      <c r="AB316" s="15" t="n">
        <f aca="false">F316*(1+Parametri_v3!$C$26)</f>
        <v>19776.8421052632</v>
      </c>
      <c r="AC316" s="15" t="n">
        <f aca="false">(IF(12-(INT((Motore_Operativo!L316)/30))&lt;1,0,INDEX(Motore_Advisory!$AB$305:$AB$364,MAX(1,12-(INT((Motore_Operativo!L316)/30)))))*(1-(MOD((Motore_Operativo!L316),30)/30))+IF(12-(INT((Motore_Operativo!L316)/30))-1&lt;1,0,INDEX(Motore_Advisory!$AB$305:$AB$364,MAX(1,12-(INT((Motore_Operativo!L316)/30))-1)))*(MOD((Motore_Operativo!L316),30)/30))</f>
        <v>19776.8421052632</v>
      </c>
      <c r="AD316" s="15" t="n">
        <f aca="false">(AD315)+AB316-AC316</f>
        <v>59330.5263157895</v>
      </c>
      <c r="AE316" s="15" t="n">
        <f aca="false">Motore_Operativo!BH316*(1+Parametri_v3!$C$26)</f>
        <v>1977.68421052632</v>
      </c>
      <c r="AF316" s="15" t="n">
        <f aca="false">(IF(12-(INT((Parametri_v3!$C$29)/30))&lt;1,0,INDEX(Motore_Operativo!$BH$305:$BH$364,MAX(1,12-(INT((Parametri_v3!$C$29)/30)))))*(1-(MOD((Parametri_v3!$C$29),30)/30))+IF(12-(INT((Parametri_v3!$C$29)/30))-1&lt;1,0,INDEX(Motore_Operativo!$BH$305:$BH$364,MAX(1,12-(INT((Parametri_v3!$C$29)/30))-1)))*(MOD((Parametri_v3!$C$29),30)/30))*(1+Parametri_v3!$C$26)</f>
        <v>1977.68421052632</v>
      </c>
      <c r="AG316" s="15" t="n">
        <f aca="false">(AG315)+AE316-AF316</f>
        <v>1977.68421052632</v>
      </c>
      <c r="AH316" s="15" t="n">
        <f aca="false">(Motore_Operativo!CK316)*(1+Parametri_v3!$C$28*Parametri_v3!$C$26)</f>
        <v>6166.3147368421</v>
      </c>
      <c r="AI316" s="15" t="n">
        <f aca="false">(IF(12-(INT((Ipotesi!$C$91)/30))&lt;1,0,INDEX(Motore_Advisory!$AH$305:$AH$364,MAX(1,12-(INT((Ipotesi!$C$91)/30)))))*(1-(MOD((Ipotesi!$C$91),30)/30))+IF(12-(INT((Ipotesi!$C$91)/30))-1&lt;1,0,INDEX(Motore_Advisory!$AH$305:$AH$364,MAX(1,12-(INT((Ipotesi!$C$91)/30))-1)))*(MOD((Ipotesi!$C$91),30)/30))</f>
        <v>6166.3147368421</v>
      </c>
      <c r="AJ316" s="15" t="n">
        <f aca="false">(AJ315)+AH316-AI316</f>
        <v>12332.6294736842</v>
      </c>
      <c r="AK316" s="15" t="n">
        <f aca="false">(F316- Motore_Operativo!BH316-(Motore_Operativo!CK316)*Parametri_v3!$C$28-Motore_Operativo!CF316)*Parametri_v3!$C$26</f>
        <v>2231.83438596491</v>
      </c>
      <c r="AL316" s="15" t="n">
        <f aca="false">MAX(0,(AM315))</f>
        <v>2231.83438596491</v>
      </c>
      <c r="AM316" s="15" t="n">
        <f aca="false">(AM315)+AK316-AL316</f>
        <v>2231.83438596491</v>
      </c>
      <c r="AN316" s="15" t="n">
        <f aca="false">0</f>
        <v>0</v>
      </c>
      <c r="AO316" s="15" t="n">
        <f aca="false">0</f>
        <v>0</v>
      </c>
      <c r="AP316" s="15" t="n">
        <f aca="false">MAX(0,AN316)*IF(12=Parametri_v3!$C$43,Parametri_v3!$C$45,IF(12=Parametri_v3!$C$44,1-Parametri_v3!$C$45,0))</f>
        <v>0</v>
      </c>
      <c r="AQ316" s="15" t="n">
        <f aca="false">MAX(0,AP316+IF(12=Parametri_v3!$C$43,MAX(0,AN316-AO316),0)-MAX(0,-(AR315)))</f>
        <v>0</v>
      </c>
      <c r="AR316" s="15" t="n">
        <f aca="false">(AR315)+X316-AQ316</f>
        <v>13562.3123684211</v>
      </c>
      <c r="AS316" s="15" t="n">
        <f aca="false">Motore_Operativo!AC316-AT316+AU316</f>
        <v>4987.5</v>
      </c>
      <c r="AT316" s="15" t="n">
        <f aca="false">Motore_Operativo!CI316</f>
        <v>262.5</v>
      </c>
      <c r="AU316" s="15" t="n">
        <f aca="false">MIN(MAX(0,(AV315)+AT316),Parametri_v3!$C$61/12)</f>
        <v>0</v>
      </c>
      <c r="AV316" s="15" t="n">
        <f aca="false">(AV315)+AT316-AU316</f>
        <v>3150</v>
      </c>
      <c r="AW316" s="15" t="n">
        <f aca="false">IF(AND(Motore_Operativo!C316=Finanziamenti!$D$7,Finanziamenti!$F$7=1),Finanziamenti!$C$7,0)</f>
        <v>0</v>
      </c>
      <c r="AX316" s="15" t="n">
        <f aca="false">0</f>
        <v>0</v>
      </c>
      <c r="AY316" s="15" t="n">
        <f aca="false">IF(12=Parametri_v3!$C$33,IF(BV316&lt;MIN(12,$B316-1),0,MIN(MAX(0,0)*Ipotesi!$C$94,MAX(0,(0)-(BO315)-BP316),MAX(0,BD316-Parametri_v3!$C$31))),0)</f>
        <v>0</v>
      </c>
      <c r="AZ316" s="15" t="n">
        <f aca="false">0</f>
        <v>0</v>
      </c>
      <c r="BA316" s="15" t="n">
        <f aca="false">0</f>
        <v>0</v>
      </c>
      <c r="BB316" s="15" t="n">
        <f aca="false">0</f>
        <v>0</v>
      </c>
      <c r="BC316" s="15" t="n">
        <f aca="false">0</f>
        <v>0</v>
      </c>
      <c r="BD316" s="15" t="n">
        <f aca="false">(BH315)+AC316-AF316-AI316-AS316-K316*(1+Parametri_v3!$C$26)-AL316-AQ316-O316+AW316+AX316+AZ316+BA316-BB316</f>
        <v>26513.7270175439</v>
      </c>
      <c r="BE316" s="15" t="n">
        <f aca="false">0</f>
        <v>0</v>
      </c>
      <c r="BF316" s="15" t="n">
        <f aca="false">0</f>
        <v>0</v>
      </c>
      <c r="BG316" s="15" t="n">
        <f aca="false">0</f>
        <v>0</v>
      </c>
      <c r="BH316" s="15" t="n">
        <f aca="false">BD316+BE316-BF316-AY316</f>
        <v>26513.7270175439</v>
      </c>
      <c r="BI316" s="15" t="n">
        <f aca="false">MAX(0,Parametri_v3!$C$31-BH316)</f>
        <v>0</v>
      </c>
      <c r="BJ316" s="15" t="n">
        <f aca="false">(BJ315)+K316</f>
        <v>3000</v>
      </c>
      <c r="BK316" s="15" t="n">
        <f aca="false">(BK315)+L316</f>
        <v>541.666666666667</v>
      </c>
      <c r="BL316" s="15" t="n">
        <f aca="false">BJ316-BK316</f>
        <v>2458.33333333333</v>
      </c>
      <c r="BM316" s="15" t="n">
        <f aca="false">(BM315)+Y316</f>
        <v>35048.1262280702</v>
      </c>
      <c r="BN316" s="15" t="n">
        <f aca="false">(BN315)+AW316+AX316+AZ316</f>
        <v>20000</v>
      </c>
      <c r="BO316" s="15" t="n">
        <f aca="false">(BO315)+AY316</f>
        <v>0</v>
      </c>
      <c r="BP316" s="15" t="n">
        <f aca="false">MIN(Parametri_v3!$C$36*Parametri_v3!$C$35,(BP315)+IF(12=1,MAX(0,0)*Parametri_v3!$C$34,0))</f>
        <v>0</v>
      </c>
      <c r="BQ316" s="15" t="n">
        <f aca="false">BN316+BM316-BO316</f>
        <v>55048.1262280702</v>
      </c>
      <c r="BR316" s="15" t="n">
        <f aca="false">BH316+AD316+BL316+MAX(0,-AM316)+MAX(0,-AR316)</f>
        <v>88302.5866666666</v>
      </c>
      <c r="BS316" s="15" t="n">
        <f aca="false">AJ316+AV316+MAX(0,AM316)+MAX(0,AR316)+BC316+BG316+BQ316+AG316</f>
        <v>88302.5866666667</v>
      </c>
      <c r="BT316" s="15" t="n">
        <f aca="false">BR316-BS316</f>
        <v>0</v>
      </c>
      <c r="BU316" s="15" t="n">
        <f aca="false">BH316-(BD316+BE316-BF316-AY316)</f>
        <v>0</v>
      </c>
      <c r="BV316" s="15" t="n">
        <f aca="false">IF(BH315&lt;Parametri_v3!$C$31,0,BV315+1)</f>
        <v>4</v>
      </c>
    </row>
    <row r="317" customFormat="false" ht="18" hidden="false" customHeight="true" outlineLevel="0" collapsed="false">
      <c r="A317" s="68" t="n">
        <f aca="false">6</f>
        <v>6</v>
      </c>
      <c r="B317" s="68" t="n">
        <f aca="false">13</f>
        <v>13</v>
      </c>
      <c r="C317" s="18" t="n">
        <f aca="false">Motore_Operativo!C317</f>
        <v>46753</v>
      </c>
      <c r="D317" s="68" t="n">
        <f aca="false">Motore_Operativo!D317</f>
        <v>2028</v>
      </c>
      <c r="E317" s="68" t="n">
        <f aca="false">Motore_Operativo!E317</f>
        <v>1</v>
      </c>
      <c r="F317" s="15" t="n">
        <f aca="false">Motore_Operativo!AM317</f>
        <v>33981.220657277</v>
      </c>
      <c r="G317" s="15" t="n">
        <f aca="false">Motore_Operativo!BH317</f>
        <v>3398.1220657277</v>
      </c>
      <c r="H317" s="15" t="n">
        <f aca="false">Motore_Operativo!AM317</f>
        <v>33981.220657277</v>
      </c>
      <c r="I317" s="15" t="n">
        <f aca="false">Motore_Operativo!CB317</f>
        <v>28885.3286384976</v>
      </c>
      <c r="J317" s="15" t="n">
        <f aca="false">Motore_Operativo!CD317</f>
        <v>5095.89201877934</v>
      </c>
      <c r="K317" s="15" t="n">
        <f aca="false">Motore_Operativo!CF317</f>
        <v>416.666666666667</v>
      </c>
      <c r="L317" s="15" t="n">
        <f aca="false">SUM(INDEX($K$305:$K$364,MAX(1,13-Parametri_v3!$C$59+1)):K317)/Parametri_v3!$C$59</f>
        <v>94.9074074074074</v>
      </c>
      <c r="M317" s="15" t="n">
        <f aca="false">J317-L317</f>
        <v>5000.98461137193</v>
      </c>
      <c r="N317" s="15" t="n">
        <f aca="false">0</f>
        <v>0</v>
      </c>
      <c r="O317" s="15" t="n">
        <f aca="false">0</f>
        <v>0</v>
      </c>
      <c r="P317" s="15" t="n">
        <f aca="false">M317+N317-O317</f>
        <v>5000.98461137193</v>
      </c>
      <c r="Q317" s="15" t="n">
        <f aca="false">SUM(P317)+Parametri_v3!$C$56*1/12</f>
        <v>5000.98461137193</v>
      </c>
      <c r="R317" s="15" t="n">
        <f aca="false">Z316</f>
        <v>0</v>
      </c>
      <c r="S317" s="15" t="n">
        <f aca="false">AA316</f>
        <v>0</v>
      </c>
      <c r="T317" s="15" t="n">
        <f aca="false">MIN(R317,MAX(0,Q317))</f>
        <v>0</v>
      </c>
      <c r="U317" s="15" t="n">
        <f aca="false">MIN(S317,MAX(0,Q317-T317)*Parametri_v3!$C$42)</f>
        <v>0</v>
      </c>
      <c r="V317" s="15" t="n">
        <f aca="false">MAX(0,Q317-T317-U317)*Ipotesi!$C$92</f>
        <v>1200.23630672926</v>
      </c>
      <c r="W317" s="15" t="n">
        <f aca="false">MAX(0,SUM(M317)+Parametri_v3!$C$57*1/12)*Ipotesi!$C$93</f>
        <v>195.038399843505</v>
      </c>
      <c r="X317" s="15" t="n">
        <f aca="false">V317+W317-(0)</f>
        <v>1395.27470657277</v>
      </c>
      <c r="Y317" s="15" t="n">
        <f aca="false">P317-X317</f>
        <v>3605.70990479916</v>
      </c>
      <c r="Z317" s="15" t="n">
        <f aca="false">R317-T317+IF(AND(Parametri_v3!$C$40=1,D317-YEAR(Parametri_v3!$C$50)&lt;Parametri_v3!$C$41),MAX(0,-Q317),0)</f>
        <v>0</v>
      </c>
      <c r="AA317" s="15" t="n">
        <f aca="false">S317-U317+IF(AND(Parametri_v3!$C$40=1,D317-YEAR(Parametri_v3!$C$50)&lt;Parametri_v3!$C$41),0,MAX(0,-Q317))</f>
        <v>0</v>
      </c>
      <c r="AB317" s="15" t="n">
        <f aca="false">F317*(1+Parametri_v3!$C$26)</f>
        <v>41457.0892018779</v>
      </c>
      <c r="AC317" s="15" t="n">
        <f aca="false">(IF(13-(INT((Motore_Operativo!L317)/30))&lt;1,0,INDEX(Motore_Advisory!$AB$305:$AB$364,MAX(1,13-(INT((Motore_Operativo!L317)/30)))))*(1-(MOD((Motore_Operativo!L317),30)/30))+IF(13-(INT((Motore_Operativo!L317)/30))-1&lt;1,0,INDEX(Motore_Advisory!$AB$305:$AB$364,MAX(1,13-(INT((Motore_Operativo!L317)/30))-1)))*(MOD((Motore_Operativo!L317),30)/30))</f>
        <v>19776.8421052632</v>
      </c>
      <c r="AD317" s="15" t="n">
        <f aca="false">(AD316)+AB317-AC317</f>
        <v>81010.7734124042</v>
      </c>
      <c r="AE317" s="15" t="n">
        <f aca="false">Motore_Operativo!BH317*(1+Parametri_v3!$C$26)</f>
        <v>4145.70892018779</v>
      </c>
      <c r="AF317" s="15" t="n">
        <f aca="false">(IF(13-(INT((Parametri_v3!$C$29)/30))&lt;1,0,INDEX(Motore_Operativo!$BH$305:$BH$364,MAX(1,13-(INT((Parametri_v3!$C$29)/30)))))*(1-(MOD((Parametri_v3!$C$29),30)/30))+IF(13-(INT((Parametri_v3!$C$29)/30))-1&lt;1,0,INDEX(Motore_Operativo!$BH$305:$BH$364,MAX(1,13-(INT((Parametri_v3!$C$29)/30))-1)))*(MOD((Parametri_v3!$C$29),30)/30))*(1+Parametri_v3!$C$26)</f>
        <v>1977.68421052632</v>
      </c>
      <c r="AG317" s="15" t="n">
        <f aca="false">(AG316)+AE317-AF317</f>
        <v>4145.70892018779</v>
      </c>
      <c r="AH317" s="15" t="n">
        <f aca="false">(Motore_Operativo!CK317)*(1+Parametri_v3!$C$28*Parametri_v3!$C$26)</f>
        <v>11198.1149295775</v>
      </c>
      <c r="AI317" s="15" t="n">
        <f aca="false">(IF(13-(INT((Ipotesi!$C$91)/30))&lt;1,0,INDEX(Motore_Advisory!$AH$305:$AH$364,MAX(1,13-(INT((Ipotesi!$C$91)/30)))))*(1-(MOD((Ipotesi!$C$91),30)/30))+IF(13-(INT((Ipotesi!$C$91)/30))-1&lt;1,0,INDEX(Motore_Advisory!$AH$305:$AH$364,MAX(1,13-(INT((Ipotesi!$C$91)/30))-1)))*(MOD((Ipotesi!$C$91),30)/30))</f>
        <v>6166.3147368421</v>
      </c>
      <c r="AJ317" s="15" t="n">
        <f aca="false">(AJ316)+AH317-AI317</f>
        <v>17364.4296664196</v>
      </c>
      <c r="AK317" s="15" t="n">
        <f aca="false">(F317- Motore_Operativo!BH317-(Motore_Operativo!CK317)*Parametri_v3!$C$28-Motore_Operativo!CF317)*Parametri_v3!$C$26</f>
        <v>4960.70666666667</v>
      </c>
      <c r="AL317" s="15" t="n">
        <f aca="false">MAX(0,(AM316))</f>
        <v>2231.83438596491</v>
      </c>
      <c r="AM317" s="15" t="n">
        <f aca="false">(AM316)+AK317-AL317</f>
        <v>4960.70666666667</v>
      </c>
      <c r="AN317" s="15" t="n">
        <f aca="false">SUM(X305:X316)</f>
        <v>13562.3123684211</v>
      </c>
      <c r="AO317" s="15" t="n">
        <f aca="false">SUM(AP305:AP316)</f>
        <v>0</v>
      </c>
      <c r="AP317" s="15" t="n">
        <f aca="false">MAX(0,AN317)*IF(1=Parametri_v3!$C$43,Parametri_v3!$C$45,IF(1=Parametri_v3!$C$44,1-Parametri_v3!$C$45,0))</f>
        <v>0</v>
      </c>
      <c r="AQ317" s="15" t="n">
        <f aca="false">MAX(0,AP317+IF(1=Parametri_v3!$C$43,MAX(0,AN317-AO317),0)-MAX(0,-(AR316)))</f>
        <v>0</v>
      </c>
      <c r="AR317" s="15" t="n">
        <f aca="false">(AR316)+X317-AQ317</f>
        <v>14957.5870749938</v>
      </c>
      <c r="AS317" s="15" t="n">
        <f aca="false">Motore_Operativo!AC317-AT317+AU317</f>
        <v>15166.75</v>
      </c>
      <c r="AT317" s="15" t="n">
        <f aca="false">Motore_Operativo!CI317</f>
        <v>798.25</v>
      </c>
      <c r="AU317" s="15" t="n">
        <f aca="false">MIN(MAX(0,(AV316)+AT317),Parametri_v3!$C$61/12)</f>
        <v>0</v>
      </c>
      <c r="AV317" s="15" t="n">
        <f aca="false">(AV316)+AT317-AU317</f>
        <v>3948.25</v>
      </c>
      <c r="AW317" s="15" t="n">
        <f aca="false">IF(AND(Motore_Operativo!C317=Finanziamenti!$D$7,Finanziamenti!$F$7=1),Finanziamenti!$C$7,0)</f>
        <v>0</v>
      </c>
      <c r="AX317" s="15" t="n">
        <f aca="false">0</f>
        <v>0</v>
      </c>
      <c r="AY317" s="15" t="n">
        <f aca="false">IF(1=Parametri_v3!$C$33,IF(BV317&lt;MIN(12,$B317-1),0,MIN(MAX(0,SUM(Y305:Y316))*Ipotesi!$C$94,MAX(0,(BM316)-(BO316)-BP317),MAX(0,BD317-Parametri_v3!$C$31))),0)</f>
        <v>0</v>
      </c>
      <c r="AZ317" s="15" t="n">
        <f aca="false">0</f>
        <v>0</v>
      </c>
      <c r="BA317" s="15" t="n">
        <f aca="false">0</f>
        <v>0</v>
      </c>
      <c r="BB317" s="15" t="n">
        <f aca="false">0</f>
        <v>0</v>
      </c>
      <c r="BC317" s="15" t="n">
        <f aca="false">0</f>
        <v>0</v>
      </c>
      <c r="BD317" s="15" t="n">
        <f aca="false">(BH316)+AC317-AF317-AI317-AS317-K317*(1+Parametri_v3!$C$26)-AL317-AQ317-O317+AW317+AX317+AZ317+BA317-BB317</f>
        <v>20239.6524561403</v>
      </c>
      <c r="BE317" s="15" t="n">
        <f aca="false">0</f>
        <v>0</v>
      </c>
      <c r="BF317" s="15" t="n">
        <f aca="false">0</f>
        <v>0</v>
      </c>
      <c r="BG317" s="15" t="n">
        <f aca="false">0</f>
        <v>0</v>
      </c>
      <c r="BH317" s="15" t="n">
        <f aca="false">BD317+BE317-BF317-AY317</f>
        <v>20239.6524561403</v>
      </c>
      <c r="BI317" s="15" t="n">
        <f aca="false">MAX(0,Parametri_v3!$C$31-BH317)</f>
        <v>0</v>
      </c>
      <c r="BJ317" s="15" t="n">
        <f aca="false">(BJ316)+K317</f>
        <v>3416.66666666667</v>
      </c>
      <c r="BK317" s="15" t="n">
        <f aca="false">(BK316)+L317</f>
        <v>636.574074074074</v>
      </c>
      <c r="BL317" s="15" t="n">
        <f aca="false">BJ317-BK317</f>
        <v>2780.09259259259</v>
      </c>
      <c r="BM317" s="15" t="n">
        <f aca="false">(BM316)+Y317</f>
        <v>38653.8361328693</v>
      </c>
      <c r="BN317" s="15" t="n">
        <f aca="false">(BN316)+AW317+AX317+AZ317</f>
        <v>20000</v>
      </c>
      <c r="BO317" s="15" t="n">
        <f aca="false">(BO316)+AY317</f>
        <v>0</v>
      </c>
      <c r="BP317" s="15" t="n">
        <f aca="false">MIN(Parametri_v3!$C$36*Parametri_v3!$C$35,(BP316)+IF(1=1,MAX(0,SUM(Y305:Y316))*Parametri_v3!$C$34,0))</f>
        <v>1752.40631140351</v>
      </c>
      <c r="BQ317" s="15" t="n">
        <f aca="false">BN317+BM317-BO317</f>
        <v>58653.8361328693</v>
      </c>
      <c r="BR317" s="15" t="n">
        <f aca="false">BH317+AD317+BL317+MAX(0,-AM317)+MAX(0,-AR317)</f>
        <v>104030.518461137</v>
      </c>
      <c r="BS317" s="15" t="n">
        <f aca="false">AJ317+AV317+MAX(0,AM317)+MAX(0,AR317)+BC317+BG317+BQ317+AG317</f>
        <v>104030.518461137</v>
      </c>
      <c r="BT317" s="15" t="n">
        <f aca="false">BR317-BS317</f>
        <v>0</v>
      </c>
      <c r="BU317" s="15" t="n">
        <f aca="false">BH317-(BD317+BE317-BF317-AY317)</f>
        <v>0</v>
      </c>
      <c r="BV317" s="15" t="n">
        <f aca="false">IF(BH316&lt;Parametri_v3!$C$31,0,BV316+1)</f>
        <v>5</v>
      </c>
    </row>
    <row r="318" customFormat="false" ht="18" hidden="false" customHeight="true" outlineLevel="0" collapsed="false">
      <c r="A318" s="68" t="n">
        <f aca="false">6</f>
        <v>6</v>
      </c>
      <c r="B318" s="68" t="n">
        <f aca="false">14</f>
        <v>14</v>
      </c>
      <c r="C318" s="18" t="n">
        <f aca="false">Motore_Operativo!C318</f>
        <v>46784</v>
      </c>
      <c r="D318" s="68" t="n">
        <f aca="false">Motore_Operativo!D318</f>
        <v>2028</v>
      </c>
      <c r="E318" s="68" t="n">
        <f aca="false">Motore_Operativo!E318</f>
        <v>2</v>
      </c>
      <c r="F318" s="15" t="n">
        <f aca="false">Motore_Operativo!AM318</f>
        <v>33981.220657277</v>
      </c>
      <c r="G318" s="15" t="n">
        <f aca="false">Motore_Operativo!BH318</f>
        <v>3398.1220657277</v>
      </c>
      <c r="H318" s="15" t="n">
        <f aca="false">Motore_Operativo!AM318</f>
        <v>33981.220657277</v>
      </c>
      <c r="I318" s="15" t="n">
        <f aca="false">Motore_Operativo!CB318</f>
        <v>28885.3286384976</v>
      </c>
      <c r="J318" s="15" t="n">
        <f aca="false">Motore_Operativo!CD318</f>
        <v>5095.89201877934</v>
      </c>
      <c r="K318" s="15" t="n">
        <f aca="false">Motore_Operativo!CF318</f>
        <v>416.666666666667</v>
      </c>
      <c r="L318" s="15" t="n">
        <f aca="false">SUM(INDEX($K$305:$K$364,MAX(1,14-Parametri_v3!$C$59+1)):K318)/Parametri_v3!$C$59</f>
        <v>106.481481481481</v>
      </c>
      <c r="M318" s="15" t="n">
        <f aca="false">J318-L318</f>
        <v>4989.41053729786</v>
      </c>
      <c r="N318" s="15" t="n">
        <f aca="false">0</f>
        <v>0</v>
      </c>
      <c r="O318" s="15" t="n">
        <f aca="false">0</f>
        <v>0</v>
      </c>
      <c r="P318" s="15" t="n">
        <f aca="false">M318+N318-O318</f>
        <v>4989.41053729786</v>
      </c>
      <c r="Q318" s="15" t="n">
        <f aca="false">SUM(P317:P318)+Parametri_v3!$C$56*2/12</f>
        <v>9990.39514866979</v>
      </c>
      <c r="R318" s="15" t="n">
        <f aca="false">Z316</f>
        <v>0</v>
      </c>
      <c r="S318" s="15" t="n">
        <f aca="false">AA316</f>
        <v>0</v>
      </c>
      <c r="T318" s="15" t="n">
        <f aca="false">MIN(R318,MAX(0,Q318))</f>
        <v>0</v>
      </c>
      <c r="U318" s="15" t="n">
        <f aca="false">MIN(S318,MAX(0,Q318-T318)*Parametri_v3!$C$42)</f>
        <v>0</v>
      </c>
      <c r="V318" s="15" t="n">
        <f aca="false">MAX(0,Q318-T318-U318)*Ipotesi!$C$92</f>
        <v>2397.69483568075</v>
      </c>
      <c r="W318" s="15" t="n">
        <f aca="false">MAX(0,SUM(M317:M318)+Parametri_v3!$C$57*2/12)*Ipotesi!$C$93</f>
        <v>389.625410798122</v>
      </c>
      <c r="X318" s="15" t="n">
        <f aca="false">V318+W318-(V317+W317)</f>
        <v>1392.0455399061</v>
      </c>
      <c r="Y318" s="15" t="n">
        <f aca="false">P318-X318</f>
        <v>3597.36499739176</v>
      </c>
      <c r="Z318" s="15" t="n">
        <f aca="false">R318-T318+IF(AND(Parametri_v3!$C$40=1,D318-YEAR(Parametri_v3!$C$50)&lt;Parametri_v3!$C$41),MAX(0,-Q318),0)</f>
        <v>0</v>
      </c>
      <c r="AA318" s="15" t="n">
        <f aca="false">S318-U318+IF(AND(Parametri_v3!$C$40=1,D318-YEAR(Parametri_v3!$C$50)&lt;Parametri_v3!$C$41),0,MAX(0,-Q318))</f>
        <v>0</v>
      </c>
      <c r="AB318" s="15" t="n">
        <f aca="false">F318*(1+Parametri_v3!$C$26)</f>
        <v>41457.0892018779</v>
      </c>
      <c r="AC318" s="15" t="n">
        <f aca="false">(IF(14-(INT((Motore_Operativo!L318)/30))&lt;1,0,INDEX(Motore_Advisory!$AB$305:$AB$364,MAX(1,14-(INT((Motore_Operativo!L318)/30)))))*(1-(MOD((Motore_Operativo!L318),30)/30))+IF(14-(INT((Motore_Operativo!L318)/30))-1&lt;1,0,INDEX(Motore_Advisory!$AB$305:$AB$364,MAX(1,14-(INT((Motore_Operativo!L318)/30))-1)))*(MOD((Motore_Operativo!L318),30)/30))</f>
        <v>19776.8421052632</v>
      </c>
      <c r="AD318" s="15" t="n">
        <f aca="false">(AD317)+AB318-AC318</f>
        <v>102691.020509019</v>
      </c>
      <c r="AE318" s="15" t="n">
        <f aca="false">Motore_Operativo!BH318*(1+Parametri_v3!$C$26)</f>
        <v>4145.70892018779</v>
      </c>
      <c r="AF318" s="15" t="n">
        <f aca="false">(IF(14-(INT((Parametri_v3!$C$29)/30))&lt;1,0,INDEX(Motore_Operativo!$BH$305:$BH$364,MAX(1,14-(INT((Parametri_v3!$C$29)/30)))))*(1-(MOD((Parametri_v3!$C$29),30)/30))+IF(14-(INT((Parametri_v3!$C$29)/30))-1&lt;1,0,INDEX(Motore_Operativo!$BH$305:$BH$364,MAX(1,14-(INT((Parametri_v3!$C$29)/30))-1)))*(MOD((Parametri_v3!$C$29),30)/30))*(1+Parametri_v3!$C$26)</f>
        <v>4145.70892018779</v>
      </c>
      <c r="AG318" s="15" t="n">
        <f aca="false">(AG317)+AE318-AF318</f>
        <v>4145.70892018779</v>
      </c>
      <c r="AH318" s="15" t="n">
        <f aca="false">(Motore_Operativo!CK318)*(1+Parametri_v3!$C$28*Parametri_v3!$C$26)</f>
        <v>11198.1149295775</v>
      </c>
      <c r="AI318" s="15" t="n">
        <f aca="false">(IF(14-(INT((Ipotesi!$C$91)/30))&lt;1,0,INDEX(Motore_Advisory!$AH$305:$AH$364,MAX(1,14-(INT((Ipotesi!$C$91)/30)))))*(1-(MOD((Ipotesi!$C$91),30)/30))+IF(14-(INT((Ipotesi!$C$91)/30))-1&lt;1,0,INDEX(Motore_Advisory!$AH$305:$AH$364,MAX(1,14-(INT((Ipotesi!$C$91)/30))-1)))*(MOD((Ipotesi!$C$91),30)/30))</f>
        <v>6166.3147368421</v>
      </c>
      <c r="AJ318" s="15" t="n">
        <f aca="false">(AJ317)+AH318-AI318</f>
        <v>22396.2298591549</v>
      </c>
      <c r="AK318" s="15" t="n">
        <f aca="false">(F318- Motore_Operativo!BH318-(Motore_Operativo!CK318)*Parametri_v3!$C$28-Motore_Operativo!CF318)*Parametri_v3!$C$26</f>
        <v>4960.70666666667</v>
      </c>
      <c r="AL318" s="15" t="n">
        <f aca="false">MAX(0,(AM317))</f>
        <v>4960.70666666667</v>
      </c>
      <c r="AM318" s="15" t="n">
        <f aca="false">(AM317)+AK318-AL318</f>
        <v>4960.70666666667</v>
      </c>
      <c r="AN318" s="15" t="n">
        <f aca="false">SUM(X305:X316)</f>
        <v>13562.3123684211</v>
      </c>
      <c r="AO318" s="15" t="n">
        <f aca="false">SUM(AP305:AP316)</f>
        <v>0</v>
      </c>
      <c r="AP318" s="15" t="n">
        <f aca="false">MAX(0,AN318)*IF(2=Parametri_v3!$C$43,Parametri_v3!$C$45,IF(2=Parametri_v3!$C$44,1-Parametri_v3!$C$45,0))</f>
        <v>0</v>
      </c>
      <c r="AQ318" s="15" t="n">
        <f aca="false">MAX(0,AP318+IF(2=Parametri_v3!$C$43,MAX(0,AN318-AO318),0)-MAX(0,-(AR317)))</f>
        <v>0</v>
      </c>
      <c r="AR318" s="15" t="n">
        <f aca="false">(AR317)+X318-AQ318</f>
        <v>16349.6326148999</v>
      </c>
      <c r="AS318" s="15" t="n">
        <f aca="false">Motore_Operativo!AC318-AT318+AU318</f>
        <v>15166.75</v>
      </c>
      <c r="AT318" s="15" t="n">
        <f aca="false">Motore_Operativo!CI318</f>
        <v>798.25</v>
      </c>
      <c r="AU318" s="15" t="n">
        <f aca="false">MIN(MAX(0,(AV317)+AT318),Parametri_v3!$C$61/12)</f>
        <v>0</v>
      </c>
      <c r="AV318" s="15" t="n">
        <f aca="false">(AV317)+AT318-AU318</f>
        <v>4746.5</v>
      </c>
      <c r="AW318" s="15" t="n">
        <f aca="false">IF(AND(Motore_Operativo!C318=Finanziamenti!$D$7,Finanziamenti!$F$7=1),Finanziamenti!$C$7,0)</f>
        <v>0</v>
      </c>
      <c r="AX318" s="15" t="n">
        <f aca="false">0</f>
        <v>0</v>
      </c>
      <c r="AY318" s="15" t="n">
        <f aca="false">IF(2=Parametri_v3!$C$33,IF(BV318&lt;MIN(12,$B318-1),0,MIN(MAX(0,SUM(Y305:Y316))*Ipotesi!$C$94,MAX(0,(BM316)-(BO317)-BP318),MAX(0,BD318-Parametri_v3!$C$31))),0)</f>
        <v>0</v>
      </c>
      <c r="AZ318" s="15" t="n">
        <f aca="false">0</f>
        <v>0</v>
      </c>
      <c r="BA318" s="15" t="n">
        <f aca="false">0</f>
        <v>0</v>
      </c>
      <c r="BB318" s="15" t="n">
        <f aca="false">0</f>
        <v>0</v>
      </c>
      <c r="BC318" s="15" t="n">
        <f aca="false">0</f>
        <v>0</v>
      </c>
      <c r="BD318" s="15" t="n">
        <f aca="false">(BH317)+AC318-AF318-AI318-AS318-K318*(1+Parametri_v3!$C$26)-AL318-AQ318-O318+AW318+AX318+AZ318+BA318-BB318</f>
        <v>9068.6809043736</v>
      </c>
      <c r="BE318" s="15" t="n">
        <f aca="false">0</f>
        <v>0</v>
      </c>
      <c r="BF318" s="15" t="n">
        <f aca="false">0</f>
        <v>0</v>
      </c>
      <c r="BG318" s="15" t="n">
        <f aca="false">0</f>
        <v>0</v>
      </c>
      <c r="BH318" s="15" t="n">
        <f aca="false">BD318+BE318-BF318-AY318</f>
        <v>9068.6809043736</v>
      </c>
      <c r="BI318" s="15" t="n">
        <f aca="false">MAX(0,Parametri_v3!$C$31-BH318)</f>
        <v>931.319095626399</v>
      </c>
      <c r="BJ318" s="15" t="n">
        <f aca="false">(BJ317)+K318</f>
        <v>3833.33333333333</v>
      </c>
      <c r="BK318" s="15" t="n">
        <f aca="false">(BK317)+L318</f>
        <v>743.055555555556</v>
      </c>
      <c r="BL318" s="15" t="n">
        <f aca="false">BJ318-BK318</f>
        <v>3090.27777777778</v>
      </c>
      <c r="BM318" s="15" t="n">
        <f aca="false">(BM317)+Y318</f>
        <v>42251.2011302611</v>
      </c>
      <c r="BN318" s="15" t="n">
        <f aca="false">(BN317)+AW318+AX318+AZ318</f>
        <v>20000</v>
      </c>
      <c r="BO318" s="15" t="n">
        <f aca="false">(BO317)+AY318</f>
        <v>0</v>
      </c>
      <c r="BP318" s="15" t="n">
        <f aca="false">MIN(Parametri_v3!$C$36*Parametri_v3!$C$35,(BP317)+IF(2=1,MAX(0,SUM(Y305:Y316))*Parametri_v3!$C$34,0))</f>
        <v>1752.40631140351</v>
      </c>
      <c r="BQ318" s="15" t="n">
        <f aca="false">BN318+BM318-BO318</f>
        <v>62251.2011302611</v>
      </c>
      <c r="BR318" s="15" t="n">
        <f aca="false">BH318+AD318+BL318+MAX(0,-AM318)+MAX(0,-AR318)</f>
        <v>114849.97919117</v>
      </c>
      <c r="BS318" s="15" t="n">
        <f aca="false">AJ318+AV318+MAX(0,AM318)+MAX(0,AR318)+BC318+BG318+BQ318+AG318</f>
        <v>114849.97919117</v>
      </c>
      <c r="BT318" s="15" t="n">
        <f aca="false">BR318-BS318</f>
        <v>0</v>
      </c>
      <c r="BU318" s="15" t="n">
        <f aca="false">BH318-(BD318+BE318-BF318-AY318)</f>
        <v>0</v>
      </c>
      <c r="BV318" s="15" t="n">
        <f aca="false">IF(BH317&lt;Parametri_v3!$C$31,0,BV317+1)</f>
        <v>6</v>
      </c>
    </row>
    <row r="319" customFormat="false" ht="18" hidden="false" customHeight="true" outlineLevel="0" collapsed="false">
      <c r="A319" s="68" t="n">
        <f aca="false">6</f>
        <v>6</v>
      </c>
      <c r="B319" s="68" t="n">
        <f aca="false">15</f>
        <v>15</v>
      </c>
      <c r="C319" s="18" t="n">
        <f aca="false">Motore_Operativo!C319</f>
        <v>46813</v>
      </c>
      <c r="D319" s="68" t="n">
        <f aca="false">Motore_Operativo!D319</f>
        <v>2028</v>
      </c>
      <c r="E319" s="68" t="n">
        <f aca="false">Motore_Operativo!E319</f>
        <v>3</v>
      </c>
      <c r="F319" s="15" t="n">
        <f aca="false">Motore_Operativo!AM319</f>
        <v>33981.220657277</v>
      </c>
      <c r="G319" s="15" t="n">
        <f aca="false">Motore_Operativo!BH319</f>
        <v>3398.1220657277</v>
      </c>
      <c r="H319" s="15" t="n">
        <f aca="false">Motore_Operativo!AM319</f>
        <v>33981.220657277</v>
      </c>
      <c r="I319" s="15" t="n">
        <f aca="false">Motore_Operativo!CB319</f>
        <v>28885.3286384976</v>
      </c>
      <c r="J319" s="15" t="n">
        <f aca="false">Motore_Operativo!CD319</f>
        <v>5095.89201877934</v>
      </c>
      <c r="K319" s="15" t="n">
        <f aca="false">Motore_Operativo!CF319</f>
        <v>416.666666666667</v>
      </c>
      <c r="L319" s="15" t="n">
        <f aca="false">SUM(INDEX($K$305:$K$364,MAX(1,15-Parametri_v3!$C$59+1)):K319)/Parametri_v3!$C$59</f>
        <v>118.055555555556</v>
      </c>
      <c r="M319" s="15" t="n">
        <f aca="false">J319-L319</f>
        <v>4977.83646322379</v>
      </c>
      <c r="N319" s="15" t="n">
        <f aca="false">0</f>
        <v>0</v>
      </c>
      <c r="O319" s="15" t="n">
        <f aca="false">0</f>
        <v>0</v>
      </c>
      <c r="P319" s="15" t="n">
        <f aca="false">M319+N319-O319</f>
        <v>4977.83646322379</v>
      </c>
      <c r="Q319" s="15" t="n">
        <f aca="false">SUM(P317:P319)+Parametri_v3!$C$56*3/12</f>
        <v>14968.2316118936</v>
      </c>
      <c r="R319" s="15" t="n">
        <f aca="false">Z316</f>
        <v>0</v>
      </c>
      <c r="S319" s="15" t="n">
        <f aca="false">AA316</f>
        <v>0</v>
      </c>
      <c r="T319" s="15" t="n">
        <f aca="false">MIN(R319,MAX(0,Q319))</f>
        <v>0</v>
      </c>
      <c r="U319" s="15" t="n">
        <f aca="false">MIN(S319,MAX(0,Q319-T319)*Parametri_v3!$C$42)</f>
        <v>0</v>
      </c>
      <c r="V319" s="15" t="n">
        <f aca="false">MAX(0,Q319-T319-U319)*Ipotesi!$C$92</f>
        <v>3592.37558685446</v>
      </c>
      <c r="W319" s="15" t="n">
        <f aca="false">MAX(0,SUM(M317:M319)+Parametri_v3!$C$57*3/12)*Ipotesi!$C$93</f>
        <v>583.76103286385</v>
      </c>
      <c r="X319" s="15" t="n">
        <f aca="false">V319+W319-(V318+W318)</f>
        <v>1388.81637323944</v>
      </c>
      <c r="Y319" s="15" t="n">
        <f aca="false">P319-X319</f>
        <v>3589.02008998435</v>
      </c>
      <c r="Z319" s="15" t="n">
        <f aca="false">R319-T319+IF(AND(Parametri_v3!$C$40=1,D319-YEAR(Parametri_v3!$C$50)&lt;Parametri_v3!$C$41),MAX(0,-Q319),0)</f>
        <v>0</v>
      </c>
      <c r="AA319" s="15" t="n">
        <f aca="false">S319-U319+IF(AND(Parametri_v3!$C$40=1,D319-YEAR(Parametri_v3!$C$50)&lt;Parametri_v3!$C$41),0,MAX(0,-Q319))</f>
        <v>0</v>
      </c>
      <c r="AB319" s="15" t="n">
        <f aca="false">F319*(1+Parametri_v3!$C$26)</f>
        <v>41457.0892018779</v>
      </c>
      <c r="AC319" s="15" t="n">
        <f aca="false">(IF(15-(INT((Motore_Operativo!L319)/30))&lt;1,0,INDEX(Motore_Advisory!$AB$305:$AB$364,MAX(1,15-(INT((Motore_Operativo!L319)/30)))))*(1-(MOD((Motore_Operativo!L319),30)/30))+IF(15-(INT((Motore_Operativo!L319)/30))-1&lt;1,0,INDEX(Motore_Advisory!$AB$305:$AB$364,MAX(1,15-(INT((Motore_Operativo!L319)/30))-1)))*(MOD((Motore_Operativo!L319),30)/30))</f>
        <v>19776.8421052632</v>
      </c>
      <c r="AD319" s="15" t="n">
        <f aca="false">(AD318)+AB319-AC319</f>
        <v>124371.267605634</v>
      </c>
      <c r="AE319" s="15" t="n">
        <f aca="false">Motore_Operativo!BH319*(1+Parametri_v3!$C$26)</f>
        <v>4145.70892018779</v>
      </c>
      <c r="AF319" s="15" t="n">
        <f aca="false">(IF(15-(INT((Parametri_v3!$C$29)/30))&lt;1,0,INDEX(Motore_Operativo!$BH$305:$BH$364,MAX(1,15-(INT((Parametri_v3!$C$29)/30)))))*(1-(MOD((Parametri_v3!$C$29),30)/30))+IF(15-(INT((Parametri_v3!$C$29)/30))-1&lt;1,0,INDEX(Motore_Operativo!$BH$305:$BH$364,MAX(1,15-(INT((Parametri_v3!$C$29)/30))-1)))*(MOD((Parametri_v3!$C$29),30)/30))*(1+Parametri_v3!$C$26)</f>
        <v>4145.70892018779</v>
      </c>
      <c r="AG319" s="15" t="n">
        <f aca="false">(AG318)+AE319-AF319</f>
        <v>4145.70892018779</v>
      </c>
      <c r="AH319" s="15" t="n">
        <f aca="false">(Motore_Operativo!CK319)*(1+Parametri_v3!$C$28*Parametri_v3!$C$26)</f>
        <v>11198.1149295775</v>
      </c>
      <c r="AI319" s="15" t="n">
        <f aca="false">(IF(15-(INT((Ipotesi!$C$91)/30))&lt;1,0,INDEX(Motore_Advisory!$AH$305:$AH$364,MAX(1,15-(INT((Ipotesi!$C$91)/30)))))*(1-(MOD((Ipotesi!$C$91),30)/30))+IF(15-(INT((Ipotesi!$C$91)/30))-1&lt;1,0,INDEX(Motore_Advisory!$AH$305:$AH$364,MAX(1,15-(INT((Ipotesi!$C$91)/30))-1)))*(MOD((Ipotesi!$C$91),30)/30))</f>
        <v>11198.1149295775</v>
      </c>
      <c r="AJ319" s="15" t="n">
        <f aca="false">(AJ318)+AH319-AI319</f>
        <v>22396.2298591549</v>
      </c>
      <c r="AK319" s="15" t="n">
        <f aca="false">(F319- Motore_Operativo!BH319-(Motore_Operativo!CK319)*Parametri_v3!$C$28-Motore_Operativo!CF319)*Parametri_v3!$C$26</f>
        <v>4960.70666666667</v>
      </c>
      <c r="AL319" s="15" t="n">
        <f aca="false">MAX(0,(AM318))</f>
        <v>4960.70666666667</v>
      </c>
      <c r="AM319" s="15" t="n">
        <f aca="false">(AM318)+AK319-AL319</f>
        <v>4960.70666666667</v>
      </c>
      <c r="AN319" s="15" t="n">
        <f aca="false">SUM(X305:X316)</f>
        <v>13562.3123684211</v>
      </c>
      <c r="AO319" s="15" t="n">
        <f aca="false">SUM(AP305:AP316)</f>
        <v>0</v>
      </c>
      <c r="AP319" s="15" t="n">
        <f aca="false">MAX(0,AN319)*IF(3=Parametri_v3!$C$43,Parametri_v3!$C$45,IF(3=Parametri_v3!$C$44,1-Parametri_v3!$C$45,0))</f>
        <v>0</v>
      </c>
      <c r="AQ319" s="15" t="n">
        <f aca="false">MAX(0,AP319+IF(3=Parametri_v3!$C$43,MAX(0,AN319-AO319),0)-MAX(0,-(AR318)))</f>
        <v>0</v>
      </c>
      <c r="AR319" s="15" t="n">
        <f aca="false">(AR318)+X319-AQ319</f>
        <v>17738.4489881394</v>
      </c>
      <c r="AS319" s="15" t="n">
        <f aca="false">Motore_Operativo!AC319-AT319+AU319</f>
        <v>15166.75</v>
      </c>
      <c r="AT319" s="15" t="n">
        <f aca="false">Motore_Operativo!CI319</f>
        <v>798.25</v>
      </c>
      <c r="AU319" s="15" t="n">
        <f aca="false">MIN(MAX(0,(AV318)+AT319),Parametri_v3!$C$61/12)</f>
        <v>0</v>
      </c>
      <c r="AV319" s="15" t="n">
        <f aca="false">(AV318)+AT319-AU319</f>
        <v>5544.75</v>
      </c>
      <c r="AW319" s="15" t="n">
        <f aca="false">IF(AND(Motore_Operativo!C319=Finanziamenti!$D$7,Finanziamenti!$F$7=1),Finanziamenti!$C$7,0)</f>
        <v>0</v>
      </c>
      <c r="AX319" s="15" t="n">
        <f aca="false">0</f>
        <v>0</v>
      </c>
      <c r="AY319" s="15" t="n">
        <f aca="false">IF(3=Parametri_v3!$C$33,IF(BV319&lt;MIN(12,$B319-1),0,MIN(MAX(0,SUM(Y305:Y316))*Ipotesi!$C$94,MAX(0,(BM316)-(BO318)-BP319),MAX(0,BD319-Parametri_v3!$C$31))),0)</f>
        <v>0</v>
      </c>
      <c r="AZ319" s="15" t="n">
        <f aca="false">0</f>
        <v>0</v>
      </c>
      <c r="BA319" s="15" t="n">
        <f aca="false">0</f>
        <v>0</v>
      </c>
      <c r="BB319" s="15" t="n">
        <f aca="false">0</f>
        <v>0</v>
      </c>
      <c r="BC319" s="15" t="n">
        <f aca="false">0</f>
        <v>0</v>
      </c>
      <c r="BD319" s="15" t="n">
        <f aca="false">(BH318)+AC319-AF319-AI319-AS319-K319*(1+Parametri_v3!$C$26)-AL319-AQ319-O319+AW319+AX319+AZ319+BA319-BB319</f>
        <v>-7134.09084012849</v>
      </c>
      <c r="BE319" s="15" t="n">
        <f aca="false">0</f>
        <v>0</v>
      </c>
      <c r="BF319" s="15" t="n">
        <f aca="false">0</f>
        <v>0</v>
      </c>
      <c r="BG319" s="15" t="n">
        <f aca="false">0</f>
        <v>0</v>
      </c>
      <c r="BH319" s="15" t="n">
        <f aca="false">BD319+BE319-BF319-AY319</f>
        <v>-7134.09084012849</v>
      </c>
      <c r="BI319" s="15" t="n">
        <f aca="false">MAX(0,Parametri_v3!$C$31-BH319)</f>
        <v>17134.0908401285</v>
      </c>
      <c r="BJ319" s="15" t="n">
        <f aca="false">(BJ318)+K319</f>
        <v>4250</v>
      </c>
      <c r="BK319" s="15" t="n">
        <f aca="false">(BK318)+L319</f>
        <v>861.111111111111</v>
      </c>
      <c r="BL319" s="15" t="n">
        <f aca="false">BJ319-BK319</f>
        <v>3388.88888888889</v>
      </c>
      <c r="BM319" s="15" t="n">
        <f aca="false">(BM318)+Y319</f>
        <v>45840.2212202454</v>
      </c>
      <c r="BN319" s="15" t="n">
        <f aca="false">(BN318)+AW319+AX319+AZ319</f>
        <v>20000</v>
      </c>
      <c r="BO319" s="15" t="n">
        <f aca="false">(BO318)+AY319</f>
        <v>0</v>
      </c>
      <c r="BP319" s="15" t="n">
        <f aca="false">MIN(Parametri_v3!$C$36*Parametri_v3!$C$35,(BP318)+IF(3=1,MAX(0,SUM(Y305:Y316))*Parametri_v3!$C$34,0))</f>
        <v>1752.40631140351</v>
      </c>
      <c r="BQ319" s="15" t="n">
        <f aca="false">BN319+BM319-BO319</f>
        <v>65840.2212202454</v>
      </c>
      <c r="BR319" s="15" t="n">
        <f aca="false">BH319+AD319+BL319+MAX(0,-AM319)+MAX(0,-AR319)</f>
        <v>120626.065654394</v>
      </c>
      <c r="BS319" s="15" t="n">
        <f aca="false">AJ319+AV319+MAX(0,AM319)+MAX(0,AR319)+BC319+BG319+BQ319+AG319</f>
        <v>120626.065654394</v>
      </c>
      <c r="BT319" s="15" t="n">
        <f aca="false">BR319-BS319</f>
        <v>0</v>
      </c>
      <c r="BU319" s="15" t="n">
        <f aca="false">BH319-(BD319+BE319-BF319-AY319)</f>
        <v>0</v>
      </c>
      <c r="BV319" s="15" t="n">
        <f aca="false">IF(BH318&lt;Parametri_v3!$C$31,0,BV318+1)</f>
        <v>0</v>
      </c>
    </row>
    <row r="320" customFormat="false" ht="18" hidden="false" customHeight="true" outlineLevel="0" collapsed="false">
      <c r="A320" s="68" t="n">
        <f aca="false">6</f>
        <v>6</v>
      </c>
      <c r="B320" s="68" t="n">
        <f aca="false">16</f>
        <v>16</v>
      </c>
      <c r="C320" s="18" t="n">
        <f aca="false">Motore_Operativo!C320</f>
        <v>46844</v>
      </c>
      <c r="D320" s="68" t="n">
        <f aca="false">Motore_Operativo!D320</f>
        <v>2028</v>
      </c>
      <c r="E320" s="68" t="n">
        <f aca="false">Motore_Operativo!E320</f>
        <v>4</v>
      </c>
      <c r="F320" s="15" t="n">
        <f aca="false">Motore_Operativo!AM320</f>
        <v>33981.220657277</v>
      </c>
      <c r="G320" s="15" t="n">
        <f aca="false">Motore_Operativo!BH320</f>
        <v>3398.1220657277</v>
      </c>
      <c r="H320" s="15" t="n">
        <f aca="false">Motore_Operativo!AM320</f>
        <v>33981.220657277</v>
      </c>
      <c r="I320" s="15" t="n">
        <f aca="false">Motore_Operativo!CB320</f>
        <v>28885.3286384976</v>
      </c>
      <c r="J320" s="15" t="n">
        <f aca="false">Motore_Operativo!CD320</f>
        <v>5095.89201877934</v>
      </c>
      <c r="K320" s="15" t="n">
        <f aca="false">Motore_Operativo!CF320</f>
        <v>416.666666666667</v>
      </c>
      <c r="L320" s="15" t="n">
        <f aca="false">SUM(INDEX($K$305:$K$364,MAX(1,16-Parametri_v3!$C$59+1)):K320)/Parametri_v3!$C$59</f>
        <v>129.62962962963</v>
      </c>
      <c r="M320" s="15" t="n">
        <f aca="false">J320-L320</f>
        <v>4966.26238914971</v>
      </c>
      <c r="N320" s="15" t="n">
        <f aca="false">0</f>
        <v>0</v>
      </c>
      <c r="O320" s="15" t="n">
        <f aca="false">0</f>
        <v>0</v>
      </c>
      <c r="P320" s="15" t="n">
        <f aca="false">M320+N320-O320</f>
        <v>4966.26238914971</v>
      </c>
      <c r="Q320" s="15" t="n">
        <f aca="false">SUM(P317:P320)+Parametri_v3!$C$56*4/12</f>
        <v>19934.4940010433</v>
      </c>
      <c r="R320" s="15" t="n">
        <f aca="false">Z316</f>
        <v>0</v>
      </c>
      <c r="S320" s="15" t="n">
        <f aca="false">AA316</f>
        <v>0</v>
      </c>
      <c r="T320" s="15" t="n">
        <f aca="false">MIN(R320,MAX(0,Q320))</f>
        <v>0</v>
      </c>
      <c r="U320" s="15" t="n">
        <f aca="false">MIN(S320,MAX(0,Q320-T320)*Parametri_v3!$C$42)</f>
        <v>0</v>
      </c>
      <c r="V320" s="15" t="n">
        <f aca="false">MAX(0,Q320-T320-U320)*Ipotesi!$C$92</f>
        <v>4784.27856025039</v>
      </c>
      <c r="W320" s="15" t="n">
        <f aca="false">MAX(0,SUM(M317:M320)+Parametri_v3!$C$57*4/12)*Ipotesi!$C$93</f>
        <v>777.445266040688</v>
      </c>
      <c r="X320" s="15" t="n">
        <f aca="false">V320+W320-(V319+W319)</f>
        <v>1385.58720657277</v>
      </c>
      <c r="Y320" s="15" t="n">
        <f aca="false">P320-X320</f>
        <v>3580.67518257694</v>
      </c>
      <c r="Z320" s="15" t="n">
        <f aca="false">R320-T320+IF(AND(Parametri_v3!$C$40=1,D320-YEAR(Parametri_v3!$C$50)&lt;Parametri_v3!$C$41),MAX(0,-Q320),0)</f>
        <v>0</v>
      </c>
      <c r="AA320" s="15" t="n">
        <f aca="false">S320-U320+IF(AND(Parametri_v3!$C$40=1,D320-YEAR(Parametri_v3!$C$50)&lt;Parametri_v3!$C$41),0,MAX(0,-Q320))</f>
        <v>0</v>
      </c>
      <c r="AB320" s="15" t="n">
        <f aca="false">F320*(1+Parametri_v3!$C$26)</f>
        <v>41457.0892018779</v>
      </c>
      <c r="AC320" s="15" t="n">
        <f aca="false">(IF(16-(INT((Motore_Operativo!L320)/30))&lt;1,0,INDEX(Motore_Advisory!$AB$305:$AB$364,MAX(1,16-(INT((Motore_Operativo!L320)/30)))))*(1-(MOD((Motore_Operativo!L320),30)/30))+IF(16-(INT((Motore_Operativo!L320)/30))-1&lt;1,0,INDEX(Motore_Advisory!$AB$305:$AB$364,MAX(1,16-(INT((Motore_Operativo!L320)/30))-1)))*(MOD((Motore_Operativo!L320),30)/30))</f>
        <v>41457.0892018779</v>
      </c>
      <c r="AD320" s="15" t="n">
        <f aca="false">(AD319)+AB320-AC320</f>
        <v>124371.267605634</v>
      </c>
      <c r="AE320" s="15" t="n">
        <f aca="false">Motore_Operativo!BH320*(1+Parametri_v3!$C$26)</f>
        <v>4145.70892018779</v>
      </c>
      <c r="AF320" s="15" t="n">
        <f aca="false">(IF(16-(INT((Parametri_v3!$C$29)/30))&lt;1,0,INDEX(Motore_Operativo!$BH$305:$BH$364,MAX(1,16-(INT((Parametri_v3!$C$29)/30)))))*(1-(MOD((Parametri_v3!$C$29),30)/30))+IF(16-(INT((Parametri_v3!$C$29)/30))-1&lt;1,0,INDEX(Motore_Operativo!$BH$305:$BH$364,MAX(1,16-(INT((Parametri_v3!$C$29)/30))-1)))*(MOD((Parametri_v3!$C$29),30)/30))*(1+Parametri_v3!$C$26)</f>
        <v>4145.70892018779</v>
      </c>
      <c r="AG320" s="15" t="n">
        <f aca="false">(AG319)+AE320-AF320</f>
        <v>4145.70892018779</v>
      </c>
      <c r="AH320" s="15" t="n">
        <f aca="false">(Motore_Operativo!CK320)*(1+Parametri_v3!$C$28*Parametri_v3!$C$26)</f>
        <v>11198.1149295775</v>
      </c>
      <c r="AI320" s="15" t="n">
        <f aca="false">(IF(16-(INT((Ipotesi!$C$91)/30))&lt;1,0,INDEX(Motore_Advisory!$AH$305:$AH$364,MAX(1,16-(INT((Ipotesi!$C$91)/30)))))*(1-(MOD((Ipotesi!$C$91),30)/30))+IF(16-(INT((Ipotesi!$C$91)/30))-1&lt;1,0,INDEX(Motore_Advisory!$AH$305:$AH$364,MAX(1,16-(INT((Ipotesi!$C$91)/30))-1)))*(MOD((Ipotesi!$C$91),30)/30))</f>
        <v>11198.1149295775</v>
      </c>
      <c r="AJ320" s="15" t="n">
        <f aca="false">(AJ319)+AH320-AI320</f>
        <v>22396.2298591549</v>
      </c>
      <c r="AK320" s="15" t="n">
        <f aca="false">(F320- Motore_Operativo!BH320-(Motore_Operativo!CK320)*Parametri_v3!$C$28-Motore_Operativo!CF320)*Parametri_v3!$C$26</f>
        <v>4960.70666666667</v>
      </c>
      <c r="AL320" s="15" t="n">
        <f aca="false">MAX(0,(AM319))</f>
        <v>4960.70666666667</v>
      </c>
      <c r="AM320" s="15" t="n">
        <f aca="false">(AM319)+AK320-AL320</f>
        <v>4960.70666666667</v>
      </c>
      <c r="AN320" s="15" t="n">
        <f aca="false">SUM(X305:X316)</f>
        <v>13562.3123684211</v>
      </c>
      <c r="AO320" s="15" t="n">
        <f aca="false">SUM(AP305:AP316)</f>
        <v>0</v>
      </c>
      <c r="AP320" s="15" t="n">
        <f aca="false">MAX(0,AN320)*IF(4=Parametri_v3!$C$43,Parametri_v3!$C$45,IF(4=Parametri_v3!$C$44,1-Parametri_v3!$C$45,0))</f>
        <v>0</v>
      </c>
      <c r="AQ320" s="15" t="n">
        <f aca="false">MAX(0,AP320+IF(4=Parametri_v3!$C$43,MAX(0,AN320-AO320),0)-MAX(0,-(AR319)))</f>
        <v>0</v>
      </c>
      <c r="AR320" s="15" t="n">
        <f aca="false">(AR319)+X320-AQ320</f>
        <v>19124.0361947121</v>
      </c>
      <c r="AS320" s="15" t="n">
        <f aca="false">Motore_Operativo!AC320-AT320+AU320</f>
        <v>15166.75</v>
      </c>
      <c r="AT320" s="15" t="n">
        <f aca="false">Motore_Operativo!CI320</f>
        <v>798.25</v>
      </c>
      <c r="AU320" s="15" t="n">
        <f aca="false">MIN(MAX(0,(AV319)+AT320),Parametri_v3!$C$61/12)</f>
        <v>0</v>
      </c>
      <c r="AV320" s="15" t="n">
        <f aca="false">(AV319)+AT320-AU320</f>
        <v>6343</v>
      </c>
      <c r="AW320" s="15" t="n">
        <f aca="false">IF(AND(Motore_Operativo!C320=Finanziamenti!$D$7,Finanziamenti!$F$7=1),Finanziamenti!$C$7,0)</f>
        <v>0</v>
      </c>
      <c r="AX320" s="15" t="n">
        <f aca="false">0</f>
        <v>0</v>
      </c>
      <c r="AY320" s="15" t="n">
        <f aca="false">IF(4=Parametri_v3!$C$33,IF(BV320&lt;MIN(12,$B320-1),0,MIN(MAX(0,SUM(Y305:Y316))*Ipotesi!$C$94,MAX(0,(BM316)-(BO319)-BP320),MAX(0,BD320-Parametri_v3!$C$31))),0)</f>
        <v>0</v>
      </c>
      <c r="AZ320" s="15" t="n">
        <f aca="false">0</f>
        <v>0</v>
      </c>
      <c r="BA320" s="15" t="n">
        <f aca="false">0</f>
        <v>0</v>
      </c>
      <c r="BB320" s="15" t="n">
        <f aca="false">0</f>
        <v>0</v>
      </c>
      <c r="BC320" s="15" t="n">
        <f aca="false">0</f>
        <v>0</v>
      </c>
      <c r="BD320" s="15" t="n">
        <f aca="false">(BH319)+AC320-AF320-AI320-AS320-K320*(1+Parametri_v3!$C$26)-AL320-AQ320-O320+AW320+AX320+AZ320+BA320-BB320</f>
        <v>-1656.61548801582</v>
      </c>
      <c r="BE320" s="15" t="n">
        <f aca="false">0</f>
        <v>0</v>
      </c>
      <c r="BF320" s="15" t="n">
        <f aca="false">0</f>
        <v>0</v>
      </c>
      <c r="BG320" s="15" t="n">
        <f aca="false">0</f>
        <v>0</v>
      </c>
      <c r="BH320" s="15" t="n">
        <f aca="false">BD320+BE320-BF320-AY320</f>
        <v>-1656.61548801582</v>
      </c>
      <c r="BI320" s="15" t="n">
        <f aca="false">MAX(0,Parametri_v3!$C$31-BH320)</f>
        <v>11656.6154880158</v>
      </c>
      <c r="BJ320" s="15" t="n">
        <f aca="false">(BJ319)+K320</f>
        <v>4666.66666666667</v>
      </c>
      <c r="BK320" s="15" t="n">
        <f aca="false">(BK319)+L320</f>
        <v>990.740740740741</v>
      </c>
      <c r="BL320" s="15" t="n">
        <f aca="false">BJ320-BK320</f>
        <v>3675.92592592593</v>
      </c>
      <c r="BM320" s="15" t="n">
        <f aca="false">(BM319)+Y320</f>
        <v>49420.8964028224</v>
      </c>
      <c r="BN320" s="15" t="n">
        <f aca="false">(BN319)+AW320+AX320+AZ320</f>
        <v>20000</v>
      </c>
      <c r="BO320" s="15" t="n">
        <f aca="false">(BO319)+AY320</f>
        <v>0</v>
      </c>
      <c r="BP320" s="15" t="n">
        <f aca="false">MIN(Parametri_v3!$C$36*Parametri_v3!$C$35,(BP319)+IF(4=1,MAX(0,SUM(Y305:Y316))*Parametri_v3!$C$34,0))</f>
        <v>1752.40631140351</v>
      </c>
      <c r="BQ320" s="15" t="n">
        <f aca="false">BN320+BM320-BO320</f>
        <v>69420.8964028224</v>
      </c>
      <c r="BR320" s="15" t="n">
        <f aca="false">BH320+AD320+BL320+MAX(0,-AM320)+MAX(0,-AR320)</f>
        <v>126390.578043544</v>
      </c>
      <c r="BS320" s="15" t="n">
        <f aca="false">AJ320+AV320+MAX(0,AM320)+MAX(0,AR320)+BC320+BG320+BQ320+AG320</f>
        <v>126390.578043544</v>
      </c>
      <c r="BT320" s="15" t="n">
        <f aca="false">BR320-BS320</f>
        <v>0</v>
      </c>
      <c r="BU320" s="15" t="n">
        <f aca="false">BH320-(BD320+BE320-BF320-AY320)</f>
        <v>0</v>
      </c>
      <c r="BV320" s="15" t="n">
        <f aca="false">IF(BH319&lt;Parametri_v3!$C$31,0,BV319+1)</f>
        <v>0</v>
      </c>
    </row>
    <row r="321" customFormat="false" ht="18" hidden="false" customHeight="true" outlineLevel="0" collapsed="false">
      <c r="A321" s="68" t="n">
        <f aca="false">6</f>
        <v>6</v>
      </c>
      <c r="B321" s="68" t="n">
        <f aca="false">17</f>
        <v>17</v>
      </c>
      <c r="C321" s="18" t="n">
        <f aca="false">Motore_Operativo!C321</f>
        <v>46874</v>
      </c>
      <c r="D321" s="68" t="n">
        <f aca="false">Motore_Operativo!D321</f>
        <v>2028</v>
      </c>
      <c r="E321" s="68" t="n">
        <f aca="false">Motore_Operativo!E321</f>
        <v>5</v>
      </c>
      <c r="F321" s="15" t="n">
        <f aca="false">Motore_Operativo!AM321</f>
        <v>33981.220657277</v>
      </c>
      <c r="G321" s="15" t="n">
        <f aca="false">Motore_Operativo!BH321</f>
        <v>3398.1220657277</v>
      </c>
      <c r="H321" s="15" t="n">
        <f aca="false">Motore_Operativo!AM321</f>
        <v>33981.220657277</v>
      </c>
      <c r="I321" s="15" t="n">
        <f aca="false">Motore_Operativo!CB321</f>
        <v>28885.3286384976</v>
      </c>
      <c r="J321" s="15" t="n">
        <f aca="false">Motore_Operativo!CD321</f>
        <v>5095.89201877934</v>
      </c>
      <c r="K321" s="15" t="n">
        <f aca="false">Motore_Operativo!CF321</f>
        <v>416.666666666667</v>
      </c>
      <c r="L321" s="15" t="n">
        <f aca="false">SUM(INDEX($K$305:$K$364,MAX(1,17-Parametri_v3!$C$59+1)):K321)/Parametri_v3!$C$59</f>
        <v>141.203703703704</v>
      </c>
      <c r="M321" s="15" t="n">
        <f aca="false">J321-L321</f>
        <v>4954.68831507564</v>
      </c>
      <c r="N321" s="15" t="n">
        <f aca="false">0</f>
        <v>0</v>
      </c>
      <c r="O321" s="15" t="n">
        <f aca="false">0</f>
        <v>0</v>
      </c>
      <c r="P321" s="15" t="n">
        <f aca="false">M321+N321-O321</f>
        <v>4954.68831507564</v>
      </c>
      <c r="Q321" s="15" t="n">
        <f aca="false">SUM(P317:P321)+Parametri_v3!$C$56*5/12</f>
        <v>24889.1823161189</v>
      </c>
      <c r="R321" s="15" t="n">
        <f aca="false">Z316</f>
        <v>0</v>
      </c>
      <c r="S321" s="15" t="n">
        <f aca="false">AA316</f>
        <v>0</v>
      </c>
      <c r="T321" s="15" t="n">
        <f aca="false">MIN(R321,MAX(0,Q321))</f>
        <v>0</v>
      </c>
      <c r="U321" s="15" t="n">
        <f aca="false">MIN(S321,MAX(0,Q321-T321)*Parametri_v3!$C$42)</f>
        <v>0</v>
      </c>
      <c r="V321" s="15" t="n">
        <f aca="false">MAX(0,Q321-T321-U321)*Ipotesi!$C$92</f>
        <v>5973.40375586854</v>
      </c>
      <c r="W321" s="15" t="n">
        <f aca="false">MAX(0,SUM(M317:M321)+Parametri_v3!$C$57*5/12)*Ipotesi!$C$93</f>
        <v>970.678110328638</v>
      </c>
      <c r="X321" s="15" t="n">
        <f aca="false">V321+W321-(V320+W320)</f>
        <v>1382.3580399061</v>
      </c>
      <c r="Y321" s="15" t="n">
        <f aca="false">P321-X321</f>
        <v>3572.33027516954</v>
      </c>
      <c r="Z321" s="15" t="n">
        <f aca="false">R321-T321+IF(AND(Parametri_v3!$C$40=1,D321-YEAR(Parametri_v3!$C$50)&lt;Parametri_v3!$C$41),MAX(0,-Q321),0)</f>
        <v>0</v>
      </c>
      <c r="AA321" s="15" t="n">
        <f aca="false">S321-U321+IF(AND(Parametri_v3!$C$40=1,D321-YEAR(Parametri_v3!$C$50)&lt;Parametri_v3!$C$41),0,MAX(0,-Q321))</f>
        <v>0</v>
      </c>
      <c r="AB321" s="15" t="n">
        <f aca="false">F321*(1+Parametri_v3!$C$26)</f>
        <v>41457.0892018779</v>
      </c>
      <c r="AC321" s="15" t="n">
        <f aca="false">(IF(17-(INT((Motore_Operativo!L321)/30))&lt;1,0,INDEX(Motore_Advisory!$AB$305:$AB$364,MAX(1,17-(INT((Motore_Operativo!L321)/30)))))*(1-(MOD((Motore_Operativo!L321),30)/30))+IF(17-(INT((Motore_Operativo!L321)/30))-1&lt;1,0,INDEX(Motore_Advisory!$AB$305:$AB$364,MAX(1,17-(INT((Motore_Operativo!L321)/30))-1)))*(MOD((Motore_Operativo!L321),30)/30))</f>
        <v>41457.0892018779</v>
      </c>
      <c r="AD321" s="15" t="n">
        <f aca="false">(AD320)+AB321-AC321</f>
        <v>124371.267605634</v>
      </c>
      <c r="AE321" s="15" t="n">
        <f aca="false">Motore_Operativo!BH321*(1+Parametri_v3!$C$26)</f>
        <v>4145.70892018779</v>
      </c>
      <c r="AF321" s="15" t="n">
        <f aca="false">(IF(17-(INT((Parametri_v3!$C$29)/30))&lt;1,0,INDEX(Motore_Operativo!$BH$305:$BH$364,MAX(1,17-(INT((Parametri_v3!$C$29)/30)))))*(1-(MOD((Parametri_v3!$C$29),30)/30))+IF(17-(INT((Parametri_v3!$C$29)/30))-1&lt;1,0,INDEX(Motore_Operativo!$BH$305:$BH$364,MAX(1,17-(INT((Parametri_v3!$C$29)/30))-1)))*(MOD((Parametri_v3!$C$29),30)/30))*(1+Parametri_v3!$C$26)</f>
        <v>4145.70892018779</v>
      </c>
      <c r="AG321" s="15" t="n">
        <f aca="false">(AG320)+AE321-AF321</f>
        <v>4145.70892018779</v>
      </c>
      <c r="AH321" s="15" t="n">
        <f aca="false">(Motore_Operativo!CK321)*(1+Parametri_v3!$C$28*Parametri_v3!$C$26)</f>
        <v>11198.1149295775</v>
      </c>
      <c r="AI321" s="15" t="n">
        <f aca="false">(IF(17-(INT((Ipotesi!$C$91)/30))&lt;1,0,INDEX(Motore_Advisory!$AH$305:$AH$364,MAX(1,17-(INT((Ipotesi!$C$91)/30)))))*(1-(MOD((Ipotesi!$C$91),30)/30))+IF(17-(INT((Ipotesi!$C$91)/30))-1&lt;1,0,INDEX(Motore_Advisory!$AH$305:$AH$364,MAX(1,17-(INT((Ipotesi!$C$91)/30))-1)))*(MOD((Ipotesi!$C$91),30)/30))</f>
        <v>11198.1149295775</v>
      </c>
      <c r="AJ321" s="15" t="n">
        <f aca="false">(AJ320)+AH321-AI321</f>
        <v>22396.2298591549</v>
      </c>
      <c r="AK321" s="15" t="n">
        <f aca="false">(F321- Motore_Operativo!BH321-(Motore_Operativo!CK321)*Parametri_v3!$C$28-Motore_Operativo!CF321)*Parametri_v3!$C$26</f>
        <v>4960.70666666667</v>
      </c>
      <c r="AL321" s="15" t="n">
        <f aca="false">MAX(0,(AM320))</f>
        <v>4960.70666666667</v>
      </c>
      <c r="AM321" s="15" t="n">
        <f aca="false">(AM320)+AK321-AL321</f>
        <v>4960.70666666667</v>
      </c>
      <c r="AN321" s="15" t="n">
        <f aca="false">SUM(X305:X316)</f>
        <v>13562.3123684211</v>
      </c>
      <c r="AO321" s="15" t="n">
        <f aca="false">SUM(AP305:AP316)</f>
        <v>0</v>
      </c>
      <c r="AP321" s="15" t="n">
        <f aca="false">MAX(0,AN321)*IF(5=Parametri_v3!$C$43,Parametri_v3!$C$45,IF(5=Parametri_v3!$C$44,1-Parametri_v3!$C$45,0))</f>
        <v>0</v>
      </c>
      <c r="AQ321" s="15" t="n">
        <f aca="false">MAX(0,AP321+IF(5=Parametri_v3!$C$43,MAX(0,AN321-AO321),0)-MAX(0,-(AR320)))</f>
        <v>0</v>
      </c>
      <c r="AR321" s="15" t="n">
        <f aca="false">(AR320)+X321-AQ321</f>
        <v>20506.3942346182</v>
      </c>
      <c r="AS321" s="15" t="n">
        <f aca="false">Motore_Operativo!AC321-AT321+AU321</f>
        <v>15166.75</v>
      </c>
      <c r="AT321" s="15" t="n">
        <f aca="false">Motore_Operativo!CI321</f>
        <v>798.25</v>
      </c>
      <c r="AU321" s="15" t="n">
        <f aca="false">MIN(MAX(0,(AV320)+AT321),Parametri_v3!$C$61/12)</f>
        <v>0</v>
      </c>
      <c r="AV321" s="15" t="n">
        <f aca="false">(AV320)+AT321-AU321</f>
        <v>7141.25</v>
      </c>
      <c r="AW321" s="15" t="n">
        <f aca="false">IF(AND(Motore_Operativo!C321=Finanziamenti!$D$7,Finanziamenti!$F$7=1),Finanziamenti!$C$7,0)</f>
        <v>0</v>
      </c>
      <c r="AX321" s="15" t="n">
        <f aca="false">0</f>
        <v>0</v>
      </c>
      <c r="AY321" s="15" t="n">
        <f aca="false">IF(5=Parametri_v3!$C$33,IF(BV321&lt;MIN(12,$B321-1),0,MIN(MAX(0,SUM(Y305:Y316))*Ipotesi!$C$94,MAX(0,(BM316)-(BO320)-BP321),MAX(0,BD321-Parametri_v3!$C$31))),0)</f>
        <v>0</v>
      </c>
      <c r="AZ321" s="15" t="n">
        <f aca="false">0</f>
        <v>0</v>
      </c>
      <c r="BA321" s="15" t="n">
        <f aca="false">0</f>
        <v>0</v>
      </c>
      <c r="BB321" s="15" t="n">
        <f aca="false">0</f>
        <v>0</v>
      </c>
      <c r="BC321" s="15" t="n">
        <f aca="false">0</f>
        <v>0</v>
      </c>
      <c r="BD321" s="15" t="n">
        <f aca="false">(BH320)+AC321-AF321-AI321-AS321-K321*(1+Parametri_v3!$C$26)-AL321-AQ321-O321+AW321+AX321+AZ321+BA321-BB321</f>
        <v>3820.85986409685</v>
      </c>
      <c r="BE321" s="15" t="n">
        <f aca="false">0</f>
        <v>0</v>
      </c>
      <c r="BF321" s="15" t="n">
        <f aca="false">0</f>
        <v>0</v>
      </c>
      <c r="BG321" s="15" t="n">
        <f aca="false">0</f>
        <v>0</v>
      </c>
      <c r="BH321" s="15" t="n">
        <f aca="false">BD321+BE321-BF321-AY321</f>
        <v>3820.85986409685</v>
      </c>
      <c r="BI321" s="15" t="n">
        <f aca="false">MAX(0,Parametri_v3!$C$31-BH321)</f>
        <v>6179.14013590315</v>
      </c>
      <c r="BJ321" s="15" t="n">
        <f aca="false">(BJ320)+K321</f>
        <v>5083.33333333333</v>
      </c>
      <c r="BK321" s="15" t="n">
        <f aca="false">(BK320)+L321</f>
        <v>1131.94444444444</v>
      </c>
      <c r="BL321" s="15" t="n">
        <f aca="false">BJ321-BK321</f>
        <v>3951.38888888889</v>
      </c>
      <c r="BM321" s="15" t="n">
        <f aca="false">(BM320)+Y321</f>
        <v>52993.2266779919</v>
      </c>
      <c r="BN321" s="15" t="n">
        <f aca="false">(BN320)+AW321+AX321+AZ321</f>
        <v>20000</v>
      </c>
      <c r="BO321" s="15" t="n">
        <f aca="false">(BO320)+AY321</f>
        <v>0</v>
      </c>
      <c r="BP321" s="15" t="n">
        <f aca="false">MIN(Parametri_v3!$C$36*Parametri_v3!$C$35,(BP320)+IF(5=1,MAX(0,SUM(Y305:Y316))*Parametri_v3!$C$34,0))</f>
        <v>1752.40631140351</v>
      </c>
      <c r="BQ321" s="15" t="n">
        <f aca="false">BN321+BM321-BO321</f>
        <v>72993.2266779919</v>
      </c>
      <c r="BR321" s="15" t="n">
        <f aca="false">BH321+AD321+BL321+MAX(0,-AM321)+MAX(0,-AR321)</f>
        <v>132143.51635862</v>
      </c>
      <c r="BS321" s="15" t="n">
        <f aca="false">AJ321+AV321+MAX(0,AM321)+MAX(0,AR321)+BC321+BG321+BQ321+AG321</f>
        <v>132143.51635862</v>
      </c>
      <c r="BT321" s="15" t="n">
        <f aca="false">BR321-BS321</f>
        <v>0</v>
      </c>
      <c r="BU321" s="15" t="n">
        <f aca="false">BH321-(BD321+BE321-BF321-AY321)</f>
        <v>0</v>
      </c>
      <c r="BV321" s="15" t="n">
        <f aca="false">IF(BH320&lt;Parametri_v3!$C$31,0,BV320+1)</f>
        <v>0</v>
      </c>
    </row>
    <row r="322" customFormat="false" ht="18" hidden="false" customHeight="true" outlineLevel="0" collapsed="false">
      <c r="A322" s="68" t="n">
        <f aca="false">6</f>
        <v>6</v>
      </c>
      <c r="B322" s="68" t="n">
        <f aca="false">18</f>
        <v>18</v>
      </c>
      <c r="C322" s="18" t="n">
        <f aca="false">Motore_Operativo!C322</f>
        <v>46905</v>
      </c>
      <c r="D322" s="68" t="n">
        <f aca="false">Motore_Operativo!D322</f>
        <v>2028</v>
      </c>
      <c r="E322" s="68" t="n">
        <f aca="false">Motore_Operativo!E322</f>
        <v>6</v>
      </c>
      <c r="F322" s="15" t="n">
        <f aca="false">Motore_Operativo!AM322</f>
        <v>33981.220657277</v>
      </c>
      <c r="G322" s="15" t="n">
        <f aca="false">Motore_Operativo!BH322</f>
        <v>3398.1220657277</v>
      </c>
      <c r="H322" s="15" t="n">
        <f aca="false">Motore_Operativo!AM322</f>
        <v>33981.220657277</v>
      </c>
      <c r="I322" s="15" t="n">
        <f aca="false">Motore_Operativo!CB322</f>
        <v>28885.3286384976</v>
      </c>
      <c r="J322" s="15" t="n">
        <f aca="false">Motore_Operativo!CD322</f>
        <v>5095.89201877934</v>
      </c>
      <c r="K322" s="15" t="n">
        <f aca="false">Motore_Operativo!CF322</f>
        <v>416.666666666667</v>
      </c>
      <c r="L322" s="15" t="n">
        <f aca="false">SUM(INDEX($K$305:$K$364,MAX(1,18-Parametri_v3!$C$59+1)):K322)/Parametri_v3!$C$59</f>
        <v>152.777777777778</v>
      </c>
      <c r="M322" s="15" t="n">
        <f aca="false">J322-L322</f>
        <v>4943.11424100156</v>
      </c>
      <c r="N322" s="15" t="n">
        <f aca="false">0</f>
        <v>0</v>
      </c>
      <c r="O322" s="15" t="n">
        <f aca="false">0</f>
        <v>0</v>
      </c>
      <c r="P322" s="15" t="n">
        <f aca="false">M322+N322-O322</f>
        <v>4943.11424100156</v>
      </c>
      <c r="Q322" s="15" t="n">
        <f aca="false">SUM(P317:P322)+Parametri_v3!$C$56*6/12</f>
        <v>29832.2965571205</v>
      </c>
      <c r="R322" s="15" t="n">
        <f aca="false">Z316</f>
        <v>0</v>
      </c>
      <c r="S322" s="15" t="n">
        <f aca="false">AA316</f>
        <v>0</v>
      </c>
      <c r="T322" s="15" t="n">
        <f aca="false">MIN(R322,MAX(0,Q322))</f>
        <v>0</v>
      </c>
      <c r="U322" s="15" t="n">
        <f aca="false">MIN(S322,MAX(0,Q322-T322)*Parametri_v3!$C$42)</f>
        <v>0</v>
      </c>
      <c r="V322" s="15" t="n">
        <f aca="false">MAX(0,Q322-T322-U322)*Ipotesi!$C$92</f>
        <v>7159.75117370892</v>
      </c>
      <c r="W322" s="15" t="n">
        <f aca="false">MAX(0,SUM(M317:M322)+Parametri_v3!$C$57*6/12)*Ipotesi!$C$93</f>
        <v>1163.4595657277</v>
      </c>
      <c r="X322" s="15" t="n">
        <f aca="false">V322+W322-(V321+W321)</f>
        <v>1379.12887323944</v>
      </c>
      <c r="Y322" s="15" t="n">
        <f aca="false">P322-X322</f>
        <v>3563.98536776213</v>
      </c>
      <c r="Z322" s="15" t="n">
        <f aca="false">R322-T322+IF(AND(Parametri_v3!$C$40=1,D322-YEAR(Parametri_v3!$C$50)&lt;Parametri_v3!$C$41),MAX(0,-Q322),0)</f>
        <v>0</v>
      </c>
      <c r="AA322" s="15" t="n">
        <f aca="false">S322-U322+IF(AND(Parametri_v3!$C$40=1,D322-YEAR(Parametri_v3!$C$50)&lt;Parametri_v3!$C$41),0,MAX(0,-Q322))</f>
        <v>0</v>
      </c>
      <c r="AB322" s="15" t="n">
        <f aca="false">F322*(1+Parametri_v3!$C$26)</f>
        <v>41457.0892018779</v>
      </c>
      <c r="AC322" s="15" t="n">
        <f aca="false">(IF(18-(INT((Motore_Operativo!L322)/30))&lt;1,0,INDEX(Motore_Advisory!$AB$305:$AB$364,MAX(1,18-(INT((Motore_Operativo!L322)/30)))))*(1-(MOD((Motore_Operativo!L322),30)/30))+IF(18-(INT((Motore_Operativo!L322)/30))-1&lt;1,0,INDEX(Motore_Advisory!$AB$305:$AB$364,MAX(1,18-(INT((Motore_Operativo!L322)/30))-1)))*(MOD((Motore_Operativo!L322),30)/30))</f>
        <v>41457.0892018779</v>
      </c>
      <c r="AD322" s="15" t="n">
        <f aca="false">(AD321)+AB322-AC322</f>
        <v>124371.267605634</v>
      </c>
      <c r="AE322" s="15" t="n">
        <f aca="false">Motore_Operativo!BH322*(1+Parametri_v3!$C$26)</f>
        <v>4145.70892018779</v>
      </c>
      <c r="AF322" s="15" t="n">
        <f aca="false">(IF(18-(INT((Parametri_v3!$C$29)/30))&lt;1,0,INDEX(Motore_Operativo!$BH$305:$BH$364,MAX(1,18-(INT((Parametri_v3!$C$29)/30)))))*(1-(MOD((Parametri_v3!$C$29),30)/30))+IF(18-(INT((Parametri_v3!$C$29)/30))-1&lt;1,0,INDEX(Motore_Operativo!$BH$305:$BH$364,MAX(1,18-(INT((Parametri_v3!$C$29)/30))-1)))*(MOD((Parametri_v3!$C$29),30)/30))*(1+Parametri_v3!$C$26)</f>
        <v>4145.70892018779</v>
      </c>
      <c r="AG322" s="15" t="n">
        <f aca="false">(AG321)+AE322-AF322</f>
        <v>4145.70892018779</v>
      </c>
      <c r="AH322" s="15" t="n">
        <f aca="false">(Motore_Operativo!CK322)*(1+Parametri_v3!$C$28*Parametri_v3!$C$26)</f>
        <v>11198.1149295775</v>
      </c>
      <c r="AI322" s="15" t="n">
        <f aca="false">(IF(18-(INT((Ipotesi!$C$91)/30))&lt;1,0,INDEX(Motore_Advisory!$AH$305:$AH$364,MAX(1,18-(INT((Ipotesi!$C$91)/30)))))*(1-(MOD((Ipotesi!$C$91),30)/30))+IF(18-(INT((Ipotesi!$C$91)/30))-1&lt;1,0,INDEX(Motore_Advisory!$AH$305:$AH$364,MAX(1,18-(INT((Ipotesi!$C$91)/30))-1)))*(MOD((Ipotesi!$C$91),30)/30))</f>
        <v>11198.1149295775</v>
      </c>
      <c r="AJ322" s="15" t="n">
        <f aca="false">(AJ321)+AH322-AI322</f>
        <v>22396.2298591549</v>
      </c>
      <c r="AK322" s="15" t="n">
        <f aca="false">(F322- Motore_Operativo!BH322-(Motore_Operativo!CK322)*Parametri_v3!$C$28-Motore_Operativo!CF322)*Parametri_v3!$C$26</f>
        <v>4960.70666666667</v>
      </c>
      <c r="AL322" s="15" t="n">
        <f aca="false">MAX(0,(AM321))</f>
        <v>4960.70666666667</v>
      </c>
      <c r="AM322" s="15" t="n">
        <f aca="false">(AM321)+AK322-AL322</f>
        <v>4960.70666666667</v>
      </c>
      <c r="AN322" s="15" t="n">
        <f aca="false">SUM(X305:X316)</f>
        <v>13562.3123684211</v>
      </c>
      <c r="AO322" s="15" t="n">
        <f aca="false">SUM(AP305:AP316)</f>
        <v>0</v>
      </c>
      <c r="AP322" s="15" t="n">
        <f aca="false">MAX(0,AN322)*IF(6=Parametri_v3!$C$43,Parametri_v3!$C$45,IF(6=Parametri_v3!$C$44,1-Parametri_v3!$C$45,0))</f>
        <v>5424.92494736842</v>
      </c>
      <c r="AQ322" s="15" t="n">
        <f aca="false">MAX(0,AP322+IF(6=Parametri_v3!$C$43,MAX(0,AN322-AO322),0)-MAX(0,-(AR321)))</f>
        <v>18987.2373157895</v>
      </c>
      <c r="AR322" s="15" t="n">
        <f aca="false">(AR321)+X322-AQ322</f>
        <v>2898.2857920682</v>
      </c>
      <c r="AS322" s="15" t="n">
        <f aca="false">Motore_Operativo!AC322-AT322+AU322</f>
        <v>15166.75</v>
      </c>
      <c r="AT322" s="15" t="n">
        <f aca="false">Motore_Operativo!CI322</f>
        <v>798.25</v>
      </c>
      <c r="AU322" s="15" t="n">
        <f aca="false">MIN(MAX(0,(AV321)+AT322),Parametri_v3!$C$61/12)</f>
        <v>0</v>
      </c>
      <c r="AV322" s="15" t="n">
        <f aca="false">(AV321)+AT322-AU322</f>
        <v>7939.5</v>
      </c>
      <c r="AW322" s="15" t="n">
        <f aca="false">IF(AND(Motore_Operativo!C322=Finanziamenti!$D$7,Finanziamenti!$F$7=1),Finanziamenti!$C$7,0)</f>
        <v>0</v>
      </c>
      <c r="AX322" s="15" t="n">
        <f aca="false">0</f>
        <v>0</v>
      </c>
      <c r="AY322" s="15" t="n">
        <f aca="false">IF(6=Parametri_v3!$C$33,IF(BV322&lt;MIN(12,$B322-1),0,MIN(MAX(0,SUM(Y305:Y316))*Ipotesi!$C$94,MAX(0,(BM316)-(BO321)-BP322),MAX(0,BD322-Parametri_v3!$C$31))),0)</f>
        <v>0</v>
      </c>
      <c r="AZ322" s="15" t="n">
        <f aca="false">0</f>
        <v>0</v>
      </c>
      <c r="BA322" s="15" t="n">
        <f aca="false">0</f>
        <v>0</v>
      </c>
      <c r="BB322" s="15" t="n">
        <f aca="false">0</f>
        <v>0</v>
      </c>
      <c r="BC322" s="15" t="n">
        <f aca="false">0</f>
        <v>0</v>
      </c>
      <c r="BD322" s="15" t="n">
        <f aca="false">(BH321)+AC322-AF322-AI322-AS322-K322*(1+Parametri_v3!$C$26)-AL322-AQ322-O322+AW322+AX322+AZ322+BA322-BB322</f>
        <v>-9688.90209957994</v>
      </c>
      <c r="BE322" s="15" t="n">
        <f aca="false">0</f>
        <v>0</v>
      </c>
      <c r="BF322" s="15" t="n">
        <f aca="false">0</f>
        <v>0</v>
      </c>
      <c r="BG322" s="15" t="n">
        <f aca="false">0</f>
        <v>0</v>
      </c>
      <c r="BH322" s="15" t="n">
        <f aca="false">BD322+BE322-BF322-AY322</f>
        <v>-9688.90209957994</v>
      </c>
      <c r="BI322" s="15" t="n">
        <f aca="false">MAX(0,Parametri_v3!$C$31-BH322)</f>
        <v>19688.9020995799</v>
      </c>
      <c r="BJ322" s="15" t="n">
        <f aca="false">(BJ321)+K322</f>
        <v>5500</v>
      </c>
      <c r="BK322" s="15" t="n">
        <f aca="false">(BK321)+L322</f>
        <v>1284.72222222222</v>
      </c>
      <c r="BL322" s="15" t="n">
        <f aca="false">BJ322-BK322</f>
        <v>4215.27777777778</v>
      </c>
      <c r="BM322" s="15" t="n">
        <f aca="false">(BM321)+Y322</f>
        <v>56557.212045754</v>
      </c>
      <c r="BN322" s="15" t="n">
        <f aca="false">(BN321)+AW322+AX322+AZ322</f>
        <v>20000</v>
      </c>
      <c r="BO322" s="15" t="n">
        <f aca="false">(BO321)+AY322</f>
        <v>0</v>
      </c>
      <c r="BP322" s="15" t="n">
        <f aca="false">MIN(Parametri_v3!$C$36*Parametri_v3!$C$35,(BP321)+IF(6=1,MAX(0,SUM(Y305:Y316))*Parametri_v3!$C$34,0))</f>
        <v>1752.40631140351</v>
      </c>
      <c r="BQ322" s="15" t="n">
        <f aca="false">BN322+BM322-BO322</f>
        <v>76557.212045754</v>
      </c>
      <c r="BR322" s="15" t="n">
        <f aca="false">BH322+AD322+BL322+MAX(0,-AM322)+MAX(0,-AR322)</f>
        <v>118897.643283832</v>
      </c>
      <c r="BS322" s="15" t="n">
        <f aca="false">AJ322+AV322+MAX(0,AM322)+MAX(0,AR322)+BC322+BG322+BQ322+AG322</f>
        <v>118897.643283832</v>
      </c>
      <c r="BT322" s="15" t="n">
        <f aca="false">BR322-BS322</f>
        <v>0</v>
      </c>
      <c r="BU322" s="15" t="n">
        <f aca="false">BH322-(BD322+BE322-BF322-AY322)</f>
        <v>0</v>
      </c>
      <c r="BV322" s="15" t="n">
        <f aca="false">IF(BH321&lt;Parametri_v3!$C$31,0,BV321+1)</f>
        <v>0</v>
      </c>
    </row>
    <row r="323" customFormat="false" ht="18" hidden="false" customHeight="true" outlineLevel="0" collapsed="false">
      <c r="A323" s="68" t="n">
        <f aca="false">6</f>
        <v>6</v>
      </c>
      <c r="B323" s="68" t="n">
        <f aca="false">19</f>
        <v>19</v>
      </c>
      <c r="C323" s="18" t="n">
        <f aca="false">Motore_Operativo!C323</f>
        <v>46935</v>
      </c>
      <c r="D323" s="68" t="n">
        <f aca="false">Motore_Operativo!D323</f>
        <v>2028</v>
      </c>
      <c r="E323" s="68" t="n">
        <f aca="false">Motore_Operativo!E323</f>
        <v>7</v>
      </c>
      <c r="F323" s="15" t="n">
        <f aca="false">Motore_Operativo!AM323</f>
        <v>33981.220657277</v>
      </c>
      <c r="G323" s="15" t="n">
        <f aca="false">Motore_Operativo!BH323</f>
        <v>3398.1220657277</v>
      </c>
      <c r="H323" s="15" t="n">
        <f aca="false">Motore_Operativo!AM323</f>
        <v>33981.220657277</v>
      </c>
      <c r="I323" s="15" t="n">
        <f aca="false">Motore_Operativo!CB323</f>
        <v>28885.3286384976</v>
      </c>
      <c r="J323" s="15" t="n">
        <f aca="false">Motore_Operativo!CD323</f>
        <v>5095.89201877934</v>
      </c>
      <c r="K323" s="15" t="n">
        <f aca="false">Motore_Operativo!CF323</f>
        <v>416.666666666667</v>
      </c>
      <c r="L323" s="15" t="n">
        <f aca="false">SUM(INDEX($K$305:$K$364,MAX(1,19-Parametri_v3!$C$59+1)):K323)/Parametri_v3!$C$59</f>
        <v>164.351851851852</v>
      </c>
      <c r="M323" s="15" t="n">
        <f aca="false">J323-L323</f>
        <v>4931.54016692749</v>
      </c>
      <c r="N323" s="15" t="n">
        <f aca="false">0</f>
        <v>0</v>
      </c>
      <c r="O323" s="15" t="n">
        <f aca="false">0</f>
        <v>0</v>
      </c>
      <c r="P323" s="15" t="n">
        <f aca="false">M323+N323-O323</f>
        <v>4931.54016692749</v>
      </c>
      <c r="Q323" s="15" t="n">
        <f aca="false">SUM(P317:P323)+Parametri_v3!$C$56*7/12</f>
        <v>34763.836724048</v>
      </c>
      <c r="R323" s="15" t="n">
        <f aca="false">Z316</f>
        <v>0</v>
      </c>
      <c r="S323" s="15" t="n">
        <f aca="false">AA316</f>
        <v>0</v>
      </c>
      <c r="T323" s="15" t="n">
        <f aca="false">MIN(R323,MAX(0,Q323))</f>
        <v>0</v>
      </c>
      <c r="U323" s="15" t="n">
        <f aca="false">MIN(S323,MAX(0,Q323-T323)*Parametri_v3!$C$42)</f>
        <v>0</v>
      </c>
      <c r="V323" s="15" t="n">
        <f aca="false">MAX(0,Q323-T323-U323)*Ipotesi!$C$92</f>
        <v>8343.32081377151</v>
      </c>
      <c r="W323" s="15" t="n">
        <f aca="false">MAX(0,SUM(M317:M323)+Parametri_v3!$C$57*7/12)*Ipotesi!$C$93</f>
        <v>1355.78963223787</v>
      </c>
      <c r="X323" s="15" t="n">
        <f aca="false">V323+W323-(V322+W322)</f>
        <v>1375.89970657277</v>
      </c>
      <c r="Y323" s="15" t="n">
        <f aca="false">P323-X323</f>
        <v>3555.64046035472</v>
      </c>
      <c r="Z323" s="15" t="n">
        <f aca="false">R323-T323+IF(AND(Parametri_v3!$C$40=1,D323-YEAR(Parametri_v3!$C$50)&lt;Parametri_v3!$C$41),MAX(0,-Q323),0)</f>
        <v>0</v>
      </c>
      <c r="AA323" s="15" t="n">
        <f aca="false">S323-U323+IF(AND(Parametri_v3!$C$40=1,D323-YEAR(Parametri_v3!$C$50)&lt;Parametri_v3!$C$41),0,MAX(0,-Q323))</f>
        <v>0</v>
      </c>
      <c r="AB323" s="15" t="n">
        <f aca="false">F323*(1+Parametri_v3!$C$26)</f>
        <v>41457.0892018779</v>
      </c>
      <c r="AC323" s="15" t="n">
        <f aca="false">(IF(19-(INT((Motore_Operativo!L323)/30))&lt;1,0,INDEX(Motore_Advisory!$AB$305:$AB$364,MAX(1,19-(INT((Motore_Operativo!L323)/30)))))*(1-(MOD((Motore_Operativo!L323),30)/30))+IF(19-(INT((Motore_Operativo!L323)/30))-1&lt;1,0,INDEX(Motore_Advisory!$AB$305:$AB$364,MAX(1,19-(INT((Motore_Operativo!L323)/30))-1)))*(MOD((Motore_Operativo!L323),30)/30))</f>
        <v>41457.0892018779</v>
      </c>
      <c r="AD323" s="15" t="n">
        <f aca="false">(AD322)+AB323-AC323</f>
        <v>124371.267605634</v>
      </c>
      <c r="AE323" s="15" t="n">
        <f aca="false">Motore_Operativo!BH323*(1+Parametri_v3!$C$26)</f>
        <v>4145.70892018779</v>
      </c>
      <c r="AF323" s="15" t="n">
        <f aca="false">(IF(19-(INT((Parametri_v3!$C$29)/30))&lt;1,0,INDEX(Motore_Operativo!$BH$305:$BH$364,MAX(1,19-(INT((Parametri_v3!$C$29)/30)))))*(1-(MOD((Parametri_v3!$C$29),30)/30))+IF(19-(INT((Parametri_v3!$C$29)/30))-1&lt;1,0,INDEX(Motore_Operativo!$BH$305:$BH$364,MAX(1,19-(INT((Parametri_v3!$C$29)/30))-1)))*(MOD((Parametri_v3!$C$29),30)/30))*(1+Parametri_v3!$C$26)</f>
        <v>4145.70892018779</v>
      </c>
      <c r="AG323" s="15" t="n">
        <f aca="false">(AG322)+AE323-AF323</f>
        <v>4145.70892018779</v>
      </c>
      <c r="AH323" s="15" t="n">
        <f aca="false">(Motore_Operativo!CK323)*(1+Parametri_v3!$C$28*Parametri_v3!$C$26)</f>
        <v>11198.1149295775</v>
      </c>
      <c r="AI323" s="15" t="n">
        <f aca="false">(IF(19-(INT((Ipotesi!$C$91)/30))&lt;1,0,INDEX(Motore_Advisory!$AH$305:$AH$364,MAX(1,19-(INT((Ipotesi!$C$91)/30)))))*(1-(MOD((Ipotesi!$C$91),30)/30))+IF(19-(INT((Ipotesi!$C$91)/30))-1&lt;1,0,INDEX(Motore_Advisory!$AH$305:$AH$364,MAX(1,19-(INT((Ipotesi!$C$91)/30))-1)))*(MOD((Ipotesi!$C$91),30)/30))</f>
        <v>11198.1149295775</v>
      </c>
      <c r="AJ323" s="15" t="n">
        <f aca="false">(AJ322)+AH323-AI323</f>
        <v>22396.2298591549</v>
      </c>
      <c r="AK323" s="15" t="n">
        <f aca="false">(F323- Motore_Operativo!BH323-(Motore_Operativo!CK323)*Parametri_v3!$C$28-Motore_Operativo!CF323)*Parametri_v3!$C$26</f>
        <v>4960.70666666667</v>
      </c>
      <c r="AL323" s="15" t="n">
        <f aca="false">MAX(0,(AM322))</f>
        <v>4960.70666666667</v>
      </c>
      <c r="AM323" s="15" t="n">
        <f aca="false">(AM322)+AK323-AL323</f>
        <v>4960.70666666667</v>
      </c>
      <c r="AN323" s="15" t="n">
        <f aca="false">SUM(X305:X316)</f>
        <v>13562.3123684211</v>
      </c>
      <c r="AO323" s="15" t="n">
        <f aca="false">SUM(AP305:AP316)</f>
        <v>0</v>
      </c>
      <c r="AP323" s="15" t="n">
        <f aca="false">MAX(0,AN323)*IF(7=Parametri_v3!$C$43,Parametri_v3!$C$45,IF(7=Parametri_v3!$C$44,1-Parametri_v3!$C$45,0))</f>
        <v>0</v>
      </c>
      <c r="AQ323" s="15" t="n">
        <f aca="false">MAX(0,AP323+IF(7=Parametri_v3!$C$43,MAX(0,AN323-AO323),0)-MAX(0,-(AR322)))</f>
        <v>0</v>
      </c>
      <c r="AR323" s="15" t="n">
        <f aca="false">(AR322)+X323-AQ323</f>
        <v>4274.18549864096</v>
      </c>
      <c r="AS323" s="15" t="n">
        <f aca="false">Motore_Operativo!AC323-AT323+AU323</f>
        <v>15166.75</v>
      </c>
      <c r="AT323" s="15" t="n">
        <f aca="false">Motore_Operativo!CI323</f>
        <v>798.25</v>
      </c>
      <c r="AU323" s="15" t="n">
        <f aca="false">MIN(MAX(0,(AV322)+AT323),Parametri_v3!$C$61/12)</f>
        <v>0</v>
      </c>
      <c r="AV323" s="15" t="n">
        <f aca="false">(AV322)+AT323-AU323</f>
        <v>8737.75</v>
      </c>
      <c r="AW323" s="15" t="n">
        <f aca="false">IF(AND(Motore_Operativo!C323=Finanziamenti!$D$7,Finanziamenti!$F$7=1),Finanziamenti!$C$7,0)</f>
        <v>0</v>
      </c>
      <c r="AX323" s="15" t="n">
        <f aca="false">0</f>
        <v>0</v>
      </c>
      <c r="AY323" s="15" t="n">
        <f aca="false">IF(7=Parametri_v3!$C$33,IF(BV323&lt;MIN(12,$B323-1),0,MIN(MAX(0,SUM(Y305:Y316))*Ipotesi!$C$94,MAX(0,(BM316)-(BO322)-BP323),MAX(0,BD323-Parametri_v3!$C$31))),0)</f>
        <v>0</v>
      </c>
      <c r="AZ323" s="15" t="n">
        <f aca="false">0</f>
        <v>0</v>
      </c>
      <c r="BA323" s="15" t="n">
        <f aca="false">0</f>
        <v>0</v>
      </c>
      <c r="BB323" s="15" t="n">
        <f aca="false">0</f>
        <v>0</v>
      </c>
      <c r="BC323" s="15" t="n">
        <f aca="false">0</f>
        <v>0</v>
      </c>
      <c r="BD323" s="15" t="n">
        <f aca="false">(BH322)+AC323-AF323-AI323-AS323-K323*(1+Parametri_v3!$C$26)-AL323-AQ323-O323+AW323+AX323+AZ323+BA323-BB323</f>
        <v>-4211.42674746727</v>
      </c>
      <c r="BE323" s="15" t="n">
        <f aca="false">0</f>
        <v>0</v>
      </c>
      <c r="BF323" s="15" t="n">
        <f aca="false">0</f>
        <v>0</v>
      </c>
      <c r="BG323" s="15" t="n">
        <f aca="false">0</f>
        <v>0</v>
      </c>
      <c r="BH323" s="15" t="n">
        <f aca="false">BD323+BE323-BF323-AY323</f>
        <v>-4211.42674746727</v>
      </c>
      <c r="BI323" s="15" t="n">
        <f aca="false">MAX(0,Parametri_v3!$C$31-BH323)</f>
        <v>14211.4267474673</v>
      </c>
      <c r="BJ323" s="15" t="n">
        <f aca="false">(BJ322)+K323</f>
        <v>5916.66666666667</v>
      </c>
      <c r="BK323" s="15" t="n">
        <f aca="false">(BK322)+L323</f>
        <v>1449.07407407407</v>
      </c>
      <c r="BL323" s="15" t="n">
        <f aca="false">BJ323-BK323</f>
        <v>4467.59259259259</v>
      </c>
      <c r="BM323" s="15" t="n">
        <f aca="false">(BM322)+Y323</f>
        <v>60112.8525061088</v>
      </c>
      <c r="BN323" s="15" t="n">
        <f aca="false">(BN322)+AW323+AX323+AZ323</f>
        <v>20000</v>
      </c>
      <c r="BO323" s="15" t="n">
        <f aca="false">(BO322)+AY323</f>
        <v>0</v>
      </c>
      <c r="BP323" s="15" t="n">
        <f aca="false">MIN(Parametri_v3!$C$36*Parametri_v3!$C$35,(BP322)+IF(7=1,MAX(0,SUM(Y305:Y316))*Parametri_v3!$C$34,0))</f>
        <v>1752.40631140351</v>
      </c>
      <c r="BQ323" s="15" t="n">
        <f aca="false">BN323+BM323-BO323</f>
        <v>80112.8525061088</v>
      </c>
      <c r="BR323" s="15" t="n">
        <f aca="false">BH323+AD323+BL323+MAX(0,-AM323)+MAX(0,-AR323)</f>
        <v>124627.433450759</v>
      </c>
      <c r="BS323" s="15" t="n">
        <f aca="false">AJ323+AV323+MAX(0,AM323)+MAX(0,AR323)+BC323+BG323+BQ323+AG323</f>
        <v>124627.433450759</v>
      </c>
      <c r="BT323" s="15" t="n">
        <f aca="false">BR323-BS323</f>
        <v>0</v>
      </c>
      <c r="BU323" s="15" t="n">
        <f aca="false">BH323-(BD323+BE323-BF323-AY323)</f>
        <v>0</v>
      </c>
      <c r="BV323" s="15" t="n">
        <f aca="false">IF(BH322&lt;Parametri_v3!$C$31,0,BV322+1)</f>
        <v>0</v>
      </c>
    </row>
    <row r="324" customFormat="false" ht="18" hidden="false" customHeight="true" outlineLevel="0" collapsed="false">
      <c r="A324" s="68" t="n">
        <f aca="false">6</f>
        <v>6</v>
      </c>
      <c r="B324" s="68" t="n">
        <f aca="false">20</f>
        <v>20</v>
      </c>
      <c r="C324" s="18" t="n">
        <f aca="false">Motore_Operativo!C324</f>
        <v>46966</v>
      </c>
      <c r="D324" s="68" t="n">
        <f aca="false">Motore_Operativo!D324</f>
        <v>2028</v>
      </c>
      <c r="E324" s="68" t="n">
        <f aca="false">Motore_Operativo!E324</f>
        <v>8</v>
      </c>
      <c r="F324" s="15" t="n">
        <f aca="false">Motore_Operativo!AM324</f>
        <v>33981.220657277</v>
      </c>
      <c r="G324" s="15" t="n">
        <f aca="false">Motore_Operativo!BH324</f>
        <v>3398.1220657277</v>
      </c>
      <c r="H324" s="15" t="n">
        <f aca="false">Motore_Operativo!AM324</f>
        <v>33981.220657277</v>
      </c>
      <c r="I324" s="15" t="n">
        <f aca="false">Motore_Operativo!CB324</f>
        <v>28885.3286384976</v>
      </c>
      <c r="J324" s="15" t="n">
        <f aca="false">Motore_Operativo!CD324</f>
        <v>5095.89201877934</v>
      </c>
      <c r="K324" s="15" t="n">
        <f aca="false">Motore_Operativo!CF324</f>
        <v>416.666666666667</v>
      </c>
      <c r="L324" s="15" t="n">
        <f aca="false">SUM(INDEX($K$305:$K$364,MAX(1,20-Parametri_v3!$C$59+1)):K324)/Parametri_v3!$C$59</f>
        <v>175.925925925926</v>
      </c>
      <c r="M324" s="15" t="n">
        <f aca="false">J324-L324</f>
        <v>4919.96609285342</v>
      </c>
      <c r="N324" s="15" t="n">
        <f aca="false">0</f>
        <v>0</v>
      </c>
      <c r="O324" s="15" t="n">
        <f aca="false">0</f>
        <v>0</v>
      </c>
      <c r="P324" s="15" t="n">
        <f aca="false">M324+N324-O324</f>
        <v>4919.96609285342</v>
      </c>
      <c r="Q324" s="15" t="n">
        <f aca="false">SUM(P317:P324)+Parametri_v3!$C$56*8/12</f>
        <v>39683.8028169014</v>
      </c>
      <c r="R324" s="15" t="n">
        <f aca="false">Z316</f>
        <v>0</v>
      </c>
      <c r="S324" s="15" t="n">
        <f aca="false">AA316</f>
        <v>0</v>
      </c>
      <c r="T324" s="15" t="n">
        <f aca="false">MIN(R324,MAX(0,Q324))</f>
        <v>0</v>
      </c>
      <c r="U324" s="15" t="n">
        <f aca="false">MIN(S324,MAX(0,Q324-T324)*Parametri_v3!$C$42)</f>
        <v>0</v>
      </c>
      <c r="V324" s="15" t="n">
        <f aca="false">MAX(0,Q324-T324-U324)*Ipotesi!$C$92</f>
        <v>9524.11267605633</v>
      </c>
      <c r="W324" s="15" t="n">
        <f aca="false">MAX(0,SUM(M317:M324)+Parametri_v3!$C$57*8/12)*Ipotesi!$C$93</f>
        <v>1547.66830985915</v>
      </c>
      <c r="X324" s="15" t="n">
        <f aca="false">V324+W324-(V323+W323)</f>
        <v>1372.6705399061</v>
      </c>
      <c r="Y324" s="15" t="n">
        <f aca="false">P324-X324</f>
        <v>3547.29555294731</v>
      </c>
      <c r="Z324" s="15" t="n">
        <f aca="false">R324-T324+IF(AND(Parametri_v3!$C$40=1,D324-YEAR(Parametri_v3!$C$50)&lt;Parametri_v3!$C$41),MAX(0,-Q324),0)</f>
        <v>0</v>
      </c>
      <c r="AA324" s="15" t="n">
        <f aca="false">S324-U324+IF(AND(Parametri_v3!$C$40=1,D324-YEAR(Parametri_v3!$C$50)&lt;Parametri_v3!$C$41),0,MAX(0,-Q324))</f>
        <v>0</v>
      </c>
      <c r="AB324" s="15" t="n">
        <f aca="false">F324*(1+Parametri_v3!$C$26)</f>
        <v>41457.0892018779</v>
      </c>
      <c r="AC324" s="15" t="n">
        <f aca="false">(IF(20-(INT((Motore_Operativo!L324)/30))&lt;1,0,INDEX(Motore_Advisory!$AB$305:$AB$364,MAX(1,20-(INT((Motore_Operativo!L324)/30)))))*(1-(MOD((Motore_Operativo!L324),30)/30))+IF(20-(INT((Motore_Operativo!L324)/30))-1&lt;1,0,INDEX(Motore_Advisory!$AB$305:$AB$364,MAX(1,20-(INT((Motore_Operativo!L324)/30))-1)))*(MOD((Motore_Operativo!L324),30)/30))</f>
        <v>41457.0892018779</v>
      </c>
      <c r="AD324" s="15" t="n">
        <f aca="false">(AD323)+AB324-AC324</f>
        <v>124371.267605634</v>
      </c>
      <c r="AE324" s="15" t="n">
        <f aca="false">Motore_Operativo!BH324*(1+Parametri_v3!$C$26)</f>
        <v>4145.70892018779</v>
      </c>
      <c r="AF324" s="15" t="n">
        <f aca="false">(IF(20-(INT((Parametri_v3!$C$29)/30))&lt;1,0,INDEX(Motore_Operativo!$BH$305:$BH$364,MAX(1,20-(INT((Parametri_v3!$C$29)/30)))))*(1-(MOD((Parametri_v3!$C$29),30)/30))+IF(20-(INT((Parametri_v3!$C$29)/30))-1&lt;1,0,INDEX(Motore_Operativo!$BH$305:$BH$364,MAX(1,20-(INT((Parametri_v3!$C$29)/30))-1)))*(MOD((Parametri_v3!$C$29),30)/30))*(1+Parametri_v3!$C$26)</f>
        <v>4145.70892018779</v>
      </c>
      <c r="AG324" s="15" t="n">
        <f aca="false">(AG323)+AE324-AF324</f>
        <v>4145.70892018779</v>
      </c>
      <c r="AH324" s="15" t="n">
        <f aca="false">(Motore_Operativo!CK324)*(1+Parametri_v3!$C$28*Parametri_v3!$C$26)</f>
        <v>11198.1149295775</v>
      </c>
      <c r="AI324" s="15" t="n">
        <f aca="false">(IF(20-(INT((Ipotesi!$C$91)/30))&lt;1,0,INDEX(Motore_Advisory!$AH$305:$AH$364,MAX(1,20-(INT((Ipotesi!$C$91)/30)))))*(1-(MOD((Ipotesi!$C$91),30)/30))+IF(20-(INT((Ipotesi!$C$91)/30))-1&lt;1,0,INDEX(Motore_Advisory!$AH$305:$AH$364,MAX(1,20-(INT((Ipotesi!$C$91)/30))-1)))*(MOD((Ipotesi!$C$91),30)/30))</f>
        <v>11198.1149295775</v>
      </c>
      <c r="AJ324" s="15" t="n">
        <f aca="false">(AJ323)+AH324-AI324</f>
        <v>22396.2298591549</v>
      </c>
      <c r="AK324" s="15" t="n">
        <f aca="false">(F324- Motore_Operativo!BH324-(Motore_Operativo!CK324)*Parametri_v3!$C$28-Motore_Operativo!CF324)*Parametri_v3!$C$26</f>
        <v>4960.70666666667</v>
      </c>
      <c r="AL324" s="15" t="n">
        <f aca="false">MAX(0,(AM323))</f>
        <v>4960.70666666667</v>
      </c>
      <c r="AM324" s="15" t="n">
        <f aca="false">(AM323)+AK324-AL324</f>
        <v>4960.70666666667</v>
      </c>
      <c r="AN324" s="15" t="n">
        <f aca="false">SUM(X305:X316)</f>
        <v>13562.3123684211</v>
      </c>
      <c r="AO324" s="15" t="n">
        <f aca="false">SUM(AP305:AP316)</f>
        <v>0</v>
      </c>
      <c r="AP324" s="15" t="n">
        <f aca="false">MAX(0,AN324)*IF(8=Parametri_v3!$C$43,Parametri_v3!$C$45,IF(8=Parametri_v3!$C$44,1-Parametri_v3!$C$45,0))</f>
        <v>0</v>
      </c>
      <c r="AQ324" s="15" t="n">
        <f aca="false">MAX(0,AP324+IF(8=Parametri_v3!$C$43,MAX(0,AN324-AO324),0)-MAX(0,-(AR323)))</f>
        <v>0</v>
      </c>
      <c r="AR324" s="15" t="n">
        <f aca="false">(AR323)+X324-AQ324</f>
        <v>5646.85603854707</v>
      </c>
      <c r="AS324" s="15" t="n">
        <f aca="false">Motore_Operativo!AC324-AT324+AU324</f>
        <v>15166.75</v>
      </c>
      <c r="AT324" s="15" t="n">
        <f aca="false">Motore_Operativo!CI324</f>
        <v>798.25</v>
      </c>
      <c r="AU324" s="15" t="n">
        <f aca="false">MIN(MAX(0,(AV323)+AT324),Parametri_v3!$C$61/12)</f>
        <v>0</v>
      </c>
      <c r="AV324" s="15" t="n">
        <f aca="false">(AV323)+AT324-AU324</f>
        <v>9536</v>
      </c>
      <c r="AW324" s="15" t="n">
        <f aca="false">IF(AND(Motore_Operativo!C324=Finanziamenti!$D$7,Finanziamenti!$F$7=1),Finanziamenti!$C$7,0)</f>
        <v>0</v>
      </c>
      <c r="AX324" s="15" t="n">
        <f aca="false">0</f>
        <v>0</v>
      </c>
      <c r="AY324" s="15" t="n">
        <f aca="false">IF(8=Parametri_v3!$C$33,IF(BV324&lt;MIN(12,$B324-1),0,MIN(MAX(0,SUM(Y305:Y316))*Ipotesi!$C$94,MAX(0,(BM316)-(BO323)-BP324),MAX(0,BD324-Parametri_v3!$C$31))),0)</f>
        <v>0</v>
      </c>
      <c r="AZ324" s="15" t="n">
        <f aca="false">0</f>
        <v>0</v>
      </c>
      <c r="BA324" s="15" t="n">
        <f aca="false">0</f>
        <v>0</v>
      </c>
      <c r="BB324" s="15" t="n">
        <f aca="false">0</f>
        <v>0</v>
      </c>
      <c r="BC324" s="15" t="n">
        <f aca="false">0</f>
        <v>0</v>
      </c>
      <c r="BD324" s="15" t="n">
        <f aca="false">(BH323)+AC324-AF324-AI324-AS324-K324*(1+Parametri_v3!$C$26)-AL324-AQ324-O324+AW324+AX324+AZ324+BA324-BB324</f>
        <v>1266.0486046454</v>
      </c>
      <c r="BE324" s="15" t="n">
        <f aca="false">0</f>
        <v>0</v>
      </c>
      <c r="BF324" s="15" t="n">
        <f aca="false">0</f>
        <v>0</v>
      </c>
      <c r="BG324" s="15" t="n">
        <f aca="false">0</f>
        <v>0</v>
      </c>
      <c r="BH324" s="15" t="n">
        <f aca="false">BD324+BE324-BF324-AY324</f>
        <v>1266.0486046454</v>
      </c>
      <c r="BI324" s="15" t="n">
        <f aca="false">MAX(0,Parametri_v3!$C$31-BH324)</f>
        <v>8733.9513953546</v>
      </c>
      <c r="BJ324" s="15" t="n">
        <f aca="false">(BJ323)+K324</f>
        <v>6333.33333333334</v>
      </c>
      <c r="BK324" s="15" t="n">
        <f aca="false">(BK323)+L324</f>
        <v>1625</v>
      </c>
      <c r="BL324" s="15" t="n">
        <f aca="false">BJ324-BK324</f>
        <v>4708.33333333334</v>
      </c>
      <c r="BM324" s="15" t="n">
        <f aca="false">(BM323)+Y324</f>
        <v>63660.1480590561</v>
      </c>
      <c r="BN324" s="15" t="n">
        <f aca="false">(BN323)+AW324+AX324+AZ324</f>
        <v>20000</v>
      </c>
      <c r="BO324" s="15" t="n">
        <f aca="false">(BO323)+AY324</f>
        <v>0</v>
      </c>
      <c r="BP324" s="15" t="n">
        <f aca="false">MIN(Parametri_v3!$C$36*Parametri_v3!$C$35,(BP323)+IF(8=1,MAX(0,SUM(Y305:Y316))*Parametri_v3!$C$34,0))</f>
        <v>1752.40631140351</v>
      </c>
      <c r="BQ324" s="15" t="n">
        <f aca="false">BN324+BM324-BO324</f>
        <v>83660.1480590561</v>
      </c>
      <c r="BR324" s="15" t="n">
        <f aca="false">BH324+AD324+BL324+MAX(0,-AM324)+MAX(0,-AR324)</f>
        <v>130345.649543613</v>
      </c>
      <c r="BS324" s="15" t="n">
        <f aca="false">AJ324+AV324+MAX(0,AM324)+MAX(0,AR324)+BC324+BG324+BQ324+AG324</f>
        <v>130345.649543613</v>
      </c>
      <c r="BT324" s="15" t="n">
        <f aca="false">BR324-BS324</f>
        <v>0</v>
      </c>
      <c r="BU324" s="15" t="n">
        <f aca="false">BH324-(BD324+BE324-BF324-AY324)</f>
        <v>0</v>
      </c>
      <c r="BV324" s="15" t="n">
        <f aca="false">IF(BH323&lt;Parametri_v3!$C$31,0,BV323+1)</f>
        <v>0</v>
      </c>
    </row>
    <row r="325" customFormat="false" ht="18" hidden="false" customHeight="true" outlineLevel="0" collapsed="false">
      <c r="A325" s="68" t="n">
        <f aca="false">6</f>
        <v>6</v>
      </c>
      <c r="B325" s="68" t="n">
        <f aca="false">21</f>
        <v>21</v>
      </c>
      <c r="C325" s="18" t="n">
        <f aca="false">Motore_Operativo!C325</f>
        <v>46997</v>
      </c>
      <c r="D325" s="68" t="n">
        <f aca="false">Motore_Operativo!D325</f>
        <v>2028</v>
      </c>
      <c r="E325" s="68" t="n">
        <f aca="false">Motore_Operativo!E325</f>
        <v>9</v>
      </c>
      <c r="F325" s="15" t="n">
        <f aca="false">Motore_Operativo!AM325</f>
        <v>33981.220657277</v>
      </c>
      <c r="G325" s="15" t="n">
        <f aca="false">Motore_Operativo!BH325</f>
        <v>3398.1220657277</v>
      </c>
      <c r="H325" s="15" t="n">
        <f aca="false">Motore_Operativo!AM325</f>
        <v>33981.220657277</v>
      </c>
      <c r="I325" s="15" t="n">
        <f aca="false">Motore_Operativo!CB325</f>
        <v>28885.3286384976</v>
      </c>
      <c r="J325" s="15" t="n">
        <f aca="false">Motore_Operativo!CD325</f>
        <v>5095.89201877934</v>
      </c>
      <c r="K325" s="15" t="n">
        <f aca="false">Motore_Operativo!CF325</f>
        <v>416.666666666667</v>
      </c>
      <c r="L325" s="15" t="n">
        <f aca="false">SUM(INDEX($K$305:$K$364,MAX(1,21-Parametri_v3!$C$59+1)):K325)/Parametri_v3!$C$59</f>
        <v>187.5</v>
      </c>
      <c r="M325" s="15" t="n">
        <f aca="false">J325-L325</f>
        <v>4908.39201877934</v>
      </c>
      <c r="N325" s="15" t="n">
        <f aca="false">0</f>
        <v>0</v>
      </c>
      <c r="O325" s="15" t="n">
        <f aca="false">0</f>
        <v>0</v>
      </c>
      <c r="P325" s="15" t="n">
        <f aca="false">M325+N325-O325</f>
        <v>4908.39201877934</v>
      </c>
      <c r="Q325" s="15" t="n">
        <f aca="false">SUM(P317:P325)+Parametri_v3!$C$56*9/12</f>
        <v>44592.1948356807</v>
      </c>
      <c r="R325" s="15" t="n">
        <f aca="false">Z316</f>
        <v>0</v>
      </c>
      <c r="S325" s="15" t="n">
        <f aca="false">AA316</f>
        <v>0</v>
      </c>
      <c r="T325" s="15" t="n">
        <f aca="false">MIN(R325,MAX(0,Q325))</f>
        <v>0</v>
      </c>
      <c r="U325" s="15" t="n">
        <f aca="false">MIN(S325,MAX(0,Q325-T325)*Parametri_v3!$C$42)</f>
        <v>0</v>
      </c>
      <c r="V325" s="15" t="n">
        <f aca="false">MAX(0,Q325-T325-U325)*Ipotesi!$C$92</f>
        <v>10702.1267605634</v>
      </c>
      <c r="W325" s="15" t="n">
        <f aca="false">MAX(0,SUM(M317:M325)+Parametri_v3!$C$57*9/12)*Ipotesi!$C$93</f>
        <v>1739.09559859155</v>
      </c>
      <c r="X325" s="15" t="n">
        <f aca="false">V325+W325-(V324+W324)</f>
        <v>1369.44137323944</v>
      </c>
      <c r="Y325" s="15" t="n">
        <f aca="false">P325-X325</f>
        <v>3538.95064553991</v>
      </c>
      <c r="Z325" s="15" t="n">
        <f aca="false">R325-T325+IF(AND(Parametri_v3!$C$40=1,D325-YEAR(Parametri_v3!$C$50)&lt;Parametri_v3!$C$41),MAX(0,-Q325),0)</f>
        <v>0</v>
      </c>
      <c r="AA325" s="15" t="n">
        <f aca="false">S325-U325+IF(AND(Parametri_v3!$C$40=1,D325-YEAR(Parametri_v3!$C$50)&lt;Parametri_v3!$C$41),0,MAX(0,-Q325))</f>
        <v>0</v>
      </c>
      <c r="AB325" s="15" t="n">
        <f aca="false">F325*(1+Parametri_v3!$C$26)</f>
        <v>41457.0892018779</v>
      </c>
      <c r="AC325" s="15" t="n">
        <f aca="false">(IF(21-(INT((Motore_Operativo!L325)/30))&lt;1,0,INDEX(Motore_Advisory!$AB$305:$AB$364,MAX(1,21-(INT((Motore_Operativo!L325)/30)))))*(1-(MOD((Motore_Operativo!L325),30)/30))+IF(21-(INT((Motore_Operativo!L325)/30))-1&lt;1,0,INDEX(Motore_Advisory!$AB$305:$AB$364,MAX(1,21-(INT((Motore_Operativo!L325)/30))-1)))*(MOD((Motore_Operativo!L325),30)/30))</f>
        <v>41457.0892018779</v>
      </c>
      <c r="AD325" s="15" t="n">
        <f aca="false">(AD324)+AB325-AC325</f>
        <v>124371.267605634</v>
      </c>
      <c r="AE325" s="15" t="n">
        <f aca="false">Motore_Operativo!BH325*(1+Parametri_v3!$C$26)</f>
        <v>4145.70892018779</v>
      </c>
      <c r="AF325" s="15" t="n">
        <f aca="false">(IF(21-(INT((Parametri_v3!$C$29)/30))&lt;1,0,INDEX(Motore_Operativo!$BH$305:$BH$364,MAX(1,21-(INT((Parametri_v3!$C$29)/30)))))*(1-(MOD((Parametri_v3!$C$29),30)/30))+IF(21-(INT((Parametri_v3!$C$29)/30))-1&lt;1,0,INDEX(Motore_Operativo!$BH$305:$BH$364,MAX(1,21-(INT((Parametri_v3!$C$29)/30))-1)))*(MOD((Parametri_v3!$C$29),30)/30))*(1+Parametri_v3!$C$26)</f>
        <v>4145.70892018779</v>
      </c>
      <c r="AG325" s="15" t="n">
        <f aca="false">(AG324)+AE325-AF325</f>
        <v>4145.70892018779</v>
      </c>
      <c r="AH325" s="15" t="n">
        <f aca="false">(Motore_Operativo!CK325)*(1+Parametri_v3!$C$28*Parametri_v3!$C$26)</f>
        <v>11198.1149295775</v>
      </c>
      <c r="AI325" s="15" t="n">
        <f aca="false">(IF(21-(INT((Ipotesi!$C$91)/30))&lt;1,0,INDEX(Motore_Advisory!$AH$305:$AH$364,MAX(1,21-(INT((Ipotesi!$C$91)/30)))))*(1-(MOD((Ipotesi!$C$91),30)/30))+IF(21-(INT((Ipotesi!$C$91)/30))-1&lt;1,0,INDEX(Motore_Advisory!$AH$305:$AH$364,MAX(1,21-(INT((Ipotesi!$C$91)/30))-1)))*(MOD((Ipotesi!$C$91),30)/30))</f>
        <v>11198.1149295775</v>
      </c>
      <c r="AJ325" s="15" t="n">
        <f aca="false">(AJ324)+AH325-AI325</f>
        <v>22396.2298591549</v>
      </c>
      <c r="AK325" s="15" t="n">
        <f aca="false">(F325- Motore_Operativo!BH325-(Motore_Operativo!CK325)*Parametri_v3!$C$28-Motore_Operativo!CF325)*Parametri_v3!$C$26</f>
        <v>4960.70666666667</v>
      </c>
      <c r="AL325" s="15" t="n">
        <f aca="false">MAX(0,(AM324))</f>
        <v>4960.70666666667</v>
      </c>
      <c r="AM325" s="15" t="n">
        <f aca="false">(AM324)+AK325-AL325</f>
        <v>4960.70666666667</v>
      </c>
      <c r="AN325" s="15" t="n">
        <f aca="false">SUM(X305:X316)</f>
        <v>13562.3123684211</v>
      </c>
      <c r="AO325" s="15" t="n">
        <f aca="false">SUM(AP305:AP316)</f>
        <v>0</v>
      </c>
      <c r="AP325" s="15" t="n">
        <f aca="false">MAX(0,AN325)*IF(9=Parametri_v3!$C$43,Parametri_v3!$C$45,IF(9=Parametri_v3!$C$44,1-Parametri_v3!$C$45,0))</f>
        <v>0</v>
      </c>
      <c r="AQ325" s="15" t="n">
        <f aca="false">MAX(0,AP325+IF(9=Parametri_v3!$C$43,MAX(0,AN325-AO325),0)-MAX(0,-(AR324)))</f>
        <v>0</v>
      </c>
      <c r="AR325" s="15" t="n">
        <f aca="false">(AR324)+X325-AQ325</f>
        <v>7016.2974117865</v>
      </c>
      <c r="AS325" s="15" t="n">
        <f aca="false">Motore_Operativo!AC325-AT325+AU325</f>
        <v>15166.75</v>
      </c>
      <c r="AT325" s="15" t="n">
        <f aca="false">Motore_Operativo!CI325</f>
        <v>798.25</v>
      </c>
      <c r="AU325" s="15" t="n">
        <f aca="false">MIN(MAX(0,(AV324)+AT325),Parametri_v3!$C$61/12)</f>
        <v>0</v>
      </c>
      <c r="AV325" s="15" t="n">
        <f aca="false">(AV324)+AT325-AU325</f>
        <v>10334.25</v>
      </c>
      <c r="AW325" s="15" t="n">
        <f aca="false">IF(AND(Motore_Operativo!C325=Finanziamenti!$D$7,Finanziamenti!$F$7=1),Finanziamenti!$C$7,0)</f>
        <v>0</v>
      </c>
      <c r="AX325" s="15" t="n">
        <f aca="false">0</f>
        <v>0</v>
      </c>
      <c r="AY325" s="15" t="n">
        <f aca="false">IF(9=Parametri_v3!$C$33,IF(BV325&lt;MIN(12,$B325-1),0,MIN(MAX(0,SUM(Y305:Y316))*Ipotesi!$C$94,MAX(0,(BM316)-(BO324)-BP325),MAX(0,BD325-Parametri_v3!$C$31))),0)</f>
        <v>0</v>
      </c>
      <c r="AZ325" s="15" t="n">
        <f aca="false">0</f>
        <v>0</v>
      </c>
      <c r="BA325" s="15" t="n">
        <f aca="false">0</f>
        <v>0</v>
      </c>
      <c r="BB325" s="15" t="n">
        <f aca="false">0</f>
        <v>0</v>
      </c>
      <c r="BC325" s="15" t="n">
        <f aca="false">0</f>
        <v>0</v>
      </c>
      <c r="BD325" s="15" t="n">
        <f aca="false">(BH324)+AC325-AF325-AI325-AS325-K325*(1+Parametri_v3!$C$26)-AL325-AQ325-O325+AW325+AX325+AZ325+BA325-BB325</f>
        <v>6743.52395675808</v>
      </c>
      <c r="BE325" s="15" t="n">
        <f aca="false">0</f>
        <v>0</v>
      </c>
      <c r="BF325" s="15" t="n">
        <f aca="false">0</f>
        <v>0</v>
      </c>
      <c r="BG325" s="15" t="n">
        <f aca="false">0</f>
        <v>0</v>
      </c>
      <c r="BH325" s="15" t="n">
        <f aca="false">BD325+BE325-BF325-AY325</f>
        <v>6743.52395675808</v>
      </c>
      <c r="BI325" s="15" t="n">
        <f aca="false">MAX(0,Parametri_v3!$C$31-BH325)</f>
        <v>3256.47604324192</v>
      </c>
      <c r="BJ325" s="15" t="n">
        <f aca="false">(BJ324)+K325</f>
        <v>6750</v>
      </c>
      <c r="BK325" s="15" t="n">
        <f aca="false">(BK324)+L325</f>
        <v>1812.5</v>
      </c>
      <c r="BL325" s="15" t="n">
        <f aca="false">BJ325-BK325</f>
        <v>4937.5</v>
      </c>
      <c r="BM325" s="15" t="n">
        <f aca="false">(BM324)+Y325</f>
        <v>67199.098704596</v>
      </c>
      <c r="BN325" s="15" t="n">
        <f aca="false">(BN324)+AW325+AX325+AZ325</f>
        <v>20000</v>
      </c>
      <c r="BO325" s="15" t="n">
        <f aca="false">(BO324)+AY325</f>
        <v>0</v>
      </c>
      <c r="BP325" s="15" t="n">
        <f aca="false">MIN(Parametri_v3!$C$36*Parametri_v3!$C$35,(BP324)+IF(9=1,MAX(0,SUM(Y305:Y316))*Parametri_v3!$C$34,0))</f>
        <v>1752.40631140351</v>
      </c>
      <c r="BQ325" s="15" t="n">
        <f aca="false">BN325+BM325-BO325</f>
        <v>87199.098704596</v>
      </c>
      <c r="BR325" s="15" t="n">
        <f aca="false">BH325+AD325+BL325+MAX(0,-AM325)+MAX(0,-AR325)</f>
        <v>136052.291562392</v>
      </c>
      <c r="BS325" s="15" t="n">
        <f aca="false">AJ325+AV325+MAX(0,AM325)+MAX(0,AR325)+BC325+BG325+BQ325+AG325</f>
        <v>136052.291562392</v>
      </c>
      <c r="BT325" s="15" t="n">
        <f aca="false">BR325-BS325</f>
        <v>0</v>
      </c>
      <c r="BU325" s="15" t="n">
        <f aca="false">BH325-(BD325+BE325-BF325-AY325)</f>
        <v>0</v>
      </c>
      <c r="BV325" s="15" t="n">
        <f aca="false">IF(BH324&lt;Parametri_v3!$C$31,0,BV324+1)</f>
        <v>0</v>
      </c>
    </row>
    <row r="326" customFormat="false" ht="18" hidden="false" customHeight="true" outlineLevel="0" collapsed="false">
      <c r="A326" s="68" t="n">
        <f aca="false">6</f>
        <v>6</v>
      </c>
      <c r="B326" s="68" t="n">
        <f aca="false">22</f>
        <v>22</v>
      </c>
      <c r="C326" s="18" t="n">
        <f aca="false">Motore_Operativo!C326</f>
        <v>47027</v>
      </c>
      <c r="D326" s="68" t="n">
        <f aca="false">Motore_Operativo!D326</f>
        <v>2028</v>
      </c>
      <c r="E326" s="68" t="n">
        <f aca="false">Motore_Operativo!E326</f>
        <v>10</v>
      </c>
      <c r="F326" s="15" t="n">
        <f aca="false">Motore_Operativo!AM326</f>
        <v>33981.220657277</v>
      </c>
      <c r="G326" s="15" t="n">
        <f aca="false">Motore_Operativo!BH326</f>
        <v>3398.1220657277</v>
      </c>
      <c r="H326" s="15" t="n">
        <f aca="false">Motore_Operativo!AM326</f>
        <v>33981.220657277</v>
      </c>
      <c r="I326" s="15" t="n">
        <f aca="false">Motore_Operativo!CB326</f>
        <v>28885.3286384976</v>
      </c>
      <c r="J326" s="15" t="n">
        <f aca="false">Motore_Operativo!CD326</f>
        <v>5095.89201877934</v>
      </c>
      <c r="K326" s="15" t="n">
        <f aca="false">Motore_Operativo!CF326</f>
        <v>416.666666666667</v>
      </c>
      <c r="L326" s="15" t="n">
        <f aca="false">SUM(INDEX($K$305:$K$364,MAX(1,22-Parametri_v3!$C$59+1)):K326)/Parametri_v3!$C$59</f>
        <v>199.074074074074</v>
      </c>
      <c r="M326" s="15" t="n">
        <f aca="false">J326-L326</f>
        <v>4896.81794470527</v>
      </c>
      <c r="N326" s="15" t="n">
        <f aca="false">0</f>
        <v>0</v>
      </c>
      <c r="O326" s="15" t="n">
        <f aca="false">0</f>
        <v>0</v>
      </c>
      <c r="P326" s="15" t="n">
        <f aca="false">M326+N326-O326</f>
        <v>4896.81794470527</v>
      </c>
      <c r="Q326" s="15" t="n">
        <f aca="false">SUM(P317:P326)+Parametri_v3!$C$56*10/12</f>
        <v>49489.012780386</v>
      </c>
      <c r="R326" s="15" t="n">
        <f aca="false">Z316</f>
        <v>0</v>
      </c>
      <c r="S326" s="15" t="n">
        <f aca="false">AA316</f>
        <v>0</v>
      </c>
      <c r="T326" s="15" t="n">
        <f aca="false">MIN(R326,MAX(0,Q326))</f>
        <v>0</v>
      </c>
      <c r="U326" s="15" t="n">
        <f aca="false">MIN(S326,MAX(0,Q326-T326)*Parametri_v3!$C$42)</f>
        <v>0</v>
      </c>
      <c r="V326" s="15" t="n">
        <f aca="false">MAX(0,Q326-T326-U326)*Ipotesi!$C$92</f>
        <v>11877.3630672926</v>
      </c>
      <c r="W326" s="15" t="n">
        <f aca="false">MAX(0,SUM(M317:M326)+Parametri_v3!$C$57*10/12)*Ipotesi!$C$93</f>
        <v>1930.07149843505</v>
      </c>
      <c r="X326" s="15" t="n">
        <f aca="false">V326+W326-(V325+W325)</f>
        <v>1366.21220657277</v>
      </c>
      <c r="Y326" s="15" t="n">
        <f aca="false">P326-X326</f>
        <v>3530.6057381325</v>
      </c>
      <c r="Z326" s="15" t="n">
        <f aca="false">R326-T326+IF(AND(Parametri_v3!$C$40=1,D326-YEAR(Parametri_v3!$C$50)&lt;Parametri_v3!$C$41),MAX(0,-Q326),0)</f>
        <v>0</v>
      </c>
      <c r="AA326" s="15" t="n">
        <f aca="false">S326-U326+IF(AND(Parametri_v3!$C$40=1,D326-YEAR(Parametri_v3!$C$50)&lt;Parametri_v3!$C$41),0,MAX(0,-Q326))</f>
        <v>0</v>
      </c>
      <c r="AB326" s="15" t="n">
        <f aca="false">F326*(1+Parametri_v3!$C$26)</f>
        <v>41457.0892018779</v>
      </c>
      <c r="AC326" s="15" t="n">
        <f aca="false">(IF(22-(INT((Motore_Operativo!L326)/30))&lt;1,0,INDEX(Motore_Advisory!$AB$305:$AB$364,MAX(1,22-(INT((Motore_Operativo!L326)/30)))))*(1-(MOD((Motore_Operativo!L326),30)/30))+IF(22-(INT((Motore_Operativo!L326)/30))-1&lt;1,0,INDEX(Motore_Advisory!$AB$305:$AB$364,MAX(1,22-(INT((Motore_Operativo!L326)/30))-1)))*(MOD((Motore_Operativo!L326),30)/30))</f>
        <v>41457.0892018779</v>
      </c>
      <c r="AD326" s="15" t="n">
        <f aca="false">(AD325)+AB326-AC326</f>
        <v>124371.267605634</v>
      </c>
      <c r="AE326" s="15" t="n">
        <f aca="false">Motore_Operativo!BH326*(1+Parametri_v3!$C$26)</f>
        <v>4145.70892018779</v>
      </c>
      <c r="AF326" s="15" t="n">
        <f aca="false">(IF(22-(INT((Parametri_v3!$C$29)/30))&lt;1,0,INDEX(Motore_Operativo!$BH$305:$BH$364,MAX(1,22-(INT((Parametri_v3!$C$29)/30)))))*(1-(MOD((Parametri_v3!$C$29),30)/30))+IF(22-(INT((Parametri_v3!$C$29)/30))-1&lt;1,0,INDEX(Motore_Operativo!$BH$305:$BH$364,MAX(1,22-(INT((Parametri_v3!$C$29)/30))-1)))*(MOD((Parametri_v3!$C$29),30)/30))*(1+Parametri_v3!$C$26)</f>
        <v>4145.70892018779</v>
      </c>
      <c r="AG326" s="15" t="n">
        <f aca="false">(AG325)+AE326-AF326</f>
        <v>4145.70892018779</v>
      </c>
      <c r="AH326" s="15" t="n">
        <f aca="false">(Motore_Operativo!CK326)*(1+Parametri_v3!$C$28*Parametri_v3!$C$26)</f>
        <v>11198.1149295775</v>
      </c>
      <c r="AI326" s="15" t="n">
        <f aca="false">(IF(22-(INT((Ipotesi!$C$91)/30))&lt;1,0,INDEX(Motore_Advisory!$AH$305:$AH$364,MAX(1,22-(INT((Ipotesi!$C$91)/30)))))*(1-(MOD((Ipotesi!$C$91),30)/30))+IF(22-(INT((Ipotesi!$C$91)/30))-1&lt;1,0,INDEX(Motore_Advisory!$AH$305:$AH$364,MAX(1,22-(INT((Ipotesi!$C$91)/30))-1)))*(MOD((Ipotesi!$C$91),30)/30))</f>
        <v>11198.1149295775</v>
      </c>
      <c r="AJ326" s="15" t="n">
        <f aca="false">(AJ325)+AH326-AI326</f>
        <v>22396.2298591549</v>
      </c>
      <c r="AK326" s="15" t="n">
        <f aca="false">(F326- Motore_Operativo!BH326-(Motore_Operativo!CK326)*Parametri_v3!$C$28-Motore_Operativo!CF326)*Parametri_v3!$C$26</f>
        <v>4960.70666666667</v>
      </c>
      <c r="AL326" s="15" t="n">
        <f aca="false">MAX(0,(AM325))</f>
        <v>4960.70666666667</v>
      </c>
      <c r="AM326" s="15" t="n">
        <f aca="false">(AM325)+AK326-AL326</f>
        <v>4960.70666666667</v>
      </c>
      <c r="AN326" s="15" t="n">
        <f aca="false">SUM(X305:X316)</f>
        <v>13562.3123684211</v>
      </c>
      <c r="AO326" s="15" t="n">
        <f aca="false">SUM(AP305:AP316)</f>
        <v>0</v>
      </c>
      <c r="AP326" s="15" t="n">
        <f aca="false">MAX(0,AN326)*IF(10=Parametri_v3!$C$43,Parametri_v3!$C$45,IF(10=Parametri_v3!$C$44,1-Parametri_v3!$C$45,0))</f>
        <v>0</v>
      </c>
      <c r="AQ326" s="15" t="n">
        <f aca="false">MAX(0,AP326+IF(10=Parametri_v3!$C$43,MAX(0,AN326-AO326),0)-MAX(0,-(AR325)))</f>
        <v>0</v>
      </c>
      <c r="AR326" s="15" t="n">
        <f aca="false">(AR325)+X326-AQ326</f>
        <v>8382.50961835927</v>
      </c>
      <c r="AS326" s="15" t="n">
        <f aca="false">Motore_Operativo!AC326-AT326+AU326</f>
        <v>15166.75</v>
      </c>
      <c r="AT326" s="15" t="n">
        <f aca="false">Motore_Operativo!CI326</f>
        <v>798.25</v>
      </c>
      <c r="AU326" s="15" t="n">
        <f aca="false">MIN(MAX(0,(AV325)+AT326),Parametri_v3!$C$61/12)</f>
        <v>0</v>
      </c>
      <c r="AV326" s="15" t="n">
        <f aca="false">(AV325)+AT326-AU326</f>
        <v>11132.5</v>
      </c>
      <c r="AW326" s="15" t="n">
        <f aca="false">IF(AND(Motore_Operativo!C326=Finanziamenti!$D$7,Finanziamenti!$F$7=1),Finanziamenti!$C$7,0)</f>
        <v>0</v>
      </c>
      <c r="AX326" s="15" t="n">
        <f aca="false">0</f>
        <v>0</v>
      </c>
      <c r="AY326" s="15" t="n">
        <f aca="false">IF(10=Parametri_v3!$C$33,IF(BV326&lt;MIN(12,$B326-1),0,MIN(MAX(0,SUM(Y305:Y316))*Ipotesi!$C$94,MAX(0,(BM316)-(BO325)-BP326),MAX(0,BD326-Parametri_v3!$C$31))),0)</f>
        <v>0</v>
      </c>
      <c r="AZ326" s="15" t="n">
        <f aca="false">0</f>
        <v>0</v>
      </c>
      <c r="BA326" s="15" t="n">
        <f aca="false">0</f>
        <v>0</v>
      </c>
      <c r="BB326" s="15" t="n">
        <f aca="false">0</f>
        <v>0</v>
      </c>
      <c r="BC326" s="15" t="n">
        <f aca="false">0</f>
        <v>0</v>
      </c>
      <c r="BD326" s="15" t="n">
        <f aca="false">(BH325)+AC326-AF326-AI326-AS326-K326*(1+Parametri_v3!$C$26)-AL326-AQ326-O326+AW326+AX326+AZ326+BA326-BB326</f>
        <v>12220.9993088708</v>
      </c>
      <c r="BE326" s="15" t="n">
        <f aca="false">0</f>
        <v>0</v>
      </c>
      <c r="BF326" s="15" t="n">
        <f aca="false">0</f>
        <v>0</v>
      </c>
      <c r="BG326" s="15" t="n">
        <f aca="false">0</f>
        <v>0</v>
      </c>
      <c r="BH326" s="15" t="n">
        <f aca="false">BD326+BE326-BF326-AY326</f>
        <v>12220.9993088708</v>
      </c>
      <c r="BI326" s="15" t="n">
        <f aca="false">MAX(0,Parametri_v3!$C$31-BH326)</f>
        <v>0</v>
      </c>
      <c r="BJ326" s="15" t="n">
        <f aca="false">(BJ325)+K326</f>
        <v>7166.66666666667</v>
      </c>
      <c r="BK326" s="15" t="n">
        <f aca="false">(BK325)+L326</f>
        <v>2011.57407407407</v>
      </c>
      <c r="BL326" s="15" t="n">
        <f aca="false">BJ326-BK326</f>
        <v>5155.0925925926</v>
      </c>
      <c r="BM326" s="15" t="n">
        <f aca="false">(BM325)+Y326</f>
        <v>70729.7044427285</v>
      </c>
      <c r="BN326" s="15" t="n">
        <f aca="false">(BN325)+AW326+AX326+AZ326</f>
        <v>20000</v>
      </c>
      <c r="BO326" s="15" t="n">
        <f aca="false">(BO325)+AY326</f>
        <v>0</v>
      </c>
      <c r="BP326" s="15" t="n">
        <f aca="false">MIN(Parametri_v3!$C$36*Parametri_v3!$C$35,(BP325)+IF(10=1,MAX(0,SUM(Y305:Y316))*Parametri_v3!$C$34,0))</f>
        <v>1752.40631140351</v>
      </c>
      <c r="BQ326" s="15" t="n">
        <f aca="false">BN326+BM326-BO326</f>
        <v>90729.7044427285</v>
      </c>
      <c r="BR326" s="15" t="n">
        <f aca="false">BH326+AD326+BL326+MAX(0,-AM326)+MAX(0,-AR326)</f>
        <v>141747.359507097</v>
      </c>
      <c r="BS326" s="15" t="n">
        <f aca="false">AJ326+AV326+MAX(0,AM326)+MAX(0,AR326)+BC326+BG326+BQ326+AG326</f>
        <v>141747.359507097</v>
      </c>
      <c r="BT326" s="15" t="n">
        <f aca="false">BR326-BS326</f>
        <v>0</v>
      </c>
      <c r="BU326" s="15" t="n">
        <f aca="false">BH326-(BD326+BE326-BF326-AY326)</f>
        <v>0</v>
      </c>
      <c r="BV326" s="15" t="n">
        <f aca="false">IF(BH325&lt;Parametri_v3!$C$31,0,BV325+1)</f>
        <v>0</v>
      </c>
    </row>
    <row r="327" customFormat="false" ht="18" hidden="false" customHeight="true" outlineLevel="0" collapsed="false">
      <c r="A327" s="68" t="n">
        <f aca="false">6</f>
        <v>6</v>
      </c>
      <c r="B327" s="68" t="n">
        <f aca="false">23</f>
        <v>23</v>
      </c>
      <c r="C327" s="18" t="n">
        <f aca="false">Motore_Operativo!C327</f>
        <v>47058</v>
      </c>
      <c r="D327" s="68" t="n">
        <f aca="false">Motore_Operativo!D327</f>
        <v>2028</v>
      </c>
      <c r="E327" s="68" t="n">
        <f aca="false">Motore_Operativo!E327</f>
        <v>11</v>
      </c>
      <c r="F327" s="15" t="n">
        <f aca="false">Motore_Operativo!AM327</f>
        <v>33981.220657277</v>
      </c>
      <c r="G327" s="15" t="n">
        <f aca="false">Motore_Operativo!BH327</f>
        <v>3398.1220657277</v>
      </c>
      <c r="H327" s="15" t="n">
        <f aca="false">Motore_Operativo!AM327</f>
        <v>33981.220657277</v>
      </c>
      <c r="I327" s="15" t="n">
        <f aca="false">Motore_Operativo!CB327</f>
        <v>28885.3286384976</v>
      </c>
      <c r="J327" s="15" t="n">
        <f aca="false">Motore_Operativo!CD327</f>
        <v>5095.89201877934</v>
      </c>
      <c r="K327" s="15" t="n">
        <f aca="false">Motore_Operativo!CF327</f>
        <v>416.666666666667</v>
      </c>
      <c r="L327" s="15" t="n">
        <f aca="false">SUM(INDEX($K$305:$K$364,MAX(1,23-Parametri_v3!$C$59+1)):K327)/Parametri_v3!$C$59</f>
        <v>210.648148148148</v>
      </c>
      <c r="M327" s="15" t="n">
        <f aca="false">J327-L327</f>
        <v>4885.24387063119</v>
      </c>
      <c r="N327" s="15" t="n">
        <f aca="false">0</f>
        <v>0</v>
      </c>
      <c r="O327" s="15" t="n">
        <f aca="false">0</f>
        <v>0</v>
      </c>
      <c r="P327" s="15" t="n">
        <f aca="false">M327+N327-O327</f>
        <v>4885.24387063119</v>
      </c>
      <c r="Q327" s="15" t="n">
        <f aca="false">SUM(P317:P327)+Parametri_v3!$C$56*11/12</f>
        <v>54374.2566510172</v>
      </c>
      <c r="R327" s="15" t="n">
        <f aca="false">Z316</f>
        <v>0</v>
      </c>
      <c r="S327" s="15" t="n">
        <f aca="false">AA316</f>
        <v>0</v>
      </c>
      <c r="T327" s="15" t="n">
        <f aca="false">MIN(R327,MAX(0,Q327))</f>
        <v>0</v>
      </c>
      <c r="U327" s="15" t="n">
        <f aca="false">MIN(S327,MAX(0,Q327-T327)*Parametri_v3!$C$42)</f>
        <v>0</v>
      </c>
      <c r="V327" s="15" t="n">
        <f aca="false">MAX(0,Q327-T327-U327)*Ipotesi!$C$92</f>
        <v>13049.8215962441</v>
      </c>
      <c r="W327" s="15" t="n">
        <f aca="false">MAX(0,SUM(M317:M327)+Parametri_v3!$C$57*11/12)*Ipotesi!$C$93</f>
        <v>2120.59600938967</v>
      </c>
      <c r="X327" s="15" t="n">
        <f aca="false">V327+W327-(V326+W326)</f>
        <v>1362.9830399061</v>
      </c>
      <c r="Y327" s="15" t="n">
        <f aca="false">P327-X327</f>
        <v>3522.26083072509</v>
      </c>
      <c r="Z327" s="15" t="n">
        <f aca="false">R327-T327+IF(AND(Parametri_v3!$C$40=1,D327-YEAR(Parametri_v3!$C$50)&lt;Parametri_v3!$C$41),MAX(0,-Q327),0)</f>
        <v>0</v>
      </c>
      <c r="AA327" s="15" t="n">
        <f aca="false">S327-U327+IF(AND(Parametri_v3!$C$40=1,D327-YEAR(Parametri_v3!$C$50)&lt;Parametri_v3!$C$41),0,MAX(0,-Q327))</f>
        <v>0</v>
      </c>
      <c r="AB327" s="15" t="n">
        <f aca="false">F327*(1+Parametri_v3!$C$26)</f>
        <v>41457.0892018779</v>
      </c>
      <c r="AC327" s="15" t="n">
        <f aca="false">(IF(23-(INT((Motore_Operativo!L327)/30))&lt;1,0,INDEX(Motore_Advisory!$AB$305:$AB$364,MAX(1,23-(INT((Motore_Operativo!L327)/30)))))*(1-(MOD((Motore_Operativo!L327),30)/30))+IF(23-(INT((Motore_Operativo!L327)/30))-1&lt;1,0,INDEX(Motore_Advisory!$AB$305:$AB$364,MAX(1,23-(INT((Motore_Operativo!L327)/30))-1)))*(MOD((Motore_Operativo!L327),30)/30))</f>
        <v>41457.0892018779</v>
      </c>
      <c r="AD327" s="15" t="n">
        <f aca="false">(AD326)+AB327-AC327</f>
        <v>124371.267605634</v>
      </c>
      <c r="AE327" s="15" t="n">
        <f aca="false">Motore_Operativo!BH327*(1+Parametri_v3!$C$26)</f>
        <v>4145.70892018779</v>
      </c>
      <c r="AF327" s="15" t="n">
        <f aca="false">(IF(23-(INT((Parametri_v3!$C$29)/30))&lt;1,0,INDEX(Motore_Operativo!$BH$305:$BH$364,MAX(1,23-(INT((Parametri_v3!$C$29)/30)))))*(1-(MOD((Parametri_v3!$C$29),30)/30))+IF(23-(INT((Parametri_v3!$C$29)/30))-1&lt;1,0,INDEX(Motore_Operativo!$BH$305:$BH$364,MAX(1,23-(INT((Parametri_v3!$C$29)/30))-1)))*(MOD((Parametri_v3!$C$29),30)/30))*(1+Parametri_v3!$C$26)</f>
        <v>4145.70892018779</v>
      </c>
      <c r="AG327" s="15" t="n">
        <f aca="false">(AG326)+AE327-AF327</f>
        <v>4145.70892018779</v>
      </c>
      <c r="AH327" s="15" t="n">
        <f aca="false">(Motore_Operativo!CK327)*(1+Parametri_v3!$C$28*Parametri_v3!$C$26)</f>
        <v>11198.1149295775</v>
      </c>
      <c r="AI327" s="15" t="n">
        <f aca="false">(IF(23-(INT((Ipotesi!$C$91)/30))&lt;1,0,INDEX(Motore_Advisory!$AH$305:$AH$364,MAX(1,23-(INT((Ipotesi!$C$91)/30)))))*(1-(MOD((Ipotesi!$C$91),30)/30))+IF(23-(INT((Ipotesi!$C$91)/30))-1&lt;1,0,INDEX(Motore_Advisory!$AH$305:$AH$364,MAX(1,23-(INT((Ipotesi!$C$91)/30))-1)))*(MOD((Ipotesi!$C$91),30)/30))</f>
        <v>11198.1149295775</v>
      </c>
      <c r="AJ327" s="15" t="n">
        <f aca="false">(AJ326)+AH327-AI327</f>
        <v>22396.2298591549</v>
      </c>
      <c r="AK327" s="15" t="n">
        <f aca="false">(F327- Motore_Operativo!BH327-(Motore_Operativo!CK327)*Parametri_v3!$C$28-Motore_Operativo!CF327)*Parametri_v3!$C$26</f>
        <v>4960.70666666667</v>
      </c>
      <c r="AL327" s="15" t="n">
        <f aca="false">MAX(0,(AM326))</f>
        <v>4960.70666666667</v>
      </c>
      <c r="AM327" s="15" t="n">
        <f aca="false">(AM326)+AK327-AL327</f>
        <v>4960.70666666667</v>
      </c>
      <c r="AN327" s="15" t="n">
        <f aca="false">SUM(X305:X316)</f>
        <v>13562.3123684211</v>
      </c>
      <c r="AO327" s="15" t="n">
        <f aca="false">SUM(AP305:AP316)</f>
        <v>0</v>
      </c>
      <c r="AP327" s="15" t="n">
        <f aca="false">MAX(0,AN327)*IF(11=Parametri_v3!$C$43,Parametri_v3!$C$45,IF(11=Parametri_v3!$C$44,1-Parametri_v3!$C$45,0))</f>
        <v>8137.38742105263</v>
      </c>
      <c r="AQ327" s="15" t="n">
        <f aca="false">MAX(0,AP327+IF(11=Parametri_v3!$C$43,MAX(0,AN327-AO327),0)-MAX(0,-(AR326)))</f>
        <v>8137.38742105263</v>
      </c>
      <c r="AR327" s="15" t="n">
        <f aca="false">(AR326)+X327-AQ327</f>
        <v>1608.10523721275</v>
      </c>
      <c r="AS327" s="15" t="n">
        <f aca="false">Motore_Operativo!AC327-AT327+AU327</f>
        <v>15166.75</v>
      </c>
      <c r="AT327" s="15" t="n">
        <f aca="false">Motore_Operativo!CI327</f>
        <v>798.25</v>
      </c>
      <c r="AU327" s="15" t="n">
        <f aca="false">MIN(MAX(0,(AV326)+AT327),Parametri_v3!$C$61/12)</f>
        <v>0</v>
      </c>
      <c r="AV327" s="15" t="n">
        <f aca="false">(AV326)+AT327-AU327</f>
        <v>11930.75</v>
      </c>
      <c r="AW327" s="15" t="n">
        <f aca="false">IF(AND(Motore_Operativo!C327=Finanziamenti!$D$7,Finanziamenti!$F$7=1),Finanziamenti!$C$7,0)</f>
        <v>0</v>
      </c>
      <c r="AX327" s="15" t="n">
        <f aca="false">0</f>
        <v>0</v>
      </c>
      <c r="AY327" s="15" t="n">
        <f aca="false">IF(11=Parametri_v3!$C$33,IF(BV327&lt;MIN(12,$B327-1),0,MIN(MAX(0,SUM(Y305:Y316))*Ipotesi!$C$94,MAX(0,(BM316)-(BO326)-BP327),MAX(0,BD327-Parametri_v3!$C$31))),0)</f>
        <v>0</v>
      </c>
      <c r="AZ327" s="15" t="n">
        <f aca="false">0</f>
        <v>0</v>
      </c>
      <c r="BA327" s="15" t="n">
        <f aca="false">0</f>
        <v>0</v>
      </c>
      <c r="BB327" s="15" t="n">
        <f aca="false">0</f>
        <v>0</v>
      </c>
      <c r="BC327" s="15" t="n">
        <f aca="false">0</f>
        <v>0</v>
      </c>
      <c r="BD327" s="15" t="n">
        <f aca="false">(BH326)+AC327-AF327-AI327-AS327-K327*(1+Parametri_v3!$C$26)-AL327-AQ327-O327+AW327+AX327+AZ327+BA327-BB327</f>
        <v>9561.08723993079</v>
      </c>
      <c r="BE327" s="15" t="n">
        <f aca="false">0</f>
        <v>0</v>
      </c>
      <c r="BF327" s="15" t="n">
        <f aca="false">0</f>
        <v>0</v>
      </c>
      <c r="BG327" s="15" t="n">
        <f aca="false">0</f>
        <v>0</v>
      </c>
      <c r="BH327" s="15" t="n">
        <f aca="false">BD327+BE327-BF327-AY327</f>
        <v>9561.08723993079</v>
      </c>
      <c r="BI327" s="15" t="n">
        <f aca="false">MAX(0,Parametri_v3!$C$31-BH327)</f>
        <v>438.912760069208</v>
      </c>
      <c r="BJ327" s="15" t="n">
        <f aca="false">(BJ326)+K327</f>
        <v>7583.33333333334</v>
      </c>
      <c r="BK327" s="15" t="n">
        <f aca="false">(BK326)+L327</f>
        <v>2222.22222222222</v>
      </c>
      <c r="BL327" s="15" t="n">
        <f aca="false">BJ327-BK327</f>
        <v>5361.11111111111</v>
      </c>
      <c r="BM327" s="15" t="n">
        <f aca="false">(BM326)+Y327</f>
        <v>74251.9652734536</v>
      </c>
      <c r="BN327" s="15" t="n">
        <f aca="false">(BN326)+AW327+AX327+AZ327</f>
        <v>20000</v>
      </c>
      <c r="BO327" s="15" t="n">
        <f aca="false">(BO326)+AY327</f>
        <v>0</v>
      </c>
      <c r="BP327" s="15" t="n">
        <f aca="false">MIN(Parametri_v3!$C$36*Parametri_v3!$C$35,(BP326)+IF(11=1,MAX(0,SUM(Y305:Y316))*Parametri_v3!$C$34,0))</f>
        <v>1752.40631140351</v>
      </c>
      <c r="BQ327" s="15" t="n">
        <f aca="false">BN327+BM327-BO327</f>
        <v>94251.9652734536</v>
      </c>
      <c r="BR327" s="15" t="n">
        <f aca="false">BH327+AD327+BL327+MAX(0,-AM327)+MAX(0,-AR327)</f>
        <v>139293.465956676</v>
      </c>
      <c r="BS327" s="15" t="n">
        <f aca="false">AJ327+AV327+MAX(0,AM327)+MAX(0,AR327)+BC327+BG327+BQ327+AG327</f>
        <v>139293.465956676</v>
      </c>
      <c r="BT327" s="15" t="n">
        <f aca="false">BR327-BS327</f>
        <v>0</v>
      </c>
      <c r="BU327" s="15" t="n">
        <f aca="false">BH327-(BD327+BE327-BF327-AY327)</f>
        <v>0</v>
      </c>
      <c r="BV327" s="15" t="n">
        <f aca="false">IF(BH326&lt;Parametri_v3!$C$31,0,BV326+1)</f>
        <v>1</v>
      </c>
    </row>
    <row r="328" customFormat="false" ht="18" hidden="false" customHeight="true" outlineLevel="0" collapsed="false">
      <c r="A328" s="68" t="n">
        <f aca="false">6</f>
        <v>6</v>
      </c>
      <c r="B328" s="68" t="n">
        <f aca="false">24</f>
        <v>24</v>
      </c>
      <c r="C328" s="18" t="n">
        <f aca="false">Motore_Operativo!C328</f>
        <v>47088</v>
      </c>
      <c r="D328" s="68" t="n">
        <f aca="false">Motore_Operativo!D328</f>
        <v>2028</v>
      </c>
      <c r="E328" s="68" t="n">
        <f aca="false">Motore_Operativo!E328</f>
        <v>12</v>
      </c>
      <c r="F328" s="15" t="n">
        <f aca="false">Motore_Operativo!AM328</f>
        <v>33981.220657277</v>
      </c>
      <c r="G328" s="15" t="n">
        <f aca="false">Motore_Operativo!BH328</f>
        <v>3398.1220657277</v>
      </c>
      <c r="H328" s="15" t="n">
        <f aca="false">Motore_Operativo!AM328</f>
        <v>33981.220657277</v>
      </c>
      <c r="I328" s="15" t="n">
        <f aca="false">Motore_Operativo!CB328</f>
        <v>28885.3286384976</v>
      </c>
      <c r="J328" s="15" t="n">
        <f aca="false">Motore_Operativo!CD328</f>
        <v>5095.89201877934</v>
      </c>
      <c r="K328" s="15" t="n">
        <f aca="false">Motore_Operativo!CF328</f>
        <v>416.666666666667</v>
      </c>
      <c r="L328" s="15" t="n">
        <f aca="false">SUM(INDEX($K$305:$K$364,MAX(1,24-Parametri_v3!$C$59+1)):K328)/Parametri_v3!$C$59</f>
        <v>222.222222222222</v>
      </c>
      <c r="M328" s="15" t="n">
        <f aca="false">J328-L328</f>
        <v>4873.66979655712</v>
      </c>
      <c r="N328" s="15" t="n">
        <f aca="false">0</f>
        <v>0</v>
      </c>
      <c r="O328" s="15" t="n">
        <f aca="false">0</f>
        <v>0</v>
      </c>
      <c r="P328" s="15" t="n">
        <f aca="false">M328+N328-O328</f>
        <v>4873.66979655712</v>
      </c>
      <c r="Q328" s="15" t="n">
        <f aca="false">SUM(P317:P328)+Parametri_v3!$C$56*12/12</f>
        <v>59247.9264475743</v>
      </c>
      <c r="R328" s="15" t="n">
        <f aca="false">Z316</f>
        <v>0</v>
      </c>
      <c r="S328" s="15" t="n">
        <f aca="false">AA316</f>
        <v>0</v>
      </c>
      <c r="T328" s="15" t="n">
        <f aca="false">MIN(R328,MAX(0,Q328))</f>
        <v>0</v>
      </c>
      <c r="U328" s="15" t="n">
        <f aca="false">MIN(S328,MAX(0,Q328-T328)*Parametri_v3!$C$42)</f>
        <v>0</v>
      </c>
      <c r="V328" s="15" t="n">
        <f aca="false">MAX(0,Q328-T328-U328)*Ipotesi!$C$92</f>
        <v>14219.5023474178</v>
      </c>
      <c r="W328" s="15" t="n">
        <f aca="false">MAX(0,SUM(M317:M328)+Parametri_v3!$C$57*12/12)*Ipotesi!$C$93</f>
        <v>2310.6691314554</v>
      </c>
      <c r="X328" s="15" t="n">
        <f aca="false">V328+W328-(V327+W327)</f>
        <v>1359.75387323944</v>
      </c>
      <c r="Y328" s="15" t="n">
        <f aca="false">P328-X328</f>
        <v>3513.91592331768</v>
      </c>
      <c r="Z328" s="15" t="n">
        <f aca="false">R328-T328+IF(AND(Parametri_v3!$C$40=1,D328-YEAR(Parametri_v3!$C$50)&lt;Parametri_v3!$C$41),MAX(0,-Q328),0)</f>
        <v>0</v>
      </c>
      <c r="AA328" s="15" t="n">
        <f aca="false">S328-U328+IF(AND(Parametri_v3!$C$40=1,D328-YEAR(Parametri_v3!$C$50)&lt;Parametri_v3!$C$41),0,MAX(0,-Q328))</f>
        <v>0</v>
      </c>
      <c r="AB328" s="15" t="n">
        <f aca="false">F328*(1+Parametri_v3!$C$26)</f>
        <v>41457.0892018779</v>
      </c>
      <c r="AC328" s="15" t="n">
        <f aca="false">(IF(24-(INT((Motore_Operativo!L328)/30))&lt;1,0,INDEX(Motore_Advisory!$AB$305:$AB$364,MAX(1,24-(INT((Motore_Operativo!L328)/30)))))*(1-(MOD((Motore_Operativo!L328),30)/30))+IF(24-(INT((Motore_Operativo!L328)/30))-1&lt;1,0,INDEX(Motore_Advisory!$AB$305:$AB$364,MAX(1,24-(INT((Motore_Operativo!L328)/30))-1)))*(MOD((Motore_Operativo!L328),30)/30))</f>
        <v>41457.0892018779</v>
      </c>
      <c r="AD328" s="15" t="n">
        <f aca="false">(AD327)+AB328-AC328</f>
        <v>124371.267605634</v>
      </c>
      <c r="AE328" s="15" t="n">
        <f aca="false">Motore_Operativo!BH328*(1+Parametri_v3!$C$26)</f>
        <v>4145.70892018779</v>
      </c>
      <c r="AF328" s="15" t="n">
        <f aca="false">(IF(24-(INT((Parametri_v3!$C$29)/30))&lt;1,0,INDEX(Motore_Operativo!$BH$305:$BH$364,MAX(1,24-(INT((Parametri_v3!$C$29)/30)))))*(1-(MOD((Parametri_v3!$C$29),30)/30))+IF(24-(INT((Parametri_v3!$C$29)/30))-1&lt;1,0,INDEX(Motore_Operativo!$BH$305:$BH$364,MAX(1,24-(INT((Parametri_v3!$C$29)/30))-1)))*(MOD((Parametri_v3!$C$29),30)/30))*(1+Parametri_v3!$C$26)</f>
        <v>4145.70892018779</v>
      </c>
      <c r="AG328" s="15" t="n">
        <f aca="false">(AG327)+AE328-AF328</f>
        <v>4145.70892018779</v>
      </c>
      <c r="AH328" s="15" t="n">
        <f aca="false">(Motore_Operativo!CK328)*(1+Parametri_v3!$C$28*Parametri_v3!$C$26)</f>
        <v>11198.1149295775</v>
      </c>
      <c r="AI328" s="15" t="n">
        <f aca="false">(IF(24-(INT((Ipotesi!$C$91)/30))&lt;1,0,INDEX(Motore_Advisory!$AH$305:$AH$364,MAX(1,24-(INT((Ipotesi!$C$91)/30)))))*(1-(MOD((Ipotesi!$C$91),30)/30))+IF(24-(INT((Ipotesi!$C$91)/30))-1&lt;1,0,INDEX(Motore_Advisory!$AH$305:$AH$364,MAX(1,24-(INT((Ipotesi!$C$91)/30))-1)))*(MOD((Ipotesi!$C$91),30)/30))</f>
        <v>11198.1149295775</v>
      </c>
      <c r="AJ328" s="15" t="n">
        <f aca="false">(AJ327)+AH328-AI328</f>
        <v>22396.2298591549</v>
      </c>
      <c r="AK328" s="15" t="n">
        <f aca="false">(F328- Motore_Operativo!BH328-(Motore_Operativo!CK328)*Parametri_v3!$C$28-Motore_Operativo!CF328)*Parametri_v3!$C$26</f>
        <v>4960.70666666667</v>
      </c>
      <c r="AL328" s="15" t="n">
        <f aca="false">MAX(0,(AM327))</f>
        <v>4960.70666666667</v>
      </c>
      <c r="AM328" s="15" t="n">
        <f aca="false">(AM327)+AK328-AL328</f>
        <v>4960.70666666667</v>
      </c>
      <c r="AN328" s="15" t="n">
        <f aca="false">SUM(X305:X316)</f>
        <v>13562.3123684211</v>
      </c>
      <c r="AO328" s="15" t="n">
        <f aca="false">SUM(AP305:AP316)</f>
        <v>0</v>
      </c>
      <c r="AP328" s="15" t="n">
        <f aca="false">MAX(0,AN328)*IF(12=Parametri_v3!$C$43,Parametri_v3!$C$45,IF(12=Parametri_v3!$C$44,1-Parametri_v3!$C$45,0))</f>
        <v>0</v>
      </c>
      <c r="AQ328" s="15" t="n">
        <f aca="false">MAX(0,AP328+IF(12=Parametri_v3!$C$43,MAX(0,AN328-AO328),0)-MAX(0,-(AR327)))</f>
        <v>0</v>
      </c>
      <c r="AR328" s="15" t="n">
        <f aca="false">(AR327)+X328-AQ328</f>
        <v>2967.85911045218</v>
      </c>
      <c r="AS328" s="15" t="n">
        <f aca="false">Motore_Operativo!AC328-AT328+AU328</f>
        <v>15166.75</v>
      </c>
      <c r="AT328" s="15" t="n">
        <f aca="false">Motore_Operativo!CI328</f>
        <v>798.25</v>
      </c>
      <c r="AU328" s="15" t="n">
        <f aca="false">MIN(MAX(0,(AV327)+AT328),Parametri_v3!$C$61/12)</f>
        <v>0</v>
      </c>
      <c r="AV328" s="15" t="n">
        <f aca="false">(AV327)+AT328-AU328</f>
        <v>12729</v>
      </c>
      <c r="AW328" s="15" t="n">
        <f aca="false">IF(AND(Motore_Operativo!C328=Finanziamenti!$D$7,Finanziamenti!$F$7=1),Finanziamenti!$C$7,0)</f>
        <v>0</v>
      </c>
      <c r="AX328" s="15" t="n">
        <f aca="false">0</f>
        <v>0</v>
      </c>
      <c r="AY328" s="15" t="n">
        <f aca="false">IF(12=Parametri_v3!$C$33,IF(BV328&lt;MIN(12,$B328-1),0,MIN(MAX(0,SUM(Y305:Y316))*Ipotesi!$C$94,MAX(0,(BM316)-(BO327)-BP328),MAX(0,BD328-Parametri_v3!$C$31))),0)</f>
        <v>0</v>
      </c>
      <c r="AZ328" s="15" t="n">
        <f aca="false">0</f>
        <v>0</v>
      </c>
      <c r="BA328" s="15" t="n">
        <f aca="false">0</f>
        <v>0</v>
      </c>
      <c r="BB328" s="15" t="n">
        <f aca="false">0</f>
        <v>0</v>
      </c>
      <c r="BC328" s="15" t="n">
        <f aca="false">0</f>
        <v>0</v>
      </c>
      <c r="BD328" s="15" t="n">
        <f aca="false">(BH327)+AC328-AF328-AI328-AS328-K328*(1+Parametri_v3!$C$26)-AL328-AQ328-O328+AW328+AX328+AZ328+BA328-BB328</f>
        <v>15038.5625920435</v>
      </c>
      <c r="BE328" s="15" t="n">
        <f aca="false">0</f>
        <v>0</v>
      </c>
      <c r="BF328" s="15" t="n">
        <f aca="false">0</f>
        <v>0</v>
      </c>
      <c r="BG328" s="15" t="n">
        <f aca="false">0</f>
        <v>0</v>
      </c>
      <c r="BH328" s="15" t="n">
        <f aca="false">BD328+BE328-BF328-AY328</f>
        <v>15038.5625920435</v>
      </c>
      <c r="BI328" s="15" t="n">
        <f aca="false">MAX(0,Parametri_v3!$C$31-BH328)</f>
        <v>0</v>
      </c>
      <c r="BJ328" s="15" t="n">
        <f aca="false">(BJ327)+K328</f>
        <v>8000</v>
      </c>
      <c r="BK328" s="15" t="n">
        <f aca="false">(BK327)+L328</f>
        <v>2444.44444444445</v>
      </c>
      <c r="BL328" s="15" t="n">
        <f aca="false">BJ328-BK328</f>
        <v>5555.55555555556</v>
      </c>
      <c r="BM328" s="15" t="n">
        <f aca="false">(BM327)+Y328</f>
        <v>77765.8811967713</v>
      </c>
      <c r="BN328" s="15" t="n">
        <f aca="false">(BN327)+AW328+AX328+AZ328</f>
        <v>20000</v>
      </c>
      <c r="BO328" s="15" t="n">
        <f aca="false">(BO327)+AY328</f>
        <v>0</v>
      </c>
      <c r="BP328" s="15" t="n">
        <f aca="false">MIN(Parametri_v3!$C$36*Parametri_v3!$C$35,(BP327)+IF(12=1,MAX(0,SUM(Y305:Y316))*Parametri_v3!$C$34,0))</f>
        <v>1752.40631140351</v>
      </c>
      <c r="BQ328" s="15" t="n">
        <f aca="false">BN328+BM328-BO328</f>
        <v>97765.8811967713</v>
      </c>
      <c r="BR328" s="15" t="n">
        <f aca="false">BH328+AD328+BL328+MAX(0,-AM328)+MAX(0,-AR328)</f>
        <v>144965.385753233</v>
      </c>
      <c r="BS328" s="15" t="n">
        <f aca="false">AJ328+AV328+MAX(0,AM328)+MAX(0,AR328)+BC328+BG328+BQ328+AG328</f>
        <v>144965.385753233</v>
      </c>
      <c r="BT328" s="15" t="n">
        <f aca="false">BR328-BS328</f>
        <v>0</v>
      </c>
      <c r="BU328" s="15" t="n">
        <f aca="false">BH328-(BD328+BE328-BF328-AY328)</f>
        <v>0</v>
      </c>
      <c r="BV328" s="15" t="n">
        <f aca="false">IF(BH327&lt;Parametri_v3!$C$31,0,BV327+1)</f>
        <v>0</v>
      </c>
    </row>
    <row r="329" customFormat="false" ht="18" hidden="false" customHeight="true" outlineLevel="0" collapsed="false">
      <c r="A329" s="68" t="n">
        <f aca="false">6</f>
        <v>6</v>
      </c>
      <c r="B329" s="68" t="n">
        <f aca="false">25</f>
        <v>25</v>
      </c>
      <c r="C329" s="18" t="n">
        <f aca="false">Motore_Operativo!C329</f>
        <v>47119</v>
      </c>
      <c r="D329" s="68" t="n">
        <f aca="false">Motore_Operativo!D329</f>
        <v>2029</v>
      </c>
      <c r="E329" s="68" t="n">
        <f aca="false">Motore_Operativo!E329</f>
        <v>1</v>
      </c>
      <c r="F329" s="15" t="n">
        <f aca="false">Motore_Operativo!AM329</f>
        <v>60500</v>
      </c>
      <c r="G329" s="15" t="n">
        <f aca="false">Motore_Operativo!BH329</f>
        <v>6050</v>
      </c>
      <c r="H329" s="15" t="n">
        <f aca="false">Motore_Operativo!AM329</f>
        <v>60500</v>
      </c>
      <c r="I329" s="15" t="n">
        <f aca="false">Motore_Operativo!CB329</f>
        <v>46259.8958333333</v>
      </c>
      <c r="J329" s="15" t="n">
        <f aca="false">Motore_Operativo!CD329</f>
        <v>14240.1041666667</v>
      </c>
      <c r="K329" s="15" t="n">
        <f aca="false">Motore_Operativo!CF329</f>
        <v>416.666666666667</v>
      </c>
      <c r="L329" s="15" t="n">
        <f aca="false">SUM(INDEX($K$305:$K$364,MAX(1,25-Parametri_v3!$C$59+1)):K329)/Parametri_v3!$C$59</f>
        <v>233.796296296296</v>
      </c>
      <c r="M329" s="15" t="n">
        <f aca="false">J329-L329</f>
        <v>14006.3078703704</v>
      </c>
      <c r="N329" s="15" t="n">
        <f aca="false">0</f>
        <v>0</v>
      </c>
      <c r="O329" s="15" t="n">
        <f aca="false">0</f>
        <v>0</v>
      </c>
      <c r="P329" s="15" t="n">
        <f aca="false">M329+N329-O329</f>
        <v>14006.3078703704</v>
      </c>
      <c r="Q329" s="15" t="n">
        <f aca="false">SUM(P329)+Parametri_v3!$C$56*1/12</f>
        <v>14006.3078703704</v>
      </c>
      <c r="R329" s="15" t="n">
        <f aca="false">Z328</f>
        <v>0</v>
      </c>
      <c r="S329" s="15" t="n">
        <f aca="false">AA328</f>
        <v>0</v>
      </c>
      <c r="T329" s="15" t="n">
        <f aca="false">MIN(R329,MAX(0,Q329))</f>
        <v>0</v>
      </c>
      <c r="U329" s="15" t="n">
        <f aca="false">MIN(S329,MAX(0,Q329-T329)*Parametri_v3!$C$42)</f>
        <v>0</v>
      </c>
      <c r="V329" s="15" t="n">
        <f aca="false">MAX(0,Q329-T329-U329)*Ipotesi!$C$92</f>
        <v>3361.51388888889</v>
      </c>
      <c r="W329" s="15" t="n">
        <f aca="false">MAX(0,SUM(M329)+Parametri_v3!$C$57*1/12)*Ipotesi!$C$93</f>
        <v>546.246006944445</v>
      </c>
      <c r="X329" s="15" t="n">
        <f aca="false">V329+W329-(0)</f>
        <v>3907.75989583333</v>
      </c>
      <c r="Y329" s="15" t="n">
        <f aca="false">P329-X329</f>
        <v>10098.547974537</v>
      </c>
      <c r="Z329" s="15" t="n">
        <f aca="false">R329-T329+IF(AND(Parametri_v3!$C$40=1,D329-YEAR(Parametri_v3!$C$50)&lt;Parametri_v3!$C$41),MAX(0,-Q329),0)</f>
        <v>0</v>
      </c>
      <c r="AA329" s="15" t="n">
        <f aca="false">S329-U329+IF(AND(Parametri_v3!$C$40=1,D329-YEAR(Parametri_v3!$C$50)&lt;Parametri_v3!$C$41),0,MAX(0,-Q329))</f>
        <v>0</v>
      </c>
      <c r="AB329" s="15" t="n">
        <f aca="false">F329*(1+Parametri_v3!$C$26)</f>
        <v>73810</v>
      </c>
      <c r="AC329" s="15" t="n">
        <f aca="false">(IF(25-(INT((Motore_Operativo!L329)/30))&lt;1,0,INDEX(Motore_Advisory!$AB$305:$AB$364,MAX(1,25-(INT((Motore_Operativo!L329)/30)))))*(1-(MOD((Motore_Operativo!L329),30)/30))+IF(25-(INT((Motore_Operativo!L329)/30))-1&lt;1,0,INDEX(Motore_Advisory!$AB$305:$AB$364,MAX(1,25-(INT((Motore_Operativo!L329)/30))-1)))*(MOD((Motore_Operativo!L329),30)/30))</f>
        <v>41457.0892018779</v>
      </c>
      <c r="AD329" s="15" t="n">
        <f aca="false">(AD328)+AB329-AC329</f>
        <v>156724.178403756</v>
      </c>
      <c r="AE329" s="15" t="n">
        <f aca="false">Motore_Operativo!BH329*(1+Parametri_v3!$C$26)</f>
        <v>7381</v>
      </c>
      <c r="AF329" s="15" t="n">
        <f aca="false">(IF(25-(INT((Parametri_v3!$C$29)/30))&lt;1,0,INDEX(Motore_Operativo!$BH$305:$BH$364,MAX(1,25-(INT((Parametri_v3!$C$29)/30)))))*(1-(MOD((Parametri_v3!$C$29),30)/30))+IF(25-(INT((Parametri_v3!$C$29)/30))-1&lt;1,0,INDEX(Motore_Operativo!$BH$305:$BH$364,MAX(1,25-(INT((Parametri_v3!$C$29)/30))-1)))*(MOD((Parametri_v3!$C$29),30)/30))*(1+Parametri_v3!$C$26)</f>
        <v>4145.70892018779</v>
      </c>
      <c r="AG329" s="15" t="n">
        <f aca="false">(AG328)+AE329-AF329</f>
        <v>7381</v>
      </c>
      <c r="AH329" s="15" t="n">
        <f aca="false">(Motore_Operativo!CK329)*(1+Parametri_v3!$C$28*Parametri_v3!$C$26)</f>
        <v>17395.98</v>
      </c>
      <c r="AI329" s="15" t="n">
        <f aca="false">(IF(25-(INT((Ipotesi!$C$91)/30))&lt;1,0,INDEX(Motore_Advisory!$AH$305:$AH$364,MAX(1,25-(INT((Ipotesi!$C$91)/30)))))*(1-(MOD((Ipotesi!$C$91),30)/30))+IF(25-(INT((Ipotesi!$C$91)/30))-1&lt;1,0,INDEX(Motore_Advisory!$AH$305:$AH$364,MAX(1,25-(INT((Ipotesi!$C$91)/30))-1)))*(MOD((Ipotesi!$C$91),30)/30))</f>
        <v>11198.1149295775</v>
      </c>
      <c r="AJ329" s="15" t="n">
        <f aca="false">(AJ328)+AH329-AI329</f>
        <v>28594.0949295775</v>
      </c>
      <c r="AK329" s="15" t="n">
        <f aca="false">(F329- Motore_Operativo!BH329-(Motore_Operativo!CK329)*Parametri_v3!$C$28-Motore_Operativo!CF329)*Parametri_v3!$C$26</f>
        <v>9283.85333333333</v>
      </c>
      <c r="AL329" s="15" t="n">
        <f aca="false">MAX(0,(AM328))</f>
        <v>4960.70666666667</v>
      </c>
      <c r="AM329" s="15" t="n">
        <f aca="false">(AM328)+AK329-AL329</f>
        <v>9283.85333333333</v>
      </c>
      <c r="AN329" s="15" t="n">
        <f aca="false">SUM(X317:X328)</f>
        <v>16530.1714788732</v>
      </c>
      <c r="AO329" s="15" t="n">
        <f aca="false">SUM(AP317:AP328)</f>
        <v>13562.3123684211</v>
      </c>
      <c r="AP329" s="15" t="n">
        <f aca="false">MAX(0,AN329)*IF(1=Parametri_v3!$C$43,Parametri_v3!$C$45,IF(1=Parametri_v3!$C$44,1-Parametri_v3!$C$45,0))</f>
        <v>0</v>
      </c>
      <c r="AQ329" s="15" t="n">
        <f aca="false">MAX(0,AP329+IF(1=Parametri_v3!$C$43,MAX(0,AN329-AO329),0)-MAX(0,-(AR328)))</f>
        <v>0</v>
      </c>
      <c r="AR329" s="15" t="n">
        <f aca="false">(AR328)+X329-AQ329</f>
        <v>6875.61900628552</v>
      </c>
      <c r="AS329" s="15" t="n">
        <f aca="false">Motore_Operativo!AC329-AT329+AU329</f>
        <v>24146.5260416667</v>
      </c>
      <c r="AT329" s="15" t="n">
        <f aca="false">Motore_Operativo!CI329</f>
        <v>1270.86979166667</v>
      </c>
      <c r="AU329" s="15" t="n">
        <f aca="false">MIN(MAX(0,(AV328)+AT329),Parametri_v3!$C$61/12)</f>
        <v>0</v>
      </c>
      <c r="AV329" s="15" t="n">
        <f aca="false">(AV328)+AT329-AU329</f>
        <v>13999.8697916667</v>
      </c>
      <c r="AW329" s="15" t="n">
        <f aca="false">IF(AND(Motore_Operativo!C329=Finanziamenti!$D$7,Finanziamenti!$F$7=1),Finanziamenti!$C$7,0)</f>
        <v>0</v>
      </c>
      <c r="AX329" s="15" t="n">
        <f aca="false">0</f>
        <v>0</v>
      </c>
      <c r="AY329" s="15" t="n">
        <f aca="false">IF(1=Parametri_v3!$C$33,IF(BV329&lt;MIN(12,$B329-1),0,MIN(MAX(0,SUM(Y317:Y328))*Ipotesi!$C$94,MAX(0,(BM328)-(BO328)-BP329),MAX(0,BD329-Parametri_v3!$C$31))),0)</f>
        <v>0</v>
      </c>
      <c r="AZ329" s="15" t="n">
        <f aca="false">0</f>
        <v>0</v>
      </c>
      <c r="BA329" s="15" t="n">
        <f aca="false">0</f>
        <v>0</v>
      </c>
      <c r="BB329" s="15" t="n">
        <f aca="false">0</f>
        <v>0</v>
      </c>
      <c r="BC329" s="15" t="n">
        <f aca="false">0</f>
        <v>0</v>
      </c>
      <c r="BD329" s="15" t="n">
        <f aca="false">(BH328)+AC329-AF329-AI329-AS329-K329*(1+Parametri_v3!$C$26)-AL329-AQ329-O329+AW329+AX329+AZ329+BA329-BB329</f>
        <v>11536.2619024895</v>
      </c>
      <c r="BE329" s="15" t="n">
        <f aca="false">0</f>
        <v>0</v>
      </c>
      <c r="BF329" s="15" t="n">
        <f aca="false">0</f>
        <v>0</v>
      </c>
      <c r="BG329" s="15" t="n">
        <f aca="false">0</f>
        <v>0</v>
      </c>
      <c r="BH329" s="15" t="n">
        <f aca="false">BD329+BE329-BF329-AY329</f>
        <v>11536.2619024895</v>
      </c>
      <c r="BI329" s="15" t="n">
        <f aca="false">MAX(0,Parametri_v3!$C$31-BH329)</f>
        <v>0</v>
      </c>
      <c r="BJ329" s="15" t="n">
        <f aca="false">(BJ328)+K329</f>
        <v>8416.66666666667</v>
      </c>
      <c r="BK329" s="15" t="n">
        <f aca="false">(BK328)+L329</f>
        <v>2678.24074074074</v>
      </c>
      <c r="BL329" s="15" t="n">
        <f aca="false">BJ329-BK329</f>
        <v>5738.42592592593</v>
      </c>
      <c r="BM329" s="15" t="n">
        <f aca="false">(BM328)+Y329</f>
        <v>87864.4291713083</v>
      </c>
      <c r="BN329" s="15" t="n">
        <f aca="false">(BN328)+AW329+AX329+AZ329</f>
        <v>20000</v>
      </c>
      <c r="BO329" s="15" t="n">
        <f aca="false">(BO328)+AY329</f>
        <v>0</v>
      </c>
      <c r="BP329" s="15" t="n">
        <f aca="false">MIN(Parametri_v3!$C$36*Parametri_v3!$C$35,(BP328)+IF(1=1,MAX(0,SUM(Y317:Y328))*Parametri_v3!$C$34,0))</f>
        <v>2000</v>
      </c>
      <c r="BQ329" s="15" t="n">
        <f aca="false">BN329+BM329-BO329</f>
        <v>107864.429171308</v>
      </c>
      <c r="BR329" s="15" t="n">
        <f aca="false">BH329+AD329+BL329+MAX(0,-AM329)+MAX(0,-AR329)</f>
        <v>173998.866232171</v>
      </c>
      <c r="BS329" s="15" t="n">
        <f aca="false">AJ329+AV329+MAX(0,AM329)+MAX(0,AR329)+BC329+BG329+BQ329+AG329</f>
        <v>173998.866232171</v>
      </c>
      <c r="BT329" s="15" t="n">
        <f aca="false">BR329-BS329</f>
        <v>0</v>
      </c>
      <c r="BU329" s="15" t="n">
        <f aca="false">BH329-(BD329+BE329-BF329-AY329)</f>
        <v>0</v>
      </c>
      <c r="BV329" s="15" t="n">
        <f aca="false">IF(BH328&lt;Parametri_v3!$C$31,0,BV328+1)</f>
        <v>1</v>
      </c>
    </row>
    <row r="330" customFormat="false" ht="18" hidden="false" customHeight="true" outlineLevel="0" collapsed="false">
      <c r="A330" s="68" t="n">
        <f aca="false">6</f>
        <v>6</v>
      </c>
      <c r="B330" s="68" t="n">
        <f aca="false">26</f>
        <v>26</v>
      </c>
      <c r="C330" s="18" t="n">
        <f aca="false">Motore_Operativo!C330</f>
        <v>47150</v>
      </c>
      <c r="D330" s="68" t="n">
        <f aca="false">Motore_Operativo!D330</f>
        <v>2029</v>
      </c>
      <c r="E330" s="68" t="n">
        <f aca="false">Motore_Operativo!E330</f>
        <v>2</v>
      </c>
      <c r="F330" s="15" t="n">
        <f aca="false">Motore_Operativo!AM330</f>
        <v>60500</v>
      </c>
      <c r="G330" s="15" t="n">
        <f aca="false">Motore_Operativo!BH330</f>
        <v>6050</v>
      </c>
      <c r="H330" s="15" t="n">
        <f aca="false">Motore_Operativo!AM330</f>
        <v>60500</v>
      </c>
      <c r="I330" s="15" t="n">
        <f aca="false">Motore_Operativo!CB330</f>
        <v>46259.8958333333</v>
      </c>
      <c r="J330" s="15" t="n">
        <f aca="false">Motore_Operativo!CD330</f>
        <v>14240.1041666667</v>
      </c>
      <c r="K330" s="15" t="n">
        <f aca="false">Motore_Operativo!CF330</f>
        <v>416.666666666667</v>
      </c>
      <c r="L330" s="15" t="n">
        <f aca="false">SUM(INDEX($K$305:$K$364,MAX(1,26-Parametri_v3!$C$59+1)):K330)/Parametri_v3!$C$59</f>
        <v>245.37037037037</v>
      </c>
      <c r="M330" s="15" t="n">
        <f aca="false">J330-L330</f>
        <v>13994.7337962963</v>
      </c>
      <c r="N330" s="15" t="n">
        <f aca="false">0</f>
        <v>0</v>
      </c>
      <c r="O330" s="15" t="n">
        <f aca="false">0</f>
        <v>0</v>
      </c>
      <c r="P330" s="15" t="n">
        <f aca="false">M330+N330-O330</f>
        <v>13994.7337962963</v>
      </c>
      <c r="Q330" s="15" t="n">
        <f aca="false">SUM(P329:P330)+Parametri_v3!$C$56*2/12</f>
        <v>28001.0416666667</v>
      </c>
      <c r="R330" s="15" t="n">
        <f aca="false">Z328</f>
        <v>0</v>
      </c>
      <c r="S330" s="15" t="n">
        <f aca="false">AA328</f>
        <v>0</v>
      </c>
      <c r="T330" s="15" t="n">
        <f aca="false">MIN(R330,MAX(0,Q330))</f>
        <v>0</v>
      </c>
      <c r="U330" s="15" t="n">
        <f aca="false">MIN(S330,MAX(0,Q330-T330)*Parametri_v3!$C$42)</f>
        <v>0</v>
      </c>
      <c r="V330" s="15" t="n">
        <f aca="false">MAX(0,Q330-T330-U330)*Ipotesi!$C$92</f>
        <v>6720.25</v>
      </c>
      <c r="W330" s="15" t="n">
        <f aca="false">MAX(0,SUM(M329:M330)+Parametri_v3!$C$57*2/12)*Ipotesi!$C$93</f>
        <v>1092.040625</v>
      </c>
      <c r="X330" s="15" t="n">
        <f aca="false">V330+W330-(V329+W329)</f>
        <v>3904.53072916667</v>
      </c>
      <c r="Y330" s="15" t="n">
        <f aca="false">P330-X330</f>
        <v>10090.2030671296</v>
      </c>
      <c r="Z330" s="15" t="n">
        <f aca="false">R330-T330+IF(AND(Parametri_v3!$C$40=1,D330-YEAR(Parametri_v3!$C$50)&lt;Parametri_v3!$C$41),MAX(0,-Q330),0)</f>
        <v>0</v>
      </c>
      <c r="AA330" s="15" t="n">
        <f aca="false">S330-U330+IF(AND(Parametri_v3!$C$40=1,D330-YEAR(Parametri_v3!$C$50)&lt;Parametri_v3!$C$41),0,MAX(0,-Q330))</f>
        <v>0</v>
      </c>
      <c r="AB330" s="15" t="n">
        <f aca="false">F330*(1+Parametri_v3!$C$26)</f>
        <v>73810</v>
      </c>
      <c r="AC330" s="15" t="n">
        <f aca="false">(IF(26-(INT((Motore_Operativo!L330)/30))&lt;1,0,INDEX(Motore_Advisory!$AB$305:$AB$364,MAX(1,26-(INT((Motore_Operativo!L330)/30)))))*(1-(MOD((Motore_Operativo!L330),30)/30))+IF(26-(INT((Motore_Operativo!L330)/30))-1&lt;1,0,INDEX(Motore_Advisory!$AB$305:$AB$364,MAX(1,26-(INT((Motore_Operativo!L330)/30))-1)))*(MOD((Motore_Operativo!L330),30)/30))</f>
        <v>41457.0892018779</v>
      </c>
      <c r="AD330" s="15" t="n">
        <f aca="false">(AD329)+AB330-AC330</f>
        <v>189077.089201878</v>
      </c>
      <c r="AE330" s="15" t="n">
        <f aca="false">Motore_Operativo!BH330*(1+Parametri_v3!$C$26)</f>
        <v>7381</v>
      </c>
      <c r="AF330" s="15" t="n">
        <f aca="false">(IF(26-(INT((Parametri_v3!$C$29)/30))&lt;1,0,INDEX(Motore_Operativo!$BH$305:$BH$364,MAX(1,26-(INT((Parametri_v3!$C$29)/30)))))*(1-(MOD((Parametri_v3!$C$29),30)/30))+IF(26-(INT((Parametri_v3!$C$29)/30))-1&lt;1,0,INDEX(Motore_Operativo!$BH$305:$BH$364,MAX(1,26-(INT((Parametri_v3!$C$29)/30))-1)))*(MOD((Parametri_v3!$C$29),30)/30))*(1+Parametri_v3!$C$26)</f>
        <v>7381</v>
      </c>
      <c r="AG330" s="15" t="n">
        <f aca="false">(AG329)+AE330-AF330</f>
        <v>7381</v>
      </c>
      <c r="AH330" s="15" t="n">
        <f aca="false">(Motore_Operativo!CK330)*(1+Parametri_v3!$C$28*Parametri_v3!$C$26)</f>
        <v>17395.98</v>
      </c>
      <c r="AI330" s="15" t="n">
        <f aca="false">(IF(26-(INT((Ipotesi!$C$91)/30))&lt;1,0,INDEX(Motore_Advisory!$AH$305:$AH$364,MAX(1,26-(INT((Ipotesi!$C$91)/30)))))*(1-(MOD((Ipotesi!$C$91),30)/30))+IF(26-(INT((Ipotesi!$C$91)/30))-1&lt;1,0,INDEX(Motore_Advisory!$AH$305:$AH$364,MAX(1,26-(INT((Ipotesi!$C$91)/30))-1)))*(MOD((Ipotesi!$C$91),30)/30))</f>
        <v>11198.1149295775</v>
      </c>
      <c r="AJ330" s="15" t="n">
        <f aca="false">(AJ329)+AH330-AI330</f>
        <v>34791.96</v>
      </c>
      <c r="AK330" s="15" t="n">
        <f aca="false">(F330- Motore_Operativo!BH330-(Motore_Operativo!CK330)*Parametri_v3!$C$28-Motore_Operativo!CF330)*Parametri_v3!$C$26</f>
        <v>9283.85333333333</v>
      </c>
      <c r="AL330" s="15" t="n">
        <f aca="false">MAX(0,(AM329))</f>
        <v>9283.85333333333</v>
      </c>
      <c r="AM330" s="15" t="n">
        <f aca="false">(AM329)+AK330-AL330</f>
        <v>9283.85333333333</v>
      </c>
      <c r="AN330" s="15" t="n">
        <f aca="false">SUM(X317:X328)</f>
        <v>16530.1714788732</v>
      </c>
      <c r="AO330" s="15" t="n">
        <f aca="false">SUM(AP317:AP328)</f>
        <v>13562.3123684211</v>
      </c>
      <c r="AP330" s="15" t="n">
        <f aca="false">MAX(0,AN330)*IF(2=Parametri_v3!$C$43,Parametri_v3!$C$45,IF(2=Parametri_v3!$C$44,1-Parametri_v3!$C$45,0))</f>
        <v>0</v>
      </c>
      <c r="AQ330" s="15" t="n">
        <f aca="false">MAX(0,AP330+IF(2=Parametri_v3!$C$43,MAX(0,AN330-AO330),0)-MAX(0,-(AR329)))</f>
        <v>0</v>
      </c>
      <c r="AR330" s="15" t="n">
        <f aca="false">(AR329)+X330-AQ330</f>
        <v>10780.1497354522</v>
      </c>
      <c r="AS330" s="15" t="n">
        <f aca="false">Motore_Operativo!AC330-AT330+AU330</f>
        <v>24146.5260416667</v>
      </c>
      <c r="AT330" s="15" t="n">
        <f aca="false">Motore_Operativo!CI330</f>
        <v>1270.86979166667</v>
      </c>
      <c r="AU330" s="15" t="n">
        <f aca="false">MIN(MAX(0,(AV329)+AT330),Parametri_v3!$C$61/12)</f>
        <v>0</v>
      </c>
      <c r="AV330" s="15" t="n">
        <f aca="false">(AV329)+AT330-AU330</f>
        <v>15270.7395833333</v>
      </c>
      <c r="AW330" s="15" t="n">
        <f aca="false">IF(AND(Motore_Operativo!C330=Finanziamenti!$D$7,Finanziamenti!$F$7=1),Finanziamenti!$C$7,0)</f>
        <v>0</v>
      </c>
      <c r="AX330" s="15" t="n">
        <f aca="false">0</f>
        <v>0</v>
      </c>
      <c r="AY330" s="15" t="n">
        <f aca="false">IF(2=Parametri_v3!$C$33,IF(BV330&lt;MIN(12,$B330-1),0,MIN(MAX(0,SUM(Y317:Y328))*Ipotesi!$C$94,MAX(0,(BM328)-(BO329)-BP330),MAX(0,BD330-Parametri_v3!$C$31))),0)</f>
        <v>0</v>
      </c>
      <c r="AZ330" s="15" t="n">
        <f aca="false">0</f>
        <v>0</v>
      </c>
      <c r="BA330" s="15" t="n">
        <f aca="false">0</f>
        <v>0</v>
      </c>
      <c r="BB330" s="15" t="n">
        <f aca="false">0</f>
        <v>0</v>
      </c>
      <c r="BC330" s="15" t="n">
        <f aca="false">0</f>
        <v>0</v>
      </c>
      <c r="BD330" s="15" t="n">
        <f aca="false">(BH329)+AC330-AF330-AI330-AS330-K330*(1+Parametri_v3!$C$26)-AL330-AQ330-O330+AW330+AX330+AZ330+BA330-BB330</f>
        <v>475.523466456609</v>
      </c>
      <c r="BE330" s="15" t="n">
        <f aca="false">0</f>
        <v>0</v>
      </c>
      <c r="BF330" s="15" t="n">
        <f aca="false">0</f>
        <v>0</v>
      </c>
      <c r="BG330" s="15" t="n">
        <f aca="false">0</f>
        <v>0</v>
      </c>
      <c r="BH330" s="15" t="n">
        <f aca="false">BD330+BE330-BF330-AY330</f>
        <v>475.523466456609</v>
      </c>
      <c r="BI330" s="15" t="n">
        <f aca="false">MAX(0,Parametri_v3!$C$31-BH330)</f>
        <v>9524.47653354339</v>
      </c>
      <c r="BJ330" s="15" t="n">
        <f aca="false">(BJ329)+K330</f>
        <v>8833.33333333334</v>
      </c>
      <c r="BK330" s="15" t="n">
        <f aca="false">(BK329)+L330</f>
        <v>2923.61111111111</v>
      </c>
      <c r="BL330" s="15" t="n">
        <f aca="false">BJ330-BK330</f>
        <v>5909.72222222222</v>
      </c>
      <c r="BM330" s="15" t="n">
        <f aca="false">(BM329)+Y330</f>
        <v>97954.6322384379</v>
      </c>
      <c r="BN330" s="15" t="n">
        <f aca="false">(BN329)+AW330+AX330+AZ330</f>
        <v>20000</v>
      </c>
      <c r="BO330" s="15" t="n">
        <f aca="false">(BO329)+AY330</f>
        <v>0</v>
      </c>
      <c r="BP330" s="15" t="n">
        <f aca="false">MIN(Parametri_v3!$C$36*Parametri_v3!$C$35,(BP329)+IF(2=1,MAX(0,SUM(Y317:Y328))*Parametri_v3!$C$34,0))</f>
        <v>2000</v>
      </c>
      <c r="BQ330" s="15" t="n">
        <f aca="false">BN330+BM330-BO330</f>
        <v>117954.632238438</v>
      </c>
      <c r="BR330" s="15" t="n">
        <f aca="false">BH330+AD330+BL330+MAX(0,-AM330)+MAX(0,-AR330)</f>
        <v>195462.334890557</v>
      </c>
      <c r="BS330" s="15" t="n">
        <f aca="false">AJ330+AV330+MAX(0,AM330)+MAX(0,AR330)+BC330+BG330+BQ330+AG330</f>
        <v>195462.334890557</v>
      </c>
      <c r="BT330" s="15" t="n">
        <f aca="false">BR330-BS330</f>
        <v>0</v>
      </c>
      <c r="BU330" s="15" t="n">
        <f aca="false">BH330-(BD330+BE330-BF330-AY330)</f>
        <v>0</v>
      </c>
      <c r="BV330" s="15" t="n">
        <f aca="false">IF(BH329&lt;Parametri_v3!$C$31,0,BV329+1)</f>
        <v>2</v>
      </c>
    </row>
    <row r="331" customFormat="false" ht="18" hidden="false" customHeight="true" outlineLevel="0" collapsed="false">
      <c r="A331" s="68" t="n">
        <f aca="false">6</f>
        <v>6</v>
      </c>
      <c r="B331" s="68" t="n">
        <f aca="false">27</f>
        <v>27</v>
      </c>
      <c r="C331" s="18" t="n">
        <f aca="false">Motore_Operativo!C331</f>
        <v>47178</v>
      </c>
      <c r="D331" s="68" t="n">
        <f aca="false">Motore_Operativo!D331</f>
        <v>2029</v>
      </c>
      <c r="E331" s="68" t="n">
        <f aca="false">Motore_Operativo!E331</f>
        <v>3</v>
      </c>
      <c r="F331" s="15" t="n">
        <f aca="false">Motore_Operativo!AM331</f>
        <v>60500</v>
      </c>
      <c r="G331" s="15" t="n">
        <f aca="false">Motore_Operativo!BH331</f>
        <v>6050</v>
      </c>
      <c r="H331" s="15" t="n">
        <f aca="false">Motore_Operativo!AM331</f>
        <v>60500</v>
      </c>
      <c r="I331" s="15" t="n">
        <f aca="false">Motore_Operativo!CB331</f>
        <v>46259.8958333333</v>
      </c>
      <c r="J331" s="15" t="n">
        <f aca="false">Motore_Operativo!CD331</f>
        <v>14240.1041666667</v>
      </c>
      <c r="K331" s="15" t="n">
        <f aca="false">Motore_Operativo!CF331</f>
        <v>416.666666666667</v>
      </c>
      <c r="L331" s="15" t="n">
        <f aca="false">SUM(INDEX($K$305:$K$364,MAX(1,27-Parametri_v3!$C$59+1)):K331)/Parametri_v3!$C$59</f>
        <v>256.944444444444</v>
      </c>
      <c r="M331" s="15" t="n">
        <f aca="false">J331-L331</f>
        <v>13983.1597222222</v>
      </c>
      <c r="N331" s="15" t="n">
        <f aca="false">0</f>
        <v>0</v>
      </c>
      <c r="O331" s="15" t="n">
        <f aca="false">0</f>
        <v>0</v>
      </c>
      <c r="P331" s="15" t="n">
        <f aca="false">M331+N331-O331</f>
        <v>13983.1597222222</v>
      </c>
      <c r="Q331" s="15" t="n">
        <f aca="false">SUM(P329:P331)+Parametri_v3!$C$56*3/12</f>
        <v>41984.2013888889</v>
      </c>
      <c r="R331" s="15" t="n">
        <f aca="false">Z328</f>
        <v>0</v>
      </c>
      <c r="S331" s="15" t="n">
        <f aca="false">AA328</f>
        <v>0</v>
      </c>
      <c r="T331" s="15" t="n">
        <f aca="false">MIN(R331,MAX(0,Q331))</f>
        <v>0</v>
      </c>
      <c r="U331" s="15" t="n">
        <f aca="false">MIN(S331,MAX(0,Q331-T331)*Parametri_v3!$C$42)</f>
        <v>0</v>
      </c>
      <c r="V331" s="15" t="n">
        <f aca="false">MAX(0,Q331-T331-U331)*Ipotesi!$C$92</f>
        <v>10076.2083333333</v>
      </c>
      <c r="W331" s="15" t="n">
        <f aca="false">MAX(0,SUM(M329:M331)+Parametri_v3!$C$57*3/12)*Ipotesi!$C$93</f>
        <v>1637.38385416667</v>
      </c>
      <c r="X331" s="15" t="n">
        <f aca="false">V331+W331-(V330+W330)</f>
        <v>3901.3015625</v>
      </c>
      <c r="Y331" s="15" t="n">
        <f aca="false">P331-X331</f>
        <v>10081.8581597222</v>
      </c>
      <c r="Z331" s="15" t="n">
        <f aca="false">R331-T331+IF(AND(Parametri_v3!$C$40=1,D331-YEAR(Parametri_v3!$C$50)&lt;Parametri_v3!$C$41),MAX(0,-Q331),0)</f>
        <v>0</v>
      </c>
      <c r="AA331" s="15" t="n">
        <f aca="false">S331-U331+IF(AND(Parametri_v3!$C$40=1,D331-YEAR(Parametri_v3!$C$50)&lt;Parametri_v3!$C$41),0,MAX(0,-Q331))</f>
        <v>0</v>
      </c>
      <c r="AB331" s="15" t="n">
        <f aca="false">F331*(1+Parametri_v3!$C$26)</f>
        <v>73810</v>
      </c>
      <c r="AC331" s="15" t="n">
        <f aca="false">(IF(27-(INT((Motore_Operativo!L331)/30))&lt;1,0,INDEX(Motore_Advisory!$AB$305:$AB$364,MAX(1,27-(INT((Motore_Operativo!L331)/30)))))*(1-(MOD((Motore_Operativo!L331),30)/30))+IF(27-(INT((Motore_Operativo!L331)/30))-1&lt;1,0,INDEX(Motore_Advisory!$AB$305:$AB$364,MAX(1,27-(INT((Motore_Operativo!L331)/30))-1)))*(MOD((Motore_Operativo!L331),30)/30))</f>
        <v>41457.0892018779</v>
      </c>
      <c r="AD331" s="15" t="n">
        <f aca="false">(AD330)+AB331-AC331</f>
        <v>221430</v>
      </c>
      <c r="AE331" s="15" t="n">
        <f aca="false">Motore_Operativo!BH331*(1+Parametri_v3!$C$26)</f>
        <v>7381</v>
      </c>
      <c r="AF331" s="15" t="n">
        <f aca="false">(IF(27-(INT((Parametri_v3!$C$29)/30))&lt;1,0,INDEX(Motore_Operativo!$BH$305:$BH$364,MAX(1,27-(INT((Parametri_v3!$C$29)/30)))))*(1-(MOD((Parametri_v3!$C$29),30)/30))+IF(27-(INT((Parametri_v3!$C$29)/30))-1&lt;1,0,INDEX(Motore_Operativo!$BH$305:$BH$364,MAX(1,27-(INT((Parametri_v3!$C$29)/30))-1)))*(MOD((Parametri_v3!$C$29),30)/30))*(1+Parametri_v3!$C$26)</f>
        <v>7381</v>
      </c>
      <c r="AG331" s="15" t="n">
        <f aca="false">(AG330)+AE331-AF331</f>
        <v>7381</v>
      </c>
      <c r="AH331" s="15" t="n">
        <f aca="false">(Motore_Operativo!CK331)*(1+Parametri_v3!$C$28*Parametri_v3!$C$26)</f>
        <v>17395.98</v>
      </c>
      <c r="AI331" s="15" t="n">
        <f aca="false">(IF(27-(INT((Ipotesi!$C$91)/30))&lt;1,0,INDEX(Motore_Advisory!$AH$305:$AH$364,MAX(1,27-(INT((Ipotesi!$C$91)/30)))))*(1-(MOD((Ipotesi!$C$91),30)/30))+IF(27-(INT((Ipotesi!$C$91)/30))-1&lt;1,0,INDEX(Motore_Advisory!$AH$305:$AH$364,MAX(1,27-(INT((Ipotesi!$C$91)/30))-1)))*(MOD((Ipotesi!$C$91),30)/30))</f>
        <v>17395.98</v>
      </c>
      <c r="AJ331" s="15" t="n">
        <f aca="false">(AJ330)+AH331-AI331</f>
        <v>34791.96</v>
      </c>
      <c r="AK331" s="15" t="n">
        <f aca="false">(F331- Motore_Operativo!BH331-(Motore_Operativo!CK331)*Parametri_v3!$C$28-Motore_Operativo!CF331)*Parametri_v3!$C$26</f>
        <v>9283.85333333333</v>
      </c>
      <c r="AL331" s="15" t="n">
        <f aca="false">MAX(0,(AM330))</f>
        <v>9283.85333333333</v>
      </c>
      <c r="AM331" s="15" t="n">
        <f aca="false">(AM330)+AK331-AL331</f>
        <v>9283.85333333333</v>
      </c>
      <c r="AN331" s="15" t="n">
        <f aca="false">SUM(X317:X328)</f>
        <v>16530.1714788732</v>
      </c>
      <c r="AO331" s="15" t="n">
        <f aca="false">SUM(AP317:AP328)</f>
        <v>13562.3123684211</v>
      </c>
      <c r="AP331" s="15" t="n">
        <f aca="false">MAX(0,AN331)*IF(3=Parametri_v3!$C$43,Parametri_v3!$C$45,IF(3=Parametri_v3!$C$44,1-Parametri_v3!$C$45,0))</f>
        <v>0</v>
      </c>
      <c r="AQ331" s="15" t="n">
        <f aca="false">MAX(0,AP331+IF(3=Parametri_v3!$C$43,MAX(0,AN331-AO331),0)-MAX(0,-(AR330)))</f>
        <v>0</v>
      </c>
      <c r="AR331" s="15" t="n">
        <f aca="false">(AR330)+X331-AQ331</f>
        <v>14681.4512979522</v>
      </c>
      <c r="AS331" s="15" t="n">
        <f aca="false">Motore_Operativo!AC331-AT331+AU331</f>
        <v>24146.5260416667</v>
      </c>
      <c r="AT331" s="15" t="n">
        <f aca="false">Motore_Operativo!CI331</f>
        <v>1270.86979166667</v>
      </c>
      <c r="AU331" s="15" t="n">
        <f aca="false">MIN(MAX(0,(AV330)+AT331),Parametri_v3!$C$61/12)</f>
        <v>0</v>
      </c>
      <c r="AV331" s="15" t="n">
        <f aca="false">(AV330)+AT331-AU331</f>
        <v>16541.609375</v>
      </c>
      <c r="AW331" s="15" t="n">
        <f aca="false">IF(AND(Motore_Operativo!C331=Finanziamenti!$D$7,Finanziamenti!$F$7=1),Finanziamenti!$C$7,0)</f>
        <v>0</v>
      </c>
      <c r="AX331" s="15" t="n">
        <f aca="false">0</f>
        <v>0</v>
      </c>
      <c r="AY331" s="15" t="n">
        <f aca="false">IF(3=Parametri_v3!$C$33,IF(BV331&lt;MIN(12,$B331-1),0,MIN(MAX(0,SUM(Y317:Y328))*Ipotesi!$C$94,MAX(0,(BM328)-(BO330)-BP331),MAX(0,BD331-Parametri_v3!$C$31))),0)</f>
        <v>0</v>
      </c>
      <c r="AZ331" s="15" t="n">
        <f aca="false">0</f>
        <v>0</v>
      </c>
      <c r="BA331" s="15" t="n">
        <f aca="false">0</f>
        <v>0</v>
      </c>
      <c r="BB331" s="15" t="n">
        <f aca="false">0</f>
        <v>0</v>
      </c>
      <c r="BC331" s="15" t="n">
        <f aca="false">0</f>
        <v>0</v>
      </c>
      <c r="BD331" s="15" t="n">
        <f aca="false">(BH330)+AC331-AF331-AI331-AS331-K331*(1+Parametri_v3!$C$26)-AL331-AQ331-O331+AW331+AX331+AZ331+BA331-BB331</f>
        <v>-16783.0800399988</v>
      </c>
      <c r="BE331" s="15" t="n">
        <f aca="false">0</f>
        <v>0</v>
      </c>
      <c r="BF331" s="15" t="n">
        <f aca="false">0</f>
        <v>0</v>
      </c>
      <c r="BG331" s="15" t="n">
        <f aca="false">0</f>
        <v>0</v>
      </c>
      <c r="BH331" s="15" t="n">
        <f aca="false">BD331+BE331-BF331-AY331</f>
        <v>-16783.0800399988</v>
      </c>
      <c r="BI331" s="15" t="n">
        <f aca="false">MAX(0,Parametri_v3!$C$31-BH331)</f>
        <v>26783.0800399988</v>
      </c>
      <c r="BJ331" s="15" t="n">
        <f aca="false">(BJ330)+K331</f>
        <v>9250</v>
      </c>
      <c r="BK331" s="15" t="n">
        <f aca="false">(BK330)+L331</f>
        <v>3180.55555555556</v>
      </c>
      <c r="BL331" s="15" t="n">
        <f aca="false">BJ331-BK331</f>
        <v>6069.44444444445</v>
      </c>
      <c r="BM331" s="15" t="n">
        <f aca="false">(BM330)+Y331</f>
        <v>108036.49039816</v>
      </c>
      <c r="BN331" s="15" t="n">
        <f aca="false">(BN330)+AW331+AX331+AZ331</f>
        <v>20000</v>
      </c>
      <c r="BO331" s="15" t="n">
        <f aca="false">(BO330)+AY331</f>
        <v>0</v>
      </c>
      <c r="BP331" s="15" t="n">
        <f aca="false">MIN(Parametri_v3!$C$36*Parametri_v3!$C$35,(BP330)+IF(3=1,MAX(0,SUM(Y317:Y328))*Parametri_v3!$C$34,0))</f>
        <v>2000</v>
      </c>
      <c r="BQ331" s="15" t="n">
        <f aca="false">BN331+BM331-BO331</f>
        <v>128036.49039816</v>
      </c>
      <c r="BR331" s="15" t="n">
        <f aca="false">BH331+AD331+BL331+MAX(0,-AM331)+MAX(0,-AR331)</f>
        <v>210716.364404446</v>
      </c>
      <c r="BS331" s="15" t="n">
        <f aca="false">AJ331+AV331+MAX(0,AM331)+MAX(0,AR331)+BC331+BG331+BQ331+AG331</f>
        <v>210716.364404446</v>
      </c>
      <c r="BT331" s="15" t="n">
        <f aca="false">BR331-BS331</f>
        <v>0</v>
      </c>
      <c r="BU331" s="15" t="n">
        <f aca="false">BH331-(BD331+BE331-BF331-AY331)</f>
        <v>0</v>
      </c>
      <c r="BV331" s="15" t="n">
        <f aca="false">IF(BH330&lt;Parametri_v3!$C$31,0,BV330+1)</f>
        <v>0</v>
      </c>
    </row>
    <row r="332" customFormat="false" ht="18" hidden="false" customHeight="true" outlineLevel="0" collapsed="false">
      <c r="A332" s="68" t="n">
        <f aca="false">6</f>
        <v>6</v>
      </c>
      <c r="B332" s="68" t="n">
        <f aca="false">28</f>
        <v>28</v>
      </c>
      <c r="C332" s="18" t="n">
        <f aca="false">Motore_Operativo!C332</f>
        <v>47209</v>
      </c>
      <c r="D332" s="68" t="n">
        <f aca="false">Motore_Operativo!D332</f>
        <v>2029</v>
      </c>
      <c r="E332" s="68" t="n">
        <f aca="false">Motore_Operativo!E332</f>
        <v>4</v>
      </c>
      <c r="F332" s="15" t="n">
        <f aca="false">Motore_Operativo!AM332</f>
        <v>60500</v>
      </c>
      <c r="G332" s="15" t="n">
        <f aca="false">Motore_Operativo!BH332</f>
        <v>6050</v>
      </c>
      <c r="H332" s="15" t="n">
        <f aca="false">Motore_Operativo!AM332</f>
        <v>60500</v>
      </c>
      <c r="I332" s="15" t="n">
        <f aca="false">Motore_Operativo!CB332</f>
        <v>46259.8958333333</v>
      </c>
      <c r="J332" s="15" t="n">
        <f aca="false">Motore_Operativo!CD332</f>
        <v>14240.1041666667</v>
      </c>
      <c r="K332" s="15" t="n">
        <f aca="false">Motore_Operativo!CF332</f>
        <v>416.666666666667</v>
      </c>
      <c r="L332" s="15" t="n">
        <f aca="false">SUM(INDEX($K$305:$K$364,MAX(1,28-Parametri_v3!$C$59+1)):K332)/Parametri_v3!$C$59</f>
        <v>268.518518518519</v>
      </c>
      <c r="M332" s="15" t="n">
        <f aca="false">J332-L332</f>
        <v>13971.5856481482</v>
      </c>
      <c r="N332" s="15" t="n">
        <f aca="false">0</f>
        <v>0</v>
      </c>
      <c r="O332" s="15" t="n">
        <f aca="false">0</f>
        <v>0</v>
      </c>
      <c r="P332" s="15" t="n">
        <f aca="false">M332+N332-O332</f>
        <v>13971.5856481482</v>
      </c>
      <c r="Q332" s="15" t="n">
        <f aca="false">SUM(P329:P332)+Parametri_v3!$C$56*4/12</f>
        <v>55955.7870370371</v>
      </c>
      <c r="R332" s="15" t="n">
        <f aca="false">Z328</f>
        <v>0</v>
      </c>
      <c r="S332" s="15" t="n">
        <f aca="false">AA328</f>
        <v>0</v>
      </c>
      <c r="T332" s="15" t="n">
        <f aca="false">MIN(R332,MAX(0,Q332))</f>
        <v>0</v>
      </c>
      <c r="U332" s="15" t="n">
        <f aca="false">MIN(S332,MAX(0,Q332-T332)*Parametri_v3!$C$42)</f>
        <v>0</v>
      </c>
      <c r="V332" s="15" t="n">
        <f aca="false">MAX(0,Q332-T332-U332)*Ipotesi!$C$92</f>
        <v>13429.3888888889</v>
      </c>
      <c r="W332" s="15" t="n">
        <f aca="false">MAX(0,SUM(M329:M332)+Parametri_v3!$C$57*4/12)*Ipotesi!$C$93</f>
        <v>2182.27569444445</v>
      </c>
      <c r="X332" s="15" t="n">
        <f aca="false">V332+W332-(V331+W331)</f>
        <v>3898.07239583333</v>
      </c>
      <c r="Y332" s="15" t="n">
        <f aca="false">P332-X332</f>
        <v>10073.5132523148</v>
      </c>
      <c r="Z332" s="15" t="n">
        <f aca="false">R332-T332+IF(AND(Parametri_v3!$C$40=1,D332-YEAR(Parametri_v3!$C$50)&lt;Parametri_v3!$C$41),MAX(0,-Q332),0)</f>
        <v>0</v>
      </c>
      <c r="AA332" s="15" t="n">
        <f aca="false">S332-U332+IF(AND(Parametri_v3!$C$40=1,D332-YEAR(Parametri_v3!$C$50)&lt;Parametri_v3!$C$41),0,MAX(0,-Q332))</f>
        <v>0</v>
      </c>
      <c r="AB332" s="15" t="n">
        <f aca="false">F332*(1+Parametri_v3!$C$26)</f>
        <v>73810</v>
      </c>
      <c r="AC332" s="15" t="n">
        <f aca="false">(IF(28-(INT((Motore_Operativo!L332)/30))&lt;1,0,INDEX(Motore_Advisory!$AB$305:$AB$364,MAX(1,28-(INT((Motore_Operativo!L332)/30)))))*(1-(MOD((Motore_Operativo!L332),30)/30))+IF(28-(INT((Motore_Operativo!L332)/30))-1&lt;1,0,INDEX(Motore_Advisory!$AB$305:$AB$364,MAX(1,28-(INT((Motore_Operativo!L332)/30))-1)))*(MOD((Motore_Operativo!L332),30)/30))</f>
        <v>73810</v>
      </c>
      <c r="AD332" s="15" t="n">
        <f aca="false">(AD331)+AB332-AC332</f>
        <v>221430</v>
      </c>
      <c r="AE332" s="15" t="n">
        <f aca="false">Motore_Operativo!BH332*(1+Parametri_v3!$C$26)</f>
        <v>7381</v>
      </c>
      <c r="AF332" s="15" t="n">
        <f aca="false">(IF(28-(INT((Parametri_v3!$C$29)/30))&lt;1,0,INDEX(Motore_Operativo!$BH$305:$BH$364,MAX(1,28-(INT((Parametri_v3!$C$29)/30)))))*(1-(MOD((Parametri_v3!$C$29),30)/30))+IF(28-(INT((Parametri_v3!$C$29)/30))-1&lt;1,0,INDEX(Motore_Operativo!$BH$305:$BH$364,MAX(1,28-(INT((Parametri_v3!$C$29)/30))-1)))*(MOD((Parametri_v3!$C$29),30)/30))*(1+Parametri_v3!$C$26)</f>
        <v>7381</v>
      </c>
      <c r="AG332" s="15" t="n">
        <f aca="false">(AG331)+AE332-AF332</f>
        <v>7381</v>
      </c>
      <c r="AH332" s="15" t="n">
        <f aca="false">(Motore_Operativo!CK332)*(1+Parametri_v3!$C$28*Parametri_v3!$C$26)</f>
        <v>17395.98</v>
      </c>
      <c r="AI332" s="15" t="n">
        <f aca="false">(IF(28-(INT((Ipotesi!$C$91)/30))&lt;1,0,INDEX(Motore_Advisory!$AH$305:$AH$364,MAX(1,28-(INT((Ipotesi!$C$91)/30)))))*(1-(MOD((Ipotesi!$C$91),30)/30))+IF(28-(INT((Ipotesi!$C$91)/30))-1&lt;1,0,INDEX(Motore_Advisory!$AH$305:$AH$364,MAX(1,28-(INT((Ipotesi!$C$91)/30))-1)))*(MOD((Ipotesi!$C$91),30)/30))</f>
        <v>17395.98</v>
      </c>
      <c r="AJ332" s="15" t="n">
        <f aca="false">(AJ331)+AH332-AI332</f>
        <v>34791.96</v>
      </c>
      <c r="AK332" s="15" t="n">
        <f aca="false">(F332- Motore_Operativo!BH332-(Motore_Operativo!CK332)*Parametri_v3!$C$28-Motore_Operativo!CF332)*Parametri_v3!$C$26</f>
        <v>9283.85333333333</v>
      </c>
      <c r="AL332" s="15" t="n">
        <f aca="false">MAX(0,(AM331))</f>
        <v>9283.85333333333</v>
      </c>
      <c r="AM332" s="15" t="n">
        <f aca="false">(AM331)+AK332-AL332</f>
        <v>9283.85333333333</v>
      </c>
      <c r="AN332" s="15" t="n">
        <f aca="false">SUM(X317:X328)</f>
        <v>16530.1714788732</v>
      </c>
      <c r="AO332" s="15" t="n">
        <f aca="false">SUM(AP317:AP328)</f>
        <v>13562.3123684211</v>
      </c>
      <c r="AP332" s="15" t="n">
        <f aca="false">MAX(0,AN332)*IF(4=Parametri_v3!$C$43,Parametri_v3!$C$45,IF(4=Parametri_v3!$C$44,1-Parametri_v3!$C$45,0))</f>
        <v>0</v>
      </c>
      <c r="AQ332" s="15" t="n">
        <f aca="false">MAX(0,AP332+IF(4=Parametri_v3!$C$43,MAX(0,AN332-AO332),0)-MAX(0,-(AR331)))</f>
        <v>0</v>
      </c>
      <c r="AR332" s="15" t="n">
        <f aca="false">(AR331)+X332-AQ332</f>
        <v>18579.5236937855</v>
      </c>
      <c r="AS332" s="15" t="n">
        <f aca="false">Motore_Operativo!AC332-AT332+AU332</f>
        <v>24146.5260416667</v>
      </c>
      <c r="AT332" s="15" t="n">
        <f aca="false">Motore_Operativo!CI332</f>
        <v>1270.86979166667</v>
      </c>
      <c r="AU332" s="15" t="n">
        <f aca="false">MIN(MAX(0,(AV331)+AT332),Parametri_v3!$C$61/12)</f>
        <v>0</v>
      </c>
      <c r="AV332" s="15" t="n">
        <f aca="false">(AV331)+AT332-AU332</f>
        <v>17812.4791666667</v>
      </c>
      <c r="AW332" s="15" t="n">
        <f aca="false">IF(AND(Motore_Operativo!C332=Finanziamenti!$D$7,Finanziamenti!$F$7=1),Finanziamenti!$C$7,0)</f>
        <v>0</v>
      </c>
      <c r="AX332" s="15" t="n">
        <f aca="false">0</f>
        <v>0</v>
      </c>
      <c r="AY332" s="15" t="n">
        <f aca="false">IF(4=Parametri_v3!$C$33,IF(BV332&lt;MIN(12,$B332-1),0,MIN(MAX(0,SUM(Y317:Y328))*Ipotesi!$C$94,MAX(0,(BM328)-(BO331)-BP332),MAX(0,BD332-Parametri_v3!$C$31))),0)</f>
        <v>0</v>
      </c>
      <c r="AZ332" s="15" t="n">
        <f aca="false">0</f>
        <v>0</v>
      </c>
      <c r="BA332" s="15" t="n">
        <f aca="false">0</f>
        <v>0</v>
      </c>
      <c r="BB332" s="15" t="n">
        <f aca="false">0</f>
        <v>0</v>
      </c>
      <c r="BC332" s="15" t="n">
        <f aca="false">0</f>
        <v>0</v>
      </c>
      <c r="BD332" s="15" t="n">
        <f aca="false">(BH331)+AC332-AF332-AI332-AS332-K332*(1+Parametri_v3!$C$26)-AL332-AQ332-O332+AW332+AX332+AZ332+BA332-BB332</f>
        <v>-1688.77274833214</v>
      </c>
      <c r="BE332" s="15" t="n">
        <f aca="false">0</f>
        <v>0</v>
      </c>
      <c r="BF332" s="15" t="n">
        <f aca="false">0</f>
        <v>0</v>
      </c>
      <c r="BG332" s="15" t="n">
        <f aca="false">0</f>
        <v>0</v>
      </c>
      <c r="BH332" s="15" t="n">
        <f aca="false">BD332+BE332-BF332-AY332</f>
        <v>-1688.77274833214</v>
      </c>
      <c r="BI332" s="15" t="n">
        <f aca="false">MAX(0,Parametri_v3!$C$31-BH332)</f>
        <v>11688.7727483321</v>
      </c>
      <c r="BJ332" s="15" t="n">
        <f aca="false">(BJ331)+K332</f>
        <v>9666.66666666667</v>
      </c>
      <c r="BK332" s="15" t="n">
        <f aca="false">(BK331)+L332</f>
        <v>3449.07407407407</v>
      </c>
      <c r="BL332" s="15" t="n">
        <f aca="false">BJ332-BK332</f>
        <v>6217.59259259259</v>
      </c>
      <c r="BM332" s="15" t="n">
        <f aca="false">(BM331)+Y332</f>
        <v>118110.003650475</v>
      </c>
      <c r="BN332" s="15" t="n">
        <f aca="false">(BN331)+AW332+AX332+AZ332</f>
        <v>20000</v>
      </c>
      <c r="BO332" s="15" t="n">
        <f aca="false">(BO331)+AY332</f>
        <v>0</v>
      </c>
      <c r="BP332" s="15" t="n">
        <f aca="false">MIN(Parametri_v3!$C$36*Parametri_v3!$C$35,(BP331)+IF(4=1,MAX(0,SUM(Y317:Y328))*Parametri_v3!$C$34,0))</f>
        <v>2000</v>
      </c>
      <c r="BQ332" s="15" t="n">
        <f aca="false">BN332+BM332-BO332</f>
        <v>138110.003650475</v>
      </c>
      <c r="BR332" s="15" t="n">
        <f aca="false">BH332+AD332+BL332+MAX(0,-AM332)+MAX(0,-AR332)</f>
        <v>225958.81984426</v>
      </c>
      <c r="BS332" s="15" t="n">
        <f aca="false">AJ332+AV332+MAX(0,AM332)+MAX(0,AR332)+BC332+BG332+BQ332+AG332</f>
        <v>225958.819844261</v>
      </c>
      <c r="BT332" s="15" t="n">
        <f aca="false">BR332-BS332</f>
        <v>0</v>
      </c>
      <c r="BU332" s="15" t="n">
        <f aca="false">BH332-(BD332+BE332-BF332-AY332)</f>
        <v>0</v>
      </c>
      <c r="BV332" s="15" t="n">
        <f aca="false">IF(BH331&lt;Parametri_v3!$C$31,0,BV331+1)</f>
        <v>0</v>
      </c>
    </row>
    <row r="333" customFormat="false" ht="18" hidden="false" customHeight="true" outlineLevel="0" collapsed="false">
      <c r="A333" s="68" t="n">
        <f aca="false">6</f>
        <v>6</v>
      </c>
      <c r="B333" s="68" t="n">
        <f aca="false">29</f>
        <v>29</v>
      </c>
      <c r="C333" s="18" t="n">
        <f aca="false">Motore_Operativo!C333</f>
        <v>47239</v>
      </c>
      <c r="D333" s="68" t="n">
        <f aca="false">Motore_Operativo!D333</f>
        <v>2029</v>
      </c>
      <c r="E333" s="68" t="n">
        <f aca="false">Motore_Operativo!E333</f>
        <v>5</v>
      </c>
      <c r="F333" s="15" t="n">
        <f aca="false">Motore_Operativo!AM333</f>
        <v>60500</v>
      </c>
      <c r="G333" s="15" t="n">
        <f aca="false">Motore_Operativo!BH333</f>
        <v>6050</v>
      </c>
      <c r="H333" s="15" t="n">
        <f aca="false">Motore_Operativo!AM333</f>
        <v>60500</v>
      </c>
      <c r="I333" s="15" t="n">
        <f aca="false">Motore_Operativo!CB333</f>
        <v>46259.8958333333</v>
      </c>
      <c r="J333" s="15" t="n">
        <f aca="false">Motore_Operativo!CD333</f>
        <v>14240.1041666667</v>
      </c>
      <c r="K333" s="15" t="n">
        <f aca="false">Motore_Operativo!CF333</f>
        <v>416.666666666667</v>
      </c>
      <c r="L333" s="15" t="n">
        <f aca="false">SUM(INDEX($K$305:$K$364,MAX(1,29-Parametri_v3!$C$59+1)):K333)/Parametri_v3!$C$59</f>
        <v>280.092592592593</v>
      </c>
      <c r="M333" s="15" t="n">
        <f aca="false">J333-L333</f>
        <v>13960.0115740741</v>
      </c>
      <c r="N333" s="15" t="n">
        <f aca="false">0</f>
        <v>0</v>
      </c>
      <c r="O333" s="15" t="n">
        <f aca="false">0</f>
        <v>0</v>
      </c>
      <c r="P333" s="15" t="n">
        <f aca="false">M333+N333-O333</f>
        <v>13960.0115740741</v>
      </c>
      <c r="Q333" s="15" t="n">
        <f aca="false">SUM(P329:P333)+Parametri_v3!$C$56*5/12</f>
        <v>69915.7986111111</v>
      </c>
      <c r="R333" s="15" t="n">
        <f aca="false">Z328</f>
        <v>0</v>
      </c>
      <c r="S333" s="15" t="n">
        <f aca="false">AA328</f>
        <v>0</v>
      </c>
      <c r="T333" s="15" t="n">
        <f aca="false">MIN(R333,MAX(0,Q333))</f>
        <v>0</v>
      </c>
      <c r="U333" s="15" t="n">
        <f aca="false">MIN(S333,MAX(0,Q333-T333)*Parametri_v3!$C$42)</f>
        <v>0</v>
      </c>
      <c r="V333" s="15" t="n">
        <f aca="false">MAX(0,Q333-T333-U333)*Ipotesi!$C$92</f>
        <v>16779.7916666667</v>
      </c>
      <c r="W333" s="15" t="n">
        <f aca="false">MAX(0,SUM(M329:M333)+Parametri_v3!$C$57*5/12)*Ipotesi!$C$93</f>
        <v>2726.71614583333</v>
      </c>
      <c r="X333" s="15" t="n">
        <f aca="false">V333+W333-(V332+W332)</f>
        <v>3894.84322916667</v>
      </c>
      <c r="Y333" s="15" t="n">
        <f aca="false">P333-X333</f>
        <v>10065.1683449074</v>
      </c>
      <c r="Z333" s="15" t="n">
        <f aca="false">R333-T333+IF(AND(Parametri_v3!$C$40=1,D333-YEAR(Parametri_v3!$C$50)&lt;Parametri_v3!$C$41),MAX(0,-Q333),0)</f>
        <v>0</v>
      </c>
      <c r="AA333" s="15" t="n">
        <f aca="false">S333-U333+IF(AND(Parametri_v3!$C$40=1,D333-YEAR(Parametri_v3!$C$50)&lt;Parametri_v3!$C$41),0,MAX(0,-Q333))</f>
        <v>0</v>
      </c>
      <c r="AB333" s="15" t="n">
        <f aca="false">F333*(1+Parametri_v3!$C$26)</f>
        <v>73810</v>
      </c>
      <c r="AC333" s="15" t="n">
        <f aca="false">(IF(29-(INT((Motore_Operativo!L333)/30))&lt;1,0,INDEX(Motore_Advisory!$AB$305:$AB$364,MAX(1,29-(INT((Motore_Operativo!L333)/30)))))*(1-(MOD((Motore_Operativo!L333),30)/30))+IF(29-(INT((Motore_Operativo!L333)/30))-1&lt;1,0,INDEX(Motore_Advisory!$AB$305:$AB$364,MAX(1,29-(INT((Motore_Operativo!L333)/30))-1)))*(MOD((Motore_Operativo!L333),30)/30))</f>
        <v>73810</v>
      </c>
      <c r="AD333" s="15" t="n">
        <f aca="false">(AD332)+AB333-AC333</f>
        <v>221430</v>
      </c>
      <c r="AE333" s="15" t="n">
        <f aca="false">Motore_Operativo!BH333*(1+Parametri_v3!$C$26)</f>
        <v>7381</v>
      </c>
      <c r="AF333" s="15" t="n">
        <f aca="false">(IF(29-(INT((Parametri_v3!$C$29)/30))&lt;1,0,INDEX(Motore_Operativo!$BH$305:$BH$364,MAX(1,29-(INT((Parametri_v3!$C$29)/30)))))*(1-(MOD((Parametri_v3!$C$29),30)/30))+IF(29-(INT((Parametri_v3!$C$29)/30))-1&lt;1,0,INDEX(Motore_Operativo!$BH$305:$BH$364,MAX(1,29-(INT((Parametri_v3!$C$29)/30))-1)))*(MOD((Parametri_v3!$C$29),30)/30))*(1+Parametri_v3!$C$26)</f>
        <v>7381</v>
      </c>
      <c r="AG333" s="15" t="n">
        <f aca="false">(AG332)+AE333-AF333</f>
        <v>7381</v>
      </c>
      <c r="AH333" s="15" t="n">
        <f aca="false">(Motore_Operativo!CK333)*(1+Parametri_v3!$C$28*Parametri_v3!$C$26)</f>
        <v>17395.98</v>
      </c>
      <c r="AI333" s="15" t="n">
        <f aca="false">(IF(29-(INT((Ipotesi!$C$91)/30))&lt;1,0,INDEX(Motore_Advisory!$AH$305:$AH$364,MAX(1,29-(INT((Ipotesi!$C$91)/30)))))*(1-(MOD((Ipotesi!$C$91),30)/30))+IF(29-(INT((Ipotesi!$C$91)/30))-1&lt;1,0,INDEX(Motore_Advisory!$AH$305:$AH$364,MAX(1,29-(INT((Ipotesi!$C$91)/30))-1)))*(MOD((Ipotesi!$C$91),30)/30))</f>
        <v>17395.98</v>
      </c>
      <c r="AJ333" s="15" t="n">
        <f aca="false">(AJ332)+AH333-AI333</f>
        <v>34791.96</v>
      </c>
      <c r="AK333" s="15" t="n">
        <f aca="false">(F333- Motore_Operativo!BH333-(Motore_Operativo!CK333)*Parametri_v3!$C$28-Motore_Operativo!CF333)*Parametri_v3!$C$26</f>
        <v>9283.85333333333</v>
      </c>
      <c r="AL333" s="15" t="n">
        <f aca="false">MAX(0,(AM332))</f>
        <v>9283.85333333333</v>
      </c>
      <c r="AM333" s="15" t="n">
        <f aca="false">(AM332)+AK333-AL333</f>
        <v>9283.85333333333</v>
      </c>
      <c r="AN333" s="15" t="n">
        <f aca="false">SUM(X317:X328)</f>
        <v>16530.1714788732</v>
      </c>
      <c r="AO333" s="15" t="n">
        <f aca="false">SUM(AP317:AP328)</f>
        <v>13562.3123684211</v>
      </c>
      <c r="AP333" s="15" t="n">
        <f aca="false">MAX(0,AN333)*IF(5=Parametri_v3!$C$43,Parametri_v3!$C$45,IF(5=Parametri_v3!$C$44,1-Parametri_v3!$C$45,0))</f>
        <v>0</v>
      </c>
      <c r="AQ333" s="15" t="n">
        <f aca="false">MAX(0,AP333+IF(5=Parametri_v3!$C$43,MAX(0,AN333-AO333),0)-MAX(0,-(AR332)))</f>
        <v>0</v>
      </c>
      <c r="AR333" s="15" t="n">
        <f aca="false">(AR332)+X333-AQ333</f>
        <v>22474.3669229522</v>
      </c>
      <c r="AS333" s="15" t="n">
        <f aca="false">Motore_Operativo!AC333-AT333+AU333</f>
        <v>24146.5260416667</v>
      </c>
      <c r="AT333" s="15" t="n">
        <f aca="false">Motore_Operativo!CI333</f>
        <v>1270.86979166667</v>
      </c>
      <c r="AU333" s="15" t="n">
        <f aca="false">MIN(MAX(0,(AV332)+AT333),Parametri_v3!$C$61/12)</f>
        <v>0</v>
      </c>
      <c r="AV333" s="15" t="n">
        <f aca="false">(AV332)+AT333-AU333</f>
        <v>19083.3489583333</v>
      </c>
      <c r="AW333" s="15" t="n">
        <f aca="false">IF(AND(Motore_Operativo!C333=Finanziamenti!$D$7,Finanziamenti!$F$7=1),Finanziamenti!$C$7,0)</f>
        <v>0</v>
      </c>
      <c r="AX333" s="15" t="n">
        <f aca="false">0</f>
        <v>0</v>
      </c>
      <c r="AY333" s="15" t="n">
        <f aca="false">IF(5=Parametri_v3!$C$33,IF(BV333&lt;MIN(12,$B333-1),0,MIN(MAX(0,SUM(Y317:Y328))*Ipotesi!$C$94,MAX(0,(BM328)-(BO332)-BP333),MAX(0,BD333-Parametri_v3!$C$31))),0)</f>
        <v>0</v>
      </c>
      <c r="AZ333" s="15" t="n">
        <f aca="false">0</f>
        <v>0</v>
      </c>
      <c r="BA333" s="15" t="n">
        <f aca="false">0</f>
        <v>0</v>
      </c>
      <c r="BB333" s="15" t="n">
        <f aca="false">0</f>
        <v>0</v>
      </c>
      <c r="BC333" s="15" t="n">
        <f aca="false">0</f>
        <v>0</v>
      </c>
      <c r="BD333" s="15" t="n">
        <f aca="false">(BH332)+AC333-AF333-AI333-AS333-K333*(1+Parametri_v3!$C$26)-AL333-AQ333-O333+AW333+AX333+AZ333+BA333-BB333</f>
        <v>13405.5345433345</v>
      </c>
      <c r="BE333" s="15" t="n">
        <f aca="false">0</f>
        <v>0</v>
      </c>
      <c r="BF333" s="15" t="n">
        <f aca="false">0</f>
        <v>0</v>
      </c>
      <c r="BG333" s="15" t="n">
        <f aca="false">0</f>
        <v>0</v>
      </c>
      <c r="BH333" s="15" t="n">
        <f aca="false">BD333+BE333-BF333-AY333</f>
        <v>13405.5345433345</v>
      </c>
      <c r="BI333" s="15" t="n">
        <f aca="false">MAX(0,Parametri_v3!$C$31-BH333)</f>
        <v>0</v>
      </c>
      <c r="BJ333" s="15" t="n">
        <f aca="false">(BJ332)+K333</f>
        <v>10083.3333333333</v>
      </c>
      <c r="BK333" s="15" t="n">
        <f aca="false">(BK332)+L333</f>
        <v>3729.16666666667</v>
      </c>
      <c r="BL333" s="15" t="n">
        <f aca="false">BJ333-BK333</f>
        <v>6354.16666666667</v>
      </c>
      <c r="BM333" s="15" t="n">
        <f aca="false">(BM332)+Y333</f>
        <v>128175.171995382</v>
      </c>
      <c r="BN333" s="15" t="n">
        <f aca="false">(BN332)+AW333+AX333+AZ333</f>
        <v>20000</v>
      </c>
      <c r="BO333" s="15" t="n">
        <f aca="false">(BO332)+AY333</f>
        <v>0</v>
      </c>
      <c r="BP333" s="15" t="n">
        <f aca="false">MIN(Parametri_v3!$C$36*Parametri_v3!$C$35,(BP332)+IF(5=1,MAX(0,SUM(Y317:Y328))*Parametri_v3!$C$34,0))</f>
        <v>2000</v>
      </c>
      <c r="BQ333" s="15" t="n">
        <f aca="false">BN333+BM333-BO333</f>
        <v>148175.171995382</v>
      </c>
      <c r="BR333" s="15" t="n">
        <f aca="false">BH333+AD333+BL333+MAX(0,-AM333)+MAX(0,-AR333)</f>
        <v>241189.701210001</v>
      </c>
      <c r="BS333" s="15" t="n">
        <f aca="false">AJ333+AV333+MAX(0,AM333)+MAX(0,AR333)+BC333+BG333+BQ333+AG333</f>
        <v>241189.701210001</v>
      </c>
      <c r="BT333" s="15" t="n">
        <f aca="false">BR333-BS333</f>
        <v>0</v>
      </c>
      <c r="BU333" s="15" t="n">
        <f aca="false">BH333-(BD333+BE333-BF333-AY333)</f>
        <v>0</v>
      </c>
      <c r="BV333" s="15" t="n">
        <f aca="false">IF(BH332&lt;Parametri_v3!$C$31,0,BV332+1)</f>
        <v>0</v>
      </c>
    </row>
    <row r="334" customFormat="false" ht="18" hidden="false" customHeight="true" outlineLevel="0" collapsed="false">
      <c r="A334" s="68" t="n">
        <f aca="false">6</f>
        <v>6</v>
      </c>
      <c r="B334" s="68" t="n">
        <f aca="false">30</f>
        <v>30</v>
      </c>
      <c r="C334" s="18" t="n">
        <f aca="false">Motore_Operativo!C334</f>
        <v>47270</v>
      </c>
      <c r="D334" s="68" t="n">
        <f aca="false">Motore_Operativo!D334</f>
        <v>2029</v>
      </c>
      <c r="E334" s="68" t="n">
        <f aca="false">Motore_Operativo!E334</f>
        <v>6</v>
      </c>
      <c r="F334" s="15" t="n">
        <f aca="false">Motore_Operativo!AM334</f>
        <v>60500</v>
      </c>
      <c r="G334" s="15" t="n">
        <f aca="false">Motore_Operativo!BH334</f>
        <v>6050</v>
      </c>
      <c r="H334" s="15" t="n">
        <f aca="false">Motore_Operativo!AM334</f>
        <v>60500</v>
      </c>
      <c r="I334" s="15" t="n">
        <f aca="false">Motore_Operativo!CB334</f>
        <v>46259.8958333333</v>
      </c>
      <c r="J334" s="15" t="n">
        <f aca="false">Motore_Operativo!CD334</f>
        <v>14240.1041666667</v>
      </c>
      <c r="K334" s="15" t="n">
        <f aca="false">Motore_Operativo!CF334</f>
        <v>416.666666666667</v>
      </c>
      <c r="L334" s="15" t="n">
        <f aca="false">SUM(INDEX($K$305:$K$364,MAX(1,30-Parametri_v3!$C$59+1)):K334)/Parametri_v3!$C$59</f>
        <v>291.666666666667</v>
      </c>
      <c r="M334" s="15" t="n">
        <f aca="false">J334-L334</f>
        <v>13948.4375</v>
      </c>
      <c r="N334" s="15" t="n">
        <f aca="false">0</f>
        <v>0</v>
      </c>
      <c r="O334" s="15" t="n">
        <f aca="false">0</f>
        <v>0</v>
      </c>
      <c r="P334" s="15" t="n">
        <f aca="false">M334+N334-O334</f>
        <v>13948.4375</v>
      </c>
      <c r="Q334" s="15" t="n">
        <f aca="false">SUM(P329:P334)+Parametri_v3!$C$56*6/12</f>
        <v>83864.2361111111</v>
      </c>
      <c r="R334" s="15" t="n">
        <f aca="false">Z328</f>
        <v>0</v>
      </c>
      <c r="S334" s="15" t="n">
        <f aca="false">AA328</f>
        <v>0</v>
      </c>
      <c r="T334" s="15" t="n">
        <f aca="false">MIN(R334,MAX(0,Q334))</f>
        <v>0</v>
      </c>
      <c r="U334" s="15" t="n">
        <f aca="false">MIN(S334,MAX(0,Q334-T334)*Parametri_v3!$C$42)</f>
        <v>0</v>
      </c>
      <c r="V334" s="15" t="n">
        <f aca="false">MAX(0,Q334-T334-U334)*Ipotesi!$C$92</f>
        <v>20127.4166666667</v>
      </c>
      <c r="W334" s="15" t="n">
        <f aca="false">MAX(0,SUM(M329:M334)+Parametri_v3!$C$57*6/12)*Ipotesi!$C$93</f>
        <v>3270.70520833333</v>
      </c>
      <c r="X334" s="15" t="n">
        <f aca="false">V334+W334-(V333+W333)</f>
        <v>3891.6140625</v>
      </c>
      <c r="Y334" s="15" t="n">
        <f aca="false">P334-X334</f>
        <v>10056.8234375</v>
      </c>
      <c r="Z334" s="15" t="n">
        <f aca="false">R334-T334+IF(AND(Parametri_v3!$C$40=1,D334-YEAR(Parametri_v3!$C$50)&lt;Parametri_v3!$C$41),MAX(0,-Q334),0)</f>
        <v>0</v>
      </c>
      <c r="AA334" s="15" t="n">
        <f aca="false">S334-U334+IF(AND(Parametri_v3!$C$40=1,D334-YEAR(Parametri_v3!$C$50)&lt;Parametri_v3!$C$41),0,MAX(0,-Q334))</f>
        <v>0</v>
      </c>
      <c r="AB334" s="15" t="n">
        <f aca="false">F334*(1+Parametri_v3!$C$26)</f>
        <v>73810</v>
      </c>
      <c r="AC334" s="15" t="n">
        <f aca="false">(IF(30-(INT((Motore_Operativo!L334)/30))&lt;1,0,INDEX(Motore_Advisory!$AB$305:$AB$364,MAX(1,30-(INT((Motore_Operativo!L334)/30)))))*(1-(MOD((Motore_Operativo!L334),30)/30))+IF(30-(INT((Motore_Operativo!L334)/30))-1&lt;1,0,INDEX(Motore_Advisory!$AB$305:$AB$364,MAX(1,30-(INT((Motore_Operativo!L334)/30))-1)))*(MOD((Motore_Operativo!L334),30)/30))</f>
        <v>73810</v>
      </c>
      <c r="AD334" s="15" t="n">
        <f aca="false">(AD333)+AB334-AC334</f>
        <v>221430</v>
      </c>
      <c r="AE334" s="15" t="n">
        <f aca="false">Motore_Operativo!BH334*(1+Parametri_v3!$C$26)</f>
        <v>7381</v>
      </c>
      <c r="AF334" s="15" t="n">
        <f aca="false">(IF(30-(INT((Parametri_v3!$C$29)/30))&lt;1,0,INDEX(Motore_Operativo!$BH$305:$BH$364,MAX(1,30-(INT((Parametri_v3!$C$29)/30)))))*(1-(MOD((Parametri_v3!$C$29),30)/30))+IF(30-(INT((Parametri_v3!$C$29)/30))-1&lt;1,0,INDEX(Motore_Operativo!$BH$305:$BH$364,MAX(1,30-(INT((Parametri_v3!$C$29)/30))-1)))*(MOD((Parametri_v3!$C$29),30)/30))*(1+Parametri_v3!$C$26)</f>
        <v>7381</v>
      </c>
      <c r="AG334" s="15" t="n">
        <f aca="false">(AG333)+AE334-AF334</f>
        <v>7381</v>
      </c>
      <c r="AH334" s="15" t="n">
        <f aca="false">(Motore_Operativo!CK334)*(1+Parametri_v3!$C$28*Parametri_v3!$C$26)</f>
        <v>17395.98</v>
      </c>
      <c r="AI334" s="15" t="n">
        <f aca="false">(IF(30-(INT((Ipotesi!$C$91)/30))&lt;1,0,INDEX(Motore_Advisory!$AH$305:$AH$364,MAX(1,30-(INT((Ipotesi!$C$91)/30)))))*(1-(MOD((Ipotesi!$C$91),30)/30))+IF(30-(INT((Ipotesi!$C$91)/30))-1&lt;1,0,INDEX(Motore_Advisory!$AH$305:$AH$364,MAX(1,30-(INT((Ipotesi!$C$91)/30))-1)))*(MOD((Ipotesi!$C$91),30)/30))</f>
        <v>17395.98</v>
      </c>
      <c r="AJ334" s="15" t="n">
        <f aca="false">(AJ333)+AH334-AI334</f>
        <v>34791.96</v>
      </c>
      <c r="AK334" s="15" t="n">
        <f aca="false">(F334- Motore_Operativo!BH334-(Motore_Operativo!CK334)*Parametri_v3!$C$28-Motore_Operativo!CF334)*Parametri_v3!$C$26</f>
        <v>9283.85333333333</v>
      </c>
      <c r="AL334" s="15" t="n">
        <f aca="false">MAX(0,(AM333))</f>
        <v>9283.85333333333</v>
      </c>
      <c r="AM334" s="15" t="n">
        <f aca="false">(AM333)+AK334-AL334</f>
        <v>9283.85333333333</v>
      </c>
      <c r="AN334" s="15" t="n">
        <f aca="false">SUM(X317:X328)</f>
        <v>16530.1714788732</v>
      </c>
      <c r="AO334" s="15" t="n">
        <f aca="false">SUM(AP317:AP328)</f>
        <v>13562.3123684211</v>
      </c>
      <c r="AP334" s="15" t="n">
        <f aca="false">MAX(0,AN334)*IF(6=Parametri_v3!$C$43,Parametri_v3!$C$45,IF(6=Parametri_v3!$C$44,1-Parametri_v3!$C$45,0))</f>
        <v>6612.06859154929</v>
      </c>
      <c r="AQ334" s="15" t="n">
        <f aca="false">MAX(0,AP334+IF(6=Parametri_v3!$C$43,MAX(0,AN334-AO334),0)-MAX(0,-(AR333)))</f>
        <v>9579.92770200147</v>
      </c>
      <c r="AR334" s="15" t="n">
        <f aca="false">(AR333)+X334-AQ334</f>
        <v>16786.0532834507</v>
      </c>
      <c r="AS334" s="15" t="n">
        <f aca="false">Motore_Operativo!AC334-AT334+AU334</f>
        <v>24146.5260416667</v>
      </c>
      <c r="AT334" s="15" t="n">
        <f aca="false">Motore_Operativo!CI334</f>
        <v>1270.86979166667</v>
      </c>
      <c r="AU334" s="15" t="n">
        <f aca="false">MIN(MAX(0,(AV333)+AT334),Parametri_v3!$C$61/12)</f>
        <v>0</v>
      </c>
      <c r="AV334" s="15" t="n">
        <f aca="false">(AV333)+AT334-AU334</f>
        <v>20354.21875</v>
      </c>
      <c r="AW334" s="15" t="n">
        <f aca="false">IF(AND(Motore_Operativo!C334=Finanziamenti!$D$7,Finanziamenti!$F$7=1),Finanziamenti!$C$7,0)</f>
        <v>0</v>
      </c>
      <c r="AX334" s="15" t="n">
        <f aca="false">0</f>
        <v>0</v>
      </c>
      <c r="AY334" s="15" t="n">
        <f aca="false">IF(6=Parametri_v3!$C$33,IF(BV334&lt;MIN(12,$B334-1),0,MIN(MAX(0,SUM(Y317:Y328))*Ipotesi!$C$94,MAX(0,(BM328)-(BO333)-BP334),MAX(0,BD334-Parametri_v3!$C$31))),0)</f>
        <v>0</v>
      </c>
      <c r="AZ334" s="15" t="n">
        <f aca="false">0</f>
        <v>0</v>
      </c>
      <c r="BA334" s="15" t="n">
        <f aca="false">0</f>
        <v>0</v>
      </c>
      <c r="BB334" s="15" t="n">
        <f aca="false">0</f>
        <v>0</v>
      </c>
      <c r="BC334" s="15" t="n">
        <f aca="false">0</f>
        <v>0</v>
      </c>
      <c r="BD334" s="15" t="n">
        <f aca="false">(BH333)+AC334-AF334-AI334-AS334-K334*(1+Parametri_v3!$C$26)-AL334-AQ334-O334+AW334+AX334+AZ334+BA334-BB334</f>
        <v>18919.9141329997</v>
      </c>
      <c r="BE334" s="15" t="n">
        <f aca="false">0</f>
        <v>0</v>
      </c>
      <c r="BF334" s="15" t="n">
        <f aca="false">0</f>
        <v>0</v>
      </c>
      <c r="BG334" s="15" t="n">
        <f aca="false">0</f>
        <v>0</v>
      </c>
      <c r="BH334" s="15" t="n">
        <f aca="false">BD334+BE334-BF334-AY334</f>
        <v>18919.9141329997</v>
      </c>
      <c r="BI334" s="15" t="n">
        <f aca="false">MAX(0,Parametri_v3!$C$31-BH334)</f>
        <v>0</v>
      </c>
      <c r="BJ334" s="15" t="n">
        <f aca="false">(BJ333)+K334</f>
        <v>10500</v>
      </c>
      <c r="BK334" s="15" t="n">
        <f aca="false">(BK333)+L334</f>
        <v>4020.83333333333</v>
      </c>
      <c r="BL334" s="15" t="n">
        <f aca="false">BJ334-BK334</f>
        <v>6479.16666666667</v>
      </c>
      <c r="BM334" s="15" t="n">
        <f aca="false">(BM333)+Y334</f>
        <v>138231.995432882</v>
      </c>
      <c r="BN334" s="15" t="n">
        <f aca="false">(BN333)+AW334+AX334+AZ334</f>
        <v>20000</v>
      </c>
      <c r="BO334" s="15" t="n">
        <f aca="false">(BO333)+AY334</f>
        <v>0</v>
      </c>
      <c r="BP334" s="15" t="n">
        <f aca="false">MIN(Parametri_v3!$C$36*Parametri_v3!$C$35,(BP333)+IF(6=1,MAX(0,SUM(Y317:Y328))*Parametri_v3!$C$34,0))</f>
        <v>2000</v>
      </c>
      <c r="BQ334" s="15" t="n">
        <f aca="false">BN334+BM334-BO334</f>
        <v>158231.995432882</v>
      </c>
      <c r="BR334" s="15" t="n">
        <f aca="false">BH334+AD334+BL334+MAX(0,-AM334)+MAX(0,-AR334)</f>
        <v>246829.080799666</v>
      </c>
      <c r="BS334" s="15" t="n">
        <f aca="false">AJ334+AV334+MAX(0,AM334)+MAX(0,AR334)+BC334+BG334+BQ334+AG334</f>
        <v>246829.080799666</v>
      </c>
      <c r="BT334" s="15" t="n">
        <f aca="false">BR334-BS334</f>
        <v>0</v>
      </c>
      <c r="BU334" s="15" t="n">
        <f aca="false">BH334-(BD334+BE334-BF334-AY334)</f>
        <v>0</v>
      </c>
      <c r="BV334" s="15" t="n">
        <f aca="false">IF(BH333&lt;Parametri_v3!$C$31,0,BV333+1)</f>
        <v>1</v>
      </c>
    </row>
    <row r="335" customFormat="false" ht="18" hidden="false" customHeight="true" outlineLevel="0" collapsed="false">
      <c r="A335" s="68" t="n">
        <f aca="false">6</f>
        <v>6</v>
      </c>
      <c r="B335" s="68" t="n">
        <f aca="false">31</f>
        <v>31</v>
      </c>
      <c r="C335" s="18" t="n">
        <f aca="false">Motore_Operativo!C335</f>
        <v>47300</v>
      </c>
      <c r="D335" s="68" t="n">
        <f aca="false">Motore_Operativo!D335</f>
        <v>2029</v>
      </c>
      <c r="E335" s="68" t="n">
        <f aca="false">Motore_Operativo!E335</f>
        <v>7</v>
      </c>
      <c r="F335" s="15" t="n">
        <f aca="false">Motore_Operativo!AM335</f>
        <v>60500</v>
      </c>
      <c r="G335" s="15" t="n">
        <f aca="false">Motore_Operativo!BH335</f>
        <v>6050</v>
      </c>
      <c r="H335" s="15" t="n">
        <f aca="false">Motore_Operativo!AM335</f>
        <v>60500</v>
      </c>
      <c r="I335" s="15" t="n">
        <f aca="false">Motore_Operativo!CB335</f>
        <v>46259.8958333333</v>
      </c>
      <c r="J335" s="15" t="n">
        <f aca="false">Motore_Operativo!CD335</f>
        <v>14240.1041666667</v>
      </c>
      <c r="K335" s="15" t="n">
        <f aca="false">Motore_Operativo!CF335</f>
        <v>416.666666666667</v>
      </c>
      <c r="L335" s="15" t="n">
        <f aca="false">SUM(INDEX($K$305:$K$364,MAX(1,31-Parametri_v3!$C$59+1)):K335)/Parametri_v3!$C$59</f>
        <v>303.240740740741</v>
      </c>
      <c r="M335" s="15" t="n">
        <f aca="false">J335-L335</f>
        <v>13936.8634259259</v>
      </c>
      <c r="N335" s="15" t="n">
        <f aca="false">0</f>
        <v>0</v>
      </c>
      <c r="O335" s="15" t="n">
        <f aca="false">0</f>
        <v>0</v>
      </c>
      <c r="P335" s="15" t="n">
        <f aca="false">M335+N335-O335</f>
        <v>13936.8634259259</v>
      </c>
      <c r="Q335" s="15" t="n">
        <f aca="false">SUM(P329:P335)+Parametri_v3!$C$56*7/12</f>
        <v>97801.0995370371</v>
      </c>
      <c r="R335" s="15" t="n">
        <f aca="false">Z328</f>
        <v>0</v>
      </c>
      <c r="S335" s="15" t="n">
        <f aca="false">AA328</f>
        <v>0</v>
      </c>
      <c r="T335" s="15" t="n">
        <f aca="false">MIN(R335,MAX(0,Q335))</f>
        <v>0</v>
      </c>
      <c r="U335" s="15" t="n">
        <f aca="false">MIN(S335,MAX(0,Q335-T335)*Parametri_v3!$C$42)</f>
        <v>0</v>
      </c>
      <c r="V335" s="15" t="n">
        <f aca="false">MAX(0,Q335-T335-U335)*Ipotesi!$C$92</f>
        <v>23472.2638888889</v>
      </c>
      <c r="W335" s="15" t="n">
        <f aca="false">MAX(0,SUM(M329:M335)+Parametri_v3!$C$57*7/12)*Ipotesi!$C$93</f>
        <v>3814.24288194445</v>
      </c>
      <c r="X335" s="15" t="n">
        <f aca="false">V335+W335-(V334+W334)</f>
        <v>3888.38489583334</v>
      </c>
      <c r="Y335" s="15" t="n">
        <f aca="false">P335-X335</f>
        <v>10048.4785300926</v>
      </c>
      <c r="Z335" s="15" t="n">
        <f aca="false">R335-T335+IF(AND(Parametri_v3!$C$40=1,D335-YEAR(Parametri_v3!$C$50)&lt;Parametri_v3!$C$41),MAX(0,-Q335),0)</f>
        <v>0</v>
      </c>
      <c r="AA335" s="15" t="n">
        <f aca="false">S335-U335+IF(AND(Parametri_v3!$C$40=1,D335-YEAR(Parametri_v3!$C$50)&lt;Parametri_v3!$C$41),0,MAX(0,-Q335))</f>
        <v>0</v>
      </c>
      <c r="AB335" s="15" t="n">
        <f aca="false">F335*(1+Parametri_v3!$C$26)</f>
        <v>73810</v>
      </c>
      <c r="AC335" s="15" t="n">
        <f aca="false">(IF(31-(INT((Motore_Operativo!L335)/30))&lt;1,0,INDEX(Motore_Advisory!$AB$305:$AB$364,MAX(1,31-(INT((Motore_Operativo!L335)/30)))))*(1-(MOD((Motore_Operativo!L335),30)/30))+IF(31-(INT((Motore_Operativo!L335)/30))-1&lt;1,0,INDEX(Motore_Advisory!$AB$305:$AB$364,MAX(1,31-(INT((Motore_Operativo!L335)/30))-1)))*(MOD((Motore_Operativo!L335),30)/30))</f>
        <v>73810</v>
      </c>
      <c r="AD335" s="15" t="n">
        <f aca="false">(AD334)+AB335-AC335</f>
        <v>221430</v>
      </c>
      <c r="AE335" s="15" t="n">
        <f aca="false">Motore_Operativo!BH335*(1+Parametri_v3!$C$26)</f>
        <v>7381</v>
      </c>
      <c r="AF335" s="15" t="n">
        <f aca="false">(IF(31-(INT((Parametri_v3!$C$29)/30))&lt;1,0,INDEX(Motore_Operativo!$BH$305:$BH$364,MAX(1,31-(INT((Parametri_v3!$C$29)/30)))))*(1-(MOD((Parametri_v3!$C$29),30)/30))+IF(31-(INT((Parametri_v3!$C$29)/30))-1&lt;1,0,INDEX(Motore_Operativo!$BH$305:$BH$364,MAX(1,31-(INT((Parametri_v3!$C$29)/30))-1)))*(MOD((Parametri_v3!$C$29),30)/30))*(1+Parametri_v3!$C$26)</f>
        <v>7381</v>
      </c>
      <c r="AG335" s="15" t="n">
        <f aca="false">(AG334)+AE335-AF335</f>
        <v>7381</v>
      </c>
      <c r="AH335" s="15" t="n">
        <f aca="false">(Motore_Operativo!CK335)*(1+Parametri_v3!$C$28*Parametri_v3!$C$26)</f>
        <v>17395.98</v>
      </c>
      <c r="AI335" s="15" t="n">
        <f aca="false">(IF(31-(INT((Ipotesi!$C$91)/30))&lt;1,0,INDEX(Motore_Advisory!$AH$305:$AH$364,MAX(1,31-(INT((Ipotesi!$C$91)/30)))))*(1-(MOD((Ipotesi!$C$91),30)/30))+IF(31-(INT((Ipotesi!$C$91)/30))-1&lt;1,0,INDEX(Motore_Advisory!$AH$305:$AH$364,MAX(1,31-(INT((Ipotesi!$C$91)/30))-1)))*(MOD((Ipotesi!$C$91),30)/30))</f>
        <v>17395.98</v>
      </c>
      <c r="AJ335" s="15" t="n">
        <f aca="false">(AJ334)+AH335-AI335</f>
        <v>34791.96</v>
      </c>
      <c r="AK335" s="15" t="n">
        <f aca="false">(F335- Motore_Operativo!BH335-(Motore_Operativo!CK335)*Parametri_v3!$C$28-Motore_Operativo!CF335)*Parametri_v3!$C$26</f>
        <v>9283.85333333333</v>
      </c>
      <c r="AL335" s="15" t="n">
        <f aca="false">MAX(0,(AM334))</f>
        <v>9283.85333333333</v>
      </c>
      <c r="AM335" s="15" t="n">
        <f aca="false">(AM334)+AK335-AL335</f>
        <v>9283.85333333333</v>
      </c>
      <c r="AN335" s="15" t="n">
        <f aca="false">SUM(X317:X328)</f>
        <v>16530.1714788732</v>
      </c>
      <c r="AO335" s="15" t="n">
        <f aca="false">SUM(AP317:AP328)</f>
        <v>13562.3123684211</v>
      </c>
      <c r="AP335" s="15" t="n">
        <f aca="false">MAX(0,AN335)*IF(7=Parametri_v3!$C$43,Parametri_v3!$C$45,IF(7=Parametri_v3!$C$44,1-Parametri_v3!$C$45,0))</f>
        <v>0</v>
      </c>
      <c r="AQ335" s="15" t="n">
        <f aca="false">MAX(0,AP335+IF(7=Parametri_v3!$C$43,MAX(0,AN335-AO335),0)-MAX(0,-(AR334)))</f>
        <v>0</v>
      </c>
      <c r="AR335" s="15" t="n">
        <f aca="false">(AR334)+X335-AQ335</f>
        <v>20674.438179284</v>
      </c>
      <c r="AS335" s="15" t="n">
        <f aca="false">Motore_Operativo!AC335-AT335+AU335</f>
        <v>24146.5260416667</v>
      </c>
      <c r="AT335" s="15" t="n">
        <f aca="false">Motore_Operativo!CI335</f>
        <v>1270.86979166667</v>
      </c>
      <c r="AU335" s="15" t="n">
        <f aca="false">MIN(MAX(0,(AV334)+AT335),Parametri_v3!$C$61/12)</f>
        <v>0</v>
      </c>
      <c r="AV335" s="15" t="n">
        <f aca="false">(AV334)+AT335-AU335</f>
        <v>21625.0885416667</v>
      </c>
      <c r="AW335" s="15" t="n">
        <f aca="false">IF(AND(Motore_Operativo!C335=Finanziamenti!$D$7,Finanziamenti!$F$7=1),Finanziamenti!$C$7,0)</f>
        <v>0</v>
      </c>
      <c r="AX335" s="15" t="n">
        <f aca="false">0</f>
        <v>0</v>
      </c>
      <c r="AY335" s="15" t="n">
        <f aca="false">IF(7=Parametri_v3!$C$33,IF(BV335&lt;MIN(12,$B335-1),0,MIN(MAX(0,SUM(Y317:Y328))*Ipotesi!$C$94,MAX(0,(BM328)-(BO334)-BP335),MAX(0,BD335-Parametri_v3!$C$31))),0)</f>
        <v>0</v>
      </c>
      <c r="AZ335" s="15" t="n">
        <f aca="false">0</f>
        <v>0</v>
      </c>
      <c r="BA335" s="15" t="n">
        <f aca="false">0</f>
        <v>0</v>
      </c>
      <c r="BB335" s="15" t="n">
        <f aca="false">0</f>
        <v>0</v>
      </c>
      <c r="BC335" s="15" t="n">
        <f aca="false">0</f>
        <v>0</v>
      </c>
      <c r="BD335" s="15" t="n">
        <f aca="false">(BH334)+AC335-AF335-AI335-AS335-K335*(1+Parametri_v3!$C$26)-AL335-AQ335-O335+AW335+AX335+AZ335+BA335-BB335</f>
        <v>34014.2214246664</v>
      </c>
      <c r="BE335" s="15" t="n">
        <f aca="false">0</f>
        <v>0</v>
      </c>
      <c r="BF335" s="15" t="n">
        <f aca="false">0</f>
        <v>0</v>
      </c>
      <c r="BG335" s="15" t="n">
        <f aca="false">0</f>
        <v>0</v>
      </c>
      <c r="BH335" s="15" t="n">
        <f aca="false">BD335+BE335-BF335-AY335</f>
        <v>34014.2214246664</v>
      </c>
      <c r="BI335" s="15" t="n">
        <f aca="false">MAX(0,Parametri_v3!$C$31-BH335)</f>
        <v>0</v>
      </c>
      <c r="BJ335" s="15" t="n">
        <f aca="false">(BJ334)+K335</f>
        <v>10916.6666666667</v>
      </c>
      <c r="BK335" s="15" t="n">
        <f aca="false">(BK334)+L335</f>
        <v>4324.07407407407</v>
      </c>
      <c r="BL335" s="15" t="n">
        <f aca="false">BJ335-BK335</f>
        <v>6592.59259259259</v>
      </c>
      <c r="BM335" s="15" t="n">
        <f aca="false">(BM334)+Y335</f>
        <v>148280.473962975</v>
      </c>
      <c r="BN335" s="15" t="n">
        <f aca="false">(BN334)+AW335+AX335+AZ335</f>
        <v>20000</v>
      </c>
      <c r="BO335" s="15" t="n">
        <f aca="false">(BO334)+AY335</f>
        <v>0</v>
      </c>
      <c r="BP335" s="15" t="n">
        <f aca="false">MIN(Parametri_v3!$C$36*Parametri_v3!$C$35,(BP334)+IF(7=1,MAX(0,SUM(Y317:Y328))*Parametri_v3!$C$34,0))</f>
        <v>2000</v>
      </c>
      <c r="BQ335" s="15" t="n">
        <f aca="false">BN335+BM335-BO335</f>
        <v>168280.473962975</v>
      </c>
      <c r="BR335" s="15" t="n">
        <f aca="false">BH335+AD335+BL335+MAX(0,-AM335)+MAX(0,-AR335)</f>
        <v>262036.814017259</v>
      </c>
      <c r="BS335" s="15" t="n">
        <f aca="false">AJ335+AV335+MAX(0,AM335)+MAX(0,AR335)+BC335+BG335+BQ335+AG335</f>
        <v>262036.814017259</v>
      </c>
      <c r="BT335" s="15" t="n">
        <f aca="false">BR335-BS335</f>
        <v>0</v>
      </c>
      <c r="BU335" s="15" t="n">
        <f aca="false">BH335-(BD335+BE335-BF335-AY335)</f>
        <v>0</v>
      </c>
      <c r="BV335" s="15" t="n">
        <f aca="false">IF(BH334&lt;Parametri_v3!$C$31,0,BV334+1)</f>
        <v>2</v>
      </c>
    </row>
    <row r="336" customFormat="false" ht="18" hidden="false" customHeight="true" outlineLevel="0" collapsed="false">
      <c r="A336" s="68" t="n">
        <f aca="false">6</f>
        <v>6</v>
      </c>
      <c r="B336" s="68" t="n">
        <f aca="false">32</f>
        <v>32</v>
      </c>
      <c r="C336" s="18" t="n">
        <f aca="false">Motore_Operativo!C336</f>
        <v>47331</v>
      </c>
      <c r="D336" s="68" t="n">
        <f aca="false">Motore_Operativo!D336</f>
        <v>2029</v>
      </c>
      <c r="E336" s="68" t="n">
        <f aca="false">Motore_Operativo!E336</f>
        <v>8</v>
      </c>
      <c r="F336" s="15" t="n">
        <f aca="false">Motore_Operativo!AM336</f>
        <v>60500</v>
      </c>
      <c r="G336" s="15" t="n">
        <f aca="false">Motore_Operativo!BH336</f>
        <v>6050</v>
      </c>
      <c r="H336" s="15" t="n">
        <f aca="false">Motore_Operativo!AM336</f>
        <v>60500</v>
      </c>
      <c r="I336" s="15" t="n">
        <f aca="false">Motore_Operativo!CB336</f>
        <v>46259.8958333333</v>
      </c>
      <c r="J336" s="15" t="n">
        <f aca="false">Motore_Operativo!CD336</f>
        <v>14240.1041666667</v>
      </c>
      <c r="K336" s="15" t="n">
        <f aca="false">Motore_Operativo!CF336</f>
        <v>416.666666666667</v>
      </c>
      <c r="L336" s="15" t="n">
        <f aca="false">SUM(INDEX($K$305:$K$364,MAX(1,32-Parametri_v3!$C$59+1)):K336)/Parametri_v3!$C$59</f>
        <v>314.814814814815</v>
      </c>
      <c r="M336" s="15" t="n">
        <f aca="false">J336-L336</f>
        <v>13925.2893518519</v>
      </c>
      <c r="N336" s="15" t="n">
        <f aca="false">0</f>
        <v>0</v>
      </c>
      <c r="O336" s="15" t="n">
        <f aca="false">0</f>
        <v>0</v>
      </c>
      <c r="P336" s="15" t="n">
        <f aca="false">M336+N336-O336</f>
        <v>13925.2893518519</v>
      </c>
      <c r="Q336" s="15" t="n">
        <f aca="false">SUM(P329:P336)+Parametri_v3!$C$56*8/12</f>
        <v>111726.388888889</v>
      </c>
      <c r="R336" s="15" t="n">
        <f aca="false">Z328</f>
        <v>0</v>
      </c>
      <c r="S336" s="15" t="n">
        <f aca="false">AA328</f>
        <v>0</v>
      </c>
      <c r="T336" s="15" t="n">
        <f aca="false">MIN(R336,MAX(0,Q336))</f>
        <v>0</v>
      </c>
      <c r="U336" s="15" t="n">
        <f aca="false">MIN(S336,MAX(0,Q336-T336)*Parametri_v3!$C$42)</f>
        <v>0</v>
      </c>
      <c r="V336" s="15" t="n">
        <f aca="false">MAX(0,Q336-T336-U336)*Ipotesi!$C$92</f>
        <v>26814.3333333333</v>
      </c>
      <c r="W336" s="15" t="n">
        <f aca="false">MAX(0,SUM(M329:M336)+Parametri_v3!$C$57*8/12)*Ipotesi!$C$93</f>
        <v>4357.32916666667</v>
      </c>
      <c r="X336" s="15" t="n">
        <f aca="false">V336+W336-(V335+W335)</f>
        <v>3885.15572916667</v>
      </c>
      <c r="Y336" s="15" t="n">
        <f aca="false">P336-X336</f>
        <v>10040.1336226852</v>
      </c>
      <c r="Z336" s="15" t="n">
        <f aca="false">R336-T336+IF(AND(Parametri_v3!$C$40=1,D336-YEAR(Parametri_v3!$C$50)&lt;Parametri_v3!$C$41),MAX(0,-Q336),0)</f>
        <v>0</v>
      </c>
      <c r="AA336" s="15" t="n">
        <f aca="false">S336-U336+IF(AND(Parametri_v3!$C$40=1,D336-YEAR(Parametri_v3!$C$50)&lt;Parametri_v3!$C$41),0,MAX(0,-Q336))</f>
        <v>0</v>
      </c>
      <c r="AB336" s="15" t="n">
        <f aca="false">F336*(1+Parametri_v3!$C$26)</f>
        <v>73810</v>
      </c>
      <c r="AC336" s="15" t="n">
        <f aca="false">(IF(32-(INT((Motore_Operativo!L336)/30))&lt;1,0,INDEX(Motore_Advisory!$AB$305:$AB$364,MAX(1,32-(INT((Motore_Operativo!L336)/30)))))*(1-(MOD((Motore_Operativo!L336),30)/30))+IF(32-(INT((Motore_Operativo!L336)/30))-1&lt;1,0,INDEX(Motore_Advisory!$AB$305:$AB$364,MAX(1,32-(INT((Motore_Operativo!L336)/30))-1)))*(MOD((Motore_Operativo!L336),30)/30))</f>
        <v>73810</v>
      </c>
      <c r="AD336" s="15" t="n">
        <f aca="false">(AD335)+AB336-AC336</f>
        <v>221430</v>
      </c>
      <c r="AE336" s="15" t="n">
        <f aca="false">Motore_Operativo!BH336*(1+Parametri_v3!$C$26)</f>
        <v>7381</v>
      </c>
      <c r="AF336" s="15" t="n">
        <f aca="false">(IF(32-(INT((Parametri_v3!$C$29)/30))&lt;1,0,INDEX(Motore_Operativo!$BH$305:$BH$364,MAX(1,32-(INT((Parametri_v3!$C$29)/30)))))*(1-(MOD((Parametri_v3!$C$29),30)/30))+IF(32-(INT((Parametri_v3!$C$29)/30))-1&lt;1,0,INDEX(Motore_Operativo!$BH$305:$BH$364,MAX(1,32-(INT((Parametri_v3!$C$29)/30))-1)))*(MOD((Parametri_v3!$C$29),30)/30))*(1+Parametri_v3!$C$26)</f>
        <v>7381</v>
      </c>
      <c r="AG336" s="15" t="n">
        <f aca="false">(AG335)+AE336-AF336</f>
        <v>7381</v>
      </c>
      <c r="AH336" s="15" t="n">
        <f aca="false">(Motore_Operativo!CK336)*(1+Parametri_v3!$C$28*Parametri_v3!$C$26)</f>
        <v>17395.98</v>
      </c>
      <c r="AI336" s="15" t="n">
        <f aca="false">(IF(32-(INT((Ipotesi!$C$91)/30))&lt;1,0,INDEX(Motore_Advisory!$AH$305:$AH$364,MAX(1,32-(INT((Ipotesi!$C$91)/30)))))*(1-(MOD((Ipotesi!$C$91),30)/30))+IF(32-(INT((Ipotesi!$C$91)/30))-1&lt;1,0,INDEX(Motore_Advisory!$AH$305:$AH$364,MAX(1,32-(INT((Ipotesi!$C$91)/30))-1)))*(MOD((Ipotesi!$C$91),30)/30))</f>
        <v>17395.98</v>
      </c>
      <c r="AJ336" s="15" t="n">
        <f aca="false">(AJ335)+AH336-AI336</f>
        <v>34791.96</v>
      </c>
      <c r="AK336" s="15" t="n">
        <f aca="false">(F336- Motore_Operativo!BH336-(Motore_Operativo!CK336)*Parametri_v3!$C$28-Motore_Operativo!CF336)*Parametri_v3!$C$26</f>
        <v>9283.85333333333</v>
      </c>
      <c r="AL336" s="15" t="n">
        <f aca="false">MAX(0,(AM335))</f>
        <v>9283.85333333333</v>
      </c>
      <c r="AM336" s="15" t="n">
        <f aca="false">(AM335)+AK336-AL336</f>
        <v>9283.85333333333</v>
      </c>
      <c r="AN336" s="15" t="n">
        <f aca="false">SUM(X317:X328)</f>
        <v>16530.1714788732</v>
      </c>
      <c r="AO336" s="15" t="n">
        <f aca="false">SUM(AP317:AP328)</f>
        <v>13562.3123684211</v>
      </c>
      <c r="AP336" s="15" t="n">
        <f aca="false">MAX(0,AN336)*IF(8=Parametri_v3!$C$43,Parametri_v3!$C$45,IF(8=Parametri_v3!$C$44,1-Parametri_v3!$C$45,0))</f>
        <v>0</v>
      </c>
      <c r="AQ336" s="15" t="n">
        <f aca="false">MAX(0,AP336+IF(8=Parametri_v3!$C$43,MAX(0,AN336-AO336),0)-MAX(0,-(AR335)))</f>
        <v>0</v>
      </c>
      <c r="AR336" s="15" t="n">
        <f aca="false">(AR335)+X336-AQ336</f>
        <v>24559.5939084507</v>
      </c>
      <c r="AS336" s="15" t="n">
        <f aca="false">Motore_Operativo!AC336-AT336+AU336</f>
        <v>24146.5260416667</v>
      </c>
      <c r="AT336" s="15" t="n">
        <f aca="false">Motore_Operativo!CI336</f>
        <v>1270.86979166667</v>
      </c>
      <c r="AU336" s="15" t="n">
        <f aca="false">MIN(MAX(0,(AV335)+AT336),Parametri_v3!$C$61/12)</f>
        <v>0</v>
      </c>
      <c r="AV336" s="15" t="n">
        <f aca="false">(AV335)+AT336-AU336</f>
        <v>22895.9583333333</v>
      </c>
      <c r="AW336" s="15" t="n">
        <f aca="false">IF(AND(Motore_Operativo!C336=Finanziamenti!$D$7,Finanziamenti!$F$7=1),Finanziamenti!$C$7,0)</f>
        <v>0</v>
      </c>
      <c r="AX336" s="15" t="n">
        <f aca="false">0</f>
        <v>0</v>
      </c>
      <c r="AY336" s="15" t="n">
        <f aca="false">IF(8=Parametri_v3!$C$33,IF(BV336&lt;MIN(12,$B336-1),0,MIN(MAX(0,SUM(Y317:Y328))*Ipotesi!$C$94,MAX(0,(BM328)-(BO335)-BP336),MAX(0,BD336-Parametri_v3!$C$31))),0)</f>
        <v>0</v>
      </c>
      <c r="AZ336" s="15" t="n">
        <f aca="false">0</f>
        <v>0</v>
      </c>
      <c r="BA336" s="15" t="n">
        <f aca="false">0</f>
        <v>0</v>
      </c>
      <c r="BB336" s="15" t="n">
        <f aca="false">0</f>
        <v>0</v>
      </c>
      <c r="BC336" s="15" t="n">
        <f aca="false">0</f>
        <v>0</v>
      </c>
      <c r="BD336" s="15" t="n">
        <f aca="false">(BH335)+AC336-AF336-AI336-AS336-K336*(1+Parametri_v3!$C$26)-AL336-AQ336-O336+AW336+AX336+AZ336+BA336-BB336</f>
        <v>49108.528716333</v>
      </c>
      <c r="BE336" s="15" t="n">
        <f aca="false">0</f>
        <v>0</v>
      </c>
      <c r="BF336" s="15" t="n">
        <f aca="false">0</f>
        <v>0</v>
      </c>
      <c r="BG336" s="15" t="n">
        <f aca="false">0</f>
        <v>0</v>
      </c>
      <c r="BH336" s="15" t="n">
        <f aca="false">BD336+BE336-BF336-AY336</f>
        <v>49108.528716333</v>
      </c>
      <c r="BI336" s="15" t="n">
        <f aca="false">MAX(0,Parametri_v3!$C$31-BH336)</f>
        <v>0</v>
      </c>
      <c r="BJ336" s="15" t="n">
        <f aca="false">(BJ335)+K336</f>
        <v>11333.3333333333</v>
      </c>
      <c r="BK336" s="15" t="n">
        <f aca="false">(BK335)+L336</f>
        <v>4638.88888888889</v>
      </c>
      <c r="BL336" s="15" t="n">
        <f aca="false">BJ336-BK336</f>
        <v>6694.44444444444</v>
      </c>
      <c r="BM336" s="15" t="n">
        <f aca="false">(BM335)+Y336</f>
        <v>158320.60758566</v>
      </c>
      <c r="BN336" s="15" t="n">
        <f aca="false">(BN335)+AW336+AX336+AZ336</f>
        <v>20000</v>
      </c>
      <c r="BO336" s="15" t="n">
        <f aca="false">(BO335)+AY336</f>
        <v>0</v>
      </c>
      <c r="BP336" s="15" t="n">
        <f aca="false">MIN(Parametri_v3!$C$36*Parametri_v3!$C$35,(BP335)+IF(8=1,MAX(0,SUM(Y317:Y328))*Parametri_v3!$C$34,0))</f>
        <v>2000</v>
      </c>
      <c r="BQ336" s="15" t="n">
        <f aca="false">BN336+BM336-BO336</f>
        <v>178320.60758566</v>
      </c>
      <c r="BR336" s="15" t="n">
        <f aca="false">BH336+AD336+BL336+MAX(0,-AM336)+MAX(0,-AR336)</f>
        <v>277232.973160778</v>
      </c>
      <c r="BS336" s="15" t="n">
        <f aca="false">AJ336+AV336+MAX(0,AM336)+MAX(0,AR336)+BC336+BG336+BQ336+AG336</f>
        <v>277232.973160778</v>
      </c>
      <c r="BT336" s="15" t="n">
        <f aca="false">BR336-BS336</f>
        <v>0</v>
      </c>
      <c r="BU336" s="15" t="n">
        <f aca="false">BH336-(BD336+BE336-BF336-AY336)</f>
        <v>0</v>
      </c>
      <c r="BV336" s="15" t="n">
        <f aca="false">IF(BH335&lt;Parametri_v3!$C$31,0,BV335+1)</f>
        <v>3</v>
      </c>
    </row>
    <row r="337" customFormat="false" ht="18" hidden="false" customHeight="true" outlineLevel="0" collapsed="false">
      <c r="A337" s="68" t="n">
        <f aca="false">6</f>
        <v>6</v>
      </c>
      <c r="B337" s="68" t="n">
        <f aca="false">33</f>
        <v>33</v>
      </c>
      <c r="C337" s="18" t="n">
        <f aca="false">Motore_Operativo!C337</f>
        <v>47362</v>
      </c>
      <c r="D337" s="68" t="n">
        <f aca="false">Motore_Operativo!D337</f>
        <v>2029</v>
      </c>
      <c r="E337" s="68" t="n">
        <f aca="false">Motore_Operativo!E337</f>
        <v>9</v>
      </c>
      <c r="F337" s="15" t="n">
        <f aca="false">Motore_Operativo!AM337</f>
        <v>60500</v>
      </c>
      <c r="G337" s="15" t="n">
        <f aca="false">Motore_Operativo!BH337</f>
        <v>6050</v>
      </c>
      <c r="H337" s="15" t="n">
        <f aca="false">Motore_Operativo!AM337</f>
        <v>60500</v>
      </c>
      <c r="I337" s="15" t="n">
        <f aca="false">Motore_Operativo!CB337</f>
        <v>46259.8958333333</v>
      </c>
      <c r="J337" s="15" t="n">
        <f aca="false">Motore_Operativo!CD337</f>
        <v>14240.1041666667</v>
      </c>
      <c r="K337" s="15" t="n">
        <f aca="false">Motore_Operativo!CF337</f>
        <v>416.666666666667</v>
      </c>
      <c r="L337" s="15" t="n">
        <f aca="false">SUM(INDEX($K$305:$K$364,MAX(1,33-Parametri_v3!$C$59+1)):K337)/Parametri_v3!$C$59</f>
        <v>326.388888888889</v>
      </c>
      <c r="M337" s="15" t="n">
        <f aca="false">J337-L337</f>
        <v>13913.7152777778</v>
      </c>
      <c r="N337" s="15" t="n">
        <f aca="false">0</f>
        <v>0</v>
      </c>
      <c r="O337" s="15" t="n">
        <f aca="false">0</f>
        <v>0</v>
      </c>
      <c r="P337" s="15" t="n">
        <f aca="false">M337+N337-O337</f>
        <v>13913.7152777778</v>
      </c>
      <c r="Q337" s="15" t="n">
        <f aca="false">SUM(P329:P337)+Parametri_v3!$C$56*9/12</f>
        <v>125640.104166667</v>
      </c>
      <c r="R337" s="15" t="n">
        <f aca="false">Z328</f>
        <v>0</v>
      </c>
      <c r="S337" s="15" t="n">
        <f aca="false">AA328</f>
        <v>0</v>
      </c>
      <c r="T337" s="15" t="n">
        <f aca="false">MIN(R337,MAX(0,Q337))</f>
        <v>0</v>
      </c>
      <c r="U337" s="15" t="n">
        <f aca="false">MIN(S337,MAX(0,Q337-T337)*Parametri_v3!$C$42)</f>
        <v>0</v>
      </c>
      <c r="V337" s="15" t="n">
        <f aca="false">MAX(0,Q337-T337-U337)*Ipotesi!$C$92</f>
        <v>30153.625</v>
      </c>
      <c r="W337" s="15" t="n">
        <f aca="false">MAX(0,SUM(M329:M337)+Parametri_v3!$C$57*9/12)*Ipotesi!$C$93</f>
        <v>4899.9640625</v>
      </c>
      <c r="X337" s="15" t="n">
        <f aca="false">V337+W337-(V336+W336)</f>
        <v>3881.9265625</v>
      </c>
      <c r="Y337" s="15" t="n">
        <f aca="false">P337-X337</f>
        <v>10031.7887152778</v>
      </c>
      <c r="Z337" s="15" t="n">
        <f aca="false">R337-T337+IF(AND(Parametri_v3!$C$40=1,D337-YEAR(Parametri_v3!$C$50)&lt;Parametri_v3!$C$41),MAX(0,-Q337),0)</f>
        <v>0</v>
      </c>
      <c r="AA337" s="15" t="n">
        <f aca="false">S337-U337+IF(AND(Parametri_v3!$C$40=1,D337-YEAR(Parametri_v3!$C$50)&lt;Parametri_v3!$C$41),0,MAX(0,-Q337))</f>
        <v>0</v>
      </c>
      <c r="AB337" s="15" t="n">
        <f aca="false">F337*(1+Parametri_v3!$C$26)</f>
        <v>73810</v>
      </c>
      <c r="AC337" s="15" t="n">
        <f aca="false">(IF(33-(INT((Motore_Operativo!L337)/30))&lt;1,0,INDEX(Motore_Advisory!$AB$305:$AB$364,MAX(1,33-(INT((Motore_Operativo!L337)/30)))))*(1-(MOD((Motore_Operativo!L337),30)/30))+IF(33-(INT((Motore_Operativo!L337)/30))-1&lt;1,0,INDEX(Motore_Advisory!$AB$305:$AB$364,MAX(1,33-(INT((Motore_Operativo!L337)/30))-1)))*(MOD((Motore_Operativo!L337),30)/30))</f>
        <v>73810</v>
      </c>
      <c r="AD337" s="15" t="n">
        <f aca="false">(AD336)+AB337-AC337</f>
        <v>221430</v>
      </c>
      <c r="AE337" s="15" t="n">
        <f aca="false">Motore_Operativo!BH337*(1+Parametri_v3!$C$26)</f>
        <v>7381</v>
      </c>
      <c r="AF337" s="15" t="n">
        <f aca="false">(IF(33-(INT((Parametri_v3!$C$29)/30))&lt;1,0,INDEX(Motore_Operativo!$BH$305:$BH$364,MAX(1,33-(INT((Parametri_v3!$C$29)/30)))))*(1-(MOD((Parametri_v3!$C$29),30)/30))+IF(33-(INT((Parametri_v3!$C$29)/30))-1&lt;1,0,INDEX(Motore_Operativo!$BH$305:$BH$364,MAX(1,33-(INT((Parametri_v3!$C$29)/30))-1)))*(MOD((Parametri_v3!$C$29),30)/30))*(1+Parametri_v3!$C$26)</f>
        <v>7381</v>
      </c>
      <c r="AG337" s="15" t="n">
        <f aca="false">(AG336)+AE337-AF337</f>
        <v>7381</v>
      </c>
      <c r="AH337" s="15" t="n">
        <f aca="false">(Motore_Operativo!CK337)*(1+Parametri_v3!$C$28*Parametri_v3!$C$26)</f>
        <v>17395.98</v>
      </c>
      <c r="AI337" s="15" t="n">
        <f aca="false">(IF(33-(INT((Ipotesi!$C$91)/30))&lt;1,0,INDEX(Motore_Advisory!$AH$305:$AH$364,MAX(1,33-(INT((Ipotesi!$C$91)/30)))))*(1-(MOD((Ipotesi!$C$91),30)/30))+IF(33-(INT((Ipotesi!$C$91)/30))-1&lt;1,0,INDEX(Motore_Advisory!$AH$305:$AH$364,MAX(1,33-(INT((Ipotesi!$C$91)/30))-1)))*(MOD((Ipotesi!$C$91),30)/30))</f>
        <v>17395.98</v>
      </c>
      <c r="AJ337" s="15" t="n">
        <f aca="false">(AJ336)+AH337-AI337</f>
        <v>34791.96</v>
      </c>
      <c r="AK337" s="15" t="n">
        <f aca="false">(F337- Motore_Operativo!BH337-(Motore_Operativo!CK337)*Parametri_v3!$C$28-Motore_Operativo!CF337)*Parametri_v3!$C$26</f>
        <v>9283.85333333333</v>
      </c>
      <c r="AL337" s="15" t="n">
        <f aca="false">MAX(0,(AM336))</f>
        <v>9283.85333333333</v>
      </c>
      <c r="AM337" s="15" t="n">
        <f aca="false">(AM336)+AK337-AL337</f>
        <v>9283.85333333333</v>
      </c>
      <c r="AN337" s="15" t="n">
        <f aca="false">SUM(X317:X328)</f>
        <v>16530.1714788732</v>
      </c>
      <c r="AO337" s="15" t="n">
        <f aca="false">SUM(AP317:AP328)</f>
        <v>13562.3123684211</v>
      </c>
      <c r="AP337" s="15" t="n">
        <f aca="false">MAX(0,AN337)*IF(9=Parametri_v3!$C$43,Parametri_v3!$C$45,IF(9=Parametri_v3!$C$44,1-Parametri_v3!$C$45,0))</f>
        <v>0</v>
      </c>
      <c r="AQ337" s="15" t="n">
        <f aca="false">MAX(0,AP337+IF(9=Parametri_v3!$C$43,MAX(0,AN337-AO337),0)-MAX(0,-(AR336)))</f>
        <v>0</v>
      </c>
      <c r="AR337" s="15" t="n">
        <f aca="false">(AR336)+X337-AQ337</f>
        <v>28441.5204709507</v>
      </c>
      <c r="AS337" s="15" t="n">
        <f aca="false">Motore_Operativo!AC337-AT337+AU337</f>
        <v>24146.5260416667</v>
      </c>
      <c r="AT337" s="15" t="n">
        <f aca="false">Motore_Operativo!CI337</f>
        <v>1270.86979166667</v>
      </c>
      <c r="AU337" s="15" t="n">
        <f aca="false">MIN(MAX(0,(AV336)+AT337),Parametri_v3!$C$61/12)</f>
        <v>0</v>
      </c>
      <c r="AV337" s="15" t="n">
        <f aca="false">(AV336)+AT337-AU337</f>
        <v>24166.828125</v>
      </c>
      <c r="AW337" s="15" t="n">
        <f aca="false">IF(AND(Motore_Operativo!C337=Finanziamenti!$D$7,Finanziamenti!$F$7=1),Finanziamenti!$C$7,0)</f>
        <v>0</v>
      </c>
      <c r="AX337" s="15" t="n">
        <f aca="false">0</f>
        <v>0</v>
      </c>
      <c r="AY337" s="15" t="n">
        <f aca="false">IF(9=Parametri_v3!$C$33,IF(BV337&lt;MIN(12,$B337-1),0,MIN(MAX(0,SUM(Y317:Y328))*Ipotesi!$C$94,MAX(0,(BM328)-(BO336)-BP337),MAX(0,BD337-Parametri_v3!$C$31))),0)</f>
        <v>0</v>
      </c>
      <c r="AZ337" s="15" t="n">
        <f aca="false">0</f>
        <v>0</v>
      </c>
      <c r="BA337" s="15" t="n">
        <f aca="false">0</f>
        <v>0</v>
      </c>
      <c r="BB337" s="15" t="n">
        <f aca="false">0</f>
        <v>0</v>
      </c>
      <c r="BC337" s="15" t="n">
        <f aca="false">0</f>
        <v>0</v>
      </c>
      <c r="BD337" s="15" t="n">
        <f aca="false">(BH336)+AC337-AF337-AI337-AS337-K337*(1+Parametri_v3!$C$26)-AL337-AQ337-O337+AW337+AX337+AZ337+BA337-BB337</f>
        <v>64202.8360079997</v>
      </c>
      <c r="BE337" s="15" t="n">
        <f aca="false">0</f>
        <v>0</v>
      </c>
      <c r="BF337" s="15" t="n">
        <f aca="false">0</f>
        <v>0</v>
      </c>
      <c r="BG337" s="15" t="n">
        <f aca="false">0</f>
        <v>0</v>
      </c>
      <c r="BH337" s="15" t="n">
        <f aca="false">BD337+BE337-BF337-AY337</f>
        <v>64202.8360079997</v>
      </c>
      <c r="BI337" s="15" t="n">
        <f aca="false">MAX(0,Parametri_v3!$C$31-BH337)</f>
        <v>0</v>
      </c>
      <c r="BJ337" s="15" t="n">
        <f aca="false">(BJ336)+K337</f>
        <v>11750</v>
      </c>
      <c r="BK337" s="15" t="n">
        <f aca="false">(BK336)+L337</f>
        <v>4965.27777777778</v>
      </c>
      <c r="BL337" s="15" t="n">
        <f aca="false">BJ337-BK337</f>
        <v>6784.72222222222</v>
      </c>
      <c r="BM337" s="15" t="n">
        <f aca="false">(BM336)+Y337</f>
        <v>168352.396300938</v>
      </c>
      <c r="BN337" s="15" t="n">
        <f aca="false">(BN336)+AW337+AX337+AZ337</f>
        <v>20000</v>
      </c>
      <c r="BO337" s="15" t="n">
        <f aca="false">(BO336)+AY337</f>
        <v>0</v>
      </c>
      <c r="BP337" s="15" t="n">
        <f aca="false">MIN(Parametri_v3!$C$36*Parametri_v3!$C$35,(BP336)+IF(9=1,MAX(0,SUM(Y317:Y328))*Parametri_v3!$C$34,0))</f>
        <v>2000</v>
      </c>
      <c r="BQ337" s="15" t="n">
        <f aca="false">BN337+BM337-BO337</f>
        <v>188352.396300938</v>
      </c>
      <c r="BR337" s="15" t="n">
        <f aca="false">BH337+AD337+BL337+MAX(0,-AM337)+MAX(0,-AR337)</f>
        <v>292417.558230222</v>
      </c>
      <c r="BS337" s="15" t="n">
        <f aca="false">AJ337+AV337+MAX(0,AM337)+MAX(0,AR337)+BC337+BG337+BQ337+AG337</f>
        <v>292417.558230222</v>
      </c>
      <c r="BT337" s="15" t="n">
        <f aca="false">BR337-BS337</f>
        <v>0</v>
      </c>
      <c r="BU337" s="15" t="n">
        <f aca="false">BH337-(BD337+BE337-BF337-AY337)</f>
        <v>0</v>
      </c>
      <c r="BV337" s="15" t="n">
        <f aca="false">IF(BH336&lt;Parametri_v3!$C$31,0,BV336+1)</f>
        <v>4</v>
      </c>
    </row>
    <row r="338" customFormat="false" ht="18" hidden="false" customHeight="true" outlineLevel="0" collapsed="false">
      <c r="A338" s="68" t="n">
        <f aca="false">6</f>
        <v>6</v>
      </c>
      <c r="B338" s="68" t="n">
        <f aca="false">34</f>
        <v>34</v>
      </c>
      <c r="C338" s="18" t="n">
        <f aca="false">Motore_Operativo!C338</f>
        <v>47392</v>
      </c>
      <c r="D338" s="68" t="n">
        <f aca="false">Motore_Operativo!D338</f>
        <v>2029</v>
      </c>
      <c r="E338" s="68" t="n">
        <f aca="false">Motore_Operativo!E338</f>
        <v>10</v>
      </c>
      <c r="F338" s="15" t="n">
        <f aca="false">Motore_Operativo!AM338</f>
        <v>60500</v>
      </c>
      <c r="G338" s="15" t="n">
        <f aca="false">Motore_Operativo!BH338</f>
        <v>6050</v>
      </c>
      <c r="H338" s="15" t="n">
        <f aca="false">Motore_Operativo!AM338</f>
        <v>60500</v>
      </c>
      <c r="I338" s="15" t="n">
        <f aca="false">Motore_Operativo!CB338</f>
        <v>46259.8958333333</v>
      </c>
      <c r="J338" s="15" t="n">
        <f aca="false">Motore_Operativo!CD338</f>
        <v>14240.1041666667</v>
      </c>
      <c r="K338" s="15" t="n">
        <f aca="false">Motore_Operativo!CF338</f>
        <v>416.666666666667</v>
      </c>
      <c r="L338" s="15" t="n">
        <f aca="false">SUM(INDEX($K$305:$K$364,MAX(1,34-Parametri_v3!$C$59+1)):K338)/Parametri_v3!$C$59</f>
        <v>337.962962962963</v>
      </c>
      <c r="M338" s="15" t="n">
        <f aca="false">J338-L338</f>
        <v>13902.1412037037</v>
      </c>
      <c r="N338" s="15" t="n">
        <f aca="false">0</f>
        <v>0</v>
      </c>
      <c r="O338" s="15" t="n">
        <f aca="false">0</f>
        <v>0</v>
      </c>
      <c r="P338" s="15" t="n">
        <f aca="false">M338+N338-O338</f>
        <v>13902.1412037037</v>
      </c>
      <c r="Q338" s="15" t="n">
        <f aca="false">SUM(P329:P338)+Parametri_v3!$C$56*10/12</f>
        <v>139542.24537037</v>
      </c>
      <c r="R338" s="15" t="n">
        <f aca="false">Z328</f>
        <v>0</v>
      </c>
      <c r="S338" s="15" t="n">
        <f aca="false">AA328</f>
        <v>0</v>
      </c>
      <c r="T338" s="15" t="n">
        <f aca="false">MIN(R338,MAX(0,Q338))</f>
        <v>0</v>
      </c>
      <c r="U338" s="15" t="n">
        <f aca="false">MIN(S338,MAX(0,Q338-T338)*Parametri_v3!$C$42)</f>
        <v>0</v>
      </c>
      <c r="V338" s="15" t="n">
        <f aca="false">MAX(0,Q338-T338-U338)*Ipotesi!$C$92</f>
        <v>33490.1388888889</v>
      </c>
      <c r="W338" s="15" t="n">
        <f aca="false">MAX(0,SUM(M329:M338)+Parametri_v3!$C$57*10/12)*Ipotesi!$C$93</f>
        <v>5442.14756944445</v>
      </c>
      <c r="X338" s="15" t="n">
        <f aca="false">V338+W338-(V337+W337)</f>
        <v>3878.69739583333</v>
      </c>
      <c r="Y338" s="15" t="n">
        <f aca="false">P338-X338</f>
        <v>10023.4438078704</v>
      </c>
      <c r="Z338" s="15" t="n">
        <f aca="false">R338-T338+IF(AND(Parametri_v3!$C$40=1,D338-YEAR(Parametri_v3!$C$50)&lt;Parametri_v3!$C$41),MAX(0,-Q338),0)</f>
        <v>0</v>
      </c>
      <c r="AA338" s="15" t="n">
        <f aca="false">S338-U338+IF(AND(Parametri_v3!$C$40=1,D338-YEAR(Parametri_v3!$C$50)&lt;Parametri_v3!$C$41),0,MAX(0,-Q338))</f>
        <v>0</v>
      </c>
      <c r="AB338" s="15" t="n">
        <f aca="false">F338*(1+Parametri_v3!$C$26)</f>
        <v>73810</v>
      </c>
      <c r="AC338" s="15" t="n">
        <f aca="false">(IF(34-(INT((Motore_Operativo!L338)/30))&lt;1,0,INDEX(Motore_Advisory!$AB$305:$AB$364,MAX(1,34-(INT((Motore_Operativo!L338)/30)))))*(1-(MOD((Motore_Operativo!L338),30)/30))+IF(34-(INT((Motore_Operativo!L338)/30))-1&lt;1,0,INDEX(Motore_Advisory!$AB$305:$AB$364,MAX(1,34-(INT((Motore_Operativo!L338)/30))-1)))*(MOD((Motore_Operativo!L338),30)/30))</f>
        <v>73810</v>
      </c>
      <c r="AD338" s="15" t="n">
        <f aca="false">(AD337)+AB338-AC338</f>
        <v>221430</v>
      </c>
      <c r="AE338" s="15" t="n">
        <f aca="false">Motore_Operativo!BH338*(1+Parametri_v3!$C$26)</f>
        <v>7381</v>
      </c>
      <c r="AF338" s="15" t="n">
        <f aca="false">(IF(34-(INT((Parametri_v3!$C$29)/30))&lt;1,0,INDEX(Motore_Operativo!$BH$305:$BH$364,MAX(1,34-(INT((Parametri_v3!$C$29)/30)))))*(1-(MOD((Parametri_v3!$C$29),30)/30))+IF(34-(INT((Parametri_v3!$C$29)/30))-1&lt;1,0,INDEX(Motore_Operativo!$BH$305:$BH$364,MAX(1,34-(INT((Parametri_v3!$C$29)/30))-1)))*(MOD((Parametri_v3!$C$29),30)/30))*(1+Parametri_v3!$C$26)</f>
        <v>7381</v>
      </c>
      <c r="AG338" s="15" t="n">
        <f aca="false">(AG337)+AE338-AF338</f>
        <v>7381</v>
      </c>
      <c r="AH338" s="15" t="n">
        <f aca="false">(Motore_Operativo!CK338)*(1+Parametri_v3!$C$28*Parametri_v3!$C$26)</f>
        <v>17395.98</v>
      </c>
      <c r="AI338" s="15" t="n">
        <f aca="false">(IF(34-(INT((Ipotesi!$C$91)/30))&lt;1,0,INDEX(Motore_Advisory!$AH$305:$AH$364,MAX(1,34-(INT((Ipotesi!$C$91)/30)))))*(1-(MOD((Ipotesi!$C$91),30)/30))+IF(34-(INT((Ipotesi!$C$91)/30))-1&lt;1,0,INDEX(Motore_Advisory!$AH$305:$AH$364,MAX(1,34-(INT((Ipotesi!$C$91)/30))-1)))*(MOD((Ipotesi!$C$91),30)/30))</f>
        <v>17395.98</v>
      </c>
      <c r="AJ338" s="15" t="n">
        <f aca="false">(AJ337)+AH338-AI338</f>
        <v>34791.96</v>
      </c>
      <c r="AK338" s="15" t="n">
        <f aca="false">(F338- Motore_Operativo!BH338-(Motore_Operativo!CK338)*Parametri_v3!$C$28-Motore_Operativo!CF338)*Parametri_v3!$C$26</f>
        <v>9283.85333333333</v>
      </c>
      <c r="AL338" s="15" t="n">
        <f aca="false">MAX(0,(AM337))</f>
        <v>9283.85333333333</v>
      </c>
      <c r="AM338" s="15" t="n">
        <f aca="false">(AM337)+AK338-AL338</f>
        <v>9283.85333333333</v>
      </c>
      <c r="AN338" s="15" t="n">
        <f aca="false">SUM(X317:X328)</f>
        <v>16530.1714788732</v>
      </c>
      <c r="AO338" s="15" t="n">
        <f aca="false">SUM(AP317:AP328)</f>
        <v>13562.3123684211</v>
      </c>
      <c r="AP338" s="15" t="n">
        <f aca="false">MAX(0,AN338)*IF(10=Parametri_v3!$C$43,Parametri_v3!$C$45,IF(10=Parametri_v3!$C$44,1-Parametri_v3!$C$45,0))</f>
        <v>0</v>
      </c>
      <c r="AQ338" s="15" t="n">
        <f aca="false">MAX(0,AP338+IF(10=Parametri_v3!$C$43,MAX(0,AN338-AO338),0)-MAX(0,-(AR337)))</f>
        <v>0</v>
      </c>
      <c r="AR338" s="15" t="n">
        <f aca="false">(AR337)+X338-AQ338</f>
        <v>32320.2178667841</v>
      </c>
      <c r="AS338" s="15" t="n">
        <f aca="false">Motore_Operativo!AC338-AT338+AU338</f>
        <v>24146.5260416667</v>
      </c>
      <c r="AT338" s="15" t="n">
        <f aca="false">Motore_Operativo!CI338</f>
        <v>1270.86979166667</v>
      </c>
      <c r="AU338" s="15" t="n">
        <f aca="false">MIN(MAX(0,(AV337)+AT338),Parametri_v3!$C$61/12)</f>
        <v>0</v>
      </c>
      <c r="AV338" s="15" t="n">
        <f aca="false">(AV337)+AT338-AU338</f>
        <v>25437.6979166667</v>
      </c>
      <c r="AW338" s="15" t="n">
        <f aca="false">IF(AND(Motore_Operativo!C338=Finanziamenti!$D$7,Finanziamenti!$F$7=1),Finanziamenti!$C$7,0)</f>
        <v>0</v>
      </c>
      <c r="AX338" s="15" t="n">
        <f aca="false">0</f>
        <v>0</v>
      </c>
      <c r="AY338" s="15" t="n">
        <f aca="false">IF(10=Parametri_v3!$C$33,IF(BV338&lt;MIN(12,$B338-1),0,MIN(MAX(0,SUM(Y317:Y328))*Ipotesi!$C$94,MAX(0,(BM328)-(BO337)-BP338),MAX(0,BD338-Parametri_v3!$C$31))),0)</f>
        <v>0</v>
      </c>
      <c r="AZ338" s="15" t="n">
        <f aca="false">0</f>
        <v>0</v>
      </c>
      <c r="BA338" s="15" t="n">
        <f aca="false">0</f>
        <v>0</v>
      </c>
      <c r="BB338" s="15" t="n">
        <f aca="false">0</f>
        <v>0</v>
      </c>
      <c r="BC338" s="15" t="n">
        <f aca="false">0</f>
        <v>0</v>
      </c>
      <c r="BD338" s="15" t="n">
        <f aca="false">(BH337)+AC338-AF338-AI338-AS338-K338*(1+Parametri_v3!$C$26)-AL338-AQ338-O338+AW338+AX338+AZ338+BA338-BB338</f>
        <v>79297.1432996664</v>
      </c>
      <c r="BE338" s="15" t="n">
        <f aca="false">0</f>
        <v>0</v>
      </c>
      <c r="BF338" s="15" t="n">
        <f aca="false">0</f>
        <v>0</v>
      </c>
      <c r="BG338" s="15" t="n">
        <f aca="false">0</f>
        <v>0</v>
      </c>
      <c r="BH338" s="15" t="n">
        <f aca="false">BD338+BE338-BF338-AY338</f>
        <v>79297.1432996664</v>
      </c>
      <c r="BI338" s="15" t="n">
        <f aca="false">MAX(0,Parametri_v3!$C$31-BH338)</f>
        <v>0</v>
      </c>
      <c r="BJ338" s="15" t="n">
        <f aca="false">(BJ337)+K338</f>
        <v>12166.6666666667</v>
      </c>
      <c r="BK338" s="15" t="n">
        <f aca="false">(BK337)+L338</f>
        <v>5303.24074074074</v>
      </c>
      <c r="BL338" s="15" t="n">
        <f aca="false">BJ338-BK338</f>
        <v>6863.42592592592</v>
      </c>
      <c r="BM338" s="15" t="n">
        <f aca="false">(BM337)+Y338</f>
        <v>178375.840108808</v>
      </c>
      <c r="BN338" s="15" t="n">
        <f aca="false">(BN337)+AW338+AX338+AZ338</f>
        <v>20000</v>
      </c>
      <c r="BO338" s="15" t="n">
        <f aca="false">(BO337)+AY338</f>
        <v>0</v>
      </c>
      <c r="BP338" s="15" t="n">
        <f aca="false">MIN(Parametri_v3!$C$36*Parametri_v3!$C$35,(BP337)+IF(10=1,MAX(0,SUM(Y317:Y328))*Parametri_v3!$C$34,0))</f>
        <v>2000</v>
      </c>
      <c r="BQ338" s="15" t="n">
        <f aca="false">BN338+BM338-BO338</f>
        <v>198375.840108808</v>
      </c>
      <c r="BR338" s="15" t="n">
        <f aca="false">BH338+AD338+BL338+MAX(0,-AM338)+MAX(0,-AR338)</f>
        <v>307590.569225592</v>
      </c>
      <c r="BS338" s="15" t="n">
        <f aca="false">AJ338+AV338+MAX(0,AM338)+MAX(0,AR338)+BC338+BG338+BQ338+AG338</f>
        <v>307590.569225592</v>
      </c>
      <c r="BT338" s="15" t="n">
        <f aca="false">BR338-BS338</f>
        <v>0</v>
      </c>
      <c r="BU338" s="15" t="n">
        <f aca="false">BH338-(BD338+BE338-BF338-AY338)</f>
        <v>0</v>
      </c>
      <c r="BV338" s="15" t="n">
        <f aca="false">IF(BH337&lt;Parametri_v3!$C$31,0,BV337+1)</f>
        <v>5</v>
      </c>
    </row>
    <row r="339" customFormat="false" ht="18" hidden="false" customHeight="true" outlineLevel="0" collapsed="false">
      <c r="A339" s="68" t="n">
        <f aca="false">6</f>
        <v>6</v>
      </c>
      <c r="B339" s="68" t="n">
        <f aca="false">35</f>
        <v>35</v>
      </c>
      <c r="C339" s="18" t="n">
        <f aca="false">Motore_Operativo!C339</f>
        <v>47423</v>
      </c>
      <c r="D339" s="68" t="n">
        <f aca="false">Motore_Operativo!D339</f>
        <v>2029</v>
      </c>
      <c r="E339" s="68" t="n">
        <f aca="false">Motore_Operativo!E339</f>
        <v>11</v>
      </c>
      <c r="F339" s="15" t="n">
        <f aca="false">Motore_Operativo!AM339</f>
        <v>60500</v>
      </c>
      <c r="G339" s="15" t="n">
        <f aca="false">Motore_Operativo!BH339</f>
        <v>6050</v>
      </c>
      <c r="H339" s="15" t="n">
        <f aca="false">Motore_Operativo!AM339</f>
        <v>60500</v>
      </c>
      <c r="I339" s="15" t="n">
        <f aca="false">Motore_Operativo!CB339</f>
        <v>46259.8958333333</v>
      </c>
      <c r="J339" s="15" t="n">
        <f aca="false">Motore_Operativo!CD339</f>
        <v>14240.1041666667</v>
      </c>
      <c r="K339" s="15" t="n">
        <f aca="false">Motore_Operativo!CF339</f>
        <v>416.666666666667</v>
      </c>
      <c r="L339" s="15" t="n">
        <f aca="false">SUM(INDEX($K$305:$K$364,MAX(1,35-Parametri_v3!$C$59+1)):K339)/Parametri_v3!$C$59</f>
        <v>349.537037037037</v>
      </c>
      <c r="M339" s="15" t="n">
        <f aca="false">J339-L339</f>
        <v>13890.5671296296</v>
      </c>
      <c r="N339" s="15" t="n">
        <f aca="false">0</f>
        <v>0</v>
      </c>
      <c r="O339" s="15" t="n">
        <f aca="false">0</f>
        <v>0</v>
      </c>
      <c r="P339" s="15" t="n">
        <f aca="false">M339+N339-O339</f>
        <v>13890.5671296296</v>
      </c>
      <c r="Q339" s="15" t="n">
        <f aca="false">SUM(P329:P339)+Parametri_v3!$C$56*11/12</f>
        <v>153432.8125</v>
      </c>
      <c r="R339" s="15" t="n">
        <f aca="false">Z328</f>
        <v>0</v>
      </c>
      <c r="S339" s="15" t="n">
        <f aca="false">AA328</f>
        <v>0</v>
      </c>
      <c r="T339" s="15" t="n">
        <f aca="false">MIN(R339,MAX(0,Q339))</f>
        <v>0</v>
      </c>
      <c r="U339" s="15" t="n">
        <f aca="false">MIN(S339,MAX(0,Q339-T339)*Parametri_v3!$C$42)</f>
        <v>0</v>
      </c>
      <c r="V339" s="15" t="n">
        <f aca="false">MAX(0,Q339-T339-U339)*Ipotesi!$C$92</f>
        <v>36823.875</v>
      </c>
      <c r="W339" s="15" t="n">
        <f aca="false">MAX(0,SUM(M329:M339)+Parametri_v3!$C$57*11/12)*Ipotesi!$C$93</f>
        <v>5983.8796875</v>
      </c>
      <c r="X339" s="15" t="n">
        <f aca="false">V339+W339-(V338+W338)</f>
        <v>3875.46822916668</v>
      </c>
      <c r="Y339" s="15" t="n">
        <f aca="false">P339-X339</f>
        <v>10015.098900463</v>
      </c>
      <c r="Z339" s="15" t="n">
        <f aca="false">R339-T339+IF(AND(Parametri_v3!$C$40=1,D339-YEAR(Parametri_v3!$C$50)&lt;Parametri_v3!$C$41),MAX(0,-Q339),0)</f>
        <v>0</v>
      </c>
      <c r="AA339" s="15" t="n">
        <f aca="false">S339-U339+IF(AND(Parametri_v3!$C$40=1,D339-YEAR(Parametri_v3!$C$50)&lt;Parametri_v3!$C$41),0,MAX(0,-Q339))</f>
        <v>0</v>
      </c>
      <c r="AB339" s="15" t="n">
        <f aca="false">F339*(1+Parametri_v3!$C$26)</f>
        <v>73810</v>
      </c>
      <c r="AC339" s="15" t="n">
        <f aca="false">(IF(35-(INT((Motore_Operativo!L339)/30))&lt;1,0,INDEX(Motore_Advisory!$AB$305:$AB$364,MAX(1,35-(INT((Motore_Operativo!L339)/30)))))*(1-(MOD((Motore_Operativo!L339),30)/30))+IF(35-(INT((Motore_Operativo!L339)/30))-1&lt;1,0,INDEX(Motore_Advisory!$AB$305:$AB$364,MAX(1,35-(INT((Motore_Operativo!L339)/30))-1)))*(MOD((Motore_Operativo!L339),30)/30))</f>
        <v>73810</v>
      </c>
      <c r="AD339" s="15" t="n">
        <f aca="false">(AD338)+AB339-AC339</f>
        <v>221430</v>
      </c>
      <c r="AE339" s="15" t="n">
        <f aca="false">Motore_Operativo!BH339*(1+Parametri_v3!$C$26)</f>
        <v>7381</v>
      </c>
      <c r="AF339" s="15" t="n">
        <f aca="false">(IF(35-(INT((Parametri_v3!$C$29)/30))&lt;1,0,INDEX(Motore_Operativo!$BH$305:$BH$364,MAX(1,35-(INT((Parametri_v3!$C$29)/30)))))*(1-(MOD((Parametri_v3!$C$29),30)/30))+IF(35-(INT((Parametri_v3!$C$29)/30))-1&lt;1,0,INDEX(Motore_Operativo!$BH$305:$BH$364,MAX(1,35-(INT((Parametri_v3!$C$29)/30))-1)))*(MOD((Parametri_v3!$C$29),30)/30))*(1+Parametri_v3!$C$26)</f>
        <v>7381</v>
      </c>
      <c r="AG339" s="15" t="n">
        <f aca="false">(AG338)+AE339-AF339</f>
        <v>7381</v>
      </c>
      <c r="AH339" s="15" t="n">
        <f aca="false">(Motore_Operativo!CK339)*(1+Parametri_v3!$C$28*Parametri_v3!$C$26)</f>
        <v>17395.98</v>
      </c>
      <c r="AI339" s="15" t="n">
        <f aca="false">(IF(35-(INT((Ipotesi!$C$91)/30))&lt;1,0,INDEX(Motore_Advisory!$AH$305:$AH$364,MAX(1,35-(INT((Ipotesi!$C$91)/30)))))*(1-(MOD((Ipotesi!$C$91),30)/30))+IF(35-(INT((Ipotesi!$C$91)/30))-1&lt;1,0,INDEX(Motore_Advisory!$AH$305:$AH$364,MAX(1,35-(INT((Ipotesi!$C$91)/30))-1)))*(MOD((Ipotesi!$C$91),30)/30))</f>
        <v>17395.98</v>
      </c>
      <c r="AJ339" s="15" t="n">
        <f aca="false">(AJ338)+AH339-AI339</f>
        <v>34791.96</v>
      </c>
      <c r="AK339" s="15" t="n">
        <f aca="false">(F339- Motore_Operativo!BH339-(Motore_Operativo!CK339)*Parametri_v3!$C$28-Motore_Operativo!CF339)*Parametri_v3!$C$26</f>
        <v>9283.85333333333</v>
      </c>
      <c r="AL339" s="15" t="n">
        <f aca="false">MAX(0,(AM338))</f>
        <v>9283.85333333333</v>
      </c>
      <c r="AM339" s="15" t="n">
        <f aca="false">(AM338)+AK339-AL339</f>
        <v>9283.85333333333</v>
      </c>
      <c r="AN339" s="15" t="n">
        <f aca="false">SUM(X317:X328)</f>
        <v>16530.1714788732</v>
      </c>
      <c r="AO339" s="15" t="n">
        <f aca="false">SUM(AP317:AP328)</f>
        <v>13562.3123684211</v>
      </c>
      <c r="AP339" s="15" t="n">
        <f aca="false">MAX(0,AN339)*IF(11=Parametri_v3!$C$43,Parametri_v3!$C$45,IF(11=Parametri_v3!$C$44,1-Parametri_v3!$C$45,0))</f>
        <v>9918.10288732394</v>
      </c>
      <c r="AQ339" s="15" t="n">
        <f aca="false">MAX(0,AP339+IF(11=Parametri_v3!$C$43,MAX(0,AN339-AO339),0)-MAX(0,-(AR338)))</f>
        <v>9918.10288732394</v>
      </c>
      <c r="AR339" s="15" t="n">
        <f aca="false">(AR338)+X339-AQ339</f>
        <v>26277.5832086268</v>
      </c>
      <c r="AS339" s="15" t="n">
        <f aca="false">Motore_Operativo!AC339-AT339+AU339</f>
        <v>24146.5260416667</v>
      </c>
      <c r="AT339" s="15" t="n">
        <f aca="false">Motore_Operativo!CI339</f>
        <v>1270.86979166667</v>
      </c>
      <c r="AU339" s="15" t="n">
        <f aca="false">MIN(MAX(0,(AV338)+AT339),Parametri_v3!$C$61/12)</f>
        <v>0</v>
      </c>
      <c r="AV339" s="15" t="n">
        <f aca="false">(AV338)+AT339-AU339</f>
        <v>26708.5677083333</v>
      </c>
      <c r="AW339" s="15" t="n">
        <f aca="false">IF(AND(Motore_Operativo!C339=Finanziamenti!$D$7,Finanziamenti!$F$7=1),Finanziamenti!$C$7,0)</f>
        <v>0</v>
      </c>
      <c r="AX339" s="15" t="n">
        <f aca="false">0</f>
        <v>0</v>
      </c>
      <c r="AY339" s="15" t="n">
        <f aca="false">IF(11=Parametri_v3!$C$33,IF(BV339&lt;MIN(12,$B339-1),0,MIN(MAX(0,SUM(Y317:Y328))*Ipotesi!$C$94,MAX(0,(BM328)-(BO338)-BP339),MAX(0,BD339-Parametri_v3!$C$31))),0)</f>
        <v>0</v>
      </c>
      <c r="AZ339" s="15" t="n">
        <f aca="false">0</f>
        <v>0</v>
      </c>
      <c r="BA339" s="15" t="n">
        <f aca="false">0</f>
        <v>0</v>
      </c>
      <c r="BB339" s="15" t="n">
        <f aca="false">0</f>
        <v>0</v>
      </c>
      <c r="BC339" s="15" t="n">
        <f aca="false">0</f>
        <v>0</v>
      </c>
      <c r="BD339" s="15" t="n">
        <f aca="false">(BH338)+AC339-AF339-AI339-AS339-K339*(1+Parametri_v3!$C$26)-AL339-AQ339-O339+AW339+AX339+AZ339+BA339-BB339</f>
        <v>84473.3477040091</v>
      </c>
      <c r="BE339" s="15" t="n">
        <f aca="false">0</f>
        <v>0</v>
      </c>
      <c r="BF339" s="15" t="n">
        <f aca="false">0</f>
        <v>0</v>
      </c>
      <c r="BG339" s="15" t="n">
        <f aca="false">0</f>
        <v>0</v>
      </c>
      <c r="BH339" s="15" t="n">
        <f aca="false">BD339+BE339-BF339-AY339</f>
        <v>84473.3477040091</v>
      </c>
      <c r="BI339" s="15" t="n">
        <f aca="false">MAX(0,Parametri_v3!$C$31-BH339)</f>
        <v>0</v>
      </c>
      <c r="BJ339" s="15" t="n">
        <f aca="false">(BJ338)+K339</f>
        <v>12583.3333333333</v>
      </c>
      <c r="BK339" s="15" t="n">
        <f aca="false">(BK338)+L339</f>
        <v>5652.77777777778</v>
      </c>
      <c r="BL339" s="15" t="n">
        <f aca="false">BJ339-BK339</f>
        <v>6930.55555555555</v>
      </c>
      <c r="BM339" s="15" t="n">
        <f aca="false">(BM338)+Y339</f>
        <v>188390.939009271</v>
      </c>
      <c r="BN339" s="15" t="n">
        <f aca="false">(BN338)+AW339+AX339+AZ339</f>
        <v>20000</v>
      </c>
      <c r="BO339" s="15" t="n">
        <f aca="false">(BO338)+AY339</f>
        <v>0</v>
      </c>
      <c r="BP339" s="15" t="n">
        <f aca="false">MIN(Parametri_v3!$C$36*Parametri_v3!$C$35,(BP338)+IF(11=1,MAX(0,SUM(Y317:Y328))*Parametri_v3!$C$34,0))</f>
        <v>2000</v>
      </c>
      <c r="BQ339" s="15" t="n">
        <f aca="false">BN339+BM339-BO339</f>
        <v>208390.939009271</v>
      </c>
      <c r="BR339" s="15" t="n">
        <f aca="false">BH339+AD339+BL339+MAX(0,-AM339)+MAX(0,-AR339)</f>
        <v>312833.903259565</v>
      </c>
      <c r="BS339" s="15" t="n">
        <f aca="false">AJ339+AV339+MAX(0,AM339)+MAX(0,AR339)+BC339+BG339+BQ339+AG339</f>
        <v>312833.903259565</v>
      </c>
      <c r="BT339" s="15" t="n">
        <f aca="false">BR339-BS339</f>
        <v>0</v>
      </c>
      <c r="BU339" s="15" t="n">
        <f aca="false">BH339-(BD339+BE339-BF339-AY339)</f>
        <v>0</v>
      </c>
      <c r="BV339" s="15" t="n">
        <f aca="false">IF(BH338&lt;Parametri_v3!$C$31,0,BV338+1)</f>
        <v>6</v>
      </c>
    </row>
    <row r="340" customFormat="false" ht="18" hidden="false" customHeight="true" outlineLevel="0" collapsed="false">
      <c r="A340" s="68" t="n">
        <f aca="false">6</f>
        <v>6</v>
      </c>
      <c r="B340" s="68" t="n">
        <f aca="false">36</f>
        <v>36</v>
      </c>
      <c r="C340" s="18" t="n">
        <f aca="false">Motore_Operativo!C340</f>
        <v>47453</v>
      </c>
      <c r="D340" s="68" t="n">
        <f aca="false">Motore_Operativo!D340</f>
        <v>2029</v>
      </c>
      <c r="E340" s="68" t="n">
        <f aca="false">Motore_Operativo!E340</f>
        <v>12</v>
      </c>
      <c r="F340" s="15" t="n">
        <f aca="false">Motore_Operativo!AM340</f>
        <v>60500</v>
      </c>
      <c r="G340" s="15" t="n">
        <f aca="false">Motore_Operativo!BH340</f>
        <v>6050</v>
      </c>
      <c r="H340" s="15" t="n">
        <f aca="false">Motore_Operativo!AM340</f>
        <v>60500</v>
      </c>
      <c r="I340" s="15" t="n">
        <f aca="false">Motore_Operativo!CB340</f>
        <v>46259.8958333333</v>
      </c>
      <c r="J340" s="15" t="n">
        <f aca="false">Motore_Operativo!CD340</f>
        <v>14240.1041666667</v>
      </c>
      <c r="K340" s="15" t="n">
        <f aca="false">Motore_Operativo!CF340</f>
        <v>416.666666666667</v>
      </c>
      <c r="L340" s="15" t="n">
        <f aca="false">SUM(INDEX($K$305:$K$364,MAX(1,36-Parametri_v3!$C$59+1)):K340)/Parametri_v3!$C$59</f>
        <v>361.111111111111</v>
      </c>
      <c r="M340" s="15" t="n">
        <f aca="false">J340-L340</f>
        <v>13878.9930555556</v>
      </c>
      <c r="N340" s="15" t="n">
        <f aca="false">0</f>
        <v>0</v>
      </c>
      <c r="O340" s="15" t="n">
        <f aca="false">0</f>
        <v>0</v>
      </c>
      <c r="P340" s="15" t="n">
        <f aca="false">M340+N340-O340</f>
        <v>13878.9930555556</v>
      </c>
      <c r="Q340" s="15" t="n">
        <f aca="false">SUM(P329:P340)+Parametri_v3!$C$56*12/12</f>
        <v>167311.805555556</v>
      </c>
      <c r="R340" s="15" t="n">
        <f aca="false">Z328</f>
        <v>0</v>
      </c>
      <c r="S340" s="15" t="n">
        <f aca="false">AA328</f>
        <v>0</v>
      </c>
      <c r="T340" s="15" t="n">
        <f aca="false">MIN(R340,MAX(0,Q340))</f>
        <v>0</v>
      </c>
      <c r="U340" s="15" t="n">
        <f aca="false">MIN(S340,MAX(0,Q340-T340)*Parametri_v3!$C$42)</f>
        <v>0</v>
      </c>
      <c r="V340" s="15" t="n">
        <f aca="false">MAX(0,Q340-T340-U340)*Ipotesi!$C$92</f>
        <v>40154.8333333334</v>
      </c>
      <c r="W340" s="15" t="n">
        <f aca="false">MAX(0,SUM(M329:M340)+Parametri_v3!$C$57*12/12)*Ipotesi!$C$93</f>
        <v>6525.16041666667</v>
      </c>
      <c r="X340" s="15" t="n">
        <f aca="false">V340+W340-(V339+W339)</f>
        <v>3872.2390625</v>
      </c>
      <c r="Y340" s="15" t="n">
        <f aca="false">P340-X340</f>
        <v>10006.7539930556</v>
      </c>
      <c r="Z340" s="15" t="n">
        <f aca="false">R340-T340+IF(AND(Parametri_v3!$C$40=1,D340-YEAR(Parametri_v3!$C$50)&lt;Parametri_v3!$C$41),MAX(0,-Q340),0)</f>
        <v>0</v>
      </c>
      <c r="AA340" s="15" t="n">
        <f aca="false">S340-U340+IF(AND(Parametri_v3!$C$40=1,D340-YEAR(Parametri_v3!$C$50)&lt;Parametri_v3!$C$41),0,MAX(0,-Q340))</f>
        <v>0</v>
      </c>
      <c r="AB340" s="15" t="n">
        <f aca="false">F340*(1+Parametri_v3!$C$26)</f>
        <v>73810</v>
      </c>
      <c r="AC340" s="15" t="n">
        <f aca="false">(IF(36-(INT((Motore_Operativo!L340)/30))&lt;1,0,INDEX(Motore_Advisory!$AB$305:$AB$364,MAX(1,36-(INT((Motore_Operativo!L340)/30)))))*(1-(MOD((Motore_Operativo!L340),30)/30))+IF(36-(INT((Motore_Operativo!L340)/30))-1&lt;1,0,INDEX(Motore_Advisory!$AB$305:$AB$364,MAX(1,36-(INT((Motore_Operativo!L340)/30))-1)))*(MOD((Motore_Operativo!L340),30)/30))</f>
        <v>73810</v>
      </c>
      <c r="AD340" s="15" t="n">
        <f aca="false">(AD339)+AB340-AC340</f>
        <v>221430</v>
      </c>
      <c r="AE340" s="15" t="n">
        <f aca="false">Motore_Operativo!BH340*(1+Parametri_v3!$C$26)</f>
        <v>7381</v>
      </c>
      <c r="AF340" s="15" t="n">
        <f aca="false">(IF(36-(INT((Parametri_v3!$C$29)/30))&lt;1,0,INDEX(Motore_Operativo!$BH$305:$BH$364,MAX(1,36-(INT((Parametri_v3!$C$29)/30)))))*(1-(MOD((Parametri_v3!$C$29),30)/30))+IF(36-(INT((Parametri_v3!$C$29)/30))-1&lt;1,0,INDEX(Motore_Operativo!$BH$305:$BH$364,MAX(1,36-(INT((Parametri_v3!$C$29)/30))-1)))*(MOD((Parametri_v3!$C$29),30)/30))*(1+Parametri_v3!$C$26)</f>
        <v>7381</v>
      </c>
      <c r="AG340" s="15" t="n">
        <f aca="false">(AG339)+AE340-AF340</f>
        <v>7381</v>
      </c>
      <c r="AH340" s="15" t="n">
        <f aca="false">(Motore_Operativo!CK340)*(1+Parametri_v3!$C$28*Parametri_v3!$C$26)</f>
        <v>17395.98</v>
      </c>
      <c r="AI340" s="15" t="n">
        <f aca="false">(IF(36-(INT((Ipotesi!$C$91)/30))&lt;1,0,INDEX(Motore_Advisory!$AH$305:$AH$364,MAX(1,36-(INT((Ipotesi!$C$91)/30)))))*(1-(MOD((Ipotesi!$C$91),30)/30))+IF(36-(INT((Ipotesi!$C$91)/30))-1&lt;1,0,INDEX(Motore_Advisory!$AH$305:$AH$364,MAX(1,36-(INT((Ipotesi!$C$91)/30))-1)))*(MOD((Ipotesi!$C$91),30)/30))</f>
        <v>17395.98</v>
      </c>
      <c r="AJ340" s="15" t="n">
        <f aca="false">(AJ339)+AH340-AI340</f>
        <v>34791.96</v>
      </c>
      <c r="AK340" s="15" t="n">
        <f aca="false">(F340- Motore_Operativo!BH340-(Motore_Operativo!CK340)*Parametri_v3!$C$28-Motore_Operativo!CF340)*Parametri_v3!$C$26</f>
        <v>9283.85333333333</v>
      </c>
      <c r="AL340" s="15" t="n">
        <f aca="false">MAX(0,(AM339))</f>
        <v>9283.85333333333</v>
      </c>
      <c r="AM340" s="15" t="n">
        <f aca="false">(AM339)+AK340-AL340</f>
        <v>9283.85333333333</v>
      </c>
      <c r="AN340" s="15" t="n">
        <f aca="false">SUM(X317:X328)</f>
        <v>16530.1714788732</v>
      </c>
      <c r="AO340" s="15" t="n">
        <f aca="false">SUM(AP317:AP328)</f>
        <v>13562.3123684211</v>
      </c>
      <c r="AP340" s="15" t="n">
        <f aca="false">MAX(0,AN340)*IF(12=Parametri_v3!$C$43,Parametri_v3!$C$45,IF(12=Parametri_v3!$C$44,1-Parametri_v3!$C$45,0))</f>
        <v>0</v>
      </c>
      <c r="AQ340" s="15" t="n">
        <f aca="false">MAX(0,AP340+IF(12=Parametri_v3!$C$43,MAX(0,AN340-AO340),0)-MAX(0,-(AR339)))</f>
        <v>0</v>
      </c>
      <c r="AR340" s="15" t="n">
        <f aca="false">(AR339)+X340-AQ340</f>
        <v>30149.8222711268</v>
      </c>
      <c r="AS340" s="15" t="n">
        <f aca="false">Motore_Operativo!AC340-AT340+AU340</f>
        <v>24146.5260416667</v>
      </c>
      <c r="AT340" s="15" t="n">
        <f aca="false">Motore_Operativo!CI340</f>
        <v>1270.86979166667</v>
      </c>
      <c r="AU340" s="15" t="n">
        <f aca="false">MIN(MAX(0,(AV339)+AT340),Parametri_v3!$C$61/12)</f>
        <v>0</v>
      </c>
      <c r="AV340" s="15" t="n">
        <f aca="false">(AV339)+AT340-AU340</f>
        <v>27979.4375</v>
      </c>
      <c r="AW340" s="15" t="n">
        <f aca="false">IF(AND(Motore_Operativo!C340=Finanziamenti!$D$7,Finanziamenti!$F$7=1),Finanziamenti!$C$7,0)</f>
        <v>0</v>
      </c>
      <c r="AX340" s="15" t="n">
        <f aca="false">0</f>
        <v>0</v>
      </c>
      <c r="AY340" s="15" t="n">
        <f aca="false">IF(12=Parametri_v3!$C$33,IF(BV340&lt;MIN(12,$B340-1),0,MIN(MAX(0,SUM(Y317:Y328))*Ipotesi!$C$94,MAX(0,(BM328)-(BO339)-BP340),MAX(0,BD340-Parametri_v3!$C$31))),0)</f>
        <v>0</v>
      </c>
      <c r="AZ340" s="15" t="n">
        <f aca="false">0</f>
        <v>0</v>
      </c>
      <c r="BA340" s="15" t="n">
        <f aca="false">0</f>
        <v>0</v>
      </c>
      <c r="BB340" s="15" t="n">
        <f aca="false">0</f>
        <v>0</v>
      </c>
      <c r="BC340" s="15" t="n">
        <f aca="false">0</f>
        <v>0</v>
      </c>
      <c r="BD340" s="15" t="n">
        <f aca="false">(BH339)+AC340-AF340-AI340-AS340-K340*(1+Parametri_v3!$C$26)-AL340-AQ340-O340+AW340+AX340+AZ340+BA340-BB340</f>
        <v>99567.6549956758</v>
      </c>
      <c r="BE340" s="15" t="n">
        <f aca="false">0</f>
        <v>0</v>
      </c>
      <c r="BF340" s="15" t="n">
        <f aca="false">0</f>
        <v>0</v>
      </c>
      <c r="BG340" s="15" t="n">
        <f aca="false">0</f>
        <v>0</v>
      </c>
      <c r="BH340" s="15" t="n">
        <f aca="false">BD340+BE340-BF340-AY340</f>
        <v>99567.6549956758</v>
      </c>
      <c r="BI340" s="15" t="n">
        <f aca="false">MAX(0,Parametri_v3!$C$31-BH340)</f>
        <v>0</v>
      </c>
      <c r="BJ340" s="15" t="n">
        <f aca="false">(BJ339)+K340</f>
        <v>13000</v>
      </c>
      <c r="BK340" s="15" t="n">
        <f aca="false">(BK339)+L340</f>
        <v>6013.88888888889</v>
      </c>
      <c r="BL340" s="15" t="n">
        <f aca="false">BJ340-BK340</f>
        <v>6986.11111111111</v>
      </c>
      <c r="BM340" s="15" t="n">
        <f aca="false">(BM339)+Y340</f>
        <v>198397.693002327</v>
      </c>
      <c r="BN340" s="15" t="n">
        <f aca="false">(BN339)+AW340+AX340+AZ340</f>
        <v>20000</v>
      </c>
      <c r="BO340" s="15" t="n">
        <f aca="false">(BO339)+AY340</f>
        <v>0</v>
      </c>
      <c r="BP340" s="15" t="n">
        <f aca="false">MIN(Parametri_v3!$C$36*Parametri_v3!$C$35,(BP339)+IF(12=1,MAX(0,SUM(Y317:Y328))*Parametri_v3!$C$34,0))</f>
        <v>2000</v>
      </c>
      <c r="BQ340" s="15" t="n">
        <f aca="false">BN340+BM340-BO340</f>
        <v>218397.693002327</v>
      </c>
      <c r="BR340" s="15" t="n">
        <f aca="false">BH340+AD340+BL340+MAX(0,-AM340)+MAX(0,-AR340)</f>
        <v>327983.766106787</v>
      </c>
      <c r="BS340" s="15" t="n">
        <f aca="false">AJ340+AV340+MAX(0,AM340)+MAX(0,AR340)+BC340+BG340+BQ340+AG340</f>
        <v>327983.766106787</v>
      </c>
      <c r="BT340" s="15" t="n">
        <f aca="false">BR340-BS340</f>
        <v>0</v>
      </c>
      <c r="BU340" s="15" t="n">
        <f aca="false">BH340-(BD340+BE340-BF340-AY340)</f>
        <v>0</v>
      </c>
      <c r="BV340" s="15" t="n">
        <f aca="false">IF(BH339&lt;Parametri_v3!$C$31,0,BV339+1)</f>
        <v>7</v>
      </c>
    </row>
    <row r="341" customFormat="false" ht="18" hidden="false" customHeight="true" outlineLevel="0" collapsed="false">
      <c r="A341" s="68" t="n">
        <f aca="false">6</f>
        <v>6</v>
      </c>
      <c r="B341" s="68" t="n">
        <f aca="false">37</f>
        <v>37</v>
      </c>
      <c r="C341" s="18" t="n">
        <f aca="false">Motore_Operativo!C341</f>
        <v>47484</v>
      </c>
      <c r="D341" s="68" t="n">
        <f aca="false">Motore_Operativo!D341</f>
        <v>2030</v>
      </c>
      <c r="E341" s="68" t="n">
        <f aca="false">Motore_Operativo!E341</f>
        <v>1</v>
      </c>
      <c r="F341" s="15" t="n">
        <f aca="false">Motore_Operativo!AM341</f>
        <v>90241.6666666667</v>
      </c>
      <c r="G341" s="15" t="n">
        <f aca="false">Motore_Operativo!BH341</f>
        <v>9024.16666666667</v>
      </c>
      <c r="H341" s="15" t="n">
        <f aca="false">Motore_Operativo!AM341</f>
        <v>90241.6666666667</v>
      </c>
      <c r="I341" s="15" t="n">
        <f aca="false">Motore_Operativo!CB341</f>
        <v>62580.173375</v>
      </c>
      <c r="J341" s="15" t="n">
        <f aca="false">Motore_Operativo!CD341</f>
        <v>27661.4932916667</v>
      </c>
      <c r="K341" s="15" t="n">
        <f aca="false">Motore_Operativo!CF341</f>
        <v>666.666666666667</v>
      </c>
      <c r="L341" s="15" t="n">
        <f aca="false">SUM(INDEX($K$305:$K$364,MAX(1,37-Parametri_v3!$C$59+1)):K341)/Parametri_v3!$C$59</f>
        <v>372.685185185185</v>
      </c>
      <c r="M341" s="15" t="n">
        <f aca="false">J341-L341</f>
        <v>27288.8081064815</v>
      </c>
      <c r="N341" s="15" t="n">
        <f aca="false">0</f>
        <v>0</v>
      </c>
      <c r="O341" s="15" t="n">
        <f aca="false">0</f>
        <v>0</v>
      </c>
      <c r="P341" s="15" t="n">
        <f aca="false">M341+N341-O341</f>
        <v>27288.8081064815</v>
      </c>
      <c r="Q341" s="15" t="n">
        <f aca="false">SUM(P341)+Parametri_v3!$C$56*1/12</f>
        <v>27288.8081064815</v>
      </c>
      <c r="R341" s="15" t="n">
        <f aca="false">Z340</f>
        <v>0</v>
      </c>
      <c r="S341" s="15" t="n">
        <f aca="false">AA340</f>
        <v>0</v>
      </c>
      <c r="T341" s="15" t="n">
        <f aca="false">MIN(R341,MAX(0,Q341))</f>
        <v>0</v>
      </c>
      <c r="U341" s="15" t="n">
        <f aca="false">MIN(S341,MAX(0,Q341-T341)*Parametri_v3!$C$42)</f>
        <v>0</v>
      </c>
      <c r="V341" s="15" t="n">
        <f aca="false">MAX(0,Q341-T341-U341)*Ipotesi!$C$92</f>
        <v>6549.31394555556</v>
      </c>
      <c r="W341" s="15" t="n">
        <f aca="false">MAX(0,SUM(M341)+Parametri_v3!$C$57*1/12)*Ipotesi!$C$93</f>
        <v>1064.26351615278</v>
      </c>
      <c r="X341" s="15" t="n">
        <f aca="false">V341+W341-(0)</f>
        <v>7613.57746170833</v>
      </c>
      <c r="Y341" s="15" t="n">
        <f aca="false">P341-X341</f>
        <v>19675.2306447731</v>
      </c>
      <c r="Z341" s="15" t="n">
        <f aca="false">R341-T341+IF(AND(Parametri_v3!$C$40=1,D341-YEAR(Parametri_v3!$C$50)&lt;Parametri_v3!$C$41),MAX(0,-Q341),0)</f>
        <v>0</v>
      </c>
      <c r="AA341" s="15" t="n">
        <f aca="false">S341-U341+IF(AND(Parametri_v3!$C$40=1,D341-YEAR(Parametri_v3!$C$50)&lt;Parametri_v3!$C$41),0,MAX(0,-Q341))</f>
        <v>0</v>
      </c>
      <c r="AB341" s="15" t="n">
        <f aca="false">F341*(1+Parametri_v3!$C$26)</f>
        <v>110094.833333333</v>
      </c>
      <c r="AC341" s="15" t="n">
        <f aca="false">(IF(37-(INT((Motore_Operativo!L341)/30))&lt;1,0,INDEX(Motore_Advisory!$AB$305:$AB$364,MAX(1,37-(INT((Motore_Operativo!L341)/30)))))*(1-(MOD((Motore_Operativo!L341),30)/30))+IF(37-(INT((Motore_Operativo!L341)/30))-1&lt;1,0,INDEX(Motore_Advisory!$AB$305:$AB$364,MAX(1,37-(INT((Motore_Operativo!L341)/30))-1)))*(MOD((Motore_Operativo!L341),30)/30))</f>
        <v>73810</v>
      </c>
      <c r="AD341" s="15" t="n">
        <f aca="false">(AD340)+AB341-AC341</f>
        <v>257714.833333333</v>
      </c>
      <c r="AE341" s="15" t="n">
        <f aca="false">Motore_Operativo!BH341*(1+Parametri_v3!$C$26)</f>
        <v>11009.4833333333</v>
      </c>
      <c r="AF341" s="15" t="n">
        <f aca="false">(IF(37-(INT((Parametri_v3!$C$29)/30))&lt;1,0,INDEX(Motore_Operativo!$BH$305:$BH$364,MAX(1,37-(INT((Parametri_v3!$C$29)/30)))))*(1-(MOD((Parametri_v3!$C$29),30)/30))+IF(37-(INT((Parametri_v3!$C$29)/30))-1&lt;1,0,INDEX(Motore_Operativo!$BH$305:$BH$364,MAX(1,37-(INT((Parametri_v3!$C$29)/30))-1)))*(MOD((Parametri_v3!$C$29),30)/30))*(1+Parametri_v3!$C$26)</f>
        <v>7381</v>
      </c>
      <c r="AG341" s="15" t="n">
        <f aca="false">(AG340)+AE341-AF341</f>
        <v>11009.4833333333</v>
      </c>
      <c r="AH341" s="15" t="n">
        <f aca="false">(Motore_Operativo!CK341)*(1+Parametri_v3!$C$28*Parametri_v3!$C$26)</f>
        <v>23198.952</v>
      </c>
      <c r="AI341" s="15" t="n">
        <f aca="false">(IF(37-(INT((Ipotesi!$C$91)/30))&lt;1,0,INDEX(Motore_Advisory!$AH$305:$AH$364,MAX(1,37-(INT((Ipotesi!$C$91)/30)))))*(1-(MOD((Ipotesi!$C$91),30)/30))+IF(37-(INT((Ipotesi!$C$91)/30))-1&lt;1,0,INDEX(Motore_Advisory!$AH$305:$AH$364,MAX(1,37-(INT((Ipotesi!$C$91)/30))-1)))*(MOD((Ipotesi!$C$91),30)/30))</f>
        <v>17395.98</v>
      </c>
      <c r="AJ341" s="15" t="n">
        <f aca="false">(AJ340)+AH341-AI341</f>
        <v>40594.932</v>
      </c>
      <c r="AK341" s="15" t="n">
        <f aca="false">(F341- Motore_Operativo!BH341-(Motore_Operativo!CK341)*Parametri_v3!$C$28-Motore_Operativo!CF341)*Parametri_v3!$C$26</f>
        <v>14249.2313333333</v>
      </c>
      <c r="AL341" s="15" t="n">
        <f aca="false">MAX(0,(AM340))</f>
        <v>9283.85333333333</v>
      </c>
      <c r="AM341" s="15" t="n">
        <f aca="false">(AM340)+AK341-AL341</f>
        <v>14249.2313333333</v>
      </c>
      <c r="AN341" s="15" t="n">
        <f aca="false">SUM(X329:X340)</f>
        <v>46679.99375</v>
      </c>
      <c r="AO341" s="15" t="n">
        <f aca="false">SUM(AP329:AP340)</f>
        <v>16530.1714788732</v>
      </c>
      <c r="AP341" s="15" t="n">
        <f aca="false">MAX(0,AN341)*IF(1=Parametri_v3!$C$43,Parametri_v3!$C$45,IF(1=Parametri_v3!$C$44,1-Parametri_v3!$C$45,0))</f>
        <v>0</v>
      </c>
      <c r="AQ341" s="15" t="n">
        <f aca="false">MAX(0,AP341+IF(1=Parametri_v3!$C$43,MAX(0,AN341-AO341),0)-MAX(0,-(AR340)))</f>
        <v>0</v>
      </c>
      <c r="AR341" s="15" t="n">
        <f aca="false">(AR340)+X341-AQ341</f>
        <v>37763.3997328351</v>
      </c>
      <c r="AS341" s="15" t="n">
        <f aca="false">Motore_Operativo!AC341-AT341+AU341</f>
        <v>32137.5563729167</v>
      </c>
      <c r="AT341" s="15" t="n">
        <f aca="false">Motore_Operativo!CI341</f>
        <v>1691.45033541667</v>
      </c>
      <c r="AU341" s="15" t="n">
        <f aca="false">MIN(MAX(0,(AV340)+AT341),Parametri_v3!$C$61/12)</f>
        <v>0</v>
      </c>
      <c r="AV341" s="15" t="n">
        <f aca="false">(AV340)+AT341-AU341</f>
        <v>29670.8878354167</v>
      </c>
      <c r="AW341" s="15" t="n">
        <f aca="false">IF(AND(Motore_Operativo!C341=Finanziamenti!$D$7,Finanziamenti!$F$7=1),Finanziamenti!$C$7,0)</f>
        <v>0</v>
      </c>
      <c r="AX341" s="15" t="n">
        <f aca="false">0</f>
        <v>0</v>
      </c>
      <c r="AY341" s="15" t="n">
        <f aca="false">IF(1=Parametri_v3!$C$33,IF(BV341&lt;MIN(12,$B341-1),0,MIN(MAX(0,SUM(Y329:Y340))*Ipotesi!$C$94,MAX(0,(BM340)-(BO340)-BP341),MAX(0,BD341-Parametri_v3!$C$31))),0)</f>
        <v>0</v>
      </c>
      <c r="AZ341" s="15" t="n">
        <f aca="false">0</f>
        <v>0</v>
      </c>
      <c r="BA341" s="15" t="n">
        <f aca="false">0</f>
        <v>0</v>
      </c>
      <c r="BB341" s="15" t="n">
        <f aca="false">0</f>
        <v>0</v>
      </c>
      <c r="BC341" s="15" t="n">
        <f aca="false">0</f>
        <v>0</v>
      </c>
      <c r="BD341" s="15" t="n">
        <f aca="false">(BH340)+AC341-AF341-AI341-AS341-K341*(1+Parametri_v3!$C$26)-AL341-AQ341-O341+AW341+AX341+AZ341+BA341-BB341</f>
        <v>106365.931956092</v>
      </c>
      <c r="BE341" s="15" t="n">
        <f aca="false">0</f>
        <v>0</v>
      </c>
      <c r="BF341" s="15" t="n">
        <f aca="false">0</f>
        <v>0</v>
      </c>
      <c r="BG341" s="15" t="n">
        <f aca="false">0</f>
        <v>0</v>
      </c>
      <c r="BH341" s="15" t="n">
        <f aca="false">BD341+BE341-BF341-AY341</f>
        <v>106365.931956092</v>
      </c>
      <c r="BI341" s="15" t="n">
        <f aca="false">MAX(0,Parametri_v3!$C$31-BH341)</f>
        <v>0</v>
      </c>
      <c r="BJ341" s="15" t="n">
        <f aca="false">(BJ340)+K341</f>
        <v>13666.6666666667</v>
      </c>
      <c r="BK341" s="15" t="n">
        <f aca="false">(BK340)+L341</f>
        <v>6386.57407407407</v>
      </c>
      <c r="BL341" s="15" t="n">
        <f aca="false">BJ341-BK341</f>
        <v>7280.09259259259</v>
      </c>
      <c r="BM341" s="15" t="n">
        <f aca="false">(BM340)+Y341</f>
        <v>218072.9236471</v>
      </c>
      <c r="BN341" s="15" t="n">
        <f aca="false">(BN340)+AW341+AX341+AZ341</f>
        <v>20000</v>
      </c>
      <c r="BO341" s="15" t="n">
        <f aca="false">(BO340)+AY341</f>
        <v>0</v>
      </c>
      <c r="BP341" s="15" t="n">
        <f aca="false">MIN(Parametri_v3!$C$36*Parametri_v3!$C$35,(BP340)+IF(1=1,MAX(0,SUM(Y329:Y340))*Parametri_v3!$C$34,0))</f>
        <v>2000</v>
      </c>
      <c r="BQ341" s="15" t="n">
        <f aca="false">BN341+BM341-BO341</f>
        <v>238072.9236471</v>
      </c>
      <c r="BR341" s="15" t="n">
        <f aca="false">BH341+AD341+BL341+MAX(0,-AM341)+MAX(0,-AR341)</f>
        <v>371360.857882018</v>
      </c>
      <c r="BS341" s="15" t="n">
        <f aca="false">AJ341+AV341+MAX(0,AM341)+MAX(0,AR341)+BC341+BG341+BQ341+AG341</f>
        <v>371360.857882018</v>
      </c>
      <c r="BT341" s="15" t="n">
        <f aca="false">BR341-BS341</f>
        <v>0</v>
      </c>
      <c r="BU341" s="15" t="n">
        <f aca="false">BH341-(BD341+BE341-BF341-AY341)</f>
        <v>0</v>
      </c>
      <c r="BV341" s="15" t="n">
        <f aca="false">IF(BH340&lt;Parametri_v3!$C$31,0,BV340+1)</f>
        <v>8</v>
      </c>
    </row>
    <row r="342" customFormat="false" ht="18" hidden="false" customHeight="true" outlineLevel="0" collapsed="false">
      <c r="A342" s="68" t="n">
        <f aca="false">6</f>
        <v>6</v>
      </c>
      <c r="B342" s="68" t="n">
        <f aca="false">38</f>
        <v>38</v>
      </c>
      <c r="C342" s="18" t="n">
        <f aca="false">Motore_Operativo!C342</f>
        <v>47515</v>
      </c>
      <c r="D342" s="68" t="n">
        <f aca="false">Motore_Operativo!D342</f>
        <v>2030</v>
      </c>
      <c r="E342" s="68" t="n">
        <f aca="false">Motore_Operativo!E342</f>
        <v>2</v>
      </c>
      <c r="F342" s="15" t="n">
        <f aca="false">Motore_Operativo!AM342</f>
        <v>90241.6666666667</v>
      </c>
      <c r="G342" s="15" t="n">
        <f aca="false">Motore_Operativo!BH342</f>
        <v>9024.16666666667</v>
      </c>
      <c r="H342" s="15" t="n">
        <f aca="false">Motore_Operativo!AM342</f>
        <v>90241.6666666667</v>
      </c>
      <c r="I342" s="15" t="n">
        <f aca="false">Motore_Operativo!CB342</f>
        <v>62580.173375</v>
      </c>
      <c r="J342" s="15" t="n">
        <f aca="false">Motore_Operativo!CD342</f>
        <v>27661.4932916667</v>
      </c>
      <c r="K342" s="15" t="n">
        <f aca="false">Motore_Operativo!CF342</f>
        <v>666.666666666667</v>
      </c>
      <c r="L342" s="15" t="n">
        <f aca="false">SUM(INDEX($K$305:$K$364,MAX(1,38-Parametri_v3!$C$59+1)):K342)/Parametri_v3!$C$59</f>
        <v>384.259259259259</v>
      </c>
      <c r="M342" s="15" t="n">
        <f aca="false">J342-L342</f>
        <v>27277.2340324074</v>
      </c>
      <c r="N342" s="15" t="n">
        <f aca="false">0</f>
        <v>0</v>
      </c>
      <c r="O342" s="15" t="n">
        <f aca="false">0</f>
        <v>0</v>
      </c>
      <c r="P342" s="15" t="n">
        <f aca="false">M342+N342-O342</f>
        <v>27277.2340324074</v>
      </c>
      <c r="Q342" s="15" t="n">
        <f aca="false">SUM(P341:P342)+Parametri_v3!$C$56*2/12</f>
        <v>54566.0421388889</v>
      </c>
      <c r="R342" s="15" t="n">
        <f aca="false">Z340</f>
        <v>0</v>
      </c>
      <c r="S342" s="15" t="n">
        <f aca="false">AA340</f>
        <v>0</v>
      </c>
      <c r="T342" s="15" t="n">
        <f aca="false">MIN(R342,MAX(0,Q342))</f>
        <v>0</v>
      </c>
      <c r="U342" s="15" t="n">
        <f aca="false">MIN(S342,MAX(0,Q342-T342)*Parametri_v3!$C$42)</f>
        <v>0</v>
      </c>
      <c r="V342" s="15" t="n">
        <f aca="false">MAX(0,Q342-T342-U342)*Ipotesi!$C$92</f>
        <v>13095.8501133333</v>
      </c>
      <c r="W342" s="15" t="n">
        <f aca="false">MAX(0,SUM(M341:M342)+Parametri_v3!$C$57*2/12)*Ipotesi!$C$93</f>
        <v>2128.07564341667</v>
      </c>
      <c r="X342" s="15" t="n">
        <f aca="false">V342+W342-(V341+W341)</f>
        <v>7610.34829504167</v>
      </c>
      <c r="Y342" s="15" t="n">
        <f aca="false">P342-X342</f>
        <v>19666.8857373657</v>
      </c>
      <c r="Z342" s="15" t="n">
        <f aca="false">R342-T342+IF(AND(Parametri_v3!$C$40=1,D342-YEAR(Parametri_v3!$C$50)&lt;Parametri_v3!$C$41),MAX(0,-Q342),0)</f>
        <v>0</v>
      </c>
      <c r="AA342" s="15" t="n">
        <f aca="false">S342-U342+IF(AND(Parametri_v3!$C$40=1,D342-YEAR(Parametri_v3!$C$50)&lt;Parametri_v3!$C$41),0,MAX(0,-Q342))</f>
        <v>0</v>
      </c>
      <c r="AB342" s="15" t="n">
        <f aca="false">F342*(1+Parametri_v3!$C$26)</f>
        <v>110094.833333333</v>
      </c>
      <c r="AC342" s="15" t="n">
        <f aca="false">(IF(38-(INT((Motore_Operativo!L342)/30))&lt;1,0,INDEX(Motore_Advisory!$AB$305:$AB$364,MAX(1,38-(INT((Motore_Operativo!L342)/30)))))*(1-(MOD((Motore_Operativo!L342),30)/30))+IF(38-(INT((Motore_Operativo!L342)/30))-1&lt;1,0,INDEX(Motore_Advisory!$AB$305:$AB$364,MAX(1,38-(INT((Motore_Operativo!L342)/30))-1)))*(MOD((Motore_Operativo!L342),30)/30))</f>
        <v>73810</v>
      </c>
      <c r="AD342" s="15" t="n">
        <f aca="false">(AD341)+AB342-AC342</f>
        <v>293999.666666667</v>
      </c>
      <c r="AE342" s="15" t="n">
        <f aca="false">Motore_Operativo!BH342*(1+Parametri_v3!$C$26)</f>
        <v>11009.4833333333</v>
      </c>
      <c r="AF342" s="15" t="n">
        <f aca="false">(IF(38-(INT((Parametri_v3!$C$29)/30))&lt;1,0,INDEX(Motore_Operativo!$BH$305:$BH$364,MAX(1,38-(INT((Parametri_v3!$C$29)/30)))))*(1-(MOD((Parametri_v3!$C$29),30)/30))+IF(38-(INT((Parametri_v3!$C$29)/30))-1&lt;1,0,INDEX(Motore_Operativo!$BH$305:$BH$364,MAX(1,38-(INT((Parametri_v3!$C$29)/30))-1)))*(MOD((Parametri_v3!$C$29),30)/30))*(1+Parametri_v3!$C$26)</f>
        <v>11009.4833333333</v>
      </c>
      <c r="AG342" s="15" t="n">
        <f aca="false">(AG341)+AE342-AF342</f>
        <v>11009.4833333333</v>
      </c>
      <c r="AH342" s="15" t="n">
        <f aca="false">(Motore_Operativo!CK342)*(1+Parametri_v3!$C$28*Parametri_v3!$C$26)</f>
        <v>23198.952</v>
      </c>
      <c r="AI342" s="15" t="n">
        <f aca="false">(IF(38-(INT((Ipotesi!$C$91)/30))&lt;1,0,INDEX(Motore_Advisory!$AH$305:$AH$364,MAX(1,38-(INT((Ipotesi!$C$91)/30)))))*(1-(MOD((Ipotesi!$C$91),30)/30))+IF(38-(INT((Ipotesi!$C$91)/30))-1&lt;1,0,INDEX(Motore_Advisory!$AH$305:$AH$364,MAX(1,38-(INT((Ipotesi!$C$91)/30))-1)))*(MOD((Ipotesi!$C$91),30)/30))</f>
        <v>17395.98</v>
      </c>
      <c r="AJ342" s="15" t="n">
        <f aca="false">(AJ341)+AH342-AI342</f>
        <v>46397.904</v>
      </c>
      <c r="AK342" s="15" t="n">
        <f aca="false">(F342- Motore_Operativo!BH342-(Motore_Operativo!CK342)*Parametri_v3!$C$28-Motore_Operativo!CF342)*Parametri_v3!$C$26</f>
        <v>14249.2313333333</v>
      </c>
      <c r="AL342" s="15" t="n">
        <f aca="false">MAX(0,(AM341))</f>
        <v>14249.2313333333</v>
      </c>
      <c r="AM342" s="15" t="n">
        <f aca="false">(AM341)+AK342-AL342</f>
        <v>14249.2313333333</v>
      </c>
      <c r="AN342" s="15" t="n">
        <f aca="false">SUM(X329:X340)</f>
        <v>46679.99375</v>
      </c>
      <c r="AO342" s="15" t="n">
        <f aca="false">SUM(AP329:AP340)</f>
        <v>16530.1714788732</v>
      </c>
      <c r="AP342" s="15" t="n">
        <f aca="false">MAX(0,AN342)*IF(2=Parametri_v3!$C$43,Parametri_v3!$C$45,IF(2=Parametri_v3!$C$44,1-Parametri_v3!$C$45,0))</f>
        <v>0</v>
      </c>
      <c r="AQ342" s="15" t="n">
        <f aca="false">MAX(0,AP342+IF(2=Parametri_v3!$C$43,MAX(0,AN342-AO342),0)-MAX(0,-(AR341)))</f>
        <v>0</v>
      </c>
      <c r="AR342" s="15" t="n">
        <f aca="false">(AR341)+X342-AQ342</f>
        <v>45373.7480278768</v>
      </c>
      <c r="AS342" s="15" t="n">
        <f aca="false">Motore_Operativo!AC342-AT342+AU342</f>
        <v>32137.5563729167</v>
      </c>
      <c r="AT342" s="15" t="n">
        <f aca="false">Motore_Operativo!CI342</f>
        <v>1691.45033541667</v>
      </c>
      <c r="AU342" s="15" t="n">
        <f aca="false">MIN(MAX(0,(AV341)+AT342),Parametri_v3!$C$61/12)</f>
        <v>0</v>
      </c>
      <c r="AV342" s="15" t="n">
        <f aca="false">(AV341)+AT342-AU342</f>
        <v>31362.3381708333</v>
      </c>
      <c r="AW342" s="15" t="n">
        <f aca="false">IF(AND(Motore_Operativo!C342=Finanziamenti!$D$7,Finanziamenti!$F$7=1),Finanziamenti!$C$7,0)</f>
        <v>0</v>
      </c>
      <c r="AX342" s="15" t="n">
        <f aca="false">0</f>
        <v>0</v>
      </c>
      <c r="AY342" s="15" t="n">
        <f aca="false">IF(2=Parametri_v3!$C$33,IF(BV342&lt;MIN(12,$B342-1),0,MIN(MAX(0,SUM(Y329:Y340))*Ipotesi!$C$94,MAX(0,(BM340)-(BO341)-BP342),MAX(0,BD342-Parametri_v3!$C$31))),0)</f>
        <v>0</v>
      </c>
      <c r="AZ342" s="15" t="n">
        <f aca="false">0</f>
        <v>0</v>
      </c>
      <c r="BA342" s="15" t="n">
        <f aca="false">0</f>
        <v>0</v>
      </c>
      <c r="BB342" s="15" t="n">
        <f aca="false">0</f>
        <v>0</v>
      </c>
      <c r="BC342" s="15" t="n">
        <f aca="false">0</f>
        <v>0</v>
      </c>
      <c r="BD342" s="15" t="n">
        <f aca="false">(BH341)+AC342-AF342-AI342-AS342-K342*(1+Parametri_v3!$C$26)-AL342-AQ342-O342+AW342+AX342+AZ342+BA342-BB342</f>
        <v>104570.347583176</v>
      </c>
      <c r="BE342" s="15" t="n">
        <f aca="false">0</f>
        <v>0</v>
      </c>
      <c r="BF342" s="15" t="n">
        <f aca="false">0</f>
        <v>0</v>
      </c>
      <c r="BG342" s="15" t="n">
        <f aca="false">0</f>
        <v>0</v>
      </c>
      <c r="BH342" s="15" t="n">
        <f aca="false">BD342+BE342-BF342-AY342</f>
        <v>104570.347583176</v>
      </c>
      <c r="BI342" s="15" t="n">
        <f aca="false">MAX(0,Parametri_v3!$C$31-BH342)</f>
        <v>0</v>
      </c>
      <c r="BJ342" s="15" t="n">
        <f aca="false">(BJ341)+K342</f>
        <v>14333.3333333333</v>
      </c>
      <c r="BK342" s="15" t="n">
        <f aca="false">(BK341)+L342</f>
        <v>6770.83333333333</v>
      </c>
      <c r="BL342" s="15" t="n">
        <f aca="false">BJ342-BK342</f>
        <v>7562.5</v>
      </c>
      <c r="BM342" s="15" t="n">
        <f aca="false">(BM341)+Y342</f>
        <v>237739.809384466</v>
      </c>
      <c r="BN342" s="15" t="n">
        <f aca="false">(BN341)+AW342+AX342+AZ342</f>
        <v>20000</v>
      </c>
      <c r="BO342" s="15" t="n">
        <f aca="false">(BO341)+AY342</f>
        <v>0</v>
      </c>
      <c r="BP342" s="15" t="n">
        <f aca="false">MIN(Parametri_v3!$C$36*Parametri_v3!$C$35,(BP341)+IF(2=1,MAX(0,SUM(Y329:Y340))*Parametri_v3!$C$34,0))</f>
        <v>2000</v>
      </c>
      <c r="BQ342" s="15" t="n">
        <f aca="false">BN342+BM342-BO342</f>
        <v>257739.809384466</v>
      </c>
      <c r="BR342" s="15" t="n">
        <f aca="false">BH342+AD342+BL342+MAX(0,-AM342)+MAX(0,-AR342)</f>
        <v>406132.514249842</v>
      </c>
      <c r="BS342" s="15" t="n">
        <f aca="false">AJ342+AV342+MAX(0,AM342)+MAX(0,AR342)+BC342+BG342+BQ342+AG342</f>
        <v>406132.514249843</v>
      </c>
      <c r="BT342" s="15" t="n">
        <f aca="false">BR342-BS342</f>
        <v>0</v>
      </c>
      <c r="BU342" s="15" t="n">
        <f aca="false">BH342-(BD342+BE342-BF342-AY342)</f>
        <v>0</v>
      </c>
      <c r="BV342" s="15" t="n">
        <f aca="false">IF(BH341&lt;Parametri_v3!$C$31,0,BV341+1)</f>
        <v>9</v>
      </c>
    </row>
    <row r="343" customFormat="false" ht="18" hidden="false" customHeight="true" outlineLevel="0" collapsed="false">
      <c r="A343" s="68" t="n">
        <f aca="false">6</f>
        <v>6</v>
      </c>
      <c r="B343" s="68" t="n">
        <f aca="false">39</f>
        <v>39</v>
      </c>
      <c r="C343" s="18" t="n">
        <f aca="false">Motore_Operativo!C343</f>
        <v>47543</v>
      </c>
      <c r="D343" s="68" t="n">
        <f aca="false">Motore_Operativo!D343</f>
        <v>2030</v>
      </c>
      <c r="E343" s="68" t="n">
        <f aca="false">Motore_Operativo!E343</f>
        <v>3</v>
      </c>
      <c r="F343" s="15" t="n">
        <f aca="false">Motore_Operativo!AM343</f>
        <v>90241.6666666667</v>
      </c>
      <c r="G343" s="15" t="n">
        <f aca="false">Motore_Operativo!BH343</f>
        <v>9024.16666666667</v>
      </c>
      <c r="H343" s="15" t="n">
        <f aca="false">Motore_Operativo!AM343</f>
        <v>90241.6666666667</v>
      </c>
      <c r="I343" s="15" t="n">
        <f aca="false">Motore_Operativo!CB343</f>
        <v>62580.173375</v>
      </c>
      <c r="J343" s="15" t="n">
        <f aca="false">Motore_Operativo!CD343</f>
        <v>27661.4932916667</v>
      </c>
      <c r="K343" s="15" t="n">
        <f aca="false">Motore_Operativo!CF343</f>
        <v>666.666666666667</v>
      </c>
      <c r="L343" s="15" t="n">
        <f aca="false">SUM(INDEX($K$305:$K$364,MAX(1,39-Parametri_v3!$C$59+1)):K343)/Parametri_v3!$C$59</f>
        <v>395.833333333333</v>
      </c>
      <c r="M343" s="15" t="n">
        <f aca="false">J343-L343</f>
        <v>27265.6599583333</v>
      </c>
      <c r="N343" s="15" t="n">
        <f aca="false">0</f>
        <v>0</v>
      </c>
      <c r="O343" s="15" t="n">
        <f aca="false">0</f>
        <v>0</v>
      </c>
      <c r="P343" s="15" t="n">
        <f aca="false">M343+N343-O343</f>
        <v>27265.6599583333</v>
      </c>
      <c r="Q343" s="15" t="n">
        <f aca="false">SUM(P341:P343)+Parametri_v3!$C$56*3/12</f>
        <v>81831.7020972222</v>
      </c>
      <c r="R343" s="15" t="n">
        <f aca="false">Z340</f>
        <v>0</v>
      </c>
      <c r="S343" s="15" t="n">
        <f aca="false">AA340</f>
        <v>0</v>
      </c>
      <c r="T343" s="15" t="n">
        <f aca="false">MIN(R343,MAX(0,Q343))</f>
        <v>0</v>
      </c>
      <c r="U343" s="15" t="n">
        <f aca="false">MIN(S343,MAX(0,Q343-T343)*Parametri_v3!$C$42)</f>
        <v>0</v>
      </c>
      <c r="V343" s="15" t="n">
        <f aca="false">MAX(0,Q343-T343-U343)*Ipotesi!$C$92</f>
        <v>19639.6085033333</v>
      </c>
      <c r="W343" s="15" t="n">
        <f aca="false">MAX(0,SUM(M341:M343)+Parametri_v3!$C$57*3/12)*Ipotesi!$C$93</f>
        <v>3191.43638179167</v>
      </c>
      <c r="X343" s="15" t="n">
        <f aca="false">V343+W343-(V342+W342)</f>
        <v>7607.119128375</v>
      </c>
      <c r="Y343" s="15" t="n">
        <f aca="false">P343-X343</f>
        <v>19658.5408299583</v>
      </c>
      <c r="Z343" s="15" t="n">
        <f aca="false">R343-T343+IF(AND(Parametri_v3!$C$40=1,D343-YEAR(Parametri_v3!$C$50)&lt;Parametri_v3!$C$41),MAX(0,-Q343),0)</f>
        <v>0</v>
      </c>
      <c r="AA343" s="15" t="n">
        <f aca="false">S343-U343+IF(AND(Parametri_v3!$C$40=1,D343-YEAR(Parametri_v3!$C$50)&lt;Parametri_v3!$C$41),0,MAX(0,-Q343))</f>
        <v>0</v>
      </c>
      <c r="AB343" s="15" t="n">
        <f aca="false">F343*(1+Parametri_v3!$C$26)</f>
        <v>110094.833333333</v>
      </c>
      <c r="AC343" s="15" t="n">
        <f aca="false">(IF(39-(INT((Motore_Operativo!L343)/30))&lt;1,0,INDEX(Motore_Advisory!$AB$305:$AB$364,MAX(1,39-(INT((Motore_Operativo!L343)/30)))))*(1-(MOD((Motore_Operativo!L343),30)/30))+IF(39-(INT((Motore_Operativo!L343)/30))-1&lt;1,0,INDEX(Motore_Advisory!$AB$305:$AB$364,MAX(1,39-(INT((Motore_Operativo!L343)/30))-1)))*(MOD((Motore_Operativo!L343),30)/30))</f>
        <v>73810</v>
      </c>
      <c r="AD343" s="15" t="n">
        <f aca="false">(AD342)+AB343-AC343</f>
        <v>330284.5</v>
      </c>
      <c r="AE343" s="15" t="n">
        <f aca="false">Motore_Operativo!BH343*(1+Parametri_v3!$C$26)</f>
        <v>11009.4833333333</v>
      </c>
      <c r="AF343" s="15" t="n">
        <f aca="false">(IF(39-(INT((Parametri_v3!$C$29)/30))&lt;1,0,INDEX(Motore_Operativo!$BH$305:$BH$364,MAX(1,39-(INT((Parametri_v3!$C$29)/30)))))*(1-(MOD((Parametri_v3!$C$29),30)/30))+IF(39-(INT((Parametri_v3!$C$29)/30))-1&lt;1,0,INDEX(Motore_Operativo!$BH$305:$BH$364,MAX(1,39-(INT((Parametri_v3!$C$29)/30))-1)))*(MOD((Parametri_v3!$C$29),30)/30))*(1+Parametri_v3!$C$26)</f>
        <v>11009.4833333333</v>
      </c>
      <c r="AG343" s="15" t="n">
        <f aca="false">(AG342)+AE343-AF343</f>
        <v>11009.4833333333</v>
      </c>
      <c r="AH343" s="15" t="n">
        <f aca="false">(Motore_Operativo!CK343)*(1+Parametri_v3!$C$28*Parametri_v3!$C$26)</f>
        <v>23198.952</v>
      </c>
      <c r="AI343" s="15" t="n">
        <f aca="false">(IF(39-(INT((Ipotesi!$C$91)/30))&lt;1,0,INDEX(Motore_Advisory!$AH$305:$AH$364,MAX(1,39-(INT((Ipotesi!$C$91)/30)))))*(1-(MOD((Ipotesi!$C$91),30)/30))+IF(39-(INT((Ipotesi!$C$91)/30))-1&lt;1,0,INDEX(Motore_Advisory!$AH$305:$AH$364,MAX(1,39-(INT((Ipotesi!$C$91)/30))-1)))*(MOD((Ipotesi!$C$91),30)/30))</f>
        <v>23198.952</v>
      </c>
      <c r="AJ343" s="15" t="n">
        <f aca="false">(AJ342)+AH343-AI343</f>
        <v>46397.904</v>
      </c>
      <c r="AK343" s="15" t="n">
        <f aca="false">(F343- Motore_Operativo!BH343-(Motore_Operativo!CK343)*Parametri_v3!$C$28-Motore_Operativo!CF343)*Parametri_v3!$C$26</f>
        <v>14249.2313333333</v>
      </c>
      <c r="AL343" s="15" t="n">
        <f aca="false">MAX(0,(AM342))</f>
        <v>14249.2313333333</v>
      </c>
      <c r="AM343" s="15" t="n">
        <f aca="false">(AM342)+AK343-AL343</f>
        <v>14249.2313333333</v>
      </c>
      <c r="AN343" s="15" t="n">
        <f aca="false">SUM(X329:X340)</f>
        <v>46679.99375</v>
      </c>
      <c r="AO343" s="15" t="n">
        <f aca="false">SUM(AP329:AP340)</f>
        <v>16530.1714788732</v>
      </c>
      <c r="AP343" s="15" t="n">
        <f aca="false">MAX(0,AN343)*IF(3=Parametri_v3!$C$43,Parametri_v3!$C$45,IF(3=Parametri_v3!$C$44,1-Parametri_v3!$C$45,0))</f>
        <v>0</v>
      </c>
      <c r="AQ343" s="15" t="n">
        <f aca="false">MAX(0,AP343+IF(3=Parametri_v3!$C$43,MAX(0,AN343-AO343),0)-MAX(0,-(AR342)))</f>
        <v>0</v>
      </c>
      <c r="AR343" s="15" t="n">
        <f aca="false">(AR342)+X343-AQ343</f>
        <v>52980.8671562518</v>
      </c>
      <c r="AS343" s="15" t="n">
        <f aca="false">Motore_Operativo!AC343-AT343+AU343</f>
        <v>32137.5563729167</v>
      </c>
      <c r="AT343" s="15" t="n">
        <f aca="false">Motore_Operativo!CI343</f>
        <v>1691.45033541667</v>
      </c>
      <c r="AU343" s="15" t="n">
        <f aca="false">MIN(MAX(0,(AV342)+AT343),Parametri_v3!$C$61/12)</f>
        <v>0</v>
      </c>
      <c r="AV343" s="15" t="n">
        <f aca="false">(AV342)+AT343-AU343</f>
        <v>33053.78850625</v>
      </c>
      <c r="AW343" s="15" t="n">
        <f aca="false">IF(AND(Motore_Operativo!C343=Finanziamenti!$D$7,Finanziamenti!$F$7=1),Finanziamenti!$C$7,0)</f>
        <v>0</v>
      </c>
      <c r="AX343" s="15" t="n">
        <f aca="false">0</f>
        <v>0</v>
      </c>
      <c r="AY343" s="15" t="n">
        <f aca="false">IF(3=Parametri_v3!$C$33,IF(BV343&lt;MIN(12,$B343-1),0,MIN(MAX(0,SUM(Y329:Y340))*Ipotesi!$C$94,MAX(0,(BM340)-(BO342)-BP343),MAX(0,BD343-Parametri_v3!$C$31))),0)</f>
        <v>0</v>
      </c>
      <c r="AZ343" s="15" t="n">
        <f aca="false">0</f>
        <v>0</v>
      </c>
      <c r="BA343" s="15" t="n">
        <f aca="false">0</f>
        <v>0</v>
      </c>
      <c r="BB343" s="15" t="n">
        <f aca="false">0</f>
        <v>0</v>
      </c>
      <c r="BC343" s="15" t="n">
        <f aca="false">0</f>
        <v>0</v>
      </c>
      <c r="BD343" s="15" t="n">
        <f aca="false">(BH342)+AC343-AF343-AI343-AS343-K343*(1+Parametri_v3!$C$26)-AL343-AQ343-O343+AW343+AX343+AZ343+BA343-BB343</f>
        <v>96971.7912102592</v>
      </c>
      <c r="BE343" s="15" t="n">
        <f aca="false">0</f>
        <v>0</v>
      </c>
      <c r="BF343" s="15" t="n">
        <f aca="false">0</f>
        <v>0</v>
      </c>
      <c r="BG343" s="15" t="n">
        <f aca="false">0</f>
        <v>0</v>
      </c>
      <c r="BH343" s="15" t="n">
        <f aca="false">BD343+BE343-BF343-AY343</f>
        <v>96971.7912102592</v>
      </c>
      <c r="BI343" s="15" t="n">
        <f aca="false">MAX(0,Parametri_v3!$C$31-BH343)</f>
        <v>0</v>
      </c>
      <c r="BJ343" s="15" t="n">
        <f aca="false">(BJ342)+K343</f>
        <v>15000</v>
      </c>
      <c r="BK343" s="15" t="n">
        <f aca="false">(BK342)+L343</f>
        <v>7166.66666666667</v>
      </c>
      <c r="BL343" s="15" t="n">
        <f aca="false">BJ343-BK343</f>
        <v>7833.33333333333</v>
      </c>
      <c r="BM343" s="15" t="n">
        <f aca="false">(BM342)+Y343</f>
        <v>257398.350214424</v>
      </c>
      <c r="BN343" s="15" t="n">
        <f aca="false">(BN342)+AW343+AX343+AZ343</f>
        <v>20000</v>
      </c>
      <c r="BO343" s="15" t="n">
        <f aca="false">(BO342)+AY343</f>
        <v>0</v>
      </c>
      <c r="BP343" s="15" t="n">
        <f aca="false">MIN(Parametri_v3!$C$36*Parametri_v3!$C$35,(BP342)+IF(3=1,MAX(0,SUM(Y329:Y340))*Parametri_v3!$C$34,0))</f>
        <v>2000</v>
      </c>
      <c r="BQ343" s="15" t="n">
        <f aca="false">BN343+BM343-BO343</f>
        <v>277398.350214424</v>
      </c>
      <c r="BR343" s="15" t="n">
        <f aca="false">BH343+AD343+BL343+MAX(0,-AM343)+MAX(0,-AR343)</f>
        <v>435089.624543592</v>
      </c>
      <c r="BS343" s="15" t="n">
        <f aca="false">AJ343+AV343+MAX(0,AM343)+MAX(0,AR343)+BC343+BG343+BQ343+AG343</f>
        <v>435089.624543593</v>
      </c>
      <c r="BT343" s="15" t="n">
        <f aca="false">BR343-BS343</f>
        <v>0</v>
      </c>
      <c r="BU343" s="15" t="n">
        <f aca="false">BH343-(BD343+BE343-BF343-AY343)</f>
        <v>0</v>
      </c>
      <c r="BV343" s="15" t="n">
        <f aca="false">IF(BH342&lt;Parametri_v3!$C$31,0,BV342+1)</f>
        <v>10</v>
      </c>
    </row>
    <row r="344" customFormat="false" ht="18" hidden="false" customHeight="true" outlineLevel="0" collapsed="false">
      <c r="A344" s="68" t="n">
        <f aca="false">6</f>
        <v>6</v>
      </c>
      <c r="B344" s="68" t="n">
        <f aca="false">40</f>
        <v>40</v>
      </c>
      <c r="C344" s="18" t="n">
        <f aca="false">Motore_Operativo!C344</f>
        <v>47574</v>
      </c>
      <c r="D344" s="68" t="n">
        <f aca="false">Motore_Operativo!D344</f>
        <v>2030</v>
      </c>
      <c r="E344" s="68" t="n">
        <f aca="false">Motore_Operativo!E344</f>
        <v>4</v>
      </c>
      <c r="F344" s="15" t="n">
        <f aca="false">Motore_Operativo!AM344</f>
        <v>90241.6666666667</v>
      </c>
      <c r="G344" s="15" t="n">
        <f aca="false">Motore_Operativo!BH344</f>
        <v>9024.16666666667</v>
      </c>
      <c r="H344" s="15" t="n">
        <f aca="false">Motore_Operativo!AM344</f>
        <v>90241.6666666667</v>
      </c>
      <c r="I344" s="15" t="n">
        <f aca="false">Motore_Operativo!CB344</f>
        <v>62580.173375</v>
      </c>
      <c r="J344" s="15" t="n">
        <f aca="false">Motore_Operativo!CD344</f>
        <v>27661.4932916667</v>
      </c>
      <c r="K344" s="15" t="n">
        <f aca="false">Motore_Operativo!CF344</f>
        <v>666.666666666667</v>
      </c>
      <c r="L344" s="15" t="n">
        <f aca="false">SUM(INDEX($K$305:$K$364,MAX(1,40-Parametri_v3!$C$59+1)):K344)/Parametri_v3!$C$59</f>
        <v>407.407407407407</v>
      </c>
      <c r="M344" s="15" t="n">
        <f aca="false">J344-L344</f>
        <v>27254.0858842593</v>
      </c>
      <c r="N344" s="15" t="n">
        <f aca="false">0</f>
        <v>0</v>
      </c>
      <c r="O344" s="15" t="n">
        <f aca="false">0</f>
        <v>0</v>
      </c>
      <c r="P344" s="15" t="n">
        <f aca="false">M344+N344-O344</f>
        <v>27254.0858842593</v>
      </c>
      <c r="Q344" s="15" t="n">
        <f aca="false">SUM(P341:P344)+Parametri_v3!$C$56*4/12</f>
        <v>109085.787981481</v>
      </c>
      <c r="R344" s="15" t="n">
        <f aca="false">Z340</f>
        <v>0</v>
      </c>
      <c r="S344" s="15" t="n">
        <f aca="false">AA340</f>
        <v>0</v>
      </c>
      <c r="T344" s="15" t="n">
        <f aca="false">MIN(R344,MAX(0,Q344))</f>
        <v>0</v>
      </c>
      <c r="U344" s="15" t="n">
        <f aca="false">MIN(S344,MAX(0,Q344-T344)*Parametri_v3!$C$42)</f>
        <v>0</v>
      </c>
      <c r="V344" s="15" t="n">
        <f aca="false">MAX(0,Q344-T344-U344)*Ipotesi!$C$92</f>
        <v>26180.5891155556</v>
      </c>
      <c r="W344" s="15" t="n">
        <f aca="false">MAX(0,SUM(M341:M344)+Parametri_v3!$C$57*4/12)*Ipotesi!$C$93</f>
        <v>4254.34573127778</v>
      </c>
      <c r="X344" s="15" t="n">
        <f aca="false">V344+W344-(V343+W343)</f>
        <v>7603.88996170833</v>
      </c>
      <c r="Y344" s="15" t="n">
        <f aca="false">P344-X344</f>
        <v>19650.1959225509</v>
      </c>
      <c r="Z344" s="15" t="n">
        <f aca="false">R344-T344+IF(AND(Parametri_v3!$C$40=1,D344-YEAR(Parametri_v3!$C$50)&lt;Parametri_v3!$C$41),MAX(0,-Q344),0)</f>
        <v>0</v>
      </c>
      <c r="AA344" s="15" t="n">
        <f aca="false">S344-U344+IF(AND(Parametri_v3!$C$40=1,D344-YEAR(Parametri_v3!$C$50)&lt;Parametri_v3!$C$41),0,MAX(0,-Q344))</f>
        <v>0</v>
      </c>
      <c r="AB344" s="15" t="n">
        <f aca="false">F344*(1+Parametri_v3!$C$26)</f>
        <v>110094.833333333</v>
      </c>
      <c r="AC344" s="15" t="n">
        <f aca="false">(IF(40-(INT((Motore_Operativo!L344)/30))&lt;1,0,INDEX(Motore_Advisory!$AB$305:$AB$364,MAX(1,40-(INT((Motore_Operativo!L344)/30)))))*(1-(MOD((Motore_Operativo!L344),30)/30))+IF(40-(INT((Motore_Operativo!L344)/30))-1&lt;1,0,INDEX(Motore_Advisory!$AB$305:$AB$364,MAX(1,40-(INT((Motore_Operativo!L344)/30))-1)))*(MOD((Motore_Operativo!L344),30)/30))</f>
        <v>110094.833333333</v>
      </c>
      <c r="AD344" s="15" t="n">
        <f aca="false">(AD343)+AB344-AC344</f>
        <v>330284.5</v>
      </c>
      <c r="AE344" s="15" t="n">
        <f aca="false">Motore_Operativo!BH344*(1+Parametri_v3!$C$26)</f>
        <v>11009.4833333333</v>
      </c>
      <c r="AF344" s="15" t="n">
        <f aca="false">(IF(40-(INT((Parametri_v3!$C$29)/30))&lt;1,0,INDEX(Motore_Operativo!$BH$305:$BH$364,MAX(1,40-(INT((Parametri_v3!$C$29)/30)))))*(1-(MOD((Parametri_v3!$C$29),30)/30))+IF(40-(INT((Parametri_v3!$C$29)/30))-1&lt;1,0,INDEX(Motore_Operativo!$BH$305:$BH$364,MAX(1,40-(INT((Parametri_v3!$C$29)/30))-1)))*(MOD((Parametri_v3!$C$29),30)/30))*(1+Parametri_v3!$C$26)</f>
        <v>11009.4833333333</v>
      </c>
      <c r="AG344" s="15" t="n">
        <f aca="false">(AG343)+AE344-AF344</f>
        <v>11009.4833333333</v>
      </c>
      <c r="AH344" s="15" t="n">
        <f aca="false">(Motore_Operativo!CK344)*(1+Parametri_v3!$C$28*Parametri_v3!$C$26)</f>
        <v>23198.952</v>
      </c>
      <c r="AI344" s="15" t="n">
        <f aca="false">(IF(40-(INT((Ipotesi!$C$91)/30))&lt;1,0,INDEX(Motore_Advisory!$AH$305:$AH$364,MAX(1,40-(INT((Ipotesi!$C$91)/30)))))*(1-(MOD((Ipotesi!$C$91),30)/30))+IF(40-(INT((Ipotesi!$C$91)/30))-1&lt;1,0,INDEX(Motore_Advisory!$AH$305:$AH$364,MAX(1,40-(INT((Ipotesi!$C$91)/30))-1)))*(MOD((Ipotesi!$C$91),30)/30))</f>
        <v>23198.952</v>
      </c>
      <c r="AJ344" s="15" t="n">
        <f aca="false">(AJ343)+AH344-AI344</f>
        <v>46397.904</v>
      </c>
      <c r="AK344" s="15" t="n">
        <f aca="false">(F344- Motore_Operativo!BH344-(Motore_Operativo!CK344)*Parametri_v3!$C$28-Motore_Operativo!CF344)*Parametri_v3!$C$26</f>
        <v>14249.2313333333</v>
      </c>
      <c r="AL344" s="15" t="n">
        <f aca="false">MAX(0,(AM343))</f>
        <v>14249.2313333333</v>
      </c>
      <c r="AM344" s="15" t="n">
        <f aca="false">(AM343)+AK344-AL344</f>
        <v>14249.2313333333</v>
      </c>
      <c r="AN344" s="15" t="n">
        <f aca="false">SUM(X329:X340)</f>
        <v>46679.99375</v>
      </c>
      <c r="AO344" s="15" t="n">
        <f aca="false">SUM(AP329:AP340)</f>
        <v>16530.1714788732</v>
      </c>
      <c r="AP344" s="15" t="n">
        <f aca="false">MAX(0,AN344)*IF(4=Parametri_v3!$C$43,Parametri_v3!$C$45,IF(4=Parametri_v3!$C$44,1-Parametri_v3!$C$45,0))</f>
        <v>0</v>
      </c>
      <c r="AQ344" s="15" t="n">
        <f aca="false">MAX(0,AP344+IF(4=Parametri_v3!$C$43,MAX(0,AN344-AO344),0)-MAX(0,-(AR343)))</f>
        <v>0</v>
      </c>
      <c r="AR344" s="15" t="n">
        <f aca="false">(AR343)+X344-AQ344</f>
        <v>60584.7571179601</v>
      </c>
      <c r="AS344" s="15" t="n">
        <f aca="false">Motore_Operativo!AC344-AT344+AU344</f>
        <v>32137.5563729167</v>
      </c>
      <c r="AT344" s="15" t="n">
        <f aca="false">Motore_Operativo!CI344</f>
        <v>1691.45033541667</v>
      </c>
      <c r="AU344" s="15" t="n">
        <f aca="false">MIN(MAX(0,(AV343)+AT344),Parametri_v3!$C$61/12)</f>
        <v>0</v>
      </c>
      <c r="AV344" s="15" t="n">
        <f aca="false">(AV343)+AT344-AU344</f>
        <v>34745.2388416667</v>
      </c>
      <c r="AW344" s="15" t="n">
        <f aca="false">IF(AND(Motore_Operativo!C344=Finanziamenti!$D$7,Finanziamenti!$F$7=1),Finanziamenti!$C$7,0)</f>
        <v>0</v>
      </c>
      <c r="AX344" s="15" t="n">
        <f aca="false">0</f>
        <v>0</v>
      </c>
      <c r="AY344" s="15" t="n">
        <f aca="false">IF(4=Parametri_v3!$C$33,IF(BV344&lt;MIN(12,$B344-1),0,MIN(MAX(0,SUM(Y329:Y340))*Ipotesi!$C$94,MAX(0,(BM340)-(BO343)-BP344),MAX(0,BD344-Parametri_v3!$C$31))),0)</f>
        <v>0</v>
      </c>
      <c r="AZ344" s="15" t="n">
        <f aca="false">0</f>
        <v>0</v>
      </c>
      <c r="BA344" s="15" t="n">
        <f aca="false">0</f>
        <v>0</v>
      </c>
      <c r="BB344" s="15" t="n">
        <f aca="false">0</f>
        <v>0</v>
      </c>
      <c r="BC344" s="15" t="n">
        <f aca="false">0</f>
        <v>0</v>
      </c>
      <c r="BD344" s="15" t="n">
        <f aca="false">(BH343)+AC344-AF344-AI344-AS344-K344*(1+Parametri_v3!$C$26)-AL344-AQ344-O344+AW344+AX344+AZ344+BA344-BB344</f>
        <v>125658.068170676</v>
      </c>
      <c r="BE344" s="15" t="n">
        <f aca="false">0</f>
        <v>0</v>
      </c>
      <c r="BF344" s="15" t="n">
        <f aca="false">0</f>
        <v>0</v>
      </c>
      <c r="BG344" s="15" t="n">
        <f aca="false">0</f>
        <v>0</v>
      </c>
      <c r="BH344" s="15" t="n">
        <f aca="false">BD344+BE344-BF344-AY344</f>
        <v>125658.068170676</v>
      </c>
      <c r="BI344" s="15" t="n">
        <f aca="false">MAX(0,Parametri_v3!$C$31-BH344)</f>
        <v>0</v>
      </c>
      <c r="BJ344" s="15" t="n">
        <f aca="false">(BJ343)+K344</f>
        <v>15666.6666666667</v>
      </c>
      <c r="BK344" s="15" t="n">
        <f aca="false">(BK343)+L344</f>
        <v>7574.07407407407</v>
      </c>
      <c r="BL344" s="15" t="n">
        <f aca="false">BJ344-BK344</f>
        <v>8092.59259259259</v>
      </c>
      <c r="BM344" s="15" t="n">
        <f aca="false">(BM343)+Y344</f>
        <v>277048.546136975</v>
      </c>
      <c r="BN344" s="15" t="n">
        <f aca="false">(BN343)+AW344+AX344+AZ344</f>
        <v>20000</v>
      </c>
      <c r="BO344" s="15" t="n">
        <f aca="false">(BO343)+AY344</f>
        <v>0</v>
      </c>
      <c r="BP344" s="15" t="n">
        <f aca="false">MIN(Parametri_v3!$C$36*Parametri_v3!$C$35,(BP343)+IF(4=1,MAX(0,SUM(Y329:Y340))*Parametri_v3!$C$34,0))</f>
        <v>2000</v>
      </c>
      <c r="BQ344" s="15" t="n">
        <f aca="false">BN344+BM344-BO344</f>
        <v>297048.546136975</v>
      </c>
      <c r="BR344" s="15" t="n">
        <f aca="false">BH344+AD344+BL344+MAX(0,-AM344)+MAX(0,-AR344)</f>
        <v>464035.160763268</v>
      </c>
      <c r="BS344" s="15" t="n">
        <f aca="false">AJ344+AV344+MAX(0,AM344)+MAX(0,AR344)+BC344+BG344+BQ344+AG344</f>
        <v>464035.160763268</v>
      </c>
      <c r="BT344" s="15" t="n">
        <f aca="false">BR344-BS344</f>
        <v>0</v>
      </c>
      <c r="BU344" s="15" t="n">
        <f aca="false">BH344-(BD344+BE344-BF344-AY344)</f>
        <v>0</v>
      </c>
      <c r="BV344" s="15" t="n">
        <f aca="false">IF(BH343&lt;Parametri_v3!$C$31,0,BV343+1)</f>
        <v>11</v>
      </c>
    </row>
    <row r="345" customFormat="false" ht="18" hidden="false" customHeight="true" outlineLevel="0" collapsed="false">
      <c r="A345" s="68" t="n">
        <f aca="false">6</f>
        <v>6</v>
      </c>
      <c r="B345" s="68" t="n">
        <f aca="false">41</f>
        <v>41</v>
      </c>
      <c r="C345" s="18" t="n">
        <f aca="false">Motore_Operativo!C345</f>
        <v>47604</v>
      </c>
      <c r="D345" s="68" t="n">
        <f aca="false">Motore_Operativo!D345</f>
        <v>2030</v>
      </c>
      <c r="E345" s="68" t="n">
        <f aca="false">Motore_Operativo!E345</f>
        <v>5</v>
      </c>
      <c r="F345" s="15" t="n">
        <f aca="false">Motore_Operativo!AM345</f>
        <v>90241.6666666667</v>
      </c>
      <c r="G345" s="15" t="n">
        <f aca="false">Motore_Operativo!BH345</f>
        <v>9024.16666666667</v>
      </c>
      <c r="H345" s="15" t="n">
        <f aca="false">Motore_Operativo!AM345</f>
        <v>90241.6666666667</v>
      </c>
      <c r="I345" s="15" t="n">
        <f aca="false">Motore_Operativo!CB345</f>
        <v>62580.173375</v>
      </c>
      <c r="J345" s="15" t="n">
        <f aca="false">Motore_Operativo!CD345</f>
        <v>27661.4932916667</v>
      </c>
      <c r="K345" s="15" t="n">
        <f aca="false">Motore_Operativo!CF345</f>
        <v>666.666666666667</v>
      </c>
      <c r="L345" s="15" t="n">
        <f aca="false">SUM(INDEX($K$305:$K$364,MAX(1,41-Parametri_v3!$C$59+1)):K345)/Parametri_v3!$C$59</f>
        <v>418.981481481482</v>
      </c>
      <c r="M345" s="15" t="n">
        <f aca="false">J345-L345</f>
        <v>27242.5118101852</v>
      </c>
      <c r="N345" s="15" t="n">
        <f aca="false">0</f>
        <v>0</v>
      </c>
      <c r="O345" s="15" t="n">
        <f aca="false">0</f>
        <v>0</v>
      </c>
      <c r="P345" s="15" t="n">
        <f aca="false">M345+N345-O345</f>
        <v>27242.5118101852</v>
      </c>
      <c r="Q345" s="15" t="n">
        <f aca="false">SUM(P341:P345)+Parametri_v3!$C$56*5/12</f>
        <v>136328.299791667</v>
      </c>
      <c r="R345" s="15" t="n">
        <f aca="false">Z340</f>
        <v>0</v>
      </c>
      <c r="S345" s="15" t="n">
        <f aca="false">AA340</f>
        <v>0</v>
      </c>
      <c r="T345" s="15" t="n">
        <f aca="false">MIN(R345,MAX(0,Q345))</f>
        <v>0</v>
      </c>
      <c r="U345" s="15" t="n">
        <f aca="false">MIN(S345,MAX(0,Q345-T345)*Parametri_v3!$C$42)</f>
        <v>0</v>
      </c>
      <c r="V345" s="15" t="n">
        <f aca="false">MAX(0,Q345-T345-U345)*Ipotesi!$C$92</f>
        <v>32718.79195</v>
      </c>
      <c r="W345" s="15" t="n">
        <f aca="false">MAX(0,SUM(M341:M345)+Parametri_v3!$C$57*5/12)*Ipotesi!$C$93</f>
        <v>5316.803691875</v>
      </c>
      <c r="X345" s="15" t="n">
        <f aca="false">V345+W345-(V344+W344)</f>
        <v>7600.66079504167</v>
      </c>
      <c r="Y345" s="15" t="n">
        <f aca="false">P345-X345</f>
        <v>19641.8510151435</v>
      </c>
      <c r="Z345" s="15" t="n">
        <f aca="false">R345-T345+IF(AND(Parametri_v3!$C$40=1,D345-YEAR(Parametri_v3!$C$50)&lt;Parametri_v3!$C$41),MAX(0,-Q345),0)</f>
        <v>0</v>
      </c>
      <c r="AA345" s="15" t="n">
        <f aca="false">S345-U345+IF(AND(Parametri_v3!$C$40=1,D345-YEAR(Parametri_v3!$C$50)&lt;Parametri_v3!$C$41),0,MAX(0,-Q345))</f>
        <v>0</v>
      </c>
      <c r="AB345" s="15" t="n">
        <f aca="false">F345*(1+Parametri_v3!$C$26)</f>
        <v>110094.833333333</v>
      </c>
      <c r="AC345" s="15" t="n">
        <f aca="false">(IF(41-(INT((Motore_Operativo!L345)/30))&lt;1,0,INDEX(Motore_Advisory!$AB$305:$AB$364,MAX(1,41-(INT((Motore_Operativo!L345)/30)))))*(1-(MOD((Motore_Operativo!L345),30)/30))+IF(41-(INT((Motore_Operativo!L345)/30))-1&lt;1,0,INDEX(Motore_Advisory!$AB$305:$AB$364,MAX(1,41-(INT((Motore_Operativo!L345)/30))-1)))*(MOD((Motore_Operativo!L345),30)/30))</f>
        <v>110094.833333333</v>
      </c>
      <c r="AD345" s="15" t="n">
        <f aca="false">(AD344)+AB345-AC345</f>
        <v>330284.5</v>
      </c>
      <c r="AE345" s="15" t="n">
        <f aca="false">Motore_Operativo!BH345*(1+Parametri_v3!$C$26)</f>
        <v>11009.4833333333</v>
      </c>
      <c r="AF345" s="15" t="n">
        <f aca="false">(IF(41-(INT((Parametri_v3!$C$29)/30))&lt;1,0,INDEX(Motore_Operativo!$BH$305:$BH$364,MAX(1,41-(INT((Parametri_v3!$C$29)/30)))))*(1-(MOD((Parametri_v3!$C$29),30)/30))+IF(41-(INT((Parametri_v3!$C$29)/30))-1&lt;1,0,INDEX(Motore_Operativo!$BH$305:$BH$364,MAX(1,41-(INT((Parametri_v3!$C$29)/30))-1)))*(MOD((Parametri_v3!$C$29),30)/30))*(1+Parametri_v3!$C$26)</f>
        <v>11009.4833333333</v>
      </c>
      <c r="AG345" s="15" t="n">
        <f aca="false">(AG344)+AE345-AF345</f>
        <v>11009.4833333333</v>
      </c>
      <c r="AH345" s="15" t="n">
        <f aca="false">(Motore_Operativo!CK345)*(1+Parametri_v3!$C$28*Parametri_v3!$C$26)</f>
        <v>23198.952</v>
      </c>
      <c r="AI345" s="15" t="n">
        <f aca="false">(IF(41-(INT((Ipotesi!$C$91)/30))&lt;1,0,INDEX(Motore_Advisory!$AH$305:$AH$364,MAX(1,41-(INT((Ipotesi!$C$91)/30)))))*(1-(MOD((Ipotesi!$C$91),30)/30))+IF(41-(INT((Ipotesi!$C$91)/30))-1&lt;1,0,INDEX(Motore_Advisory!$AH$305:$AH$364,MAX(1,41-(INT((Ipotesi!$C$91)/30))-1)))*(MOD((Ipotesi!$C$91),30)/30))</f>
        <v>23198.952</v>
      </c>
      <c r="AJ345" s="15" t="n">
        <f aca="false">(AJ344)+AH345-AI345</f>
        <v>46397.904</v>
      </c>
      <c r="AK345" s="15" t="n">
        <f aca="false">(F345- Motore_Operativo!BH345-(Motore_Operativo!CK345)*Parametri_v3!$C$28-Motore_Operativo!CF345)*Parametri_v3!$C$26</f>
        <v>14249.2313333333</v>
      </c>
      <c r="AL345" s="15" t="n">
        <f aca="false">MAX(0,(AM344))</f>
        <v>14249.2313333333</v>
      </c>
      <c r="AM345" s="15" t="n">
        <f aca="false">(AM344)+AK345-AL345</f>
        <v>14249.2313333333</v>
      </c>
      <c r="AN345" s="15" t="n">
        <f aca="false">SUM(X329:X340)</f>
        <v>46679.99375</v>
      </c>
      <c r="AO345" s="15" t="n">
        <f aca="false">SUM(AP329:AP340)</f>
        <v>16530.1714788732</v>
      </c>
      <c r="AP345" s="15" t="n">
        <f aca="false">MAX(0,AN345)*IF(5=Parametri_v3!$C$43,Parametri_v3!$C$45,IF(5=Parametri_v3!$C$44,1-Parametri_v3!$C$45,0))</f>
        <v>0</v>
      </c>
      <c r="AQ345" s="15" t="n">
        <f aca="false">MAX(0,AP345+IF(5=Parametri_v3!$C$43,MAX(0,AN345-AO345),0)-MAX(0,-(AR344)))</f>
        <v>0</v>
      </c>
      <c r="AR345" s="15" t="n">
        <f aca="false">(AR344)+X345-AQ345</f>
        <v>68185.4179130018</v>
      </c>
      <c r="AS345" s="15" t="n">
        <f aca="false">Motore_Operativo!AC345-AT345+AU345</f>
        <v>32137.5563729167</v>
      </c>
      <c r="AT345" s="15" t="n">
        <f aca="false">Motore_Operativo!CI345</f>
        <v>1691.45033541667</v>
      </c>
      <c r="AU345" s="15" t="n">
        <f aca="false">MIN(MAX(0,(AV344)+AT345),Parametri_v3!$C$61/12)</f>
        <v>0</v>
      </c>
      <c r="AV345" s="15" t="n">
        <f aca="false">(AV344)+AT345-AU345</f>
        <v>36436.6891770833</v>
      </c>
      <c r="AW345" s="15" t="n">
        <f aca="false">IF(AND(Motore_Operativo!C345=Finanziamenti!$D$7,Finanziamenti!$F$7=1),Finanziamenti!$C$7,0)</f>
        <v>0</v>
      </c>
      <c r="AX345" s="15" t="n">
        <f aca="false">0</f>
        <v>0</v>
      </c>
      <c r="AY345" s="15" t="n">
        <f aca="false">IF(5=Parametri_v3!$C$33,IF(BV345&lt;MIN(12,$B345-1),0,MIN(MAX(0,SUM(Y329:Y340))*Ipotesi!$C$94,MAX(0,(BM340)-(BO344)-BP345),MAX(0,BD345-Parametri_v3!$C$31))),0)</f>
        <v>0</v>
      </c>
      <c r="AZ345" s="15" t="n">
        <f aca="false">0</f>
        <v>0</v>
      </c>
      <c r="BA345" s="15" t="n">
        <f aca="false">0</f>
        <v>0</v>
      </c>
      <c r="BB345" s="15" t="n">
        <f aca="false">0</f>
        <v>0</v>
      </c>
      <c r="BC345" s="15" t="n">
        <f aca="false">0</f>
        <v>0</v>
      </c>
      <c r="BD345" s="15" t="n">
        <f aca="false">(BH344)+AC345-AF345-AI345-AS345-K345*(1+Parametri_v3!$C$26)-AL345-AQ345-O345+AW345+AX345+AZ345+BA345-BB345</f>
        <v>154344.345131092</v>
      </c>
      <c r="BE345" s="15" t="n">
        <f aca="false">0</f>
        <v>0</v>
      </c>
      <c r="BF345" s="15" t="n">
        <f aca="false">0</f>
        <v>0</v>
      </c>
      <c r="BG345" s="15" t="n">
        <f aca="false">0</f>
        <v>0</v>
      </c>
      <c r="BH345" s="15" t="n">
        <f aca="false">BD345+BE345-BF345-AY345</f>
        <v>154344.345131092</v>
      </c>
      <c r="BI345" s="15" t="n">
        <f aca="false">MAX(0,Parametri_v3!$C$31-BH345)</f>
        <v>0</v>
      </c>
      <c r="BJ345" s="15" t="n">
        <f aca="false">(BJ344)+K345</f>
        <v>16333.3333333333</v>
      </c>
      <c r="BK345" s="15" t="n">
        <f aca="false">(BK344)+L345</f>
        <v>7993.05555555556</v>
      </c>
      <c r="BL345" s="15" t="n">
        <f aca="false">BJ345-BK345</f>
        <v>8340.27777777777</v>
      </c>
      <c r="BM345" s="15" t="n">
        <f aca="false">(BM344)+Y345</f>
        <v>296690.397152119</v>
      </c>
      <c r="BN345" s="15" t="n">
        <f aca="false">(BN344)+AW345+AX345+AZ345</f>
        <v>20000</v>
      </c>
      <c r="BO345" s="15" t="n">
        <f aca="false">(BO344)+AY345</f>
        <v>0</v>
      </c>
      <c r="BP345" s="15" t="n">
        <f aca="false">MIN(Parametri_v3!$C$36*Parametri_v3!$C$35,(BP344)+IF(5=1,MAX(0,SUM(Y329:Y340))*Parametri_v3!$C$34,0))</f>
        <v>2000</v>
      </c>
      <c r="BQ345" s="15" t="n">
        <f aca="false">BN345+BM345-BO345</f>
        <v>316690.397152119</v>
      </c>
      <c r="BR345" s="15" t="n">
        <f aca="false">BH345+AD345+BL345+MAX(0,-AM345)+MAX(0,-AR345)</f>
        <v>492969.12290887</v>
      </c>
      <c r="BS345" s="15" t="n">
        <f aca="false">AJ345+AV345+MAX(0,AM345)+MAX(0,AR345)+BC345+BG345+BQ345+AG345</f>
        <v>492969.12290887</v>
      </c>
      <c r="BT345" s="15" t="n">
        <f aca="false">BR345-BS345</f>
        <v>0</v>
      </c>
      <c r="BU345" s="15" t="n">
        <f aca="false">BH345-(BD345+BE345-BF345-AY345)</f>
        <v>0</v>
      </c>
      <c r="BV345" s="15" t="n">
        <f aca="false">IF(BH344&lt;Parametri_v3!$C$31,0,BV344+1)</f>
        <v>12</v>
      </c>
    </row>
    <row r="346" customFormat="false" ht="18" hidden="false" customHeight="true" outlineLevel="0" collapsed="false">
      <c r="A346" s="68" t="n">
        <f aca="false">6</f>
        <v>6</v>
      </c>
      <c r="B346" s="68" t="n">
        <f aca="false">42</f>
        <v>42</v>
      </c>
      <c r="C346" s="18" t="n">
        <f aca="false">Motore_Operativo!C346</f>
        <v>47635</v>
      </c>
      <c r="D346" s="68" t="n">
        <f aca="false">Motore_Operativo!D346</f>
        <v>2030</v>
      </c>
      <c r="E346" s="68" t="n">
        <f aca="false">Motore_Operativo!E346</f>
        <v>6</v>
      </c>
      <c r="F346" s="15" t="n">
        <f aca="false">Motore_Operativo!AM346</f>
        <v>90241.6666666667</v>
      </c>
      <c r="G346" s="15" t="n">
        <f aca="false">Motore_Operativo!BH346</f>
        <v>9024.16666666667</v>
      </c>
      <c r="H346" s="15" t="n">
        <f aca="false">Motore_Operativo!AM346</f>
        <v>90241.6666666667</v>
      </c>
      <c r="I346" s="15" t="n">
        <f aca="false">Motore_Operativo!CB346</f>
        <v>62580.173375</v>
      </c>
      <c r="J346" s="15" t="n">
        <f aca="false">Motore_Operativo!CD346</f>
        <v>27661.4932916667</v>
      </c>
      <c r="K346" s="15" t="n">
        <f aca="false">Motore_Operativo!CF346</f>
        <v>666.666666666667</v>
      </c>
      <c r="L346" s="15" t="n">
        <f aca="false">SUM(INDEX($K$305:$K$364,MAX(1,42-Parametri_v3!$C$59+1)):K346)/Parametri_v3!$C$59</f>
        <v>430.555555555556</v>
      </c>
      <c r="M346" s="15" t="n">
        <f aca="false">J346-L346</f>
        <v>27230.9377361111</v>
      </c>
      <c r="N346" s="15" t="n">
        <f aca="false">0</f>
        <v>0</v>
      </c>
      <c r="O346" s="15" t="n">
        <f aca="false">0</f>
        <v>0</v>
      </c>
      <c r="P346" s="15" t="n">
        <f aca="false">M346+N346-O346</f>
        <v>27230.9377361111</v>
      </c>
      <c r="Q346" s="15" t="n">
        <f aca="false">SUM(P341:P346)+Parametri_v3!$C$56*6/12</f>
        <v>163559.237527778</v>
      </c>
      <c r="R346" s="15" t="n">
        <f aca="false">Z340</f>
        <v>0</v>
      </c>
      <c r="S346" s="15" t="n">
        <f aca="false">AA340</f>
        <v>0</v>
      </c>
      <c r="T346" s="15" t="n">
        <f aca="false">MIN(R346,MAX(0,Q346))</f>
        <v>0</v>
      </c>
      <c r="U346" s="15" t="n">
        <f aca="false">MIN(S346,MAX(0,Q346-T346)*Parametri_v3!$C$42)</f>
        <v>0</v>
      </c>
      <c r="V346" s="15" t="n">
        <f aca="false">MAX(0,Q346-T346-U346)*Ipotesi!$C$92</f>
        <v>39254.2170066667</v>
      </c>
      <c r="W346" s="15" t="n">
        <f aca="false">MAX(0,SUM(M341:M346)+Parametri_v3!$C$57*6/12)*Ipotesi!$C$93</f>
        <v>6378.81026358333</v>
      </c>
      <c r="X346" s="15" t="n">
        <f aca="false">V346+W346-(V345+W345)</f>
        <v>7597.43162837499</v>
      </c>
      <c r="Y346" s="15" t="n">
        <f aca="false">P346-X346</f>
        <v>19633.5061077361</v>
      </c>
      <c r="Z346" s="15" t="n">
        <f aca="false">R346-T346+IF(AND(Parametri_v3!$C$40=1,D346-YEAR(Parametri_v3!$C$50)&lt;Parametri_v3!$C$41),MAX(0,-Q346),0)</f>
        <v>0</v>
      </c>
      <c r="AA346" s="15" t="n">
        <f aca="false">S346-U346+IF(AND(Parametri_v3!$C$40=1,D346-YEAR(Parametri_v3!$C$50)&lt;Parametri_v3!$C$41),0,MAX(0,-Q346))</f>
        <v>0</v>
      </c>
      <c r="AB346" s="15" t="n">
        <f aca="false">F346*(1+Parametri_v3!$C$26)</f>
        <v>110094.833333333</v>
      </c>
      <c r="AC346" s="15" t="n">
        <f aca="false">(IF(42-(INT((Motore_Operativo!L346)/30))&lt;1,0,INDEX(Motore_Advisory!$AB$305:$AB$364,MAX(1,42-(INT((Motore_Operativo!L346)/30)))))*(1-(MOD((Motore_Operativo!L346),30)/30))+IF(42-(INT((Motore_Operativo!L346)/30))-1&lt;1,0,INDEX(Motore_Advisory!$AB$305:$AB$364,MAX(1,42-(INT((Motore_Operativo!L346)/30))-1)))*(MOD((Motore_Operativo!L346),30)/30))</f>
        <v>110094.833333333</v>
      </c>
      <c r="AD346" s="15" t="n">
        <f aca="false">(AD345)+AB346-AC346</f>
        <v>330284.5</v>
      </c>
      <c r="AE346" s="15" t="n">
        <f aca="false">Motore_Operativo!BH346*(1+Parametri_v3!$C$26)</f>
        <v>11009.4833333333</v>
      </c>
      <c r="AF346" s="15" t="n">
        <f aca="false">(IF(42-(INT((Parametri_v3!$C$29)/30))&lt;1,0,INDEX(Motore_Operativo!$BH$305:$BH$364,MAX(1,42-(INT((Parametri_v3!$C$29)/30)))))*(1-(MOD((Parametri_v3!$C$29),30)/30))+IF(42-(INT((Parametri_v3!$C$29)/30))-1&lt;1,0,INDEX(Motore_Operativo!$BH$305:$BH$364,MAX(1,42-(INT((Parametri_v3!$C$29)/30))-1)))*(MOD((Parametri_v3!$C$29),30)/30))*(1+Parametri_v3!$C$26)</f>
        <v>11009.4833333333</v>
      </c>
      <c r="AG346" s="15" t="n">
        <f aca="false">(AG345)+AE346-AF346</f>
        <v>11009.4833333333</v>
      </c>
      <c r="AH346" s="15" t="n">
        <f aca="false">(Motore_Operativo!CK346)*(1+Parametri_v3!$C$28*Parametri_v3!$C$26)</f>
        <v>23198.952</v>
      </c>
      <c r="AI346" s="15" t="n">
        <f aca="false">(IF(42-(INT((Ipotesi!$C$91)/30))&lt;1,0,INDEX(Motore_Advisory!$AH$305:$AH$364,MAX(1,42-(INT((Ipotesi!$C$91)/30)))))*(1-(MOD((Ipotesi!$C$91),30)/30))+IF(42-(INT((Ipotesi!$C$91)/30))-1&lt;1,0,INDEX(Motore_Advisory!$AH$305:$AH$364,MAX(1,42-(INT((Ipotesi!$C$91)/30))-1)))*(MOD((Ipotesi!$C$91),30)/30))</f>
        <v>23198.952</v>
      </c>
      <c r="AJ346" s="15" t="n">
        <f aca="false">(AJ345)+AH346-AI346</f>
        <v>46397.904</v>
      </c>
      <c r="AK346" s="15" t="n">
        <f aca="false">(F346- Motore_Operativo!BH346-(Motore_Operativo!CK346)*Parametri_v3!$C$28-Motore_Operativo!CF346)*Parametri_v3!$C$26</f>
        <v>14249.2313333333</v>
      </c>
      <c r="AL346" s="15" t="n">
        <f aca="false">MAX(0,(AM345))</f>
        <v>14249.2313333333</v>
      </c>
      <c r="AM346" s="15" t="n">
        <f aca="false">(AM345)+AK346-AL346</f>
        <v>14249.2313333333</v>
      </c>
      <c r="AN346" s="15" t="n">
        <f aca="false">SUM(X329:X340)</f>
        <v>46679.99375</v>
      </c>
      <c r="AO346" s="15" t="n">
        <f aca="false">SUM(AP329:AP340)</f>
        <v>16530.1714788732</v>
      </c>
      <c r="AP346" s="15" t="n">
        <f aca="false">MAX(0,AN346)*IF(6=Parametri_v3!$C$43,Parametri_v3!$C$45,IF(6=Parametri_v3!$C$44,1-Parametri_v3!$C$45,0))</f>
        <v>18671.9975</v>
      </c>
      <c r="AQ346" s="15" t="n">
        <f aca="false">MAX(0,AP346+IF(6=Parametri_v3!$C$43,MAX(0,AN346-AO346),0)-MAX(0,-(AR345)))</f>
        <v>48821.8197711268</v>
      </c>
      <c r="AR346" s="15" t="n">
        <f aca="false">(AR345)+X346-AQ346</f>
        <v>26961.02977025</v>
      </c>
      <c r="AS346" s="15" t="n">
        <f aca="false">Motore_Operativo!AC346-AT346+AU346</f>
        <v>32137.5563729167</v>
      </c>
      <c r="AT346" s="15" t="n">
        <f aca="false">Motore_Operativo!CI346</f>
        <v>1691.45033541667</v>
      </c>
      <c r="AU346" s="15" t="n">
        <f aca="false">MIN(MAX(0,(AV345)+AT346),Parametri_v3!$C$61/12)</f>
        <v>0</v>
      </c>
      <c r="AV346" s="15" t="n">
        <f aca="false">(AV345)+AT346-AU346</f>
        <v>38128.1395125</v>
      </c>
      <c r="AW346" s="15" t="n">
        <f aca="false">IF(AND(Motore_Operativo!C346=Finanziamenti!$D$7,Finanziamenti!$F$7=1),Finanziamenti!$C$7,0)</f>
        <v>0</v>
      </c>
      <c r="AX346" s="15" t="n">
        <f aca="false">0</f>
        <v>0</v>
      </c>
      <c r="AY346" s="15" t="n">
        <f aca="false">IF(6=Parametri_v3!$C$33,IF(BV346&lt;MIN(12,$B346-1),0,MIN(MAX(0,SUM(Y329:Y340))*Ipotesi!$C$94,MAX(0,(BM340)-(BO345)-BP346),MAX(0,BD346-Parametri_v3!$C$31))),0)</f>
        <v>60315.9059027778</v>
      </c>
      <c r="AZ346" s="15" t="n">
        <f aca="false">0</f>
        <v>0</v>
      </c>
      <c r="BA346" s="15" t="n">
        <f aca="false">0</f>
        <v>0</v>
      </c>
      <c r="BB346" s="15" t="n">
        <f aca="false">0</f>
        <v>0</v>
      </c>
      <c r="BC346" s="15" t="n">
        <f aca="false">0</f>
        <v>0</v>
      </c>
      <c r="BD346" s="15" t="n">
        <f aca="false">(BH345)+AC346-AF346-AI346-AS346-K346*(1+Parametri_v3!$C$26)-AL346-AQ346-O346+AW346+AX346+AZ346+BA346-BB346</f>
        <v>134208.802320382</v>
      </c>
      <c r="BE346" s="15" t="n">
        <f aca="false">0</f>
        <v>0</v>
      </c>
      <c r="BF346" s="15" t="n">
        <f aca="false">0</f>
        <v>0</v>
      </c>
      <c r="BG346" s="15" t="n">
        <f aca="false">0</f>
        <v>0</v>
      </c>
      <c r="BH346" s="15" t="n">
        <f aca="false">BD346+BE346-BF346-AY346</f>
        <v>73892.8964176045</v>
      </c>
      <c r="BI346" s="15" t="n">
        <f aca="false">MAX(0,Parametri_v3!$C$31-BH346)</f>
        <v>0</v>
      </c>
      <c r="BJ346" s="15" t="n">
        <f aca="false">(BJ345)+K346</f>
        <v>17000</v>
      </c>
      <c r="BK346" s="15" t="n">
        <f aca="false">(BK345)+L346</f>
        <v>8423.61111111111</v>
      </c>
      <c r="BL346" s="15" t="n">
        <f aca="false">BJ346-BK346</f>
        <v>8576.38888888888</v>
      </c>
      <c r="BM346" s="15" t="n">
        <f aca="false">(BM345)+Y346</f>
        <v>316323.903259855</v>
      </c>
      <c r="BN346" s="15" t="n">
        <f aca="false">(BN345)+AW346+AX346+AZ346</f>
        <v>20000</v>
      </c>
      <c r="BO346" s="15" t="n">
        <f aca="false">(BO345)+AY346</f>
        <v>60315.9059027778</v>
      </c>
      <c r="BP346" s="15" t="n">
        <f aca="false">MIN(Parametri_v3!$C$36*Parametri_v3!$C$35,(BP345)+IF(6=1,MAX(0,SUM(Y329:Y340))*Parametri_v3!$C$34,0))</f>
        <v>2000</v>
      </c>
      <c r="BQ346" s="15" t="n">
        <f aca="false">BN346+BM346-BO346</f>
        <v>276007.997357077</v>
      </c>
      <c r="BR346" s="15" t="n">
        <f aca="false">BH346+AD346+BL346+MAX(0,-AM346)+MAX(0,-AR346)</f>
        <v>412753.785306493</v>
      </c>
      <c r="BS346" s="15" t="n">
        <f aca="false">AJ346+AV346+MAX(0,AM346)+MAX(0,AR346)+BC346+BG346+BQ346+AG346</f>
        <v>412753.785306493</v>
      </c>
      <c r="BT346" s="15" t="n">
        <f aca="false">BR346-BS346</f>
        <v>0</v>
      </c>
      <c r="BU346" s="15" t="n">
        <f aca="false">BH346-(BD346+BE346-BF346-AY346)</f>
        <v>0</v>
      </c>
      <c r="BV346" s="15" t="n">
        <f aca="false">IF(BH345&lt;Parametri_v3!$C$31,0,BV345+1)</f>
        <v>13</v>
      </c>
    </row>
    <row r="347" customFormat="false" ht="18" hidden="false" customHeight="true" outlineLevel="0" collapsed="false">
      <c r="A347" s="68" t="n">
        <f aca="false">6</f>
        <v>6</v>
      </c>
      <c r="B347" s="68" t="n">
        <f aca="false">43</f>
        <v>43</v>
      </c>
      <c r="C347" s="18" t="n">
        <f aca="false">Motore_Operativo!C347</f>
        <v>47665</v>
      </c>
      <c r="D347" s="68" t="n">
        <f aca="false">Motore_Operativo!D347</f>
        <v>2030</v>
      </c>
      <c r="E347" s="68" t="n">
        <f aca="false">Motore_Operativo!E347</f>
        <v>7</v>
      </c>
      <c r="F347" s="15" t="n">
        <f aca="false">Motore_Operativo!AM347</f>
        <v>90241.6666666667</v>
      </c>
      <c r="G347" s="15" t="n">
        <f aca="false">Motore_Operativo!BH347</f>
        <v>9024.16666666667</v>
      </c>
      <c r="H347" s="15" t="n">
        <f aca="false">Motore_Operativo!AM347</f>
        <v>90241.6666666667</v>
      </c>
      <c r="I347" s="15" t="n">
        <f aca="false">Motore_Operativo!CB347</f>
        <v>62580.173375</v>
      </c>
      <c r="J347" s="15" t="n">
        <f aca="false">Motore_Operativo!CD347</f>
        <v>27661.4932916667</v>
      </c>
      <c r="K347" s="15" t="n">
        <f aca="false">Motore_Operativo!CF347</f>
        <v>666.666666666667</v>
      </c>
      <c r="L347" s="15" t="n">
        <f aca="false">SUM(INDEX($K$305:$K$364,MAX(1,43-Parametri_v3!$C$59+1)):K347)/Parametri_v3!$C$59</f>
        <v>442.12962962963</v>
      </c>
      <c r="M347" s="15" t="n">
        <f aca="false">J347-L347</f>
        <v>27219.363662037</v>
      </c>
      <c r="N347" s="15" t="n">
        <f aca="false">0</f>
        <v>0</v>
      </c>
      <c r="O347" s="15" t="n">
        <f aca="false">0</f>
        <v>0</v>
      </c>
      <c r="P347" s="15" t="n">
        <f aca="false">M347+N347-O347</f>
        <v>27219.363662037</v>
      </c>
      <c r="Q347" s="15" t="n">
        <f aca="false">SUM(P341:P347)+Parametri_v3!$C$56*7/12</f>
        <v>190778.601189815</v>
      </c>
      <c r="R347" s="15" t="n">
        <f aca="false">Z340</f>
        <v>0</v>
      </c>
      <c r="S347" s="15" t="n">
        <f aca="false">AA340</f>
        <v>0</v>
      </c>
      <c r="T347" s="15" t="n">
        <f aca="false">MIN(R347,MAX(0,Q347))</f>
        <v>0</v>
      </c>
      <c r="U347" s="15" t="n">
        <f aca="false">MIN(S347,MAX(0,Q347-T347)*Parametri_v3!$C$42)</f>
        <v>0</v>
      </c>
      <c r="V347" s="15" t="n">
        <f aca="false">MAX(0,Q347-T347-U347)*Ipotesi!$C$92</f>
        <v>45786.8642855556</v>
      </c>
      <c r="W347" s="15" t="n">
        <f aca="false">MAX(0,SUM(M341:M347)+Parametri_v3!$C$57*7/12)*Ipotesi!$C$93</f>
        <v>7440.36544640278</v>
      </c>
      <c r="X347" s="15" t="n">
        <f aca="false">V347+W347-(V346+W346)</f>
        <v>7594.20246170834</v>
      </c>
      <c r="Y347" s="15" t="n">
        <f aca="false">P347-X347</f>
        <v>19625.1612003287</v>
      </c>
      <c r="Z347" s="15" t="n">
        <f aca="false">R347-T347+IF(AND(Parametri_v3!$C$40=1,D347-YEAR(Parametri_v3!$C$50)&lt;Parametri_v3!$C$41),MAX(0,-Q347),0)</f>
        <v>0</v>
      </c>
      <c r="AA347" s="15" t="n">
        <f aca="false">S347-U347+IF(AND(Parametri_v3!$C$40=1,D347-YEAR(Parametri_v3!$C$50)&lt;Parametri_v3!$C$41),0,MAX(0,-Q347))</f>
        <v>0</v>
      </c>
      <c r="AB347" s="15" t="n">
        <f aca="false">F347*(1+Parametri_v3!$C$26)</f>
        <v>110094.833333333</v>
      </c>
      <c r="AC347" s="15" t="n">
        <f aca="false">(IF(43-(INT((Motore_Operativo!L347)/30))&lt;1,0,INDEX(Motore_Advisory!$AB$305:$AB$364,MAX(1,43-(INT((Motore_Operativo!L347)/30)))))*(1-(MOD((Motore_Operativo!L347),30)/30))+IF(43-(INT((Motore_Operativo!L347)/30))-1&lt;1,0,INDEX(Motore_Advisory!$AB$305:$AB$364,MAX(1,43-(INT((Motore_Operativo!L347)/30))-1)))*(MOD((Motore_Operativo!L347),30)/30))</f>
        <v>110094.833333333</v>
      </c>
      <c r="AD347" s="15" t="n">
        <f aca="false">(AD346)+AB347-AC347</f>
        <v>330284.5</v>
      </c>
      <c r="AE347" s="15" t="n">
        <f aca="false">Motore_Operativo!BH347*(1+Parametri_v3!$C$26)</f>
        <v>11009.4833333333</v>
      </c>
      <c r="AF347" s="15" t="n">
        <f aca="false">(IF(43-(INT((Parametri_v3!$C$29)/30))&lt;1,0,INDEX(Motore_Operativo!$BH$305:$BH$364,MAX(1,43-(INT((Parametri_v3!$C$29)/30)))))*(1-(MOD((Parametri_v3!$C$29),30)/30))+IF(43-(INT((Parametri_v3!$C$29)/30))-1&lt;1,0,INDEX(Motore_Operativo!$BH$305:$BH$364,MAX(1,43-(INT((Parametri_v3!$C$29)/30))-1)))*(MOD((Parametri_v3!$C$29),30)/30))*(1+Parametri_v3!$C$26)</f>
        <v>11009.4833333333</v>
      </c>
      <c r="AG347" s="15" t="n">
        <f aca="false">(AG346)+AE347-AF347</f>
        <v>11009.4833333333</v>
      </c>
      <c r="AH347" s="15" t="n">
        <f aca="false">(Motore_Operativo!CK347)*(1+Parametri_v3!$C$28*Parametri_v3!$C$26)</f>
        <v>23198.952</v>
      </c>
      <c r="AI347" s="15" t="n">
        <f aca="false">(IF(43-(INT((Ipotesi!$C$91)/30))&lt;1,0,INDEX(Motore_Advisory!$AH$305:$AH$364,MAX(1,43-(INT((Ipotesi!$C$91)/30)))))*(1-(MOD((Ipotesi!$C$91),30)/30))+IF(43-(INT((Ipotesi!$C$91)/30))-1&lt;1,0,INDEX(Motore_Advisory!$AH$305:$AH$364,MAX(1,43-(INT((Ipotesi!$C$91)/30))-1)))*(MOD((Ipotesi!$C$91),30)/30))</f>
        <v>23198.952</v>
      </c>
      <c r="AJ347" s="15" t="n">
        <f aca="false">(AJ346)+AH347-AI347</f>
        <v>46397.904</v>
      </c>
      <c r="AK347" s="15" t="n">
        <f aca="false">(F347- Motore_Operativo!BH347-(Motore_Operativo!CK347)*Parametri_v3!$C$28-Motore_Operativo!CF347)*Parametri_v3!$C$26</f>
        <v>14249.2313333333</v>
      </c>
      <c r="AL347" s="15" t="n">
        <f aca="false">MAX(0,(AM346))</f>
        <v>14249.2313333333</v>
      </c>
      <c r="AM347" s="15" t="n">
        <f aca="false">(AM346)+AK347-AL347</f>
        <v>14249.2313333333</v>
      </c>
      <c r="AN347" s="15" t="n">
        <f aca="false">SUM(X329:X340)</f>
        <v>46679.99375</v>
      </c>
      <c r="AO347" s="15" t="n">
        <f aca="false">SUM(AP329:AP340)</f>
        <v>16530.1714788732</v>
      </c>
      <c r="AP347" s="15" t="n">
        <f aca="false">MAX(0,AN347)*IF(7=Parametri_v3!$C$43,Parametri_v3!$C$45,IF(7=Parametri_v3!$C$44,1-Parametri_v3!$C$45,0))</f>
        <v>0</v>
      </c>
      <c r="AQ347" s="15" t="n">
        <f aca="false">MAX(0,AP347+IF(7=Parametri_v3!$C$43,MAX(0,AN347-AO347),0)-MAX(0,-(AR346)))</f>
        <v>0</v>
      </c>
      <c r="AR347" s="15" t="n">
        <f aca="false">(AR346)+X347-AQ347</f>
        <v>34555.2322319583</v>
      </c>
      <c r="AS347" s="15" t="n">
        <f aca="false">Motore_Operativo!AC347-AT347+AU347</f>
        <v>32137.5563729167</v>
      </c>
      <c r="AT347" s="15" t="n">
        <f aca="false">Motore_Operativo!CI347</f>
        <v>1691.45033541667</v>
      </c>
      <c r="AU347" s="15" t="n">
        <f aca="false">MIN(MAX(0,(AV346)+AT347),Parametri_v3!$C$61/12)</f>
        <v>0</v>
      </c>
      <c r="AV347" s="15" t="n">
        <f aca="false">(AV346)+AT347-AU347</f>
        <v>39819.5898479167</v>
      </c>
      <c r="AW347" s="15" t="n">
        <f aca="false">IF(AND(Motore_Operativo!C347=Finanziamenti!$D$7,Finanziamenti!$F$7=1),Finanziamenti!$C$7,0)</f>
        <v>0</v>
      </c>
      <c r="AX347" s="15" t="n">
        <f aca="false">0</f>
        <v>0</v>
      </c>
      <c r="AY347" s="15" t="n">
        <f aca="false">IF(7=Parametri_v3!$C$33,IF(BV347&lt;MIN(12,$B347-1),0,MIN(MAX(0,SUM(Y329:Y340))*Ipotesi!$C$94,MAX(0,(BM340)-(BO346)-BP347),MAX(0,BD347-Parametri_v3!$C$31))),0)</f>
        <v>0</v>
      </c>
      <c r="AZ347" s="15" t="n">
        <f aca="false">0</f>
        <v>0</v>
      </c>
      <c r="BA347" s="15" t="n">
        <f aca="false">0</f>
        <v>0</v>
      </c>
      <c r="BB347" s="15" t="n">
        <f aca="false">0</f>
        <v>0</v>
      </c>
      <c r="BC347" s="15" t="n">
        <f aca="false">0</f>
        <v>0</v>
      </c>
      <c r="BD347" s="15" t="n">
        <f aca="false">(BH346)+AC347-AF347-AI347-AS347-K347*(1+Parametri_v3!$C$26)-AL347-AQ347-O347+AW347+AX347+AZ347+BA347-BB347</f>
        <v>102579.173378021</v>
      </c>
      <c r="BE347" s="15" t="n">
        <f aca="false">0</f>
        <v>0</v>
      </c>
      <c r="BF347" s="15" t="n">
        <f aca="false">0</f>
        <v>0</v>
      </c>
      <c r="BG347" s="15" t="n">
        <f aca="false">0</f>
        <v>0</v>
      </c>
      <c r="BH347" s="15" t="n">
        <f aca="false">BD347+BE347-BF347-AY347</f>
        <v>102579.173378021</v>
      </c>
      <c r="BI347" s="15" t="n">
        <f aca="false">MAX(0,Parametri_v3!$C$31-BH347)</f>
        <v>0</v>
      </c>
      <c r="BJ347" s="15" t="n">
        <f aca="false">(BJ346)+K347</f>
        <v>17666.6666666667</v>
      </c>
      <c r="BK347" s="15" t="n">
        <f aca="false">(BK346)+L347</f>
        <v>8865.74074074074</v>
      </c>
      <c r="BL347" s="15" t="n">
        <f aca="false">BJ347-BK347</f>
        <v>8800.92592592592</v>
      </c>
      <c r="BM347" s="15" t="n">
        <f aca="false">(BM346)+Y347</f>
        <v>335949.064460183</v>
      </c>
      <c r="BN347" s="15" t="n">
        <f aca="false">(BN346)+AW347+AX347+AZ347</f>
        <v>20000</v>
      </c>
      <c r="BO347" s="15" t="n">
        <f aca="false">(BO346)+AY347</f>
        <v>60315.9059027778</v>
      </c>
      <c r="BP347" s="15" t="n">
        <f aca="false">MIN(Parametri_v3!$C$36*Parametri_v3!$C$35,(BP346)+IF(7=1,MAX(0,SUM(Y329:Y340))*Parametri_v3!$C$34,0))</f>
        <v>2000</v>
      </c>
      <c r="BQ347" s="15" t="n">
        <f aca="false">BN347+BM347-BO347</f>
        <v>295633.158557406</v>
      </c>
      <c r="BR347" s="15" t="n">
        <f aca="false">BH347+AD347+BL347+MAX(0,-AM347)+MAX(0,-AR347)</f>
        <v>441664.599303947</v>
      </c>
      <c r="BS347" s="15" t="n">
        <f aca="false">AJ347+AV347+MAX(0,AM347)+MAX(0,AR347)+BC347+BG347+BQ347+AG347</f>
        <v>441664.599303947</v>
      </c>
      <c r="BT347" s="15" t="n">
        <f aca="false">BR347-BS347</f>
        <v>0</v>
      </c>
      <c r="BU347" s="15" t="n">
        <f aca="false">BH347-(BD347+BE347-BF347-AY347)</f>
        <v>0</v>
      </c>
      <c r="BV347" s="15" t="n">
        <f aca="false">IF(BH346&lt;Parametri_v3!$C$31,0,BV346+1)</f>
        <v>14</v>
      </c>
    </row>
    <row r="348" customFormat="false" ht="18" hidden="false" customHeight="true" outlineLevel="0" collapsed="false">
      <c r="A348" s="68" t="n">
        <f aca="false">6</f>
        <v>6</v>
      </c>
      <c r="B348" s="68" t="n">
        <f aca="false">44</f>
        <v>44</v>
      </c>
      <c r="C348" s="18" t="n">
        <f aca="false">Motore_Operativo!C348</f>
        <v>47696</v>
      </c>
      <c r="D348" s="68" t="n">
        <f aca="false">Motore_Operativo!D348</f>
        <v>2030</v>
      </c>
      <c r="E348" s="68" t="n">
        <f aca="false">Motore_Operativo!E348</f>
        <v>8</v>
      </c>
      <c r="F348" s="15" t="n">
        <f aca="false">Motore_Operativo!AM348</f>
        <v>90241.6666666667</v>
      </c>
      <c r="G348" s="15" t="n">
        <f aca="false">Motore_Operativo!BH348</f>
        <v>9024.16666666667</v>
      </c>
      <c r="H348" s="15" t="n">
        <f aca="false">Motore_Operativo!AM348</f>
        <v>90241.6666666667</v>
      </c>
      <c r="I348" s="15" t="n">
        <f aca="false">Motore_Operativo!CB348</f>
        <v>62580.173375</v>
      </c>
      <c r="J348" s="15" t="n">
        <f aca="false">Motore_Operativo!CD348</f>
        <v>27661.4932916667</v>
      </c>
      <c r="K348" s="15" t="n">
        <f aca="false">Motore_Operativo!CF348</f>
        <v>666.666666666667</v>
      </c>
      <c r="L348" s="15" t="n">
        <f aca="false">SUM(INDEX($K$305:$K$364,MAX(1,44-Parametri_v3!$C$59+1)):K348)/Parametri_v3!$C$59</f>
        <v>453.703703703704</v>
      </c>
      <c r="M348" s="15" t="n">
        <f aca="false">J348-L348</f>
        <v>27207.789587963</v>
      </c>
      <c r="N348" s="15" t="n">
        <f aca="false">0</f>
        <v>0</v>
      </c>
      <c r="O348" s="15" t="n">
        <f aca="false">0</f>
        <v>0</v>
      </c>
      <c r="P348" s="15" t="n">
        <f aca="false">M348+N348-O348</f>
        <v>27207.789587963</v>
      </c>
      <c r="Q348" s="15" t="n">
        <f aca="false">SUM(P341:P348)+Parametri_v3!$C$56*8/12</f>
        <v>217986.390777778</v>
      </c>
      <c r="R348" s="15" t="n">
        <f aca="false">Z340</f>
        <v>0</v>
      </c>
      <c r="S348" s="15" t="n">
        <f aca="false">AA340</f>
        <v>0</v>
      </c>
      <c r="T348" s="15" t="n">
        <f aca="false">MIN(R348,MAX(0,Q348))</f>
        <v>0</v>
      </c>
      <c r="U348" s="15" t="n">
        <f aca="false">MIN(S348,MAX(0,Q348-T348)*Parametri_v3!$C$42)</f>
        <v>0</v>
      </c>
      <c r="V348" s="15" t="n">
        <f aca="false">MAX(0,Q348-T348-U348)*Ipotesi!$C$92</f>
        <v>52316.7337866667</v>
      </c>
      <c r="W348" s="15" t="n">
        <f aca="false">MAX(0,SUM(M341:M348)+Parametri_v3!$C$57*8/12)*Ipotesi!$C$93</f>
        <v>8501.46924033333</v>
      </c>
      <c r="X348" s="15" t="n">
        <f aca="false">V348+W348-(V347+W347)</f>
        <v>7590.97329504167</v>
      </c>
      <c r="Y348" s="15" t="n">
        <f aca="false">P348-X348</f>
        <v>19616.8162929213</v>
      </c>
      <c r="Z348" s="15" t="n">
        <f aca="false">R348-T348+IF(AND(Parametri_v3!$C$40=1,D348-YEAR(Parametri_v3!$C$50)&lt;Parametri_v3!$C$41),MAX(0,-Q348),0)</f>
        <v>0</v>
      </c>
      <c r="AA348" s="15" t="n">
        <f aca="false">S348-U348+IF(AND(Parametri_v3!$C$40=1,D348-YEAR(Parametri_v3!$C$50)&lt;Parametri_v3!$C$41),0,MAX(0,-Q348))</f>
        <v>0</v>
      </c>
      <c r="AB348" s="15" t="n">
        <f aca="false">F348*(1+Parametri_v3!$C$26)</f>
        <v>110094.833333333</v>
      </c>
      <c r="AC348" s="15" t="n">
        <f aca="false">(IF(44-(INT((Motore_Operativo!L348)/30))&lt;1,0,INDEX(Motore_Advisory!$AB$305:$AB$364,MAX(1,44-(INT((Motore_Operativo!L348)/30)))))*(1-(MOD((Motore_Operativo!L348),30)/30))+IF(44-(INT((Motore_Operativo!L348)/30))-1&lt;1,0,INDEX(Motore_Advisory!$AB$305:$AB$364,MAX(1,44-(INT((Motore_Operativo!L348)/30))-1)))*(MOD((Motore_Operativo!L348),30)/30))</f>
        <v>110094.833333333</v>
      </c>
      <c r="AD348" s="15" t="n">
        <f aca="false">(AD347)+AB348-AC348</f>
        <v>330284.5</v>
      </c>
      <c r="AE348" s="15" t="n">
        <f aca="false">Motore_Operativo!BH348*(1+Parametri_v3!$C$26)</f>
        <v>11009.4833333333</v>
      </c>
      <c r="AF348" s="15" t="n">
        <f aca="false">(IF(44-(INT((Parametri_v3!$C$29)/30))&lt;1,0,INDEX(Motore_Operativo!$BH$305:$BH$364,MAX(1,44-(INT((Parametri_v3!$C$29)/30)))))*(1-(MOD((Parametri_v3!$C$29),30)/30))+IF(44-(INT((Parametri_v3!$C$29)/30))-1&lt;1,0,INDEX(Motore_Operativo!$BH$305:$BH$364,MAX(1,44-(INT((Parametri_v3!$C$29)/30))-1)))*(MOD((Parametri_v3!$C$29),30)/30))*(1+Parametri_v3!$C$26)</f>
        <v>11009.4833333333</v>
      </c>
      <c r="AG348" s="15" t="n">
        <f aca="false">(AG347)+AE348-AF348</f>
        <v>11009.4833333333</v>
      </c>
      <c r="AH348" s="15" t="n">
        <f aca="false">(Motore_Operativo!CK348)*(1+Parametri_v3!$C$28*Parametri_v3!$C$26)</f>
        <v>23198.952</v>
      </c>
      <c r="AI348" s="15" t="n">
        <f aca="false">(IF(44-(INT((Ipotesi!$C$91)/30))&lt;1,0,INDEX(Motore_Advisory!$AH$305:$AH$364,MAX(1,44-(INT((Ipotesi!$C$91)/30)))))*(1-(MOD((Ipotesi!$C$91),30)/30))+IF(44-(INT((Ipotesi!$C$91)/30))-1&lt;1,0,INDEX(Motore_Advisory!$AH$305:$AH$364,MAX(1,44-(INT((Ipotesi!$C$91)/30))-1)))*(MOD((Ipotesi!$C$91),30)/30))</f>
        <v>23198.952</v>
      </c>
      <c r="AJ348" s="15" t="n">
        <f aca="false">(AJ347)+AH348-AI348</f>
        <v>46397.904</v>
      </c>
      <c r="AK348" s="15" t="n">
        <f aca="false">(F348- Motore_Operativo!BH348-(Motore_Operativo!CK348)*Parametri_v3!$C$28-Motore_Operativo!CF348)*Parametri_v3!$C$26</f>
        <v>14249.2313333333</v>
      </c>
      <c r="AL348" s="15" t="n">
        <f aca="false">MAX(0,(AM347))</f>
        <v>14249.2313333333</v>
      </c>
      <c r="AM348" s="15" t="n">
        <f aca="false">(AM347)+AK348-AL348</f>
        <v>14249.2313333333</v>
      </c>
      <c r="AN348" s="15" t="n">
        <f aca="false">SUM(X329:X340)</f>
        <v>46679.99375</v>
      </c>
      <c r="AO348" s="15" t="n">
        <f aca="false">SUM(AP329:AP340)</f>
        <v>16530.1714788732</v>
      </c>
      <c r="AP348" s="15" t="n">
        <f aca="false">MAX(0,AN348)*IF(8=Parametri_v3!$C$43,Parametri_v3!$C$45,IF(8=Parametri_v3!$C$44,1-Parametri_v3!$C$45,0))</f>
        <v>0</v>
      </c>
      <c r="AQ348" s="15" t="n">
        <f aca="false">MAX(0,AP348+IF(8=Parametri_v3!$C$43,MAX(0,AN348-AO348),0)-MAX(0,-(AR347)))</f>
        <v>0</v>
      </c>
      <c r="AR348" s="15" t="n">
        <f aca="false">(AR347)+X348-AQ348</f>
        <v>42146.205527</v>
      </c>
      <c r="AS348" s="15" t="n">
        <f aca="false">Motore_Operativo!AC348-AT348+AU348</f>
        <v>32137.5563729167</v>
      </c>
      <c r="AT348" s="15" t="n">
        <f aca="false">Motore_Operativo!CI348</f>
        <v>1691.45033541667</v>
      </c>
      <c r="AU348" s="15" t="n">
        <f aca="false">MIN(MAX(0,(AV347)+AT348),Parametri_v3!$C$61/12)</f>
        <v>0</v>
      </c>
      <c r="AV348" s="15" t="n">
        <f aca="false">(AV347)+AT348-AU348</f>
        <v>41511.0401833333</v>
      </c>
      <c r="AW348" s="15" t="n">
        <f aca="false">IF(AND(Motore_Operativo!C348=Finanziamenti!$D$7,Finanziamenti!$F$7=1),Finanziamenti!$C$7,0)</f>
        <v>0</v>
      </c>
      <c r="AX348" s="15" t="n">
        <f aca="false">0</f>
        <v>0</v>
      </c>
      <c r="AY348" s="15" t="n">
        <f aca="false">IF(8=Parametri_v3!$C$33,IF(BV348&lt;MIN(12,$B348-1),0,MIN(MAX(0,SUM(Y329:Y340))*Ipotesi!$C$94,MAX(0,(BM340)-(BO347)-BP348),MAX(0,BD348-Parametri_v3!$C$31))),0)</f>
        <v>0</v>
      </c>
      <c r="AZ348" s="15" t="n">
        <f aca="false">0</f>
        <v>0</v>
      </c>
      <c r="BA348" s="15" t="n">
        <f aca="false">0</f>
        <v>0</v>
      </c>
      <c r="BB348" s="15" t="n">
        <f aca="false">0</f>
        <v>0</v>
      </c>
      <c r="BC348" s="15" t="n">
        <f aca="false">0</f>
        <v>0</v>
      </c>
      <c r="BD348" s="15" t="n">
        <f aca="false">(BH347)+AC348-AF348-AI348-AS348-K348*(1+Parametri_v3!$C$26)-AL348-AQ348-O348+AW348+AX348+AZ348+BA348-BB348</f>
        <v>131265.450338438</v>
      </c>
      <c r="BE348" s="15" t="n">
        <f aca="false">0</f>
        <v>0</v>
      </c>
      <c r="BF348" s="15" t="n">
        <f aca="false">0</f>
        <v>0</v>
      </c>
      <c r="BG348" s="15" t="n">
        <f aca="false">0</f>
        <v>0</v>
      </c>
      <c r="BH348" s="15" t="n">
        <f aca="false">BD348+BE348-BF348-AY348</f>
        <v>131265.450338438</v>
      </c>
      <c r="BI348" s="15" t="n">
        <f aca="false">MAX(0,Parametri_v3!$C$31-BH348)</f>
        <v>0</v>
      </c>
      <c r="BJ348" s="15" t="n">
        <f aca="false">(BJ347)+K348</f>
        <v>18333.3333333333</v>
      </c>
      <c r="BK348" s="15" t="n">
        <f aca="false">(BK347)+L348</f>
        <v>9319.44444444444</v>
      </c>
      <c r="BL348" s="15" t="n">
        <f aca="false">BJ348-BK348</f>
        <v>9013.88888888889</v>
      </c>
      <c r="BM348" s="15" t="n">
        <f aca="false">(BM347)+Y348</f>
        <v>355565.880753105</v>
      </c>
      <c r="BN348" s="15" t="n">
        <f aca="false">(BN347)+AW348+AX348+AZ348</f>
        <v>20000</v>
      </c>
      <c r="BO348" s="15" t="n">
        <f aca="false">(BO347)+AY348</f>
        <v>60315.9059027778</v>
      </c>
      <c r="BP348" s="15" t="n">
        <f aca="false">MIN(Parametri_v3!$C$36*Parametri_v3!$C$35,(BP347)+IF(8=1,MAX(0,SUM(Y329:Y340))*Parametri_v3!$C$34,0))</f>
        <v>2000</v>
      </c>
      <c r="BQ348" s="15" t="n">
        <f aca="false">BN348+BM348-BO348</f>
        <v>315249.974850327</v>
      </c>
      <c r="BR348" s="15" t="n">
        <f aca="false">BH348+AD348+BL348+MAX(0,-AM348)+MAX(0,-AR348)</f>
        <v>470563.839227327</v>
      </c>
      <c r="BS348" s="15" t="n">
        <f aca="false">AJ348+AV348+MAX(0,AM348)+MAX(0,AR348)+BC348+BG348+BQ348+AG348</f>
        <v>470563.839227327</v>
      </c>
      <c r="BT348" s="15" t="n">
        <f aca="false">BR348-BS348</f>
        <v>0</v>
      </c>
      <c r="BU348" s="15" t="n">
        <f aca="false">BH348-(BD348+BE348-BF348-AY348)</f>
        <v>0</v>
      </c>
      <c r="BV348" s="15" t="n">
        <f aca="false">IF(BH347&lt;Parametri_v3!$C$31,0,BV347+1)</f>
        <v>15</v>
      </c>
    </row>
    <row r="349" customFormat="false" ht="18" hidden="false" customHeight="true" outlineLevel="0" collapsed="false">
      <c r="A349" s="68" t="n">
        <f aca="false">6</f>
        <v>6</v>
      </c>
      <c r="B349" s="68" t="n">
        <f aca="false">45</f>
        <v>45</v>
      </c>
      <c r="C349" s="18" t="n">
        <f aca="false">Motore_Operativo!C349</f>
        <v>47727</v>
      </c>
      <c r="D349" s="68" t="n">
        <f aca="false">Motore_Operativo!D349</f>
        <v>2030</v>
      </c>
      <c r="E349" s="68" t="n">
        <f aca="false">Motore_Operativo!E349</f>
        <v>9</v>
      </c>
      <c r="F349" s="15" t="n">
        <f aca="false">Motore_Operativo!AM349</f>
        <v>90241.6666666667</v>
      </c>
      <c r="G349" s="15" t="n">
        <f aca="false">Motore_Operativo!BH349</f>
        <v>9024.16666666667</v>
      </c>
      <c r="H349" s="15" t="n">
        <f aca="false">Motore_Operativo!AM349</f>
        <v>90241.6666666667</v>
      </c>
      <c r="I349" s="15" t="n">
        <f aca="false">Motore_Operativo!CB349</f>
        <v>62580.173375</v>
      </c>
      <c r="J349" s="15" t="n">
        <f aca="false">Motore_Operativo!CD349</f>
        <v>27661.4932916667</v>
      </c>
      <c r="K349" s="15" t="n">
        <f aca="false">Motore_Operativo!CF349</f>
        <v>666.666666666667</v>
      </c>
      <c r="L349" s="15" t="n">
        <f aca="false">SUM(INDEX($K$305:$K$364,MAX(1,45-Parametri_v3!$C$59+1)):K349)/Parametri_v3!$C$59</f>
        <v>465.277777777778</v>
      </c>
      <c r="M349" s="15" t="n">
        <f aca="false">J349-L349</f>
        <v>27196.2155138889</v>
      </c>
      <c r="N349" s="15" t="n">
        <f aca="false">0</f>
        <v>0</v>
      </c>
      <c r="O349" s="15" t="n">
        <f aca="false">0</f>
        <v>0</v>
      </c>
      <c r="P349" s="15" t="n">
        <f aca="false">M349+N349-O349</f>
        <v>27196.2155138889</v>
      </c>
      <c r="Q349" s="15" t="n">
        <f aca="false">SUM(P341:P349)+Parametri_v3!$C$56*9/12</f>
        <v>245182.606291667</v>
      </c>
      <c r="R349" s="15" t="n">
        <f aca="false">Z340</f>
        <v>0</v>
      </c>
      <c r="S349" s="15" t="n">
        <f aca="false">AA340</f>
        <v>0</v>
      </c>
      <c r="T349" s="15" t="n">
        <f aca="false">MIN(R349,MAX(0,Q349))</f>
        <v>0</v>
      </c>
      <c r="U349" s="15" t="n">
        <f aca="false">MIN(S349,MAX(0,Q349-T349)*Parametri_v3!$C$42)</f>
        <v>0</v>
      </c>
      <c r="V349" s="15" t="n">
        <f aca="false">MAX(0,Q349-T349-U349)*Ipotesi!$C$92</f>
        <v>58843.82551</v>
      </c>
      <c r="W349" s="15" t="n">
        <f aca="false">MAX(0,SUM(M341:M349)+Parametri_v3!$C$57*9/12)*Ipotesi!$C$93</f>
        <v>9562.121645375</v>
      </c>
      <c r="X349" s="15" t="n">
        <f aca="false">V349+W349-(V348+W348)</f>
        <v>7587.74412837499</v>
      </c>
      <c r="Y349" s="15" t="n">
        <f aca="false">P349-X349</f>
        <v>19608.4713855139</v>
      </c>
      <c r="Z349" s="15" t="n">
        <f aca="false">R349-T349+IF(AND(Parametri_v3!$C$40=1,D349-YEAR(Parametri_v3!$C$50)&lt;Parametri_v3!$C$41),MAX(0,-Q349),0)</f>
        <v>0</v>
      </c>
      <c r="AA349" s="15" t="n">
        <f aca="false">S349-U349+IF(AND(Parametri_v3!$C$40=1,D349-YEAR(Parametri_v3!$C$50)&lt;Parametri_v3!$C$41),0,MAX(0,-Q349))</f>
        <v>0</v>
      </c>
      <c r="AB349" s="15" t="n">
        <f aca="false">F349*(1+Parametri_v3!$C$26)</f>
        <v>110094.833333333</v>
      </c>
      <c r="AC349" s="15" t="n">
        <f aca="false">(IF(45-(INT((Motore_Operativo!L349)/30))&lt;1,0,INDEX(Motore_Advisory!$AB$305:$AB$364,MAX(1,45-(INT((Motore_Operativo!L349)/30)))))*(1-(MOD((Motore_Operativo!L349),30)/30))+IF(45-(INT((Motore_Operativo!L349)/30))-1&lt;1,0,INDEX(Motore_Advisory!$AB$305:$AB$364,MAX(1,45-(INT((Motore_Operativo!L349)/30))-1)))*(MOD((Motore_Operativo!L349),30)/30))</f>
        <v>110094.833333333</v>
      </c>
      <c r="AD349" s="15" t="n">
        <f aca="false">(AD348)+AB349-AC349</f>
        <v>330284.5</v>
      </c>
      <c r="AE349" s="15" t="n">
        <f aca="false">Motore_Operativo!BH349*(1+Parametri_v3!$C$26)</f>
        <v>11009.4833333333</v>
      </c>
      <c r="AF349" s="15" t="n">
        <f aca="false">(IF(45-(INT((Parametri_v3!$C$29)/30))&lt;1,0,INDEX(Motore_Operativo!$BH$305:$BH$364,MAX(1,45-(INT((Parametri_v3!$C$29)/30)))))*(1-(MOD((Parametri_v3!$C$29),30)/30))+IF(45-(INT((Parametri_v3!$C$29)/30))-1&lt;1,0,INDEX(Motore_Operativo!$BH$305:$BH$364,MAX(1,45-(INT((Parametri_v3!$C$29)/30))-1)))*(MOD((Parametri_v3!$C$29),30)/30))*(1+Parametri_v3!$C$26)</f>
        <v>11009.4833333333</v>
      </c>
      <c r="AG349" s="15" t="n">
        <f aca="false">(AG348)+AE349-AF349</f>
        <v>11009.4833333333</v>
      </c>
      <c r="AH349" s="15" t="n">
        <f aca="false">(Motore_Operativo!CK349)*(1+Parametri_v3!$C$28*Parametri_v3!$C$26)</f>
        <v>23198.952</v>
      </c>
      <c r="AI349" s="15" t="n">
        <f aca="false">(IF(45-(INT((Ipotesi!$C$91)/30))&lt;1,0,INDEX(Motore_Advisory!$AH$305:$AH$364,MAX(1,45-(INT((Ipotesi!$C$91)/30)))))*(1-(MOD((Ipotesi!$C$91),30)/30))+IF(45-(INT((Ipotesi!$C$91)/30))-1&lt;1,0,INDEX(Motore_Advisory!$AH$305:$AH$364,MAX(1,45-(INT((Ipotesi!$C$91)/30))-1)))*(MOD((Ipotesi!$C$91),30)/30))</f>
        <v>23198.952</v>
      </c>
      <c r="AJ349" s="15" t="n">
        <f aca="false">(AJ348)+AH349-AI349</f>
        <v>46397.904</v>
      </c>
      <c r="AK349" s="15" t="n">
        <f aca="false">(F349- Motore_Operativo!BH349-(Motore_Operativo!CK349)*Parametri_v3!$C$28-Motore_Operativo!CF349)*Parametri_v3!$C$26</f>
        <v>14249.2313333333</v>
      </c>
      <c r="AL349" s="15" t="n">
        <f aca="false">MAX(0,(AM348))</f>
        <v>14249.2313333333</v>
      </c>
      <c r="AM349" s="15" t="n">
        <f aca="false">(AM348)+AK349-AL349</f>
        <v>14249.2313333333</v>
      </c>
      <c r="AN349" s="15" t="n">
        <f aca="false">SUM(X329:X340)</f>
        <v>46679.99375</v>
      </c>
      <c r="AO349" s="15" t="n">
        <f aca="false">SUM(AP329:AP340)</f>
        <v>16530.1714788732</v>
      </c>
      <c r="AP349" s="15" t="n">
        <f aca="false">MAX(0,AN349)*IF(9=Parametri_v3!$C$43,Parametri_v3!$C$45,IF(9=Parametri_v3!$C$44,1-Parametri_v3!$C$45,0))</f>
        <v>0</v>
      </c>
      <c r="AQ349" s="15" t="n">
        <f aca="false">MAX(0,AP349+IF(9=Parametri_v3!$C$43,MAX(0,AN349-AO349),0)-MAX(0,-(AR348)))</f>
        <v>0</v>
      </c>
      <c r="AR349" s="15" t="n">
        <f aca="false">(AR348)+X349-AQ349</f>
        <v>49733.949655375</v>
      </c>
      <c r="AS349" s="15" t="n">
        <f aca="false">Motore_Operativo!AC349-AT349+AU349</f>
        <v>32137.5563729167</v>
      </c>
      <c r="AT349" s="15" t="n">
        <f aca="false">Motore_Operativo!CI349</f>
        <v>1691.45033541667</v>
      </c>
      <c r="AU349" s="15" t="n">
        <f aca="false">MIN(MAX(0,(AV348)+AT349),Parametri_v3!$C$61/12)</f>
        <v>0</v>
      </c>
      <c r="AV349" s="15" t="n">
        <f aca="false">(AV348)+AT349-AU349</f>
        <v>43202.49051875</v>
      </c>
      <c r="AW349" s="15" t="n">
        <f aca="false">IF(AND(Motore_Operativo!C349=Finanziamenti!$D$7,Finanziamenti!$F$7=1),Finanziamenti!$C$7,0)</f>
        <v>0</v>
      </c>
      <c r="AX349" s="15" t="n">
        <f aca="false">0</f>
        <v>0</v>
      </c>
      <c r="AY349" s="15" t="n">
        <f aca="false">IF(9=Parametri_v3!$C$33,IF(BV349&lt;MIN(12,$B349-1),0,MIN(MAX(0,SUM(Y329:Y340))*Ipotesi!$C$94,MAX(0,(BM340)-(BO348)-BP349),MAX(0,BD349-Parametri_v3!$C$31))),0)</f>
        <v>0</v>
      </c>
      <c r="AZ349" s="15" t="n">
        <f aca="false">0</f>
        <v>0</v>
      </c>
      <c r="BA349" s="15" t="n">
        <f aca="false">0</f>
        <v>0</v>
      </c>
      <c r="BB349" s="15" t="n">
        <f aca="false">0</f>
        <v>0</v>
      </c>
      <c r="BC349" s="15" t="n">
        <f aca="false">0</f>
        <v>0</v>
      </c>
      <c r="BD349" s="15" t="n">
        <f aca="false">(BH348)+AC349-AF349-AI349-AS349-K349*(1+Parametri_v3!$C$26)-AL349-AQ349-O349+AW349+AX349+AZ349+BA349-BB349</f>
        <v>159951.727298854</v>
      </c>
      <c r="BE349" s="15" t="n">
        <f aca="false">0</f>
        <v>0</v>
      </c>
      <c r="BF349" s="15" t="n">
        <f aca="false">0</f>
        <v>0</v>
      </c>
      <c r="BG349" s="15" t="n">
        <f aca="false">0</f>
        <v>0</v>
      </c>
      <c r="BH349" s="15" t="n">
        <f aca="false">BD349+BE349-BF349-AY349</f>
        <v>159951.727298854</v>
      </c>
      <c r="BI349" s="15" t="n">
        <f aca="false">MAX(0,Parametri_v3!$C$31-BH349)</f>
        <v>0</v>
      </c>
      <c r="BJ349" s="15" t="n">
        <f aca="false">(BJ348)+K349</f>
        <v>19000</v>
      </c>
      <c r="BK349" s="15" t="n">
        <f aca="false">(BK348)+L349</f>
        <v>9784.72222222222</v>
      </c>
      <c r="BL349" s="15" t="n">
        <f aca="false">BJ349-BK349</f>
        <v>9215.27777777778</v>
      </c>
      <c r="BM349" s="15" t="n">
        <f aca="false">(BM348)+Y349</f>
        <v>375174.352138619</v>
      </c>
      <c r="BN349" s="15" t="n">
        <f aca="false">(BN348)+AW349+AX349+AZ349</f>
        <v>20000</v>
      </c>
      <c r="BO349" s="15" t="n">
        <f aca="false">(BO348)+AY349</f>
        <v>60315.9059027778</v>
      </c>
      <c r="BP349" s="15" t="n">
        <f aca="false">MIN(Parametri_v3!$C$36*Parametri_v3!$C$35,(BP348)+IF(9=1,MAX(0,SUM(Y329:Y340))*Parametri_v3!$C$34,0))</f>
        <v>2000</v>
      </c>
      <c r="BQ349" s="15" t="n">
        <f aca="false">BN349+BM349-BO349</f>
        <v>334858.446235841</v>
      </c>
      <c r="BR349" s="15" t="n">
        <f aca="false">BH349+AD349+BL349+MAX(0,-AM349)+MAX(0,-AR349)</f>
        <v>499451.505076632</v>
      </c>
      <c r="BS349" s="15" t="n">
        <f aca="false">AJ349+AV349+MAX(0,AM349)+MAX(0,AR349)+BC349+BG349+BQ349+AG349</f>
        <v>499451.505076632</v>
      </c>
      <c r="BT349" s="15" t="n">
        <f aca="false">BR349-BS349</f>
        <v>0</v>
      </c>
      <c r="BU349" s="15" t="n">
        <f aca="false">BH349-(BD349+BE349-BF349-AY349)</f>
        <v>0</v>
      </c>
      <c r="BV349" s="15" t="n">
        <f aca="false">IF(BH348&lt;Parametri_v3!$C$31,0,BV348+1)</f>
        <v>16</v>
      </c>
    </row>
    <row r="350" customFormat="false" ht="18" hidden="false" customHeight="true" outlineLevel="0" collapsed="false">
      <c r="A350" s="68" t="n">
        <f aca="false">6</f>
        <v>6</v>
      </c>
      <c r="B350" s="68" t="n">
        <f aca="false">46</f>
        <v>46</v>
      </c>
      <c r="C350" s="18" t="n">
        <f aca="false">Motore_Operativo!C350</f>
        <v>47757</v>
      </c>
      <c r="D350" s="68" t="n">
        <f aca="false">Motore_Operativo!D350</f>
        <v>2030</v>
      </c>
      <c r="E350" s="68" t="n">
        <f aca="false">Motore_Operativo!E350</f>
        <v>10</v>
      </c>
      <c r="F350" s="15" t="n">
        <f aca="false">Motore_Operativo!AM350</f>
        <v>90241.6666666667</v>
      </c>
      <c r="G350" s="15" t="n">
        <f aca="false">Motore_Operativo!BH350</f>
        <v>9024.16666666667</v>
      </c>
      <c r="H350" s="15" t="n">
        <f aca="false">Motore_Operativo!AM350</f>
        <v>90241.6666666667</v>
      </c>
      <c r="I350" s="15" t="n">
        <f aca="false">Motore_Operativo!CB350</f>
        <v>62580.173375</v>
      </c>
      <c r="J350" s="15" t="n">
        <f aca="false">Motore_Operativo!CD350</f>
        <v>27661.4932916667</v>
      </c>
      <c r="K350" s="15" t="n">
        <f aca="false">Motore_Operativo!CF350</f>
        <v>666.666666666667</v>
      </c>
      <c r="L350" s="15" t="n">
        <f aca="false">SUM(INDEX($K$305:$K$364,MAX(1,46-Parametri_v3!$C$59+1)):K350)/Parametri_v3!$C$59</f>
        <v>476.851851851852</v>
      </c>
      <c r="M350" s="15" t="n">
        <f aca="false">J350-L350</f>
        <v>27184.6414398148</v>
      </c>
      <c r="N350" s="15" t="n">
        <f aca="false">0</f>
        <v>0</v>
      </c>
      <c r="O350" s="15" t="n">
        <f aca="false">0</f>
        <v>0</v>
      </c>
      <c r="P350" s="15" t="n">
        <f aca="false">M350+N350-O350</f>
        <v>27184.6414398148</v>
      </c>
      <c r="Q350" s="15" t="n">
        <f aca="false">SUM(P341:P350)+Parametri_v3!$C$56*10/12</f>
        <v>272367.247731481</v>
      </c>
      <c r="R350" s="15" t="n">
        <f aca="false">Z340</f>
        <v>0</v>
      </c>
      <c r="S350" s="15" t="n">
        <f aca="false">AA340</f>
        <v>0</v>
      </c>
      <c r="T350" s="15" t="n">
        <f aca="false">MIN(R350,MAX(0,Q350))</f>
        <v>0</v>
      </c>
      <c r="U350" s="15" t="n">
        <f aca="false">MIN(S350,MAX(0,Q350-T350)*Parametri_v3!$C$42)</f>
        <v>0</v>
      </c>
      <c r="V350" s="15" t="n">
        <f aca="false">MAX(0,Q350-T350-U350)*Ipotesi!$C$92</f>
        <v>65368.1394555555</v>
      </c>
      <c r="W350" s="15" t="n">
        <f aca="false">MAX(0,SUM(M341:M350)+Parametri_v3!$C$57*10/12)*Ipotesi!$C$93</f>
        <v>10622.3226615278</v>
      </c>
      <c r="X350" s="15" t="n">
        <f aca="false">V350+W350-(V349+W349)</f>
        <v>7584.51496170834</v>
      </c>
      <c r="Y350" s="15" t="n">
        <f aca="false">P350-X350</f>
        <v>19600.1264781065</v>
      </c>
      <c r="Z350" s="15" t="n">
        <f aca="false">R350-T350+IF(AND(Parametri_v3!$C$40=1,D350-YEAR(Parametri_v3!$C$50)&lt;Parametri_v3!$C$41),MAX(0,-Q350),0)</f>
        <v>0</v>
      </c>
      <c r="AA350" s="15" t="n">
        <f aca="false">S350-U350+IF(AND(Parametri_v3!$C$40=1,D350-YEAR(Parametri_v3!$C$50)&lt;Parametri_v3!$C$41),0,MAX(0,-Q350))</f>
        <v>0</v>
      </c>
      <c r="AB350" s="15" t="n">
        <f aca="false">F350*(1+Parametri_v3!$C$26)</f>
        <v>110094.833333333</v>
      </c>
      <c r="AC350" s="15" t="n">
        <f aca="false">(IF(46-(INT((Motore_Operativo!L350)/30))&lt;1,0,INDEX(Motore_Advisory!$AB$305:$AB$364,MAX(1,46-(INT((Motore_Operativo!L350)/30)))))*(1-(MOD((Motore_Operativo!L350),30)/30))+IF(46-(INT((Motore_Operativo!L350)/30))-1&lt;1,0,INDEX(Motore_Advisory!$AB$305:$AB$364,MAX(1,46-(INT((Motore_Operativo!L350)/30))-1)))*(MOD((Motore_Operativo!L350),30)/30))</f>
        <v>110094.833333333</v>
      </c>
      <c r="AD350" s="15" t="n">
        <f aca="false">(AD349)+AB350-AC350</f>
        <v>330284.5</v>
      </c>
      <c r="AE350" s="15" t="n">
        <f aca="false">Motore_Operativo!BH350*(1+Parametri_v3!$C$26)</f>
        <v>11009.4833333333</v>
      </c>
      <c r="AF350" s="15" t="n">
        <f aca="false">(IF(46-(INT((Parametri_v3!$C$29)/30))&lt;1,0,INDEX(Motore_Operativo!$BH$305:$BH$364,MAX(1,46-(INT((Parametri_v3!$C$29)/30)))))*(1-(MOD((Parametri_v3!$C$29),30)/30))+IF(46-(INT((Parametri_v3!$C$29)/30))-1&lt;1,0,INDEX(Motore_Operativo!$BH$305:$BH$364,MAX(1,46-(INT((Parametri_v3!$C$29)/30))-1)))*(MOD((Parametri_v3!$C$29),30)/30))*(1+Parametri_v3!$C$26)</f>
        <v>11009.4833333333</v>
      </c>
      <c r="AG350" s="15" t="n">
        <f aca="false">(AG349)+AE350-AF350</f>
        <v>11009.4833333333</v>
      </c>
      <c r="AH350" s="15" t="n">
        <f aca="false">(Motore_Operativo!CK350)*(1+Parametri_v3!$C$28*Parametri_v3!$C$26)</f>
        <v>23198.952</v>
      </c>
      <c r="AI350" s="15" t="n">
        <f aca="false">(IF(46-(INT((Ipotesi!$C$91)/30))&lt;1,0,INDEX(Motore_Advisory!$AH$305:$AH$364,MAX(1,46-(INT((Ipotesi!$C$91)/30)))))*(1-(MOD((Ipotesi!$C$91),30)/30))+IF(46-(INT((Ipotesi!$C$91)/30))-1&lt;1,0,INDEX(Motore_Advisory!$AH$305:$AH$364,MAX(1,46-(INT((Ipotesi!$C$91)/30))-1)))*(MOD((Ipotesi!$C$91),30)/30))</f>
        <v>23198.952</v>
      </c>
      <c r="AJ350" s="15" t="n">
        <f aca="false">(AJ349)+AH350-AI350</f>
        <v>46397.904</v>
      </c>
      <c r="AK350" s="15" t="n">
        <f aca="false">(F350- Motore_Operativo!BH350-(Motore_Operativo!CK350)*Parametri_v3!$C$28-Motore_Operativo!CF350)*Parametri_v3!$C$26</f>
        <v>14249.2313333333</v>
      </c>
      <c r="AL350" s="15" t="n">
        <f aca="false">MAX(0,(AM349))</f>
        <v>14249.2313333333</v>
      </c>
      <c r="AM350" s="15" t="n">
        <f aca="false">(AM349)+AK350-AL350</f>
        <v>14249.2313333333</v>
      </c>
      <c r="AN350" s="15" t="n">
        <f aca="false">SUM(X329:X340)</f>
        <v>46679.99375</v>
      </c>
      <c r="AO350" s="15" t="n">
        <f aca="false">SUM(AP329:AP340)</f>
        <v>16530.1714788732</v>
      </c>
      <c r="AP350" s="15" t="n">
        <f aca="false">MAX(0,AN350)*IF(10=Parametri_v3!$C$43,Parametri_v3!$C$45,IF(10=Parametri_v3!$C$44,1-Parametri_v3!$C$45,0))</f>
        <v>0</v>
      </c>
      <c r="AQ350" s="15" t="n">
        <f aca="false">MAX(0,AP350+IF(10=Parametri_v3!$C$43,MAX(0,AN350-AO350),0)-MAX(0,-(AR349)))</f>
        <v>0</v>
      </c>
      <c r="AR350" s="15" t="n">
        <f aca="false">(AR349)+X350-AQ350</f>
        <v>57318.4646170833</v>
      </c>
      <c r="AS350" s="15" t="n">
        <f aca="false">Motore_Operativo!AC350-AT350+AU350</f>
        <v>32137.5563729167</v>
      </c>
      <c r="AT350" s="15" t="n">
        <f aca="false">Motore_Operativo!CI350</f>
        <v>1691.45033541667</v>
      </c>
      <c r="AU350" s="15" t="n">
        <f aca="false">MIN(MAX(0,(AV349)+AT350),Parametri_v3!$C$61/12)</f>
        <v>0</v>
      </c>
      <c r="AV350" s="15" t="n">
        <f aca="false">(AV349)+AT350-AU350</f>
        <v>44893.9408541667</v>
      </c>
      <c r="AW350" s="15" t="n">
        <f aca="false">IF(AND(Motore_Operativo!C350=Finanziamenti!$D$7,Finanziamenti!$F$7=1),Finanziamenti!$C$7,0)</f>
        <v>0</v>
      </c>
      <c r="AX350" s="15" t="n">
        <f aca="false">0</f>
        <v>0</v>
      </c>
      <c r="AY350" s="15" t="n">
        <f aca="false">IF(10=Parametri_v3!$C$33,IF(BV350&lt;MIN(12,$B350-1),0,MIN(MAX(0,SUM(Y329:Y340))*Ipotesi!$C$94,MAX(0,(BM340)-(BO349)-BP350),MAX(0,BD350-Parametri_v3!$C$31))),0)</f>
        <v>0</v>
      </c>
      <c r="AZ350" s="15" t="n">
        <f aca="false">0</f>
        <v>0</v>
      </c>
      <c r="BA350" s="15" t="n">
        <f aca="false">0</f>
        <v>0</v>
      </c>
      <c r="BB350" s="15" t="n">
        <f aca="false">0</f>
        <v>0</v>
      </c>
      <c r="BC350" s="15" t="n">
        <f aca="false">0</f>
        <v>0</v>
      </c>
      <c r="BD350" s="15" t="n">
        <f aca="false">(BH349)+AC350-AF350-AI350-AS350-K350*(1+Parametri_v3!$C$26)-AL350-AQ350-O350+AW350+AX350+AZ350+BA350-BB350</f>
        <v>188638.004259271</v>
      </c>
      <c r="BE350" s="15" t="n">
        <f aca="false">0</f>
        <v>0</v>
      </c>
      <c r="BF350" s="15" t="n">
        <f aca="false">0</f>
        <v>0</v>
      </c>
      <c r="BG350" s="15" t="n">
        <f aca="false">0</f>
        <v>0</v>
      </c>
      <c r="BH350" s="15" t="n">
        <f aca="false">BD350+BE350-BF350-AY350</f>
        <v>188638.004259271</v>
      </c>
      <c r="BI350" s="15" t="n">
        <f aca="false">MAX(0,Parametri_v3!$C$31-BH350)</f>
        <v>0</v>
      </c>
      <c r="BJ350" s="15" t="n">
        <f aca="false">(BJ349)+K350</f>
        <v>19666.6666666667</v>
      </c>
      <c r="BK350" s="15" t="n">
        <f aca="false">(BK349)+L350</f>
        <v>10261.5740740741</v>
      </c>
      <c r="BL350" s="15" t="n">
        <f aca="false">BJ350-BK350</f>
        <v>9405.09259259259</v>
      </c>
      <c r="BM350" s="15" t="n">
        <f aca="false">(BM349)+Y350</f>
        <v>394774.478616725</v>
      </c>
      <c r="BN350" s="15" t="n">
        <f aca="false">(BN349)+AW350+AX350+AZ350</f>
        <v>20000</v>
      </c>
      <c r="BO350" s="15" t="n">
        <f aca="false">(BO349)+AY350</f>
        <v>60315.9059027778</v>
      </c>
      <c r="BP350" s="15" t="n">
        <f aca="false">MIN(Parametri_v3!$C$36*Parametri_v3!$C$35,(BP349)+IF(10=1,MAX(0,SUM(Y329:Y340))*Parametri_v3!$C$34,0))</f>
        <v>2000</v>
      </c>
      <c r="BQ350" s="15" t="n">
        <f aca="false">BN350+BM350-BO350</f>
        <v>354458.572713947</v>
      </c>
      <c r="BR350" s="15" t="n">
        <f aca="false">BH350+AD350+BL350+MAX(0,-AM350)+MAX(0,-AR350)</f>
        <v>528327.596851864</v>
      </c>
      <c r="BS350" s="15" t="n">
        <f aca="false">AJ350+AV350+MAX(0,AM350)+MAX(0,AR350)+BC350+BG350+BQ350+AG350</f>
        <v>528327.596851864</v>
      </c>
      <c r="BT350" s="15" t="n">
        <f aca="false">BR350-BS350</f>
        <v>0</v>
      </c>
      <c r="BU350" s="15" t="n">
        <f aca="false">BH350-(BD350+BE350-BF350-AY350)</f>
        <v>0</v>
      </c>
      <c r="BV350" s="15" t="n">
        <f aca="false">IF(BH349&lt;Parametri_v3!$C$31,0,BV349+1)</f>
        <v>17</v>
      </c>
    </row>
    <row r="351" customFormat="false" ht="18" hidden="false" customHeight="true" outlineLevel="0" collapsed="false">
      <c r="A351" s="68" t="n">
        <f aca="false">6</f>
        <v>6</v>
      </c>
      <c r="B351" s="68" t="n">
        <f aca="false">47</f>
        <v>47</v>
      </c>
      <c r="C351" s="18" t="n">
        <f aca="false">Motore_Operativo!C351</f>
        <v>47788</v>
      </c>
      <c r="D351" s="68" t="n">
        <f aca="false">Motore_Operativo!D351</f>
        <v>2030</v>
      </c>
      <c r="E351" s="68" t="n">
        <f aca="false">Motore_Operativo!E351</f>
        <v>11</v>
      </c>
      <c r="F351" s="15" t="n">
        <f aca="false">Motore_Operativo!AM351</f>
        <v>90241.6666666667</v>
      </c>
      <c r="G351" s="15" t="n">
        <f aca="false">Motore_Operativo!BH351</f>
        <v>9024.16666666667</v>
      </c>
      <c r="H351" s="15" t="n">
        <f aca="false">Motore_Operativo!AM351</f>
        <v>90241.6666666667</v>
      </c>
      <c r="I351" s="15" t="n">
        <f aca="false">Motore_Operativo!CB351</f>
        <v>62580.173375</v>
      </c>
      <c r="J351" s="15" t="n">
        <f aca="false">Motore_Operativo!CD351</f>
        <v>27661.4932916667</v>
      </c>
      <c r="K351" s="15" t="n">
        <f aca="false">Motore_Operativo!CF351</f>
        <v>666.666666666667</v>
      </c>
      <c r="L351" s="15" t="n">
        <f aca="false">SUM(INDEX($K$305:$K$364,MAX(1,47-Parametri_v3!$C$59+1)):K351)/Parametri_v3!$C$59</f>
        <v>488.425925925926</v>
      </c>
      <c r="M351" s="15" t="n">
        <f aca="false">J351-L351</f>
        <v>27173.0673657407</v>
      </c>
      <c r="N351" s="15" t="n">
        <f aca="false">0</f>
        <v>0</v>
      </c>
      <c r="O351" s="15" t="n">
        <f aca="false">0</f>
        <v>0</v>
      </c>
      <c r="P351" s="15" t="n">
        <f aca="false">M351+N351-O351</f>
        <v>27173.0673657407</v>
      </c>
      <c r="Q351" s="15" t="n">
        <f aca="false">SUM(P341:P351)+Parametri_v3!$C$56*11/12</f>
        <v>299540.315097222</v>
      </c>
      <c r="R351" s="15" t="n">
        <f aca="false">Z340</f>
        <v>0</v>
      </c>
      <c r="S351" s="15" t="n">
        <f aca="false">AA340</f>
        <v>0</v>
      </c>
      <c r="T351" s="15" t="n">
        <f aca="false">MIN(R351,MAX(0,Q351))</f>
        <v>0</v>
      </c>
      <c r="U351" s="15" t="n">
        <f aca="false">MIN(S351,MAX(0,Q351-T351)*Parametri_v3!$C$42)</f>
        <v>0</v>
      </c>
      <c r="V351" s="15" t="n">
        <f aca="false">MAX(0,Q351-T351-U351)*Ipotesi!$C$92</f>
        <v>71889.6756233333</v>
      </c>
      <c r="W351" s="15" t="n">
        <f aca="false">MAX(0,SUM(M341:M351)+Parametri_v3!$C$57*11/12)*Ipotesi!$C$93</f>
        <v>11682.0722887917</v>
      </c>
      <c r="X351" s="15" t="n">
        <f aca="false">V351+W351-(V350+W350)</f>
        <v>7581.28579504165</v>
      </c>
      <c r="Y351" s="15" t="n">
        <f aca="false">P351-X351</f>
        <v>19591.7815706991</v>
      </c>
      <c r="Z351" s="15" t="n">
        <f aca="false">R351-T351+IF(AND(Parametri_v3!$C$40=1,D351-YEAR(Parametri_v3!$C$50)&lt;Parametri_v3!$C$41),MAX(0,-Q351),0)</f>
        <v>0</v>
      </c>
      <c r="AA351" s="15" t="n">
        <f aca="false">S351-U351+IF(AND(Parametri_v3!$C$40=1,D351-YEAR(Parametri_v3!$C$50)&lt;Parametri_v3!$C$41),0,MAX(0,-Q351))</f>
        <v>0</v>
      </c>
      <c r="AB351" s="15" t="n">
        <f aca="false">F351*(1+Parametri_v3!$C$26)</f>
        <v>110094.833333333</v>
      </c>
      <c r="AC351" s="15" t="n">
        <f aca="false">(IF(47-(INT((Motore_Operativo!L351)/30))&lt;1,0,INDEX(Motore_Advisory!$AB$305:$AB$364,MAX(1,47-(INT((Motore_Operativo!L351)/30)))))*(1-(MOD((Motore_Operativo!L351),30)/30))+IF(47-(INT((Motore_Operativo!L351)/30))-1&lt;1,0,INDEX(Motore_Advisory!$AB$305:$AB$364,MAX(1,47-(INT((Motore_Operativo!L351)/30))-1)))*(MOD((Motore_Operativo!L351),30)/30))</f>
        <v>110094.833333333</v>
      </c>
      <c r="AD351" s="15" t="n">
        <f aca="false">(AD350)+AB351-AC351</f>
        <v>330284.5</v>
      </c>
      <c r="AE351" s="15" t="n">
        <f aca="false">Motore_Operativo!BH351*(1+Parametri_v3!$C$26)</f>
        <v>11009.4833333333</v>
      </c>
      <c r="AF351" s="15" t="n">
        <f aca="false">(IF(47-(INT((Parametri_v3!$C$29)/30))&lt;1,0,INDEX(Motore_Operativo!$BH$305:$BH$364,MAX(1,47-(INT((Parametri_v3!$C$29)/30)))))*(1-(MOD((Parametri_v3!$C$29),30)/30))+IF(47-(INT((Parametri_v3!$C$29)/30))-1&lt;1,0,INDEX(Motore_Operativo!$BH$305:$BH$364,MAX(1,47-(INT((Parametri_v3!$C$29)/30))-1)))*(MOD((Parametri_v3!$C$29),30)/30))*(1+Parametri_v3!$C$26)</f>
        <v>11009.4833333333</v>
      </c>
      <c r="AG351" s="15" t="n">
        <f aca="false">(AG350)+AE351-AF351</f>
        <v>11009.4833333333</v>
      </c>
      <c r="AH351" s="15" t="n">
        <f aca="false">(Motore_Operativo!CK351)*(1+Parametri_v3!$C$28*Parametri_v3!$C$26)</f>
        <v>23198.952</v>
      </c>
      <c r="AI351" s="15" t="n">
        <f aca="false">(IF(47-(INT((Ipotesi!$C$91)/30))&lt;1,0,INDEX(Motore_Advisory!$AH$305:$AH$364,MAX(1,47-(INT((Ipotesi!$C$91)/30)))))*(1-(MOD((Ipotesi!$C$91),30)/30))+IF(47-(INT((Ipotesi!$C$91)/30))-1&lt;1,0,INDEX(Motore_Advisory!$AH$305:$AH$364,MAX(1,47-(INT((Ipotesi!$C$91)/30))-1)))*(MOD((Ipotesi!$C$91),30)/30))</f>
        <v>23198.952</v>
      </c>
      <c r="AJ351" s="15" t="n">
        <f aca="false">(AJ350)+AH351-AI351</f>
        <v>46397.904</v>
      </c>
      <c r="AK351" s="15" t="n">
        <f aca="false">(F351- Motore_Operativo!BH351-(Motore_Operativo!CK351)*Parametri_v3!$C$28-Motore_Operativo!CF351)*Parametri_v3!$C$26</f>
        <v>14249.2313333333</v>
      </c>
      <c r="AL351" s="15" t="n">
        <f aca="false">MAX(0,(AM350))</f>
        <v>14249.2313333333</v>
      </c>
      <c r="AM351" s="15" t="n">
        <f aca="false">(AM350)+AK351-AL351</f>
        <v>14249.2313333333</v>
      </c>
      <c r="AN351" s="15" t="n">
        <f aca="false">SUM(X329:X340)</f>
        <v>46679.99375</v>
      </c>
      <c r="AO351" s="15" t="n">
        <f aca="false">SUM(AP329:AP340)</f>
        <v>16530.1714788732</v>
      </c>
      <c r="AP351" s="15" t="n">
        <f aca="false">MAX(0,AN351)*IF(11=Parametri_v3!$C$43,Parametri_v3!$C$45,IF(11=Parametri_v3!$C$44,1-Parametri_v3!$C$45,0))</f>
        <v>28007.99625</v>
      </c>
      <c r="AQ351" s="15" t="n">
        <f aca="false">MAX(0,AP351+IF(11=Parametri_v3!$C$43,MAX(0,AN351-AO351),0)-MAX(0,-(AR350)))</f>
        <v>28007.99625</v>
      </c>
      <c r="AR351" s="15" t="n">
        <f aca="false">(AR350)+X351-AQ351</f>
        <v>36891.754162125</v>
      </c>
      <c r="AS351" s="15" t="n">
        <f aca="false">Motore_Operativo!AC351-AT351+AU351</f>
        <v>32137.5563729167</v>
      </c>
      <c r="AT351" s="15" t="n">
        <f aca="false">Motore_Operativo!CI351</f>
        <v>1691.45033541667</v>
      </c>
      <c r="AU351" s="15" t="n">
        <f aca="false">MIN(MAX(0,(AV350)+AT351),Parametri_v3!$C$61/12)</f>
        <v>0</v>
      </c>
      <c r="AV351" s="15" t="n">
        <f aca="false">(AV350)+AT351-AU351</f>
        <v>46585.3911895833</v>
      </c>
      <c r="AW351" s="15" t="n">
        <f aca="false">IF(AND(Motore_Operativo!C351=Finanziamenti!$D$7,Finanziamenti!$F$7=1),Finanziamenti!$C$7,0)</f>
        <v>0</v>
      </c>
      <c r="AX351" s="15" t="n">
        <f aca="false">0</f>
        <v>0</v>
      </c>
      <c r="AY351" s="15" t="n">
        <f aca="false">IF(11=Parametri_v3!$C$33,IF(BV351&lt;MIN(12,$B351-1),0,MIN(MAX(0,SUM(Y329:Y340))*Ipotesi!$C$94,MAX(0,(BM340)-(BO350)-BP351),MAX(0,BD351-Parametri_v3!$C$31))),0)</f>
        <v>0</v>
      </c>
      <c r="AZ351" s="15" t="n">
        <f aca="false">0</f>
        <v>0</v>
      </c>
      <c r="BA351" s="15" t="n">
        <f aca="false">0</f>
        <v>0</v>
      </c>
      <c r="BB351" s="15" t="n">
        <f aca="false">0</f>
        <v>0</v>
      </c>
      <c r="BC351" s="15" t="n">
        <f aca="false">0</f>
        <v>0</v>
      </c>
      <c r="BD351" s="15" t="n">
        <f aca="false">(BH350)+AC351-AF351-AI351-AS351-K351*(1+Parametri_v3!$C$26)-AL351-AQ351-O351+AW351+AX351+AZ351+BA351-BB351</f>
        <v>189316.284969688</v>
      </c>
      <c r="BE351" s="15" t="n">
        <f aca="false">0</f>
        <v>0</v>
      </c>
      <c r="BF351" s="15" t="n">
        <f aca="false">0</f>
        <v>0</v>
      </c>
      <c r="BG351" s="15" t="n">
        <f aca="false">0</f>
        <v>0</v>
      </c>
      <c r="BH351" s="15" t="n">
        <f aca="false">BD351+BE351-BF351-AY351</f>
        <v>189316.284969688</v>
      </c>
      <c r="BI351" s="15" t="n">
        <f aca="false">MAX(0,Parametri_v3!$C$31-BH351)</f>
        <v>0</v>
      </c>
      <c r="BJ351" s="15" t="n">
        <f aca="false">(BJ350)+K351</f>
        <v>20333.3333333333</v>
      </c>
      <c r="BK351" s="15" t="n">
        <f aca="false">(BK350)+L351</f>
        <v>10750</v>
      </c>
      <c r="BL351" s="15" t="n">
        <f aca="false">BJ351-BK351</f>
        <v>9583.33333333333</v>
      </c>
      <c r="BM351" s="15" t="n">
        <f aca="false">(BM350)+Y351</f>
        <v>414366.260187424</v>
      </c>
      <c r="BN351" s="15" t="n">
        <f aca="false">(BN350)+AW351+AX351+AZ351</f>
        <v>20000</v>
      </c>
      <c r="BO351" s="15" t="n">
        <f aca="false">(BO350)+AY351</f>
        <v>60315.9059027778</v>
      </c>
      <c r="BP351" s="15" t="n">
        <f aca="false">MIN(Parametri_v3!$C$36*Parametri_v3!$C$35,(BP350)+IF(11=1,MAX(0,SUM(Y329:Y340))*Parametri_v3!$C$34,0))</f>
        <v>2000</v>
      </c>
      <c r="BQ351" s="15" t="n">
        <f aca="false">BN351+BM351-BO351</f>
        <v>374050.354284646</v>
      </c>
      <c r="BR351" s="15" t="n">
        <f aca="false">BH351+AD351+BL351+MAX(0,-AM351)+MAX(0,-AR351)</f>
        <v>529184.118303021</v>
      </c>
      <c r="BS351" s="15" t="n">
        <f aca="false">AJ351+AV351+MAX(0,AM351)+MAX(0,AR351)+BC351+BG351+BQ351+AG351</f>
        <v>529184.118303021</v>
      </c>
      <c r="BT351" s="15" t="n">
        <f aca="false">BR351-BS351</f>
        <v>0</v>
      </c>
      <c r="BU351" s="15" t="n">
        <f aca="false">BH351-(BD351+BE351-BF351-AY351)</f>
        <v>0</v>
      </c>
      <c r="BV351" s="15" t="n">
        <f aca="false">IF(BH350&lt;Parametri_v3!$C$31,0,BV350+1)</f>
        <v>18</v>
      </c>
    </row>
    <row r="352" customFormat="false" ht="18" hidden="false" customHeight="true" outlineLevel="0" collapsed="false">
      <c r="A352" s="68" t="n">
        <f aca="false">6</f>
        <v>6</v>
      </c>
      <c r="B352" s="68" t="n">
        <f aca="false">48</f>
        <v>48</v>
      </c>
      <c r="C352" s="18" t="n">
        <f aca="false">Motore_Operativo!C352</f>
        <v>47818</v>
      </c>
      <c r="D352" s="68" t="n">
        <f aca="false">Motore_Operativo!D352</f>
        <v>2030</v>
      </c>
      <c r="E352" s="68" t="n">
        <f aca="false">Motore_Operativo!E352</f>
        <v>12</v>
      </c>
      <c r="F352" s="15" t="n">
        <f aca="false">Motore_Operativo!AM352</f>
        <v>90241.6666666667</v>
      </c>
      <c r="G352" s="15" t="n">
        <f aca="false">Motore_Operativo!BH352</f>
        <v>9024.16666666667</v>
      </c>
      <c r="H352" s="15" t="n">
        <f aca="false">Motore_Operativo!AM352</f>
        <v>90241.6666666667</v>
      </c>
      <c r="I352" s="15" t="n">
        <f aca="false">Motore_Operativo!CB352</f>
        <v>62580.173375</v>
      </c>
      <c r="J352" s="15" t="n">
        <f aca="false">Motore_Operativo!CD352</f>
        <v>27661.4932916667</v>
      </c>
      <c r="K352" s="15" t="n">
        <f aca="false">Motore_Operativo!CF352</f>
        <v>666.666666666667</v>
      </c>
      <c r="L352" s="15" t="n">
        <f aca="false">SUM(INDEX($K$305:$K$364,MAX(1,48-Parametri_v3!$C$59+1)):K352)/Parametri_v3!$C$59</f>
        <v>500</v>
      </c>
      <c r="M352" s="15" t="n">
        <f aca="false">J352-L352</f>
        <v>27161.4932916667</v>
      </c>
      <c r="N352" s="15" t="n">
        <f aca="false">0</f>
        <v>0</v>
      </c>
      <c r="O352" s="15" t="n">
        <f aca="false">0</f>
        <v>0</v>
      </c>
      <c r="P352" s="15" t="n">
        <f aca="false">M352+N352-O352</f>
        <v>27161.4932916667</v>
      </c>
      <c r="Q352" s="15" t="n">
        <f aca="false">SUM(P341:P352)+Parametri_v3!$C$56*12/12</f>
        <v>326701.808388889</v>
      </c>
      <c r="R352" s="15" t="n">
        <f aca="false">Z340</f>
        <v>0</v>
      </c>
      <c r="S352" s="15" t="n">
        <f aca="false">AA340</f>
        <v>0</v>
      </c>
      <c r="T352" s="15" t="n">
        <f aca="false">MIN(R352,MAX(0,Q352))</f>
        <v>0</v>
      </c>
      <c r="U352" s="15" t="n">
        <f aca="false">MIN(S352,MAX(0,Q352-T352)*Parametri_v3!$C$42)</f>
        <v>0</v>
      </c>
      <c r="V352" s="15" t="n">
        <f aca="false">MAX(0,Q352-T352-U352)*Ipotesi!$C$92</f>
        <v>78408.4340133333</v>
      </c>
      <c r="W352" s="15" t="n">
        <f aca="false">MAX(0,SUM(M341:M352)+Parametri_v3!$C$57*12/12)*Ipotesi!$C$93</f>
        <v>12741.3705271667</v>
      </c>
      <c r="X352" s="15" t="n">
        <f aca="false">V352+W352-(V351+W351)</f>
        <v>7578.05662837502</v>
      </c>
      <c r="Y352" s="15" t="n">
        <f aca="false">P352-X352</f>
        <v>19583.4366632916</v>
      </c>
      <c r="Z352" s="15" t="n">
        <f aca="false">R352-T352+IF(AND(Parametri_v3!$C$40=1,D352-YEAR(Parametri_v3!$C$50)&lt;Parametri_v3!$C$41),MAX(0,-Q352),0)</f>
        <v>0</v>
      </c>
      <c r="AA352" s="15" t="n">
        <f aca="false">S352-U352+IF(AND(Parametri_v3!$C$40=1,D352-YEAR(Parametri_v3!$C$50)&lt;Parametri_v3!$C$41),0,MAX(0,-Q352))</f>
        <v>0</v>
      </c>
      <c r="AB352" s="15" t="n">
        <f aca="false">F352*(1+Parametri_v3!$C$26)</f>
        <v>110094.833333333</v>
      </c>
      <c r="AC352" s="15" t="n">
        <f aca="false">(IF(48-(INT((Motore_Operativo!L352)/30))&lt;1,0,INDEX(Motore_Advisory!$AB$305:$AB$364,MAX(1,48-(INT((Motore_Operativo!L352)/30)))))*(1-(MOD((Motore_Operativo!L352),30)/30))+IF(48-(INT((Motore_Operativo!L352)/30))-1&lt;1,0,INDEX(Motore_Advisory!$AB$305:$AB$364,MAX(1,48-(INT((Motore_Operativo!L352)/30))-1)))*(MOD((Motore_Operativo!L352),30)/30))</f>
        <v>110094.833333333</v>
      </c>
      <c r="AD352" s="15" t="n">
        <f aca="false">(AD351)+AB352-AC352</f>
        <v>330284.5</v>
      </c>
      <c r="AE352" s="15" t="n">
        <f aca="false">Motore_Operativo!BH352*(1+Parametri_v3!$C$26)</f>
        <v>11009.4833333333</v>
      </c>
      <c r="AF352" s="15" t="n">
        <f aca="false">(IF(48-(INT((Parametri_v3!$C$29)/30))&lt;1,0,INDEX(Motore_Operativo!$BH$305:$BH$364,MAX(1,48-(INT((Parametri_v3!$C$29)/30)))))*(1-(MOD((Parametri_v3!$C$29),30)/30))+IF(48-(INT((Parametri_v3!$C$29)/30))-1&lt;1,0,INDEX(Motore_Operativo!$BH$305:$BH$364,MAX(1,48-(INT((Parametri_v3!$C$29)/30))-1)))*(MOD((Parametri_v3!$C$29),30)/30))*(1+Parametri_v3!$C$26)</f>
        <v>11009.4833333333</v>
      </c>
      <c r="AG352" s="15" t="n">
        <f aca="false">(AG351)+AE352-AF352</f>
        <v>11009.4833333333</v>
      </c>
      <c r="AH352" s="15" t="n">
        <f aca="false">(Motore_Operativo!CK352)*(1+Parametri_v3!$C$28*Parametri_v3!$C$26)</f>
        <v>23198.952</v>
      </c>
      <c r="AI352" s="15" t="n">
        <f aca="false">(IF(48-(INT((Ipotesi!$C$91)/30))&lt;1,0,INDEX(Motore_Advisory!$AH$305:$AH$364,MAX(1,48-(INT((Ipotesi!$C$91)/30)))))*(1-(MOD((Ipotesi!$C$91),30)/30))+IF(48-(INT((Ipotesi!$C$91)/30))-1&lt;1,0,INDEX(Motore_Advisory!$AH$305:$AH$364,MAX(1,48-(INT((Ipotesi!$C$91)/30))-1)))*(MOD((Ipotesi!$C$91),30)/30))</f>
        <v>23198.952</v>
      </c>
      <c r="AJ352" s="15" t="n">
        <f aca="false">(AJ351)+AH352-AI352</f>
        <v>46397.904</v>
      </c>
      <c r="AK352" s="15" t="n">
        <f aca="false">(F352- Motore_Operativo!BH352-(Motore_Operativo!CK352)*Parametri_v3!$C$28-Motore_Operativo!CF352)*Parametri_v3!$C$26</f>
        <v>14249.2313333333</v>
      </c>
      <c r="AL352" s="15" t="n">
        <f aca="false">MAX(0,(AM351))</f>
        <v>14249.2313333333</v>
      </c>
      <c r="AM352" s="15" t="n">
        <f aca="false">(AM351)+AK352-AL352</f>
        <v>14249.2313333333</v>
      </c>
      <c r="AN352" s="15" t="n">
        <f aca="false">SUM(X329:X340)</f>
        <v>46679.99375</v>
      </c>
      <c r="AO352" s="15" t="n">
        <f aca="false">SUM(AP329:AP340)</f>
        <v>16530.1714788732</v>
      </c>
      <c r="AP352" s="15" t="n">
        <f aca="false">MAX(0,AN352)*IF(12=Parametri_v3!$C$43,Parametri_v3!$C$45,IF(12=Parametri_v3!$C$44,1-Parametri_v3!$C$45,0))</f>
        <v>0</v>
      </c>
      <c r="AQ352" s="15" t="n">
        <f aca="false">MAX(0,AP352+IF(12=Parametri_v3!$C$43,MAX(0,AN352-AO352),0)-MAX(0,-(AR351)))</f>
        <v>0</v>
      </c>
      <c r="AR352" s="15" t="n">
        <f aca="false">(AR351)+X352-AQ352</f>
        <v>44469.8107905</v>
      </c>
      <c r="AS352" s="15" t="n">
        <f aca="false">Motore_Operativo!AC352-AT352+AU352</f>
        <v>32137.5563729167</v>
      </c>
      <c r="AT352" s="15" t="n">
        <f aca="false">Motore_Operativo!CI352</f>
        <v>1691.45033541667</v>
      </c>
      <c r="AU352" s="15" t="n">
        <f aca="false">MIN(MAX(0,(AV351)+AT352),Parametri_v3!$C$61/12)</f>
        <v>0</v>
      </c>
      <c r="AV352" s="15" t="n">
        <f aca="false">(AV351)+AT352-AU352</f>
        <v>48276.841525</v>
      </c>
      <c r="AW352" s="15" t="n">
        <f aca="false">IF(AND(Motore_Operativo!C352=Finanziamenti!$D$7,Finanziamenti!$F$7=1),Finanziamenti!$C$7,0)</f>
        <v>0</v>
      </c>
      <c r="AX352" s="15" t="n">
        <f aca="false">0</f>
        <v>0</v>
      </c>
      <c r="AY352" s="15" t="n">
        <f aca="false">IF(12=Parametri_v3!$C$33,IF(BV352&lt;MIN(12,$B352-1),0,MIN(MAX(0,SUM(Y329:Y340))*Ipotesi!$C$94,MAX(0,(BM340)-(BO351)-BP352),MAX(0,BD352-Parametri_v3!$C$31))),0)</f>
        <v>0</v>
      </c>
      <c r="AZ352" s="15" t="n">
        <f aca="false">0</f>
        <v>0</v>
      </c>
      <c r="BA352" s="15" t="n">
        <f aca="false">0</f>
        <v>0</v>
      </c>
      <c r="BB352" s="15" t="n">
        <f aca="false">0</f>
        <v>0</v>
      </c>
      <c r="BC352" s="15" t="n">
        <f aca="false">0</f>
        <v>0</v>
      </c>
      <c r="BD352" s="15" t="n">
        <f aca="false">(BH351)+AC352-AF352-AI352-AS352-K352*(1+Parametri_v3!$C$26)-AL352-AQ352-O352+AW352+AX352+AZ352+BA352-BB352</f>
        <v>218002.561930104</v>
      </c>
      <c r="BE352" s="15" t="n">
        <f aca="false">0</f>
        <v>0</v>
      </c>
      <c r="BF352" s="15" t="n">
        <f aca="false">0</f>
        <v>0</v>
      </c>
      <c r="BG352" s="15" t="n">
        <f aca="false">0</f>
        <v>0</v>
      </c>
      <c r="BH352" s="15" t="n">
        <f aca="false">BD352+BE352-BF352-AY352</f>
        <v>218002.561930104</v>
      </c>
      <c r="BI352" s="15" t="n">
        <f aca="false">MAX(0,Parametri_v3!$C$31-BH352)</f>
        <v>0</v>
      </c>
      <c r="BJ352" s="15" t="n">
        <f aca="false">(BJ351)+K352</f>
        <v>21000</v>
      </c>
      <c r="BK352" s="15" t="n">
        <f aca="false">(BK351)+L352</f>
        <v>11250</v>
      </c>
      <c r="BL352" s="15" t="n">
        <f aca="false">BJ352-BK352</f>
        <v>9750</v>
      </c>
      <c r="BM352" s="15" t="n">
        <f aca="false">(BM351)+Y352</f>
        <v>433949.696850716</v>
      </c>
      <c r="BN352" s="15" t="n">
        <f aca="false">(BN351)+AW352+AX352+AZ352</f>
        <v>20000</v>
      </c>
      <c r="BO352" s="15" t="n">
        <f aca="false">(BO351)+AY352</f>
        <v>60315.9059027778</v>
      </c>
      <c r="BP352" s="15" t="n">
        <f aca="false">MIN(Parametri_v3!$C$36*Parametri_v3!$C$35,(BP351)+IF(12=1,MAX(0,SUM(Y329:Y340))*Parametri_v3!$C$34,0))</f>
        <v>2000</v>
      </c>
      <c r="BQ352" s="15" t="n">
        <f aca="false">BN352+BM352-BO352</f>
        <v>393633.790947938</v>
      </c>
      <c r="BR352" s="15" t="n">
        <f aca="false">BH352+AD352+BL352+MAX(0,-AM352)+MAX(0,-AR352)</f>
        <v>558037.061930104</v>
      </c>
      <c r="BS352" s="15" t="n">
        <f aca="false">AJ352+AV352+MAX(0,AM352)+MAX(0,AR352)+BC352+BG352+BQ352+AG352</f>
        <v>558037.061930105</v>
      </c>
      <c r="BT352" s="15" t="n">
        <f aca="false">BR352-BS352</f>
        <v>0</v>
      </c>
      <c r="BU352" s="15" t="n">
        <f aca="false">BH352-(BD352+BE352-BF352-AY352)</f>
        <v>0</v>
      </c>
      <c r="BV352" s="15" t="n">
        <f aca="false">IF(BH351&lt;Parametri_v3!$C$31,0,BV351+1)</f>
        <v>19</v>
      </c>
    </row>
    <row r="353" customFormat="false" ht="18" hidden="false" customHeight="true" outlineLevel="0" collapsed="false">
      <c r="A353" s="68" t="n">
        <f aca="false">6</f>
        <v>6</v>
      </c>
      <c r="B353" s="68" t="n">
        <f aca="false">49</f>
        <v>49</v>
      </c>
      <c r="C353" s="18" t="n">
        <f aca="false">Motore_Operativo!C353</f>
        <v>47849</v>
      </c>
      <c r="D353" s="68" t="n">
        <f aca="false">Motore_Operativo!D353</f>
        <v>2031</v>
      </c>
      <c r="E353" s="68" t="n">
        <f aca="false">Motore_Operativo!E353</f>
        <v>1</v>
      </c>
      <c r="F353" s="15" t="n">
        <f aca="false">Motore_Operativo!AM353</f>
        <v>115958.333333333</v>
      </c>
      <c r="G353" s="15" t="n">
        <f aca="false">Motore_Operativo!BH353</f>
        <v>11595.8333333333</v>
      </c>
      <c r="H353" s="15" t="n">
        <f aca="false">Motore_Operativo!AM353</f>
        <v>115958.333333333</v>
      </c>
      <c r="I353" s="15" t="n">
        <f aca="false">Motore_Operativo!CB353</f>
        <v>79625.4722608333</v>
      </c>
      <c r="J353" s="15" t="n">
        <f aca="false">Motore_Operativo!CD353</f>
        <v>36332.8610725</v>
      </c>
      <c r="K353" s="15" t="n">
        <f aca="false">Motore_Operativo!CF353</f>
        <v>666.666666666667</v>
      </c>
      <c r="L353" s="15" t="n">
        <f aca="false">SUM(INDEX($K$305:$K$364,MAX(1,49-Parametri_v3!$C$59+1)):K353)/Parametri_v3!$C$59</f>
        <v>506.944444444444</v>
      </c>
      <c r="M353" s="15" t="n">
        <f aca="false">J353-L353</f>
        <v>35825.9166280556</v>
      </c>
      <c r="N353" s="15" t="n">
        <f aca="false">0</f>
        <v>0</v>
      </c>
      <c r="O353" s="15" t="n">
        <f aca="false">0</f>
        <v>0</v>
      </c>
      <c r="P353" s="15" t="n">
        <f aca="false">M353+N353-O353</f>
        <v>35825.9166280556</v>
      </c>
      <c r="Q353" s="15" t="n">
        <f aca="false">SUM(P353)+Parametri_v3!$C$56*1/12</f>
        <v>35825.9166280556</v>
      </c>
      <c r="R353" s="15" t="n">
        <f aca="false">Z352</f>
        <v>0</v>
      </c>
      <c r="S353" s="15" t="n">
        <f aca="false">AA352</f>
        <v>0</v>
      </c>
      <c r="T353" s="15" t="n">
        <f aca="false">MIN(R353,MAX(0,Q353))</f>
        <v>0</v>
      </c>
      <c r="U353" s="15" t="n">
        <f aca="false">MIN(S353,MAX(0,Q353-T353)*Parametri_v3!$C$42)</f>
        <v>0</v>
      </c>
      <c r="V353" s="15" t="n">
        <f aca="false">MAX(0,Q353-T353-U353)*Ipotesi!$C$92</f>
        <v>8598.21999073333</v>
      </c>
      <c r="W353" s="15" t="n">
        <f aca="false">MAX(0,SUM(M353)+Parametri_v3!$C$57*1/12)*Ipotesi!$C$93</f>
        <v>1397.21074849417</v>
      </c>
      <c r="X353" s="15" t="n">
        <f aca="false">V353+W353-(0)</f>
        <v>9995.4307392275</v>
      </c>
      <c r="Y353" s="15" t="n">
        <f aca="false">P353-X353</f>
        <v>25830.4858888281</v>
      </c>
      <c r="Z353" s="15" t="n">
        <f aca="false">R353-T353+IF(AND(Parametri_v3!$C$40=1,D353-YEAR(Parametri_v3!$C$50)&lt;Parametri_v3!$C$41),MAX(0,-Q353),0)</f>
        <v>0</v>
      </c>
      <c r="AA353" s="15" t="n">
        <f aca="false">S353-U353+IF(AND(Parametri_v3!$C$40=1,D353-YEAR(Parametri_v3!$C$50)&lt;Parametri_v3!$C$41),0,MAX(0,-Q353))</f>
        <v>0</v>
      </c>
      <c r="AB353" s="15" t="n">
        <f aca="false">F353*(1+Parametri_v3!$C$26)</f>
        <v>141469.166666667</v>
      </c>
      <c r="AC353" s="15" t="n">
        <f aca="false">(IF(49-(INT((Motore_Operativo!L353)/30))&lt;1,0,INDEX(Motore_Advisory!$AB$305:$AB$364,MAX(1,49-(INT((Motore_Operativo!L353)/30)))))*(1-(MOD((Motore_Operativo!L353),30)/30))+IF(49-(INT((Motore_Operativo!L353)/30))-1&lt;1,0,INDEX(Motore_Advisory!$AB$305:$AB$364,MAX(1,49-(INT((Motore_Operativo!L353)/30))-1)))*(MOD((Motore_Operativo!L353),30)/30))</f>
        <v>110094.833333333</v>
      </c>
      <c r="AD353" s="15" t="n">
        <f aca="false">(AD352)+AB353-AC353</f>
        <v>361658.833333333</v>
      </c>
      <c r="AE353" s="15" t="n">
        <f aca="false">Motore_Operativo!BH353*(1+Parametri_v3!$C$26)</f>
        <v>14146.9166666667</v>
      </c>
      <c r="AF353" s="15" t="n">
        <f aca="false">(IF(49-(INT((Parametri_v3!$C$29)/30))&lt;1,0,INDEX(Motore_Operativo!$BH$305:$BH$364,MAX(1,49-(INT((Parametri_v3!$C$29)/30)))))*(1-(MOD((Parametri_v3!$C$29),30)/30))+IF(49-(INT((Parametri_v3!$C$29)/30))-1&lt;1,0,INDEX(Motore_Operativo!$BH$305:$BH$364,MAX(1,49-(INT((Parametri_v3!$C$29)/30))-1)))*(MOD((Parametri_v3!$C$29),30)/30))*(1+Parametri_v3!$C$26)</f>
        <v>11009.4833333333</v>
      </c>
      <c r="AG353" s="15" t="n">
        <f aca="false">(AG352)+AE353-AF353</f>
        <v>14146.9166666667</v>
      </c>
      <c r="AH353" s="15" t="n">
        <f aca="false">(Motore_Operativo!CK353)*(1+Parametri_v3!$C$28*Parametri_v3!$C$26)</f>
        <v>27831.02</v>
      </c>
      <c r="AI353" s="15" t="n">
        <f aca="false">(IF(49-(INT((Ipotesi!$C$91)/30))&lt;1,0,INDEX(Motore_Advisory!$AH$305:$AH$364,MAX(1,49-(INT((Ipotesi!$C$91)/30)))))*(1-(MOD((Ipotesi!$C$91),30)/30))+IF(49-(INT((Ipotesi!$C$91)/30))-1&lt;1,0,INDEX(Motore_Advisory!$AH$305:$AH$364,MAX(1,49-(INT((Ipotesi!$C$91)/30))-1)))*(MOD((Ipotesi!$C$91),30)/30))</f>
        <v>23198.952</v>
      </c>
      <c r="AJ353" s="15" t="n">
        <f aca="false">(AJ352)+AH353-AI353</f>
        <v>51029.972</v>
      </c>
      <c r="AK353" s="15" t="n">
        <f aca="false">(F353- Motore_Operativo!BH353-(Motore_Operativo!CK353)*Parametri_v3!$C$28-Motore_Operativo!CF353)*Parametri_v3!$C$26</f>
        <v>18647.8966666667</v>
      </c>
      <c r="AL353" s="15" t="n">
        <f aca="false">MAX(0,(AM352))</f>
        <v>14249.2313333333</v>
      </c>
      <c r="AM353" s="15" t="n">
        <f aca="false">(AM352)+AK353-AL353</f>
        <v>18647.8966666667</v>
      </c>
      <c r="AN353" s="15" t="n">
        <f aca="false">SUM(X341:X352)</f>
        <v>91149.8045405</v>
      </c>
      <c r="AO353" s="15" t="n">
        <f aca="false">SUM(AP341:AP352)</f>
        <v>46679.99375</v>
      </c>
      <c r="AP353" s="15" t="n">
        <f aca="false">MAX(0,AN353)*IF(1=Parametri_v3!$C$43,Parametri_v3!$C$45,IF(1=Parametri_v3!$C$44,1-Parametri_v3!$C$45,0))</f>
        <v>0</v>
      </c>
      <c r="AQ353" s="15" t="n">
        <f aca="false">MAX(0,AP353+IF(1=Parametri_v3!$C$43,MAX(0,AN353-AO353),0)-MAX(0,-(AR352)))</f>
        <v>0</v>
      </c>
      <c r="AR353" s="15" t="n">
        <f aca="false">(AR352)+X353-AQ353</f>
        <v>54465.2415297275</v>
      </c>
      <c r="AS353" s="15" t="n">
        <f aca="false">Motore_Operativo!AC353-AT353+AU353</f>
        <v>42145.6153144583</v>
      </c>
      <c r="AT353" s="15" t="n">
        <f aca="false">Motore_Operativo!CI353</f>
        <v>2218.19027970833</v>
      </c>
      <c r="AU353" s="15" t="n">
        <f aca="false">MIN(MAX(0,(AV352)+AT353),Parametri_v3!$C$61/12)</f>
        <v>0</v>
      </c>
      <c r="AV353" s="15" t="n">
        <f aca="false">(AV352)+AT353-AU353</f>
        <v>50495.0318047083</v>
      </c>
      <c r="AW353" s="15" t="n">
        <f aca="false">IF(AND(Motore_Operativo!C353=Finanziamenti!$D$7,Finanziamenti!$F$7=1),Finanziamenti!$C$7,0)</f>
        <v>0</v>
      </c>
      <c r="AX353" s="15" t="n">
        <f aca="false">0</f>
        <v>0</v>
      </c>
      <c r="AY353" s="15" t="n">
        <f aca="false">IF(1=Parametri_v3!$C$33,IF(BV353&lt;MIN(12,$B353-1),0,MIN(MAX(0,SUM(Y341:Y352))*Ipotesi!$C$94,MAX(0,(BM352)-(BO352)-BP353),MAX(0,BD353-Parametri_v3!$C$31))),0)</f>
        <v>0</v>
      </c>
      <c r="AZ353" s="15" t="n">
        <f aca="false">0</f>
        <v>0</v>
      </c>
      <c r="BA353" s="15" t="n">
        <f aca="false">0</f>
        <v>0</v>
      </c>
      <c r="BB353" s="15" t="n">
        <f aca="false">0</f>
        <v>0</v>
      </c>
      <c r="BC353" s="15" t="n">
        <f aca="false">0</f>
        <v>0</v>
      </c>
      <c r="BD353" s="15" t="n">
        <f aca="false">(BH352)+AC353-AF353-AI353-AS353-K353*(1+Parametri_v3!$C$26)-AL353-AQ353-O353+AW353+AX353+AZ353+BA353-BB353</f>
        <v>236680.779948979</v>
      </c>
      <c r="BE353" s="15" t="n">
        <f aca="false">0</f>
        <v>0</v>
      </c>
      <c r="BF353" s="15" t="n">
        <f aca="false">0</f>
        <v>0</v>
      </c>
      <c r="BG353" s="15" t="n">
        <f aca="false">0</f>
        <v>0</v>
      </c>
      <c r="BH353" s="15" t="n">
        <f aca="false">BD353+BE353-BF353-AY353</f>
        <v>236680.779948979</v>
      </c>
      <c r="BI353" s="15" t="n">
        <f aca="false">MAX(0,Parametri_v3!$C$31-BH353)</f>
        <v>0</v>
      </c>
      <c r="BJ353" s="15" t="n">
        <f aca="false">(BJ352)+K353</f>
        <v>21666.6666666667</v>
      </c>
      <c r="BK353" s="15" t="n">
        <f aca="false">(BK352)+L353</f>
        <v>11756.9444444444</v>
      </c>
      <c r="BL353" s="15" t="n">
        <f aca="false">BJ353-BK353</f>
        <v>9909.72222222222</v>
      </c>
      <c r="BM353" s="15" t="n">
        <f aca="false">(BM352)+Y353</f>
        <v>459780.182739544</v>
      </c>
      <c r="BN353" s="15" t="n">
        <f aca="false">(BN352)+AW353+AX353+AZ353</f>
        <v>20000</v>
      </c>
      <c r="BO353" s="15" t="n">
        <f aca="false">(BO352)+AY353</f>
        <v>60315.9059027778</v>
      </c>
      <c r="BP353" s="15" t="n">
        <f aca="false">MIN(Parametri_v3!$C$36*Parametri_v3!$C$35,(BP352)+IF(1=1,MAX(0,SUM(Y341:Y352))*Parametri_v3!$C$34,0))</f>
        <v>2000</v>
      </c>
      <c r="BQ353" s="15" t="n">
        <f aca="false">BN353+BM353-BO353</f>
        <v>419464.276836766</v>
      </c>
      <c r="BR353" s="15" t="n">
        <f aca="false">BH353+AD353+BL353+MAX(0,-AM353)+MAX(0,-AR353)</f>
        <v>608249.335504535</v>
      </c>
      <c r="BS353" s="15" t="n">
        <f aca="false">AJ353+AV353+MAX(0,AM353)+MAX(0,AR353)+BC353+BG353+BQ353+AG353</f>
        <v>608249.335504535</v>
      </c>
      <c r="BT353" s="15" t="n">
        <f aca="false">BR353-BS353</f>
        <v>0</v>
      </c>
      <c r="BU353" s="15" t="n">
        <f aca="false">BH353-(BD353+BE353-BF353-AY353)</f>
        <v>0</v>
      </c>
      <c r="BV353" s="15" t="n">
        <f aca="false">IF(BH352&lt;Parametri_v3!$C$31,0,BV352+1)</f>
        <v>20</v>
      </c>
    </row>
    <row r="354" customFormat="false" ht="18" hidden="false" customHeight="true" outlineLevel="0" collapsed="false">
      <c r="A354" s="68" t="n">
        <f aca="false">6</f>
        <v>6</v>
      </c>
      <c r="B354" s="68" t="n">
        <f aca="false">50</f>
        <v>50</v>
      </c>
      <c r="C354" s="18" t="n">
        <f aca="false">Motore_Operativo!C354</f>
        <v>47880</v>
      </c>
      <c r="D354" s="68" t="n">
        <f aca="false">Motore_Operativo!D354</f>
        <v>2031</v>
      </c>
      <c r="E354" s="68" t="n">
        <f aca="false">Motore_Operativo!E354</f>
        <v>2</v>
      </c>
      <c r="F354" s="15" t="n">
        <f aca="false">Motore_Operativo!AM354</f>
        <v>115958.333333333</v>
      </c>
      <c r="G354" s="15" t="n">
        <f aca="false">Motore_Operativo!BH354</f>
        <v>11595.8333333333</v>
      </c>
      <c r="H354" s="15" t="n">
        <f aca="false">Motore_Operativo!AM354</f>
        <v>115958.333333333</v>
      </c>
      <c r="I354" s="15" t="n">
        <f aca="false">Motore_Operativo!CB354</f>
        <v>79625.4722608333</v>
      </c>
      <c r="J354" s="15" t="n">
        <f aca="false">Motore_Operativo!CD354</f>
        <v>36332.8610725</v>
      </c>
      <c r="K354" s="15" t="n">
        <f aca="false">Motore_Operativo!CF354</f>
        <v>666.666666666667</v>
      </c>
      <c r="L354" s="15" t="n">
        <f aca="false">SUM(INDEX($K$305:$K$364,MAX(1,50-Parametri_v3!$C$59+1)):K354)/Parametri_v3!$C$59</f>
        <v>513.888888888889</v>
      </c>
      <c r="M354" s="15" t="n">
        <f aca="false">J354-L354</f>
        <v>35818.9721836111</v>
      </c>
      <c r="N354" s="15" t="n">
        <f aca="false">0</f>
        <v>0</v>
      </c>
      <c r="O354" s="15" t="n">
        <f aca="false">0</f>
        <v>0</v>
      </c>
      <c r="P354" s="15" t="n">
        <f aca="false">M354+N354-O354</f>
        <v>35818.9721836111</v>
      </c>
      <c r="Q354" s="15" t="n">
        <f aca="false">SUM(P353:P354)+Parametri_v3!$C$56*2/12</f>
        <v>71644.8888116667</v>
      </c>
      <c r="R354" s="15" t="n">
        <f aca="false">Z352</f>
        <v>0</v>
      </c>
      <c r="S354" s="15" t="n">
        <f aca="false">AA352</f>
        <v>0</v>
      </c>
      <c r="T354" s="15" t="n">
        <f aca="false">MIN(R354,MAX(0,Q354))</f>
        <v>0</v>
      </c>
      <c r="U354" s="15" t="n">
        <f aca="false">MIN(S354,MAX(0,Q354-T354)*Parametri_v3!$C$42)</f>
        <v>0</v>
      </c>
      <c r="V354" s="15" t="n">
        <f aca="false">MAX(0,Q354-T354-U354)*Ipotesi!$C$92</f>
        <v>17194.7733148</v>
      </c>
      <c r="W354" s="15" t="n">
        <f aca="false">MAX(0,SUM(M353:M354)+Parametri_v3!$C$57*2/12)*Ipotesi!$C$93</f>
        <v>2794.150663655</v>
      </c>
      <c r="X354" s="15" t="n">
        <f aca="false">V354+W354-(V353+W353)</f>
        <v>9993.4932392275</v>
      </c>
      <c r="Y354" s="15" t="n">
        <f aca="false">P354-X354</f>
        <v>25825.4789443836</v>
      </c>
      <c r="Z354" s="15" t="n">
        <f aca="false">R354-T354+IF(AND(Parametri_v3!$C$40=1,D354-YEAR(Parametri_v3!$C$50)&lt;Parametri_v3!$C$41),MAX(0,-Q354),0)</f>
        <v>0</v>
      </c>
      <c r="AA354" s="15" t="n">
        <f aca="false">S354-U354+IF(AND(Parametri_v3!$C$40=1,D354-YEAR(Parametri_v3!$C$50)&lt;Parametri_v3!$C$41),0,MAX(0,-Q354))</f>
        <v>0</v>
      </c>
      <c r="AB354" s="15" t="n">
        <f aca="false">F354*(1+Parametri_v3!$C$26)</f>
        <v>141469.166666667</v>
      </c>
      <c r="AC354" s="15" t="n">
        <f aca="false">(IF(50-(INT((Motore_Operativo!L354)/30))&lt;1,0,INDEX(Motore_Advisory!$AB$305:$AB$364,MAX(1,50-(INT((Motore_Operativo!L354)/30)))))*(1-(MOD((Motore_Operativo!L354),30)/30))+IF(50-(INT((Motore_Operativo!L354)/30))-1&lt;1,0,INDEX(Motore_Advisory!$AB$305:$AB$364,MAX(1,50-(INT((Motore_Operativo!L354)/30))-1)))*(MOD((Motore_Operativo!L354),30)/30))</f>
        <v>110094.833333333</v>
      </c>
      <c r="AD354" s="15" t="n">
        <f aca="false">(AD353)+AB354-AC354</f>
        <v>393033.166666667</v>
      </c>
      <c r="AE354" s="15" t="n">
        <f aca="false">Motore_Operativo!BH354*(1+Parametri_v3!$C$26)</f>
        <v>14146.9166666667</v>
      </c>
      <c r="AF354" s="15" t="n">
        <f aca="false">(IF(50-(INT((Parametri_v3!$C$29)/30))&lt;1,0,INDEX(Motore_Operativo!$BH$305:$BH$364,MAX(1,50-(INT((Parametri_v3!$C$29)/30)))))*(1-(MOD((Parametri_v3!$C$29),30)/30))+IF(50-(INT((Parametri_v3!$C$29)/30))-1&lt;1,0,INDEX(Motore_Operativo!$BH$305:$BH$364,MAX(1,50-(INT((Parametri_v3!$C$29)/30))-1)))*(MOD((Parametri_v3!$C$29),30)/30))*(1+Parametri_v3!$C$26)</f>
        <v>14146.9166666667</v>
      </c>
      <c r="AG354" s="15" t="n">
        <f aca="false">(AG353)+AE354-AF354</f>
        <v>14146.9166666667</v>
      </c>
      <c r="AH354" s="15" t="n">
        <f aca="false">(Motore_Operativo!CK354)*(1+Parametri_v3!$C$28*Parametri_v3!$C$26)</f>
        <v>27831.02</v>
      </c>
      <c r="AI354" s="15" t="n">
        <f aca="false">(IF(50-(INT((Ipotesi!$C$91)/30))&lt;1,0,INDEX(Motore_Advisory!$AH$305:$AH$364,MAX(1,50-(INT((Ipotesi!$C$91)/30)))))*(1-(MOD((Ipotesi!$C$91),30)/30))+IF(50-(INT((Ipotesi!$C$91)/30))-1&lt;1,0,INDEX(Motore_Advisory!$AH$305:$AH$364,MAX(1,50-(INT((Ipotesi!$C$91)/30))-1)))*(MOD((Ipotesi!$C$91),30)/30))</f>
        <v>23198.952</v>
      </c>
      <c r="AJ354" s="15" t="n">
        <f aca="false">(AJ353)+AH354-AI354</f>
        <v>55662.04</v>
      </c>
      <c r="AK354" s="15" t="n">
        <f aca="false">(F354- Motore_Operativo!BH354-(Motore_Operativo!CK354)*Parametri_v3!$C$28-Motore_Operativo!CF354)*Parametri_v3!$C$26</f>
        <v>18647.8966666667</v>
      </c>
      <c r="AL354" s="15" t="n">
        <f aca="false">MAX(0,(AM353))</f>
        <v>18647.8966666667</v>
      </c>
      <c r="AM354" s="15" t="n">
        <f aca="false">(AM353)+AK354-AL354</f>
        <v>18647.8966666667</v>
      </c>
      <c r="AN354" s="15" t="n">
        <f aca="false">SUM(X341:X352)</f>
        <v>91149.8045405</v>
      </c>
      <c r="AO354" s="15" t="n">
        <f aca="false">SUM(AP341:AP352)</f>
        <v>46679.99375</v>
      </c>
      <c r="AP354" s="15" t="n">
        <f aca="false">MAX(0,AN354)*IF(2=Parametri_v3!$C$43,Parametri_v3!$C$45,IF(2=Parametri_v3!$C$44,1-Parametri_v3!$C$45,0))</f>
        <v>0</v>
      </c>
      <c r="AQ354" s="15" t="n">
        <f aca="false">MAX(0,AP354+IF(2=Parametri_v3!$C$43,MAX(0,AN354-AO354),0)-MAX(0,-(AR353)))</f>
        <v>0</v>
      </c>
      <c r="AR354" s="15" t="n">
        <f aca="false">(AR353)+X354-AQ354</f>
        <v>64458.734768955</v>
      </c>
      <c r="AS354" s="15" t="n">
        <f aca="false">Motore_Operativo!AC354-AT354+AU354</f>
        <v>42145.6153144583</v>
      </c>
      <c r="AT354" s="15" t="n">
        <f aca="false">Motore_Operativo!CI354</f>
        <v>2218.19027970833</v>
      </c>
      <c r="AU354" s="15" t="n">
        <f aca="false">MIN(MAX(0,(AV353)+AT354),Parametri_v3!$C$61/12)</f>
        <v>0</v>
      </c>
      <c r="AV354" s="15" t="n">
        <f aca="false">(AV353)+AT354-AU354</f>
        <v>52713.2220844167</v>
      </c>
      <c r="AW354" s="15" t="n">
        <f aca="false">IF(AND(Motore_Operativo!C354=Finanziamenti!$D$7,Finanziamenti!$F$7=1),Finanziamenti!$C$7,0)</f>
        <v>0</v>
      </c>
      <c r="AX354" s="15" t="n">
        <f aca="false">0</f>
        <v>0</v>
      </c>
      <c r="AY354" s="15" t="n">
        <f aca="false">IF(2=Parametri_v3!$C$33,IF(BV354&lt;MIN(12,$B354-1),0,MIN(MAX(0,SUM(Y341:Y352))*Ipotesi!$C$94,MAX(0,(BM352)-(BO353)-BP354),MAX(0,BD354-Parametri_v3!$C$31))),0)</f>
        <v>0</v>
      </c>
      <c r="AZ354" s="15" t="n">
        <f aca="false">0</f>
        <v>0</v>
      </c>
      <c r="BA354" s="15" t="n">
        <f aca="false">0</f>
        <v>0</v>
      </c>
      <c r="BB354" s="15" t="n">
        <f aca="false">0</f>
        <v>0</v>
      </c>
      <c r="BC354" s="15" t="n">
        <f aca="false">0</f>
        <v>0</v>
      </c>
      <c r="BD354" s="15" t="n">
        <f aca="false">(BH353)+AC354-AF354-AI354-AS354-K354*(1+Parametri_v3!$C$26)-AL354-AQ354-O354+AW354+AX354+AZ354+BA354-BB354</f>
        <v>247822.899301188</v>
      </c>
      <c r="BE354" s="15" t="n">
        <f aca="false">0</f>
        <v>0</v>
      </c>
      <c r="BF354" s="15" t="n">
        <f aca="false">0</f>
        <v>0</v>
      </c>
      <c r="BG354" s="15" t="n">
        <f aca="false">0</f>
        <v>0</v>
      </c>
      <c r="BH354" s="15" t="n">
        <f aca="false">BD354+BE354-BF354-AY354</f>
        <v>247822.899301188</v>
      </c>
      <c r="BI354" s="15" t="n">
        <f aca="false">MAX(0,Parametri_v3!$C$31-BH354)</f>
        <v>0</v>
      </c>
      <c r="BJ354" s="15" t="n">
        <f aca="false">(BJ353)+K354</f>
        <v>22333.3333333333</v>
      </c>
      <c r="BK354" s="15" t="n">
        <f aca="false">(BK353)+L354</f>
        <v>12270.8333333333</v>
      </c>
      <c r="BL354" s="15" t="n">
        <f aca="false">BJ354-BK354</f>
        <v>10062.5</v>
      </c>
      <c r="BM354" s="15" t="n">
        <f aca="false">(BM353)+Y354</f>
        <v>485605.661683927</v>
      </c>
      <c r="BN354" s="15" t="n">
        <f aca="false">(BN353)+AW354+AX354+AZ354</f>
        <v>20000</v>
      </c>
      <c r="BO354" s="15" t="n">
        <f aca="false">(BO353)+AY354</f>
        <v>60315.9059027778</v>
      </c>
      <c r="BP354" s="15" t="n">
        <f aca="false">MIN(Parametri_v3!$C$36*Parametri_v3!$C$35,(BP353)+IF(2=1,MAX(0,SUM(Y341:Y352))*Parametri_v3!$C$34,0))</f>
        <v>2000</v>
      </c>
      <c r="BQ354" s="15" t="n">
        <f aca="false">BN354+BM354-BO354</f>
        <v>445289.75578115</v>
      </c>
      <c r="BR354" s="15" t="n">
        <f aca="false">BH354+AD354+BL354+MAX(0,-AM354)+MAX(0,-AR354)</f>
        <v>650918.565967854</v>
      </c>
      <c r="BS354" s="15" t="n">
        <f aca="false">AJ354+AV354+MAX(0,AM354)+MAX(0,AR354)+BC354+BG354+BQ354+AG354</f>
        <v>650918.565967855</v>
      </c>
      <c r="BT354" s="15" t="n">
        <f aca="false">BR354-BS354</f>
        <v>0</v>
      </c>
      <c r="BU354" s="15" t="n">
        <f aca="false">BH354-(BD354+BE354-BF354-AY354)</f>
        <v>0</v>
      </c>
      <c r="BV354" s="15" t="n">
        <f aca="false">IF(BH353&lt;Parametri_v3!$C$31,0,BV353+1)</f>
        <v>21</v>
      </c>
    </row>
    <row r="355" customFormat="false" ht="18" hidden="false" customHeight="true" outlineLevel="0" collapsed="false">
      <c r="A355" s="68" t="n">
        <f aca="false">6</f>
        <v>6</v>
      </c>
      <c r="B355" s="68" t="n">
        <f aca="false">51</f>
        <v>51</v>
      </c>
      <c r="C355" s="18" t="n">
        <f aca="false">Motore_Operativo!C355</f>
        <v>47908</v>
      </c>
      <c r="D355" s="68" t="n">
        <f aca="false">Motore_Operativo!D355</f>
        <v>2031</v>
      </c>
      <c r="E355" s="68" t="n">
        <f aca="false">Motore_Operativo!E355</f>
        <v>3</v>
      </c>
      <c r="F355" s="15" t="n">
        <f aca="false">Motore_Operativo!AM355</f>
        <v>115958.333333333</v>
      </c>
      <c r="G355" s="15" t="n">
        <f aca="false">Motore_Operativo!BH355</f>
        <v>11595.8333333333</v>
      </c>
      <c r="H355" s="15" t="n">
        <f aca="false">Motore_Operativo!AM355</f>
        <v>115958.333333333</v>
      </c>
      <c r="I355" s="15" t="n">
        <f aca="false">Motore_Operativo!CB355</f>
        <v>79625.4722608333</v>
      </c>
      <c r="J355" s="15" t="n">
        <f aca="false">Motore_Operativo!CD355</f>
        <v>36332.8610725</v>
      </c>
      <c r="K355" s="15" t="n">
        <f aca="false">Motore_Operativo!CF355</f>
        <v>666.666666666667</v>
      </c>
      <c r="L355" s="15" t="n">
        <f aca="false">SUM(INDEX($K$305:$K$364,MAX(1,51-Parametri_v3!$C$59+1)):K355)/Parametri_v3!$C$59</f>
        <v>520.833333333333</v>
      </c>
      <c r="M355" s="15" t="n">
        <f aca="false">J355-L355</f>
        <v>35812.0277391667</v>
      </c>
      <c r="N355" s="15" t="n">
        <f aca="false">0</f>
        <v>0</v>
      </c>
      <c r="O355" s="15" t="n">
        <f aca="false">0</f>
        <v>0</v>
      </c>
      <c r="P355" s="15" t="n">
        <f aca="false">M355+N355-O355</f>
        <v>35812.0277391667</v>
      </c>
      <c r="Q355" s="15" t="n">
        <f aca="false">SUM(P353:P355)+Parametri_v3!$C$56*3/12</f>
        <v>107456.916550833</v>
      </c>
      <c r="R355" s="15" t="n">
        <f aca="false">Z352</f>
        <v>0</v>
      </c>
      <c r="S355" s="15" t="n">
        <f aca="false">AA352</f>
        <v>0</v>
      </c>
      <c r="T355" s="15" t="n">
        <f aca="false">MIN(R355,MAX(0,Q355))</f>
        <v>0</v>
      </c>
      <c r="U355" s="15" t="n">
        <f aca="false">MIN(S355,MAX(0,Q355-T355)*Parametri_v3!$C$42)</f>
        <v>0</v>
      </c>
      <c r="V355" s="15" t="n">
        <f aca="false">MAX(0,Q355-T355-U355)*Ipotesi!$C$92</f>
        <v>25789.6599722</v>
      </c>
      <c r="W355" s="15" t="n">
        <f aca="false">MAX(0,SUM(M353:M355)+Parametri_v3!$C$57*3/12)*Ipotesi!$C$93</f>
        <v>4190.8197454825</v>
      </c>
      <c r="X355" s="15" t="n">
        <f aca="false">V355+W355-(V354+W354)</f>
        <v>9991.5557392275</v>
      </c>
      <c r="Y355" s="15" t="n">
        <f aca="false">P355-X355</f>
        <v>25820.4719999392</v>
      </c>
      <c r="Z355" s="15" t="n">
        <f aca="false">R355-T355+IF(AND(Parametri_v3!$C$40=1,D355-YEAR(Parametri_v3!$C$50)&lt;Parametri_v3!$C$41),MAX(0,-Q355),0)</f>
        <v>0</v>
      </c>
      <c r="AA355" s="15" t="n">
        <f aca="false">S355-U355+IF(AND(Parametri_v3!$C$40=1,D355-YEAR(Parametri_v3!$C$50)&lt;Parametri_v3!$C$41),0,MAX(0,-Q355))</f>
        <v>0</v>
      </c>
      <c r="AB355" s="15" t="n">
        <f aca="false">F355*(1+Parametri_v3!$C$26)</f>
        <v>141469.166666667</v>
      </c>
      <c r="AC355" s="15" t="n">
        <f aca="false">(IF(51-(INT((Motore_Operativo!L355)/30))&lt;1,0,INDEX(Motore_Advisory!$AB$305:$AB$364,MAX(1,51-(INT((Motore_Operativo!L355)/30)))))*(1-(MOD((Motore_Operativo!L355),30)/30))+IF(51-(INT((Motore_Operativo!L355)/30))-1&lt;1,0,INDEX(Motore_Advisory!$AB$305:$AB$364,MAX(1,51-(INT((Motore_Operativo!L355)/30))-1)))*(MOD((Motore_Operativo!L355),30)/30))</f>
        <v>110094.833333333</v>
      </c>
      <c r="AD355" s="15" t="n">
        <f aca="false">(AD354)+AB355-AC355</f>
        <v>424407.5</v>
      </c>
      <c r="AE355" s="15" t="n">
        <f aca="false">Motore_Operativo!BH355*(1+Parametri_v3!$C$26)</f>
        <v>14146.9166666667</v>
      </c>
      <c r="AF355" s="15" t="n">
        <f aca="false">(IF(51-(INT((Parametri_v3!$C$29)/30))&lt;1,0,INDEX(Motore_Operativo!$BH$305:$BH$364,MAX(1,51-(INT((Parametri_v3!$C$29)/30)))))*(1-(MOD((Parametri_v3!$C$29),30)/30))+IF(51-(INT((Parametri_v3!$C$29)/30))-1&lt;1,0,INDEX(Motore_Operativo!$BH$305:$BH$364,MAX(1,51-(INT((Parametri_v3!$C$29)/30))-1)))*(MOD((Parametri_v3!$C$29),30)/30))*(1+Parametri_v3!$C$26)</f>
        <v>14146.9166666667</v>
      </c>
      <c r="AG355" s="15" t="n">
        <f aca="false">(AG354)+AE355-AF355</f>
        <v>14146.9166666667</v>
      </c>
      <c r="AH355" s="15" t="n">
        <f aca="false">(Motore_Operativo!CK355)*(1+Parametri_v3!$C$28*Parametri_v3!$C$26)</f>
        <v>27831.02</v>
      </c>
      <c r="AI355" s="15" t="n">
        <f aca="false">(IF(51-(INT((Ipotesi!$C$91)/30))&lt;1,0,INDEX(Motore_Advisory!$AH$305:$AH$364,MAX(1,51-(INT((Ipotesi!$C$91)/30)))))*(1-(MOD((Ipotesi!$C$91),30)/30))+IF(51-(INT((Ipotesi!$C$91)/30))-1&lt;1,0,INDEX(Motore_Advisory!$AH$305:$AH$364,MAX(1,51-(INT((Ipotesi!$C$91)/30))-1)))*(MOD((Ipotesi!$C$91),30)/30))</f>
        <v>27831.02</v>
      </c>
      <c r="AJ355" s="15" t="n">
        <f aca="false">(AJ354)+AH355-AI355</f>
        <v>55662.04</v>
      </c>
      <c r="AK355" s="15" t="n">
        <f aca="false">(F355- Motore_Operativo!BH355-(Motore_Operativo!CK355)*Parametri_v3!$C$28-Motore_Operativo!CF355)*Parametri_v3!$C$26</f>
        <v>18647.8966666667</v>
      </c>
      <c r="AL355" s="15" t="n">
        <f aca="false">MAX(0,(AM354))</f>
        <v>18647.8966666667</v>
      </c>
      <c r="AM355" s="15" t="n">
        <f aca="false">(AM354)+AK355-AL355</f>
        <v>18647.8966666667</v>
      </c>
      <c r="AN355" s="15" t="n">
        <f aca="false">SUM(X341:X352)</f>
        <v>91149.8045405</v>
      </c>
      <c r="AO355" s="15" t="n">
        <f aca="false">SUM(AP341:AP352)</f>
        <v>46679.99375</v>
      </c>
      <c r="AP355" s="15" t="n">
        <f aca="false">MAX(0,AN355)*IF(3=Parametri_v3!$C$43,Parametri_v3!$C$45,IF(3=Parametri_v3!$C$44,1-Parametri_v3!$C$45,0))</f>
        <v>0</v>
      </c>
      <c r="AQ355" s="15" t="n">
        <f aca="false">MAX(0,AP355+IF(3=Parametri_v3!$C$43,MAX(0,AN355-AO355),0)-MAX(0,-(AR354)))</f>
        <v>0</v>
      </c>
      <c r="AR355" s="15" t="n">
        <f aca="false">(AR354)+X355-AQ355</f>
        <v>74450.2905081825</v>
      </c>
      <c r="AS355" s="15" t="n">
        <f aca="false">Motore_Operativo!AC355-AT355+AU355</f>
        <v>42145.6153144583</v>
      </c>
      <c r="AT355" s="15" t="n">
        <f aca="false">Motore_Operativo!CI355</f>
        <v>2218.19027970833</v>
      </c>
      <c r="AU355" s="15" t="n">
        <f aca="false">MIN(MAX(0,(AV354)+AT355),Parametri_v3!$C$61/12)</f>
        <v>0</v>
      </c>
      <c r="AV355" s="15" t="n">
        <f aca="false">(AV354)+AT355-AU355</f>
        <v>54931.412364125</v>
      </c>
      <c r="AW355" s="15" t="n">
        <f aca="false">IF(AND(Motore_Operativo!C355=Finanziamenti!$D$7,Finanziamenti!$F$7=1),Finanziamenti!$C$7,0)</f>
        <v>0</v>
      </c>
      <c r="AX355" s="15" t="n">
        <f aca="false">0</f>
        <v>0</v>
      </c>
      <c r="AY355" s="15" t="n">
        <f aca="false">IF(3=Parametri_v3!$C$33,IF(BV355&lt;MIN(12,$B355-1),0,MIN(MAX(0,SUM(Y341:Y352))*Ipotesi!$C$94,MAX(0,(BM352)-(BO354)-BP355),MAX(0,BD355-Parametri_v3!$C$31))),0)</f>
        <v>0</v>
      </c>
      <c r="AZ355" s="15" t="n">
        <f aca="false">0</f>
        <v>0</v>
      </c>
      <c r="BA355" s="15" t="n">
        <f aca="false">0</f>
        <v>0</v>
      </c>
      <c r="BB355" s="15" t="n">
        <f aca="false">0</f>
        <v>0</v>
      </c>
      <c r="BC355" s="15" t="n">
        <f aca="false">0</f>
        <v>0</v>
      </c>
      <c r="BD355" s="15" t="n">
        <f aca="false">(BH354)+AC355-AF355-AI355-AS355-K355*(1+Parametri_v3!$C$26)-AL355-AQ355-O355+AW355+AX355+AZ355+BA355-BB355</f>
        <v>254332.950653396</v>
      </c>
      <c r="BE355" s="15" t="n">
        <f aca="false">0</f>
        <v>0</v>
      </c>
      <c r="BF355" s="15" t="n">
        <f aca="false">0</f>
        <v>0</v>
      </c>
      <c r="BG355" s="15" t="n">
        <f aca="false">0</f>
        <v>0</v>
      </c>
      <c r="BH355" s="15" t="n">
        <f aca="false">BD355+BE355-BF355-AY355</f>
        <v>254332.950653396</v>
      </c>
      <c r="BI355" s="15" t="n">
        <f aca="false">MAX(0,Parametri_v3!$C$31-BH355)</f>
        <v>0</v>
      </c>
      <c r="BJ355" s="15" t="n">
        <f aca="false">(BJ354)+K355</f>
        <v>23000</v>
      </c>
      <c r="BK355" s="15" t="n">
        <f aca="false">(BK354)+L355</f>
        <v>12791.6666666667</v>
      </c>
      <c r="BL355" s="15" t="n">
        <f aca="false">BJ355-BK355</f>
        <v>10208.3333333333</v>
      </c>
      <c r="BM355" s="15" t="n">
        <f aca="false">(BM354)+Y355</f>
        <v>511426.133683867</v>
      </c>
      <c r="BN355" s="15" t="n">
        <f aca="false">(BN354)+AW355+AX355+AZ355</f>
        <v>20000</v>
      </c>
      <c r="BO355" s="15" t="n">
        <f aca="false">(BO354)+AY355</f>
        <v>60315.9059027778</v>
      </c>
      <c r="BP355" s="15" t="n">
        <f aca="false">MIN(Parametri_v3!$C$36*Parametri_v3!$C$35,(BP354)+IF(3=1,MAX(0,SUM(Y341:Y352))*Parametri_v3!$C$34,0))</f>
        <v>2000</v>
      </c>
      <c r="BQ355" s="15" t="n">
        <f aca="false">BN355+BM355-BO355</f>
        <v>471110.227781089</v>
      </c>
      <c r="BR355" s="15" t="n">
        <f aca="false">BH355+AD355+BL355+MAX(0,-AM355)+MAX(0,-AR355)</f>
        <v>688948.783986729</v>
      </c>
      <c r="BS355" s="15" t="n">
        <f aca="false">AJ355+AV355+MAX(0,AM355)+MAX(0,AR355)+BC355+BG355+BQ355+AG355</f>
        <v>688948.78398673</v>
      </c>
      <c r="BT355" s="15" t="n">
        <f aca="false">BR355-BS355</f>
        <v>0</v>
      </c>
      <c r="BU355" s="15" t="n">
        <f aca="false">BH355-(BD355+BE355-BF355-AY355)</f>
        <v>0</v>
      </c>
      <c r="BV355" s="15" t="n">
        <f aca="false">IF(BH354&lt;Parametri_v3!$C$31,0,BV354+1)</f>
        <v>22</v>
      </c>
    </row>
    <row r="356" customFormat="false" ht="18" hidden="false" customHeight="true" outlineLevel="0" collapsed="false">
      <c r="A356" s="68" t="n">
        <f aca="false">6</f>
        <v>6</v>
      </c>
      <c r="B356" s="68" t="n">
        <f aca="false">52</f>
        <v>52</v>
      </c>
      <c r="C356" s="18" t="n">
        <f aca="false">Motore_Operativo!C356</f>
        <v>47939</v>
      </c>
      <c r="D356" s="68" t="n">
        <f aca="false">Motore_Operativo!D356</f>
        <v>2031</v>
      </c>
      <c r="E356" s="68" t="n">
        <f aca="false">Motore_Operativo!E356</f>
        <v>4</v>
      </c>
      <c r="F356" s="15" t="n">
        <f aca="false">Motore_Operativo!AM356</f>
        <v>115958.333333333</v>
      </c>
      <c r="G356" s="15" t="n">
        <f aca="false">Motore_Operativo!BH356</f>
        <v>11595.8333333333</v>
      </c>
      <c r="H356" s="15" t="n">
        <f aca="false">Motore_Operativo!AM356</f>
        <v>115958.333333333</v>
      </c>
      <c r="I356" s="15" t="n">
        <f aca="false">Motore_Operativo!CB356</f>
        <v>79625.4722608333</v>
      </c>
      <c r="J356" s="15" t="n">
        <f aca="false">Motore_Operativo!CD356</f>
        <v>36332.8610725</v>
      </c>
      <c r="K356" s="15" t="n">
        <f aca="false">Motore_Operativo!CF356</f>
        <v>666.666666666667</v>
      </c>
      <c r="L356" s="15" t="n">
        <f aca="false">SUM(INDEX($K$305:$K$364,MAX(1,52-Parametri_v3!$C$59+1)):K356)/Parametri_v3!$C$59</f>
        <v>527.777777777778</v>
      </c>
      <c r="M356" s="15" t="n">
        <f aca="false">J356-L356</f>
        <v>35805.0832947222</v>
      </c>
      <c r="N356" s="15" t="n">
        <f aca="false">0</f>
        <v>0</v>
      </c>
      <c r="O356" s="15" t="n">
        <f aca="false">0</f>
        <v>0</v>
      </c>
      <c r="P356" s="15" t="n">
        <f aca="false">M356+N356-O356</f>
        <v>35805.0832947222</v>
      </c>
      <c r="Q356" s="15" t="n">
        <f aca="false">SUM(P353:P356)+Parametri_v3!$C$56*4/12</f>
        <v>143261.999845556</v>
      </c>
      <c r="R356" s="15" t="n">
        <f aca="false">Z352</f>
        <v>0</v>
      </c>
      <c r="S356" s="15" t="n">
        <f aca="false">AA352</f>
        <v>0</v>
      </c>
      <c r="T356" s="15" t="n">
        <f aca="false">MIN(R356,MAX(0,Q356))</f>
        <v>0</v>
      </c>
      <c r="U356" s="15" t="n">
        <f aca="false">MIN(S356,MAX(0,Q356-T356)*Parametri_v3!$C$42)</f>
        <v>0</v>
      </c>
      <c r="V356" s="15" t="n">
        <f aca="false">MAX(0,Q356-T356-U356)*Ipotesi!$C$92</f>
        <v>34382.8799629333</v>
      </c>
      <c r="W356" s="15" t="n">
        <f aca="false">MAX(0,SUM(M353:M356)+Parametri_v3!$C$57*4/12)*Ipotesi!$C$93</f>
        <v>5587.21799397667</v>
      </c>
      <c r="X356" s="15" t="n">
        <f aca="false">V356+W356-(V355+W355)</f>
        <v>9989.61823922751</v>
      </c>
      <c r="Y356" s="15" t="n">
        <f aca="false">P356-X356</f>
        <v>25815.4650554947</v>
      </c>
      <c r="Z356" s="15" t="n">
        <f aca="false">R356-T356+IF(AND(Parametri_v3!$C$40=1,D356-YEAR(Parametri_v3!$C$50)&lt;Parametri_v3!$C$41),MAX(0,-Q356),0)</f>
        <v>0</v>
      </c>
      <c r="AA356" s="15" t="n">
        <f aca="false">S356-U356+IF(AND(Parametri_v3!$C$40=1,D356-YEAR(Parametri_v3!$C$50)&lt;Parametri_v3!$C$41),0,MAX(0,-Q356))</f>
        <v>0</v>
      </c>
      <c r="AB356" s="15" t="n">
        <f aca="false">F356*(1+Parametri_v3!$C$26)</f>
        <v>141469.166666667</v>
      </c>
      <c r="AC356" s="15" t="n">
        <f aca="false">(IF(52-(INT((Motore_Operativo!L356)/30))&lt;1,0,INDEX(Motore_Advisory!$AB$305:$AB$364,MAX(1,52-(INT((Motore_Operativo!L356)/30)))))*(1-(MOD((Motore_Operativo!L356),30)/30))+IF(52-(INT((Motore_Operativo!L356)/30))-1&lt;1,0,INDEX(Motore_Advisory!$AB$305:$AB$364,MAX(1,52-(INT((Motore_Operativo!L356)/30))-1)))*(MOD((Motore_Operativo!L356),30)/30))</f>
        <v>141469.166666667</v>
      </c>
      <c r="AD356" s="15" t="n">
        <f aca="false">(AD355)+AB356-AC356</f>
        <v>424407.5</v>
      </c>
      <c r="AE356" s="15" t="n">
        <f aca="false">Motore_Operativo!BH356*(1+Parametri_v3!$C$26)</f>
        <v>14146.9166666667</v>
      </c>
      <c r="AF356" s="15" t="n">
        <f aca="false">(IF(52-(INT((Parametri_v3!$C$29)/30))&lt;1,0,INDEX(Motore_Operativo!$BH$305:$BH$364,MAX(1,52-(INT((Parametri_v3!$C$29)/30)))))*(1-(MOD((Parametri_v3!$C$29),30)/30))+IF(52-(INT((Parametri_v3!$C$29)/30))-1&lt;1,0,INDEX(Motore_Operativo!$BH$305:$BH$364,MAX(1,52-(INT((Parametri_v3!$C$29)/30))-1)))*(MOD((Parametri_v3!$C$29),30)/30))*(1+Parametri_v3!$C$26)</f>
        <v>14146.9166666667</v>
      </c>
      <c r="AG356" s="15" t="n">
        <f aca="false">(AG355)+AE356-AF356</f>
        <v>14146.9166666667</v>
      </c>
      <c r="AH356" s="15" t="n">
        <f aca="false">(Motore_Operativo!CK356)*(1+Parametri_v3!$C$28*Parametri_v3!$C$26)</f>
        <v>27831.02</v>
      </c>
      <c r="AI356" s="15" t="n">
        <f aca="false">(IF(52-(INT((Ipotesi!$C$91)/30))&lt;1,0,INDEX(Motore_Advisory!$AH$305:$AH$364,MAX(1,52-(INT((Ipotesi!$C$91)/30)))))*(1-(MOD((Ipotesi!$C$91),30)/30))+IF(52-(INT((Ipotesi!$C$91)/30))-1&lt;1,0,INDEX(Motore_Advisory!$AH$305:$AH$364,MAX(1,52-(INT((Ipotesi!$C$91)/30))-1)))*(MOD((Ipotesi!$C$91),30)/30))</f>
        <v>27831.02</v>
      </c>
      <c r="AJ356" s="15" t="n">
        <f aca="false">(AJ355)+AH356-AI356</f>
        <v>55662.04</v>
      </c>
      <c r="AK356" s="15" t="n">
        <f aca="false">(F356- Motore_Operativo!BH356-(Motore_Operativo!CK356)*Parametri_v3!$C$28-Motore_Operativo!CF356)*Parametri_v3!$C$26</f>
        <v>18647.8966666667</v>
      </c>
      <c r="AL356" s="15" t="n">
        <f aca="false">MAX(0,(AM355))</f>
        <v>18647.8966666667</v>
      </c>
      <c r="AM356" s="15" t="n">
        <f aca="false">(AM355)+AK356-AL356</f>
        <v>18647.8966666667</v>
      </c>
      <c r="AN356" s="15" t="n">
        <f aca="false">SUM(X341:X352)</f>
        <v>91149.8045405</v>
      </c>
      <c r="AO356" s="15" t="n">
        <f aca="false">SUM(AP341:AP352)</f>
        <v>46679.99375</v>
      </c>
      <c r="AP356" s="15" t="n">
        <f aca="false">MAX(0,AN356)*IF(4=Parametri_v3!$C$43,Parametri_v3!$C$45,IF(4=Parametri_v3!$C$44,1-Parametri_v3!$C$45,0))</f>
        <v>0</v>
      </c>
      <c r="AQ356" s="15" t="n">
        <f aca="false">MAX(0,AP356+IF(4=Parametri_v3!$C$43,MAX(0,AN356-AO356),0)-MAX(0,-(AR355)))</f>
        <v>0</v>
      </c>
      <c r="AR356" s="15" t="n">
        <f aca="false">(AR355)+X356-AQ356</f>
        <v>84439.90874741</v>
      </c>
      <c r="AS356" s="15" t="n">
        <f aca="false">Motore_Operativo!AC356-AT356+AU356</f>
        <v>42145.6153144583</v>
      </c>
      <c r="AT356" s="15" t="n">
        <f aca="false">Motore_Operativo!CI356</f>
        <v>2218.19027970833</v>
      </c>
      <c r="AU356" s="15" t="n">
        <f aca="false">MIN(MAX(0,(AV355)+AT356),Parametri_v3!$C$61/12)</f>
        <v>0</v>
      </c>
      <c r="AV356" s="15" t="n">
        <f aca="false">(AV355)+AT356-AU356</f>
        <v>57149.6026438333</v>
      </c>
      <c r="AW356" s="15" t="n">
        <f aca="false">IF(AND(Motore_Operativo!C356=Finanziamenti!$D$7,Finanziamenti!$F$7=1),Finanziamenti!$C$7,0)</f>
        <v>0</v>
      </c>
      <c r="AX356" s="15" t="n">
        <f aca="false">0</f>
        <v>0</v>
      </c>
      <c r="AY356" s="15" t="n">
        <f aca="false">IF(4=Parametri_v3!$C$33,IF(BV356&lt;MIN(12,$B356-1),0,MIN(MAX(0,SUM(Y341:Y352))*Ipotesi!$C$94,MAX(0,(BM352)-(BO355)-BP356),MAX(0,BD356-Parametri_v3!$C$31))),0)</f>
        <v>0</v>
      </c>
      <c r="AZ356" s="15" t="n">
        <f aca="false">0</f>
        <v>0</v>
      </c>
      <c r="BA356" s="15" t="n">
        <f aca="false">0</f>
        <v>0</v>
      </c>
      <c r="BB356" s="15" t="n">
        <f aca="false">0</f>
        <v>0</v>
      </c>
      <c r="BC356" s="15" t="n">
        <f aca="false">0</f>
        <v>0</v>
      </c>
      <c r="BD356" s="15" t="n">
        <f aca="false">(BH355)+AC356-AF356-AI356-AS356-K356*(1+Parametri_v3!$C$26)-AL356-AQ356-O356+AW356+AX356+AZ356+BA356-BB356</f>
        <v>292217.335338938</v>
      </c>
      <c r="BE356" s="15" t="n">
        <f aca="false">0</f>
        <v>0</v>
      </c>
      <c r="BF356" s="15" t="n">
        <f aca="false">0</f>
        <v>0</v>
      </c>
      <c r="BG356" s="15" t="n">
        <f aca="false">0</f>
        <v>0</v>
      </c>
      <c r="BH356" s="15" t="n">
        <f aca="false">BD356+BE356-BF356-AY356</f>
        <v>292217.335338938</v>
      </c>
      <c r="BI356" s="15" t="n">
        <f aca="false">MAX(0,Parametri_v3!$C$31-BH356)</f>
        <v>0</v>
      </c>
      <c r="BJ356" s="15" t="n">
        <f aca="false">(BJ355)+K356</f>
        <v>23666.6666666667</v>
      </c>
      <c r="BK356" s="15" t="n">
        <f aca="false">(BK355)+L356</f>
        <v>13319.4444444444</v>
      </c>
      <c r="BL356" s="15" t="n">
        <f aca="false">BJ356-BK356</f>
        <v>10347.2222222222</v>
      </c>
      <c r="BM356" s="15" t="n">
        <f aca="false">(BM355)+Y356</f>
        <v>537241.598739361</v>
      </c>
      <c r="BN356" s="15" t="n">
        <f aca="false">(BN355)+AW356+AX356+AZ356</f>
        <v>20000</v>
      </c>
      <c r="BO356" s="15" t="n">
        <f aca="false">(BO355)+AY356</f>
        <v>60315.9059027778</v>
      </c>
      <c r="BP356" s="15" t="n">
        <f aca="false">MIN(Parametri_v3!$C$36*Parametri_v3!$C$35,(BP355)+IF(4=1,MAX(0,SUM(Y341:Y352))*Parametri_v3!$C$34,0))</f>
        <v>2000</v>
      </c>
      <c r="BQ356" s="15" t="n">
        <f aca="false">BN356+BM356-BO356</f>
        <v>496925.692836584</v>
      </c>
      <c r="BR356" s="15" t="n">
        <f aca="false">BH356+AD356+BL356+MAX(0,-AM356)+MAX(0,-AR356)</f>
        <v>726972.05756116</v>
      </c>
      <c r="BS356" s="15" t="n">
        <f aca="false">AJ356+AV356+MAX(0,AM356)+MAX(0,AR356)+BC356+BG356+BQ356+AG356</f>
        <v>726972.05756116</v>
      </c>
      <c r="BT356" s="15" t="n">
        <f aca="false">BR356-BS356</f>
        <v>0</v>
      </c>
      <c r="BU356" s="15" t="n">
        <f aca="false">BH356-(BD356+BE356-BF356-AY356)</f>
        <v>0</v>
      </c>
      <c r="BV356" s="15" t="n">
        <f aca="false">IF(BH355&lt;Parametri_v3!$C$31,0,BV355+1)</f>
        <v>23</v>
      </c>
    </row>
    <row r="357" customFormat="false" ht="18" hidden="false" customHeight="true" outlineLevel="0" collapsed="false">
      <c r="A357" s="68" t="n">
        <f aca="false">6</f>
        <v>6</v>
      </c>
      <c r="B357" s="68" t="n">
        <f aca="false">53</f>
        <v>53</v>
      </c>
      <c r="C357" s="18" t="n">
        <f aca="false">Motore_Operativo!C357</f>
        <v>47969</v>
      </c>
      <c r="D357" s="68" t="n">
        <f aca="false">Motore_Operativo!D357</f>
        <v>2031</v>
      </c>
      <c r="E357" s="68" t="n">
        <f aca="false">Motore_Operativo!E357</f>
        <v>5</v>
      </c>
      <c r="F357" s="15" t="n">
        <f aca="false">Motore_Operativo!AM357</f>
        <v>115958.333333333</v>
      </c>
      <c r="G357" s="15" t="n">
        <f aca="false">Motore_Operativo!BH357</f>
        <v>11595.8333333333</v>
      </c>
      <c r="H357" s="15" t="n">
        <f aca="false">Motore_Operativo!AM357</f>
        <v>115958.333333333</v>
      </c>
      <c r="I357" s="15" t="n">
        <f aca="false">Motore_Operativo!CB357</f>
        <v>79625.4722608333</v>
      </c>
      <c r="J357" s="15" t="n">
        <f aca="false">Motore_Operativo!CD357</f>
        <v>36332.8610725</v>
      </c>
      <c r="K357" s="15" t="n">
        <f aca="false">Motore_Operativo!CF357</f>
        <v>666.666666666667</v>
      </c>
      <c r="L357" s="15" t="n">
        <f aca="false">SUM(INDEX($K$305:$K$364,MAX(1,53-Parametri_v3!$C$59+1)):K357)/Parametri_v3!$C$59</f>
        <v>534.722222222222</v>
      </c>
      <c r="M357" s="15" t="n">
        <f aca="false">J357-L357</f>
        <v>35798.1388502778</v>
      </c>
      <c r="N357" s="15" t="n">
        <f aca="false">0</f>
        <v>0</v>
      </c>
      <c r="O357" s="15" t="n">
        <f aca="false">0</f>
        <v>0</v>
      </c>
      <c r="P357" s="15" t="n">
        <f aca="false">M357+N357-O357</f>
        <v>35798.1388502778</v>
      </c>
      <c r="Q357" s="15" t="n">
        <f aca="false">SUM(P353:P357)+Parametri_v3!$C$56*5/12</f>
        <v>179060.138695833</v>
      </c>
      <c r="R357" s="15" t="n">
        <f aca="false">Z352</f>
        <v>0</v>
      </c>
      <c r="S357" s="15" t="n">
        <f aca="false">AA352</f>
        <v>0</v>
      </c>
      <c r="T357" s="15" t="n">
        <f aca="false">MIN(R357,MAX(0,Q357))</f>
        <v>0</v>
      </c>
      <c r="U357" s="15" t="n">
        <f aca="false">MIN(S357,MAX(0,Q357-T357)*Parametri_v3!$C$42)</f>
        <v>0</v>
      </c>
      <c r="V357" s="15" t="n">
        <f aca="false">MAX(0,Q357-T357-U357)*Ipotesi!$C$92</f>
        <v>42974.433287</v>
      </c>
      <c r="W357" s="15" t="n">
        <f aca="false">MAX(0,SUM(M353:M357)+Parametri_v3!$C$57*5/12)*Ipotesi!$C$93</f>
        <v>6983.3454091375</v>
      </c>
      <c r="X357" s="15" t="n">
        <f aca="false">V357+W357-(V356+W356)</f>
        <v>9987.68073922751</v>
      </c>
      <c r="Y357" s="15" t="n">
        <f aca="false">P357-X357</f>
        <v>25810.4581110503</v>
      </c>
      <c r="Z357" s="15" t="n">
        <f aca="false">R357-T357+IF(AND(Parametri_v3!$C$40=1,D357-YEAR(Parametri_v3!$C$50)&lt;Parametri_v3!$C$41),MAX(0,-Q357),0)</f>
        <v>0</v>
      </c>
      <c r="AA357" s="15" t="n">
        <f aca="false">S357-U357+IF(AND(Parametri_v3!$C$40=1,D357-YEAR(Parametri_v3!$C$50)&lt;Parametri_v3!$C$41),0,MAX(0,-Q357))</f>
        <v>0</v>
      </c>
      <c r="AB357" s="15" t="n">
        <f aca="false">F357*(1+Parametri_v3!$C$26)</f>
        <v>141469.166666667</v>
      </c>
      <c r="AC357" s="15" t="n">
        <f aca="false">(IF(53-(INT((Motore_Operativo!L357)/30))&lt;1,0,INDEX(Motore_Advisory!$AB$305:$AB$364,MAX(1,53-(INT((Motore_Operativo!L357)/30)))))*(1-(MOD((Motore_Operativo!L357),30)/30))+IF(53-(INT((Motore_Operativo!L357)/30))-1&lt;1,0,INDEX(Motore_Advisory!$AB$305:$AB$364,MAX(1,53-(INT((Motore_Operativo!L357)/30))-1)))*(MOD((Motore_Operativo!L357),30)/30))</f>
        <v>141469.166666667</v>
      </c>
      <c r="AD357" s="15" t="n">
        <f aca="false">(AD356)+AB357-AC357</f>
        <v>424407.5</v>
      </c>
      <c r="AE357" s="15" t="n">
        <f aca="false">Motore_Operativo!BH357*(1+Parametri_v3!$C$26)</f>
        <v>14146.9166666667</v>
      </c>
      <c r="AF357" s="15" t="n">
        <f aca="false">(IF(53-(INT((Parametri_v3!$C$29)/30))&lt;1,0,INDEX(Motore_Operativo!$BH$305:$BH$364,MAX(1,53-(INT((Parametri_v3!$C$29)/30)))))*(1-(MOD((Parametri_v3!$C$29),30)/30))+IF(53-(INT((Parametri_v3!$C$29)/30))-1&lt;1,0,INDEX(Motore_Operativo!$BH$305:$BH$364,MAX(1,53-(INT((Parametri_v3!$C$29)/30))-1)))*(MOD((Parametri_v3!$C$29),30)/30))*(1+Parametri_v3!$C$26)</f>
        <v>14146.9166666667</v>
      </c>
      <c r="AG357" s="15" t="n">
        <f aca="false">(AG356)+AE357-AF357</f>
        <v>14146.9166666667</v>
      </c>
      <c r="AH357" s="15" t="n">
        <f aca="false">(Motore_Operativo!CK357)*(1+Parametri_v3!$C$28*Parametri_v3!$C$26)</f>
        <v>27831.02</v>
      </c>
      <c r="AI357" s="15" t="n">
        <f aca="false">(IF(53-(INT((Ipotesi!$C$91)/30))&lt;1,0,INDEX(Motore_Advisory!$AH$305:$AH$364,MAX(1,53-(INT((Ipotesi!$C$91)/30)))))*(1-(MOD((Ipotesi!$C$91),30)/30))+IF(53-(INT((Ipotesi!$C$91)/30))-1&lt;1,0,INDEX(Motore_Advisory!$AH$305:$AH$364,MAX(1,53-(INT((Ipotesi!$C$91)/30))-1)))*(MOD((Ipotesi!$C$91),30)/30))</f>
        <v>27831.02</v>
      </c>
      <c r="AJ357" s="15" t="n">
        <f aca="false">(AJ356)+AH357-AI357</f>
        <v>55662.04</v>
      </c>
      <c r="AK357" s="15" t="n">
        <f aca="false">(F357- Motore_Operativo!BH357-(Motore_Operativo!CK357)*Parametri_v3!$C$28-Motore_Operativo!CF357)*Parametri_v3!$C$26</f>
        <v>18647.8966666667</v>
      </c>
      <c r="AL357" s="15" t="n">
        <f aca="false">MAX(0,(AM356))</f>
        <v>18647.8966666667</v>
      </c>
      <c r="AM357" s="15" t="n">
        <f aca="false">(AM356)+AK357-AL357</f>
        <v>18647.8966666667</v>
      </c>
      <c r="AN357" s="15" t="n">
        <f aca="false">SUM(X341:X352)</f>
        <v>91149.8045405</v>
      </c>
      <c r="AO357" s="15" t="n">
        <f aca="false">SUM(AP341:AP352)</f>
        <v>46679.99375</v>
      </c>
      <c r="AP357" s="15" t="n">
        <f aca="false">MAX(0,AN357)*IF(5=Parametri_v3!$C$43,Parametri_v3!$C$45,IF(5=Parametri_v3!$C$44,1-Parametri_v3!$C$45,0))</f>
        <v>0</v>
      </c>
      <c r="AQ357" s="15" t="n">
        <f aca="false">MAX(0,AP357+IF(5=Parametri_v3!$C$43,MAX(0,AN357-AO357),0)-MAX(0,-(AR356)))</f>
        <v>0</v>
      </c>
      <c r="AR357" s="15" t="n">
        <f aca="false">(AR356)+X357-AQ357</f>
        <v>94427.5894866375</v>
      </c>
      <c r="AS357" s="15" t="n">
        <f aca="false">Motore_Operativo!AC357-AT357+AU357</f>
        <v>42145.6153144583</v>
      </c>
      <c r="AT357" s="15" t="n">
        <f aca="false">Motore_Operativo!CI357</f>
        <v>2218.19027970833</v>
      </c>
      <c r="AU357" s="15" t="n">
        <f aca="false">MIN(MAX(0,(AV356)+AT357),Parametri_v3!$C$61/12)</f>
        <v>0</v>
      </c>
      <c r="AV357" s="15" t="n">
        <f aca="false">(AV356)+AT357-AU357</f>
        <v>59367.7929235417</v>
      </c>
      <c r="AW357" s="15" t="n">
        <f aca="false">IF(AND(Motore_Operativo!C357=Finanziamenti!$D$7,Finanziamenti!$F$7=1),Finanziamenti!$C$7,0)</f>
        <v>0</v>
      </c>
      <c r="AX357" s="15" t="n">
        <f aca="false">0</f>
        <v>0</v>
      </c>
      <c r="AY357" s="15" t="n">
        <f aca="false">IF(5=Parametri_v3!$C$33,IF(BV357&lt;MIN(12,$B357-1),0,MIN(MAX(0,SUM(Y341:Y352))*Ipotesi!$C$94,MAX(0,(BM352)-(BO356)-BP357),MAX(0,BD357-Parametri_v3!$C$31))),0)</f>
        <v>0</v>
      </c>
      <c r="AZ357" s="15" t="n">
        <f aca="false">0</f>
        <v>0</v>
      </c>
      <c r="BA357" s="15" t="n">
        <f aca="false">0</f>
        <v>0</v>
      </c>
      <c r="BB357" s="15" t="n">
        <f aca="false">0</f>
        <v>0</v>
      </c>
      <c r="BC357" s="15" t="n">
        <f aca="false">0</f>
        <v>0</v>
      </c>
      <c r="BD357" s="15" t="n">
        <f aca="false">(BH356)+AC357-AF357-AI357-AS357-K357*(1+Parametri_v3!$C$26)-AL357-AQ357-O357+AW357+AX357+AZ357+BA357-BB357</f>
        <v>330101.720024479</v>
      </c>
      <c r="BE357" s="15" t="n">
        <f aca="false">0</f>
        <v>0</v>
      </c>
      <c r="BF357" s="15" t="n">
        <f aca="false">0</f>
        <v>0</v>
      </c>
      <c r="BG357" s="15" t="n">
        <f aca="false">0</f>
        <v>0</v>
      </c>
      <c r="BH357" s="15" t="n">
        <f aca="false">BD357+BE357-BF357-AY357</f>
        <v>330101.720024479</v>
      </c>
      <c r="BI357" s="15" t="n">
        <f aca="false">MAX(0,Parametri_v3!$C$31-BH357)</f>
        <v>0</v>
      </c>
      <c r="BJ357" s="15" t="n">
        <f aca="false">(BJ356)+K357</f>
        <v>24333.3333333333</v>
      </c>
      <c r="BK357" s="15" t="n">
        <f aca="false">(BK356)+L357</f>
        <v>13854.1666666667</v>
      </c>
      <c r="BL357" s="15" t="n">
        <f aca="false">BJ357-BK357</f>
        <v>10479.1666666667</v>
      </c>
      <c r="BM357" s="15" t="n">
        <f aca="false">(BM356)+Y357</f>
        <v>563052.056850412</v>
      </c>
      <c r="BN357" s="15" t="n">
        <f aca="false">(BN356)+AW357+AX357+AZ357</f>
        <v>20000</v>
      </c>
      <c r="BO357" s="15" t="n">
        <f aca="false">(BO356)+AY357</f>
        <v>60315.9059027778</v>
      </c>
      <c r="BP357" s="15" t="n">
        <f aca="false">MIN(Parametri_v3!$C$36*Parametri_v3!$C$35,(BP356)+IF(5=1,MAX(0,SUM(Y341:Y352))*Parametri_v3!$C$34,0))</f>
        <v>2000</v>
      </c>
      <c r="BQ357" s="15" t="n">
        <f aca="false">BN357+BM357-BO357</f>
        <v>522736.150947634</v>
      </c>
      <c r="BR357" s="15" t="n">
        <f aca="false">BH357+AD357+BL357+MAX(0,-AM357)+MAX(0,-AR357)</f>
        <v>764988.386691146</v>
      </c>
      <c r="BS357" s="15" t="n">
        <f aca="false">AJ357+AV357+MAX(0,AM357)+MAX(0,AR357)+BC357+BG357+BQ357+AG357</f>
        <v>764988.386691146</v>
      </c>
      <c r="BT357" s="15" t="n">
        <f aca="false">BR357-BS357</f>
        <v>0</v>
      </c>
      <c r="BU357" s="15" t="n">
        <f aca="false">BH357-(BD357+BE357-BF357-AY357)</f>
        <v>0</v>
      </c>
      <c r="BV357" s="15" t="n">
        <f aca="false">IF(BH356&lt;Parametri_v3!$C$31,0,BV356+1)</f>
        <v>24</v>
      </c>
    </row>
    <row r="358" customFormat="false" ht="18" hidden="false" customHeight="true" outlineLevel="0" collapsed="false">
      <c r="A358" s="68" t="n">
        <f aca="false">6</f>
        <v>6</v>
      </c>
      <c r="B358" s="68" t="n">
        <f aca="false">54</f>
        <v>54</v>
      </c>
      <c r="C358" s="18" t="n">
        <f aca="false">Motore_Operativo!C358</f>
        <v>48000</v>
      </c>
      <c r="D358" s="68" t="n">
        <f aca="false">Motore_Operativo!D358</f>
        <v>2031</v>
      </c>
      <c r="E358" s="68" t="n">
        <f aca="false">Motore_Operativo!E358</f>
        <v>6</v>
      </c>
      <c r="F358" s="15" t="n">
        <f aca="false">Motore_Operativo!AM358</f>
        <v>115958.333333333</v>
      </c>
      <c r="G358" s="15" t="n">
        <f aca="false">Motore_Operativo!BH358</f>
        <v>11595.8333333333</v>
      </c>
      <c r="H358" s="15" t="n">
        <f aca="false">Motore_Operativo!AM358</f>
        <v>115958.333333333</v>
      </c>
      <c r="I358" s="15" t="n">
        <f aca="false">Motore_Operativo!CB358</f>
        <v>79625.4722608333</v>
      </c>
      <c r="J358" s="15" t="n">
        <f aca="false">Motore_Operativo!CD358</f>
        <v>36332.8610725</v>
      </c>
      <c r="K358" s="15" t="n">
        <f aca="false">Motore_Operativo!CF358</f>
        <v>666.666666666667</v>
      </c>
      <c r="L358" s="15" t="n">
        <f aca="false">SUM(INDEX($K$305:$K$364,MAX(1,54-Parametri_v3!$C$59+1)):K358)/Parametri_v3!$C$59</f>
        <v>541.666666666667</v>
      </c>
      <c r="M358" s="15" t="n">
        <f aca="false">J358-L358</f>
        <v>35791.1944058333</v>
      </c>
      <c r="N358" s="15" t="n">
        <f aca="false">0</f>
        <v>0</v>
      </c>
      <c r="O358" s="15" t="n">
        <f aca="false">0</f>
        <v>0</v>
      </c>
      <c r="P358" s="15" t="n">
        <f aca="false">M358+N358-O358</f>
        <v>35791.1944058333</v>
      </c>
      <c r="Q358" s="15" t="n">
        <f aca="false">SUM(P353:P358)+Parametri_v3!$C$56*6/12</f>
        <v>214851.333101667</v>
      </c>
      <c r="R358" s="15" t="n">
        <f aca="false">Z352</f>
        <v>0</v>
      </c>
      <c r="S358" s="15" t="n">
        <f aca="false">AA352</f>
        <v>0</v>
      </c>
      <c r="T358" s="15" t="n">
        <f aca="false">MIN(R358,MAX(0,Q358))</f>
        <v>0</v>
      </c>
      <c r="U358" s="15" t="n">
        <f aca="false">MIN(S358,MAX(0,Q358-T358)*Parametri_v3!$C$42)</f>
        <v>0</v>
      </c>
      <c r="V358" s="15" t="n">
        <f aca="false">MAX(0,Q358-T358-U358)*Ipotesi!$C$92</f>
        <v>51564.3199444</v>
      </c>
      <c r="W358" s="15" t="n">
        <f aca="false">MAX(0,SUM(M353:M358)+Parametri_v3!$C$57*6/12)*Ipotesi!$C$93</f>
        <v>8379.201990965</v>
      </c>
      <c r="X358" s="15" t="n">
        <f aca="false">V358+W358-(V357+W357)</f>
        <v>9985.74323922749</v>
      </c>
      <c r="Y358" s="15" t="n">
        <f aca="false">P358-X358</f>
        <v>25805.4511666058</v>
      </c>
      <c r="Z358" s="15" t="n">
        <f aca="false">R358-T358+IF(AND(Parametri_v3!$C$40=1,D358-YEAR(Parametri_v3!$C$50)&lt;Parametri_v3!$C$41),MAX(0,-Q358),0)</f>
        <v>0</v>
      </c>
      <c r="AA358" s="15" t="n">
        <f aca="false">S358-U358+IF(AND(Parametri_v3!$C$40=1,D358-YEAR(Parametri_v3!$C$50)&lt;Parametri_v3!$C$41),0,MAX(0,-Q358))</f>
        <v>0</v>
      </c>
      <c r="AB358" s="15" t="n">
        <f aca="false">F358*(1+Parametri_v3!$C$26)</f>
        <v>141469.166666667</v>
      </c>
      <c r="AC358" s="15" t="n">
        <f aca="false">(IF(54-(INT((Motore_Operativo!L358)/30))&lt;1,0,INDEX(Motore_Advisory!$AB$305:$AB$364,MAX(1,54-(INT((Motore_Operativo!L358)/30)))))*(1-(MOD((Motore_Operativo!L358),30)/30))+IF(54-(INT((Motore_Operativo!L358)/30))-1&lt;1,0,INDEX(Motore_Advisory!$AB$305:$AB$364,MAX(1,54-(INT((Motore_Operativo!L358)/30))-1)))*(MOD((Motore_Operativo!L358),30)/30))</f>
        <v>141469.166666667</v>
      </c>
      <c r="AD358" s="15" t="n">
        <f aca="false">(AD357)+AB358-AC358</f>
        <v>424407.5</v>
      </c>
      <c r="AE358" s="15" t="n">
        <f aca="false">Motore_Operativo!BH358*(1+Parametri_v3!$C$26)</f>
        <v>14146.9166666667</v>
      </c>
      <c r="AF358" s="15" t="n">
        <f aca="false">(IF(54-(INT((Parametri_v3!$C$29)/30))&lt;1,0,INDEX(Motore_Operativo!$BH$305:$BH$364,MAX(1,54-(INT((Parametri_v3!$C$29)/30)))))*(1-(MOD((Parametri_v3!$C$29),30)/30))+IF(54-(INT((Parametri_v3!$C$29)/30))-1&lt;1,0,INDEX(Motore_Operativo!$BH$305:$BH$364,MAX(1,54-(INT((Parametri_v3!$C$29)/30))-1)))*(MOD((Parametri_v3!$C$29),30)/30))*(1+Parametri_v3!$C$26)</f>
        <v>14146.9166666667</v>
      </c>
      <c r="AG358" s="15" t="n">
        <f aca="false">(AG357)+AE358-AF358</f>
        <v>14146.9166666667</v>
      </c>
      <c r="AH358" s="15" t="n">
        <f aca="false">(Motore_Operativo!CK358)*(1+Parametri_v3!$C$28*Parametri_v3!$C$26)</f>
        <v>27831.02</v>
      </c>
      <c r="AI358" s="15" t="n">
        <f aca="false">(IF(54-(INT((Ipotesi!$C$91)/30))&lt;1,0,INDEX(Motore_Advisory!$AH$305:$AH$364,MAX(1,54-(INT((Ipotesi!$C$91)/30)))))*(1-(MOD((Ipotesi!$C$91),30)/30))+IF(54-(INT((Ipotesi!$C$91)/30))-1&lt;1,0,INDEX(Motore_Advisory!$AH$305:$AH$364,MAX(1,54-(INT((Ipotesi!$C$91)/30))-1)))*(MOD((Ipotesi!$C$91),30)/30))</f>
        <v>27831.02</v>
      </c>
      <c r="AJ358" s="15" t="n">
        <f aca="false">(AJ357)+AH358-AI358</f>
        <v>55662.04</v>
      </c>
      <c r="AK358" s="15" t="n">
        <f aca="false">(F358- Motore_Operativo!BH358-(Motore_Operativo!CK358)*Parametri_v3!$C$28-Motore_Operativo!CF358)*Parametri_v3!$C$26</f>
        <v>18647.8966666667</v>
      </c>
      <c r="AL358" s="15" t="n">
        <f aca="false">MAX(0,(AM357))</f>
        <v>18647.8966666667</v>
      </c>
      <c r="AM358" s="15" t="n">
        <f aca="false">(AM357)+AK358-AL358</f>
        <v>18647.8966666667</v>
      </c>
      <c r="AN358" s="15" t="n">
        <f aca="false">SUM(X341:X352)</f>
        <v>91149.8045405</v>
      </c>
      <c r="AO358" s="15" t="n">
        <f aca="false">SUM(AP341:AP352)</f>
        <v>46679.99375</v>
      </c>
      <c r="AP358" s="15" t="n">
        <f aca="false">MAX(0,AN358)*IF(6=Parametri_v3!$C$43,Parametri_v3!$C$45,IF(6=Parametri_v3!$C$44,1-Parametri_v3!$C$45,0))</f>
        <v>36459.9218162</v>
      </c>
      <c r="AQ358" s="15" t="n">
        <f aca="false">MAX(0,AP358+IF(6=Parametri_v3!$C$43,MAX(0,AN358-AO358),0)-MAX(0,-(AR357)))</f>
        <v>80929.7326067</v>
      </c>
      <c r="AR358" s="15" t="n">
        <f aca="false">(AR357)+X358-AQ358</f>
        <v>23483.600119165</v>
      </c>
      <c r="AS358" s="15" t="n">
        <f aca="false">Motore_Operativo!AC358-AT358+AU358</f>
        <v>42145.6153144583</v>
      </c>
      <c r="AT358" s="15" t="n">
        <f aca="false">Motore_Operativo!CI358</f>
        <v>2218.19027970833</v>
      </c>
      <c r="AU358" s="15" t="n">
        <f aca="false">MIN(MAX(0,(AV357)+AT358),Parametri_v3!$C$61/12)</f>
        <v>0</v>
      </c>
      <c r="AV358" s="15" t="n">
        <f aca="false">(AV357)+AT358-AU358</f>
        <v>61585.98320325</v>
      </c>
      <c r="AW358" s="15" t="n">
        <f aca="false">IF(AND(Motore_Operativo!C358=Finanziamenti!$D$7,Finanziamenti!$F$7=1),Finanziamenti!$C$7,0)</f>
        <v>0</v>
      </c>
      <c r="AX358" s="15" t="n">
        <f aca="false">0</f>
        <v>0</v>
      </c>
      <c r="AY358" s="15" t="n">
        <f aca="false">IF(6=Parametri_v3!$C$33,IF(BV358&lt;MIN(12,$B358-1),0,MIN(MAX(0,SUM(Y341:Y352))*Ipotesi!$C$94,MAX(0,(BM352)-(BO357)-BP358),MAX(0,BD358-Parametri_v3!$C$31))),0)</f>
        <v>117776.001924194</v>
      </c>
      <c r="AZ358" s="15" t="n">
        <f aca="false">0</f>
        <v>0</v>
      </c>
      <c r="BA358" s="15" t="n">
        <f aca="false">0</f>
        <v>0</v>
      </c>
      <c r="BB358" s="15" t="n">
        <f aca="false">0</f>
        <v>0</v>
      </c>
      <c r="BC358" s="15" t="n">
        <f aca="false">0</f>
        <v>0</v>
      </c>
      <c r="BD358" s="15" t="n">
        <f aca="false">(BH357)+AC358-AF358-AI358-AS358-K358*(1+Parametri_v3!$C$26)-AL358-AQ358-O358+AW358+AX358+AZ358+BA358-BB358</f>
        <v>287056.372103321</v>
      </c>
      <c r="BE358" s="15" t="n">
        <f aca="false">0</f>
        <v>0</v>
      </c>
      <c r="BF358" s="15" t="n">
        <f aca="false">0</f>
        <v>0</v>
      </c>
      <c r="BG358" s="15" t="n">
        <f aca="false">0</f>
        <v>0</v>
      </c>
      <c r="BH358" s="15" t="n">
        <f aca="false">BD358+BE358-BF358-AY358</f>
        <v>169280.370179127</v>
      </c>
      <c r="BI358" s="15" t="n">
        <f aca="false">MAX(0,Parametri_v3!$C$31-BH358)</f>
        <v>0</v>
      </c>
      <c r="BJ358" s="15" t="n">
        <f aca="false">(BJ357)+K358</f>
        <v>25000</v>
      </c>
      <c r="BK358" s="15" t="n">
        <f aca="false">(BK357)+L358</f>
        <v>14395.8333333333</v>
      </c>
      <c r="BL358" s="15" t="n">
        <f aca="false">BJ358-BK358</f>
        <v>10604.1666666667</v>
      </c>
      <c r="BM358" s="15" t="n">
        <f aca="false">(BM357)+Y358</f>
        <v>588857.508017017</v>
      </c>
      <c r="BN358" s="15" t="n">
        <f aca="false">(BN357)+AW358+AX358+AZ358</f>
        <v>20000</v>
      </c>
      <c r="BO358" s="15" t="n">
        <f aca="false">(BO357)+AY358</f>
        <v>178091.907826972</v>
      </c>
      <c r="BP358" s="15" t="n">
        <f aca="false">MIN(Parametri_v3!$C$36*Parametri_v3!$C$35,(BP357)+IF(6=1,MAX(0,SUM(Y341:Y352))*Parametri_v3!$C$34,0))</f>
        <v>2000</v>
      </c>
      <c r="BQ358" s="15" t="n">
        <f aca="false">BN358+BM358-BO358</f>
        <v>430765.600190045</v>
      </c>
      <c r="BR358" s="15" t="n">
        <f aca="false">BH358+AD358+BL358+MAX(0,-AM358)+MAX(0,-AR358)</f>
        <v>604292.036845793</v>
      </c>
      <c r="BS358" s="15" t="n">
        <f aca="false">AJ358+AV358+MAX(0,AM358)+MAX(0,AR358)+BC358+BG358+BQ358+AG358</f>
        <v>604292.036845794</v>
      </c>
      <c r="BT358" s="15" t="n">
        <f aca="false">BR358-BS358</f>
        <v>0</v>
      </c>
      <c r="BU358" s="15" t="n">
        <f aca="false">BH358-(BD358+BE358-BF358-AY358)</f>
        <v>0</v>
      </c>
      <c r="BV358" s="15" t="n">
        <f aca="false">IF(BH357&lt;Parametri_v3!$C$31,0,BV357+1)</f>
        <v>25</v>
      </c>
    </row>
    <row r="359" customFormat="false" ht="18" hidden="false" customHeight="true" outlineLevel="0" collapsed="false">
      <c r="A359" s="68" t="n">
        <f aca="false">6</f>
        <v>6</v>
      </c>
      <c r="B359" s="68" t="n">
        <f aca="false">55</f>
        <v>55</v>
      </c>
      <c r="C359" s="18" t="n">
        <f aca="false">Motore_Operativo!C359</f>
        <v>48030</v>
      </c>
      <c r="D359" s="68" t="n">
        <f aca="false">Motore_Operativo!D359</f>
        <v>2031</v>
      </c>
      <c r="E359" s="68" t="n">
        <f aca="false">Motore_Operativo!E359</f>
        <v>7</v>
      </c>
      <c r="F359" s="15" t="n">
        <f aca="false">Motore_Operativo!AM359</f>
        <v>115958.333333333</v>
      </c>
      <c r="G359" s="15" t="n">
        <f aca="false">Motore_Operativo!BH359</f>
        <v>11595.8333333333</v>
      </c>
      <c r="H359" s="15" t="n">
        <f aca="false">Motore_Operativo!AM359</f>
        <v>115958.333333333</v>
      </c>
      <c r="I359" s="15" t="n">
        <f aca="false">Motore_Operativo!CB359</f>
        <v>79625.4722608333</v>
      </c>
      <c r="J359" s="15" t="n">
        <f aca="false">Motore_Operativo!CD359</f>
        <v>36332.8610725</v>
      </c>
      <c r="K359" s="15" t="n">
        <f aca="false">Motore_Operativo!CF359</f>
        <v>666.666666666667</v>
      </c>
      <c r="L359" s="15" t="n">
        <f aca="false">SUM(INDEX($K$305:$K$364,MAX(1,55-Parametri_v3!$C$59+1)):K359)/Parametri_v3!$C$59</f>
        <v>548.611111111111</v>
      </c>
      <c r="M359" s="15" t="n">
        <f aca="false">J359-L359</f>
        <v>35784.2499613889</v>
      </c>
      <c r="N359" s="15" t="n">
        <f aca="false">0</f>
        <v>0</v>
      </c>
      <c r="O359" s="15" t="n">
        <f aca="false">0</f>
        <v>0</v>
      </c>
      <c r="P359" s="15" t="n">
        <f aca="false">M359+N359-O359</f>
        <v>35784.2499613889</v>
      </c>
      <c r="Q359" s="15" t="n">
        <f aca="false">SUM(P353:P359)+Parametri_v3!$C$56*7/12</f>
        <v>250635.583063056</v>
      </c>
      <c r="R359" s="15" t="n">
        <f aca="false">Z352</f>
        <v>0</v>
      </c>
      <c r="S359" s="15" t="n">
        <f aca="false">AA352</f>
        <v>0</v>
      </c>
      <c r="T359" s="15" t="n">
        <f aca="false">MIN(R359,MAX(0,Q359))</f>
        <v>0</v>
      </c>
      <c r="U359" s="15" t="n">
        <f aca="false">MIN(S359,MAX(0,Q359-T359)*Parametri_v3!$C$42)</f>
        <v>0</v>
      </c>
      <c r="V359" s="15" t="n">
        <f aca="false">MAX(0,Q359-T359-U359)*Ipotesi!$C$92</f>
        <v>60152.5399351333</v>
      </c>
      <c r="W359" s="15" t="n">
        <f aca="false">MAX(0,SUM(M353:M359)+Parametri_v3!$C$57*7/12)*Ipotesi!$C$93</f>
        <v>9774.78773945917</v>
      </c>
      <c r="X359" s="15" t="n">
        <f aca="false">V359+W359-(V358+W358)</f>
        <v>9983.80573922751</v>
      </c>
      <c r="Y359" s="15" t="n">
        <f aca="false">P359-X359</f>
        <v>25800.4442221614</v>
      </c>
      <c r="Z359" s="15" t="n">
        <f aca="false">R359-T359+IF(AND(Parametri_v3!$C$40=1,D359-YEAR(Parametri_v3!$C$50)&lt;Parametri_v3!$C$41),MAX(0,-Q359),0)</f>
        <v>0</v>
      </c>
      <c r="AA359" s="15" t="n">
        <f aca="false">S359-U359+IF(AND(Parametri_v3!$C$40=1,D359-YEAR(Parametri_v3!$C$50)&lt;Parametri_v3!$C$41),0,MAX(0,-Q359))</f>
        <v>0</v>
      </c>
      <c r="AB359" s="15" t="n">
        <f aca="false">F359*(1+Parametri_v3!$C$26)</f>
        <v>141469.166666667</v>
      </c>
      <c r="AC359" s="15" t="n">
        <f aca="false">(IF(55-(INT((Motore_Operativo!L359)/30))&lt;1,0,INDEX(Motore_Advisory!$AB$305:$AB$364,MAX(1,55-(INT((Motore_Operativo!L359)/30)))))*(1-(MOD((Motore_Operativo!L359),30)/30))+IF(55-(INT((Motore_Operativo!L359)/30))-1&lt;1,0,INDEX(Motore_Advisory!$AB$305:$AB$364,MAX(1,55-(INT((Motore_Operativo!L359)/30))-1)))*(MOD((Motore_Operativo!L359),30)/30))</f>
        <v>141469.166666667</v>
      </c>
      <c r="AD359" s="15" t="n">
        <f aca="false">(AD358)+AB359-AC359</f>
        <v>424407.5</v>
      </c>
      <c r="AE359" s="15" t="n">
        <f aca="false">Motore_Operativo!BH359*(1+Parametri_v3!$C$26)</f>
        <v>14146.9166666667</v>
      </c>
      <c r="AF359" s="15" t="n">
        <f aca="false">(IF(55-(INT((Parametri_v3!$C$29)/30))&lt;1,0,INDEX(Motore_Operativo!$BH$305:$BH$364,MAX(1,55-(INT((Parametri_v3!$C$29)/30)))))*(1-(MOD((Parametri_v3!$C$29),30)/30))+IF(55-(INT((Parametri_v3!$C$29)/30))-1&lt;1,0,INDEX(Motore_Operativo!$BH$305:$BH$364,MAX(1,55-(INT((Parametri_v3!$C$29)/30))-1)))*(MOD((Parametri_v3!$C$29),30)/30))*(1+Parametri_v3!$C$26)</f>
        <v>14146.9166666667</v>
      </c>
      <c r="AG359" s="15" t="n">
        <f aca="false">(AG358)+AE359-AF359</f>
        <v>14146.9166666667</v>
      </c>
      <c r="AH359" s="15" t="n">
        <f aca="false">(Motore_Operativo!CK359)*(1+Parametri_v3!$C$28*Parametri_v3!$C$26)</f>
        <v>27831.02</v>
      </c>
      <c r="AI359" s="15" t="n">
        <f aca="false">(IF(55-(INT((Ipotesi!$C$91)/30))&lt;1,0,INDEX(Motore_Advisory!$AH$305:$AH$364,MAX(1,55-(INT((Ipotesi!$C$91)/30)))))*(1-(MOD((Ipotesi!$C$91),30)/30))+IF(55-(INT((Ipotesi!$C$91)/30))-1&lt;1,0,INDEX(Motore_Advisory!$AH$305:$AH$364,MAX(1,55-(INT((Ipotesi!$C$91)/30))-1)))*(MOD((Ipotesi!$C$91),30)/30))</f>
        <v>27831.02</v>
      </c>
      <c r="AJ359" s="15" t="n">
        <f aca="false">(AJ358)+AH359-AI359</f>
        <v>55662.04</v>
      </c>
      <c r="AK359" s="15" t="n">
        <f aca="false">(F359- Motore_Operativo!BH359-(Motore_Operativo!CK359)*Parametri_v3!$C$28-Motore_Operativo!CF359)*Parametri_v3!$C$26</f>
        <v>18647.8966666667</v>
      </c>
      <c r="AL359" s="15" t="n">
        <f aca="false">MAX(0,(AM358))</f>
        <v>18647.8966666667</v>
      </c>
      <c r="AM359" s="15" t="n">
        <f aca="false">(AM358)+AK359-AL359</f>
        <v>18647.8966666667</v>
      </c>
      <c r="AN359" s="15" t="n">
        <f aca="false">SUM(X341:X352)</f>
        <v>91149.8045405</v>
      </c>
      <c r="AO359" s="15" t="n">
        <f aca="false">SUM(AP341:AP352)</f>
        <v>46679.99375</v>
      </c>
      <c r="AP359" s="15" t="n">
        <f aca="false">MAX(0,AN359)*IF(7=Parametri_v3!$C$43,Parametri_v3!$C$45,IF(7=Parametri_v3!$C$44,1-Parametri_v3!$C$45,0))</f>
        <v>0</v>
      </c>
      <c r="AQ359" s="15" t="n">
        <f aca="false">MAX(0,AP359+IF(7=Parametri_v3!$C$43,MAX(0,AN359-AO359),0)-MAX(0,-(AR358)))</f>
        <v>0</v>
      </c>
      <c r="AR359" s="15" t="n">
        <f aca="false">(AR358)+X359-AQ359</f>
        <v>33467.4058583925</v>
      </c>
      <c r="AS359" s="15" t="n">
        <f aca="false">Motore_Operativo!AC359-AT359+AU359</f>
        <v>42145.6153144583</v>
      </c>
      <c r="AT359" s="15" t="n">
        <f aca="false">Motore_Operativo!CI359</f>
        <v>2218.19027970833</v>
      </c>
      <c r="AU359" s="15" t="n">
        <f aca="false">MIN(MAX(0,(AV358)+AT359),Parametri_v3!$C$61/12)</f>
        <v>0</v>
      </c>
      <c r="AV359" s="15" t="n">
        <f aca="false">(AV358)+AT359-AU359</f>
        <v>63804.1734829583</v>
      </c>
      <c r="AW359" s="15" t="n">
        <f aca="false">IF(AND(Motore_Operativo!C359=Finanziamenti!$D$7,Finanziamenti!$F$7=1),Finanziamenti!$C$7,0)</f>
        <v>0</v>
      </c>
      <c r="AX359" s="15" t="n">
        <f aca="false">0</f>
        <v>0</v>
      </c>
      <c r="AY359" s="15" t="n">
        <f aca="false">IF(7=Parametri_v3!$C$33,IF(BV359&lt;MIN(12,$B359-1),0,MIN(MAX(0,SUM(Y341:Y352))*Ipotesi!$C$94,MAX(0,(BM352)-(BO358)-BP359),MAX(0,BD359-Parametri_v3!$C$31))),0)</f>
        <v>0</v>
      </c>
      <c r="AZ359" s="15" t="n">
        <f aca="false">0</f>
        <v>0</v>
      </c>
      <c r="BA359" s="15" t="n">
        <f aca="false">0</f>
        <v>0</v>
      </c>
      <c r="BB359" s="15" t="n">
        <f aca="false">0</f>
        <v>0</v>
      </c>
      <c r="BC359" s="15" t="n">
        <f aca="false">0</f>
        <v>0</v>
      </c>
      <c r="BD359" s="15" t="n">
        <f aca="false">(BH358)+AC359-AF359-AI359-AS359-K359*(1+Parametri_v3!$C$26)-AL359-AQ359-O359+AW359+AX359+AZ359+BA359-BB359</f>
        <v>207164.754864668</v>
      </c>
      <c r="BE359" s="15" t="n">
        <f aca="false">0</f>
        <v>0</v>
      </c>
      <c r="BF359" s="15" t="n">
        <f aca="false">0</f>
        <v>0</v>
      </c>
      <c r="BG359" s="15" t="n">
        <f aca="false">0</f>
        <v>0</v>
      </c>
      <c r="BH359" s="15" t="n">
        <f aca="false">BD359+BE359-BF359-AY359</f>
        <v>207164.754864668</v>
      </c>
      <c r="BI359" s="15" t="n">
        <f aca="false">MAX(0,Parametri_v3!$C$31-BH359)</f>
        <v>0</v>
      </c>
      <c r="BJ359" s="15" t="n">
        <f aca="false">(BJ358)+K359</f>
        <v>25666.6666666667</v>
      </c>
      <c r="BK359" s="15" t="n">
        <f aca="false">(BK358)+L359</f>
        <v>14944.4444444444</v>
      </c>
      <c r="BL359" s="15" t="n">
        <f aca="false">BJ359-BK359</f>
        <v>10722.2222222222</v>
      </c>
      <c r="BM359" s="15" t="n">
        <f aca="false">(BM358)+Y359</f>
        <v>614657.952239179</v>
      </c>
      <c r="BN359" s="15" t="n">
        <f aca="false">(BN358)+AW359+AX359+AZ359</f>
        <v>20000</v>
      </c>
      <c r="BO359" s="15" t="n">
        <f aca="false">(BO358)+AY359</f>
        <v>178091.907826972</v>
      </c>
      <c r="BP359" s="15" t="n">
        <f aca="false">MIN(Parametri_v3!$C$36*Parametri_v3!$C$35,(BP358)+IF(7=1,MAX(0,SUM(Y341:Y352))*Parametri_v3!$C$34,0))</f>
        <v>2000</v>
      </c>
      <c r="BQ359" s="15" t="n">
        <f aca="false">BN359+BM359-BO359</f>
        <v>456566.044412207</v>
      </c>
      <c r="BR359" s="15" t="n">
        <f aca="false">BH359+AD359+BL359+MAX(0,-AM359)+MAX(0,-AR359)</f>
        <v>642294.477086891</v>
      </c>
      <c r="BS359" s="15" t="n">
        <f aca="false">AJ359+AV359+MAX(0,AM359)+MAX(0,AR359)+BC359+BG359+BQ359+AG359</f>
        <v>642294.477086891</v>
      </c>
      <c r="BT359" s="15" t="n">
        <f aca="false">BR359-BS359</f>
        <v>0</v>
      </c>
      <c r="BU359" s="15" t="n">
        <f aca="false">BH359-(BD359+BE359-BF359-AY359)</f>
        <v>0</v>
      </c>
      <c r="BV359" s="15" t="n">
        <f aca="false">IF(BH358&lt;Parametri_v3!$C$31,0,BV358+1)</f>
        <v>26</v>
      </c>
    </row>
    <row r="360" customFormat="false" ht="18" hidden="false" customHeight="true" outlineLevel="0" collapsed="false">
      <c r="A360" s="68" t="n">
        <f aca="false">6</f>
        <v>6</v>
      </c>
      <c r="B360" s="68" t="n">
        <f aca="false">56</f>
        <v>56</v>
      </c>
      <c r="C360" s="18" t="n">
        <f aca="false">Motore_Operativo!C360</f>
        <v>48061</v>
      </c>
      <c r="D360" s="68" t="n">
        <f aca="false">Motore_Operativo!D360</f>
        <v>2031</v>
      </c>
      <c r="E360" s="68" t="n">
        <f aca="false">Motore_Operativo!E360</f>
        <v>8</v>
      </c>
      <c r="F360" s="15" t="n">
        <f aca="false">Motore_Operativo!AM360</f>
        <v>115958.333333333</v>
      </c>
      <c r="G360" s="15" t="n">
        <f aca="false">Motore_Operativo!BH360</f>
        <v>11595.8333333333</v>
      </c>
      <c r="H360" s="15" t="n">
        <f aca="false">Motore_Operativo!AM360</f>
        <v>115958.333333333</v>
      </c>
      <c r="I360" s="15" t="n">
        <f aca="false">Motore_Operativo!CB360</f>
        <v>79625.4722608333</v>
      </c>
      <c r="J360" s="15" t="n">
        <f aca="false">Motore_Operativo!CD360</f>
        <v>36332.8610725</v>
      </c>
      <c r="K360" s="15" t="n">
        <f aca="false">Motore_Operativo!CF360</f>
        <v>666.666666666667</v>
      </c>
      <c r="L360" s="15" t="n">
        <f aca="false">SUM(INDEX($K$305:$K$364,MAX(1,56-Parametri_v3!$C$59+1)):K360)/Parametri_v3!$C$59</f>
        <v>555.555555555556</v>
      </c>
      <c r="M360" s="15" t="n">
        <f aca="false">J360-L360</f>
        <v>35777.3055169445</v>
      </c>
      <c r="N360" s="15" t="n">
        <f aca="false">0</f>
        <v>0</v>
      </c>
      <c r="O360" s="15" t="n">
        <f aca="false">0</f>
        <v>0</v>
      </c>
      <c r="P360" s="15" t="n">
        <f aca="false">M360+N360-O360</f>
        <v>35777.3055169445</v>
      </c>
      <c r="Q360" s="15" t="n">
        <f aca="false">SUM(P353:P360)+Parametri_v3!$C$56*8/12</f>
        <v>286412.88858</v>
      </c>
      <c r="R360" s="15" t="n">
        <f aca="false">Z352</f>
        <v>0</v>
      </c>
      <c r="S360" s="15" t="n">
        <f aca="false">AA352</f>
        <v>0</v>
      </c>
      <c r="T360" s="15" t="n">
        <f aca="false">MIN(R360,MAX(0,Q360))</f>
        <v>0</v>
      </c>
      <c r="U360" s="15" t="n">
        <f aca="false">MIN(S360,MAX(0,Q360-T360)*Parametri_v3!$C$42)</f>
        <v>0</v>
      </c>
      <c r="V360" s="15" t="n">
        <f aca="false">MAX(0,Q360-T360-U360)*Ipotesi!$C$92</f>
        <v>68739.0932592</v>
      </c>
      <c r="W360" s="15" t="n">
        <f aca="false">MAX(0,SUM(M353:M360)+Parametri_v3!$C$57*8/12)*Ipotesi!$C$93</f>
        <v>11170.10265462</v>
      </c>
      <c r="X360" s="15" t="n">
        <f aca="false">V360+W360-(V359+W359)</f>
        <v>9981.86823922749</v>
      </c>
      <c r="Y360" s="15" t="n">
        <f aca="false">P360-X360</f>
        <v>25795.437277717</v>
      </c>
      <c r="Z360" s="15" t="n">
        <f aca="false">R360-T360+IF(AND(Parametri_v3!$C$40=1,D360-YEAR(Parametri_v3!$C$50)&lt;Parametri_v3!$C$41),MAX(0,-Q360),0)</f>
        <v>0</v>
      </c>
      <c r="AA360" s="15" t="n">
        <f aca="false">S360-U360+IF(AND(Parametri_v3!$C$40=1,D360-YEAR(Parametri_v3!$C$50)&lt;Parametri_v3!$C$41),0,MAX(0,-Q360))</f>
        <v>0</v>
      </c>
      <c r="AB360" s="15" t="n">
        <f aca="false">F360*(1+Parametri_v3!$C$26)</f>
        <v>141469.166666667</v>
      </c>
      <c r="AC360" s="15" t="n">
        <f aca="false">(IF(56-(INT((Motore_Operativo!L360)/30))&lt;1,0,INDEX(Motore_Advisory!$AB$305:$AB$364,MAX(1,56-(INT((Motore_Operativo!L360)/30)))))*(1-(MOD((Motore_Operativo!L360),30)/30))+IF(56-(INT((Motore_Operativo!L360)/30))-1&lt;1,0,INDEX(Motore_Advisory!$AB$305:$AB$364,MAX(1,56-(INT((Motore_Operativo!L360)/30))-1)))*(MOD((Motore_Operativo!L360),30)/30))</f>
        <v>141469.166666667</v>
      </c>
      <c r="AD360" s="15" t="n">
        <f aca="false">(AD359)+AB360-AC360</f>
        <v>424407.5</v>
      </c>
      <c r="AE360" s="15" t="n">
        <f aca="false">Motore_Operativo!BH360*(1+Parametri_v3!$C$26)</f>
        <v>14146.9166666667</v>
      </c>
      <c r="AF360" s="15" t="n">
        <f aca="false">(IF(56-(INT((Parametri_v3!$C$29)/30))&lt;1,0,INDEX(Motore_Operativo!$BH$305:$BH$364,MAX(1,56-(INT((Parametri_v3!$C$29)/30)))))*(1-(MOD((Parametri_v3!$C$29),30)/30))+IF(56-(INT((Parametri_v3!$C$29)/30))-1&lt;1,0,INDEX(Motore_Operativo!$BH$305:$BH$364,MAX(1,56-(INT((Parametri_v3!$C$29)/30))-1)))*(MOD((Parametri_v3!$C$29),30)/30))*(1+Parametri_v3!$C$26)</f>
        <v>14146.9166666667</v>
      </c>
      <c r="AG360" s="15" t="n">
        <f aca="false">(AG359)+AE360-AF360</f>
        <v>14146.9166666667</v>
      </c>
      <c r="AH360" s="15" t="n">
        <f aca="false">(Motore_Operativo!CK360)*(1+Parametri_v3!$C$28*Parametri_v3!$C$26)</f>
        <v>27831.02</v>
      </c>
      <c r="AI360" s="15" t="n">
        <f aca="false">(IF(56-(INT((Ipotesi!$C$91)/30))&lt;1,0,INDEX(Motore_Advisory!$AH$305:$AH$364,MAX(1,56-(INT((Ipotesi!$C$91)/30)))))*(1-(MOD((Ipotesi!$C$91),30)/30))+IF(56-(INT((Ipotesi!$C$91)/30))-1&lt;1,0,INDEX(Motore_Advisory!$AH$305:$AH$364,MAX(1,56-(INT((Ipotesi!$C$91)/30))-1)))*(MOD((Ipotesi!$C$91),30)/30))</f>
        <v>27831.02</v>
      </c>
      <c r="AJ360" s="15" t="n">
        <f aca="false">(AJ359)+AH360-AI360</f>
        <v>55662.04</v>
      </c>
      <c r="AK360" s="15" t="n">
        <f aca="false">(F360- Motore_Operativo!BH360-(Motore_Operativo!CK360)*Parametri_v3!$C$28-Motore_Operativo!CF360)*Parametri_v3!$C$26</f>
        <v>18647.8966666667</v>
      </c>
      <c r="AL360" s="15" t="n">
        <f aca="false">MAX(0,(AM359))</f>
        <v>18647.8966666667</v>
      </c>
      <c r="AM360" s="15" t="n">
        <f aca="false">(AM359)+AK360-AL360</f>
        <v>18647.8966666667</v>
      </c>
      <c r="AN360" s="15" t="n">
        <f aca="false">SUM(X341:X352)</f>
        <v>91149.8045405</v>
      </c>
      <c r="AO360" s="15" t="n">
        <f aca="false">SUM(AP341:AP352)</f>
        <v>46679.99375</v>
      </c>
      <c r="AP360" s="15" t="n">
        <f aca="false">MAX(0,AN360)*IF(8=Parametri_v3!$C$43,Parametri_v3!$C$45,IF(8=Parametri_v3!$C$44,1-Parametri_v3!$C$45,0))</f>
        <v>0</v>
      </c>
      <c r="AQ360" s="15" t="n">
        <f aca="false">MAX(0,AP360+IF(8=Parametri_v3!$C$43,MAX(0,AN360-AO360),0)-MAX(0,-(AR359)))</f>
        <v>0</v>
      </c>
      <c r="AR360" s="15" t="n">
        <f aca="false">(AR359)+X360-AQ360</f>
        <v>43449.27409762</v>
      </c>
      <c r="AS360" s="15" t="n">
        <f aca="false">Motore_Operativo!AC360-AT360+AU360</f>
        <v>42145.6153144583</v>
      </c>
      <c r="AT360" s="15" t="n">
        <f aca="false">Motore_Operativo!CI360</f>
        <v>2218.19027970833</v>
      </c>
      <c r="AU360" s="15" t="n">
        <f aca="false">MIN(MAX(0,(AV359)+AT360),Parametri_v3!$C$61/12)</f>
        <v>0</v>
      </c>
      <c r="AV360" s="15" t="n">
        <f aca="false">(AV359)+AT360-AU360</f>
        <v>66022.3637626667</v>
      </c>
      <c r="AW360" s="15" t="n">
        <f aca="false">IF(AND(Motore_Operativo!C360=Finanziamenti!$D$7,Finanziamenti!$F$7=1),Finanziamenti!$C$7,0)</f>
        <v>0</v>
      </c>
      <c r="AX360" s="15" t="n">
        <f aca="false">0</f>
        <v>0</v>
      </c>
      <c r="AY360" s="15" t="n">
        <f aca="false">IF(8=Parametri_v3!$C$33,IF(BV360&lt;MIN(12,$B360-1),0,MIN(MAX(0,SUM(Y341:Y352))*Ipotesi!$C$94,MAX(0,(BM352)-(BO359)-BP360),MAX(0,BD360-Parametri_v3!$C$31))),0)</f>
        <v>0</v>
      </c>
      <c r="AZ360" s="15" t="n">
        <f aca="false">0</f>
        <v>0</v>
      </c>
      <c r="BA360" s="15" t="n">
        <f aca="false">0</f>
        <v>0</v>
      </c>
      <c r="BB360" s="15" t="n">
        <f aca="false">0</f>
        <v>0</v>
      </c>
      <c r="BC360" s="15" t="n">
        <f aca="false">0</f>
        <v>0</v>
      </c>
      <c r="BD360" s="15" t="n">
        <f aca="false">(BH359)+AC360-AF360-AI360-AS360-K360*(1+Parametri_v3!$C$26)-AL360-AQ360-O360+AW360+AX360+AZ360+BA360-BB360</f>
        <v>245049.13955021</v>
      </c>
      <c r="BE360" s="15" t="n">
        <f aca="false">0</f>
        <v>0</v>
      </c>
      <c r="BF360" s="15" t="n">
        <f aca="false">0</f>
        <v>0</v>
      </c>
      <c r="BG360" s="15" t="n">
        <f aca="false">0</f>
        <v>0</v>
      </c>
      <c r="BH360" s="15" t="n">
        <f aca="false">BD360+BE360-BF360-AY360</f>
        <v>245049.13955021</v>
      </c>
      <c r="BI360" s="15" t="n">
        <f aca="false">MAX(0,Parametri_v3!$C$31-BH360)</f>
        <v>0</v>
      </c>
      <c r="BJ360" s="15" t="n">
        <f aca="false">(BJ359)+K360</f>
        <v>26333.3333333333</v>
      </c>
      <c r="BK360" s="15" t="n">
        <f aca="false">(BK359)+L360</f>
        <v>15500</v>
      </c>
      <c r="BL360" s="15" t="n">
        <f aca="false">BJ360-BK360</f>
        <v>10833.3333333333</v>
      </c>
      <c r="BM360" s="15" t="n">
        <f aca="false">(BM359)+Y360</f>
        <v>640453.389516896</v>
      </c>
      <c r="BN360" s="15" t="n">
        <f aca="false">(BN359)+AW360+AX360+AZ360</f>
        <v>20000</v>
      </c>
      <c r="BO360" s="15" t="n">
        <f aca="false">(BO359)+AY360</f>
        <v>178091.907826972</v>
      </c>
      <c r="BP360" s="15" t="n">
        <f aca="false">MIN(Parametri_v3!$C$36*Parametri_v3!$C$35,(BP359)+IF(8=1,MAX(0,SUM(Y341:Y352))*Parametri_v3!$C$34,0))</f>
        <v>2000</v>
      </c>
      <c r="BQ360" s="15" t="n">
        <f aca="false">BN360+BM360-BO360</f>
        <v>482361.481689924</v>
      </c>
      <c r="BR360" s="15" t="n">
        <f aca="false">BH360+AD360+BL360+MAX(0,-AM360)+MAX(0,-AR360)</f>
        <v>680289.972883544</v>
      </c>
      <c r="BS360" s="15" t="n">
        <f aca="false">AJ360+AV360+MAX(0,AM360)+MAX(0,AR360)+BC360+BG360+BQ360+AG360</f>
        <v>680289.972883544</v>
      </c>
      <c r="BT360" s="15" t="n">
        <f aca="false">BR360-BS360</f>
        <v>0</v>
      </c>
      <c r="BU360" s="15" t="n">
        <f aca="false">BH360-(BD360+BE360-BF360-AY360)</f>
        <v>0</v>
      </c>
      <c r="BV360" s="15" t="n">
        <f aca="false">IF(BH359&lt;Parametri_v3!$C$31,0,BV359+1)</f>
        <v>27</v>
      </c>
    </row>
    <row r="361" customFormat="false" ht="18" hidden="false" customHeight="true" outlineLevel="0" collapsed="false">
      <c r="A361" s="68" t="n">
        <f aca="false">6</f>
        <v>6</v>
      </c>
      <c r="B361" s="68" t="n">
        <f aca="false">57</f>
        <v>57</v>
      </c>
      <c r="C361" s="18" t="n">
        <f aca="false">Motore_Operativo!C361</f>
        <v>48092</v>
      </c>
      <c r="D361" s="68" t="n">
        <f aca="false">Motore_Operativo!D361</f>
        <v>2031</v>
      </c>
      <c r="E361" s="68" t="n">
        <f aca="false">Motore_Operativo!E361</f>
        <v>9</v>
      </c>
      <c r="F361" s="15" t="n">
        <f aca="false">Motore_Operativo!AM361</f>
        <v>115958.333333333</v>
      </c>
      <c r="G361" s="15" t="n">
        <f aca="false">Motore_Operativo!BH361</f>
        <v>11595.8333333333</v>
      </c>
      <c r="H361" s="15" t="n">
        <f aca="false">Motore_Operativo!AM361</f>
        <v>115958.333333333</v>
      </c>
      <c r="I361" s="15" t="n">
        <f aca="false">Motore_Operativo!CB361</f>
        <v>79625.4722608333</v>
      </c>
      <c r="J361" s="15" t="n">
        <f aca="false">Motore_Operativo!CD361</f>
        <v>36332.8610725</v>
      </c>
      <c r="K361" s="15" t="n">
        <f aca="false">Motore_Operativo!CF361</f>
        <v>666.666666666667</v>
      </c>
      <c r="L361" s="15" t="n">
        <f aca="false">SUM(INDEX($K$305:$K$364,MAX(1,57-Parametri_v3!$C$59+1)):K361)/Parametri_v3!$C$59</f>
        <v>562.5</v>
      </c>
      <c r="M361" s="15" t="n">
        <f aca="false">J361-L361</f>
        <v>35770.3610725</v>
      </c>
      <c r="N361" s="15" t="n">
        <f aca="false">0</f>
        <v>0</v>
      </c>
      <c r="O361" s="15" t="n">
        <f aca="false">0</f>
        <v>0</v>
      </c>
      <c r="P361" s="15" t="n">
        <f aca="false">M361+N361-O361</f>
        <v>35770.3610725</v>
      </c>
      <c r="Q361" s="15" t="n">
        <f aca="false">SUM(P353:P361)+Parametri_v3!$C$56*9/12</f>
        <v>322183.2496525</v>
      </c>
      <c r="R361" s="15" t="n">
        <f aca="false">Z352</f>
        <v>0</v>
      </c>
      <c r="S361" s="15" t="n">
        <f aca="false">AA352</f>
        <v>0</v>
      </c>
      <c r="T361" s="15" t="n">
        <f aca="false">MIN(R361,MAX(0,Q361))</f>
        <v>0</v>
      </c>
      <c r="U361" s="15" t="n">
        <f aca="false">MIN(S361,MAX(0,Q361-T361)*Parametri_v3!$C$42)</f>
        <v>0</v>
      </c>
      <c r="V361" s="15" t="n">
        <f aca="false">MAX(0,Q361-T361-U361)*Ipotesi!$C$92</f>
        <v>77323.9799166</v>
      </c>
      <c r="W361" s="15" t="n">
        <f aca="false">MAX(0,SUM(M353:M361)+Parametri_v3!$C$57*9/12)*Ipotesi!$C$93</f>
        <v>12565.1467364475</v>
      </c>
      <c r="X361" s="15" t="n">
        <f aca="false">V361+W361-(V360+W360)</f>
        <v>9979.93073922749</v>
      </c>
      <c r="Y361" s="15" t="n">
        <f aca="false">P361-X361</f>
        <v>25790.4303332725</v>
      </c>
      <c r="Z361" s="15" t="n">
        <f aca="false">R361-T361+IF(AND(Parametri_v3!$C$40=1,D361-YEAR(Parametri_v3!$C$50)&lt;Parametri_v3!$C$41),MAX(0,-Q361),0)</f>
        <v>0</v>
      </c>
      <c r="AA361" s="15" t="n">
        <f aca="false">S361-U361+IF(AND(Parametri_v3!$C$40=1,D361-YEAR(Parametri_v3!$C$50)&lt;Parametri_v3!$C$41),0,MAX(0,-Q361))</f>
        <v>0</v>
      </c>
      <c r="AB361" s="15" t="n">
        <f aca="false">F361*(1+Parametri_v3!$C$26)</f>
        <v>141469.166666667</v>
      </c>
      <c r="AC361" s="15" t="n">
        <f aca="false">(IF(57-(INT((Motore_Operativo!L361)/30))&lt;1,0,INDEX(Motore_Advisory!$AB$305:$AB$364,MAX(1,57-(INT((Motore_Operativo!L361)/30)))))*(1-(MOD((Motore_Operativo!L361),30)/30))+IF(57-(INT((Motore_Operativo!L361)/30))-1&lt;1,0,INDEX(Motore_Advisory!$AB$305:$AB$364,MAX(1,57-(INT((Motore_Operativo!L361)/30))-1)))*(MOD((Motore_Operativo!L361),30)/30))</f>
        <v>141469.166666667</v>
      </c>
      <c r="AD361" s="15" t="n">
        <f aca="false">(AD360)+AB361-AC361</f>
        <v>424407.5</v>
      </c>
      <c r="AE361" s="15" t="n">
        <f aca="false">Motore_Operativo!BH361*(1+Parametri_v3!$C$26)</f>
        <v>14146.9166666667</v>
      </c>
      <c r="AF361" s="15" t="n">
        <f aca="false">(IF(57-(INT((Parametri_v3!$C$29)/30))&lt;1,0,INDEX(Motore_Operativo!$BH$305:$BH$364,MAX(1,57-(INT((Parametri_v3!$C$29)/30)))))*(1-(MOD((Parametri_v3!$C$29),30)/30))+IF(57-(INT((Parametri_v3!$C$29)/30))-1&lt;1,0,INDEX(Motore_Operativo!$BH$305:$BH$364,MAX(1,57-(INT((Parametri_v3!$C$29)/30))-1)))*(MOD((Parametri_v3!$C$29),30)/30))*(1+Parametri_v3!$C$26)</f>
        <v>14146.9166666667</v>
      </c>
      <c r="AG361" s="15" t="n">
        <f aca="false">(AG360)+AE361-AF361</f>
        <v>14146.9166666667</v>
      </c>
      <c r="AH361" s="15" t="n">
        <f aca="false">(Motore_Operativo!CK361)*(1+Parametri_v3!$C$28*Parametri_v3!$C$26)</f>
        <v>27831.02</v>
      </c>
      <c r="AI361" s="15" t="n">
        <f aca="false">(IF(57-(INT((Ipotesi!$C$91)/30))&lt;1,0,INDEX(Motore_Advisory!$AH$305:$AH$364,MAX(1,57-(INT((Ipotesi!$C$91)/30)))))*(1-(MOD((Ipotesi!$C$91),30)/30))+IF(57-(INT((Ipotesi!$C$91)/30))-1&lt;1,0,INDEX(Motore_Advisory!$AH$305:$AH$364,MAX(1,57-(INT((Ipotesi!$C$91)/30))-1)))*(MOD((Ipotesi!$C$91),30)/30))</f>
        <v>27831.02</v>
      </c>
      <c r="AJ361" s="15" t="n">
        <f aca="false">(AJ360)+AH361-AI361</f>
        <v>55662.04</v>
      </c>
      <c r="AK361" s="15" t="n">
        <f aca="false">(F361- Motore_Operativo!BH361-(Motore_Operativo!CK361)*Parametri_v3!$C$28-Motore_Operativo!CF361)*Parametri_v3!$C$26</f>
        <v>18647.8966666667</v>
      </c>
      <c r="AL361" s="15" t="n">
        <f aca="false">MAX(0,(AM360))</f>
        <v>18647.8966666667</v>
      </c>
      <c r="AM361" s="15" t="n">
        <f aca="false">(AM360)+AK361-AL361</f>
        <v>18647.8966666667</v>
      </c>
      <c r="AN361" s="15" t="n">
        <f aca="false">SUM(X341:X352)</f>
        <v>91149.8045405</v>
      </c>
      <c r="AO361" s="15" t="n">
        <f aca="false">SUM(AP341:AP352)</f>
        <v>46679.99375</v>
      </c>
      <c r="AP361" s="15" t="n">
        <f aca="false">MAX(0,AN361)*IF(9=Parametri_v3!$C$43,Parametri_v3!$C$45,IF(9=Parametri_v3!$C$44,1-Parametri_v3!$C$45,0))</f>
        <v>0</v>
      </c>
      <c r="AQ361" s="15" t="n">
        <f aca="false">MAX(0,AP361+IF(9=Parametri_v3!$C$43,MAX(0,AN361-AO361),0)-MAX(0,-(AR360)))</f>
        <v>0</v>
      </c>
      <c r="AR361" s="15" t="n">
        <f aca="false">(AR360)+X361-AQ361</f>
        <v>53429.2048368475</v>
      </c>
      <c r="AS361" s="15" t="n">
        <f aca="false">Motore_Operativo!AC361-AT361+AU361</f>
        <v>42145.6153144583</v>
      </c>
      <c r="AT361" s="15" t="n">
        <f aca="false">Motore_Operativo!CI361</f>
        <v>2218.19027970833</v>
      </c>
      <c r="AU361" s="15" t="n">
        <f aca="false">MIN(MAX(0,(AV360)+AT361),Parametri_v3!$C$61/12)</f>
        <v>0</v>
      </c>
      <c r="AV361" s="15" t="n">
        <f aca="false">(AV360)+AT361-AU361</f>
        <v>68240.554042375</v>
      </c>
      <c r="AW361" s="15" t="n">
        <f aca="false">IF(AND(Motore_Operativo!C361=Finanziamenti!$D$7,Finanziamenti!$F$7=1),Finanziamenti!$C$7,0)</f>
        <v>0</v>
      </c>
      <c r="AX361" s="15" t="n">
        <f aca="false">0</f>
        <v>0</v>
      </c>
      <c r="AY361" s="15" t="n">
        <f aca="false">IF(9=Parametri_v3!$C$33,IF(BV361&lt;MIN(12,$B361-1),0,MIN(MAX(0,SUM(Y341:Y352))*Ipotesi!$C$94,MAX(0,(BM352)-(BO360)-BP361),MAX(0,BD361-Parametri_v3!$C$31))),0)</f>
        <v>0</v>
      </c>
      <c r="AZ361" s="15" t="n">
        <f aca="false">0</f>
        <v>0</v>
      </c>
      <c r="BA361" s="15" t="n">
        <f aca="false">0</f>
        <v>0</v>
      </c>
      <c r="BB361" s="15" t="n">
        <f aca="false">0</f>
        <v>0</v>
      </c>
      <c r="BC361" s="15" t="n">
        <f aca="false">0</f>
        <v>0</v>
      </c>
      <c r="BD361" s="15" t="n">
        <f aca="false">(BH360)+AC361-AF361-AI361-AS361-K361*(1+Parametri_v3!$C$26)-AL361-AQ361-O361+AW361+AX361+AZ361+BA361-BB361</f>
        <v>282933.524235752</v>
      </c>
      <c r="BE361" s="15" t="n">
        <f aca="false">0</f>
        <v>0</v>
      </c>
      <c r="BF361" s="15" t="n">
        <f aca="false">0</f>
        <v>0</v>
      </c>
      <c r="BG361" s="15" t="n">
        <f aca="false">0</f>
        <v>0</v>
      </c>
      <c r="BH361" s="15" t="n">
        <f aca="false">BD361+BE361-BF361-AY361</f>
        <v>282933.524235752</v>
      </c>
      <c r="BI361" s="15" t="n">
        <f aca="false">MAX(0,Parametri_v3!$C$31-BH361)</f>
        <v>0</v>
      </c>
      <c r="BJ361" s="15" t="n">
        <f aca="false">(BJ360)+K361</f>
        <v>27000</v>
      </c>
      <c r="BK361" s="15" t="n">
        <f aca="false">(BK360)+L361</f>
        <v>16062.5</v>
      </c>
      <c r="BL361" s="15" t="n">
        <f aca="false">BJ361-BK361</f>
        <v>10937.5</v>
      </c>
      <c r="BM361" s="15" t="n">
        <f aca="false">(BM360)+Y361</f>
        <v>666243.819850168</v>
      </c>
      <c r="BN361" s="15" t="n">
        <f aca="false">(BN360)+AW361+AX361+AZ361</f>
        <v>20000</v>
      </c>
      <c r="BO361" s="15" t="n">
        <f aca="false">(BO360)+AY361</f>
        <v>178091.907826972</v>
      </c>
      <c r="BP361" s="15" t="n">
        <f aca="false">MIN(Parametri_v3!$C$36*Parametri_v3!$C$35,(BP360)+IF(9=1,MAX(0,SUM(Y341:Y352))*Parametri_v3!$C$34,0))</f>
        <v>2000</v>
      </c>
      <c r="BQ361" s="15" t="n">
        <f aca="false">BN361+BM361-BO361</f>
        <v>508151.912023196</v>
      </c>
      <c r="BR361" s="15" t="n">
        <f aca="false">BH361+AD361+BL361+MAX(0,-AM361)+MAX(0,-AR361)</f>
        <v>718278.524235752</v>
      </c>
      <c r="BS361" s="15" t="n">
        <f aca="false">AJ361+AV361+MAX(0,AM361)+MAX(0,AR361)+BC361+BG361+BQ361+AG361</f>
        <v>718278.524235752</v>
      </c>
      <c r="BT361" s="15" t="n">
        <f aca="false">BR361-BS361</f>
        <v>0</v>
      </c>
      <c r="BU361" s="15" t="n">
        <f aca="false">BH361-(BD361+BE361-BF361-AY361)</f>
        <v>0</v>
      </c>
      <c r="BV361" s="15" t="n">
        <f aca="false">IF(BH360&lt;Parametri_v3!$C$31,0,BV360+1)</f>
        <v>28</v>
      </c>
    </row>
    <row r="362" customFormat="false" ht="18" hidden="false" customHeight="true" outlineLevel="0" collapsed="false">
      <c r="A362" s="68" t="n">
        <f aca="false">6</f>
        <v>6</v>
      </c>
      <c r="B362" s="68" t="n">
        <f aca="false">58</f>
        <v>58</v>
      </c>
      <c r="C362" s="18" t="n">
        <f aca="false">Motore_Operativo!C362</f>
        <v>48122</v>
      </c>
      <c r="D362" s="68" t="n">
        <f aca="false">Motore_Operativo!D362</f>
        <v>2031</v>
      </c>
      <c r="E362" s="68" t="n">
        <f aca="false">Motore_Operativo!E362</f>
        <v>10</v>
      </c>
      <c r="F362" s="15" t="n">
        <f aca="false">Motore_Operativo!AM362</f>
        <v>115958.333333333</v>
      </c>
      <c r="G362" s="15" t="n">
        <f aca="false">Motore_Operativo!BH362</f>
        <v>11595.8333333333</v>
      </c>
      <c r="H362" s="15" t="n">
        <f aca="false">Motore_Operativo!AM362</f>
        <v>115958.333333333</v>
      </c>
      <c r="I362" s="15" t="n">
        <f aca="false">Motore_Operativo!CB362</f>
        <v>79625.4722608333</v>
      </c>
      <c r="J362" s="15" t="n">
        <f aca="false">Motore_Operativo!CD362</f>
        <v>36332.8610725</v>
      </c>
      <c r="K362" s="15" t="n">
        <f aca="false">Motore_Operativo!CF362</f>
        <v>666.666666666667</v>
      </c>
      <c r="L362" s="15" t="n">
        <f aca="false">SUM(INDEX($K$305:$K$364,MAX(1,58-Parametri_v3!$C$59+1)):K362)/Parametri_v3!$C$59</f>
        <v>569.444444444445</v>
      </c>
      <c r="M362" s="15" t="n">
        <f aca="false">J362-L362</f>
        <v>35763.4166280556</v>
      </c>
      <c r="N362" s="15" t="n">
        <f aca="false">0</f>
        <v>0</v>
      </c>
      <c r="O362" s="15" t="n">
        <f aca="false">0</f>
        <v>0</v>
      </c>
      <c r="P362" s="15" t="n">
        <f aca="false">M362+N362-O362</f>
        <v>35763.4166280556</v>
      </c>
      <c r="Q362" s="15" t="n">
        <f aca="false">SUM(P353:P362)+Parametri_v3!$C$56*10/12</f>
        <v>357946.666280556</v>
      </c>
      <c r="R362" s="15" t="n">
        <f aca="false">Z352</f>
        <v>0</v>
      </c>
      <c r="S362" s="15" t="n">
        <f aca="false">AA352</f>
        <v>0</v>
      </c>
      <c r="T362" s="15" t="n">
        <f aca="false">MIN(R362,MAX(0,Q362))</f>
        <v>0</v>
      </c>
      <c r="U362" s="15" t="n">
        <f aca="false">MIN(S362,MAX(0,Q362-T362)*Parametri_v3!$C$42)</f>
        <v>0</v>
      </c>
      <c r="V362" s="15" t="n">
        <f aca="false">MAX(0,Q362-T362-U362)*Ipotesi!$C$92</f>
        <v>85907.1999073333</v>
      </c>
      <c r="W362" s="15" t="n">
        <f aca="false">MAX(0,SUM(M353:M362)+Parametri_v3!$C$57*10/12)*Ipotesi!$C$93</f>
        <v>13959.9199849417</v>
      </c>
      <c r="X362" s="15" t="n">
        <f aca="false">V362+W362-(V361+W361)</f>
        <v>9977.99323922752</v>
      </c>
      <c r="Y362" s="15" t="n">
        <f aca="false">P362-X362</f>
        <v>25785.423388828</v>
      </c>
      <c r="Z362" s="15" t="n">
        <f aca="false">R362-T362+IF(AND(Parametri_v3!$C$40=1,D362-YEAR(Parametri_v3!$C$50)&lt;Parametri_v3!$C$41),MAX(0,-Q362),0)</f>
        <v>0</v>
      </c>
      <c r="AA362" s="15" t="n">
        <f aca="false">S362-U362+IF(AND(Parametri_v3!$C$40=1,D362-YEAR(Parametri_v3!$C$50)&lt;Parametri_v3!$C$41),0,MAX(0,-Q362))</f>
        <v>0</v>
      </c>
      <c r="AB362" s="15" t="n">
        <f aca="false">F362*(1+Parametri_v3!$C$26)</f>
        <v>141469.166666667</v>
      </c>
      <c r="AC362" s="15" t="n">
        <f aca="false">(IF(58-(INT((Motore_Operativo!L362)/30))&lt;1,0,INDEX(Motore_Advisory!$AB$305:$AB$364,MAX(1,58-(INT((Motore_Operativo!L362)/30)))))*(1-(MOD((Motore_Operativo!L362),30)/30))+IF(58-(INT((Motore_Operativo!L362)/30))-1&lt;1,0,INDEX(Motore_Advisory!$AB$305:$AB$364,MAX(1,58-(INT((Motore_Operativo!L362)/30))-1)))*(MOD((Motore_Operativo!L362),30)/30))</f>
        <v>141469.166666667</v>
      </c>
      <c r="AD362" s="15" t="n">
        <f aca="false">(AD361)+AB362-AC362</f>
        <v>424407.5</v>
      </c>
      <c r="AE362" s="15" t="n">
        <f aca="false">Motore_Operativo!BH362*(1+Parametri_v3!$C$26)</f>
        <v>14146.9166666667</v>
      </c>
      <c r="AF362" s="15" t="n">
        <f aca="false">(IF(58-(INT((Parametri_v3!$C$29)/30))&lt;1,0,INDEX(Motore_Operativo!$BH$305:$BH$364,MAX(1,58-(INT((Parametri_v3!$C$29)/30)))))*(1-(MOD((Parametri_v3!$C$29),30)/30))+IF(58-(INT((Parametri_v3!$C$29)/30))-1&lt;1,0,INDEX(Motore_Operativo!$BH$305:$BH$364,MAX(1,58-(INT((Parametri_v3!$C$29)/30))-1)))*(MOD((Parametri_v3!$C$29),30)/30))*(1+Parametri_v3!$C$26)</f>
        <v>14146.9166666667</v>
      </c>
      <c r="AG362" s="15" t="n">
        <f aca="false">(AG361)+AE362-AF362</f>
        <v>14146.9166666667</v>
      </c>
      <c r="AH362" s="15" t="n">
        <f aca="false">(Motore_Operativo!CK362)*(1+Parametri_v3!$C$28*Parametri_v3!$C$26)</f>
        <v>27831.02</v>
      </c>
      <c r="AI362" s="15" t="n">
        <f aca="false">(IF(58-(INT((Ipotesi!$C$91)/30))&lt;1,0,INDEX(Motore_Advisory!$AH$305:$AH$364,MAX(1,58-(INT((Ipotesi!$C$91)/30)))))*(1-(MOD((Ipotesi!$C$91),30)/30))+IF(58-(INT((Ipotesi!$C$91)/30))-1&lt;1,0,INDEX(Motore_Advisory!$AH$305:$AH$364,MAX(1,58-(INT((Ipotesi!$C$91)/30))-1)))*(MOD((Ipotesi!$C$91),30)/30))</f>
        <v>27831.02</v>
      </c>
      <c r="AJ362" s="15" t="n">
        <f aca="false">(AJ361)+AH362-AI362</f>
        <v>55662.04</v>
      </c>
      <c r="AK362" s="15" t="n">
        <f aca="false">(F362- Motore_Operativo!BH362-(Motore_Operativo!CK362)*Parametri_v3!$C$28-Motore_Operativo!CF362)*Parametri_v3!$C$26</f>
        <v>18647.8966666667</v>
      </c>
      <c r="AL362" s="15" t="n">
        <f aca="false">MAX(0,(AM361))</f>
        <v>18647.8966666667</v>
      </c>
      <c r="AM362" s="15" t="n">
        <f aca="false">(AM361)+AK362-AL362</f>
        <v>18647.8966666667</v>
      </c>
      <c r="AN362" s="15" t="n">
        <f aca="false">SUM(X341:X352)</f>
        <v>91149.8045405</v>
      </c>
      <c r="AO362" s="15" t="n">
        <f aca="false">SUM(AP341:AP352)</f>
        <v>46679.99375</v>
      </c>
      <c r="AP362" s="15" t="n">
        <f aca="false">MAX(0,AN362)*IF(10=Parametri_v3!$C$43,Parametri_v3!$C$45,IF(10=Parametri_v3!$C$44,1-Parametri_v3!$C$45,0))</f>
        <v>0</v>
      </c>
      <c r="AQ362" s="15" t="n">
        <f aca="false">MAX(0,AP362+IF(10=Parametri_v3!$C$43,MAX(0,AN362-AO362),0)-MAX(0,-(AR361)))</f>
        <v>0</v>
      </c>
      <c r="AR362" s="15" t="n">
        <f aca="false">(AR361)+X362-AQ362</f>
        <v>63407.198076075</v>
      </c>
      <c r="AS362" s="15" t="n">
        <f aca="false">Motore_Operativo!AC362-AT362+AU362</f>
        <v>42145.6153144583</v>
      </c>
      <c r="AT362" s="15" t="n">
        <f aca="false">Motore_Operativo!CI362</f>
        <v>2218.19027970833</v>
      </c>
      <c r="AU362" s="15" t="n">
        <f aca="false">MIN(MAX(0,(AV361)+AT362),Parametri_v3!$C$61/12)</f>
        <v>0</v>
      </c>
      <c r="AV362" s="15" t="n">
        <f aca="false">(AV361)+AT362-AU362</f>
        <v>70458.7443220833</v>
      </c>
      <c r="AW362" s="15" t="n">
        <f aca="false">IF(AND(Motore_Operativo!C362=Finanziamenti!$D$7,Finanziamenti!$F$7=1),Finanziamenti!$C$7,0)</f>
        <v>0</v>
      </c>
      <c r="AX362" s="15" t="n">
        <f aca="false">0</f>
        <v>0</v>
      </c>
      <c r="AY362" s="15" t="n">
        <f aca="false">IF(10=Parametri_v3!$C$33,IF(BV362&lt;MIN(12,$B362-1),0,MIN(MAX(0,SUM(Y341:Y352))*Ipotesi!$C$94,MAX(0,(BM352)-(BO361)-BP362),MAX(0,BD362-Parametri_v3!$C$31))),0)</f>
        <v>0</v>
      </c>
      <c r="AZ362" s="15" t="n">
        <f aca="false">0</f>
        <v>0</v>
      </c>
      <c r="BA362" s="15" t="n">
        <f aca="false">0</f>
        <v>0</v>
      </c>
      <c r="BB362" s="15" t="n">
        <f aca="false">0</f>
        <v>0</v>
      </c>
      <c r="BC362" s="15" t="n">
        <f aca="false">0</f>
        <v>0</v>
      </c>
      <c r="BD362" s="15" t="n">
        <f aca="false">(BH361)+AC362-AF362-AI362-AS362-K362*(1+Parametri_v3!$C$26)-AL362-AQ362-O362+AW362+AX362+AZ362+BA362-BB362</f>
        <v>320817.908921294</v>
      </c>
      <c r="BE362" s="15" t="n">
        <f aca="false">0</f>
        <v>0</v>
      </c>
      <c r="BF362" s="15" t="n">
        <f aca="false">0</f>
        <v>0</v>
      </c>
      <c r="BG362" s="15" t="n">
        <f aca="false">0</f>
        <v>0</v>
      </c>
      <c r="BH362" s="15" t="n">
        <f aca="false">BD362+BE362-BF362-AY362</f>
        <v>320817.908921294</v>
      </c>
      <c r="BI362" s="15" t="n">
        <f aca="false">MAX(0,Parametri_v3!$C$31-BH362)</f>
        <v>0</v>
      </c>
      <c r="BJ362" s="15" t="n">
        <f aca="false">(BJ361)+K362</f>
        <v>27666.6666666667</v>
      </c>
      <c r="BK362" s="15" t="n">
        <f aca="false">(BK361)+L362</f>
        <v>16631.9444444444</v>
      </c>
      <c r="BL362" s="15" t="n">
        <f aca="false">BJ362-BK362</f>
        <v>11034.7222222222</v>
      </c>
      <c r="BM362" s="15" t="n">
        <f aca="false">(BM361)+Y362</f>
        <v>692029.243238996</v>
      </c>
      <c r="BN362" s="15" t="n">
        <f aca="false">(BN361)+AW362+AX362+AZ362</f>
        <v>20000</v>
      </c>
      <c r="BO362" s="15" t="n">
        <f aca="false">(BO361)+AY362</f>
        <v>178091.907826972</v>
      </c>
      <c r="BP362" s="15" t="n">
        <f aca="false">MIN(Parametri_v3!$C$36*Parametri_v3!$C$35,(BP361)+IF(10=1,MAX(0,SUM(Y341:Y352))*Parametri_v3!$C$34,0))</f>
        <v>2000</v>
      </c>
      <c r="BQ362" s="15" t="n">
        <f aca="false">BN362+BM362-BO362</f>
        <v>533937.335412024</v>
      </c>
      <c r="BR362" s="15" t="n">
        <f aca="false">BH362+AD362+BL362+MAX(0,-AM362)+MAX(0,-AR362)</f>
        <v>756260.131143516</v>
      </c>
      <c r="BS362" s="15" t="n">
        <f aca="false">AJ362+AV362+MAX(0,AM362)+MAX(0,AR362)+BC362+BG362+BQ362+AG362</f>
        <v>756260.131143516</v>
      </c>
      <c r="BT362" s="15" t="n">
        <f aca="false">BR362-BS362</f>
        <v>0</v>
      </c>
      <c r="BU362" s="15" t="n">
        <f aca="false">BH362-(BD362+BE362-BF362-AY362)</f>
        <v>0</v>
      </c>
      <c r="BV362" s="15" t="n">
        <f aca="false">IF(BH361&lt;Parametri_v3!$C$31,0,BV361+1)</f>
        <v>29</v>
      </c>
    </row>
    <row r="363" customFormat="false" ht="18" hidden="false" customHeight="true" outlineLevel="0" collapsed="false">
      <c r="A363" s="68" t="n">
        <f aca="false">6</f>
        <v>6</v>
      </c>
      <c r="B363" s="68" t="n">
        <f aca="false">59</f>
        <v>59</v>
      </c>
      <c r="C363" s="18" t="n">
        <f aca="false">Motore_Operativo!C363</f>
        <v>48153</v>
      </c>
      <c r="D363" s="68" t="n">
        <f aca="false">Motore_Operativo!D363</f>
        <v>2031</v>
      </c>
      <c r="E363" s="68" t="n">
        <f aca="false">Motore_Operativo!E363</f>
        <v>11</v>
      </c>
      <c r="F363" s="15" t="n">
        <f aca="false">Motore_Operativo!AM363</f>
        <v>115958.333333333</v>
      </c>
      <c r="G363" s="15" t="n">
        <f aca="false">Motore_Operativo!BH363</f>
        <v>11595.8333333333</v>
      </c>
      <c r="H363" s="15" t="n">
        <f aca="false">Motore_Operativo!AM363</f>
        <v>115958.333333333</v>
      </c>
      <c r="I363" s="15" t="n">
        <f aca="false">Motore_Operativo!CB363</f>
        <v>79625.4722608333</v>
      </c>
      <c r="J363" s="15" t="n">
        <f aca="false">Motore_Operativo!CD363</f>
        <v>36332.8610725</v>
      </c>
      <c r="K363" s="15" t="n">
        <f aca="false">Motore_Operativo!CF363</f>
        <v>666.666666666667</v>
      </c>
      <c r="L363" s="15" t="n">
        <f aca="false">SUM(INDEX($K$305:$K$364,MAX(1,59-Parametri_v3!$C$59+1)):K363)/Parametri_v3!$C$59</f>
        <v>576.388888888889</v>
      </c>
      <c r="M363" s="15" t="n">
        <f aca="false">J363-L363</f>
        <v>35756.4721836111</v>
      </c>
      <c r="N363" s="15" t="n">
        <f aca="false">0</f>
        <v>0</v>
      </c>
      <c r="O363" s="15" t="n">
        <f aca="false">0</f>
        <v>0</v>
      </c>
      <c r="P363" s="15" t="n">
        <f aca="false">M363+N363-O363</f>
        <v>35756.4721836111</v>
      </c>
      <c r="Q363" s="15" t="n">
        <f aca="false">SUM(P353:P363)+Parametri_v3!$C$56*11/12</f>
        <v>393703.138464167</v>
      </c>
      <c r="R363" s="15" t="n">
        <f aca="false">Z352</f>
        <v>0</v>
      </c>
      <c r="S363" s="15" t="n">
        <f aca="false">AA352</f>
        <v>0</v>
      </c>
      <c r="T363" s="15" t="n">
        <f aca="false">MIN(R363,MAX(0,Q363))</f>
        <v>0</v>
      </c>
      <c r="U363" s="15" t="n">
        <f aca="false">MIN(S363,MAX(0,Q363-T363)*Parametri_v3!$C$42)</f>
        <v>0</v>
      </c>
      <c r="V363" s="15" t="n">
        <f aca="false">MAX(0,Q363-T363-U363)*Ipotesi!$C$92</f>
        <v>94488.7532314</v>
      </c>
      <c r="W363" s="15" t="n">
        <f aca="false">MAX(0,SUM(M353:M363)+Parametri_v3!$C$57*11/12)*Ipotesi!$C$93</f>
        <v>15354.4224001025</v>
      </c>
      <c r="X363" s="15" t="n">
        <f aca="false">V363+W363-(V362+W362)</f>
        <v>9976.05573922749</v>
      </c>
      <c r="Y363" s="15" t="n">
        <f aca="false">P363-X363</f>
        <v>25780.4164443836</v>
      </c>
      <c r="Z363" s="15" t="n">
        <f aca="false">R363-T363+IF(AND(Parametri_v3!$C$40=1,D363-YEAR(Parametri_v3!$C$50)&lt;Parametri_v3!$C$41),MAX(0,-Q363),0)</f>
        <v>0</v>
      </c>
      <c r="AA363" s="15" t="n">
        <f aca="false">S363-U363+IF(AND(Parametri_v3!$C$40=1,D363-YEAR(Parametri_v3!$C$50)&lt;Parametri_v3!$C$41),0,MAX(0,-Q363))</f>
        <v>0</v>
      </c>
      <c r="AB363" s="15" t="n">
        <f aca="false">F363*(1+Parametri_v3!$C$26)</f>
        <v>141469.166666667</v>
      </c>
      <c r="AC363" s="15" t="n">
        <f aca="false">(IF(59-(INT((Motore_Operativo!L363)/30))&lt;1,0,INDEX(Motore_Advisory!$AB$305:$AB$364,MAX(1,59-(INT((Motore_Operativo!L363)/30)))))*(1-(MOD((Motore_Operativo!L363),30)/30))+IF(59-(INT((Motore_Operativo!L363)/30))-1&lt;1,0,INDEX(Motore_Advisory!$AB$305:$AB$364,MAX(1,59-(INT((Motore_Operativo!L363)/30))-1)))*(MOD((Motore_Operativo!L363),30)/30))</f>
        <v>141469.166666667</v>
      </c>
      <c r="AD363" s="15" t="n">
        <f aca="false">(AD362)+AB363-AC363</f>
        <v>424407.5</v>
      </c>
      <c r="AE363" s="15" t="n">
        <f aca="false">Motore_Operativo!BH363*(1+Parametri_v3!$C$26)</f>
        <v>14146.9166666667</v>
      </c>
      <c r="AF363" s="15" t="n">
        <f aca="false">(IF(59-(INT((Parametri_v3!$C$29)/30))&lt;1,0,INDEX(Motore_Operativo!$BH$305:$BH$364,MAX(1,59-(INT((Parametri_v3!$C$29)/30)))))*(1-(MOD((Parametri_v3!$C$29),30)/30))+IF(59-(INT((Parametri_v3!$C$29)/30))-1&lt;1,0,INDEX(Motore_Operativo!$BH$305:$BH$364,MAX(1,59-(INT((Parametri_v3!$C$29)/30))-1)))*(MOD((Parametri_v3!$C$29),30)/30))*(1+Parametri_v3!$C$26)</f>
        <v>14146.9166666667</v>
      </c>
      <c r="AG363" s="15" t="n">
        <f aca="false">(AG362)+AE363-AF363</f>
        <v>14146.9166666667</v>
      </c>
      <c r="AH363" s="15" t="n">
        <f aca="false">(Motore_Operativo!CK363)*(1+Parametri_v3!$C$28*Parametri_v3!$C$26)</f>
        <v>27831.02</v>
      </c>
      <c r="AI363" s="15" t="n">
        <f aca="false">(IF(59-(INT((Ipotesi!$C$91)/30))&lt;1,0,INDEX(Motore_Advisory!$AH$305:$AH$364,MAX(1,59-(INT((Ipotesi!$C$91)/30)))))*(1-(MOD((Ipotesi!$C$91),30)/30))+IF(59-(INT((Ipotesi!$C$91)/30))-1&lt;1,0,INDEX(Motore_Advisory!$AH$305:$AH$364,MAX(1,59-(INT((Ipotesi!$C$91)/30))-1)))*(MOD((Ipotesi!$C$91),30)/30))</f>
        <v>27831.02</v>
      </c>
      <c r="AJ363" s="15" t="n">
        <f aca="false">(AJ362)+AH363-AI363</f>
        <v>55662.04</v>
      </c>
      <c r="AK363" s="15" t="n">
        <f aca="false">(F363- Motore_Operativo!BH363-(Motore_Operativo!CK363)*Parametri_v3!$C$28-Motore_Operativo!CF363)*Parametri_v3!$C$26</f>
        <v>18647.8966666667</v>
      </c>
      <c r="AL363" s="15" t="n">
        <f aca="false">MAX(0,(AM362))</f>
        <v>18647.8966666667</v>
      </c>
      <c r="AM363" s="15" t="n">
        <f aca="false">(AM362)+AK363-AL363</f>
        <v>18647.8966666667</v>
      </c>
      <c r="AN363" s="15" t="n">
        <f aca="false">SUM(X341:X352)</f>
        <v>91149.8045405</v>
      </c>
      <c r="AO363" s="15" t="n">
        <f aca="false">SUM(AP341:AP352)</f>
        <v>46679.99375</v>
      </c>
      <c r="AP363" s="15" t="n">
        <f aca="false">MAX(0,AN363)*IF(11=Parametri_v3!$C$43,Parametri_v3!$C$45,IF(11=Parametri_v3!$C$44,1-Parametri_v3!$C$45,0))</f>
        <v>54689.8827243</v>
      </c>
      <c r="AQ363" s="15" t="n">
        <f aca="false">MAX(0,AP363+IF(11=Parametri_v3!$C$43,MAX(0,AN363-AO363),0)-MAX(0,-(AR362)))</f>
        <v>54689.8827243</v>
      </c>
      <c r="AR363" s="15" t="n">
        <f aca="false">(AR362)+X363-AQ363</f>
        <v>18693.3710910025</v>
      </c>
      <c r="AS363" s="15" t="n">
        <f aca="false">Motore_Operativo!AC363-AT363+AU363</f>
        <v>42145.6153144583</v>
      </c>
      <c r="AT363" s="15" t="n">
        <f aca="false">Motore_Operativo!CI363</f>
        <v>2218.19027970833</v>
      </c>
      <c r="AU363" s="15" t="n">
        <f aca="false">MIN(MAX(0,(AV362)+AT363),Parametri_v3!$C$61/12)</f>
        <v>0</v>
      </c>
      <c r="AV363" s="15" t="n">
        <f aca="false">(AV362)+AT363-AU363</f>
        <v>72676.9346017917</v>
      </c>
      <c r="AW363" s="15" t="n">
        <f aca="false">IF(AND(Motore_Operativo!C363=Finanziamenti!$D$7,Finanziamenti!$F$7=1),Finanziamenti!$C$7,0)</f>
        <v>0</v>
      </c>
      <c r="AX363" s="15" t="n">
        <f aca="false">0</f>
        <v>0</v>
      </c>
      <c r="AY363" s="15" t="n">
        <f aca="false">IF(11=Parametri_v3!$C$33,IF(BV363&lt;MIN(12,$B363-1),0,MIN(MAX(0,SUM(Y341:Y352))*Ipotesi!$C$94,MAX(0,(BM352)-(BO362)-BP363),MAX(0,BD363-Parametri_v3!$C$31))),0)</f>
        <v>0</v>
      </c>
      <c r="AZ363" s="15" t="n">
        <f aca="false">0</f>
        <v>0</v>
      </c>
      <c r="BA363" s="15" t="n">
        <f aca="false">0</f>
        <v>0</v>
      </c>
      <c r="BB363" s="15" t="n">
        <f aca="false">0</f>
        <v>0</v>
      </c>
      <c r="BC363" s="15" t="n">
        <f aca="false">0</f>
        <v>0</v>
      </c>
      <c r="BD363" s="15" t="n">
        <f aca="false">(BH362)+AC363-AF363-AI363-AS363-K363*(1+Parametri_v3!$C$26)-AL363-AQ363-O363+AW363+AX363+AZ363+BA363-BB363</f>
        <v>304012.410882535</v>
      </c>
      <c r="BE363" s="15" t="n">
        <f aca="false">0</f>
        <v>0</v>
      </c>
      <c r="BF363" s="15" t="n">
        <f aca="false">0</f>
        <v>0</v>
      </c>
      <c r="BG363" s="15" t="n">
        <f aca="false">0</f>
        <v>0</v>
      </c>
      <c r="BH363" s="15" t="n">
        <f aca="false">BD363+BE363-BF363-AY363</f>
        <v>304012.410882535</v>
      </c>
      <c r="BI363" s="15" t="n">
        <f aca="false">MAX(0,Parametri_v3!$C$31-BH363)</f>
        <v>0</v>
      </c>
      <c r="BJ363" s="15" t="n">
        <f aca="false">(BJ362)+K363</f>
        <v>28333.3333333333</v>
      </c>
      <c r="BK363" s="15" t="n">
        <f aca="false">(BK362)+L363</f>
        <v>17208.3333333333</v>
      </c>
      <c r="BL363" s="15" t="n">
        <f aca="false">BJ363-BK363</f>
        <v>11125</v>
      </c>
      <c r="BM363" s="15" t="n">
        <f aca="false">(BM362)+Y363</f>
        <v>717809.65968338</v>
      </c>
      <c r="BN363" s="15" t="n">
        <f aca="false">(BN362)+AW363+AX363+AZ363</f>
        <v>20000</v>
      </c>
      <c r="BO363" s="15" t="n">
        <f aca="false">(BO362)+AY363</f>
        <v>178091.907826972</v>
      </c>
      <c r="BP363" s="15" t="n">
        <f aca="false">MIN(Parametri_v3!$C$36*Parametri_v3!$C$35,(BP362)+IF(11=1,MAX(0,SUM(Y341:Y352))*Parametri_v3!$C$34,0))</f>
        <v>2000</v>
      </c>
      <c r="BQ363" s="15" t="n">
        <f aca="false">BN363+BM363-BO363</f>
        <v>559717.751856408</v>
      </c>
      <c r="BR363" s="15" t="n">
        <f aca="false">BH363+AD363+BL363+MAX(0,-AM363)+MAX(0,-AR363)</f>
        <v>739544.910882535</v>
      </c>
      <c r="BS363" s="15" t="n">
        <f aca="false">AJ363+AV363+MAX(0,AM363)+MAX(0,AR363)+BC363+BG363+BQ363+AG363</f>
        <v>739544.910882535</v>
      </c>
      <c r="BT363" s="15" t="n">
        <f aca="false">BR363-BS363</f>
        <v>0</v>
      </c>
      <c r="BU363" s="15" t="n">
        <f aca="false">BH363-(BD363+BE363-BF363-AY363)</f>
        <v>0</v>
      </c>
      <c r="BV363" s="15" t="n">
        <f aca="false">IF(BH362&lt;Parametri_v3!$C$31,0,BV362+1)</f>
        <v>30</v>
      </c>
    </row>
    <row r="364" customFormat="false" ht="18" hidden="false" customHeight="true" outlineLevel="0" collapsed="false">
      <c r="A364" s="68" t="n">
        <f aca="false">6</f>
        <v>6</v>
      </c>
      <c r="B364" s="68" t="n">
        <f aca="false">60</f>
        <v>60</v>
      </c>
      <c r="C364" s="18" t="n">
        <f aca="false">Motore_Operativo!C364</f>
        <v>48183</v>
      </c>
      <c r="D364" s="68" t="n">
        <f aca="false">Motore_Operativo!D364</f>
        <v>2031</v>
      </c>
      <c r="E364" s="68" t="n">
        <f aca="false">Motore_Operativo!E364</f>
        <v>12</v>
      </c>
      <c r="F364" s="15" t="n">
        <f aca="false">Motore_Operativo!AM364</f>
        <v>115958.333333333</v>
      </c>
      <c r="G364" s="15" t="n">
        <f aca="false">Motore_Operativo!BH364</f>
        <v>11595.8333333333</v>
      </c>
      <c r="H364" s="15" t="n">
        <f aca="false">Motore_Operativo!AM364</f>
        <v>115958.333333333</v>
      </c>
      <c r="I364" s="15" t="n">
        <f aca="false">Motore_Operativo!CB364</f>
        <v>79625.4722608333</v>
      </c>
      <c r="J364" s="15" t="n">
        <f aca="false">Motore_Operativo!CD364</f>
        <v>36332.8610725</v>
      </c>
      <c r="K364" s="15" t="n">
        <f aca="false">Motore_Operativo!CF364</f>
        <v>666.666666666667</v>
      </c>
      <c r="L364" s="15" t="n">
        <f aca="false">SUM(INDEX($K$305:$K$364,MAX(1,60-Parametri_v3!$C$59+1)):K364)/Parametri_v3!$C$59</f>
        <v>583.333333333333</v>
      </c>
      <c r="M364" s="15" t="n">
        <f aca="false">J364-L364</f>
        <v>35749.5277391667</v>
      </c>
      <c r="N364" s="15" t="n">
        <f aca="false">0</f>
        <v>0</v>
      </c>
      <c r="O364" s="15" t="n">
        <f aca="false">0</f>
        <v>0</v>
      </c>
      <c r="P364" s="15" t="n">
        <f aca="false">M364+N364-O364</f>
        <v>35749.5277391667</v>
      </c>
      <c r="Q364" s="15" t="n">
        <f aca="false">SUM(P353:P364)+Parametri_v3!$C$56*12/12</f>
        <v>429452.666203333</v>
      </c>
      <c r="R364" s="15" t="n">
        <f aca="false">Z352</f>
        <v>0</v>
      </c>
      <c r="S364" s="15" t="n">
        <f aca="false">AA352</f>
        <v>0</v>
      </c>
      <c r="T364" s="15" t="n">
        <f aca="false">MIN(R364,MAX(0,Q364))</f>
        <v>0</v>
      </c>
      <c r="U364" s="15" t="n">
        <f aca="false">MIN(S364,MAX(0,Q364-T364)*Parametri_v3!$C$42)</f>
        <v>0</v>
      </c>
      <c r="V364" s="15" t="n">
        <f aca="false">MAX(0,Q364-T364-U364)*Ipotesi!$C$92</f>
        <v>103068.6398888</v>
      </c>
      <c r="W364" s="15" t="n">
        <f aca="false">MAX(0,SUM(M353:M364)+Parametri_v3!$C$57*12/12)*Ipotesi!$C$93</f>
        <v>16748.65398193</v>
      </c>
      <c r="X364" s="15" t="n">
        <f aca="false">V364+W364-(V363+W363)</f>
        <v>9974.11823922749</v>
      </c>
      <c r="Y364" s="15" t="n">
        <f aca="false">P364-X364</f>
        <v>25775.4094999392</v>
      </c>
      <c r="Z364" s="15" t="n">
        <f aca="false">R364-T364+IF(AND(Parametri_v3!$C$40=1,D364-YEAR(Parametri_v3!$C$50)&lt;Parametri_v3!$C$41),MAX(0,-Q364),0)</f>
        <v>0</v>
      </c>
      <c r="AA364" s="15" t="n">
        <f aca="false">S364-U364+IF(AND(Parametri_v3!$C$40=1,D364-YEAR(Parametri_v3!$C$50)&lt;Parametri_v3!$C$41),0,MAX(0,-Q364))</f>
        <v>0</v>
      </c>
      <c r="AB364" s="15" t="n">
        <f aca="false">F364*(1+Parametri_v3!$C$26)</f>
        <v>141469.166666667</v>
      </c>
      <c r="AC364" s="15" t="n">
        <f aca="false">(IF(60-(INT((Motore_Operativo!L364)/30))&lt;1,0,INDEX(Motore_Advisory!$AB$305:$AB$364,MAX(1,60-(INT((Motore_Operativo!L364)/30)))))*(1-(MOD((Motore_Operativo!L364),30)/30))+IF(60-(INT((Motore_Operativo!L364)/30))-1&lt;1,0,INDEX(Motore_Advisory!$AB$305:$AB$364,MAX(1,60-(INT((Motore_Operativo!L364)/30))-1)))*(MOD((Motore_Operativo!L364),30)/30))</f>
        <v>141469.166666667</v>
      </c>
      <c r="AD364" s="15" t="n">
        <f aca="false">(AD363)+AB364-AC364</f>
        <v>424407.5</v>
      </c>
      <c r="AE364" s="15" t="n">
        <f aca="false">Motore_Operativo!BH364*(1+Parametri_v3!$C$26)</f>
        <v>14146.9166666667</v>
      </c>
      <c r="AF364" s="15" t="n">
        <f aca="false">(IF(60-(INT((Parametri_v3!$C$29)/30))&lt;1,0,INDEX(Motore_Operativo!$BH$305:$BH$364,MAX(1,60-(INT((Parametri_v3!$C$29)/30)))))*(1-(MOD((Parametri_v3!$C$29),30)/30))+IF(60-(INT((Parametri_v3!$C$29)/30))-1&lt;1,0,INDEX(Motore_Operativo!$BH$305:$BH$364,MAX(1,60-(INT((Parametri_v3!$C$29)/30))-1)))*(MOD((Parametri_v3!$C$29),30)/30))*(1+Parametri_v3!$C$26)</f>
        <v>14146.9166666667</v>
      </c>
      <c r="AG364" s="15" t="n">
        <f aca="false">(AG363)+AE364-AF364</f>
        <v>14146.9166666667</v>
      </c>
      <c r="AH364" s="15" t="n">
        <f aca="false">(Motore_Operativo!CK364)*(1+Parametri_v3!$C$28*Parametri_v3!$C$26)</f>
        <v>27831.02</v>
      </c>
      <c r="AI364" s="15" t="n">
        <f aca="false">(IF(60-(INT((Ipotesi!$C$91)/30))&lt;1,0,INDEX(Motore_Advisory!$AH$305:$AH$364,MAX(1,60-(INT((Ipotesi!$C$91)/30)))))*(1-(MOD((Ipotesi!$C$91),30)/30))+IF(60-(INT((Ipotesi!$C$91)/30))-1&lt;1,0,INDEX(Motore_Advisory!$AH$305:$AH$364,MAX(1,60-(INT((Ipotesi!$C$91)/30))-1)))*(MOD((Ipotesi!$C$91),30)/30))</f>
        <v>27831.02</v>
      </c>
      <c r="AJ364" s="15" t="n">
        <f aca="false">(AJ363)+AH364-AI364</f>
        <v>55662.04</v>
      </c>
      <c r="AK364" s="15" t="n">
        <f aca="false">(F364- Motore_Operativo!BH364-(Motore_Operativo!CK364)*Parametri_v3!$C$28-Motore_Operativo!CF364)*Parametri_v3!$C$26</f>
        <v>18647.8966666667</v>
      </c>
      <c r="AL364" s="15" t="n">
        <f aca="false">MAX(0,(AM363))</f>
        <v>18647.8966666667</v>
      </c>
      <c r="AM364" s="15" t="n">
        <f aca="false">(AM363)+AK364-AL364</f>
        <v>18647.8966666667</v>
      </c>
      <c r="AN364" s="15" t="n">
        <f aca="false">SUM(X341:X352)</f>
        <v>91149.8045405</v>
      </c>
      <c r="AO364" s="15" t="n">
        <f aca="false">SUM(AP341:AP352)</f>
        <v>46679.99375</v>
      </c>
      <c r="AP364" s="15" t="n">
        <f aca="false">MAX(0,AN364)*IF(12=Parametri_v3!$C$43,Parametri_v3!$C$45,IF(12=Parametri_v3!$C$44,1-Parametri_v3!$C$45,0))</f>
        <v>0</v>
      </c>
      <c r="AQ364" s="15" t="n">
        <f aca="false">MAX(0,AP364+IF(12=Parametri_v3!$C$43,MAX(0,AN364-AO364),0)-MAX(0,-(AR363)))</f>
        <v>0</v>
      </c>
      <c r="AR364" s="15" t="n">
        <f aca="false">(AR363)+X364-AQ364</f>
        <v>28667.48933023</v>
      </c>
      <c r="AS364" s="15" t="n">
        <f aca="false">Motore_Operativo!AC364-AT364+AU364</f>
        <v>42145.6153144583</v>
      </c>
      <c r="AT364" s="15" t="n">
        <f aca="false">Motore_Operativo!CI364</f>
        <v>2218.19027970833</v>
      </c>
      <c r="AU364" s="15" t="n">
        <f aca="false">MIN(MAX(0,(AV363)+AT364),Parametri_v3!$C$61/12)</f>
        <v>0</v>
      </c>
      <c r="AV364" s="15" t="n">
        <f aca="false">(AV363)+AT364-AU364</f>
        <v>74895.1248815</v>
      </c>
      <c r="AW364" s="15" t="n">
        <f aca="false">IF(AND(Motore_Operativo!C364=Finanziamenti!$D$7,Finanziamenti!$F$7=1),Finanziamenti!$C$7,0)</f>
        <v>0</v>
      </c>
      <c r="AX364" s="15" t="n">
        <f aca="false">0</f>
        <v>0</v>
      </c>
      <c r="AY364" s="15" t="n">
        <f aca="false">IF(12=Parametri_v3!$C$33,IF(BV364&lt;MIN(12,$B364-1),0,MIN(MAX(0,SUM(Y341:Y352))*Ipotesi!$C$94,MAX(0,(BM352)-(BO363)-BP364),MAX(0,BD364-Parametri_v3!$C$31))),0)</f>
        <v>0</v>
      </c>
      <c r="AZ364" s="15" t="n">
        <f aca="false">0</f>
        <v>0</v>
      </c>
      <c r="BA364" s="15" t="n">
        <f aca="false">0</f>
        <v>0</v>
      </c>
      <c r="BB364" s="15" t="n">
        <f aca="false">0</f>
        <v>0</v>
      </c>
      <c r="BC364" s="15" t="n">
        <f aca="false">0</f>
        <v>0</v>
      </c>
      <c r="BD364" s="15" t="n">
        <f aca="false">(BH363)+AC364-AF364-AI364-AS364-K364*(1+Parametri_v3!$C$26)-AL364-AQ364-O364+AW364+AX364+AZ364+BA364-BB364</f>
        <v>341896.795568077</v>
      </c>
      <c r="BE364" s="15" t="n">
        <f aca="false">0</f>
        <v>0</v>
      </c>
      <c r="BF364" s="15" t="n">
        <f aca="false">0</f>
        <v>0</v>
      </c>
      <c r="BG364" s="15" t="n">
        <f aca="false">0</f>
        <v>0</v>
      </c>
      <c r="BH364" s="15" t="n">
        <f aca="false">BD364+BE364-BF364-AY364</f>
        <v>341896.795568077</v>
      </c>
      <c r="BI364" s="15" t="n">
        <f aca="false">MAX(0,Parametri_v3!$C$31-BH364)</f>
        <v>0</v>
      </c>
      <c r="BJ364" s="15" t="n">
        <f aca="false">(BJ363)+K364</f>
        <v>29000</v>
      </c>
      <c r="BK364" s="15" t="n">
        <f aca="false">(BK363)+L364</f>
        <v>17791.6666666667</v>
      </c>
      <c r="BL364" s="15" t="n">
        <f aca="false">BJ364-BK364</f>
        <v>11208.3333333334</v>
      </c>
      <c r="BM364" s="15" t="n">
        <f aca="false">(BM363)+Y364</f>
        <v>743585.069183319</v>
      </c>
      <c r="BN364" s="15" t="n">
        <f aca="false">(BN363)+AW364+AX364+AZ364</f>
        <v>20000</v>
      </c>
      <c r="BO364" s="15" t="n">
        <f aca="false">(BO363)+AY364</f>
        <v>178091.907826972</v>
      </c>
      <c r="BP364" s="15" t="n">
        <f aca="false">MIN(Parametri_v3!$C$36*Parametri_v3!$C$35,(BP363)+IF(12=1,MAX(0,SUM(Y341:Y352))*Parametri_v3!$C$34,0))</f>
        <v>2000</v>
      </c>
      <c r="BQ364" s="15" t="n">
        <f aca="false">BN364+BM364-BO364</f>
        <v>585493.161356347</v>
      </c>
      <c r="BR364" s="15" t="n">
        <f aca="false">BH364+AD364+BL364+MAX(0,-AM364)+MAX(0,-AR364)</f>
        <v>777512.628901411</v>
      </c>
      <c r="BS364" s="15" t="n">
        <f aca="false">AJ364+AV364+MAX(0,AM364)+MAX(0,AR364)+BC364+BG364+BQ364+AG364</f>
        <v>777512.62890141</v>
      </c>
      <c r="BT364" s="15" t="n">
        <f aca="false">BR364-BS364</f>
        <v>0</v>
      </c>
      <c r="BU364" s="15" t="n">
        <f aca="false">BH364-(BD364+BE364-BF364-AY364)</f>
        <v>0</v>
      </c>
      <c r="BV364" s="15" t="n">
        <f aca="false">IF(BH363&lt;Parametri_v3!$C$31,0,BV363+1)</f>
        <v>31</v>
      </c>
    </row>
    <row r="365" customFormat="false" ht="18" hidden="false" customHeight="true" outlineLevel="0" collapsed="false">
      <c r="A365" s="68" t="n">
        <f aca="false">7</f>
        <v>7</v>
      </c>
      <c r="B365" s="68" t="n">
        <f aca="false">1</f>
        <v>1</v>
      </c>
      <c r="C365" s="18" t="n">
        <f aca="false">Motore_Operativo!C365</f>
        <v>46388</v>
      </c>
      <c r="D365" s="68" t="n">
        <f aca="false">Motore_Operativo!D365</f>
        <v>2027</v>
      </c>
      <c r="E365" s="68" t="n">
        <f aca="false">Motore_Operativo!E365</f>
        <v>1</v>
      </c>
      <c r="F365" s="15" t="n">
        <f aca="false">Motore_Operativo!AM365</f>
        <v>16210.5263157895</v>
      </c>
      <c r="G365" s="15" t="n">
        <f aca="false">Motore_Operativo!BH365</f>
        <v>1621.05263157895</v>
      </c>
      <c r="H365" s="15" t="n">
        <f aca="false">Motore_Operativo!AM365</f>
        <v>16210.5263157895</v>
      </c>
      <c r="I365" s="15" t="n">
        <f aca="false">Motore_Operativo!CB365</f>
        <v>12114.5175438596</v>
      </c>
      <c r="J365" s="15" t="n">
        <f aca="false">Motore_Operativo!CD365</f>
        <v>4096.00877192982</v>
      </c>
      <c r="K365" s="15" t="n">
        <f aca="false">Motore_Operativo!CF365</f>
        <v>250</v>
      </c>
      <c r="L365" s="15" t="n">
        <f aca="false">SUM(INDEX($K$365:$K$424,MAX(1,1-Parametri_v3!$C$59+1)):K365)/Parametri_v3!$C$59</f>
        <v>6.94444444444445</v>
      </c>
      <c r="M365" s="15" t="n">
        <f aca="false">J365-L365</f>
        <v>4089.06432748538</v>
      </c>
      <c r="N365" s="15" t="n">
        <f aca="false">0</f>
        <v>0</v>
      </c>
      <c r="O365" s="15" t="n">
        <f aca="false">0</f>
        <v>0</v>
      </c>
      <c r="P365" s="15" t="n">
        <f aca="false">M365+N365-O365</f>
        <v>4089.06432748538</v>
      </c>
      <c r="Q365" s="15" t="n">
        <f aca="false">SUM(P365)+Parametri_v3!$C$56*1/12</f>
        <v>4089.06432748538</v>
      </c>
      <c r="R365" s="15" t="n">
        <f aca="false">0</f>
        <v>0</v>
      </c>
      <c r="S365" s="15" t="n">
        <f aca="false">0</f>
        <v>0</v>
      </c>
      <c r="T365" s="15" t="n">
        <f aca="false">MIN(R365,MAX(0,Q365))</f>
        <v>0</v>
      </c>
      <c r="U365" s="15" t="n">
        <f aca="false">MIN(S365,MAX(0,Q365-T365)*Parametri_v3!$C$42)</f>
        <v>0</v>
      </c>
      <c r="V365" s="15" t="n">
        <f aca="false">MAX(0,Q365-T365-U365)*Ipotesi!$C$92</f>
        <v>981.375438596491</v>
      </c>
      <c r="W365" s="15" t="n">
        <f aca="false">MAX(0,SUM(M365)+Parametri_v3!$C$57*1/12)*Ipotesi!$C$93</f>
        <v>159.47350877193</v>
      </c>
      <c r="X365" s="15" t="n">
        <f aca="false">V365+W365-(0)</f>
        <v>1140.84894736842</v>
      </c>
      <c r="Y365" s="15" t="n">
        <f aca="false">P365-X365</f>
        <v>2948.21538011696</v>
      </c>
      <c r="Z365" s="15" t="n">
        <f aca="false">R365-T365+IF(AND(Parametri_v3!$C$40=1,D365-YEAR(Parametri_v3!$C$50)&lt;Parametri_v3!$C$41),MAX(0,-Q365),0)</f>
        <v>0</v>
      </c>
      <c r="AA365" s="15" t="n">
        <f aca="false">S365-U365+IF(AND(Parametri_v3!$C$40=1,D365-YEAR(Parametri_v3!$C$50)&lt;Parametri_v3!$C$41),0,MAX(0,-Q365))</f>
        <v>0</v>
      </c>
      <c r="AB365" s="15" t="n">
        <f aca="false">F365*(1+Parametri_v3!$C$26)</f>
        <v>19776.8421052632</v>
      </c>
      <c r="AC365" s="15" t="n">
        <f aca="false">(IF(1-(INT((Motore_Operativo!L365)/30))&lt;1,0,INDEX(Motore_Advisory!$AB$365:$AB$424,MAX(1,1-(INT((Motore_Operativo!L365)/30)))))*(1-(MOD((Motore_Operativo!L365),30)/30))+IF(1-(INT((Motore_Operativo!L365)/30))-1&lt;1,0,INDEX(Motore_Advisory!$AB$365:$AB$424,MAX(1,1-(INT((Motore_Operativo!L365)/30))-1)))*(MOD((Motore_Operativo!L365),30)/30))</f>
        <v>0</v>
      </c>
      <c r="AD365" s="15" t="n">
        <f aca="false">(0)+AB365-AC365</f>
        <v>19776.8421052632</v>
      </c>
      <c r="AE365" s="15" t="n">
        <f aca="false">Motore_Operativo!BH365*(1+Parametri_v3!$C$26)</f>
        <v>1977.68421052632</v>
      </c>
      <c r="AF365" s="15" t="n">
        <f aca="false">(IF(1-(INT((Parametri_v3!$C$29)/30))&lt;1,0,INDEX(Motore_Operativo!$BH$365:$BH$424,MAX(1,1-(INT((Parametri_v3!$C$29)/30)))))*(1-(MOD((Parametri_v3!$C$29),30)/30))+IF(1-(INT((Parametri_v3!$C$29)/30))-1&lt;1,0,INDEX(Motore_Operativo!$BH$365:$BH$424,MAX(1,1-(INT((Parametri_v3!$C$29)/30))-1)))*(MOD((Parametri_v3!$C$29),30)/30))*(1+Parametri_v3!$C$26)</f>
        <v>0</v>
      </c>
      <c r="AG365" s="15" t="n">
        <f aca="false">(0)+AE365-AF365</f>
        <v>1977.68421052632</v>
      </c>
      <c r="AH365" s="15" t="n">
        <f aca="false">(Motore_Operativo!CK365)*(1+Parametri_v3!$C$28*Parametri_v3!$C$26)</f>
        <v>6166.3147368421</v>
      </c>
      <c r="AI365" s="15" t="n">
        <f aca="false">(IF(1-(INT((Ipotesi!$C$91)/30))&lt;1,0,INDEX(Motore_Advisory!$AH$365:$AH$424,MAX(1,1-(INT((Ipotesi!$C$91)/30)))))*(1-(MOD((Ipotesi!$C$91),30)/30))+IF(1-(INT((Ipotesi!$C$91)/30))-1&lt;1,0,INDEX(Motore_Advisory!$AH$365:$AH$424,MAX(1,1-(INT((Ipotesi!$C$91)/30))-1)))*(MOD((Ipotesi!$C$91),30)/30))</f>
        <v>0</v>
      </c>
      <c r="AJ365" s="15" t="n">
        <f aca="false">(0)+AH365-AI365</f>
        <v>6166.3147368421</v>
      </c>
      <c r="AK365" s="15" t="n">
        <f aca="false">(F365- Motore_Operativo!BH365-(Motore_Operativo!CK365)*Parametri_v3!$C$28-Motore_Operativo!CF365)*Parametri_v3!$C$26</f>
        <v>2231.83438596491</v>
      </c>
      <c r="AL365" s="15" t="n">
        <f aca="false">MAX(0,(0))</f>
        <v>0</v>
      </c>
      <c r="AM365" s="15" t="n">
        <f aca="false">(0)+AK365-AL365</f>
        <v>2231.83438596491</v>
      </c>
      <c r="AN365" s="15" t="n">
        <f aca="false">0</f>
        <v>0</v>
      </c>
      <c r="AO365" s="15" t="n">
        <f aca="false">0</f>
        <v>0</v>
      </c>
      <c r="AP365" s="15" t="n">
        <f aca="false">MAX(0,AN365)*IF(1=Parametri_v3!$C$43,Parametri_v3!$C$45,IF(1=Parametri_v3!$C$44,1-Parametri_v3!$C$45,0))</f>
        <v>0</v>
      </c>
      <c r="AQ365" s="15" t="n">
        <f aca="false">MAX(0,AP365+IF(1=Parametri_v3!$C$43,MAX(0,AN365-AO365),0)-MAX(0,-(0)))</f>
        <v>0</v>
      </c>
      <c r="AR365" s="15" t="n">
        <f aca="false">(0)+X365-AQ365</f>
        <v>1140.84894736842</v>
      </c>
      <c r="AS365" s="15" t="n">
        <f aca="false">Motore_Operativo!AC365-AT365+AU365</f>
        <v>4987.5</v>
      </c>
      <c r="AT365" s="15" t="n">
        <f aca="false">Motore_Operativo!CI365</f>
        <v>262.5</v>
      </c>
      <c r="AU365" s="15" t="n">
        <f aca="false">MIN(MAX(0,(0)+AT365),Parametri_v3!$C$61/12)</f>
        <v>0</v>
      </c>
      <c r="AV365" s="15" t="n">
        <f aca="false">(0)+AT365-AU365</f>
        <v>262.5</v>
      </c>
      <c r="AW365" s="15" t="n">
        <f aca="false">IF(AND(Motore_Operativo!C365=Finanziamenti!$D$7,Finanziamenti!$F$7=1),Finanziamenti!$C$7,0)</f>
        <v>20000</v>
      </c>
      <c r="AX365" s="15" t="n">
        <f aca="false">0</f>
        <v>0</v>
      </c>
      <c r="AY365" s="15" t="n">
        <f aca="false">IF(1=Parametri_v3!$C$33,MIN(MAX(0,0)*Ipotesi!$C$94,MAX(0,(0)-(0)-BP365),MAX(0,BD365-Parametri_v3!$C$31)),0)</f>
        <v>0</v>
      </c>
      <c r="AZ365" s="15" t="n">
        <f aca="false">0</f>
        <v>0</v>
      </c>
      <c r="BA365" s="15" t="n">
        <f aca="false">0</f>
        <v>0</v>
      </c>
      <c r="BB365" s="15" t="n">
        <f aca="false">0</f>
        <v>0</v>
      </c>
      <c r="BC365" s="15" t="n">
        <f aca="false">0</f>
        <v>0</v>
      </c>
      <c r="BD365" s="15" t="n">
        <f aca="false">(0)+AC365-AF365-AI365-AS365-K365*(1+Parametri_v3!$C$26)-AL365-AQ365-O365+AW365+AX365+AZ365+BA365-BB365</f>
        <v>14707.5</v>
      </c>
      <c r="BE365" s="15" t="n">
        <f aca="false">0</f>
        <v>0</v>
      </c>
      <c r="BF365" s="15" t="n">
        <f aca="false">0</f>
        <v>0</v>
      </c>
      <c r="BG365" s="15" t="n">
        <f aca="false">0</f>
        <v>0</v>
      </c>
      <c r="BH365" s="15" t="n">
        <f aca="false">BD365+BE365-BF365-AY365</f>
        <v>14707.5</v>
      </c>
      <c r="BI365" s="15" t="n">
        <f aca="false">MAX(0,Parametri_v3!$C$31-BH365)</f>
        <v>0</v>
      </c>
      <c r="BJ365" s="15" t="n">
        <f aca="false">(0)+K365</f>
        <v>250</v>
      </c>
      <c r="BK365" s="15" t="n">
        <f aca="false">(0)+L365</f>
        <v>6.94444444444445</v>
      </c>
      <c r="BL365" s="15" t="n">
        <f aca="false">BJ365-BK365</f>
        <v>243.055555555556</v>
      </c>
      <c r="BM365" s="15" t="n">
        <f aca="false">(0)+Y365</f>
        <v>2948.21538011696</v>
      </c>
      <c r="BN365" s="15" t="n">
        <f aca="false">(0)+AW365+AX365+AZ365</f>
        <v>20000</v>
      </c>
      <c r="BO365" s="15" t="n">
        <f aca="false">(0)+AY365</f>
        <v>0</v>
      </c>
      <c r="BP365" s="15" t="n">
        <f aca="false">MIN(Parametri_v3!$C$36*Parametri_v3!$C$35,(0)+IF(1=1,MAX(0,0)*Parametri_v3!$C$34,0))</f>
        <v>0</v>
      </c>
      <c r="BQ365" s="15" t="n">
        <f aca="false">BN365+BM365-BO365</f>
        <v>22948.215380117</v>
      </c>
      <c r="BR365" s="15" t="n">
        <f aca="false">BH365+AD365+BL365+MAX(0,-AM365)+MAX(0,-AR365)</f>
        <v>34727.3976608187</v>
      </c>
      <c r="BS365" s="15" t="n">
        <f aca="false">AJ365+AV365+MAX(0,AM365)+MAX(0,AR365)+BC365+BG365+BQ365+AG365</f>
        <v>34727.3976608187</v>
      </c>
      <c r="BT365" s="15" t="n">
        <f aca="false">BR365-BS365</f>
        <v>0</v>
      </c>
      <c r="BU365" s="15" t="n">
        <f aca="false">BH365-(BD365+BE365-BF365-AY365)</f>
        <v>0</v>
      </c>
      <c r="BV365" s="15" t="n">
        <f aca="false">0</f>
        <v>0</v>
      </c>
    </row>
    <row r="366" customFormat="false" ht="18" hidden="false" customHeight="true" outlineLevel="0" collapsed="false">
      <c r="A366" s="68" t="n">
        <f aca="false">7</f>
        <v>7</v>
      </c>
      <c r="B366" s="68" t="n">
        <f aca="false">2</f>
        <v>2</v>
      </c>
      <c r="C366" s="18" t="n">
        <f aca="false">Motore_Operativo!C366</f>
        <v>46419</v>
      </c>
      <c r="D366" s="68" t="n">
        <f aca="false">Motore_Operativo!D366</f>
        <v>2027</v>
      </c>
      <c r="E366" s="68" t="n">
        <f aca="false">Motore_Operativo!E366</f>
        <v>2</v>
      </c>
      <c r="F366" s="15" t="n">
        <f aca="false">Motore_Operativo!AM366</f>
        <v>16210.5263157895</v>
      </c>
      <c r="G366" s="15" t="n">
        <f aca="false">Motore_Operativo!BH366</f>
        <v>1621.05263157895</v>
      </c>
      <c r="H366" s="15" t="n">
        <f aca="false">Motore_Operativo!AM366</f>
        <v>16210.5263157895</v>
      </c>
      <c r="I366" s="15" t="n">
        <f aca="false">Motore_Operativo!CB366</f>
        <v>12114.5175438596</v>
      </c>
      <c r="J366" s="15" t="n">
        <f aca="false">Motore_Operativo!CD366</f>
        <v>4096.00877192982</v>
      </c>
      <c r="K366" s="15" t="n">
        <f aca="false">Motore_Operativo!CF366</f>
        <v>250</v>
      </c>
      <c r="L366" s="15" t="n">
        <f aca="false">SUM(INDEX($K$365:$K$424,MAX(1,2-Parametri_v3!$C$59+1)):K366)/Parametri_v3!$C$59</f>
        <v>13.8888888888889</v>
      </c>
      <c r="M366" s="15" t="n">
        <f aca="false">J366-L366</f>
        <v>4082.11988304094</v>
      </c>
      <c r="N366" s="15" t="n">
        <f aca="false">0</f>
        <v>0</v>
      </c>
      <c r="O366" s="15" t="n">
        <f aca="false">0</f>
        <v>0</v>
      </c>
      <c r="P366" s="15" t="n">
        <f aca="false">M366+N366-O366</f>
        <v>4082.11988304094</v>
      </c>
      <c r="Q366" s="15" t="n">
        <f aca="false">SUM(P365:P366)+Parametri_v3!$C$56*2/12</f>
        <v>8171.18421052632</v>
      </c>
      <c r="R366" s="15" t="n">
        <f aca="false">0</f>
        <v>0</v>
      </c>
      <c r="S366" s="15" t="n">
        <f aca="false">0</f>
        <v>0</v>
      </c>
      <c r="T366" s="15" t="n">
        <f aca="false">MIN(R366,MAX(0,Q366))</f>
        <v>0</v>
      </c>
      <c r="U366" s="15" t="n">
        <f aca="false">MIN(S366,MAX(0,Q366-T366)*Parametri_v3!$C$42)</f>
        <v>0</v>
      </c>
      <c r="V366" s="15" t="n">
        <f aca="false">MAX(0,Q366-T366-U366)*Ipotesi!$C$92</f>
        <v>1961.08421052632</v>
      </c>
      <c r="W366" s="15" t="n">
        <f aca="false">MAX(0,SUM(M365:M366)+Parametri_v3!$C$57*2/12)*Ipotesi!$C$93</f>
        <v>318.676184210526</v>
      </c>
      <c r="X366" s="15" t="n">
        <f aca="false">V366+W366-(V365+W365)</f>
        <v>1138.91144736842</v>
      </c>
      <c r="Y366" s="15" t="n">
        <f aca="false">P366-X366</f>
        <v>2943.20843567251</v>
      </c>
      <c r="Z366" s="15" t="n">
        <f aca="false">R366-T366+IF(AND(Parametri_v3!$C$40=1,D366-YEAR(Parametri_v3!$C$50)&lt;Parametri_v3!$C$41),MAX(0,-Q366),0)</f>
        <v>0</v>
      </c>
      <c r="AA366" s="15" t="n">
        <f aca="false">S366-U366+IF(AND(Parametri_v3!$C$40=1,D366-YEAR(Parametri_v3!$C$50)&lt;Parametri_v3!$C$41),0,MAX(0,-Q366))</f>
        <v>0</v>
      </c>
      <c r="AB366" s="15" t="n">
        <f aca="false">F366*(1+Parametri_v3!$C$26)</f>
        <v>19776.8421052632</v>
      </c>
      <c r="AC366" s="15" t="n">
        <f aca="false">(IF(2-(INT((Motore_Operativo!L366)/30))&lt;1,0,INDEX(Motore_Advisory!$AB$365:$AB$424,MAX(1,2-(INT((Motore_Operativo!L366)/30)))))*(1-(MOD((Motore_Operativo!L366),30)/30))+IF(2-(INT((Motore_Operativo!L366)/30))-1&lt;1,0,INDEX(Motore_Advisory!$AB$365:$AB$424,MAX(1,2-(INT((Motore_Operativo!L366)/30))-1)))*(MOD((Motore_Operativo!L366),30)/30))</f>
        <v>0</v>
      </c>
      <c r="AD366" s="15" t="n">
        <f aca="false">(AD365)+AB366-AC366</f>
        <v>39553.6842105263</v>
      </c>
      <c r="AE366" s="15" t="n">
        <f aca="false">Motore_Operativo!BH366*(1+Parametri_v3!$C$26)</f>
        <v>1977.68421052632</v>
      </c>
      <c r="AF366" s="15" t="n">
        <f aca="false">(IF(2-(INT((Parametri_v3!$C$29)/30))&lt;1,0,INDEX(Motore_Operativo!$BH$365:$BH$424,MAX(1,2-(INT((Parametri_v3!$C$29)/30)))))*(1-(MOD((Parametri_v3!$C$29),30)/30))+IF(2-(INT((Parametri_v3!$C$29)/30))-1&lt;1,0,INDEX(Motore_Operativo!$BH$365:$BH$424,MAX(1,2-(INT((Parametri_v3!$C$29)/30))-1)))*(MOD((Parametri_v3!$C$29),30)/30))*(1+Parametri_v3!$C$26)</f>
        <v>1977.68421052632</v>
      </c>
      <c r="AG366" s="15" t="n">
        <f aca="false">(AG365)+AE366-AF366</f>
        <v>1977.68421052632</v>
      </c>
      <c r="AH366" s="15" t="n">
        <f aca="false">(Motore_Operativo!CK366)*(1+Parametri_v3!$C$28*Parametri_v3!$C$26)</f>
        <v>6166.3147368421</v>
      </c>
      <c r="AI366" s="15" t="n">
        <f aca="false">(IF(2-(INT((Ipotesi!$C$91)/30))&lt;1,0,INDEX(Motore_Advisory!$AH$365:$AH$424,MAX(1,2-(INT((Ipotesi!$C$91)/30)))))*(1-(MOD((Ipotesi!$C$91),30)/30))+IF(2-(INT((Ipotesi!$C$91)/30))-1&lt;1,0,INDEX(Motore_Advisory!$AH$365:$AH$424,MAX(1,2-(INT((Ipotesi!$C$91)/30))-1)))*(MOD((Ipotesi!$C$91),30)/30))</f>
        <v>0</v>
      </c>
      <c r="AJ366" s="15" t="n">
        <f aca="false">(AJ365)+AH366-AI366</f>
        <v>12332.6294736842</v>
      </c>
      <c r="AK366" s="15" t="n">
        <f aca="false">(F366- Motore_Operativo!BH366-(Motore_Operativo!CK366)*Parametri_v3!$C$28-Motore_Operativo!CF366)*Parametri_v3!$C$26</f>
        <v>2231.83438596491</v>
      </c>
      <c r="AL366" s="15" t="n">
        <f aca="false">MAX(0,(AM365))</f>
        <v>2231.83438596491</v>
      </c>
      <c r="AM366" s="15" t="n">
        <f aca="false">(AM365)+AK366-AL366</f>
        <v>2231.83438596491</v>
      </c>
      <c r="AN366" s="15" t="n">
        <f aca="false">0</f>
        <v>0</v>
      </c>
      <c r="AO366" s="15" t="n">
        <f aca="false">0</f>
        <v>0</v>
      </c>
      <c r="AP366" s="15" t="n">
        <f aca="false">MAX(0,AN366)*IF(2=Parametri_v3!$C$43,Parametri_v3!$C$45,IF(2=Parametri_v3!$C$44,1-Parametri_v3!$C$45,0))</f>
        <v>0</v>
      </c>
      <c r="AQ366" s="15" t="n">
        <f aca="false">MAX(0,AP366+IF(2=Parametri_v3!$C$43,MAX(0,AN366-AO366),0)-MAX(0,-(AR365)))</f>
        <v>0</v>
      </c>
      <c r="AR366" s="15" t="n">
        <f aca="false">(AR365)+X366-AQ366</f>
        <v>2279.76039473684</v>
      </c>
      <c r="AS366" s="15" t="n">
        <f aca="false">Motore_Operativo!AC366-AT366+AU366</f>
        <v>4987.5</v>
      </c>
      <c r="AT366" s="15" t="n">
        <f aca="false">Motore_Operativo!CI366</f>
        <v>262.5</v>
      </c>
      <c r="AU366" s="15" t="n">
        <f aca="false">MIN(MAX(0,(AV365)+AT366),Parametri_v3!$C$61/12)</f>
        <v>0</v>
      </c>
      <c r="AV366" s="15" t="n">
        <f aca="false">(AV365)+AT366-AU366</f>
        <v>525</v>
      </c>
      <c r="AW366" s="15" t="n">
        <f aca="false">IF(AND(Motore_Operativo!C366=Finanziamenti!$D$7,Finanziamenti!$F$7=1),Finanziamenti!$C$7,0)</f>
        <v>0</v>
      </c>
      <c r="AX366" s="15" t="n">
        <f aca="false">0</f>
        <v>0</v>
      </c>
      <c r="AY366" s="15" t="n">
        <f aca="false">IF(2=Parametri_v3!$C$33,IF(BV366&lt;MIN(12,$B366-1),0,MIN(MAX(0,0)*Ipotesi!$C$94,MAX(0,(0)-(BO365)-BP366),MAX(0,BD366-Parametri_v3!$C$31))),0)</f>
        <v>0</v>
      </c>
      <c r="AZ366" s="15" t="n">
        <f aca="false">0</f>
        <v>0</v>
      </c>
      <c r="BA366" s="15" t="n">
        <f aca="false">0</f>
        <v>0</v>
      </c>
      <c r="BB366" s="15" t="n">
        <f aca="false">0</f>
        <v>0</v>
      </c>
      <c r="BC366" s="15" t="n">
        <f aca="false">0</f>
        <v>0</v>
      </c>
      <c r="BD366" s="15" t="n">
        <f aca="false">(BH365)+AC366-AF366-AI366-AS366-K366*(1+Parametri_v3!$C$26)-AL366-AQ366-O366+AW366+AX366+AZ366+BA366-BB366</f>
        <v>5205.48140350877</v>
      </c>
      <c r="BE366" s="15" t="n">
        <f aca="false">0</f>
        <v>0</v>
      </c>
      <c r="BF366" s="15" t="n">
        <f aca="false">0</f>
        <v>0</v>
      </c>
      <c r="BG366" s="15" t="n">
        <f aca="false">0</f>
        <v>0</v>
      </c>
      <c r="BH366" s="15" t="n">
        <f aca="false">BD366+BE366-BF366-AY366</f>
        <v>5205.48140350877</v>
      </c>
      <c r="BI366" s="15" t="n">
        <f aca="false">MAX(0,Parametri_v3!$C$31-BH366)</f>
        <v>4794.51859649123</v>
      </c>
      <c r="BJ366" s="15" t="n">
        <f aca="false">(BJ365)+K366</f>
        <v>500</v>
      </c>
      <c r="BK366" s="15" t="n">
        <f aca="false">(BK365)+L366</f>
        <v>20.8333333333333</v>
      </c>
      <c r="BL366" s="15" t="n">
        <f aca="false">BJ366-BK366</f>
        <v>479.166666666667</v>
      </c>
      <c r="BM366" s="15" t="n">
        <f aca="false">(BM365)+Y366</f>
        <v>5891.42381578947</v>
      </c>
      <c r="BN366" s="15" t="n">
        <f aca="false">(BN365)+AW366+AX366+AZ366</f>
        <v>20000</v>
      </c>
      <c r="BO366" s="15" t="n">
        <f aca="false">(BO365)+AY366</f>
        <v>0</v>
      </c>
      <c r="BP366" s="15" t="n">
        <f aca="false">MIN(Parametri_v3!$C$36*Parametri_v3!$C$35,(BP365)+IF(2=1,MAX(0,0)*Parametri_v3!$C$34,0))</f>
        <v>0</v>
      </c>
      <c r="BQ366" s="15" t="n">
        <f aca="false">BN366+BM366-BO366</f>
        <v>25891.4238157895</v>
      </c>
      <c r="BR366" s="15" t="n">
        <f aca="false">BH366+AD366+BL366+MAX(0,-AM366)+MAX(0,-AR366)</f>
        <v>45238.3322807018</v>
      </c>
      <c r="BS366" s="15" t="n">
        <f aca="false">AJ366+AV366+MAX(0,AM366)+MAX(0,AR366)+BC366+BG366+BQ366+AG366</f>
        <v>45238.3322807018</v>
      </c>
      <c r="BT366" s="15" t="n">
        <f aca="false">BR366-BS366</f>
        <v>0</v>
      </c>
      <c r="BU366" s="15" t="n">
        <f aca="false">BH366-(BD366+BE366-BF366-AY366)</f>
        <v>0</v>
      </c>
      <c r="BV366" s="15" t="n">
        <f aca="false">IF(BH365&lt;Parametri_v3!$C$31,0,BV365+1)</f>
        <v>1</v>
      </c>
    </row>
    <row r="367" customFormat="false" ht="18" hidden="false" customHeight="true" outlineLevel="0" collapsed="false">
      <c r="A367" s="68" t="n">
        <f aca="false">7</f>
        <v>7</v>
      </c>
      <c r="B367" s="68" t="n">
        <f aca="false">3</f>
        <v>3</v>
      </c>
      <c r="C367" s="18" t="n">
        <f aca="false">Motore_Operativo!C367</f>
        <v>46447</v>
      </c>
      <c r="D367" s="68" t="n">
        <f aca="false">Motore_Operativo!D367</f>
        <v>2027</v>
      </c>
      <c r="E367" s="68" t="n">
        <f aca="false">Motore_Operativo!E367</f>
        <v>3</v>
      </c>
      <c r="F367" s="15" t="n">
        <f aca="false">Motore_Operativo!AM367</f>
        <v>16210.5263157895</v>
      </c>
      <c r="G367" s="15" t="n">
        <f aca="false">Motore_Operativo!BH367</f>
        <v>1621.05263157895</v>
      </c>
      <c r="H367" s="15" t="n">
        <f aca="false">Motore_Operativo!AM367</f>
        <v>16210.5263157895</v>
      </c>
      <c r="I367" s="15" t="n">
        <f aca="false">Motore_Operativo!CB367</f>
        <v>12114.5175438596</v>
      </c>
      <c r="J367" s="15" t="n">
        <f aca="false">Motore_Operativo!CD367</f>
        <v>4096.00877192982</v>
      </c>
      <c r="K367" s="15" t="n">
        <f aca="false">Motore_Operativo!CF367</f>
        <v>250</v>
      </c>
      <c r="L367" s="15" t="n">
        <f aca="false">SUM(INDEX($K$365:$K$424,MAX(1,3-Parametri_v3!$C$59+1)):K367)/Parametri_v3!$C$59</f>
        <v>20.8333333333333</v>
      </c>
      <c r="M367" s="15" t="n">
        <f aca="false">J367-L367</f>
        <v>4075.17543859649</v>
      </c>
      <c r="N367" s="15" t="n">
        <f aca="false">0</f>
        <v>0</v>
      </c>
      <c r="O367" s="15" t="n">
        <f aca="false">0</f>
        <v>0</v>
      </c>
      <c r="P367" s="15" t="n">
        <f aca="false">M367+N367-O367</f>
        <v>4075.17543859649</v>
      </c>
      <c r="Q367" s="15" t="n">
        <f aca="false">SUM(P365:P367)+Parametri_v3!$C$56*3/12</f>
        <v>12246.3596491228</v>
      </c>
      <c r="R367" s="15" t="n">
        <f aca="false">0</f>
        <v>0</v>
      </c>
      <c r="S367" s="15" t="n">
        <f aca="false">0</f>
        <v>0</v>
      </c>
      <c r="T367" s="15" t="n">
        <f aca="false">MIN(R367,MAX(0,Q367))</f>
        <v>0</v>
      </c>
      <c r="U367" s="15" t="n">
        <f aca="false">MIN(S367,MAX(0,Q367-T367)*Parametri_v3!$C$42)</f>
        <v>0</v>
      </c>
      <c r="V367" s="15" t="n">
        <f aca="false">MAX(0,Q367-T367-U367)*Ipotesi!$C$92</f>
        <v>2939.12631578947</v>
      </c>
      <c r="W367" s="15" t="n">
        <f aca="false">MAX(0,SUM(M365:M367)+Parametri_v3!$C$57*3/12)*Ipotesi!$C$93</f>
        <v>477.608026315789</v>
      </c>
      <c r="X367" s="15" t="n">
        <f aca="false">V367+W367-(V366+W366)</f>
        <v>1136.97394736842</v>
      </c>
      <c r="Y367" s="15" t="n">
        <f aca="false">P367-X367</f>
        <v>2938.20149122807</v>
      </c>
      <c r="Z367" s="15" t="n">
        <f aca="false">R367-T367+IF(AND(Parametri_v3!$C$40=1,D367-YEAR(Parametri_v3!$C$50)&lt;Parametri_v3!$C$41),MAX(0,-Q367),0)</f>
        <v>0</v>
      </c>
      <c r="AA367" s="15" t="n">
        <f aca="false">S367-U367+IF(AND(Parametri_v3!$C$40=1,D367-YEAR(Parametri_v3!$C$50)&lt;Parametri_v3!$C$41),0,MAX(0,-Q367))</f>
        <v>0</v>
      </c>
      <c r="AB367" s="15" t="n">
        <f aca="false">F367*(1+Parametri_v3!$C$26)</f>
        <v>19776.8421052632</v>
      </c>
      <c r="AC367" s="15" t="n">
        <f aca="false">(IF(3-(INT((Motore_Operativo!L367)/30))&lt;1,0,INDEX(Motore_Advisory!$AB$365:$AB$424,MAX(1,3-(INT((Motore_Operativo!L367)/30)))))*(1-(MOD((Motore_Operativo!L367),30)/30))+IF(3-(INT((Motore_Operativo!L367)/30))-1&lt;1,0,INDEX(Motore_Advisory!$AB$365:$AB$424,MAX(1,3-(INT((Motore_Operativo!L367)/30))-1)))*(MOD((Motore_Operativo!L367),30)/30))</f>
        <v>0</v>
      </c>
      <c r="AD367" s="15" t="n">
        <f aca="false">(AD366)+AB367-AC367</f>
        <v>59330.5263157895</v>
      </c>
      <c r="AE367" s="15" t="n">
        <f aca="false">Motore_Operativo!BH367*(1+Parametri_v3!$C$26)</f>
        <v>1977.68421052632</v>
      </c>
      <c r="AF367" s="15" t="n">
        <f aca="false">(IF(3-(INT((Parametri_v3!$C$29)/30))&lt;1,0,INDEX(Motore_Operativo!$BH$365:$BH$424,MAX(1,3-(INT((Parametri_v3!$C$29)/30)))))*(1-(MOD((Parametri_v3!$C$29),30)/30))+IF(3-(INT((Parametri_v3!$C$29)/30))-1&lt;1,0,INDEX(Motore_Operativo!$BH$365:$BH$424,MAX(1,3-(INT((Parametri_v3!$C$29)/30))-1)))*(MOD((Parametri_v3!$C$29),30)/30))*(1+Parametri_v3!$C$26)</f>
        <v>1977.68421052632</v>
      </c>
      <c r="AG367" s="15" t="n">
        <f aca="false">(AG366)+AE367-AF367</f>
        <v>1977.68421052632</v>
      </c>
      <c r="AH367" s="15" t="n">
        <f aca="false">(Motore_Operativo!CK367)*(1+Parametri_v3!$C$28*Parametri_v3!$C$26)</f>
        <v>6166.3147368421</v>
      </c>
      <c r="AI367" s="15" t="n">
        <f aca="false">(IF(3-(INT((Ipotesi!$C$91)/30))&lt;1,0,INDEX(Motore_Advisory!$AH$365:$AH$424,MAX(1,3-(INT((Ipotesi!$C$91)/30)))))*(1-(MOD((Ipotesi!$C$91),30)/30))+IF(3-(INT((Ipotesi!$C$91)/30))-1&lt;1,0,INDEX(Motore_Advisory!$AH$365:$AH$424,MAX(1,3-(INT((Ipotesi!$C$91)/30))-1)))*(MOD((Ipotesi!$C$91),30)/30))</f>
        <v>6166.3147368421</v>
      </c>
      <c r="AJ367" s="15" t="n">
        <f aca="false">(AJ366)+AH367-AI367</f>
        <v>12332.6294736842</v>
      </c>
      <c r="AK367" s="15" t="n">
        <f aca="false">(F367- Motore_Operativo!BH367-(Motore_Operativo!CK367)*Parametri_v3!$C$28-Motore_Operativo!CF367)*Parametri_v3!$C$26</f>
        <v>2231.83438596491</v>
      </c>
      <c r="AL367" s="15" t="n">
        <f aca="false">MAX(0,(AM366))</f>
        <v>2231.83438596491</v>
      </c>
      <c r="AM367" s="15" t="n">
        <f aca="false">(AM366)+AK367-AL367</f>
        <v>2231.83438596491</v>
      </c>
      <c r="AN367" s="15" t="n">
        <f aca="false">0</f>
        <v>0</v>
      </c>
      <c r="AO367" s="15" t="n">
        <f aca="false">0</f>
        <v>0</v>
      </c>
      <c r="AP367" s="15" t="n">
        <f aca="false">MAX(0,AN367)*IF(3=Parametri_v3!$C$43,Parametri_v3!$C$45,IF(3=Parametri_v3!$C$44,1-Parametri_v3!$C$45,0))</f>
        <v>0</v>
      </c>
      <c r="AQ367" s="15" t="n">
        <f aca="false">MAX(0,AP367+IF(3=Parametri_v3!$C$43,MAX(0,AN367-AO367),0)-MAX(0,-(AR366)))</f>
        <v>0</v>
      </c>
      <c r="AR367" s="15" t="n">
        <f aca="false">(AR366)+X367-AQ367</f>
        <v>3416.73434210526</v>
      </c>
      <c r="AS367" s="15" t="n">
        <f aca="false">Motore_Operativo!AC367-AT367+AU367</f>
        <v>4987.5</v>
      </c>
      <c r="AT367" s="15" t="n">
        <f aca="false">Motore_Operativo!CI367</f>
        <v>262.5</v>
      </c>
      <c r="AU367" s="15" t="n">
        <f aca="false">MIN(MAX(0,(AV366)+AT367),Parametri_v3!$C$61/12)</f>
        <v>0</v>
      </c>
      <c r="AV367" s="15" t="n">
        <f aca="false">(AV366)+AT367-AU367</f>
        <v>787.5</v>
      </c>
      <c r="AW367" s="15" t="n">
        <f aca="false">IF(AND(Motore_Operativo!C367=Finanziamenti!$D$7,Finanziamenti!$F$7=1),Finanziamenti!$C$7,0)</f>
        <v>0</v>
      </c>
      <c r="AX367" s="15" t="n">
        <f aca="false">0</f>
        <v>0</v>
      </c>
      <c r="AY367" s="15" t="n">
        <f aca="false">IF(3=Parametri_v3!$C$33,IF(BV367&lt;MIN(12,$B367-1),0,MIN(MAX(0,0)*Ipotesi!$C$94,MAX(0,(0)-(BO366)-BP367),MAX(0,BD367-Parametri_v3!$C$31))),0)</f>
        <v>0</v>
      </c>
      <c r="AZ367" s="15" t="n">
        <f aca="false">0</f>
        <v>0</v>
      </c>
      <c r="BA367" s="15" t="n">
        <f aca="false">0</f>
        <v>0</v>
      </c>
      <c r="BB367" s="15" t="n">
        <f aca="false">0</f>
        <v>0</v>
      </c>
      <c r="BC367" s="15" t="n">
        <f aca="false">0</f>
        <v>0</v>
      </c>
      <c r="BD367" s="15" t="n">
        <f aca="false">(BH366)+AC367-AF367-AI367-AS367-K367*(1+Parametri_v3!$C$26)-AL367-AQ367-O367+AW367+AX367+AZ367+BA367-BB367</f>
        <v>-10462.8519298246</v>
      </c>
      <c r="BE367" s="15" t="n">
        <f aca="false">0</f>
        <v>0</v>
      </c>
      <c r="BF367" s="15" t="n">
        <f aca="false">0</f>
        <v>0</v>
      </c>
      <c r="BG367" s="15" t="n">
        <f aca="false">0</f>
        <v>0</v>
      </c>
      <c r="BH367" s="15" t="n">
        <f aca="false">BD367+BE367-BF367-AY367</f>
        <v>-10462.8519298246</v>
      </c>
      <c r="BI367" s="15" t="n">
        <f aca="false">MAX(0,Parametri_v3!$C$31-BH367)</f>
        <v>20462.8519298246</v>
      </c>
      <c r="BJ367" s="15" t="n">
        <f aca="false">(BJ366)+K367</f>
        <v>750</v>
      </c>
      <c r="BK367" s="15" t="n">
        <f aca="false">(BK366)+L367</f>
        <v>41.6666666666667</v>
      </c>
      <c r="BL367" s="15" t="n">
        <f aca="false">BJ367-BK367</f>
        <v>708.333333333333</v>
      </c>
      <c r="BM367" s="15" t="n">
        <f aca="false">(BM366)+Y367</f>
        <v>8829.62530701754</v>
      </c>
      <c r="BN367" s="15" t="n">
        <f aca="false">(BN366)+AW367+AX367+AZ367</f>
        <v>20000</v>
      </c>
      <c r="BO367" s="15" t="n">
        <f aca="false">(BO366)+AY367</f>
        <v>0</v>
      </c>
      <c r="BP367" s="15" t="n">
        <f aca="false">MIN(Parametri_v3!$C$36*Parametri_v3!$C$35,(BP366)+IF(3=1,MAX(0,0)*Parametri_v3!$C$34,0))</f>
        <v>0</v>
      </c>
      <c r="BQ367" s="15" t="n">
        <f aca="false">BN367+BM367-BO367</f>
        <v>28829.6253070175</v>
      </c>
      <c r="BR367" s="15" t="n">
        <f aca="false">BH367+AD367+BL367+MAX(0,-AM367)+MAX(0,-AR367)</f>
        <v>49576.0077192982</v>
      </c>
      <c r="BS367" s="15" t="n">
        <f aca="false">AJ367+AV367+MAX(0,AM367)+MAX(0,AR367)+BC367+BG367+BQ367+AG367</f>
        <v>49576.0077192982</v>
      </c>
      <c r="BT367" s="15" t="n">
        <f aca="false">BR367-BS367</f>
        <v>0</v>
      </c>
      <c r="BU367" s="15" t="n">
        <f aca="false">BH367-(BD367+BE367-BF367-AY367)</f>
        <v>0</v>
      </c>
      <c r="BV367" s="15" t="n">
        <f aca="false">IF(BH366&lt;Parametri_v3!$C$31,0,BV366+1)</f>
        <v>0</v>
      </c>
    </row>
    <row r="368" customFormat="false" ht="18" hidden="false" customHeight="true" outlineLevel="0" collapsed="false">
      <c r="A368" s="68" t="n">
        <f aca="false">7</f>
        <v>7</v>
      </c>
      <c r="B368" s="68" t="n">
        <f aca="false">4</f>
        <v>4</v>
      </c>
      <c r="C368" s="18" t="n">
        <f aca="false">Motore_Operativo!C368</f>
        <v>46478</v>
      </c>
      <c r="D368" s="68" t="n">
        <f aca="false">Motore_Operativo!D368</f>
        <v>2027</v>
      </c>
      <c r="E368" s="68" t="n">
        <f aca="false">Motore_Operativo!E368</f>
        <v>4</v>
      </c>
      <c r="F368" s="15" t="n">
        <f aca="false">Motore_Operativo!AM368</f>
        <v>16210.5263157895</v>
      </c>
      <c r="G368" s="15" t="n">
        <f aca="false">Motore_Operativo!BH368</f>
        <v>1621.05263157895</v>
      </c>
      <c r="H368" s="15" t="n">
        <f aca="false">Motore_Operativo!AM368</f>
        <v>16210.5263157895</v>
      </c>
      <c r="I368" s="15" t="n">
        <f aca="false">Motore_Operativo!CB368</f>
        <v>12114.5175438596</v>
      </c>
      <c r="J368" s="15" t="n">
        <f aca="false">Motore_Operativo!CD368</f>
        <v>4096.00877192982</v>
      </c>
      <c r="K368" s="15" t="n">
        <f aca="false">Motore_Operativo!CF368</f>
        <v>250</v>
      </c>
      <c r="L368" s="15" t="n">
        <f aca="false">SUM(INDEX($K$365:$K$424,MAX(1,4-Parametri_v3!$C$59+1)):K368)/Parametri_v3!$C$59</f>
        <v>27.7777777777778</v>
      </c>
      <c r="M368" s="15" t="n">
        <f aca="false">J368-L368</f>
        <v>4068.23099415205</v>
      </c>
      <c r="N368" s="15" t="n">
        <f aca="false">0</f>
        <v>0</v>
      </c>
      <c r="O368" s="15" t="n">
        <f aca="false">0</f>
        <v>0</v>
      </c>
      <c r="P368" s="15" t="n">
        <f aca="false">M368+N368-O368</f>
        <v>4068.23099415205</v>
      </c>
      <c r="Q368" s="15" t="n">
        <f aca="false">SUM(P365:P368)+Parametri_v3!$C$56*4/12</f>
        <v>16314.5906432749</v>
      </c>
      <c r="R368" s="15" t="n">
        <f aca="false">0</f>
        <v>0</v>
      </c>
      <c r="S368" s="15" t="n">
        <f aca="false">0</f>
        <v>0</v>
      </c>
      <c r="T368" s="15" t="n">
        <f aca="false">MIN(R368,MAX(0,Q368))</f>
        <v>0</v>
      </c>
      <c r="U368" s="15" t="n">
        <f aca="false">MIN(S368,MAX(0,Q368-T368)*Parametri_v3!$C$42)</f>
        <v>0</v>
      </c>
      <c r="V368" s="15" t="n">
        <f aca="false">MAX(0,Q368-T368-U368)*Ipotesi!$C$92</f>
        <v>3915.50175438597</v>
      </c>
      <c r="W368" s="15" t="n">
        <f aca="false">MAX(0,SUM(M365:M368)+Parametri_v3!$C$57*4/12)*Ipotesi!$C$93</f>
        <v>636.269035087719</v>
      </c>
      <c r="X368" s="15" t="n">
        <f aca="false">V368+W368-(V367+W367)</f>
        <v>1135.03644736842</v>
      </c>
      <c r="Y368" s="15" t="n">
        <f aca="false">P368-X368</f>
        <v>2933.19454678363</v>
      </c>
      <c r="Z368" s="15" t="n">
        <f aca="false">R368-T368+IF(AND(Parametri_v3!$C$40=1,D368-YEAR(Parametri_v3!$C$50)&lt;Parametri_v3!$C$41),MAX(0,-Q368),0)</f>
        <v>0</v>
      </c>
      <c r="AA368" s="15" t="n">
        <f aca="false">S368-U368+IF(AND(Parametri_v3!$C$40=1,D368-YEAR(Parametri_v3!$C$50)&lt;Parametri_v3!$C$41),0,MAX(0,-Q368))</f>
        <v>0</v>
      </c>
      <c r="AB368" s="15" t="n">
        <f aca="false">F368*(1+Parametri_v3!$C$26)</f>
        <v>19776.8421052632</v>
      </c>
      <c r="AC368" s="15" t="n">
        <f aca="false">(IF(4-(INT((Motore_Operativo!L368)/30))&lt;1,0,INDEX(Motore_Advisory!$AB$365:$AB$424,MAX(1,4-(INT((Motore_Operativo!L368)/30)))))*(1-(MOD((Motore_Operativo!L368),30)/30))+IF(4-(INT((Motore_Operativo!L368)/30))-1&lt;1,0,INDEX(Motore_Advisory!$AB$365:$AB$424,MAX(1,4-(INT((Motore_Operativo!L368)/30))-1)))*(MOD((Motore_Operativo!L368),30)/30))</f>
        <v>19776.8421052632</v>
      </c>
      <c r="AD368" s="15" t="n">
        <f aca="false">(AD367)+AB368-AC368</f>
        <v>59330.5263157895</v>
      </c>
      <c r="AE368" s="15" t="n">
        <f aca="false">Motore_Operativo!BH368*(1+Parametri_v3!$C$26)</f>
        <v>1977.68421052632</v>
      </c>
      <c r="AF368" s="15" t="n">
        <f aca="false">(IF(4-(INT((Parametri_v3!$C$29)/30))&lt;1,0,INDEX(Motore_Operativo!$BH$365:$BH$424,MAX(1,4-(INT((Parametri_v3!$C$29)/30)))))*(1-(MOD((Parametri_v3!$C$29),30)/30))+IF(4-(INT((Parametri_v3!$C$29)/30))-1&lt;1,0,INDEX(Motore_Operativo!$BH$365:$BH$424,MAX(1,4-(INT((Parametri_v3!$C$29)/30))-1)))*(MOD((Parametri_v3!$C$29),30)/30))*(1+Parametri_v3!$C$26)</f>
        <v>1977.68421052632</v>
      </c>
      <c r="AG368" s="15" t="n">
        <f aca="false">(AG367)+AE368-AF368</f>
        <v>1977.68421052632</v>
      </c>
      <c r="AH368" s="15" t="n">
        <f aca="false">(Motore_Operativo!CK368)*(1+Parametri_v3!$C$28*Parametri_v3!$C$26)</f>
        <v>6166.3147368421</v>
      </c>
      <c r="AI368" s="15" t="n">
        <f aca="false">(IF(4-(INT((Ipotesi!$C$91)/30))&lt;1,0,INDEX(Motore_Advisory!$AH$365:$AH$424,MAX(1,4-(INT((Ipotesi!$C$91)/30)))))*(1-(MOD((Ipotesi!$C$91),30)/30))+IF(4-(INT((Ipotesi!$C$91)/30))-1&lt;1,0,INDEX(Motore_Advisory!$AH$365:$AH$424,MAX(1,4-(INT((Ipotesi!$C$91)/30))-1)))*(MOD((Ipotesi!$C$91),30)/30))</f>
        <v>6166.3147368421</v>
      </c>
      <c r="AJ368" s="15" t="n">
        <f aca="false">(AJ367)+AH368-AI368</f>
        <v>12332.6294736842</v>
      </c>
      <c r="AK368" s="15" t="n">
        <f aca="false">(F368- Motore_Operativo!BH368-(Motore_Operativo!CK368)*Parametri_v3!$C$28-Motore_Operativo!CF368)*Parametri_v3!$C$26</f>
        <v>2231.83438596491</v>
      </c>
      <c r="AL368" s="15" t="n">
        <f aca="false">MAX(0,(AM367))</f>
        <v>2231.83438596491</v>
      </c>
      <c r="AM368" s="15" t="n">
        <f aca="false">(AM367)+AK368-AL368</f>
        <v>2231.83438596491</v>
      </c>
      <c r="AN368" s="15" t="n">
        <f aca="false">0</f>
        <v>0</v>
      </c>
      <c r="AO368" s="15" t="n">
        <f aca="false">0</f>
        <v>0</v>
      </c>
      <c r="AP368" s="15" t="n">
        <f aca="false">MAX(0,AN368)*IF(4=Parametri_v3!$C$43,Parametri_v3!$C$45,IF(4=Parametri_v3!$C$44,1-Parametri_v3!$C$45,0))</f>
        <v>0</v>
      </c>
      <c r="AQ368" s="15" t="n">
        <f aca="false">MAX(0,AP368+IF(4=Parametri_v3!$C$43,MAX(0,AN368-AO368),0)-MAX(0,-(AR367)))</f>
        <v>0</v>
      </c>
      <c r="AR368" s="15" t="n">
        <f aca="false">(AR367)+X368-AQ368</f>
        <v>4551.77078947368</v>
      </c>
      <c r="AS368" s="15" t="n">
        <f aca="false">Motore_Operativo!AC368-AT368+AU368</f>
        <v>4987.5</v>
      </c>
      <c r="AT368" s="15" t="n">
        <f aca="false">Motore_Operativo!CI368</f>
        <v>262.5</v>
      </c>
      <c r="AU368" s="15" t="n">
        <f aca="false">MIN(MAX(0,(AV367)+AT368),Parametri_v3!$C$61/12)</f>
        <v>0</v>
      </c>
      <c r="AV368" s="15" t="n">
        <f aca="false">(AV367)+AT368-AU368</f>
        <v>1050</v>
      </c>
      <c r="AW368" s="15" t="n">
        <f aca="false">IF(AND(Motore_Operativo!C368=Finanziamenti!$D$7,Finanziamenti!$F$7=1),Finanziamenti!$C$7,0)</f>
        <v>0</v>
      </c>
      <c r="AX368" s="15" t="n">
        <f aca="false">0</f>
        <v>0</v>
      </c>
      <c r="AY368" s="15" t="n">
        <f aca="false">IF(4=Parametri_v3!$C$33,IF(BV368&lt;MIN(12,$B368-1),0,MIN(MAX(0,0)*Ipotesi!$C$94,MAX(0,(0)-(BO367)-BP368),MAX(0,BD368-Parametri_v3!$C$31))),0)</f>
        <v>0</v>
      </c>
      <c r="AZ368" s="15" t="n">
        <f aca="false">0</f>
        <v>0</v>
      </c>
      <c r="BA368" s="15" t="n">
        <f aca="false">0</f>
        <v>0</v>
      </c>
      <c r="BB368" s="15" t="n">
        <f aca="false">0</f>
        <v>0</v>
      </c>
      <c r="BC368" s="15" t="n">
        <f aca="false">0</f>
        <v>0</v>
      </c>
      <c r="BD368" s="15" t="n">
        <f aca="false">(BH367)+AC368-AF368-AI368-AS368-K368*(1+Parametri_v3!$C$26)-AL368-AQ368-O368+AW368+AX368+AZ368+BA368-BB368</f>
        <v>-6354.34315789474</v>
      </c>
      <c r="BE368" s="15" t="n">
        <f aca="false">0</f>
        <v>0</v>
      </c>
      <c r="BF368" s="15" t="n">
        <f aca="false">0</f>
        <v>0</v>
      </c>
      <c r="BG368" s="15" t="n">
        <f aca="false">0</f>
        <v>0</v>
      </c>
      <c r="BH368" s="15" t="n">
        <f aca="false">BD368+BE368-BF368-AY368</f>
        <v>-6354.34315789474</v>
      </c>
      <c r="BI368" s="15" t="n">
        <f aca="false">MAX(0,Parametri_v3!$C$31-BH368)</f>
        <v>16354.3431578947</v>
      </c>
      <c r="BJ368" s="15" t="n">
        <f aca="false">(BJ367)+K368</f>
        <v>1000</v>
      </c>
      <c r="BK368" s="15" t="n">
        <f aca="false">(BK367)+L368</f>
        <v>69.4444444444445</v>
      </c>
      <c r="BL368" s="15" t="n">
        <f aca="false">BJ368-BK368</f>
        <v>930.555555555556</v>
      </c>
      <c r="BM368" s="15" t="n">
        <f aca="false">(BM367)+Y368</f>
        <v>11762.8198538012</v>
      </c>
      <c r="BN368" s="15" t="n">
        <f aca="false">(BN367)+AW368+AX368+AZ368</f>
        <v>20000</v>
      </c>
      <c r="BO368" s="15" t="n">
        <f aca="false">(BO367)+AY368</f>
        <v>0</v>
      </c>
      <c r="BP368" s="15" t="n">
        <f aca="false">MIN(Parametri_v3!$C$36*Parametri_v3!$C$35,(BP367)+IF(4=1,MAX(0,0)*Parametri_v3!$C$34,0))</f>
        <v>0</v>
      </c>
      <c r="BQ368" s="15" t="n">
        <f aca="false">BN368+BM368-BO368</f>
        <v>31762.8198538012</v>
      </c>
      <c r="BR368" s="15" t="n">
        <f aca="false">BH368+AD368+BL368+MAX(0,-AM368)+MAX(0,-AR368)</f>
        <v>53906.7387134503</v>
      </c>
      <c r="BS368" s="15" t="n">
        <f aca="false">AJ368+AV368+MAX(0,AM368)+MAX(0,AR368)+BC368+BG368+BQ368+AG368</f>
        <v>53906.7387134503</v>
      </c>
      <c r="BT368" s="15" t="n">
        <f aca="false">BR368-BS368</f>
        <v>0</v>
      </c>
      <c r="BU368" s="15" t="n">
        <f aca="false">BH368-(BD368+BE368-BF368-AY368)</f>
        <v>0</v>
      </c>
      <c r="BV368" s="15" t="n">
        <f aca="false">IF(BH367&lt;Parametri_v3!$C$31,0,BV367+1)</f>
        <v>0</v>
      </c>
    </row>
    <row r="369" customFormat="false" ht="18" hidden="false" customHeight="true" outlineLevel="0" collapsed="false">
      <c r="A369" s="68" t="n">
        <f aca="false">7</f>
        <v>7</v>
      </c>
      <c r="B369" s="68" t="n">
        <f aca="false">5</f>
        <v>5</v>
      </c>
      <c r="C369" s="18" t="n">
        <f aca="false">Motore_Operativo!C369</f>
        <v>46508</v>
      </c>
      <c r="D369" s="68" t="n">
        <f aca="false">Motore_Operativo!D369</f>
        <v>2027</v>
      </c>
      <c r="E369" s="68" t="n">
        <f aca="false">Motore_Operativo!E369</f>
        <v>5</v>
      </c>
      <c r="F369" s="15" t="n">
        <f aca="false">Motore_Operativo!AM369</f>
        <v>16210.5263157895</v>
      </c>
      <c r="G369" s="15" t="n">
        <f aca="false">Motore_Operativo!BH369</f>
        <v>1621.05263157895</v>
      </c>
      <c r="H369" s="15" t="n">
        <f aca="false">Motore_Operativo!AM369</f>
        <v>16210.5263157895</v>
      </c>
      <c r="I369" s="15" t="n">
        <f aca="false">Motore_Operativo!CB369</f>
        <v>12114.5175438596</v>
      </c>
      <c r="J369" s="15" t="n">
        <f aca="false">Motore_Operativo!CD369</f>
        <v>4096.00877192982</v>
      </c>
      <c r="K369" s="15" t="n">
        <f aca="false">Motore_Operativo!CF369</f>
        <v>250</v>
      </c>
      <c r="L369" s="15" t="n">
        <f aca="false">SUM(INDEX($K$365:$K$424,MAX(1,5-Parametri_v3!$C$59+1)):K369)/Parametri_v3!$C$59</f>
        <v>34.7222222222222</v>
      </c>
      <c r="M369" s="15" t="n">
        <f aca="false">J369-L369</f>
        <v>4061.2865497076</v>
      </c>
      <c r="N369" s="15" t="n">
        <f aca="false">0</f>
        <v>0</v>
      </c>
      <c r="O369" s="15" t="n">
        <f aca="false">0</f>
        <v>0</v>
      </c>
      <c r="P369" s="15" t="n">
        <f aca="false">M369+N369-O369</f>
        <v>4061.2865497076</v>
      </c>
      <c r="Q369" s="15" t="n">
        <f aca="false">SUM(P365:P369)+Parametri_v3!$C$56*5/12</f>
        <v>20375.8771929825</v>
      </c>
      <c r="R369" s="15" t="n">
        <f aca="false">0</f>
        <v>0</v>
      </c>
      <c r="S369" s="15" t="n">
        <f aca="false">0</f>
        <v>0</v>
      </c>
      <c r="T369" s="15" t="n">
        <f aca="false">MIN(R369,MAX(0,Q369))</f>
        <v>0</v>
      </c>
      <c r="U369" s="15" t="n">
        <f aca="false">MIN(S369,MAX(0,Q369-T369)*Parametri_v3!$C$42)</f>
        <v>0</v>
      </c>
      <c r="V369" s="15" t="n">
        <f aca="false">MAX(0,Q369-T369-U369)*Ipotesi!$C$92</f>
        <v>4890.21052631579</v>
      </c>
      <c r="W369" s="15" t="n">
        <f aca="false">MAX(0,SUM(M365:M369)+Parametri_v3!$C$57*5/12)*Ipotesi!$C$93</f>
        <v>794.659210526316</v>
      </c>
      <c r="X369" s="15" t="n">
        <f aca="false">V369+W369-(V368+W368)</f>
        <v>1133.09894736842</v>
      </c>
      <c r="Y369" s="15" t="n">
        <f aca="false">P369-X369</f>
        <v>2928.18760233918</v>
      </c>
      <c r="Z369" s="15" t="n">
        <f aca="false">R369-T369+IF(AND(Parametri_v3!$C$40=1,D369-YEAR(Parametri_v3!$C$50)&lt;Parametri_v3!$C$41),MAX(0,-Q369),0)</f>
        <v>0</v>
      </c>
      <c r="AA369" s="15" t="n">
        <f aca="false">S369-U369+IF(AND(Parametri_v3!$C$40=1,D369-YEAR(Parametri_v3!$C$50)&lt;Parametri_v3!$C$41),0,MAX(0,-Q369))</f>
        <v>0</v>
      </c>
      <c r="AB369" s="15" t="n">
        <f aca="false">F369*(1+Parametri_v3!$C$26)</f>
        <v>19776.8421052632</v>
      </c>
      <c r="AC369" s="15" t="n">
        <f aca="false">(IF(5-(INT((Motore_Operativo!L369)/30))&lt;1,0,INDEX(Motore_Advisory!$AB$365:$AB$424,MAX(1,5-(INT((Motore_Operativo!L369)/30)))))*(1-(MOD((Motore_Operativo!L369),30)/30))+IF(5-(INT((Motore_Operativo!L369)/30))-1&lt;1,0,INDEX(Motore_Advisory!$AB$365:$AB$424,MAX(1,5-(INT((Motore_Operativo!L369)/30))-1)))*(MOD((Motore_Operativo!L369),30)/30))</f>
        <v>19776.8421052632</v>
      </c>
      <c r="AD369" s="15" t="n">
        <f aca="false">(AD368)+AB369-AC369</f>
        <v>59330.5263157895</v>
      </c>
      <c r="AE369" s="15" t="n">
        <f aca="false">Motore_Operativo!BH369*(1+Parametri_v3!$C$26)</f>
        <v>1977.68421052632</v>
      </c>
      <c r="AF369" s="15" t="n">
        <f aca="false">(IF(5-(INT((Parametri_v3!$C$29)/30))&lt;1,0,INDEX(Motore_Operativo!$BH$365:$BH$424,MAX(1,5-(INT((Parametri_v3!$C$29)/30)))))*(1-(MOD((Parametri_v3!$C$29),30)/30))+IF(5-(INT((Parametri_v3!$C$29)/30))-1&lt;1,0,INDEX(Motore_Operativo!$BH$365:$BH$424,MAX(1,5-(INT((Parametri_v3!$C$29)/30))-1)))*(MOD((Parametri_v3!$C$29),30)/30))*(1+Parametri_v3!$C$26)</f>
        <v>1977.68421052632</v>
      </c>
      <c r="AG369" s="15" t="n">
        <f aca="false">(AG368)+AE369-AF369</f>
        <v>1977.68421052632</v>
      </c>
      <c r="AH369" s="15" t="n">
        <f aca="false">(Motore_Operativo!CK369)*(1+Parametri_v3!$C$28*Parametri_v3!$C$26)</f>
        <v>6166.3147368421</v>
      </c>
      <c r="AI369" s="15" t="n">
        <f aca="false">(IF(5-(INT((Ipotesi!$C$91)/30))&lt;1,0,INDEX(Motore_Advisory!$AH$365:$AH$424,MAX(1,5-(INT((Ipotesi!$C$91)/30)))))*(1-(MOD((Ipotesi!$C$91),30)/30))+IF(5-(INT((Ipotesi!$C$91)/30))-1&lt;1,0,INDEX(Motore_Advisory!$AH$365:$AH$424,MAX(1,5-(INT((Ipotesi!$C$91)/30))-1)))*(MOD((Ipotesi!$C$91),30)/30))</f>
        <v>6166.3147368421</v>
      </c>
      <c r="AJ369" s="15" t="n">
        <f aca="false">(AJ368)+AH369-AI369</f>
        <v>12332.6294736842</v>
      </c>
      <c r="AK369" s="15" t="n">
        <f aca="false">(F369- Motore_Operativo!BH369-(Motore_Operativo!CK369)*Parametri_v3!$C$28-Motore_Operativo!CF369)*Parametri_v3!$C$26</f>
        <v>2231.83438596491</v>
      </c>
      <c r="AL369" s="15" t="n">
        <f aca="false">MAX(0,(AM368))</f>
        <v>2231.83438596491</v>
      </c>
      <c r="AM369" s="15" t="n">
        <f aca="false">(AM368)+AK369-AL369</f>
        <v>2231.83438596491</v>
      </c>
      <c r="AN369" s="15" t="n">
        <f aca="false">0</f>
        <v>0</v>
      </c>
      <c r="AO369" s="15" t="n">
        <f aca="false">0</f>
        <v>0</v>
      </c>
      <c r="AP369" s="15" t="n">
        <f aca="false">MAX(0,AN369)*IF(5=Parametri_v3!$C$43,Parametri_v3!$C$45,IF(5=Parametri_v3!$C$44,1-Parametri_v3!$C$45,0))</f>
        <v>0</v>
      </c>
      <c r="AQ369" s="15" t="n">
        <f aca="false">MAX(0,AP369+IF(5=Parametri_v3!$C$43,MAX(0,AN369-AO369),0)-MAX(0,-(AR368)))</f>
        <v>0</v>
      </c>
      <c r="AR369" s="15" t="n">
        <f aca="false">(AR368)+X369-AQ369</f>
        <v>5684.86973684211</v>
      </c>
      <c r="AS369" s="15" t="n">
        <f aca="false">Motore_Operativo!AC369-AT369+AU369</f>
        <v>4987.5</v>
      </c>
      <c r="AT369" s="15" t="n">
        <f aca="false">Motore_Operativo!CI369</f>
        <v>262.5</v>
      </c>
      <c r="AU369" s="15" t="n">
        <f aca="false">MIN(MAX(0,(AV368)+AT369),Parametri_v3!$C$61/12)</f>
        <v>0</v>
      </c>
      <c r="AV369" s="15" t="n">
        <f aca="false">(AV368)+AT369-AU369</f>
        <v>1312.5</v>
      </c>
      <c r="AW369" s="15" t="n">
        <f aca="false">IF(AND(Motore_Operativo!C369=Finanziamenti!$D$7,Finanziamenti!$F$7=1),Finanziamenti!$C$7,0)</f>
        <v>0</v>
      </c>
      <c r="AX369" s="15" t="n">
        <f aca="false">0</f>
        <v>0</v>
      </c>
      <c r="AY369" s="15" t="n">
        <f aca="false">IF(5=Parametri_v3!$C$33,IF(BV369&lt;MIN(12,$B369-1),0,MIN(MAX(0,0)*Ipotesi!$C$94,MAX(0,(0)-(BO368)-BP369),MAX(0,BD369-Parametri_v3!$C$31))),0)</f>
        <v>0</v>
      </c>
      <c r="AZ369" s="15" t="n">
        <f aca="false">0</f>
        <v>0</v>
      </c>
      <c r="BA369" s="15" t="n">
        <f aca="false">0</f>
        <v>0</v>
      </c>
      <c r="BB369" s="15" t="n">
        <f aca="false">0</f>
        <v>0</v>
      </c>
      <c r="BC369" s="15" t="n">
        <f aca="false">0</f>
        <v>0</v>
      </c>
      <c r="BD369" s="15" t="n">
        <f aca="false">(BH368)+AC369-AF369-AI369-AS369-K369*(1+Parametri_v3!$C$26)-AL369-AQ369-O369+AW369+AX369+AZ369+BA369-BB369</f>
        <v>-2245.83438596491</v>
      </c>
      <c r="BE369" s="15" t="n">
        <f aca="false">0</f>
        <v>0</v>
      </c>
      <c r="BF369" s="15" t="n">
        <f aca="false">0</f>
        <v>0</v>
      </c>
      <c r="BG369" s="15" t="n">
        <f aca="false">0</f>
        <v>0</v>
      </c>
      <c r="BH369" s="15" t="n">
        <f aca="false">BD369+BE369-BF369-AY369</f>
        <v>-2245.83438596491</v>
      </c>
      <c r="BI369" s="15" t="n">
        <f aca="false">MAX(0,Parametri_v3!$C$31-BH369)</f>
        <v>12245.8343859649</v>
      </c>
      <c r="BJ369" s="15" t="n">
        <f aca="false">(BJ368)+K369</f>
        <v>1250</v>
      </c>
      <c r="BK369" s="15" t="n">
        <f aca="false">(BK368)+L369</f>
        <v>104.166666666667</v>
      </c>
      <c r="BL369" s="15" t="n">
        <f aca="false">BJ369-BK369</f>
        <v>1145.83333333333</v>
      </c>
      <c r="BM369" s="15" t="n">
        <f aca="false">(BM368)+Y369</f>
        <v>14691.0074561403</v>
      </c>
      <c r="BN369" s="15" t="n">
        <f aca="false">(BN368)+AW369+AX369+AZ369</f>
        <v>20000</v>
      </c>
      <c r="BO369" s="15" t="n">
        <f aca="false">(BO368)+AY369</f>
        <v>0</v>
      </c>
      <c r="BP369" s="15" t="n">
        <f aca="false">MIN(Parametri_v3!$C$36*Parametri_v3!$C$35,(BP368)+IF(5=1,MAX(0,0)*Parametri_v3!$C$34,0))</f>
        <v>0</v>
      </c>
      <c r="BQ369" s="15" t="n">
        <f aca="false">BN369+BM369-BO369</f>
        <v>34691.0074561403</v>
      </c>
      <c r="BR369" s="15" t="n">
        <f aca="false">BH369+AD369+BL369+MAX(0,-AM369)+MAX(0,-AR369)</f>
        <v>58230.5252631579</v>
      </c>
      <c r="BS369" s="15" t="n">
        <f aca="false">AJ369+AV369+MAX(0,AM369)+MAX(0,AR369)+BC369+BG369+BQ369+AG369</f>
        <v>58230.5252631579</v>
      </c>
      <c r="BT369" s="15" t="n">
        <f aca="false">BR369-BS369</f>
        <v>0</v>
      </c>
      <c r="BU369" s="15" t="n">
        <f aca="false">BH369-(BD369+BE369-BF369-AY369)</f>
        <v>0</v>
      </c>
      <c r="BV369" s="15" t="n">
        <f aca="false">IF(BH368&lt;Parametri_v3!$C$31,0,BV368+1)</f>
        <v>0</v>
      </c>
    </row>
    <row r="370" customFormat="false" ht="18" hidden="false" customHeight="true" outlineLevel="0" collapsed="false">
      <c r="A370" s="68" t="n">
        <f aca="false">7</f>
        <v>7</v>
      </c>
      <c r="B370" s="68" t="n">
        <f aca="false">6</f>
        <v>6</v>
      </c>
      <c r="C370" s="18" t="n">
        <f aca="false">Motore_Operativo!C370</f>
        <v>46539</v>
      </c>
      <c r="D370" s="68" t="n">
        <f aca="false">Motore_Operativo!D370</f>
        <v>2027</v>
      </c>
      <c r="E370" s="68" t="n">
        <f aca="false">Motore_Operativo!E370</f>
        <v>6</v>
      </c>
      <c r="F370" s="15" t="n">
        <f aca="false">Motore_Operativo!AM370</f>
        <v>16210.5263157895</v>
      </c>
      <c r="G370" s="15" t="n">
        <f aca="false">Motore_Operativo!BH370</f>
        <v>1621.05263157895</v>
      </c>
      <c r="H370" s="15" t="n">
        <f aca="false">Motore_Operativo!AM370</f>
        <v>16210.5263157895</v>
      </c>
      <c r="I370" s="15" t="n">
        <f aca="false">Motore_Operativo!CB370</f>
        <v>12114.5175438596</v>
      </c>
      <c r="J370" s="15" t="n">
        <f aca="false">Motore_Operativo!CD370</f>
        <v>4096.00877192982</v>
      </c>
      <c r="K370" s="15" t="n">
        <f aca="false">Motore_Operativo!CF370</f>
        <v>250</v>
      </c>
      <c r="L370" s="15" t="n">
        <f aca="false">SUM(INDEX($K$365:$K$424,MAX(1,6-Parametri_v3!$C$59+1)):K370)/Parametri_v3!$C$59</f>
        <v>41.6666666666667</v>
      </c>
      <c r="M370" s="15" t="n">
        <f aca="false">J370-L370</f>
        <v>4054.34210526316</v>
      </c>
      <c r="N370" s="15" t="n">
        <f aca="false">0</f>
        <v>0</v>
      </c>
      <c r="O370" s="15" t="n">
        <f aca="false">0</f>
        <v>0</v>
      </c>
      <c r="P370" s="15" t="n">
        <f aca="false">M370+N370-O370</f>
        <v>4054.34210526316</v>
      </c>
      <c r="Q370" s="15" t="n">
        <f aca="false">SUM(P365:P370)+Parametri_v3!$C$56*6/12</f>
        <v>24430.2192982456</v>
      </c>
      <c r="R370" s="15" t="n">
        <f aca="false">0</f>
        <v>0</v>
      </c>
      <c r="S370" s="15" t="n">
        <f aca="false">0</f>
        <v>0</v>
      </c>
      <c r="T370" s="15" t="n">
        <f aca="false">MIN(R370,MAX(0,Q370))</f>
        <v>0</v>
      </c>
      <c r="U370" s="15" t="n">
        <f aca="false">MIN(S370,MAX(0,Q370-T370)*Parametri_v3!$C$42)</f>
        <v>0</v>
      </c>
      <c r="V370" s="15" t="n">
        <f aca="false">MAX(0,Q370-T370-U370)*Ipotesi!$C$92</f>
        <v>5863.25263157895</v>
      </c>
      <c r="W370" s="15" t="n">
        <f aca="false">MAX(0,SUM(M365:M370)+Parametri_v3!$C$57*6/12)*Ipotesi!$C$93</f>
        <v>952.778552631579</v>
      </c>
      <c r="X370" s="15" t="n">
        <f aca="false">V370+W370-(V369+W369)</f>
        <v>1131.16144736842</v>
      </c>
      <c r="Y370" s="15" t="n">
        <f aca="false">P370-X370</f>
        <v>2923.18065789474</v>
      </c>
      <c r="Z370" s="15" t="n">
        <f aca="false">R370-T370+IF(AND(Parametri_v3!$C$40=1,D370-YEAR(Parametri_v3!$C$50)&lt;Parametri_v3!$C$41),MAX(0,-Q370),0)</f>
        <v>0</v>
      </c>
      <c r="AA370" s="15" t="n">
        <f aca="false">S370-U370+IF(AND(Parametri_v3!$C$40=1,D370-YEAR(Parametri_v3!$C$50)&lt;Parametri_v3!$C$41),0,MAX(0,-Q370))</f>
        <v>0</v>
      </c>
      <c r="AB370" s="15" t="n">
        <f aca="false">F370*(1+Parametri_v3!$C$26)</f>
        <v>19776.8421052632</v>
      </c>
      <c r="AC370" s="15" t="n">
        <f aca="false">(IF(6-(INT((Motore_Operativo!L370)/30))&lt;1,0,INDEX(Motore_Advisory!$AB$365:$AB$424,MAX(1,6-(INT((Motore_Operativo!L370)/30)))))*(1-(MOD((Motore_Operativo!L370),30)/30))+IF(6-(INT((Motore_Operativo!L370)/30))-1&lt;1,0,INDEX(Motore_Advisory!$AB$365:$AB$424,MAX(1,6-(INT((Motore_Operativo!L370)/30))-1)))*(MOD((Motore_Operativo!L370),30)/30))</f>
        <v>19776.8421052632</v>
      </c>
      <c r="AD370" s="15" t="n">
        <f aca="false">(AD369)+AB370-AC370</f>
        <v>59330.5263157895</v>
      </c>
      <c r="AE370" s="15" t="n">
        <f aca="false">Motore_Operativo!BH370*(1+Parametri_v3!$C$26)</f>
        <v>1977.68421052632</v>
      </c>
      <c r="AF370" s="15" t="n">
        <f aca="false">(IF(6-(INT((Parametri_v3!$C$29)/30))&lt;1,0,INDEX(Motore_Operativo!$BH$365:$BH$424,MAX(1,6-(INT((Parametri_v3!$C$29)/30)))))*(1-(MOD((Parametri_v3!$C$29),30)/30))+IF(6-(INT((Parametri_v3!$C$29)/30))-1&lt;1,0,INDEX(Motore_Operativo!$BH$365:$BH$424,MAX(1,6-(INT((Parametri_v3!$C$29)/30))-1)))*(MOD((Parametri_v3!$C$29),30)/30))*(1+Parametri_v3!$C$26)</f>
        <v>1977.68421052632</v>
      </c>
      <c r="AG370" s="15" t="n">
        <f aca="false">(AG369)+AE370-AF370</f>
        <v>1977.68421052632</v>
      </c>
      <c r="AH370" s="15" t="n">
        <f aca="false">(Motore_Operativo!CK370)*(1+Parametri_v3!$C$28*Parametri_v3!$C$26)</f>
        <v>6166.3147368421</v>
      </c>
      <c r="AI370" s="15" t="n">
        <f aca="false">(IF(6-(INT((Ipotesi!$C$91)/30))&lt;1,0,INDEX(Motore_Advisory!$AH$365:$AH$424,MAX(1,6-(INT((Ipotesi!$C$91)/30)))))*(1-(MOD((Ipotesi!$C$91),30)/30))+IF(6-(INT((Ipotesi!$C$91)/30))-1&lt;1,0,INDEX(Motore_Advisory!$AH$365:$AH$424,MAX(1,6-(INT((Ipotesi!$C$91)/30))-1)))*(MOD((Ipotesi!$C$91),30)/30))</f>
        <v>6166.3147368421</v>
      </c>
      <c r="AJ370" s="15" t="n">
        <f aca="false">(AJ369)+AH370-AI370</f>
        <v>12332.6294736842</v>
      </c>
      <c r="AK370" s="15" t="n">
        <f aca="false">(F370- Motore_Operativo!BH370-(Motore_Operativo!CK370)*Parametri_v3!$C$28-Motore_Operativo!CF370)*Parametri_v3!$C$26</f>
        <v>2231.83438596491</v>
      </c>
      <c r="AL370" s="15" t="n">
        <f aca="false">MAX(0,(AM369))</f>
        <v>2231.83438596491</v>
      </c>
      <c r="AM370" s="15" t="n">
        <f aca="false">(AM369)+AK370-AL370</f>
        <v>2231.83438596491</v>
      </c>
      <c r="AN370" s="15" t="n">
        <f aca="false">0</f>
        <v>0</v>
      </c>
      <c r="AO370" s="15" t="n">
        <f aca="false">0</f>
        <v>0</v>
      </c>
      <c r="AP370" s="15" t="n">
        <f aca="false">MAX(0,AN370)*IF(6=Parametri_v3!$C$43,Parametri_v3!$C$45,IF(6=Parametri_v3!$C$44,1-Parametri_v3!$C$45,0))</f>
        <v>0</v>
      </c>
      <c r="AQ370" s="15" t="n">
        <f aca="false">MAX(0,AP370+IF(6=Parametri_v3!$C$43,MAX(0,AN370-AO370),0)-MAX(0,-(AR369)))</f>
        <v>0</v>
      </c>
      <c r="AR370" s="15" t="n">
        <f aca="false">(AR369)+X370-AQ370</f>
        <v>6816.03118421053</v>
      </c>
      <c r="AS370" s="15" t="n">
        <f aca="false">Motore_Operativo!AC370-AT370+AU370</f>
        <v>4987.5</v>
      </c>
      <c r="AT370" s="15" t="n">
        <f aca="false">Motore_Operativo!CI370</f>
        <v>262.5</v>
      </c>
      <c r="AU370" s="15" t="n">
        <f aca="false">MIN(MAX(0,(AV369)+AT370),Parametri_v3!$C$61/12)</f>
        <v>0</v>
      </c>
      <c r="AV370" s="15" t="n">
        <f aca="false">(AV369)+AT370-AU370</f>
        <v>1575</v>
      </c>
      <c r="AW370" s="15" t="n">
        <f aca="false">IF(AND(Motore_Operativo!C370=Finanziamenti!$D$7,Finanziamenti!$F$7=1),Finanziamenti!$C$7,0)</f>
        <v>0</v>
      </c>
      <c r="AX370" s="15" t="n">
        <f aca="false">0</f>
        <v>0</v>
      </c>
      <c r="AY370" s="15" t="n">
        <f aca="false">IF(6=Parametri_v3!$C$33,IF(BV370&lt;MIN(12,$B370-1),0,MIN(MAX(0,0)*Ipotesi!$C$94,MAX(0,(0)-(BO369)-BP370),MAX(0,BD370-Parametri_v3!$C$31))),0)</f>
        <v>0</v>
      </c>
      <c r="AZ370" s="15" t="n">
        <f aca="false">0</f>
        <v>0</v>
      </c>
      <c r="BA370" s="15" t="n">
        <f aca="false">0</f>
        <v>0</v>
      </c>
      <c r="BB370" s="15" t="n">
        <f aca="false">0</f>
        <v>0</v>
      </c>
      <c r="BC370" s="15" t="n">
        <f aca="false">0</f>
        <v>0</v>
      </c>
      <c r="BD370" s="15" t="n">
        <f aca="false">(BH369)+AC370-AF370-AI370-AS370-K370*(1+Parametri_v3!$C$26)-AL370-AQ370-O370+AW370+AX370+AZ370+BA370-BB370</f>
        <v>1862.67438596491</v>
      </c>
      <c r="BE370" s="15" t="n">
        <f aca="false">0</f>
        <v>0</v>
      </c>
      <c r="BF370" s="15" t="n">
        <f aca="false">0</f>
        <v>0</v>
      </c>
      <c r="BG370" s="15" t="n">
        <f aca="false">0</f>
        <v>0</v>
      </c>
      <c r="BH370" s="15" t="n">
        <f aca="false">BD370+BE370-BF370-AY370</f>
        <v>1862.67438596491</v>
      </c>
      <c r="BI370" s="15" t="n">
        <f aca="false">MAX(0,Parametri_v3!$C$31-BH370)</f>
        <v>8137.32561403509</v>
      </c>
      <c r="BJ370" s="15" t="n">
        <f aca="false">(BJ369)+K370</f>
        <v>1500</v>
      </c>
      <c r="BK370" s="15" t="n">
        <f aca="false">(BK369)+L370</f>
        <v>145.833333333333</v>
      </c>
      <c r="BL370" s="15" t="n">
        <f aca="false">BJ370-BK370</f>
        <v>1354.16666666667</v>
      </c>
      <c r="BM370" s="15" t="n">
        <f aca="false">(BM369)+Y370</f>
        <v>17614.1881140351</v>
      </c>
      <c r="BN370" s="15" t="n">
        <f aca="false">(BN369)+AW370+AX370+AZ370</f>
        <v>20000</v>
      </c>
      <c r="BO370" s="15" t="n">
        <f aca="false">(BO369)+AY370</f>
        <v>0</v>
      </c>
      <c r="BP370" s="15" t="n">
        <f aca="false">MIN(Parametri_v3!$C$36*Parametri_v3!$C$35,(BP369)+IF(6=1,MAX(0,0)*Parametri_v3!$C$34,0))</f>
        <v>0</v>
      </c>
      <c r="BQ370" s="15" t="n">
        <f aca="false">BN370+BM370-BO370</f>
        <v>37614.1881140351</v>
      </c>
      <c r="BR370" s="15" t="n">
        <f aca="false">BH370+AD370+BL370+MAX(0,-AM370)+MAX(0,-AR370)</f>
        <v>62547.367368421</v>
      </c>
      <c r="BS370" s="15" t="n">
        <f aca="false">AJ370+AV370+MAX(0,AM370)+MAX(0,AR370)+BC370+BG370+BQ370+AG370</f>
        <v>62547.367368421</v>
      </c>
      <c r="BT370" s="15" t="n">
        <f aca="false">BR370-BS370</f>
        <v>0</v>
      </c>
      <c r="BU370" s="15" t="n">
        <f aca="false">BH370-(BD370+BE370-BF370-AY370)</f>
        <v>0</v>
      </c>
      <c r="BV370" s="15" t="n">
        <f aca="false">IF(BH369&lt;Parametri_v3!$C$31,0,BV369+1)</f>
        <v>0</v>
      </c>
    </row>
    <row r="371" customFormat="false" ht="18" hidden="false" customHeight="true" outlineLevel="0" collapsed="false">
      <c r="A371" s="68" t="n">
        <f aca="false">7</f>
        <v>7</v>
      </c>
      <c r="B371" s="68" t="n">
        <f aca="false">7</f>
        <v>7</v>
      </c>
      <c r="C371" s="18" t="n">
        <f aca="false">Motore_Operativo!C371</f>
        <v>46569</v>
      </c>
      <c r="D371" s="68" t="n">
        <f aca="false">Motore_Operativo!D371</f>
        <v>2027</v>
      </c>
      <c r="E371" s="68" t="n">
        <f aca="false">Motore_Operativo!E371</f>
        <v>7</v>
      </c>
      <c r="F371" s="15" t="n">
        <f aca="false">Motore_Operativo!AM371</f>
        <v>16210.5263157895</v>
      </c>
      <c r="G371" s="15" t="n">
        <f aca="false">Motore_Operativo!BH371</f>
        <v>1621.05263157895</v>
      </c>
      <c r="H371" s="15" t="n">
        <f aca="false">Motore_Operativo!AM371</f>
        <v>16210.5263157895</v>
      </c>
      <c r="I371" s="15" t="n">
        <f aca="false">Motore_Operativo!CB371</f>
        <v>12114.5175438596</v>
      </c>
      <c r="J371" s="15" t="n">
        <f aca="false">Motore_Operativo!CD371</f>
        <v>4096.00877192982</v>
      </c>
      <c r="K371" s="15" t="n">
        <f aca="false">Motore_Operativo!CF371</f>
        <v>250</v>
      </c>
      <c r="L371" s="15" t="n">
        <f aca="false">SUM(INDEX($K$365:$K$424,MAX(1,7-Parametri_v3!$C$59+1)):K371)/Parametri_v3!$C$59</f>
        <v>48.6111111111111</v>
      </c>
      <c r="M371" s="15" t="n">
        <f aca="false">J371-L371</f>
        <v>4047.39766081871</v>
      </c>
      <c r="N371" s="15" t="n">
        <f aca="false">0</f>
        <v>0</v>
      </c>
      <c r="O371" s="15" t="n">
        <f aca="false">0</f>
        <v>0</v>
      </c>
      <c r="P371" s="15" t="n">
        <f aca="false">M371+N371-O371</f>
        <v>4047.39766081871</v>
      </c>
      <c r="Q371" s="15" t="n">
        <f aca="false">SUM(P365:P371)+Parametri_v3!$C$56*7/12</f>
        <v>28477.6169590643</v>
      </c>
      <c r="R371" s="15" t="n">
        <f aca="false">0</f>
        <v>0</v>
      </c>
      <c r="S371" s="15" t="n">
        <f aca="false">0</f>
        <v>0</v>
      </c>
      <c r="T371" s="15" t="n">
        <f aca="false">MIN(R371,MAX(0,Q371))</f>
        <v>0</v>
      </c>
      <c r="U371" s="15" t="n">
        <f aca="false">MIN(S371,MAX(0,Q371-T371)*Parametri_v3!$C$42)</f>
        <v>0</v>
      </c>
      <c r="V371" s="15" t="n">
        <f aca="false">MAX(0,Q371-T371-U371)*Ipotesi!$C$92</f>
        <v>6834.62807017544</v>
      </c>
      <c r="W371" s="15" t="n">
        <f aca="false">MAX(0,SUM(M365:M371)+Parametri_v3!$C$57*7/12)*Ipotesi!$C$93</f>
        <v>1110.62706140351</v>
      </c>
      <c r="X371" s="15" t="n">
        <f aca="false">V371+W371-(V370+W370)</f>
        <v>1129.22394736842</v>
      </c>
      <c r="Y371" s="15" t="n">
        <f aca="false">P371-X371</f>
        <v>2918.17371345029</v>
      </c>
      <c r="Z371" s="15" t="n">
        <f aca="false">R371-T371+IF(AND(Parametri_v3!$C$40=1,D371-YEAR(Parametri_v3!$C$50)&lt;Parametri_v3!$C$41),MAX(0,-Q371),0)</f>
        <v>0</v>
      </c>
      <c r="AA371" s="15" t="n">
        <f aca="false">S371-U371+IF(AND(Parametri_v3!$C$40=1,D371-YEAR(Parametri_v3!$C$50)&lt;Parametri_v3!$C$41),0,MAX(0,-Q371))</f>
        <v>0</v>
      </c>
      <c r="AB371" s="15" t="n">
        <f aca="false">F371*(1+Parametri_v3!$C$26)</f>
        <v>19776.8421052632</v>
      </c>
      <c r="AC371" s="15" t="n">
        <f aca="false">(IF(7-(INT((Motore_Operativo!L371)/30))&lt;1,0,INDEX(Motore_Advisory!$AB$365:$AB$424,MAX(1,7-(INT((Motore_Operativo!L371)/30)))))*(1-(MOD((Motore_Operativo!L371),30)/30))+IF(7-(INT((Motore_Operativo!L371)/30))-1&lt;1,0,INDEX(Motore_Advisory!$AB$365:$AB$424,MAX(1,7-(INT((Motore_Operativo!L371)/30))-1)))*(MOD((Motore_Operativo!L371),30)/30))</f>
        <v>19776.8421052632</v>
      </c>
      <c r="AD371" s="15" t="n">
        <f aca="false">(AD370)+AB371-AC371</f>
        <v>59330.5263157895</v>
      </c>
      <c r="AE371" s="15" t="n">
        <f aca="false">Motore_Operativo!BH371*(1+Parametri_v3!$C$26)</f>
        <v>1977.68421052632</v>
      </c>
      <c r="AF371" s="15" t="n">
        <f aca="false">(IF(7-(INT((Parametri_v3!$C$29)/30))&lt;1,0,INDEX(Motore_Operativo!$BH$365:$BH$424,MAX(1,7-(INT((Parametri_v3!$C$29)/30)))))*(1-(MOD((Parametri_v3!$C$29),30)/30))+IF(7-(INT((Parametri_v3!$C$29)/30))-1&lt;1,0,INDEX(Motore_Operativo!$BH$365:$BH$424,MAX(1,7-(INT((Parametri_v3!$C$29)/30))-1)))*(MOD((Parametri_v3!$C$29),30)/30))*(1+Parametri_v3!$C$26)</f>
        <v>1977.68421052632</v>
      </c>
      <c r="AG371" s="15" t="n">
        <f aca="false">(AG370)+AE371-AF371</f>
        <v>1977.68421052632</v>
      </c>
      <c r="AH371" s="15" t="n">
        <f aca="false">(Motore_Operativo!CK371)*(1+Parametri_v3!$C$28*Parametri_v3!$C$26)</f>
        <v>6166.3147368421</v>
      </c>
      <c r="AI371" s="15" t="n">
        <f aca="false">(IF(7-(INT((Ipotesi!$C$91)/30))&lt;1,0,INDEX(Motore_Advisory!$AH$365:$AH$424,MAX(1,7-(INT((Ipotesi!$C$91)/30)))))*(1-(MOD((Ipotesi!$C$91),30)/30))+IF(7-(INT((Ipotesi!$C$91)/30))-1&lt;1,0,INDEX(Motore_Advisory!$AH$365:$AH$424,MAX(1,7-(INT((Ipotesi!$C$91)/30))-1)))*(MOD((Ipotesi!$C$91),30)/30))</f>
        <v>6166.3147368421</v>
      </c>
      <c r="AJ371" s="15" t="n">
        <f aca="false">(AJ370)+AH371-AI371</f>
        <v>12332.6294736842</v>
      </c>
      <c r="AK371" s="15" t="n">
        <f aca="false">(F371- Motore_Operativo!BH371-(Motore_Operativo!CK371)*Parametri_v3!$C$28-Motore_Operativo!CF371)*Parametri_v3!$C$26</f>
        <v>2231.83438596491</v>
      </c>
      <c r="AL371" s="15" t="n">
        <f aca="false">MAX(0,(AM370))</f>
        <v>2231.83438596491</v>
      </c>
      <c r="AM371" s="15" t="n">
        <f aca="false">(AM370)+AK371-AL371</f>
        <v>2231.83438596491</v>
      </c>
      <c r="AN371" s="15" t="n">
        <f aca="false">0</f>
        <v>0</v>
      </c>
      <c r="AO371" s="15" t="n">
        <f aca="false">0</f>
        <v>0</v>
      </c>
      <c r="AP371" s="15" t="n">
        <f aca="false">MAX(0,AN371)*IF(7=Parametri_v3!$C$43,Parametri_v3!$C$45,IF(7=Parametri_v3!$C$44,1-Parametri_v3!$C$45,0))</f>
        <v>0</v>
      </c>
      <c r="AQ371" s="15" t="n">
        <f aca="false">MAX(0,AP371+IF(7=Parametri_v3!$C$43,MAX(0,AN371-AO371),0)-MAX(0,-(AR370)))</f>
        <v>0</v>
      </c>
      <c r="AR371" s="15" t="n">
        <f aca="false">(AR370)+X371-AQ371</f>
        <v>7945.25513157895</v>
      </c>
      <c r="AS371" s="15" t="n">
        <f aca="false">Motore_Operativo!AC371-AT371+AU371</f>
        <v>4987.5</v>
      </c>
      <c r="AT371" s="15" t="n">
        <f aca="false">Motore_Operativo!CI371</f>
        <v>262.5</v>
      </c>
      <c r="AU371" s="15" t="n">
        <f aca="false">MIN(MAX(0,(AV370)+AT371),Parametri_v3!$C$61/12)</f>
        <v>0</v>
      </c>
      <c r="AV371" s="15" t="n">
        <f aca="false">(AV370)+AT371-AU371</f>
        <v>1837.5</v>
      </c>
      <c r="AW371" s="15" t="n">
        <f aca="false">IF(AND(Motore_Operativo!C371=Finanziamenti!$D$7,Finanziamenti!$F$7=1),Finanziamenti!$C$7,0)</f>
        <v>0</v>
      </c>
      <c r="AX371" s="15" t="n">
        <f aca="false">0</f>
        <v>0</v>
      </c>
      <c r="AY371" s="15" t="n">
        <f aca="false">IF(7=Parametri_v3!$C$33,IF(BV371&lt;MIN(12,$B371-1),0,MIN(MAX(0,0)*Ipotesi!$C$94,MAX(0,(0)-(BO370)-BP371),MAX(0,BD371-Parametri_v3!$C$31))),0)</f>
        <v>0</v>
      </c>
      <c r="AZ371" s="15" t="n">
        <f aca="false">0</f>
        <v>0</v>
      </c>
      <c r="BA371" s="15" t="n">
        <f aca="false">0</f>
        <v>0</v>
      </c>
      <c r="BB371" s="15" t="n">
        <f aca="false">0</f>
        <v>0</v>
      </c>
      <c r="BC371" s="15" t="n">
        <f aca="false">0</f>
        <v>0</v>
      </c>
      <c r="BD371" s="15" t="n">
        <f aca="false">(BH370)+AC371-AF371-AI371-AS371-K371*(1+Parametri_v3!$C$26)-AL371-AQ371-O371+AW371+AX371+AZ371+BA371-BB371</f>
        <v>5971.18315789473</v>
      </c>
      <c r="BE371" s="15" t="n">
        <f aca="false">0</f>
        <v>0</v>
      </c>
      <c r="BF371" s="15" t="n">
        <f aca="false">0</f>
        <v>0</v>
      </c>
      <c r="BG371" s="15" t="n">
        <f aca="false">0</f>
        <v>0</v>
      </c>
      <c r="BH371" s="15" t="n">
        <f aca="false">BD371+BE371-BF371-AY371</f>
        <v>5971.18315789473</v>
      </c>
      <c r="BI371" s="15" t="n">
        <f aca="false">MAX(0,Parametri_v3!$C$31-BH371)</f>
        <v>4028.81684210527</v>
      </c>
      <c r="BJ371" s="15" t="n">
        <f aca="false">(BJ370)+K371</f>
        <v>1750</v>
      </c>
      <c r="BK371" s="15" t="n">
        <f aca="false">(BK370)+L371</f>
        <v>194.444444444444</v>
      </c>
      <c r="BL371" s="15" t="n">
        <f aca="false">BJ371-BK371</f>
        <v>1555.55555555556</v>
      </c>
      <c r="BM371" s="15" t="n">
        <f aca="false">(BM370)+Y371</f>
        <v>20532.3618274854</v>
      </c>
      <c r="BN371" s="15" t="n">
        <f aca="false">(BN370)+AW371+AX371+AZ371</f>
        <v>20000</v>
      </c>
      <c r="BO371" s="15" t="n">
        <f aca="false">(BO370)+AY371</f>
        <v>0</v>
      </c>
      <c r="BP371" s="15" t="n">
        <f aca="false">MIN(Parametri_v3!$C$36*Parametri_v3!$C$35,(BP370)+IF(7=1,MAX(0,0)*Parametri_v3!$C$34,0))</f>
        <v>0</v>
      </c>
      <c r="BQ371" s="15" t="n">
        <f aca="false">BN371+BM371-BO371</f>
        <v>40532.3618274854</v>
      </c>
      <c r="BR371" s="15" t="n">
        <f aca="false">BH371+AD371+BL371+MAX(0,-AM371)+MAX(0,-AR371)</f>
        <v>66857.2650292398</v>
      </c>
      <c r="BS371" s="15" t="n">
        <f aca="false">AJ371+AV371+MAX(0,AM371)+MAX(0,AR371)+BC371+BG371+BQ371+AG371</f>
        <v>66857.2650292398</v>
      </c>
      <c r="BT371" s="15" t="n">
        <f aca="false">BR371-BS371</f>
        <v>0</v>
      </c>
      <c r="BU371" s="15" t="n">
        <f aca="false">BH371-(BD371+BE371-BF371-AY371)</f>
        <v>0</v>
      </c>
      <c r="BV371" s="15" t="n">
        <f aca="false">IF(BH370&lt;Parametri_v3!$C$31,0,BV370+1)</f>
        <v>0</v>
      </c>
    </row>
    <row r="372" customFormat="false" ht="18" hidden="false" customHeight="true" outlineLevel="0" collapsed="false">
      <c r="A372" s="68" t="n">
        <f aca="false">7</f>
        <v>7</v>
      </c>
      <c r="B372" s="68" t="n">
        <f aca="false">8</f>
        <v>8</v>
      </c>
      <c r="C372" s="18" t="n">
        <f aca="false">Motore_Operativo!C372</f>
        <v>46600</v>
      </c>
      <c r="D372" s="68" t="n">
        <f aca="false">Motore_Operativo!D372</f>
        <v>2027</v>
      </c>
      <c r="E372" s="68" t="n">
        <f aca="false">Motore_Operativo!E372</f>
        <v>8</v>
      </c>
      <c r="F372" s="15" t="n">
        <f aca="false">Motore_Operativo!AM372</f>
        <v>16210.5263157895</v>
      </c>
      <c r="G372" s="15" t="n">
        <f aca="false">Motore_Operativo!BH372</f>
        <v>1621.05263157895</v>
      </c>
      <c r="H372" s="15" t="n">
        <f aca="false">Motore_Operativo!AM372</f>
        <v>16210.5263157895</v>
      </c>
      <c r="I372" s="15" t="n">
        <f aca="false">Motore_Operativo!CB372</f>
        <v>12114.5175438596</v>
      </c>
      <c r="J372" s="15" t="n">
        <f aca="false">Motore_Operativo!CD372</f>
        <v>4096.00877192982</v>
      </c>
      <c r="K372" s="15" t="n">
        <f aca="false">Motore_Operativo!CF372</f>
        <v>250</v>
      </c>
      <c r="L372" s="15" t="n">
        <f aca="false">SUM(INDEX($K$365:$K$424,MAX(1,8-Parametri_v3!$C$59+1)):K372)/Parametri_v3!$C$59</f>
        <v>55.5555555555556</v>
      </c>
      <c r="M372" s="15" t="n">
        <f aca="false">J372-L372</f>
        <v>4040.45321637427</v>
      </c>
      <c r="N372" s="15" t="n">
        <f aca="false">0</f>
        <v>0</v>
      </c>
      <c r="O372" s="15" t="n">
        <f aca="false">0</f>
        <v>0</v>
      </c>
      <c r="P372" s="15" t="n">
        <f aca="false">M372+N372-O372</f>
        <v>4040.45321637427</v>
      </c>
      <c r="Q372" s="15" t="n">
        <f aca="false">SUM(P365:P372)+Parametri_v3!$C$56*8/12</f>
        <v>32518.0701754386</v>
      </c>
      <c r="R372" s="15" t="n">
        <f aca="false">0</f>
        <v>0</v>
      </c>
      <c r="S372" s="15" t="n">
        <f aca="false">0</f>
        <v>0</v>
      </c>
      <c r="T372" s="15" t="n">
        <f aca="false">MIN(R372,MAX(0,Q372))</f>
        <v>0</v>
      </c>
      <c r="U372" s="15" t="n">
        <f aca="false">MIN(S372,MAX(0,Q372-T372)*Parametri_v3!$C$42)</f>
        <v>0</v>
      </c>
      <c r="V372" s="15" t="n">
        <f aca="false">MAX(0,Q372-T372-U372)*Ipotesi!$C$92</f>
        <v>7804.33684210526</v>
      </c>
      <c r="W372" s="15" t="n">
        <f aca="false">MAX(0,SUM(M365:M372)+Parametri_v3!$C$57*8/12)*Ipotesi!$C$93</f>
        <v>1268.20473684211</v>
      </c>
      <c r="X372" s="15" t="n">
        <f aca="false">V372+W372-(V371+W371)</f>
        <v>1127.28644736842</v>
      </c>
      <c r="Y372" s="15" t="n">
        <f aca="false">P372-X372</f>
        <v>2913.16676900585</v>
      </c>
      <c r="Z372" s="15" t="n">
        <f aca="false">R372-T372+IF(AND(Parametri_v3!$C$40=1,D372-YEAR(Parametri_v3!$C$50)&lt;Parametri_v3!$C$41),MAX(0,-Q372),0)</f>
        <v>0</v>
      </c>
      <c r="AA372" s="15" t="n">
        <f aca="false">S372-U372+IF(AND(Parametri_v3!$C$40=1,D372-YEAR(Parametri_v3!$C$50)&lt;Parametri_v3!$C$41),0,MAX(0,-Q372))</f>
        <v>0</v>
      </c>
      <c r="AB372" s="15" t="n">
        <f aca="false">F372*(1+Parametri_v3!$C$26)</f>
        <v>19776.8421052632</v>
      </c>
      <c r="AC372" s="15" t="n">
        <f aca="false">(IF(8-(INT((Motore_Operativo!L372)/30))&lt;1,0,INDEX(Motore_Advisory!$AB$365:$AB$424,MAX(1,8-(INT((Motore_Operativo!L372)/30)))))*(1-(MOD((Motore_Operativo!L372),30)/30))+IF(8-(INT((Motore_Operativo!L372)/30))-1&lt;1,0,INDEX(Motore_Advisory!$AB$365:$AB$424,MAX(1,8-(INT((Motore_Operativo!L372)/30))-1)))*(MOD((Motore_Operativo!L372),30)/30))</f>
        <v>19776.8421052632</v>
      </c>
      <c r="AD372" s="15" t="n">
        <f aca="false">(AD371)+AB372-AC372</f>
        <v>59330.5263157895</v>
      </c>
      <c r="AE372" s="15" t="n">
        <f aca="false">Motore_Operativo!BH372*(1+Parametri_v3!$C$26)</f>
        <v>1977.68421052632</v>
      </c>
      <c r="AF372" s="15" t="n">
        <f aca="false">(IF(8-(INT((Parametri_v3!$C$29)/30))&lt;1,0,INDEX(Motore_Operativo!$BH$365:$BH$424,MAX(1,8-(INT((Parametri_v3!$C$29)/30)))))*(1-(MOD((Parametri_v3!$C$29),30)/30))+IF(8-(INT((Parametri_v3!$C$29)/30))-1&lt;1,0,INDEX(Motore_Operativo!$BH$365:$BH$424,MAX(1,8-(INT((Parametri_v3!$C$29)/30))-1)))*(MOD((Parametri_v3!$C$29),30)/30))*(1+Parametri_v3!$C$26)</f>
        <v>1977.68421052632</v>
      </c>
      <c r="AG372" s="15" t="n">
        <f aca="false">(AG371)+AE372-AF372</f>
        <v>1977.68421052632</v>
      </c>
      <c r="AH372" s="15" t="n">
        <f aca="false">(Motore_Operativo!CK372)*(1+Parametri_v3!$C$28*Parametri_v3!$C$26)</f>
        <v>6166.3147368421</v>
      </c>
      <c r="AI372" s="15" t="n">
        <f aca="false">(IF(8-(INT((Ipotesi!$C$91)/30))&lt;1,0,INDEX(Motore_Advisory!$AH$365:$AH$424,MAX(1,8-(INT((Ipotesi!$C$91)/30)))))*(1-(MOD((Ipotesi!$C$91),30)/30))+IF(8-(INT((Ipotesi!$C$91)/30))-1&lt;1,0,INDEX(Motore_Advisory!$AH$365:$AH$424,MAX(1,8-(INT((Ipotesi!$C$91)/30))-1)))*(MOD((Ipotesi!$C$91),30)/30))</f>
        <v>6166.3147368421</v>
      </c>
      <c r="AJ372" s="15" t="n">
        <f aca="false">(AJ371)+AH372-AI372</f>
        <v>12332.6294736842</v>
      </c>
      <c r="AK372" s="15" t="n">
        <f aca="false">(F372- Motore_Operativo!BH372-(Motore_Operativo!CK372)*Parametri_v3!$C$28-Motore_Operativo!CF372)*Parametri_v3!$C$26</f>
        <v>2231.83438596491</v>
      </c>
      <c r="AL372" s="15" t="n">
        <f aca="false">MAX(0,(AM371))</f>
        <v>2231.83438596491</v>
      </c>
      <c r="AM372" s="15" t="n">
        <f aca="false">(AM371)+AK372-AL372</f>
        <v>2231.83438596491</v>
      </c>
      <c r="AN372" s="15" t="n">
        <f aca="false">0</f>
        <v>0</v>
      </c>
      <c r="AO372" s="15" t="n">
        <f aca="false">0</f>
        <v>0</v>
      </c>
      <c r="AP372" s="15" t="n">
        <f aca="false">MAX(0,AN372)*IF(8=Parametri_v3!$C$43,Parametri_v3!$C$45,IF(8=Parametri_v3!$C$44,1-Parametri_v3!$C$45,0))</f>
        <v>0</v>
      </c>
      <c r="AQ372" s="15" t="n">
        <f aca="false">MAX(0,AP372+IF(8=Parametri_v3!$C$43,MAX(0,AN372-AO372),0)-MAX(0,-(AR371)))</f>
        <v>0</v>
      </c>
      <c r="AR372" s="15" t="n">
        <f aca="false">(AR371)+X372-AQ372</f>
        <v>9072.54157894737</v>
      </c>
      <c r="AS372" s="15" t="n">
        <f aca="false">Motore_Operativo!AC372-AT372+AU372</f>
        <v>4987.5</v>
      </c>
      <c r="AT372" s="15" t="n">
        <f aca="false">Motore_Operativo!CI372</f>
        <v>262.5</v>
      </c>
      <c r="AU372" s="15" t="n">
        <f aca="false">MIN(MAX(0,(AV371)+AT372),Parametri_v3!$C$61/12)</f>
        <v>0</v>
      </c>
      <c r="AV372" s="15" t="n">
        <f aca="false">(AV371)+AT372-AU372</f>
        <v>2100</v>
      </c>
      <c r="AW372" s="15" t="n">
        <f aca="false">IF(AND(Motore_Operativo!C372=Finanziamenti!$D$7,Finanziamenti!$F$7=1),Finanziamenti!$C$7,0)</f>
        <v>0</v>
      </c>
      <c r="AX372" s="15" t="n">
        <f aca="false">0</f>
        <v>0</v>
      </c>
      <c r="AY372" s="15" t="n">
        <f aca="false">IF(8=Parametri_v3!$C$33,IF(BV372&lt;MIN(12,$B372-1),0,MIN(MAX(0,0)*Ipotesi!$C$94,MAX(0,(0)-(BO371)-BP372),MAX(0,BD372-Parametri_v3!$C$31))),0)</f>
        <v>0</v>
      </c>
      <c r="AZ372" s="15" t="n">
        <f aca="false">0</f>
        <v>0</v>
      </c>
      <c r="BA372" s="15" t="n">
        <f aca="false">0</f>
        <v>0</v>
      </c>
      <c r="BB372" s="15" t="n">
        <f aca="false">0</f>
        <v>0</v>
      </c>
      <c r="BC372" s="15" t="n">
        <f aca="false">0</f>
        <v>0</v>
      </c>
      <c r="BD372" s="15" t="n">
        <f aca="false">(BH371)+AC372-AF372-AI372-AS372-K372*(1+Parametri_v3!$C$26)-AL372-AQ372-O372+AW372+AX372+AZ372+BA372-BB372</f>
        <v>10079.6919298246</v>
      </c>
      <c r="BE372" s="15" t="n">
        <f aca="false">0</f>
        <v>0</v>
      </c>
      <c r="BF372" s="15" t="n">
        <f aca="false">0</f>
        <v>0</v>
      </c>
      <c r="BG372" s="15" t="n">
        <f aca="false">0</f>
        <v>0</v>
      </c>
      <c r="BH372" s="15" t="n">
        <f aca="false">BD372+BE372-BF372-AY372</f>
        <v>10079.6919298246</v>
      </c>
      <c r="BI372" s="15" t="n">
        <f aca="false">MAX(0,Parametri_v3!$C$31-BH372)</f>
        <v>0</v>
      </c>
      <c r="BJ372" s="15" t="n">
        <f aca="false">(BJ371)+K372</f>
        <v>2000</v>
      </c>
      <c r="BK372" s="15" t="n">
        <f aca="false">(BK371)+L372</f>
        <v>250</v>
      </c>
      <c r="BL372" s="15" t="n">
        <f aca="false">BJ372-BK372</f>
        <v>1750</v>
      </c>
      <c r="BM372" s="15" t="n">
        <f aca="false">(BM371)+Y372</f>
        <v>23445.5285964912</v>
      </c>
      <c r="BN372" s="15" t="n">
        <f aca="false">(BN371)+AW372+AX372+AZ372</f>
        <v>20000</v>
      </c>
      <c r="BO372" s="15" t="n">
        <f aca="false">(BO371)+AY372</f>
        <v>0</v>
      </c>
      <c r="BP372" s="15" t="n">
        <f aca="false">MIN(Parametri_v3!$C$36*Parametri_v3!$C$35,(BP371)+IF(8=1,MAX(0,0)*Parametri_v3!$C$34,0))</f>
        <v>0</v>
      </c>
      <c r="BQ372" s="15" t="n">
        <f aca="false">BN372+BM372-BO372</f>
        <v>43445.5285964912</v>
      </c>
      <c r="BR372" s="15" t="n">
        <f aca="false">BH372+AD372+BL372+MAX(0,-AM372)+MAX(0,-AR372)</f>
        <v>71160.218245614</v>
      </c>
      <c r="BS372" s="15" t="n">
        <f aca="false">AJ372+AV372+MAX(0,AM372)+MAX(0,AR372)+BC372+BG372+BQ372+AG372</f>
        <v>71160.218245614</v>
      </c>
      <c r="BT372" s="15" t="n">
        <f aca="false">BR372-BS372</f>
        <v>0</v>
      </c>
      <c r="BU372" s="15" t="n">
        <f aca="false">BH372-(BD372+BE372-BF372-AY372)</f>
        <v>0</v>
      </c>
      <c r="BV372" s="15" t="n">
        <f aca="false">IF(BH371&lt;Parametri_v3!$C$31,0,BV371+1)</f>
        <v>0</v>
      </c>
    </row>
    <row r="373" customFormat="false" ht="18" hidden="false" customHeight="true" outlineLevel="0" collapsed="false">
      <c r="A373" s="68" t="n">
        <f aca="false">7</f>
        <v>7</v>
      </c>
      <c r="B373" s="68" t="n">
        <f aca="false">9</f>
        <v>9</v>
      </c>
      <c r="C373" s="18" t="n">
        <f aca="false">Motore_Operativo!C373</f>
        <v>46631</v>
      </c>
      <c r="D373" s="68" t="n">
        <f aca="false">Motore_Operativo!D373</f>
        <v>2027</v>
      </c>
      <c r="E373" s="68" t="n">
        <f aca="false">Motore_Operativo!E373</f>
        <v>9</v>
      </c>
      <c r="F373" s="15" t="n">
        <f aca="false">Motore_Operativo!AM373</f>
        <v>16210.5263157895</v>
      </c>
      <c r="G373" s="15" t="n">
        <f aca="false">Motore_Operativo!BH373</f>
        <v>1621.05263157895</v>
      </c>
      <c r="H373" s="15" t="n">
        <f aca="false">Motore_Operativo!AM373</f>
        <v>16210.5263157895</v>
      </c>
      <c r="I373" s="15" t="n">
        <f aca="false">Motore_Operativo!CB373</f>
        <v>12114.5175438596</v>
      </c>
      <c r="J373" s="15" t="n">
        <f aca="false">Motore_Operativo!CD373</f>
        <v>4096.00877192982</v>
      </c>
      <c r="K373" s="15" t="n">
        <f aca="false">Motore_Operativo!CF373</f>
        <v>250</v>
      </c>
      <c r="L373" s="15" t="n">
        <f aca="false">SUM(INDEX($K$365:$K$424,MAX(1,9-Parametri_v3!$C$59+1)):K373)/Parametri_v3!$C$59</f>
        <v>62.5</v>
      </c>
      <c r="M373" s="15" t="n">
        <f aca="false">J373-L373</f>
        <v>4033.50877192982</v>
      </c>
      <c r="N373" s="15" t="n">
        <f aca="false">0</f>
        <v>0</v>
      </c>
      <c r="O373" s="15" t="n">
        <f aca="false">0</f>
        <v>0</v>
      </c>
      <c r="P373" s="15" t="n">
        <f aca="false">M373+N373-O373</f>
        <v>4033.50877192982</v>
      </c>
      <c r="Q373" s="15" t="n">
        <f aca="false">SUM(P365:P373)+Parametri_v3!$C$56*9/12</f>
        <v>36551.5789473684</v>
      </c>
      <c r="R373" s="15" t="n">
        <f aca="false">0</f>
        <v>0</v>
      </c>
      <c r="S373" s="15" t="n">
        <f aca="false">0</f>
        <v>0</v>
      </c>
      <c r="T373" s="15" t="n">
        <f aca="false">MIN(R373,MAX(0,Q373))</f>
        <v>0</v>
      </c>
      <c r="U373" s="15" t="n">
        <f aca="false">MIN(S373,MAX(0,Q373-T373)*Parametri_v3!$C$42)</f>
        <v>0</v>
      </c>
      <c r="V373" s="15" t="n">
        <f aca="false">MAX(0,Q373-T373-U373)*Ipotesi!$C$92</f>
        <v>8772.37894736842</v>
      </c>
      <c r="W373" s="15" t="n">
        <f aca="false">MAX(0,SUM(M365:M373)+Parametri_v3!$C$57*9/12)*Ipotesi!$C$93</f>
        <v>1425.51157894737</v>
      </c>
      <c r="X373" s="15" t="n">
        <f aca="false">V373+W373-(V372+W372)</f>
        <v>1125.34894736842</v>
      </c>
      <c r="Y373" s="15" t="n">
        <f aca="false">P373-X373</f>
        <v>2908.1598245614</v>
      </c>
      <c r="Z373" s="15" t="n">
        <f aca="false">R373-T373+IF(AND(Parametri_v3!$C$40=1,D373-YEAR(Parametri_v3!$C$50)&lt;Parametri_v3!$C$41),MAX(0,-Q373),0)</f>
        <v>0</v>
      </c>
      <c r="AA373" s="15" t="n">
        <f aca="false">S373-U373+IF(AND(Parametri_v3!$C$40=1,D373-YEAR(Parametri_v3!$C$50)&lt;Parametri_v3!$C$41),0,MAX(0,-Q373))</f>
        <v>0</v>
      </c>
      <c r="AB373" s="15" t="n">
        <f aca="false">F373*(1+Parametri_v3!$C$26)</f>
        <v>19776.8421052632</v>
      </c>
      <c r="AC373" s="15" t="n">
        <f aca="false">(IF(9-(INT((Motore_Operativo!L373)/30))&lt;1,0,INDEX(Motore_Advisory!$AB$365:$AB$424,MAX(1,9-(INT((Motore_Operativo!L373)/30)))))*(1-(MOD((Motore_Operativo!L373),30)/30))+IF(9-(INT((Motore_Operativo!L373)/30))-1&lt;1,0,INDEX(Motore_Advisory!$AB$365:$AB$424,MAX(1,9-(INT((Motore_Operativo!L373)/30))-1)))*(MOD((Motore_Operativo!L373),30)/30))</f>
        <v>19776.8421052632</v>
      </c>
      <c r="AD373" s="15" t="n">
        <f aca="false">(AD372)+AB373-AC373</f>
        <v>59330.5263157895</v>
      </c>
      <c r="AE373" s="15" t="n">
        <f aca="false">Motore_Operativo!BH373*(1+Parametri_v3!$C$26)</f>
        <v>1977.68421052632</v>
      </c>
      <c r="AF373" s="15" t="n">
        <f aca="false">(IF(9-(INT((Parametri_v3!$C$29)/30))&lt;1,0,INDEX(Motore_Operativo!$BH$365:$BH$424,MAX(1,9-(INT((Parametri_v3!$C$29)/30)))))*(1-(MOD((Parametri_v3!$C$29),30)/30))+IF(9-(INT((Parametri_v3!$C$29)/30))-1&lt;1,0,INDEX(Motore_Operativo!$BH$365:$BH$424,MAX(1,9-(INT((Parametri_v3!$C$29)/30))-1)))*(MOD((Parametri_v3!$C$29),30)/30))*(1+Parametri_v3!$C$26)</f>
        <v>1977.68421052632</v>
      </c>
      <c r="AG373" s="15" t="n">
        <f aca="false">(AG372)+AE373-AF373</f>
        <v>1977.68421052632</v>
      </c>
      <c r="AH373" s="15" t="n">
        <f aca="false">(Motore_Operativo!CK373)*(1+Parametri_v3!$C$28*Parametri_v3!$C$26)</f>
        <v>6166.3147368421</v>
      </c>
      <c r="AI373" s="15" t="n">
        <f aca="false">(IF(9-(INT((Ipotesi!$C$91)/30))&lt;1,0,INDEX(Motore_Advisory!$AH$365:$AH$424,MAX(1,9-(INT((Ipotesi!$C$91)/30)))))*(1-(MOD((Ipotesi!$C$91),30)/30))+IF(9-(INT((Ipotesi!$C$91)/30))-1&lt;1,0,INDEX(Motore_Advisory!$AH$365:$AH$424,MAX(1,9-(INT((Ipotesi!$C$91)/30))-1)))*(MOD((Ipotesi!$C$91),30)/30))</f>
        <v>6166.3147368421</v>
      </c>
      <c r="AJ373" s="15" t="n">
        <f aca="false">(AJ372)+AH373-AI373</f>
        <v>12332.6294736842</v>
      </c>
      <c r="AK373" s="15" t="n">
        <f aca="false">(F373- Motore_Operativo!BH373-(Motore_Operativo!CK373)*Parametri_v3!$C$28-Motore_Operativo!CF373)*Parametri_v3!$C$26</f>
        <v>2231.83438596491</v>
      </c>
      <c r="AL373" s="15" t="n">
        <f aca="false">MAX(0,(AM372))</f>
        <v>2231.83438596491</v>
      </c>
      <c r="AM373" s="15" t="n">
        <f aca="false">(AM372)+AK373-AL373</f>
        <v>2231.83438596491</v>
      </c>
      <c r="AN373" s="15" t="n">
        <f aca="false">0</f>
        <v>0</v>
      </c>
      <c r="AO373" s="15" t="n">
        <f aca="false">0</f>
        <v>0</v>
      </c>
      <c r="AP373" s="15" t="n">
        <f aca="false">MAX(0,AN373)*IF(9=Parametri_v3!$C$43,Parametri_v3!$C$45,IF(9=Parametri_v3!$C$44,1-Parametri_v3!$C$45,0))</f>
        <v>0</v>
      </c>
      <c r="AQ373" s="15" t="n">
        <f aca="false">MAX(0,AP373+IF(9=Parametri_v3!$C$43,MAX(0,AN373-AO373),0)-MAX(0,-(AR372)))</f>
        <v>0</v>
      </c>
      <c r="AR373" s="15" t="n">
        <f aca="false">(AR372)+X373-AQ373</f>
        <v>10197.8905263158</v>
      </c>
      <c r="AS373" s="15" t="n">
        <f aca="false">Motore_Operativo!AC373-AT373+AU373</f>
        <v>4987.5</v>
      </c>
      <c r="AT373" s="15" t="n">
        <f aca="false">Motore_Operativo!CI373</f>
        <v>262.5</v>
      </c>
      <c r="AU373" s="15" t="n">
        <f aca="false">MIN(MAX(0,(AV372)+AT373),Parametri_v3!$C$61/12)</f>
        <v>0</v>
      </c>
      <c r="AV373" s="15" t="n">
        <f aca="false">(AV372)+AT373-AU373</f>
        <v>2362.5</v>
      </c>
      <c r="AW373" s="15" t="n">
        <f aca="false">IF(AND(Motore_Operativo!C373=Finanziamenti!$D$7,Finanziamenti!$F$7=1),Finanziamenti!$C$7,0)</f>
        <v>0</v>
      </c>
      <c r="AX373" s="15" t="n">
        <f aca="false">0</f>
        <v>0</v>
      </c>
      <c r="AY373" s="15" t="n">
        <f aca="false">IF(9=Parametri_v3!$C$33,IF(BV373&lt;MIN(12,$B373-1),0,MIN(MAX(0,0)*Ipotesi!$C$94,MAX(0,(0)-(BO372)-BP373),MAX(0,BD373-Parametri_v3!$C$31))),0)</f>
        <v>0</v>
      </c>
      <c r="AZ373" s="15" t="n">
        <f aca="false">0</f>
        <v>0</v>
      </c>
      <c r="BA373" s="15" t="n">
        <f aca="false">0</f>
        <v>0</v>
      </c>
      <c r="BB373" s="15" t="n">
        <f aca="false">0</f>
        <v>0</v>
      </c>
      <c r="BC373" s="15" t="n">
        <f aca="false">0</f>
        <v>0</v>
      </c>
      <c r="BD373" s="15" t="n">
        <f aca="false">(BH372)+AC373-AF373-AI373-AS373-K373*(1+Parametri_v3!$C$26)-AL373-AQ373-O373+AW373+AX373+AZ373+BA373-BB373</f>
        <v>14188.2007017544</v>
      </c>
      <c r="BE373" s="15" t="n">
        <f aca="false">0</f>
        <v>0</v>
      </c>
      <c r="BF373" s="15" t="n">
        <f aca="false">0</f>
        <v>0</v>
      </c>
      <c r="BG373" s="15" t="n">
        <f aca="false">0</f>
        <v>0</v>
      </c>
      <c r="BH373" s="15" t="n">
        <f aca="false">BD373+BE373-BF373-AY373</f>
        <v>14188.2007017544</v>
      </c>
      <c r="BI373" s="15" t="n">
        <f aca="false">MAX(0,Parametri_v3!$C$31-BH373)</f>
        <v>0</v>
      </c>
      <c r="BJ373" s="15" t="n">
        <f aca="false">(BJ372)+K373</f>
        <v>2250</v>
      </c>
      <c r="BK373" s="15" t="n">
        <f aca="false">(BK372)+L373</f>
        <v>312.5</v>
      </c>
      <c r="BL373" s="15" t="n">
        <f aca="false">BJ373-BK373</f>
        <v>1937.5</v>
      </c>
      <c r="BM373" s="15" t="n">
        <f aca="false">(BM372)+Y373</f>
        <v>26353.6884210526</v>
      </c>
      <c r="BN373" s="15" t="n">
        <f aca="false">(BN372)+AW373+AX373+AZ373</f>
        <v>20000</v>
      </c>
      <c r="BO373" s="15" t="n">
        <f aca="false">(BO372)+AY373</f>
        <v>0</v>
      </c>
      <c r="BP373" s="15" t="n">
        <f aca="false">MIN(Parametri_v3!$C$36*Parametri_v3!$C$35,(BP372)+IF(9=1,MAX(0,0)*Parametri_v3!$C$34,0))</f>
        <v>0</v>
      </c>
      <c r="BQ373" s="15" t="n">
        <f aca="false">BN373+BM373-BO373</f>
        <v>46353.6884210526</v>
      </c>
      <c r="BR373" s="15" t="n">
        <f aca="false">BH373+AD373+BL373+MAX(0,-AM373)+MAX(0,-AR373)</f>
        <v>75456.2270175439</v>
      </c>
      <c r="BS373" s="15" t="n">
        <f aca="false">AJ373+AV373+MAX(0,AM373)+MAX(0,AR373)+BC373+BG373+BQ373+AG373</f>
        <v>75456.2270175439</v>
      </c>
      <c r="BT373" s="15" t="n">
        <f aca="false">BR373-BS373</f>
        <v>0</v>
      </c>
      <c r="BU373" s="15" t="n">
        <f aca="false">BH373-(BD373+BE373-BF373-AY373)</f>
        <v>0</v>
      </c>
      <c r="BV373" s="15" t="n">
        <f aca="false">IF(BH372&lt;Parametri_v3!$C$31,0,BV372+1)</f>
        <v>1</v>
      </c>
    </row>
    <row r="374" customFormat="false" ht="18" hidden="false" customHeight="true" outlineLevel="0" collapsed="false">
      <c r="A374" s="68" t="n">
        <f aca="false">7</f>
        <v>7</v>
      </c>
      <c r="B374" s="68" t="n">
        <f aca="false">10</f>
        <v>10</v>
      </c>
      <c r="C374" s="18" t="n">
        <f aca="false">Motore_Operativo!C374</f>
        <v>46661</v>
      </c>
      <c r="D374" s="68" t="n">
        <f aca="false">Motore_Operativo!D374</f>
        <v>2027</v>
      </c>
      <c r="E374" s="68" t="n">
        <f aca="false">Motore_Operativo!E374</f>
        <v>10</v>
      </c>
      <c r="F374" s="15" t="n">
        <f aca="false">Motore_Operativo!AM374</f>
        <v>16210.5263157895</v>
      </c>
      <c r="G374" s="15" t="n">
        <f aca="false">Motore_Operativo!BH374</f>
        <v>1621.05263157895</v>
      </c>
      <c r="H374" s="15" t="n">
        <f aca="false">Motore_Operativo!AM374</f>
        <v>16210.5263157895</v>
      </c>
      <c r="I374" s="15" t="n">
        <f aca="false">Motore_Operativo!CB374</f>
        <v>12114.5175438596</v>
      </c>
      <c r="J374" s="15" t="n">
        <f aca="false">Motore_Operativo!CD374</f>
        <v>4096.00877192982</v>
      </c>
      <c r="K374" s="15" t="n">
        <f aca="false">Motore_Operativo!CF374</f>
        <v>250</v>
      </c>
      <c r="L374" s="15" t="n">
        <f aca="false">SUM(INDEX($K$365:$K$424,MAX(1,10-Parametri_v3!$C$59+1)):K374)/Parametri_v3!$C$59</f>
        <v>69.4444444444444</v>
      </c>
      <c r="M374" s="15" t="n">
        <f aca="false">J374-L374</f>
        <v>4026.56432748538</v>
      </c>
      <c r="N374" s="15" t="n">
        <f aca="false">0</f>
        <v>0</v>
      </c>
      <c r="O374" s="15" t="n">
        <f aca="false">0</f>
        <v>0</v>
      </c>
      <c r="P374" s="15" t="n">
        <f aca="false">M374+N374-O374</f>
        <v>4026.56432748538</v>
      </c>
      <c r="Q374" s="15" t="n">
        <f aca="false">SUM(P365:P374)+Parametri_v3!$C$56*10/12</f>
        <v>40578.1432748538</v>
      </c>
      <c r="R374" s="15" t="n">
        <f aca="false">0</f>
        <v>0</v>
      </c>
      <c r="S374" s="15" t="n">
        <f aca="false">0</f>
        <v>0</v>
      </c>
      <c r="T374" s="15" t="n">
        <f aca="false">MIN(R374,MAX(0,Q374))</f>
        <v>0</v>
      </c>
      <c r="U374" s="15" t="n">
        <f aca="false">MIN(S374,MAX(0,Q374-T374)*Parametri_v3!$C$42)</f>
        <v>0</v>
      </c>
      <c r="V374" s="15" t="n">
        <f aca="false">MAX(0,Q374-T374-U374)*Ipotesi!$C$92</f>
        <v>9738.75438596491</v>
      </c>
      <c r="W374" s="15" t="n">
        <f aca="false">MAX(0,SUM(M365:M374)+Parametri_v3!$C$57*10/12)*Ipotesi!$C$93</f>
        <v>1582.5475877193</v>
      </c>
      <c r="X374" s="15" t="n">
        <f aca="false">V374+W374-(V373+W373)</f>
        <v>1123.41144736842</v>
      </c>
      <c r="Y374" s="15" t="n">
        <f aca="false">P374-X374</f>
        <v>2903.15288011696</v>
      </c>
      <c r="Z374" s="15" t="n">
        <f aca="false">R374-T374+IF(AND(Parametri_v3!$C$40=1,D374-YEAR(Parametri_v3!$C$50)&lt;Parametri_v3!$C$41),MAX(0,-Q374),0)</f>
        <v>0</v>
      </c>
      <c r="AA374" s="15" t="n">
        <f aca="false">S374-U374+IF(AND(Parametri_v3!$C$40=1,D374-YEAR(Parametri_v3!$C$50)&lt;Parametri_v3!$C$41),0,MAX(0,-Q374))</f>
        <v>0</v>
      </c>
      <c r="AB374" s="15" t="n">
        <f aca="false">F374*(1+Parametri_v3!$C$26)</f>
        <v>19776.8421052632</v>
      </c>
      <c r="AC374" s="15" t="n">
        <f aca="false">(IF(10-(INT((Motore_Operativo!L374)/30))&lt;1,0,INDEX(Motore_Advisory!$AB$365:$AB$424,MAX(1,10-(INT((Motore_Operativo!L374)/30)))))*(1-(MOD((Motore_Operativo!L374),30)/30))+IF(10-(INT((Motore_Operativo!L374)/30))-1&lt;1,0,INDEX(Motore_Advisory!$AB$365:$AB$424,MAX(1,10-(INT((Motore_Operativo!L374)/30))-1)))*(MOD((Motore_Operativo!L374),30)/30))</f>
        <v>19776.8421052632</v>
      </c>
      <c r="AD374" s="15" t="n">
        <f aca="false">(AD373)+AB374-AC374</f>
        <v>59330.5263157895</v>
      </c>
      <c r="AE374" s="15" t="n">
        <f aca="false">Motore_Operativo!BH374*(1+Parametri_v3!$C$26)</f>
        <v>1977.68421052632</v>
      </c>
      <c r="AF374" s="15" t="n">
        <f aca="false">(IF(10-(INT((Parametri_v3!$C$29)/30))&lt;1,0,INDEX(Motore_Operativo!$BH$365:$BH$424,MAX(1,10-(INT((Parametri_v3!$C$29)/30)))))*(1-(MOD((Parametri_v3!$C$29),30)/30))+IF(10-(INT((Parametri_v3!$C$29)/30))-1&lt;1,0,INDEX(Motore_Operativo!$BH$365:$BH$424,MAX(1,10-(INT((Parametri_v3!$C$29)/30))-1)))*(MOD((Parametri_v3!$C$29),30)/30))*(1+Parametri_v3!$C$26)</f>
        <v>1977.68421052632</v>
      </c>
      <c r="AG374" s="15" t="n">
        <f aca="false">(AG373)+AE374-AF374</f>
        <v>1977.68421052632</v>
      </c>
      <c r="AH374" s="15" t="n">
        <f aca="false">(Motore_Operativo!CK374)*(1+Parametri_v3!$C$28*Parametri_v3!$C$26)</f>
        <v>6166.3147368421</v>
      </c>
      <c r="AI374" s="15" t="n">
        <f aca="false">(IF(10-(INT((Ipotesi!$C$91)/30))&lt;1,0,INDEX(Motore_Advisory!$AH$365:$AH$424,MAX(1,10-(INT((Ipotesi!$C$91)/30)))))*(1-(MOD((Ipotesi!$C$91),30)/30))+IF(10-(INT((Ipotesi!$C$91)/30))-1&lt;1,0,INDEX(Motore_Advisory!$AH$365:$AH$424,MAX(1,10-(INT((Ipotesi!$C$91)/30))-1)))*(MOD((Ipotesi!$C$91),30)/30))</f>
        <v>6166.3147368421</v>
      </c>
      <c r="AJ374" s="15" t="n">
        <f aca="false">(AJ373)+AH374-AI374</f>
        <v>12332.6294736842</v>
      </c>
      <c r="AK374" s="15" t="n">
        <f aca="false">(F374- Motore_Operativo!BH374-(Motore_Operativo!CK374)*Parametri_v3!$C$28-Motore_Operativo!CF374)*Parametri_v3!$C$26</f>
        <v>2231.83438596491</v>
      </c>
      <c r="AL374" s="15" t="n">
        <f aca="false">MAX(0,(AM373))</f>
        <v>2231.83438596491</v>
      </c>
      <c r="AM374" s="15" t="n">
        <f aca="false">(AM373)+AK374-AL374</f>
        <v>2231.83438596491</v>
      </c>
      <c r="AN374" s="15" t="n">
        <f aca="false">0</f>
        <v>0</v>
      </c>
      <c r="AO374" s="15" t="n">
        <f aca="false">0</f>
        <v>0</v>
      </c>
      <c r="AP374" s="15" t="n">
        <f aca="false">MAX(0,AN374)*IF(10=Parametri_v3!$C$43,Parametri_v3!$C$45,IF(10=Parametri_v3!$C$44,1-Parametri_v3!$C$45,0))</f>
        <v>0</v>
      </c>
      <c r="AQ374" s="15" t="n">
        <f aca="false">MAX(0,AP374+IF(10=Parametri_v3!$C$43,MAX(0,AN374-AO374),0)-MAX(0,-(AR373)))</f>
        <v>0</v>
      </c>
      <c r="AR374" s="15" t="n">
        <f aca="false">(AR373)+X374-AQ374</f>
        <v>11321.3019736842</v>
      </c>
      <c r="AS374" s="15" t="n">
        <f aca="false">Motore_Operativo!AC374-AT374+AU374</f>
        <v>4987.5</v>
      </c>
      <c r="AT374" s="15" t="n">
        <f aca="false">Motore_Operativo!CI374</f>
        <v>262.5</v>
      </c>
      <c r="AU374" s="15" t="n">
        <f aca="false">MIN(MAX(0,(AV373)+AT374),Parametri_v3!$C$61/12)</f>
        <v>0</v>
      </c>
      <c r="AV374" s="15" t="n">
        <f aca="false">(AV373)+AT374-AU374</f>
        <v>2625</v>
      </c>
      <c r="AW374" s="15" t="n">
        <f aca="false">IF(AND(Motore_Operativo!C374=Finanziamenti!$D$7,Finanziamenti!$F$7=1),Finanziamenti!$C$7,0)</f>
        <v>0</v>
      </c>
      <c r="AX374" s="15" t="n">
        <f aca="false">0</f>
        <v>0</v>
      </c>
      <c r="AY374" s="15" t="n">
        <f aca="false">IF(10=Parametri_v3!$C$33,IF(BV374&lt;MIN(12,$B374-1),0,MIN(MAX(0,0)*Ipotesi!$C$94,MAX(0,(0)-(BO373)-BP374),MAX(0,BD374-Parametri_v3!$C$31))),0)</f>
        <v>0</v>
      </c>
      <c r="AZ374" s="15" t="n">
        <f aca="false">0</f>
        <v>0</v>
      </c>
      <c r="BA374" s="15" t="n">
        <f aca="false">0</f>
        <v>0</v>
      </c>
      <c r="BB374" s="15" t="n">
        <f aca="false">0</f>
        <v>0</v>
      </c>
      <c r="BC374" s="15" t="n">
        <f aca="false">0</f>
        <v>0</v>
      </c>
      <c r="BD374" s="15" t="n">
        <f aca="false">(BH373)+AC374-AF374-AI374-AS374-K374*(1+Parametri_v3!$C$26)-AL374-AQ374-O374+AW374+AX374+AZ374+BA374-BB374</f>
        <v>18296.7094736842</v>
      </c>
      <c r="BE374" s="15" t="n">
        <f aca="false">0</f>
        <v>0</v>
      </c>
      <c r="BF374" s="15" t="n">
        <f aca="false">0</f>
        <v>0</v>
      </c>
      <c r="BG374" s="15" t="n">
        <f aca="false">0</f>
        <v>0</v>
      </c>
      <c r="BH374" s="15" t="n">
        <f aca="false">BD374+BE374-BF374-AY374</f>
        <v>18296.7094736842</v>
      </c>
      <c r="BI374" s="15" t="n">
        <f aca="false">MAX(0,Parametri_v3!$C$31-BH374)</f>
        <v>0</v>
      </c>
      <c r="BJ374" s="15" t="n">
        <f aca="false">(BJ373)+K374</f>
        <v>2500</v>
      </c>
      <c r="BK374" s="15" t="n">
        <f aca="false">(BK373)+L374</f>
        <v>381.944444444444</v>
      </c>
      <c r="BL374" s="15" t="n">
        <f aca="false">BJ374-BK374</f>
        <v>2118.05555555556</v>
      </c>
      <c r="BM374" s="15" t="n">
        <f aca="false">(BM373)+Y374</f>
        <v>29256.8413011696</v>
      </c>
      <c r="BN374" s="15" t="n">
        <f aca="false">(BN373)+AW374+AX374+AZ374</f>
        <v>20000</v>
      </c>
      <c r="BO374" s="15" t="n">
        <f aca="false">(BO373)+AY374</f>
        <v>0</v>
      </c>
      <c r="BP374" s="15" t="n">
        <f aca="false">MIN(Parametri_v3!$C$36*Parametri_v3!$C$35,(BP373)+IF(10=1,MAX(0,0)*Parametri_v3!$C$34,0))</f>
        <v>0</v>
      </c>
      <c r="BQ374" s="15" t="n">
        <f aca="false">BN374+BM374-BO374</f>
        <v>49256.8413011696</v>
      </c>
      <c r="BR374" s="15" t="n">
        <f aca="false">BH374+AD374+BL374+MAX(0,-AM374)+MAX(0,-AR374)</f>
        <v>79745.2913450292</v>
      </c>
      <c r="BS374" s="15" t="n">
        <f aca="false">AJ374+AV374+MAX(0,AM374)+MAX(0,AR374)+BC374+BG374+BQ374+AG374</f>
        <v>79745.2913450292</v>
      </c>
      <c r="BT374" s="15" t="n">
        <f aca="false">BR374-BS374</f>
        <v>0</v>
      </c>
      <c r="BU374" s="15" t="n">
        <f aca="false">BH374-(BD374+BE374-BF374-AY374)</f>
        <v>0</v>
      </c>
      <c r="BV374" s="15" t="n">
        <f aca="false">IF(BH373&lt;Parametri_v3!$C$31,0,BV373+1)</f>
        <v>2</v>
      </c>
    </row>
    <row r="375" customFormat="false" ht="18" hidden="false" customHeight="true" outlineLevel="0" collapsed="false">
      <c r="A375" s="68" t="n">
        <f aca="false">7</f>
        <v>7</v>
      </c>
      <c r="B375" s="68" t="n">
        <f aca="false">11</f>
        <v>11</v>
      </c>
      <c r="C375" s="18" t="n">
        <f aca="false">Motore_Operativo!C375</f>
        <v>46692</v>
      </c>
      <c r="D375" s="68" t="n">
        <f aca="false">Motore_Operativo!D375</f>
        <v>2027</v>
      </c>
      <c r="E375" s="68" t="n">
        <f aca="false">Motore_Operativo!E375</f>
        <v>11</v>
      </c>
      <c r="F375" s="15" t="n">
        <f aca="false">Motore_Operativo!AM375</f>
        <v>16210.5263157895</v>
      </c>
      <c r="G375" s="15" t="n">
        <f aca="false">Motore_Operativo!BH375</f>
        <v>1621.05263157895</v>
      </c>
      <c r="H375" s="15" t="n">
        <f aca="false">Motore_Operativo!AM375</f>
        <v>16210.5263157895</v>
      </c>
      <c r="I375" s="15" t="n">
        <f aca="false">Motore_Operativo!CB375</f>
        <v>12114.5175438596</v>
      </c>
      <c r="J375" s="15" t="n">
        <f aca="false">Motore_Operativo!CD375</f>
        <v>4096.00877192982</v>
      </c>
      <c r="K375" s="15" t="n">
        <f aca="false">Motore_Operativo!CF375</f>
        <v>250</v>
      </c>
      <c r="L375" s="15" t="n">
        <f aca="false">SUM(INDEX($K$365:$K$424,MAX(1,11-Parametri_v3!$C$59+1)):K375)/Parametri_v3!$C$59</f>
        <v>76.3888888888889</v>
      </c>
      <c r="M375" s="15" t="n">
        <f aca="false">J375-L375</f>
        <v>4019.61988304094</v>
      </c>
      <c r="N375" s="15" t="n">
        <f aca="false">0</f>
        <v>0</v>
      </c>
      <c r="O375" s="15" t="n">
        <f aca="false">0</f>
        <v>0</v>
      </c>
      <c r="P375" s="15" t="n">
        <f aca="false">M375+N375-O375</f>
        <v>4019.61988304094</v>
      </c>
      <c r="Q375" s="15" t="n">
        <f aca="false">SUM(P365:P375)+Parametri_v3!$C$56*11/12</f>
        <v>44597.7631578947</v>
      </c>
      <c r="R375" s="15" t="n">
        <f aca="false">0</f>
        <v>0</v>
      </c>
      <c r="S375" s="15" t="n">
        <f aca="false">0</f>
        <v>0</v>
      </c>
      <c r="T375" s="15" t="n">
        <f aca="false">MIN(R375,MAX(0,Q375))</f>
        <v>0</v>
      </c>
      <c r="U375" s="15" t="n">
        <f aca="false">MIN(S375,MAX(0,Q375-T375)*Parametri_v3!$C$42)</f>
        <v>0</v>
      </c>
      <c r="V375" s="15" t="n">
        <f aca="false">MAX(0,Q375-T375-U375)*Ipotesi!$C$92</f>
        <v>10703.4631578947</v>
      </c>
      <c r="W375" s="15" t="n">
        <f aca="false">MAX(0,SUM(M365:M375)+Parametri_v3!$C$57*11/12)*Ipotesi!$C$93</f>
        <v>1739.31276315789</v>
      </c>
      <c r="X375" s="15" t="n">
        <f aca="false">V375+W375-(V374+W374)</f>
        <v>1121.47394736842</v>
      </c>
      <c r="Y375" s="15" t="n">
        <f aca="false">P375-X375</f>
        <v>2898.14593567252</v>
      </c>
      <c r="Z375" s="15" t="n">
        <f aca="false">R375-T375+IF(AND(Parametri_v3!$C$40=1,D375-YEAR(Parametri_v3!$C$50)&lt;Parametri_v3!$C$41),MAX(0,-Q375),0)</f>
        <v>0</v>
      </c>
      <c r="AA375" s="15" t="n">
        <f aca="false">S375-U375+IF(AND(Parametri_v3!$C$40=1,D375-YEAR(Parametri_v3!$C$50)&lt;Parametri_v3!$C$41),0,MAX(0,-Q375))</f>
        <v>0</v>
      </c>
      <c r="AB375" s="15" t="n">
        <f aca="false">F375*(1+Parametri_v3!$C$26)</f>
        <v>19776.8421052632</v>
      </c>
      <c r="AC375" s="15" t="n">
        <f aca="false">(IF(11-(INT((Motore_Operativo!L375)/30))&lt;1,0,INDEX(Motore_Advisory!$AB$365:$AB$424,MAX(1,11-(INT((Motore_Operativo!L375)/30)))))*(1-(MOD((Motore_Operativo!L375),30)/30))+IF(11-(INT((Motore_Operativo!L375)/30))-1&lt;1,0,INDEX(Motore_Advisory!$AB$365:$AB$424,MAX(1,11-(INT((Motore_Operativo!L375)/30))-1)))*(MOD((Motore_Operativo!L375),30)/30))</f>
        <v>19776.8421052632</v>
      </c>
      <c r="AD375" s="15" t="n">
        <f aca="false">(AD374)+AB375-AC375</f>
        <v>59330.5263157895</v>
      </c>
      <c r="AE375" s="15" t="n">
        <f aca="false">Motore_Operativo!BH375*(1+Parametri_v3!$C$26)</f>
        <v>1977.68421052632</v>
      </c>
      <c r="AF375" s="15" t="n">
        <f aca="false">(IF(11-(INT((Parametri_v3!$C$29)/30))&lt;1,0,INDEX(Motore_Operativo!$BH$365:$BH$424,MAX(1,11-(INT((Parametri_v3!$C$29)/30)))))*(1-(MOD((Parametri_v3!$C$29),30)/30))+IF(11-(INT((Parametri_v3!$C$29)/30))-1&lt;1,0,INDEX(Motore_Operativo!$BH$365:$BH$424,MAX(1,11-(INT((Parametri_v3!$C$29)/30))-1)))*(MOD((Parametri_v3!$C$29),30)/30))*(1+Parametri_v3!$C$26)</f>
        <v>1977.68421052632</v>
      </c>
      <c r="AG375" s="15" t="n">
        <f aca="false">(AG374)+AE375-AF375</f>
        <v>1977.68421052632</v>
      </c>
      <c r="AH375" s="15" t="n">
        <f aca="false">(Motore_Operativo!CK375)*(1+Parametri_v3!$C$28*Parametri_v3!$C$26)</f>
        <v>6166.3147368421</v>
      </c>
      <c r="AI375" s="15" t="n">
        <f aca="false">(IF(11-(INT((Ipotesi!$C$91)/30))&lt;1,0,INDEX(Motore_Advisory!$AH$365:$AH$424,MAX(1,11-(INT((Ipotesi!$C$91)/30)))))*(1-(MOD((Ipotesi!$C$91),30)/30))+IF(11-(INT((Ipotesi!$C$91)/30))-1&lt;1,0,INDEX(Motore_Advisory!$AH$365:$AH$424,MAX(1,11-(INT((Ipotesi!$C$91)/30))-1)))*(MOD((Ipotesi!$C$91),30)/30))</f>
        <v>6166.3147368421</v>
      </c>
      <c r="AJ375" s="15" t="n">
        <f aca="false">(AJ374)+AH375-AI375</f>
        <v>12332.6294736842</v>
      </c>
      <c r="AK375" s="15" t="n">
        <f aca="false">(F375- Motore_Operativo!BH375-(Motore_Operativo!CK375)*Parametri_v3!$C$28-Motore_Operativo!CF375)*Parametri_v3!$C$26</f>
        <v>2231.83438596491</v>
      </c>
      <c r="AL375" s="15" t="n">
        <f aca="false">MAX(0,(AM374))</f>
        <v>2231.83438596491</v>
      </c>
      <c r="AM375" s="15" t="n">
        <f aca="false">(AM374)+AK375-AL375</f>
        <v>2231.83438596491</v>
      </c>
      <c r="AN375" s="15" t="n">
        <f aca="false">0</f>
        <v>0</v>
      </c>
      <c r="AO375" s="15" t="n">
        <f aca="false">0</f>
        <v>0</v>
      </c>
      <c r="AP375" s="15" t="n">
        <f aca="false">MAX(0,AN375)*IF(11=Parametri_v3!$C$43,Parametri_v3!$C$45,IF(11=Parametri_v3!$C$44,1-Parametri_v3!$C$45,0))</f>
        <v>0</v>
      </c>
      <c r="AQ375" s="15" t="n">
        <f aca="false">MAX(0,AP375+IF(11=Parametri_v3!$C$43,MAX(0,AN375-AO375),0)-MAX(0,-(AR374)))</f>
        <v>0</v>
      </c>
      <c r="AR375" s="15" t="n">
        <f aca="false">(AR374)+X375-AQ375</f>
        <v>12442.7759210526</v>
      </c>
      <c r="AS375" s="15" t="n">
        <f aca="false">Motore_Operativo!AC375-AT375+AU375</f>
        <v>4987.5</v>
      </c>
      <c r="AT375" s="15" t="n">
        <f aca="false">Motore_Operativo!CI375</f>
        <v>262.5</v>
      </c>
      <c r="AU375" s="15" t="n">
        <f aca="false">MIN(MAX(0,(AV374)+AT375),Parametri_v3!$C$61/12)</f>
        <v>0</v>
      </c>
      <c r="AV375" s="15" t="n">
        <f aca="false">(AV374)+AT375-AU375</f>
        <v>2887.5</v>
      </c>
      <c r="AW375" s="15" t="n">
        <f aca="false">IF(AND(Motore_Operativo!C375=Finanziamenti!$D$7,Finanziamenti!$F$7=1),Finanziamenti!$C$7,0)</f>
        <v>0</v>
      </c>
      <c r="AX375" s="15" t="n">
        <f aca="false">0</f>
        <v>0</v>
      </c>
      <c r="AY375" s="15" t="n">
        <f aca="false">IF(11=Parametri_v3!$C$33,IF(BV375&lt;MIN(12,$B375-1),0,MIN(MAX(0,0)*Ipotesi!$C$94,MAX(0,(0)-(BO374)-BP375),MAX(0,BD375-Parametri_v3!$C$31))),0)</f>
        <v>0</v>
      </c>
      <c r="AZ375" s="15" t="n">
        <f aca="false">0</f>
        <v>0</v>
      </c>
      <c r="BA375" s="15" t="n">
        <f aca="false">0</f>
        <v>0</v>
      </c>
      <c r="BB375" s="15" t="n">
        <f aca="false">0</f>
        <v>0</v>
      </c>
      <c r="BC375" s="15" t="n">
        <f aca="false">0</f>
        <v>0</v>
      </c>
      <c r="BD375" s="15" t="n">
        <f aca="false">(BH374)+AC375-AF375-AI375-AS375-K375*(1+Parametri_v3!$C$26)-AL375-AQ375-O375+AW375+AX375+AZ375+BA375-BB375</f>
        <v>22405.218245614</v>
      </c>
      <c r="BE375" s="15" t="n">
        <f aca="false">0</f>
        <v>0</v>
      </c>
      <c r="BF375" s="15" t="n">
        <f aca="false">0</f>
        <v>0</v>
      </c>
      <c r="BG375" s="15" t="n">
        <f aca="false">0</f>
        <v>0</v>
      </c>
      <c r="BH375" s="15" t="n">
        <f aca="false">BD375+BE375-BF375-AY375</f>
        <v>22405.218245614</v>
      </c>
      <c r="BI375" s="15" t="n">
        <f aca="false">MAX(0,Parametri_v3!$C$31-BH375)</f>
        <v>0</v>
      </c>
      <c r="BJ375" s="15" t="n">
        <f aca="false">(BJ374)+K375</f>
        <v>2750</v>
      </c>
      <c r="BK375" s="15" t="n">
        <f aca="false">(BK374)+L375</f>
        <v>458.333333333333</v>
      </c>
      <c r="BL375" s="15" t="n">
        <f aca="false">BJ375-BK375</f>
        <v>2291.66666666667</v>
      </c>
      <c r="BM375" s="15" t="n">
        <f aca="false">(BM374)+Y375</f>
        <v>32154.9872368421</v>
      </c>
      <c r="BN375" s="15" t="n">
        <f aca="false">(BN374)+AW375+AX375+AZ375</f>
        <v>20000</v>
      </c>
      <c r="BO375" s="15" t="n">
        <f aca="false">(BO374)+AY375</f>
        <v>0</v>
      </c>
      <c r="BP375" s="15" t="n">
        <f aca="false">MIN(Parametri_v3!$C$36*Parametri_v3!$C$35,(BP374)+IF(11=1,MAX(0,0)*Parametri_v3!$C$34,0))</f>
        <v>0</v>
      </c>
      <c r="BQ375" s="15" t="n">
        <f aca="false">BN375+BM375-BO375</f>
        <v>52154.9872368421</v>
      </c>
      <c r="BR375" s="15" t="n">
        <f aca="false">BH375+AD375+BL375+MAX(0,-AM375)+MAX(0,-AR375)</f>
        <v>84027.4112280702</v>
      </c>
      <c r="BS375" s="15" t="n">
        <f aca="false">AJ375+AV375+MAX(0,AM375)+MAX(0,AR375)+BC375+BG375+BQ375+AG375</f>
        <v>84027.4112280702</v>
      </c>
      <c r="BT375" s="15" t="n">
        <f aca="false">BR375-BS375</f>
        <v>0</v>
      </c>
      <c r="BU375" s="15" t="n">
        <f aca="false">BH375-(BD375+BE375-BF375-AY375)</f>
        <v>0</v>
      </c>
      <c r="BV375" s="15" t="n">
        <f aca="false">IF(BH374&lt;Parametri_v3!$C$31,0,BV374+1)</f>
        <v>3</v>
      </c>
    </row>
    <row r="376" customFormat="false" ht="18" hidden="false" customHeight="true" outlineLevel="0" collapsed="false">
      <c r="A376" s="68" t="n">
        <f aca="false">7</f>
        <v>7</v>
      </c>
      <c r="B376" s="68" t="n">
        <f aca="false">12</f>
        <v>12</v>
      </c>
      <c r="C376" s="18" t="n">
        <f aca="false">Motore_Operativo!C376</f>
        <v>46722</v>
      </c>
      <c r="D376" s="68" t="n">
        <f aca="false">Motore_Operativo!D376</f>
        <v>2027</v>
      </c>
      <c r="E376" s="68" t="n">
        <f aca="false">Motore_Operativo!E376</f>
        <v>12</v>
      </c>
      <c r="F376" s="15" t="n">
        <f aca="false">Motore_Operativo!AM376</f>
        <v>16210.5263157895</v>
      </c>
      <c r="G376" s="15" t="n">
        <f aca="false">Motore_Operativo!BH376</f>
        <v>1621.05263157895</v>
      </c>
      <c r="H376" s="15" t="n">
        <f aca="false">Motore_Operativo!AM376</f>
        <v>16210.5263157895</v>
      </c>
      <c r="I376" s="15" t="n">
        <f aca="false">Motore_Operativo!CB376</f>
        <v>12114.5175438596</v>
      </c>
      <c r="J376" s="15" t="n">
        <f aca="false">Motore_Operativo!CD376</f>
        <v>4096.00877192982</v>
      </c>
      <c r="K376" s="15" t="n">
        <f aca="false">Motore_Operativo!CF376</f>
        <v>250</v>
      </c>
      <c r="L376" s="15" t="n">
        <f aca="false">SUM(INDEX($K$365:$K$424,MAX(1,12-Parametri_v3!$C$59+1)):K376)/Parametri_v3!$C$59</f>
        <v>83.3333333333333</v>
      </c>
      <c r="M376" s="15" t="n">
        <f aca="false">J376-L376</f>
        <v>4012.67543859649</v>
      </c>
      <c r="N376" s="15" t="n">
        <f aca="false">0</f>
        <v>0</v>
      </c>
      <c r="O376" s="15" t="n">
        <f aca="false">0</f>
        <v>0</v>
      </c>
      <c r="P376" s="15" t="n">
        <f aca="false">M376+N376-O376</f>
        <v>4012.67543859649</v>
      </c>
      <c r="Q376" s="15" t="n">
        <f aca="false">SUM(P365:P376)+Parametri_v3!$C$56*12/12</f>
        <v>48610.4385964912</v>
      </c>
      <c r="R376" s="15" t="n">
        <f aca="false">0</f>
        <v>0</v>
      </c>
      <c r="S376" s="15" t="n">
        <f aca="false">0</f>
        <v>0</v>
      </c>
      <c r="T376" s="15" t="n">
        <f aca="false">MIN(R376,MAX(0,Q376))</f>
        <v>0</v>
      </c>
      <c r="U376" s="15" t="n">
        <f aca="false">MIN(S376,MAX(0,Q376-T376)*Parametri_v3!$C$42)</f>
        <v>0</v>
      </c>
      <c r="V376" s="15" t="n">
        <f aca="false">MAX(0,Q376-T376-U376)*Ipotesi!$C$92</f>
        <v>11666.5052631579</v>
      </c>
      <c r="W376" s="15" t="n">
        <f aca="false">MAX(0,SUM(M365:M376)+Parametri_v3!$C$57*12/12)*Ipotesi!$C$93</f>
        <v>1895.80710526316</v>
      </c>
      <c r="X376" s="15" t="n">
        <f aca="false">V376+W376-(V375+W375)</f>
        <v>1119.53644736842</v>
      </c>
      <c r="Y376" s="15" t="n">
        <f aca="false">P376-X376</f>
        <v>2893.13899122807</v>
      </c>
      <c r="Z376" s="15" t="n">
        <f aca="false">R376-T376+IF(AND(Parametri_v3!$C$40=1,D376-YEAR(Parametri_v3!$C$50)&lt;Parametri_v3!$C$41),MAX(0,-Q376),0)</f>
        <v>0</v>
      </c>
      <c r="AA376" s="15" t="n">
        <f aca="false">S376-U376+IF(AND(Parametri_v3!$C$40=1,D376-YEAR(Parametri_v3!$C$50)&lt;Parametri_v3!$C$41),0,MAX(0,-Q376))</f>
        <v>0</v>
      </c>
      <c r="AB376" s="15" t="n">
        <f aca="false">F376*(1+Parametri_v3!$C$26)</f>
        <v>19776.8421052632</v>
      </c>
      <c r="AC376" s="15" t="n">
        <f aca="false">(IF(12-(INT((Motore_Operativo!L376)/30))&lt;1,0,INDEX(Motore_Advisory!$AB$365:$AB$424,MAX(1,12-(INT((Motore_Operativo!L376)/30)))))*(1-(MOD((Motore_Operativo!L376),30)/30))+IF(12-(INT((Motore_Operativo!L376)/30))-1&lt;1,0,INDEX(Motore_Advisory!$AB$365:$AB$424,MAX(1,12-(INT((Motore_Operativo!L376)/30))-1)))*(MOD((Motore_Operativo!L376),30)/30))</f>
        <v>19776.8421052632</v>
      </c>
      <c r="AD376" s="15" t="n">
        <f aca="false">(AD375)+AB376-AC376</f>
        <v>59330.5263157895</v>
      </c>
      <c r="AE376" s="15" t="n">
        <f aca="false">Motore_Operativo!BH376*(1+Parametri_v3!$C$26)</f>
        <v>1977.68421052632</v>
      </c>
      <c r="AF376" s="15" t="n">
        <f aca="false">(IF(12-(INT((Parametri_v3!$C$29)/30))&lt;1,0,INDEX(Motore_Operativo!$BH$365:$BH$424,MAX(1,12-(INT((Parametri_v3!$C$29)/30)))))*(1-(MOD((Parametri_v3!$C$29),30)/30))+IF(12-(INT((Parametri_v3!$C$29)/30))-1&lt;1,0,INDEX(Motore_Operativo!$BH$365:$BH$424,MAX(1,12-(INT((Parametri_v3!$C$29)/30))-1)))*(MOD((Parametri_v3!$C$29),30)/30))*(1+Parametri_v3!$C$26)</f>
        <v>1977.68421052632</v>
      </c>
      <c r="AG376" s="15" t="n">
        <f aca="false">(AG375)+AE376-AF376</f>
        <v>1977.68421052632</v>
      </c>
      <c r="AH376" s="15" t="n">
        <f aca="false">(Motore_Operativo!CK376)*(1+Parametri_v3!$C$28*Parametri_v3!$C$26)</f>
        <v>6166.3147368421</v>
      </c>
      <c r="AI376" s="15" t="n">
        <f aca="false">(IF(12-(INT((Ipotesi!$C$91)/30))&lt;1,0,INDEX(Motore_Advisory!$AH$365:$AH$424,MAX(1,12-(INT((Ipotesi!$C$91)/30)))))*(1-(MOD((Ipotesi!$C$91),30)/30))+IF(12-(INT((Ipotesi!$C$91)/30))-1&lt;1,0,INDEX(Motore_Advisory!$AH$365:$AH$424,MAX(1,12-(INT((Ipotesi!$C$91)/30))-1)))*(MOD((Ipotesi!$C$91),30)/30))</f>
        <v>6166.3147368421</v>
      </c>
      <c r="AJ376" s="15" t="n">
        <f aca="false">(AJ375)+AH376-AI376</f>
        <v>12332.6294736842</v>
      </c>
      <c r="AK376" s="15" t="n">
        <f aca="false">(F376- Motore_Operativo!BH376-(Motore_Operativo!CK376)*Parametri_v3!$C$28-Motore_Operativo!CF376)*Parametri_v3!$C$26</f>
        <v>2231.83438596491</v>
      </c>
      <c r="AL376" s="15" t="n">
        <f aca="false">MAX(0,(AM375))</f>
        <v>2231.83438596491</v>
      </c>
      <c r="AM376" s="15" t="n">
        <f aca="false">(AM375)+AK376-AL376</f>
        <v>2231.83438596491</v>
      </c>
      <c r="AN376" s="15" t="n">
        <f aca="false">0</f>
        <v>0</v>
      </c>
      <c r="AO376" s="15" t="n">
        <f aca="false">0</f>
        <v>0</v>
      </c>
      <c r="AP376" s="15" t="n">
        <f aca="false">MAX(0,AN376)*IF(12=Parametri_v3!$C$43,Parametri_v3!$C$45,IF(12=Parametri_v3!$C$44,1-Parametri_v3!$C$45,0))</f>
        <v>0</v>
      </c>
      <c r="AQ376" s="15" t="n">
        <f aca="false">MAX(0,AP376+IF(12=Parametri_v3!$C$43,MAX(0,AN376-AO376),0)-MAX(0,-(AR375)))</f>
        <v>0</v>
      </c>
      <c r="AR376" s="15" t="n">
        <f aca="false">(AR375)+X376-AQ376</f>
        <v>13562.3123684211</v>
      </c>
      <c r="AS376" s="15" t="n">
        <f aca="false">Motore_Operativo!AC376-AT376+AU376</f>
        <v>4987.5</v>
      </c>
      <c r="AT376" s="15" t="n">
        <f aca="false">Motore_Operativo!CI376</f>
        <v>262.5</v>
      </c>
      <c r="AU376" s="15" t="n">
        <f aca="false">MIN(MAX(0,(AV375)+AT376),Parametri_v3!$C$61/12)</f>
        <v>0</v>
      </c>
      <c r="AV376" s="15" t="n">
        <f aca="false">(AV375)+AT376-AU376</f>
        <v>3150</v>
      </c>
      <c r="AW376" s="15" t="n">
        <f aca="false">IF(AND(Motore_Operativo!C376=Finanziamenti!$D$7,Finanziamenti!$F$7=1),Finanziamenti!$C$7,0)</f>
        <v>0</v>
      </c>
      <c r="AX376" s="15" t="n">
        <f aca="false">0</f>
        <v>0</v>
      </c>
      <c r="AY376" s="15" t="n">
        <f aca="false">IF(12=Parametri_v3!$C$33,IF(BV376&lt;MIN(12,$B376-1),0,MIN(MAX(0,0)*Ipotesi!$C$94,MAX(0,(0)-(BO375)-BP376),MAX(0,BD376-Parametri_v3!$C$31))),0)</f>
        <v>0</v>
      </c>
      <c r="AZ376" s="15" t="n">
        <f aca="false">0</f>
        <v>0</v>
      </c>
      <c r="BA376" s="15" t="n">
        <f aca="false">0</f>
        <v>0</v>
      </c>
      <c r="BB376" s="15" t="n">
        <f aca="false">0</f>
        <v>0</v>
      </c>
      <c r="BC376" s="15" t="n">
        <f aca="false">0</f>
        <v>0</v>
      </c>
      <c r="BD376" s="15" t="n">
        <f aca="false">(BH375)+AC376-AF376-AI376-AS376-K376*(1+Parametri_v3!$C$26)-AL376-AQ376-O376+AW376+AX376+AZ376+BA376-BB376</f>
        <v>26513.7270175439</v>
      </c>
      <c r="BE376" s="15" t="n">
        <f aca="false">0</f>
        <v>0</v>
      </c>
      <c r="BF376" s="15" t="n">
        <f aca="false">0</f>
        <v>0</v>
      </c>
      <c r="BG376" s="15" t="n">
        <f aca="false">0</f>
        <v>0</v>
      </c>
      <c r="BH376" s="15" t="n">
        <f aca="false">BD376+BE376-BF376-AY376</f>
        <v>26513.7270175439</v>
      </c>
      <c r="BI376" s="15" t="n">
        <f aca="false">MAX(0,Parametri_v3!$C$31-BH376)</f>
        <v>0</v>
      </c>
      <c r="BJ376" s="15" t="n">
        <f aca="false">(BJ375)+K376</f>
        <v>3000</v>
      </c>
      <c r="BK376" s="15" t="n">
        <f aca="false">(BK375)+L376</f>
        <v>541.666666666667</v>
      </c>
      <c r="BL376" s="15" t="n">
        <f aca="false">BJ376-BK376</f>
        <v>2458.33333333333</v>
      </c>
      <c r="BM376" s="15" t="n">
        <f aca="false">(BM375)+Y376</f>
        <v>35048.1262280702</v>
      </c>
      <c r="BN376" s="15" t="n">
        <f aca="false">(BN375)+AW376+AX376+AZ376</f>
        <v>20000</v>
      </c>
      <c r="BO376" s="15" t="n">
        <f aca="false">(BO375)+AY376</f>
        <v>0</v>
      </c>
      <c r="BP376" s="15" t="n">
        <f aca="false">MIN(Parametri_v3!$C$36*Parametri_v3!$C$35,(BP375)+IF(12=1,MAX(0,0)*Parametri_v3!$C$34,0))</f>
        <v>0</v>
      </c>
      <c r="BQ376" s="15" t="n">
        <f aca="false">BN376+BM376-BO376</f>
        <v>55048.1262280702</v>
      </c>
      <c r="BR376" s="15" t="n">
        <f aca="false">BH376+AD376+BL376+MAX(0,-AM376)+MAX(0,-AR376)</f>
        <v>88302.5866666666</v>
      </c>
      <c r="BS376" s="15" t="n">
        <f aca="false">AJ376+AV376+MAX(0,AM376)+MAX(0,AR376)+BC376+BG376+BQ376+AG376</f>
        <v>88302.5866666667</v>
      </c>
      <c r="BT376" s="15" t="n">
        <f aca="false">BR376-BS376</f>
        <v>0</v>
      </c>
      <c r="BU376" s="15" t="n">
        <f aca="false">BH376-(BD376+BE376-BF376-AY376)</f>
        <v>0</v>
      </c>
      <c r="BV376" s="15" t="n">
        <f aca="false">IF(BH375&lt;Parametri_v3!$C$31,0,BV375+1)</f>
        <v>4</v>
      </c>
    </row>
    <row r="377" customFormat="false" ht="18" hidden="false" customHeight="true" outlineLevel="0" collapsed="false">
      <c r="A377" s="68" t="n">
        <f aca="false">7</f>
        <v>7</v>
      </c>
      <c r="B377" s="68" t="n">
        <f aca="false">13</f>
        <v>13</v>
      </c>
      <c r="C377" s="18" t="n">
        <f aca="false">Motore_Operativo!C377</f>
        <v>46753</v>
      </c>
      <c r="D377" s="68" t="n">
        <f aca="false">Motore_Operativo!D377</f>
        <v>2028</v>
      </c>
      <c r="E377" s="68" t="n">
        <f aca="false">Motore_Operativo!E377</f>
        <v>1</v>
      </c>
      <c r="F377" s="15" t="n">
        <f aca="false">Motore_Operativo!AM377</f>
        <v>33981.220657277</v>
      </c>
      <c r="G377" s="15" t="n">
        <f aca="false">Motore_Operativo!BH377</f>
        <v>3398.1220657277</v>
      </c>
      <c r="H377" s="15" t="n">
        <f aca="false">Motore_Operativo!AM377</f>
        <v>33981.220657277</v>
      </c>
      <c r="I377" s="15" t="n">
        <f aca="false">Motore_Operativo!CB377</f>
        <v>28885.3286384976</v>
      </c>
      <c r="J377" s="15" t="n">
        <f aca="false">Motore_Operativo!CD377</f>
        <v>5095.89201877934</v>
      </c>
      <c r="K377" s="15" t="n">
        <f aca="false">Motore_Operativo!CF377</f>
        <v>416.666666666667</v>
      </c>
      <c r="L377" s="15" t="n">
        <f aca="false">SUM(INDEX($K$365:$K$424,MAX(1,13-Parametri_v3!$C$59+1)):K377)/Parametri_v3!$C$59</f>
        <v>94.9074074074074</v>
      </c>
      <c r="M377" s="15" t="n">
        <f aca="false">J377-L377</f>
        <v>5000.98461137193</v>
      </c>
      <c r="N377" s="15" t="n">
        <f aca="false">0</f>
        <v>0</v>
      </c>
      <c r="O377" s="15" t="n">
        <f aca="false">0</f>
        <v>0</v>
      </c>
      <c r="P377" s="15" t="n">
        <f aca="false">M377+N377-O377</f>
        <v>5000.98461137193</v>
      </c>
      <c r="Q377" s="15" t="n">
        <f aca="false">SUM(P377)+Parametri_v3!$C$56*1/12</f>
        <v>5000.98461137193</v>
      </c>
      <c r="R377" s="15" t="n">
        <f aca="false">Z376</f>
        <v>0</v>
      </c>
      <c r="S377" s="15" t="n">
        <f aca="false">AA376</f>
        <v>0</v>
      </c>
      <c r="T377" s="15" t="n">
        <f aca="false">MIN(R377,MAX(0,Q377))</f>
        <v>0</v>
      </c>
      <c r="U377" s="15" t="n">
        <f aca="false">MIN(S377,MAX(0,Q377-T377)*Parametri_v3!$C$42)</f>
        <v>0</v>
      </c>
      <c r="V377" s="15" t="n">
        <f aca="false">MAX(0,Q377-T377-U377)*Ipotesi!$C$92</f>
        <v>1200.23630672926</v>
      </c>
      <c r="W377" s="15" t="n">
        <f aca="false">MAX(0,SUM(M377)+Parametri_v3!$C$57*1/12)*Ipotesi!$C$93</f>
        <v>195.038399843505</v>
      </c>
      <c r="X377" s="15" t="n">
        <f aca="false">V377+W377-(0)</f>
        <v>1395.27470657277</v>
      </c>
      <c r="Y377" s="15" t="n">
        <f aca="false">P377-X377</f>
        <v>3605.70990479916</v>
      </c>
      <c r="Z377" s="15" t="n">
        <f aca="false">R377-T377+IF(AND(Parametri_v3!$C$40=1,D377-YEAR(Parametri_v3!$C$50)&lt;Parametri_v3!$C$41),MAX(0,-Q377),0)</f>
        <v>0</v>
      </c>
      <c r="AA377" s="15" t="n">
        <f aca="false">S377-U377+IF(AND(Parametri_v3!$C$40=1,D377-YEAR(Parametri_v3!$C$50)&lt;Parametri_v3!$C$41),0,MAX(0,-Q377))</f>
        <v>0</v>
      </c>
      <c r="AB377" s="15" t="n">
        <f aca="false">F377*(1+Parametri_v3!$C$26)</f>
        <v>41457.0892018779</v>
      </c>
      <c r="AC377" s="15" t="n">
        <f aca="false">(IF(13-(INT((Motore_Operativo!L377)/30))&lt;1,0,INDEX(Motore_Advisory!$AB$365:$AB$424,MAX(1,13-(INT((Motore_Operativo!L377)/30)))))*(1-(MOD((Motore_Operativo!L377),30)/30))+IF(13-(INT((Motore_Operativo!L377)/30))-1&lt;1,0,INDEX(Motore_Advisory!$AB$365:$AB$424,MAX(1,13-(INT((Motore_Operativo!L377)/30))-1)))*(MOD((Motore_Operativo!L377),30)/30))</f>
        <v>19776.8421052632</v>
      </c>
      <c r="AD377" s="15" t="n">
        <f aca="false">(AD376)+AB377-AC377</f>
        <v>81010.7734124042</v>
      </c>
      <c r="AE377" s="15" t="n">
        <f aca="false">Motore_Operativo!BH377*(1+Parametri_v3!$C$26)</f>
        <v>4145.70892018779</v>
      </c>
      <c r="AF377" s="15" t="n">
        <f aca="false">(IF(13-(INT((Parametri_v3!$C$29)/30))&lt;1,0,INDEX(Motore_Operativo!$BH$365:$BH$424,MAX(1,13-(INT((Parametri_v3!$C$29)/30)))))*(1-(MOD((Parametri_v3!$C$29),30)/30))+IF(13-(INT((Parametri_v3!$C$29)/30))-1&lt;1,0,INDEX(Motore_Operativo!$BH$365:$BH$424,MAX(1,13-(INT((Parametri_v3!$C$29)/30))-1)))*(MOD((Parametri_v3!$C$29),30)/30))*(1+Parametri_v3!$C$26)</f>
        <v>1977.68421052632</v>
      </c>
      <c r="AG377" s="15" t="n">
        <f aca="false">(AG376)+AE377-AF377</f>
        <v>4145.70892018779</v>
      </c>
      <c r="AH377" s="15" t="n">
        <f aca="false">(Motore_Operativo!CK377)*(1+Parametri_v3!$C$28*Parametri_v3!$C$26)</f>
        <v>11198.1149295775</v>
      </c>
      <c r="AI377" s="15" t="n">
        <f aca="false">(IF(13-(INT((Ipotesi!$C$91)/30))&lt;1,0,INDEX(Motore_Advisory!$AH$365:$AH$424,MAX(1,13-(INT((Ipotesi!$C$91)/30)))))*(1-(MOD((Ipotesi!$C$91),30)/30))+IF(13-(INT((Ipotesi!$C$91)/30))-1&lt;1,0,INDEX(Motore_Advisory!$AH$365:$AH$424,MAX(1,13-(INT((Ipotesi!$C$91)/30))-1)))*(MOD((Ipotesi!$C$91),30)/30))</f>
        <v>6166.3147368421</v>
      </c>
      <c r="AJ377" s="15" t="n">
        <f aca="false">(AJ376)+AH377-AI377</f>
        <v>17364.4296664196</v>
      </c>
      <c r="AK377" s="15" t="n">
        <f aca="false">(F377- Motore_Operativo!BH377-(Motore_Operativo!CK377)*Parametri_v3!$C$28-Motore_Operativo!CF377)*Parametri_v3!$C$26</f>
        <v>4960.70666666667</v>
      </c>
      <c r="AL377" s="15" t="n">
        <f aca="false">MAX(0,(AM376))</f>
        <v>2231.83438596491</v>
      </c>
      <c r="AM377" s="15" t="n">
        <f aca="false">(AM376)+AK377-AL377</f>
        <v>4960.70666666667</v>
      </c>
      <c r="AN377" s="15" t="n">
        <f aca="false">SUM(X365:X376)</f>
        <v>13562.3123684211</v>
      </c>
      <c r="AO377" s="15" t="n">
        <f aca="false">SUM(AP365:AP376)</f>
        <v>0</v>
      </c>
      <c r="AP377" s="15" t="n">
        <f aca="false">MAX(0,AN377)*IF(1=Parametri_v3!$C$43,Parametri_v3!$C$45,IF(1=Parametri_v3!$C$44,1-Parametri_v3!$C$45,0))</f>
        <v>0</v>
      </c>
      <c r="AQ377" s="15" t="n">
        <f aca="false">MAX(0,AP377+IF(1=Parametri_v3!$C$43,MAX(0,AN377-AO377),0)-MAX(0,-(AR376)))</f>
        <v>0</v>
      </c>
      <c r="AR377" s="15" t="n">
        <f aca="false">(AR376)+X377-AQ377</f>
        <v>14957.5870749938</v>
      </c>
      <c r="AS377" s="15" t="n">
        <f aca="false">Motore_Operativo!AC377-AT377+AU377</f>
        <v>15166.75</v>
      </c>
      <c r="AT377" s="15" t="n">
        <f aca="false">Motore_Operativo!CI377</f>
        <v>798.25</v>
      </c>
      <c r="AU377" s="15" t="n">
        <f aca="false">MIN(MAX(0,(AV376)+AT377),Parametri_v3!$C$61/12)</f>
        <v>0</v>
      </c>
      <c r="AV377" s="15" t="n">
        <f aca="false">(AV376)+AT377-AU377</f>
        <v>3948.25</v>
      </c>
      <c r="AW377" s="15" t="n">
        <f aca="false">IF(AND(Motore_Operativo!C377=Finanziamenti!$D$7,Finanziamenti!$F$7=1),Finanziamenti!$C$7,0)</f>
        <v>0</v>
      </c>
      <c r="AX377" s="15" t="n">
        <f aca="false">0</f>
        <v>0</v>
      </c>
      <c r="AY377" s="15" t="n">
        <f aca="false">IF(1=Parametri_v3!$C$33,IF(BV377&lt;MIN(12,$B377-1),0,MIN(MAX(0,SUM(Y365:Y376))*Ipotesi!$C$94,MAX(0,(BM376)-(BO376)-BP377),MAX(0,BD377-Parametri_v3!$C$31))),0)</f>
        <v>0</v>
      </c>
      <c r="AZ377" s="15" t="n">
        <f aca="false">0</f>
        <v>0</v>
      </c>
      <c r="BA377" s="15" t="n">
        <f aca="false">0</f>
        <v>0</v>
      </c>
      <c r="BB377" s="15" t="n">
        <f aca="false">0</f>
        <v>0</v>
      </c>
      <c r="BC377" s="15" t="n">
        <f aca="false">0</f>
        <v>0</v>
      </c>
      <c r="BD377" s="15" t="n">
        <f aca="false">(BH376)+AC377-AF377-AI377-AS377-K377*(1+Parametri_v3!$C$26)-AL377-AQ377-O377+AW377+AX377+AZ377+BA377-BB377</f>
        <v>20239.6524561403</v>
      </c>
      <c r="BE377" s="15" t="n">
        <f aca="false">0</f>
        <v>0</v>
      </c>
      <c r="BF377" s="15" t="n">
        <f aca="false">0</f>
        <v>0</v>
      </c>
      <c r="BG377" s="15" t="n">
        <f aca="false">0</f>
        <v>0</v>
      </c>
      <c r="BH377" s="15" t="n">
        <f aca="false">BD377+BE377-BF377-AY377</f>
        <v>20239.6524561403</v>
      </c>
      <c r="BI377" s="15" t="n">
        <f aca="false">MAX(0,Parametri_v3!$C$31-BH377)</f>
        <v>0</v>
      </c>
      <c r="BJ377" s="15" t="n">
        <f aca="false">(BJ376)+K377</f>
        <v>3416.66666666667</v>
      </c>
      <c r="BK377" s="15" t="n">
        <f aca="false">(BK376)+L377</f>
        <v>636.574074074074</v>
      </c>
      <c r="BL377" s="15" t="n">
        <f aca="false">BJ377-BK377</f>
        <v>2780.09259259259</v>
      </c>
      <c r="BM377" s="15" t="n">
        <f aca="false">(BM376)+Y377</f>
        <v>38653.8361328693</v>
      </c>
      <c r="BN377" s="15" t="n">
        <f aca="false">(BN376)+AW377+AX377+AZ377</f>
        <v>20000</v>
      </c>
      <c r="BO377" s="15" t="n">
        <f aca="false">(BO376)+AY377</f>
        <v>0</v>
      </c>
      <c r="BP377" s="15" t="n">
        <f aca="false">MIN(Parametri_v3!$C$36*Parametri_v3!$C$35,(BP376)+IF(1=1,MAX(0,SUM(Y365:Y376))*Parametri_v3!$C$34,0))</f>
        <v>1752.40631140351</v>
      </c>
      <c r="BQ377" s="15" t="n">
        <f aca="false">BN377+BM377-BO377</f>
        <v>58653.8361328693</v>
      </c>
      <c r="BR377" s="15" t="n">
        <f aca="false">BH377+AD377+BL377+MAX(0,-AM377)+MAX(0,-AR377)</f>
        <v>104030.518461137</v>
      </c>
      <c r="BS377" s="15" t="n">
        <f aca="false">AJ377+AV377+MAX(0,AM377)+MAX(0,AR377)+BC377+BG377+BQ377+AG377</f>
        <v>104030.518461137</v>
      </c>
      <c r="BT377" s="15" t="n">
        <f aca="false">BR377-BS377</f>
        <v>0</v>
      </c>
      <c r="BU377" s="15" t="n">
        <f aca="false">BH377-(BD377+BE377-BF377-AY377)</f>
        <v>0</v>
      </c>
      <c r="BV377" s="15" t="n">
        <f aca="false">IF(BH376&lt;Parametri_v3!$C$31,0,BV376+1)</f>
        <v>5</v>
      </c>
    </row>
    <row r="378" customFormat="false" ht="18" hidden="false" customHeight="true" outlineLevel="0" collapsed="false">
      <c r="A378" s="68" t="n">
        <f aca="false">7</f>
        <v>7</v>
      </c>
      <c r="B378" s="68" t="n">
        <f aca="false">14</f>
        <v>14</v>
      </c>
      <c r="C378" s="18" t="n">
        <f aca="false">Motore_Operativo!C378</f>
        <v>46784</v>
      </c>
      <c r="D378" s="68" t="n">
        <f aca="false">Motore_Operativo!D378</f>
        <v>2028</v>
      </c>
      <c r="E378" s="68" t="n">
        <f aca="false">Motore_Operativo!E378</f>
        <v>2</v>
      </c>
      <c r="F378" s="15" t="n">
        <f aca="false">Motore_Operativo!AM378</f>
        <v>33981.220657277</v>
      </c>
      <c r="G378" s="15" t="n">
        <f aca="false">Motore_Operativo!BH378</f>
        <v>3398.1220657277</v>
      </c>
      <c r="H378" s="15" t="n">
        <f aca="false">Motore_Operativo!AM378</f>
        <v>33981.220657277</v>
      </c>
      <c r="I378" s="15" t="n">
        <f aca="false">Motore_Operativo!CB378</f>
        <v>28885.3286384976</v>
      </c>
      <c r="J378" s="15" t="n">
        <f aca="false">Motore_Operativo!CD378</f>
        <v>5095.89201877934</v>
      </c>
      <c r="K378" s="15" t="n">
        <f aca="false">Motore_Operativo!CF378</f>
        <v>416.666666666667</v>
      </c>
      <c r="L378" s="15" t="n">
        <f aca="false">SUM(INDEX($K$365:$K$424,MAX(1,14-Parametri_v3!$C$59+1)):K378)/Parametri_v3!$C$59</f>
        <v>106.481481481481</v>
      </c>
      <c r="M378" s="15" t="n">
        <f aca="false">J378-L378</f>
        <v>4989.41053729786</v>
      </c>
      <c r="N378" s="15" t="n">
        <f aca="false">0</f>
        <v>0</v>
      </c>
      <c r="O378" s="15" t="n">
        <f aca="false">0</f>
        <v>0</v>
      </c>
      <c r="P378" s="15" t="n">
        <f aca="false">M378+N378-O378</f>
        <v>4989.41053729786</v>
      </c>
      <c r="Q378" s="15" t="n">
        <f aca="false">SUM(P377:P378)+Parametri_v3!$C$56*2/12</f>
        <v>9990.39514866979</v>
      </c>
      <c r="R378" s="15" t="n">
        <f aca="false">Z376</f>
        <v>0</v>
      </c>
      <c r="S378" s="15" t="n">
        <f aca="false">AA376</f>
        <v>0</v>
      </c>
      <c r="T378" s="15" t="n">
        <f aca="false">MIN(R378,MAX(0,Q378))</f>
        <v>0</v>
      </c>
      <c r="U378" s="15" t="n">
        <f aca="false">MIN(S378,MAX(0,Q378-T378)*Parametri_v3!$C$42)</f>
        <v>0</v>
      </c>
      <c r="V378" s="15" t="n">
        <f aca="false">MAX(0,Q378-T378-U378)*Ipotesi!$C$92</f>
        <v>2397.69483568075</v>
      </c>
      <c r="W378" s="15" t="n">
        <f aca="false">MAX(0,SUM(M377:M378)+Parametri_v3!$C$57*2/12)*Ipotesi!$C$93</f>
        <v>389.625410798122</v>
      </c>
      <c r="X378" s="15" t="n">
        <f aca="false">V378+W378-(V377+W377)</f>
        <v>1392.0455399061</v>
      </c>
      <c r="Y378" s="15" t="n">
        <f aca="false">P378-X378</f>
        <v>3597.36499739176</v>
      </c>
      <c r="Z378" s="15" t="n">
        <f aca="false">R378-T378+IF(AND(Parametri_v3!$C$40=1,D378-YEAR(Parametri_v3!$C$50)&lt;Parametri_v3!$C$41),MAX(0,-Q378),0)</f>
        <v>0</v>
      </c>
      <c r="AA378" s="15" t="n">
        <f aca="false">S378-U378+IF(AND(Parametri_v3!$C$40=1,D378-YEAR(Parametri_v3!$C$50)&lt;Parametri_v3!$C$41),0,MAX(0,-Q378))</f>
        <v>0</v>
      </c>
      <c r="AB378" s="15" t="n">
        <f aca="false">F378*(1+Parametri_v3!$C$26)</f>
        <v>41457.0892018779</v>
      </c>
      <c r="AC378" s="15" t="n">
        <f aca="false">(IF(14-(INT((Motore_Operativo!L378)/30))&lt;1,0,INDEX(Motore_Advisory!$AB$365:$AB$424,MAX(1,14-(INT((Motore_Operativo!L378)/30)))))*(1-(MOD((Motore_Operativo!L378),30)/30))+IF(14-(INT((Motore_Operativo!L378)/30))-1&lt;1,0,INDEX(Motore_Advisory!$AB$365:$AB$424,MAX(1,14-(INT((Motore_Operativo!L378)/30))-1)))*(MOD((Motore_Operativo!L378),30)/30))</f>
        <v>19776.8421052632</v>
      </c>
      <c r="AD378" s="15" t="n">
        <f aca="false">(AD377)+AB378-AC378</f>
        <v>102691.020509019</v>
      </c>
      <c r="AE378" s="15" t="n">
        <f aca="false">Motore_Operativo!BH378*(1+Parametri_v3!$C$26)</f>
        <v>4145.70892018779</v>
      </c>
      <c r="AF378" s="15" t="n">
        <f aca="false">(IF(14-(INT((Parametri_v3!$C$29)/30))&lt;1,0,INDEX(Motore_Operativo!$BH$365:$BH$424,MAX(1,14-(INT((Parametri_v3!$C$29)/30)))))*(1-(MOD((Parametri_v3!$C$29),30)/30))+IF(14-(INT((Parametri_v3!$C$29)/30))-1&lt;1,0,INDEX(Motore_Operativo!$BH$365:$BH$424,MAX(1,14-(INT((Parametri_v3!$C$29)/30))-1)))*(MOD((Parametri_v3!$C$29),30)/30))*(1+Parametri_v3!$C$26)</f>
        <v>4145.70892018779</v>
      </c>
      <c r="AG378" s="15" t="n">
        <f aca="false">(AG377)+AE378-AF378</f>
        <v>4145.70892018779</v>
      </c>
      <c r="AH378" s="15" t="n">
        <f aca="false">(Motore_Operativo!CK378)*(1+Parametri_v3!$C$28*Parametri_v3!$C$26)</f>
        <v>11198.1149295775</v>
      </c>
      <c r="AI378" s="15" t="n">
        <f aca="false">(IF(14-(INT((Ipotesi!$C$91)/30))&lt;1,0,INDEX(Motore_Advisory!$AH$365:$AH$424,MAX(1,14-(INT((Ipotesi!$C$91)/30)))))*(1-(MOD((Ipotesi!$C$91),30)/30))+IF(14-(INT((Ipotesi!$C$91)/30))-1&lt;1,0,INDEX(Motore_Advisory!$AH$365:$AH$424,MAX(1,14-(INT((Ipotesi!$C$91)/30))-1)))*(MOD((Ipotesi!$C$91),30)/30))</f>
        <v>6166.3147368421</v>
      </c>
      <c r="AJ378" s="15" t="n">
        <f aca="false">(AJ377)+AH378-AI378</f>
        <v>22396.2298591549</v>
      </c>
      <c r="AK378" s="15" t="n">
        <f aca="false">(F378- Motore_Operativo!BH378-(Motore_Operativo!CK378)*Parametri_v3!$C$28-Motore_Operativo!CF378)*Parametri_v3!$C$26</f>
        <v>4960.70666666667</v>
      </c>
      <c r="AL378" s="15" t="n">
        <f aca="false">MAX(0,(AM377))</f>
        <v>4960.70666666667</v>
      </c>
      <c r="AM378" s="15" t="n">
        <f aca="false">(AM377)+AK378-AL378</f>
        <v>4960.70666666667</v>
      </c>
      <c r="AN378" s="15" t="n">
        <f aca="false">SUM(X365:X376)</f>
        <v>13562.3123684211</v>
      </c>
      <c r="AO378" s="15" t="n">
        <f aca="false">SUM(AP365:AP376)</f>
        <v>0</v>
      </c>
      <c r="AP378" s="15" t="n">
        <f aca="false">MAX(0,AN378)*IF(2=Parametri_v3!$C$43,Parametri_v3!$C$45,IF(2=Parametri_v3!$C$44,1-Parametri_v3!$C$45,0))</f>
        <v>0</v>
      </c>
      <c r="AQ378" s="15" t="n">
        <f aca="false">MAX(0,AP378+IF(2=Parametri_v3!$C$43,MAX(0,AN378-AO378),0)-MAX(0,-(AR377)))</f>
        <v>0</v>
      </c>
      <c r="AR378" s="15" t="n">
        <f aca="false">(AR377)+X378-AQ378</f>
        <v>16349.6326148999</v>
      </c>
      <c r="AS378" s="15" t="n">
        <f aca="false">Motore_Operativo!AC378-AT378+AU378</f>
        <v>15166.75</v>
      </c>
      <c r="AT378" s="15" t="n">
        <f aca="false">Motore_Operativo!CI378</f>
        <v>798.25</v>
      </c>
      <c r="AU378" s="15" t="n">
        <f aca="false">MIN(MAX(0,(AV377)+AT378),Parametri_v3!$C$61/12)</f>
        <v>0</v>
      </c>
      <c r="AV378" s="15" t="n">
        <f aca="false">(AV377)+AT378-AU378</f>
        <v>4746.5</v>
      </c>
      <c r="AW378" s="15" t="n">
        <f aca="false">IF(AND(Motore_Operativo!C378=Finanziamenti!$D$7,Finanziamenti!$F$7=1),Finanziamenti!$C$7,0)</f>
        <v>0</v>
      </c>
      <c r="AX378" s="15" t="n">
        <f aca="false">0</f>
        <v>0</v>
      </c>
      <c r="AY378" s="15" t="n">
        <f aca="false">IF(2=Parametri_v3!$C$33,IF(BV378&lt;MIN(12,$B378-1),0,MIN(MAX(0,SUM(Y365:Y376))*Ipotesi!$C$94,MAX(0,(BM376)-(BO377)-BP378),MAX(0,BD378-Parametri_v3!$C$31))),0)</f>
        <v>0</v>
      </c>
      <c r="AZ378" s="15" t="n">
        <f aca="false">0</f>
        <v>0</v>
      </c>
      <c r="BA378" s="15" t="n">
        <f aca="false">0</f>
        <v>0</v>
      </c>
      <c r="BB378" s="15" t="n">
        <f aca="false">0</f>
        <v>0</v>
      </c>
      <c r="BC378" s="15" t="n">
        <f aca="false">0</f>
        <v>0</v>
      </c>
      <c r="BD378" s="15" t="n">
        <f aca="false">(BH377)+AC378-AF378-AI378-AS378-K378*(1+Parametri_v3!$C$26)-AL378-AQ378-O378+AW378+AX378+AZ378+BA378-BB378</f>
        <v>9068.6809043736</v>
      </c>
      <c r="BE378" s="15" t="n">
        <f aca="false">0</f>
        <v>0</v>
      </c>
      <c r="BF378" s="15" t="n">
        <f aca="false">0</f>
        <v>0</v>
      </c>
      <c r="BG378" s="15" t="n">
        <f aca="false">0</f>
        <v>0</v>
      </c>
      <c r="BH378" s="15" t="n">
        <f aca="false">BD378+BE378-BF378-AY378</f>
        <v>9068.6809043736</v>
      </c>
      <c r="BI378" s="15" t="n">
        <f aca="false">MAX(0,Parametri_v3!$C$31-BH378)</f>
        <v>931.319095626399</v>
      </c>
      <c r="BJ378" s="15" t="n">
        <f aca="false">(BJ377)+K378</f>
        <v>3833.33333333333</v>
      </c>
      <c r="BK378" s="15" t="n">
        <f aca="false">(BK377)+L378</f>
        <v>743.055555555556</v>
      </c>
      <c r="BL378" s="15" t="n">
        <f aca="false">BJ378-BK378</f>
        <v>3090.27777777778</v>
      </c>
      <c r="BM378" s="15" t="n">
        <f aca="false">(BM377)+Y378</f>
        <v>42251.2011302611</v>
      </c>
      <c r="BN378" s="15" t="n">
        <f aca="false">(BN377)+AW378+AX378+AZ378</f>
        <v>20000</v>
      </c>
      <c r="BO378" s="15" t="n">
        <f aca="false">(BO377)+AY378</f>
        <v>0</v>
      </c>
      <c r="BP378" s="15" t="n">
        <f aca="false">MIN(Parametri_v3!$C$36*Parametri_v3!$C$35,(BP377)+IF(2=1,MAX(0,SUM(Y365:Y376))*Parametri_v3!$C$34,0))</f>
        <v>1752.40631140351</v>
      </c>
      <c r="BQ378" s="15" t="n">
        <f aca="false">BN378+BM378-BO378</f>
        <v>62251.2011302611</v>
      </c>
      <c r="BR378" s="15" t="n">
        <f aca="false">BH378+AD378+BL378+MAX(0,-AM378)+MAX(0,-AR378)</f>
        <v>114849.97919117</v>
      </c>
      <c r="BS378" s="15" t="n">
        <f aca="false">AJ378+AV378+MAX(0,AM378)+MAX(0,AR378)+BC378+BG378+BQ378+AG378</f>
        <v>114849.97919117</v>
      </c>
      <c r="BT378" s="15" t="n">
        <f aca="false">BR378-BS378</f>
        <v>0</v>
      </c>
      <c r="BU378" s="15" t="n">
        <f aca="false">BH378-(BD378+BE378-BF378-AY378)</f>
        <v>0</v>
      </c>
      <c r="BV378" s="15" t="n">
        <f aca="false">IF(BH377&lt;Parametri_v3!$C$31,0,BV377+1)</f>
        <v>6</v>
      </c>
    </row>
    <row r="379" customFormat="false" ht="18" hidden="false" customHeight="true" outlineLevel="0" collapsed="false">
      <c r="A379" s="68" t="n">
        <f aca="false">7</f>
        <v>7</v>
      </c>
      <c r="B379" s="68" t="n">
        <f aca="false">15</f>
        <v>15</v>
      </c>
      <c r="C379" s="18" t="n">
        <f aca="false">Motore_Operativo!C379</f>
        <v>46813</v>
      </c>
      <c r="D379" s="68" t="n">
        <f aca="false">Motore_Operativo!D379</f>
        <v>2028</v>
      </c>
      <c r="E379" s="68" t="n">
        <f aca="false">Motore_Operativo!E379</f>
        <v>3</v>
      </c>
      <c r="F379" s="15" t="n">
        <f aca="false">Motore_Operativo!AM379</f>
        <v>33981.220657277</v>
      </c>
      <c r="G379" s="15" t="n">
        <f aca="false">Motore_Operativo!BH379</f>
        <v>3398.1220657277</v>
      </c>
      <c r="H379" s="15" t="n">
        <f aca="false">Motore_Operativo!AM379</f>
        <v>33981.220657277</v>
      </c>
      <c r="I379" s="15" t="n">
        <f aca="false">Motore_Operativo!CB379</f>
        <v>28885.3286384976</v>
      </c>
      <c r="J379" s="15" t="n">
        <f aca="false">Motore_Operativo!CD379</f>
        <v>5095.89201877934</v>
      </c>
      <c r="K379" s="15" t="n">
        <f aca="false">Motore_Operativo!CF379</f>
        <v>416.666666666667</v>
      </c>
      <c r="L379" s="15" t="n">
        <f aca="false">SUM(INDEX($K$365:$K$424,MAX(1,15-Parametri_v3!$C$59+1)):K379)/Parametri_v3!$C$59</f>
        <v>118.055555555556</v>
      </c>
      <c r="M379" s="15" t="n">
        <f aca="false">J379-L379</f>
        <v>4977.83646322379</v>
      </c>
      <c r="N379" s="15" t="n">
        <f aca="false">0</f>
        <v>0</v>
      </c>
      <c r="O379" s="15" t="n">
        <f aca="false">0</f>
        <v>0</v>
      </c>
      <c r="P379" s="15" t="n">
        <f aca="false">M379+N379-O379</f>
        <v>4977.83646322379</v>
      </c>
      <c r="Q379" s="15" t="n">
        <f aca="false">SUM(P377:P379)+Parametri_v3!$C$56*3/12</f>
        <v>14968.2316118936</v>
      </c>
      <c r="R379" s="15" t="n">
        <f aca="false">Z376</f>
        <v>0</v>
      </c>
      <c r="S379" s="15" t="n">
        <f aca="false">AA376</f>
        <v>0</v>
      </c>
      <c r="T379" s="15" t="n">
        <f aca="false">MIN(R379,MAX(0,Q379))</f>
        <v>0</v>
      </c>
      <c r="U379" s="15" t="n">
        <f aca="false">MIN(S379,MAX(0,Q379-T379)*Parametri_v3!$C$42)</f>
        <v>0</v>
      </c>
      <c r="V379" s="15" t="n">
        <f aca="false">MAX(0,Q379-T379-U379)*Ipotesi!$C$92</f>
        <v>3592.37558685446</v>
      </c>
      <c r="W379" s="15" t="n">
        <f aca="false">MAX(0,SUM(M377:M379)+Parametri_v3!$C$57*3/12)*Ipotesi!$C$93</f>
        <v>583.76103286385</v>
      </c>
      <c r="X379" s="15" t="n">
        <f aca="false">V379+W379-(V378+W378)</f>
        <v>1388.81637323944</v>
      </c>
      <c r="Y379" s="15" t="n">
        <f aca="false">P379-X379</f>
        <v>3589.02008998435</v>
      </c>
      <c r="Z379" s="15" t="n">
        <f aca="false">R379-T379+IF(AND(Parametri_v3!$C$40=1,D379-YEAR(Parametri_v3!$C$50)&lt;Parametri_v3!$C$41),MAX(0,-Q379),0)</f>
        <v>0</v>
      </c>
      <c r="AA379" s="15" t="n">
        <f aca="false">S379-U379+IF(AND(Parametri_v3!$C$40=1,D379-YEAR(Parametri_v3!$C$50)&lt;Parametri_v3!$C$41),0,MAX(0,-Q379))</f>
        <v>0</v>
      </c>
      <c r="AB379" s="15" t="n">
        <f aca="false">F379*(1+Parametri_v3!$C$26)</f>
        <v>41457.0892018779</v>
      </c>
      <c r="AC379" s="15" t="n">
        <f aca="false">(IF(15-(INT((Motore_Operativo!L379)/30))&lt;1,0,INDEX(Motore_Advisory!$AB$365:$AB$424,MAX(1,15-(INT((Motore_Operativo!L379)/30)))))*(1-(MOD((Motore_Operativo!L379),30)/30))+IF(15-(INT((Motore_Operativo!L379)/30))-1&lt;1,0,INDEX(Motore_Advisory!$AB$365:$AB$424,MAX(1,15-(INT((Motore_Operativo!L379)/30))-1)))*(MOD((Motore_Operativo!L379),30)/30))</f>
        <v>19776.8421052632</v>
      </c>
      <c r="AD379" s="15" t="n">
        <f aca="false">(AD378)+AB379-AC379</f>
        <v>124371.267605634</v>
      </c>
      <c r="AE379" s="15" t="n">
        <f aca="false">Motore_Operativo!BH379*(1+Parametri_v3!$C$26)</f>
        <v>4145.70892018779</v>
      </c>
      <c r="AF379" s="15" t="n">
        <f aca="false">(IF(15-(INT((Parametri_v3!$C$29)/30))&lt;1,0,INDEX(Motore_Operativo!$BH$365:$BH$424,MAX(1,15-(INT((Parametri_v3!$C$29)/30)))))*(1-(MOD((Parametri_v3!$C$29),30)/30))+IF(15-(INT((Parametri_v3!$C$29)/30))-1&lt;1,0,INDEX(Motore_Operativo!$BH$365:$BH$424,MAX(1,15-(INT((Parametri_v3!$C$29)/30))-1)))*(MOD((Parametri_v3!$C$29),30)/30))*(1+Parametri_v3!$C$26)</f>
        <v>4145.70892018779</v>
      </c>
      <c r="AG379" s="15" t="n">
        <f aca="false">(AG378)+AE379-AF379</f>
        <v>4145.70892018779</v>
      </c>
      <c r="AH379" s="15" t="n">
        <f aca="false">(Motore_Operativo!CK379)*(1+Parametri_v3!$C$28*Parametri_v3!$C$26)</f>
        <v>11198.1149295775</v>
      </c>
      <c r="AI379" s="15" t="n">
        <f aca="false">(IF(15-(INT((Ipotesi!$C$91)/30))&lt;1,0,INDEX(Motore_Advisory!$AH$365:$AH$424,MAX(1,15-(INT((Ipotesi!$C$91)/30)))))*(1-(MOD((Ipotesi!$C$91),30)/30))+IF(15-(INT((Ipotesi!$C$91)/30))-1&lt;1,0,INDEX(Motore_Advisory!$AH$365:$AH$424,MAX(1,15-(INT((Ipotesi!$C$91)/30))-1)))*(MOD((Ipotesi!$C$91),30)/30))</f>
        <v>11198.1149295775</v>
      </c>
      <c r="AJ379" s="15" t="n">
        <f aca="false">(AJ378)+AH379-AI379</f>
        <v>22396.2298591549</v>
      </c>
      <c r="AK379" s="15" t="n">
        <f aca="false">(F379- Motore_Operativo!BH379-(Motore_Operativo!CK379)*Parametri_v3!$C$28-Motore_Operativo!CF379)*Parametri_v3!$C$26</f>
        <v>4960.70666666667</v>
      </c>
      <c r="AL379" s="15" t="n">
        <f aca="false">MAX(0,(AM378))</f>
        <v>4960.70666666667</v>
      </c>
      <c r="AM379" s="15" t="n">
        <f aca="false">(AM378)+AK379-AL379</f>
        <v>4960.70666666667</v>
      </c>
      <c r="AN379" s="15" t="n">
        <f aca="false">SUM(X365:X376)</f>
        <v>13562.3123684211</v>
      </c>
      <c r="AO379" s="15" t="n">
        <f aca="false">SUM(AP365:AP376)</f>
        <v>0</v>
      </c>
      <c r="AP379" s="15" t="n">
        <f aca="false">MAX(0,AN379)*IF(3=Parametri_v3!$C$43,Parametri_v3!$C$45,IF(3=Parametri_v3!$C$44,1-Parametri_v3!$C$45,0))</f>
        <v>0</v>
      </c>
      <c r="AQ379" s="15" t="n">
        <f aca="false">MAX(0,AP379+IF(3=Parametri_v3!$C$43,MAX(0,AN379-AO379),0)-MAX(0,-(AR378)))</f>
        <v>0</v>
      </c>
      <c r="AR379" s="15" t="n">
        <f aca="false">(AR378)+X379-AQ379</f>
        <v>17738.4489881394</v>
      </c>
      <c r="AS379" s="15" t="n">
        <f aca="false">Motore_Operativo!AC379-AT379+AU379</f>
        <v>15166.75</v>
      </c>
      <c r="AT379" s="15" t="n">
        <f aca="false">Motore_Operativo!CI379</f>
        <v>798.25</v>
      </c>
      <c r="AU379" s="15" t="n">
        <f aca="false">MIN(MAX(0,(AV378)+AT379),Parametri_v3!$C$61/12)</f>
        <v>0</v>
      </c>
      <c r="AV379" s="15" t="n">
        <f aca="false">(AV378)+AT379-AU379</f>
        <v>5544.75</v>
      </c>
      <c r="AW379" s="15" t="n">
        <f aca="false">IF(AND(Motore_Operativo!C379=Finanziamenti!$D$7,Finanziamenti!$F$7=1),Finanziamenti!$C$7,0)</f>
        <v>0</v>
      </c>
      <c r="AX379" s="15" t="n">
        <f aca="false">0</f>
        <v>0</v>
      </c>
      <c r="AY379" s="15" t="n">
        <f aca="false">IF(3=Parametri_v3!$C$33,IF(BV379&lt;MIN(12,$B379-1),0,MIN(MAX(0,SUM(Y365:Y376))*Ipotesi!$C$94,MAX(0,(BM376)-(BO378)-BP379),MAX(0,BD379-Parametri_v3!$C$31))),0)</f>
        <v>0</v>
      </c>
      <c r="AZ379" s="15" t="n">
        <f aca="false">0</f>
        <v>0</v>
      </c>
      <c r="BA379" s="15" t="n">
        <f aca="false">0</f>
        <v>0</v>
      </c>
      <c r="BB379" s="15" t="n">
        <f aca="false">0</f>
        <v>0</v>
      </c>
      <c r="BC379" s="15" t="n">
        <f aca="false">0</f>
        <v>0</v>
      </c>
      <c r="BD379" s="15" t="n">
        <f aca="false">(BH378)+AC379-AF379-AI379-AS379-K379*(1+Parametri_v3!$C$26)-AL379-AQ379-O379+AW379+AX379+AZ379+BA379-BB379</f>
        <v>-7134.09084012849</v>
      </c>
      <c r="BE379" s="15" t="n">
        <f aca="false">0</f>
        <v>0</v>
      </c>
      <c r="BF379" s="15" t="n">
        <f aca="false">0</f>
        <v>0</v>
      </c>
      <c r="BG379" s="15" t="n">
        <f aca="false">0</f>
        <v>0</v>
      </c>
      <c r="BH379" s="15" t="n">
        <f aca="false">BD379+BE379-BF379-AY379</f>
        <v>-7134.09084012849</v>
      </c>
      <c r="BI379" s="15" t="n">
        <f aca="false">MAX(0,Parametri_v3!$C$31-BH379)</f>
        <v>17134.0908401285</v>
      </c>
      <c r="BJ379" s="15" t="n">
        <f aca="false">(BJ378)+K379</f>
        <v>4250</v>
      </c>
      <c r="BK379" s="15" t="n">
        <f aca="false">(BK378)+L379</f>
        <v>861.111111111111</v>
      </c>
      <c r="BL379" s="15" t="n">
        <f aca="false">BJ379-BK379</f>
        <v>3388.88888888889</v>
      </c>
      <c r="BM379" s="15" t="n">
        <f aca="false">(BM378)+Y379</f>
        <v>45840.2212202454</v>
      </c>
      <c r="BN379" s="15" t="n">
        <f aca="false">(BN378)+AW379+AX379+AZ379</f>
        <v>20000</v>
      </c>
      <c r="BO379" s="15" t="n">
        <f aca="false">(BO378)+AY379</f>
        <v>0</v>
      </c>
      <c r="BP379" s="15" t="n">
        <f aca="false">MIN(Parametri_v3!$C$36*Parametri_v3!$C$35,(BP378)+IF(3=1,MAX(0,SUM(Y365:Y376))*Parametri_v3!$C$34,0))</f>
        <v>1752.40631140351</v>
      </c>
      <c r="BQ379" s="15" t="n">
        <f aca="false">BN379+BM379-BO379</f>
        <v>65840.2212202454</v>
      </c>
      <c r="BR379" s="15" t="n">
        <f aca="false">BH379+AD379+BL379+MAX(0,-AM379)+MAX(0,-AR379)</f>
        <v>120626.065654394</v>
      </c>
      <c r="BS379" s="15" t="n">
        <f aca="false">AJ379+AV379+MAX(0,AM379)+MAX(0,AR379)+BC379+BG379+BQ379+AG379</f>
        <v>120626.065654394</v>
      </c>
      <c r="BT379" s="15" t="n">
        <f aca="false">BR379-BS379</f>
        <v>0</v>
      </c>
      <c r="BU379" s="15" t="n">
        <f aca="false">BH379-(BD379+BE379-BF379-AY379)</f>
        <v>0</v>
      </c>
      <c r="BV379" s="15" t="n">
        <f aca="false">IF(BH378&lt;Parametri_v3!$C$31,0,BV378+1)</f>
        <v>0</v>
      </c>
    </row>
    <row r="380" customFormat="false" ht="18" hidden="false" customHeight="true" outlineLevel="0" collapsed="false">
      <c r="A380" s="68" t="n">
        <f aca="false">7</f>
        <v>7</v>
      </c>
      <c r="B380" s="68" t="n">
        <f aca="false">16</f>
        <v>16</v>
      </c>
      <c r="C380" s="18" t="n">
        <f aca="false">Motore_Operativo!C380</f>
        <v>46844</v>
      </c>
      <c r="D380" s="68" t="n">
        <f aca="false">Motore_Operativo!D380</f>
        <v>2028</v>
      </c>
      <c r="E380" s="68" t="n">
        <f aca="false">Motore_Operativo!E380</f>
        <v>4</v>
      </c>
      <c r="F380" s="15" t="n">
        <f aca="false">Motore_Operativo!AM380</f>
        <v>33981.220657277</v>
      </c>
      <c r="G380" s="15" t="n">
        <f aca="false">Motore_Operativo!BH380</f>
        <v>3398.1220657277</v>
      </c>
      <c r="H380" s="15" t="n">
        <f aca="false">Motore_Operativo!AM380</f>
        <v>33981.220657277</v>
      </c>
      <c r="I380" s="15" t="n">
        <f aca="false">Motore_Operativo!CB380</f>
        <v>28885.3286384976</v>
      </c>
      <c r="J380" s="15" t="n">
        <f aca="false">Motore_Operativo!CD380</f>
        <v>5095.89201877934</v>
      </c>
      <c r="K380" s="15" t="n">
        <f aca="false">Motore_Operativo!CF380</f>
        <v>416.666666666667</v>
      </c>
      <c r="L380" s="15" t="n">
        <f aca="false">SUM(INDEX($K$365:$K$424,MAX(1,16-Parametri_v3!$C$59+1)):K380)/Parametri_v3!$C$59</f>
        <v>129.62962962963</v>
      </c>
      <c r="M380" s="15" t="n">
        <f aca="false">J380-L380</f>
        <v>4966.26238914971</v>
      </c>
      <c r="N380" s="15" t="n">
        <f aca="false">0</f>
        <v>0</v>
      </c>
      <c r="O380" s="15" t="n">
        <f aca="false">0</f>
        <v>0</v>
      </c>
      <c r="P380" s="15" t="n">
        <f aca="false">M380+N380-O380</f>
        <v>4966.26238914971</v>
      </c>
      <c r="Q380" s="15" t="n">
        <f aca="false">SUM(P377:P380)+Parametri_v3!$C$56*4/12</f>
        <v>19934.4940010433</v>
      </c>
      <c r="R380" s="15" t="n">
        <f aca="false">Z376</f>
        <v>0</v>
      </c>
      <c r="S380" s="15" t="n">
        <f aca="false">AA376</f>
        <v>0</v>
      </c>
      <c r="T380" s="15" t="n">
        <f aca="false">MIN(R380,MAX(0,Q380))</f>
        <v>0</v>
      </c>
      <c r="U380" s="15" t="n">
        <f aca="false">MIN(S380,MAX(0,Q380-T380)*Parametri_v3!$C$42)</f>
        <v>0</v>
      </c>
      <c r="V380" s="15" t="n">
        <f aca="false">MAX(0,Q380-T380-U380)*Ipotesi!$C$92</f>
        <v>4784.27856025039</v>
      </c>
      <c r="W380" s="15" t="n">
        <f aca="false">MAX(0,SUM(M377:M380)+Parametri_v3!$C$57*4/12)*Ipotesi!$C$93</f>
        <v>777.445266040688</v>
      </c>
      <c r="X380" s="15" t="n">
        <f aca="false">V380+W380-(V379+W379)</f>
        <v>1385.58720657277</v>
      </c>
      <c r="Y380" s="15" t="n">
        <f aca="false">P380-X380</f>
        <v>3580.67518257694</v>
      </c>
      <c r="Z380" s="15" t="n">
        <f aca="false">R380-T380+IF(AND(Parametri_v3!$C$40=1,D380-YEAR(Parametri_v3!$C$50)&lt;Parametri_v3!$C$41),MAX(0,-Q380),0)</f>
        <v>0</v>
      </c>
      <c r="AA380" s="15" t="n">
        <f aca="false">S380-U380+IF(AND(Parametri_v3!$C$40=1,D380-YEAR(Parametri_v3!$C$50)&lt;Parametri_v3!$C$41),0,MAX(0,-Q380))</f>
        <v>0</v>
      </c>
      <c r="AB380" s="15" t="n">
        <f aca="false">F380*(1+Parametri_v3!$C$26)</f>
        <v>41457.0892018779</v>
      </c>
      <c r="AC380" s="15" t="n">
        <f aca="false">(IF(16-(INT((Motore_Operativo!L380)/30))&lt;1,0,INDEX(Motore_Advisory!$AB$365:$AB$424,MAX(1,16-(INT((Motore_Operativo!L380)/30)))))*(1-(MOD((Motore_Operativo!L380),30)/30))+IF(16-(INT((Motore_Operativo!L380)/30))-1&lt;1,0,INDEX(Motore_Advisory!$AB$365:$AB$424,MAX(1,16-(INT((Motore_Operativo!L380)/30))-1)))*(MOD((Motore_Operativo!L380),30)/30))</f>
        <v>41457.0892018779</v>
      </c>
      <c r="AD380" s="15" t="n">
        <f aca="false">(AD379)+AB380-AC380</f>
        <v>124371.267605634</v>
      </c>
      <c r="AE380" s="15" t="n">
        <f aca="false">Motore_Operativo!BH380*(1+Parametri_v3!$C$26)</f>
        <v>4145.70892018779</v>
      </c>
      <c r="AF380" s="15" t="n">
        <f aca="false">(IF(16-(INT((Parametri_v3!$C$29)/30))&lt;1,0,INDEX(Motore_Operativo!$BH$365:$BH$424,MAX(1,16-(INT((Parametri_v3!$C$29)/30)))))*(1-(MOD((Parametri_v3!$C$29),30)/30))+IF(16-(INT((Parametri_v3!$C$29)/30))-1&lt;1,0,INDEX(Motore_Operativo!$BH$365:$BH$424,MAX(1,16-(INT((Parametri_v3!$C$29)/30))-1)))*(MOD((Parametri_v3!$C$29),30)/30))*(1+Parametri_v3!$C$26)</f>
        <v>4145.70892018779</v>
      </c>
      <c r="AG380" s="15" t="n">
        <f aca="false">(AG379)+AE380-AF380</f>
        <v>4145.70892018779</v>
      </c>
      <c r="AH380" s="15" t="n">
        <f aca="false">(Motore_Operativo!CK380)*(1+Parametri_v3!$C$28*Parametri_v3!$C$26)</f>
        <v>11198.1149295775</v>
      </c>
      <c r="AI380" s="15" t="n">
        <f aca="false">(IF(16-(INT((Ipotesi!$C$91)/30))&lt;1,0,INDEX(Motore_Advisory!$AH$365:$AH$424,MAX(1,16-(INT((Ipotesi!$C$91)/30)))))*(1-(MOD((Ipotesi!$C$91),30)/30))+IF(16-(INT((Ipotesi!$C$91)/30))-1&lt;1,0,INDEX(Motore_Advisory!$AH$365:$AH$424,MAX(1,16-(INT((Ipotesi!$C$91)/30))-1)))*(MOD((Ipotesi!$C$91),30)/30))</f>
        <v>11198.1149295775</v>
      </c>
      <c r="AJ380" s="15" t="n">
        <f aca="false">(AJ379)+AH380-AI380</f>
        <v>22396.2298591549</v>
      </c>
      <c r="AK380" s="15" t="n">
        <f aca="false">(F380- Motore_Operativo!BH380-(Motore_Operativo!CK380)*Parametri_v3!$C$28-Motore_Operativo!CF380)*Parametri_v3!$C$26</f>
        <v>4960.70666666667</v>
      </c>
      <c r="AL380" s="15" t="n">
        <f aca="false">MAX(0,(AM379))</f>
        <v>4960.70666666667</v>
      </c>
      <c r="AM380" s="15" t="n">
        <f aca="false">(AM379)+AK380-AL380</f>
        <v>4960.70666666667</v>
      </c>
      <c r="AN380" s="15" t="n">
        <f aca="false">SUM(X365:X376)</f>
        <v>13562.3123684211</v>
      </c>
      <c r="AO380" s="15" t="n">
        <f aca="false">SUM(AP365:AP376)</f>
        <v>0</v>
      </c>
      <c r="AP380" s="15" t="n">
        <f aca="false">MAX(0,AN380)*IF(4=Parametri_v3!$C$43,Parametri_v3!$C$45,IF(4=Parametri_v3!$C$44,1-Parametri_v3!$C$45,0))</f>
        <v>0</v>
      </c>
      <c r="AQ380" s="15" t="n">
        <f aca="false">MAX(0,AP380+IF(4=Parametri_v3!$C$43,MAX(0,AN380-AO380),0)-MAX(0,-(AR379)))</f>
        <v>0</v>
      </c>
      <c r="AR380" s="15" t="n">
        <f aca="false">(AR379)+X380-AQ380</f>
        <v>19124.0361947121</v>
      </c>
      <c r="AS380" s="15" t="n">
        <f aca="false">Motore_Operativo!AC380-AT380+AU380</f>
        <v>15166.75</v>
      </c>
      <c r="AT380" s="15" t="n">
        <f aca="false">Motore_Operativo!CI380</f>
        <v>798.25</v>
      </c>
      <c r="AU380" s="15" t="n">
        <f aca="false">MIN(MAX(0,(AV379)+AT380),Parametri_v3!$C$61/12)</f>
        <v>0</v>
      </c>
      <c r="AV380" s="15" t="n">
        <f aca="false">(AV379)+AT380-AU380</f>
        <v>6343</v>
      </c>
      <c r="AW380" s="15" t="n">
        <f aca="false">IF(AND(Motore_Operativo!C380=Finanziamenti!$D$7,Finanziamenti!$F$7=1),Finanziamenti!$C$7,0)</f>
        <v>0</v>
      </c>
      <c r="AX380" s="15" t="n">
        <f aca="false">0</f>
        <v>0</v>
      </c>
      <c r="AY380" s="15" t="n">
        <f aca="false">IF(4=Parametri_v3!$C$33,IF(BV380&lt;MIN(12,$B380-1),0,MIN(MAX(0,SUM(Y365:Y376))*Ipotesi!$C$94,MAX(0,(BM376)-(BO379)-BP380),MAX(0,BD380-Parametri_v3!$C$31))),0)</f>
        <v>0</v>
      </c>
      <c r="AZ380" s="15" t="n">
        <f aca="false">0</f>
        <v>0</v>
      </c>
      <c r="BA380" s="15" t="n">
        <f aca="false">0</f>
        <v>0</v>
      </c>
      <c r="BB380" s="15" t="n">
        <f aca="false">0</f>
        <v>0</v>
      </c>
      <c r="BC380" s="15" t="n">
        <f aca="false">0</f>
        <v>0</v>
      </c>
      <c r="BD380" s="15" t="n">
        <f aca="false">(BH379)+AC380-AF380-AI380-AS380-K380*(1+Parametri_v3!$C$26)-AL380-AQ380-O380+AW380+AX380+AZ380+BA380-BB380</f>
        <v>-1656.61548801582</v>
      </c>
      <c r="BE380" s="15" t="n">
        <f aca="false">0</f>
        <v>0</v>
      </c>
      <c r="BF380" s="15" t="n">
        <f aca="false">0</f>
        <v>0</v>
      </c>
      <c r="BG380" s="15" t="n">
        <f aca="false">0</f>
        <v>0</v>
      </c>
      <c r="BH380" s="15" t="n">
        <f aca="false">BD380+BE380-BF380-AY380</f>
        <v>-1656.61548801582</v>
      </c>
      <c r="BI380" s="15" t="n">
        <f aca="false">MAX(0,Parametri_v3!$C$31-BH380)</f>
        <v>11656.6154880158</v>
      </c>
      <c r="BJ380" s="15" t="n">
        <f aca="false">(BJ379)+K380</f>
        <v>4666.66666666667</v>
      </c>
      <c r="BK380" s="15" t="n">
        <f aca="false">(BK379)+L380</f>
        <v>990.740740740741</v>
      </c>
      <c r="BL380" s="15" t="n">
        <f aca="false">BJ380-BK380</f>
        <v>3675.92592592593</v>
      </c>
      <c r="BM380" s="15" t="n">
        <f aca="false">(BM379)+Y380</f>
        <v>49420.8964028224</v>
      </c>
      <c r="BN380" s="15" t="n">
        <f aca="false">(BN379)+AW380+AX380+AZ380</f>
        <v>20000</v>
      </c>
      <c r="BO380" s="15" t="n">
        <f aca="false">(BO379)+AY380</f>
        <v>0</v>
      </c>
      <c r="BP380" s="15" t="n">
        <f aca="false">MIN(Parametri_v3!$C$36*Parametri_v3!$C$35,(BP379)+IF(4=1,MAX(0,SUM(Y365:Y376))*Parametri_v3!$C$34,0))</f>
        <v>1752.40631140351</v>
      </c>
      <c r="BQ380" s="15" t="n">
        <f aca="false">BN380+BM380-BO380</f>
        <v>69420.8964028224</v>
      </c>
      <c r="BR380" s="15" t="n">
        <f aca="false">BH380+AD380+BL380+MAX(0,-AM380)+MAX(0,-AR380)</f>
        <v>126390.578043544</v>
      </c>
      <c r="BS380" s="15" t="n">
        <f aca="false">AJ380+AV380+MAX(0,AM380)+MAX(0,AR380)+BC380+BG380+BQ380+AG380</f>
        <v>126390.578043544</v>
      </c>
      <c r="BT380" s="15" t="n">
        <f aca="false">BR380-BS380</f>
        <v>0</v>
      </c>
      <c r="BU380" s="15" t="n">
        <f aca="false">BH380-(BD380+BE380-BF380-AY380)</f>
        <v>0</v>
      </c>
      <c r="BV380" s="15" t="n">
        <f aca="false">IF(BH379&lt;Parametri_v3!$C$31,0,BV379+1)</f>
        <v>0</v>
      </c>
    </row>
    <row r="381" customFormat="false" ht="18" hidden="false" customHeight="true" outlineLevel="0" collapsed="false">
      <c r="A381" s="68" t="n">
        <f aca="false">7</f>
        <v>7</v>
      </c>
      <c r="B381" s="68" t="n">
        <f aca="false">17</f>
        <v>17</v>
      </c>
      <c r="C381" s="18" t="n">
        <f aca="false">Motore_Operativo!C381</f>
        <v>46874</v>
      </c>
      <c r="D381" s="68" t="n">
        <f aca="false">Motore_Operativo!D381</f>
        <v>2028</v>
      </c>
      <c r="E381" s="68" t="n">
        <f aca="false">Motore_Operativo!E381</f>
        <v>5</v>
      </c>
      <c r="F381" s="15" t="n">
        <f aca="false">Motore_Operativo!AM381</f>
        <v>33981.220657277</v>
      </c>
      <c r="G381" s="15" t="n">
        <f aca="false">Motore_Operativo!BH381</f>
        <v>3398.1220657277</v>
      </c>
      <c r="H381" s="15" t="n">
        <f aca="false">Motore_Operativo!AM381</f>
        <v>33981.220657277</v>
      </c>
      <c r="I381" s="15" t="n">
        <f aca="false">Motore_Operativo!CB381</f>
        <v>28885.3286384976</v>
      </c>
      <c r="J381" s="15" t="n">
        <f aca="false">Motore_Operativo!CD381</f>
        <v>5095.89201877934</v>
      </c>
      <c r="K381" s="15" t="n">
        <f aca="false">Motore_Operativo!CF381</f>
        <v>416.666666666667</v>
      </c>
      <c r="L381" s="15" t="n">
        <f aca="false">SUM(INDEX($K$365:$K$424,MAX(1,17-Parametri_v3!$C$59+1)):K381)/Parametri_v3!$C$59</f>
        <v>141.203703703704</v>
      </c>
      <c r="M381" s="15" t="n">
        <f aca="false">J381-L381</f>
        <v>4954.68831507564</v>
      </c>
      <c r="N381" s="15" t="n">
        <f aca="false">0</f>
        <v>0</v>
      </c>
      <c r="O381" s="15" t="n">
        <f aca="false">0</f>
        <v>0</v>
      </c>
      <c r="P381" s="15" t="n">
        <f aca="false">M381+N381-O381</f>
        <v>4954.68831507564</v>
      </c>
      <c r="Q381" s="15" t="n">
        <f aca="false">SUM(P377:P381)+Parametri_v3!$C$56*5/12</f>
        <v>24889.1823161189</v>
      </c>
      <c r="R381" s="15" t="n">
        <f aca="false">Z376</f>
        <v>0</v>
      </c>
      <c r="S381" s="15" t="n">
        <f aca="false">AA376</f>
        <v>0</v>
      </c>
      <c r="T381" s="15" t="n">
        <f aca="false">MIN(R381,MAX(0,Q381))</f>
        <v>0</v>
      </c>
      <c r="U381" s="15" t="n">
        <f aca="false">MIN(S381,MAX(0,Q381-T381)*Parametri_v3!$C$42)</f>
        <v>0</v>
      </c>
      <c r="V381" s="15" t="n">
        <f aca="false">MAX(0,Q381-T381-U381)*Ipotesi!$C$92</f>
        <v>5973.40375586854</v>
      </c>
      <c r="W381" s="15" t="n">
        <f aca="false">MAX(0,SUM(M377:M381)+Parametri_v3!$C$57*5/12)*Ipotesi!$C$93</f>
        <v>970.678110328638</v>
      </c>
      <c r="X381" s="15" t="n">
        <f aca="false">V381+W381-(V380+W380)</f>
        <v>1382.3580399061</v>
      </c>
      <c r="Y381" s="15" t="n">
        <f aca="false">P381-X381</f>
        <v>3572.33027516954</v>
      </c>
      <c r="Z381" s="15" t="n">
        <f aca="false">R381-T381+IF(AND(Parametri_v3!$C$40=1,D381-YEAR(Parametri_v3!$C$50)&lt;Parametri_v3!$C$41),MAX(0,-Q381),0)</f>
        <v>0</v>
      </c>
      <c r="AA381" s="15" t="n">
        <f aca="false">S381-U381+IF(AND(Parametri_v3!$C$40=1,D381-YEAR(Parametri_v3!$C$50)&lt;Parametri_v3!$C$41),0,MAX(0,-Q381))</f>
        <v>0</v>
      </c>
      <c r="AB381" s="15" t="n">
        <f aca="false">F381*(1+Parametri_v3!$C$26)</f>
        <v>41457.0892018779</v>
      </c>
      <c r="AC381" s="15" t="n">
        <f aca="false">(IF(17-(INT((Motore_Operativo!L381)/30))&lt;1,0,INDEX(Motore_Advisory!$AB$365:$AB$424,MAX(1,17-(INT((Motore_Operativo!L381)/30)))))*(1-(MOD((Motore_Operativo!L381),30)/30))+IF(17-(INT((Motore_Operativo!L381)/30))-1&lt;1,0,INDEX(Motore_Advisory!$AB$365:$AB$424,MAX(1,17-(INT((Motore_Operativo!L381)/30))-1)))*(MOD((Motore_Operativo!L381),30)/30))</f>
        <v>41457.0892018779</v>
      </c>
      <c r="AD381" s="15" t="n">
        <f aca="false">(AD380)+AB381-AC381</f>
        <v>124371.267605634</v>
      </c>
      <c r="AE381" s="15" t="n">
        <f aca="false">Motore_Operativo!BH381*(1+Parametri_v3!$C$26)</f>
        <v>4145.70892018779</v>
      </c>
      <c r="AF381" s="15" t="n">
        <f aca="false">(IF(17-(INT((Parametri_v3!$C$29)/30))&lt;1,0,INDEX(Motore_Operativo!$BH$365:$BH$424,MAX(1,17-(INT((Parametri_v3!$C$29)/30)))))*(1-(MOD((Parametri_v3!$C$29),30)/30))+IF(17-(INT((Parametri_v3!$C$29)/30))-1&lt;1,0,INDEX(Motore_Operativo!$BH$365:$BH$424,MAX(1,17-(INT((Parametri_v3!$C$29)/30))-1)))*(MOD((Parametri_v3!$C$29),30)/30))*(1+Parametri_v3!$C$26)</f>
        <v>4145.70892018779</v>
      </c>
      <c r="AG381" s="15" t="n">
        <f aca="false">(AG380)+AE381-AF381</f>
        <v>4145.70892018779</v>
      </c>
      <c r="AH381" s="15" t="n">
        <f aca="false">(Motore_Operativo!CK381)*(1+Parametri_v3!$C$28*Parametri_v3!$C$26)</f>
        <v>11198.1149295775</v>
      </c>
      <c r="AI381" s="15" t="n">
        <f aca="false">(IF(17-(INT((Ipotesi!$C$91)/30))&lt;1,0,INDEX(Motore_Advisory!$AH$365:$AH$424,MAX(1,17-(INT((Ipotesi!$C$91)/30)))))*(1-(MOD((Ipotesi!$C$91),30)/30))+IF(17-(INT((Ipotesi!$C$91)/30))-1&lt;1,0,INDEX(Motore_Advisory!$AH$365:$AH$424,MAX(1,17-(INT((Ipotesi!$C$91)/30))-1)))*(MOD((Ipotesi!$C$91),30)/30))</f>
        <v>11198.1149295775</v>
      </c>
      <c r="AJ381" s="15" t="n">
        <f aca="false">(AJ380)+AH381-AI381</f>
        <v>22396.2298591549</v>
      </c>
      <c r="AK381" s="15" t="n">
        <f aca="false">(F381- Motore_Operativo!BH381-(Motore_Operativo!CK381)*Parametri_v3!$C$28-Motore_Operativo!CF381)*Parametri_v3!$C$26</f>
        <v>4960.70666666667</v>
      </c>
      <c r="AL381" s="15" t="n">
        <f aca="false">MAX(0,(AM380))</f>
        <v>4960.70666666667</v>
      </c>
      <c r="AM381" s="15" t="n">
        <f aca="false">(AM380)+AK381-AL381</f>
        <v>4960.70666666667</v>
      </c>
      <c r="AN381" s="15" t="n">
        <f aca="false">SUM(X365:X376)</f>
        <v>13562.3123684211</v>
      </c>
      <c r="AO381" s="15" t="n">
        <f aca="false">SUM(AP365:AP376)</f>
        <v>0</v>
      </c>
      <c r="AP381" s="15" t="n">
        <f aca="false">MAX(0,AN381)*IF(5=Parametri_v3!$C$43,Parametri_v3!$C$45,IF(5=Parametri_v3!$C$44,1-Parametri_v3!$C$45,0))</f>
        <v>0</v>
      </c>
      <c r="AQ381" s="15" t="n">
        <f aca="false">MAX(0,AP381+IF(5=Parametri_v3!$C$43,MAX(0,AN381-AO381),0)-MAX(0,-(AR380)))</f>
        <v>0</v>
      </c>
      <c r="AR381" s="15" t="n">
        <f aca="false">(AR380)+X381-AQ381</f>
        <v>20506.3942346182</v>
      </c>
      <c r="AS381" s="15" t="n">
        <f aca="false">Motore_Operativo!AC381-AT381+AU381</f>
        <v>15166.75</v>
      </c>
      <c r="AT381" s="15" t="n">
        <f aca="false">Motore_Operativo!CI381</f>
        <v>798.25</v>
      </c>
      <c r="AU381" s="15" t="n">
        <f aca="false">MIN(MAX(0,(AV380)+AT381),Parametri_v3!$C$61/12)</f>
        <v>0</v>
      </c>
      <c r="AV381" s="15" t="n">
        <f aca="false">(AV380)+AT381-AU381</f>
        <v>7141.25</v>
      </c>
      <c r="AW381" s="15" t="n">
        <f aca="false">IF(AND(Motore_Operativo!C381=Finanziamenti!$D$7,Finanziamenti!$F$7=1),Finanziamenti!$C$7,0)</f>
        <v>0</v>
      </c>
      <c r="AX381" s="15" t="n">
        <f aca="false">0</f>
        <v>0</v>
      </c>
      <c r="AY381" s="15" t="n">
        <f aca="false">IF(5=Parametri_v3!$C$33,IF(BV381&lt;MIN(12,$B381-1),0,MIN(MAX(0,SUM(Y365:Y376))*Ipotesi!$C$94,MAX(0,(BM376)-(BO380)-BP381),MAX(0,BD381-Parametri_v3!$C$31))),0)</f>
        <v>0</v>
      </c>
      <c r="AZ381" s="15" t="n">
        <f aca="false">0</f>
        <v>0</v>
      </c>
      <c r="BA381" s="15" t="n">
        <f aca="false">0</f>
        <v>0</v>
      </c>
      <c r="BB381" s="15" t="n">
        <f aca="false">0</f>
        <v>0</v>
      </c>
      <c r="BC381" s="15" t="n">
        <f aca="false">0</f>
        <v>0</v>
      </c>
      <c r="BD381" s="15" t="n">
        <f aca="false">(BH380)+AC381-AF381-AI381-AS381-K381*(1+Parametri_v3!$C$26)-AL381-AQ381-O381+AW381+AX381+AZ381+BA381-BB381</f>
        <v>3820.85986409685</v>
      </c>
      <c r="BE381" s="15" t="n">
        <f aca="false">0</f>
        <v>0</v>
      </c>
      <c r="BF381" s="15" t="n">
        <f aca="false">0</f>
        <v>0</v>
      </c>
      <c r="BG381" s="15" t="n">
        <f aca="false">0</f>
        <v>0</v>
      </c>
      <c r="BH381" s="15" t="n">
        <f aca="false">BD381+BE381-BF381-AY381</f>
        <v>3820.85986409685</v>
      </c>
      <c r="BI381" s="15" t="n">
        <f aca="false">MAX(0,Parametri_v3!$C$31-BH381)</f>
        <v>6179.14013590315</v>
      </c>
      <c r="BJ381" s="15" t="n">
        <f aca="false">(BJ380)+K381</f>
        <v>5083.33333333333</v>
      </c>
      <c r="BK381" s="15" t="n">
        <f aca="false">(BK380)+L381</f>
        <v>1131.94444444444</v>
      </c>
      <c r="BL381" s="15" t="n">
        <f aca="false">BJ381-BK381</f>
        <v>3951.38888888889</v>
      </c>
      <c r="BM381" s="15" t="n">
        <f aca="false">(BM380)+Y381</f>
        <v>52993.2266779919</v>
      </c>
      <c r="BN381" s="15" t="n">
        <f aca="false">(BN380)+AW381+AX381+AZ381</f>
        <v>20000</v>
      </c>
      <c r="BO381" s="15" t="n">
        <f aca="false">(BO380)+AY381</f>
        <v>0</v>
      </c>
      <c r="BP381" s="15" t="n">
        <f aca="false">MIN(Parametri_v3!$C$36*Parametri_v3!$C$35,(BP380)+IF(5=1,MAX(0,SUM(Y365:Y376))*Parametri_v3!$C$34,0))</f>
        <v>1752.40631140351</v>
      </c>
      <c r="BQ381" s="15" t="n">
        <f aca="false">BN381+BM381-BO381</f>
        <v>72993.2266779919</v>
      </c>
      <c r="BR381" s="15" t="n">
        <f aca="false">BH381+AD381+BL381+MAX(0,-AM381)+MAX(0,-AR381)</f>
        <v>132143.51635862</v>
      </c>
      <c r="BS381" s="15" t="n">
        <f aca="false">AJ381+AV381+MAX(0,AM381)+MAX(0,AR381)+BC381+BG381+BQ381+AG381</f>
        <v>132143.51635862</v>
      </c>
      <c r="BT381" s="15" t="n">
        <f aca="false">BR381-BS381</f>
        <v>0</v>
      </c>
      <c r="BU381" s="15" t="n">
        <f aca="false">BH381-(BD381+BE381-BF381-AY381)</f>
        <v>0</v>
      </c>
      <c r="BV381" s="15" t="n">
        <f aca="false">IF(BH380&lt;Parametri_v3!$C$31,0,BV380+1)</f>
        <v>0</v>
      </c>
    </row>
    <row r="382" customFormat="false" ht="18" hidden="false" customHeight="true" outlineLevel="0" collapsed="false">
      <c r="A382" s="68" t="n">
        <f aca="false">7</f>
        <v>7</v>
      </c>
      <c r="B382" s="68" t="n">
        <f aca="false">18</f>
        <v>18</v>
      </c>
      <c r="C382" s="18" t="n">
        <f aca="false">Motore_Operativo!C382</f>
        <v>46905</v>
      </c>
      <c r="D382" s="68" t="n">
        <f aca="false">Motore_Operativo!D382</f>
        <v>2028</v>
      </c>
      <c r="E382" s="68" t="n">
        <f aca="false">Motore_Operativo!E382</f>
        <v>6</v>
      </c>
      <c r="F382" s="15" t="n">
        <f aca="false">Motore_Operativo!AM382</f>
        <v>33981.220657277</v>
      </c>
      <c r="G382" s="15" t="n">
        <f aca="false">Motore_Operativo!BH382</f>
        <v>3398.1220657277</v>
      </c>
      <c r="H382" s="15" t="n">
        <f aca="false">Motore_Operativo!AM382</f>
        <v>33981.220657277</v>
      </c>
      <c r="I382" s="15" t="n">
        <f aca="false">Motore_Operativo!CB382</f>
        <v>28885.3286384976</v>
      </c>
      <c r="J382" s="15" t="n">
        <f aca="false">Motore_Operativo!CD382</f>
        <v>5095.89201877934</v>
      </c>
      <c r="K382" s="15" t="n">
        <f aca="false">Motore_Operativo!CF382</f>
        <v>416.666666666667</v>
      </c>
      <c r="L382" s="15" t="n">
        <f aca="false">SUM(INDEX($K$365:$K$424,MAX(1,18-Parametri_v3!$C$59+1)):K382)/Parametri_v3!$C$59</f>
        <v>152.777777777778</v>
      </c>
      <c r="M382" s="15" t="n">
        <f aca="false">J382-L382</f>
        <v>4943.11424100156</v>
      </c>
      <c r="N382" s="15" t="n">
        <f aca="false">0</f>
        <v>0</v>
      </c>
      <c r="O382" s="15" t="n">
        <f aca="false">0</f>
        <v>0</v>
      </c>
      <c r="P382" s="15" t="n">
        <f aca="false">M382+N382-O382</f>
        <v>4943.11424100156</v>
      </c>
      <c r="Q382" s="15" t="n">
        <f aca="false">SUM(P377:P382)+Parametri_v3!$C$56*6/12</f>
        <v>29832.2965571205</v>
      </c>
      <c r="R382" s="15" t="n">
        <f aca="false">Z376</f>
        <v>0</v>
      </c>
      <c r="S382" s="15" t="n">
        <f aca="false">AA376</f>
        <v>0</v>
      </c>
      <c r="T382" s="15" t="n">
        <f aca="false">MIN(R382,MAX(0,Q382))</f>
        <v>0</v>
      </c>
      <c r="U382" s="15" t="n">
        <f aca="false">MIN(S382,MAX(0,Q382-T382)*Parametri_v3!$C$42)</f>
        <v>0</v>
      </c>
      <c r="V382" s="15" t="n">
        <f aca="false">MAX(0,Q382-T382-U382)*Ipotesi!$C$92</f>
        <v>7159.75117370892</v>
      </c>
      <c r="W382" s="15" t="n">
        <f aca="false">MAX(0,SUM(M377:M382)+Parametri_v3!$C$57*6/12)*Ipotesi!$C$93</f>
        <v>1163.4595657277</v>
      </c>
      <c r="X382" s="15" t="n">
        <f aca="false">V382+W382-(V381+W381)</f>
        <v>1379.12887323944</v>
      </c>
      <c r="Y382" s="15" t="n">
        <f aca="false">P382-X382</f>
        <v>3563.98536776213</v>
      </c>
      <c r="Z382" s="15" t="n">
        <f aca="false">R382-T382+IF(AND(Parametri_v3!$C$40=1,D382-YEAR(Parametri_v3!$C$50)&lt;Parametri_v3!$C$41),MAX(0,-Q382),0)</f>
        <v>0</v>
      </c>
      <c r="AA382" s="15" t="n">
        <f aca="false">S382-U382+IF(AND(Parametri_v3!$C$40=1,D382-YEAR(Parametri_v3!$C$50)&lt;Parametri_v3!$C$41),0,MAX(0,-Q382))</f>
        <v>0</v>
      </c>
      <c r="AB382" s="15" t="n">
        <f aca="false">F382*(1+Parametri_v3!$C$26)</f>
        <v>41457.0892018779</v>
      </c>
      <c r="AC382" s="15" t="n">
        <f aca="false">(IF(18-(INT((Motore_Operativo!L382)/30))&lt;1,0,INDEX(Motore_Advisory!$AB$365:$AB$424,MAX(1,18-(INT((Motore_Operativo!L382)/30)))))*(1-(MOD((Motore_Operativo!L382),30)/30))+IF(18-(INT((Motore_Operativo!L382)/30))-1&lt;1,0,INDEX(Motore_Advisory!$AB$365:$AB$424,MAX(1,18-(INT((Motore_Operativo!L382)/30))-1)))*(MOD((Motore_Operativo!L382),30)/30))</f>
        <v>41457.0892018779</v>
      </c>
      <c r="AD382" s="15" t="n">
        <f aca="false">(AD381)+AB382-AC382</f>
        <v>124371.267605634</v>
      </c>
      <c r="AE382" s="15" t="n">
        <f aca="false">Motore_Operativo!BH382*(1+Parametri_v3!$C$26)</f>
        <v>4145.70892018779</v>
      </c>
      <c r="AF382" s="15" t="n">
        <f aca="false">(IF(18-(INT((Parametri_v3!$C$29)/30))&lt;1,0,INDEX(Motore_Operativo!$BH$365:$BH$424,MAX(1,18-(INT((Parametri_v3!$C$29)/30)))))*(1-(MOD((Parametri_v3!$C$29),30)/30))+IF(18-(INT((Parametri_v3!$C$29)/30))-1&lt;1,0,INDEX(Motore_Operativo!$BH$365:$BH$424,MAX(1,18-(INT((Parametri_v3!$C$29)/30))-1)))*(MOD((Parametri_v3!$C$29),30)/30))*(1+Parametri_v3!$C$26)</f>
        <v>4145.70892018779</v>
      </c>
      <c r="AG382" s="15" t="n">
        <f aca="false">(AG381)+AE382-AF382</f>
        <v>4145.70892018779</v>
      </c>
      <c r="AH382" s="15" t="n">
        <f aca="false">(Motore_Operativo!CK382)*(1+Parametri_v3!$C$28*Parametri_v3!$C$26)</f>
        <v>11198.1149295775</v>
      </c>
      <c r="AI382" s="15" t="n">
        <f aca="false">(IF(18-(INT((Ipotesi!$C$91)/30))&lt;1,0,INDEX(Motore_Advisory!$AH$365:$AH$424,MAX(1,18-(INT((Ipotesi!$C$91)/30)))))*(1-(MOD((Ipotesi!$C$91),30)/30))+IF(18-(INT((Ipotesi!$C$91)/30))-1&lt;1,0,INDEX(Motore_Advisory!$AH$365:$AH$424,MAX(1,18-(INT((Ipotesi!$C$91)/30))-1)))*(MOD((Ipotesi!$C$91),30)/30))</f>
        <v>11198.1149295775</v>
      </c>
      <c r="AJ382" s="15" t="n">
        <f aca="false">(AJ381)+AH382-AI382</f>
        <v>22396.2298591549</v>
      </c>
      <c r="AK382" s="15" t="n">
        <f aca="false">(F382- Motore_Operativo!BH382-(Motore_Operativo!CK382)*Parametri_v3!$C$28-Motore_Operativo!CF382)*Parametri_v3!$C$26</f>
        <v>4960.70666666667</v>
      </c>
      <c r="AL382" s="15" t="n">
        <f aca="false">MAX(0,(AM381))</f>
        <v>4960.70666666667</v>
      </c>
      <c r="AM382" s="15" t="n">
        <f aca="false">(AM381)+AK382-AL382</f>
        <v>4960.70666666667</v>
      </c>
      <c r="AN382" s="15" t="n">
        <f aca="false">SUM(X365:X376)</f>
        <v>13562.3123684211</v>
      </c>
      <c r="AO382" s="15" t="n">
        <f aca="false">SUM(AP365:AP376)</f>
        <v>0</v>
      </c>
      <c r="AP382" s="15" t="n">
        <f aca="false">MAX(0,AN382)*IF(6=Parametri_v3!$C$43,Parametri_v3!$C$45,IF(6=Parametri_v3!$C$44,1-Parametri_v3!$C$45,0))</f>
        <v>5424.92494736842</v>
      </c>
      <c r="AQ382" s="15" t="n">
        <f aca="false">MAX(0,AP382+IF(6=Parametri_v3!$C$43,MAX(0,AN382-AO382),0)-MAX(0,-(AR381)))</f>
        <v>18987.2373157895</v>
      </c>
      <c r="AR382" s="15" t="n">
        <f aca="false">(AR381)+X382-AQ382</f>
        <v>2898.2857920682</v>
      </c>
      <c r="AS382" s="15" t="n">
        <f aca="false">Motore_Operativo!AC382-AT382+AU382</f>
        <v>15166.75</v>
      </c>
      <c r="AT382" s="15" t="n">
        <f aca="false">Motore_Operativo!CI382</f>
        <v>798.25</v>
      </c>
      <c r="AU382" s="15" t="n">
        <f aca="false">MIN(MAX(0,(AV381)+AT382),Parametri_v3!$C$61/12)</f>
        <v>0</v>
      </c>
      <c r="AV382" s="15" t="n">
        <f aca="false">(AV381)+AT382-AU382</f>
        <v>7939.5</v>
      </c>
      <c r="AW382" s="15" t="n">
        <f aca="false">IF(AND(Motore_Operativo!C382=Finanziamenti!$D$7,Finanziamenti!$F$7=1),Finanziamenti!$C$7,0)</f>
        <v>0</v>
      </c>
      <c r="AX382" s="15" t="n">
        <f aca="false">0</f>
        <v>0</v>
      </c>
      <c r="AY382" s="15" t="n">
        <f aca="false">IF(6=Parametri_v3!$C$33,IF(BV382&lt;MIN(12,$B382-1),0,MIN(MAX(0,SUM(Y365:Y376))*Ipotesi!$C$94,MAX(0,(BM376)-(BO381)-BP382),MAX(0,BD382-Parametri_v3!$C$31))),0)</f>
        <v>0</v>
      </c>
      <c r="AZ382" s="15" t="n">
        <f aca="false">0</f>
        <v>0</v>
      </c>
      <c r="BA382" s="15" t="n">
        <f aca="false">0</f>
        <v>0</v>
      </c>
      <c r="BB382" s="15" t="n">
        <f aca="false">0</f>
        <v>0</v>
      </c>
      <c r="BC382" s="15" t="n">
        <f aca="false">0</f>
        <v>0</v>
      </c>
      <c r="BD382" s="15" t="n">
        <f aca="false">(BH381)+AC382-AF382-AI382-AS382-K382*(1+Parametri_v3!$C$26)-AL382-AQ382-O382+AW382+AX382+AZ382+BA382-BB382</f>
        <v>-9688.90209957994</v>
      </c>
      <c r="BE382" s="15" t="n">
        <f aca="false">0</f>
        <v>0</v>
      </c>
      <c r="BF382" s="15" t="n">
        <f aca="false">0</f>
        <v>0</v>
      </c>
      <c r="BG382" s="15" t="n">
        <f aca="false">0</f>
        <v>0</v>
      </c>
      <c r="BH382" s="15" t="n">
        <f aca="false">BD382+BE382-BF382-AY382</f>
        <v>-9688.90209957994</v>
      </c>
      <c r="BI382" s="15" t="n">
        <f aca="false">MAX(0,Parametri_v3!$C$31-BH382)</f>
        <v>19688.9020995799</v>
      </c>
      <c r="BJ382" s="15" t="n">
        <f aca="false">(BJ381)+K382</f>
        <v>5500</v>
      </c>
      <c r="BK382" s="15" t="n">
        <f aca="false">(BK381)+L382</f>
        <v>1284.72222222222</v>
      </c>
      <c r="BL382" s="15" t="n">
        <f aca="false">BJ382-BK382</f>
        <v>4215.27777777778</v>
      </c>
      <c r="BM382" s="15" t="n">
        <f aca="false">(BM381)+Y382</f>
        <v>56557.212045754</v>
      </c>
      <c r="BN382" s="15" t="n">
        <f aca="false">(BN381)+AW382+AX382+AZ382</f>
        <v>20000</v>
      </c>
      <c r="BO382" s="15" t="n">
        <f aca="false">(BO381)+AY382</f>
        <v>0</v>
      </c>
      <c r="BP382" s="15" t="n">
        <f aca="false">MIN(Parametri_v3!$C$36*Parametri_v3!$C$35,(BP381)+IF(6=1,MAX(0,SUM(Y365:Y376))*Parametri_v3!$C$34,0))</f>
        <v>1752.40631140351</v>
      </c>
      <c r="BQ382" s="15" t="n">
        <f aca="false">BN382+BM382-BO382</f>
        <v>76557.212045754</v>
      </c>
      <c r="BR382" s="15" t="n">
        <f aca="false">BH382+AD382+BL382+MAX(0,-AM382)+MAX(0,-AR382)</f>
        <v>118897.643283832</v>
      </c>
      <c r="BS382" s="15" t="n">
        <f aca="false">AJ382+AV382+MAX(0,AM382)+MAX(0,AR382)+BC382+BG382+BQ382+AG382</f>
        <v>118897.643283832</v>
      </c>
      <c r="BT382" s="15" t="n">
        <f aca="false">BR382-BS382</f>
        <v>0</v>
      </c>
      <c r="BU382" s="15" t="n">
        <f aca="false">BH382-(BD382+BE382-BF382-AY382)</f>
        <v>0</v>
      </c>
      <c r="BV382" s="15" t="n">
        <f aca="false">IF(BH381&lt;Parametri_v3!$C$31,0,BV381+1)</f>
        <v>0</v>
      </c>
    </row>
    <row r="383" customFormat="false" ht="18" hidden="false" customHeight="true" outlineLevel="0" collapsed="false">
      <c r="A383" s="68" t="n">
        <f aca="false">7</f>
        <v>7</v>
      </c>
      <c r="B383" s="68" t="n">
        <f aca="false">19</f>
        <v>19</v>
      </c>
      <c r="C383" s="18" t="n">
        <f aca="false">Motore_Operativo!C383</f>
        <v>46935</v>
      </c>
      <c r="D383" s="68" t="n">
        <f aca="false">Motore_Operativo!D383</f>
        <v>2028</v>
      </c>
      <c r="E383" s="68" t="n">
        <f aca="false">Motore_Operativo!E383</f>
        <v>7</v>
      </c>
      <c r="F383" s="15" t="n">
        <f aca="false">Motore_Operativo!AM383</f>
        <v>33981.220657277</v>
      </c>
      <c r="G383" s="15" t="n">
        <f aca="false">Motore_Operativo!BH383</f>
        <v>3398.1220657277</v>
      </c>
      <c r="H383" s="15" t="n">
        <f aca="false">Motore_Operativo!AM383</f>
        <v>33981.220657277</v>
      </c>
      <c r="I383" s="15" t="n">
        <f aca="false">Motore_Operativo!CB383</f>
        <v>28885.3286384976</v>
      </c>
      <c r="J383" s="15" t="n">
        <f aca="false">Motore_Operativo!CD383</f>
        <v>5095.89201877934</v>
      </c>
      <c r="K383" s="15" t="n">
        <f aca="false">Motore_Operativo!CF383</f>
        <v>416.666666666667</v>
      </c>
      <c r="L383" s="15" t="n">
        <f aca="false">SUM(INDEX($K$365:$K$424,MAX(1,19-Parametri_v3!$C$59+1)):K383)/Parametri_v3!$C$59</f>
        <v>164.351851851852</v>
      </c>
      <c r="M383" s="15" t="n">
        <f aca="false">J383-L383</f>
        <v>4931.54016692749</v>
      </c>
      <c r="N383" s="15" t="n">
        <f aca="false">0</f>
        <v>0</v>
      </c>
      <c r="O383" s="15" t="n">
        <f aca="false">0</f>
        <v>0</v>
      </c>
      <c r="P383" s="15" t="n">
        <f aca="false">M383+N383-O383</f>
        <v>4931.54016692749</v>
      </c>
      <c r="Q383" s="15" t="n">
        <f aca="false">SUM(P377:P383)+Parametri_v3!$C$56*7/12</f>
        <v>34763.836724048</v>
      </c>
      <c r="R383" s="15" t="n">
        <f aca="false">Z376</f>
        <v>0</v>
      </c>
      <c r="S383" s="15" t="n">
        <f aca="false">AA376</f>
        <v>0</v>
      </c>
      <c r="T383" s="15" t="n">
        <f aca="false">MIN(R383,MAX(0,Q383))</f>
        <v>0</v>
      </c>
      <c r="U383" s="15" t="n">
        <f aca="false">MIN(S383,MAX(0,Q383-T383)*Parametri_v3!$C$42)</f>
        <v>0</v>
      </c>
      <c r="V383" s="15" t="n">
        <f aca="false">MAX(0,Q383-T383-U383)*Ipotesi!$C$92</f>
        <v>8343.32081377151</v>
      </c>
      <c r="W383" s="15" t="n">
        <f aca="false">MAX(0,SUM(M377:M383)+Parametri_v3!$C$57*7/12)*Ipotesi!$C$93</f>
        <v>1355.78963223787</v>
      </c>
      <c r="X383" s="15" t="n">
        <f aca="false">V383+W383-(V382+W382)</f>
        <v>1375.89970657277</v>
      </c>
      <c r="Y383" s="15" t="n">
        <f aca="false">P383-X383</f>
        <v>3555.64046035472</v>
      </c>
      <c r="Z383" s="15" t="n">
        <f aca="false">R383-T383+IF(AND(Parametri_v3!$C$40=1,D383-YEAR(Parametri_v3!$C$50)&lt;Parametri_v3!$C$41),MAX(0,-Q383),0)</f>
        <v>0</v>
      </c>
      <c r="AA383" s="15" t="n">
        <f aca="false">S383-U383+IF(AND(Parametri_v3!$C$40=1,D383-YEAR(Parametri_v3!$C$50)&lt;Parametri_v3!$C$41),0,MAX(0,-Q383))</f>
        <v>0</v>
      </c>
      <c r="AB383" s="15" t="n">
        <f aca="false">F383*(1+Parametri_v3!$C$26)</f>
        <v>41457.0892018779</v>
      </c>
      <c r="AC383" s="15" t="n">
        <f aca="false">(IF(19-(INT((Motore_Operativo!L383)/30))&lt;1,0,INDEX(Motore_Advisory!$AB$365:$AB$424,MAX(1,19-(INT((Motore_Operativo!L383)/30)))))*(1-(MOD((Motore_Operativo!L383),30)/30))+IF(19-(INT((Motore_Operativo!L383)/30))-1&lt;1,0,INDEX(Motore_Advisory!$AB$365:$AB$424,MAX(1,19-(INT((Motore_Operativo!L383)/30))-1)))*(MOD((Motore_Operativo!L383),30)/30))</f>
        <v>41457.0892018779</v>
      </c>
      <c r="AD383" s="15" t="n">
        <f aca="false">(AD382)+AB383-AC383</f>
        <v>124371.267605634</v>
      </c>
      <c r="AE383" s="15" t="n">
        <f aca="false">Motore_Operativo!BH383*(1+Parametri_v3!$C$26)</f>
        <v>4145.70892018779</v>
      </c>
      <c r="AF383" s="15" t="n">
        <f aca="false">(IF(19-(INT((Parametri_v3!$C$29)/30))&lt;1,0,INDEX(Motore_Operativo!$BH$365:$BH$424,MAX(1,19-(INT((Parametri_v3!$C$29)/30)))))*(1-(MOD((Parametri_v3!$C$29),30)/30))+IF(19-(INT((Parametri_v3!$C$29)/30))-1&lt;1,0,INDEX(Motore_Operativo!$BH$365:$BH$424,MAX(1,19-(INT((Parametri_v3!$C$29)/30))-1)))*(MOD((Parametri_v3!$C$29),30)/30))*(1+Parametri_v3!$C$26)</f>
        <v>4145.70892018779</v>
      </c>
      <c r="AG383" s="15" t="n">
        <f aca="false">(AG382)+AE383-AF383</f>
        <v>4145.70892018779</v>
      </c>
      <c r="AH383" s="15" t="n">
        <f aca="false">(Motore_Operativo!CK383)*(1+Parametri_v3!$C$28*Parametri_v3!$C$26)</f>
        <v>11198.1149295775</v>
      </c>
      <c r="AI383" s="15" t="n">
        <f aca="false">(IF(19-(INT((Ipotesi!$C$91)/30))&lt;1,0,INDEX(Motore_Advisory!$AH$365:$AH$424,MAX(1,19-(INT((Ipotesi!$C$91)/30)))))*(1-(MOD((Ipotesi!$C$91),30)/30))+IF(19-(INT((Ipotesi!$C$91)/30))-1&lt;1,0,INDEX(Motore_Advisory!$AH$365:$AH$424,MAX(1,19-(INT((Ipotesi!$C$91)/30))-1)))*(MOD((Ipotesi!$C$91),30)/30))</f>
        <v>11198.1149295775</v>
      </c>
      <c r="AJ383" s="15" t="n">
        <f aca="false">(AJ382)+AH383-AI383</f>
        <v>22396.2298591549</v>
      </c>
      <c r="AK383" s="15" t="n">
        <f aca="false">(F383- Motore_Operativo!BH383-(Motore_Operativo!CK383)*Parametri_v3!$C$28-Motore_Operativo!CF383)*Parametri_v3!$C$26</f>
        <v>4960.70666666667</v>
      </c>
      <c r="AL383" s="15" t="n">
        <f aca="false">MAX(0,(AM382))</f>
        <v>4960.70666666667</v>
      </c>
      <c r="AM383" s="15" t="n">
        <f aca="false">(AM382)+AK383-AL383</f>
        <v>4960.70666666667</v>
      </c>
      <c r="AN383" s="15" t="n">
        <f aca="false">SUM(X365:X376)</f>
        <v>13562.3123684211</v>
      </c>
      <c r="AO383" s="15" t="n">
        <f aca="false">SUM(AP365:AP376)</f>
        <v>0</v>
      </c>
      <c r="AP383" s="15" t="n">
        <f aca="false">MAX(0,AN383)*IF(7=Parametri_v3!$C$43,Parametri_v3!$C$45,IF(7=Parametri_v3!$C$44,1-Parametri_v3!$C$45,0))</f>
        <v>0</v>
      </c>
      <c r="AQ383" s="15" t="n">
        <f aca="false">MAX(0,AP383+IF(7=Parametri_v3!$C$43,MAX(0,AN383-AO383),0)-MAX(0,-(AR382)))</f>
        <v>0</v>
      </c>
      <c r="AR383" s="15" t="n">
        <f aca="false">(AR382)+X383-AQ383</f>
        <v>4274.18549864096</v>
      </c>
      <c r="AS383" s="15" t="n">
        <f aca="false">Motore_Operativo!AC383-AT383+AU383</f>
        <v>15166.75</v>
      </c>
      <c r="AT383" s="15" t="n">
        <f aca="false">Motore_Operativo!CI383</f>
        <v>798.25</v>
      </c>
      <c r="AU383" s="15" t="n">
        <f aca="false">MIN(MAX(0,(AV382)+AT383),Parametri_v3!$C$61/12)</f>
        <v>0</v>
      </c>
      <c r="AV383" s="15" t="n">
        <f aca="false">(AV382)+AT383-AU383</f>
        <v>8737.75</v>
      </c>
      <c r="AW383" s="15" t="n">
        <f aca="false">IF(AND(Motore_Operativo!C383=Finanziamenti!$D$7,Finanziamenti!$F$7=1),Finanziamenti!$C$7,0)</f>
        <v>0</v>
      </c>
      <c r="AX383" s="15" t="n">
        <f aca="false">0</f>
        <v>0</v>
      </c>
      <c r="AY383" s="15" t="n">
        <f aca="false">IF(7=Parametri_v3!$C$33,IF(BV383&lt;MIN(12,$B383-1),0,MIN(MAX(0,SUM(Y365:Y376))*Ipotesi!$C$94,MAX(0,(BM376)-(BO382)-BP383),MAX(0,BD383-Parametri_v3!$C$31))),0)</f>
        <v>0</v>
      </c>
      <c r="AZ383" s="15" t="n">
        <f aca="false">0</f>
        <v>0</v>
      </c>
      <c r="BA383" s="15" t="n">
        <f aca="false">0</f>
        <v>0</v>
      </c>
      <c r="BB383" s="15" t="n">
        <f aca="false">0</f>
        <v>0</v>
      </c>
      <c r="BC383" s="15" t="n">
        <f aca="false">0</f>
        <v>0</v>
      </c>
      <c r="BD383" s="15" t="n">
        <f aca="false">(BH382)+AC383-AF383-AI383-AS383-K383*(1+Parametri_v3!$C$26)-AL383-AQ383-O383+AW383+AX383+AZ383+BA383-BB383</f>
        <v>-4211.42674746727</v>
      </c>
      <c r="BE383" s="15" t="n">
        <f aca="false">0</f>
        <v>0</v>
      </c>
      <c r="BF383" s="15" t="n">
        <f aca="false">0</f>
        <v>0</v>
      </c>
      <c r="BG383" s="15" t="n">
        <f aca="false">0</f>
        <v>0</v>
      </c>
      <c r="BH383" s="15" t="n">
        <f aca="false">BD383+BE383-BF383-AY383</f>
        <v>-4211.42674746727</v>
      </c>
      <c r="BI383" s="15" t="n">
        <f aca="false">MAX(0,Parametri_v3!$C$31-BH383)</f>
        <v>14211.4267474673</v>
      </c>
      <c r="BJ383" s="15" t="n">
        <f aca="false">(BJ382)+K383</f>
        <v>5916.66666666667</v>
      </c>
      <c r="BK383" s="15" t="n">
        <f aca="false">(BK382)+L383</f>
        <v>1449.07407407407</v>
      </c>
      <c r="BL383" s="15" t="n">
        <f aca="false">BJ383-BK383</f>
        <v>4467.59259259259</v>
      </c>
      <c r="BM383" s="15" t="n">
        <f aca="false">(BM382)+Y383</f>
        <v>60112.8525061088</v>
      </c>
      <c r="BN383" s="15" t="n">
        <f aca="false">(BN382)+AW383+AX383+AZ383</f>
        <v>20000</v>
      </c>
      <c r="BO383" s="15" t="n">
        <f aca="false">(BO382)+AY383</f>
        <v>0</v>
      </c>
      <c r="BP383" s="15" t="n">
        <f aca="false">MIN(Parametri_v3!$C$36*Parametri_v3!$C$35,(BP382)+IF(7=1,MAX(0,SUM(Y365:Y376))*Parametri_v3!$C$34,0))</f>
        <v>1752.40631140351</v>
      </c>
      <c r="BQ383" s="15" t="n">
        <f aca="false">BN383+BM383-BO383</f>
        <v>80112.8525061088</v>
      </c>
      <c r="BR383" s="15" t="n">
        <f aca="false">BH383+AD383+BL383+MAX(0,-AM383)+MAX(0,-AR383)</f>
        <v>124627.433450759</v>
      </c>
      <c r="BS383" s="15" t="n">
        <f aca="false">AJ383+AV383+MAX(0,AM383)+MAX(0,AR383)+BC383+BG383+BQ383+AG383</f>
        <v>124627.433450759</v>
      </c>
      <c r="BT383" s="15" t="n">
        <f aca="false">BR383-BS383</f>
        <v>0</v>
      </c>
      <c r="BU383" s="15" t="n">
        <f aca="false">BH383-(BD383+BE383-BF383-AY383)</f>
        <v>0</v>
      </c>
      <c r="BV383" s="15" t="n">
        <f aca="false">IF(BH382&lt;Parametri_v3!$C$31,0,BV382+1)</f>
        <v>0</v>
      </c>
    </row>
    <row r="384" customFormat="false" ht="18" hidden="false" customHeight="true" outlineLevel="0" collapsed="false">
      <c r="A384" s="68" t="n">
        <f aca="false">7</f>
        <v>7</v>
      </c>
      <c r="B384" s="68" t="n">
        <f aca="false">20</f>
        <v>20</v>
      </c>
      <c r="C384" s="18" t="n">
        <f aca="false">Motore_Operativo!C384</f>
        <v>46966</v>
      </c>
      <c r="D384" s="68" t="n">
        <f aca="false">Motore_Operativo!D384</f>
        <v>2028</v>
      </c>
      <c r="E384" s="68" t="n">
        <f aca="false">Motore_Operativo!E384</f>
        <v>8</v>
      </c>
      <c r="F384" s="15" t="n">
        <f aca="false">Motore_Operativo!AM384</f>
        <v>33981.220657277</v>
      </c>
      <c r="G384" s="15" t="n">
        <f aca="false">Motore_Operativo!BH384</f>
        <v>3398.1220657277</v>
      </c>
      <c r="H384" s="15" t="n">
        <f aca="false">Motore_Operativo!AM384</f>
        <v>33981.220657277</v>
      </c>
      <c r="I384" s="15" t="n">
        <f aca="false">Motore_Operativo!CB384</f>
        <v>28885.3286384976</v>
      </c>
      <c r="J384" s="15" t="n">
        <f aca="false">Motore_Operativo!CD384</f>
        <v>5095.89201877934</v>
      </c>
      <c r="K384" s="15" t="n">
        <f aca="false">Motore_Operativo!CF384</f>
        <v>416.666666666667</v>
      </c>
      <c r="L384" s="15" t="n">
        <f aca="false">SUM(INDEX($K$365:$K$424,MAX(1,20-Parametri_v3!$C$59+1)):K384)/Parametri_v3!$C$59</f>
        <v>175.925925925926</v>
      </c>
      <c r="M384" s="15" t="n">
        <f aca="false">J384-L384</f>
        <v>4919.96609285342</v>
      </c>
      <c r="N384" s="15" t="n">
        <f aca="false">0</f>
        <v>0</v>
      </c>
      <c r="O384" s="15" t="n">
        <f aca="false">0</f>
        <v>0</v>
      </c>
      <c r="P384" s="15" t="n">
        <f aca="false">M384+N384-O384</f>
        <v>4919.96609285342</v>
      </c>
      <c r="Q384" s="15" t="n">
        <f aca="false">SUM(P377:P384)+Parametri_v3!$C$56*8/12</f>
        <v>39683.8028169014</v>
      </c>
      <c r="R384" s="15" t="n">
        <f aca="false">Z376</f>
        <v>0</v>
      </c>
      <c r="S384" s="15" t="n">
        <f aca="false">AA376</f>
        <v>0</v>
      </c>
      <c r="T384" s="15" t="n">
        <f aca="false">MIN(R384,MAX(0,Q384))</f>
        <v>0</v>
      </c>
      <c r="U384" s="15" t="n">
        <f aca="false">MIN(S384,MAX(0,Q384-T384)*Parametri_v3!$C$42)</f>
        <v>0</v>
      </c>
      <c r="V384" s="15" t="n">
        <f aca="false">MAX(0,Q384-T384-U384)*Ipotesi!$C$92</f>
        <v>9524.11267605633</v>
      </c>
      <c r="W384" s="15" t="n">
        <f aca="false">MAX(0,SUM(M377:M384)+Parametri_v3!$C$57*8/12)*Ipotesi!$C$93</f>
        <v>1547.66830985915</v>
      </c>
      <c r="X384" s="15" t="n">
        <f aca="false">V384+W384-(V383+W383)</f>
        <v>1372.6705399061</v>
      </c>
      <c r="Y384" s="15" t="n">
        <f aca="false">P384-X384</f>
        <v>3547.29555294731</v>
      </c>
      <c r="Z384" s="15" t="n">
        <f aca="false">R384-T384+IF(AND(Parametri_v3!$C$40=1,D384-YEAR(Parametri_v3!$C$50)&lt;Parametri_v3!$C$41),MAX(0,-Q384),0)</f>
        <v>0</v>
      </c>
      <c r="AA384" s="15" t="n">
        <f aca="false">S384-U384+IF(AND(Parametri_v3!$C$40=1,D384-YEAR(Parametri_v3!$C$50)&lt;Parametri_v3!$C$41),0,MAX(0,-Q384))</f>
        <v>0</v>
      </c>
      <c r="AB384" s="15" t="n">
        <f aca="false">F384*(1+Parametri_v3!$C$26)</f>
        <v>41457.0892018779</v>
      </c>
      <c r="AC384" s="15" t="n">
        <f aca="false">(IF(20-(INT((Motore_Operativo!L384)/30))&lt;1,0,INDEX(Motore_Advisory!$AB$365:$AB$424,MAX(1,20-(INT((Motore_Operativo!L384)/30)))))*(1-(MOD((Motore_Operativo!L384),30)/30))+IF(20-(INT((Motore_Operativo!L384)/30))-1&lt;1,0,INDEX(Motore_Advisory!$AB$365:$AB$424,MAX(1,20-(INT((Motore_Operativo!L384)/30))-1)))*(MOD((Motore_Operativo!L384),30)/30))</f>
        <v>41457.0892018779</v>
      </c>
      <c r="AD384" s="15" t="n">
        <f aca="false">(AD383)+AB384-AC384</f>
        <v>124371.267605634</v>
      </c>
      <c r="AE384" s="15" t="n">
        <f aca="false">Motore_Operativo!BH384*(1+Parametri_v3!$C$26)</f>
        <v>4145.70892018779</v>
      </c>
      <c r="AF384" s="15" t="n">
        <f aca="false">(IF(20-(INT((Parametri_v3!$C$29)/30))&lt;1,0,INDEX(Motore_Operativo!$BH$365:$BH$424,MAX(1,20-(INT((Parametri_v3!$C$29)/30)))))*(1-(MOD((Parametri_v3!$C$29),30)/30))+IF(20-(INT((Parametri_v3!$C$29)/30))-1&lt;1,0,INDEX(Motore_Operativo!$BH$365:$BH$424,MAX(1,20-(INT((Parametri_v3!$C$29)/30))-1)))*(MOD((Parametri_v3!$C$29),30)/30))*(1+Parametri_v3!$C$26)</f>
        <v>4145.70892018779</v>
      </c>
      <c r="AG384" s="15" t="n">
        <f aca="false">(AG383)+AE384-AF384</f>
        <v>4145.70892018779</v>
      </c>
      <c r="AH384" s="15" t="n">
        <f aca="false">(Motore_Operativo!CK384)*(1+Parametri_v3!$C$28*Parametri_v3!$C$26)</f>
        <v>11198.1149295775</v>
      </c>
      <c r="AI384" s="15" t="n">
        <f aca="false">(IF(20-(INT((Ipotesi!$C$91)/30))&lt;1,0,INDEX(Motore_Advisory!$AH$365:$AH$424,MAX(1,20-(INT((Ipotesi!$C$91)/30)))))*(1-(MOD((Ipotesi!$C$91),30)/30))+IF(20-(INT((Ipotesi!$C$91)/30))-1&lt;1,0,INDEX(Motore_Advisory!$AH$365:$AH$424,MAX(1,20-(INT((Ipotesi!$C$91)/30))-1)))*(MOD((Ipotesi!$C$91),30)/30))</f>
        <v>11198.1149295775</v>
      </c>
      <c r="AJ384" s="15" t="n">
        <f aca="false">(AJ383)+AH384-AI384</f>
        <v>22396.2298591549</v>
      </c>
      <c r="AK384" s="15" t="n">
        <f aca="false">(F384- Motore_Operativo!BH384-(Motore_Operativo!CK384)*Parametri_v3!$C$28-Motore_Operativo!CF384)*Parametri_v3!$C$26</f>
        <v>4960.70666666667</v>
      </c>
      <c r="AL384" s="15" t="n">
        <f aca="false">MAX(0,(AM383))</f>
        <v>4960.70666666667</v>
      </c>
      <c r="AM384" s="15" t="n">
        <f aca="false">(AM383)+AK384-AL384</f>
        <v>4960.70666666667</v>
      </c>
      <c r="AN384" s="15" t="n">
        <f aca="false">SUM(X365:X376)</f>
        <v>13562.3123684211</v>
      </c>
      <c r="AO384" s="15" t="n">
        <f aca="false">SUM(AP365:AP376)</f>
        <v>0</v>
      </c>
      <c r="AP384" s="15" t="n">
        <f aca="false">MAX(0,AN384)*IF(8=Parametri_v3!$C$43,Parametri_v3!$C$45,IF(8=Parametri_v3!$C$44,1-Parametri_v3!$C$45,0))</f>
        <v>0</v>
      </c>
      <c r="AQ384" s="15" t="n">
        <f aca="false">MAX(0,AP384+IF(8=Parametri_v3!$C$43,MAX(0,AN384-AO384),0)-MAX(0,-(AR383)))</f>
        <v>0</v>
      </c>
      <c r="AR384" s="15" t="n">
        <f aca="false">(AR383)+X384-AQ384</f>
        <v>5646.85603854707</v>
      </c>
      <c r="AS384" s="15" t="n">
        <f aca="false">Motore_Operativo!AC384-AT384+AU384</f>
        <v>15166.75</v>
      </c>
      <c r="AT384" s="15" t="n">
        <f aca="false">Motore_Operativo!CI384</f>
        <v>798.25</v>
      </c>
      <c r="AU384" s="15" t="n">
        <f aca="false">MIN(MAX(0,(AV383)+AT384),Parametri_v3!$C$61/12)</f>
        <v>0</v>
      </c>
      <c r="AV384" s="15" t="n">
        <f aca="false">(AV383)+AT384-AU384</f>
        <v>9536</v>
      </c>
      <c r="AW384" s="15" t="n">
        <f aca="false">IF(AND(Motore_Operativo!C384=Finanziamenti!$D$7,Finanziamenti!$F$7=1),Finanziamenti!$C$7,0)</f>
        <v>0</v>
      </c>
      <c r="AX384" s="15" t="n">
        <f aca="false">0</f>
        <v>0</v>
      </c>
      <c r="AY384" s="15" t="n">
        <f aca="false">IF(8=Parametri_v3!$C$33,IF(BV384&lt;MIN(12,$B384-1),0,MIN(MAX(0,SUM(Y365:Y376))*Ipotesi!$C$94,MAX(0,(BM376)-(BO383)-BP384),MAX(0,BD384-Parametri_v3!$C$31))),0)</f>
        <v>0</v>
      </c>
      <c r="AZ384" s="15" t="n">
        <f aca="false">0</f>
        <v>0</v>
      </c>
      <c r="BA384" s="15" t="n">
        <f aca="false">0</f>
        <v>0</v>
      </c>
      <c r="BB384" s="15" t="n">
        <f aca="false">0</f>
        <v>0</v>
      </c>
      <c r="BC384" s="15" t="n">
        <f aca="false">0</f>
        <v>0</v>
      </c>
      <c r="BD384" s="15" t="n">
        <f aca="false">(BH383)+AC384-AF384-AI384-AS384-K384*(1+Parametri_v3!$C$26)-AL384-AQ384-O384+AW384+AX384+AZ384+BA384-BB384</f>
        <v>1266.0486046454</v>
      </c>
      <c r="BE384" s="15" t="n">
        <f aca="false">0</f>
        <v>0</v>
      </c>
      <c r="BF384" s="15" t="n">
        <f aca="false">0</f>
        <v>0</v>
      </c>
      <c r="BG384" s="15" t="n">
        <f aca="false">0</f>
        <v>0</v>
      </c>
      <c r="BH384" s="15" t="n">
        <f aca="false">BD384+BE384-BF384-AY384</f>
        <v>1266.0486046454</v>
      </c>
      <c r="BI384" s="15" t="n">
        <f aca="false">MAX(0,Parametri_v3!$C$31-BH384)</f>
        <v>8733.9513953546</v>
      </c>
      <c r="BJ384" s="15" t="n">
        <f aca="false">(BJ383)+K384</f>
        <v>6333.33333333334</v>
      </c>
      <c r="BK384" s="15" t="n">
        <f aca="false">(BK383)+L384</f>
        <v>1625</v>
      </c>
      <c r="BL384" s="15" t="n">
        <f aca="false">BJ384-BK384</f>
        <v>4708.33333333334</v>
      </c>
      <c r="BM384" s="15" t="n">
        <f aca="false">(BM383)+Y384</f>
        <v>63660.1480590561</v>
      </c>
      <c r="BN384" s="15" t="n">
        <f aca="false">(BN383)+AW384+AX384+AZ384</f>
        <v>20000</v>
      </c>
      <c r="BO384" s="15" t="n">
        <f aca="false">(BO383)+AY384</f>
        <v>0</v>
      </c>
      <c r="BP384" s="15" t="n">
        <f aca="false">MIN(Parametri_v3!$C$36*Parametri_v3!$C$35,(BP383)+IF(8=1,MAX(0,SUM(Y365:Y376))*Parametri_v3!$C$34,0))</f>
        <v>1752.40631140351</v>
      </c>
      <c r="BQ384" s="15" t="n">
        <f aca="false">BN384+BM384-BO384</f>
        <v>83660.1480590561</v>
      </c>
      <c r="BR384" s="15" t="n">
        <f aca="false">BH384+AD384+BL384+MAX(0,-AM384)+MAX(0,-AR384)</f>
        <v>130345.649543613</v>
      </c>
      <c r="BS384" s="15" t="n">
        <f aca="false">AJ384+AV384+MAX(0,AM384)+MAX(0,AR384)+BC384+BG384+BQ384+AG384</f>
        <v>130345.649543613</v>
      </c>
      <c r="BT384" s="15" t="n">
        <f aca="false">BR384-BS384</f>
        <v>0</v>
      </c>
      <c r="BU384" s="15" t="n">
        <f aca="false">BH384-(BD384+BE384-BF384-AY384)</f>
        <v>0</v>
      </c>
      <c r="BV384" s="15" t="n">
        <f aca="false">IF(BH383&lt;Parametri_v3!$C$31,0,BV383+1)</f>
        <v>0</v>
      </c>
    </row>
    <row r="385" customFormat="false" ht="18" hidden="false" customHeight="true" outlineLevel="0" collapsed="false">
      <c r="A385" s="68" t="n">
        <f aca="false">7</f>
        <v>7</v>
      </c>
      <c r="B385" s="68" t="n">
        <f aca="false">21</f>
        <v>21</v>
      </c>
      <c r="C385" s="18" t="n">
        <f aca="false">Motore_Operativo!C385</f>
        <v>46997</v>
      </c>
      <c r="D385" s="68" t="n">
        <f aca="false">Motore_Operativo!D385</f>
        <v>2028</v>
      </c>
      <c r="E385" s="68" t="n">
        <f aca="false">Motore_Operativo!E385</f>
        <v>9</v>
      </c>
      <c r="F385" s="15" t="n">
        <f aca="false">Motore_Operativo!AM385</f>
        <v>33981.220657277</v>
      </c>
      <c r="G385" s="15" t="n">
        <f aca="false">Motore_Operativo!BH385</f>
        <v>3398.1220657277</v>
      </c>
      <c r="H385" s="15" t="n">
        <f aca="false">Motore_Operativo!AM385</f>
        <v>33981.220657277</v>
      </c>
      <c r="I385" s="15" t="n">
        <f aca="false">Motore_Operativo!CB385</f>
        <v>28885.3286384976</v>
      </c>
      <c r="J385" s="15" t="n">
        <f aca="false">Motore_Operativo!CD385</f>
        <v>5095.89201877934</v>
      </c>
      <c r="K385" s="15" t="n">
        <f aca="false">Motore_Operativo!CF385</f>
        <v>416.666666666667</v>
      </c>
      <c r="L385" s="15" t="n">
        <f aca="false">SUM(INDEX($K$365:$K$424,MAX(1,21-Parametri_v3!$C$59+1)):K385)/Parametri_v3!$C$59</f>
        <v>187.5</v>
      </c>
      <c r="M385" s="15" t="n">
        <f aca="false">J385-L385</f>
        <v>4908.39201877934</v>
      </c>
      <c r="N385" s="15" t="n">
        <f aca="false">0</f>
        <v>0</v>
      </c>
      <c r="O385" s="15" t="n">
        <f aca="false">0</f>
        <v>0</v>
      </c>
      <c r="P385" s="15" t="n">
        <f aca="false">M385+N385-O385</f>
        <v>4908.39201877934</v>
      </c>
      <c r="Q385" s="15" t="n">
        <f aca="false">SUM(P377:P385)+Parametri_v3!$C$56*9/12</f>
        <v>44592.1948356807</v>
      </c>
      <c r="R385" s="15" t="n">
        <f aca="false">Z376</f>
        <v>0</v>
      </c>
      <c r="S385" s="15" t="n">
        <f aca="false">AA376</f>
        <v>0</v>
      </c>
      <c r="T385" s="15" t="n">
        <f aca="false">MIN(R385,MAX(0,Q385))</f>
        <v>0</v>
      </c>
      <c r="U385" s="15" t="n">
        <f aca="false">MIN(S385,MAX(0,Q385-T385)*Parametri_v3!$C$42)</f>
        <v>0</v>
      </c>
      <c r="V385" s="15" t="n">
        <f aca="false">MAX(0,Q385-T385-U385)*Ipotesi!$C$92</f>
        <v>10702.1267605634</v>
      </c>
      <c r="W385" s="15" t="n">
        <f aca="false">MAX(0,SUM(M377:M385)+Parametri_v3!$C$57*9/12)*Ipotesi!$C$93</f>
        <v>1739.09559859155</v>
      </c>
      <c r="X385" s="15" t="n">
        <f aca="false">V385+W385-(V384+W384)</f>
        <v>1369.44137323944</v>
      </c>
      <c r="Y385" s="15" t="n">
        <f aca="false">P385-X385</f>
        <v>3538.95064553991</v>
      </c>
      <c r="Z385" s="15" t="n">
        <f aca="false">R385-T385+IF(AND(Parametri_v3!$C$40=1,D385-YEAR(Parametri_v3!$C$50)&lt;Parametri_v3!$C$41),MAX(0,-Q385),0)</f>
        <v>0</v>
      </c>
      <c r="AA385" s="15" t="n">
        <f aca="false">S385-U385+IF(AND(Parametri_v3!$C$40=1,D385-YEAR(Parametri_v3!$C$50)&lt;Parametri_v3!$C$41),0,MAX(0,-Q385))</f>
        <v>0</v>
      </c>
      <c r="AB385" s="15" t="n">
        <f aca="false">F385*(1+Parametri_v3!$C$26)</f>
        <v>41457.0892018779</v>
      </c>
      <c r="AC385" s="15" t="n">
        <f aca="false">(IF(21-(INT((Motore_Operativo!L385)/30))&lt;1,0,INDEX(Motore_Advisory!$AB$365:$AB$424,MAX(1,21-(INT((Motore_Operativo!L385)/30)))))*(1-(MOD((Motore_Operativo!L385),30)/30))+IF(21-(INT((Motore_Operativo!L385)/30))-1&lt;1,0,INDEX(Motore_Advisory!$AB$365:$AB$424,MAX(1,21-(INT((Motore_Operativo!L385)/30))-1)))*(MOD((Motore_Operativo!L385),30)/30))</f>
        <v>41457.0892018779</v>
      </c>
      <c r="AD385" s="15" t="n">
        <f aca="false">(AD384)+AB385-AC385</f>
        <v>124371.267605634</v>
      </c>
      <c r="AE385" s="15" t="n">
        <f aca="false">Motore_Operativo!BH385*(1+Parametri_v3!$C$26)</f>
        <v>4145.70892018779</v>
      </c>
      <c r="AF385" s="15" t="n">
        <f aca="false">(IF(21-(INT((Parametri_v3!$C$29)/30))&lt;1,0,INDEX(Motore_Operativo!$BH$365:$BH$424,MAX(1,21-(INT((Parametri_v3!$C$29)/30)))))*(1-(MOD((Parametri_v3!$C$29),30)/30))+IF(21-(INT((Parametri_v3!$C$29)/30))-1&lt;1,0,INDEX(Motore_Operativo!$BH$365:$BH$424,MAX(1,21-(INT((Parametri_v3!$C$29)/30))-1)))*(MOD((Parametri_v3!$C$29),30)/30))*(1+Parametri_v3!$C$26)</f>
        <v>4145.70892018779</v>
      </c>
      <c r="AG385" s="15" t="n">
        <f aca="false">(AG384)+AE385-AF385</f>
        <v>4145.70892018779</v>
      </c>
      <c r="AH385" s="15" t="n">
        <f aca="false">(Motore_Operativo!CK385)*(1+Parametri_v3!$C$28*Parametri_v3!$C$26)</f>
        <v>11198.1149295775</v>
      </c>
      <c r="AI385" s="15" t="n">
        <f aca="false">(IF(21-(INT((Ipotesi!$C$91)/30))&lt;1,0,INDEX(Motore_Advisory!$AH$365:$AH$424,MAX(1,21-(INT((Ipotesi!$C$91)/30)))))*(1-(MOD((Ipotesi!$C$91),30)/30))+IF(21-(INT((Ipotesi!$C$91)/30))-1&lt;1,0,INDEX(Motore_Advisory!$AH$365:$AH$424,MAX(1,21-(INT((Ipotesi!$C$91)/30))-1)))*(MOD((Ipotesi!$C$91),30)/30))</f>
        <v>11198.1149295775</v>
      </c>
      <c r="AJ385" s="15" t="n">
        <f aca="false">(AJ384)+AH385-AI385</f>
        <v>22396.2298591549</v>
      </c>
      <c r="AK385" s="15" t="n">
        <f aca="false">(F385- Motore_Operativo!BH385-(Motore_Operativo!CK385)*Parametri_v3!$C$28-Motore_Operativo!CF385)*Parametri_v3!$C$26</f>
        <v>4960.70666666667</v>
      </c>
      <c r="AL385" s="15" t="n">
        <f aca="false">MAX(0,(AM384))</f>
        <v>4960.70666666667</v>
      </c>
      <c r="AM385" s="15" t="n">
        <f aca="false">(AM384)+AK385-AL385</f>
        <v>4960.70666666667</v>
      </c>
      <c r="AN385" s="15" t="n">
        <f aca="false">SUM(X365:X376)</f>
        <v>13562.3123684211</v>
      </c>
      <c r="AO385" s="15" t="n">
        <f aca="false">SUM(AP365:AP376)</f>
        <v>0</v>
      </c>
      <c r="AP385" s="15" t="n">
        <f aca="false">MAX(0,AN385)*IF(9=Parametri_v3!$C$43,Parametri_v3!$C$45,IF(9=Parametri_v3!$C$44,1-Parametri_v3!$C$45,0))</f>
        <v>0</v>
      </c>
      <c r="AQ385" s="15" t="n">
        <f aca="false">MAX(0,AP385+IF(9=Parametri_v3!$C$43,MAX(0,AN385-AO385),0)-MAX(0,-(AR384)))</f>
        <v>0</v>
      </c>
      <c r="AR385" s="15" t="n">
        <f aca="false">(AR384)+X385-AQ385</f>
        <v>7016.2974117865</v>
      </c>
      <c r="AS385" s="15" t="n">
        <f aca="false">Motore_Operativo!AC385-AT385+AU385</f>
        <v>15166.75</v>
      </c>
      <c r="AT385" s="15" t="n">
        <f aca="false">Motore_Operativo!CI385</f>
        <v>798.25</v>
      </c>
      <c r="AU385" s="15" t="n">
        <f aca="false">MIN(MAX(0,(AV384)+AT385),Parametri_v3!$C$61/12)</f>
        <v>0</v>
      </c>
      <c r="AV385" s="15" t="n">
        <f aca="false">(AV384)+AT385-AU385</f>
        <v>10334.25</v>
      </c>
      <c r="AW385" s="15" t="n">
        <f aca="false">IF(AND(Motore_Operativo!C385=Finanziamenti!$D$7,Finanziamenti!$F$7=1),Finanziamenti!$C$7,0)</f>
        <v>0</v>
      </c>
      <c r="AX385" s="15" t="n">
        <f aca="false">0</f>
        <v>0</v>
      </c>
      <c r="AY385" s="15" t="n">
        <f aca="false">IF(9=Parametri_v3!$C$33,IF(BV385&lt;MIN(12,$B385-1),0,MIN(MAX(0,SUM(Y365:Y376))*Ipotesi!$C$94,MAX(0,(BM376)-(BO384)-BP385),MAX(0,BD385-Parametri_v3!$C$31))),0)</f>
        <v>0</v>
      </c>
      <c r="AZ385" s="15" t="n">
        <f aca="false">0</f>
        <v>0</v>
      </c>
      <c r="BA385" s="15" t="n">
        <f aca="false">0</f>
        <v>0</v>
      </c>
      <c r="BB385" s="15" t="n">
        <f aca="false">0</f>
        <v>0</v>
      </c>
      <c r="BC385" s="15" t="n">
        <f aca="false">0</f>
        <v>0</v>
      </c>
      <c r="BD385" s="15" t="n">
        <f aca="false">(BH384)+AC385-AF385-AI385-AS385-K385*(1+Parametri_v3!$C$26)-AL385-AQ385-O385+AW385+AX385+AZ385+BA385-BB385</f>
        <v>6743.52395675808</v>
      </c>
      <c r="BE385" s="15" t="n">
        <f aca="false">0</f>
        <v>0</v>
      </c>
      <c r="BF385" s="15" t="n">
        <f aca="false">0</f>
        <v>0</v>
      </c>
      <c r="BG385" s="15" t="n">
        <f aca="false">0</f>
        <v>0</v>
      </c>
      <c r="BH385" s="15" t="n">
        <f aca="false">BD385+BE385-BF385-AY385</f>
        <v>6743.52395675808</v>
      </c>
      <c r="BI385" s="15" t="n">
        <f aca="false">MAX(0,Parametri_v3!$C$31-BH385)</f>
        <v>3256.47604324192</v>
      </c>
      <c r="BJ385" s="15" t="n">
        <f aca="false">(BJ384)+K385</f>
        <v>6750</v>
      </c>
      <c r="BK385" s="15" t="n">
        <f aca="false">(BK384)+L385</f>
        <v>1812.5</v>
      </c>
      <c r="BL385" s="15" t="n">
        <f aca="false">BJ385-BK385</f>
        <v>4937.5</v>
      </c>
      <c r="BM385" s="15" t="n">
        <f aca="false">(BM384)+Y385</f>
        <v>67199.098704596</v>
      </c>
      <c r="BN385" s="15" t="n">
        <f aca="false">(BN384)+AW385+AX385+AZ385</f>
        <v>20000</v>
      </c>
      <c r="BO385" s="15" t="n">
        <f aca="false">(BO384)+AY385</f>
        <v>0</v>
      </c>
      <c r="BP385" s="15" t="n">
        <f aca="false">MIN(Parametri_v3!$C$36*Parametri_v3!$C$35,(BP384)+IF(9=1,MAX(0,SUM(Y365:Y376))*Parametri_v3!$C$34,0))</f>
        <v>1752.40631140351</v>
      </c>
      <c r="BQ385" s="15" t="n">
        <f aca="false">BN385+BM385-BO385</f>
        <v>87199.098704596</v>
      </c>
      <c r="BR385" s="15" t="n">
        <f aca="false">BH385+AD385+BL385+MAX(0,-AM385)+MAX(0,-AR385)</f>
        <v>136052.291562392</v>
      </c>
      <c r="BS385" s="15" t="n">
        <f aca="false">AJ385+AV385+MAX(0,AM385)+MAX(0,AR385)+BC385+BG385+BQ385+AG385</f>
        <v>136052.291562392</v>
      </c>
      <c r="BT385" s="15" t="n">
        <f aca="false">BR385-BS385</f>
        <v>0</v>
      </c>
      <c r="BU385" s="15" t="n">
        <f aca="false">BH385-(BD385+BE385-BF385-AY385)</f>
        <v>0</v>
      </c>
      <c r="BV385" s="15" t="n">
        <f aca="false">IF(BH384&lt;Parametri_v3!$C$31,0,BV384+1)</f>
        <v>0</v>
      </c>
    </row>
    <row r="386" customFormat="false" ht="18" hidden="false" customHeight="true" outlineLevel="0" collapsed="false">
      <c r="A386" s="68" t="n">
        <f aca="false">7</f>
        <v>7</v>
      </c>
      <c r="B386" s="68" t="n">
        <f aca="false">22</f>
        <v>22</v>
      </c>
      <c r="C386" s="18" t="n">
        <f aca="false">Motore_Operativo!C386</f>
        <v>47027</v>
      </c>
      <c r="D386" s="68" t="n">
        <f aca="false">Motore_Operativo!D386</f>
        <v>2028</v>
      </c>
      <c r="E386" s="68" t="n">
        <f aca="false">Motore_Operativo!E386</f>
        <v>10</v>
      </c>
      <c r="F386" s="15" t="n">
        <f aca="false">Motore_Operativo!AM386</f>
        <v>33981.220657277</v>
      </c>
      <c r="G386" s="15" t="n">
        <f aca="false">Motore_Operativo!BH386</f>
        <v>3398.1220657277</v>
      </c>
      <c r="H386" s="15" t="n">
        <f aca="false">Motore_Operativo!AM386</f>
        <v>33981.220657277</v>
      </c>
      <c r="I386" s="15" t="n">
        <f aca="false">Motore_Operativo!CB386</f>
        <v>28885.3286384976</v>
      </c>
      <c r="J386" s="15" t="n">
        <f aca="false">Motore_Operativo!CD386</f>
        <v>5095.89201877934</v>
      </c>
      <c r="K386" s="15" t="n">
        <f aca="false">Motore_Operativo!CF386</f>
        <v>416.666666666667</v>
      </c>
      <c r="L386" s="15" t="n">
        <f aca="false">SUM(INDEX($K$365:$K$424,MAX(1,22-Parametri_v3!$C$59+1)):K386)/Parametri_v3!$C$59</f>
        <v>199.074074074074</v>
      </c>
      <c r="M386" s="15" t="n">
        <f aca="false">J386-L386</f>
        <v>4896.81794470527</v>
      </c>
      <c r="N386" s="15" t="n">
        <f aca="false">0</f>
        <v>0</v>
      </c>
      <c r="O386" s="15" t="n">
        <f aca="false">0</f>
        <v>0</v>
      </c>
      <c r="P386" s="15" t="n">
        <f aca="false">M386+N386-O386</f>
        <v>4896.81794470527</v>
      </c>
      <c r="Q386" s="15" t="n">
        <f aca="false">SUM(P377:P386)+Parametri_v3!$C$56*10/12</f>
        <v>49489.012780386</v>
      </c>
      <c r="R386" s="15" t="n">
        <f aca="false">Z376</f>
        <v>0</v>
      </c>
      <c r="S386" s="15" t="n">
        <f aca="false">AA376</f>
        <v>0</v>
      </c>
      <c r="T386" s="15" t="n">
        <f aca="false">MIN(R386,MAX(0,Q386))</f>
        <v>0</v>
      </c>
      <c r="U386" s="15" t="n">
        <f aca="false">MIN(S386,MAX(0,Q386-T386)*Parametri_v3!$C$42)</f>
        <v>0</v>
      </c>
      <c r="V386" s="15" t="n">
        <f aca="false">MAX(0,Q386-T386-U386)*Ipotesi!$C$92</f>
        <v>11877.3630672926</v>
      </c>
      <c r="W386" s="15" t="n">
        <f aca="false">MAX(0,SUM(M377:M386)+Parametri_v3!$C$57*10/12)*Ipotesi!$C$93</f>
        <v>1930.07149843505</v>
      </c>
      <c r="X386" s="15" t="n">
        <f aca="false">V386+W386-(V385+W385)</f>
        <v>1366.21220657277</v>
      </c>
      <c r="Y386" s="15" t="n">
        <f aca="false">P386-X386</f>
        <v>3530.6057381325</v>
      </c>
      <c r="Z386" s="15" t="n">
        <f aca="false">R386-T386+IF(AND(Parametri_v3!$C$40=1,D386-YEAR(Parametri_v3!$C$50)&lt;Parametri_v3!$C$41),MAX(0,-Q386),0)</f>
        <v>0</v>
      </c>
      <c r="AA386" s="15" t="n">
        <f aca="false">S386-U386+IF(AND(Parametri_v3!$C$40=1,D386-YEAR(Parametri_v3!$C$50)&lt;Parametri_v3!$C$41),0,MAX(0,-Q386))</f>
        <v>0</v>
      </c>
      <c r="AB386" s="15" t="n">
        <f aca="false">F386*(1+Parametri_v3!$C$26)</f>
        <v>41457.0892018779</v>
      </c>
      <c r="AC386" s="15" t="n">
        <f aca="false">(IF(22-(INT((Motore_Operativo!L386)/30))&lt;1,0,INDEX(Motore_Advisory!$AB$365:$AB$424,MAX(1,22-(INT((Motore_Operativo!L386)/30)))))*(1-(MOD((Motore_Operativo!L386),30)/30))+IF(22-(INT((Motore_Operativo!L386)/30))-1&lt;1,0,INDEX(Motore_Advisory!$AB$365:$AB$424,MAX(1,22-(INT((Motore_Operativo!L386)/30))-1)))*(MOD((Motore_Operativo!L386),30)/30))</f>
        <v>41457.0892018779</v>
      </c>
      <c r="AD386" s="15" t="n">
        <f aca="false">(AD385)+AB386-AC386</f>
        <v>124371.267605634</v>
      </c>
      <c r="AE386" s="15" t="n">
        <f aca="false">Motore_Operativo!BH386*(1+Parametri_v3!$C$26)</f>
        <v>4145.70892018779</v>
      </c>
      <c r="AF386" s="15" t="n">
        <f aca="false">(IF(22-(INT((Parametri_v3!$C$29)/30))&lt;1,0,INDEX(Motore_Operativo!$BH$365:$BH$424,MAX(1,22-(INT((Parametri_v3!$C$29)/30)))))*(1-(MOD((Parametri_v3!$C$29),30)/30))+IF(22-(INT((Parametri_v3!$C$29)/30))-1&lt;1,0,INDEX(Motore_Operativo!$BH$365:$BH$424,MAX(1,22-(INT((Parametri_v3!$C$29)/30))-1)))*(MOD((Parametri_v3!$C$29),30)/30))*(1+Parametri_v3!$C$26)</f>
        <v>4145.70892018779</v>
      </c>
      <c r="AG386" s="15" t="n">
        <f aca="false">(AG385)+AE386-AF386</f>
        <v>4145.70892018779</v>
      </c>
      <c r="AH386" s="15" t="n">
        <f aca="false">(Motore_Operativo!CK386)*(1+Parametri_v3!$C$28*Parametri_v3!$C$26)</f>
        <v>11198.1149295775</v>
      </c>
      <c r="AI386" s="15" t="n">
        <f aca="false">(IF(22-(INT((Ipotesi!$C$91)/30))&lt;1,0,INDEX(Motore_Advisory!$AH$365:$AH$424,MAX(1,22-(INT((Ipotesi!$C$91)/30)))))*(1-(MOD((Ipotesi!$C$91),30)/30))+IF(22-(INT((Ipotesi!$C$91)/30))-1&lt;1,0,INDEX(Motore_Advisory!$AH$365:$AH$424,MAX(1,22-(INT((Ipotesi!$C$91)/30))-1)))*(MOD((Ipotesi!$C$91),30)/30))</f>
        <v>11198.1149295775</v>
      </c>
      <c r="AJ386" s="15" t="n">
        <f aca="false">(AJ385)+AH386-AI386</f>
        <v>22396.2298591549</v>
      </c>
      <c r="AK386" s="15" t="n">
        <f aca="false">(F386- Motore_Operativo!BH386-(Motore_Operativo!CK386)*Parametri_v3!$C$28-Motore_Operativo!CF386)*Parametri_v3!$C$26</f>
        <v>4960.70666666667</v>
      </c>
      <c r="AL386" s="15" t="n">
        <f aca="false">MAX(0,(AM385))</f>
        <v>4960.70666666667</v>
      </c>
      <c r="AM386" s="15" t="n">
        <f aca="false">(AM385)+AK386-AL386</f>
        <v>4960.70666666667</v>
      </c>
      <c r="AN386" s="15" t="n">
        <f aca="false">SUM(X365:X376)</f>
        <v>13562.3123684211</v>
      </c>
      <c r="AO386" s="15" t="n">
        <f aca="false">SUM(AP365:AP376)</f>
        <v>0</v>
      </c>
      <c r="AP386" s="15" t="n">
        <f aca="false">MAX(0,AN386)*IF(10=Parametri_v3!$C$43,Parametri_v3!$C$45,IF(10=Parametri_v3!$C$44,1-Parametri_v3!$C$45,0))</f>
        <v>0</v>
      </c>
      <c r="AQ386" s="15" t="n">
        <f aca="false">MAX(0,AP386+IF(10=Parametri_v3!$C$43,MAX(0,AN386-AO386),0)-MAX(0,-(AR385)))</f>
        <v>0</v>
      </c>
      <c r="AR386" s="15" t="n">
        <f aca="false">(AR385)+X386-AQ386</f>
        <v>8382.50961835927</v>
      </c>
      <c r="AS386" s="15" t="n">
        <f aca="false">Motore_Operativo!AC386-AT386+AU386</f>
        <v>15166.75</v>
      </c>
      <c r="AT386" s="15" t="n">
        <f aca="false">Motore_Operativo!CI386</f>
        <v>798.25</v>
      </c>
      <c r="AU386" s="15" t="n">
        <f aca="false">MIN(MAX(0,(AV385)+AT386),Parametri_v3!$C$61/12)</f>
        <v>0</v>
      </c>
      <c r="AV386" s="15" t="n">
        <f aca="false">(AV385)+AT386-AU386</f>
        <v>11132.5</v>
      </c>
      <c r="AW386" s="15" t="n">
        <f aca="false">IF(AND(Motore_Operativo!C386=Finanziamenti!$D$7,Finanziamenti!$F$7=1),Finanziamenti!$C$7,0)</f>
        <v>0</v>
      </c>
      <c r="AX386" s="15" t="n">
        <f aca="false">0</f>
        <v>0</v>
      </c>
      <c r="AY386" s="15" t="n">
        <f aca="false">IF(10=Parametri_v3!$C$33,IF(BV386&lt;MIN(12,$B386-1),0,MIN(MAX(0,SUM(Y365:Y376))*Ipotesi!$C$94,MAX(0,(BM376)-(BO385)-BP386),MAX(0,BD386-Parametri_v3!$C$31))),0)</f>
        <v>0</v>
      </c>
      <c r="AZ386" s="15" t="n">
        <f aca="false">0</f>
        <v>0</v>
      </c>
      <c r="BA386" s="15" t="n">
        <f aca="false">0</f>
        <v>0</v>
      </c>
      <c r="BB386" s="15" t="n">
        <f aca="false">0</f>
        <v>0</v>
      </c>
      <c r="BC386" s="15" t="n">
        <f aca="false">0</f>
        <v>0</v>
      </c>
      <c r="BD386" s="15" t="n">
        <f aca="false">(BH385)+AC386-AF386-AI386-AS386-K386*(1+Parametri_v3!$C$26)-AL386-AQ386-O386+AW386+AX386+AZ386+BA386-BB386</f>
        <v>12220.9993088708</v>
      </c>
      <c r="BE386" s="15" t="n">
        <f aca="false">0</f>
        <v>0</v>
      </c>
      <c r="BF386" s="15" t="n">
        <f aca="false">0</f>
        <v>0</v>
      </c>
      <c r="BG386" s="15" t="n">
        <f aca="false">0</f>
        <v>0</v>
      </c>
      <c r="BH386" s="15" t="n">
        <f aca="false">BD386+BE386-BF386-AY386</f>
        <v>12220.9993088708</v>
      </c>
      <c r="BI386" s="15" t="n">
        <f aca="false">MAX(0,Parametri_v3!$C$31-BH386)</f>
        <v>0</v>
      </c>
      <c r="BJ386" s="15" t="n">
        <f aca="false">(BJ385)+K386</f>
        <v>7166.66666666667</v>
      </c>
      <c r="BK386" s="15" t="n">
        <f aca="false">(BK385)+L386</f>
        <v>2011.57407407407</v>
      </c>
      <c r="BL386" s="15" t="n">
        <f aca="false">BJ386-BK386</f>
        <v>5155.0925925926</v>
      </c>
      <c r="BM386" s="15" t="n">
        <f aca="false">(BM385)+Y386</f>
        <v>70729.7044427285</v>
      </c>
      <c r="BN386" s="15" t="n">
        <f aca="false">(BN385)+AW386+AX386+AZ386</f>
        <v>20000</v>
      </c>
      <c r="BO386" s="15" t="n">
        <f aca="false">(BO385)+AY386</f>
        <v>0</v>
      </c>
      <c r="BP386" s="15" t="n">
        <f aca="false">MIN(Parametri_v3!$C$36*Parametri_v3!$C$35,(BP385)+IF(10=1,MAX(0,SUM(Y365:Y376))*Parametri_v3!$C$34,0))</f>
        <v>1752.40631140351</v>
      </c>
      <c r="BQ386" s="15" t="n">
        <f aca="false">BN386+BM386-BO386</f>
        <v>90729.7044427285</v>
      </c>
      <c r="BR386" s="15" t="n">
        <f aca="false">BH386+AD386+BL386+MAX(0,-AM386)+MAX(0,-AR386)</f>
        <v>141747.359507097</v>
      </c>
      <c r="BS386" s="15" t="n">
        <f aca="false">AJ386+AV386+MAX(0,AM386)+MAX(0,AR386)+BC386+BG386+BQ386+AG386</f>
        <v>141747.359507097</v>
      </c>
      <c r="BT386" s="15" t="n">
        <f aca="false">BR386-BS386</f>
        <v>0</v>
      </c>
      <c r="BU386" s="15" t="n">
        <f aca="false">BH386-(BD386+BE386-BF386-AY386)</f>
        <v>0</v>
      </c>
      <c r="BV386" s="15" t="n">
        <f aca="false">IF(BH385&lt;Parametri_v3!$C$31,0,BV385+1)</f>
        <v>0</v>
      </c>
    </row>
    <row r="387" customFormat="false" ht="18" hidden="false" customHeight="true" outlineLevel="0" collapsed="false">
      <c r="A387" s="68" t="n">
        <f aca="false">7</f>
        <v>7</v>
      </c>
      <c r="B387" s="68" t="n">
        <f aca="false">23</f>
        <v>23</v>
      </c>
      <c r="C387" s="18" t="n">
        <f aca="false">Motore_Operativo!C387</f>
        <v>47058</v>
      </c>
      <c r="D387" s="68" t="n">
        <f aca="false">Motore_Operativo!D387</f>
        <v>2028</v>
      </c>
      <c r="E387" s="68" t="n">
        <f aca="false">Motore_Operativo!E387</f>
        <v>11</v>
      </c>
      <c r="F387" s="15" t="n">
        <f aca="false">Motore_Operativo!AM387</f>
        <v>33981.220657277</v>
      </c>
      <c r="G387" s="15" t="n">
        <f aca="false">Motore_Operativo!BH387</f>
        <v>3398.1220657277</v>
      </c>
      <c r="H387" s="15" t="n">
        <f aca="false">Motore_Operativo!AM387</f>
        <v>33981.220657277</v>
      </c>
      <c r="I387" s="15" t="n">
        <f aca="false">Motore_Operativo!CB387</f>
        <v>28885.3286384976</v>
      </c>
      <c r="J387" s="15" t="n">
        <f aca="false">Motore_Operativo!CD387</f>
        <v>5095.89201877934</v>
      </c>
      <c r="K387" s="15" t="n">
        <f aca="false">Motore_Operativo!CF387</f>
        <v>416.666666666667</v>
      </c>
      <c r="L387" s="15" t="n">
        <f aca="false">SUM(INDEX($K$365:$K$424,MAX(1,23-Parametri_v3!$C$59+1)):K387)/Parametri_v3!$C$59</f>
        <v>210.648148148148</v>
      </c>
      <c r="M387" s="15" t="n">
        <f aca="false">J387-L387</f>
        <v>4885.24387063119</v>
      </c>
      <c r="N387" s="15" t="n">
        <f aca="false">0</f>
        <v>0</v>
      </c>
      <c r="O387" s="15" t="n">
        <f aca="false">0</f>
        <v>0</v>
      </c>
      <c r="P387" s="15" t="n">
        <f aca="false">M387+N387-O387</f>
        <v>4885.24387063119</v>
      </c>
      <c r="Q387" s="15" t="n">
        <f aca="false">SUM(P377:P387)+Parametri_v3!$C$56*11/12</f>
        <v>54374.2566510172</v>
      </c>
      <c r="R387" s="15" t="n">
        <f aca="false">Z376</f>
        <v>0</v>
      </c>
      <c r="S387" s="15" t="n">
        <f aca="false">AA376</f>
        <v>0</v>
      </c>
      <c r="T387" s="15" t="n">
        <f aca="false">MIN(R387,MAX(0,Q387))</f>
        <v>0</v>
      </c>
      <c r="U387" s="15" t="n">
        <f aca="false">MIN(S387,MAX(0,Q387-T387)*Parametri_v3!$C$42)</f>
        <v>0</v>
      </c>
      <c r="V387" s="15" t="n">
        <f aca="false">MAX(0,Q387-T387-U387)*Ipotesi!$C$92</f>
        <v>13049.8215962441</v>
      </c>
      <c r="W387" s="15" t="n">
        <f aca="false">MAX(0,SUM(M377:M387)+Parametri_v3!$C$57*11/12)*Ipotesi!$C$93</f>
        <v>2120.59600938967</v>
      </c>
      <c r="X387" s="15" t="n">
        <f aca="false">V387+W387-(V386+W386)</f>
        <v>1362.9830399061</v>
      </c>
      <c r="Y387" s="15" t="n">
        <f aca="false">P387-X387</f>
        <v>3522.26083072509</v>
      </c>
      <c r="Z387" s="15" t="n">
        <f aca="false">R387-T387+IF(AND(Parametri_v3!$C$40=1,D387-YEAR(Parametri_v3!$C$50)&lt;Parametri_v3!$C$41),MAX(0,-Q387),0)</f>
        <v>0</v>
      </c>
      <c r="AA387" s="15" t="n">
        <f aca="false">S387-U387+IF(AND(Parametri_v3!$C$40=1,D387-YEAR(Parametri_v3!$C$50)&lt;Parametri_v3!$C$41),0,MAX(0,-Q387))</f>
        <v>0</v>
      </c>
      <c r="AB387" s="15" t="n">
        <f aca="false">F387*(1+Parametri_v3!$C$26)</f>
        <v>41457.0892018779</v>
      </c>
      <c r="AC387" s="15" t="n">
        <f aca="false">(IF(23-(INT((Motore_Operativo!L387)/30))&lt;1,0,INDEX(Motore_Advisory!$AB$365:$AB$424,MAX(1,23-(INT((Motore_Operativo!L387)/30)))))*(1-(MOD((Motore_Operativo!L387),30)/30))+IF(23-(INT((Motore_Operativo!L387)/30))-1&lt;1,0,INDEX(Motore_Advisory!$AB$365:$AB$424,MAX(1,23-(INT((Motore_Operativo!L387)/30))-1)))*(MOD((Motore_Operativo!L387),30)/30))</f>
        <v>41457.0892018779</v>
      </c>
      <c r="AD387" s="15" t="n">
        <f aca="false">(AD386)+AB387-AC387</f>
        <v>124371.267605634</v>
      </c>
      <c r="AE387" s="15" t="n">
        <f aca="false">Motore_Operativo!BH387*(1+Parametri_v3!$C$26)</f>
        <v>4145.70892018779</v>
      </c>
      <c r="AF387" s="15" t="n">
        <f aca="false">(IF(23-(INT((Parametri_v3!$C$29)/30))&lt;1,0,INDEX(Motore_Operativo!$BH$365:$BH$424,MAX(1,23-(INT((Parametri_v3!$C$29)/30)))))*(1-(MOD((Parametri_v3!$C$29),30)/30))+IF(23-(INT((Parametri_v3!$C$29)/30))-1&lt;1,0,INDEX(Motore_Operativo!$BH$365:$BH$424,MAX(1,23-(INT((Parametri_v3!$C$29)/30))-1)))*(MOD((Parametri_v3!$C$29),30)/30))*(1+Parametri_v3!$C$26)</f>
        <v>4145.70892018779</v>
      </c>
      <c r="AG387" s="15" t="n">
        <f aca="false">(AG386)+AE387-AF387</f>
        <v>4145.70892018779</v>
      </c>
      <c r="AH387" s="15" t="n">
        <f aca="false">(Motore_Operativo!CK387)*(1+Parametri_v3!$C$28*Parametri_v3!$C$26)</f>
        <v>11198.1149295775</v>
      </c>
      <c r="AI387" s="15" t="n">
        <f aca="false">(IF(23-(INT((Ipotesi!$C$91)/30))&lt;1,0,INDEX(Motore_Advisory!$AH$365:$AH$424,MAX(1,23-(INT((Ipotesi!$C$91)/30)))))*(1-(MOD((Ipotesi!$C$91),30)/30))+IF(23-(INT((Ipotesi!$C$91)/30))-1&lt;1,0,INDEX(Motore_Advisory!$AH$365:$AH$424,MAX(1,23-(INT((Ipotesi!$C$91)/30))-1)))*(MOD((Ipotesi!$C$91),30)/30))</f>
        <v>11198.1149295775</v>
      </c>
      <c r="AJ387" s="15" t="n">
        <f aca="false">(AJ386)+AH387-AI387</f>
        <v>22396.2298591549</v>
      </c>
      <c r="AK387" s="15" t="n">
        <f aca="false">(F387- Motore_Operativo!BH387-(Motore_Operativo!CK387)*Parametri_v3!$C$28-Motore_Operativo!CF387)*Parametri_v3!$C$26</f>
        <v>4960.70666666667</v>
      </c>
      <c r="AL387" s="15" t="n">
        <f aca="false">MAX(0,(AM386))</f>
        <v>4960.70666666667</v>
      </c>
      <c r="AM387" s="15" t="n">
        <f aca="false">(AM386)+AK387-AL387</f>
        <v>4960.70666666667</v>
      </c>
      <c r="AN387" s="15" t="n">
        <f aca="false">SUM(X365:X376)</f>
        <v>13562.3123684211</v>
      </c>
      <c r="AO387" s="15" t="n">
        <f aca="false">SUM(AP365:AP376)</f>
        <v>0</v>
      </c>
      <c r="AP387" s="15" t="n">
        <f aca="false">MAX(0,AN387)*IF(11=Parametri_v3!$C$43,Parametri_v3!$C$45,IF(11=Parametri_v3!$C$44,1-Parametri_v3!$C$45,0))</f>
        <v>8137.38742105263</v>
      </c>
      <c r="AQ387" s="15" t="n">
        <f aca="false">MAX(0,AP387+IF(11=Parametri_v3!$C$43,MAX(0,AN387-AO387),0)-MAX(0,-(AR386)))</f>
        <v>8137.38742105263</v>
      </c>
      <c r="AR387" s="15" t="n">
        <f aca="false">(AR386)+X387-AQ387</f>
        <v>1608.10523721275</v>
      </c>
      <c r="AS387" s="15" t="n">
        <f aca="false">Motore_Operativo!AC387-AT387+AU387</f>
        <v>15166.75</v>
      </c>
      <c r="AT387" s="15" t="n">
        <f aca="false">Motore_Operativo!CI387</f>
        <v>798.25</v>
      </c>
      <c r="AU387" s="15" t="n">
        <f aca="false">MIN(MAX(0,(AV386)+AT387),Parametri_v3!$C$61/12)</f>
        <v>0</v>
      </c>
      <c r="AV387" s="15" t="n">
        <f aca="false">(AV386)+AT387-AU387</f>
        <v>11930.75</v>
      </c>
      <c r="AW387" s="15" t="n">
        <f aca="false">IF(AND(Motore_Operativo!C387=Finanziamenti!$D$7,Finanziamenti!$F$7=1),Finanziamenti!$C$7,0)</f>
        <v>0</v>
      </c>
      <c r="AX387" s="15" t="n">
        <f aca="false">0</f>
        <v>0</v>
      </c>
      <c r="AY387" s="15" t="n">
        <f aca="false">IF(11=Parametri_v3!$C$33,IF(BV387&lt;MIN(12,$B387-1),0,MIN(MAX(0,SUM(Y365:Y376))*Ipotesi!$C$94,MAX(0,(BM376)-(BO386)-BP387),MAX(0,BD387-Parametri_v3!$C$31))),0)</f>
        <v>0</v>
      </c>
      <c r="AZ387" s="15" t="n">
        <f aca="false">0</f>
        <v>0</v>
      </c>
      <c r="BA387" s="15" t="n">
        <f aca="false">0</f>
        <v>0</v>
      </c>
      <c r="BB387" s="15" t="n">
        <f aca="false">0</f>
        <v>0</v>
      </c>
      <c r="BC387" s="15" t="n">
        <f aca="false">0</f>
        <v>0</v>
      </c>
      <c r="BD387" s="15" t="n">
        <f aca="false">(BH386)+AC387-AF387-AI387-AS387-K387*(1+Parametri_v3!$C$26)-AL387-AQ387-O387+AW387+AX387+AZ387+BA387-BB387</f>
        <v>9561.08723993079</v>
      </c>
      <c r="BE387" s="15" t="n">
        <f aca="false">0</f>
        <v>0</v>
      </c>
      <c r="BF387" s="15" t="n">
        <f aca="false">0</f>
        <v>0</v>
      </c>
      <c r="BG387" s="15" t="n">
        <f aca="false">0</f>
        <v>0</v>
      </c>
      <c r="BH387" s="15" t="n">
        <f aca="false">BD387+BE387-BF387-AY387</f>
        <v>9561.08723993079</v>
      </c>
      <c r="BI387" s="15" t="n">
        <f aca="false">MAX(0,Parametri_v3!$C$31-BH387)</f>
        <v>438.912760069208</v>
      </c>
      <c r="BJ387" s="15" t="n">
        <f aca="false">(BJ386)+K387</f>
        <v>7583.33333333334</v>
      </c>
      <c r="BK387" s="15" t="n">
        <f aca="false">(BK386)+L387</f>
        <v>2222.22222222222</v>
      </c>
      <c r="BL387" s="15" t="n">
        <f aca="false">BJ387-BK387</f>
        <v>5361.11111111111</v>
      </c>
      <c r="BM387" s="15" t="n">
        <f aca="false">(BM386)+Y387</f>
        <v>74251.9652734536</v>
      </c>
      <c r="BN387" s="15" t="n">
        <f aca="false">(BN386)+AW387+AX387+AZ387</f>
        <v>20000</v>
      </c>
      <c r="BO387" s="15" t="n">
        <f aca="false">(BO386)+AY387</f>
        <v>0</v>
      </c>
      <c r="BP387" s="15" t="n">
        <f aca="false">MIN(Parametri_v3!$C$36*Parametri_v3!$C$35,(BP386)+IF(11=1,MAX(0,SUM(Y365:Y376))*Parametri_v3!$C$34,0))</f>
        <v>1752.40631140351</v>
      </c>
      <c r="BQ387" s="15" t="n">
        <f aca="false">BN387+BM387-BO387</f>
        <v>94251.9652734536</v>
      </c>
      <c r="BR387" s="15" t="n">
        <f aca="false">BH387+AD387+BL387+MAX(0,-AM387)+MAX(0,-AR387)</f>
        <v>139293.465956676</v>
      </c>
      <c r="BS387" s="15" t="n">
        <f aca="false">AJ387+AV387+MAX(0,AM387)+MAX(0,AR387)+BC387+BG387+BQ387+AG387</f>
        <v>139293.465956676</v>
      </c>
      <c r="BT387" s="15" t="n">
        <f aca="false">BR387-BS387</f>
        <v>0</v>
      </c>
      <c r="BU387" s="15" t="n">
        <f aca="false">BH387-(BD387+BE387-BF387-AY387)</f>
        <v>0</v>
      </c>
      <c r="BV387" s="15" t="n">
        <f aca="false">IF(BH386&lt;Parametri_v3!$C$31,0,BV386+1)</f>
        <v>1</v>
      </c>
    </row>
    <row r="388" customFormat="false" ht="18" hidden="false" customHeight="true" outlineLevel="0" collapsed="false">
      <c r="A388" s="68" t="n">
        <f aca="false">7</f>
        <v>7</v>
      </c>
      <c r="B388" s="68" t="n">
        <f aca="false">24</f>
        <v>24</v>
      </c>
      <c r="C388" s="18" t="n">
        <f aca="false">Motore_Operativo!C388</f>
        <v>47088</v>
      </c>
      <c r="D388" s="68" t="n">
        <f aca="false">Motore_Operativo!D388</f>
        <v>2028</v>
      </c>
      <c r="E388" s="68" t="n">
        <f aca="false">Motore_Operativo!E388</f>
        <v>12</v>
      </c>
      <c r="F388" s="15" t="n">
        <f aca="false">Motore_Operativo!AM388</f>
        <v>33981.220657277</v>
      </c>
      <c r="G388" s="15" t="n">
        <f aca="false">Motore_Operativo!BH388</f>
        <v>3398.1220657277</v>
      </c>
      <c r="H388" s="15" t="n">
        <f aca="false">Motore_Operativo!AM388</f>
        <v>33981.220657277</v>
      </c>
      <c r="I388" s="15" t="n">
        <f aca="false">Motore_Operativo!CB388</f>
        <v>28885.3286384976</v>
      </c>
      <c r="J388" s="15" t="n">
        <f aca="false">Motore_Operativo!CD388</f>
        <v>5095.89201877934</v>
      </c>
      <c r="K388" s="15" t="n">
        <f aca="false">Motore_Operativo!CF388</f>
        <v>416.666666666667</v>
      </c>
      <c r="L388" s="15" t="n">
        <f aca="false">SUM(INDEX($K$365:$K$424,MAX(1,24-Parametri_v3!$C$59+1)):K388)/Parametri_v3!$C$59</f>
        <v>222.222222222222</v>
      </c>
      <c r="M388" s="15" t="n">
        <f aca="false">J388-L388</f>
        <v>4873.66979655712</v>
      </c>
      <c r="N388" s="15" t="n">
        <f aca="false">0</f>
        <v>0</v>
      </c>
      <c r="O388" s="15" t="n">
        <f aca="false">0</f>
        <v>0</v>
      </c>
      <c r="P388" s="15" t="n">
        <f aca="false">M388+N388-O388</f>
        <v>4873.66979655712</v>
      </c>
      <c r="Q388" s="15" t="n">
        <f aca="false">SUM(P377:P388)+Parametri_v3!$C$56*12/12</f>
        <v>59247.9264475743</v>
      </c>
      <c r="R388" s="15" t="n">
        <f aca="false">Z376</f>
        <v>0</v>
      </c>
      <c r="S388" s="15" t="n">
        <f aca="false">AA376</f>
        <v>0</v>
      </c>
      <c r="T388" s="15" t="n">
        <f aca="false">MIN(R388,MAX(0,Q388))</f>
        <v>0</v>
      </c>
      <c r="U388" s="15" t="n">
        <f aca="false">MIN(S388,MAX(0,Q388-T388)*Parametri_v3!$C$42)</f>
        <v>0</v>
      </c>
      <c r="V388" s="15" t="n">
        <f aca="false">MAX(0,Q388-T388-U388)*Ipotesi!$C$92</f>
        <v>14219.5023474178</v>
      </c>
      <c r="W388" s="15" t="n">
        <f aca="false">MAX(0,SUM(M377:M388)+Parametri_v3!$C$57*12/12)*Ipotesi!$C$93</f>
        <v>2310.6691314554</v>
      </c>
      <c r="X388" s="15" t="n">
        <f aca="false">V388+W388-(V387+W387)</f>
        <v>1359.75387323944</v>
      </c>
      <c r="Y388" s="15" t="n">
        <f aca="false">P388-X388</f>
        <v>3513.91592331768</v>
      </c>
      <c r="Z388" s="15" t="n">
        <f aca="false">R388-T388+IF(AND(Parametri_v3!$C$40=1,D388-YEAR(Parametri_v3!$C$50)&lt;Parametri_v3!$C$41),MAX(0,-Q388),0)</f>
        <v>0</v>
      </c>
      <c r="AA388" s="15" t="n">
        <f aca="false">S388-U388+IF(AND(Parametri_v3!$C$40=1,D388-YEAR(Parametri_v3!$C$50)&lt;Parametri_v3!$C$41),0,MAX(0,-Q388))</f>
        <v>0</v>
      </c>
      <c r="AB388" s="15" t="n">
        <f aca="false">F388*(1+Parametri_v3!$C$26)</f>
        <v>41457.0892018779</v>
      </c>
      <c r="AC388" s="15" t="n">
        <f aca="false">(IF(24-(INT((Motore_Operativo!L388)/30))&lt;1,0,INDEX(Motore_Advisory!$AB$365:$AB$424,MAX(1,24-(INT((Motore_Operativo!L388)/30)))))*(1-(MOD((Motore_Operativo!L388),30)/30))+IF(24-(INT((Motore_Operativo!L388)/30))-1&lt;1,0,INDEX(Motore_Advisory!$AB$365:$AB$424,MAX(1,24-(INT((Motore_Operativo!L388)/30))-1)))*(MOD((Motore_Operativo!L388),30)/30))</f>
        <v>41457.0892018779</v>
      </c>
      <c r="AD388" s="15" t="n">
        <f aca="false">(AD387)+AB388-AC388</f>
        <v>124371.267605634</v>
      </c>
      <c r="AE388" s="15" t="n">
        <f aca="false">Motore_Operativo!BH388*(1+Parametri_v3!$C$26)</f>
        <v>4145.70892018779</v>
      </c>
      <c r="AF388" s="15" t="n">
        <f aca="false">(IF(24-(INT((Parametri_v3!$C$29)/30))&lt;1,0,INDEX(Motore_Operativo!$BH$365:$BH$424,MAX(1,24-(INT((Parametri_v3!$C$29)/30)))))*(1-(MOD((Parametri_v3!$C$29),30)/30))+IF(24-(INT((Parametri_v3!$C$29)/30))-1&lt;1,0,INDEX(Motore_Operativo!$BH$365:$BH$424,MAX(1,24-(INT((Parametri_v3!$C$29)/30))-1)))*(MOD((Parametri_v3!$C$29),30)/30))*(1+Parametri_v3!$C$26)</f>
        <v>4145.70892018779</v>
      </c>
      <c r="AG388" s="15" t="n">
        <f aca="false">(AG387)+AE388-AF388</f>
        <v>4145.70892018779</v>
      </c>
      <c r="AH388" s="15" t="n">
        <f aca="false">(Motore_Operativo!CK388)*(1+Parametri_v3!$C$28*Parametri_v3!$C$26)</f>
        <v>11198.1149295775</v>
      </c>
      <c r="AI388" s="15" t="n">
        <f aca="false">(IF(24-(INT((Ipotesi!$C$91)/30))&lt;1,0,INDEX(Motore_Advisory!$AH$365:$AH$424,MAX(1,24-(INT((Ipotesi!$C$91)/30)))))*(1-(MOD((Ipotesi!$C$91),30)/30))+IF(24-(INT((Ipotesi!$C$91)/30))-1&lt;1,0,INDEX(Motore_Advisory!$AH$365:$AH$424,MAX(1,24-(INT((Ipotesi!$C$91)/30))-1)))*(MOD((Ipotesi!$C$91),30)/30))</f>
        <v>11198.1149295775</v>
      </c>
      <c r="AJ388" s="15" t="n">
        <f aca="false">(AJ387)+AH388-AI388</f>
        <v>22396.2298591549</v>
      </c>
      <c r="AK388" s="15" t="n">
        <f aca="false">(F388- Motore_Operativo!BH388-(Motore_Operativo!CK388)*Parametri_v3!$C$28-Motore_Operativo!CF388)*Parametri_v3!$C$26</f>
        <v>4960.70666666667</v>
      </c>
      <c r="AL388" s="15" t="n">
        <f aca="false">MAX(0,(AM387))</f>
        <v>4960.70666666667</v>
      </c>
      <c r="AM388" s="15" t="n">
        <f aca="false">(AM387)+AK388-AL388</f>
        <v>4960.70666666667</v>
      </c>
      <c r="AN388" s="15" t="n">
        <f aca="false">SUM(X365:X376)</f>
        <v>13562.3123684211</v>
      </c>
      <c r="AO388" s="15" t="n">
        <f aca="false">SUM(AP365:AP376)</f>
        <v>0</v>
      </c>
      <c r="AP388" s="15" t="n">
        <f aca="false">MAX(0,AN388)*IF(12=Parametri_v3!$C$43,Parametri_v3!$C$45,IF(12=Parametri_v3!$C$44,1-Parametri_v3!$C$45,0))</f>
        <v>0</v>
      </c>
      <c r="AQ388" s="15" t="n">
        <f aca="false">MAX(0,AP388+IF(12=Parametri_v3!$C$43,MAX(0,AN388-AO388),0)-MAX(0,-(AR387)))</f>
        <v>0</v>
      </c>
      <c r="AR388" s="15" t="n">
        <f aca="false">(AR387)+X388-AQ388</f>
        <v>2967.85911045218</v>
      </c>
      <c r="AS388" s="15" t="n">
        <f aca="false">Motore_Operativo!AC388-AT388+AU388</f>
        <v>15166.75</v>
      </c>
      <c r="AT388" s="15" t="n">
        <f aca="false">Motore_Operativo!CI388</f>
        <v>798.25</v>
      </c>
      <c r="AU388" s="15" t="n">
        <f aca="false">MIN(MAX(0,(AV387)+AT388),Parametri_v3!$C$61/12)</f>
        <v>0</v>
      </c>
      <c r="AV388" s="15" t="n">
        <f aca="false">(AV387)+AT388-AU388</f>
        <v>12729</v>
      </c>
      <c r="AW388" s="15" t="n">
        <f aca="false">IF(AND(Motore_Operativo!C388=Finanziamenti!$D$7,Finanziamenti!$F$7=1),Finanziamenti!$C$7,0)</f>
        <v>0</v>
      </c>
      <c r="AX388" s="15" t="n">
        <f aca="false">0</f>
        <v>0</v>
      </c>
      <c r="AY388" s="15" t="n">
        <f aca="false">IF(12=Parametri_v3!$C$33,IF(BV388&lt;MIN(12,$B388-1),0,MIN(MAX(0,SUM(Y365:Y376))*Ipotesi!$C$94,MAX(0,(BM376)-(BO387)-BP388),MAX(0,BD388-Parametri_v3!$C$31))),0)</f>
        <v>0</v>
      </c>
      <c r="AZ388" s="15" t="n">
        <f aca="false">0</f>
        <v>0</v>
      </c>
      <c r="BA388" s="15" t="n">
        <f aca="false">0</f>
        <v>0</v>
      </c>
      <c r="BB388" s="15" t="n">
        <f aca="false">0</f>
        <v>0</v>
      </c>
      <c r="BC388" s="15" t="n">
        <f aca="false">0</f>
        <v>0</v>
      </c>
      <c r="BD388" s="15" t="n">
        <f aca="false">(BH387)+AC388-AF388-AI388-AS388-K388*(1+Parametri_v3!$C$26)-AL388-AQ388-O388+AW388+AX388+AZ388+BA388-BB388</f>
        <v>15038.5625920435</v>
      </c>
      <c r="BE388" s="15" t="n">
        <f aca="false">0</f>
        <v>0</v>
      </c>
      <c r="BF388" s="15" t="n">
        <f aca="false">0</f>
        <v>0</v>
      </c>
      <c r="BG388" s="15" t="n">
        <f aca="false">0</f>
        <v>0</v>
      </c>
      <c r="BH388" s="15" t="n">
        <f aca="false">BD388+BE388-BF388-AY388</f>
        <v>15038.5625920435</v>
      </c>
      <c r="BI388" s="15" t="n">
        <f aca="false">MAX(0,Parametri_v3!$C$31-BH388)</f>
        <v>0</v>
      </c>
      <c r="BJ388" s="15" t="n">
        <f aca="false">(BJ387)+K388</f>
        <v>8000</v>
      </c>
      <c r="BK388" s="15" t="n">
        <f aca="false">(BK387)+L388</f>
        <v>2444.44444444445</v>
      </c>
      <c r="BL388" s="15" t="n">
        <f aca="false">BJ388-BK388</f>
        <v>5555.55555555556</v>
      </c>
      <c r="BM388" s="15" t="n">
        <f aca="false">(BM387)+Y388</f>
        <v>77765.8811967713</v>
      </c>
      <c r="BN388" s="15" t="n">
        <f aca="false">(BN387)+AW388+AX388+AZ388</f>
        <v>20000</v>
      </c>
      <c r="BO388" s="15" t="n">
        <f aca="false">(BO387)+AY388</f>
        <v>0</v>
      </c>
      <c r="BP388" s="15" t="n">
        <f aca="false">MIN(Parametri_v3!$C$36*Parametri_v3!$C$35,(BP387)+IF(12=1,MAX(0,SUM(Y365:Y376))*Parametri_v3!$C$34,0))</f>
        <v>1752.40631140351</v>
      </c>
      <c r="BQ388" s="15" t="n">
        <f aca="false">BN388+BM388-BO388</f>
        <v>97765.8811967713</v>
      </c>
      <c r="BR388" s="15" t="n">
        <f aca="false">BH388+AD388+BL388+MAX(0,-AM388)+MAX(0,-AR388)</f>
        <v>144965.385753233</v>
      </c>
      <c r="BS388" s="15" t="n">
        <f aca="false">AJ388+AV388+MAX(0,AM388)+MAX(0,AR388)+BC388+BG388+BQ388+AG388</f>
        <v>144965.385753233</v>
      </c>
      <c r="BT388" s="15" t="n">
        <f aca="false">BR388-BS388</f>
        <v>0</v>
      </c>
      <c r="BU388" s="15" t="n">
        <f aca="false">BH388-(BD388+BE388-BF388-AY388)</f>
        <v>0</v>
      </c>
      <c r="BV388" s="15" t="n">
        <f aca="false">IF(BH387&lt;Parametri_v3!$C$31,0,BV387+1)</f>
        <v>0</v>
      </c>
    </row>
    <row r="389" customFormat="false" ht="18" hidden="false" customHeight="true" outlineLevel="0" collapsed="false">
      <c r="A389" s="68" t="n">
        <f aca="false">7</f>
        <v>7</v>
      </c>
      <c r="B389" s="68" t="n">
        <f aca="false">25</f>
        <v>25</v>
      </c>
      <c r="C389" s="18" t="n">
        <f aca="false">Motore_Operativo!C389</f>
        <v>47119</v>
      </c>
      <c r="D389" s="68" t="n">
        <f aca="false">Motore_Operativo!D389</f>
        <v>2029</v>
      </c>
      <c r="E389" s="68" t="n">
        <f aca="false">Motore_Operativo!E389</f>
        <v>1</v>
      </c>
      <c r="F389" s="15" t="n">
        <f aca="false">Motore_Operativo!AM389</f>
        <v>60500</v>
      </c>
      <c r="G389" s="15" t="n">
        <f aca="false">Motore_Operativo!BH389</f>
        <v>6050</v>
      </c>
      <c r="H389" s="15" t="n">
        <f aca="false">Motore_Operativo!AM389</f>
        <v>60500</v>
      </c>
      <c r="I389" s="15" t="n">
        <f aca="false">Motore_Operativo!CB389</f>
        <v>46259.8958333333</v>
      </c>
      <c r="J389" s="15" t="n">
        <f aca="false">Motore_Operativo!CD389</f>
        <v>14240.1041666667</v>
      </c>
      <c r="K389" s="15" t="n">
        <f aca="false">Motore_Operativo!CF389</f>
        <v>416.666666666667</v>
      </c>
      <c r="L389" s="15" t="n">
        <f aca="false">SUM(INDEX($K$365:$K$424,MAX(1,25-Parametri_v3!$C$59+1)):K389)/Parametri_v3!$C$59</f>
        <v>233.796296296296</v>
      </c>
      <c r="M389" s="15" t="n">
        <f aca="false">J389-L389</f>
        <v>14006.3078703704</v>
      </c>
      <c r="N389" s="15" t="n">
        <f aca="false">0</f>
        <v>0</v>
      </c>
      <c r="O389" s="15" t="n">
        <f aca="false">0</f>
        <v>0</v>
      </c>
      <c r="P389" s="15" t="n">
        <f aca="false">M389+N389-O389</f>
        <v>14006.3078703704</v>
      </c>
      <c r="Q389" s="15" t="n">
        <f aca="false">SUM(P389)+Parametri_v3!$C$56*1/12</f>
        <v>14006.3078703704</v>
      </c>
      <c r="R389" s="15" t="n">
        <f aca="false">Z388</f>
        <v>0</v>
      </c>
      <c r="S389" s="15" t="n">
        <f aca="false">AA388</f>
        <v>0</v>
      </c>
      <c r="T389" s="15" t="n">
        <f aca="false">MIN(R389,MAX(0,Q389))</f>
        <v>0</v>
      </c>
      <c r="U389" s="15" t="n">
        <f aca="false">MIN(S389,MAX(0,Q389-T389)*Parametri_v3!$C$42)</f>
        <v>0</v>
      </c>
      <c r="V389" s="15" t="n">
        <f aca="false">MAX(0,Q389-T389-U389)*Ipotesi!$C$92</f>
        <v>3361.51388888889</v>
      </c>
      <c r="W389" s="15" t="n">
        <f aca="false">MAX(0,SUM(M389)+Parametri_v3!$C$57*1/12)*Ipotesi!$C$93</f>
        <v>546.246006944445</v>
      </c>
      <c r="X389" s="15" t="n">
        <f aca="false">V389+W389-(0)</f>
        <v>3907.75989583333</v>
      </c>
      <c r="Y389" s="15" t="n">
        <f aca="false">P389-X389</f>
        <v>10098.547974537</v>
      </c>
      <c r="Z389" s="15" t="n">
        <f aca="false">R389-T389+IF(AND(Parametri_v3!$C$40=1,D389-YEAR(Parametri_v3!$C$50)&lt;Parametri_v3!$C$41),MAX(0,-Q389),0)</f>
        <v>0</v>
      </c>
      <c r="AA389" s="15" t="n">
        <f aca="false">S389-U389+IF(AND(Parametri_v3!$C$40=1,D389-YEAR(Parametri_v3!$C$50)&lt;Parametri_v3!$C$41),0,MAX(0,-Q389))</f>
        <v>0</v>
      </c>
      <c r="AB389" s="15" t="n">
        <f aca="false">F389*(1+Parametri_v3!$C$26)</f>
        <v>73810</v>
      </c>
      <c r="AC389" s="15" t="n">
        <f aca="false">(IF(25-(INT((Motore_Operativo!L389)/30))&lt;1,0,INDEX(Motore_Advisory!$AB$365:$AB$424,MAX(1,25-(INT((Motore_Operativo!L389)/30)))))*(1-(MOD((Motore_Operativo!L389),30)/30))+IF(25-(INT((Motore_Operativo!L389)/30))-1&lt;1,0,INDEX(Motore_Advisory!$AB$365:$AB$424,MAX(1,25-(INT((Motore_Operativo!L389)/30))-1)))*(MOD((Motore_Operativo!L389),30)/30))</f>
        <v>41457.0892018779</v>
      </c>
      <c r="AD389" s="15" t="n">
        <f aca="false">(AD388)+AB389-AC389</f>
        <v>156724.178403756</v>
      </c>
      <c r="AE389" s="15" t="n">
        <f aca="false">Motore_Operativo!BH389*(1+Parametri_v3!$C$26)</f>
        <v>7381</v>
      </c>
      <c r="AF389" s="15" t="n">
        <f aca="false">(IF(25-(INT((Parametri_v3!$C$29)/30))&lt;1,0,INDEX(Motore_Operativo!$BH$365:$BH$424,MAX(1,25-(INT((Parametri_v3!$C$29)/30)))))*(1-(MOD((Parametri_v3!$C$29),30)/30))+IF(25-(INT((Parametri_v3!$C$29)/30))-1&lt;1,0,INDEX(Motore_Operativo!$BH$365:$BH$424,MAX(1,25-(INT((Parametri_v3!$C$29)/30))-1)))*(MOD((Parametri_v3!$C$29),30)/30))*(1+Parametri_v3!$C$26)</f>
        <v>4145.70892018779</v>
      </c>
      <c r="AG389" s="15" t="n">
        <f aca="false">(AG388)+AE389-AF389</f>
        <v>7381</v>
      </c>
      <c r="AH389" s="15" t="n">
        <f aca="false">(Motore_Operativo!CK389)*(1+Parametri_v3!$C$28*Parametri_v3!$C$26)</f>
        <v>17395.98</v>
      </c>
      <c r="AI389" s="15" t="n">
        <f aca="false">(IF(25-(INT((Ipotesi!$C$91)/30))&lt;1,0,INDEX(Motore_Advisory!$AH$365:$AH$424,MAX(1,25-(INT((Ipotesi!$C$91)/30)))))*(1-(MOD((Ipotesi!$C$91),30)/30))+IF(25-(INT((Ipotesi!$C$91)/30))-1&lt;1,0,INDEX(Motore_Advisory!$AH$365:$AH$424,MAX(1,25-(INT((Ipotesi!$C$91)/30))-1)))*(MOD((Ipotesi!$C$91),30)/30))</f>
        <v>11198.1149295775</v>
      </c>
      <c r="AJ389" s="15" t="n">
        <f aca="false">(AJ388)+AH389-AI389</f>
        <v>28594.0949295775</v>
      </c>
      <c r="AK389" s="15" t="n">
        <f aca="false">(F389- Motore_Operativo!BH389-(Motore_Operativo!CK389)*Parametri_v3!$C$28-Motore_Operativo!CF389)*Parametri_v3!$C$26</f>
        <v>9283.85333333333</v>
      </c>
      <c r="AL389" s="15" t="n">
        <f aca="false">MAX(0,(AM388))</f>
        <v>4960.70666666667</v>
      </c>
      <c r="AM389" s="15" t="n">
        <f aca="false">(AM388)+AK389-AL389</f>
        <v>9283.85333333333</v>
      </c>
      <c r="AN389" s="15" t="n">
        <f aca="false">SUM(X377:X388)</f>
        <v>16530.1714788732</v>
      </c>
      <c r="AO389" s="15" t="n">
        <f aca="false">SUM(AP377:AP388)</f>
        <v>13562.3123684211</v>
      </c>
      <c r="AP389" s="15" t="n">
        <f aca="false">MAX(0,AN389)*IF(1=Parametri_v3!$C$43,Parametri_v3!$C$45,IF(1=Parametri_v3!$C$44,1-Parametri_v3!$C$45,0))</f>
        <v>0</v>
      </c>
      <c r="AQ389" s="15" t="n">
        <f aca="false">MAX(0,AP389+IF(1=Parametri_v3!$C$43,MAX(0,AN389-AO389),0)-MAX(0,-(AR388)))</f>
        <v>0</v>
      </c>
      <c r="AR389" s="15" t="n">
        <f aca="false">(AR388)+X389-AQ389</f>
        <v>6875.61900628552</v>
      </c>
      <c r="AS389" s="15" t="n">
        <f aca="false">Motore_Operativo!AC389-AT389+AU389</f>
        <v>24146.5260416667</v>
      </c>
      <c r="AT389" s="15" t="n">
        <f aca="false">Motore_Operativo!CI389</f>
        <v>1270.86979166667</v>
      </c>
      <c r="AU389" s="15" t="n">
        <f aca="false">MIN(MAX(0,(AV388)+AT389),Parametri_v3!$C$61/12)</f>
        <v>0</v>
      </c>
      <c r="AV389" s="15" t="n">
        <f aca="false">(AV388)+AT389-AU389</f>
        <v>13999.8697916667</v>
      </c>
      <c r="AW389" s="15" t="n">
        <f aca="false">IF(AND(Motore_Operativo!C389=Finanziamenti!$D$7,Finanziamenti!$F$7=1),Finanziamenti!$C$7,0)</f>
        <v>0</v>
      </c>
      <c r="AX389" s="15" t="n">
        <f aca="false">0</f>
        <v>0</v>
      </c>
      <c r="AY389" s="15" t="n">
        <f aca="false">IF(1=Parametri_v3!$C$33,IF(BV389&lt;MIN(12,$B389-1),0,MIN(MAX(0,SUM(Y377:Y388))*Ipotesi!$C$94,MAX(0,(BM388)-(BO388)-BP389),MAX(0,BD389-Parametri_v3!$C$31))),0)</f>
        <v>0</v>
      </c>
      <c r="AZ389" s="15" t="n">
        <f aca="false">0</f>
        <v>0</v>
      </c>
      <c r="BA389" s="15" t="n">
        <f aca="false">0</f>
        <v>0</v>
      </c>
      <c r="BB389" s="15" t="n">
        <f aca="false">0</f>
        <v>0</v>
      </c>
      <c r="BC389" s="15" t="n">
        <f aca="false">0</f>
        <v>0</v>
      </c>
      <c r="BD389" s="15" t="n">
        <f aca="false">(BH388)+AC389-AF389-AI389-AS389-K389*(1+Parametri_v3!$C$26)-AL389-AQ389-O389+AW389+AX389+AZ389+BA389-BB389</f>
        <v>11536.2619024895</v>
      </c>
      <c r="BE389" s="15" t="n">
        <f aca="false">0</f>
        <v>0</v>
      </c>
      <c r="BF389" s="15" t="n">
        <f aca="false">0</f>
        <v>0</v>
      </c>
      <c r="BG389" s="15" t="n">
        <f aca="false">0</f>
        <v>0</v>
      </c>
      <c r="BH389" s="15" t="n">
        <f aca="false">BD389+BE389-BF389-AY389</f>
        <v>11536.2619024895</v>
      </c>
      <c r="BI389" s="15" t="n">
        <f aca="false">MAX(0,Parametri_v3!$C$31-BH389)</f>
        <v>0</v>
      </c>
      <c r="BJ389" s="15" t="n">
        <f aca="false">(BJ388)+K389</f>
        <v>8416.66666666667</v>
      </c>
      <c r="BK389" s="15" t="n">
        <f aca="false">(BK388)+L389</f>
        <v>2678.24074074074</v>
      </c>
      <c r="BL389" s="15" t="n">
        <f aca="false">BJ389-BK389</f>
        <v>5738.42592592593</v>
      </c>
      <c r="BM389" s="15" t="n">
        <f aca="false">(BM388)+Y389</f>
        <v>87864.4291713083</v>
      </c>
      <c r="BN389" s="15" t="n">
        <f aca="false">(BN388)+AW389+AX389+AZ389</f>
        <v>20000</v>
      </c>
      <c r="BO389" s="15" t="n">
        <f aca="false">(BO388)+AY389</f>
        <v>0</v>
      </c>
      <c r="BP389" s="15" t="n">
        <f aca="false">MIN(Parametri_v3!$C$36*Parametri_v3!$C$35,(BP388)+IF(1=1,MAX(0,SUM(Y377:Y388))*Parametri_v3!$C$34,0))</f>
        <v>2000</v>
      </c>
      <c r="BQ389" s="15" t="n">
        <f aca="false">BN389+BM389-BO389</f>
        <v>107864.429171308</v>
      </c>
      <c r="BR389" s="15" t="n">
        <f aca="false">BH389+AD389+BL389+MAX(0,-AM389)+MAX(0,-AR389)</f>
        <v>173998.866232171</v>
      </c>
      <c r="BS389" s="15" t="n">
        <f aca="false">AJ389+AV389+MAX(0,AM389)+MAX(0,AR389)+BC389+BG389+BQ389+AG389</f>
        <v>173998.866232171</v>
      </c>
      <c r="BT389" s="15" t="n">
        <f aca="false">BR389-BS389</f>
        <v>0</v>
      </c>
      <c r="BU389" s="15" t="n">
        <f aca="false">BH389-(BD389+BE389-BF389-AY389)</f>
        <v>0</v>
      </c>
      <c r="BV389" s="15" t="n">
        <f aca="false">IF(BH388&lt;Parametri_v3!$C$31,0,BV388+1)</f>
        <v>1</v>
      </c>
    </row>
    <row r="390" customFormat="false" ht="18" hidden="false" customHeight="true" outlineLevel="0" collapsed="false">
      <c r="A390" s="68" t="n">
        <f aca="false">7</f>
        <v>7</v>
      </c>
      <c r="B390" s="68" t="n">
        <f aca="false">26</f>
        <v>26</v>
      </c>
      <c r="C390" s="18" t="n">
        <f aca="false">Motore_Operativo!C390</f>
        <v>47150</v>
      </c>
      <c r="D390" s="68" t="n">
        <f aca="false">Motore_Operativo!D390</f>
        <v>2029</v>
      </c>
      <c r="E390" s="68" t="n">
        <f aca="false">Motore_Operativo!E390</f>
        <v>2</v>
      </c>
      <c r="F390" s="15" t="n">
        <f aca="false">Motore_Operativo!AM390</f>
        <v>60500</v>
      </c>
      <c r="G390" s="15" t="n">
        <f aca="false">Motore_Operativo!BH390</f>
        <v>6050</v>
      </c>
      <c r="H390" s="15" t="n">
        <f aca="false">Motore_Operativo!AM390</f>
        <v>60500</v>
      </c>
      <c r="I390" s="15" t="n">
        <f aca="false">Motore_Operativo!CB390</f>
        <v>46259.8958333333</v>
      </c>
      <c r="J390" s="15" t="n">
        <f aca="false">Motore_Operativo!CD390</f>
        <v>14240.1041666667</v>
      </c>
      <c r="K390" s="15" t="n">
        <f aca="false">Motore_Operativo!CF390</f>
        <v>416.666666666667</v>
      </c>
      <c r="L390" s="15" t="n">
        <f aca="false">SUM(INDEX($K$365:$K$424,MAX(1,26-Parametri_v3!$C$59+1)):K390)/Parametri_v3!$C$59</f>
        <v>245.37037037037</v>
      </c>
      <c r="M390" s="15" t="n">
        <f aca="false">J390-L390</f>
        <v>13994.7337962963</v>
      </c>
      <c r="N390" s="15" t="n">
        <f aca="false">0</f>
        <v>0</v>
      </c>
      <c r="O390" s="15" t="n">
        <f aca="false">0</f>
        <v>0</v>
      </c>
      <c r="P390" s="15" t="n">
        <f aca="false">M390+N390-O390</f>
        <v>13994.7337962963</v>
      </c>
      <c r="Q390" s="15" t="n">
        <f aca="false">SUM(P389:P390)+Parametri_v3!$C$56*2/12</f>
        <v>28001.0416666667</v>
      </c>
      <c r="R390" s="15" t="n">
        <f aca="false">Z388</f>
        <v>0</v>
      </c>
      <c r="S390" s="15" t="n">
        <f aca="false">AA388</f>
        <v>0</v>
      </c>
      <c r="T390" s="15" t="n">
        <f aca="false">MIN(R390,MAX(0,Q390))</f>
        <v>0</v>
      </c>
      <c r="U390" s="15" t="n">
        <f aca="false">MIN(S390,MAX(0,Q390-T390)*Parametri_v3!$C$42)</f>
        <v>0</v>
      </c>
      <c r="V390" s="15" t="n">
        <f aca="false">MAX(0,Q390-T390-U390)*Ipotesi!$C$92</f>
        <v>6720.25</v>
      </c>
      <c r="W390" s="15" t="n">
        <f aca="false">MAX(0,SUM(M389:M390)+Parametri_v3!$C$57*2/12)*Ipotesi!$C$93</f>
        <v>1092.040625</v>
      </c>
      <c r="X390" s="15" t="n">
        <f aca="false">V390+W390-(V389+W389)</f>
        <v>3904.53072916667</v>
      </c>
      <c r="Y390" s="15" t="n">
        <f aca="false">P390-X390</f>
        <v>10090.2030671296</v>
      </c>
      <c r="Z390" s="15" t="n">
        <f aca="false">R390-T390+IF(AND(Parametri_v3!$C$40=1,D390-YEAR(Parametri_v3!$C$50)&lt;Parametri_v3!$C$41),MAX(0,-Q390),0)</f>
        <v>0</v>
      </c>
      <c r="AA390" s="15" t="n">
        <f aca="false">S390-U390+IF(AND(Parametri_v3!$C$40=1,D390-YEAR(Parametri_v3!$C$50)&lt;Parametri_v3!$C$41),0,MAX(0,-Q390))</f>
        <v>0</v>
      </c>
      <c r="AB390" s="15" t="n">
        <f aca="false">F390*(1+Parametri_v3!$C$26)</f>
        <v>73810</v>
      </c>
      <c r="AC390" s="15" t="n">
        <f aca="false">(IF(26-(INT((Motore_Operativo!L390)/30))&lt;1,0,INDEX(Motore_Advisory!$AB$365:$AB$424,MAX(1,26-(INT((Motore_Operativo!L390)/30)))))*(1-(MOD((Motore_Operativo!L390),30)/30))+IF(26-(INT((Motore_Operativo!L390)/30))-1&lt;1,0,INDEX(Motore_Advisory!$AB$365:$AB$424,MAX(1,26-(INT((Motore_Operativo!L390)/30))-1)))*(MOD((Motore_Operativo!L390),30)/30))</f>
        <v>41457.0892018779</v>
      </c>
      <c r="AD390" s="15" t="n">
        <f aca="false">(AD389)+AB390-AC390</f>
        <v>189077.089201878</v>
      </c>
      <c r="AE390" s="15" t="n">
        <f aca="false">Motore_Operativo!BH390*(1+Parametri_v3!$C$26)</f>
        <v>7381</v>
      </c>
      <c r="AF390" s="15" t="n">
        <f aca="false">(IF(26-(INT((Parametri_v3!$C$29)/30))&lt;1,0,INDEX(Motore_Operativo!$BH$365:$BH$424,MAX(1,26-(INT((Parametri_v3!$C$29)/30)))))*(1-(MOD((Parametri_v3!$C$29),30)/30))+IF(26-(INT((Parametri_v3!$C$29)/30))-1&lt;1,0,INDEX(Motore_Operativo!$BH$365:$BH$424,MAX(1,26-(INT((Parametri_v3!$C$29)/30))-1)))*(MOD((Parametri_v3!$C$29),30)/30))*(1+Parametri_v3!$C$26)</f>
        <v>7381</v>
      </c>
      <c r="AG390" s="15" t="n">
        <f aca="false">(AG389)+AE390-AF390</f>
        <v>7381</v>
      </c>
      <c r="AH390" s="15" t="n">
        <f aca="false">(Motore_Operativo!CK390)*(1+Parametri_v3!$C$28*Parametri_v3!$C$26)</f>
        <v>17395.98</v>
      </c>
      <c r="AI390" s="15" t="n">
        <f aca="false">(IF(26-(INT((Ipotesi!$C$91)/30))&lt;1,0,INDEX(Motore_Advisory!$AH$365:$AH$424,MAX(1,26-(INT((Ipotesi!$C$91)/30)))))*(1-(MOD((Ipotesi!$C$91),30)/30))+IF(26-(INT((Ipotesi!$C$91)/30))-1&lt;1,0,INDEX(Motore_Advisory!$AH$365:$AH$424,MAX(1,26-(INT((Ipotesi!$C$91)/30))-1)))*(MOD((Ipotesi!$C$91),30)/30))</f>
        <v>11198.1149295775</v>
      </c>
      <c r="AJ390" s="15" t="n">
        <f aca="false">(AJ389)+AH390-AI390</f>
        <v>34791.96</v>
      </c>
      <c r="AK390" s="15" t="n">
        <f aca="false">(F390- Motore_Operativo!BH390-(Motore_Operativo!CK390)*Parametri_v3!$C$28-Motore_Operativo!CF390)*Parametri_v3!$C$26</f>
        <v>9283.85333333333</v>
      </c>
      <c r="AL390" s="15" t="n">
        <f aca="false">MAX(0,(AM389))</f>
        <v>9283.85333333333</v>
      </c>
      <c r="AM390" s="15" t="n">
        <f aca="false">(AM389)+AK390-AL390</f>
        <v>9283.85333333333</v>
      </c>
      <c r="AN390" s="15" t="n">
        <f aca="false">SUM(X377:X388)</f>
        <v>16530.1714788732</v>
      </c>
      <c r="AO390" s="15" t="n">
        <f aca="false">SUM(AP377:AP388)</f>
        <v>13562.3123684211</v>
      </c>
      <c r="AP390" s="15" t="n">
        <f aca="false">MAX(0,AN390)*IF(2=Parametri_v3!$C$43,Parametri_v3!$C$45,IF(2=Parametri_v3!$C$44,1-Parametri_v3!$C$45,0))</f>
        <v>0</v>
      </c>
      <c r="AQ390" s="15" t="n">
        <f aca="false">MAX(0,AP390+IF(2=Parametri_v3!$C$43,MAX(0,AN390-AO390),0)-MAX(0,-(AR389)))</f>
        <v>0</v>
      </c>
      <c r="AR390" s="15" t="n">
        <f aca="false">(AR389)+X390-AQ390</f>
        <v>10780.1497354522</v>
      </c>
      <c r="AS390" s="15" t="n">
        <f aca="false">Motore_Operativo!AC390-AT390+AU390</f>
        <v>24146.5260416667</v>
      </c>
      <c r="AT390" s="15" t="n">
        <f aca="false">Motore_Operativo!CI390</f>
        <v>1270.86979166667</v>
      </c>
      <c r="AU390" s="15" t="n">
        <f aca="false">MIN(MAX(0,(AV389)+AT390),Parametri_v3!$C$61/12)</f>
        <v>0</v>
      </c>
      <c r="AV390" s="15" t="n">
        <f aca="false">(AV389)+AT390-AU390</f>
        <v>15270.7395833333</v>
      </c>
      <c r="AW390" s="15" t="n">
        <f aca="false">IF(AND(Motore_Operativo!C390=Finanziamenti!$D$7,Finanziamenti!$F$7=1),Finanziamenti!$C$7,0)</f>
        <v>0</v>
      </c>
      <c r="AX390" s="15" t="n">
        <f aca="false">0</f>
        <v>0</v>
      </c>
      <c r="AY390" s="15" t="n">
        <f aca="false">IF(2=Parametri_v3!$C$33,IF(BV390&lt;MIN(12,$B390-1),0,MIN(MAX(0,SUM(Y377:Y388))*Ipotesi!$C$94,MAX(0,(BM388)-(BO389)-BP390),MAX(0,BD390-Parametri_v3!$C$31))),0)</f>
        <v>0</v>
      </c>
      <c r="AZ390" s="15" t="n">
        <f aca="false">0</f>
        <v>0</v>
      </c>
      <c r="BA390" s="15" t="n">
        <f aca="false">0</f>
        <v>0</v>
      </c>
      <c r="BB390" s="15" t="n">
        <f aca="false">0</f>
        <v>0</v>
      </c>
      <c r="BC390" s="15" t="n">
        <f aca="false">0</f>
        <v>0</v>
      </c>
      <c r="BD390" s="15" t="n">
        <f aca="false">(BH389)+AC390-AF390-AI390-AS390-K390*(1+Parametri_v3!$C$26)-AL390-AQ390-O390+AW390+AX390+AZ390+BA390-BB390</f>
        <v>475.523466456609</v>
      </c>
      <c r="BE390" s="15" t="n">
        <f aca="false">0</f>
        <v>0</v>
      </c>
      <c r="BF390" s="15" t="n">
        <f aca="false">0</f>
        <v>0</v>
      </c>
      <c r="BG390" s="15" t="n">
        <f aca="false">0</f>
        <v>0</v>
      </c>
      <c r="BH390" s="15" t="n">
        <f aca="false">BD390+BE390-BF390-AY390</f>
        <v>475.523466456609</v>
      </c>
      <c r="BI390" s="15" t="n">
        <f aca="false">MAX(0,Parametri_v3!$C$31-BH390)</f>
        <v>9524.47653354339</v>
      </c>
      <c r="BJ390" s="15" t="n">
        <f aca="false">(BJ389)+K390</f>
        <v>8833.33333333334</v>
      </c>
      <c r="BK390" s="15" t="n">
        <f aca="false">(BK389)+L390</f>
        <v>2923.61111111111</v>
      </c>
      <c r="BL390" s="15" t="n">
        <f aca="false">BJ390-BK390</f>
        <v>5909.72222222222</v>
      </c>
      <c r="BM390" s="15" t="n">
        <f aca="false">(BM389)+Y390</f>
        <v>97954.6322384379</v>
      </c>
      <c r="BN390" s="15" t="n">
        <f aca="false">(BN389)+AW390+AX390+AZ390</f>
        <v>20000</v>
      </c>
      <c r="BO390" s="15" t="n">
        <f aca="false">(BO389)+AY390</f>
        <v>0</v>
      </c>
      <c r="BP390" s="15" t="n">
        <f aca="false">MIN(Parametri_v3!$C$36*Parametri_v3!$C$35,(BP389)+IF(2=1,MAX(0,SUM(Y377:Y388))*Parametri_v3!$C$34,0))</f>
        <v>2000</v>
      </c>
      <c r="BQ390" s="15" t="n">
        <f aca="false">BN390+BM390-BO390</f>
        <v>117954.632238438</v>
      </c>
      <c r="BR390" s="15" t="n">
        <f aca="false">BH390+AD390+BL390+MAX(0,-AM390)+MAX(0,-AR390)</f>
        <v>195462.334890557</v>
      </c>
      <c r="BS390" s="15" t="n">
        <f aca="false">AJ390+AV390+MAX(0,AM390)+MAX(0,AR390)+BC390+BG390+BQ390+AG390</f>
        <v>195462.334890557</v>
      </c>
      <c r="BT390" s="15" t="n">
        <f aca="false">BR390-BS390</f>
        <v>0</v>
      </c>
      <c r="BU390" s="15" t="n">
        <f aca="false">BH390-(BD390+BE390-BF390-AY390)</f>
        <v>0</v>
      </c>
      <c r="BV390" s="15" t="n">
        <f aca="false">IF(BH389&lt;Parametri_v3!$C$31,0,BV389+1)</f>
        <v>2</v>
      </c>
    </row>
    <row r="391" customFormat="false" ht="18" hidden="false" customHeight="true" outlineLevel="0" collapsed="false">
      <c r="A391" s="68" t="n">
        <f aca="false">7</f>
        <v>7</v>
      </c>
      <c r="B391" s="68" t="n">
        <f aca="false">27</f>
        <v>27</v>
      </c>
      <c r="C391" s="18" t="n">
        <f aca="false">Motore_Operativo!C391</f>
        <v>47178</v>
      </c>
      <c r="D391" s="68" t="n">
        <f aca="false">Motore_Operativo!D391</f>
        <v>2029</v>
      </c>
      <c r="E391" s="68" t="n">
        <f aca="false">Motore_Operativo!E391</f>
        <v>3</v>
      </c>
      <c r="F391" s="15" t="n">
        <f aca="false">Motore_Operativo!AM391</f>
        <v>60500</v>
      </c>
      <c r="G391" s="15" t="n">
        <f aca="false">Motore_Operativo!BH391</f>
        <v>6050</v>
      </c>
      <c r="H391" s="15" t="n">
        <f aca="false">Motore_Operativo!AM391</f>
        <v>60500</v>
      </c>
      <c r="I391" s="15" t="n">
        <f aca="false">Motore_Operativo!CB391</f>
        <v>46259.8958333333</v>
      </c>
      <c r="J391" s="15" t="n">
        <f aca="false">Motore_Operativo!CD391</f>
        <v>14240.1041666667</v>
      </c>
      <c r="K391" s="15" t="n">
        <f aca="false">Motore_Operativo!CF391</f>
        <v>416.666666666667</v>
      </c>
      <c r="L391" s="15" t="n">
        <f aca="false">SUM(INDEX($K$365:$K$424,MAX(1,27-Parametri_v3!$C$59+1)):K391)/Parametri_v3!$C$59</f>
        <v>256.944444444444</v>
      </c>
      <c r="M391" s="15" t="n">
        <f aca="false">J391-L391</f>
        <v>13983.1597222222</v>
      </c>
      <c r="N391" s="15" t="n">
        <f aca="false">0</f>
        <v>0</v>
      </c>
      <c r="O391" s="15" t="n">
        <f aca="false">0</f>
        <v>0</v>
      </c>
      <c r="P391" s="15" t="n">
        <f aca="false">M391+N391-O391</f>
        <v>13983.1597222222</v>
      </c>
      <c r="Q391" s="15" t="n">
        <f aca="false">SUM(P389:P391)+Parametri_v3!$C$56*3/12</f>
        <v>41984.2013888889</v>
      </c>
      <c r="R391" s="15" t="n">
        <f aca="false">Z388</f>
        <v>0</v>
      </c>
      <c r="S391" s="15" t="n">
        <f aca="false">AA388</f>
        <v>0</v>
      </c>
      <c r="T391" s="15" t="n">
        <f aca="false">MIN(R391,MAX(0,Q391))</f>
        <v>0</v>
      </c>
      <c r="U391" s="15" t="n">
        <f aca="false">MIN(S391,MAX(0,Q391-T391)*Parametri_v3!$C$42)</f>
        <v>0</v>
      </c>
      <c r="V391" s="15" t="n">
        <f aca="false">MAX(0,Q391-T391-U391)*Ipotesi!$C$92</f>
        <v>10076.2083333333</v>
      </c>
      <c r="W391" s="15" t="n">
        <f aca="false">MAX(0,SUM(M389:M391)+Parametri_v3!$C$57*3/12)*Ipotesi!$C$93</f>
        <v>1637.38385416667</v>
      </c>
      <c r="X391" s="15" t="n">
        <f aca="false">V391+W391-(V390+W390)</f>
        <v>3901.3015625</v>
      </c>
      <c r="Y391" s="15" t="n">
        <f aca="false">P391-X391</f>
        <v>10081.8581597222</v>
      </c>
      <c r="Z391" s="15" t="n">
        <f aca="false">R391-T391+IF(AND(Parametri_v3!$C$40=1,D391-YEAR(Parametri_v3!$C$50)&lt;Parametri_v3!$C$41),MAX(0,-Q391),0)</f>
        <v>0</v>
      </c>
      <c r="AA391" s="15" t="n">
        <f aca="false">S391-U391+IF(AND(Parametri_v3!$C$40=1,D391-YEAR(Parametri_v3!$C$50)&lt;Parametri_v3!$C$41),0,MAX(0,-Q391))</f>
        <v>0</v>
      </c>
      <c r="AB391" s="15" t="n">
        <f aca="false">F391*(1+Parametri_v3!$C$26)</f>
        <v>73810</v>
      </c>
      <c r="AC391" s="15" t="n">
        <f aca="false">(IF(27-(INT((Motore_Operativo!L391)/30))&lt;1,0,INDEX(Motore_Advisory!$AB$365:$AB$424,MAX(1,27-(INT((Motore_Operativo!L391)/30)))))*(1-(MOD((Motore_Operativo!L391),30)/30))+IF(27-(INT((Motore_Operativo!L391)/30))-1&lt;1,0,INDEX(Motore_Advisory!$AB$365:$AB$424,MAX(1,27-(INT((Motore_Operativo!L391)/30))-1)))*(MOD((Motore_Operativo!L391),30)/30))</f>
        <v>41457.0892018779</v>
      </c>
      <c r="AD391" s="15" t="n">
        <f aca="false">(AD390)+AB391-AC391</f>
        <v>221430</v>
      </c>
      <c r="AE391" s="15" t="n">
        <f aca="false">Motore_Operativo!BH391*(1+Parametri_v3!$C$26)</f>
        <v>7381</v>
      </c>
      <c r="AF391" s="15" t="n">
        <f aca="false">(IF(27-(INT((Parametri_v3!$C$29)/30))&lt;1,0,INDEX(Motore_Operativo!$BH$365:$BH$424,MAX(1,27-(INT((Parametri_v3!$C$29)/30)))))*(1-(MOD((Parametri_v3!$C$29),30)/30))+IF(27-(INT((Parametri_v3!$C$29)/30))-1&lt;1,0,INDEX(Motore_Operativo!$BH$365:$BH$424,MAX(1,27-(INT((Parametri_v3!$C$29)/30))-1)))*(MOD((Parametri_v3!$C$29),30)/30))*(1+Parametri_v3!$C$26)</f>
        <v>7381</v>
      </c>
      <c r="AG391" s="15" t="n">
        <f aca="false">(AG390)+AE391-AF391</f>
        <v>7381</v>
      </c>
      <c r="AH391" s="15" t="n">
        <f aca="false">(Motore_Operativo!CK391)*(1+Parametri_v3!$C$28*Parametri_v3!$C$26)</f>
        <v>17395.98</v>
      </c>
      <c r="AI391" s="15" t="n">
        <f aca="false">(IF(27-(INT((Ipotesi!$C$91)/30))&lt;1,0,INDEX(Motore_Advisory!$AH$365:$AH$424,MAX(1,27-(INT((Ipotesi!$C$91)/30)))))*(1-(MOD((Ipotesi!$C$91),30)/30))+IF(27-(INT((Ipotesi!$C$91)/30))-1&lt;1,0,INDEX(Motore_Advisory!$AH$365:$AH$424,MAX(1,27-(INT((Ipotesi!$C$91)/30))-1)))*(MOD((Ipotesi!$C$91),30)/30))</f>
        <v>17395.98</v>
      </c>
      <c r="AJ391" s="15" t="n">
        <f aca="false">(AJ390)+AH391-AI391</f>
        <v>34791.96</v>
      </c>
      <c r="AK391" s="15" t="n">
        <f aca="false">(F391- Motore_Operativo!BH391-(Motore_Operativo!CK391)*Parametri_v3!$C$28-Motore_Operativo!CF391)*Parametri_v3!$C$26</f>
        <v>9283.85333333333</v>
      </c>
      <c r="AL391" s="15" t="n">
        <f aca="false">MAX(0,(AM390))</f>
        <v>9283.85333333333</v>
      </c>
      <c r="AM391" s="15" t="n">
        <f aca="false">(AM390)+AK391-AL391</f>
        <v>9283.85333333333</v>
      </c>
      <c r="AN391" s="15" t="n">
        <f aca="false">SUM(X377:X388)</f>
        <v>16530.1714788732</v>
      </c>
      <c r="AO391" s="15" t="n">
        <f aca="false">SUM(AP377:AP388)</f>
        <v>13562.3123684211</v>
      </c>
      <c r="AP391" s="15" t="n">
        <f aca="false">MAX(0,AN391)*IF(3=Parametri_v3!$C$43,Parametri_v3!$C$45,IF(3=Parametri_v3!$C$44,1-Parametri_v3!$C$45,0))</f>
        <v>0</v>
      </c>
      <c r="AQ391" s="15" t="n">
        <f aca="false">MAX(0,AP391+IF(3=Parametri_v3!$C$43,MAX(0,AN391-AO391),0)-MAX(0,-(AR390)))</f>
        <v>0</v>
      </c>
      <c r="AR391" s="15" t="n">
        <f aca="false">(AR390)+X391-AQ391</f>
        <v>14681.4512979522</v>
      </c>
      <c r="AS391" s="15" t="n">
        <f aca="false">Motore_Operativo!AC391-AT391+AU391</f>
        <v>24146.5260416667</v>
      </c>
      <c r="AT391" s="15" t="n">
        <f aca="false">Motore_Operativo!CI391</f>
        <v>1270.86979166667</v>
      </c>
      <c r="AU391" s="15" t="n">
        <f aca="false">MIN(MAX(0,(AV390)+AT391),Parametri_v3!$C$61/12)</f>
        <v>0</v>
      </c>
      <c r="AV391" s="15" t="n">
        <f aca="false">(AV390)+AT391-AU391</f>
        <v>16541.609375</v>
      </c>
      <c r="AW391" s="15" t="n">
        <f aca="false">IF(AND(Motore_Operativo!C391=Finanziamenti!$D$7,Finanziamenti!$F$7=1),Finanziamenti!$C$7,0)</f>
        <v>0</v>
      </c>
      <c r="AX391" s="15" t="n">
        <f aca="false">0</f>
        <v>0</v>
      </c>
      <c r="AY391" s="15" t="n">
        <f aca="false">IF(3=Parametri_v3!$C$33,IF(BV391&lt;MIN(12,$B391-1),0,MIN(MAX(0,SUM(Y377:Y388))*Ipotesi!$C$94,MAX(0,(BM388)-(BO390)-BP391),MAX(0,BD391-Parametri_v3!$C$31))),0)</f>
        <v>0</v>
      </c>
      <c r="AZ391" s="15" t="n">
        <f aca="false">0</f>
        <v>0</v>
      </c>
      <c r="BA391" s="15" t="n">
        <f aca="false">0</f>
        <v>0</v>
      </c>
      <c r="BB391" s="15" t="n">
        <f aca="false">0</f>
        <v>0</v>
      </c>
      <c r="BC391" s="15" t="n">
        <f aca="false">0</f>
        <v>0</v>
      </c>
      <c r="BD391" s="15" t="n">
        <f aca="false">(BH390)+AC391-AF391-AI391-AS391-K391*(1+Parametri_v3!$C$26)-AL391-AQ391-O391+AW391+AX391+AZ391+BA391-BB391</f>
        <v>-16783.0800399988</v>
      </c>
      <c r="BE391" s="15" t="n">
        <f aca="false">0</f>
        <v>0</v>
      </c>
      <c r="BF391" s="15" t="n">
        <f aca="false">0</f>
        <v>0</v>
      </c>
      <c r="BG391" s="15" t="n">
        <f aca="false">0</f>
        <v>0</v>
      </c>
      <c r="BH391" s="15" t="n">
        <f aca="false">BD391+BE391-BF391-AY391</f>
        <v>-16783.0800399988</v>
      </c>
      <c r="BI391" s="15" t="n">
        <f aca="false">MAX(0,Parametri_v3!$C$31-BH391)</f>
        <v>26783.0800399988</v>
      </c>
      <c r="BJ391" s="15" t="n">
        <f aca="false">(BJ390)+K391</f>
        <v>9250</v>
      </c>
      <c r="BK391" s="15" t="n">
        <f aca="false">(BK390)+L391</f>
        <v>3180.55555555556</v>
      </c>
      <c r="BL391" s="15" t="n">
        <f aca="false">BJ391-BK391</f>
        <v>6069.44444444445</v>
      </c>
      <c r="BM391" s="15" t="n">
        <f aca="false">(BM390)+Y391</f>
        <v>108036.49039816</v>
      </c>
      <c r="BN391" s="15" t="n">
        <f aca="false">(BN390)+AW391+AX391+AZ391</f>
        <v>20000</v>
      </c>
      <c r="BO391" s="15" t="n">
        <f aca="false">(BO390)+AY391</f>
        <v>0</v>
      </c>
      <c r="BP391" s="15" t="n">
        <f aca="false">MIN(Parametri_v3!$C$36*Parametri_v3!$C$35,(BP390)+IF(3=1,MAX(0,SUM(Y377:Y388))*Parametri_v3!$C$34,0))</f>
        <v>2000</v>
      </c>
      <c r="BQ391" s="15" t="n">
        <f aca="false">BN391+BM391-BO391</f>
        <v>128036.49039816</v>
      </c>
      <c r="BR391" s="15" t="n">
        <f aca="false">BH391+AD391+BL391+MAX(0,-AM391)+MAX(0,-AR391)</f>
        <v>210716.364404446</v>
      </c>
      <c r="BS391" s="15" t="n">
        <f aca="false">AJ391+AV391+MAX(0,AM391)+MAX(0,AR391)+BC391+BG391+BQ391+AG391</f>
        <v>210716.364404446</v>
      </c>
      <c r="BT391" s="15" t="n">
        <f aca="false">BR391-BS391</f>
        <v>0</v>
      </c>
      <c r="BU391" s="15" t="n">
        <f aca="false">BH391-(BD391+BE391-BF391-AY391)</f>
        <v>0</v>
      </c>
      <c r="BV391" s="15" t="n">
        <f aca="false">IF(BH390&lt;Parametri_v3!$C$31,0,BV390+1)</f>
        <v>0</v>
      </c>
    </row>
    <row r="392" customFormat="false" ht="18" hidden="false" customHeight="true" outlineLevel="0" collapsed="false">
      <c r="A392" s="68" t="n">
        <f aca="false">7</f>
        <v>7</v>
      </c>
      <c r="B392" s="68" t="n">
        <f aca="false">28</f>
        <v>28</v>
      </c>
      <c r="C392" s="18" t="n">
        <f aca="false">Motore_Operativo!C392</f>
        <v>47209</v>
      </c>
      <c r="D392" s="68" t="n">
        <f aca="false">Motore_Operativo!D392</f>
        <v>2029</v>
      </c>
      <c r="E392" s="68" t="n">
        <f aca="false">Motore_Operativo!E392</f>
        <v>4</v>
      </c>
      <c r="F392" s="15" t="n">
        <f aca="false">Motore_Operativo!AM392</f>
        <v>60500</v>
      </c>
      <c r="G392" s="15" t="n">
        <f aca="false">Motore_Operativo!BH392</f>
        <v>6050</v>
      </c>
      <c r="H392" s="15" t="n">
        <f aca="false">Motore_Operativo!AM392</f>
        <v>60500</v>
      </c>
      <c r="I392" s="15" t="n">
        <f aca="false">Motore_Operativo!CB392</f>
        <v>46259.8958333333</v>
      </c>
      <c r="J392" s="15" t="n">
        <f aca="false">Motore_Operativo!CD392</f>
        <v>14240.1041666667</v>
      </c>
      <c r="K392" s="15" t="n">
        <f aca="false">Motore_Operativo!CF392</f>
        <v>416.666666666667</v>
      </c>
      <c r="L392" s="15" t="n">
        <f aca="false">SUM(INDEX($K$365:$K$424,MAX(1,28-Parametri_v3!$C$59+1)):K392)/Parametri_v3!$C$59</f>
        <v>268.518518518519</v>
      </c>
      <c r="M392" s="15" t="n">
        <f aca="false">J392-L392</f>
        <v>13971.5856481482</v>
      </c>
      <c r="N392" s="15" t="n">
        <f aca="false">0</f>
        <v>0</v>
      </c>
      <c r="O392" s="15" t="n">
        <f aca="false">0</f>
        <v>0</v>
      </c>
      <c r="P392" s="15" t="n">
        <f aca="false">M392+N392-O392</f>
        <v>13971.5856481482</v>
      </c>
      <c r="Q392" s="15" t="n">
        <f aca="false">SUM(P389:P392)+Parametri_v3!$C$56*4/12</f>
        <v>55955.7870370371</v>
      </c>
      <c r="R392" s="15" t="n">
        <f aca="false">Z388</f>
        <v>0</v>
      </c>
      <c r="S392" s="15" t="n">
        <f aca="false">AA388</f>
        <v>0</v>
      </c>
      <c r="T392" s="15" t="n">
        <f aca="false">MIN(R392,MAX(0,Q392))</f>
        <v>0</v>
      </c>
      <c r="U392" s="15" t="n">
        <f aca="false">MIN(S392,MAX(0,Q392-T392)*Parametri_v3!$C$42)</f>
        <v>0</v>
      </c>
      <c r="V392" s="15" t="n">
        <f aca="false">MAX(0,Q392-T392-U392)*Ipotesi!$C$92</f>
        <v>13429.3888888889</v>
      </c>
      <c r="W392" s="15" t="n">
        <f aca="false">MAX(0,SUM(M389:M392)+Parametri_v3!$C$57*4/12)*Ipotesi!$C$93</f>
        <v>2182.27569444445</v>
      </c>
      <c r="X392" s="15" t="n">
        <f aca="false">V392+W392-(V391+W391)</f>
        <v>3898.07239583333</v>
      </c>
      <c r="Y392" s="15" t="n">
        <f aca="false">P392-X392</f>
        <v>10073.5132523148</v>
      </c>
      <c r="Z392" s="15" t="n">
        <f aca="false">R392-T392+IF(AND(Parametri_v3!$C$40=1,D392-YEAR(Parametri_v3!$C$50)&lt;Parametri_v3!$C$41),MAX(0,-Q392),0)</f>
        <v>0</v>
      </c>
      <c r="AA392" s="15" t="n">
        <f aca="false">S392-U392+IF(AND(Parametri_v3!$C$40=1,D392-YEAR(Parametri_v3!$C$50)&lt;Parametri_v3!$C$41),0,MAX(0,-Q392))</f>
        <v>0</v>
      </c>
      <c r="AB392" s="15" t="n">
        <f aca="false">F392*(1+Parametri_v3!$C$26)</f>
        <v>73810</v>
      </c>
      <c r="AC392" s="15" t="n">
        <f aca="false">(IF(28-(INT((Motore_Operativo!L392)/30))&lt;1,0,INDEX(Motore_Advisory!$AB$365:$AB$424,MAX(1,28-(INT((Motore_Operativo!L392)/30)))))*(1-(MOD((Motore_Operativo!L392),30)/30))+IF(28-(INT((Motore_Operativo!L392)/30))-1&lt;1,0,INDEX(Motore_Advisory!$AB$365:$AB$424,MAX(1,28-(INT((Motore_Operativo!L392)/30))-1)))*(MOD((Motore_Operativo!L392),30)/30))</f>
        <v>73810</v>
      </c>
      <c r="AD392" s="15" t="n">
        <f aca="false">(AD391)+AB392-AC392</f>
        <v>221430</v>
      </c>
      <c r="AE392" s="15" t="n">
        <f aca="false">Motore_Operativo!BH392*(1+Parametri_v3!$C$26)</f>
        <v>7381</v>
      </c>
      <c r="AF392" s="15" t="n">
        <f aca="false">(IF(28-(INT((Parametri_v3!$C$29)/30))&lt;1,0,INDEX(Motore_Operativo!$BH$365:$BH$424,MAX(1,28-(INT((Parametri_v3!$C$29)/30)))))*(1-(MOD((Parametri_v3!$C$29),30)/30))+IF(28-(INT((Parametri_v3!$C$29)/30))-1&lt;1,0,INDEX(Motore_Operativo!$BH$365:$BH$424,MAX(1,28-(INT((Parametri_v3!$C$29)/30))-1)))*(MOD((Parametri_v3!$C$29),30)/30))*(1+Parametri_v3!$C$26)</f>
        <v>7381</v>
      </c>
      <c r="AG392" s="15" t="n">
        <f aca="false">(AG391)+AE392-AF392</f>
        <v>7381</v>
      </c>
      <c r="AH392" s="15" t="n">
        <f aca="false">(Motore_Operativo!CK392)*(1+Parametri_v3!$C$28*Parametri_v3!$C$26)</f>
        <v>17395.98</v>
      </c>
      <c r="AI392" s="15" t="n">
        <f aca="false">(IF(28-(INT((Ipotesi!$C$91)/30))&lt;1,0,INDEX(Motore_Advisory!$AH$365:$AH$424,MAX(1,28-(INT((Ipotesi!$C$91)/30)))))*(1-(MOD((Ipotesi!$C$91),30)/30))+IF(28-(INT((Ipotesi!$C$91)/30))-1&lt;1,0,INDEX(Motore_Advisory!$AH$365:$AH$424,MAX(1,28-(INT((Ipotesi!$C$91)/30))-1)))*(MOD((Ipotesi!$C$91),30)/30))</f>
        <v>17395.98</v>
      </c>
      <c r="AJ392" s="15" t="n">
        <f aca="false">(AJ391)+AH392-AI392</f>
        <v>34791.96</v>
      </c>
      <c r="AK392" s="15" t="n">
        <f aca="false">(F392- Motore_Operativo!BH392-(Motore_Operativo!CK392)*Parametri_v3!$C$28-Motore_Operativo!CF392)*Parametri_v3!$C$26</f>
        <v>9283.85333333333</v>
      </c>
      <c r="AL392" s="15" t="n">
        <f aca="false">MAX(0,(AM391))</f>
        <v>9283.85333333333</v>
      </c>
      <c r="AM392" s="15" t="n">
        <f aca="false">(AM391)+AK392-AL392</f>
        <v>9283.85333333333</v>
      </c>
      <c r="AN392" s="15" t="n">
        <f aca="false">SUM(X377:X388)</f>
        <v>16530.1714788732</v>
      </c>
      <c r="AO392" s="15" t="n">
        <f aca="false">SUM(AP377:AP388)</f>
        <v>13562.3123684211</v>
      </c>
      <c r="AP392" s="15" t="n">
        <f aca="false">MAX(0,AN392)*IF(4=Parametri_v3!$C$43,Parametri_v3!$C$45,IF(4=Parametri_v3!$C$44,1-Parametri_v3!$C$45,0))</f>
        <v>0</v>
      </c>
      <c r="AQ392" s="15" t="n">
        <f aca="false">MAX(0,AP392+IF(4=Parametri_v3!$C$43,MAX(0,AN392-AO392),0)-MAX(0,-(AR391)))</f>
        <v>0</v>
      </c>
      <c r="AR392" s="15" t="n">
        <f aca="false">(AR391)+X392-AQ392</f>
        <v>18579.5236937855</v>
      </c>
      <c r="AS392" s="15" t="n">
        <f aca="false">Motore_Operativo!AC392-AT392+AU392</f>
        <v>24146.5260416667</v>
      </c>
      <c r="AT392" s="15" t="n">
        <f aca="false">Motore_Operativo!CI392</f>
        <v>1270.86979166667</v>
      </c>
      <c r="AU392" s="15" t="n">
        <f aca="false">MIN(MAX(0,(AV391)+AT392),Parametri_v3!$C$61/12)</f>
        <v>0</v>
      </c>
      <c r="AV392" s="15" t="n">
        <f aca="false">(AV391)+AT392-AU392</f>
        <v>17812.4791666667</v>
      </c>
      <c r="AW392" s="15" t="n">
        <f aca="false">IF(AND(Motore_Operativo!C392=Finanziamenti!$D$7,Finanziamenti!$F$7=1),Finanziamenti!$C$7,0)</f>
        <v>0</v>
      </c>
      <c r="AX392" s="15" t="n">
        <f aca="false">0</f>
        <v>0</v>
      </c>
      <c r="AY392" s="15" t="n">
        <f aca="false">IF(4=Parametri_v3!$C$33,IF(BV392&lt;MIN(12,$B392-1),0,MIN(MAX(0,SUM(Y377:Y388))*Ipotesi!$C$94,MAX(0,(BM388)-(BO391)-BP392),MAX(0,BD392-Parametri_v3!$C$31))),0)</f>
        <v>0</v>
      </c>
      <c r="AZ392" s="15" t="n">
        <f aca="false">0</f>
        <v>0</v>
      </c>
      <c r="BA392" s="15" t="n">
        <f aca="false">0</f>
        <v>0</v>
      </c>
      <c r="BB392" s="15" t="n">
        <f aca="false">0</f>
        <v>0</v>
      </c>
      <c r="BC392" s="15" t="n">
        <f aca="false">0</f>
        <v>0</v>
      </c>
      <c r="BD392" s="15" t="n">
        <f aca="false">(BH391)+AC392-AF392-AI392-AS392-K392*(1+Parametri_v3!$C$26)-AL392-AQ392-O392+AW392+AX392+AZ392+BA392-BB392</f>
        <v>-1688.77274833214</v>
      </c>
      <c r="BE392" s="15" t="n">
        <f aca="false">0</f>
        <v>0</v>
      </c>
      <c r="BF392" s="15" t="n">
        <f aca="false">0</f>
        <v>0</v>
      </c>
      <c r="BG392" s="15" t="n">
        <f aca="false">0</f>
        <v>0</v>
      </c>
      <c r="BH392" s="15" t="n">
        <f aca="false">BD392+BE392-BF392-AY392</f>
        <v>-1688.77274833214</v>
      </c>
      <c r="BI392" s="15" t="n">
        <f aca="false">MAX(0,Parametri_v3!$C$31-BH392)</f>
        <v>11688.7727483321</v>
      </c>
      <c r="BJ392" s="15" t="n">
        <f aca="false">(BJ391)+K392</f>
        <v>9666.66666666667</v>
      </c>
      <c r="BK392" s="15" t="n">
        <f aca="false">(BK391)+L392</f>
        <v>3449.07407407407</v>
      </c>
      <c r="BL392" s="15" t="n">
        <f aca="false">BJ392-BK392</f>
        <v>6217.59259259259</v>
      </c>
      <c r="BM392" s="15" t="n">
        <f aca="false">(BM391)+Y392</f>
        <v>118110.003650475</v>
      </c>
      <c r="BN392" s="15" t="n">
        <f aca="false">(BN391)+AW392+AX392+AZ392</f>
        <v>20000</v>
      </c>
      <c r="BO392" s="15" t="n">
        <f aca="false">(BO391)+AY392</f>
        <v>0</v>
      </c>
      <c r="BP392" s="15" t="n">
        <f aca="false">MIN(Parametri_v3!$C$36*Parametri_v3!$C$35,(BP391)+IF(4=1,MAX(0,SUM(Y377:Y388))*Parametri_v3!$C$34,0))</f>
        <v>2000</v>
      </c>
      <c r="BQ392" s="15" t="n">
        <f aca="false">BN392+BM392-BO392</f>
        <v>138110.003650475</v>
      </c>
      <c r="BR392" s="15" t="n">
        <f aca="false">BH392+AD392+BL392+MAX(0,-AM392)+MAX(0,-AR392)</f>
        <v>225958.81984426</v>
      </c>
      <c r="BS392" s="15" t="n">
        <f aca="false">AJ392+AV392+MAX(0,AM392)+MAX(0,AR392)+BC392+BG392+BQ392+AG392</f>
        <v>225958.819844261</v>
      </c>
      <c r="BT392" s="15" t="n">
        <f aca="false">BR392-BS392</f>
        <v>0</v>
      </c>
      <c r="BU392" s="15" t="n">
        <f aca="false">BH392-(BD392+BE392-BF392-AY392)</f>
        <v>0</v>
      </c>
      <c r="BV392" s="15" t="n">
        <f aca="false">IF(BH391&lt;Parametri_v3!$C$31,0,BV391+1)</f>
        <v>0</v>
      </c>
    </row>
    <row r="393" customFormat="false" ht="18" hidden="false" customHeight="true" outlineLevel="0" collapsed="false">
      <c r="A393" s="68" t="n">
        <f aca="false">7</f>
        <v>7</v>
      </c>
      <c r="B393" s="68" t="n">
        <f aca="false">29</f>
        <v>29</v>
      </c>
      <c r="C393" s="18" t="n">
        <f aca="false">Motore_Operativo!C393</f>
        <v>47239</v>
      </c>
      <c r="D393" s="68" t="n">
        <f aca="false">Motore_Operativo!D393</f>
        <v>2029</v>
      </c>
      <c r="E393" s="68" t="n">
        <f aca="false">Motore_Operativo!E393</f>
        <v>5</v>
      </c>
      <c r="F393" s="15" t="n">
        <f aca="false">Motore_Operativo!AM393</f>
        <v>60500</v>
      </c>
      <c r="G393" s="15" t="n">
        <f aca="false">Motore_Operativo!BH393</f>
        <v>6050</v>
      </c>
      <c r="H393" s="15" t="n">
        <f aca="false">Motore_Operativo!AM393</f>
        <v>60500</v>
      </c>
      <c r="I393" s="15" t="n">
        <f aca="false">Motore_Operativo!CB393</f>
        <v>46259.8958333333</v>
      </c>
      <c r="J393" s="15" t="n">
        <f aca="false">Motore_Operativo!CD393</f>
        <v>14240.1041666667</v>
      </c>
      <c r="K393" s="15" t="n">
        <f aca="false">Motore_Operativo!CF393</f>
        <v>416.666666666667</v>
      </c>
      <c r="L393" s="15" t="n">
        <f aca="false">SUM(INDEX($K$365:$K$424,MAX(1,29-Parametri_v3!$C$59+1)):K393)/Parametri_v3!$C$59</f>
        <v>280.092592592593</v>
      </c>
      <c r="M393" s="15" t="n">
        <f aca="false">J393-L393</f>
        <v>13960.0115740741</v>
      </c>
      <c r="N393" s="15" t="n">
        <f aca="false">0</f>
        <v>0</v>
      </c>
      <c r="O393" s="15" t="n">
        <f aca="false">0</f>
        <v>0</v>
      </c>
      <c r="P393" s="15" t="n">
        <f aca="false">M393+N393-O393</f>
        <v>13960.0115740741</v>
      </c>
      <c r="Q393" s="15" t="n">
        <f aca="false">SUM(P389:P393)+Parametri_v3!$C$56*5/12</f>
        <v>69915.7986111111</v>
      </c>
      <c r="R393" s="15" t="n">
        <f aca="false">Z388</f>
        <v>0</v>
      </c>
      <c r="S393" s="15" t="n">
        <f aca="false">AA388</f>
        <v>0</v>
      </c>
      <c r="T393" s="15" t="n">
        <f aca="false">MIN(R393,MAX(0,Q393))</f>
        <v>0</v>
      </c>
      <c r="U393" s="15" t="n">
        <f aca="false">MIN(S393,MAX(0,Q393-T393)*Parametri_v3!$C$42)</f>
        <v>0</v>
      </c>
      <c r="V393" s="15" t="n">
        <f aca="false">MAX(0,Q393-T393-U393)*Ipotesi!$C$92</f>
        <v>16779.7916666667</v>
      </c>
      <c r="W393" s="15" t="n">
        <f aca="false">MAX(0,SUM(M389:M393)+Parametri_v3!$C$57*5/12)*Ipotesi!$C$93</f>
        <v>2726.71614583333</v>
      </c>
      <c r="X393" s="15" t="n">
        <f aca="false">V393+W393-(V392+W392)</f>
        <v>3894.84322916667</v>
      </c>
      <c r="Y393" s="15" t="n">
        <f aca="false">P393-X393</f>
        <v>10065.1683449074</v>
      </c>
      <c r="Z393" s="15" t="n">
        <f aca="false">R393-T393+IF(AND(Parametri_v3!$C$40=1,D393-YEAR(Parametri_v3!$C$50)&lt;Parametri_v3!$C$41),MAX(0,-Q393),0)</f>
        <v>0</v>
      </c>
      <c r="AA393" s="15" t="n">
        <f aca="false">S393-U393+IF(AND(Parametri_v3!$C$40=1,D393-YEAR(Parametri_v3!$C$50)&lt;Parametri_v3!$C$41),0,MAX(0,-Q393))</f>
        <v>0</v>
      </c>
      <c r="AB393" s="15" t="n">
        <f aca="false">F393*(1+Parametri_v3!$C$26)</f>
        <v>73810</v>
      </c>
      <c r="AC393" s="15" t="n">
        <f aca="false">(IF(29-(INT((Motore_Operativo!L393)/30))&lt;1,0,INDEX(Motore_Advisory!$AB$365:$AB$424,MAX(1,29-(INT((Motore_Operativo!L393)/30)))))*(1-(MOD((Motore_Operativo!L393),30)/30))+IF(29-(INT((Motore_Operativo!L393)/30))-1&lt;1,0,INDEX(Motore_Advisory!$AB$365:$AB$424,MAX(1,29-(INT((Motore_Operativo!L393)/30))-1)))*(MOD((Motore_Operativo!L393),30)/30))</f>
        <v>73810</v>
      </c>
      <c r="AD393" s="15" t="n">
        <f aca="false">(AD392)+AB393-AC393</f>
        <v>221430</v>
      </c>
      <c r="AE393" s="15" t="n">
        <f aca="false">Motore_Operativo!BH393*(1+Parametri_v3!$C$26)</f>
        <v>7381</v>
      </c>
      <c r="AF393" s="15" t="n">
        <f aca="false">(IF(29-(INT((Parametri_v3!$C$29)/30))&lt;1,0,INDEX(Motore_Operativo!$BH$365:$BH$424,MAX(1,29-(INT((Parametri_v3!$C$29)/30)))))*(1-(MOD((Parametri_v3!$C$29),30)/30))+IF(29-(INT((Parametri_v3!$C$29)/30))-1&lt;1,0,INDEX(Motore_Operativo!$BH$365:$BH$424,MAX(1,29-(INT((Parametri_v3!$C$29)/30))-1)))*(MOD((Parametri_v3!$C$29),30)/30))*(1+Parametri_v3!$C$26)</f>
        <v>7381</v>
      </c>
      <c r="AG393" s="15" t="n">
        <f aca="false">(AG392)+AE393-AF393</f>
        <v>7381</v>
      </c>
      <c r="AH393" s="15" t="n">
        <f aca="false">(Motore_Operativo!CK393)*(1+Parametri_v3!$C$28*Parametri_v3!$C$26)</f>
        <v>17395.98</v>
      </c>
      <c r="AI393" s="15" t="n">
        <f aca="false">(IF(29-(INT((Ipotesi!$C$91)/30))&lt;1,0,INDEX(Motore_Advisory!$AH$365:$AH$424,MAX(1,29-(INT((Ipotesi!$C$91)/30)))))*(1-(MOD((Ipotesi!$C$91),30)/30))+IF(29-(INT((Ipotesi!$C$91)/30))-1&lt;1,0,INDEX(Motore_Advisory!$AH$365:$AH$424,MAX(1,29-(INT((Ipotesi!$C$91)/30))-1)))*(MOD((Ipotesi!$C$91),30)/30))</f>
        <v>17395.98</v>
      </c>
      <c r="AJ393" s="15" t="n">
        <f aca="false">(AJ392)+AH393-AI393</f>
        <v>34791.96</v>
      </c>
      <c r="AK393" s="15" t="n">
        <f aca="false">(F393- Motore_Operativo!BH393-(Motore_Operativo!CK393)*Parametri_v3!$C$28-Motore_Operativo!CF393)*Parametri_v3!$C$26</f>
        <v>9283.85333333333</v>
      </c>
      <c r="AL393" s="15" t="n">
        <f aca="false">MAX(0,(AM392))</f>
        <v>9283.85333333333</v>
      </c>
      <c r="AM393" s="15" t="n">
        <f aca="false">(AM392)+AK393-AL393</f>
        <v>9283.85333333333</v>
      </c>
      <c r="AN393" s="15" t="n">
        <f aca="false">SUM(X377:X388)</f>
        <v>16530.1714788732</v>
      </c>
      <c r="AO393" s="15" t="n">
        <f aca="false">SUM(AP377:AP388)</f>
        <v>13562.3123684211</v>
      </c>
      <c r="AP393" s="15" t="n">
        <f aca="false">MAX(0,AN393)*IF(5=Parametri_v3!$C$43,Parametri_v3!$C$45,IF(5=Parametri_v3!$C$44,1-Parametri_v3!$C$45,0))</f>
        <v>0</v>
      </c>
      <c r="AQ393" s="15" t="n">
        <f aca="false">MAX(0,AP393+IF(5=Parametri_v3!$C$43,MAX(0,AN393-AO393),0)-MAX(0,-(AR392)))</f>
        <v>0</v>
      </c>
      <c r="AR393" s="15" t="n">
        <f aca="false">(AR392)+X393-AQ393</f>
        <v>22474.3669229522</v>
      </c>
      <c r="AS393" s="15" t="n">
        <f aca="false">Motore_Operativo!AC393-AT393+AU393</f>
        <v>24146.5260416667</v>
      </c>
      <c r="AT393" s="15" t="n">
        <f aca="false">Motore_Operativo!CI393</f>
        <v>1270.86979166667</v>
      </c>
      <c r="AU393" s="15" t="n">
        <f aca="false">MIN(MAX(0,(AV392)+AT393),Parametri_v3!$C$61/12)</f>
        <v>0</v>
      </c>
      <c r="AV393" s="15" t="n">
        <f aca="false">(AV392)+AT393-AU393</f>
        <v>19083.3489583333</v>
      </c>
      <c r="AW393" s="15" t="n">
        <f aca="false">IF(AND(Motore_Operativo!C393=Finanziamenti!$D$7,Finanziamenti!$F$7=1),Finanziamenti!$C$7,0)</f>
        <v>0</v>
      </c>
      <c r="AX393" s="15" t="n">
        <f aca="false">0</f>
        <v>0</v>
      </c>
      <c r="AY393" s="15" t="n">
        <f aca="false">IF(5=Parametri_v3!$C$33,IF(BV393&lt;MIN(12,$B393-1),0,MIN(MAX(0,SUM(Y377:Y388))*Ipotesi!$C$94,MAX(0,(BM388)-(BO392)-BP393),MAX(0,BD393-Parametri_v3!$C$31))),0)</f>
        <v>0</v>
      </c>
      <c r="AZ393" s="15" t="n">
        <f aca="false">0</f>
        <v>0</v>
      </c>
      <c r="BA393" s="15" t="n">
        <f aca="false">0</f>
        <v>0</v>
      </c>
      <c r="BB393" s="15" t="n">
        <f aca="false">0</f>
        <v>0</v>
      </c>
      <c r="BC393" s="15" t="n">
        <f aca="false">0</f>
        <v>0</v>
      </c>
      <c r="BD393" s="15" t="n">
        <f aca="false">(BH392)+AC393-AF393-AI393-AS393-K393*(1+Parametri_v3!$C$26)-AL393-AQ393-O393+AW393+AX393+AZ393+BA393-BB393</f>
        <v>13405.5345433345</v>
      </c>
      <c r="BE393" s="15" t="n">
        <f aca="false">0</f>
        <v>0</v>
      </c>
      <c r="BF393" s="15" t="n">
        <f aca="false">0</f>
        <v>0</v>
      </c>
      <c r="BG393" s="15" t="n">
        <f aca="false">0</f>
        <v>0</v>
      </c>
      <c r="BH393" s="15" t="n">
        <f aca="false">BD393+BE393-BF393-AY393</f>
        <v>13405.5345433345</v>
      </c>
      <c r="BI393" s="15" t="n">
        <f aca="false">MAX(0,Parametri_v3!$C$31-BH393)</f>
        <v>0</v>
      </c>
      <c r="BJ393" s="15" t="n">
        <f aca="false">(BJ392)+K393</f>
        <v>10083.3333333333</v>
      </c>
      <c r="BK393" s="15" t="n">
        <f aca="false">(BK392)+L393</f>
        <v>3729.16666666667</v>
      </c>
      <c r="BL393" s="15" t="n">
        <f aca="false">BJ393-BK393</f>
        <v>6354.16666666667</v>
      </c>
      <c r="BM393" s="15" t="n">
        <f aca="false">(BM392)+Y393</f>
        <v>128175.171995382</v>
      </c>
      <c r="BN393" s="15" t="n">
        <f aca="false">(BN392)+AW393+AX393+AZ393</f>
        <v>20000</v>
      </c>
      <c r="BO393" s="15" t="n">
        <f aca="false">(BO392)+AY393</f>
        <v>0</v>
      </c>
      <c r="BP393" s="15" t="n">
        <f aca="false">MIN(Parametri_v3!$C$36*Parametri_v3!$C$35,(BP392)+IF(5=1,MAX(0,SUM(Y377:Y388))*Parametri_v3!$C$34,0))</f>
        <v>2000</v>
      </c>
      <c r="BQ393" s="15" t="n">
        <f aca="false">BN393+BM393-BO393</f>
        <v>148175.171995382</v>
      </c>
      <c r="BR393" s="15" t="n">
        <f aca="false">BH393+AD393+BL393+MAX(0,-AM393)+MAX(0,-AR393)</f>
        <v>241189.701210001</v>
      </c>
      <c r="BS393" s="15" t="n">
        <f aca="false">AJ393+AV393+MAX(0,AM393)+MAX(0,AR393)+BC393+BG393+BQ393+AG393</f>
        <v>241189.701210001</v>
      </c>
      <c r="BT393" s="15" t="n">
        <f aca="false">BR393-BS393</f>
        <v>0</v>
      </c>
      <c r="BU393" s="15" t="n">
        <f aca="false">BH393-(BD393+BE393-BF393-AY393)</f>
        <v>0</v>
      </c>
      <c r="BV393" s="15" t="n">
        <f aca="false">IF(BH392&lt;Parametri_v3!$C$31,0,BV392+1)</f>
        <v>0</v>
      </c>
    </row>
    <row r="394" customFormat="false" ht="18" hidden="false" customHeight="true" outlineLevel="0" collapsed="false">
      <c r="A394" s="68" t="n">
        <f aca="false">7</f>
        <v>7</v>
      </c>
      <c r="B394" s="68" t="n">
        <f aca="false">30</f>
        <v>30</v>
      </c>
      <c r="C394" s="18" t="n">
        <f aca="false">Motore_Operativo!C394</f>
        <v>47270</v>
      </c>
      <c r="D394" s="68" t="n">
        <f aca="false">Motore_Operativo!D394</f>
        <v>2029</v>
      </c>
      <c r="E394" s="68" t="n">
        <f aca="false">Motore_Operativo!E394</f>
        <v>6</v>
      </c>
      <c r="F394" s="15" t="n">
        <f aca="false">Motore_Operativo!AM394</f>
        <v>60500</v>
      </c>
      <c r="G394" s="15" t="n">
        <f aca="false">Motore_Operativo!BH394</f>
        <v>6050</v>
      </c>
      <c r="H394" s="15" t="n">
        <f aca="false">Motore_Operativo!AM394</f>
        <v>60500</v>
      </c>
      <c r="I394" s="15" t="n">
        <f aca="false">Motore_Operativo!CB394</f>
        <v>46259.8958333333</v>
      </c>
      <c r="J394" s="15" t="n">
        <f aca="false">Motore_Operativo!CD394</f>
        <v>14240.1041666667</v>
      </c>
      <c r="K394" s="15" t="n">
        <f aca="false">Motore_Operativo!CF394</f>
        <v>416.666666666667</v>
      </c>
      <c r="L394" s="15" t="n">
        <f aca="false">SUM(INDEX($K$365:$K$424,MAX(1,30-Parametri_v3!$C$59+1)):K394)/Parametri_v3!$C$59</f>
        <v>291.666666666667</v>
      </c>
      <c r="M394" s="15" t="n">
        <f aca="false">J394-L394</f>
        <v>13948.4375</v>
      </c>
      <c r="N394" s="15" t="n">
        <f aca="false">0</f>
        <v>0</v>
      </c>
      <c r="O394" s="15" t="n">
        <f aca="false">0</f>
        <v>0</v>
      </c>
      <c r="P394" s="15" t="n">
        <f aca="false">M394+N394-O394</f>
        <v>13948.4375</v>
      </c>
      <c r="Q394" s="15" t="n">
        <f aca="false">SUM(P389:P394)+Parametri_v3!$C$56*6/12</f>
        <v>83864.2361111111</v>
      </c>
      <c r="R394" s="15" t="n">
        <f aca="false">Z388</f>
        <v>0</v>
      </c>
      <c r="S394" s="15" t="n">
        <f aca="false">AA388</f>
        <v>0</v>
      </c>
      <c r="T394" s="15" t="n">
        <f aca="false">MIN(R394,MAX(0,Q394))</f>
        <v>0</v>
      </c>
      <c r="U394" s="15" t="n">
        <f aca="false">MIN(S394,MAX(0,Q394-T394)*Parametri_v3!$C$42)</f>
        <v>0</v>
      </c>
      <c r="V394" s="15" t="n">
        <f aca="false">MAX(0,Q394-T394-U394)*Ipotesi!$C$92</f>
        <v>20127.4166666667</v>
      </c>
      <c r="W394" s="15" t="n">
        <f aca="false">MAX(0,SUM(M389:M394)+Parametri_v3!$C$57*6/12)*Ipotesi!$C$93</f>
        <v>3270.70520833333</v>
      </c>
      <c r="X394" s="15" t="n">
        <f aca="false">V394+W394-(V393+W393)</f>
        <v>3891.6140625</v>
      </c>
      <c r="Y394" s="15" t="n">
        <f aca="false">P394-X394</f>
        <v>10056.8234375</v>
      </c>
      <c r="Z394" s="15" t="n">
        <f aca="false">R394-T394+IF(AND(Parametri_v3!$C$40=1,D394-YEAR(Parametri_v3!$C$50)&lt;Parametri_v3!$C$41),MAX(0,-Q394),0)</f>
        <v>0</v>
      </c>
      <c r="AA394" s="15" t="n">
        <f aca="false">S394-U394+IF(AND(Parametri_v3!$C$40=1,D394-YEAR(Parametri_v3!$C$50)&lt;Parametri_v3!$C$41),0,MAX(0,-Q394))</f>
        <v>0</v>
      </c>
      <c r="AB394" s="15" t="n">
        <f aca="false">F394*(1+Parametri_v3!$C$26)</f>
        <v>73810</v>
      </c>
      <c r="AC394" s="15" t="n">
        <f aca="false">(IF(30-(INT((Motore_Operativo!L394)/30))&lt;1,0,INDEX(Motore_Advisory!$AB$365:$AB$424,MAX(1,30-(INT((Motore_Operativo!L394)/30)))))*(1-(MOD((Motore_Operativo!L394),30)/30))+IF(30-(INT((Motore_Operativo!L394)/30))-1&lt;1,0,INDEX(Motore_Advisory!$AB$365:$AB$424,MAX(1,30-(INT((Motore_Operativo!L394)/30))-1)))*(MOD((Motore_Operativo!L394),30)/30))</f>
        <v>73810</v>
      </c>
      <c r="AD394" s="15" t="n">
        <f aca="false">(AD393)+AB394-AC394</f>
        <v>221430</v>
      </c>
      <c r="AE394" s="15" t="n">
        <f aca="false">Motore_Operativo!BH394*(1+Parametri_v3!$C$26)</f>
        <v>7381</v>
      </c>
      <c r="AF394" s="15" t="n">
        <f aca="false">(IF(30-(INT((Parametri_v3!$C$29)/30))&lt;1,0,INDEX(Motore_Operativo!$BH$365:$BH$424,MAX(1,30-(INT((Parametri_v3!$C$29)/30)))))*(1-(MOD((Parametri_v3!$C$29),30)/30))+IF(30-(INT((Parametri_v3!$C$29)/30))-1&lt;1,0,INDEX(Motore_Operativo!$BH$365:$BH$424,MAX(1,30-(INT((Parametri_v3!$C$29)/30))-1)))*(MOD((Parametri_v3!$C$29),30)/30))*(1+Parametri_v3!$C$26)</f>
        <v>7381</v>
      </c>
      <c r="AG394" s="15" t="n">
        <f aca="false">(AG393)+AE394-AF394</f>
        <v>7381</v>
      </c>
      <c r="AH394" s="15" t="n">
        <f aca="false">(Motore_Operativo!CK394)*(1+Parametri_v3!$C$28*Parametri_v3!$C$26)</f>
        <v>17395.98</v>
      </c>
      <c r="AI394" s="15" t="n">
        <f aca="false">(IF(30-(INT((Ipotesi!$C$91)/30))&lt;1,0,INDEX(Motore_Advisory!$AH$365:$AH$424,MAX(1,30-(INT((Ipotesi!$C$91)/30)))))*(1-(MOD((Ipotesi!$C$91),30)/30))+IF(30-(INT((Ipotesi!$C$91)/30))-1&lt;1,0,INDEX(Motore_Advisory!$AH$365:$AH$424,MAX(1,30-(INT((Ipotesi!$C$91)/30))-1)))*(MOD((Ipotesi!$C$91),30)/30))</f>
        <v>17395.98</v>
      </c>
      <c r="AJ394" s="15" t="n">
        <f aca="false">(AJ393)+AH394-AI394</f>
        <v>34791.96</v>
      </c>
      <c r="AK394" s="15" t="n">
        <f aca="false">(F394- Motore_Operativo!BH394-(Motore_Operativo!CK394)*Parametri_v3!$C$28-Motore_Operativo!CF394)*Parametri_v3!$C$26</f>
        <v>9283.85333333333</v>
      </c>
      <c r="AL394" s="15" t="n">
        <f aca="false">MAX(0,(AM393))</f>
        <v>9283.85333333333</v>
      </c>
      <c r="AM394" s="15" t="n">
        <f aca="false">(AM393)+AK394-AL394</f>
        <v>9283.85333333333</v>
      </c>
      <c r="AN394" s="15" t="n">
        <f aca="false">SUM(X377:X388)</f>
        <v>16530.1714788732</v>
      </c>
      <c r="AO394" s="15" t="n">
        <f aca="false">SUM(AP377:AP388)</f>
        <v>13562.3123684211</v>
      </c>
      <c r="AP394" s="15" t="n">
        <f aca="false">MAX(0,AN394)*IF(6=Parametri_v3!$C$43,Parametri_v3!$C$45,IF(6=Parametri_v3!$C$44,1-Parametri_v3!$C$45,0))</f>
        <v>6612.06859154929</v>
      </c>
      <c r="AQ394" s="15" t="n">
        <f aca="false">MAX(0,AP394+IF(6=Parametri_v3!$C$43,MAX(0,AN394-AO394),0)-MAX(0,-(AR393)))</f>
        <v>9579.92770200147</v>
      </c>
      <c r="AR394" s="15" t="n">
        <f aca="false">(AR393)+X394-AQ394</f>
        <v>16786.0532834507</v>
      </c>
      <c r="AS394" s="15" t="n">
        <f aca="false">Motore_Operativo!AC394-AT394+AU394</f>
        <v>24146.5260416667</v>
      </c>
      <c r="AT394" s="15" t="n">
        <f aca="false">Motore_Operativo!CI394</f>
        <v>1270.86979166667</v>
      </c>
      <c r="AU394" s="15" t="n">
        <f aca="false">MIN(MAX(0,(AV393)+AT394),Parametri_v3!$C$61/12)</f>
        <v>0</v>
      </c>
      <c r="AV394" s="15" t="n">
        <f aca="false">(AV393)+AT394-AU394</f>
        <v>20354.21875</v>
      </c>
      <c r="AW394" s="15" t="n">
        <f aca="false">IF(AND(Motore_Operativo!C394=Finanziamenti!$D$7,Finanziamenti!$F$7=1),Finanziamenti!$C$7,0)</f>
        <v>0</v>
      </c>
      <c r="AX394" s="15" t="n">
        <f aca="false">0</f>
        <v>0</v>
      </c>
      <c r="AY394" s="15" t="n">
        <f aca="false">IF(6=Parametri_v3!$C$33,IF(BV394&lt;MIN(12,$B394-1),0,MIN(MAX(0,SUM(Y377:Y388))*Ipotesi!$C$94,MAX(0,(BM388)-(BO393)-BP394),MAX(0,BD394-Parametri_v3!$C$31))),0)</f>
        <v>0</v>
      </c>
      <c r="AZ394" s="15" t="n">
        <f aca="false">0</f>
        <v>0</v>
      </c>
      <c r="BA394" s="15" t="n">
        <f aca="false">0</f>
        <v>0</v>
      </c>
      <c r="BB394" s="15" t="n">
        <f aca="false">0</f>
        <v>0</v>
      </c>
      <c r="BC394" s="15" t="n">
        <f aca="false">0</f>
        <v>0</v>
      </c>
      <c r="BD394" s="15" t="n">
        <f aca="false">(BH393)+AC394-AF394-AI394-AS394-K394*(1+Parametri_v3!$C$26)-AL394-AQ394-O394+AW394+AX394+AZ394+BA394-BB394</f>
        <v>18919.9141329997</v>
      </c>
      <c r="BE394" s="15" t="n">
        <f aca="false">0</f>
        <v>0</v>
      </c>
      <c r="BF394" s="15" t="n">
        <f aca="false">0</f>
        <v>0</v>
      </c>
      <c r="BG394" s="15" t="n">
        <f aca="false">0</f>
        <v>0</v>
      </c>
      <c r="BH394" s="15" t="n">
        <f aca="false">BD394+BE394-BF394-AY394</f>
        <v>18919.9141329997</v>
      </c>
      <c r="BI394" s="15" t="n">
        <f aca="false">MAX(0,Parametri_v3!$C$31-BH394)</f>
        <v>0</v>
      </c>
      <c r="BJ394" s="15" t="n">
        <f aca="false">(BJ393)+K394</f>
        <v>10500</v>
      </c>
      <c r="BK394" s="15" t="n">
        <f aca="false">(BK393)+L394</f>
        <v>4020.83333333333</v>
      </c>
      <c r="BL394" s="15" t="n">
        <f aca="false">BJ394-BK394</f>
        <v>6479.16666666667</v>
      </c>
      <c r="BM394" s="15" t="n">
        <f aca="false">(BM393)+Y394</f>
        <v>138231.995432882</v>
      </c>
      <c r="BN394" s="15" t="n">
        <f aca="false">(BN393)+AW394+AX394+AZ394</f>
        <v>20000</v>
      </c>
      <c r="BO394" s="15" t="n">
        <f aca="false">(BO393)+AY394</f>
        <v>0</v>
      </c>
      <c r="BP394" s="15" t="n">
        <f aca="false">MIN(Parametri_v3!$C$36*Parametri_v3!$C$35,(BP393)+IF(6=1,MAX(0,SUM(Y377:Y388))*Parametri_v3!$C$34,0))</f>
        <v>2000</v>
      </c>
      <c r="BQ394" s="15" t="n">
        <f aca="false">BN394+BM394-BO394</f>
        <v>158231.995432882</v>
      </c>
      <c r="BR394" s="15" t="n">
        <f aca="false">BH394+AD394+BL394+MAX(0,-AM394)+MAX(0,-AR394)</f>
        <v>246829.080799666</v>
      </c>
      <c r="BS394" s="15" t="n">
        <f aca="false">AJ394+AV394+MAX(0,AM394)+MAX(0,AR394)+BC394+BG394+BQ394+AG394</f>
        <v>246829.080799666</v>
      </c>
      <c r="BT394" s="15" t="n">
        <f aca="false">BR394-BS394</f>
        <v>0</v>
      </c>
      <c r="BU394" s="15" t="n">
        <f aca="false">BH394-(BD394+BE394-BF394-AY394)</f>
        <v>0</v>
      </c>
      <c r="BV394" s="15" t="n">
        <f aca="false">IF(BH393&lt;Parametri_v3!$C$31,0,BV393+1)</f>
        <v>1</v>
      </c>
    </row>
    <row r="395" customFormat="false" ht="18" hidden="false" customHeight="true" outlineLevel="0" collapsed="false">
      <c r="A395" s="68" t="n">
        <f aca="false">7</f>
        <v>7</v>
      </c>
      <c r="B395" s="68" t="n">
        <f aca="false">31</f>
        <v>31</v>
      </c>
      <c r="C395" s="18" t="n">
        <f aca="false">Motore_Operativo!C395</f>
        <v>47300</v>
      </c>
      <c r="D395" s="68" t="n">
        <f aca="false">Motore_Operativo!D395</f>
        <v>2029</v>
      </c>
      <c r="E395" s="68" t="n">
        <f aca="false">Motore_Operativo!E395</f>
        <v>7</v>
      </c>
      <c r="F395" s="15" t="n">
        <f aca="false">Motore_Operativo!AM395</f>
        <v>60500</v>
      </c>
      <c r="G395" s="15" t="n">
        <f aca="false">Motore_Operativo!BH395</f>
        <v>6050</v>
      </c>
      <c r="H395" s="15" t="n">
        <f aca="false">Motore_Operativo!AM395</f>
        <v>60500</v>
      </c>
      <c r="I395" s="15" t="n">
        <f aca="false">Motore_Operativo!CB395</f>
        <v>46259.8958333333</v>
      </c>
      <c r="J395" s="15" t="n">
        <f aca="false">Motore_Operativo!CD395</f>
        <v>14240.1041666667</v>
      </c>
      <c r="K395" s="15" t="n">
        <f aca="false">Motore_Operativo!CF395</f>
        <v>416.666666666667</v>
      </c>
      <c r="L395" s="15" t="n">
        <f aca="false">SUM(INDEX($K$365:$K$424,MAX(1,31-Parametri_v3!$C$59+1)):K395)/Parametri_v3!$C$59</f>
        <v>303.240740740741</v>
      </c>
      <c r="M395" s="15" t="n">
        <f aca="false">J395-L395</f>
        <v>13936.8634259259</v>
      </c>
      <c r="N395" s="15" t="n">
        <f aca="false">0</f>
        <v>0</v>
      </c>
      <c r="O395" s="15" t="n">
        <f aca="false">0</f>
        <v>0</v>
      </c>
      <c r="P395" s="15" t="n">
        <f aca="false">M395+N395-O395</f>
        <v>13936.8634259259</v>
      </c>
      <c r="Q395" s="15" t="n">
        <f aca="false">SUM(P389:P395)+Parametri_v3!$C$56*7/12</f>
        <v>97801.0995370371</v>
      </c>
      <c r="R395" s="15" t="n">
        <f aca="false">Z388</f>
        <v>0</v>
      </c>
      <c r="S395" s="15" t="n">
        <f aca="false">AA388</f>
        <v>0</v>
      </c>
      <c r="T395" s="15" t="n">
        <f aca="false">MIN(R395,MAX(0,Q395))</f>
        <v>0</v>
      </c>
      <c r="U395" s="15" t="n">
        <f aca="false">MIN(S395,MAX(0,Q395-T395)*Parametri_v3!$C$42)</f>
        <v>0</v>
      </c>
      <c r="V395" s="15" t="n">
        <f aca="false">MAX(0,Q395-T395-U395)*Ipotesi!$C$92</f>
        <v>23472.2638888889</v>
      </c>
      <c r="W395" s="15" t="n">
        <f aca="false">MAX(0,SUM(M389:M395)+Parametri_v3!$C$57*7/12)*Ipotesi!$C$93</f>
        <v>3814.24288194445</v>
      </c>
      <c r="X395" s="15" t="n">
        <f aca="false">V395+W395-(V394+W394)</f>
        <v>3888.38489583334</v>
      </c>
      <c r="Y395" s="15" t="n">
        <f aca="false">P395-X395</f>
        <v>10048.4785300926</v>
      </c>
      <c r="Z395" s="15" t="n">
        <f aca="false">R395-T395+IF(AND(Parametri_v3!$C$40=1,D395-YEAR(Parametri_v3!$C$50)&lt;Parametri_v3!$C$41),MAX(0,-Q395),0)</f>
        <v>0</v>
      </c>
      <c r="AA395" s="15" t="n">
        <f aca="false">S395-U395+IF(AND(Parametri_v3!$C$40=1,D395-YEAR(Parametri_v3!$C$50)&lt;Parametri_v3!$C$41),0,MAX(0,-Q395))</f>
        <v>0</v>
      </c>
      <c r="AB395" s="15" t="n">
        <f aca="false">F395*(1+Parametri_v3!$C$26)</f>
        <v>73810</v>
      </c>
      <c r="AC395" s="15" t="n">
        <f aca="false">(IF(31-(INT((Motore_Operativo!L395)/30))&lt;1,0,INDEX(Motore_Advisory!$AB$365:$AB$424,MAX(1,31-(INT((Motore_Operativo!L395)/30)))))*(1-(MOD((Motore_Operativo!L395),30)/30))+IF(31-(INT((Motore_Operativo!L395)/30))-1&lt;1,0,INDEX(Motore_Advisory!$AB$365:$AB$424,MAX(1,31-(INT((Motore_Operativo!L395)/30))-1)))*(MOD((Motore_Operativo!L395),30)/30))</f>
        <v>73810</v>
      </c>
      <c r="AD395" s="15" t="n">
        <f aca="false">(AD394)+AB395-AC395</f>
        <v>221430</v>
      </c>
      <c r="AE395" s="15" t="n">
        <f aca="false">Motore_Operativo!BH395*(1+Parametri_v3!$C$26)</f>
        <v>7381</v>
      </c>
      <c r="AF395" s="15" t="n">
        <f aca="false">(IF(31-(INT((Parametri_v3!$C$29)/30))&lt;1,0,INDEX(Motore_Operativo!$BH$365:$BH$424,MAX(1,31-(INT((Parametri_v3!$C$29)/30)))))*(1-(MOD((Parametri_v3!$C$29),30)/30))+IF(31-(INT((Parametri_v3!$C$29)/30))-1&lt;1,0,INDEX(Motore_Operativo!$BH$365:$BH$424,MAX(1,31-(INT((Parametri_v3!$C$29)/30))-1)))*(MOD((Parametri_v3!$C$29),30)/30))*(1+Parametri_v3!$C$26)</f>
        <v>7381</v>
      </c>
      <c r="AG395" s="15" t="n">
        <f aca="false">(AG394)+AE395-AF395</f>
        <v>7381</v>
      </c>
      <c r="AH395" s="15" t="n">
        <f aca="false">(Motore_Operativo!CK395)*(1+Parametri_v3!$C$28*Parametri_v3!$C$26)</f>
        <v>17395.98</v>
      </c>
      <c r="AI395" s="15" t="n">
        <f aca="false">(IF(31-(INT((Ipotesi!$C$91)/30))&lt;1,0,INDEX(Motore_Advisory!$AH$365:$AH$424,MAX(1,31-(INT((Ipotesi!$C$91)/30)))))*(1-(MOD((Ipotesi!$C$91),30)/30))+IF(31-(INT((Ipotesi!$C$91)/30))-1&lt;1,0,INDEX(Motore_Advisory!$AH$365:$AH$424,MAX(1,31-(INT((Ipotesi!$C$91)/30))-1)))*(MOD((Ipotesi!$C$91),30)/30))</f>
        <v>17395.98</v>
      </c>
      <c r="AJ395" s="15" t="n">
        <f aca="false">(AJ394)+AH395-AI395</f>
        <v>34791.96</v>
      </c>
      <c r="AK395" s="15" t="n">
        <f aca="false">(F395- Motore_Operativo!BH395-(Motore_Operativo!CK395)*Parametri_v3!$C$28-Motore_Operativo!CF395)*Parametri_v3!$C$26</f>
        <v>9283.85333333333</v>
      </c>
      <c r="AL395" s="15" t="n">
        <f aca="false">MAX(0,(AM394))</f>
        <v>9283.85333333333</v>
      </c>
      <c r="AM395" s="15" t="n">
        <f aca="false">(AM394)+AK395-AL395</f>
        <v>9283.85333333333</v>
      </c>
      <c r="AN395" s="15" t="n">
        <f aca="false">SUM(X377:X388)</f>
        <v>16530.1714788732</v>
      </c>
      <c r="AO395" s="15" t="n">
        <f aca="false">SUM(AP377:AP388)</f>
        <v>13562.3123684211</v>
      </c>
      <c r="AP395" s="15" t="n">
        <f aca="false">MAX(0,AN395)*IF(7=Parametri_v3!$C$43,Parametri_v3!$C$45,IF(7=Parametri_v3!$C$44,1-Parametri_v3!$C$45,0))</f>
        <v>0</v>
      </c>
      <c r="AQ395" s="15" t="n">
        <f aca="false">MAX(0,AP395+IF(7=Parametri_v3!$C$43,MAX(0,AN395-AO395),0)-MAX(0,-(AR394)))</f>
        <v>0</v>
      </c>
      <c r="AR395" s="15" t="n">
        <f aca="false">(AR394)+X395-AQ395</f>
        <v>20674.438179284</v>
      </c>
      <c r="AS395" s="15" t="n">
        <f aca="false">Motore_Operativo!AC395-AT395+AU395</f>
        <v>24146.5260416667</v>
      </c>
      <c r="AT395" s="15" t="n">
        <f aca="false">Motore_Operativo!CI395</f>
        <v>1270.86979166667</v>
      </c>
      <c r="AU395" s="15" t="n">
        <f aca="false">MIN(MAX(0,(AV394)+AT395),Parametri_v3!$C$61/12)</f>
        <v>0</v>
      </c>
      <c r="AV395" s="15" t="n">
        <f aca="false">(AV394)+AT395-AU395</f>
        <v>21625.0885416667</v>
      </c>
      <c r="AW395" s="15" t="n">
        <f aca="false">IF(AND(Motore_Operativo!C395=Finanziamenti!$D$7,Finanziamenti!$F$7=1),Finanziamenti!$C$7,0)</f>
        <v>0</v>
      </c>
      <c r="AX395" s="15" t="n">
        <f aca="false">0</f>
        <v>0</v>
      </c>
      <c r="AY395" s="15" t="n">
        <f aca="false">IF(7=Parametri_v3!$C$33,IF(BV395&lt;MIN(12,$B395-1),0,MIN(MAX(0,SUM(Y377:Y388))*Ipotesi!$C$94,MAX(0,(BM388)-(BO394)-BP395),MAX(0,BD395-Parametri_v3!$C$31))),0)</f>
        <v>0</v>
      </c>
      <c r="AZ395" s="15" t="n">
        <f aca="false">0</f>
        <v>0</v>
      </c>
      <c r="BA395" s="15" t="n">
        <f aca="false">0</f>
        <v>0</v>
      </c>
      <c r="BB395" s="15" t="n">
        <f aca="false">0</f>
        <v>0</v>
      </c>
      <c r="BC395" s="15" t="n">
        <f aca="false">0</f>
        <v>0</v>
      </c>
      <c r="BD395" s="15" t="n">
        <f aca="false">(BH394)+AC395-AF395-AI395-AS395-K395*(1+Parametri_v3!$C$26)-AL395-AQ395-O395+AW395+AX395+AZ395+BA395-BB395</f>
        <v>34014.2214246664</v>
      </c>
      <c r="BE395" s="15" t="n">
        <f aca="false">0</f>
        <v>0</v>
      </c>
      <c r="BF395" s="15" t="n">
        <f aca="false">0</f>
        <v>0</v>
      </c>
      <c r="BG395" s="15" t="n">
        <f aca="false">0</f>
        <v>0</v>
      </c>
      <c r="BH395" s="15" t="n">
        <f aca="false">BD395+BE395-BF395-AY395</f>
        <v>34014.2214246664</v>
      </c>
      <c r="BI395" s="15" t="n">
        <f aca="false">MAX(0,Parametri_v3!$C$31-BH395)</f>
        <v>0</v>
      </c>
      <c r="BJ395" s="15" t="n">
        <f aca="false">(BJ394)+K395</f>
        <v>10916.6666666667</v>
      </c>
      <c r="BK395" s="15" t="n">
        <f aca="false">(BK394)+L395</f>
        <v>4324.07407407407</v>
      </c>
      <c r="BL395" s="15" t="n">
        <f aca="false">BJ395-BK395</f>
        <v>6592.59259259259</v>
      </c>
      <c r="BM395" s="15" t="n">
        <f aca="false">(BM394)+Y395</f>
        <v>148280.473962975</v>
      </c>
      <c r="BN395" s="15" t="n">
        <f aca="false">(BN394)+AW395+AX395+AZ395</f>
        <v>20000</v>
      </c>
      <c r="BO395" s="15" t="n">
        <f aca="false">(BO394)+AY395</f>
        <v>0</v>
      </c>
      <c r="BP395" s="15" t="n">
        <f aca="false">MIN(Parametri_v3!$C$36*Parametri_v3!$C$35,(BP394)+IF(7=1,MAX(0,SUM(Y377:Y388))*Parametri_v3!$C$34,0))</f>
        <v>2000</v>
      </c>
      <c r="BQ395" s="15" t="n">
        <f aca="false">BN395+BM395-BO395</f>
        <v>168280.473962975</v>
      </c>
      <c r="BR395" s="15" t="n">
        <f aca="false">BH395+AD395+BL395+MAX(0,-AM395)+MAX(0,-AR395)</f>
        <v>262036.814017259</v>
      </c>
      <c r="BS395" s="15" t="n">
        <f aca="false">AJ395+AV395+MAX(0,AM395)+MAX(0,AR395)+BC395+BG395+BQ395+AG395</f>
        <v>262036.814017259</v>
      </c>
      <c r="BT395" s="15" t="n">
        <f aca="false">BR395-BS395</f>
        <v>0</v>
      </c>
      <c r="BU395" s="15" t="n">
        <f aca="false">BH395-(BD395+BE395-BF395-AY395)</f>
        <v>0</v>
      </c>
      <c r="BV395" s="15" t="n">
        <f aca="false">IF(BH394&lt;Parametri_v3!$C$31,0,BV394+1)</f>
        <v>2</v>
      </c>
    </row>
    <row r="396" customFormat="false" ht="18" hidden="false" customHeight="true" outlineLevel="0" collapsed="false">
      <c r="A396" s="68" t="n">
        <f aca="false">7</f>
        <v>7</v>
      </c>
      <c r="B396" s="68" t="n">
        <f aca="false">32</f>
        <v>32</v>
      </c>
      <c r="C396" s="18" t="n">
        <f aca="false">Motore_Operativo!C396</f>
        <v>47331</v>
      </c>
      <c r="D396" s="68" t="n">
        <f aca="false">Motore_Operativo!D396</f>
        <v>2029</v>
      </c>
      <c r="E396" s="68" t="n">
        <f aca="false">Motore_Operativo!E396</f>
        <v>8</v>
      </c>
      <c r="F396" s="15" t="n">
        <f aca="false">Motore_Operativo!AM396</f>
        <v>60500</v>
      </c>
      <c r="G396" s="15" t="n">
        <f aca="false">Motore_Operativo!BH396</f>
        <v>6050</v>
      </c>
      <c r="H396" s="15" t="n">
        <f aca="false">Motore_Operativo!AM396</f>
        <v>60500</v>
      </c>
      <c r="I396" s="15" t="n">
        <f aca="false">Motore_Operativo!CB396</f>
        <v>46259.8958333333</v>
      </c>
      <c r="J396" s="15" t="n">
        <f aca="false">Motore_Operativo!CD396</f>
        <v>14240.1041666667</v>
      </c>
      <c r="K396" s="15" t="n">
        <f aca="false">Motore_Operativo!CF396</f>
        <v>416.666666666667</v>
      </c>
      <c r="L396" s="15" t="n">
        <f aca="false">SUM(INDEX($K$365:$K$424,MAX(1,32-Parametri_v3!$C$59+1)):K396)/Parametri_v3!$C$59</f>
        <v>314.814814814815</v>
      </c>
      <c r="M396" s="15" t="n">
        <f aca="false">J396-L396</f>
        <v>13925.2893518519</v>
      </c>
      <c r="N396" s="15" t="n">
        <f aca="false">0</f>
        <v>0</v>
      </c>
      <c r="O396" s="15" t="n">
        <f aca="false">0</f>
        <v>0</v>
      </c>
      <c r="P396" s="15" t="n">
        <f aca="false">M396+N396-O396</f>
        <v>13925.2893518519</v>
      </c>
      <c r="Q396" s="15" t="n">
        <f aca="false">SUM(P389:P396)+Parametri_v3!$C$56*8/12</f>
        <v>111726.388888889</v>
      </c>
      <c r="R396" s="15" t="n">
        <f aca="false">Z388</f>
        <v>0</v>
      </c>
      <c r="S396" s="15" t="n">
        <f aca="false">AA388</f>
        <v>0</v>
      </c>
      <c r="T396" s="15" t="n">
        <f aca="false">MIN(R396,MAX(0,Q396))</f>
        <v>0</v>
      </c>
      <c r="U396" s="15" t="n">
        <f aca="false">MIN(S396,MAX(0,Q396-T396)*Parametri_v3!$C$42)</f>
        <v>0</v>
      </c>
      <c r="V396" s="15" t="n">
        <f aca="false">MAX(0,Q396-T396-U396)*Ipotesi!$C$92</f>
        <v>26814.3333333333</v>
      </c>
      <c r="W396" s="15" t="n">
        <f aca="false">MAX(0,SUM(M389:M396)+Parametri_v3!$C$57*8/12)*Ipotesi!$C$93</f>
        <v>4357.32916666667</v>
      </c>
      <c r="X396" s="15" t="n">
        <f aca="false">V396+W396-(V395+W395)</f>
        <v>3885.15572916667</v>
      </c>
      <c r="Y396" s="15" t="n">
        <f aca="false">P396-X396</f>
        <v>10040.1336226852</v>
      </c>
      <c r="Z396" s="15" t="n">
        <f aca="false">R396-T396+IF(AND(Parametri_v3!$C$40=1,D396-YEAR(Parametri_v3!$C$50)&lt;Parametri_v3!$C$41),MAX(0,-Q396),0)</f>
        <v>0</v>
      </c>
      <c r="AA396" s="15" t="n">
        <f aca="false">S396-U396+IF(AND(Parametri_v3!$C$40=1,D396-YEAR(Parametri_v3!$C$50)&lt;Parametri_v3!$C$41),0,MAX(0,-Q396))</f>
        <v>0</v>
      </c>
      <c r="AB396" s="15" t="n">
        <f aca="false">F396*(1+Parametri_v3!$C$26)</f>
        <v>73810</v>
      </c>
      <c r="AC396" s="15" t="n">
        <f aca="false">(IF(32-(INT((Motore_Operativo!L396)/30))&lt;1,0,INDEX(Motore_Advisory!$AB$365:$AB$424,MAX(1,32-(INT((Motore_Operativo!L396)/30)))))*(1-(MOD((Motore_Operativo!L396),30)/30))+IF(32-(INT((Motore_Operativo!L396)/30))-1&lt;1,0,INDEX(Motore_Advisory!$AB$365:$AB$424,MAX(1,32-(INT((Motore_Operativo!L396)/30))-1)))*(MOD((Motore_Operativo!L396),30)/30))</f>
        <v>73810</v>
      </c>
      <c r="AD396" s="15" t="n">
        <f aca="false">(AD395)+AB396-AC396</f>
        <v>221430</v>
      </c>
      <c r="AE396" s="15" t="n">
        <f aca="false">Motore_Operativo!BH396*(1+Parametri_v3!$C$26)</f>
        <v>7381</v>
      </c>
      <c r="AF396" s="15" t="n">
        <f aca="false">(IF(32-(INT((Parametri_v3!$C$29)/30))&lt;1,0,INDEX(Motore_Operativo!$BH$365:$BH$424,MAX(1,32-(INT((Parametri_v3!$C$29)/30)))))*(1-(MOD((Parametri_v3!$C$29),30)/30))+IF(32-(INT((Parametri_v3!$C$29)/30))-1&lt;1,0,INDEX(Motore_Operativo!$BH$365:$BH$424,MAX(1,32-(INT((Parametri_v3!$C$29)/30))-1)))*(MOD((Parametri_v3!$C$29),30)/30))*(1+Parametri_v3!$C$26)</f>
        <v>7381</v>
      </c>
      <c r="AG396" s="15" t="n">
        <f aca="false">(AG395)+AE396-AF396</f>
        <v>7381</v>
      </c>
      <c r="AH396" s="15" t="n">
        <f aca="false">(Motore_Operativo!CK396)*(1+Parametri_v3!$C$28*Parametri_v3!$C$26)</f>
        <v>17395.98</v>
      </c>
      <c r="AI396" s="15" t="n">
        <f aca="false">(IF(32-(INT((Ipotesi!$C$91)/30))&lt;1,0,INDEX(Motore_Advisory!$AH$365:$AH$424,MAX(1,32-(INT((Ipotesi!$C$91)/30)))))*(1-(MOD((Ipotesi!$C$91),30)/30))+IF(32-(INT((Ipotesi!$C$91)/30))-1&lt;1,0,INDEX(Motore_Advisory!$AH$365:$AH$424,MAX(1,32-(INT((Ipotesi!$C$91)/30))-1)))*(MOD((Ipotesi!$C$91),30)/30))</f>
        <v>17395.98</v>
      </c>
      <c r="AJ396" s="15" t="n">
        <f aca="false">(AJ395)+AH396-AI396</f>
        <v>34791.96</v>
      </c>
      <c r="AK396" s="15" t="n">
        <f aca="false">(F396- Motore_Operativo!BH396-(Motore_Operativo!CK396)*Parametri_v3!$C$28-Motore_Operativo!CF396)*Parametri_v3!$C$26</f>
        <v>9283.85333333333</v>
      </c>
      <c r="AL396" s="15" t="n">
        <f aca="false">MAX(0,(AM395))</f>
        <v>9283.85333333333</v>
      </c>
      <c r="AM396" s="15" t="n">
        <f aca="false">(AM395)+AK396-AL396</f>
        <v>9283.85333333333</v>
      </c>
      <c r="AN396" s="15" t="n">
        <f aca="false">SUM(X377:X388)</f>
        <v>16530.1714788732</v>
      </c>
      <c r="AO396" s="15" t="n">
        <f aca="false">SUM(AP377:AP388)</f>
        <v>13562.3123684211</v>
      </c>
      <c r="AP396" s="15" t="n">
        <f aca="false">MAX(0,AN396)*IF(8=Parametri_v3!$C$43,Parametri_v3!$C$45,IF(8=Parametri_v3!$C$44,1-Parametri_v3!$C$45,0))</f>
        <v>0</v>
      </c>
      <c r="AQ396" s="15" t="n">
        <f aca="false">MAX(0,AP396+IF(8=Parametri_v3!$C$43,MAX(0,AN396-AO396),0)-MAX(0,-(AR395)))</f>
        <v>0</v>
      </c>
      <c r="AR396" s="15" t="n">
        <f aca="false">(AR395)+X396-AQ396</f>
        <v>24559.5939084507</v>
      </c>
      <c r="AS396" s="15" t="n">
        <f aca="false">Motore_Operativo!AC396-AT396+AU396</f>
        <v>24146.5260416667</v>
      </c>
      <c r="AT396" s="15" t="n">
        <f aca="false">Motore_Operativo!CI396</f>
        <v>1270.86979166667</v>
      </c>
      <c r="AU396" s="15" t="n">
        <f aca="false">MIN(MAX(0,(AV395)+AT396),Parametri_v3!$C$61/12)</f>
        <v>0</v>
      </c>
      <c r="AV396" s="15" t="n">
        <f aca="false">(AV395)+AT396-AU396</f>
        <v>22895.9583333333</v>
      </c>
      <c r="AW396" s="15" t="n">
        <f aca="false">IF(AND(Motore_Operativo!C396=Finanziamenti!$D$7,Finanziamenti!$F$7=1),Finanziamenti!$C$7,0)</f>
        <v>0</v>
      </c>
      <c r="AX396" s="15" t="n">
        <f aca="false">0</f>
        <v>0</v>
      </c>
      <c r="AY396" s="15" t="n">
        <f aca="false">IF(8=Parametri_v3!$C$33,IF(BV396&lt;MIN(12,$B396-1),0,MIN(MAX(0,SUM(Y377:Y388))*Ipotesi!$C$94,MAX(0,(BM388)-(BO395)-BP396),MAX(0,BD396-Parametri_v3!$C$31))),0)</f>
        <v>0</v>
      </c>
      <c r="AZ396" s="15" t="n">
        <f aca="false">0</f>
        <v>0</v>
      </c>
      <c r="BA396" s="15" t="n">
        <f aca="false">0</f>
        <v>0</v>
      </c>
      <c r="BB396" s="15" t="n">
        <f aca="false">0</f>
        <v>0</v>
      </c>
      <c r="BC396" s="15" t="n">
        <f aca="false">0</f>
        <v>0</v>
      </c>
      <c r="BD396" s="15" t="n">
        <f aca="false">(BH395)+AC396-AF396-AI396-AS396-K396*(1+Parametri_v3!$C$26)-AL396-AQ396-O396+AW396+AX396+AZ396+BA396-BB396</f>
        <v>49108.528716333</v>
      </c>
      <c r="BE396" s="15" t="n">
        <f aca="false">0</f>
        <v>0</v>
      </c>
      <c r="BF396" s="15" t="n">
        <f aca="false">0</f>
        <v>0</v>
      </c>
      <c r="BG396" s="15" t="n">
        <f aca="false">0</f>
        <v>0</v>
      </c>
      <c r="BH396" s="15" t="n">
        <f aca="false">BD396+BE396-BF396-AY396</f>
        <v>49108.528716333</v>
      </c>
      <c r="BI396" s="15" t="n">
        <f aca="false">MAX(0,Parametri_v3!$C$31-BH396)</f>
        <v>0</v>
      </c>
      <c r="BJ396" s="15" t="n">
        <f aca="false">(BJ395)+K396</f>
        <v>11333.3333333333</v>
      </c>
      <c r="BK396" s="15" t="n">
        <f aca="false">(BK395)+L396</f>
        <v>4638.88888888889</v>
      </c>
      <c r="BL396" s="15" t="n">
        <f aca="false">BJ396-BK396</f>
        <v>6694.44444444444</v>
      </c>
      <c r="BM396" s="15" t="n">
        <f aca="false">(BM395)+Y396</f>
        <v>158320.60758566</v>
      </c>
      <c r="BN396" s="15" t="n">
        <f aca="false">(BN395)+AW396+AX396+AZ396</f>
        <v>20000</v>
      </c>
      <c r="BO396" s="15" t="n">
        <f aca="false">(BO395)+AY396</f>
        <v>0</v>
      </c>
      <c r="BP396" s="15" t="n">
        <f aca="false">MIN(Parametri_v3!$C$36*Parametri_v3!$C$35,(BP395)+IF(8=1,MAX(0,SUM(Y377:Y388))*Parametri_v3!$C$34,0))</f>
        <v>2000</v>
      </c>
      <c r="BQ396" s="15" t="n">
        <f aca="false">BN396+BM396-BO396</f>
        <v>178320.60758566</v>
      </c>
      <c r="BR396" s="15" t="n">
        <f aca="false">BH396+AD396+BL396+MAX(0,-AM396)+MAX(0,-AR396)</f>
        <v>277232.973160778</v>
      </c>
      <c r="BS396" s="15" t="n">
        <f aca="false">AJ396+AV396+MAX(0,AM396)+MAX(0,AR396)+BC396+BG396+BQ396+AG396</f>
        <v>277232.973160778</v>
      </c>
      <c r="BT396" s="15" t="n">
        <f aca="false">BR396-BS396</f>
        <v>0</v>
      </c>
      <c r="BU396" s="15" t="n">
        <f aca="false">BH396-(BD396+BE396-BF396-AY396)</f>
        <v>0</v>
      </c>
      <c r="BV396" s="15" t="n">
        <f aca="false">IF(BH395&lt;Parametri_v3!$C$31,0,BV395+1)</f>
        <v>3</v>
      </c>
    </row>
    <row r="397" customFormat="false" ht="18" hidden="false" customHeight="true" outlineLevel="0" collapsed="false">
      <c r="A397" s="68" t="n">
        <f aca="false">7</f>
        <v>7</v>
      </c>
      <c r="B397" s="68" t="n">
        <f aca="false">33</f>
        <v>33</v>
      </c>
      <c r="C397" s="18" t="n">
        <f aca="false">Motore_Operativo!C397</f>
        <v>47362</v>
      </c>
      <c r="D397" s="68" t="n">
        <f aca="false">Motore_Operativo!D397</f>
        <v>2029</v>
      </c>
      <c r="E397" s="68" t="n">
        <f aca="false">Motore_Operativo!E397</f>
        <v>9</v>
      </c>
      <c r="F397" s="15" t="n">
        <f aca="false">Motore_Operativo!AM397</f>
        <v>60500</v>
      </c>
      <c r="G397" s="15" t="n">
        <f aca="false">Motore_Operativo!BH397</f>
        <v>6050</v>
      </c>
      <c r="H397" s="15" t="n">
        <f aca="false">Motore_Operativo!AM397</f>
        <v>60500</v>
      </c>
      <c r="I397" s="15" t="n">
        <f aca="false">Motore_Operativo!CB397</f>
        <v>46259.8958333333</v>
      </c>
      <c r="J397" s="15" t="n">
        <f aca="false">Motore_Operativo!CD397</f>
        <v>14240.1041666667</v>
      </c>
      <c r="K397" s="15" t="n">
        <f aca="false">Motore_Operativo!CF397</f>
        <v>416.666666666667</v>
      </c>
      <c r="L397" s="15" t="n">
        <f aca="false">SUM(INDEX($K$365:$K$424,MAX(1,33-Parametri_v3!$C$59+1)):K397)/Parametri_v3!$C$59</f>
        <v>326.388888888889</v>
      </c>
      <c r="M397" s="15" t="n">
        <f aca="false">J397-L397</f>
        <v>13913.7152777778</v>
      </c>
      <c r="N397" s="15" t="n">
        <f aca="false">0</f>
        <v>0</v>
      </c>
      <c r="O397" s="15" t="n">
        <f aca="false">0</f>
        <v>0</v>
      </c>
      <c r="P397" s="15" t="n">
        <f aca="false">M397+N397-O397</f>
        <v>13913.7152777778</v>
      </c>
      <c r="Q397" s="15" t="n">
        <f aca="false">SUM(P389:P397)+Parametri_v3!$C$56*9/12</f>
        <v>125640.104166667</v>
      </c>
      <c r="R397" s="15" t="n">
        <f aca="false">Z388</f>
        <v>0</v>
      </c>
      <c r="S397" s="15" t="n">
        <f aca="false">AA388</f>
        <v>0</v>
      </c>
      <c r="T397" s="15" t="n">
        <f aca="false">MIN(R397,MAX(0,Q397))</f>
        <v>0</v>
      </c>
      <c r="U397" s="15" t="n">
        <f aca="false">MIN(S397,MAX(0,Q397-T397)*Parametri_v3!$C$42)</f>
        <v>0</v>
      </c>
      <c r="V397" s="15" t="n">
        <f aca="false">MAX(0,Q397-T397-U397)*Ipotesi!$C$92</f>
        <v>30153.625</v>
      </c>
      <c r="W397" s="15" t="n">
        <f aca="false">MAX(0,SUM(M389:M397)+Parametri_v3!$C$57*9/12)*Ipotesi!$C$93</f>
        <v>4899.9640625</v>
      </c>
      <c r="X397" s="15" t="n">
        <f aca="false">V397+W397-(V396+W396)</f>
        <v>3881.9265625</v>
      </c>
      <c r="Y397" s="15" t="n">
        <f aca="false">P397-X397</f>
        <v>10031.7887152778</v>
      </c>
      <c r="Z397" s="15" t="n">
        <f aca="false">R397-T397+IF(AND(Parametri_v3!$C$40=1,D397-YEAR(Parametri_v3!$C$50)&lt;Parametri_v3!$C$41),MAX(0,-Q397),0)</f>
        <v>0</v>
      </c>
      <c r="AA397" s="15" t="n">
        <f aca="false">S397-U397+IF(AND(Parametri_v3!$C$40=1,D397-YEAR(Parametri_v3!$C$50)&lt;Parametri_v3!$C$41),0,MAX(0,-Q397))</f>
        <v>0</v>
      </c>
      <c r="AB397" s="15" t="n">
        <f aca="false">F397*(1+Parametri_v3!$C$26)</f>
        <v>73810</v>
      </c>
      <c r="AC397" s="15" t="n">
        <f aca="false">(IF(33-(INT((Motore_Operativo!L397)/30))&lt;1,0,INDEX(Motore_Advisory!$AB$365:$AB$424,MAX(1,33-(INT((Motore_Operativo!L397)/30)))))*(1-(MOD((Motore_Operativo!L397),30)/30))+IF(33-(INT((Motore_Operativo!L397)/30))-1&lt;1,0,INDEX(Motore_Advisory!$AB$365:$AB$424,MAX(1,33-(INT((Motore_Operativo!L397)/30))-1)))*(MOD((Motore_Operativo!L397),30)/30))</f>
        <v>73810</v>
      </c>
      <c r="AD397" s="15" t="n">
        <f aca="false">(AD396)+AB397-AC397</f>
        <v>221430</v>
      </c>
      <c r="AE397" s="15" t="n">
        <f aca="false">Motore_Operativo!BH397*(1+Parametri_v3!$C$26)</f>
        <v>7381</v>
      </c>
      <c r="AF397" s="15" t="n">
        <f aca="false">(IF(33-(INT((Parametri_v3!$C$29)/30))&lt;1,0,INDEX(Motore_Operativo!$BH$365:$BH$424,MAX(1,33-(INT((Parametri_v3!$C$29)/30)))))*(1-(MOD((Parametri_v3!$C$29),30)/30))+IF(33-(INT((Parametri_v3!$C$29)/30))-1&lt;1,0,INDEX(Motore_Operativo!$BH$365:$BH$424,MAX(1,33-(INT((Parametri_v3!$C$29)/30))-1)))*(MOD((Parametri_v3!$C$29),30)/30))*(1+Parametri_v3!$C$26)</f>
        <v>7381</v>
      </c>
      <c r="AG397" s="15" t="n">
        <f aca="false">(AG396)+AE397-AF397</f>
        <v>7381</v>
      </c>
      <c r="AH397" s="15" t="n">
        <f aca="false">(Motore_Operativo!CK397)*(1+Parametri_v3!$C$28*Parametri_v3!$C$26)</f>
        <v>17395.98</v>
      </c>
      <c r="AI397" s="15" t="n">
        <f aca="false">(IF(33-(INT((Ipotesi!$C$91)/30))&lt;1,0,INDEX(Motore_Advisory!$AH$365:$AH$424,MAX(1,33-(INT((Ipotesi!$C$91)/30)))))*(1-(MOD((Ipotesi!$C$91),30)/30))+IF(33-(INT((Ipotesi!$C$91)/30))-1&lt;1,0,INDEX(Motore_Advisory!$AH$365:$AH$424,MAX(1,33-(INT((Ipotesi!$C$91)/30))-1)))*(MOD((Ipotesi!$C$91),30)/30))</f>
        <v>17395.98</v>
      </c>
      <c r="AJ397" s="15" t="n">
        <f aca="false">(AJ396)+AH397-AI397</f>
        <v>34791.96</v>
      </c>
      <c r="AK397" s="15" t="n">
        <f aca="false">(F397- Motore_Operativo!BH397-(Motore_Operativo!CK397)*Parametri_v3!$C$28-Motore_Operativo!CF397)*Parametri_v3!$C$26</f>
        <v>9283.85333333333</v>
      </c>
      <c r="AL397" s="15" t="n">
        <f aca="false">MAX(0,(AM396))</f>
        <v>9283.85333333333</v>
      </c>
      <c r="AM397" s="15" t="n">
        <f aca="false">(AM396)+AK397-AL397</f>
        <v>9283.85333333333</v>
      </c>
      <c r="AN397" s="15" t="n">
        <f aca="false">SUM(X377:X388)</f>
        <v>16530.1714788732</v>
      </c>
      <c r="AO397" s="15" t="n">
        <f aca="false">SUM(AP377:AP388)</f>
        <v>13562.3123684211</v>
      </c>
      <c r="AP397" s="15" t="n">
        <f aca="false">MAX(0,AN397)*IF(9=Parametri_v3!$C$43,Parametri_v3!$C$45,IF(9=Parametri_v3!$C$44,1-Parametri_v3!$C$45,0))</f>
        <v>0</v>
      </c>
      <c r="AQ397" s="15" t="n">
        <f aca="false">MAX(0,AP397+IF(9=Parametri_v3!$C$43,MAX(0,AN397-AO397),0)-MAX(0,-(AR396)))</f>
        <v>0</v>
      </c>
      <c r="AR397" s="15" t="n">
        <f aca="false">(AR396)+X397-AQ397</f>
        <v>28441.5204709507</v>
      </c>
      <c r="AS397" s="15" t="n">
        <f aca="false">Motore_Operativo!AC397-AT397+AU397</f>
        <v>24146.5260416667</v>
      </c>
      <c r="AT397" s="15" t="n">
        <f aca="false">Motore_Operativo!CI397</f>
        <v>1270.86979166667</v>
      </c>
      <c r="AU397" s="15" t="n">
        <f aca="false">MIN(MAX(0,(AV396)+AT397),Parametri_v3!$C$61/12)</f>
        <v>0</v>
      </c>
      <c r="AV397" s="15" t="n">
        <f aca="false">(AV396)+AT397-AU397</f>
        <v>24166.828125</v>
      </c>
      <c r="AW397" s="15" t="n">
        <f aca="false">IF(AND(Motore_Operativo!C397=Finanziamenti!$D$7,Finanziamenti!$F$7=1),Finanziamenti!$C$7,0)</f>
        <v>0</v>
      </c>
      <c r="AX397" s="15" t="n">
        <f aca="false">0</f>
        <v>0</v>
      </c>
      <c r="AY397" s="15" t="n">
        <f aca="false">IF(9=Parametri_v3!$C$33,IF(BV397&lt;MIN(12,$B397-1),0,MIN(MAX(0,SUM(Y377:Y388))*Ipotesi!$C$94,MAX(0,(BM388)-(BO396)-BP397),MAX(0,BD397-Parametri_v3!$C$31))),0)</f>
        <v>0</v>
      </c>
      <c r="AZ397" s="15" t="n">
        <f aca="false">0</f>
        <v>0</v>
      </c>
      <c r="BA397" s="15" t="n">
        <f aca="false">0</f>
        <v>0</v>
      </c>
      <c r="BB397" s="15" t="n">
        <f aca="false">0</f>
        <v>0</v>
      </c>
      <c r="BC397" s="15" t="n">
        <f aca="false">0</f>
        <v>0</v>
      </c>
      <c r="BD397" s="15" t="n">
        <f aca="false">(BH396)+AC397-AF397-AI397-AS397-K397*(1+Parametri_v3!$C$26)-AL397-AQ397-O397+AW397+AX397+AZ397+BA397-BB397</f>
        <v>64202.8360079997</v>
      </c>
      <c r="BE397" s="15" t="n">
        <f aca="false">0</f>
        <v>0</v>
      </c>
      <c r="BF397" s="15" t="n">
        <f aca="false">0</f>
        <v>0</v>
      </c>
      <c r="BG397" s="15" t="n">
        <f aca="false">0</f>
        <v>0</v>
      </c>
      <c r="BH397" s="15" t="n">
        <f aca="false">BD397+BE397-BF397-AY397</f>
        <v>64202.8360079997</v>
      </c>
      <c r="BI397" s="15" t="n">
        <f aca="false">MAX(0,Parametri_v3!$C$31-BH397)</f>
        <v>0</v>
      </c>
      <c r="BJ397" s="15" t="n">
        <f aca="false">(BJ396)+K397</f>
        <v>11750</v>
      </c>
      <c r="BK397" s="15" t="n">
        <f aca="false">(BK396)+L397</f>
        <v>4965.27777777778</v>
      </c>
      <c r="BL397" s="15" t="n">
        <f aca="false">BJ397-BK397</f>
        <v>6784.72222222222</v>
      </c>
      <c r="BM397" s="15" t="n">
        <f aca="false">(BM396)+Y397</f>
        <v>168352.396300938</v>
      </c>
      <c r="BN397" s="15" t="n">
        <f aca="false">(BN396)+AW397+AX397+AZ397</f>
        <v>20000</v>
      </c>
      <c r="BO397" s="15" t="n">
        <f aca="false">(BO396)+AY397</f>
        <v>0</v>
      </c>
      <c r="BP397" s="15" t="n">
        <f aca="false">MIN(Parametri_v3!$C$36*Parametri_v3!$C$35,(BP396)+IF(9=1,MAX(0,SUM(Y377:Y388))*Parametri_v3!$C$34,0))</f>
        <v>2000</v>
      </c>
      <c r="BQ397" s="15" t="n">
        <f aca="false">BN397+BM397-BO397</f>
        <v>188352.396300938</v>
      </c>
      <c r="BR397" s="15" t="n">
        <f aca="false">BH397+AD397+BL397+MAX(0,-AM397)+MAX(0,-AR397)</f>
        <v>292417.558230222</v>
      </c>
      <c r="BS397" s="15" t="n">
        <f aca="false">AJ397+AV397+MAX(0,AM397)+MAX(0,AR397)+BC397+BG397+BQ397+AG397</f>
        <v>292417.558230222</v>
      </c>
      <c r="BT397" s="15" t="n">
        <f aca="false">BR397-BS397</f>
        <v>0</v>
      </c>
      <c r="BU397" s="15" t="n">
        <f aca="false">BH397-(BD397+BE397-BF397-AY397)</f>
        <v>0</v>
      </c>
      <c r="BV397" s="15" t="n">
        <f aca="false">IF(BH396&lt;Parametri_v3!$C$31,0,BV396+1)</f>
        <v>4</v>
      </c>
    </row>
    <row r="398" customFormat="false" ht="18" hidden="false" customHeight="true" outlineLevel="0" collapsed="false">
      <c r="A398" s="68" t="n">
        <f aca="false">7</f>
        <v>7</v>
      </c>
      <c r="B398" s="68" t="n">
        <f aca="false">34</f>
        <v>34</v>
      </c>
      <c r="C398" s="18" t="n">
        <f aca="false">Motore_Operativo!C398</f>
        <v>47392</v>
      </c>
      <c r="D398" s="68" t="n">
        <f aca="false">Motore_Operativo!D398</f>
        <v>2029</v>
      </c>
      <c r="E398" s="68" t="n">
        <f aca="false">Motore_Operativo!E398</f>
        <v>10</v>
      </c>
      <c r="F398" s="15" t="n">
        <f aca="false">Motore_Operativo!AM398</f>
        <v>60500</v>
      </c>
      <c r="G398" s="15" t="n">
        <f aca="false">Motore_Operativo!BH398</f>
        <v>6050</v>
      </c>
      <c r="H398" s="15" t="n">
        <f aca="false">Motore_Operativo!AM398</f>
        <v>60500</v>
      </c>
      <c r="I398" s="15" t="n">
        <f aca="false">Motore_Operativo!CB398</f>
        <v>46259.8958333333</v>
      </c>
      <c r="J398" s="15" t="n">
        <f aca="false">Motore_Operativo!CD398</f>
        <v>14240.1041666667</v>
      </c>
      <c r="K398" s="15" t="n">
        <f aca="false">Motore_Operativo!CF398</f>
        <v>416.666666666667</v>
      </c>
      <c r="L398" s="15" t="n">
        <f aca="false">SUM(INDEX($K$365:$K$424,MAX(1,34-Parametri_v3!$C$59+1)):K398)/Parametri_v3!$C$59</f>
        <v>337.962962962963</v>
      </c>
      <c r="M398" s="15" t="n">
        <f aca="false">J398-L398</f>
        <v>13902.1412037037</v>
      </c>
      <c r="N398" s="15" t="n">
        <f aca="false">0</f>
        <v>0</v>
      </c>
      <c r="O398" s="15" t="n">
        <f aca="false">0</f>
        <v>0</v>
      </c>
      <c r="P398" s="15" t="n">
        <f aca="false">M398+N398-O398</f>
        <v>13902.1412037037</v>
      </c>
      <c r="Q398" s="15" t="n">
        <f aca="false">SUM(P389:P398)+Parametri_v3!$C$56*10/12</f>
        <v>139542.24537037</v>
      </c>
      <c r="R398" s="15" t="n">
        <f aca="false">Z388</f>
        <v>0</v>
      </c>
      <c r="S398" s="15" t="n">
        <f aca="false">AA388</f>
        <v>0</v>
      </c>
      <c r="T398" s="15" t="n">
        <f aca="false">MIN(R398,MAX(0,Q398))</f>
        <v>0</v>
      </c>
      <c r="U398" s="15" t="n">
        <f aca="false">MIN(S398,MAX(0,Q398-T398)*Parametri_v3!$C$42)</f>
        <v>0</v>
      </c>
      <c r="V398" s="15" t="n">
        <f aca="false">MAX(0,Q398-T398-U398)*Ipotesi!$C$92</f>
        <v>33490.1388888889</v>
      </c>
      <c r="W398" s="15" t="n">
        <f aca="false">MAX(0,SUM(M389:M398)+Parametri_v3!$C$57*10/12)*Ipotesi!$C$93</f>
        <v>5442.14756944445</v>
      </c>
      <c r="X398" s="15" t="n">
        <f aca="false">V398+W398-(V397+W397)</f>
        <v>3878.69739583333</v>
      </c>
      <c r="Y398" s="15" t="n">
        <f aca="false">P398-X398</f>
        <v>10023.4438078704</v>
      </c>
      <c r="Z398" s="15" t="n">
        <f aca="false">R398-T398+IF(AND(Parametri_v3!$C$40=1,D398-YEAR(Parametri_v3!$C$50)&lt;Parametri_v3!$C$41),MAX(0,-Q398),0)</f>
        <v>0</v>
      </c>
      <c r="AA398" s="15" t="n">
        <f aca="false">S398-U398+IF(AND(Parametri_v3!$C$40=1,D398-YEAR(Parametri_v3!$C$50)&lt;Parametri_v3!$C$41),0,MAX(0,-Q398))</f>
        <v>0</v>
      </c>
      <c r="AB398" s="15" t="n">
        <f aca="false">F398*(1+Parametri_v3!$C$26)</f>
        <v>73810</v>
      </c>
      <c r="AC398" s="15" t="n">
        <f aca="false">(IF(34-(INT((Motore_Operativo!L398)/30))&lt;1,0,INDEX(Motore_Advisory!$AB$365:$AB$424,MAX(1,34-(INT((Motore_Operativo!L398)/30)))))*(1-(MOD((Motore_Operativo!L398),30)/30))+IF(34-(INT((Motore_Operativo!L398)/30))-1&lt;1,0,INDEX(Motore_Advisory!$AB$365:$AB$424,MAX(1,34-(INT((Motore_Operativo!L398)/30))-1)))*(MOD((Motore_Operativo!L398),30)/30))</f>
        <v>73810</v>
      </c>
      <c r="AD398" s="15" t="n">
        <f aca="false">(AD397)+AB398-AC398</f>
        <v>221430</v>
      </c>
      <c r="AE398" s="15" t="n">
        <f aca="false">Motore_Operativo!BH398*(1+Parametri_v3!$C$26)</f>
        <v>7381</v>
      </c>
      <c r="AF398" s="15" t="n">
        <f aca="false">(IF(34-(INT((Parametri_v3!$C$29)/30))&lt;1,0,INDEX(Motore_Operativo!$BH$365:$BH$424,MAX(1,34-(INT((Parametri_v3!$C$29)/30)))))*(1-(MOD((Parametri_v3!$C$29),30)/30))+IF(34-(INT((Parametri_v3!$C$29)/30))-1&lt;1,0,INDEX(Motore_Operativo!$BH$365:$BH$424,MAX(1,34-(INT((Parametri_v3!$C$29)/30))-1)))*(MOD((Parametri_v3!$C$29),30)/30))*(1+Parametri_v3!$C$26)</f>
        <v>7381</v>
      </c>
      <c r="AG398" s="15" t="n">
        <f aca="false">(AG397)+AE398-AF398</f>
        <v>7381</v>
      </c>
      <c r="AH398" s="15" t="n">
        <f aca="false">(Motore_Operativo!CK398)*(1+Parametri_v3!$C$28*Parametri_v3!$C$26)</f>
        <v>17395.98</v>
      </c>
      <c r="AI398" s="15" t="n">
        <f aca="false">(IF(34-(INT((Ipotesi!$C$91)/30))&lt;1,0,INDEX(Motore_Advisory!$AH$365:$AH$424,MAX(1,34-(INT((Ipotesi!$C$91)/30)))))*(1-(MOD((Ipotesi!$C$91),30)/30))+IF(34-(INT((Ipotesi!$C$91)/30))-1&lt;1,0,INDEX(Motore_Advisory!$AH$365:$AH$424,MAX(1,34-(INT((Ipotesi!$C$91)/30))-1)))*(MOD((Ipotesi!$C$91),30)/30))</f>
        <v>17395.98</v>
      </c>
      <c r="AJ398" s="15" t="n">
        <f aca="false">(AJ397)+AH398-AI398</f>
        <v>34791.96</v>
      </c>
      <c r="AK398" s="15" t="n">
        <f aca="false">(F398- Motore_Operativo!BH398-(Motore_Operativo!CK398)*Parametri_v3!$C$28-Motore_Operativo!CF398)*Parametri_v3!$C$26</f>
        <v>9283.85333333333</v>
      </c>
      <c r="AL398" s="15" t="n">
        <f aca="false">MAX(0,(AM397))</f>
        <v>9283.85333333333</v>
      </c>
      <c r="AM398" s="15" t="n">
        <f aca="false">(AM397)+AK398-AL398</f>
        <v>9283.85333333333</v>
      </c>
      <c r="AN398" s="15" t="n">
        <f aca="false">SUM(X377:X388)</f>
        <v>16530.1714788732</v>
      </c>
      <c r="AO398" s="15" t="n">
        <f aca="false">SUM(AP377:AP388)</f>
        <v>13562.3123684211</v>
      </c>
      <c r="AP398" s="15" t="n">
        <f aca="false">MAX(0,AN398)*IF(10=Parametri_v3!$C$43,Parametri_v3!$C$45,IF(10=Parametri_v3!$C$44,1-Parametri_v3!$C$45,0))</f>
        <v>0</v>
      </c>
      <c r="AQ398" s="15" t="n">
        <f aca="false">MAX(0,AP398+IF(10=Parametri_v3!$C$43,MAX(0,AN398-AO398),0)-MAX(0,-(AR397)))</f>
        <v>0</v>
      </c>
      <c r="AR398" s="15" t="n">
        <f aca="false">(AR397)+X398-AQ398</f>
        <v>32320.2178667841</v>
      </c>
      <c r="AS398" s="15" t="n">
        <f aca="false">Motore_Operativo!AC398-AT398+AU398</f>
        <v>24146.5260416667</v>
      </c>
      <c r="AT398" s="15" t="n">
        <f aca="false">Motore_Operativo!CI398</f>
        <v>1270.86979166667</v>
      </c>
      <c r="AU398" s="15" t="n">
        <f aca="false">MIN(MAX(0,(AV397)+AT398),Parametri_v3!$C$61/12)</f>
        <v>0</v>
      </c>
      <c r="AV398" s="15" t="n">
        <f aca="false">(AV397)+AT398-AU398</f>
        <v>25437.6979166667</v>
      </c>
      <c r="AW398" s="15" t="n">
        <f aca="false">IF(AND(Motore_Operativo!C398=Finanziamenti!$D$7,Finanziamenti!$F$7=1),Finanziamenti!$C$7,0)</f>
        <v>0</v>
      </c>
      <c r="AX398" s="15" t="n">
        <f aca="false">0</f>
        <v>0</v>
      </c>
      <c r="AY398" s="15" t="n">
        <f aca="false">IF(10=Parametri_v3!$C$33,IF(BV398&lt;MIN(12,$B398-1),0,MIN(MAX(0,SUM(Y377:Y388))*Ipotesi!$C$94,MAX(0,(BM388)-(BO397)-BP398),MAX(0,BD398-Parametri_v3!$C$31))),0)</f>
        <v>0</v>
      </c>
      <c r="AZ398" s="15" t="n">
        <f aca="false">0</f>
        <v>0</v>
      </c>
      <c r="BA398" s="15" t="n">
        <f aca="false">0</f>
        <v>0</v>
      </c>
      <c r="BB398" s="15" t="n">
        <f aca="false">0</f>
        <v>0</v>
      </c>
      <c r="BC398" s="15" t="n">
        <f aca="false">0</f>
        <v>0</v>
      </c>
      <c r="BD398" s="15" t="n">
        <f aca="false">(BH397)+AC398-AF398-AI398-AS398-K398*(1+Parametri_v3!$C$26)-AL398-AQ398-O398+AW398+AX398+AZ398+BA398-BB398</f>
        <v>79297.1432996664</v>
      </c>
      <c r="BE398" s="15" t="n">
        <f aca="false">0</f>
        <v>0</v>
      </c>
      <c r="BF398" s="15" t="n">
        <f aca="false">0</f>
        <v>0</v>
      </c>
      <c r="BG398" s="15" t="n">
        <f aca="false">0</f>
        <v>0</v>
      </c>
      <c r="BH398" s="15" t="n">
        <f aca="false">BD398+BE398-BF398-AY398</f>
        <v>79297.1432996664</v>
      </c>
      <c r="BI398" s="15" t="n">
        <f aca="false">MAX(0,Parametri_v3!$C$31-BH398)</f>
        <v>0</v>
      </c>
      <c r="BJ398" s="15" t="n">
        <f aca="false">(BJ397)+K398</f>
        <v>12166.6666666667</v>
      </c>
      <c r="BK398" s="15" t="n">
        <f aca="false">(BK397)+L398</f>
        <v>5303.24074074074</v>
      </c>
      <c r="BL398" s="15" t="n">
        <f aca="false">BJ398-BK398</f>
        <v>6863.42592592592</v>
      </c>
      <c r="BM398" s="15" t="n">
        <f aca="false">(BM397)+Y398</f>
        <v>178375.840108808</v>
      </c>
      <c r="BN398" s="15" t="n">
        <f aca="false">(BN397)+AW398+AX398+AZ398</f>
        <v>20000</v>
      </c>
      <c r="BO398" s="15" t="n">
        <f aca="false">(BO397)+AY398</f>
        <v>0</v>
      </c>
      <c r="BP398" s="15" t="n">
        <f aca="false">MIN(Parametri_v3!$C$36*Parametri_v3!$C$35,(BP397)+IF(10=1,MAX(0,SUM(Y377:Y388))*Parametri_v3!$C$34,0))</f>
        <v>2000</v>
      </c>
      <c r="BQ398" s="15" t="n">
        <f aca="false">BN398+BM398-BO398</f>
        <v>198375.840108808</v>
      </c>
      <c r="BR398" s="15" t="n">
        <f aca="false">BH398+AD398+BL398+MAX(0,-AM398)+MAX(0,-AR398)</f>
        <v>307590.569225592</v>
      </c>
      <c r="BS398" s="15" t="n">
        <f aca="false">AJ398+AV398+MAX(0,AM398)+MAX(0,AR398)+BC398+BG398+BQ398+AG398</f>
        <v>307590.569225592</v>
      </c>
      <c r="BT398" s="15" t="n">
        <f aca="false">BR398-BS398</f>
        <v>0</v>
      </c>
      <c r="BU398" s="15" t="n">
        <f aca="false">BH398-(BD398+BE398-BF398-AY398)</f>
        <v>0</v>
      </c>
      <c r="BV398" s="15" t="n">
        <f aca="false">IF(BH397&lt;Parametri_v3!$C$31,0,BV397+1)</f>
        <v>5</v>
      </c>
    </row>
    <row r="399" customFormat="false" ht="18" hidden="false" customHeight="true" outlineLevel="0" collapsed="false">
      <c r="A399" s="68" t="n">
        <f aca="false">7</f>
        <v>7</v>
      </c>
      <c r="B399" s="68" t="n">
        <f aca="false">35</f>
        <v>35</v>
      </c>
      <c r="C399" s="18" t="n">
        <f aca="false">Motore_Operativo!C399</f>
        <v>47423</v>
      </c>
      <c r="D399" s="68" t="n">
        <f aca="false">Motore_Operativo!D399</f>
        <v>2029</v>
      </c>
      <c r="E399" s="68" t="n">
        <f aca="false">Motore_Operativo!E399</f>
        <v>11</v>
      </c>
      <c r="F399" s="15" t="n">
        <f aca="false">Motore_Operativo!AM399</f>
        <v>60500</v>
      </c>
      <c r="G399" s="15" t="n">
        <f aca="false">Motore_Operativo!BH399</f>
        <v>6050</v>
      </c>
      <c r="H399" s="15" t="n">
        <f aca="false">Motore_Operativo!AM399</f>
        <v>60500</v>
      </c>
      <c r="I399" s="15" t="n">
        <f aca="false">Motore_Operativo!CB399</f>
        <v>46259.8958333333</v>
      </c>
      <c r="J399" s="15" t="n">
        <f aca="false">Motore_Operativo!CD399</f>
        <v>14240.1041666667</v>
      </c>
      <c r="K399" s="15" t="n">
        <f aca="false">Motore_Operativo!CF399</f>
        <v>416.666666666667</v>
      </c>
      <c r="L399" s="15" t="n">
        <f aca="false">SUM(INDEX($K$365:$K$424,MAX(1,35-Parametri_v3!$C$59+1)):K399)/Parametri_v3!$C$59</f>
        <v>349.537037037037</v>
      </c>
      <c r="M399" s="15" t="n">
        <f aca="false">J399-L399</f>
        <v>13890.5671296296</v>
      </c>
      <c r="N399" s="15" t="n">
        <f aca="false">0</f>
        <v>0</v>
      </c>
      <c r="O399" s="15" t="n">
        <f aca="false">0</f>
        <v>0</v>
      </c>
      <c r="P399" s="15" t="n">
        <f aca="false">M399+N399-O399</f>
        <v>13890.5671296296</v>
      </c>
      <c r="Q399" s="15" t="n">
        <f aca="false">SUM(P389:P399)+Parametri_v3!$C$56*11/12</f>
        <v>153432.8125</v>
      </c>
      <c r="R399" s="15" t="n">
        <f aca="false">Z388</f>
        <v>0</v>
      </c>
      <c r="S399" s="15" t="n">
        <f aca="false">AA388</f>
        <v>0</v>
      </c>
      <c r="T399" s="15" t="n">
        <f aca="false">MIN(R399,MAX(0,Q399))</f>
        <v>0</v>
      </c>
      <c r="U399" s="15" t="n">
        <f aca="false">MIN(S399,MAX(0,Q399-T399)*Parametri_v3!$C$42)</f>
        <v>0</v>
      </c>
      <c r="V399" s="15" t="n">
        <f aca="false">MAX(0,Q399-T399-U399)*Ipotesi!$C$92</f>
        <v>36823.875</v>
      </c>
      <c r="W399" s="15" t="n">
        <f aca="false">MAX(0,SUM(M389:M399)+Parametri_v3!$C$57*11/12)*Ipotesi!$C$93</f>
        <v>5983.8796875</v>
      </c>
      <c r="X399" s="15" t="n">
        <f aca="false">V399+W399-(V398+W398)</f>
        <v>3875.46822916668</v>
      </c>
      <c r="Y399" s="15" t="n">
        <f aca="false">P399-X399</f>
        <v>10015.098900463</v>
      </c>
      <c r="Z399" s="15" t="n">
        <f aca="false">R399-T399+IF(AND(Parametri_v3!$C$40=1,D399-YEAR(Parametri_v3!$C$50)&lt;Parametri_v3!$C$41),MAX(0,-Q399),0)</f>
        <v>0</v>
      </c>
      <c r="AA399" s="15" t="n">
        <f aca="false">S399-U399+IF(AND(Parametri_v3!$C$40=1,D399-YEAR(Parametri_v3!$C$50)&lt;Parametri_v3!$C$41),0,MAX(0,-Q399))</f>
        <v>0</v>
      </c>
      <c r="AB399" s="15" t="n">
        <f aca="false">F399*(1+Parametri_v3!$C$26)</f>
        <v>73810</v>
      </c>
      <c r="AC399" s="15" t="n">
        <f aca="false">(IF(35-(INT((Motore_Operativo!L399)/30))&lt;1,0,INDEX(Motore_Advisory!$AB$365:$AB$424,MAX(1,35-(INT((Motore_Operativo!L399)/30)))))*(1-(MOD((Motore_Operativo!L399),30)/30))+IF(35-(INT((Motore_Operativo!L399)/30))-1&lt;1,0,INDEX(Motore_Advisory!$AB$365:$AB$424,MAX(1,35-(INT((Motore_Operativo!L399)/30))-1)))*(MOD((Motore_Operativo!L399),30)/30))</f>
        <v>73810</v>
      </c>
      <c r="AD399" s="15" t="n">
        <f aca="false">(AD398)+AB399-AC399</f>
        <v>221430</v>
      </c>
      <c r="AE399" s="15" t="n">
        <f aca="false">Motore_Operativo!BH399*(1+Parametri_v3!$C$26)</f>
        <v>7381</v>
      </c>
      <c r="AF399" s="15" t="n">
        <f aca="false">(IF(35-(INT((Parametri_v3!$C$29)/30))&lt;1,0,INDEX(Motore_Operativo!$BH$365:$BH$424,MAX(1,35-(INT((Parametri_v3!$C$29)/30)))))*(1-(MOD((Parametri_v3!$C$29),30)/30))+IF(35-(INT((Parametri_v3!$C$29)/30))-1&lt;1,0,INDEX(Motore_Operativo!$BH$365:$BH$424,MAX(1,35-(INT((Parametri_v3!$C$29)/30))-1)))*(MOD((Parametri_v3!$C$29),30)/30))*(1+Parametri_v3!$C$26)</f>
        <v>7381</v>
      </c>
      <c r="AG399" s="15" t="n">
        <f aca="false">(AG398)+AE399-AF399</f>
        <v>7381</v>
      </c>
      <c r="AH399" s="15" t="n">
        <f aca="false">(Motore_Operativo!CK399)*(1+Parametri_v3!$C$28*Parametri_v3!$C$26)</f>
        <v>17395.98</v>
      </c>
      <c r="AI399" s="15" t="n">
        <f aca="false">(IF(35-(INT((Ipotesi!$C$91)/30))&lt;1,0,INDEX(Motore_Advisory!$AH$365:$AH$424,MAX(1,35-(INT((Ipotesi!$C$91)/30)))))*(1-(MOD((Ipotesi!$C$91),30)/30))+IF(35-(INT((Ipotesi!$C$91)/30))-1&lt;1,0,INDEX(Motore_Advisory!$AH$365:$AH$424,MAX(1,35-(INT((Ipotesi!$C$91)/30))-1)))*(MOD((Ipotesi!$C$91),30)/30))</f>
        <v>17395.98</v>
      </c>
      <c r="AJ399" s="15" t="n">
        <f aca="false">(AJ398)+AH399-AI399</f>
        <v>34791.96</v>
      </c>
      <c r="AK399" s="15" t="n">
        <f aca="false">(F399- Motore_Operativo!BH399-(Motore_Operativo!CK399)*Parametri_v3!$C$28-Motore_Operativo!CF399)*Parametri_v3!$C$26</f>
        <v>9283.85333333333</v>
      </c>
      <c r="AL399" s="15" t="n">
        <f aca="false">MAX(0,(AM398))</f>
        <v>9283.85333333333</v>
      </c>
      <c r="AM399" s="15" t="n">
        <f aca="false">(AM398)+AK399-AL399</f>
        <v>9283.85333333333</v>
      </c>
      <c r="AN399" s="15" t="n">
        <f aca="false">SUM(X377:X388)</f>
        <v>16530.1714788732</v>
      </c>
      <c r="AO399" s="15" t="n">
        <f aca="false">SUM(AP377:AP388)</f>
        <v>13562.3123684211</v>
      </c>
      <c r="AP399" s="15" t="n">
        <f aca="false">MAX(0,AN399)*IF(11=Parametri_v3!$C$43,Parametri_v3!$C$45,IF(11=Parametri_v3!$C$44,1-Parametri_v3!$C$45,0))</f>
        <v>9918.10288732394</v>
      </c>
      <c r="AQ399" s="15" t="n">
        <f aca="false">MAX(0,AP399+IF(11=Parametri_v3!$C$43,MAX(0,AN399-AO399),0)-MAX(0,-(AR398)))</f>
        <v>9918.10288732394</v>
      </c>
      <c r="AR399" s="15" t="n">
        <f aca="false">(AR398)+X399-AQ399</f>
        <v>26277.5832086268</v>
      </c>
      <c r="AS399" s="15" t="n">
        <f aca="false">Motore_Operativo!AC399-AT399+AU399</f>
        <v>24146.5260416667</v>
      </c>
      <c r="AT399" s="15" t="n">
        <f aca="false">Motore_Operativo!CI399</f>
        <v>1270.86979166667</v>
      </c>
      <c r="AU399" s="15" t="n">
        <f aca="false">MIN(MAX(0,(AV398)+AT399),Parametri_v3!$C$61/12)</f>
        <v>0</v>
      </c>
      <c r="AV399" s="15" t="n">
        <f aca="false">(AV398)+AT399-AU399</f>
        <v>26708.5677083333</v>
      </c>
      <c r="AW399" s="15" t="n">
        <f aca="false">IF(AND(Motore_Operativo!C399=Finanziamenti!$D$7,Finanziamenti!$F$7=1),Finanziamenti!$C$7,0)</f>
        <v>0</v>
      </c>
      <c r="AX399" s="15" t="n">
        <f aca="false">0</f>
        <v>0</v>
      </c>
      <c r="AY399" s="15" t="n">
        <f aca="false">IF(11=Parametri_v3!$C$33,IF(BV399&lt;MIN(12,$B399-1),0,MIN(MAX(0,SUM(Y377:Y388))*Ipotesi!$C$94,MAX(0,(BM388)-(BO398)-BP399),MAX(0,BD399-Parametri_v3!$C$31))),0)</f>
        <v>0</v>
      </c>
      <c r="AZ399" s="15" t="n">
        <f aca="false">0</f>
        <v>0</v>
      </c>
      <c r="BA399" s="15" t="n">
        <f aca="false">0</f>
        <v>0</v>
      </c>
      <c r="BB399" s="15" t="n">
        <f aca="false">0</f>
        <v>0</v>
      </c>
      <c r="BC399" s="15" t="n">
        <f aca="false">0</f>
        <v>0</v>
      </c>
      <c r="BD399" s="15" t="n">
        <f aca="false">(BH398)+AC399-AF399-AI399-AS399-K399*(1+Parametri_v3!$C$26)-AL399-AQ399-O399+AW399+AX399+AZ399+BA399-BB399</f>
        <v>84473.3477040091</v>
      </c>
      <c r="BE399" s="15" t="n">
        <f aca="false">0</f>
        <v>0</v>
      </c>
      <c r="BF399" s="15" t="n">
        <f aca="false">0</f>
        <v>0</v>
      </c>
      <c r="BG399" s="15" t="n">
        <f aca="false">0</f>
        <v>0</v>
      </c>
      <c r="BH399" s="15" t="n">
        <f aca="false">BD399+BE399-BF399-AY399</f>
        <v>84473.3477040091</v>
      </c>
      <c r="BI399" s="15" t="n">
        <f aca="false">MAX(0,Parametri_v3!$C$31-BH399)</f>
        <v>0</v>
      </c>
      <c r="BJ399" s="15" t="n">
        <f aca="false">(BJ398)+K399</f>
        <v>12583.3333333333</v>
      </c>
      <c r="BK399" s="15" t="n">
        <f aca="false">(BK398)+L399</f>
        <v>5652.77777777778</v>
      </c>
      <c r="BL399" s="15" t="n">
        <f aca="false">BJ399-BK399</f>
        <v>6930.55555555555</v>
      </c>
      <c r="BM399" s="15" t="n">
        <f aca="false">(BM398)+Y399</f>
        <v>188390.939009271</v>
      </c>
      <c r="BN399" s="15" t="n">
        <f aca="false">(BN398)+AW399+AX399+AZ399</f>
        <v>20000</v>
      </c>
      <c r="BO399" s="15" t="n">
        <f aca="false">(BO398)+AY399</f>
        <v>0</v>
      </c>
      <c r="BP399" s="15" t="n">
        <f aca="false">MIN(Parametri_v3!$C$36*Parametri_v3!$C$35,(BP398)+IF(11=1,MAX(0,SUM(Y377:Y388))*Parametri_v3!$C$34,0))</f>
        <v>2000</v>
      </c>
      <c r="BQ399" s="15" t="n">
        <f aca="false">BN399+BM399-BO399</f>
        <v>208390.939009271</v>
      </c>
      <c r="BR399" s="15" t="n">
        <f aca="false">BH399+AD399+BL399+MAX(0,-AM399)+MAX(0,-AR399)</f>
        <v>312833.903259565</v>
      </c>
      <c r="BS399" s="15" t="n">
        <f aca="false">AJ399+AV399+MAX(0,AM399)+MAX(0,AR399)+BC399+BG399+BQ399+AG399</f>
        <v>312833.903259565</v>
      </c>
      <c r="BT399" s="15" t="n">
        <f aca="false">BR399-BS399</f>
        <v>0</v>
      </c>
      <c r="BU399" s="15" t="n">
        <f aca="false">BH399-(BD399+BE399-BF399-AY399)</f>
        <v>0</v>
      </c>
      <c r="BV399" s="15" t="n">
        <f aca="false">IF(BH398&lt;Parametri_v3!$C$31,0,BV398+1)</f>
        <v>6</v>
      </c>
    </row>
    <row r="400" customFormat="false" ht="18" hidden="false" customHeight="true" outlineLevel="0" collapsed="false">
      <c r="A400" s="68" t="n">
        <f aca="false">7</f>
        <v>7</v>
      </c>
      <c r="B400" s="68" t="n">
        <f aca="false">36</f>
        <v>36</v>
      </c>
      <c r="C400" s="18" t="n">
        <f aca="false">Motore_Operativo!C400</f>
        <v>47453</v>
      </c>
      <c r="D400" s="68" t="n">
        <f aca="false">Motore_Operativo!D400</f>
        <v>2029</v>
      </c>
      <c r="E400" s="68" t="n">
        <f aca="false">Motore_Operativo!E400</f>
        <v>12</v>
      </c>
      <c r="F400" s="15" t="n">
        <f aca="false">Motore_Operativo!AM400</f>
        <v>60500</v>
      </c>
      <c r="G400" s="15" t="n">
        <f aca="false">Motore_Operativo!BH400</f>
        <v>6050</v>
      </c>
      <c r="H400" s="15" t="n">
        <f aca="false">Motore_Operativo!AM400</f>
        <v>60500</v>
      </c>
      <c r="I400" s="15" t="n">
        <f aca="false">Motore_Operativo!CB400</f>
        <v>46259.8958333333</v>
      </c>
      <c r="J400" s="15" t="n">
        <f aca="false">Motore_Operativo!CD400</f>
        <v>14240.1041666667</v>
      </c>
      <c r="K400" s="15" t="n">
        <f aca="false">Motore_Operativo!CF400</f>
        <v>416.666666666667</v>
      </c>
      <c r="L400" s="15" t="n">
        <f aca="false">SUM(INDEX($K$365:$K$424,MAX(1,36-Parametri_v3!$C$59+1)):K400)/Parametri_v3!$C$59</f>
        <v>361.111111111111</v>
      </c>
      <c r="M400" s="15" t="n">
        <f aca="false">J400-L400</f>
        <v>13878.9930555556</v>
      </c>
      <c r="N400" s="15" t="n">
        <f aca="false">0</f>
        <v>0</v>
      </c>
      <c r="O400" s="15" t="n">
        <f aca="false">0</f>
        <v>0</v>
      </c>
      <c r="P400" s="15" t="n">
        <f aca="false">M400+N400-O400</f>
        <v>13878.9930555556</v>
      </c>
      <c r="Q400" s="15" t="n">
        <f aca="false">SUM(P389:P400)+Parametri_v3!$C$56*12/12</f>
        <v>167311.805555556</v>
      </c>
      <c r="R400" s="15" t="n">
        <f aca="false">Z388</f>
        <v>0</v>
      </c>
      <c r="S400" s="15" t="n">
        <f aca="false">AA388</f>
        <v>0</v>
      </c>
      <c r="T400" s="15" t="n">
        <f aca="false">MIN(R400,MAX(0,Q400))</f>
        <v>0</v>
      </c>
      <c r="U400" s="15" t="n">
        <f aca="false">MIN(S400,MAX(0,Q400-T400)*Parametri_v3!$C$42)</f>
        <v>0</v>
      </c>
      <c r="V400" s="15" t="n">
        <f aca="false">MAX(0,Q400-T400-U400)*Ipotesi!$C$92</f>
        <v>40154.8333333334</v>
      </c>
      <c r="W400" s="15" t="n">
        <f aca="false">MAX(0,SUM(M389:M400)+Parametri_v3!$C$57*12/12)*Ipotesi!$C$93</f>
        <v>6525.16041666667</v>
      </c>
      <c r="X400" s="15" t="n">
        <f aca="false">V400+W400-(V399+W399)</f>
        <v>3872.2390625</v>
      </c>
      <c r="Y400" s="15" t="n">
        <f aca="false">P400-X400</f>
        <v>10006.7539930556</v>
      </c>
      <c r="Z400" s="15" t="n">
        <f aca="false">R400-T400+IF(AND(Parametri_v3!$C$40=1,D400-YEAR(Parametri_v3!$C$50)&lt;Parametri_v3!$C$41),MAX(0,-Q400),0)</f>
        <v>0</v>
      </c>
      <c r="AA400" s="15" t="n">
        <f aca="false">S400-U400+IF(AND(Parametri_v3!$C$40=1,D400-YEAR(Parametri_v3!$C$50)&lt;Parametri_v3!$C$41),0,MAX(0,-Q400))</f>
        <v>0</v>
      </c>
      <c r="AB400" s="15" t="n">
        <f aca="false">F400*(1+Parametri_v3!$C$26)</f>
        <v>73810</v>
      </c>
      <c r="AC400" s="15" t="n">
        <f aca="false">(IF(36-(INT((Motore_Operativo!L400)/30))&lt;1,0,INDEX(Motore_Advisory!$AB$365:$AB$424,MAX(1,36-(INT((Motore_Operativo!L400)/30)))))*(1-(MOD((Motore_Operativo!L400),30)/30))+IF(36-(INT((Motore_Operativo!L400)/30))-1&lt;1,0,INDEX(Motore_Advisory!$AB$365:$AB$424,MAX(1,36-(INT((Motore_Operativo!L400)/30))-1)))*(MOD((Motore_Operativo!L400),30)/30))</f>
        <v>73810</v>
      </c>
      <c r="AD400" s="15" t="n">
        <f aca="false">(AD399)+AB400-AC400</f>
        <v>221430</v>
      </c>
      <c r="AE400" s="15" t="n">
        <f aca="false">Motore_Operativo!BH400*(1+Parametri_v3!$C$26)</f>
        <v>7381</v>
      </c>
      <c r="AF400" s="15" t="n">
        <f aca="false">(IF(36-(INT((Parametri_v3!$C$29)/30))&lt;1,0,INDEX(Motore_Operativo!$BH$365:$BH$424,MAX(1,36-(INT((Parametri_v3!$C$29)/30)))))*(1-(MOD((Parametri_v3!$C$29),30)/30))+IF(36-(INT((Parametri_v3!$C$29)/30))-1&lt;1,0,INDEX(Motore_Operativo!$BH$365:$BH$424,MAX(1,36-(INT((Parametri_v3!$C$29)/30))-1)))*(MOD((Parametri_v3!$C$29),30)/30))*(1+Parametri_v3!$C$26)</f>
        <v>7381</v>
      </c>
      <c r="AG400" s="15" t="n">
        <f aca="false">(AG399)+AE400-AF400</f>
        <v>7381</v>
      </c>
      <c r="AH400" s="15" t="n">
        <f aca="false">(Motore_Operativo!CK400)*(1+Parametri_v3!$C$28*Parametri_v3!$C$26)</f>
        <v>17395.98</v>
      </c>
      <c r="AI400" s="15" t="n">
        <f aca="false">(IF(36-(INT((Ipotesi!$C$91)/30))&lt;1,0,INDEX(Motore_Advisory!$AH$365:$AH$424,MAX(1,36-(INT((Ipotesi!$C$91)/30)))))*(1-(MOD((Ipotesi!$C$91),30)/30))+IF(36-(INT((Ipotesi!$C$91)/30))-1&lt;1,0,INDEX(Motore_Advisory!$AH$365:$AH$424,MAX(1,36-(INT((Ipotesi!$C$91)/30))-1)))*(MOD((Ipotesi!$C$91),30)/30))</f>
        <v>17395.98</v>
      </c>
      <c r="AJ400" s="15" t="n">
        <f aca="false">(AJ399)+AH400-AI400</f>
        <v>34791.96</v>
      </c>
      <c r="AK400" s="15" t="n">
        <f aca="false">(F400- Motore_Operativo!BH400-(Motore_Operativo!CK400)*Parametri_v3!$C$28-Motore_Operativo!CF400)*Parametri_v3!$C$26</f>
        <v>9283.85333333333</v>
      </c>
      <c r="AL400" s="15" t="n">
        <f aca="false">MAX(0,(AM399))</f>
        <v>9283.85333333333</v>
      </c>
      <c r="AM400" s="15" t="n">
        <f aca="false">(AM399)+AK400-AL400</f>
        <v>9283.85333333333</v>
      </c>
      <c r="AN400" s="15" t="n">
        <f aca="false">SUM(X377:X388)</f>
        <v>16530.1714788732</v>
      </c>
      <c r="AO400" s="15" t="n">
        <f aca="false">SUM(AP377:AP388)</f>
        <v>13562.3123684211</v>
      </c>
      <c r="AP400" s="15" t="n">
        <f aca="false">MAX(0,AN400)*IF(12=Parametri_v3!$C$43,Parametri_v3!$C$45,IF(12=Parametri_v3!$C$44,1-Parametri_v3!$C$45,0))</f>
        <v>0</v>
      </c>
      <c r="AQ400" s="15" t="n">
        <f aca="false">MAX(0,AP400+IF(12=Parametri_v3!$C$43,MAX(0,AN400-AO400),0)-MAX(0,-(AR399)))</f>
        <v>0</v>
      </c>
      <c r="AR400" s="15" t="n">
        <f aca="false">(AR399)+X400-AQ400</f>
        <v>30149.8222711268</v>
      </c>
      <c r="AS400" s="15" t="n">
        <f aca="false">Motore_Operativo!AC400-AT400+AU400</f>
        <v>24146.5260416667</v>
      </c>
      <c r="AT400" s="15" t="n">
        <f aca="false">Motore_Operativo!CI400</f>
        <v>1270.86979166667</v>
      </c>
      <c r="AU400" s="15" t="n">
        <f aca="false">MIN(MAX(0,(AV399)+AT400),Parametri_v3!$C$61/12)</f>
        <v>0</v>
      </c>
      <c r="AV400" s="15" t="n">
        <f aca="false">(AV399)+AT400-AU400</f>
        <v>27979.4375</v>
      </c>
      <c r="AW400" s="15" t="n">
        <f aca="false">IF(AND(Motore_Operativo!C400=Finanziamenti!$D$7,Finanziamenti!$F$7=1),Finanziamenti!$C$7,0)</f>
        <v>0</v>
      </c>
      <c r="AX400" s="15" t="n">
        <f aca="false">0</f>
        <v>0</v>
      </c>
      <c r="AY400" s="15" t="n">
        <f aca="false">IF(12=Parametri_v3!$C$33,IF(BV400&lt;MIN(12,$B400-1),0,MIN(MAX(0,SUM(Y377:Y388))*Ipotesi!$C$94,MAX(0,(BM388)-(BO399)-BP400),MAX(0,BD400-Parametri_v3!$C$31))),0)</f>
        <v>0</v>
      </c>
      <c r="AZ400" s="15" t="n">
        <f aca="false">0</f>
        <v>0</v>
      </c>
      <c r="BA400" s="15" t="n">
        <f aca="false">0</f>
        <v>0</v>
      </c>
      <c r="BB400" s="15" t="n">
        <f aca="false">0</f>
        <v>0</v>
      </c>
      <c r="BC400" s="15" t="n">
        <f aca="false">0</f>
        <v>0</v>
      </c>
      <c r="BD400" s="15" t="n">
        <f aca="false">(BH399)+AC400-AF400-AI400-AS400-K400*(1+Parametri_v3!$C$26)-AL400-AQ400-O400+AW400+AX400+AZ400+BA400-BB400</f>
        <v>99567.6549956758</v>
      </c>
      <c r="BE400" s="15" t="n">
        <f aca="false">0</f>
        <v>0</v>
      </c>
      <c r="BF400" s="15" t="n">
        <f aca="false">0</f>
        <v>0</v>
      </c>
      <c r="BG400" s="15" t="n">
        <f aca="false">0</f>
        <v>0</v>
      </c>
      <c r="BH400" s="15" t="n">
        <f aca="false">BD400+BE400-BF400-AY400</f>
        <v>99567.6549956758</v>
      </c>
      <c r="BI400" s="15" t="n">
        <f aca="false">MAX(0,Parametri_v3!$C$31-BH400)</f>
        <v>0</v>
      </c>
      <c r="BJ400" s="15" t="n">
        <f aca="false">(BJ399)+K400</f>
        <v>13000</v>
      </c>
      <c r="BK400" s="15" t="n">
        <f aca="false">(BK399)+L400</f>
        <v>6013.88888888889</v>
      </c>
      <c r="BL400" s="15" t="n">
        <f aca="false">BJ400-BK400</f>
        <v>6986.11111111111</v>
      </c>
      <c r="BM400" s="15" t="n">
        <f aca="false">(BM399)+Y400</f>
        <v>198397.693002327</v>
      </c>
      <c r="BN400" s="15" t="n">
        <f aca="false">(BN399)+AW400+AX400+AZ400</f>
        <v>20000</v>
      </c>
      <c r="BO400" s="15" t="n">
        <f aca="false">(BO399)+AY400</f>
        <v>0</v>
      </c>
      <c r="BP400" s="15" t="n">
        <f aca="false">MIN(Parametri_v3!$C$36*Parametri_v3!$C$35,(BP399)+IF(12=1,MAX(0,SUM(Y377:Y388))*Parametri_v3!$C$34,0))</f>
        <v>2000</v>
      </c>
      <c r="BQ400" s="15" t="n">
        <f aca="false">BN400+BM400-BO400</f>
        <v>218397.693002327</v>
      </c>
      <c r="BR400" s="15" t="n">
        <f aca="false">BH400+AD400+BL400+MAX(0,-AM400)+MAX(0,-AR400)</f>
        <v>327983.766106787</v>
      </c>
      <c r="BS400" s="15" t="n">
        <f aca="false">AJ400+AV400+MAX(0,AM400)+MAX(0,AR400)+BC400+BG400+BQ400+AG400</f>
        <v>327983.766106787</v>
      </c>
      <c r="BT400" s="15" t="n">
        <f aca="false">BR400-BS400</f>
        <v>0</v>
      </c>
      <c r="BU400" s="15" t="n">
        <f aca="false">BH400-(BD400+BE400-BF400-AY400)</f>
        <v>0</v>
      </c>
      <c r="BV400" s="15" t="n">
        <f aca="false">IF(BH399&lt;Parametri_v3!$C$31,0,BV399+1)</f>
        <v>7</v>
      </c>
    </row>
    <row r="401" customFormat="false" ht="18" hidden="false" customHeight="true" outlineLevel="0" collapsed="false">
      <c r="A401" s="68" t="n">
        <f aca="false">7</f>
        <v>7</v>
      </c>
      <c r="B401" s="68" t="n">
        <f aca="false">37</f>
        <v>37</v>
      </c>
      <c r="C401" s="18" t="n">
        <f aca="false">Motore_Operativo!C401</f>
        <v>47484</v>
      </c>
      <c r="D401" s="68" t="n">
        <f aca="false">Motore_Operativo!D401</f>
        <v>2030</v>
      </c>
      <c r="E401" s="68" t="n">
        <f aca="false">Motore_Operativo!E401</f>
        <v>1</v>
      </c>
      <c r="F401" s="15" t="n">
        <f aca="false">Motore_Operativo!AM401</f>
        <v>90241.6666666667</v>
      </c>
      <c r="G401" s="15" t="n">
        <f aca="false">Motore_Operativo!BH401</f>
        <v>9024.16666666667</v>
      </c>
      <c r="H401" s="15" t="n">
        <f aca="false">Motore_Operativo!AM401</f>
        <v>90241.6666666667</v>
      </c>
      <c r="I401" s="15" t="n">
        <f aca="false">Motore_Operativo!CB401</f>
        <v>62580.173375</v>
      </c>
      <c r="J401" s="15" t="n">
        <f aca="false">Motore_Operativo!CD401</f>
        <v>27661.4932916667</v>
      </c>
      <c r="K401" s="15" t="n">
        <f aca="false">Motore_Operativo!CF401</f>
        <v>666.666666666667</v>
      </c>
      <c r="L401" s="15" t="n">
        <f aca="false">SUM(INDEX($K$365:$K$424,MAX(1,37-Parametri_v3!$C$59+1)):K401)/Parametri_v3!$C$59</f>
        <v>372.685185185185</v>
      </c>
      <c r="M401" s="15" t="n">
        <f aca="false">J401-L401</f>
        <v>27288.8081064815</v>
      </c>
      <c r="N401" s="15" t="n">
        <f aca="false">0</f>
        <v>0</v>
      </c>
      <c r="O401" s="15" t="n">
        <f aca="false">0</f>
        <v>0</v>
      </c>
      <c r="P401" s="15" t="n">
        <f aca="false">M401+N401-O401</f>
        <v>27288.8081064815</v>
      </c>
      <c r="Q401" s="15" t="n">
        <f aca="false">SUM(P401)+Parametri_v3!$C$56*1/12</f>
        <v>27288.8081064815</v>
      </c>
      <c r="R401" s="15" t="n">
        <f aca="false">Z400</f>
        <v>0</v>
      </c>
      <c r="S401" s="15" t="n">
        <f aca="false">AA400</f>
        <v>0</v>
      </c>
      <c r="T401" s="15" t="n">
        <f aca="false">MIN(R401,MAX(0,Q401))</f>
        <v>0</v>
      </c>
      <c r="U401" s="15" t="n">
        <f aca="false">MIN(S401,MAX(0,Q401-T401)*Parametri_v3!$C$42)</f>
        <v>0</v>
      </c>
      <c r="V401" s="15" t="n">
        <f aca="false">MAX(0,Q401-T401-U401)*Ipotesi!$C$92</f>
        <v>6549.31394555556</v>
      </c>
      <c r="W401" s="15" t="n">
        <f aca="false">MAX(0,SUM(M401)+Parametri_v3!$C$57*1/12)*Ipotesi!$C$93</f>
        <v>1064.26351615278</v>
      </c>
      <c r="X401" s="15" t="n">
        <f aca="false">V401+W401-(0)</f>
        <v>7613.57746170833</v>
      </c>
      <c r="Y401" s="15" t="n">
        <f aca="false">P401-X401</f>
        <v>19675.2306447731</v>
      </c>
      <c r="Z401" s="15" t="n">
        <f aca="false">R401-T401+IF(AND(Parametri_v3!$C$40=1,D401-YEAR(Parametri_v3!$C$50)&lt;Parametri_v3!$C$41),MAX(0,-Q401),0)</f>
        <v>0</v>
      </c>
      <c r="AA401" s="15" t="n">
        <f aca="false">S401-U401+IF(AND(Parametri_v3!$C$40=1,D401-YEAR(Parametri_v3!$C$50)&lt;Parametri_v3!$C$41),0,MAX(0,-Q401))</f>
        <v>0</v>
      </c>
      <c r="AB401" s="15" t="n">
        <f aca="false">F401*(1+Parametri_v3!$C$26)</f>
        <v>110094.833333333</v>
      </c>
      <c r="AC401" s="15" t="n">
        <f aca="false">(IF(37-(INT((Motore_Operativo!L401)/30))&lt;1,0,INDEX(Motore_Advisory!$AB$365:$AB$424,MAX(1,37-(INT((Motore_Operativo!L401)/30)))))*(1-(MOD((Motore_Operativo!L401),30)/30))+IF(37-(INT((Motore_Operativo!L401)/30))-1&lt;1,0,INDEX(Motore_Advisory!$AB$365:$AB$424,MAX(1,37-(INT((Motore_Operativo!L401)/30))-1)))*(MOD((Motore_Operativo!L401),30)/30))</f>
        <v>73810</v>
      </c>
      <c r="AD401" s="15" t="n">
        <f aca="false">(AD400)+AB401-AC401</f>
        <v>257714.833333333</v>
      </c>
      <c r="AE401" s="15" t="n">
        <f aca="false">Motore_Operativo!BH401*(1+Parametri_v3!$C$26)</f>
        <v>11009.4833333333</v>
      </c>
      <c r="AF401" s="15" t="n">
        <f aca="false">(IF(37-(INT((Parametri_v3!$C$29)/30))&lt;1,0,INDEX(Motore_Operativo!$BH$365:$BH$424,MAX(1,37-(INT((Parametri_v3!$C$29)/30)))))*(1-(MOD((Parametri_v3!$C$29),30)/30))+IF(37-(INT((Parametri_v3!$C$29)/30))-1&lt;1,0,INDEX(Motore_Operativo!$BH$365:$BH$424,MAX(1,37-(INT((Parametri_v3!$C$29)/30))-1)))*(MOD((Parametri_v3!$C$29),30)/30))*(1+Parametri_v3!$C$26)</f>
        <v>7381</v>
      </c>
      <c r="AG401" s="15" t="n">
        <f aca="false">(AG400)+AE401-AF401</f>
        <v>11009.4833333333</v>
      </c>
      <c r="AH401" s="15" t="n">
        <f aca="false">(Motore_Operativo!CK401)*(1+Parametri_v3!$C$28*Parametri_v3!$C$26)</f>
        <v>23198.952</v>
      </c>
      <c r="AI401" s="15" t="n">
        <f aca="false">(IF(37-(INT((Ipotesi!$C$91)/30))&lt;1,0,INDEX(Motore_Advisory!$AH$365:$AH$424,MAX(1,37-(INT((Ipotesi!$C$91)/30)))))*(1-(MOD((Ipotesi!$C$91),30)/30))+IF(37-(INT((Ipotesi!$C$91)/30))-1&lt;1,0,INDEX(Motore_Advisory!$AH$365:$AH$424,MAX(1,37-(INT((Ipotesi!$C$91)/30))-1)))*(MOD((Ipotesi!$C$91),30)/30))</f>
        <v>17395.98</v>
      </c>
      <c r="AJ401" s="15" t="n">
        <f aca="false">(AJ400)+AH401-AI401</f>
        <v>40594.932</v>
      </c>
      <c r="AK401" s="15" t="n">
        <f aca="false">(F401- Motore_Operativo!BH401-(Motore_Operativo!CK401)*Parametri_v3!$C$28-Motore_Operativo!CF401)*Parametri_v3!$C$26</f>
        <v>14249.2313333333</v>
      </c>
      <c r="AL401" s="15" t="n">
        <f aca="false">MAX(0,(AM400))</f>
        <v>9283.85333333333</v>
      </c>
      <c r="AM401" s="15" t="n">
        <f aca="false">(AM400)+AK401-AL401</f>
        <v>14249.2313333333</v>
      </c>
      <c r="AN401" s="15" t="n">
        <f aca="false">SUM(X389:X400)</f>
        <v>46679.99375</v>
      </c>
      <c r="AO401" s="15" t="n">
        <f aca="false">SUM(AP389:AP400)</f>
        <v>16530.1714788732</v>
      </c>
      <c r="AP401" s="15" t="n">
        <f aca="false">MAX(0,AN401)*IF(1=Parametri_v3!$C$43,Parametri_v3!$C$45,IF(1=Parametri_v3!$C$44,1-Parametri_v3!$C$45,0))</f>
        <v>0</v>
      </c>
      <c r="AQ401" s="15" t="n">
        <f aca="false">MAX(0,AP401+IF(1=Parametri_v3!$C$43,MAX(0,AN401-AO401),0)-MAX(0,-(AR400)))</f>
        <v>0</v>
      </c>
      <c r="AR401" s="15" t="n">
        <f aca="false">(AR400)+X401-AQ401</f>
        <v>37763.3997328351</v>
      </c>
      <c r="AS401" s="15" t="n">
        <f aca="false">Motore_Operativo!AC401-AT401+AU401</f>
        <v>32137.5563729167</v>
      </c>
      <c r="AT401" s="15" t="n">
        <f aca="false">Motore_Operativo!CI401</f>
        <v>1691.45033541667</v>
      </c>
      <c r="AU401" s="15" t="n">
        <f aca="false">MIN(MAX(0,(AV400)+AT401),Parametri_v3!$C$61/12)</f>
        <v>0</v>
      </c>
      <c r="AV401" s="15" t="n">
        <f aca="false">(AV400)+AT401-AU401</f>
        <v>29670.8878354167</v>
      </c>
      <c r="AW401" s="15" t="n">
        <f aca="false">IF(AND(Motore_Operativo!C401=Finanziamenti!$D$7,Finanziamenti!$F$7=1),Finanziamenti!$C$7,0)</f>
        <v>0</v>
      </c>
      <c r="AX401" s="15" t="n">
        <f aca="false">0</f>
        <v>0</v>
      </c>
      <c r="AY401" s="15" t="n">
        <f aca="false">IF(1=Parametri_v3!$C$33,IF(BV401&lt;MIN(12,$B401-1),0,MIN(MAX(0,SUM(Y389:Y400))*Ipotesi!$C$94,MAX(0,(BM400)-(BO400)-BP401),MAX(0,BD401-Parametri_v3!$C$31))),0)</f>
        <v>0</v>
      </c>
      <c r="AZ401" s="15" t="n">
        <f aca="false">0</f>
        <v>0</v>
      </c>
      <c r="BA401" s="15" t="n">
        <f aca="false">0</f>
        <v>0</v>
      </c>
      <c r="BB401" s="15" t="n">
        <f aca="false">0</f>
        <v>0</v>
      </c>
      <c r="BC401" s="15" t="n">
        <f aca="false">0</f>
        <v>0</v>
      </c>
      <c r="BD401" s="15" t="n">
        <f aca="false">(BH400)+AC401-AF401-AI401-AS401-K401*(1+Parametri_v3!$C$26)-AL401-AQ401-O401+AW401+AX401+AZ401+BA401-BB401</f>
        <v>106365.931956092</v>
      </c>
      <c r="BE401" s="15" t="n">
        <f aca="false">0</f>
        <v>0</v>
      </c>
      <c r="BF401" s="15" t="n">
        <f aca="false">0</f>
        <v>0</v>
      </c>
      <c r="BG401" s="15" t="n">
        <f aca="false">0</f>
        <v>0</v>
      </c>
      <c r="BH401" s="15" t="n">
        <f aca="false">BD401+BE401-BF401-AY401</f>
        <v>106365.931956092</v>
      </c>
      <c r="BI401" s="15" t="n">
        <f aca="false">MAX(0,Parametri_v3!$C$31-BH401)</f>
        <v>0</v>
      </c>
      <c r="BJ401" s="15" t="n">
        <f aca="false">(BJ400)+K401</f>
        <v>13666.6666666667</v>
      </c>
      <c r="BK401" s="15" t="n">
        <f aca="false">(BK400)+L401</f>
        <v>6386.57407407407</v>
      </c>
      <c r="BL401" s="15" t="n">
        <f aca="false">BJ401-BK401</f>
        <v>7280.09259259259</v>
      </c>
      <c r="BM401" s="15" t="n">
        <f aca="false">(BM400)+Y401</f>
        <v>218072.9236471</v>
      </c>
      <c r="BN401" s="15" t="n">
        <f aca="false">(BN400)+AW401+AX401+AZ401</f>
        <v>20000</v>
      </c>
      <c r="BO401" s="15" t="n">
        <f aca="false">(BO400)+AY401</f>
        <v>0</v>
      </c>
      <c r="BP401" s="15" t="n">
        <f aca="false">MIN(Parametri_v3!$C$36*Parametri_v3!$C$35,(BP400)+IF(1=1,MAX(0,SUM(Y389:Y400))*Parametri_v3!$C$34,0))</f>
        <v>2000</v>
      </c>
      <c r="BQ401" s="15" t="n">
        <f aca="false">BN401+BM401-BO401</f>
        <v>238072.9236471</v>
      </c>
      <c r="BR401" s="15" t="n">
        <f aca="false">BH401+AD401+BL401+MAX(0,-AM401)+MAX(0,-AR401)</f>
        <v>371360.857882018</v>
      </c>
      <c r="BS401" s="15" t="n">
        <f aca="false">AJ401+AV401+MAX(0,AM401)+MAX(0,AR401)+BC401+BG401+BQ401+AG401</f>
        <v>371360.857882018</v>
      </c>
      <c r="BT401" s="15" t="n">
        <f aca="false">BR401-BS401</f>
        <v>0</v>
      </c>
      <c r="BU401" s="15" t="n">
        <f aca="false">BH401-(BD401+BE401-BF401-AY401)</f>
        <v>0</v>
      </c>
      <c r="BV401" s="15" t="n">
        <f aca="false">IF(BH400&lt;Parametri_v3!$C$31,0,BV400+1)</f>
        <v>8</v>
      </c>
    </row>
    <row r="402" customFormat="false" ht="18" hidden="false" customHeight="true" outlineLevel="0" collapsed="false">
      <c r="A402" s="68" t="n">
        <f aca="false">7</f>
        <v>7</v>
      </c>
      <c r="B402" s="68" t="n">
        <f aca="false">38</f>
        <v>38</v>
      </c>
      <c r="C402" s="18" t="n">
        <f aca="false">Motore_Operativo!C402</f>
        <v>47515</v>
      </c>
      <c r="D402" s="68" t="n">
        <f aca="false">Motore_Operativo!D402</f>
        <v>2030</v>
      </c>
      <c r="E402" s="68" t="n">
        <f aca="false">Motore_Operativo!E402</f>
        <v>2</v>
      </c>
      <c r="F402" s="15" t="n">
        <f aca="false">Motore_Operativo!AM402</f>
        <v>90241.6666666667</v>
      </c>
      <c r="G402" s="15" t="n">
        <f aca="false">Motore_Operativo!BH402</f>
        <v>9024.16666666667</v>
      </c>
      <c r="H402" s="15" t="n">
        <f aca="false">Motore_Operativo!AM402</f>
        <v>90241.6666666667</v>
      </c>
      <c r="I402" s="15" t="n">
        <f aca="false">Motore_Operativo!CB402</f>
        <v>62580.173375</v>
      </c>
      <c r="J402" s="15" t="n">
        <f aca="false">Motore_Operativo!CD402</f>
        <v>27661.4932916667</v>
      </c>
      <c r="K402" s="15" t="n">
        <f aca="false">Motore_Operativo!CF402</f>
        <v>666.666666666667</v>
      </c>
      <c r="L402" s="15" t="n">
        <f aca="false">SUM(INDEX($K$365:$K$424,MAX(1,38-Parametri_v3!$C$59+1)):K402)/Parametri_v3!$C$59</f>
        <v>384.259259259259</v>
      </c>
      <c r="M402" s="15" t="n">
        <f aca="false">J402-L402</f>
        <v>27277.2340324074</v>
      </c>
      <c r="N402" s="15" t="n">
        <f aca="false">0</f>
        <v>0</v>
      </c>
      <c r="O402" s="15" t="n">
        <f aca="false">0</f>
        <v>0</v>
      </c>
      <c r="P402" s="15" t="n">
        <f aca="false">M402+N402-O402</f>
        <v>27277.2340324074</v>
      </c>
      <c r="Q402" s="15" t="n">
        <f aca="false">SUM(P401:P402)+Parametri_v3!$C$56*2/12</f>
        <v>54566.0421388889</v>
      </c>
      <c r="R402" s="15" t="n">
        <f aca="false">Z400</f>
        <v>0</v>
      </c>
      <c r="S402" s="15" t="n">
        <f aca="false">AA400</f>
        <v>0</v>
      </c>
      <c r="T402" s="15" t="n">
        <f aca="false">MIN(R402,MAX(0,Q402))</f>
        <v>0</v>
      </c>
      <c r="U402" s="15" t="n">
        <f aca="false">MIN(S402,MAX(0,Q402-T402)*Parametri_v3!$C$42)</f>
        <v>0</v>
      </c>
      <c r="V402" s="15" t="n">
        <f aca="false">MAX(0,Q402-T402-U402)*Ipotesi!$C$92</f>
        <v>13095.8501133333</v>
      </c>
      <c r="W402" s="15" t="n">
        <f aca="false">MAX(0,SUM(M401:M402)+Parametri_v3!$C$57*2/12)*Ipotesi!$C$93</f>
        <v>2128.07564341667</v>
      </c>
      <c r="X402" s="15" t="n">
        <f aca="false">V402+W402-(V401+W401)</f>
        <v>7610.34829504167</v>
      </c>
      <c r="Y402" s="15" t="n">
        <f aca="false">P402-X402</f>
        <v>19666.8857373657</v>
      </c>
      <c r="Z402" s="15" t="n">
        <f aca="false">R402-T402+IF(AND(Parametri_v3!$C$40=1,D402-YEAR(Parametri_v3!$C$50)&lt;Parametri_v3!$C$41),MAX(0,-Q402),0)</f>
        <v>0</v>
      </c>
      <c r="AA402" s="15" t="n">
        <f aca="false">S402-U402+IF(AND(Parametri_v3!$C$40=1,D402-YEAR(Parametri_v3!$C$50)&lt;Parametri_v3!$C$41),0,MAX(0,-Q402))</f>
        <v>0</v>
      </c>
      <c r="AB402" s="15" t="n">
        <f aca="false">F402*(1+Parametri_v3!$C$26)</f>
        <v>110094.833333333</v>
      </c>
      <c r="AC402" s="15" t="n">
        <f aca="false">(IF(38-(INT((Motore_Operativo!L402)/30))&lt;1,0,INDEX(Motore_Advisory!$AB$365:$AB$424,MAX(1,38-(INT((Motore_Operativo!L402)/30)))))*(1-(MOD((Motore_Operativo!L402),30)/30))+IF(38-(INT((Motore_Operativo!L402)/30))-1&lt;1,0,INDEX(Motore_Advisory!$AB$365:$AB$424,MAX(1,38-(INT((Motore_Operativo!L402)/30))-1)))*(MOD((Motore_Operativo!L402),30)/30))</f>
        <v>73810</v>
      </c>
      <c r="AD402" s="15" t="n">
        <f aca="false">(AD401)+AB402-AC402</f>
        <v>293999.666666667</v>
      </c>
      <c r="AE402" s="15" t="n">
        <f aca="false">Motore_Operativo!BH402*(1+Parametri_v3!$C$26)</f>
        <v>11009.4833333333</v>
      </c>
      <c r="AF402" s="15" t="n">
        <f aca="false">(IF(38-(INT((Parametri_v3!$C$29)/30))&lt;1,0,INDEX(Motore_Operativo!$BH$365:$BH$424,MAX(1,38-(INT((Parametri_v3!$C$29)/30)))))*(1-(MOD((Parametri_v3!$C$29),30)/30))+IF(38-(INT((Parametri_v3!$C$29)/30))-1&lt;1,0,INDEX(Motore_Operativo!$BH$365:$BH$424,MAX(1,38-(INT((Parametri_v3!$C$29)/30))-1)))*(MOD((Parametri_v3!$C$29),30)/30))*(1+Parametri_v3!$C$26)</f>
        <v>11009.4833333333</v>
      </c>
      <c r="AG402" s="15" t="n">
        <f aca="false">(AG401)+AE402-AF402</f>
        <v>11009.4833333333</v>
      </c>
      <c r="AH402" s="15" t="n">
        <f aca="false">(Motore_Operativo!CK402)*(1+Parametri_v3!$C$28*Parametri_v3!$C$26)</f>
        <v>23198.952</v>
      </c>
      <c r="AI402" s="15" t="n">
        <f aca="false">(IF(38-(INT((Ipotesi!$C$91)/30))&lt;1,0,INDEX(Motore_Advisory!$AH$365:$AH$424,MAX(1,38-(INT((Ipotesi!$C$91)/30)))))*(1-(MOD((Ipotesi!$C$91),30)/30))+IF(38-(INT((Ipotesi!$C$91)/30))-1&lt;1,0,INDEX(Motore_Advisory!$AH$365:$AH$424,MAX(1,38-(INT((Ipotesi!$C$91)/30))-1)))*(MOD((Ipotesi!$C$91),30)/30))</f>
        <v>17395.98</v>
      </c>
      <c r="AJ402" s="15" t="n">
        <f aca="false">(AJ401)+AH402-AI402</f>
        <v>46397.904</v>
      </c>
      <c r="AK402" s="15" t="n">
        <f aca="false">(F402- Motore_Operativo!BH402-(Motore_Operativo!CK402)*Parametri_v3!$C$28-Motore_Operativo!CF402)*Parametri_v3!$C$26</f>
        <v>14249.2313333333</v>
      </c>
      <c r="AL402" s="15" t="n">
        <f aca="false">MAX(0,(AM401))</f>
        <v>14249.2313333333</v>
      </c>
      <c r="AM402" s="15" t="n">
        <f aca="false">(AM401)+AK402-AL402</f>
        <v>14249.2313333333</v>
      </c>
      <c r="AN402" s="15" t="n">
        <f aca="false">SUM(X389:X400)</f>
        <v>46679.99375</v>
      </c>
      <c r="AO402" s="15" t="n">
        <f aca="false">SUM(AP389:AP400)</f>
        <v>16530.1714788732</v>
      </c>
      <c r="AP402" s="15" t="n">
        <f aca="false">MAX(0,AN402)*IF(2=Parametri_v3!$C$43,Parametri_v3!$C$45,IF(2=Parametri_v3!$C$44,1-Parametri_v3!$C$45,0))</f>
        <v>0</v>
      </c>
      <c r="AQ402" s="15" t="n">
        <f aca="false">MAX(0,AP402+IF(2=Parametri_v3!$C$43,MAX(0,AN402-AO402),0)-MAX(0,-(AR401)))</f>
        <v>0</v>
      </c>
      <c r="AR402" s="15" t="n">
        <f aca="false">(AR401)+X402-AQ402</f>
        <v>45373.7480278768</v>
      </c>
      <c r="AS402" s="15" t="n">
        <f aca="false">Motore_Operativo!AC402-AT402+AU402</f>
        <v>32137.5563729167</v>
      </c>
      <c r="AT402" s="15" t="n">
        <f aca="false">Motore_Operativo!CI402</f>
        <v>1691.45033541667</v>
      </c>
      <c r="AU402" s="15" t="n">
        <f aca="false">MIN(MAX(0,(AV401)+AT402),Parametri_v3!$C$61/12)</f>
        <v>0</v>
      </c>
      <c r="AV402" s="15" t="n">
        <f aca="false">(AV401)+AT402-AU402</f>
        <v>31362.3381708333</v>
      </c>
      <c r="AW402" s="15" t="n">
        <f aca="false">IF(AND(Motore_Operativo!C402=Finanziamenti!$D$7,Finanziamenti!$F$7=1),Finanziamenti!$C$7,0)</f>
        <v>0</v>
      </c>
      <c r="AX402" s="15" t="n">
        <f aca="false">0</f>
        <v>0</v>
      </c>
      <c r="AY402" s="15" t="n">
        <f aca="false">IF(2=Parametri_v3!$C$33,IF(BV402&lt;MIN(12,$B402-1),0,MIN(MAX(0,SUM(Y389:Y400))*Ipotesi!$C$94,MAX(0,(BM400)-(BO401)-BP402),MAX(0,BD402-Parametri_v3!$C$31))),0)</f>
        <v>0</v>
      </c>
      <c r="AZ402" s="15" t="n">
        <f aca="false">0</f>
        <v>0</v>
      </c>
      <c r="BA402" s="15" t="n">
        <f aca="false">0</f>
        <v>0</v>
      </c>
      <c r="BB402" s="15" t="n">
        <f aca="false">0</f>
        <v>0</v>
      </c>
      <c r="BC402" s="15" t="n">
        <f aca="false">0</f>
        <v>0</v>
      </c>
      <c r="BD402" s="15" t="n">
        <f aca="false">(BH401)+AC402-AF402-AI402-AS402-K402*(1+Parametri_v3!$C$26)-AL402-AQ402-O402+AW402+AX402+AZ402+BA402-BB402</f>
        <v>104570.347583176</v>
      </c>
      <c r="BE402" s="15" t="n">
        <f aca="false">0</f>
        <v>0</v>
      </c>
      <c r="BF402" s="15" t="n">
        <f aca="false">0</f>
        <v>0</v>
      </c>
      <c r="BG402" s="15" t="n">
        <f aca="false">0</f>
        <v>0</v>
      </c>
      <c r="BH402" s="15" t="n">
        <f aca="false">BD402+BE402-BF402-AY402</f>
        <v>104570.347583176</v>
      </c>
      <c r="BI402" s="15" t="n">
        <f aca="false">MAX(0,Parametri_v3!$C$31-BH402)</f>
        <v>0</v>
      </c>
      <c r="BJ402" s="15" t="n">
        <f aca="false">(BJ401)+K402</f>
        <v>14333.3333333333</v>
      </c>
      <c r="BK402" s="15" t="n">
        <f aca="false">(BK401)+L402</f>
        <v>6770.83333333333</v>
      </c>
      <c r="BL402" s="15" t="n">
        <f aca="false">BJ402-BK402</f>
        <v>7562.5</v>
      </c>
      <c r="BM402" s="15" t="n">
        <f aca="false">(BM401)+Y402</f>
        <v>237739.809384466</v>
      </c>
      <c r="BN402" s="15" t="n">
        <f aca="false">(BN401)+AW402+AX402+AZ402</f>
        <v>20000</v>
      </c>
      <c r="BO402" s="15" t="n">
        <f aca="false">(BO401)+AY402</f>
        <v>0</v>
      </c>
      <c r="BP402" s="15" t="n">
        <f aca="false">MIN(Parametri_v3!$C$36*Parametri_v3!$C$35,(BP401)+IF(2=1,MAX(0,SUM(Y389:Y400))*Parametri_v3!$C$34,0))</f>
        <v>2000</v>
      </c>
      <c r="BQ402" s="15" t="n">
        <f aca="false">BN402+BM402-BO402</f>
        <v>257739.809384466</v>
      </c>
      <c r="BR402" s="15" t="n">
        <f aca="false">BH402+AD402+BL402+MAX(0,-AM402)+MAX(0,-AR402)</f>
        <v>406132.514249842</v>
      </c>
      <c r="BS402" s="15" t="n">
        <f aca="false">AJ402+AV402+MAX(0,AM402)+MAX(0,AR402)+BC402+BG402+BQ402+AG402</f>
        <v>406132.514249843</v>
      </c>
      <c r="BT402" s="15" t="n">
        <f aca="false">BR402-BS402</f>
        <v>0</v>
      </c>
      <c r="BU402" s="15" t="n">
        <f aca="false">BH402-(BD402+BE402-BF402-AY402)</f>
        <v>0</v>
      </c>
      <c r="BV402" s="15" t="n">
        <f aca="false">IF(BH401&lt;Parametri_v3!$C$31,0,BV401+1)</f>
        <v>9</v>
      </c>
    </row>
    <row r="403" customFormat="false" ht="18" hidden="false" customHeight="true" outlineLevel="0" collapsed="false">
      <c r="A403" s="68" t="n">
        <f aca="false">7</f>
        <v>7</v>
      </c>
      <c r="B403" s="68" t="n">
        <f aca="false">39</f>
        <v>39</v>
      </c>
      <c r="C403" s="18" t="n">
        <f aca="false">Motore_Operativo!C403</f>
        <v>47543</v>
      </c>
      <c r="D403" s="68" t="n">
        <f aca="false">Motore_Operativo!D403</f>
        <v>2030</v>
      </c>
      <c r="E403" s="68" t="n">
        <f aca="false">Motore_Operativo!E403</f>
        <v>3</v>
      </c>
      <c r="F403" s="15" t="n">
        <f aca="false">Motore_Operativo!AM403</f>
        <v>90241.6666666667</v>
      </c>
      <c r="G403" s="15" t="n">
        <f aca="false">Motore_Operativo!BH403</f>
        <v>9024.16666666667</v>
      </c>
      <c r="H403" s="15" t="n">
        <f aca="false">Motore_Operativo!AM403</f>
        <v>90241.6666666667</v>
      </c>
      <c r="I403" s="15" t="n">
        <f aca="false">Motore_Operativo!CB403</f>
        <v>62580.173375</v>
      </c>
      <c r="J403" s="15" t="n">
        <f aca="false">Motore_Operativo!CD403</f>
        <v>27661.4932916667</v>
      </c>
      <c r="K403" s="15" t="n">
        <f aca="false">Motore_Operativo!CF403</f>
        <v>666.666666666667</v>
      </c>
      <c r="L403" s="15" t="n">
        <f aca="false">SUM(INDEX($K$365:$K$424,MAX(1,39-Parametri_v3!$C$59+1)):K403)/Parametri_v3!$C$59</f>
        <v>395.833333333333</v>
      </c>
      <c r="M403" s="15" t="n">
        <f aca="false">J403-L403</f>
        <v>27265.6599583333</v>
      </c>
      <c r="N403" s="15" t="n">
        <f aca="false">0</f>
        <v>0</v>
      </c>
      <c r="O403" s="15" t="n">
        <f aca="false">0</f>
        <v>0</v>
      </c>
      <c r="P403" s="15" t="n">
        <f aca="false">M403+N403-O403</f>
        <v>27265.6599583333</v>
      </c>
      <c r="Q403" s="15" t="n">
        <f aca="false">SUM(P401:P403)+Parametri_v3!$C$56*3/12</f>
        <v>81831.7020972222</v>
      </c>
      <c r="R403" s="15" t="n">
        <f aca="false">Z400</f>
        <v>0</v>
      </c>
      <c r="S403" s="15" t="n">
        <f aca="false">AA400</f>
        <v>0</v>
      </c>
      <c r="T403" s="15" t="n">
        <f aca="false">MIN(R403,MAX(0,Q403))</f>
        <v>0</v>
      </c>
      <c r="U403" s="15" t="n">
        <f aca="false">MIN(S403,MAX(0,Q403-T403)*Parametri_v3!$C$42)</f>
        <v>0</v>
      </c>
      <c r="V403" s="15" t="n">
        <f aca="false">MAX(0,Q403-T403-U403)*Ipotesi!$C$92</f>
        <v>19639.6085033333</v>
      </c>
      <c r="W403" s="15" t="n">
        <f aca="false">MAX(0,SUM(M401:M403)+Parametri_v3!$C$57*3/12)*Ipotesi!$C$93</f>
        <v>3191.43638179167</v>
      </c>
      <c r="X403" s="15" t="n">
        <f aca="false">V403+W403-(V402+W402)</f>
        <v>7607.119128375</v>
      </c>
      <c r="Y403" s="15" t="n">
        <f aca="false">P403-X403</f>
        <v>19658.5408299583</v>
      </c>
      <c r="Z403" s="15" t="n">
        <f aca="false">R403-T403+IF(AND(Parametri_v3!$C$40=1,D403-YEAR(Parametri_v3!$C$50)&lt;Parametri_v3!$C$41),MAX(0,-Q403),0)</f>
        <v>0</v>
      </c>
      <c r="AA403" s="15" t="n">
        <f aca="false">S403-U403+IF(AND(Parametri_v3!$C$40=1,D403-YEAR(Parametri_v3!$C$50)&lt;Parametri_v3!$C$41),0,MAX(0,-Q403))</f>
        <v>0</v>
      </c>
      <c r="AB403" s="15" t="n">
        <f aca="false">F403*(1+Parametri_v3!$C$26)</f>
        <v>110094.833333333</v>
      </c>
      <c r="AC403" s="15" t="n">
        <f aca="false">(IF(39-(INT((Motore_Operativo!L403)/30))&lt;1,0,INDEX(Motore_Advisory!$AB$365:$AB$424,MAX(1,39-(INT((Motore_Operativo!L403)/30)))))*(1-(MOD((Motore_Operativo!L403),30)/30))+IF(39-(INT((Motore_Operativo!L403)/30))-1&lt;1,0,INDEX(Motore_Advisory!$AB$365:$AB$424,MAX(1,39-(INT((Motore_Operativo!L403)/30))-1)))*(MOD((Motore_Operativo!L403),30)/30))</f>
        <v>73810</v>
      </c>
      <c r="AD403" s="15" t="n">
        <f aca="false">(AD402)+AB403-AC403</f>
        <v>330284.5</v>
      </c>
      <c r="AE403" s="15" t="n">
        <f aca="false">Motore_Operativo!BH403*(1+Parametri_v3!$C$26)</f>
        <v>11009.4833333333</v>
      </c>
      <c r="AF403" s="15" t="n">
        <f aca="false">(IF(39-(INT((Parametri_v3!$C$29)/30))&lt;1,0,INDEX(Motore_Operativo!$BH$365:$BH$424,MAX(1,39-(INT((Parametri_v3!$C$29)/30)))))*(1-(MOD((Parametri_v3!$C$29),30)/30))+IF(39-(INT((Parametri_v3!$C$29)/30))-1&lt;1,0,INDEX(Motore_Operativo!$BH$365:$BH$424,MAX(1,39-(INT((Parametri_v3!$C$29)/30))-1)))*(MOD((Parametri_v3!$C$29),30)/30))*(1+Parametri_v3!$C$26)</f>
        <v>11009.4833333333</v>
      </c>
      <c r="AG403" s="15" t="n">
        <f aca="false">(AG402)+AE403-AF403</f>
        <v>11009.4833333333</v>
      </c>
      <c r="AH403" s="15" t="n">
        <f aca="false">(Motore_Operativo!CK403)*(1+Parametri_v3!$C$28*Parametri_v3!$C$26)</f>
        <v>23198.952</v>
      </c>
      <c r="AI403" s="15" t="n">
        <f aca="false">(IF(39-(INT((Ipotesi!$C$91)/30))&lt;1,0,INDEX(Motore_Advisory!$AH$365:$AH$424,MAX(1,39-(INT((Ipotesi!$C$91)/30)))))*(1-(MOD((Ipotesi!$C$91),30)/30))+IF(39-(INT((Ipotesi!$C$91)/30))-1&lt;1,0,INDEX(Motore_Advisory!$AH$365:$AH$424,MAX(1,39-(INT((Ipotesi!$C$91)/30))-1)))*(MOD((Ipotesi!$C$91),30)/30))</f>
        <v>23198.952</v>
      </c>
      <c r="AJ403" s="15" t="n">
        <f aca="false">(AJ402)+AH403-AI403</f>
        <v>46397.904</v>
      </c>
      <c r="AK403" s="15" t="n">
        <f aca="false">(F403- Motore_Operativo!BH403-(Motore_Operativo!CK403)*Parametri_v3!$C$28-Motore_Operativo!CF403)*Parametri_v3!$C$26</f>
        <v>14249.2313333333</v>
      </c>
      <c r="AL403" s="15" t="n">
        <f aca="false">MAX(0,(AM402))</f>
        <v>14249.2313333333</v>
      </c>
      <c r="AM403" s="15" t="n">
        <f aca="false">(AM402)+AK403-AL403</f>
        <v>14249.2313333333</v>
      </c>
      <c r="AN403" s="15" t="n">
        <f aca="false">SUM(X389:X400)</f>
        <v>46679.99375</v>
      </c>
      <c r="AO403" s="15" t="n">
        <f aca="false">SUM(AP389:AP400)</f>
        <v>16530.1714788732</v>
      </c>
      <c r="AP403" s="15" t="n">
        <f aca="false">MAX(0,AN403)*IF(3=Parametri_v3!$C$43,Parametri_v3!$C$45,IF(3=Parametri_v3!$C$44,1-Parametri_v3!$C$45,0))</f>
        <v>0</v>
      </c>
      <c r="AQ403" s="15" t="n">
        <f aca="false">MAX(0,AP403+IF(3=Parametri_v3!$C$43,MAX(0,AN403-AO403),0)-MAX(0,-(AR402)))</f>
        <v>0</v>
      </c>
      <c r="AR403" s="15" t="n">
        <f aca="false">(AR402)+X403-AQ403</f>
        <v>52980.8671562518</v>
      </c>
      <c r="AS403" s="15" t="n">
        <f aca="false">Motore_Operativo!AC403-AT403+AU403</f>
        <v>32137.5563729167</v>
      </c>
      <c r="AT403" s="15" t="n">
        <f aca="false">Motore_Operativo!CI403</f>
        <v>1691.45033541667</v>
      </c>
      <c r="AU403" s="15" t="n">
        <f aca="false">MIN(MAX(0,(AV402)+AT403),Parametri_v3!$C$61/12)</f>
        <v>0</v>
      </c>
      <c r="AV403" s="15" t="n">
        <f aca="false">(AV402)+AT403-AU403</f>
        <v>33053.78850625</v>
      </c>
      <c r="AW403" s="15" t="n">
        <f aca="false">IF(AND(Motore_Operativo!C403=Finanziamenti!$D$7,Finanziamenti!$F$7=1),Finanziamenti!$C$7,0)</f>
        <v>0</v>
      </c>
      <c r="AX403" s="15" t="n">
        <f aca="false">0</f>
        <v>0</v>
      </c>
      <c r="AY403" s="15" t="n">
        <f aca="false">IF(3=Parametri_v3!$C$33,IF(BV403&lt;MIN(12,$B403-1),0,MIN(MAX(0,SUM(Y389:Y400))*Ipotesi!$C$94,MAX(0,(BM400)-(BO402)-BP403),MAX(0,BD403-Parametri_v3!$C$31))),0)</f>
        <v>0</v>
      </c>
      <c r="AZ403" s="15" t="n">
        <f aca="false">0</f>
        <v>0</v>
      </c>
      <c r="BA403" s="15" t="n">
        <f aca="false">0</f>
        <v>0</v>
      </c>
      <c r="BB403" s="15" t="n">
        <f aca="false">0</f>
        <v>0</v>
      </c>
      <c r="BC403" s="15" t="n">
        <f aca="false">0</f>
        <v>0</v>
      </c>
      <c r="BD403" s="15" t="n">
        <f aca="false">(BH402)+AC403-AF403-AI403-AS403-K403*(1+Parametri_v3!$C$26)-AL403-AQ403-O403+AW403+AX403+AZ403+BA403-BB403</f>
        <v>96971.7912102592</v>
      </c>
      <c r="BE403" s="15" t="n">
        <f aca="false">0</f>
        <v>0</v>
      </c>
      <c r="BF403" s="15" t="n">
        <f aca="false">0</f>
        <v>0</v>
      </c>
      <c r="BG403" s="15" t="n">
        <f aca="false">0</f>
        <v>0</v>
      </c>
      <c r="BH403" s="15" t="n">
        <f aca="false">BD403+BE403-BF403-AY403</f>
        <v>96971.7912102592</v>
      </c>
      <c r="BI403" s="15" t="n">
        <f aca="false">MAX(0,Parametri_v3!$C$31-BH403)</f>
        <v>0</v>
      </c>
      <c r="BJ403" s="15" t="n">
        <f aca="false">(BJ402)+K403</f>
        <v>15000</v>
      </c>
      <c r="BK403" s="15" t="n">
        <f aca="false">(BK402)+L403</f>
        <v>7166.66666666667</v>
      </c>
      <c r="BL403" s="15" t="n">
        <f aca="false">BJ403-BK403</f>
        <v>7833.33333333333</v>
      </c>
      <c r="BM403" s="15" t="n">
        <f aca="false">(BM402)+Y403</f>
        <v>257398.350214424</v>
      </c>
      <c r="BN403" s="15" t="n">
        <f aca="false">(BN402)+AW403+AX403+AZ403</f>
        <v>20000</v>
      </c>
      <c r="BO403" s="15" t="n">
        <f aca="false">(BO402)+AY403</f>
        <v>0</v>
      </c>
      <c r="BP403" s="15" t="n">
        <f aca="false">MIN(Parametri_v3!$C$36*Parametri_v3!$C$35,(BP402)+IF(3=1,MAX(0,SUM(Y389:Y400))*Parametri_v3!$C$34,0))</f>
        <v>2000</v>
      </c>
      <c r="BQ403" s="15" t="n">
        <f aca="false">BN403+BM403-BO403</f>
        <v>277398.350214424</v>
      </c>
      <c r="BR403" s="15" t="n">
        <f aca="false">BH403+AD403+BL403+MAX(0,-AM403)+MAX(0,-AR403)</f>
        <v>435089.624543592</v>
      </c>
      <c r="BS403" s="15" t="n">
        <f aca="false">AJ403+AV403+MAX(0,AM403)+MAX(0,AR403)+BC403+BG403+BQ403+AG403</f>
        <v>435089.624543593</v>
      </c>
      <c r="BT403" s="15" t="n">
        <f aca="false">BR403-BS403</f>
        <v>0</v>
      </c>
      <c r="BU403" s="15" t="n">
        <f aca="false">BH403-(BD403+BE403-BF403-AY403)</f>
        <v>0</v>
      </c>
      <c r="BV403" s="15" t="n">
        <f aca="false">IF(BH402&lt;Parametri_v3!$C$31,0,BV402+1)</f>
        <v>10</v>
      </c>
    </row>
    <row r="404" customFormat="false" ht="18" hidden="false" customHeight="true" outlineLevel="0" collapsed="false">
      <c r="A404" s="68" t="n">
        <f aca="false">7</f>
        <v>7</v>
      </c>
      <c r="B404" s="68" t="n">
        <f aca="false">40</f>
        <v>40</v>
      </c>
      <c r="C404" s="18" t="n">
        <f aca="false">Motore_Operativo!C404</f>
        <v>47574</v>
      </c>
      <c r="D404" s="68" t="n">
        <f aca="false">Motore_Operativo!D404</f>
        <v>2030</v>
      </c>
      <c r="E404" s="68" t="n">
        <f aca="false">Motore_Operativo!E404</f>
        <v>4</v>
      </c>
      <c r="F404" s="15" t="n">
        <f aca="false">Motore_Operativo!AM404</f>
        <v>90241.6666666667</v>
      </c>
      <c r="G404" s="15" t="n">
        <f aca="false">Motore_Operativo!BH404</f>
        <v>9024.16666666667</v>
      </c>
      <c r="H404" s="15" t="n">
        <f aca="false">Motore_Operativo!AM404</f>
        <v>90241.6666666667</v>
      </c>
      <c r="I404" s="15" t="n">
        <f aca="false">Motore_Operativo!CB404</f>
        <v>62580.173375</v>
      </c>
      <c r="J404" s="15" t="n">
        <f aca="false">Motore_Operativo!CD404</f>
        <v>27661.4932916667</v>
      </c>
      <c r="K404" s="15" t="n">
        <f aca="false">Motore_Operativo!CF404</f>
        <v>666.666666666667</v>
      </c>
      <c r="L404" s="15" t="n">
        <f aca="false">SUM(INDEX($K$365:$K$424,MAX(1,40-Parametri_v3!$C$59+1)):K404)/Parametri_v3!$C$59</f>
        <v>407.407407407407</v>
      </c>
      <c r="M404" s="15" t="n">
        <f aca="false">J404-L404</f>
        <v>27254.0858842593</v>
      </c>
      <c r="N404" s="15" t="n">
        <f aca="false">0</f>
        <v>0</v>
      </c>
      <c r="O404" s="15" t="n">
        <f aca="false">0</f>
        <v>0</v>
      </c>
      <c r="P404" s="15" t="n">
        <f aca="false">M404+N404-O404</f>
        <v>27254.0858842593</v>
      </c>
      <c r="Q404" s="15" t="n">
        <f aca="false">SUM(P401:P404)+Parametri_v3!$C$56*4/12</f>
        <v>109085.787981481</v>
      </c>
      <c r="R404" s="15" t="n">
        <f aca="false">Z400</f>
        <v>0</v>
      </c>
      <c r="S404" s="15" t="n">
        <f aca="false">AA400</f>
        <v>0</v>
      </c>
      <c r="T404" s="15" t="n">
        <f aca="false">MIN(R404,MAX(0,Q404))</f>
        <v>0</v>
      </c>
      <c r="U404" s="15" t="n">
        <f aca="false">MIN(S404,MAX(0,Q404-T404)*Parametri_v3!$C$42)</f>
        <v>0</v>
      </c>
      <c r="V404" s="15" t="n">
        <f aca="false">MAX(0,Q404-T404-U404)*Ipotesi!$C$92</f>
        <v>26180.5891155556</v>
      </c>
      <c r="W404" s="15" t="n">
        <f aca="false">MAX(0,SUM(M401:M404)+Parametri_v3!$C$57*4/12)*Ipotesi!$C$93</f>
        <v>4254.34573127778</v>
      </c>
      <c r="X404" s="15" t="n">
        <f aca="false">V404+W404-(V403+W403)</f>
        <v>7603.88996170833</v>
      </c>
      <c r="Y404" s="15" t="n">
        <f aca="false">P404-X404</f>
        <v>19650.1959225509</v>
      </c>
      <c r="Z404" s="15" t="n">
        <f aca="false">R404-T404+IF(AND(Parametri_v3!$C$40=1,D404-YEAR(Parametri_v3!$C$50)&lt;Parametri_v3!$C$41),MAX(0,-Q404),0)</f>
        <v>0</v>
      </c>
      <c r="AA404" s="15" t="n">
        <f aca="false">S404-U404+IF(AND(Parametri_v3!$C$40=1,D404-YEAR(Parametri_v3!$C$50)&lt;Parametri_v3!$C$41),0,MAX(0,-Q404))</f>
        <v>0</v>
      </c>
      <c r="AB404" s="15" t="n">
        <f aca="false">F404*(1+Parametri_v3!$C$26)</f>
        <v>110094.833333333</v>
      </c>
      <c r="AC404" s="15" t="n">
        <f aca="false">(IF(40-(INT((Motore_Operativo!L404)/30))&lt;1,0,INDEX(Motore_Advisory!$AB$365:$AB$424,MAX(1,40-(INT((Motore_Operativo!L404)/30)))))*(1-(MOD((Motore_Operativo!L404),30)/30))+IF(40-(INT((Motore_Operativo!L404)/30))-1&lt;1,0,INDEX(Motore_Advisory!$AB$365:$AB$424,MAX(1,40-(INT((Motore_Operativo!L404)/30))-1)))*(MOD((Motore_Operativo!L404),30)/30))</f>
        <v>110094.833333333</v>
      </c>
      <c r="AD404" s="15" t="n">
        <f aca="false">(AD403)+AB404-AC404</f>
        <v>330284.5</v>
      </c>
      <c r="AE404" s="15" t="n">
        <f aca="false">Motore_Operativo!BH404*(1+Parametri_v3!$C$26)</f>
        <v>11009.4833333333</v>
      </c>
      <c r="AF404" s="15" t="n">
        <f aca="false">(IF(40-(INT((Parametri_v3!$C$29)/30))&lt;1,0,INDEX(Motore_Operativo!$BH$365:$BH$424,MAX(1,40-(INT((Parametri_v3!$C$29)/30)))))*(1-(MOD((Parametri_v3!$C$29),30)/30))+IF(40-(INT((Parametri_v3!$C$29)/30))-1&lt;1,0,INDEX(Motore_Operativo!$BH$365:$BH$424,MAX(1,40-(INT((Parametri_v3!$C$29)/30))-1)))*(MOD((Parametri_v3!$C$29),30)/30))*(1+Parametri_v3!$C$26)</f>
        <v>11009.4833333333</v>
      </c>
      <c r="AG404" s="15" t="n">
        <f aca="false">(AG403)+AE404-AF404</f>
        <v>11009.4833333333</v>
      </c>
      <c r="AH404" s="15" t="n">
        <f aca="false">(Motore_Operativo!CK404)*(1+Parametri_v3!$C$28*Parametri_v3!$C$26)</f>
        <v>23198.952</v>
      </c>
      <c r="AI404" s="15" t="n">
        <f aca="false">(IF(40-(INT((Ipotesi!$C$91)/30))&lt;1,0,INDEX(Motore_Advisory!$AH$365:$AH$424,MAX(1,40-(INT((Ipotesi!$C$91)/30)))))*(1-(MOD((Ipotesi!$C$91),30)/30))+IF(40-(INT((Ipotesi!$C$91)/30))-1&lt;1,0,INDEX(Motore_Advisory!$AH$365:$AH$424,MAX(1,40-(INT((Ipotesi!$C$91)/30))-1)))*(MOD((Ipotesi!$C$91),30)/30))</f>
        <v>23198.952</v>
      </c>
      <c r="AJ404" s="15" t="n">
        <f aca="false">(AJ403)+AH404-AI404</f>
        <v>46397.904</v>
      </c>
      <c r="AK404" s="15" t="n">
        <f aca="false">(F404- Motore_Operativo!BH404-(Motore_Operativo!CK404)*Parametri_v3!$C$28-Motore_Operativo!CF404)*Parametri_v3!$C$26</f>
        <v>14249.2313333333</v>
      </c>
      <c r="AL404" s="15" t="n">
        <f aca="false">MAX(0,(AM403))</f>
        <v>14249.2313333333</v>
      </c>
      <c r="AM404" s="15" t="n">
        <f aca="false">(AM403)+AK404-AL404</f>
        <v>14249.2313333333</v>
      </c>
      <c r="AN404" s="15" t="n">
        <f aca="false">SUM(X389:X400)</f>
        <v>46679.99375</v>
      </c>
      <c r="AO404" s="15" t="n">
        <f aca="false">SUM(AP389:AP400)</f>
        <v>16530.1714788732</v>
      </c>
      <c r="AP404" s="15" t="n">
        <f aca="false">MAX(0,AN404)*IF(4=Parametri_v3!$C$43,Parametri_v3!$C$45,IF(4=Parametri_v3!$C$44,1-Parametri_v3!$C$45,0))</f>
        <v>0</v>
      </c>
      <c r="AQ404" s="15" t="n">
        <f aca="false">MAX(0,AP404+IF(4=Parametri_v3!$C$43,MAX(0,AN404-AO404),0)-MAX(0,-(AR403)))</f>
        <v>0</v>
      </c>
      <c r="AR404" s="15" t="n">
        <f aca="false">(AR403)+X404-AQ404</f>
        <v>60584.7571179601</v>
      </c>
      <c r="AS404" s="15" t="n">
        <f aca="false">Motore_Operativo!AC404-AT404+AU404</f>
        <v>32137.5563729167</v>
      </c>
      <c r="AT404" s="15" t="n">
        <f aca="false">Motore_Operativo!CI404</f>
        <v>1691.45033541667</v>
      </c>
      <c r="AU404" s="15" t="n">
        <f aca="false">MIN(MAX(0,(AV403)+AT404),Parametri_v3!$C$61/12)</f>
        <v>0</v>
      </c>
      <c r="AV404" s="15" t="n">
        <f aca="false">(AV403)+AT404-AU404</f>
        <v>34745.2388416667</v>
      </c>
      <c r="AW404" s="15" t="n">
        <f aca="false">IF(AND(Motore_Operativo!C404=Finanziamenti!$D$7,Finanziamenti!$F$7=1),Finanziamenti!$C$7,0)</f>
        <v>0</v>
      </c>
      <c r="AX404" s="15" t="n">
        <f aca="false">0</f>
        <v>0</v>
      </c>
      <c r="AY404" s="15" t="n">
        <f aca="false">IF(4=Parametri_v3!$C$33,IF(BV404&lt;MIN(12,$B404-1),0,MIN(MAX(0,SUM(Y389:Y400))*Ipotesi!$C$94,MAX(0,(BM400)-(BO403)-BP404),MAX(0,BD404-Parametri_v3!$C$31))),0)</f>
        <v>0</v>
      </c>
      <c r="AZ404" s="15" t="n">
        <f aca="false">0</f>
        <v>0</v>
      </c>
      <c r="BA404" s="15" t="n">
        <f aca="false">0</f>
        <v>0</v>
      </c>
      <c r="BB404" s="15" t="n">
        <f aca="false">0</f>
        <v>0</v>
      </c>
      <c r="BC404" s="15" t="n">
        <f aca="false">0</f>
        <v>0</v>
      </c>
      <c r="BD404" s="15" t="n">
        <f aca="false">(BH403)+AC404-AF404-AI404-AS404-K404*(1+Parametri_v3!$C$26)-AL404-AQ404-O404+AW404+AX404+AZ404+BA404-BB404</f>
        <v>125658.068170676</v>
      </c>
      <c r="BE404" s="15" t="n">
        <f aca="false">0</f>
        <v>0</v>
      </c>
      <c r="BF404" s="15" t="n">
        <f aca="false">0</f>
        <v>0</v>
      </c>
      <c r="BG404" s="15" t="n">
        <f aca="false">0</f>
        <v>0</v>
      </c>
      <c r="BH404" s="15" t="n">
        <f aca="false">BD404+BE404-BF404-AY404</f>
        <v>125658.068170676</v>
      </c>
      <c r="BI404" s="15" t="n">
        <f aca="false">MAX(0,Parametri_v3!$C$31-BH404)</f>
        <v>0</v>
      </c>
      <c r="BJ404" s="15" t="n">
        <f aca="false">(BJ403)+K404</f>
        <v>15666.6666666667</v>
      </c>
      <c r="BK404" s="15" t="n">
        <f aca="false">(BK403)+L404</f>
        <v>7574.07407407407</v>
      </c>
      <c r="BL404" s="15" t="n">
        <f aca="false">BJ404-BK404</f>
        <v>8092.59259259259</v>
      </c>
      <c r="BM404" s="15" t="n">
        <f aca="false">(BM403)+Y404</f>
        <v>277048.546136975</v>
      </c>
      <c r="BN404" s="15" t="n">
        <f aca="false">(BN403)+AW404+AX404+AZ404</f>
        <v>20000</v>
      </c>
      <c r="BO404" s="15" t="n">
        <f aca="false">(BO403)+AY404</f>
        <v>0</v>
      </c>
      <c r="BP404" s="15" t="n">
        <f aca="false">MIN(Parametri_v3!$C$36*Parametri_v3!$C$35,(BP403)+IF(4=1,MAX(0,SUM(Y389:Y400))*Parametri_v3!$C$34,0))</f>
        <v>2000</v>
      </c>
      <c r="BQ404" s="15" t="n">
        <f aca="false">BN404+BM404-BO404</f>
        <v>297048.546136975</v>
      </c>
      <c r="BR404" s="15" t="n">
        <f aca="false">BH404+AD404+BL404+MAX(0,-AM404)+MAX(0,-AR404)</f>
        <v>464035.160763268</v>
      </c>
      <c r="BS404" s="15" t="n">
        <f aca="false">AJ404+AV404+MAX(0,AM404)+MAX(0,AR404)+BC404+BG404+BQ404+AG404</f>
        <v>464035.160763268</v>
      </c>
      <c r="BT404" s="15" t="n">
        <f aca="false">BR404-BS404</f>
        <v>0</v>
      </c>
      <c r="BU404" s="15" t="n">
        <f aca="false">BH404-(BD404+BE404-BF404-AY404)</f>
        <v>0</v>
      </c>
      <c r="BV404" s="15" t="n">
        <f aca="false">IF(BH403&lt;Parametri_v3!$C$31,0,BV403+1)</f>
        <v>11</v>
      </c>
    </row>
    <row r="405" customFormat="false" ht="18" hidden="false" customHeight="true" outlineLevel="0" collapsed="false">
      <c r="A405" s="68" t="n">
        <f aca="false">7</f>
        <v>7</v>
      </c>
      <c r="B405" s="68" t="n">
        <f aca="false">41</f>
        <v>41</v>
      </c>
      <c r="C405" s="18" t="n">
        <f aca="false">Motore_Operativo!C405</f>
        <v>47604</v>
      </c>
      <c r="D405" s="68" t="n">
        <f aca="false">Motore_Operativo!D405</f>
        <v>2030</v>
      </c>
      <c r="E405" s="68" t="n">
        <f aca="false">Motore_Operativo!E405</f>
        <v>5</v>
      </c>
      <c r="F405" s="15" t="n">
        <f aca="false">Motore_Operativo!AM405</f>
        <v>90241.6666666667</v>
      </c>
      <c r="G405" s="15" t="n">
        <f aca="false">Motore_Operativo!BH405</f>
        <v>9024.16666666667</v>
      </c>
      <c r="H405" s="15" t="n">
        <f aca="false">Motore_Operativo!AM405</f>
        <v>90241.6666666667</v>
      </c>
      <c r="I405" s="15" t="n">
        <f aca="false">Motore_Operativo!CB405</f>
        <v>62580.173375</v>
      </c>
      <c r="J405" s="15" t="n">
        <f aca="false">Motore_Operativo!CD405</f>
        <v>27661.4932916667</v>
      </c>
      <c r="K405" s="15" t="n">
        <f aca="false">Motore_Operativo!CF405</f>
        <v>666.666666666667</v>
      </c>
      <c r="L405" s="15" t="n">
        <f aca="false">SUM(INDEX($K$365:$K$424,MAX(1,41-Parametri_v3!$C$59+1)):K405)/Parametri_v3!$C$59</f>
        <v>418.981481481482</v>
      </c>
      <c r="M405" s="15" t="n">
        <f aca="false">J405-L405</f>
        <v>27242.5118101852</v>
      </c>
      <c r="N405" s="15" t="n">
        <f aca="false">0</f>
        <v>0</v>
      </c>
      <c r="O405" s="15" t="n">
        <f aca="false">0</f>
        <v>0</v>
      </c>
      <c r="P405" s="15" t="n">
        <f aca="false">M405+N405-O405</f>
        <v>27242.5118101852</v>
      </c>
      <c r="Q405" s="15" t="n">
        <f aca="false">SUM(P401:P405)+Parametri_v3!$C$56*5/12</f>
        <v>136328.299791667</v>
      </c>
      <c r="R405" s="15" t="n">
        <f aca="false">Z400</f>
        <v>0</v>
      </c>
      <c r="S405" s="15" t="n">
        <f aca="false">AA400</f>
        <v>0</v>
      </c>
      <c r="T405" s="15" t="n">
        <f aca="false">MIN(R405,MAX(0,Q405))</f>
        <v>0</v>
      </c>
      <c r="U405" s="15" t="n">
        <f aca="false">MIN(S405,MAX(0,Q405-T405)*Parametri_v3!$C$42)</f>
        <v>0</v>
      </c>
      <c r="V405" s="15" t="n">
        <f aca="false">MAX(0,Q405-T405-U405)*Ipotesi!$C$92</f>
        <v>32718.79195</v>
      </c>
      <c r="W405" s="15" t="n">
        <f aca="false">MAX(0,SUM(M401:M405)+Parametri_v3!$C$57*5/12)*Ipotesi!$C$93</f>
        <v>5316.803691875</v>
      </c>
      <c r="X405" s="15" t="n">
        <f aca="false">V405+W405-(V404+W404)</f>
        <v>7600.66079504167</v>
      </c>
      <c r="Y405" s="15" t="n">
        <f aca="false">P405-X405</f>
        <v>19641.8510151435</v>
      </c>
      <c r="Z405" s="15" t="n">
        <f aca="false">R405-T405+IF(AND(Parametri_v3!$C$40=1,D405-YEAR(Parametri_v3!$C$50)&lt;Parametri_v3!$C$41),MAX(0,-Q405),0)</f>
        <v>0</v>
      </c>
      <c r="AA405" s="15" t="n">
        <f aca="false">S405-U405+IF(AND(Parametri_v3!$C$40=1,D405-YEAR(Parametri_v3!$C$50)&lt;Parametri_v3!$C$41),0,MAX(0,-Q405))</f>
        <v>0</v>
      </c>
      <c r="AB405" s="15" t="n">
        <f aca="false">F405*(1+Parametri_v3!$C$26)</f>
        <v>110094.833333333</v>
      </c>
      <c r="AC405" s="15" t="n">
        <f aca="false">(IF(41-(INT((Motore_Operativo!L405)/30))&lt;1,0,INDEX(Motore_Advisory!$AB$365:$AB$424,MAX(1,41-(INT((Motore_Operativo!L405)/30)))))*(1-(MOD((Motore_Operativo!L405),30)/30))+IF(41-(INT((Motore_Operativo!L405)/30))-1&lt;1,0,INDEX(Motore_Advisory!$AB$365:$AB$424,MAX(1,41-(INT((Motore_Operativo!L405)/30))-1)))*(MOD((Motore_Operativo!L405),30)/30))</f>
        <v>110094.833333333</v>
      </c>
      <c r="AD405" s="15" t="n">
        <f aca="false">(AD404)+AB405-AC405</f>
        <v>330284.5</v>
      </c>
      <c r="AE405" s="15" t="n">
        <f aca="false">Motore_Operativo!BH405*(1+Parametri_v3!$C$26)</f>
        <v>11009.4833333333</v>
      </c>
      <c r="AF405" s="15" t="n">
        <f aca="false">(IF(41-(INT((Parametri_v3!$C$29)/30))&lt;1,0,INDEX(Motore_Operativo!$BH$365:$BH$424,MAX(1,41-(INT((Parametri_v3!$C$29)/30)))))*(1-(MOD((Parametri_v3!$C$29),30)/30))+IF(41-(INT((Parametri_v3!$C$29)/30))-1&lt;1,0,INDEX(Motore_Operativo!$BH$365:$BH$424,MAX(1,41-(INT((Parametri_v3!$C$29)/30))-1)))*(MOD((Parametri_v3!$C$29),30)/30))*(1+Parametri_v3!$C$26)</f>
        <v>11009.4833333333</v>
      </c>
      <c r="AG405" s="15" t="n">
        <f aca="false">(AG404)+AE405-AF405</f>
        <v>11009.4833333333</v>
      </c>
      <c r="AH405" s="15" t="n">
        <f aca="false">(Motore_Operativo!CK405)*(1+Parametri_v3!$C$28*Parametri_v3!$C$26)</f>
        <v>23198.952</v>
      </c>
      <c r="AI405" s="15" t="n">
        <f aca="false">(IF(41-(INT((Ipotesi!$C$91)/30))&lt;1,0,INDEX(Motore_Advisory!$AH$365:$AH$424,MAX(1,41-(INT((Ipotesi!$C$91)/30)))))*(1-(MOD((Ipotesi!$C$91),30)/30))+IF(41-(INT((Ipotesi!$C$91)/30))-1&lt;1,0,INDEX(Motore_Advisory!$AH$365:$AH$424,MAX(1,41-(INT((Ipotesi!$C$91)/30))-1)))*(MOD((Ipotesi!$C$91),30)/30))</f>
        <v>23198.952</v>
      </c>
      <c r="AJ405" s="15" t="n">
        <f aca="false">(AJ404)+AH405-AI405</f>
        <v>46397.904</v>
      </c>
      <c r="AK405" s="15" t="n">
        <f aca="false">(F405- Motore_Operativo!BH405-(Motore_Operativo!CK405)*Parametri_v3!$C$28-Motore_Operativo!CF405)*Parametri_v3!$C$26</f>
        <v>14249.2313333333</v>
      </c>
      <c r="AL405" s="15" t="n">
        <f aca="false">MAX(0,(AM404))</f>
        <v>14249.2313333333</v>
      </c>
      <c r="AM405" s="15" t="n">
        <f aca="false">(AM404)+AK405-AL405</f>
        <v>14249.2313333333</v>
      </c>
      <c r="AN405" s="15" t="n">
        <f aca="false">SUM(X389:X400)</f>
        <v>46679.99375</v>
      </c>
      <c r="AO405" s="15" t="n">
        <f aca="false">SUM(AP389:AP400)</f>
        <v>16530.1714788732</v>
      </c>
      <c r="AP405" s="15" t="n">
        <f aca="false">MAX(0,AN405)*IF(5=Parametri_v3!$C$43,Parametri_v3!$C$45,IF(5=Parametri_v3!$C$44,1-Parametri_v3!$C$45,0))</f>
        <v>0</v>
      </c>
      <c r="AQ405" s="15" t="n">
        <f aca="false">MAX(0,AP405+IF(5=Parametri_v3!$C$43,MAX(0,AN405-AO405),0)-MAX(0,-(AR404)))</f>
        <v>0</v>
      </c>
      <c r="AR405" s="15" t="n">
        <f aca="false">(AR404)+X405-AQ405</f>
        <v>68185.4179130018</v>
      </c>
      <c r="AS405" s="15" t="n">
        <f aca="false">Motore_Operativo!AC405-AT405+AU405</f>
        <v>32137.5563729167</v>
      </c>
      <c r="AT405" s="15" t="n">
        <f aca="false">Motore_Operativo!CI405</f>
        <v>1691.45033541667</v>
      </c>
      <c r="AU405" s="15" t="n">
        <f aca="false">MIN(MAX(0,(AV404)+AT405),Parametri_v3!$C$61/12)</f>
        <v>0</v>
      </c>
      <c r="AV405" s="15" t="n">
        <f aca="false">(AV404)+AT405-AU405</f>
        <v>36436.6891770833</v>
      </c>
      <c r="AW405" s="15" t="n">
        <f aca="false">IF(AND(Motore_Operativo!C405=Finanziamenti!$D$7,Finanziamenti!$F$7=1),Finanziamenti!$C$7,0)</f>
        <v>0</v>
      </c>
      <c r="AX405" s="15" t="n">
        <f aca="false">0</f>
        <v>0</v>
      </c>
      <c r="AY405" s="15" t="n">
        <f aca="false">IF(5=Parametri_v3!$C$33,IF(BV405&lt;MIN(12,$B405-1),0,MIN(MAX(0,SUM(Y389:Y400))*Ipotesi!$C$94,MAX(0,(BM400)-(BO404)-BP405),MAX(0,BD405-Parametri_v3!$C$31))),0)</f>
        <v>0</v>
      </c>
      <c r="AZ405" s="15" t="n">
        <f aca="false">0</f>
        <v>0</v>
      </c>
      <c r="BA405" s="15" t="n">
        <f aca="false">0</f>
        <v>0</v>
      </c>
      <c r="BB405" s="15" t="n">
        <f aca="false">0</f>
        <v>0</v>
      </c>
      <c r="BC405" s="15" t="n">
        <f aca="false">0</f>
        <v>0</v>
      </c>
      <c r="BD405" s="15" t="n">
        <f aca="false">(BH404)+AC405-AF405-AI405-AS405-K405*(1+Parametri_v3!$C$26)-AL405-AQ405-O405+AW405+AX405+AZ405+BA405-BB405</f>
        <v>154344.345131092</v>
      </c>
      <c r="BE405" s="15" t="n">
        <f aca="false">0</f>
        <v>0</v>
      </c>
      <c r="BF405" s="15" t="n">
        <f aca="false">0</f>
        <v>0</v>
      </c>
      <c r="BG405" s="15" t="n">
        <f aca="false">0</f>
        <v>0</v>
      </c>
      <c r="BH405" s="15" t="n">
        <f aca="false">BD405+BE405-BF405-AY405</f>
        <v>154344.345131092</v>
      </c>
      <c r="BI405" s="15" t="n">
        <f aca="false">MAX(0,Parametri_v3!$C$31-BH405)</f>
        <v>0</v>
      </c>
      <c r="BJ405" s="15" t="n">
        <f aca="false">(BJ404)+K405</f>
        <v>16333.3333333333</v>
      </c>
      <c r="BK405" s="15" t="n">
        <f aca="false">(BK404)+L405</f>
        <v>7993.05555555556</v>
      </c>
      <c r="BL405" s="15" t="n">
        <f aca="false">BJ405-BK405</f>
        <v>8340.27777777777</v>
      </c>
      <c r="BM405" s="15" t="n">
        <f aca="false">(BM404)+Y405</f>
        <v>296690.397152119</v>
      </c>
      <c r="BN405" s="15" t="n">
        <f aca="false">(BN404)+AW405+AX405+AZ405</f>
        <v>20000</v>
      </c>
      <c r="BO405" s="15" t="n">
        <f aca="false">(BO404)+AY405</f>
        <v>0</v>
      </c>
      <c r="BP405" s="15" t="n">
        <f aca="false">MIN(Parametri_v3!$C$36*Parametri_v3!$C$35,(BP404)+IF(5=1,MAX(0,SUM(Y389:Y400))*Parametri_v3!$C$34,0))</f>
        <v>2000</v>
      </c>
      <c r="BQ405" s="15" t="n">
        <f aca="false">BN405+BM405-BO405</f>
        <v>316690.397152119</v>
      </c>
      <c r="BR405" s="15" t="n">
        <f aca="false">BH405+AD405+BL405+MAX(0,-AM405)+MAX(0,-AR405)</f>
        <v>492969.12290887</v>
      </c>
      <c r="BS405" s="15" t="n">
        <f aca="false">AJ405+AV405+MAX(0,AM405)+MAX(0,AR405)+BC405+BG405+BQ405+AG405</f>
        <v>492969.12290887</v>
      </c>
      <c r="BT405" s="15" t="n">
        <f aca="false">BR405-BS405</f>
        <v>0</v>
      </c>
      <c r="BU405" s="15" t="n">
        <f aca="false">BH405-(BD405+BE405-BF405-AY405)</f>
        <v>0</v>
      </c>
      <c r="BV405" s="15" t="n">
        <f aca="false">IF(BH404&lt;Parametri_v3!$C$31,0,BV404+1)</f>
        <v>12</v>
      </c>
    </row>
    <row r="406" customFormat="false" ht="18" hidden="false" customHeight="true" outlineLevel="0" collapsed="false">
      <c r="A406" s="68" t="n">
        <f aca="false">7</f>
        <v>7</v>
      </c>
      <c r="B406" s="68" t="n">
        <f aca="false">42</f>
        <v>42</v>
      </c>
      <c r="C406" s="18" t="n">
        <f aca="false">Motore_Operativo!C406</f>
        <v>47635</v>
      </c>
      <c r="D406" s="68" t="n">
        <f aca="false">Motore_Operativo!D406</f>
        <v>2030</v>
      </c>
      <c r="E406" s="68" t="n">
        <f aca="false">Motore_Operativo!E406</f>
        <v>6</v>
      </c>
      <c r="F406" s="15" t="n">
        <f aca="false">Motore_Operativo!AM406</f>
        <v>90241.6666666667</v>
      </c>
      <c r="G406" s="15" t="n">
        <f aca="false">Motore_Operativo!BH406</f>
        <v>9024.16666666667</v>
      </c>
      <c r="H406" s="15" t="n">
        <f aca="false">Motore_Operativo!AM406</f>
        <v>90241.6666666667</v>
      </c>
      <c r="I406" s="15" t="n">
        <f aca="false">Motore_Operativo!CB406</f>
        <v>62580.173375</v>
      </c>
      <c r="J406" s="15" t="n">
        <f aca="false">Motore_Operativo!CD406</f>
        <v>27661.4932916667</v>
      </c>
      <c r="K406" s="15" t="n">
        <f aca="false">Motore_Operativo!CF406</f>
        <v>666.666666666667</v>
      </c>
      <c r="L406" s="15" t="n">
        <f aca="false">SUM(INDEX($K$365:$K$424,MAX(1,42-Parametri_v3!$C$59+1)):K406)/Parametri_v3!$C$59</f>
        <v>430.555555555556</v>
      </c>
      <c r="M406" s="15" t="n">
        <f aca="false">J406-L406</f>
        <v>27230.9377361111</v>
      </c>
      <c r="N406" s="15" t="n">
        <f aca="false">0</f>
        <v>0</v>
      </c>
      <c r="O406" s="15" t="n">
        <f aca="false">0</f>
        <v>0</v>
      </c>
      <c r="P406" s="15" t="n">
        <f aca="false">M406+N406-O406</f>
        <v>27230.9377361111</v>
      </c>
      <c r="Q406" s="15" t="n">
        <f aca="false">SUM(P401:P406)+Parametri_v3!$C$56*6/12</f>
        <v>163559.237527778</v>
      </c>
      <c r="R406" s="15" t="n">
        <f aca="false">Z400</f>
        <v>0</v>
      </c>
      <c r="S406" s="15" t="n">
        <f aca="false">AA400</f>
        <v>0</v>
      </c>
      <c r="T406" s="15" t="n">
        <f aca="false">MIN(R406,MAX(0,Q406))</f>
        <v>0</v>
      </c>
      <c r="U406" s="15" t="n">
        <f aca="false">MIN(S406,MAX(0,Q406-T406)*Parametri_v3!$C$42)</f>
        <v>0</v>
      </c>
      <c r="V406" s="15" t="n">
        <f aca="false">MAX(0,Q406-T406-U406)*Ipotesi!$C$92</f>
        <v>39254.2170066667</v>
      </c>
      <c r="W406" s="15" t="n">
        <f aca="false">MAX(0,SUM(M401:M406)+Parametri_v3!$C$57*6/12)*Ipotesi!$C$93</f>
        <v>6378.81026358333</v>
      </c>
      <c r="X406" s="15" t="n">
        <f aca="false">V406+W406-(V405+W405)</f>
        <v>7597.43162837499</v>
      </c>
      <c r="Y406" s="15" t="n">
        <f aca="false">P406-X406</f>
        <v>19633.5061077361</v>
      </c>
      <c r="Z406" s="15" t="n">
        <f aca="false">R406-T406+IF(AND(Parametri_v3!$C$40=1,D406-YEAR(Parametri_v3!$C$50)&lt;Parametri_v3!$C$41),MAX(0,-Q406),0)</f>
        <v>0</v>
      </c>
      <c r="AA406" s="15" t="n">
        <f aca="false">S406-U406+IF(AND(Parametri_v3!$C$40=1,D406-YEAR(Parametri_v3!$C$50)&lt;Parametri_v3!$C$41),0,MAX(0,-Q406))</f>
        <v>0</v>
      </c>
      <c r="AB406" s="15" t="n">
        <f aca="false">F406*(1+Parametri_v3!$C$26)</f>
        <v>110094.833333333</v>
      </c>
      <c r="AC406" s="15" t="n">
        <f aca="false">(IF(42-(INT((Motore_Operativo!L406)/30))&lt;1,0,INDEX(Motore_Advisory!$AB$365:$AB$424,MAX(1,42-(INT((Motore_Operativo!L406)/30)))))*(1-(MOD((Motore_Operativo!L406),30)/30))+IF(42-(INT((Motore_Operativo!L406)/30))-1&lt;1,0,INDEX(Motore_Advisory!$AB$365:$AB$424,MAX(1,42-(INT((Motore_Operativo!L406)/30))-1)))*(MOD((Motore_Operativo!L406),30)/30))</f>
        <v>110094.833333333</v>
      </c>
      <c r="AD406" s="15" t="n">
        <f aca="false">(AD405)+AB406-AC406</f>
        <v>330284.5</v>
      </c>
      <c r="AE406" s="15" t="n">
        <f aca="false">Motore_Operativo!BH406*(1+Parametri_v3!$C$26)</f>
        <v>11009.4833333333</v>
      </c>
      <c r="AF406" s="15" t="n">
        <f aca="false">(IF(42-(INT((Parametri_v3!$C$29)/30))&lt;1,0,INDEX(Motore_Operativo!$BH$365:$BH$424,MAX(1,42-(INT((Parametri_v3!$C$29)/30)))))*(1-(MOD((Parametri_v3!$C$29),30)/30))+IF(42-(INT((Parametri_v3!$C$29)/30))-1&lt;1,0,INDEX(Motore_Operativo!$BH$365:$BH$424,MAX(1,42-(INT((Parametri_v3!$C$29)/30))-1)))*(MOD((Parametri_v3!$C$29),30)/30))*(1+Parametri_v3!$C$26)</f>
        <v>11009.4833333333</v>
      </c>
      <c r="AG406" s="15" t="n">
        <f aca="false">(AG405)+AE406-AF406</f>
        <v>11009.4833333333</v>
      </c>
      <c r="AH406" s="15" t="n">
        <f aca="false">(Motore_Operativo!CK406)*(1+Parametri_v3!$C$28*Parametri_v3!$C$26)</f>
        <v>23198.952</v>
      </c>
      <c r="AI406" s="15" t="n">
        <f aca="false">(IF(42-(INT((Ipotesi!$C$91)/30))&lt;1,0,INDEX(Motore_Advisory!$AH$365:$AH$424,MAX(1,42-(INT((Ipotesi!$C$91)/30)))))*(1-(MOD((Ipotesi!$C$91),30)/30))+IF(42-(INT((Ipotesi!$C$91)/30))-1&lt;1,0,INDEX(Motore_Advisory!$AH$365:$AH$424,MAX(1,42-(INT((Ipotesi!$C$91)/30))-1)))*(MOD((Ipotesi!$C$91),30)/30))</f>
        <v>23198.952</v>
      </c>
      <c r="AJ406" s="15" t="n">
        <f aca="false">(AJ405)+AH406-AI406</f>
        <v>46397.904</v>
      </c>
      <c r="AK406" s="15" t="n">
        <f aca="false">(F406- Motore_Operativo!BH406-(Motore_Operativo!CK406)*Parametri_v3!$C$28-Motore_Operativo!CF406)*Parametri_v3!$C$26</f>
        <v>14249.2313333333</v>
      </c>
      <c r="AL406" s="15" t="n">
        <f aca="false">MAX(0,(AM405))</f>
        <v>14249.2313333333</v>
      </c>
      <c r="AM406" s="15" t="n">
        <f aca="false">(AM405)+AK406-AL406</f>
        <v>14249.2313333333</v>
      </c>
      <c r="AN406" s="15" t="n">
        <f aca="false">SUM(X389:X400)</f>
        <v>46679.99375</v>
      </c>
      <c r="AO406" s="15" t="n">
        <f aca="false">SUM(AP389:AP400)</f>
        <v>16530.1714788732</v>
      </c>
      <c r="AP406" s="15" t="n">
        <f aca="false">MAX(0,AN406)*IF(6=Parametri_v3!$C$43,Parametri_v3!$C$45,IF(6=Parametri_v3!$C$44,1-Parametri_v3!$C$45,0))</f>
        <v>18671.9975</v>
      </c>
      <c r="AQ406" s="15" t="n">
        <f aca="false">MAX(0,AP406+IF(6=Parametri_v3!$C$43,MAX(0,AN406-AO406),0)-MAX(0,-(AR405)))</f>
        <v>48821.8197711268</v>
      </c>
      <c r="AR406" s="15" t="n">
        <f aca="false">(AR405)+X406-AQ406</f>
        <v>26961.02977025</v>
      </c>
      <c r="AS406" s="15" t="n">
        <f aca="false">Motore_Operativo!AC406-AT406+AU406</f>
        <v>32137.5563729167</v>
      </c>
      <c r="AT406" s="15" t="n">
        <f aca="false">Motore_Operativo!CI406</f>
        <v>1691.45033541667</v>
      </c>
      <c r="AU406" s="15" t="n">
        <f aca="false">MIN(MAX(0,(AV405)+AT406),Parametri_v3!$C$61/12)</f>
        <v>0</v>
      </c>
      <c r="AV406" s="15" t="n">
        <f aca="false">(AV405)+AT406-AU406</f>
        <v>38128.1395125</v>
      </c>
      <c r="AW406" s="15" t="n">
        <f aca="false">IF(AND(Motore_Operativo!C406=Finanziamenti!$D$7,Finanziamenti!$F$7=1),Finanziamenti!$C$7,0)</f>
        <v>0</v>
      </c>
      <c r="AX406" s="15" t="n">
        <f aca="false">0</f>
        <v>0</v>
      </c>
      <c r="AY406" s="15" t="n">
        <f aca="false">IF(6=Parametri_v3!$C$33,IF(BV406&lt;MIN(12,$B406-1),0,MIN(MAX(0,SUM(Y389:Y400))*Ipotesi!$C$94,MAX(0,(BM400)-(BO405)-BP406),MAX(0,BD406-Parametri_v3!$C$31))),0)</f>
        <v>60315.9059027778</v>
      </c>
      <c r="AZ406" s="15" t="n">
        <f aca="false">0</f>
        <v>0</v>
      </c>
      <c r="BA406" s="15" t="n">
        <f aca="false">0</f>
        <v>0</v>
      </c>
      <c r="BB406" s="15" t="n">
        <f aca="false">0</f>
        <v>0</v>
      </c>
      <c r="BC406" s="15" t="n">
        <f aca="false">0</f>
        <v>0</v>
      </c>
      <c r="BD406" s="15" t="n">
        <f aca="false">(BH405)+AC406-AF406-AI406-AS406-K406*(1+Parametri_v3!$C$26)-AL406-AQ406-O406+AW406+AX406+AZ406+BA406-BB406</f>
        <v>134208.802320382</v>
      </c>
      <c r="BE406" s="15" t="n">
        <f aca="false">0</f>
        <v>0</v>
      </c>
      <c r="BF406" s="15" t="n">
        <f aca="false">0</f>
        <v>0</v>
      </c>
      <c r="BG406" s="15" t="n">
        <f aca="false">0</f>
        <v>0</v>
      </c>
      <c r="BH406" s="15" t="n">
        <f aca="false">BD406+BE406-BF406-AY406</f>
        <v>73892.8964176045</v>
      </c>
      <c r="BI406" s="15" t="n">
        <f aca="false">MAX(0,Parametri_v3!$C$31-BH406)</f>
        <v>0</v>
      </c>
      <c r="BJ406" s="15" t="n">
        <f aca="false">(BJ405)+K406</f>
        <v>17000</v>
      </c>
      <c r="BK406" s="15" t="n">
        <f aca="false">(BK405)+L406</f>
        <v>8423.61111111111</v>
      </c>
      <c r="BL406" s="15" t="n">
        <f aca="false">BJ406-BK406</f>
        <v>8576.38888888888</v>
      </c>
      <c r="BM406" s="15" t="n">
        <f aca="false">(BM405)+Y406</f>
        <v>316323.903259855</v>
      </c>
      <c r="BN406" s="15" t="n">
        <f aca="false">(BN405)+AW406+AX406+AZ406</f>
        <v>20000</v>
      </c>
      <c r="BO406" s="15" t="n">
        <f aca="false">(BO405)+AY406</f>
        <v>60315.9059027778</v>
      </c>
      <c r="BP406" s="15" t="n">
        <f aca="false">MIN(Parametri_v3!$C$36*Parametri_v3!$C$35,(BP405)+IF(6=1,MAX(0,SUM(Y389:Y400))*Parametri_v3!$C$34,0))</f>
        <v>2000</v>
      </c>
      <c r="BQ406" s="15" t="n">
        <f aca="false">BN406+BM406-BO406</f>
        <v>276007.997357077</v>
      </c>
      <c r="BR406" s="15" t="n">
        <f aca="false">BH406+AD406+BL406+MAX(0,-AM406)+MAX(0,-AR406)</f>
        <v>412753.785306493</v>
      </c>
      <c r="BS406" s="15" t="n">
        <f aca="false">AJ406+AV406+MAX(0,AM406)+MAX(0,AR406)+BC406+BG406+BQ406+AG406</f>
        <v>412753.785306493</v>
      </c>
      <c r="BT406" s="15" t="n">
        <f aca="false">BR406-BS406</f>
        <v>0</v>
      </c>
      <c r="BU406" s="15" t="n">
        <f aca="false">BH406-(BD406+BE406-BF406-AY406)</f>
        <v>0</v>
      </c>
      <c r="BV406" s="15" t="n">
        <f aca="false">IF(BH405&lt;Parametri_v3!$C$31,0,BV405+1)</f>
        <v>13</v>
      </c>
    </row>
    <row r="407" customFormat="false" ht="18" hidden="false" customHeight="true" outlineLevel="0" collapsed="false">
      <c r="A407" s="68" t="n">
        <f aca="false">7</f>
        <v>7</v>
      </c>
      <c r="B407" s="68" t="n">
        <f aca="false">43</f>
        <v>43</v>
      </c>
      <c r="C407" s="18" t="n">
        <f aca="false">Motore_Operativo!C407</f>
        <v>47665</v>
      </c>
      <c r="D407" s="68" t="n">
        <f aca="false">Motore_Operativo!D407</f>
        <v>2030</v>
      </c>
      <c r="E407" s="68" t="n">
        <f aca="false">Motore_Operativo!E407</f>
        <v>7</v>
      </c>
      <c r="F407" s="15" t="n">
        <f aca="false">Motore_Operativo!AM407</f>
        <v>90241.6666666667</v>
      </c>
      <c r="G407" s="15" t="n">
        <f aca="false">Motore_Operativo!BH407</f>
        <v>9024.16666666667</v>
      </c>
      <c r="H407" s="15" t="n">
        <f aca="false">Motore_Operativo!AM407</f>
        <v>90241.6666666667</v>
      </c>
      <c r="I407" s="15" t="n">
        <f aca="false">Motore_Operativo!CB407</f>
        <v>62580.173375</v>
      </c>
      <c r="J407" s="15" t="n">
        <f aca="false">Motore_Operativo!CD407</f>
        <v>27661.4932916667</v>
      </c>
      <c r="K407" s="15" t="n">
        <f aca="false">Motore_Operativo!CF407</f>
        <v>666.666666666667</v>
      </c>
      <c r="L407" s="15" t="n">
        <f aca="false">SUM(INDEX($K$365:$K$424,MAX(1,43-Parametri_v3!$C$59+1)):K407)/Parametri_v3!$C$59</f>
        <v>442.12962962963</v>
      </c>
      <c r="M407" s="15" t="n">
        <f aca="false">J407-L407</f>
        <v>27219.363662037</v>
      </c>
      <c r="N407" s="15" t="n">
        <f aca="false">0</f>
        <v>0</v>
      </c>
      <c r="O407" s="15" t="n">
        <f aca="false">0</f>
        <v>0</v>
      </c>
      <c r="P407" s="15" t="n">
        <f aca="false">M407+N407-O407</f>
        <v>27219.363662037</v>
      </c>
      <c r="Q407" s="15" t="n">
        <f aca="false">SUM(P401:P407)+Parametri_v3!$C$56*7/12</f>
        <v>190778.601189815</v>
      </c>
      <c r="R407" s="15" t="n">
        <f aca="false">Z400</f>
        <v>0</v>
      </c>
      <c r="S407" s="15" t="n">
        <f aca="false">AA400</f>
        <v>0</v>
      </c>
      <c r="T407" s="15" t="n">
        <f aca="false">MIN(R407,MAX(0,Q407))</f>
        <v>0</v>
      </c>
      <c r="U407" s="15" t="n">
        <f aca="false">MIN(S407,MAX(0,Q407-T407)*Parametri_v3!$C$42)</f>
        <v>0</v>
      </c>
      <c r="V407" s="15" t="n">
        <f aca="false">MAX(0,Q407-T407-U407)*Ipotesi!$C$92</f>
        <v>45786.8642855556</v>
      </c>
      <c r="W407" s="15" t="n">
        <f aca="false">MAX(0,SUM(M401:M407)+Parametri_v3!$C$57*7/12)*Ipotesi!$C$93</f>
        <v>7440.36544640278</v>
      </c>
      <c r="X407" s="15" t="n">
        <f aca="false">V407+W407-(V406+W406)</f>
        <v>7594.20246170834</v>
      </c>
      <c r="Y407" s="15" t="n">
        <f aca="false">P407-X407</f>
        <v>19625.1612003287</v>
      </c>
      <c r="Z407" s="15" t="n">
        <f aca="false">R407-T407+IF(AND(Parametri_v3!$C$40=1,D407-YEAR(Parametri_v3!$C$50)&lt;Parametri_v3!$C$41),MAX(0,-Q407),0)</f>
        <v>0</v>
      </c>
      <c r="AA407" s="15" t="n">
        <f aca="false">S407-U407+IF(AND(Parametri_v3!$C$40=1,D407-YEAR(Parametri_v3!$C$50)&lt;Parametri_v3!$C$41),0,MAX(0,-Q407))</f>
        <v>0</v>
      </c>
      <c r="AB407" s="15" t="n">
        <f aca="false">F407*(1+Parametri_v3!$C$26)</f>
        <v>110094.833333333</v>
      </c>
      <c r="AC407" s="15" t="n">
        <f aca="false">(IF(43-(INT((Motore_Operativo!L407)/30))&lt;1,0,INDEX(Motore_Advisory!$AB$365:$AB$424,MAX(1,43-(INT((Motore_Operativo!L407)/30)))))*(1-(MOD((Motore_Operativo!L407),30)/30))+IF(43-(INT((Motore_Operativo!L407)/30))-1&lt;1,0,INDEX(Motore_Advisory!$AB$365:$AB$424,MAX(1,43-(INT((Motore_Operativo!L407)/30))-1)))*(MOD((Motore_Operativo!L407),30)/30))</f>
        <v>110094.833333333</v>
      </c>
      <c r="AD407" s="15" t="n">
        <f aca="false">(AD406)+AB407-AC407</f>
        <v>330284.5</v>
      </c>
      <c r="AE407" s="15" t="n">
        <f aca="false">Motore_Operativo!BH407*(1+Parametri_v3!$C$26)</f>
        <v>11009.4833333333</v>
      </c>
      <c r="AF407" s="15" t="n">
        <f aca="false">(IF(43-(INT((Parametri_v3!$C$29)/30))&lt;1,0,INDEX(Motore_Operativo!$BH$365:$BH$424,MAX(1,43-(INT((Parametri_v3!$C$29)/30)))))*(1-(MOD((Parametri_v3!$C$29),30)/30))+IF(43-(INT((Parametri_v3!$C$29)/30))-1&lt;1,0,INDEX(Motore_Operativo!$BH$365:$BH$424,MAX(1,43-(INT((Parametri_v3!$C$29)/30))-1)))*(MOD((Parametri_v3!$C$29),30)/30))*(1+Parametri_v3!$C$26)</f>
        <v>11009.4833333333</v>
      </c>
      <c r="AG407" s="15" t="n">
        <f aca="false">(AG406)+AE407-AF407</f>
        <v>11009.4833333333</v>
      </c>
      <c r="AH407" s="15" t="n">
        <f aca="false">(Motore_Operativo!CK407)*(1+Parametri_v3!$C$28*Parametri_v3!$C$26)</f>
        <v>23198.952</v>
      </c>
      <c r="AI407" s="15" t="n">
        <f aca="false">(IF(43-(INT((Ipotesi!$C$91)/30))&lt;1,0,INDEX(Motore_Advisory!$AH$365:$AH$424,MAX(1,43-(INT((Ipotesi!$C$91)/30)))))*(1-(MOD((Ipotesi!$C$91),30)/30))+IF(43-(INT((Ipotesi!$C$91)/30))-1&lt;1,0,INDEX(Motore_Advisory!$AH$365:$AH$424,MAX(1,43-(INT((Ipotesi!$C$91)/30))-1)))*(MOD((Ipotesi!$C$91),30)/30))</f>
        <v>23198.952</v>
      </c>
      <c r="AJ407" s="15" t="n">
        <f aca="false">(AJ406)+AH407-AI407</f>
        <v>46397.904</v>
      </c>
      <c r="AK407" s="15" t="n">
        <f aca="false">(F407- Motore_Operativo!BH407-(Motore_Operativo!CK407)*Parametri_v3!$C$28-Motore_Operativo!CF407)*Parametri_v3!$C$26</f>
        <v>14249.2313333333</v>
      </c>
      <c r="AL407" s="15" t="n">
        <f aca="false">MAX(0,(AM406))</f>
        <v>14249.2313333333</v>
      </c>
      <c r="AM407" s="15" t="n">
        <f aca="false">(AM406)+AK407-AL407</f>
        <v>14249.2313333333</v>
      </c>
      <c r="AN407" s="15" t="n">
        <f aca="false">SUM(X389:X400)</f>
        <v>46679.99375</v>
      </c>
      <c r="AO407" s="15" t="n">
        <f aca="false">SUM(AP389:AP400)</f>
        <v>16530.1714788732</v>
      </c>
      <c r="AP407" s="15" t="n">
        <f aca="false">MAX(0,AN407)*IF(7=Parametri_v3!$C$43,Parametri_v3!$C$45,IF(7=Parametri_v3!$C$44,1-Parametri_v3!$C$45,0))</f>
        <v>0</v>
      </c>
      <c r="AQ407" s="15" t="n">
        <f aca="false">MAX(0,AP407+IF(7=Parametri_v3!$C$43,MAX(0,AN407-AO407),0)-MAX(0,-(AR406)))</f>
        <v>0</v>
      </c>
      <c r="AR407" s="15" t="n">
        <f aca="false">(AR406)+X407-AQ407</f>
        <v>34555.2322319583</v>
      </c>
      <c r="AS407" s="15" t="n">
        <f aca="false">Motore_Operativo!AC407-AT407+AU407</f>
        <v>32137.5563729167</v>
      </c>
      <c r="AT407" s="15" t="n">
        <f aca="false">Motore_Operativo!CI407</f>
        <v>1691.45033541667</v>
      </c>
      <c r="AU407" s="15" t="n">
        <f aca="false">MIN(MAX(0,(AV406)+AT407),Parametri_v3!$C$61/12)</f>
        <v>0</v>
      </c>
      <c r="AV407" s="15" t="n">
        <f aca="false">(AV406)+AT407-AU407</f>
        <v>39819.5898479167</v>
      </c>
      <c r="AW407" s="15" t="n">
        <f aca="false">IF(AND(Motore_Operativo!C407=Finanziamenti!$D$7,Finanziamenti!$F$7=1),Finanziamenti!$C$7,0)</f>
        <v>0</v>
      </c>
      <c r="AX407" s="15" t="n">
        <f aca="false">0</f>
        <v>0</v>
      </c>
      <c r="AY407" s="15" t="n">
        <f aca="false">IF(7=Parametri_v3!$C$33,IF(BV407&lt;MIN(12,$B407-1),0,MIN(MAX(0,SUM(Y389:Y400))*Ipotesi!$C$94,MAX(0,(BM400)-(BO406)-BP407),MAX(0,BD407-Parametri_v3!$C$31))),0)</f>
        <v>0</v>
      </c>
      <c r="AZ407" s="15" t="n">
        <f aca="false">0</f>
        <v>0</v>
      </c>
      <c r="BA407" s="15" t="n">
        <f aca="false">0</f>
        <v>0</v>
      </c>
      <c r="BB407" s="15" t="n">
        <f aca="false">0</f>
        <v>0</v>
      </c>
      <c r="BC407" s="15" t="n">
        <f aca="false">0</f>
        <v>0</v>
      </c>
      <c r="BD407" s="15" t="n">
        <f aca="false">(BH406)+AC407-AF407-AI407-AS407-K407*(1+Parametri_v3!$C$26)-AL407-AQ407-O407+AW407+AX407+AZ407+BA407-BB407</f>
        <v>102579.173378021</v>
      </c>
      <c r="BE407" s="15" t="n">
        <f aca="false">0</f>
        <v>0</v>
      </c>
      <c r="BF407" s="15" t="n">
        <f aca="false">0</f>
        <v>0</v>
      </c>
      <c r="BG407" s="15" t="n">
        <f aca="false">0</f>
        <v>0</v>
      </c>
      <c r="BH407" s="15" t="n">
        <f aca="false">BD407+BE407-BF407-AY407</f>
        <v>102579.173378021</v>
      </c>
      <c r="BI407" s="15" t="n">
        <f aca="false">MAX(0,Parametri_v3!$C$31-BH407)</f>
        <v>0</v>
      </c>
      <c r="BJ407" s="15" t="n">
        <f aca="false">(BJ406)+K407</f>
        <v>17666.6666666667</v>
      </c>
      <c r="BK407" s="15" t="n">
        <f aca="false">(BK406)+L407</f>
        <v>8865.74074074074</v>
      </c>
      <c r="BL407" s="15" t="n">
        <f aca="false">BJ407-BK407</f>
        <v>8800.92592592592</v>
      </c>
      <c r="BM407" s="15" t="n">
        <f aca="false">(BM406)+Y407</f>
        <v>335949.064460183</v>
      </c>
      <c r="BN407" s="15" t="n">
        <f aca="false">(BN406)+AW407+AX407+AZ407</f>
        <v>20000</v>
      </c>
      <c r="BO407" s="15" t="n">
        <f aca="false">(BO406)+AY407</f>
        <v>60315.9059027778</v>
      </c>
      <c r="BP407" s="15" t="n">
        <f aca="false">MIN(Parametri_v3!$C$36*Parametri_v3!$C$35,(BP406)+IF(7=1,MAX(0,SUM(Y389:Y400))*Parametri_v3!$C$34,0))</f>
        <v>2000</v>
      </c>
      <c r="BQ407" s="15" t="n">
        <f aca="false">BN407+BM407-BO407</f>
        <v>295633.158557406</v>
      </c>
      <c r="BR407" s="15" t="n">
        <f aca="false">BH407+AD407+BL407+MAX(0,-AM407)+MAX(0,-AR407)</f>
        <v>441664.599303947</v>
      </c>
      <c r="BS407" s="15" t="n">
        <f aca="false">AJ407+AV407+MAX(0,AM407)+MAX(0,AR407)+BC407+BG407+BQ407+AG407</f>
        <v>441664.599303947</v>
      </c>
      <c r="BT407" s="15" t="n">
        <f aca="false">BR407-BS407</f>
        <v>0</v>
      </c>
      <c r="BU407" s="15" t="n">
        <f aca="false">BH407-(BD407+BE407-BF407-AY407)</f>
        <v>0</v>
      </c>
      <c r="BV407" s="15" t="n">
        <f aca="false">IF(BH406&lt;Parametri_v3!$C$31,0,BV406+1)</f>
        <v>14</v>
      </c>
    </row>
    <row r="408" customFormat="false" ht="18" hidden="false" customHeight="true" outlineLevel="0" collapsed="false">
      <c r="A408" s="68" t="n">
        <f aca="false">7</f>
        <v>7</v>
      </c>
      <c r="B408" s="68" t="n">
        <f aca="false">44</f>
        <v>44</v>
      </c>
      <c r="C408" s="18" t="n">
        <f aca="false">Motore_Operativo!C408</f>
        <v>47696</v>
      </c>
      <c r="D408" s="68" t="n">
        <f aca="false">Motore_Operativo!D408</f>
        <v>2030</v>
      </c>
      <c r="E408" s="68" t="n">
        <f aca="false">Motore_Operativo!E408</f>
        <v>8</v>
      </c>
      <c r="F408" s="15" t="n">
        <f aca="false">Motore_Operativo!AM408</f>
        <v>90241.6666666667</v>
      </c>
      <c r="G408" s="15" t="n">
        <f aca="false">Motore_Operativo!BH408</f>
        <v>9024.16666666667</v>
      </c>
      <c r="H408" s="15" t="n">
        <f aca="false">Motore_Operativo!AM408</f>
        <v>90241.6666666667</v>
      </c>
      <c r="I408" s="15" t="n">
        <f aca="false">Motore_Operativo!CB408</f>
        <v>62580.173375</v>
      </c>
      <c r="J408" s="15" t="n">
        <f aca="false">Motore_Operativo!CD408</f>
        <v>27661.4932916667</v>
      </c>
      <c r="K408" s="15" t="n">
        <f aca="false">Motore_Operativo!CF408</f>
        <v>666.666666666667</v>
      </c>
      <c r="L408" s="15" t="n">
        <f aca="false">SUM(INDEX($K$365:$K$424,MAX(1,44-Parametri_v3!$C$59+1)):K408)/Parametri_v3!$C$59</f>
        <v>453.703703703704</v>
      </c>
      <c r="M408" s="15" t="n">
        <f aca="false">J408-L408</f>
        <v>27207.789587963</v>
      </c>
      <c r="N408" s="15" t="n">
        <f aca="false">0</f>
        <v>0</v>
      </c>
      <c r="O408" s="15" t="n">
        <f aca="false">0</f>
        <v>0</v>
      </c>
      <c r="P408" s="15" t="n">
        <f aca="false">M408+N408-O408</f>
        <v>27207.789587963</v>
      </c>
      <c r="Q408" s="15" t="n">
        <f aca="false">SUM(P401:P408)+Parametri_v3!$C$56*8/12</f>
        <v>217986.390777778</v>
      </c>
      <c r="R408" s="15" t="n">
        <f aca="false">Z400</f>
        <v>0</v>
      </c>
      <c r="S408" s="15" t="n">
        <f aca="false">AA400</f>
        <v>0</v>
      </c>
      <c r="T408" s="15" t="n">
        <f aca="false">MIN(R408,MAX(0,Q408))</f>
        <v>0</v>
      </c>
      <c r="U408" s="15" t="n">
        <f aca="false">MIN(S408,MAX(0,Q408-T408)*Parametri_v3!$C$42)</f>
        <v>0</v>
      </c>
      <c r="V408" s="15" t="n">
        <f aca="false">MAX(0,Q408-T408-U408)*Ipotesi!$C$92</f>
        <v>52316.7337866667</v>
      </c>
      <c r="W408" s="15" t="n">
        <f aca="false">MAX(0,SUM(M401:M408)+Parametri_v3!$C$57*8/12)*Ipotesi!$C$93</f>
        <v>8501.46924033333</v>
      </c>
      <c r="X408" s="15" t="n">
        <f aca="false">V408+W408-(V407+W407)</f>
        <v>7590.97329504167</v>
      </c>
      <c r="Y408" s="15" t="n">
        <f aca="false">P408-X408</f>
        <v>19616.8162929213</v>
      </c>
      <c r="Z408" s="15" t="n">
        <f aca="false">R408-T408+IF(AND(Parametri_v3!$C$40=1,D408-YEAR(Parametri_v3!$C$50)&lt;Parametri_v3!$C$41),MAX(0,-Q408),0)</f>
        <v>0</v>
      </c>
      <c r="AA408" s="15" t="n">
        <f aca="false">S408-U408+IF(AND(Parametri_v3!$C$40=1,D408-YEAR(Parametri_v3!$C$50)&lt;Parametri_v3!$C$41),0,MAX(0,-Q408))</f>
        <v>0</v>
      </c>
      <c r="AB408" s="15" t="n">
        <f aca="false">F408*(1+Parametri_v3!$C$26)</f>
        <v>110094.833333333</v>
      </c>
      <c r="AC408" s="15" t="n">
        <f aca="false">(IF(44-(INT((Motore_Operativo!L408)/30))&lt;1,0,INDEX(Motore_Advisory!$AB$365:$AB$424,MAX(1,44-(INT((Motore_Operativo!L408)/30)))))*(1-(MOD((Motore_Operativo!L408),30)/30))+IF(44-(INT((Motore_Operativo!L408)/30))-1&lt;1,0,INDEX(Motore_Advisory!$AB$365:$AB$424,MAX(1,44-(INT((Motore_Operativo!L408)/30))-1)))*(MOD((Motore_Operativo!L408),30)/30))</f>
        <v>110094.833333333</v>
      </c>
      <c r="AD408" s="15" t="n">
        <f aca="false">(AD407)+AB408-AC408</f>
        <v>330284.5</v>
      </c>
      <c r="AE408" s="15" t="n">
        <f aca="false">Motore_Operativo!BH408*(1+Parametri_v3!$C$26)</f>
        <v>11009.4833333333</v>
      </c>
      <c r="AF408" s="15" t="n">
        <f aca="false">(IF(44-(INT((Parametri_v3!$C$29)/30))&lt;1,0,INDEX(Motore_Operativo!$BH$365:$BH$424,MAX(1,44-(INT((Parametri_v3!$C$29)/30)))))*(1-(MOD((Parametri_v3!$C$29),30)/30))+IF(44-(INT((Parametri_v3!$C$29)/30))-1&lt;1,0,INDEX(Motore_Operativo!$BH$365:$BH$424,MAX(1,44-(INT((Parametri_v3!$C$29)/30))-1)))*(MOD((Parametri_v3!$C$29),30)/30))*(1+Parametri_v3!$C$26)</f>
        <v>11009.4833333333</v>
      </c>
      <c r="AG408" s="15" t="n">
        <f aca="false">(AG407)+AE408-AF408</f>
        <v>11009.4833333333</v>
      </c>
      <c r="AH408" s="15" t="n">
        <f aca="false">(Motore_Operativo!CK408)*(1+Parametri_v3!$C$28*Parametri_v3!$C$26)</f>
        <v>23198.952</v>
      </c>
      <c r="AI408" s="15" t="n">
        <f aca="false">(IF(44-(INT((Ipotesi!$C$91)/30))&lt;1,0,INDEX(Motore_Advisory!$AH$365:$AH$424,MAX(1,44-(INT((Ipotesi!$C$91)/30)))))*(1-(MOD((Ipotesi!$C$91),30)/30))+IF(44-(INT((Ipotesi!$C$91)/30))-1&lt;1,0,INDEX(Motore_Advisory!$AH$365:$AH$424,MAX(1,44-(INT((Ipotesi!$C$91)/30))-1)))*(MOD((Ipotesi!$C$91),30)/30))</f>
        <v>23198.952</v>
      </c>
      <c r="AJ408" s="15" t="n">
        <f aca="false">(AJ407)+AH408-AI408</f>
        <v>46397.904</v>
      </c>
      <c r="AK408" s="15" t="n">
        <f aca="false">(F408- Motore_Operativo!BH408-(Motore_Operativo!CK408)*Parametri_v3!$C$28-Motore_Operativo!CF408)*Parametri_v3!$C$26</f>
        <v>14249.2313333333</v>
      </c>
      <c r="AL408" s="15" t="n">
        <f aca="false">MAX(0,(AM407))</f>
        <v>14249.2313333333</v>
      </c>
      <c r="AM408" s="15" t="n">
        <f aca="false">(AM407)+AK408-AL408</f>
        <v>14249.2313333333</v>
      </c>
      <c r="AN408" s="15" t="n">
        <f aca="false">SUM(X389:X400)</f>
        <v>46679.99375</v>
      </c>
      <c r="AO408" s="15" t="n">
        <f aca="false">SUM(AP389:AP400)</f>
        <v>16530.1714788732</v>
      </c>
      <c r="AP408" s="15" t="n">
        <f aca="false">MAX(0,AN408)*IF(8=Parametri_v3!$C$43,Parametri_v3!$C$45,IF(8=Parametri_v3!$C$44,1-Parametri_v3!$C$45,0))</f>
        <v>0</v>
      </c>
      <c r="AQ408" s="15" t="n">
        <f aca="false">MAX(0,AP408+IF(8=Parametri_v3!$C$43,MAX(0,AN408-AO408),0)-MAX(0,-(AR407)))</f>
        <v>0</v>
      </c>
      <c r="AR408" s="15" t="n">
        <f aca="false">(AR407)+X408-AQ408</f>
        <v>42146.205527</v>
      </c>
      <c r="AS408" s="15" t="n">
        <f aca="false">Motore_Operativo!AC408-AT408+AU408</f>
        <v>32137.5563729167</v>
      </c>
      <c r="AT408" s="15" t="n">
        <f aca="false">Motore_Operativo!CI408</f>
        <v>1691.45033541667</v>
      </c>
      <c r="AU408" s="15" t="n">
        <f aca="false">MIN(MAX(0,(AV407)+AT408),Parametri_v3!$C$61/12)</f>
        <v>0</v>
      </c>
      <c r="AV408" s="15" t="n">
        <f aca="false">(AV407)+AT408-AU408</f>
        <v>41511.0401833333</v>
      </c>
      <c r="AW408" s="15" t="n">
        <f aca="false">IF(AND(Motore_Operativo!C408=Finanziamenti!$D$7,Finanziamenti!$F$7=1),Finanziamenti!$C$7,0)</f>
        <v>0</v>
      </c>
      <c r="AX408" s="15" t="n">
        <f aca="false">0</f>
        <v>0</v>
      </c>
      <c r="AY408" s="15" t="n">
        <f aca="false">IF(8=Parametri_v3!$C$33,IF(BV408&lt;MIN(12,$B408-1),0,MIN(MAX(0,SUM(Y389:Y400))*Ipotesi!$C$94,MAX(0,(BM400)-(BO407)-BP408),MAX(0,BD408-Parametri_v3!$C$31))),0)</f>
        <v>0</v>
      </c>
      <c r="AZ408" s="15" t="n">
        <f aca="false">0</f>
        <v>0</v>
      </c>
      <c r="BA408" s="15" t="n">
        <f aca="false">0</f>
        <v>0</v>
      </c>
      <c r="BB408" s="15" t="n">
        <f aca="false">0</f>
        <v>0</v>
      </c>
      <c r="BC408" s="15" t="n">
        <f aca="false">0</f>
        <v>0</v>
      </c>
      <c r="BD408" s="15" t="n">
        <f aca="false">(BH407)+AC408-AF408-AI408-AS408-K408*(1+Parametri_v3!$C$26)-AL408-AQ408-O408+AW408+AX408+AZ408+BA408-BB408</f>
        <v>131265.450338438</v>
      </c>
      <c r="BE408" s="15" t="n">
        <f aca="false">0</f>
        <v>0</v>
      </c>
      <c r="BF408" s="15" t="n">
        <f aca="false">0</f>
        <v>0</v>
      </c>
      <c r="BG408" s="15" t="n">
        <f aca="false">0</f>
        <v>0</v>
      </c>
      <c r="BH408" s="15" t="n">
        <f aca="false">BD408+BE408-BF408-AY408</f>
        <v>131265.450338438</v>
      </c>
      <c r="BI408" s="15" t="n">
        <f aca="false">MAX(0,Parametri_v3!$C$31-BH408)</f>
        <v>0</v>
      </c>
      <c r="BJ408" s="15" t="n">
        <f aca="false">(BJ407)+K408</f>
        <v>18333.3333333333</v>
      </c>
      <c r="BK408" s="15" t="n">
        <f aca="false">(BK407)+L408</f>
        <v>9319.44444444444</v>
      </c>
      <c r="BL408" s="15" t="n">
        <f aca="false">BJ408-BK408</f>
        <v>9013.88888888889</v>
      </c>
      <c r="BM408" s="15" t="n">
        <f aca="false">(BM407)+Y408</f>
        <v>355565.880753105</v>
      </c>
      <c r="BN408" s="15" t="n">
        <f aca="false">(BN407)+AW408+AX408+AZ408</f>
        <v>20000</v>
      </c>
      <c r="BO408" s="15" t="n">
        <f aca="false">(BO407)+AY408</f>
        <v>60315.9059027778</v>
      </c>
      <c r="BP408" s="15" t="n">
        <f aca="false">MIN(Parametri_v3!$C$36*Parametri_v3!$C$35,(BP407)+IF(8=1,MAX(0,SUM(Y389:Y400))*Parametri_v3!$C$34,0))</f>
        <v>2000</v>
      </c>
      <c r="BQ408" s="15" t="n">
        <f aca="false">BN408+BM408-BO408</f>
        <v>315249.974850327</v>
      </c>
      <c r="BR408" s="15" t="n">
        <f aca="false">BH408+AD408+BL408+MAX(0,-AM408)+MAX(0,-AR408)</f>
        <v>470563.839227327</v>
      </c>
      <c r="BS408" s="15" t="n">
        <f aca="false">AJ408+AV408+MAX(0,AM408)+MAX(0,AR408)+BC408+BG408+BQ408+AG408</f>
        <v>470563.839227327</v>
      </c>
      <c r="BT408" s="15" t="n">
        <f aca="false">BR408-BS408</f>
        <v>0</v>
      </c>
      <c r="BU408" s="15" t="n">
        <f aca="false">BH408-(BD408+BE408-BF408-AY408)</f>
        <v>0</v>
      </c>
      <c r="BV408" s="15" t="n">
        <f aca="false">IF(BH407&lt;Parametri_v3!$C$31,0,BV407+1)</f>
        <v>15</v>
      </c>
    </row>
    <row r="409" customFormat="false" ht="18" hidden="false" customHeight="true" outlineLevel="0" collapsed="false">
      <c r="A409" s="68" t="n">
        <f aca="false">7</f>
        <v>7</v>
      </c>
      <c r="B409" s="68" t="n">
        <f aca="false">45</f>
        <v>45</v>
      </c>
      <c r="C409" s="18" t="n">
        <f aca="false">Motore_Operativo!C409</f>
        <v>47727</v>
      </c>
      <c r="D409" s="68" t="n">
        <f aca="false">Motore_Operativo!D409</f>
        <v>2030</v>
      </c>
      <c r="E409" s="68" t="n">
        <f aca="false">Motore_Operativo!E409</f>
        <v>9</v>
      </c>
      <c r="F409" s="15" t="n">
        <f aca="false">Motore_Operativo!AM409</f>
        <v>90241.6666666667</v>
      </c>
      <c r="G409" s="15" t="n">
        <f aca="false">Motore_Operativo!BH409</f>
        <v>9024.16666666667</v>
      </c>
      <c r="H409" s="15" t="n">
        <f aca="false">Motore_Operativo!AM409</f>
        <v>90241.6666666667</v>
      </c>
      <c r="I409" s="15" t="n">
        <f aca="false">Motore_Operativo!CB409</f>
        <v>62580.173375</v>
      </c>
      <c r="J409" s="15" t="n">
        <f aca="false">Motore_Operativo!CD409</f>
        <v>27661.4932916667</v>
      </c>
      <c r="K409" s="15" t="n">
        <f aca="false">Motore_Operativo!CF409</f>
        <v>666.666666666667</v>
      </c>
      <c r="L409" s="15" t="n">
        <f aca="false">SUM(INDEX($K$365:$K$424,MAX(1,45-Parametri_v3!$C$59+1)):K409)/Parametri_v3!$C$59</f>
        <v>465.277777777778</v>
      </c>
      <c r="M409" s="15" t="n">
        <f aca="false">J409-L409</f>
        <v>27196.2155138889</v>
      </c>
      <c r="N409" s="15" t="n">
        <f aca="false">0</f>
        <v>0</v>
      </c>
      <c r="O409" s="15" t="n">
        <f aca="false">0</f>
        <v>0</v>
      </c>
      <c r="P409" s="15" t="n">
        <f aca="false">M409+N409-O409</f>
        <v>27196.2155138889</v>
      </c>
      <c r="Q409" s="15" t="n">
        <f aca="false">SUM(P401:P409)+Parametri_v3!$C$56*9/12</f>
        <v>245182.606291667</v>
      </c>
      <c r="R409" s="15" t="n">
        <f aca="false">Z400</f>
        <v>0</v>
      </c>
      <c r="S409" s="15" t="n">
        <f aca="false">AA400</f>
        <v>0</v>
      </c>
      <c r="T409" s="15" t="n">
        <f aca="false">MIN(R409,MAX(0,Q409))</f>
        <v>0</v>
      </c>
      <c r="U409" s="15" t="n">
        <f aca="false">MIN(S409,MAX(0,Q409-T409)*Parametri_v3!$C$42)</f>
        <v>0</v>
      </c>
      <c r="V409" s="15" t="n">
        <f aca="false">MAX(0,Q409-T409-U409)*Ipotesi!$C$92</f>
        <v>58843.82551</v>
      </c>
      <c r="W409" s="15" t="n">
        <f aca="false">MAX(0,SUM(M401:M409)+Parametri_v3!$C$57*9/12)*Ipotesi!$C$93</f>
        <v>9562.121645375</v>
      </c>
      <c r="X409" s="15" t="n">
        <f aca="false">V409+W409-(V408+W408)</f>
        <v>7587.74412837499</v>
      </c>
      <c r="Y409" s="15" t="n">
        <f aca="false">P409-X409</f>
        <v>19608.4713855139</v>
      </c>
      <c r="Z409" s="15" t="n">
        <f aca="false">R409-T409+IF(AND(Parametri_v3!$C$40=1,D409-YEAR(Parametri_v3!$C$50)&lt;Parametri_v3!$C$41),MAX(0,-Q409),0)</f>
        <v>0</v>
      </c>
      <c r="AA409" s="15" t="n">
        <f aca="false">S409-U409+IF(AND(Parametri_v3!$C$40=1,D409-YEAR(Parametri_v3!$C$50)&lt;Parametri_v3!$C$41),0,MAX(0,-Q409))</f>
        <v>0</v>
      </c>
      <c r="AB409" s="15" t="n">
        <f aca="false">F409*(1+Parametri_v3!$C$26)</f>
        <v>110094.833333333</v>
      </c>
      <c r="AC409" s="15" t="n">
        <f aca="false">(IF(45-(INT((Motore_Operativo!L409)/30))&lt;1,0,INDEX(Motore_Advisory!$AB$365:$AB$424,MAX(1,45-(INT((Motore_Operativo!L409)/30)))))*(1-(MOD((Motore_Operativo!L409),30)/30))+IF(45-(INT((Motore_Operativo!L409)/30))-1&lt;1,0,INDEX(Motore_Advisory!$AB$365:$AB$424,MAX(1,45-(INT((Motore_Operativo!L409)/30))-1)))*(MOD((Motore_Operativo!L409),30)/30))</f>
        <v>110094.833333333</v>
      </c>
      <c r="AD409" s="15" t="n">
        <f aca="false">(AD408)+AB409-AC409</f>
        <v>330284.5</v>
      </c>
      <c r="AE409" s="15" t="n">
        <f aca="false">Motore_Operativo!BH409*(1+Parametri_v3!$C$26)</f>
        <v>11009.4833333333</v>
      </c>
      <c r="AF409" s="15" t="n">
        <f aca="false">(IF(45-(INT((Parametri_v3!$C$29)/30))&lt;1,0,INDEX(Motore_Operativo!$BH$365:$BH$424,MAX(1,45-(INT((Parametri_v3!$C$29)/30)))))*(1-(MOD((Parametri_v3!$C$29),30)/30))+IF(45-(INT((Parametri_v3!$C$29)/30))-1&lt;1,0,INDEX(Motore_Operativo!$BH$365:$BH$424,MAX(1,45-(INT((Parametri_v3!$C$29)/30))-1)))*(MOD((Parametri_v3!$C$29),30)/30))*(1+Parametri_v3!$C$26)</f>
        <v>11009.4833333333</v>
      </c>
      <c r="AG409" s="15" t="n">
        <f aca="false">(AG408)+AE409-AF409</f>
        <v>11009.4833333333</v>
      </c>
      <c r="AH409" s="15" t="n">
        <f aca="false">(Motore_Operativo!CK409)*(1+Parametri_v3!$C$28*Parametri_v3!$C$26)</f>
        <v>23198.952</v>
      </c>
      <c r="AI409" s="15" t="n">
        <f aca="false">(IF(45-(INT((Ipotesi!$C$91)/30))&lt;1,0,INDEX(Motore_Advisory!$AH$365:$AH$424,MAX(1,45-(INT((Ipotesi!$C$91)/30)))))*(1-(MOD((Ipotesi!$C$91),30)/30))+IF(45-(INT((Ipotesi!$C$91)/30))-1&lt;1,0,INDEX(Motore_Advisory!$AH$365:$AH$424,MAX(1,45-(INT((Ipotesi!$C$91)/30))-1)))*(MOD((Ipotesi!$C$91),30)/30))</f>
        <v>23198.952</v>
      </c>
      <c r="AJ409" s="15" t="n">
        <f aca="false">(AJ408)+AH409-AI409</f>
        <v>46397.904</v>
      </c>
      <c r="AK409" s="15" t="n">
        <f aca="false">(F409- Motore_Operativo!BH409-(Motore_Operativo!CK409)*Parametri_v3!$C$28-Motore_Operativo!CF409)*Parametri_v3!$C$26</f>
        <v>14249.2313333333</v>
      </c>
      <c r="AL409" s="15" t="n">
        <f aca="false">MAX(0,(AM408))</f>
        <v>14249.2313333333</v>
      </c>
      <c r="AM409" s="15" t="n">
        <f aca="false">(AM408)+AK409-AL409</f>
        <v>14249.2313333333</v>
      </c>
      <c r="AN409" s="15" t="n">
        <f aca="false">SUM(X389:X400)</f>
        <v>46679.99375</v>
      </c>
      <c r="AO409" s="15" t="n">
        <f aca="false">SUM(AP389:AP400)</f>
        <v>16530.1714788732</v>
      </c>
      <c r="AP409" s="15" t="n">
        <f aca="false">MAX(0,AN409)*IF(9=Parametri_v3!$C$43,Parametri_v3!$C$45,IF(9=Parametri_v3!$C$44,1-Parametri_v3!$C$45,0))</f>
        <v>0</v>
      </c>
      <c r="AQ409" s="15" t="n">
        <f aca="false">MAX(0,AP409+IF(9=Parametri_v3!$C$43,MAX(0,AN409-AO409),0)-MAX(0,-(AR408)))</f>
        <v>0</v>
      </c>
      <c r="AR409" s="15" t="n">
        <f aca="false">(AR408)+X409-AQ409</f>
        <v>49733.949655375</v>
      </c>
      <c r="AS409" s="15" t="n">
        <f aca="false">Motore_Operativo!AC409-AT409+AU409</f>
        <v>32137.5563729167</v>
      </c>
      <c r="AT409" s="15" t="n">
        <f aca="false">Motore_Operativo!CI409</f>
        <v>1691.45033541667</v>
      </c>
      <c r="AU409" s="15" t="n">
        <f aca="false">MIN(MAX(0,(AV408)+AT409),Parametri_v3!$C$61/12)</f>
        <v>0</v>
      </c>
      <c r="AV409" s="15" t="n">
        <f aca="false">(AV408)+AT409-AU409</f>
        <v>43202.49051875</v>
      </c>
      <c r="AW409" s="15" t="n">
        <f aca="false">IF(AND(Motore_Operativo!C409=Finanziamenti!$D$7,Finanziamenti!$F$7=1),Finanziamenti!$C$7,0)</f>
        <v>0</v>
      </c>
      <c r="AX409" s="15" t="n">
        <f aca="false">0</f>
        <v>0</v>
      </c>
      <c r="AY409" s="15" t="n">
        <f aca="false">IF(9=Parametri_v3!$C$33,IF(BV409&lt;MIN(12,$B409-1),0,MIN(MAX(0,SUM(Y389:Y400))*Ipotesi!$C$94,MAX(0,(BM400)-(BO408)-BP409),MAX(0,BD409-Parametri_v3!$C$31))),0)</f>
        <v>0</v>
      </c>
      <c r="AZ409" s="15" t="n">
        <f aca="false">0</f>
        <v>0</v>
      </c>
      <c r="BA409" s="15" t="n">
        <f aca="false">0</f>
        <v>0</v>
      </c>
      <c r="BB409" s="15" t="n">
        <f aca="false">0</f>
        <v>0</v>
      </c>
      <c r="BC409" s="15" t="n">
        <f aca="false">0</f>
        <v>0</v>
      </c>
      <c r="BD409" s="15" t="n">
        <f aca="false">(BH408)+AC409-AF409-AI409-AS409-K409*(1+Parametri_v3!$C$26)-AL409-AQ409-O409+AW409+AX409+AZ409+BA409-BB409</f>
        <v>159951.727298854</v>
      </c>
      <c r="BE409" s="15" t="n">
        <f aca="false">0</f>
        <v>0</v>
      </c>
      <c r="BF409" s="15" t="n">
        <f aca="false">0</f>
        <v>0</v>
      </c>
      <c r="BG409" s="15" t="n">
        <f aca="false">0</f>
        <v>0</v>
      </c>
      <c r="BH409" s="15" t="n">
        <f aca="false">BD409+BE409-BF409-AY409</f>
        <v>159951.727298854</v>
      </c>
      <c r="BI409" s="15" t="n">
        <f aca="false">MAX(0,Parametri_v3!$C$31-BH409)</f>
        <v>0</v>
      </c>
      <c r="BJ409" s="15" t="n">
        <f aca="false">(BJ408)+K409</f>
        <v>19000</v>
      </c>
      <c r="BK409" s="15" t="n">
        <f aca="false">(BK408)+L409</f>
        <v>9784.72222222222</v>
      </c>
      <c r="BL409" s="15" t="n">
        <f aca="false">BJ409-BK409</f>
        <v>9215.27777777778</v>
      </c>
      <c r="BM409" s="15" t="n">
        <f aca="false">(BM408)+Y409</f>
        <v>375174.352138619</v>
      </c>
      <c r="BN409" s="15" t="n">
        <f aca="false">(BN408)+AW409+AX409+AZ409</f>
        <v>20000</v>
      </c>
      <c r="BO409" s="15" t="n">
        <f aca="false">(BO408)+AY409</f>
        <v>60315.9059027778</v>
      </c>
      <c r="BP409" s="15" t="n">
        <f aca="false">MIN(Parametri_v3!$C$36*Parametri_v3!$C$35,(BP408)+IF(9=1,MAX(0,SUM(Y389:Y400))*Parametri_v3!$C$34,0))</f>
        <v>2000</v>
      </c>
      <c r="BQ409" s="15" t="n">
        <f aca="false">BN409+BM409-BO409</f>
        <v>334858.446235841</v>
      </c>
      <c r="BR409" s="15" t="n">
        <f aca="false">BH409+AD409+BL409+MAX(0,-AM409)+MAX(0,-AR409)</f>
        <v>499451.505076632</v>
      </c>
      <c r="BS409" s="15" t="n">
        <f aca="false">AJ409+AV409+MAX(0,AM409)+MAX(0,AR409)+BC409+BG409+BQ409+AG409</f>
        <v>499451.505076632</v>
      </c>
      <c r="BT409" s="15" t="n">
        <f aca="false">BR409-BS409</f>
        <v>0</v>
      </c>
      <c r="BU409" s="15" t="n">
        <f aca="false">BH409-(BD409+BE409-BF409-AY409)</f>
        <v>0</v>
      </c>
      <c r="BV409" s="15" t="n">
        <f aca="false">IF(BH408&lt;Parametri_v3!$C$31,0,BV408+1)</f>
        <v>16</v>
      </c>
    </row>
    <row r="410" customFormat="false" ht="18" hidden="false" customHeight="true" outlineLevel="0" collapsed="false">
      <c r="A410" s="68" t="n">
        <f aca="false">7</f>
        <v>7</v>
      </c>
      <c r="B410" s="68" t="n">
        <f aca="false">46</f>
        <v>46</v>
      </c>
      <c r="C410" s="18" t="n">
        <f aca="false">Motore_Operativo!C410</f>
        <v>47757</v>
      </c>
      <c r="D410" s="68" t="n">
        <f aca="false">Motore_Operativo!D410</f>
        <v>2030</v>
      </c>
      <c r="E410" s="68" t="n">
        <f aca="false">Motore_Operativo!E410</f>
        <v>10</v>
      </c>
      <c r="F410" s="15" t="n">
        <f aca="false">Motore_Operativo!AM410</f>
        <v>90241.6666666667</v>
      </c>
      <c r="G410" s="15" t="n">
        <f aca="false">Motore_Operativo!BH410</f>
        <v>9024.16666666667</v>
      </c>
      <c r="H410" s="15" t="n">
        <f aca="false">Motore_Operativo!AM410</f>
        <v>90241.6666666667</v>
      </c>
      <c r="I410" s="15" t="n">
        <f aca="false">Motore_Operativo!CB410</f>
        <v>62580.173375</v>
      </c>
      <c r="J410" s="15" t="n">
        <f aca="false">Motore_Operativo!CD410</f>
        <v>27661.4932916667</v>
      </c>
      <c r="K410" s="15" t="n">
        <f aca="false">Motore_Operativo!CF410</f>
        <v>666.666666666667</v>
      </c>
      <c r="L410" s="15" t="n">
        <f aca="false">SUM(INDEX($K$365:$K$424,MAX(1,46-Parametri_v3!$C$59+1)):K410)/Parametri_v3!$C$59</f>
        <v>476.851851851852</v>
      </c>
      <c r="M410" s="15" t="n">
        <f aca="false">J410-L410</f>
        <v>27184.6414398148</v>
      </c>
      <c r="N410" s="15" t="n">
        <f aca="false">0</f>
        <v>0</v>
      </c>
      <c r="O410" s="15" t="n">
        <f aca="false">0</f>
        <v>0</v>
      </c>
      <c r="P410" s="15" t="n">
        <f aca="false">M410+N410-O410</f>
        <v>27184.6414398148</v>
      </c>
      <c r="Q410" s="15" t="n">
        <f aca="false">SUM(P401:P410)+Parametri_v3!$C$56*10/12</f>
        <v>272367.247731481</v>
      </c>
      <c r="R410" s="15" t="n">
        <f aca="false">Z400</f>
        <v>0</v>
      </c>
      <c r="S410" s="15" t="n">
        <f aca="false">AA400</f>
        <v>0</v>
      </c>
      <c r="T410" s="15" t="n">
        <f aca="false">MIN(R410,MAX(0,Q410))</f>
        <v>0</v>
      </c>
      <c r="U410" s="15" t="n">
        <f aca="false">MIN(S410,MAX(0,Q410-T410)*Parametri_v3!$C$42)</f>
        <v>0</v>
      </c>
      <c r="V410" s="15" t="n">
        <f aca="false">MAX(0,Q410-T410-U410)*Ipotesi!$C$92</f>
        <v>65368.1394555555</v>
      </c>
      <c r="W410" s="15" t="n">
        <f aca="false">MAX(0,SUM(M401:M410)+Parametri_v3!$C$57*10/12)*Ipotesi!$C$93</f>
        <v>10622.3226615278</v>
      </c>
      <c r="X410" s="15" t="n">
        <f aca="false">V410+W410-(V409+W409)</f>
        <v>7584.51496170834</v>
      </c>
      <c r="Y410" s="15" t="n">
        <f aca="false">P410-X410</f>
        <v>19600.1264781065</v>
      </c>
      <c r="Z410" s="15" t="n">
        <f aca="false">R410-T410+IF(AND(Parametri_v3!$C$40=1,D410-YEAR(Parametri_v3!$C$50)&lt;Parametri_v3!$C$41),MAX(0,-Q410),0)</f>
        <v>0</v>
      </c>
      <c r="AA410" s="15" t="n">
        <f aca="false">S410-U410+IF(AND(Parametri_v3!$C$40=1,D410-YEAR(Parametri_v3!$C$50)&lt;Parametri_v3!$C$41),0,MAX(0,-Q410))</f>
        <v>0</v>
      </c>
      <c r="AB410" s="15" t="n">
        <f aca="false">F410*(1+Parametri_v3!$C$26)</f>
        <v>110094.833333333</v>
      </c>
      <c r="AC410" s="15" t="n">
        <f aca="false">(IF(46-(INT((Motore_Operativo!L410)/30))&lt;1,0,INDEX(Motore_Advisory!$AB$365:$AB$424,MAX(1,46-(INT((Motore_Operativo!L410)/30)))))*(1-(MOD((Motore_Operativo!L410),30)/30))+IF(46-(INT((Motore_Operativo!L410)/30))-1&lt;1,0,INDEX(Motore_Advisory!$AB$365:$AB$424,MAX(1,46-(INT((Motore_Operativo!L410)/30))-1)))*(MOD((Motore_Operativo!L410),30)/30))</f>
        <v>110094.833333333</v>
      </c>
      <c r="AD410" s="15" t="n">
        <f aca="false">(AD409)+AB410-AC410</f>
        <v>330284.5</v>
      </c>
      <c r="AE410" s="15" t="n">
        <f aca="false">Motore_Operativo!BH410*(1+Parametri_v3!$C$26)</f>
        <v>11009.4833333333</v>
      </c>
      <c r="AF410" s="15" t="n">
        <f aca="false">(IF(46-(INT((Parametri_v3!$C$29)/30))&lt;1,0,INDEX(Motore_Operativo!$BH$365:$BH$424,MAX(1,46-(INT((Parametri_v3!$C$29)/30)))))*(1-(MOD((Parametri_v3!$C$29),30)/30))+IF(46-(INT((Parametri_v3!$C$29)/30))-1&lt;1,0,INDEX(Motore_Operativo!$BH$365:$BH$424,MAX(1,46-(INT((Parametri_v3!$C$29)/30))-1)))*(MOD((Parametri_v3!$C$29),30)/30))*(1+Parametri_v3!$C$26)</f>
        <v>11009.4833333333</v>
      </c>
      <c r="AG410" s="15" t="n">
        <f aca="false">(AG409)+AE410-AF410</f>
        <v>11009.4833333333</v>
      </c>
      <c r="AH410" s="15" t="n">
        <f aca="false">(Motore_Operativo!CK410)*(1+Parametri_v3!$C$28*Parametri_v3!$C$26)</f>
        <v>23198.952</v>
      </c>
      <c r="AI410" s="15" t="n">
        <f aca="false">(IF(46-(INT((Ipotesi!$C$91)/30))&lt;1,0,INDEX(Motore_Advisory!$AH$365:$AH$424,MAX(1,46-(INT((Ipotesi!$C$91)/30)))))*(1-(MOD((Ipotesi!$C$91),30)/30))+IF(46-(INT((Ipotesi!$C$91)/30))-1&lt;1,0,INDEX(Motore_Advisory!$AH$365:$AH$424,MAX(1,46-(INT((Ipotesi!$C$91)/30))-1)))*(MOD((Ipotesi!$C$91),30)/30))</f>
        <v>23198.952</v>
      </c>
      <c r="AJ410" s="15" t="n">
        <f aca="false">(AJ409)+AH410-AI410</f>
        <v>46397.904</v>
      </c>
      <c r="AK410" s="15" t="n">
        <f aca="false">(F410- Motore_Operativo!BH410-(Motore_Operativo!CK410)*Parametri_v3!$C$28-Motore_Operativo!CF410)*Parametri_v3!$C$26</f>
        <v>14249.2313333333</v>
      </c>
      <c r="AL410" s="15" t="n">
        <f aca="false">MAX(0,(AM409))</f>
        <v>14249.2313333333</v>
      </c>
      <c r="AM410" s="15" t="n">
        <f aca="false">(AM409)+AK410-AL410</f>
        <v>14249.2313333333</v>
      </c>
      <c r="AN410" s="15" t="n">
        <f aca="false">SUM(X389:X400)</f>
        <v>46679.99375</v>
      </c>
      <c r="AO410" s="15" t="n">
        <f aca="false">SUM(AP389:AP400)</f>
        <v>16530.1714788732</v>
      </c>
      <c r="AP410" s="15" t="n">
        <f aca="false">MAX(0,AN410)*IF(10=Parametri_v3!$C$43,Parametri_v3!$C$45,IF(10=Parametri_v3!$C$44,1-Parametri_v3!$C$45,0))</f>
        <v>0</v>
      </c>
      <c r="AQ410" s="15" t="n">
        <f aca="false">MAX(0,AP410+IF(10=Parametri_v3!$C$43,MAX(0,AN410-AO410),0)-MAX(0,-(AR409)))</f>
        <v>0</v>
      </c>
      <c r="AR410" s="15" t="n">
        <f aca="false">(AR409)+X410-AQ410</f>
        <v>57318.4646170833</v>
      </c>
      <c r="AS410" s="15" t="n">
        <f aca="false">Motore_Operativo!AC410-AT410+AU410</f>
        <v>32137.5563729167</v>
      </c>
      <c r="AT410" s="15" t="n">
        <f aca="false">Motore_Operativo!CI410</f>
        <v>1691.45033541667</v>
      </c>
      <c r="AU410" s="15" t="n">
        <f aca="false">MIN(MAX(0,(AV409)+AT410),Parametri_v3!$C$61/12)</f>
        <v>0</v>
      </c>
      <c r="AV410" s="15" t="n">
        <f aca="false">(AV409)+AT410-AU410</f>
        <v>44893.9408541667</v>
      </c>
      <c r="AW410" s="15" t="n">
        <f aca="false">IF(AND(Motore_Operativo!C410=Finanziamenti!$D$7,Finanziamenti!$F$7=1),Finanziamenti!$C$7,0)</f>
        <v>0</v>
      </c>
      <c r="AX410" s="15" t="n">
        <f aca="false">0</f>
        <v>0</v>
      </c>
      <c r="AY410" s="15" t="n">
        <f aca="false">IF(10=Parametri_v3!$C$33,IF(BV410&lt;MIN(12,$B410-1),0,MIN(MAX(0,SUM(Y389:Y400))*Ipotesi!$C$94,MAX(0,(BM400)-(BO409)-BP410),MAX(0,BD410-Parametri_v3!$C$31))),0)</f>
        <v>0</v>
      </c>
      <c r="AZ410" s="15" t="n">
        <f aca="false">0</f>
        <v>0</v>
      </c>
      <c r="BA410" s="15" t="n">
        <f aca="false">0</f>
        <v>0</v>
      </c>
      <c r="BB410" s="15" t="n">
        <f aca="false">0</f>
        <v>0</v>
      </c>
      <c r="BC410" s="15" t="n">
        <f aca="false">0</f>
        <v>0</v>
      </c>
      <c r="BD410" s="15" t="n">
        <f aca="false">(BH409)+AC410-AF410-AI410-AS410-K410*(1+Parametri_v3!$C$26)-AL410-AQ410-O410+AW410+AX410+AZ410+BA410-BB410</f>
        <v>188638.004259271</v>
      </c>
      <c r="BE410" s="15" t="n">
        <f aca="false">0</f>
        <v>0</v>
      </c>
      <c r="BF410" s="15" t="n">
        <f aca="false">0</f>
        <v>0</v>
      </c>
      <c r="BG410" s="15" t="n">
        <f aca="false">0</f>
        <v>0</v>
      </c>
      <c r="BH410" s="15" t="n">
        <f aca="false">BD410+BE410-BF410-AY410</f>
        <v>188638.004259271</v>
      </c>
      <c r="BI410" s="15" t="n">
        <f aca="false">MAX(0,Parametri_v3!$C$31-BH410)</f>
        <v>0</v>
      </c>
      <c r="BJ410" s="15" t="n">
        <f aca="false">(BJ409)+K410</f>
        <v>19666.6666666667</v>
      </c>
      <c r="BK410" s="15" t="n">
        <f aca="false">(BK409)+L410</f>
        <v>10261.5740740741</v>
      </c>
      <c r="BL410" s="15" t="n">
        <f aca="false">BJ410-BK410</f>
        <v>9405.09259259259</v>
      </c>
      <c r="BM410" s="15" t="n">
        <f aca="false">(BM409)+Y410</f>
        <v>394774.478616725</v>
      </c>
      <c r="BN410" s="15" t="n">
        <f aca="false">(BN409)+AW410+AX410+AZ410</f>
        <v>20000</v>
      </c>
      <c r="BO410" s="15" t="n">
        <f aca="false">(BO409)+AY410</f>
        <v>60315.9059027778</v>
      </c>
      <c r="BP410" s="15" t="n">
        <f aca="false">MIN(Parametri_v3!$C$36*Parametri_v3!$C$35,(BP409)+IF(10=1,MAX(0,SUM(Y389:Y400))*Parametri_v3!$C$34,0))</f>
        <v>2000</v>
      </c>
      <c r="BQ410" s="15" t="n">
        <f aca="false">BN410+BM410-BO410</f>
        <v>354458.572713947</v>
      </c>
      <c r="BR410" s="15" t="n">
        <f aca="false">BH410+AD410+BL410+MAX(0,-AM410)+MAX(0,-AR410)</f>
        <v>528327.596851864</v>
      </c>
      <c r="BS410" s="15" t="n">
        <f aca="false">AJ410+AV410+MAX(0,AM410)+MAX(0,AR410)+BC410+BG410+BQ410+AG410</f>
        <v>528327.596851864</v>
      </c>
      <c r="BT410" s="15" t="n">
        <f aca="false">BR410-BS410</f>
        <v>0</v>
      </c>
      <c r="BU410" s="15" t="n">
        <f aca="false">BH410-(BD410+BE410-BF410-AY410)</f>
        <v>0</v>
      </c>
      <c r="BV410" s="15" t="n">
        <f aca="false">IF(BH409&lt;Parametri_v3!$C$31,0,BV409+1)</f>
        <v>17</v>
      </c>
    </row>
    <row r="411" customFormat="false" ht="18" hidden="false" customHeight="true" outlineLevel="0" collapsed="false">
      <c r="A411" s="68" t="n">
        <f aca="false">7</f>
        <v>7</v>
      </c>
      <c r="B411" s="68" t="n">
        <f aca="false">47</f>
        <v>47</v>
      </c>
      <c r="C411" s="18" t="n">
        <f aca="false">Motore_Operativo!C411</f>
        <v>47788</v>
      </c>
      <c r="D411" s="68" t="n">
        <f aca="false">Motore_Operativo!D411</f>
        <v>2030</v>
      </c>
      <c r="E411" s="68" t="n">
        <f aca="false">Motore_Operativo!E411</f>
        <v>11</v>
      </c>
      <c r="F411" s="15" t="n">
        <f aca="false">Motore_Operativo!AM411</f>
        <v>90241.6666666667</v>
      </c>
      <c r="G411" s="15" t="n">
        <f aca="false">Motore_Operativo!BH411</f>
        <v>9024.16666666667</v>
      </c>
      <c r="H411" s="15" t="n">
        <f aca="false">Motore_Operativo!AM411</f>
        <v>90241.6666666667</v>
      </c>
      <c r="I411" s="15" t="n">
        <f aca="false">Motore_Operativo!CB411</f>
        <v>62580.173375</v>
      </c>
      <c r="J411" s="15" t="n">
        <f aca="false">Motore_Operativo!CD411</f>
        <v>27661.4932916667</v>
      </c>
      <c r="K411" s="15" t="n">
        <f aca="false">Motore_Operativo!CF411</f>
        <v>666.666666666667</v>
      </c>
      <c r="L411" s="15" t="n">
        <f aca="false">SUM(INDEX($K$365:$K$424,MAX(1,47-Parametri_v3!$C$59+1)):K411)/Parametri_v3!$C$59</f>
        <v>488.425925925926</v>
      </c>
      <c r="M411" s="15" t="n">
        <f aca="false">J411-L411</f>
        <v>27173.0673657407</v>
      </c>
      <c r="N411" s="15" t="n">
        <f aca="false">0</f>
        <v>0</v>
      </c>
      <c r="O411" s="15" t="n">
        <f aca="false">0</f>
        <v>0</v>
      </c>
      <c r="P411" s="15" t="n">
        <f aca="false">M411+N411-O411</f>
        <v>27173.0673657407</v>
      </c>
      <c r="Q411" s="15" t="n">
        <f aca="false">SUM(P401:P411)+Parametri_v3!$C$56*11/12</f>
        <v>299540.315097222</v>
      </c>
      <c r="R411" s="15" t="n">
        <f aca="false">Z400</f>
        <v>0</v>
      </c>
      <c r="S411" s="15" t="n">
        <f aca="false">AA400</f>
        <v>0</v>
      </c>
      <c r="T411" s="15" t="n">
        <f aca="false">MIN(R411,MAX(0,Q411))</f>
        <v>0</v>
      </c>
      <c r="U411" s="15" t="n">
        <f aca="false">MIN(S411,MAX(0,Q411-T411)*Parametri_v3!$C$42)</f>
        <v>0</v>
      </c>
      <c r="V411" s="15" t="n">
        <f aca="false">MAX(0,Q411-T411-U411)*Ipotesi!$C$92</f>
        <v>71889.6756233333</v>
      </c>
      <c r="W411" s="15" t="n">
        <f aca="false">MAX(0,SUM(M401:M411)+Parametri_v3!$C$57*11/12)*Ipotesi!$C$93</f>
        <v>11682.0722887917</v>
      </c>
      <c r="X411" s="15" t="n">
        <f aca="false">V411+W411-(V410+W410)</f>
        <v>7581.28579504165</v>
      </c>
      <c r="Y411" s="15" t="n">
        <f aca="false">P411-X411</f>
        <v>19591.7815706991</v>
      </c>
      <c r="Z411" s="15" t="n">
        <f aca="false">R411-T411+IF(AND(Parametri_v3!$C$40=1,D411-YEAR(Parametri_v3!$C$50)&lt;Parametri_v3!$C$41),MAX(0,-Q411),0)</f>
        <v>0</v>
      </c>
      <c r="AA411" s="15" t="n">
        <f aca="false">S411-U411+IF(AND(Parametri_v3!$C$40=1,D411-YEAR(Parametri_v3!$C$50)&lt;Parametri_v3!$C$41),0,MAX(0,-Q411))</f>
        <v>0</v>
      </c>
      <c r="AB411" s="15" t="n">
        <f aca="false">F411*(1+Parametri_v3!$C$26)</f>
        <v>110094.833333333</v>
      </c>
      <c r="AC411" s="15" t="n">
        <f aca="false">(IF(47-(INT((Motore_Operativo!L411)/30))&lt;1,0,INDEX(Motore_Advisory!$AB$365:$AB$424,MAX(1,47-(INT((Motore_Operativo!L411)/30)))))*(1-(MOD((Motore_Operativo!L411),30)/30))+IF(47-(INT((Motore_Operativo!L411)/30))-1&lt;1,0,INDEX(Motore_Advisory!$AB$365:$AB$424,MAX(1,47-(INT((Motore_Operativo!L411)/30))-1)))*(MOD((Motore_Operativo!L411),30)/30))</f>
        <v>110094.833333333</v>
      </c>
      <c r="AD411" s="15" t="n">
        <f aca="false">(AD410)+AB411-AC411</f>
        <v>330284.5</v>
      </c>
      <c r="AE411" s="15" t="n">
        <f aca="false">Motore_Operativo!BH411*(1+Parametri_v3!$C$26)</f>
        <v>11009.4833333333</v>
      </c>
      <c r="AF411" s="15" t="n">
        <f aca="false">(IF(47-(INT((Parametri_v3!$C$29)/30))&lt;1,0,INDEX(Motore_Operativo!$BH$365:$BH$424,MAX(1,47-(INT((Parametri_v3!$C$29)/30)))))*(1-(MOD((Parametri_v3!$C$29),30)/30))+IF(47-(INT((Parametri_v3!$C$29)/30))-1&lt;1,0,INDEX(Motore_Operativo!$BH$365:$BH$424,MAX(1,47-(INT((Parametri_v3!$C$29)/30))-1)))*(MOD((Parametri_v3!$C$29),30)/30))*(1+Parametri_v3!$C$26)</f>
        <v>11009.4833333333</v>
      </c>
      <c r="AG411" s="15" t="n">
        <f aca="false">(AG410)+AE411-AF411</f>
        <v>11009.4833333333</v>
      </c>
      <c r="AH411" s="15" t="n">
        <f aca="false">(Motore_Operativo!CK411)*(1+Parametri_v3!$C$28*Parametri_v3!$C$26)</f>
        <v>23198.952</v>
      </c>
      <c r="AI411" s="15" t="n">
        <f aca="false">(IF(47-(INT((Ipotesi!$C$91)/30))&lt;1,0,INDEX(Motore_Advisory!$AH$365:$AH$424,MAX(1,47-(INT((Ipotesi!$C$91)/30)))))*(1-(MOD((Ipotesi!$C$91),30)/30))+IF(47-(INT((Ipotesi!$C$91)/30))-1&lt;1,0,INDEX(Motore_Advisory!$AH$365:$AH$424,MAX(1,47-(INT((Ipotesi!$C$91)/30))-1)))*(MOD((Ipotesi!$C$91),30)/30))</f>
        <v>23198.952</v>
      </c>
      <c r="AJ411" s="15" t="n">
        <f aca="false">(AJ410)+AH411-AI411</f>
        <v>46397.904</v>
      </c>
      <c r="AK411" s="15" t="n">
        <f aca="false">(F411- Motore_Operativo!BH411-(Motore_Operativo!CK411)*Parametri_v3!$C$28-Motore_Operativo!CF411)*Parametri_v3!$C$26</f>
        <v>14249.2313333333</v>
      </c>
      <c r="AL411" s="15" t="n">
        <f aca="false">MAX(0,(AM410))</f>
        <v>14249.2313333333</v>
      </c>
      <c r="AM411" s="15" t="n">
        <f aca="false">(AM410)+AK411-AL411</f>
        <v>14249.2313333333</v>
      </c>
      <c r="AN411" s="15" t="n">
        <f aca="false">SUM(X389:X400)</f>
        <v>46679.99375</v>
      </c>
      <c r="AO411" s="15" t="n">
        <f aca="false">SUM(AP389:AP400)</f>
        <v>16530.1714788732</v>
      </c>
      <c r="AP411" s="15" t="n">
        <f aca="false">MAX(0,AN411)*IF(11=Parametri_v3!$C$43,Parametri_v3!$C$45,IF(11=Parametri_v3!$C$44,1-Parametri_v3!$C$45,0))</f>
        <v>28007.99625</v>
      </c>
      <c r="AQ411" s="15" t="n">
        <f aca="false">MAX(0,AP411+IF(11=Parametri_v3!$C$43,MAX(0,AN411-AO411),0)-MAX(0,-(AR410)))</f>
        <v>28007.99625</v>
      </c>
      <c r="AR411" s="15" t="n">
        <f aca="false">(AR410)+X411-AQ411</f>
        <v>36891.754162125</v>
      </c>
      <c r="AS411" s="15" t="n">
        <f aca="false">Motore_Operativo!AC411-AT411+AU411</f>
        <v>32137.5563729167</v>
      </c>
      <c r="AT411" s="15" t="n">
        <f aca="false">Motore_Operativo!CI411</f>
        <v>1691.45033541667</v>
      </c>
      <c r="AU411" s="15" t="n">
        <f aca="false">MIN(MAX(0,(AV410)+AT411),Parametri_v3!$C$61/12)</f>
        <v>0</v>
      </c>
      <c r="AV411" s="15" t="n">
        <f aca="false">(AV410)+AT411-AU411</f>
        <v>46585.3911895833</v>
      </c>
      <c r="AW411" s="15" t="n">
        <f aca="false">IF(AND(Motore_Operativo!C411=Finanziamenti!$D$7,Finanziamenti!$F$7=1),Finanziamenti!$C$7,0)</f>
        <v>0</v>
      </c>
      <c r="AX411" s="15" t="n">
        <f aca="false">0</f>
        <v>0</v>
      </c>
      <c r="AY411" s="15" t="n">
        <f aca="false">IF(11=Parametri_v3!$C$33,IF(BV411&lt;MIN(12,$B411-1),0,MIN(MAX(0,SUM(Y389:Y400))*Ipotesi!$C$94,MAX(0,(BM400)-(BO410)-BP411),MAX(0,BD411-Parametri_v3!$C$31))),0)</f>
        <v>0</v>
      </c>
      <c r="AZ411" s="15" t="n">
        <f aca="false">0</f>
        <v>0</v>
      </c>
      <c r="BA411" s="15" t="n">
        <f aca="false">0</f>
        <v>0</v>
      </c>
      <c r="BB411" s="15" t="n">
        <f aca="false">0</f>
        <v>0</v>
      </c>
      <c r="BC411" s="15" t="n">
        <f aca="false">0</f>
        <v>0</v>
      </c>
      <c r="BD411" s="15" t="n">
        <f aca="false">(BH410)+AC411-AF411-AI411-AS411-K411*(1+Parametri_v3!$C$26)-AL411-AQ411-O411+AW411+AX411+AZ411+BA411-BB411</f>
        <v>189316.284969688</v>
      </c>
      <c r="BE411" s="15" t="n">
        <f aca="false">0</f>
        <v>0</v>
      </c>
      <c r="BF411" s="15" t="n">
        <f aca="false">0</f>
        <v>0</v>
      </c>
      <c r="BG411" s="15" t="n">
        <f aca="false">0</f>
        <v>0</v>
      </c>
      <c r="BH411" s="15" t="n">
        <f aca="false">BD411+BE411-BF411-AY411</f>
        <v>189316.284969688</v>
      </c>
      <c r="BI411" s="15" t="n">
        <f aca="false">MAX(0,Parametri_v3!$C$31-BH411)</f>
        <v>0</v>
      </c>
      <c r="BJ411" s="15" t="n">
        <f aca="false">(BJ410)+K411</f>
        <v>20333.3333333333</v>
      </c>
      <c r="BK411" s="15" t="n">
        <f aca="false">(BK410)+L411</f>
        <v>10750</v>
      </c>
      <c r="BL411" s="15" t="n">
        <f aca="false">BJ411-BK411</f>
        <v>9583.33333333333</v>
      </c>
      <c r="BM411" s="15" t="n">
        <f aca="false">(BM410)+Y411</f>
        <v>414366.260187424</v>
      </c>
      <c r="BN411" s="15" t="n">
        <f aca="false">(BN410)+AW411+AX411+AZ411</f>
        <v>20000</v>
      </c>
      <c r="BO411" s="15" t="n">
        <f aca="false">(BO410)+AY411</f>
        <v>60315.9059027778</v>
      </c>
      <c r="BP411" s="15" t="n">
        <f aca="false">MIN(Parametri_v3!$C$36*Parametri_v3!$C$35,(BP410)+IF(11=1,MAX(0,SUM(Y389:Y400))*Parametri_v3!$C$34,0))</f>
        <v>2000</v>
      </c>
      <c r="BQ411" s="15" t="n">
        <f aca="false">BN411+BM411-BO411</f>
        <v>374050.354284646</v>
      </c>
      <c r="BR411" s="15" t="n">
        <f aca="false">BH411+AD411+BL411+MAX(0,-AM411)+MAX(0,-AR411)</f>
        <v>529184.118303021</v>
      </c>
      <c r="BS411" s="15" t="n">
        <f aca="false">AJ411+AV411+MAX(0,AM411)+MAX(0,AR411)+BC411+BG411+BQ411+AG411</f>
        <v>529184.118303021</v>
      </c>
      <c r="BT411" s="15" t="n">
        <f aca="false">BR411-BS411</f>
        <v>0</v>
      </c>
      <c r="BU411" s="15" t="n">
        <f aca="false">BH411-(BD411+BE411-BF411-AY411)</f>
        <v>0</v>
      </c>
      <c r="BV411" s="15" t="n">
        <f aca="false">IF(BH410&lt;Parametri_v3!$C$31,0,BV410+1)</f>
        <v>18</v>
      </c>
    </row>
    <row r="412" customFormat="false" ht="18" hidden="false" customHeight="true" outlineLevel="0" collapsed="false">
      <c r="A412" s="68" t="n">
        <f aca="false">7</f>
        <v>7</v>
      </c>
      <c r="B412" s="68" t="n">
        <f aca="false">48</f>
        <v>48</v>
      </c>
      <c r="C412" s="18" t="n">
        <f aca="false">Motore_Operativo!C412</f>
        <v>47818</v>
      </c>
      <c r="D412" s="68" t="n">
        <f aca="false">Motore_Operativo!D412</f>
        <v>2030</v>
      </c>
      <c r="E412" s="68" t="n">
        <f aca="false">Motore_Operativo!E412</f>
        <v>12</v>
      </c>
      <c r="F412" s="15" t="n">
        <f aca="false">Motore_Operativo!AM412</f>
        <v>90241.6666666667</v>
      </c>
      <c r="G412" s="15" t="n">
        <f aca="false">Motore_Operativo!BH412</f>
        <v>9024.16666666667</v>
      </c>
      <c r="H412" s="15" t="n">
        <f aca="false">Motore_Operativo!AM412</f>
        <v>90241.6666666667</v>
      </c>
      <c r="I412" s="15" t="n">
        <f aca="false">Motore_Operativo!CB412</f>
        <v>62580.173375</v>
      </c>
      <c r="J412" s="15" t="n">
        <f aca="false">Motore_Operativo!CD412</f>
        <v>27661.4932916667</v>
      </c>
      <c r="K412" s="15" t="n">
        <f aca="false">Motore_Operativo!CF412</f>
        <v>666.666666666667</v>
      </c>
      <c r="L412" s="15" t="n">
        <f aca="false">SUM(INDEX($K$365:$K$424,MAX(1,48-Parametri_v3!$C$59+1)):K412)/Parametri_v3!$C$59</f>
        <v>500</v>
      </c>
      <c r="M412" s="15" t="n">
        <f aca="false">J412-L412</f>
        <v>27161.4932916667</v>
      </c>
      <c r="N412" s="15" t="n">
        <f aca="false">0</f>
        <v>0</v>
      </c>
      <c r="O412" s="15" t="n">
        <f aca="false">0</f>
        <v>0</v>
      </c>
      <c r="P412" s="15" t="n">
        <f aca="false">M412+N412-O412</f>
        <v>27161.4932916667</v>
      </c>
      <c r="Q412" s="15" t="n">
        <f aca="false">SUM(P401:P412)+Parametri_v3!$C$56*12/12</f>
        <v>326701.808388889</v>
      </c>
      <c r="R412" s="15" t="n">
        <f aca="false">Z400</f>
        <v>0</v>
      </c>
      <c r="S412" s="15" t="n">
        <f aca="false">AA400</f>
        <v>0</v>
      </c>
      <c r="T412" s="15" t="n">
        <f aca="false">MIN(R412,MAX(0,Q412))</f>
        <v>0</v>
      </c>
      <c r="U412" s="15" t="n">
        <f aca="false">MIN(S412,MAX(0,Q412-T412)*Parametri_v3!$C$42)</f>
        <v>0</v>
      </c>
      <c r="V412" s="15" t="n">
        <f aca="false">MAX(0,Q412-T412-U412)*Ipotesi!$C$92</f>
        <v>78408.4340133333</v>
      </c>
      <c r="W412" s="15" t="n">
        <f aca="false">MAX(0,SUM(M401:M412)+Parametri_v3!$C$57*12/12)*Ipotesi!$C$93</f>
        <v>12741.3705271667</v>
      </c>
      <c r="X412" s="15" t="n">
        <f aca="false">V412+W412-(V411+W411)</f>
        <v>7578.05662837502</v>
      </c>
      <c r="Y412" s="15" t="n">
        <f aca="false">P412-X412</f>
        <v>19583.4366632916</v>
      </c>
      <c r="Z412" s="15" t="n">
        <f aca="false">R412-T412+IF(AND(Parametri_v3!$C$40=1,D412-YEAR(Parametri_v3!$C$50)&lt;Parametri_v3!$C$41),MAX(0,-Q412),0)</f>
        <v>0</v>
      </c>
      <c r="AA412" s="15" t="n">
        <f aca="false">S412-U412+IF(AND(Parametri_v3!$C$40=1,D412-YEAR(Parametri_v3!$C$50)&lt;Parametri_v3!$C$41),0,MAX(0,-Q412))</f>
        <v>0</v>
      </c>
      <c r="AB412" s="15" t="n">
        <f aca="false">F412*(1+Parametri_v3!$C$26)</f>
        <v>110094.833333333</v>
      </c>
      <c r="AC412" s="15" t="n">
        <f aca="false">(IF(48-(INT((Motore_Operativo!L412)/30))&lt;1,0,INDEX(Motore_Advisory!$AB$365:$AB$424,MAX(1,48-(INT((Motore_Operativo!L412)/30)))))*(1-(MOD((Motore_Operativo!L412),30)/30))+IF(48-(INT((Motore_Operativo!L412)/30))-1&lt;1,0,INDEX(Motore_Advisory!$AB$365:$AB$424,MAX(1,48-(INT((Motore_Operativo!L412)/30))-1)))*(MOD((Motore_Operativo!L412),30)/30))</f>
        <v>110094.833333333</v>
      </c>
      <c r="AD412" s="15" t="n">
        <f aca="false">(AD411)+AB412-AC412</f>
        <v>330284.5</v>
      </c>
      <c r="AE412" s="15" t="n">
        <f aca="false">Motore_Operativo!BH412*(1+Parametri_v3!$C$26)</f>
        <v>11009.4833333333</v>
      </c>
      <c r="AF412" s="15" t="n">
        <f aca="false">(IF(48-(INT((Parametri_v3!$C$29)/30))&lt;1,0,INDEX(Motore_Operativo!$BH$365:$BH$424,MAX(1,48-(INT((Parametri_v3!$C$29)/30)))))*(1-(MOD((Parametri_v3!$C$29),30)/30))+IF(48-(INT((Parametri_v3!$C$29)/30))-1&lt;1,0,INDEX(Motore_Operativo!$BH$365:$BH$424,MAX(1,48-(INT((Parametri_v3!$C$29)/30))-1)))*(MOD((Parametri_v3!$C$29),30)/30))*(1+Parametri_v3!$C$26)</f>
        <v>11009.4833333333</v>
      </c>
      <c r="AG412" s="15" t="n">
        <f aca="false">(AG411)+AE412-AF412</f>
        <v>11009.4833333333</v>
      </c>
      <c r="AH412" s="15" t="n">
        <f aca="false">(Motore_Operativo!CK412)*(1+Parametri_v3!$C$28*Parametri_v3!$C$26)</f>
        <v>23198.952</v>
      </c>
      <c r="AI412" s="15" t="n">
        <f aca="false">(IF(48-(INT((Ipotesi!$C$91)/30))&lt;1,0,INDEX(Motore_Advisory!$AH$365:$AH$424,MAX(1,48-(INT((Ipotesi!$C$91)/30)))))*(1-(MOD((Ipotesi!$C$91),30)/30))+IF(48-(INT((Ipotesi!$C$91)/30))-1&lt;1,0,INDEX(Motore_Advisory!$AH$365:$AH$424,MAX(1,48-(INT((Ipotesi!$C$91)/30))-1)))*(MOD((Ipotesi!$C$91),30)/30))</f>
        <v>23198.952</v>
      </c>
      <c r="AJ412" s="15" t="n">
        <f aca="false">(AJ411)+AH412-AI412</f>
        <v>46397.904</v>
      </c>
      <c r="AK412" s="15" t="n">
        <f aca="false">(F412- Motore_Operativo!BH412-(Motore_Operativo!CK412)*Parametri_v3!$C$28-Motore_Operativo!CF412)*Parametri_v3!$C$26</f>
        <v>14249.2313333333</v>
      </c>
      <c r="AL412" s="15" t="n">
        <f aca="false">MAX(0,(AM411))</f>
        <v>14249.2313333333</v>
      </c>
      <c r="AM412" s="15" t="n">
        <f aca="false">(AM411)+AK412-AL412</f>
        <v>14249.2313333333</v>
      </c>
      <c r="AN412" s="15" t="n">
        <f aca="false">SUM(X389:X400)</f>
        <v>46679.99375</v>
      </c>
      <c r="AO412" s="15" t="n">
        <f aca="false">SUM(AP389:AP400)</f>
        <v>16530.1714788732</v>
      </c>
      <c r="AP412" s="15" t="n">
        <f aca="false">MAX(0,AN412)*IF(12=Parametri_v3!$C$43,Parametri_v3!$C$45,IF(12=Parametri_v3!$C$44,1-Parametri_v3!$C$45,0))</f>
        <v>0</v>
      </c>
      <c r="AQ412" s="15" t="n">
        <f aca="false">MAX(0,AP412+IF(12=Parametri_v3!$C$43,MAX(0,AN412-AO412),0)-MAX(0,-(AR411)))</f>
        <v>0</v>
      </c>
      <c r="AR412" s="15" t="n">
        <f aca="false">(AR411)+X412-AQ412</f>
        <v>44469.8107905</v>
      </c>
      <c r="AS412" s="15" t="n">
        <f aca="false">Motore_Operativo!AC412-AT412+AU412</f>
        <v>32137.5563729167</v>
      </c>
      <c r="AT412" s="15" t="n">
        <f aca="false">Motore_Operativo!CI412</f>
        <v>1691.45033541667</v>
      </c>
      <c r="AU412" s="15" t="n">
        <f aca="false">MIN(MAX(0,(AV411)+AT412),Parametri_v3!$C$61/12)</f>
        <v>0</v>
      </c>
      <c r="AV412" s="15" t="n">
        <f aca="false">(AV411)+AT412-AU412</f>
        <v>48276.841525</v>
      </c>
      <c r="AW412" s="15" t="n">
        <f aca="false">IF(AND(Motore_Operativo!C412=Finanziamenti!$D$7,Finanziamenti!$F$7=1),Finanziamenti!$C$7,0)</f>
        <v>0</v>
      </c>
      <c r="AX412" s="15" t="n">
        <f aca="false">0</f>
        <v>0</v>
      </c>
      <c r="AY412" s="15" t="n">
        <f aca="false">IF(12=Parametri_v3!$C$33,IF(BV412&lt;MIN(12,$B412-1),0,MIN(MAX(0,SUM(Y389:Y400))*Ipotesi!$C$94,MAX(0,(BM400)-(BO411)-BP412),MAX(0,BD412-Parametri_v3!$C$31))),0)</f>
        <v>0</v>
      </c>
      <c r="AZ412" s="15" t="n">
        <f aca="false">0</f>
        <v>0</v>
      </c>
      <c r="BA412" s="15" t="n">
        <f aca="false">0</f>
        <v>0</v>
      </c>
      <c r="BB412" s="15" t="n">
        <f aca="false">0</f>
        <v>0</v>
      </c>
      <c r="BC412" s="15" t="n">
        <f aca="false">0</f>
        <v>0</v>
      </c>
      <c r="BD412" s="15" t="n">
        <f aca="false">(BH411)+AC412-AF412-AI412-AS412-K412*(1+Parametri_v3!$C$26)-AL412-AQ412-O412+AW412+AX412+AZ412+BA412-BB412</f>
        <v>218002.561930104</v>
      </c>
      <c r="BE412" s="15" t="n">
        <f aca="false">0</f>
        <v>0</v>
      </c>
      <c r="BF412" s="15" t="n">
        <f aca="false">0</f>
        <v>0</v>
      </c>
      <c r="BG412" s="15" t="n">
        <f aca="false">0</f>
        <v>0</v>
      </c>
      <c r="BH412" s="15" t="n">
        <f aca="false">BD412+BE412-BF412-AY412</f>
        <v>218002.561930104</v>
      </c>
      <c r="BI412" s="15" t="n">
        <f aca="false">MAX(0,Parametri_v3!$C$31-BH412)</f>
        <v>0</v>
      </c>
      <c r="BJ412" s="15" t="n">
        <f aca="false">(BJ411)+K412</f>
        <v>21000</v>
      </c>
      <c r="BK412" s="15" t="n">
        <f aca="false">(BK411)+L412</f>
        <v>11250</v>
      </c>
      <c r="BL412" s="15" t="n">
        <f aca="false">BJ412-BK412</f>
        <v>9750</v>
      </c>
      <c r="BM412" s="15" t="n">
        <f aca="false">(BM411)+Y412</f>
        <v>433949.696850716</v>
      </c>
      <c r="BN412" s="15" t="n">
        <f aca="false">(BN411)+AW412+AX412+AZ412</f>
        <v>20000</v>
      </c>
      <c r="BO412" s="15" t="n">
        <f aca="false">(BO411)+AY412</f>
        <v>60315.9059027778</v>
      </c>
      <c r="BP412" s="15" t="n">
        <f aca="false">MIN(Parametri_v3!$C$36*Parametri_v3!$C$35,(BP411)+IF(12=1,MAX(0,SUM(Y389:Y400))*Parametri_v3!$C$34,0))</f>
        <v>2000</v>
      </c>
      <c r="BQ412" s="15" t="n">
        <f aca="false">BN412+BM412-BO412</f>
        <v>393633.790947938</v>
      </c>
      <c r="BR412" s="15" t="n">
        <f aca="false">BH412+AD412+BL412+MAX(0,-AM412)+MAX(0,-AR412)</f>
        <v>558037.061930104</v>
      </c>
      <c r="BS412" s="15" t="n">
        <f aca="false">AJ412+AV412+MAX(0,AM412)+MAX(0,AR412)+BC412+BG412+BQ412+AG412</f>
        <v>558037.061930105</v>
      </c>
      <c r="BT412" s="15" t="n">
        <f aca="false">BR412-BS412</f>
        <v>0</v>
      </c>
      <c r="BU412" s="15" t="n">
        <f aca="false">BH412-(BD412+BE412-BF412-AY412)</f>
        <v>0</v>
      </c>
      <c r="BV412" s="15" t="n">
        <f aca="false">IF(BH411&lt;Parametri_v3!$C$31,0,BV411+1)</f>
        <v>19</v>
      </c>
    </row>
    <row r="413" customFormat="false" ht="18" hidden="false" customHeight="true" outlineLevel="0" collapsed="false">
      <c r="A413" s="68" t="n">
        <f aca="false">7</f>
        <v>7</v>
      </c>
      <c r="B413" s="68" t="n">
        <f aca="false">49</f>
        <v>49</v>
      </c>
      <c r="C413" s="18" t="n">
        <f aca="false">Motore_Operativo!C413</f>
        <v>47849</v>
      </c>
      <c r="D413" s="68" t="n">
        <f aca="false">Motore_Operativo!D413</f>
        <v>2031</v>
      </c>
      <c r="E413" s="68" t="n">
        <f aca="false">Motore_Operativo!E413</f>
        <v>1</v>
      </c>
      <c r="F413" s="15" t="n">
        <f aca="false">Motore_Operativo!AM413</f>
        <v>115958.333333333</v>
      </c>
      <c r="G413" s="15" t="n">
        <f aca="false">Motore_Operativo!BH413</f>
        <v>11595.8333333333</v>
      </c>
      <c r="H413" s="15" t="n">
        <f aca="false">Motore_Operativo!AM413</f>
        <v>115958.333333333</v>
      </c>
      <c r="I413" s="15" t="n">
        <f aca="false">Motore_Operativo!CB413</f>
        <v>79625.4722608333</v>
      </c>
      <c r="J413" s="15" t="n">
        <f aca="false">Motore_Operativo!CD413</f>
        <v>36332.8610725</v>
      </c>
      <c r="K413" s="15" t="n">
        <f aca="false">Motore_Operativo!CF413</f>
        <v>666.666666666667</v>
      </c>
      <c r="L413" s="15" t="n">
        <f aca="false">SUM(INDEX($K$365:$K$424,MAX(1,49-Parametri_v3!$C$59+1)):K413)/Parametri_v3!$C$59</f>
        <v>506.944444444444</v>
      </c>
      <c r="M413" s="15" t="n">
        <f aca="false">J413-L413</f>
        <v>35825.9166280556</v>
      </c>
      <c r="N413" s="15" t="n">
        <f aca="false">0</f>
        <v>0</v>
      </c>
      <c r="O413" s="15" t="n">
        <f aca="false">0</f>
        <v>0</v>
      </c>
      <c r="P413" s="15" t="n">
        <f aca="false">M413+N413-O413</f>
        <v>35825.9166280556</v>
      </c>
      <c r="Q413" s="15" t="n">
        <f aca="false">SUM(P413)+Parametri_v3!$C$56*1/12</f>
        <v>35825.9166280556</v>
      </c>
      <c r="R413" s="15" t="n">
        <f aca="false">Z412</f>
        <v>0</v>
      </c>
      <c r="S413" s="15" t="n">
        <f aca="false">AA412</f>
        <v>0</v>
      </c>
      <c r="T413" s="15" t="n">
        <f aca="false">MIN(R413,MAX(0,Q413))</f>
        <v>0</v>
      </c>
      <c r="U413" s="15" t="n">
        <f aca="false">MIN(S413,MAX(0,Q413-T413)*Parametri_v3!$C$42)</f>
        <v>0</v>
      </c>
      <c r="V413" s="15" t="n">
        <f aca="false">MAX(0,Q413-T413-U413)*Ipotesi!$C$92</f>
        <v>8598.21999073333</v>
      </c>
      <c r="W413" s="15" t="n">
        <f aca="false">MAX(0,SUM(M413)+Parametri_v3!$C$57*1/12)*Ipotesi!$C$93</f>
        <v>1397.21074849417</v>
      </c>
      <c r="X413" s="15" t="n">
        <f aca="false">V413+W413-(0)</f>
        <v>9995.4307392275</v>
      </c>
      <c r="Y413" s="15" t="n">
        <f aca="false">P413-X413</f>
        <v>25830.4858888281</v>
      </c>
      <c r="Z413" s="15" t="n">
        <f aca="false">R413-T413+IF(AND(Parametri_v3!$C$40=1,D413-YEAR(Parametri_v3!$C$50)&lt;Parametri_v3!$C$41),MAX(0,-Q413),0)</f>
        <v>0</v>
      </c>
      <c r="AA413" s="15" t="n">
        <f aca="false">S413-U413+IF(AND(Parametri_v3!$C$40=1,D413-YEAR(Parametri_v3!$C$50)&lt;Parametri_v3!$C$41),0,MAX(0,-Q413))</f>
        <v>0</v>
      </c>
      <c r="AB413" s="15" t="n">
        <f aca="false">F413*(1+Parametri_v3!$C$26)</f>
        <v>141469.166666667</v>
      </c>
      <c r="AC413" s="15" t="n">
        <f aca="false">(IF(49-(INT((Motore_Operativo!L413)/30))&lt;1,0,INDEX(Motore_Advisory!$AB$365:$AB$424,MAX(1,49-(INT((Motore_Operativo!L413)/30)))))*(1-(MOD((Motore_Operativo!L413),30)/30))+IF(49-(INT((Motore_Operativo!L413)/30))-1&lt;1,0,INDEX(Motore_Advisory!$AB$365:$AB$424,MAX(1,49-(INT((Motore_Operativo!L413)/30))-1)))*(MOD((Motore_Operativo!L413),30)/30))</f>
        <v>110094.833333333</v>
      </c>
      <c r="AD413" s="15" t="n">
        <f aca="false">(AD412)+AB413-AC413</f>
        <v>361658.833333333</v>
      </c>
      <c r="AE413" s="15" t="n">
        <f aca="false">Motore_Operativo!BH413*(1+Parametri_v3!$C$26)</f>
        <v>14146.9166666667</v>
      </c>
      <c r="AF413" s="15" t="n">
        <f aca="false">(IF(49-(INT((Parametri_v3!$C$29)/30))&lt;1,0,INDEX(Motore_Operativo!$BH$365:$BH$424,MAX(1,49-(INT((Parametri_v3!$C$29)/30)))))*(1-(MOD((Parametri_v3!$C$29),30)/30))+IF(49-(INT((Parametri_v3!$C$29)/30))-1&lt;1,0,INDEX(Motore_Operativo!$BH$365:$BH$424,MAX(1,49-(INT((Parametri_v3!$C$29)/30))-1)))*(MOD((Parametri_v3!$C$29),30)/30))*(1+Parametri_v3!$C$26)</f>
        <v>11009.4833333333</v>
      </c>
      <c r="AG413" s="15" t="n">
        <f aca="false">(AG412)+AE413-AF413</f>
        <v>14146.9166666667</v>
      </c>
      <c r="AH413" s="15" t="n">
        <f aca="false">(Motore_Operativo!CK413)*(1+Parametri_v3!$C$28*Parametri_v3!$C$26)</f>
        <v>27831.02</v>
      </c>
      <c r="AI413" s="15" t="n">
        <f aca="false">(IF(49-(INT((Ipotesi!$C$91)/30))&lt;1,0,INDEX(Motore_Advisory!$AH$365:$AH$424,MAX(1,49-(INT((Ipotesi!$C$91)/30)))))*(1-(MOD((Ipotesi!$C$91),30)/30))+IF(49-(INT((Ipotesi!$C$91)/30))-1&lt;1,0,INDEX(Motore_Advisory!$AH$365:$AH$424,MAX(1,49-(INT((Ipotesi!$C$91)/30))-1)))*(MOD((Ipotesi!$C$91),30)/30))</f>
        <v>23198.952</v>
      </c>
      <c r="AJ413" s="15" t="n">
        <f aca="false">(AJ412)+AH413-AI413</f>
        <v>51029.972</v>
      </c>
      <c r="AK413" s="15" t="n">
        <f aca="false">(F413- Motore_Operativo!BH413-(Motore_Operativo!CK413)*Parametri_v3!$C$28-Motore_Operativo!CF413)*Parametri_v3!$C$26</f>
        <v>18647.8966666667</v>
      </c>
      <c r="AL413" s="15" t="n">
        <f aca="false">MAX(0,(AM412))</f>
        <v>14249.2313333333</v>
      </c>
      <c r="AM413" s="15" t="n">
        <f aca="false">(AM412)+AK413-AL413</f>
        <v>18647.8966666667</v>
      </c>
      <c r="AN413" s="15" t="n">
        <f aca="false">SUM(X401:X412)</f>
        <v>91149.8045405</v>
      </c>
      <c r="AO413" s="15" t="n">
        <f aca="false">SUM(AP401:AP412)</f>
        <v>46679.99375</v>
      </c>
      <c r="AP413" s="15" t="n">
        <f aca="false">MAX(0,AN413)*IF(1=Parametri_v3!$C$43,Parametri_v3!$C$45,IF(1=Parametri_v3!$C$44,1-Parametri_v3!$C$45,0))</f>
        <v>0</v>
      </c>
      <c r="AQ413" s="15" t="n">
        <f aca="false">MAX(0,AP413+IF(1=Parametri_v3!$C$43,MAX(0,AN413-AO413),0)-MAX(0,-(AR412)))</f>
        <v>0</v>
      </c>
      <c r="AR413" s="15" t="n">
        <f aca="false">(AR412)+X413-AQ413</f>
        <v>54465.2415297275</v>
      </c>
      <c r="AS413" s="15" t="n">
        <f aca="false">Motore_Operativo!AC413-AT413+AU413</f>
        <v>42145.6153144583</v>
      </c>
      <c r="AT413" s="15" t="n">
        <f aca="false">Motore_Operativo!CI413</f>
        <v>2218.19027970833</v>
      </c>
      <c r="AU413" s="15" t="n">
        <f aca="false">MIN(MAX(0,(AV412)+AT413),Parametri_v3!$C$61/12)</f>
        <v>0</v>
      </c>
      <c r="AV413" s="15" t="n">
        <f aca="false">(AV412)+AT413-AU413</f>
        <v>50495.0318047083</v>
      </c>
      <c r="AW413" s="15" t="n">
        <f aca="false">IF(AND(Motore_Operativo!C413=Finanziamenti!$D$7,Finanziamenti!$F$7=1),Finanziamenti!$C$7,0)</f>
        <v>0</v>
      </c>
      <c r="AX413" s="15" t="n">
        <f aca="false">0</f>
        <v>0</v>
      </c>
      <c r="AY413" s="15" t="n">
        <f aca="false">IF(1=Parametri_v3!$C$33,IF(BV413&lt;MIN(12,$B413-1),0,MIN(MAX(0,SUM(Y401:Y412))*Ipotesi!$C$94,MAX(0,(BM412)-(BO412)-BP413),MAX(0,BD413-Parametri_v3!$C$31))),0)</f>
        <v>0</v>
      </c>
      <c r="AZ413" s="15" t="n">
        <f aca="false">0</f>
        <v>0</v>
      </c>
      <c r="BA413" s="15" t="n">
        <f aca="false">0</f>
        <v>0</v>
      </c>
      <c r="BB413" s="15" t="n">
        <f aca="false">0</f>
        <v>0</v>
      </c>
      <c r="BC413" s="15" t="n">
        <f aca="false">0</f>
        <v>0</v>
      </c>
      <c r="BD413" s="15" t="n">
        <f aca="false">(BH412)+AC413-AF413-AI413-AS413-K413*(1+Parametri_v3!$C$26)-AL413-AQ413-O413+AW413+AX413+AZ413+BA413-BB413</f>
        <v>236680.779948979</v>
      </c>
      <c r="BE413" s="15" t="n">
        <f aca="false">0</f>
        <v>0</v>
      </c>
      <c r="BF413" s="15" t="n">
        <f aca="false">0</f>
        <v>0</v>
      </c>
      <c r="BG413" s="15" t="n">
        <f aca="false">0</f>
        <v>0</v>
      </c>
      <c r="BH413" s="15" t="n">
        <f aca="false">BD413+BE413-BF413-AY413</f>
        <v>236680.779948979</v>
      </c>
      <c r="BI413" s="15" t="n">
        <f aca="false">MAX(0,Parametri_v3!$C$31-BH413)</f>
        <v>0</v>
      </c>
      <c r="BJ413" s="15" t="n">
        <f aca="false">(BJ412)+K413</f>
        <v>21666.6666666667</v>
      </c>
      <c r="BK413" s="15" t="n">
        <f aca="false">(BK412)+L413</f>
        <v>11756.9444444444</v>
      </c>
      <c r="BL413" s="15" t="n">
        <f aca="false">BJ413-BK413</f>
        <v>9909.72222222222</v>
      </c>
      <c r="BM413" s="15" t="n">
        <f aca="false">(BM412)+Y413</f>
        <v>459780.182739544</v>
      </c>
      <c r="BN413" s="15" t="n">
        <f aca="false">(BN412)+AW413+AX413+AZ413</f>
        <v>20000</v>
      </c>
      <c r="BO413" s="15" t="n">
        <f aca="false">(BO412)+AY413</f>
        <v>60315.9059027778</v>
      </c>
      <c r="BP413" s="15" t="n">
        <f aca="false">MIN(Parametri_v3!$C$36*Parametri_v3!$C$35,(BP412)+IF(1=1,MAX(0,SUM(Y401:Y412))*Parametri_v3!$C$34,0))</f>
        <v>2000</v>
      </c>
      <c r="BQ413" s="15" t="n">
        <f aca="false">BN413+BM413-BO413</f>
        <v>419464.276836766</v>
      </c>
      <c r="BR413" s="15" t="n">
        <f aca="false">BH413+AD413+BL413+MAX(0,-AM413)+MAX(0,-AR413)</f>
        <v>608249.335504535</v>
      </c>
      <c r="BS413" s="15" t="n">
        <f aca="false">AJ413+AV413+MAX(0,AM413)+MAX(0,AR413)+BC413+BG413+BQ413+AG413</f>
        <v>608249.335504535</v>
      </c>
      <c r="BT413" s="15" t="n">
        <f aca="false">BR413-BS413</f>
        <v>0</v>
      </c>
      <c r="BU413" s="15" t="n">
        <f aca="false">BH413-(BD413+BE413-BF413-AY413)</f>
        <v>0</v>
      </c>
      <c r="BV413" s="15" t="n">
        <f aca="false">IF(BH412&lt;Parametri_v3!$C$31,0,BV412+1)</f>
        <v>20</v>
      </c>
    </row>
    <row r="414" customFormat="false" ht="18" hidden="false" customHeight="true" outlineLevel="0" collapsed="false">
      <c r="A414" s="68" t="n">
        <f aca="false">7</f>
        <v>7</v>
      </c>
      <c r="B414" s="68" t="n">
        <f aca="false">50</f>
        <v>50</v>
      </c>
      <c r="C414" s="18" t="n">
        <f aca="false">Motore_Operativo!C414</f>
        <v>47880</v>
      </c>
      <c r="D414" s="68" t="n">
        <f aca="false">Motore_Operativo!D414</f>
        <v>2031</v>
      </c>
      <c r="E414" s="68" t="n">
        <f aca="false">Motore_Operativo!E414</f>
        <v>2</v>
      </c>
      <c r="F414" s="15" t="n">
        <f aca="false">Motore_Operativo!AM414</f>
        <v>115958.333333333</v>
      </c>
      <c r="G414" s="15" t="n">
        <f aca="false">Motore_Operativo!BH414</f>
        <v>11595.8333333333</v>
      </c>
      <c r="H414" s="15" t="n">
        <f aca="false">Motore_Operativo!AM414</f>
        <v>115958.333333333</v>
      </c>
      <c r="I414" s="15" t="n">
        <f aca="false">Motore_Operativo!CB414</f>
        <v>79625.4722608333</v>
      </c>
      <c r="J414" s="15" t="n">
        <f aca="false">Motore_Operativo!CD414</f>
        <v>36332.8610725</v>
      </c>
      <c r="K414" s="15" t="n">
        <f aca="false">Motore_Operativo!CF414</f>
        <v>666.666666666667</v>
      </c>
      <c r="L414" s="15" t="n">
        <f aca="false">SUM(INDEX($K$365:$K$424,MAX(1,50-Parametri_v3!$C$59+1)):K414)/Parametri_v3!$C$59</f>
        <v>513.888888888889</v>
      </c>
      <c r="M414" s="15" t="n">
        <f aca="false">J414-L414</f>
        <v>35818.9721836111</v>
      </c>
      <c r="N414" s="15" t="n">
        <f aca="false">0</f>
        <v>0</v>
      </c>
      <c r="O414" s="15" t="n">
        <f aca="false">0</f>
        <v>0</v>
      </c>
      <c r="P414" s="15" t="n">
        <f aca="false">M414+N414-O414</f>
        <v>35818.9721836111</v>
      </c>
      <c r="Q414" s="15" t="n">
        <f aca="false">SUM(P413:P414)+Parametri_v3!$C$56*2/12</f>
        <v>71644.8888116667</v>
      </c>
      <c r="R414" s="15" t="n">
        <f aca="false">Z412</f>
        <v>0</v>
      </c>
      <c r="S414" s="15" t="n">
        <f aca="false">AA412</f>
        <v>0</v>
      </c>
      <c r="T414" s="15" t="n">
        <f aca="false">MIN(R414,MAX(0,Q414))</f>
        <v>0</v>
      </c>
      <c r="U414" s="15" t="n">
        <f aca="false">MIN(S414,MAX(0,Q414-T414)*Parametri_v3!$C$42)</f>
        <v>0</v>
      </c>
      <c r="V414" s="15" t="n">
        <f aca="false">MAX(0,Q414-T414-U414)*Ipotesi!$C$92</f>
        <v>17194.7733148</v>
      </c>
      <c r="W414" s="15" t="n">
        <f aca="false">MAX(0,SUM(M413:M414)+Parametri_v3!$C$57*2/12)*Ipotesi!$C$93</f>
        <v>2794.150663655</v>
      </c>
      <c r="X414" s="15" t="n">
        <f aca="false">V414+W414-(V413+W413)</f>
        <v>9993.4932392275</v>
      </c>
      <c r="Y414" s="15" t="n">
        <f aca="false">P414-X414</f>
        <v>25825.4789443836</v>
      </c>
      <c r="Z414" s="15" t="n">
        <f aca="false">R414-T414+IF(AND(Parametri_v3!$C$40=1,D414-YEAR(Parametri_v3!$C$50)&lt;Parametri_v3!$C$41),MAX(0,-Q414),0)</f>
        <v>0</v>
      </c>
      <c r="AA414" s="15" t="n">
        <f aca="false">S414-U414+IF(AND(Parametri_v3!$C$40=1,D414-YEAR(Parametri_v3!$C$50)&lt;Parametri_v3!$C$41),0,MAX(0,-Q414))</f>
        <v>0</v>
      </c>
      <c r="AB414" s="15" t="n">
        <f aca="false">F414*(1+Parametri_v3!$C$26)</f>
        <v>141469.166666667</v>
      </c>
      <c r="AC414" s="15" t="n">
        <f aca="false">(IF(50-(INT((Motore_Operativo!L414)/30))&lt;1,0,INDEX(Motore_Advisory!$AB$365:$AB$424,MAX(1,50-(INT((Motore_Operativo!L414)/30)))))*(1-(MOD((Motore_Operativo!L414),30)/30))+IF(50-(INT((Motore_Operativo!L414)/30))-1&lt;1,0,INDEX(Motore_Advisory!$AB$365:$AB$424,MAX(1,50-(INT((Motore_Operativo!L414)/30))-1)))*(MOD((Motore_Operativo!L414),30)/30))</f>
        <v>110094.833333333</v>
      </c>
      <c r="AD414" s="15" t="n">
        <f aca="false">(AD413)+AB414-AC414</f>
        <v>393033.166666667</v>
      </c>
      <c r="AE414" s="15" t="n">
        <f aca="false">Motore_Operativo!BH414*(1+Parametri_v3!$C$26)</f>
        <v>14146.9166666667</v>
      </c>
      <c r="AF414" s="15" t="n">
        <f aca="false">(IF(50-(INT((Parametri_v3!$C$29)/30))&lt;1,0,INDEX(Motore_Operativo!$BH$365:$BH$424,MAX(1,50-(INT((Parametri_v3!$C$29)/30)))))*(1-(MOD((Parametri_v3!$C$29),30)/30))+IF(50-(INT((Parametri_v3!$C$29)/30))-1&lt;1,0,INDEX(Motore_Operativo!$BH$365:$BH$424,MAX(1,50-(INT((Parametri_v3!$C$29)/30))-1)))*(MOD((Parametri_v3!$C$29),30)/30))*(1+Parametri_v3!$C$26)</f>
        <v>14146.9166666667</v>
      </c>
      <c r="AG414" s="15" t="n">
        <f aca="false">(AG413)+AE414-AF414</f>
        <v>14146.9166666667</v>
      </c>
      <c r="AH414" s="15" t="n">
        <f aca="false">(Motore_Operativo!CK414)*(1+Parametri_v3!$C$28*Parametri_v3!$C$26)</f>
        <v>27831.02</v>
      </c>
      <c r="AI414" s="15" t="n">
        <f aca="false">(IF(50-(INT((Ipotesi!$C$91)/30))&lt;1,0,INDEX(Motore_Advisory!$AH$365:$AH$424,MAX(1,50-(INT((Ipotesi!$C$91)/30)))))*(1-(MOD((Ipotesi!$C$91),30)/30))+IF(50-(INT((Ipotesi!$C$91)/30))-1&lt;1,0,INDEX(Motore_Advisory!$AH$365:$AH$424,MAX(1,50-(INT((Ipotesi!$C$91)/30))-1)))*(MOD((Ipotesi!$C$91),30)/30))</f>
        <v>23198.952</v>
      </c>
      <c r="AJ414" s="15" t="n">
        <f aca="false">(AJ413)+AH414-AI414</f>
        <v>55662.04</v>
      </c>
      <c r="AK414" s="15" t="n">
        <f aca="false">(F414- Motore_Operativo!BH414-(Motore_Operativo!CK414)*Parametri_v3!$C$28-Motore_Operativo!CF414)*Parametri_v3!$C$26</f>
        <v>18647.8966666667</v>
      </c>
      <c r="AL414" s="15" t="n">
        <f aca="false">MAX(0,(AM413))</f>
        <v>18647.8966666667</v>
      </c>
      <c r="AM414" s="15" t="n">
        <f aca="false">(AM413)+AK414-AL414</f>
        <v>18647.8966666667</v>
      </c>
      <c r="AN414" s="15" t="n">
        <f aca="false">SUM(X401:X412)</f>
        <v>91149.8045405</v>
      </c>
      <c r="AO414" s="15" t="n">
        <f aca="false">SUM(AP401:AP412)</f>
        <v>46679.99375</v>
      </c>
      <c r="AP414" s="15" t="n">
        <f aca="false">MAX(0,AN414)*IF(2=Parametri_v3!$C$43,Parametri_v3!$C$45,IF(2=Parametri_v3!$C$44,1-Parametri_v3!$C$45,0))</f>
        <v>0</v>
      </c>
      <c r="AQ414" s="15" t="n">
        <f aca="false">MAX(0,AP414+IF(2=Parametri_v3!$C$43,MAX(0,AN414-AO414),0)-MAX(0,-(AR413)))</f>
        <v>0</v>
      </c>
      <c r="AR414" s="15" t="n">
        <f aca="false">(AR413)+X414-AQ414</f>
        <v>64458.734768955</v>
      </c>
      <c r="AS414" s="15" t="n">
        <f aca="false">Motore_Operativo!AC414-AT414+AU414</f>
        <v>42145.6153144583</v>
      </c>
      <c r="AT414" s="15" t="n">
        <f aca="false">Motore_Operativo!CI414</f>
        <v>2218.19027970833</v>
      </c>
      <c r="AU414" s="15" t="n">
        <f aca="false">MIN(MAX(0,(AV413)+AT414),Parametri_v3!$C$61/12)</f>
        <v>0</v>
      </c>
      <c r="AV414" s="15" t="n">
        <f aca="false">(AV413)+AT414-AU414</f>
        <v>52713.2220844167</v>
      </c>
      <c r="AW414" s="15" t="n">
        <f aca="false">IF(AND(Motore_Operativo!C414=Finanziamenti!$D$7,Finanziamenti!$F$7=1),Finanziamenti!$C$7,0)</f>
        <v>0</v>
      </c>
      <c r="AX414" s="15" t="n">
        <f aca="false">0</f>
        <v>0</v>
      </c>
      <c r="AY414" s="15" t="n">
        <f aca="false">IF(2=Parametri_v3!$C$33,IF(BV414&lt;MIN(12,$B414-1),0,MIN(MAX(0,SUM(Y401:Y412))*Ipotesi!$C$94,MAX(0,(BM412)-(BO413)-BP414),MAX(0,BD414-Parametri_v3!$C$31))),0)</f>
        <v>0</v>
      </c>
      <c r="AZ414" s="15" t="n">
        <f aca="false">0</f>
        <v>0</v>
      </c>
      <c r="BA414" s="15" t="n">
        <f aca="false">0</f>
        <v>0</v>
      </c>
      <c r="BB414" s="15" t="n">
        <f aca="false">0</f>
        <v>0</v>
      </c>
      <c r="BC414" s="15" t="n">
        <f aca="false">0</f>
        <v>0</v>
      </c>
      <c r="BD414" s="15" t="n">
        <f aca="false">(BH413)+AC414-AF414-AI414-AS414-K414*(1+Parametri_v3!$C$26)-AL414-AQ414-O414+AW414+AX414+AZ414+BA414-BB414</f>
        <v>247822.899301188</v>
      </c>
      <c r="BE414" s="15" t="n">
        <f aca="false">0</f>
        <v>0</v>
      </c>
      <c r="BF414" s="15" t="n">
        <f aca="false">0</f>
        <v>0</v>
      </c>
      <c r="BG414" s="15" t="n">
        <f aca="false">0</f>
        <v>0</v>
      </c>
      <c r="BH414" s="15" t="n">
        <f aca="false">BD414+BE414-BF414-AY414</f>
        <v>247822.899301188</v>
      </c>
      <c r="BI414" s="15" t="n">
        <f aca="false">MAX(0,Parametri_v3!$C$31-BH414)</f>
        <v>0</v>
      </c>
      <c r="BJ414" s="15" t="n">
        <f aca="false">(BJ413)+K414</f>
        <v>22333.3333333333</v>
      </c>
      <c r="BK414" s="15" t="n">
        <f aca="false">(BK413)+L414</f>
        <v>12270.8333333333</v>
      </c>
      <c r="BL414" s="15" t="n">
        <f aca="false">BJ414-BK414</f>
        <v>10062.5</v>
      </c>
      <c r="BM414" s="15" t="n">
        <f aca="false">(BM413)+Y414</f>
        <v>485605.661683927</v>
      </c>
      <c r="BN414" s="15" t="n">
        <f aca="false">(BN413)+AW414+AX414+AZ414</f>
        <v>20000</v>
      </c>
      <c r="BO414" s="15" t="n">
        <f aca="false">(BO413)+AY414</f>
        <v>60315.9059027778</v>
      </c>
      <c r="BP414" s="15" t="n">
        <f aca="false">MIN(Parametri_v3!$C$36*Parametri_v3!$C$35,(BP413)+IF(2=1,MAX(0,SUM(Y401:Y412))*Parametri_v3!$C$34,0))</f>
        <v>2000</v>
      </c>
      <c r="BQ414" s="15" t="n">
        <f aca="false">BN414+BM414-BO414</f>
        <v>445289.75578115</v>
      </c>
      <c r="BR414" s="15" t="n">
        <f aca="false">BH414+AD414+BL414+MAX(0,-AM414)+MAX(0,-AR414)</f>
        <v>650918.565967854</v>
      </c>
      <c r="BS414" s="15" t="n">
        <f aca="false">AJ414+AV414+MAX(0,AM414)+MAX(0,AR414)+BC414+BG414+BQ414+AG414</f>
        <v>650918.565967855</v>
      </c>
      <c r="BT414" s="15" t="n">
        <f aca="false">BR414-BS414</f>
        <v>0</v>
      </c>
      <c r="BU414" s="15" t="n">
        <f aca="false">BH414-(BD414+BE414-BF414-AY414)</f>
        <v>0</v>
      </c>
      <c r="BV414" s="15" t="n">
        <f aca="false">IF(BH413&lt;Parametri_v3!$C$31,0,BV413+1)</f>
        <v>21</v>
      </c>
    </row>
    <row r="415" customFormat="false" ht="18" hidden="false" customHeight="true" outlineLevel="0" collapsed="false">
      <c r="A415" s="68" t="n">
        <f aca="false">7</f>
        <v>7</v>
      </c>
      <c r="B415" s="68" t="n">
        <f aca="false">51</f>
        <v>51</v>
      </c>
      <c r="C415" s="18" t="n">
        <f aca="false">Motore_Operativo!C415</f>
        <v>47908</v>
      </c>
      <c r="D415" s="68" t="n">
        <f aca="false">Motore_Operativo!D415</f>
        <v>2031</v>
      </c>
      <c r="E415" s="68" t="n">
        <f aca="false">Motore_Operativo!E415</f>
        <v>3</v>
      </c>
      <c r="F415" s="15" t="n">
        <f aca="false">Motore_Operativo!AM415</f>
        <v>115958.333333333</v>
      </c>
      <c r="G415" s="15" t="n">
        <f aca="false">Motore_Operativo!BH415</f>
        <v>11595.8333333333</v>
      </c>
      <c r="H415" s="15" t="n">
        <f aca="false">Motore_Operativo!AM415</f>
        <v>115958.333333333</v>
      </c>
      <c r="I415" s="15" t="n">
        <f aca="false">Motore_Operativo!CB415</f>
        <v>79625.4722608333</v>
      </c>
      <c r="J415" s="15" t="n">
        <f aca="false">Motore_Operativo!CD415</f>
        <v>36332.8610725</v>
      </c>
      <c r="K415" s="15" t="n">
        <f aca="false">Motore_Operativo!CF415</f>
        <v>666.666666666667</v>
      </c>
      <c r="L415" s="15" t="n">
        <f aca="false">SUM(INDEX($K$365:$K$424,MAX(1,51-Parametri_v3!$C$59+1)):K415)/Parametri_v3!$C$59</f>
        <v>520.833333333333</v>
      </c>
      <c r="M415" s="15" t="n">
        <f aca="false">J415-L415</f>
        <v>35812.0277391667</v>
      </c>
      <c r="N415" s="15" t="n">
        <f aca="false">0</f>
        <v>0</v>
      </c>
      <c r="O415" s="15" t="n">
        <f aca="false">0</f>
        <v>0</v>
      </c>
      <c r="P415" s="15" t="n">
        <f aca="false">M415+N415-O415</f>
        <v>35812.0277391667</v>
      </c>
      <c r="Q415" s="15" t="n">
        <f aca="false">SUM(P413:P415)+Parametri_v3!$C$56*3/12</f>
        <v>107456.916550833</v>
      </c>
      <c r="R415" s="15" t="n">
        <f aca="false">Z412</f>
        <v>0</v>
      </c>
      <c r="S415" s="15" t="n">
        <f aca="false">AA412</f>
        <v>0</v>
      </c>
      <c r="T415" s="15" t="n">
        <f aca="false">MIN(R415,MAX(0,Q415))</f>
        <v>0</v>
      </c>
      <c r="U415" s="15" t="n">
        <f aca="false">MIN(S415,MAX(0,Q415-T415)*Parametri_v3!$C$42)</f>
        <v>0</v>
      </c>
      <c r="V415" s="15" t="n">
        <f aca="false">MAX(0,Q415-T415-U415)*Ipotesi!$C$92</f>
        <v>25789.6599722</v>
      </c>
      <c r="W415" s="15" t="n">
        <f aca="false">MAX(0,SUM(M413:M415)+Parametri_v3!$C$57*3/12)*Ipotesi!$C$93</f>
        <v>4190.8197454825</v>
      </c>
      <c r="X415" s="15" t="n">
        <f aca="false">V415+W415-(V414+W414)</f>
        <v>9991.5557392275</v>
      </c>
      <c r="Y415" s="15" t="n">
        <f aca="false">P415-X415</f>
        <v>25820.4719999392</v>
      </c>
      <c r="Z415" s="15" t="n">
        <f aca="false">R415-T415+IF(AND(Parametri_v3!$C$40=1,D415-YEAR(Parametri_v3!$C$50)&lt;Parametri_v3!$C$41),MAX(0,-Q415),0)</f>
        <v>0</v>
      </c>
      <c r="AA415" s="15" t="n">
        <f aca="false">S415-U415+IF(AND(Parametri_v3!$C$40=1,D415-YEAR(Parametri_v3!$C$50)&lt;Parametri_v3!$C$41),0,MAX(0,-Q415))</f>
        <v>0</v>
      </c>
      <c r="AB415" s="15" t="n">
        <f aca="false">F415*(1+Parametri_v3!$C$26)</f>
        <v>141469.166666667</v>
      </c>
      <c r="AC415" s="15" t="n">
        <f aca="false">(IF(51-(INT((Motore_Operativo!L415)/30))&lt;1,0,INDEX(Motore_Advisory!$AB$365:$AB$424,MAX(1,51-(INT((Motore_Operativo!L415)/30)))))*(1-(MOD((Motore_Operativo!L415),30)/30))+IF(51-(INT((Motore_Operativo!L415)/30))-1&lt;1,0,INDEX(Motore_Advisory!$AB$365:$AB$424,MAX(1,51-(INT((Motore_Operativo!L415)/30))-1)))*(MOD((Motore_Operativo!L415),30)/30))</f>
        <v>110094.833333333</v>
      </c>
      <c r="AD415" s="15" t="n">
        <f aca="false">(AD414)+AB415-AC415</f>
        <v>424407.5</v>
      </c>
      <c r="AE415" s="15" t="n">
        <f aca="false">Motore_Operativo!BH415*(1+Parametri_v3!$C$26)</f>
        <v>14146.9166666667</v>
      </c>
      <c r="AF415" s="15" t="n">
        <f aca="false">(IF(51-(INT((Parametri_v3!$C$29)/30))&lt;1,0,INDEX(Motore_Operativo!$BH$365:$BH$424,MAX(1,51-(INT((Parametri_v3!$C$29)/30)))))*(1-(MOD((Parametri_v3!$C$29),30)/30))+IF(51-(INT((Parametri_v3!$C$29)/30))-1&lt;1,0,INDEX(Motore_Operativo!$BH$365:$BH$424,MAX(1,51-(INT((Parametri_v3!$C$29)/30))-1)))*(MOD((Parametri_v3!$C$29),30)/30))*(1+Parametri_v3!$C$26)</f>
        <v>14146.9166666667</v>
      </c>
      <c r="AG415" s="15" t="n">
        <f aca="false">(AG414)+AE415-AF415</f>
        <v>14146.9166666667</v>
      </c>
      <c r="AH415" s="15" t="n">
        <f aca="false">(Motore_Operativo!CK415)*(1+Parametri_v3!$C$28*Parametri_v3!$C$26)</f>
        <v>27831.02</v>
      </c>
      <c r="AI415" s="15" t="n">
        <f aca="false">(IF(51-(INT((Ipotesi!$C$91)/30))&lt;1,0,INDEX(Motore_Advisory!$AH$365:$AH$424,MAX(1,51-(INT((Ipotesi!$C$91)/30)))))*(1-(MOD((Ipotesi!$C$91),30)/30))+IF(51-(INT((Ipotesi!$C$91)/30))-1&lt;1,0,INDEX(Motore_Advisory!$AH$365:$AH$424,MAX(1,51-(INT((Ipotesi!$C$91)/30))-1)))*(MOD((Ipotesi!$C$91),30)/30))</f>
        <v>27831.02</v>
      </c>
      <c r="AJ415" s="15" t="n">
        <f aca="false">(AJ414)+AH415-AI415</f>
        <v>55662.04</v>
      </c>
      <c r="AK415" s="15" t="n">
        <f aca="false">(F415- Motore_Operativo!BH415-(Motore_Operativo!CK415)*Parametri_v3!$C$28-Motore_Operativo!CF415)*Parametri_v3!$C$26</f>
        <v>18647.8966666667</v>
      </c>
      <c r="AL415" s="15" t="n">
        <f aca="false">MAX(0,(AM414))</f>
        <v>18647.8966666667</v>
      </c>
      <c r="AM415" s="15" t="n">
        <f aca="false">(AM414)+AK415-AL415</f>
        <v>18647.8966666667</v>
      </c>
      <c r="AN415" s="15" t="n">
        <f aca="false">SUM(X401:X412)</f>
        <v>91149.8045405</v>
      </c>
      <c r="AO415" s="15" t="n">
        <f aca="false">SUM(AP401:AP412)</f>
        <v>46679.99375</v>
      </c>
      <c r="AP415" s="15" t="n">
        <f aca="false">MAX(0,AN415)*IF(3=Parametri_v3!$C$43,Parametri_v3!$C$45,IF(3=Parametri_v3!$C$44,1-Parametri_v3!$C$45,0))</f>
        <v>0</v>
      </c>
      <c r="AQ415" s="15" t="n">
        <f aca="false">MAX(0,AP415+IF(3=Parametri_v3!$C$43,MAX(0,AN415-AO415),0)-MAX(0,-(AR414)))</f>
        <v>0</v>
      </c>
      <c r="AR415" s="15" t="n">
        <f aca="false">(AR414)+X415-AQ415</f>
        <v>74450.2905081825</v>
      </c>
      <c r="AS415" s="15" t="n">
        <f aca="false">Motore_Operativo!AC415-AT415+AU415</f>
        <v>42145.6153144583</v>
      </c>
      <c r="AT415" s="15" t="n">
        <f aca="false">Motore_Operativo!CI415</f>
        <v>2218.19027970833</v>
      </c>
      <c r="AU415" s="15" t="n">
        <f aca="false">MIN(MAX(0,(AV414)+AT415),Parametri_v3!$C$61/12)</f>
        <v>0</v>
      </c>
      <c r="AV415" s="15" t="n">
        <f aca="false">(AV414)+AT415-AU415</f>
        <v>54931.412364125</v>
      </c>
      <c r="AW415" s="15" t="n">
        <f aca="false">IF(AND(Motore_Operativo!C415=Finanziamenti!$D$7,Finanziamenti!$F$7=1),Finanziamenti!$C$7,0)</f>
        <v>0</v>
      </c>
      <c r="AX415" s="15" t="n">
        <f aca="false">0</f>
        <v>0</v>
      </c>
      <c r="AY415" s="15" t="n">
        <f aca="false">IF(3=Parametri_v3!$C$33,IF(BV415&lt;MIN(12,$B415-1),0,MIN(MAX(0,SUM(Y401:Y412))*Ipotesi!$C$94,MAX(0,(BM412)-(BO414)-BP415),MAX(0,BD415-Parametri_v3!$C$31))),0)</f>
        <v>0</v>
      </c>
      <c r="AZ415" s="15" t="n">
        <f aca="false">0</f>
        <v>0</v>
      </c>
      <c r="BA415" s="15" t="n">
        <f aca="false">0</f>
        <v>0</v>
      </c>
      <c r="BB415" s="15" t="n">
        <f aca="false">0</f>
        <v>0</v>
      </c>
      <c r="BC415" s="15" t="n">
        <f aca="false">0</f>
        <v>0</v>
      </c>
      <c r="BD415" s="15" t="n">
        <f aca="false">(BH414)+AC415-AF415-AI415-AS415-K415*(1+Parametri_v3!$C$26)-AL415-AQ415-O415+AW415+AX415+AZ415+BA415-BB415</f>
        <v>254332.950653396</v>
      </c>
      <c r="BE415" s="15" t="n">
        <f aca="false">0</f>
        <v>0</v>
      </c>
      <c r="BF415" s="15" t="n">
        <f aca="false">0</f>
        <v>0</v>
      </c>
      <c r="BG415" s="15" t="n">
        <f aca="false">0</f>
        <v>0</v>
      </c>
      <c r="BH415" s="15" t="n">
        <f aca="false">BD415+BE415-BF415-AY415</f>
        <v>254332.950653396</v>
      </c>
      <c r="BI415" s="15" t="n">
        <f aca="false">MAX(0,Parametri_v3!$C$31-BH415)</f>
        <v>0</v>
      </c>
      <c r="BJ415" s="15" t="n">
        <f aca="false">(BJ414)+K415</f>
        <v>23000</v>
      </c>
      <c r="BK415" s="15" t="n">
        <f aca="false">(BK414)+L415</f>
        <v>12791.6666666667</v>
      </c>
      <c r="BL415" s="15" t="n">
        <f aca="false">BJ415-BK415</f>
        <v>10208.3333333333</v>
      </c>
      <c r="BM415" s="15" t="n">
        <f aca="false">(BM414)+Y415</f>
        <v>511426.133683867</v>
      </c>
      <c r="BN415" s="15" t="n">
        <f aca="false">(BN414)+AW415+AX415+AZ415</f>
        <v>20000</v>
      </c>
      <c r="BO415" s="15" t="n">
        <f aca="false">(BO414)+AY415</f>
        <v>60315.9059027778</v>
      </c>
      <c r="BP415" s="15" t="n">
        <f aca="false">MIN(Parametri_v3!$C$36*Parametri_v3!$C$35,(BP414)+IF(3=1,MAX(0,SUM(Y401:Y412))*Parametri_v3!$C$34,0))</f>
        <v>2000</v>
      </c>
      <c r="BQ415" s="15" t="n">
        <f aca="false">BN415+BM415-BO415</f>
        <v>471110.227781089</v>
      </c>
      <c r="BR415" s="15" t="n">
        <f aca="false">BH415+AD415+BL415+MAX(0,-AM415)+MAX(0,-AR415)</f>
        <v>688948.783986729</v>
      </c>
      <c r="BS415" s="15" t="n">
        <f aca="false">AJ415+AV415+MAX(0,AM415)+MAX(0,AR415)+BC415+BG415+BQ415+AG415</f>
        <v>688948.78398673</v>
      </c>
      <c r="BT415" s="15" t="n">
        <f aca="false">BR415-BS415</f>
        <v>0</v>
      </c>
      <c r="BU415" s="15" t="n">
        <f aca="false">BH415-(BD415+BE415-BF415-AY415)</f>
        <v>0</v>
      </c>
      <c r="BV415" s="15" t="n">
        <f aca="false">IF(BH414&lt;Parametri_v3!$C$31,0,BV414+1)</f>
        <v>22</v>
      </c>
    </row>
    <row r="416" customFormat="false" ht="18" hidden="false" customHeight="true" outlineLevel="0" collapsed="false">
      <c r="A416" s="68" t="n">
        <f aca="false">7</f>
        <v>7</v>
      </c>
      <c r="B416" s="68" t="n">
        <f aca="false">52</f>
        <v>52</v>
      </c>
      <c r="C416" s="18" t="n">
        <f aca="false">Motore_Operativo!C416</f>
        <v>47939</v>
      </c>
      <c r="D416" s="68" t="n">
        <f aca="false">Motore_Operativo!D416</f>
        <v>2031</v>
      </c>
      <c r="E416" s="68" t="n">
        <f aca="false">Motore_Operativo!E416</f>
        <v>4</v>
      </c>
      <c r="F416" s="15" t="n">
        <f aca="false">Motore_Operativo!AM416</f>
        <v>115958.333333333</v>
      </c>
      <c r="G416" s="15" t="n">
        <f aca="false">Motore_Operativo!BH416</f>
        <v>11595.8333333333</v>
      </c>
      <c r="H416" s="15" t="n">
        <f aca="false">Motore_Operativo!AM416</f>
        <v>115958.333333333</v>
      </c>
      <c r="I416" s="15" t="n">
        <f aca="false">Motore_Operativo!CB416</f>
        <v>79625.4722608333</v>
      </c>
      <c r="J416" s="15" t="n">
        <f aca="false">Motore_Operativo!CD416</f>
        <v>36332.8610725</v>
      </c>
      <c r="K416" s="15" t="n">
        <f aca="false">Motore_Operativo!CF416</f>
        <v>666.666666666667</v>
      </c>
      <c r="L416" s="15" t="n">
        <f aca="false">SUM(INDEX($K$365:$K$424,MAX(1,52-Parametri_v3!$C$59+1)):K416)/Parametri_v3!$C$59</f>
        <v>527.777777777778</v>
      </c>
      <c r="M416" s="15" t="n">
        <f aca="false">J416-L416</f>
        <v>35805.0832947222</v>
      </c>
      <c r="N416" s="15" t="n">
        <f aca="false">0</f>
        <v>0</v>
      </c>
      <c r="O416" s="15" t="n">
        <f aca="false">0</f>
        <v>0</v>
      </c>
      <c r="P416" s="15" t="n">
        <f aca="false">M416+N416-O416</f>
        <v>35805.0832947222</v>
      </c>
      <c r="Q416" s="15" t="n">
        <f aca="false">SUM(P413:P416)+Parametri_v3!$C$56*4/12</f>
        <v>143261.999845556</v>
      </c>
      <c r="R416" s="15" t="n">
        <f aca="false">Z412</f>
        <v>0</v>
      </c>
      <c r="S416" s="15" t="n">
        <f aca="false">AA412</f>
        <v>0</v>
      </c>
      <c r="T416" s="15" t="n">
        <f aca="false">MIN(R416,MAX(0,Q416))</f>
        <v>0</v>
      </c>
      <c r="U416" s="15" t="n">
        <f aca="false">MIN(S416,MAX(0,Q416-T416)*Parametri_v3!$C$42)</f>
        <v>0</v>
      </c>
      <c r="V416" s="15" t="n">
        <f aca="false">MAX(0,Q416-T416-U416)*Ipotesi!$C$92</f>
        <v>34382.8799629333</v>
      </c>
      <c r="W416" s="15" t="n">
        <f aca="false">MAX(0,SUM(M413:M416)+Parametri_v3!$C$57*4/12)*Ipotesi!$C$93</f>
        <v>5587.21799397667</v>
      </c>
      <c r="X416" s="15" t="n">
        <f aca="false">V416+W416-(V415+W415)</f>
        <v>9989.61823922751</v>
      </c>
      <c r="Y416" s="15" t="n">
        <f aca="false">P416-X416</f>
        <v>25815.4650554947</v>
      </c>
      <c r="Z416" s="15" t="n">
        <f aca="false">R416-T416+IF(AND(Parametri_v3!$C$40=1,D416-YEAR(Parametri_v3!$C$50)&lt;Parametri_v3!$C$41),MAX(0,-Q416),0)</f>
        <v>0</v>
      </c>
      <c r="AA416" s="15" t="n">
        <f aca="false">S416-U416+IF(AND(Parametri_v3!$C$40=1,D416-YEAR(Parametri_v3!$C$50)&lt;Parametri_v3!$C$41),0,MAX(0,-Q416))</f>
        <v>0</v>
      </c>
      <c r="AB416" s="15" t="n">
        <f aca="false">F416*(1+Parametri_v3!$C$26)</f>
        <v>141469.166666667</v>
      </c>
      <c r="AC416" s="15" t="n">
        <f aca="false">(IF(52-(INT((Motore_Operativo!L416)/30))&lt;1,0,INDEX(Motore_Advisory!$AB$365:$AB$424,MAX(1,52-(INT((Motore_Operativo!L416)/30)))))*(1-(MOD((Motore_Operativo!L416),30)/30))+IF(52-(INT((Motore_Operativo!L416)/30))-1&lt;1,0,INDEX(Motore_Advisory!$AB$365:$AB$424,MAX(1,52-(INT((Motore_Operativo!L416)/30))-1)))*(MOD((Motore_Operativo!L416),30)/30))</f>
        <v>141469.166666667</v>
      </c>
      <c r="AD416" s="15" t="n">
        <f aca="false">(AD415)+AB416-AC416</f>
        <v>424407.5</v>
      </c>
      <c r="AE416" s="15" t="n">
        <f aca="false">Motore_Operativo!BH416*(1+Parametri_v3!$C$26)</f>
        <v>14146.9166666667</v>
      </c>
      <c r="AF416" s="15" t="n">
        <f aca="false">(IF(52-(INT((Parametri_v3!$C$29)/30))&lt;1,0,INDEX(Motore_Operativo!$BH$365:$BH$424,MAX(1,52-(INT((Parametri_v3!$C$29)/30)))))*(1-(MOD((Parametri_v3!$C$29),30)/30))+IF(52-(INT((Parametri_v3!$C$29)/30))-1&lt;1,0,INDEX(Motore_Operativo!$BH$365:$BH$424,MAX(1,52-(INT((Parametri_v3!$C$29)/30))-1)))*(MOD((Parametri_v3!$C$29),30)/30))*(1+Parametri_v3!$C$26)</f>
        <v>14146.9166666667</v>
      </c>
      <c r="AG416" s="15" t="n">
        <f aca="false">(AG415)+AE416-AF416</f>
        <v>14146.9166666667</v>
      </c>
      <c r="AH416" s="15" t="n">
        <f aca="false">(Motore_Operativo!CK416)*(1+Parametri_v3!$C$28*Parametri_v3!$C$26)</f>
        <v>27831.02</v>
      </c>
      <c r="AI416" s="15" t="n">
        <f aca="false">(IF(52-(INT((Ipotesi!$C$91)/30))&lt;1,0,INDEX(Motore_Advisory!$AH$365:$AH$424,MAX(1,52-(INT((Ipotesi!$C$91)/30)))))*(1-(MOD((Ipotesi!$C$91),30)/30))+IF(52-(INT((Ipotesi!$C$91)/30))-1&lt;1,0,INDEX(Motore_Advisory!$AH$365:$AH$424,MAX(1,52-(INT((Ipotesi!$C$91)/30))-1)))*(MOD((Ipotesi!$C$91),30)/30))</f>
        <v>27831.02</v>
      </c>
      <c r="AJ416" s="15" t="n">
        <f aca="false">(AJ415)+AH416-AI416</f>
        <v>55662.04</v>
      </c>
      <c r="AK416" s="15" t="n">
        <f aca="false">(F416- Motore_Operativo!BH416-(Motore_Operativo!CK416)*Parametri_v3!$C$28-Motore_Operativo!CF416)*Parametri_v3!$C$26</f>
        <v>18647.8966666667</v>
      </c>
      <c r="AL416" s="15" t="n">
        <f aca="false">MAX(0,(AM415))</f>
        <v>18647.8966666667</v>
      </c>
      <c r="AM416" s="15" t="n">
        <f aca="false">(AM415)+AK416-AL416</f>
        <v>18647.8966666667</v>
      </c>
      <c r="AN416" s="15" t="n">
        <f aca="false">SUM(X401:X412)</f>
        <v>91149.8045405</v>
      </c>
      <c r="AO416" s="15" t="n">
        <f aca="false">SUM(AP401:AP412)</f>
        <v>46679.99375</v>
      </c>
      <c r="AP416" s="15" t="n">
        <f aca="false">MAX(0,AN416)*IF(4=Parametri_v3!$C$43,Parametri_v3!$C$45,IF(4=Parametri_v3!$C$44,1-Parametri_v3!$C$45,0))</f>
        <v>0</v>
      </c>
      <c r="AQ416" s="15" t="n">
        <f aca="false">MAX(0,AP416+IF(4=Parametri_v3!$C$43,MAX(0,AN416-AO416),0)-MAX(0,-(AR415)))</f>
        <v>0</v>
      </c>
      <c r="AR416" s="15" t="n">
        <f aca="false">(AR415)+X416-AQ416</f>
        <v>84439.90874741</v>
      </c>
      <c r="AS416" s="15" t="n">
        <f aca="false">Motore_Operativo!AC416-AT416+AU416</f>
        <v>42145.6153144583</v>
      </c>
      <c r="AT416" s="15" t="n">
        <f aca="false">Motore_Operativo!CI416</f>
        <v>2218.19027970833</v>
      </c>
      <c r="AU416" s="15" t="n">
        <f aca="false">MIN(MAX(0,(AV415)+AT416),Parametri_v3!$C$61/12)</f>
        <v>0</v>
      </c>
      <c r="AV416" s="15" t="n">
        <f aca="false">(AV415)+AT416-AU416</f>
        <v>57149.6026438333</v>
      </c>
      <c r="AW416" s="15" t="n">
        <f aca="false">IF(AND(Motore_Operativo!C416=Finanziamenti!$D$7,Finanziamenti!$F$7=1),Finanziamenti!$C$7,0)</f>
        <v>0</v>
      </c>
      <c r="AX416" s="15" t="n">
        <f aca="false">0</f>
        <v>0</v>
      </c>
      <c r="AY416" s="15" t="n">
        <f aca="false">IF(4=Parametri_v3!$C$33,IF(BV416&lt;MIN(12,$B416-1),0,MIN(MAX(0,SUM(Y401:Y412))*Ipotesi!$C$94,MAX(0,(BM412)-(BO415)-BP416),MAX(0,BD416-Parametri_v3!$C$31))),0)</f>
        <v>0</v>
      </c>
      <c r="AZ416" s="15" t="n">
        <f aca="false">0</f>
        <v>0</v>
      </c>
      <c r="BA416" s="15" t="n">
        <f aca="false">0</f>
        <v>0</v>
      </c>
      <c r="BB416" s="15" t="n">
        <f aca="false">0</f>
        <v>0</v>
      </c>
      <c r="BC416" s="15" t="n">
        <f aca="false">0</f>
        <v>0</v>
      </c>
      <c r="BD416" s="15" t="n">
        <f aca="false">(BH415)+AC416-AF416-AI416-AS416-K416*(1+Parametri_v3!$C$26)-AL416-AQ416-O416+AW416+AX416+AZ416+BA416-BB416</f>
        <v>292217.335338938</v>
      </c>
      <c r="BE416" s="15" t="n">
        <f aca="false">0</f>
        <v>0</v>
      </c>
      <c r="BF416" s="15" t="n">
        <f aca="false">0</f>
        <v>0</v>
      </c>
      <c r="BG416" s="15" t="n">
        <f aca="false">0</f>
        <v>0</v>
      </c>
      <c r="BH416" s="15" t="n">
        <f aca="false">BD416+BE416-BF416-AY416</f>
        <v>292217.335338938</v>
      </c>
      <c r="BI416" s="15" t="n">
        <f aca="false">MAX(0,Parametri_v3!$C$31-BH416)</f>
        <v>0</v>
      </c>
      <c r="BJ416" s="15" t="n">
        <f aca="false">(BJ415)+K416</f>
        <v>23666.6666666667</v>
      </c>
      <c r="BK416" s="15" t="n">
        <f aca="false">(BK415)+L416</f>
        <v>13319.4444444444</v>
      </c>
      <c r="BL416" s="15" t="n">
        <f aca="false">BJ416-BK416</f>
        <v>10347.2222222222</v>
      </c>
      <c r="BM416" s="15" t="n">
        <f aca="false">(BM415)+Y416</f>
        <v>537241.598739361</v>
      </c>
      <c r="BN416" s="15" t="n">
        <f aca="false">(BN415)+AW416+AX416+AZ416</f>
        <v>20000</v>
      </c>
      <c r="BO416" s="15" t="n">
        <f aca="false">(BO415)+AY416</f>
        <v>60315.9059027778</v>
      </c>
      <c r="BP416" s="15" t="n">
        <f aca="false">MIN(Parametri_v3!$C$36*Parametri_v3!$C$35,(BP415)+IF(4=1,MAX(0,SUM(Y401:Y412))*Parametri_v3!$C$34,0))</f>
        <v>2000</v>
      </c>
      <c r="BQ416" s="15" t="n">
        <f aca="false">BN416+BM416-BO416</f>
        <v>496925.692836584</v>
      </c>
      <c r="BR416" s="15" t="n">
        <f aca="false">BH416+AD416+BL416+MAX(0,-AM416)+MAX(0,-AR416)</f>
        <v>726972.05756116</v>
      </c>
      <c r="BS416" s="15" t="n">
        <f aca="false">AJ416+AV416+MAX(0,AM416)+MAX(0,AR416)+BC416+BG416+BQ416+AG416</f>
        <v>726972.05756116</v>
      </c>
      <c r="BT416" s="15" t="n">
        <f aca="false">BR416-BS416</f>
        <v>0</v>
      </c>
      <c r="BU416" s="15" t="n">
        <f aca="false">BH416-(BD416+BE416-BF416-AY416)</f>
        <v>0</v>
      </c>
      <c r="BV416" s="15" t="n">
        <f aca="false">IF(BH415&lt;Parametri_v3!$C$31,0,BV415+1)</f>
        <v>23</v>
      </c>
    </row>
    <row r="417" customFormat="false" ht="18" hidden="false" customHeight="true" outlineLevel="0" collapsed="false">
      <c r="A417" s="68" t="n">
        <f aca="false">7</f>
        <v>7</v>
      </c>
      <c r="B417" s="68" t="n">
        <f aca="false">53</f>
        <v>53</v>
      </c>
      <c r="C417" s="18" t="n">
        <f aca="false">Motore_Operativo!C417</f>
        <v>47969</v>
      </c>
      <c r="D417" s="68" t="n">
        <f aca="false">Motore_Operativo!D417</f>
        <v>2031</v>
      </c>
      <c r="E417" s="68" t="n">
        <f aca="false">Motore_Operativo!E417</f>
        <v>5</v>
      </c>
      <c r="F417" s="15" t="n">
        <f aca="false">Motore_Operativo!AM417</f>
        <v>115958.333333333</v>
      </c>
      <c r="G417" s="15" t="n">
        <f aca="false">Motore_Operativo!BH417</f>
        <v>11595.8333333333</v>
      </c>
      <c r="H417" s="15" t="n">
        <f aca="false">Motore_Operativo!AM417</f>
        <v>115958.333333333</v>
      </c>
      <c r="I417" s="15" t="n">
        <f aca="false">Motore_Operativo!CB417</f>
        <v>79625.4722608333</v>
      </c>
      <c r="J417" s="15" t="n">
        <f aca="false">Motore_Operativo!CD417</f>
        <v>36332.8610725</v>
      </c>
      <c r="K417" s="15" t="n">
        <f aca="false">Motore_Operativo!CF417</f>
        <v>666.666666666667</v>
      </c>
      <c r="L417" s="15" t="n">
        <f aca="false">SUM(INDEX($K$365:$K$424,MAX(1,53-Parametri_v3!$C$59+1)):K417)/Parametri_v3!$C$59</f>
        <v>534.722222222222</v>
      </c>
      <c r="M417" s="15" t="n">
        <f aca="false">J417-L417</f>
        <v>35798.1388502778</v>
      </c>
      <c r="N417" s="15" t="n">
        <f aca="false">0</f>
        <v>0</v>
      </c>
      <c r="O417" s="15" t="n">
        <f aca="false">0</f>
        <v>0</v>
      </c>
      <c r="P417" s="15" t="n">
        <f aca="false">M417+N417-O417</f>
        <v>35798.1388502778</v>
      </c>
      <c r="Q417" s="15" t="n">
        <f aca="false">SUM(P413:P417)+Parametri_v3!$C$56*5/12</f>
        <v>179060.138695833</v>
      </c>
      <c r="R417" s="15" t="n">
        <f aca="false">Z412</f>
        <v>0</v>
      </c>
      <c r="S417" s="15" t="n">
        <f aca="false">AA412</f>
        <v>0</v>
      </c>
      <c r="T417" s="15" t="n">
        <f aca="false">MIN(R417,MAX(0,Q417))</f>
        <v>0</v>
      </c>
      <c r="U417" s="15" t="n">
        <f aca="false">MIN(S417,MAX(0,Q417-T417)*Parametri_v3!$C$42)</f>
        <v>0</v>
      </c>
      <c r="V417" s="15" t="n">
        <f aca="false">MAX(0,Q417-T417-U417)*Ipotesi!$C$92</f>
        <v>42974.433287</v>
      </c>
      <c r="W417" s="15" t="n">
        <f aca="false">MAX(0,SUM(M413:M417)+Parametri_v3!$C$57*5/12)*Ipotesi!$C$93</f>
        <v>6983.3454091375</v>
      </c>
      <c r="X417" s="15" t="n">
        <f aca="false">V417+W417-(V416+W416)</f>
        <v>9987.68073922751</v>
      </c>
      <c r="Y417" s="15" t="n">
        <f aca="false">P417-X417</f>
        <v>25810.4581110503</v>
      </c>
      <c r="Z417" s="15" t="n">
        <f aca="false">R417-T417+IF(AND(Parametri_v3!$C$40=1,D417-YEAR(Parametri_v3!$C$50)&lt;Parametri_v3!$C$41),MAX(0,-Q417),0)</f>
        <v>0</v>
      </c>
      <c r="AA417" s="15" t="n">
        <f aca="false">S417-U417+IF(AND(Parametri_v3!$C$40=1,D417-YEAR(Parametri_v3!$C$50)&lt;Parametri_v3!$C$41),0,MAX(0,-Q417))</f>
        <v>0</v>
      </c>
      <c r="AB417" s="15" t="n">
        <f aca="false">F417*(1+Parametri_v3!$C$26)</f>
        <v>141469.166666667</v>
      </c>
      <c r="AC417" s="15" t="n">
        <f aca="false">(IF(53-(INT((Motore_Operativo!L417)/30))&lt;1,0,INDEX(Motore_Advisory!$AB$365:$AB$424,MAX(1,53-(INT((Motore_Operativo!L417)/30)))))*(1-(MOD((Motore_Operativo!L417),30)/30))+IF(53-(INT((Motore_Operativo!L417)/30))-1&lt;1,0,INDEX(Motore_Advisory!$AB$365:$AB$424,MAX(1,53-(INT((Motore_Operativo!L417)/30))-1)))*(MOD((Motore_Operativo!L417),30)/30))</f>
        <v>141469.166666667</v>
      </c>
      <c r="AD417" s="15" t="n">
        <f aca="false">(AD416)+AB417-AC417</f>
        <v>424407.5</v>
      </c>
      <c r="AE417" s="15" t="n">
        <f aca="false">Motore_Operativo!BH417*(1+Parametri_v3!$C$26)</f>
        <v>14146.9166666667</v>
      </c>
      <c r="AF417" s="15" t="n">
        <f aca="false">(IF(53-(INT((Parametri_v3!$C$29)/30))&lt;1,0,INDEX(Motore_Operativo!$BH$365:$BH$424,MAX(1,53-(INT((Parametri_v3!$C$29)/30)))))*(1-(MOD((Parametri_v3!$C$29),30)/30))+IF(53-(INT((Parametri_v3!$C$29)/30))-1&lt;1,0,INDEX(Motore_Operativo!$BH$365:$BH$424,MAX(1,53-(INT((Parametri_v3!$C$29)/30))-1)))*(MOD((Parametri_v3!$C$29),30)/30))*(1+Parametri_v3!$C$26)</f>
        <v>14146.9166666667</v>
      </c>
      <c r="AG417" s="15" t="n">
        <f aca="false">(AG416)+AE417-AF417</f>
        <v>14146.9166666667</v>
      </c>
      <c r="AH417" s="15" t="n">
        <f aca="false">(Motore_Operativo!CK417)*(1+Parametri_v3!$C$28*Parametri_v3!$C$26)</f>
        <v>27831.02</v>
      </c>
      <c r="AI417" s="15" t="n">
        <f aca="false">(IF(53-(INT((Ipotesi!$C$91)/30))&lt;1,0,INDEX(Motore_Advisory!$AH$365:$AH$424,MAX(1,53-(INT((Ipotesi!$C$91)/30)))))*(1-(MOD((Ipotesi!$C$91),30)/30))+IF(53-(INT((Ipotesi!$C$91)/30))-1&lt;1,0,INDEX(Motore_Advisory!$AH$365:$AH$424,MAX(1,53-(INT((Ipotesi!$C$91)/30))-1)))*(MOD((Ipotesi!$C$91),30)/30))</f>
        <v>27831.02</v>
      </c>
      <c r="AJ417" s="15" t="n">
        <f aca="false">(AJ416)+AH417-AI417</f>
        <v>55662.04</v>
      </c>
      <c r="AK417" s="15" t="n">
        <f aca="false">(F417- Motore_Operativo!BH417-(Motore_Operativo!CK417)*Parametri_v3!$C$28-Motore_Operativo!CF417)*Parametri_v3!$C$26</f>
        <v>18647.8966666667</v>
      </c>
      <c r="AL417" s="15" t="n">
        <f aca="false">MAX(0,(AM416))</f>
        <v>18647.8966666667</v>
      </c>
      <c r="AM417" s="15" t="n">
        <f aca="false">(AM416)+AK417-AL417</f>
        <v>18647.8966666667</v>
      </c>
      <c r="AN417" s="15" t="n">
        <f aca="false">SUM(X401:X412)</f>
        <v>91149.8045405</v>
      </c>
      <c r="AO417" s="15" t="n">
        <f aca="false">SUM(AP401:AP412)</f>
        <v>46679.99375</v>
      </c>
      <c r="AP417" s="15" t="n">
        <f aca="false">MAX(0,AN417)*IF(5=Parametri_v3!$C$43,Parametri_v3!$C$45,IF(5=Parametri_v3!$C$44,1-Parametri_v3!$C$45,0))</f>
        <v>0</v>
      </c>
      <c r="AQ417" s="15" t="n">
        <f aca="false">MAX(0,AP417+IF(5=Parametri_v3!$C$43,MAX(0,AN417-AO417),0)-MAX(0,-(AR416)))</f>
        <v>0</v>
      </c>
      <c r="AR417" s="15" t="n">
        <f aca="false">(AR416)+X417-AQ417</f>
        <v>94427.5894866375</v>
      </c>
      <c r="AS417" s="15" t="n">
        <f aca="false">Motore_Operativo!AC417-AT417+AU417</f>
        <v>42145.6153144583</v>
      </c>
      <c r="AT417" s="15" t="n">
        <f aca="false">Motore_Operativo!CI417</f>
        <v>2218.19027970833</v>
      </c>
      <c r="AU417" s="15" t="n">
        <f aca="false">MIN(MAX(0,(AV416)+AT417),Parametri_v3!$C$61/12)</f>
        <v>0</v>
      </c>
      <c r="AV417" s="15" t="n">
        <f aca="false">(AV416)+AT417-AU417</f>
        <v>59367.7929235417</v>
      </c>
      <c r="AW417" s="15" t="n">
        <f aca="false">IF(AND(Motore_Operativo!C417=Finanziamenti!$D$7,Finanziamenti!$F$7=1),Finanziamenti!$C$7,0)</f>
        <v>0</v>
      </c>
      <c r="AX417" s="15" t="n">
        <f aca="false">0</f>
        <v>0</v>
      </c>
      <c r="AY417" s="15" t="n">
        <f aca="false">IF(5=Parametri_v3!$C$33,IF(BV417&lt;MIN(12,$B417-1),0,MIN(MAX(0,SUM(Y401:Y412))*Ipotesi!$C$94,MAX(0,(BM412)-(BO416)-BP417),MAX(0,BD417-Parametri_v3!$C$31))),0)</f>
        <v>0</v>
      </c>
      <c r="AZ417" s="15" t="n">
        <f aca="false">0</f>
        <v>0</v>
      </c>
      <c r="BA417" s="15" t="n">
        <f aca="false">0</f>
        <v>0</v>
      </c>
      <c r="BB417" s="15" t="n">
        <f aca="false">0</f>
        <v>0</v>
      </c>
      <c r="BC417" s="15" t="n">
        <f aca="false">0</f>
        <v>0</v>
      </c>
      <c r="BD417" s="15" t="n">
        <f aca="false">(BH416)+AC417-AF417-AI417-AS417-K417*(1+Parametri_v3!$C$26)-AL417-AQ417-O417+AW417+AX417+AZ417+BA417-BB417</f>
        <v>330101.720024479</v>
      </c>
      <c r="BE417" s="15" t="n">
        <f aca="false">0</f>
        <v>0</v>
      </c>
      <c r="BF417" s="15" t="n">
        <f aca="false">0</f>
        <v>0</v>
      </c>
      <c r="BG417" s="15" t="n">
        <f aca="false">0</f>
        <v>0</v>
      </c>
      <c r="BH417" s="15" t="n">
        <f aca="false">BD417+BE417-BF417-AY417</f>
        <v>330101.720024479</v>
      </c>
      <c r="BI417" s="15" t="n">
        <f aca="false">MAX(0,Parametri_v3!$C$31-BH417)</f>
        <v>0</v>
      </c>
      <c r="BJ417" s="15" t="n">
        <f aca="false">(BJ416)+K417</f>
        <v>24333.3333333333</v>
      </c>
      <c r="BK417" s="15" t="n">
        <f aca="false">(BK416)+L417</f>
        <v>13854.1666666667</v>
      </c>
      <c r="BL417" s="15" t="n">
        <f aca="false">BJ417-BK417</f>
        <v>10479.1666666667</v>
      </c>
      <c r="BM417" s="15" t="n">
        <f aca="false">(BM416)+Y417</f>
        <v>563052.056850412</v>
      </c>
      <c r="BN417" s="15" t="n">
        <f aca="false">(BN416)+AW417+AX417+AZ417</f>
        <v>20000</v>
      </c>
      <c r="BO417" s="15" t="n">
        <f aca="false">(BO416)+AY417</f>
        <v>60315.9059027778</v>
      </c>
      <c r="BP417" s="15" t="n">
        <f aca="false">MIN(Parametri_v3!$C$36*Parametri_v3!$C$35,(BP416)+IF(5=1,MAX(0,SUM(Y401:Y412))*Parametri_v3!$C$34,0))</f>
        <v>2000</v>
      </c>
      <c r="BQ417" s="15" t="n">
        <f aca="false">BN417+BM417-BO417</f>
        <v>522736.150947634</v>
      </c>
      <c r="BR417" s="15" t="n">
        <f aca="false">BH417+AD417+BL417+MAX(0,-AM417)+MAX(0,-AR417)</f>
        <v>764988.386691146</v>
      </c>
      <c r="BS417" s="15" t="n">
        <f aca="false">AJ417+AV417+MAX(0,AM417)+MAX(0,AR417)+BC417+BG417+BQ417+AG417</f>
        <v>764988.386691146</v>
      </c>
      <c r="BT417" s="15" t="n">
        <f aca="false">BR417-BS417</f>
        <v>0</v>
      </c>
      <c r="BU417" s="15" t="n">
        <f aca="false">BH417-(BD417+BE417-BF417-AY417)</f>
        <v>0</v>
      </c>
      <c r="BV417" s="15" t="n">
        <f aca="false">IF(BH416&lt;Parametri_v3!$C$31,0,BV416+1)</f>
        <v>24</v>
      </c>
    </row>
    <row r="418" customFormat="false" ht="18" hidden="false" customHeight="true" outlineLevel="0" collapsed="false">
      <c r="A418" s="68" t="n">
        <f aca="false">7</f>
        <v>7</v>
      </c>
      <c r="B418" s="68" t="n">
        <f aca="false">54</f>
        <v>54</v>
      </c>
      <c r="C418" s="18" t="n">
        <f aca="false">Motore_Operativo!C418</f>
        <v>48000</v>
      </c>
      <c r="D418" s="68" t="n">
        <f aca="false">Motore_Operativo!D418</f>
        <v>2031</v>
      </c>
      <c r="E418" s="68" t="n">
        <f aca="false">Motore_Operativo!E418</f>
        <v>6</v>
      </c>
      <c r="F418" s="15" t="n">
        <f aca="false">Motore_Operativo!AM418</f>
        <v>115958.333333333</v>
      </c>
      <c r="G418" s="15" t="n">
        <f aca="false">Motore_Operativo!BH418</f>
        <v>11595.8333333333</v>
      </c>
      <c r="H418" s="15" t="n">
        <f aca="false">Motore_Operativo!AM418</f>
        <v>115958.333333333</v>
      </c>
      <c r="I418" s="15" t="n">
        <f aca="false">Motore_Operativo!CB418</f>
        <v>79625.4722608333</v>
      </c>
      <c r="J418" s="15" t="n">
        <f aca="false">Motore_Operativo!CD418</f>
        <v>36332.8610725</v>
      </c>
      <c r="K418" s="15" t="n">
        <f aca="false">Motore_Operativo!CF418</f>
        <v>666.666666666667</v>
      </c>
      <c r="L418" s="15" t="n">
        <f aca="false">SUM(INDEX($K$365:$K$424,MAX(1,54-Parametri_v3!$C$59+1)):K418)/Parametri_v3!$C$59</f>
        <v>541.666666666667</v>
      </c>
      <c r="M418" s="15" t="n">
        <f aca="false">J418-L418</f>
        <v>35791.1944058333</v>
      </c>
      <c r="N418" s="15" t="n">
        <f aca="false">0</f>
        <v>0</v>
      </c>
      <c r="O418" s="15" t="n">
        <f aca="false">0</f>
        <v>0</v>
      </c>
      <c r="P418" s="15" t="n">
        <f aca="false">M418+N418-O418</f>
        <v>35791.1944058333</v>
      </c>
      <c r="Q418" s="15" t="n">
        <f aca="false">SUM(P413:P418)+Parametri_v3!$C$56*6/12</f>
        <v>214851.333101667</v>
      </c>
      <c r="R418" s="15" t="n">
        <f aca="false">Z412</f>
        <v>0</v>
      </c>
      <c r="S418" s="15" t="n">
        <f aca="false">AA412</f>
        <v>0</v>
      </c>
      <c r="T418" s="15" t="n">
        <f aca="false">MIN(R418,MAX(0,Q418))</f>
        <v>0</v>
      </c>
      <c r="U418" s="15" t="n">
        <f aca="false">MIN(S418,MAX(0,Q418-T418)*Parametri_v3!$C$42)</f>
        <v>0</v>
      </c>
      <c r="V418" s="15" t="n">
        <f aca="false">MAX(0,Q418-T418-U418)*Ipotesi!$C$92</f>
        <v>51564.3199444</v>
      </c>
      <c r="W418" s="15" t="n">
        <f aca="false">MAX(0,SUM(M413:M418)+Parametri_v3!$C$57*6/12)*Ipotesi!$C$93</f>
        <v>8379.201990965</v>
      </c>
      <c r="X418" s="15" t="n">
        <f aca="false">V418+W418-(V417+W417)</f>
        <v>9985.74323922749</v>
      </c>
      <c r="Y418" s="15" t="n">
        <f aca="false">P418-X418</f>
        <v>25805.4511666058</v>
      </c>
      <c r="Z418" s="15" t="n">
        <f aca="false">R418-T418+IF(AND(Parametri_v3!$C$40=1,D418-YEAR(Parametri_v3!$C$50)&lt;Parametri_v3!$C$41),MAX(0,-Q418),0)</f>
        <v>0</v>
      </c>
      <c r="AA418" s="15" t="n">
        <f aca="false">S418-U418+IF(AND(Parametri_v3!$C$40=1,D418-YEAR(Parametri_v3!$C$50)&lt;Parametri_v3!$C$41),0,MAX(0,-Q418))</f>
        <v>0</v>
      </c>
      <c r="AB418" s="15" t="n">
        <f aca="false">F418*(1+Parametri_v3!$C$26)</f>
        <v>141469.166666667</v>
      </c>
      <c r="AC418" s="15" t="n">
        <f aca="false">(IF(54-(INT((Motore_Operativo!L418)/30))&lt;1,0,INDEX(Motore_Advisory!$AB$365:$AB$424,MAX(1,54-(INT((Motore_Operativo!L418)/30)))))*(1-(MOD((Motore_Operativo!L418),30)/30))+IF(54-(INT((Motore_Operativo!L418)/30))-1&lt;1,0,INDEX(Motore_Advisory!$AB$365:$AB$424,MAX(1,54-(INT((Motore_Operativo!L418)/30))-1)))*(MOD((Motore_Operativo!L418),30)/30))</f>
        <v>141469.166666667</v>
      </c>
      <c r="AD418" s="15" t="n">
        <f aca="false">(AD417)+AB418-AC418</f>
        <v>424407.5</v>
      </c>
      <c r="AE418" s="15" t="n">
        <f aca="false">Motore_Operativo!BH418*(1+Parametri_v3!$C$26)</f>
        <v>14146.9166666667</v>
      </c>
      <c r="AF418" s="15" t="n">
        <f aca="false">(IF(54-(INT((Parametri_v3!$C$29)/30))&lt;1,0,INDEX(Motore_Operativo!$BH$365:$BH$424,MAX(1,54-(INT((Parametri_v3!$C$29)/30)))))*(1-(MOD((Parametri_v3!$C$29),30)/30))+IF(54-(INT((Parametri_v3!$C$29)/30))-1&lt;1,0,INDEX(Motore_Operativo!$BH$365:$BH$424,MAX(1,54-(INT((Parametri_v3!$C$29)/30))-1)))*(MOD((Parametri_v3!$C$29),30)/30))*(1+Parametri_v3!$C$26)</f>
        <v>14146.9166666667</v>
      </c>
      <c r="AG418" s="15" t="n">
        <f aca="false">(AG417)+AE418-AF418</f>
        <v>14146.9166666667</v>
      </c>
      <c r="AH418" s="15" t="n">
        <f aca="false">(Motore_Operativo!CK418)*(1+Parametri_v3!$C$28*Parametri_v3!$C$26)</f>
        <v>27831.02</v>
      </c>
      <c r="AI418" s="15" t="n">
        <f aca="false">(IF(54-(INT((Ipotesi!$C$91)/30))&lt;1,0,INDEX(Motore_Advisory!$AH$365:$AH$424,MAX(1,54-(INT((Ipotesi!$C$91)/30)))))*(1-(MOD((Ipotesi!$C$91),30)/30))+IF(54-(INT((Ipotesi!$C$91)/30))-1&lt;1,0,INDEX(Motore_Advisory!$AH$365:$AH$424,MAX(1,54-(INT((Ipotesi!$C$91)/30))-1)))*(MOD((Ipotesi!$C$91),30)/30))</f>
        <v>27831.02</v>
      </c>
      <c r="AJ418" s="15" t="n">
        <f aca="false">(AJ417)+AH418-AI418</f>
        <v>55662.04</v>
      </c>
      <c r="AK418" s="15" t="n">
        <f aca="false">(F418- Motore_Operativo!BH418-(Motore_Operativo!CK418)*Parametri_v3!$C$28-Motore_Operativo!CF418)*Parametri_v3!$C$26</f>
        <v>18647.8966666667</v>
      </c>
      <c r="AL418" s="15" t="n">
        <f aca="false">MAX(0,(AM417))</f>
        <v>18647.8966666667</v>
      </c>
      <c r="AM418" s="15" t="n">
        <f aca="false">(AM417)+AK418-AL418</f>
        <v>18647.8966666667</v>
      </c>
      <c r="AN418" s="15" t="n">
        <f aca="false">SUM(X401:X412)</f>
        <v>91149.8045405</v>
      </c>
      <c r="AO418" s="15" t="n">
        <f aca="false">SUM(AP401:AP412)</f>
        <v>46679.99375</v>
      </c>
      <c r="AP418" s="15" t="n">
        <f aca="false">MAX(0,AN418)*IF(6=Parametri_v3!$C$43,Parametri_v3!$C$45,IF(6=Parametri_v3!$C$44,1-Parametri_v3!$C$45,0))</f>
        <v>36459.9218162</v>
      </c>
      <c r="AQ418" s="15" t="n">
        <f aca="false">MAX(0,AP418+IF(6=Parametri_v3!$C$43,MAX(0,AN418-AO418),0)-MAX(0,-(AR417)))</f>
        <v>80929.7326067</v>
      </c>
      <c r="AR418" s="15" t="n">
        <f aca="false">(AR417)+X418-AQ418</f>
        <v>23483.600119165</v>
      </c>
      <c r="AS418" s="15" t="n">
        <f aca="false">Motore_Operativo!AC418-AT418+AU418</f>
        <v>42145.6153144583</v>
      </c>
      <c r="AT418" s="15" t="n">
        <f aca="false">Motore_Operativo!CI418</f>
        <v>2218.19027970833</v>
      </c>
      <c r="AU418" s="15" t="n">
        <f aca="false">MIN(MAX(0,(AV417)+AT418),Parametri_v3!$C$61/12)</f>
        <v>0</v>
      </c>
      <c r="AV418" s="15" t="n">
        <f aca="false">(AV417)+AT418-AU418</f>
        <v>61585.98320325</v>
      </c>
      <c r="AW418" s="15" t="n">
        <f aca="false">IF(AND(Motore_Operativo!C418=Finanziamenti!$D$7,Finanziamenti!$F$7=1),Finanziamenti!$C$7,0)</f>
        <v>0</v>
      </c>
      <c r="AX418" s="15" t="n">
        <f aca="false">0</f>
        <v>0</v>
      </c>
      <c r="AY418" s="15" t="n">
        <f aca="false">IF(6=Parametri_v3!$C$33,IF(BV418&lt;MIN(12,$B418-1),0,MIN(MAX(0,SUM(Y401:Y412))*Ipotesi!$C$94,MAX(0,(BM412)-(BO417)-BP418),MAX(0,BD418-Parametri_v3!$C$31))),0)</f>
        <v>117776.001924194</v>
      </c>
      <c r="AZ418" s="15" t="n">
        <f aca="false">0</f>
        <v>0</v>
      </c>
      <c r="BA418" s="15" t="n">
        <f aca="false">0</f>
        <v>0</v>
      </c>
      <c r="BB418" s="15" t="n">
        <f aca="false">0</f>
        <v>0</v>
      </c>
      <c r="BC418" s="15" t="n">
        <f aca="false">0</f>
        <v>0</v>
      </c>
      <c r="BD418" s="15" t="n">
        <f aca="false">(BH417)+AC418-AF418-AI418-AS418-K418*(1+Parametri_v3!$C$26)-AL418-AQ418-O418+AW418+AX418+AZ418+BA418-BB418</f>
        <v>287056.372103321</v>
      </c>
      <c r="BE418" s="15" t="n">
        <f aca="false">0</f>
        <v>0</v>
      </c>
      <c r="BF418" s="15" t="n">
        <f aca="false">0</f>
        <v>0</v>
      </c>
      <c r="BG418" s="15" t="n">
        <f aca="false">0</f>
        <v>0</v>
      </c>
      <c r="BH418" s="15" t="n">
        <f aca="false">BD418+BE418-BF418-AY418</f>
        <v>169280.370179127</v>
      </c>
      <c r="BI418" s="15" t="n">
        <f aca="false">MAX(0,Parametri_v3!$C$31-BH418)</f>
        <v>0</v>
      </c>
      <c r="BJ418" s="15" t="n">
        <f aca="false">(BJ417)+K418</f>
        <v>25000</v>
      </c>
      <c r="BK418" s="15" t="n">
        <f aca="false">(BK417)+L418</f>
        <v>14395.8333333333</v>
      </c>
      <c r="BL418" s="15" t="n">
        <f aca="false">BJ418-BK418</f>
        <v>10604.1666666667</v>
      </c>
      <c r="BM418" s="15" t="n">
        <f aca="false">(BM417)+Y418</f>
        <v>588857.508017017</v>
      </c>
      <c r="BN418" s="15" t="n">
        <f aca="false">(BN417)+AW418+AX418+AZ418</f>
        <v>20000</v>
      </c>
      <c r="BO418" s="15" t="n">
        <f aca="false">(BO417)+AY418</f>
        <v>178091.907826972</v>
      </c>
      <c r="BP418" s="15" t="n">
        <f aca="false">MIN(Parametri_v3!$C$36*Parametri_v3!$C$35,(BP417)+IF(6=1,MAX(0,SUM(Y401:Y412))*Parametri_v3!$C$34,0))</f>
        <v>2000</v>
      </c>
      <c r="BQ418" s="15" t="n">
        <f aca="false">BN418+BM418-BO418</f>
        <v>430765.600190045</v>
      </c>
      <c r="BR418" s="15" t="n">
        <f aca="false">BH418+AD418+BL418+MAX(0,-AM418)+MAX(0,-AR418)</f>
        <v>604292.036845793</v>
      </c>
      <c r="BS418" s="15" t="n">
        <f aca="false">AJ418+AV418+MAX(0,AM418)+MAX(0,AR418)+BC418+BG418+BQ418+AG418</f>
        <v>604292.036845794</v>
      </c>
      <c r="BT418" s="15" t="n">
        <f aca="false">BR418-BS418</f>
        <v>0</v>
      </c>
      <c r="BU418" s="15" t="n">
        <f aca="false">BH418-(BD418+BE418-BF418-AY418)</f>
        <v>0</v>
      </c>
      <c r="BV418" s="15" t="n">
        <f aca="false">IF(BH417&lt;Parametri_v3!$C$31,0,BV417+1)</f>
        <v>25</v>
      </c>
    </row>
    <row r="419" customFormat="false" ht="18" hidden="false" customHeight="true" outlineLevel="0" collapsed="false">
      <c r="A419" s="68" t="n">
        <f aca="false">7</f>
        <v>7</v>
      </c>
      <c r="B419" s="68" t="n">
        <f aca="false">55</f>
        <v>55</v>
      </c>
      <c r="C419" s="18" t="n">
        <f aca="false">Motore_Operativo!C419</f>
        <v>48030</v>
      </c>
      <c r="D419" s="68" t="n">
        <f aca="false">Motore_Operativo!D419</f>
        <v>2031</v>
      </c>
      <c r="E419" s="68" t="n">
        <f aca="false">Motore_Operativo!E419</f>
        <v>7</v>
      </c>
      <c r="F419" s="15" t="n">
        <f aca="false">Motore_Operativo!AM419</f>
        <v>115958.333333333</v>
      </c>
      <c r="G419" s="15" t="n">
        <f aca="false">Motore_Operativo!BH419</f>
        <v>11595.8333333333</v>
      </c>
      <c r="H419" s="15" t="n">
        <f aca="false">Motore_Operativo!AM419</f>
        <v>115958.333333333</v>
      </c>
      <c r="I419" s="15" t="n">
        <f aca="false">Motore_Operativo!CB419</f>
        <v>79625.4722608333</v>
      </c>
      <c r="J419" s="15" t="n">
        <f aca="false">Motore_Operativo!CD419</f>
        <v>36332.8610725</v>
      </c>
      <c r="K419" s="15" t="n">
        <f aca="false">Motore_Operativo!CF419</f>
        <v>666.666666666667</v>
      </c>
      <c r="L419" s="15" t="n">
        <f aca="false">SUM(INDEX($K$365:$K$424,MAX(1,55-Parametri_v3!$C$59+1)):K419)/Parametri_v3!$C$59</f>
        <v>548.611111111111</v>
      </c>
      <c r="M419" s="15" t="n">
        <f aca="false">J419-L419</f>
        <v>35784.2499613889</v>
      </c>
      <c r="N419" s="15" t="n">
        <f aca="false">0</f>
        <v>0</v>
      </c>
      <c r="O419" s="15" t="n">
        <f aca="false">0</f>
        <v>0</v>
      </c>
      <c r="P419" s="15" t="n">
        <f aca="false">M419+N419-O419</f>
        <v>35784.2499613889</v>
      </c>
      <c r="Q419" s="15" t="n">
        <f aca="false">SUM(P413:P419)+Parametri_v3!$C$56*7/12</f>
        <v>250635.583063056</v>
      </c>
      <c r="R419" s="15" t="n">
        <f aca="false">Z412</f>
        <v>0</v>
      </c>
      <c r="S419" s="15" t="n">
        <f aca="false">AA412</f>
        <v>0</v>
      </c>
      <c r="T419" s="15" t="n">
        <f aca="false">MIN(R419,MAX(0,Q419))</f>
        <v>0</v>
      </c>
      <c r="U419" s="15" t="n">
        <f aca="false">MIN(S419,MAX(0,Q419-T419)*Parametri_v3!$C$42)</f>
        <v>0</v>
      </c>
      <c r="V419" s="15" t="n">
        <f aca="false">MAX(0,Q419-T419-U419)*Ipotesi!$C$92</f>
        <v>60152.5399351333</v>
      </c>
      <c r="W419" s="15" t="n">
        <f aca="false">MAX(0,SUM(M413:M419)+Parametri_v3!$C$57*7/12)*Ipotesi!$C$93</f>
        <v>9774.78773945917</v>
      </c>
      <c r="X419" s="15" t="n">
        <f aca="false">V419+W419-(V418+W418)</f>
        <v>9983.80573922751</v>
      </c>
      <c r="Y419" s="15" t="n">
        <f aca="false">P419-X419</f>
        <v>25800.4442221614</v>
      </c>
      <c r="Z419" s="15" t="n">
        <f aca="false">R419-T419+IF(AND(Parametri_v3!$C$40=1,D419-YEAR(Parametri_v3!$C$50)&lt;Parametri_v3!$C$41),MAX(0,-Q419),0)</f>
        <v>0</v>
      </c>
      <c r="AA419" s="15" t="n">
        <f aca="false">S419-U419+IF(AND(Parametri_v3!$C$40=1,D419-YEAR(Parametri_v3!$C$50)&lt;Parametri_v3!$C$41),0,MAX(0,-Q419))</f>
        <v>0</v>
      </c>
      <c r="AB419" s="15" t="n">
        <f aca="false">F419*(1+Parametri_v3!$C$26)</f>
        <v>141469.166666667</v>
      </c>
      <c r="AC419" s="15" t="n">
        <f aca="false">(IF(55-(INT((Motore_Operativo!L419)/30))&lt;1,0,INDEX(Motore_Advisory!$AB$365:$AB$424,MAX(1,55-(INT((Motore_Operativo!L419)/30)))))*(1-(MOD((Motore_Operativo!L419),30)/30))+IF(55-(INT((Motore_Operativo!L419)/30))-1&lt;1,0,INDEX(Motore_Advisory!$AB$365:$AB$424,MAX(1,55-(INT((Motore_Operativo!L419)/30))-1)))*(MOD((Motore_Operativo!L419),30)/30))</f>
        <v>141469.166666667</v>
      </c>
      <c r="AD419" s="15" t="n">
        <f aca="false">(AD418)+AB419-AC419</f>
        <v>424407.5</v>
      </c>
      <c r="AE419" s="15" t="n">
        <f aca="false">Motore_Operativo!BH419*(1+Parametri_v3!$C$26)</f>
        <v>14146.9166666667</v>
      </c>
      <c r="AF419" s="15" t="n">
        <f aca="false">(IF(55-(INT((Parametri_v3!$C$29)/30))&lt;1,0,INDEX(Motore_Operativo!$BH$365:$BH$424,MAX(1,55-(INT((Parametri_v3!$C$29)/30)))))*(1-(MOD((Parametri_v3!$C$29),30)/30))+IF(55-(INT((Parametri_v3!$C$29)/30))-1&lt;1,0,INDEX(Motore_Operativo!$BH$365:$BH$424,MAX(1,55-(INT((Parametri_v3!$C$29)/30))-1)))*(MOD((Parametri_v3!$C$29),30)/30))*(1+Parametri_v3!$C$26)</f>
        <v>14146.9166666667</v>
      </c>
      <c r="AG419" s="15" t="n">
        <f aca="false">(AG418)+AE419-AF419</f>
        <v>14146.9166666667</v>
      </c>
      <c r="AH419" s="15" t="n">
        <f aca="false">(Motore_Operativo!CK419)*(1+Parametri_v3!$C$28*Parametri_v3!$C$26)</f>
        <v>27831.02</v>
      </c>
      <c r="AI419" s="15" t="n">
        <f aca="false">(IF(55-(INT((Ipotesi!$C$91)/30))&lt;1,0,INDEX(Motore_Advisory!$AH$365:$AH$424,MAX(1,55-(INT((Ipotesi!$C$91)/30)))))*(1-(MOD((Ipotesi!$C$91),30)/30))+IF(55-(INT((Ipotesi!$C$91)/30))-1&lt;1,0,INDEX(Motore_Advisory!$AH$365:$AH$424,MAX(1,55-(INT((Ipotesi!$C$91)/30))-1)))*(MOD((Ipotesi!$C$91),30)/30))</f>
        <v>27831.02</v>
      </c>
      <c r="AJ419" s="15" t="n">
        <f aca="false">(AJ418)+AH419-AI419</f>
        <v>55662.04</v>
      </c>
      <c r="AK419" s="15" t="n">
        <f aca="false">(F419- Motore_Operativo!BH419-(Motore_Operativo!CK419)*Parametri_v3!$C$28-Motore_Operativo!CF419)*Parametri_v3!$C$26</f>
        <v>18647.8966666667</v>
      </c>
      <c r="AL419" s="15" t="n">
        <f aca="false">MAX(0,(AM418))</f>
        <v>18647.8966666667</v>
      </c>
      <c r="AM419" s="15" t="n">
        <f aca="false">(AM418)+AK419-AL419</f>
        <v>18647.8966666667</v>
      </c>
      <c r="AN419" s="15" t="n">
        <f aca="false">SUM(X401:X412)</f>
        <v>91149.8045405</v>
      </c>
      <c r="AO419" s="15" t="n">
        <f aca="false">SUM(AP401:AP412)</f>
        <v>46679.99375</v>
      </c>
      <c r="AP419" s="15" t="n">
        <f aca="false">MAX(0,AN419)*IF(7=Parametri_v3!$C$43,Parametri_v3!$C$45,IF(7=Parametri_v3!$C$44,1-Parametri_v3!$C$45,0))</f>
        <v>0</v>
      </c>
      <c r="AQ419" s="15" t="n">
        <f aca="false">MAX(0,AP419+IF(7=Parametri_v3!$C$43,MAX(0,AN419-AO419),0)-MAX(0,-(AR418)))</f>
        <v>0</v>
      </c>
      <c r="AR419" s="15" t="n">
        <f aca="false">(AR418)+X419-AQ419</f>
        <v>33467.4058583925</v>
      </c>
      <c r="AS419" s="15" t="n">
        <f aca="false">Motore_Operativo!AC419-AT419+AU419</f>
        <v>42145.6153144583</v>
      </c>
      <c r="AT419" s="15" t="n">
        <f aca="false">Motore_Operativo!CI419</f>
        <v>2218.19027970833</v>
      </c>
      <c r="AU419" s="15" t="n">
        <f aca="false">MIN(MAX(0,(AV418)+AT419),Parametri_v3!$C$61/12)</f>
        <v>0</v>
      </c>
      <c r="AV419" s="15" t="n">
        <f aca="false">(AV418)+AT419-AU419</f>
        <v>63804.1734829583</v>
      </c>
      <c r="AW419" s="15" t="n">
        <f aca="false">IF(AND(Motore_Operativo!C419=Finanziamenti!$D$7,Finanziamenti!$F$7=1),Finanziamenti!$C$7,0)</f>
        <v>0</v>
      </c>
      <c r="AX419" s="15" t="n">
        <f aca="false">0</f>
        <v>0</v>
      </c>
      <c r="AY419" s="15" t="n">
        <f aca="false">IF(7=Parametri_v3!$C$33,IF(BV419&lt;MIN(12,$B419-1),0,MIN(MAX(0,SUM(Y401:Y412))*Ipotesi!$C$94,MAX(0,(BM412)-(BO418)-BP419),MAX(0,BD419-Parametri_v3!$C$31))),0)</f>
        <v>0</v>
      </c>
      <c r="AZ419" s="15" t="n">
        <f aca="false">0</f>
        <v>0</v>
      </c>
      <c r="BA419" s="15" t="n">
        <f aca="false">0</f>
        <v>0</v>
      </c>
      <c r="BB419" s="15" t="n">
        <f aca="false">0</f>
        <v>0</v>
      </c>
      <c r="BC419" s="15" t="n">
        <f aca="false">0</f>
        <v>0</v>
      </c>
      <c r="BD419" s="15" t="n">
        <f aca="false">(BH418)+AC419-AF419-AI419-AS419-K419*(1+Parametri_v3!$C$26)-AL419-AQ419-O419+AW419+AX419+AZ419+BA419-BB419</f>
        <v>207164.754864668</v>
      </c>
      <c r="BE419" s="15" t="n">
        <f aca="false">0</f>
        <v>0</v>
      </c>
      <c r="BF419" s="15" t="n">
        <f aca="false">0</f>
        <v>0</v>
      </c>
      <c r="BG419" s="15" t="n">
        <f aca="false">0</f>
        <v>0</v>
      </c>
      <c r="BH419" s="15" t="n">
        <f aca="false">BD419+BE419-BF419-AY419</f>
        <v>207164.754864668</v>
      </c>
      <c r="BI419" s="15" t="n">
        <f aca="false">MAX(0,Parametri_v3!$C$31-BH419)</f>
        <v>0</v>
      </c>
      <c r="BJ419" s="15" t="n">
        <f aca="false">(BJ418)+K419</f>
        <v>25666.6666666667</v>
      </c>
      <c r="BK419" s="15" t="n">
        <f aca="false">(BK418)+L419</f>
        <v>14944.4444444444</v>
      </c>
      <c r="BL419" s="15" t="n">
        <f aca="false">BJ419-BK419</f>
        <v>10722.2222222222</v>
      </c>
      <c r="BM419" s="15" t="n">
        <f aca="false">(BM418)+Y419</f>
        <v>614657.952239179</v>
      </c>
      <c r="BN419" s="15" t="n">
        <f aca="false">(BN418)+AW419+AX419+AZ419</f>
        <v>20000</v>
      </c>
      <c r="BO419" s="15" t="n">
        <f aca="false">(BO418)+AY419</f>
        <v>178091.907826972</v>
      </c>
      <c r="BP419" s="15" t="n">
        <f aca="false">MIN(Parametri_v3!$C$36*Parametri_v3!$C$35,(BP418)+IF(7=1,MAX(0,SUM(Y401:Y412))*Parametri_v3!$C$34,0))</f>
        <v>2000</v>
      </c>
      <c r="BQ419" s="15" t="n">
        <f aca="false">BN419+BM419-BO419</f>
        <v>456566.044412207</v>
      </c>
      <c r="BR419" s="15" t="n">
        <f aca="false">BH419+AD419+BL419+MAX(0,-AM419)+MAX(0,-AR419)</f>
        <v>642294.477086891</v>
      </c>
      <c r="BS419" s="15" t="n">
        <f aca="false">AJ419+AV419+MAX(0,AM419)+MAX(0,AR419)+BC419+BG419+BQ419+AG419</f>
        <v>642294.477086891</v>
      </c>
      <c r="BT419" s="15" t="n">
        <f aca="false">BR419-BS419</f>
        <v>0</v>
      </c>
      <c r="BU419" s="15" t="n">
        <f aca="false">BH419-(BD419+BE419-BF419-AY419)</f>
        <v>0</v>
      </c>
      <c r="BV419" s="15" t="n">
        <f aca="false">IF(BH418&lt;Parametri_v3!$C$31,0,BV418+1)</f>
        <v>26</v>
      </c>
    </row>
    <row r="420" customFormat="false" ht="18" hidden="false" customHeight="true" outlineLevel="0" collapsed="false">
      <c r="A420" s="68" t="n">
        <f aca="false">7</f>
        <v>7</v>
      </c>
      <c r="B420" s="68" t="n">
        <f aca="false">56</f>
        <v>56</v>
      </c>
      <c r="C420" s="18" t="n">
        <f aca="false">Motore_Operativo!C420</f>
        <v>48061</v>
      </c>
      <c r="D420" s="68" t="n">
        <f aca="false">Motore_Operativo!D420</f>
        <v>2031</v>
      </c>
      <c r="E420" s="68" t="n">
        <f aca="false">Motore_Operativo!E420</f>
        <v>8</v>
      </c>
      <c r="F420" s="15" t="n">
        <f aca="false">Motore_Operativo!AM420</f>
        <v>115958.333333333</v>
      </c>
      <c r="G420" s="15" t="n">
        <f aca="false">Motore_Operativo!BH420</f>
        <v>11595.8333333333</v>
      </c>
      <c r="H420" s="15" t="n">
        <f aca="false">Motore_Operativo!AM420</f>
        <v>115958.333333333</v>
      </c>
      <c r="I420" s="15" t="n">
        <f aca="false">Motore_Operativo!CB420</f>
        <v>79625.4722608333</v>
      </c>
      <c r="J420" s="15" t="n">
        <f aca="false">Motore_Operativo!CD420</f>
        <v>36332.8610725</v>
      </c>
      <c r="K420" s="15" t="n">
        <f aca="false">Motore_Operativo!CF420</f>
        <v>666.666666666667</v>
      </c>
      <c r="L420" s="15" t="n">
        <f aca="false">SUM(INDEX($K$365:$K$424,MAX(1,56-Parametri_v3!$C$59+1)):K420)/Parametri_v3!$C$59</f>
        <v>555.555555555556</v>
      </c>
      <c r="M420" s="15" t="n">
        <f aca="false">J420-L420</f>
        <v>35777.3055169445</v>
      </c>
      <c r="N420" s="15" t="n">
        <f aca="false">0</f>
        <v>0</v>
      </c>
      <c r="O420" s="15" t="n">
        <f aca="false">0</f>
        <v>0</v>
      </c>
      <c r="P420" s="15" t="n">
        <f aca="false">M420+N420-O420</f>
        <v>35777.3055169445</v>
      </c>
      <c r="Q420" s="15" t="n">
        <f aca="false">SUM(P413:P420)+Parametri_v3!$C$56*8/12</f>
        <v>286412.88858</v>
      </c>
      <c r="R420" s="15" t="n">
        <f aca="false">Z412</f>
        <v>0</v>
      </c>
      <c r="S420" s="15" t="n">
        <f aca="false">AA412</f>
        <v>0</v>
      </c>
      <c r="T420" s="15" t="n">
        <f aca="false">MIN(R420,MAX(0,Q420))</f>
        <v>0</v>
      </c>
      <c r="U420" s="15" t="n">
        <f aca="false">MIN(S420,MAX(0,Q420-T420)*Parametri_v3!$C$42)</f>
        <v>0</v>
      </c>
      <c r="V420" s="15" t="n">
        <f aca="false">MAX(0,Q420-T420-U420)*Ipotesi!$C$92</f>
        <v>68739.0932592</v>
      </c>
      <c r="W420" s="15" t="n">
        <f aca="false">MAX(0,SUM(M413:M420)+Parametri_v3!$C$57*8/12)*Ipotesi!$C$93</f>
        <v>11170.10265462</v>
      </c>
      <c r="X420" s="15" t="n">
        <f aca="false">V420+W420-(V419+W419)</f>
        <v>9981.86823922749</v>
      </c>
      <c r="Y420" s="15" t="n">
        <f aca="false">P420-X420</f>
        <v>25795.437277717</v>
      </c>
      <c r="Z420" s="15" t="n">
        <f aca="false">R420-T420+IF(AND(Parametri_v3!$C$40=1,D420-YEAR(Parametri_v3!$C$50)&lt;Parametri_v3!$C$41),MAX(0,-Q420),0)</f>
        <v>0</v>
      </c>
      <c r="AA420" s="15" t="n">
        <f aca="false">S420-U420+IF(AND(Parametri_v3!$C$40=1,D420-YEAR(Parametri_v3!$C$50)&lt;Parametri_v3!$C$41),0,MAX(0,-Q420))</f>
        <v>0</v>
      </c>
      <c r="AB420" s="15" t="n">
        <f aca="false">F420*(1+Parametri_v3!$C$26)</f>
        <v>141469.166666667</v>
      </c>
      <c r="AC420" s="15" t="n">
        <f aca="false">(IF(56-(INT((Motore_Operativo!L420)/30))&lt;1,0,INDEX(Motore_Advisory!$AB$365:$AB$424,MAX(1,56-(INT((Motore_Operativo!L420)/30)))))*(1-(MOD((Motore_Operativo!L420),30)/30))+IF(56-(INT((Motore_Operativo!L420)/30))-1&lt;1,0,INDEX(Motore_Advisory!$AB$365:$AB$424,MAX(1,56-(INT((Motore_Operativo!L420)/30))-1)))*(MOD((Motore_Operativo!L420),30)/30))</f>
        <v>141469.166666667</v>
      </c>
      <c r="AD420" s="15" t="n">
        <f aca="false">(AD419)+AB420-AC420</f>
        <v>424407.5</v>
      </c>
      <c r="AE420" s="15" t="n">
        <f aca="false">Motore_Operativo!BH420*(1+Parametri_v3!$C$26)</f>
        <v>14146.9166666667</v>
      </c>
      <c r="AF420" s="15" t="n">
        <f aca="false">(IF(56-(INT((Parametri_v3!$C$29)/30))&lt;1,0,INDEX(Motore_Operativo!$BH$365:$BH$424,MAX(1,56-(INT((Parametri_v3!$C$29)/30)))))*(1-(MOD((Parametri_v3!$C$29),30)/30))+IF(56-(INT((Parametri_v3!$C$29)/30))-1&lt;1,0,INDEX(Motore_Operativo!$BH$365:$BH$424,MAX(1,56-(INT((Parametri_v3!$C$29)/30))-1)))*(MOD((Parametri_v3!$C$29),30)/30))*(1+Parametri_v3!$C$26)</f>
        <v>14146.9166666667</v>
      </c>
      <c r="AG420" s="15" t="n">
        <f aca="false">(AG419)+AE420-AF420</f>
        <v>14146.9166666667</v>
      </c>
      <c r="AH420" s="15" t="n">
        <f aca="false">(Motore_Operativo!CK420)*(1+Parametri_v3!$C$28*Parametri_v3!$C$26)</f>
        <v>27831.02</v>
      </c>
      <c r="AI420" s="15" t="n">
        <f aca="false">(IF(56-(INT((Ipotesi!$C$91)/30))&lt;1,0,INDEX(Motore_Advisory!$AH$365:$AH$424,MAX(1,56-(INT((Ipotesi!$C$91)/30)))))*(1-(MOD((Ipotesi!$C$91),30)/30))+IF(56-(INT((Ipotesi!$C$91)/30))-1&lt;1,0,INDEX(Motore_Advisory!$AH$365:$AH$424,MAX(1,56-(INT((Ipotesi!$C$91)/30))-1)))*(MOD((Ipotesi!$C$91),30)/30))</f>
        <v>27831.02</v>
      </c>
      <c r="AJ420" s="15" t="n">
        <f aca="false">(AJ419)+AH420-AI420</f>
        <v>55662.04</v>
      </c>
      <c r="AK420" s="15" t="n">
        <f aca="false">(F420- Motore_Operativo!BH420-(Motore_Operativo!CK420)*Parametri_v3!$C$28-Motore_Operativo!CF420)*Parametri_v3!$C$26</f>
        <v>18647.8966666667</v>
      </c>
      <c r="AL420" s="15" t="n">
        <f aca="false">MAX(0,(AM419))</f>
        <v>18647.8966666667</v>
      </c>
      <c r="AM420" s="15" t="n">
        <f aca="false">(AM419)+AK420-AL420</f>
        <v>18647.8966666667</v>
      </c>
      <c r="AN420" s="15" t="n">
        <f aca="false">SUM(X401:X412)</f>
        <v>91149.8045405</v>
      </c>
      <c r="AO420" s="15" t="n">
        <f aca="false">SUM(AP401:AP412)</f>
        <v>46679.99375</v>
      </c>
      <c r="AP420" s="15" t="n">
        <f aca="false">MAX(0,AN420)*IF(8=Parametri_v3!$C$43,Parametri_v3!$C$45,IF(8=Parametri_v3!$C$44,1-Parametri_v3!$C$45,0))</f>
        <v>0</v>
      </c>
      <c r="AQ420" s="15" t="n">
        <f aca="false">MAX(0,AP420+IF(8=Parametri_v3!$C$43,MAX(0,AN420-AO420),0)-MAX(0,-(AR419)))</f>
        <v>0</v>
      </c>
      <c r="AR420" s="15" t="n">
        <f aca="false">(AR419)+X420-AQ420</f>
        <v>43449.27409762</v>
      </c>
      <c r="AS420" s="15" t="n">
        <f aca="false">Motore_Operativo!AC420-AT420+AU420</f>
        <v>42145.6153144583</v>
      </c>
      <c r="AT420" s="15" t="n">
        <f aca="false">Motore_Operativo!CI420</f>
        <v>2218.19027970833</v>
      </c>
      <c r="AU420" s="15" t="n">
        <f aca="false">MIN(MAX(0,(AV419)+AT420),Parametri_v3!$C$61/12)</f>
        <v>0</v>
      </c>
      <c r="AV420" s="15" t="n">
        <f aca="false">(AV419)+AT420-AU420</f>
        <v>66022.3637626667</v>
      </c>
      <c r="AW420" s="15" t="n">
        <f aca="false">IF(AND(Motore_Operativo!C420=Finanziamenti!$D$7,Finanziamenti!$F$7=1),Finanziamenti!$C$7,0)</f>
        <v>0</v>
      </c>
      <c r="AX420" s="15" t="n">
        <f aca="false">0</f>
        <v>0</v>
      </c>
      <c r="AY420" s="15" t="n">
        <f aca="false">IF(8=Parametri_v3!$C$33,IF(BV420&lt;MIN(12,$B420-1),0,MIN(MAX(0,SUM(Y401:Y412))*Ipotesi!$C$94,MAX(0,(BM412)-(BO419)-BP420),MAX(0,BD420-Parametri_v3!$C$31))),0)</f>
        <v>0</v>
      </c>
      <c r="AZ420" s="15" t="n">
        <f aca="false">0</f>
        <v>0</v>
      </c>
      <c r="BA420" s="15" t="n">
        <f aca="false">0</f>
        <v>0</v>
      </c>
      <c r="BB420" s="15" t="n">
        <f aca="false">0</f>
        <v>0</v>
      </c>
      <c r="BC420" s="15" t="n">
        <f aca="false">0</f>
        <v>0</v>
      </c>
      <c r="BD420" s="15" t="n">
        <f aca="false">(BH419)+AC420-AF420-AI420-AS420-K420*(1+Parametri_v3!$C$26)-AL420-AQ420-O420+AW420+AX420+AZ420+BA420-BB420</f>
        <v>245049.13955021</v>
      </c>
      <c r="BE420" s="15" t="n">
        <f aca="false">0</f>
        <v>0</v>
      </c>
      <c r="BF420" s="15" t="n">
        <f aca="false">0</f>
        <v>0</v>
      </c>
      <c r="BG420" s="15" t="n">
        <f aca="false">0</f>
        <v>0</v>
      </c>
      <c r="BH420" s="15" t="n">
        <f aca="false">BD420+BE420-BF420-AY420</f>
        <v>245049.13955021</v>
      </c>
      <c r="BI420" s="15" t="n">
        <f aca="false">MAX(0,Parametri_v3!$C$31-BH420)</f>
        <v>0</v>
      </c>
      <c r="BJ420" s="15" t="n">
        <f aca="false">(BJ419)+K420</f>
        <v>26333.3333333333</v>
      </c>
      <c r="BK420" s="15" t="n">
        <f aca="false">(BK419)+L420</f>
        <v>15500</v>
      </c>
      <c r="BL420" s="15" t="n">
        <f aca="false">BJ420-BK420</f>
        <v>10833.3333333333</v>
      </c>
      <c r="BM420" s="15" t="n">
        <f aca="false">(BM419)+Y420</f>
        <v>640453.389516896</v>
      </c>
      <c r="BN420" s="15" t="n">
        <f aca="false">(BN419)+AW420+AX420+AZ420</f>
        <v>20000</v>
      </c>
      <c r="BO420" s="15" t="n">
        <f aca="false">(BO419)+AY420</f>
        <v>178091.907826972</v>
      </c>
      <c r="BP420" s="15" t="n">
        <f aca="false">MIN(Parametri_v3!$C$36*Parametri_v3!$C$35,(BP419)+IF(8=1,MAX(0,SUM(Y401:Y412))*Parametri_v3!$C$34,0))</f>
        <v>2000</v>
      </c>
      <c r="BQ420" s="15" t="n">
        <f aca="false">BN420+BM420-BO420</f>
        <v>482361.481689924</v>
      </c>
      <c r="BR420" s="15" t="n">
        <f aca="false">BH420+AD420+BL420+MAX(0,-AM420)+MAX(0,-AR420)</f>
        <v>680289.972883544</v>
      </c>
      <c r="BS420" s="15" t="n">
        <f aca="false">AJ420+AV420+MAX(0,AM420)+MAX(0,AR420)+BC420+BG420+BQ420+AG420</f>
        <v>680289.972883544</v>
      </c>
      <c r="BT420" s="15" t="n">
        <f aca="false">BR420-BS420</f>
        <v>0</v>
      </c>
      <c r="BU420" s="15" t="n">
        <f aca="false">BH420-(BD420+BE420-BF420-AY420)</f>
        <v>0</v>
      </c>
      <c r="BV420" s="15" t="n">
        <f aca="false">IF(BH419&lt;Parametri_v3!$C$31,0,BV419+1)</f>
        <v>27</v>
      </c>
    </row>
    <row r="421" customFormat="false" ht="18" hidden="false" customHeight="true" outlineLevel="0" collapsed="false">
      <c r="A421" s="68" t="n">
        <f aca="false">7</f>
        <v>7</v>
      </c>
      <c r="B421" s="68" t="n">
        <f aca="false">57</f>
        <v>57</v>
      </c>
      <c r="C421" s="18" t="n">
        <f aca="false">Motore_Operativo!C421</f>
        <v>48092</v>
      </c>
      <c r="D421" s="68" t="n">
        <f aca="false">Motore_Operativo!D421</f>
        <v>2031</v>
      </c>
      <c r="E421" s="68" t="n">
        <f aca="false">Motore_Operativo!E421</f>
        <v>9</v>
      </c>
      <c r="F421" s="15" t="n">
        <f aca="false">Motore_Operativo!AM421</f>
        <v>115958.333333333</v>
      </c>
      <c r="G421" s="15" t="n">
        <f aca="false">Motore_Operativo!BH421</f>
        <v>11595.8333333333</v>
      </c>
      <c r="H421" s="15" t="n">
        <f aca="false">Motore_Operativo!AM421</f>
        <v>115958.333333333</v>
      </c>
      <c r="I421" s="15" t="n">
        <f aca="false">Motore_Operativo!CB421</f>
        <v>79625.4722608333</v>
      </c>
      <c r="J421" s="15" t="n">
        <f aca="false">Motore_Operativo!CD421</f>
        <v>36332.8610725</v>
      </c>
      <c r="K421" s="15" t="n">
        <f aca="false">Motore_Operativo!CF421</f>
        <v>666.666666666667</v>
      </c>
      <c r="L421" s="15" t="n">
        <f aca="false">SUM(INDEX($K$365:$K$424,MAX(1,57-Parametri_v3!$C$59+1)):K421)/Parametri_v3!$C$59</f>
        <v>562.5</v>
      </c>
      <c r="M421" s="15" t="n">
        <f aca="false">J421-L421</f>
        <v>35770.3610725</v>
      </c>
      <c r="N421" s="15" t="n">
        <f aca="false">0</f>
        <v>0</v>
      </c>
      <c r="O421" s="15" t="n">
        <f aca="false">0</f>
        <v>0</v>
      </c>
      <c r="P421" s="15" t="n">
        <f aca="false">M421+N421-O421</f>
        <v>35770.3610725</v>
      </c>
      <c r="Q421" s="15" t="n">
        <f aca="false">SUM(P413:P421)+Parametri_v3!$C$56*9/12</f>
        <v>322183.2496525</v>
      </c>
      <c r="R421" s="15" t="n">
        <f aca="false">Z412</f>
        <v>0</v>
      </c>
      <c r="S421" s="15" t="n">
        <f aca="false">AA412</f>
        <v>0</v>
      </c>
      <c r="T421" s="15" t="n">
        <f aca="false">MIN(R421,MAX(0,Q421))</f>
        <v>0</v>
      </c>
      <c r="U421" s="15" t="n">
        <f aca="false">MIN(S421,MAX(0,Q421-T421)*Parametri_v3!$C$42)</f>
        <v>0</v>
      </c>
      <c r="V421" s="15" t="n">
        <f aca="false">MAX(0,Q421-T421-U421)*Ipotesi!$C$92</f>
        <v>77323.9799166</v>
      </c>
      <c r="W421" s="15" t="n">
        <f aca="false">MAX(0,SUM(M413:M421)+Parametri_v3!$C$57*9/12)*Ipotesi!$C$93</f>
        <v>12565.1467364475</v>
      </c>
      <c r="X421" s="15" t="n">
        <f aca="false">V421+W421-(V420+W420)</f>
        <v>9979.93073922749</v>
      </c>
      <c r="Y421" s="15" t="n">
        <f aca="false">P421-X421</f>
        <v>25790.4303332725</v>
      </c>
      <c r="Z421" s="15" t="n">
        <f aca="false">R421-T421+IF(AND(Parametri_v3!$C$40=1,D421-YEAR(Parametri_v3!$C$50)&lt;Parametri_v3!$C$41),MAX(0,-Q421),0)</f>
        <v>0</v>
      </c>
      <c r="AA421" s="15" t="n">
        <f aca="false">S421-U421+IF(AND(Parametri_v3!$C$40=1,D421-YEAR(Parametri_v3!$C$50)&lt;Parametri_v3!$C$41),0,MAX(0,-Q421))</f>
        <v>0</v>
      </c>
      <c r="AB421" s="15" t="n">
        <f aca="false">F421*(1+Parametri_v3!$C$26)</f>
        <v>141469.166666667</v>
      </c>
      <c r="AC421" s="15" t="n">
        <f aca="false">(IF(57-(INT((Motore_Operativo!L421)/30))&lt;1,0,INDEX(Motore_Advisory!$AB$365:$AB$424,MAX(1,57-(INT((Motore_Operativo!L421)/30)))))*(1-(MOD((Motore_Operativo!L421),30)/30))+IF(57-(INT((Motore_Operativo!L421)/30))-1&lt;1,0,INDEX(Motore_Advisory!$AB$365:$AB$424,MAX(1,57-(INT((Motore_Operativo!L421)/30))-1)))*(MOD((Motore_Operativo!L421),30)/30))</f>
        <v>141469.166666667</v>
      </c>
      <c r="AD421" s="15" t="n">
        <f aca="false">(AD420)+AB421-AC421</f>
        <v>424407.5</v>
      </c>
      <c r="AE421" s="15" t="n">
        <f aca="false">Motore_Operativo!BH421*(1+Parametri_v3!$C$26)</f>
        <v>14146.9166666667</v>
      </c>
      <c r="AF421" s="15" t="n">
        <f aca="false">(IF(57-(INT((Parametri_v3!$C$29)/30))&lt;1,0,INDEX(Motore_Operativo!$BH$365:$BH$424,MAX(1,57-(INT((Parametri_v3!$C$29)/30)))))*(1-(MOD((Parametri_v3!$C$29),30)/30))+IF(57-(INT((Parametri_v3!$C$29)/30))-1&lt;1,0,INDEX(Motore_Operativo!$BH$365:$BH$424,MAX(1,57-(INT((Parametri_v3!$C$29)/30))-1)))*(MOD((Parametri_v3!$C$29),30)/30))*(1+Parametri_v3!$C$26)</f>
        <v>14146.9166666667</v>
      </c>
      <c r="AG421" s="15" t="n">
        <f aca="false">(AG420)+AE421-AF421</f>
        <v>14146.9166666667</v>
      </c>
      <c r="AH421" s="15" t="n">
        <f aca="false">(Motore_Operativo!CK421)*(1+Parametri_v3!$C$28*Parametri_v3!$C$26)</f>
        <v>27831.02</v>
      </c>
      <c r="AI421" s="15" t="n">
        <f aca="false">(IF(57-(INT((Ipotesi!$C$91)/30))&lt;1,0,INDEX(Motore_Advisory!$AH$365:$AH$424,MAX(1,57-(INT((Ipotesi!$C$91)/30)))))*(1-(MOD((Ipotesi!$C$91),30)/30))+IF(57-(INT((Ipotesi!$C$91)/30))-1&lt;1,0,INDEX(Motore_Advisory!$AH$365:$AH$424,MAX(1,57-(INT((Ipotesi!$C$91)/30))-1)))*(MOD((Ipotesi!$C$91),30)/30))</f>
        <v>27831.02</v>
      </c>
      <c r="AJ421" s="15" t="n">
        <f aca="false">(AJ420)+AH421-AI421</f>
        <v>55662.04</v>
      </c>
      <c r="AK421" s="15" t="n">
        <f aca="false">(F421- Motore_Operativo!BH421-(Motore_Operativo!CK421)*Parametri_v3!$C$28-Motore_Operativo!CF421)*Parametri_v3!$C$26</f>
        <v>18647.8966666667</v>
      </c>
      <c r="AL421" s="15" t="n">
        <f aca="false">MAX(0,(AM420))</f>
        <v>18647.8966666667</v>
      </c>
      <c r="AM421" s="15" t="n">
        <f aca="false">(AM420)+AK421-AL421</f>
        <v>18647.8966666667</v>
      </c>
      <c r="AN421" s="15" t="n">
        <f aca="false">SUM(X401:X412)</f>
        <v>91149.8045405</v>
      </c>
      <c r="AO421" s="15" t="n">
        <f aca="false">SUM(AP401:AP412)</f>
        <v>46679.99375</v>
      </c>
      <c r="AP421" s="15" t="n">
        <f aca="false">MAX(0,AN421)*IF(9=Parametri_v3!$C$43,Parametri_v3!$C$45,IF(9=Parametri_v3!$C$44,1-Parametri_v3!$C$45,0))</f>
        <v>0</v>
      </c>
      <c r="AQ421" s="15" t="n">
        <f aca="false">MAX(0,AP421+IF(9=Parametri_v3!$C$43,MAX(0,AN421-AO421),0)-MAX(0,-(AR420)))</f>
        <v>0</v>
      </c>
      <c r="AR421" s="15" t="n">
        <f aca="false">(AR420)+X421-AQ421</f>
        <v>53429.2048368475</v>
      </c>
      <c r="AS421" s="15" t="n">
        <f aca="false">Motore_Operativo!AC421-AT421+AU421</f>
        <v>42145.6153144583</v>
      </c>
      <c r="AT421" s="15" t="n">
        <f aca="false">Motore_Operativo!CI421</f>
        <v>2218.19027970833</v>
      </c>
      <c r="AU421" s="15" t="n">
        <f aca="false">MIN(MAX(0,(AV420)+AT421),Parametri_v3!$C$61/12)</f>
        <v>0</v>
      </c>
      <c r="AV421" s="15" t="n">
        <f aca="false">(AV420)+AT421-AU421</f>
        <v>68240.554042375</v>
      </c>
      <c r="AW421" s="15" t="n">
        <f aca="false">IF(AND(Motore_Operativo!C421=Finanziamenti!$D$7,Finanziamenti!$F$7=1),Finanziamenti!$C$7,0)</f>
        <v>0</v>
      </c>
      <c r="AX421" s="15" t="n">
        <f aca="false">0</f>
        <v>0</v>
      </c>
      <c r="AY421" s="15" t="n">
        <f aca="false">IF(9=Parametri_v3!$C$33,IF(BV421&lt;MIN(12,$B421-1),0,MIN(MAX(0,SUM(Y401:Y412))*Ipotesi!$C$94,MAX(0,(BM412)-(BO420)-BP421),MAX(0,BD421-Parametri_v3!$C$31))),0)</f>
        <v>0</v>
      </c>
      <c r="AZ421" s="15" t="n">
        <f aca="false">0</f>
        <v>0</v>
      </c>
      <c r="BA421" s="15" t="n">
        <f aca="false">0</f>
        <v>0</v>
      </c>
      <c r="BB421" s="15" t="n">
        <f aca="false">0</f>
        <v>0</v>
      </c>
      <c r="BC421" s="15" t="n">
        <f aca="false">0</f>
        <v>0</v>
      </c>
      <c r="BD421" s="15" t="n">
        <f aca="false">(BH420)+AC421-AF421-AI421-AS421-K421*(1+Parametri_v3!$C$26)-AL421-AQ421-O421+AW421+AX421+AZ421+BA421-BB421</f>
        <v>282933.524235752</v>
      </c>
      <c r="BE421" s="15" t="n">
        <f aca="false">0</f>
        <v>0</v>
      </c>
      <c r="BF421" s="15" t="n">
        <f aca="false">0</f>
        <v>0</v>
      </c>
      <c r="BG421" s="15" t="n">
        <f aca="false">0</f>
        <v>0</v>
      </c>
      <c r="BH421" s="15" t="n">
        <f aca="false">BD421+BE421-BF421-AY421</f>
        <v>282933.524235752</v>
      </c>
      <c r="BI421" s="15" t="n">
        <f aca="false">MAX(0,Parametri_v3!$C$31-BH421)</f>
        <v>0</v>
      </c>
      <c r="BJ421" s="15" t="n">
        <f aca="false">(BJ420)+K421</f>
        <v>27000</v>
      </c>
      <c r="BK421" s="15" t="n">
        <f aca="false">(BK420)+L421</f>
        <v>16062.5</v>
      </c>
      <c r="BL421" s="15" t="n">
        <f aca="false">BJ421-BK421</f>
        <v>10937.5</v>
      </c>
      <c r="BM421" s="15" t="n">
        <f aca="false">(BM420)+Y421</f>
        <v>666243.819850168</v>
      </c>
      <c r="BN421" s="15" t="n">
        <f aca="false">(BN420)+AW421+AX421+AZ421</f>
        <v>20000</v>
      </c>
      <c r="BO421" s="15" t="n">
        <f aca="false">(BO420)+AY421</f>
        <v>178091.907826972</v>
      </c>
      <c r="BP421" s="15" t="n">
        <f aca="false">MIN(Parametri_v3!$C$36*Parametri_v3!$C$35,(BP420)+IF(9=1,MAX(0,SUM(Y401:Y412))*Parametri_v3!$C$34,0))</f>
        <v>2000</v>
      </c>
      <c r="BQ421" s="15" t="n">
        <f aca="false">BN421+BM421-BO421</f>
        <v>508151.912023196</v>
      </c>
      <c r="BR421" s="15" t="n">
        <f aca="false">BH421+AD421+BL421+MAX(0,-AM421)+MAX(0,-AR421)</f>
        <v>718278.524235752</v>
      </c>
      <c r="BS421" s="15" t="n">
        <f aca="false">AJ421+AV421+MAX(0,AM421)+MAX(0,AR421)+BC421+BG421+BQ421+AG421</f>
        <v>718278.524235752</v>
      </c>
      <c r="BT421" s="15" t="n">
        <f aca="false">BR421-BS421</f>
        <v>0</v>
      </c>
      <c r="BU421" s="15" t="n">
        <f aca="false">BH421-(BD421+BE421-BF421-AY421)</f>
        <v>0</v>
      </c>
      <c r="BV421" s="15" t="n">
        <f aca="false">IF(BH420&lt;Parametri_v3!$C$31,0,BV420+1)</f>
        <v>28</v>
      </c>
    </row>
    <row r="422" customFormat="false" ht="18" hidden="false" customHeight="true" outlineLevel="0" collapsed="false">
      <c r="A422" s="68" t="n">
        <f aca="false">7</f>
        <v>7</v>
      </c>
      <c r="B422" s="68" t="n">
        <f aca="false">58</f>
        <v>58</v>
      </c>
      <c r="C422" s="18" t="n">
        <f aca="false">Motore_Operativo!C422</f>
        <v>48122</v>
      </c>
      <c r="D422" s="68" t="n">
        <f aca="false">Motore_Operativo!D422</f>
        <v>2031</v>
      </c>
      <c r="E422" s="68" t="n">
        <f aca="false">Motore_Operativo!E422</f>
        <v>10</v>
      </c>
      <c r="F422" s="15" t="n">
        <f aca="false">Motore_Operativo!AM422</f>
        <v>115958.333333333</v>
      </c>
      <c r="G422" s="15" t="n">
        <f aca="false">Motore_Operativo!BH422</f>
        <v>11595.8333333333</v>
      </c>
      <c r="H422" s="15" t="n">
        <f aca="false">Motore_Operativo!AM422</f>
        <v>115958.333333333</v>
      </c>
      <c r="I422" s="15" t="n">
        <f aca="false">Motore_Operativo!CB422</f>
        <v>79625.4722608333</v>
      </c>
      <c r="J422" s="15" t="n">
        <f aca="false">Motore_Operativo!CD422</f>
        <v>36332.8610725</v>
      </c>
      <c r="K422" s="15" t="n">
        <f aca="false">Motore_Operativo!CF422</f>
        <v>666.666666666667</v>
      </c>
      <c r="L422" s="15" t="n">
        <f aca="false">SUM(INDEX($K$365:$K$424,MAX(1,58-Parametri_v3!$C$59+1)):K422)/Parametri_v3!$C$59</f>
        <v>569.444444444445</v>
      </c>
      <c r="M422" s="15" t="n">
        <f aca="false">J422-L422</f>
        <v>35763.4166280556</v>
      </c>
      <c r="N422" s="15" t="n">
        <f aca="false">0</f>
        <v>0</v>
      </c>
      <c r="O422" s="15" t="n">
        <f aca="false">0</f>
        <v>0</v>
      </c>
      <c r="P422" s="15" t="n">
        <f aca="false">M422+N422-O422</f>
        <v>35763.4166280556</v>
      </c>
      <c r="Q422" s="15" t="n">
        <f aca="false">SUM(P413:P422)+Parametri_v3!$C$56*10/12</f>
        <v>357946.666280556</v>
      </c>
      <c r="R422" s="15" t="n">
        <f aca="false">Z412</f>
        <v>0</v>
      </c>
      <c r="S422" s="15" t="n">
        <f aca="false">AA412</f>
        <v>0</v>
      </c>
      <c r="T422" s="15" t="n">
        <f aca="false">MIN(R422,MAX(0,Q422))</f>
        <v>0</v>
      </c>
      <c r="U422" s="15" t="n">
        <f aca="false">MIN(S422,MAX(0,Q422-T422)*Parametri_v3!$C$42)</f>
        <v>0</v>
      </c>
      <c r="V422" s="15" t="n">
        <f aca="false">MAX(0,Q422-T422-U422)*Ipotesi!$C$92</f>
        <v>85907.1999073333</v>
      </c>
      <c r="W422" s="15" t="n">
        <f aca="false">MAX(0,SUM(M413:M422)+Parametri_v3!$C$57*10/12)*Ipotesi!$C$93</f>
        <v>13959.9199849417</v>
      </c>
      <c r="X422" s="15" t="n">
        <f aca="false">V422+W422-(V421+W421)</f>
        <v>9977.99323922752</v>
      </c>
      <c r="Y422" s="15" t="n">
        <f aca="false">P422-X422</f>
        <v>25785.423388828</v>
      </c>
      <c r="Z422" s="15" t="n">
        <f aca="false">R422-T422+IF(AND(Parametri_v3!$C$40=1,D422-YEAR(Parametri_v3!$C$50)&lt;Parametri_v3!$C$41),MAX(0,-Q422),0)</f>
        <v>0</v>
      </c>
      <c r="AA422" s="15" t="n">
        <f aca="false">S422-U422+IF(AND(Parametri_v3!$C$40=1,D422-YEAR(Parametri_v3!$C$50)&lt;Parametri_v3!$C$41),0,MAX(0,-Q422))</f>
        <v>0</v>
      </c>
      <c r="AB422" s="15" t="n">
        <f aca="false">F422*(1+Parametri_v3!$C$26)</f>
        <v>141469.166666667</v>
      </c>
      <c r="AC422" s="15" t="n">
        <f aca="false">(IF(58-(INT((Motore_Operativo!L422)/30))&lt;1,0,INDEX(Motore_Advisory!$AB$365:$AB$424,MAX(1,58-(INT((Motore_Operativo!L422)/30)))))*(1-(MOD((Motore_Operativo!L422),30)/30))+IF(58-(INT((Motore_Operativo!L422)/30))-1&lt;1,0,INDEX(Motore_Advisory!$AB$365:$AB$424,MAX(1,58-(INT((Motore_Operativo!L422)/30))-1)))*(MOD((Motore_Operativo!L422),30)/30))</f>
        <v>141469.166666667</v>
      </c>
      <c r="AD422" s="15" t="n">
        <f aca="false">(AD421)+AB422-AC422</f>
        <v>424407.5</v>
      </c>
      <c r="AE422" s="15" t="n">
        <f aca="false">Motore_Operativo!BH422*(1+Parametri_v3!$C$26)</f>
        <v>14146.9166666667</v>
      </c>
      <c r="AF422" s="15" t="n">
        <f aca="false">(IF(58-(INT((Parametri_v3!$C$29)/30))&lt;1,0,INDEX(Motore_Operativo!$BH$365:$BH$424,MAX(1,58-(INT((Parametri_v3!$C$29)/30)))))*(1-(MOD((Parametri_v3!$C$29),30)/30))+IF(58-(INT((Parametri_v3!$C$29)/30))-1&lt;1,0,INDEX(Motore_Operativo!$BH$365:$BH$424,MAX(1,58-(INT((Parametri_v3!$C$29)/30))-1)))*(MOD((Parametri_v3!$C$29),30)/30))*(1+Parametri_v3!$C$26)</f>
        <v>14146.9166666667</v>
      </c>
      <c r="AG422" s="15" t="n">
        <f aca="false">(AG421)+AE422-AF422</f>
        <v>14146.9166666667</v>
      </c>
      <c r="AH422" s="15" t="n">
        <f aca="false">(Motore_Operativo!CK422)*(1+Parametri_v3!$C$28*Parametri_v3!$C$26)</f>
        <v>27831.02</v>
      </c>
      <c r="AI422" s="15" t="n">
        <f aca="false">(IF(58-(INT((Ipotesi!$C$91)/30))&lt;1,0,INDEX(Motore_Advisory!$AH$365:$AH$424,MAX(1,58-(INT((Ipotesi!$C$91)/30)))))*(1-(MOD((Ipotesi!$C$91),30)/30))+IF(58-(INT((Ipotesi!$C$91)/30))-1&lt;1,0,INDEX(Motore_Advisory!$AH$365:$AH$424,MAX(1,58-(INT((Ipotesi!$C$91)/30))-1)))*(MOD((Ipotesi!$C$91),30)/30))</f>
        <v>27831.02</v>
      </c>
      <c r="AJ422" s="15" t="n">
        <f aca="false">(AJ421)+AH422-AI422</f>
        <v>55662.04</v>
      </c>
      <c r="AK422" s="15" t="n">
        <f aca="false">(F422- Motore_Operativo!BH422-(Motore_Operativo!CK422)*Parametri_v3!$C$28-Motore_Operativo!CF422)*Parametri_v3!$C$26</f>
        <v>18647.8966666667</v>
      </c>
      <c r="AL422" s="15" t="n">
        <f aca="false">MAX(0,(AM421))</f>
        <v>18647.8966666667</v>
      </c>
      <c r="AM422" s="15" t="n">
        <f aca="false">(AM421)+AK422-AL422</f>
        <v>18647.8966666667</v>
      </c>
      <c r="AN422" s="15" t="n">
        <f aca="false">SUM(X401:X412)</f>
        <v>91149.8045405</v>
      </c>
      <c r="AO422" s="15" t="n">
        <f aca="false">SUM(AP401:AP412)</f>
        <v>46679.99375</v>
      </c>
      <c r="AP422" s="15" t="n">
        <f aca="false">MAX(0,AN422)*IF(10=Parametri_v3!$C$43,Parametri_v3!$C$45,IF(10=Parametri_v3!$C$44,1-Parametri_v3!$C$45,0))</f>
        <v>0</v>
      </c>
      <c r="AQ422" s="15" t="n">
        <f aca="false">MAX(0,AP422+IF(10=Parametri_v3!$C$43,MAX(0,AN422-AO422),0)-MAX(0,-(AR421)))</f>
        <v>0</v>
      </c>
      <c r="AR422" s="15" t="n">
        <f aca="false">(AR421)+X422-AQ422</f>
        <v>63407.198076075</v>
      </c>
      <c r="AS422" s="15" t="n">
        <f aca="false">Motore_Operativo!AC422-AT422+AU422</f>
        <v>42145.6153144583</v>
      </c>
      <c r="AT422" s="15" t="n">
        <f aca="false">Motore_Operativo!CI422</f>
        <v>2218.19027970833</v>
      </c>
      <c r="AU422" s="15" t="n">
        <f aca="false">MIN(MAX(0,(AV421)+AT422),Parametri_v3!$C$61/12)</f>
        <v>0</v>
      </c>
      <c r="AV422" s="15" t="n">
        <f aca="false">(AV421)+AT422-AU422</f>
        <v>70458.7443220833</v>
      </c>
      <c r="AW422" s="15" t="n">
        <f aca="false">IF(AND(Motore_Operativo!C422=Finanziamenti!$D$7,Finanziamenti!$F$7=1),Finanziamenti!$C$7,0)</f>
        <v>0</v>
      </c>
      <c r="AX422" s="15" t="n">
        <f aca="false">0</f>
        <v>0</v>
      </c>
      <c r="AY422" s="15" t="n">
        <f aca="false">IF(10=Parametri_v3!$C$33,IF(BV422&lt;MIN(12,$B422-1),0,MIN(MAX(0,SUM(Y401:Y412))*Ipotesi!$C$94,MAX(0,(BM412)-(BO421)-BP422),MAX(0,BD422-Parametri_v3!$C$31))),0)</f>
        <v>0</v>
      </c>
      <c r="AZ422" s="15" t="n">
        <f aca="false">0</f>
        <v>0</v>
      </c>
      <c r="BA422" s="15" t="n">
        <f aca="false">0</f>
        <v>0</v>
      </c>
      <c r="BB422" s="15" t="n">
        <f aca="false">0</f>
        <v>0</v>
      </c>
      <c r="BC422" s="15" t="n">
        <f aca="false">0</f>
        <v>0</v>
      </c>
      <c r="BD422" s="15" t="n">
        <f aca="false">(BH421)+AC422-AF422-AI422-AS422-K422*(1+Parametri_v3!$C$26)-AL422-AQ422-O422+AW422+AX422+AZ422+BA422-BB422</f>
        <v>320817.908921294</v>
      </c>
      <c r="BE422" s="15" t="n">
        <f aca="false">0</f>
        <v>0</v>
      </c>
      <c r="BF422" s="15" t="n">
        <f aca="false">0</f>
        <v>0</v>
      </c>
      <c r="BG422" s="15" t="n">
        <f aca="false">0</f>
        <v>0</v>
      </c>
      <c r="BH422" s="15" t="n">
        <f aca="false">BD422+BE422-BF422-AY422</f>
        <v>320817.908921294</v>
      </c>
      <c r="BI422" s="15" t="n">
        <f aca="false">MAX(0,Parametri_v3!$C$31-BH422)</f>
        <v>0</v>
      </c>
      <c r="BJ422" s="15" t="n">
        <f aca="false">(BJ421)+K422</f>
        <v>27666.6666666667</v>
      </c>
      <c r="BK422" s="15" t="n">
        <f aca="false">(BK421)+L422</f>
        <v>16631.9444444444</v>
      </c>
      <c r="BL422" s="15" t="n">
        <f aca="false">BJ422-BK422</f>
        <v>11034.7222222222</v>
      </c>
      <c r="BM422" s="15" t="n">
        <f aca="false">(BM421)+Y422</f>
        <v>692029.243238996</v>
      </c>
      <c r="BN422" s="15" t="n">
        <f aca="false">(BN421)+AW422+AX422+AZ422</f>
        <v>20000</v>
      </c>
      <c r="BO422" s="15" t="n">
        <f aca="false">(BO421)+AY422</f>
        <v>178091.907826972</v>
      </c>
      <c r="BP422" s="15" t="n">
        <f aca="false">MIN(Parametri_v3!$C$36*Parametri_v3!$C$35,(BP421)+IF(10=1,MAX(0,SUM(Y401:Y412))*Parametri_v3!$C$34,0))</f>
        <v>2000</v>
      </c>
      <c r="BQ422" s="15" t="n">
        <f aca="false">BN422+BM422-BO422</f>
        <v>533937.335412024</v>
      </c>
      <c r="BR422" s="15" t="n">
        <f aca="false">BH422+AD422+BL422+MAX(0,-AM422)+MAX(0,-AR422)</f>
        <v>756260.131143516</v>
      </c>
      <c r="BS422" s="15" t="n">
        <f aca="false">AJ422+AV422+MAX(0,AM422)+MAX(0,AR422)+BC422+BG422+BQ422+AG422</f>
        <v>756260.131143516</v>
      </c>
      <c r="BT422" s="15" t="n">
        <f aca="false">BR422-BS422</f>
        <v>0</v>
      </c>
      <c r="BU422" s="15" t="n">
        <f aca="false">BH422-(BD422+BE422-BF422-AY422)</f>
        <v>0</v>
      </c>
      <c r="BV422" s="15" t="n">
        <f aca="false">IF(BH421&lt;Parametri_v3!$C$31,0,BV421+1)</f>
        <v>29</v>
      </c>
    </row>
    <row r="423" customFormat="false" ht="18" hidden="false" customHeight="true" outlineLevel="0" collapsed="false">
      <c r="A423" s="68" t="n">
        <f aca="false">7</f>
        <v>7</v>
      </c>
      <c r="B423" s="68" t="n">
        <f aca="false">59</f>
        <v>59</v>
      </c>
      <c r="C423" s="18" t="n">
        <f aca="false">Motore_Operativo!C423</f>
        <v>48153</v>
      </c>
      <c r="D423" s="68" t="n">
        <f aca="false">Motore_Operativo!D423</f>
        <v>2031</v>
      </c>
      <c r="E423" s="68" t="n">
        <f aca="false">Motore_Operativo!E423</f>
        <v>11</v>
      </c>
      <c r="F423" s="15" t="n">
        <f aca="false">Motore_Operativo!AM423</f>
        <v>115958.333333333</v>
      </c>
      <c r="G423" s="15" t="n">
        <f aca="false">Motore_Operativo!BH423</f>
        <v>11595.8333333333</v>
      </c>
      <c r="H423" s="15" t="n">
        <f aca="false">Motore_Operativo!AM423</f>
        <v>115958.333333333</v>
      </c>
      <c r="I423" s="15" t="n">
        <f aca="false">Motore_Operativo!CB423</f>
        <v>79625.4722608333</v>
      </c>
      <c r="J423" s="15" t="n">
        <f aca="false">Motore_Operativo!CD423</f>
        <v>36332.8610725</v>
      </c>
      <c r="K423" s="15" t="n">
        <f aca="false">Motore_Operativo!CF423</f>
        <v>666.666666666667</v>
      </c>
      <c r="L423" s="15" t="n">
        <f aca="false">SUM(INDEX($K$365:$K$424,MAX(1,59-Parametri_v3!$C$59+1)):K423)/Parametri_v3!$C$59</f>
        <v>576.388888888889</v>
      </c>
      <c r="M423" s="15" t="n">
        <f aca="false">J423-L423</f>
        <v>35756.4721836111</v>
      </c>
      <c r="N423" s="15" t="n">
        <f aca="false">0</f>
        <v>0</v>
      </c>
      <c r="O423" s="15" t="n">
        <f aca="false">0</f>
        <v>0</v>
      </c>
      <c r="P423" s="15" t="n">
        <f aca="false">M423+N423-O423</f>
        <v>35756.4721836111</v>
      </c>
      <c r="Q423" s="15" t="n">
        <f aca="false">SUM(P413:P423)+Parametri_v3!$C$56*11/12</f>
        <v>393703.138464167</v>
      </c>
      <c r="R423" s="15" t="n">
        <f aca="false">Z412</f>
        <v>0</v>
      </c>
      <c r="S423" s="15" t="n">
        <f aca="false">AA412</f>
        <v>0</v>
      </c>
      <c r="T423" s="15" t="n">
        <f aca="false">MIN(R423,MAX(0,Q423))</f>
        <v>0</v>
      </c>
      <c r="U423" s="15" t="n">
        <f aca="false">MIN(S423,MAX(0,Q423-T423)*Parametri_v3!$C$42)</f>
        <v>0</v>
      </c>
      <c r="V423" s="15" t="n">
        <f aca="false">MAX(0,Q423-T423-U423)*Ipotesi!$C$92</f>
        <v>94488.7532314</v>
      </c>
      <c r="W423" s="15" t="n">
        <f aca="false">MAX(0,SUM(M413:M423)+Parametri_v3!$C$57*11/12)*Ipotesi!$C$93</f>
        <v>15354.4224001025</v>
      </c>
      <c r="X423" s="15" t="n">
        <f aca="false">V423+W423-(V422+W422)</f>
        <v>9976.05573922749</v>
      </c>
      <c r="Y423" s="15" t="n">
        <f aca="false">P423-X423</f>
        <v>25780.4164443836</v>
      </c>
      <c r="Z423" s="15" t="n">
        <f aca="false">R423-T423+IF(AND(Parametri_v3!$C$40=1,D423-YEAR(Parametri_v3!$C$50)&lt;Parametri_v3!$C$41),MAX(0,-Q423),0)</f>
        <v>0</v>
      </c>
      <c r="AA423" s="15" t="n">
        <f aca="false">S423-U423+IF(AND(Parametri_v3!$C$40=1,D423-YEAR(Parametri_v3!$C$50)&lt;Parametri_v3!$C$41),0,MAX(0,-Q423))</f>
        <v>0</v>
      </c>
      <c r="AB423" s="15" t="n">
        <f aca="false">F423*(1+Parametri_v3!$C$26)</f>
        <v>141469.166666667</v>
      </c>
      <c r="AC423" s="15" t="n">
        <f aca="false">(IF(59-(INT((Motore_Operativo!L423)/30))&lt;1,0,INDEX(Motore_Advisory!$AB$365:$AB$424,MAX(1,59-(INT((Motore_Operativo!L423)/30)))))*(1-(MOD((Motore_Operativo!L423),30)/30))+IF(59-(INT((Motore_Operativo!L423)/30))-1&lt;1,0,INDEX(Motore_Advisory!$AB$365:$AB$424,MAX(1,59-(INT((Motore_Operativo!L423)/30))-1)))*(MOD((Motore_Operativo!L423),30)/30))</f>
        <v>141469.166666667</v>
      </c>
      <c r="AD423" s="15" t="n">
        <f aca="false">(AD422)+AB423-AC423</f>
        <v>424407.5</v>
      </c>
      <c r="AE423" s="15" t="n">
        <f aca="false">Motore_Operativo!BH423*(1+Parametri_v3!$C$26)</f>
        <v>14146.9166666667</v>
      </c>
      <c r="AF423" s="15" t="n">
        <f aca="false">(IF(59-(INT((Parametri_v3!$C$29)/30))&lt;1,0,INDEX(Motore_Operativo!$BH$365:$BH$424,MAX(1,59-(INT((Parametri_v3!$C$29)/30)))))*(1-(MOD((Parametri_v3!$C$29),30)/30))+IF(59-(INT((Parametri_v3!$C$29)/30))-1&lt;1,0,INDEX(Motore_Operativo!$BH$365:$BH$424,MAX(1,59-(INT((Parametri_v3!$C$29)/30))-1)))*(MOD((Parametri_v3!$C$29),30)/30))*(1+Parametri_v3!$C$26)</f>
        <v>14146.9166666667</v>
      </c>
      <c r="AG423" s="15" t="n">
        <f aca="false">(AG422)+AE423-AF423</f>
        <v>14146.9166666667</v>
      </c>
      <c r="AH423" s="15" t="n">
        <f aca="false">(Motore_Operativo!CK423)*(1+Parametri_v3!$C$28*Parametri_v3!$C$26)</f>
        <v>27831.02</v>
      </c>
      <c r="AI423" s="15" t="n">
        <f aca="false">(IF(59-(INT((Ipotesi!$C$91)/30))&lt;1,0,INDEX(Motore_Advisory!$AH$365:$AH$424,MAX(1,59-(INT((Ipotesi!$C$91)/30)))))*(1-(MOD((Ipotesi!$C$91),30)/30))+IF(59-(INT((Ipotesi!$C$91)/30))-1&lt;1,0,INDEX(Motore_Advisory!$AH$365:$AH$424,MAX(1,59-(INT((Ipotesi!$C$91)/30))-1)))*(MOD((Ipotesi!$C$91),30)/30))</f>
        <v>27831.02</v>
      </c>
      <c r="AJ423" s="15" t="n">
        <f aca="false">(AJ422)+AH423-AI423</f>
        <v>55662.04</v>
      </c>
      <c r="AK423" s="15" t="n">
        <f aca="false">(F423- Motore_Operativo!BH423-(Motore_Operativo!CK423)*Parametri_v3!$C$28-Motore_Operativo!CF423)*Parametri_v3!$C$26</f>
        <v>18647.8966666667</v>
      </c>
      <c r="AL423" s="15" t="n">
        <f aca="false">MAX(0,(AM422))</f>
        <v>18647.8966666667</v>
      </c>
      <c r="AM423" s="15" t="n">
        <f aca="false">(AM422)+AK423-AL423</f>
        <v>18647.8966666667</v>
      </c>
      <c r="AN423" s="15" t="n">
        <f aca="false">SUM(X401:X412)</f>
        <v>91149.8045405</v>
      </c>
      <c r="AO423" s="15" t="n">
        <f aca="false">SUM(AP401:AP412)</f>
        <v>46679.99375</v>
      </c>
      <c r="AP423" s="15" t="n">
        <f aca="false">MAX(0,AN423)*IF(11=Parametri_v3!$C$43,Parametri_v3!$C$45,IF(11=Parametri_v3!$C$44,1-Parametri_v3!$C$45,0))</f>
        <v>54689.8827243</v>
      </c>
      <c r="AQ423" s="15" t="n">
        <f aca="false">MAX(0,AP423+IF(11=Parametri_v3!$C$43,MAX(0,AN423-AO423),0)-MAX(0,-(AR422)))</f>
        <v>54689.8827243</v>
      </c>
      <c r="AR423" s="15" t="n">
        <f aca="false">(AR422)+X423-AQ423</f>
        <v>18693.3710910025</v>
      </c>
      <c r="AS423" s="15" t="n">
        <f aca="false">Motore_Operativo!AC423-AT423+AU423</f>
        <v>42145.6153144583</v>
      </c>
      <c r="AT423" s="15" t="n">
        <f aca="false">Motore_Operativo!CI423</f>
        <v>2218.19027970833</v>
      </c>
      <c r="AU423" s="15" t="n">
        <f aca="false">MIN(MAX(0,(AV422)+AT423),Parametri_v3!$C$61/12)</f>
        <v>0</v>
      </c>
      <c r="AV423" s="15" t="n">
        <f aca="false">(AV422)+AT423-AU423</f>
        <v>72676.9346017917</v>
      </c>
      <c r="AW423" s="15" t="n">
        <f aca="false">IF(AND(Motore_Operativo!C423=Finanziamenti!$D$7,Finanziamenti!$F$7=1),Finanziamenti!$C$7,0)</f>
        <v>0</v>
      </c>
      <c r="AX423" s="15" t="n">
        <f aca="false">0</f>
        <v>0</v>
      </c>
      <c r="AY423" s="15" t="n">
        <f aca="false">IF(11=Parametri_v3!$C$33,IF(BV423&lt;MIN(12,$B423-1),0,MIN(MAX(0,SUM(Y401:Y412))*Ipotesi!$C$94,MAX(0,(BM412)-(BO422)-BP423),MAX(0,BD423-Parametri_v3!$C$31))),0)</f>
        <v>0</v>
      </c>
      <c r="AZ423" s="15" t="n">
        <f aca="false">0</f>
        <v>0</v>
      </c>
      <c r="BA423" s="15" t="n">
        <f aca="false">0</f>
        <v>0</v>
      </c>
      <c r="BB423" s="15" t="n">
        <f aca="false">0</f>
        <v>0</v>
      </c>
      <c r="BC423" s="15" t="n">
        <f aca="false">0</f>
        <v>0</v>
      </c>
      <c r="BD423" s="15" t="n">
        <f aca="false">(BH422)+AC423-AF423-AI423-AS423-K423*(1+Parametri_v3!$C$26)-AL423-AQ423-O423+AW423+AX423+AZ423+BA423-BB423</f>
        <v>304012.410882535</v>
      </c>
      <c r="BE423" s="15" t="n">
        <f aca="false">0</f>
        <v>0</v>
      </c>
      <c r="BF423" s="15" t="n">
        <f aca="false">0</f>
        <v>0</v>
      </c>
      <c r="BG423" s="15" t="n">
        <f aca="false">0</f>
        <v>0</v>
      </c>
      <c r="BH423" s="15" t="n">
        <f aca="false">BD423+BE423-BF423-AY423</f>
        <v>304012.410882535</v>
      </c>
      <c r="BI423" s="15" t="n">
        <f aca="false">MAX(0,Parametri_v3!$C$31-BH423)</f>
        <v>0</v>
      </c>
      <c r="BJ423" s="15" t="n">
        <f aca="false">(BJ422)+K423</f>
        <v>28333.3333333333</v>
      </c>
      <c r="BK423" s="15" t="n">
        <f aca="false">(BK422)+L423</f>
        <v>17208.3333333333</v>
      </c>
      <c r="BL423" s="15" t="n">
        <f aca="false">BJ423-BK423</f>
        <v>11125</v>
      </c>
      <c r="BM423" s="15" t="n">
        <f aca="false">(BM422)+Y423</f>
        <v>717809.65968338</v>
      </c>
      <c r="BN423" s="15" t="n">
        <f aca="false">(BN422)+AW423+AX423+AZ423</f>
        <v>20000</v>
      </c>
      <c r="BO423" s="15" t="n">
        <f aca="false">(BO422)+AY423</f>
        <v>178091.907826972</v>
      </c>
      <c r="BP423" s="15" t="n">
        <f aca="false">MIN(Parametri_v3!$C$36*Parametri_v3!$C$35,(BP422)+IF(11=1,MAX(0,SUM(Y401:Y412))*Parametri_v3!$C$34,0))</f>
        <v>2000</v>
      </c>
      <c r="BQ423" s="15" t="n">
        <f aca="false">BN423+BM423-BO423</f>
        <v>559717.751856408</v>
      </c>
      <c r="BR423" s="15" t="n">
        <f aca="false">BH423+AD423+BL423+MAX(0,-AM423)+MAX(0,-AR423)</f>
        <v>739544.910882535</v>
      </c>
      <c r="BS423" s="15" t="n">
        <f aca="false">AJ423+AV423+MAX(0,AM423)+MAX(0,AR423)+BC423+BG423+BQ423+AG423</f>
        <v>739544.910882535</v>
      </c>
      <c r="BT423" s="15" t="n">
        <f aca="false">BR423-BS423</f>
        <v>0</v>
      </c>
      <c r="BU423" s="15" t="n">
        <f aca="false">BH423-(BD423+BE423-BF423-AY423)</f>
        <v>0</v>
      </c>
      <c r="BV423" s="15" t="n">
        <f aca="false">IF(BH422&lt;Parametri_v3!$C$31,0,BV422+1)</f>
        <v>30</v>
      </c>
    </row>
    <row r="424" customFormat="false" ht="18" hidden="false" customHeight="true" outlineLevel="0" collapsed="false">
      <c r="A424" s="68" t="n">
        <f aca="false">7</f>
        <v>7</v>
      </c>
      <c r="B424" s="68" t="n">
        <f aca="false">60</f>
        <v>60</v>
      </c>
      <c r="C424" s="18" t="n">
        <f aca="false">Motore_Operativo!C424</f>
        <v>48183</v>
      </c>
      <c r="D424" s="68" t="n">
        <f aca="false">Motore_Operativo!D424</f>
        <v>2031</v>
      </c>
      <c r="E424" s="68" t="n">
        <f aca="false">Motore_Operativo!E424</f>
        <v>12</v>
      </c>
      <c r="F424" s="15" t="n">
        <f aca="false">Motore_Operativo!AM424</f>
        <v>115958.333333333</v>
      </c>
      <c r="G424" s="15" t="n">
        <f aca="false">Motore_Operativo!BH424</f>
        <v>11595.8333333333</v>
      </c>
      <c r="H424" s="15" t="n">
        <f aca="false">Motore_Operativo!AM424</f>
        <v>115958.333333333</v>
      </c>
      <c r="I424" s="15" t="n">
        <f aca="false">Motore_Operativo!CB424</f>
        <v>79625.4722608333</v>
      </c>
      <c r="J424" s="15" t="n">
        <f aca="false">Motore_Operativo!CD424</f>
        <v>36332.8610725</v>
      </c>
      <c r="K424" s="15" t="n">
        <f aca="false">Motore_Operativo!CF424</f>
        <v>666.666666666667</v>
      </c>
      <c r="L424" s="15" t="n">
        <f aca="false">SUM(INDEX($K$365:$K$424,MAX(1,60-Parametri_v3!$C$59+1)):K424)/Parametri_v3!$C$59</f>
        <v>583.333333333333</v>
      </c>
      <c r="M424" s="15" t="n">
        <f aca="false">J424-L424</f>
        <v>35749.5277391667</v>
      </c>
      <c r="N424" s="15" t="n">
        <f aca="false">0</f>
        <v>0</v>
      </c>
      <c r="O424" s="15" t="n">
        <f aca="false">0</f>
        <v>0</v>
      </c>
      <c r="P424" s="15" t="n">
        <f aca="false">M424+N424-O424</f>
        <v>35749.5277391667</v>
      </c>
      <c r="Q424" s="15" t="n">
        <f aca="false">SUM(P413:P424)+Parametri_v3!$C$56*12/12</f>
        <v>429452.666203333</v>
      </c>
      <c r="R424" s="15" t="n">
        <f aca="false">Z412</f>
        <v>0</v>
      </c>
      <c r="S424" s="15" t="n">
        <f aca="false">AA412</f>
        <v>0</v>
      </c>
      <c r="T424" s="15" t="n">
        <f aca="false">MIN(R424,MAX(0,Q424))</f>
        <v>0</v>
      </c>
      <c r="U424" s="15" t="n">
        <f aca="false">MIN(S424,MAX(0,Q424-T424)*Parametri_v3!$C$42)</f>
        <v>0</v>
      </c>
      <c r="V424" s="15" t="n">
        <f aca="false">MAX(0,Q424-T424-U424)*Ipotesi!$C$92</f>
        <v>103068.6398888</v>
      </c>
      <c r="W424" s="15" t="n">
        <f aca="false">MAX(0,SUM(M413:M424)+Parametri_v3!$C$57*12/12)*Ipotesi!$C$93</f>
        <v>16748.65398193</v>
      </c>
      <c r="X424" s="15" t="n">
        <f aca="false">V424+W424-(V423+W423)</f>
        <v>9974.11823922749</v>
      </c>
      <c r="Y424" s="15" t="n">
        <f aca="false">P424-X424</f>
        <v>25775.4094999392</v>
      </c>
      <c r="Z424" s="15" t="n">
        <f aca="false">R424-T424+IF(AND(Parametri_v3!$C$40=1,D424-YEAR(Parametri_v3!$C$50)&lt;Parametri_v3!$C$41),MAX(0,-Q424),0)</f>
        <v>0</v>
      </c>
      <c r="AA424" s="15" t="n">
        <f aca="false">S424-U424+IF(AND(Parametri_v3!$C$40=1,D424-YEAR(Parametri_v3!$C$50)&lt;Parametri_v3!$C$41),0,MAX(0,-Q424))</f>
        <v>0</v>
      </c>
      <c r="AB424" s="15" t="n">
        <f aca="false">F424*(1+Parametri_v3!$C$26)</f>
        <v>141469.166666667</v>
      </c>
      <c r="AC424" s="15" t="n">
        <f aca="false">(IF(60-(INT((Motore_Operativo!L424)/30))&lt;1,0,INDEX(Motore_Advisory!$AB$365:$AB$424,MAX(1,60-(INT((Motore_Operativo!L424)/30)))))*(1-(MOD((Motore_Operativo!L424),30)/30))+IF(60-(INT((Motore_Operativo!L424)/30))-1&lt;1,0,INDEX(Motore_Advisory!$AB$365:$AB$424,MAX(1,60-(INT((Motore_Operativo!L424)/30))-1)))*(MOD((Motore_Operativo!L424),30)/30))</f>
        <v>141469.166666667</v>
      </c>
      <c r="AD424" s="15" t="n">
        <f aca="false">(AD423)+AB424-AC424</f>
        <v>424407.5</v>
      </c>
      <c r="AE424" s="15" t="n">
        <f aca="false">Motore_Operativo!BH424*(1+Parametri_v3!$C$26)</f>
        <v>14146.9166666667</v>
      </c>
      <c r="AF424" s="15" t="n">
        <f aca="false">(IF(60-(INT((Parametri_v3!$C$29)/30))&lt;1,0,INDEX(Motore_Operativo!$BH$365:$BH$424,MAX(1,60-(INT((Parametri_v3!$C$29)/30)))))*(1-(MOD((Parametri_v3!$C$29),30)/30))+IF(60-(INT((Parametri_v3!$C$29)/30))-1&lt;1,0,INDEX(Motore_Operativo!$BH$365:$BH$424,MAX(1,60-(INT((Parametri_v3!$C$29)/30))-1)))*(MOD((Parametri_v3!$C$29),30)/30))*(1+Parametri_v3!$C$26)</f>
        <v>14146.9166666667</v>
      </c>
      <c r="AG424" s="15" t="n">
        <f aca="false">(AG423)+AE424-AF424</f>
        <v>14146.9166666667</v>
      </c>
      <c r="AH424" s="15" t="n">
        <f aca="false">(Motore_Operativo!CK424)*(1+Parametri_v3!$C$28*Parametri_v3!$C$26)</f>
        <v>27831.02</v>
      </c>
      <c r="AI424" s="15" t="n">
        <f aca="false">(IF(60-(INT((Ipotesi!$C$91)/30))&lt;1,0,INDEX(Motore_Advisory!$AH$365:$AH$424,MAX(1,60-(INT((Ipotesi!$C$91)/30)))))*(1-(MOD((Ipotesi!$C$91),30)/30))+IF(60-(INT((Ipotesi!$C$91)/30))-1&lt;1,0,INDEX(Motore_Advisory!$AH$365:$AH$424,MAX(1,60-(INT((Ipotesi!$C$91)/30))-1)))*(MOD((Ipotesi!$C$91),30)/30))</f>
        <v>27831.02</v>
      </c>
      <c r="AJ424" s="15" t="n">
        <f aca="false">(AJ423)+AH424-AI424</f>
        <v>55662.04</v>
      </c>
      <c r="AK424" s="15" t="n">
        <f aca="false">(F424- Motore_Operativo!BH424-(Motore_Operativo!CK424)*Parametri_v3!$C$28-Motore_Operativo!CF424)*Parametri_v3!$C$26</f>
        <v>18647.8966666667</v>
      </c>
      <c r="AL424" s="15" t="n">
        <f aca="false">MAX(0,(AM423))</f>
        <v>18647.8966666667</v>
      </c>
      <c r="AM424" s="15" t="n">
        <f aca="false">(AM423)+AK424-AL424</f>
        <v>18647.8966666667</v>
      </c>
      <c r="AN424" s="15" t="n">
        <f aca="false">SUM(X401:X412)</f>
        <v>91149.8045405</v>
      </c>
      <c r="AO424" s="15" t="n">
        <f aca="false">SUM(AP401:AP412)</f>
        <v>46679.99375</v>
      </c>
      <c r="AP424" s="15" t="n">
        <f aca="false">MAX(0,AN424)*IF(12=Parametri_v3!$C$43,Parametri_v3!$C$45,IF(12=Parametri_v3!$C$44,1-Parametri_v3!$C$45,0))</f>
        <v>0</v>
      </c>
      <c r="AQ424" s="15" t="n">
        <f aca="false">MAX(0,AP424+IF(12=Parametri_v3!$C$43,MAX(0,AN424-AO424),0)-MAX(0,-(AR423)))</f>
        <v>0</v>
      </c>
      <c r="AR424" s="15" t="n">
        <f aca="false">(AR423)+X424-AQ424</f>
        <v>28667.48933023</v>
      </c>
      <c r="AS424" s="15" t="n">
        <f aca="false">Motore_Operativo!AC424-AT424+AU424</f>
        <v>42145.6153144583</v>
      </c>
      <c r="AT424" s="15" t="n">
        <f aca="false">Motore_Operativo!CI424</f>
        <v>2218.19027970833</v>
      </c>
      <c r="AU424" s="15" t="n">
        <f aca="false">MIN(MAX(0,(AV423)+AT424),Parametri_v3!$C$61/12)</f>
        <v>0</v>
      </c>
      <c r="AV424" s="15" t="n">
        <f aca="false">(AV423)+AT424-AU424</f>
        <v>74895.1248815</v>
      </c>
      <c r="AW424" s="15" t="n">
        <f aca="false">IF(AND(Motore_Operativo!C424=Finanziamenti!$D$7,Finanziamenti!$F$7=1),Finanziamenti!$C$7,0)</f>
        <v>0</v>
      </c>
      <c r="AX424" s="15" t="n">
        <f aca="false">0</f>
        <v>0</v>
      </c>
      <c r="AY424" s="15" t="n">
        <f aca="false">IF(12=Parametri_v3!$C$33,IF(BV424&lt;MIN(12,$B424-1),0,MIN(MAX(0,SUM(Y401:Y412))*Ipotesi!$C$94,MAX(0,(BM412)-(BO423)-BP424),MAX(0,BD424-Parametri_v3!$C$31))),0)</f>
        <v>0</v>
      </c>
      <c r="AZ424" s="15" t="n">
        <f aca="false">0</f>
        <v>0</v>
      </c>
      <c r="BA424" s="15" t="n">
        <f aca="false">0</f>
        <v>0</v>
      </c>
      <c r="BB424" s="15" t="n">
        <f aca="false">0</f>
        <v>0</v>
      </c>
      <c r="BC424" s="15" t="n">
        <f aca="false">0</f>
        <v>0</v>
      </c>
      <c r="BD424" s="15" t="n">
        <f aca="false">(BH423)+AC424-AF424-AI424-AS424-K424*(1+Parametri_v3!$C$26)-AL424-AQ424-O424+AW424+AX424+AZ424+BA424-BB424</f>
        <v>341896.795568077</v>
      </c>
      <c r="BE424" s="15" t="n">
        <f aca="false">0</f>
        <v>0</v>
      </c>
      <c r="BF424" s="15" t="n">
        <f aca="false">0</f>
        <v>0</v>
      </c>
      <c r="BG424" s="15" t="n">
        <f aca="false">0</f>
        <v>0</v>
      </c>
      <c r="BH424" s="15" t="n">
        <f aca="false">BD424+BE424-BF424-AY424</f>
        <v>341896.795568077</v>
      </c>
      <c r="BI424" s="15" t="n">
        <f aca="false">MAX(0,Parametri_v3!$C$31-BH424)</f>
        <v>0</v>
      </c>
      <c r="BJ424" s="15" t="n">
        <f aca="false">(BJ423)+K424</f>
        <v>29000</v>
      </c>
      <c r="BK424" s="15" t="n">
        <f aca="false">(BK423)+L424</f>
        <v>17791.6666666667</v>
      </c>
      <c r="BL424" s="15" t="n">
        <f aca="false">BJ424-BK424</f>
        <v>11208.3333333334</v>
      </c>
      <c r="BM424" s="15" t="n">
        <f aca="false">(BM423)+Y424</f>
        <v>743585.069183319</v>
      </c>
      <c r="BN424" s="15" t="n">
        <f aca="false">(BN423)+AW424+AX424+AZ424</f>
        <v>20000</v>
      </c>
      <c r="BO424" s="15" t="n">
        <f aca="false">(BO423)+AY424</f>
        <v>178091.907826972</v>
      </c>
      <c r="BP424" s="15" t="n">
        <f aca="false">MIN(Parametri_v3!$C$36*Parametri_v3!$C$35,(BP423)+IF(12=1,MAX(0,SUM(Y401:Y412))*Parametri_v3!$C$34,0))</f>
        <v>2000</v>
      </c>
      <c r="BQ424" s="15" t="n">
        <f aca="false">BN424+BM424-BO424</f>
        <v>585493.161356347</v>
      </c>
      <c r="BR424" s="15" t="n">
        <f aca="false">BH424+AD424+BL424+MAX(0,-AM424)+MAX(0,-AR424)</f>
        <v>777512.628901411</v>
      </c>
      <c r="BS424" s="15" t="n">
        <f aca="false">AJ424+AV424+MAX(0,AM424)+MAX(0,AR424)+BC424+BG424+BQ424+AG424</f>
        <v>777512.62890141</v>
      </c>
      <c r="BT424" s="15" t="n">
        <f aca="false">BR424-BS424</f>
        <v>0</v>
      </c>
      <c r="BU424" s="15" t="n">
        <f aca="false">BH424-(BD424+BE424-BF424-AY424)</f>
        <v>0</v>
      </c>
      <c r="BV424" s="15" t="n">
        <f aca="false">IF(BH423&lt;Parametri_v3!$C$31,0,BV423+1)</f>
        <v>31</v>
      </c>
    </row>
    <row r="425" customFormat="false" ht="18" hidden="false" customHeight="true" outlineLevel="0" collapsed="false">
      <c r="A425" s="68" t="n">
        <f aca="false">8</f>
        <v>8</v>
      </c>
      <c r="B425" s="68" t="n">
        <f aca="false">1</f>
        <v>1</v>
      </c>
      <c r="C425" s="18" t="n">
        <f aca="false">Motore_Operativo!C425</f>
        <v>46388</v>
      </c>
      <c r="D425" s="68" t="n">
        <f aca="false">Motore_Operativo!D425</f>
        <v>2027</v>
      </c>
      <c r="E425" s="68" t="n">
        <f aca="false">Motore_Operativo!E425</f>
        <v>1</v>
      </c>
      <c r="F425" s="15" t="n">
        <f aca="false">Motore_Operativo!AM425</f>
        <v>16210.5263157895</v>
      </c>
      <c r="G425" s="15" t="n">
        <f aca="false">Motore_Operativo!BH425</f>
        <v>1621.05263157895</v>
      </c>
      <c r="H425" s="15" t="n">
        <f aca="false">Motore_Operativo!AM425</f>
        <v>16210.5263157895</v>
      </c>
      <c r="I425" s="15" t="n">
        <f aca="false">Motore_Operativo!CB425</f>
        <v>12114.5175438596</v>
      </c>
      <c r="J425" s="15" t="n">
        <f aca="false">Motore_Operativo!CD425</f>
        <v>4096.00877192982</v>
      </c>
      <c r="K425" s="15" t="n">
        <f aca="false">Motore_Operativo!CF425</f>
        <v>250</v>
      </c>
      <c r="L425" s="15" t="n">
        <f aca="false">SUM(INDEX($K$425:$K$484,MAX(1,1-Parametri_v3!$C$59+1)):K425)/Parametri_v3!$C$59</f>
        <v>6.94444444444445</v>
      </c>
      <c r="M425" s="15" t="n">
        <f aca="false">J425-L425</f>
        <v>4089.06432748538</v>
      </c>
      <c r="N425" s="15" t="n">
        <f aca="false">0</f>
        <v>0</v>
      </c>
      <c r="O425" s="15" t="n">
        <f aca="false">0</f>
        <v>0</v>
      </c>
      <c r="P425" s="15" t="n">
        <f aca="false">M425+N425-O425</f>
        <v>4089.06432748538</v>
      </c>
      <c r="Q425" s="15" t="n">
        <f aca="false">SUM(P425)+Parametri_v3!$C$56*1/12</f>
        <v>4089.06432748538</v>
      </c>
      <c r="R425" s="15" t="n">
        <f aca="false">0</f>
        <v>0</v>
      </c>
      <c r="S425" s="15" t="n">
        <f aca="false">0</f>
        <v>0</v>
      </c>
      <c r="T425" s="15" t="n">
        <f aca="false">MIN(R425,MAX(0,Q425))</f>
        <v>0</v>
      </c>
      <c r="U425" s="15" t="n">
        <f aca="false">MIN(S425,MAX(0,Q425-T425)*Parametri_v3!$C$42)</f>
        <v>0</v>
      </c>
      <c r="V425" s="15" t="n">
        <f aca="false">MAX(0,Q425-T425-U425)*Ipotesi!$C$92</f>
        <v>981.375438596491</v>
      </c>
      <c r="W425" s="15" t="n">
        <f aca="false">MAX(0,SUM(M425)+Parametri_v3!$C$57*1/12)*Ipotesi!$C$93</f>
        <v>159.47350877193</v>
      </c>
      <c r="X425" s="15" t="n">
        <f aca="false">V425+W425-(0)</f>
        <v>1140.84894736842</v>
      </c>
      <c r="Y425" s="15" t="n">
        <f aca="false">P425-X425</f>
        <v>2948.21538011696</v>
      </c>
      <c r="Z425" s="15" t="n">
        <f aca="false">R425-T425+IF(AND(Parametri_v3!$C$40=1,D425-YEAR(Parametri_v3!$C$50)&lt;Parametri_v3!$C$41),MAX(0,-Q425),0)</f>
        <v>0</v>
      </c>
      <c r="AA425" s="15" t="n">
        <f aca="false">S425-U425+IF(AND(Parametri_v3!$C$40=1,D425-YEAR(Parametri_v3!$C$50)&lt;Parametri_v3!$C$41),0,MAX(0,-Q425))</f>
        <v>0</v>
      </c>
      <c r="AB425" s="15" t="n">
        <f aca="false">F425*(1+Parametri_v3!$C$26)</f>
        <v>19776.8421052632</v>
      </c>
      <c r="AC425" s="15" t="n">
        <f aca="false">(IF(1-(INT((Motore_Operativo!L425)/30))&lt;1,0,INDEX(Motore_Advisory!$AB$425:$AB$484,MAX(1,1-(INT((Motore_Operativo!L425)/30)))))*(1-(MOD((Motore_Operativo!L425),30)/30))+IF(1-(INT((Motore_Operativo!L425)/30))-1&lt;1,0,INDEX(Motore_Advisory!$AB$425:$AB$484,MAX(1,1-(INT((Motore_Operativo!L425)/30))-1)))*(MOD((Motore_Operativo!L425),30)/30))</f>
        <v>0</v>
      </c>
      <c r="AD425" s="15" t="n">
        <f aca="false">(0)+AB425-AC425</f>
        <v>19776.8421052632</v>
      </c>
      <c r="AE425" s="15" t="n">
        <f aca="false">Motore_Operativo!BH425*(1+Parametri_v3!$C$26)</f>
        <v>1977.68421052632</v>
      </c>
      <c r="AF425" s="15" t="n">
        <f aca="false">(IF(1-(INT((Parametri_v3!$C$29)/30))&lt;1,0,INDEX(Motore_Operativo!$BH$425:$BH$484,MAX(1,1-(INT((Parametri_v3!$C$29)/30)))))*(1-(MOD((Parametri_v3!$C$29),30)/30))+IF(1-(INT((Parametri_v3!$C$29)/30))-1&lt;1,0,INDEX(Motore_Operativo!$BH$425:$BH$484,MAX(1,1-(INT((Parametri_v3!$C$29)/30))-1)))*(MOD((Parametri_v3!$C$29),30)/30))*(1+Parametri_v3!$C$26)</f>
        <v>0</v>
      </c>
      <c r="AG425" s="15" t="n">
        <f aca="false">(0)+AE425-AF425</f>
        <v>1977.68421052632</v>
      </c>
      <c r="AH425" s="15" t="n">
        <f aca="false">(Motore_Operativo!CK425)*(1+Parametri_v3!$C$28*Parametri_v3!$C$26)</f>
        <v>6166.3147368421</v>
      </c>
      <c r="AI425" s="15" t="n">
        <f aca="false">(IF(1-(INT((Ipotesi!$C$91)/30))&lt;1,0,INDEX(Motore_Advisory!$AH$425:$AH$484,MAX(1,1-(INT((Ipotesi!$C$91)/30)))))*(1-(MOD((Ipotesi!$C$91),30)/30))+IF(1-(INT((Ipotesi!$C$91)/30))-1&lt;1,0,INDEX(Motore_Advisory!$AH$425:$AH$484,MAX(1,1-(INT((Ipotesi!$C$91)/30))-1)))*(MOD((Ipotesi!$C$91),30)/30))</f>
        <v>0</v>
      </c>
      <c r="AJ425" s="15" t="n">
        <f aca="false">(0)+AH425-AI425</f>
        <v>6166.3147368421</v>
      </c>
      <c r="AK425" s="15" t="n">
        <f aca="false">(F425- Motore_Operativo!BH425-(Motore_Operativo!CK425)*Parametri_v3!$C$28-Motore_Operativo!CF425)*Parametri_v3!$C$26</f>
        <v>2231.83438596491</v>
      </c>
      <c r="AL425" s="15" t="n">
        <f aca="false">MAX(0,(0))</f>
        <v>0</v>
      </c>
      <c r="AM425" s="15" t="n">
        <f aca="false">(0)+AK425-AL425</f>
        <v>2231.83438596491</v>
      </c>
      <c r="AN425" s="15" t="n">
        <f aca="false">0</f>
        <v>0</v>
      </c>
      <c r="AO425" s="15" t="n">
        <f aca="false">0</f>
        <v>0</v>
      </c>
      <c r="AP425" s="15" t="n">
        <f aca="false">MAX(0,AN425)*IF(1=Parametri_v3!$C$43,Parametri_v3!$C$45,IF(1=Parametri_v3!$C$44,1-Parametri_v3!$C$45,0))</f>
        <v>0</v>
      </c>
      <c r="AQ425" s="15" t="n">
        <f aca="false">MAX(0,AP425+IF(1=Parametri_v3!$C$43,MAX(0,AN425-AO425),0)-MAX(0,-(0)))</f>
        <v>0</v>
      </c>
      <c r="AR425" s="15" t="n">
        <f aca="false">(0)+X425-AQ425</f>
        <v>1140.84894736842</v>
      </c>
      <c r="AS425" s="15" t="n">
        <f aca="false">Motore_Operativo!AC425-AT425+AU425</f>
        <v>4987.5</v>
      </c>
      <c r="AT425" s="15" t="n">
        <f aca="false">Motore_Operativo!CI425</f>
        <v>262.5</v>
      </c>
      <c r="AU425" s="15" t="n">
        <f aca="false">MIN(MAX(0,(0)+AT425),Parametri_v3!$C$61/12)</f>
        <v>0</v>
      </c>
      <c r="AV425" s="15" t="n">
        <f aca="false">(0)+AT425-AU425</f>
        <v>262.5</v>
      </c>
      <c r="AW425" s="15" t="n">
        <f aca="false">IF(AND(Motore_Operativo!C425=Finanziamenti!$D$7,Finanziamenti!$F$7=1),Finanziamenti!$C$7,0)</f>
        <v>20000</v>
      </c>
      <c r="AX425" s="15" t="n">
        <f aca="false">0</f>
        <v>0</v>
      </c>
      <c r="AY425" s="15" t="n">
        <f aca="false">IF(1=Parametri_v3!$C$33,MIN(MAX(0,0)*Ipotesi!$C$94,MAX(0,(0)-(0)-BP425),MAX(0,BD425-Parametri_v3!$C$31)),0)</f>
        <v>0</v>
      </c>
      <c r="AZ425" s="15" t="n">
        <f aca="false">0</f>
        <v>0</v>
      </c>
      <c r="BA425" s="15" t="n">
        <f aca="false">0</f>
        <v>0</v>
      </c>
      <c r="BB425" s="15" t="n">
        <f aca="false">0</f>
        <v>0</v>
      </c>
      <c r="BC425" s="15" t="n">
        <f aca="false">0</f>
        <v>0</v>
      </c>
      <c r="BD425" s="15" t="n">
        <f aca="false">(0)+AC425-AF425-AI425-AS425-K425*(1+Parametri_v3!$C$26)-AL425-AQ425-O425+AW425+AX425+AZ425+BA425-BB425</f>
        <v>14707.5</v>
      </c>
      <c r="BE425" s="15" t="n">
        <f aca="false">0</f>
        <v>0</v>
      </c>
      <c r="BF425" s="15" t="n">
        <f aca="false">0</f>
        <v>0</v>
      </c>
      <c r="BG425" s="15" t="n">
        <f aca="false">0</f>
        <v>0</v>
      </c>
      <c r="BH425" s="15" t="n">
        <f aca="false">BD425+BE425-BF425-AY425</f>
        <v>14707.5</v>
      </c>
      <c r="BI425" s="15" t="n">
        <f aca="false">MAX(0,Parametri_v3!$C$31-BH425)</f>
        <v>0</v>
      </c>
      <c r="BJ425" s="15" t="n">
        <f aca="false">(0)+K425</f>
        <v>250</v>
      </c>
      <c r="BK425" s="15" t="n">
        <f aca="false">(0)+L425</f>
        <v>6.94444444444445</v>
      </c>
      <c r="BL425" s="15" t="n">
        <f aca="false">BJ425-BK425</f>
        <v>243.055555555556</v>
      </c>
      <c r="BM425" s="15" t="n">
        <f aca="false">(0)+Y425</f>
        <v>2948.21538011696</v>
      </c>
      <c r="BN425" s="15" t="n">
        <f aca="false">(0)+AW425+AX425+AZ425</f>
        <v>20000</v>
      </c>
      <c r="BO425" s="15" t="n">
        <f aca="false">(0)+AY425</f>
        <v>0</v>
      </c>
      <c r="BP425" s="15" t="n">
        <f aca="false">MIN(Parametri_v3!$C$36*Parametri_v3!$C$35,(0)+IF(1=1,MAX(0,0)*Parametri_v3!$C$34,0))</f>
        <v>0</v>
      </c>
      <c r="BQ425" s="15" t="n">
        <f aca="false">BN425+BM425-BO425</f>
        <v>22948.215380117</v>
      </c>
      <c r="BR425" s="15" t="n">
        <f aca="false">BH425+AD425+BL425+MAX(0,-AM425)+MAX(0,-AR425)</f>
        <v>34727.3976608187</v>
      </c>
      <c r="BS425" s="15" t="n">
        <f aca="false">AJ425+AV425+MAX(0,AM425)+MAX(0,AR425)+BC425+BG425+BQ425+AG425</f>
        <v>34727.3976608187</v>
      </c>
      <c r="BT425" s="15" t="n">
        <f aca="false">BR425-BS425</f>
        <v>0</v>
      </c>
      <c r="BU425" s="15" t="n">
        <f aca="false">BH425-(BD425+BE425-BF425-AY425)</f>
        <v>0</v>
      </c>
      <c r="BV425" s="15" t="n">
        <f aca="false">0</f>
        <v>0</v>
      </c>
    </row>
    <row r="426" customFormat="false" ht="18" hidden="false" customHeight="true" outlineLevel="0" collapsed="false">
      <c r="A426" s="68" t="n">
        <f aca="false">8</f>
        <v>8</v>
      </c>
      <c r="B426" s="68" t="n">
        <f aca="false">2</f>
        <v>2</v>
      </c>
      <c r="C426" s="18" t="n">
        <f aca="false">Motore_Operativo!C426</f>
        <v>46419</v>
      </c>
      <c r="D426" s="68" t="n">
        <f aca="false">Motore_Operativo!D426</f>
        <v>2027</v>
      </c>
      <c r="E426" s="68" t="n">
        <f aca="false">Motore_Operativo!E426</f>
        <v>2</v>
      </c>
      <c r="F426" s="15" t="n">
        <f aca="false">Motore_Operativo!AM426</f>
        <v>16210.5263157895</v>
      </c>
      <c r="G426" s="15" t="n">
        <f aca="false">Motore_Operativo!BH426</f>
        <v>1621.05263157895</v>
      </c>
      <c r="H426" s="15" t="n">
        <f aca="false">Motore_Operativo!AM426</f>
        <v>16210.5263157895</v>
      </c>
      <c r="I426" s="15" t="n">
        <f aca="false">Motore_Operativo!CB426</f>
        <v>12114.5175438596</v>
      </c>
      <c r="J426" s="15" t="n">
        <f aca="false">Motore_Operativo!CD426</f>
        <v>4096.00877192982</v>
      </c>
      <c r="K426" s="15" t="n">
        <f aca="false">Motore_Operativo!CF426</f>
        <v>250</v>
      </c>
      <c r="L426" s="15" t="n">
        <f aca="false">SUM(INDEX($K$425:$K$484,MAX(1,2-Parametri_v3!$C$59+1)):K426)/Parametri_v3!$C$59</f>
        <v>13.8888888888889</v>
      </c>
      <c r="M426" s="15" t="n">
        <f aca="false">J426-L426</f>
        <v>4082.11988304094</v>
      </c>
      <c r="N426" s="15" t="n">
        <f aca="false">0</f>
        <v>0</v>
      </c>
      <c r="O426" s="15" t="n">
        <f aca="false">0</f>
        <v>0</v>
      </c>
      <c r="P426" s="15" t="n">
        <f aca="false">M426+N426-O426</f>
        <v>4082.11988304094</v>
      </c>
      <c r="Q426" s="15" t="n">
        <f aca="false">SUM(P425:P426)+Parametri_v3!$C$56*2/12</f>
        <v>8171.18421052632</v>
      </c>
      <c r="R426" s="15" t="n">
        <f aca="false">0</f>
        <v>0</v>
      </c>
      <c r="S426" s="15" t="n">
        <f aca="false">0</f>
        <v>0</v>
      </c>
      <c r="T426" s="15" t="n">
        <f aca="false">MIN(R426,MAX(0,Q426))</f>
        <v>0</v>
      </c>
      <c r="U426" s="15" t="n">
        <f aca="false">MIN(S426,MAX(0,Q426-T426)*Parametri_v3!$C$42)</f>
        <v>0</v>
      </c>
      <c r="V426" s="15" t="n">
        <f aca="false">MAX(0,Q426-T426-U426)*Ipotesi!$C$92</f>
        <v>1961.08421052632</v>
      </c>
      <c r="W426" s="15" t="n">
        <f aca="false">MAX(0,SUM(M425:M426)+Parametri_v3!$C$57*2/12)*Ipotesi!$C$93</f>
        <v>318.676184210526</v>
      </c>
      <c r="X426" s="15" t="n">
        <f aca="false">V426+W426-(V425+W425)</f>
        <v>1138.91144736842</v>
      </c>
      <c r="Y426" s="15" t="n">
        <f aca="false">P426-X426</f>
        <v>2943.20843567251</v>
      </c>
      <c r="Z426" s="15" t="n">
        <f aca="false">R426-T426+IF(AND(Parametri_v3!$C$40=1,D426-YEAR(Parametri_v3!$C$50)&lt;Parametri_v3!$C$41),MAX(0,-Q426),0)</f>
        <v>0</v>
      </c>
      <c r="AA426" s="15" t="n">
        <f aca="false">S426-U426+IF(AND(Parametri_v3!$C$40=1,D426-YEAR(Parametri_v3!$C$50)&lt;Parametri_v3!$C$41),0,MAX(0,-Q426))</f>
        <v>0</v>
      </c>
      <c r="AB426" s="15" t="n">
        <f aca="false">F426*(1+Parametri_v3!$C$26)</f>
        <v>19776.8421052632</v>
      </c>
      <c r="AC426" s="15" t="n">
        <f aca="false">(IF(2-(INT((Motore_Operativo!L426)/30))&lt;1,0,INDEX(Motore_Advisory!$AB$425:$AB$484,MAX(1,2-(INT((Motore_Operativo!L426)/30)))))*(1-(MOD((Motore_Operativo!L426),30)/30))+IF(2-(INT((Motore_Operativo!L426)/30))-1&lt;1,0,INDEX(Motore_Advisory!$AB$425:$AB$484,MAX(1,2-(INT((Motore_Operativo!L426)/30))-1)))*(MOD((Motore_Operativo!L426),30)/30))</f>
        <v>0</v>
      </c>
      <c r="AD426" s="15" t="n">
        <f aca="false">(AD425)+AB426-AC426</f>
        <v>39553.6842105263</v>
      </c>
      <c r="AE426" s="15" t="n">
        <f aca="false">Motore_Operativo!BH426*(1+Parametri_v3!$C$26)</f>
        <v>1977.68421052632</v>
      </c>
      <c r="AF426" s="15" t="n">
        <f aca="false">(IF(2-(INT((Parametri_v3!$C$29)/30))&lt;1,0,INDEX(Motore_Operativo!$BH$425:$BH$484,MAX(1,2-(INT((Parametri_v3!$C$29)/30)))))*(1-(MOD((Parametri_v3!$C$29),30)/30))+IF(2-(INT((Parametri_v3!$C$29)/30))-1&lt;1,0,INDEX(Motore_Operativo!$BH$425:$BH$484,MAX(1,2-(INT((Parametri_v3!$C$29)/30))-1)))*(MOD((Parametri_v3!$C$29),30)/30))*(1+Parametri_v3!$C$26)</f>
        <v>1977.68421052632</v>
      </c>
      <c r="AG426" s="15" t="n">
        <f aca="false">(AG425)+AE426-AF426</f>
        <v>1977.68421052632</v>
      </c>
      <c r="AH426" s="15" t="n">
        <f aca="false">(Motore_Operativo!CK426)*(1+Parametri_v3!$C$28*Parametri_v3!$C$26)</f>
        <v>6166.3147368421</v>
      </c>
      <c r="AI426" s="15" t="n">
        <f aca="false">(IF(2-(INT((Ipotesi!$C$91)/30))&lt;1,0,INDEX(Motore_Advisory!$AH$425:$AH$484,MAX(1,2-(INT((Ipotesi!$C$91)/30)))))*(1-(MOD((Ipotesi!$C$91),30)/30))+IF(2-(INT((Ipotesi!$C$91)/30))-1&lt;1,0,INDEX(Motore_Advisory!$AH$425:$AH$484,MAX(1,2-(INT((Ipotesi!$C$91)/30))-1)))*(MOD((Ipotesi!$C$91),30)/30))</f>
        <v>0</v>
      </c>
      <c r="AJ426" s="15" t="n">
        <f aca="false">(AJ425)+AH426-AI426</f>
        <v>12332.6294736842</v>
      </c>
      <c r="AK426" s="15" t="n">
        <f aca="false">(F426- Motore_Operativo!BH426-(Motore_Operativo!CK426)*Parametri_v3!$C$28-Motore_Operativo!CF426)*Parametri_v3!$C$26</f>
        <v>2231.83438596491</v>
      </c>
      <c r="AL426" s="15" t="n">
        <f aca="false">MAX(0,(AM425))</f>
        <v>2231.83438596491</v>
      </c>
      <c r="AM426" s="15" t="n">
        <f aca="false">(AM425)+AK426-AL426</f>
        <v>2231.83438596491</v>
      </c>
      <c r="AN426" s="15" t="n">
        <f aca="false">0</f>
        <v>0</v>
      </c>
      <c r="AO426" s="15" t="n">
        <f aca="false">0</f>
        <v>0</v>
      </c>
      <c r="AP426" s="15" t="n">
        <f aca="false">MAX(0,AN426)*IF(2=Parametri_v3!$C$43,Parametri_v3!$C$45,IF(2=Parametri_v3!$C$44,1-Parametri_v3!$C$45,0))</f>
        <v>0</v>
      </c>
      <c r="AQ426" s="15" t="n">
        <f aca="false">MAX(0,AP426+IF(2=Parametri_v3!$C$43,MAX(0,AN426-AO426),0)-MAX(0,-(AR425)))</f>
        <v>0</v>
      </c>
      <c r="AR426" s="15" t="n">
        <f aca="false">(AR425)+X426-AQ426</f>
        <v>2279.76039473684</v>
      </c>
      <c r="AS426" s="15" t="n">
        <f aca="false">Motore_Operativo!AC426-AT426+AU426</f>
        <v>4987.5</v>
      </c>
      <c r="AT426" s="15" t="n">
        <f aca="false">Motore_Operativo!CI426</f>
        <v>262.5</v>
      </c>
      <c r="AU426" s="15" t="n">
        <f aca="false">MIN(MAX(0,(AV425)+AT426),Parametri_v3!$C$61/12)</f>
        <v>0</v>
      </c>
      <c r="AV426" s="15" t="n">
        <f aca="false">(AV425)+AT426-AU426</f>
        <v>525</v>
      </c>
      <c r="AW426" s="15" t="n">
        <f aca="false">IF(AND(Motore_Operativo!C426=Finanziamenti!$D$7,Finanziamenti!$F$7=1),Finanziamenti!$C$7,0)</f>
        <v>0</v>
      </c>
      <c r="AX426" s="15" t="n">
        <f aca="false">0</f>
        <v>0</v>
      </c>
      <c r="AY426" s="15" t="n">
        <f aca="false">IF(2=Parametri_v3!$C$33,IF(BV426&lt;MIN(12,$B426-1),0,MIN(MAX(0,0)*Ipotesi!$C$94,MAX(0,(0)-(BO425)-BP426),MAX(0,BD426-Parametri_v3!$C$31))),0)</f>
        <v>0</v>
      </c>
      <c r="AZ426" s="15" t="n">
        <f aca="false">0</f>
        <v>0</v>
      </c>
      <c r="BA426" s="15" t="n">
        <f aca="false">0</f>
        <v>0</v>
      </c>
      <c r="BB426" s="15" t="n">
        <f aca="false">0</f>
        <v>0</v>
      </c>
      <c r="BC426" s="15" t="n">
        <f aca="false">0</f>
        <v>0</v>
      </c>
      <c r="BD426" s="15" t="n">
        <f aca="false">(BH425)+AC426-AF426-AI426-AS426-K426*(1+Parametri_v3!$C$26)-AL426-AQ426-O426+AW426+AX426+AZ426+BA426-BB426</f>
        <v>5205.48140350877</v>
      </c>
      <c r="BE426" s="15" t="n">
        <f aca="false">0</f>
        <v>0</v>
      </c>
      <c r="BF426" s="15" t="n">
        <f aca="false">0</f>
        <v>0</v>
      </c>
      <c r="BG426" s="15" t="n">
        <f aca="false">0</f>
        <v>0</v>
      </c>
      <c r="BH426" s="15" t="n">
        <f aca="false">BD426+BE426-BF426-AY426</f>
        <v>5205.48140350877</v>
      </c>
      <c r="BI426" s="15" t="n">
        <f aca="false">MAX(0,Parametri_v3!$C$31-BH426)</f>
        <v>4794.51859649123</v>
      </c>
      <c r="BJ426" s="15" t="n">
        <f aca="false">(BJ425)+K426</f>
        <v>500</v>
      </c>
      <c r="BK426" s="15" t="n">
        <f aca="false">(BK425)+L426</f>
        <v>20.8333333333333</v>
      </c>
      <c r="BL426" s="15" t="n">
        <f aca="false">BJ426-BK426</f>
        <v>479.166666666667</v>
      </c>
      <c r="BM426" s="15" t="n">
        <f aca="false">(BM425)+Y426</f>
        <v>5891.42381578947</v>
      </c>
      <c r="BN426" s="15" t="n">
        <f aca="false">(BN425)+AW426+AX426+AZ426</f>
        <v>20000</v>
      </c>
      <c r="BO426" s="15" t="n">
        <f aca="false">(BO425)+AY426</f>
        <v>0</v>
      </c>
      <c r="BP426" s="15" t="n">
        <f aca="false">MIN(Parametri_v3!$C$36*Parametri_v3!$C$35,(BP425)+IF(2=1,MAX(0,0)*Parametri_v3!$C$34,0))</f>
        <v>0</v>
      </c>
      <c r="BQ426" s="15" t="n">
        <f aca="false">BN426+BM426-BO426</f>
        <v>25891.4238157895</v>
      </c>
      <c r="BR426" s="15" t="n">
        <f aca="false">BH426+AD426+BL426+MAX(0,-AM426)+MAX(0,-AR426)</f>
        <v>45238.3322807018</v>
      </c>
      <c r="BS426" s="15" t="n">
        <f aca="false">AJ426+AV426+MAX(0,AM426)+MAX(0,AR426)+BC426+BG426+BQ426+AG426</f>
        <v>45238.3322807018</v>
      </c>
      <c r="BT426" s="15" t="n">
        <f aca="false">BR426-BS426</f>
        <v>0</v>
      </c>
      <c r="BU426" s="15" t="n">
        <f aca="false">BH426-(BD426+BE426-BF426-AY426)</f>
        <v>0</v>
      </c>
      <c r="BV426" s="15" t="n">
        <f aca="false">IF(BH425&lt;Parametri_v3!$C$31,0,BV425+1)</f>
        <v>1</v>
      </c>
    </row>
    <row r="427" customFormat="false" ht="18" hidden="false" customHeight="true" outlineLevel="0" collapsed="false">
      <c r="A427" s="68" t="n">
        <f aca="false">8</f>
        <v>8</v>
      </c>
      <c r="B427" s="68" t="n">
        <f aca="false">3</f>
        <v>3</v>
      </c>
      <c r="C427" s="18" t="n">
        <f aca="false">Motore_Operativo!C427</f>
        <v>46447</v>
      </c>
      <c r="D427" s="68" t="n">
        <f aca="false">Motore_Operativo!D427</f>
        <v>2027</v>
      </c>
      <c r="E427" s="68" t="n">
        <f aca="false">Motore_Operativo!E427</f>
        <v>3</v>
      </c>
      <c r="F427" s="15" t="n">
        <f aca="false">Motore_Operativo!AM427</f>
        <v>16210.5263157895</v>
      </c>
      <c r="G427" s="15" t="n">
        <f aca="false">Motore_Operativo!BH427</f>
        <v>1621.05263157895</v>
      </c>
      <c r="H427" s="15" t="n">
        <f aca="false">Motore_Operativo!AM427</f>
        <v>16210.5263157895</v>
      </c>
      <c r="I427" s="15" t="n">
        <f aca="false">Motore_Operativo!CB427</f>
        <v>12114.5175438596</v>
      </c>
      <c r="J427" s="15" t="n">
        <f aca="false">Motore_Operativo!CD427</f>
        <v>4096.00877192982</v>
      </c>
      <c r="K427" s="15" t="n">
        <f aca="false">Motore_Operativo!CF427</f>
        <v>250</v>
      </c>
      <c r="L427" s="15" t="n">
        <f aca="false">SUM(INDEX($K$425:$K$484,MAX(1,3-Parametri_v3!$C$59+1)):K427)/Parametri_v3!$C$59</f>
        <v>20.8333333333333</v>
      </c>
      <c r="M427" s="15" t="n">
        <f aca="false">J427-L427</f>
        <v>4075.17543859649</v>
      </c>
      <c r="N427" s="15" t="n">
        <f aca="false">0</f>
        <v>0</v>
      </c>
      <c r="O427" s="15" t="n">
        <f aca="false">0</f>
        <v>0</v>
      </c>
      <c r="P427" s="15" t="n">
        <f aca="false">M427+N427-O427</f>
        <v>4075.17543859649</v>
      </c>
      <c r="Q427" s="15" t="n">
        <f aca="false">SUM(P425:P427)+Parametri_v3!$C$56*3/12</f>
        <v>12246.3596491228</v>
      </c>
      <c r="R427" s="15" t="n">
        <f aca="false">0</f>
        <v>0</v>
      </c>
      <c r="S427" s="15" t="n">
        <f aca="false">0</f>
        <v>0</v>
      </c>
      <c r="T427" s="15" t="n">
        <f aca="false">MIN(R427,MAX(0,Q427))</f>
        <v>0</v>
      </c>
      <c r="U427" s="15" t="n">
        <f aca="false">MIN(S427,MAX(0,Q427-T427)*Parametri_v3!$C$42)</f>
        <v>0</v>
      </c>
      <c r="V427" s="15" t="n">
        <f aca="false">MAX(0,Q427-T427-U427)*Ipotesi!$C$92</f>
        <v>2939.12631578947</v>
      </c>
      <c r="W427" s="15" t="n">
        <f aca="false">MAX(0,SUM(M425:M427)+Parametri_v3!$C$57*3/12)*Ipotesi!$C$93</f>
        <v>477.608026315789</v>
      </c>
      <c r="X427" s="15" t="n">
        <f aca="false">V427+W427-(V426+W426)</f>
        <v>1136.97394736842</v>
      </c>
      <c r="Y427" s="15" t="n">
        <f aca="false">P427-X427</f>
        <v>2938.20149122807</v>
      </c>
      <c r="Z427" s="15" t="n">
        <f aca="false">R427-T427+IF(AND(Parametri_v3!$C$40=1,D427-YEAR(Parametri_v3!$C$50)&lt;Parametri_v3!$C$41),MAX(0,-Q427),0)</f>
        <v>0</v>
      </c>
      <c r="AA427" s="15" t="n">
        <f aca="false">S427-U427+IF(AND(Parametri_v3!$C$40=1,D427-YEAR(Parametri_v3!$C$50)&lt;Parametri_v3!$C$41),0,MAX(0,-Q427))</f>
        <v>0</v>
      </c>
      <c r="AB427" s="15" t="n">
        <f aca="false">F427*(1+Parametri_v3!$C$26)</f>
        <v>19776.8421052632</v>
      </c>
      <c r="AC427" s="15" t="n">
        <f aca="false">(IF(3-(INT((Motore_Operativo!L427)/30))&lt;1,0,INDEX(Motore_Advisory!$AB$425:$AB$484,MAX(1,3-(INT((Motore_Operativo!L427)/30)))))*(1-(MOD((Motore_Operativo!L427),30)/30))+IF(3-(INT((Motore_Operativo!L427)/30))-1&lt;1,0,INDEX(Motore_Advisory!$AB$425:$AB$484,MAX(1,3-(INT((Motore_Operativo!L427)/30))-1)))*(MOD((Motore_Operativo!L427),30)/30))</f>
        <v>0</v>
      </c>
      <c r="AD427" s="15" t="n">
        <f aca="false">(AD426)+AB427-AC427</f>
        <v>59330.5263157895</v>
      </c>
      <c r="AE427" s="15" t="n">
        <f aca="false">Motore_Operativo!BH427*(1+Parametri_v3!$C$26)</f>
        <v>1977.68421052632</v>
      </c>
      <c r="AF427" s="15" t="n">
        <f aca="false">(IF(3-(INT((Parametri_v3!$C$29)/30))&lt;1,0,INDEX(Motore_Operativo!$BH$425:$BH$484,MAX(1,3-(INT((Parametri_v3!$C$29)/30)))))*(1-(MOD((Parametri_v3!$C$29),30)/30))+IF(3-(INT((Parametri_v3!$C$29)/30))-1&lt;1,0,INDEX(Motore_Operativo!$BH$425:$BH$484,MAX(1,3-(INT((Parametri_v3!$C$29)/30))-1)))*(MOD((Parametri_v3!$C$29),30)/30))*(1+Parametri_v3!$C$26)</f>
        <v>1977.68421052632</v>
      </c>
      <c r="AG427" s="15" t="n">
        <f aca="false">(AG426)+AE427-AF427</f>
        <v>1977.68421052632</v>
      </c>
      <c r="AH427" s="15" t="n">
        <f aca="false">(Motore_Operativo!CK427)*(1+Parametri_v3!$C$28*Parametri_v3!$C$26)</f>
        <v>6166.3147368421</v>
      </c>
      <c r="AI427" s="15" t="n">
        <f aca="false">(IF(3-(INT((Ipotesi!$C$91)/30))&lt;1,0,INDEX(Motore_Advisory!$AH$425:$AH$484,MAX(1,3-(INT((Ipotesi!$C$91)/30)))))*(1-(MOD((Ipotesi!$C$91),30)/30))+IF(3-(INT((Ipotesi!$C$91)/30))-1&lt;1,0,INDEX(Motore_Advisory!$AH$425:$AH$484,MAX(1,3-(INT((Ipotesi!$C$91)/30))-1)))*(MOD((Ipotesi!$C$91),30)/30))</f>
        <v>6166.3147368421</v>
      </c>
      <c r="AJ427" s="15" t="n">
        <f aca="false">(AJ426)+AH427-AI427</f>
        <v>12332.6294736842</v>
      </c>
      <c r="AK427" s="15" t="n">
        <f aca="false">(F427- Motore_Operativo!BH427-(Motore_Operativo!CK427)*Parametri_v3!$C$28-Motore_Operativo!CF427)*Parametri_v3!$C$26</f>
        <v>2231.83438596491</v>
      </c>
      <c r="AL427" s="15" t="n">
        <f aca="false">MAX(0,(AM426))</f>
        <v>2231.83438596491</v>
      </c>
      <c r="AM427" s="15" t="n">
        <f aca="false">(AM426)+AK427-AL427</f>
        <v>2231.83438596491</v>
      </c>
      <c r="AN427" s="15" t="n">
        <f aca="false">0</f>
        <v>0</v>
      </c>
      <c r="AO427" s="15" t="n">
        <f aca="false">0</f>
        <v>0</v>
      </c>
      <c r="AP427" s="15" t="n">
        <f aca="false">MAX(0,AN427)*IF(3=Parametri_v3!$C$43,Parametri_v3!$C$45,IF(3=Parametri_v3!$C$44,1-Parametri_v3!$C$45,0))</f>
        <v>0</v>
      </c>
      <c r="AQ427" s="15" t="n">
        <f aca="false">MAX(0,AP427+IF(3=Parametri_v3!$C$43,MAX(0,AN427-AO427),0)-MAX(0,-(AR426)))</f>
        <v>0</v>
      </c>
      <c r="AR427" s="15" t="n">
        <f aca="false">(AR426)+X427-AQ427</f>
        <v>3416.73434210526</v>
      </c>
      <c r="AS427" s="15" t="n">
        <f aca="false">Motore_Operativo!AC427-AT427+AU427</f>
        <v>4987.5</v>
      </c>
      <c r="AT427" s="15" t="n">
        <f aca="false">Motore_Operativo!CI427</f>
        <v>262.5</v>
      </c>
      <c r="AU427" s="15" t="n">
        <f aca="false">MIN(MAX(0,(AV426)+AT427),Parametri_v3!$C$61/12)</f>
        <v>0</v>
      </c>
      <c r="AV427" s="15" t="n">
        <f aca="false">(AV426)+AT427-AU427</f>
        <v>787.5</v>
      </c>
      <c r="AW427" s="15" t="n">
        <f aca="false">IF(AND(Motore_Operativo!C427=Finanziamenti!$D$7,Finanziamenti!$F$7=1),Finanziamenti!$C$7,0)</f>
        <v>0</v>
      </c>
      <c r="AX427" s="15" t="n">
        <f aca="false">0</f>
        <v>0</v>
      </c>
      <c r="AY427" s="15" t="n">
        <f aca="false">IF(3=Parametri_v3!$C$33,IF(BV427&lt;MIN(12,$B427-1),0,MIN(MAX(0,0)*Ipotesi!$C$94,MAX(0,(0)-(BO426)-BP427),MAX(0,BD427-Parametri_v3!$C$31))),0)</f>
        <v>0</v>
      </c>
      <c r="AZ427" s="15" t="n">
        <f aca="false">0</f>
        <v>0</v>
      </c>
      <c r="BA427" s="15" t="n">
        <f aca="false">0</f>
        <v>0</v>
      </c>
      <c r="BB427" s="15" t="n">
        <f aca="false">0</f>
        <v>0</v>
      </c>
      <c r="BC427" s="15" t="n">
        <f aca="false">0</f>
        <v>0</v>
      </c>
      <c r="BD427" s="15" t="n">
        <f aca="false">(BH426)+AC427-AF427-AI427-AS427-K427*(1+Parametri_v3!$C$26)-AL427-AQ427-O427+AW427+AX427+AZ427+BA427-BB427</f>
        <v>-10462.8519298246</v>
      </c>
      <c r="BE427" s="15" t="n">
        <f aca="false">0</f>
        <v>0</v>
      </c>
      <c r="BF427" s="15" t="n">
        <f aca="false">0</f>
        <v>0</v>
      </c>
      <c r="BG427" s="15" t="n">
        <f aca="false">0</f>
        <v>0</v>
      </c>
      <c r="BH427" s="15" t="n">
        <f aca="false">BD427+BE427-BF427-AY427</f>
        <v>-10462.8519298246</v>
      </c>
      <c r="BI427" s="15" t="n">
        <f aca="false">MAX(0,Parametri_v3!$C$31-BH427)</f>
        <v>20462.8519298246</v>
      </c>
      <c r="BJ427" s="15" t="n">
        <f aca="false">(BJ426)+K427</f>
        <v>750</v>
      </c>
      <c r="BK427" s="15" t="n">
        <f aca="false">(BK426)+L427</f>
        <v>41.6666666666667</v>
      </c>
      <c r="BL427" s="15" t="n">
        <f aca="false">BJ427-BK427</f>
        <v>708.333333333333</v>
      </c>
      <c r="BM427" s="15" t="n">
        <f aca="false">(BM426)+Y427</f>
        <v>8829.62530701754</v>
      </c>
      <c r="BN427" s="15" t="n">
        <f aca="false">(BN426)+AW427+AX427+AZ427</f>
        <v>20000</v>
      </c>
      <c r="BO427" s="15" t="n">
        <f aca="false">(BO426)+AY427</f>
        <v>0</v>
      </c>
      <c r="BP427" s="15" t="n">
        <f aca="false">MIN(Parametri_v3!$C$36*Parametri_v3!$C$35,(BP426)+IF(3=1,MAX(0,0)*Parametri_v3!$C$34,0))</f>
        <v>0</v>
      </c>
      <c r="BQ427" s="15" t="n">
        <f aca="false">BN427+BM427-BO427</f>
        <v>28829.6253070175</v>
      </c>
      <c r="BR427" s="15" t="n">
        <f aca="false">BH427+AD427+BL427+MAX(0,-AM427)+MAX(0,-AR427)</f>
        <v>49576.0077192982</v>
      </c>
      <c r="BS427" s="15" t="n">
        <f aca="false">AJ427+AV427+MAX(0,AM427)+MAX(0,AR427)+BC427+BG427+BQ427+AG427</f>
        <v>49576.0077192982</v>
      </c>
      <c r="BT427" s="15" t="n">
        <f aca="false">BR427-BS427</f>
        <v>0</v>
      </c>
      <c r="BU427" s="15" t="n">
        <f aca="false">BH427-(BD427+BE427-BF427-AY427)</f>
        <v>0</v>
      </c>
      <c r="BV427" s="15" t="n">
        <f aca="false">IF(BH426&lt;Parametri_v3!$C$31,0,BV426+1)</f>
        <v>0</v>
      </c>
    </row>
    <row r="428" customFormat="false" ht="18" hidden="false" customHeight="true" outlineLevel="0" collapsed="false">
      <c r="A428" s="68" t="n">
        <f aca="false">8</f>
        <v>8</v>
      </c>
      <c r="B428" s="68" t="n">
        <f aca="false">4</f>
        <v>4</v>
      </c>
      <c r="C428" s="18" t="n">
        <f aca="false">Motore_Operativo!C428</f>
        <v>46478</v>
      </c>
      <c r="D428" s="68" t="n">
        <f aca="false">Motore_Operativo!D428</f>
        <v>2027</v>
      </c>
      <c r="E428" s="68" t="n">
        <f aca="false">Motore_Operativo!E428</f>
        <v>4</v>
      </c>
      <c r="F428" s="15" t="n">
        <f aca="false">Motore_Operativo!AM428</f>
        <v>16210.5263157895</v>
      </c>
      <c r="G428" s="15" t="n">
        <f aca="false">Motore_Operativo!BH428</f>
        <v>1621.05263157895</v>
      </c>
      <c r="H428" s="15" t="n">
        <f aca="false">Motore_Operativo!AM428</f>
        <v>16210.5263157895</v>
      </c>
      <c r="I428" s="15" t="n">
        <f aca="false">Motore_Operativo!CB428</f>
        <v>12114.5175438596</v>
      </c>
      <c r="J428" s="15" t="n">
        <f aca="false">Motore_Operativo!CD428</f>
        <v>4096.00877192982</v>
      </c>
      <c r="K428" s="15" t="n">
        <f aca="false">Motore_Operativo!CF428</f>
        <v>250</v>
      </c>
      <c r="L428" s="15" t="n">
        <f aca="false">SUM(INDEX($K$425:$K$484,MAX(1,4-Parametri_v3!$C$59+1)):K428)/Parametri_v3!$C$59</f>
        <v>27.7777777777778</v>
      </c>
      <c r="M428" s="15" t="n">
        <f aca="false">J428-L428</f>
        <v>4068.23099415205</v>
      </c>
      <c r="N428" s="15" t="n">
        <f aca="false">0</f>
        <v>0</v>
      </c>
      <c r="O428" s="15" t="n">
        <f aca="false">0</f>
        <v>0</v>
      </c>
      <c r="P428" s="15" t="n">
        <f aca="false">M428+N428-O428</f>
        <v>4068.23099415205</v>
      </c>
      <c r="Q428" s="15" t="n">
        <f aca="false">SUM(P425:P428)+Parametri_v3!$C$56*4/12</f>
        <v>16314.5906432749</v>
      </c>
      <c r="R428" s="15" t="n">
        <f aca="false">0</f>
        <v>0</v>
      </c>
      <c r="S428" s="15" t="n">
        <f aca="false">0</f>
        <v>0</v>
      </c>
      <c r="T428" s="15" t="n">
        <f aca="false">MIN(R428,MAX(0,Q428))</f>
        <v>0</v>
      </c>
      <c r="U428" s="15" t="n">
        <f aca="false">MIN(S428,MAX(0,Q428-T428)*Parametri_v3!$C$42)</f>
        <v>0</v>
      </c>
      <c r="V428" s="15" t="n">
        <f aca="false">MAX(0,Q428-T428-U428)*Ipotesi!$C$92</f>
        <v>3915.50175438597</v>
      </c>
      <c r="W428" s="15" t="n">
        <f aca="false">MAX(0,SUM(M425:M428)+Parametri_v3!$C$57*4/12)*Ipotesi!$C$93</f>
        <v>636.269035087719</v>
      </c>
      <c r="X428" s="15" t="n">
        <f aca="false">V428+W428-(V427+W427)</f>
        <v>1135.03644736842</v>
      </c>
      <c r="Y428" s="15" t="n">
        <f aca="false">P428-X428</f>
        <v>2933.19454678363</v>
      </c>
      <c r="Z428" s="15" t="n">
        <f aca="false">R428-T428+IF(AND(Parametri_v3!$C$40=1,D428-YEAR(Parametri_v3!$C$50)&lt;Parametri_v3!$C$41),MAX(0,-Q428),0)</f>
        <v>0</v>
      </c>
      <c r="AA428" s="15" t="n">
        <f aca="false">S428-U428+IF(AND(Parametri_v3!$C$40=1,D428-YEAR(Parametri_v3!$C$50)&lt;Parametri_v3!$C$41),0,MAX(0,-Q428))</f>
        <v>0</v>
      </c>
      <c r="AB428" s="15" t="n">
        <f aca="false">F428*(1+Parametri_v3!$C$26)</f>
        <v>19776.8421052632</v>
      </c>
      <c r="AC428" s="15" t="n">
        <f aca="false">(IF(4-(INT((Motore_Operativo!L428)/30))&lt;1,0,INDEX(Motore_Advisory!$AB$425:$AB$484,MAX(1,4-(INT((Motore_Operativo!L428)/30)))))*(1-(MOD((Motore_Operativo!L428),30)/30))+IF(4-(INT((Motore_Operativo!L428)/30))-1&lt;1,0,INDEX(Motore_Advisory!$AB$425:$AB$484,MAX(1,4-(INT((Motore_Operativo!L428)/30))-1)))*(MOD((Motore_Operativo!L428),30)/30))</f>
        <v>19776.8421052632</v>
      </c>
      <c r="AD428" s="15" t="n">
        <f aca="false">(AD427)+AB428-AC428</f>
        <v>59330.5263157895</v>
      </c>
      <c r="AE428" s="15" t="n">
        <f aca="false">Motore_Operativo!BH428*(1+Parametri_v3!$C$26)</f>
        <v>1977.68421052632</v>
      </c>
      <c r="AF428" s="15" t="n">
        <f aca="false">(IF(4-(INT((Parametri_v3!$C$29)/30))&lt;1,0,INDEX(Motore_Operativo!$BH$425:$BH$484,MAX(1,4-(INT((Parametri_v3!$C$29)/30)))))*(1-(MOD((Parametri_v3!$C$29),30)/30))+IF(4-(INT((Parametri_v3!$C$29)/30))-1&lt;1,0,INDEX(Motore_Operativo!$BH$425:$BH$484,MAX(1,4-(INT((Parametri_v3!$C$29)/30))-1)))*(MOD((Parametri_v3!$C$29),30)/30))*(1+Parametri_v3!$C$26)</f>
        <v>1977.68421052632</v>
      </c>
      <c r="AG428" s="15" t="n">
        <f aca="false">(AG427)+AE428-AF428</f>
        <v>1977.68421052632</v>
      </c>
      <c r="AH428" s="15" t="n">
        <f aca="false">(Motore_Operativo!CK428)*(1+Parametri_v3!$C$28*Parametri_v3!$C$26)</f>
        <v>6166.3147368421</v>
      </c>
      <c r="AI428" s="15" t="n">
        <f aca="false">(IF(4-(INT((Ipotesi!$C$91)/30))&lt;1,0,INDEX(Motore_Advisory!$AH$425:$AH$484,MAX(1,4-(INT((Ipotesi!$C$91)/30)))))*(1-(MOD((Ipotesi!$C$91),30)/30))+IF(4-(INT((Ipotesi!$C$91)/30))-1&lt;1,0,INDEX(Motore_Advisory!$AH$425:$AH$484,MAX(1,4-(INT((Ipotesi!$C$91)/30))-1)))*(MOD((Ipotesi!$C$91),30)/30))</f>
        <v>6166.3147368421</v>
      </c>
      <c r="AJ428" s="15" t="n">
        <f aca="false">(AJ427)+AH428-AI428</f>
        <v>12332.6294736842</v>
      </c>
      <c r="AK428" s="15" t="n">
        <f aca="false">(F428- Motore_Operativo!BH428-(Motore_Operativo!CK428)*Parametri_v3!$C$28-Motore_Operativo!CF428)*Parametri_v3!$C$26</f>
        <v>2231.83438596491</v>
      </c>
      <c r="AL428" s="15" t="n">
        <f aca="false">MAX(0,(AM427))</f>
        <v>2231.83438596491</v>
      </c>
      <c r="AM428" s="15" t="n">
        <f aca="false">(AM427)+AK428-AL428</f>
        <v>2231.83438596491</v>
      </c>
      <c r="AN428" s="15" t="n">
        <f aca="false">0</f>
        <v>0</v>
      </c>
      <c r="AO428" s="15" t="n">
        <f aca="false">0</f>
        <v>0</v>
      </c>
      <c r="AP428" s="15" t="n">
        <f aca="false">MAX(0,AN428)*IF(4=Parametri_v3!$C$43,Parametri_v3!$C$45,IF(4=Parametri_v3!$C$44,1-Parametri_v3!$C$45,0))</f>
        <v>0</v>
      </c>
      <c r="AQ428" s="15" t="n">
        <f aca="false">MAX(0,AP428+IF(4=Parametri_v3!$C$43,MAX(0,AN428-AO428),0)-MAX(0,-(AR427)))</f>
        <v>0</v>
      </c>
      <c r="AR428" s="15" t="n">
        <f aca="false">(AR427)+X428-AQ428</f>
        <v>4551.77078947368</v>
      </c>
      <c r="AS428" s="15" t="n">
        <f aca="false">Motore_Operativo!AC428-AT428+AU428</f>
        <v>4987.5</v>
      </c>
      <c r="AT428" s="15" t="n">
        <f aca="false">Motore_Operativo!CI428</f>
        <v>262.5</v>
      </c>
      <c r="AU428" s="15" t="n">
        <f aca="false">MIN(MAX(0,(AV427)+AT428),Parametri_v3!$C$61/12)</f>
        <v>0</v>
      </c>
      <c r="AV428" s="15" t="n">
        <f aca="false">(AV427)+AT428-AU428</f>
        <v>1050</v>
      </c>
      <c r="AW428" s="15" t="n">
        <f aca="false">IF(AND(Motore_Operativo!C428=Finanziamenti!$D$7,Finanziamenti!$F$7=1),Finanziamenti!$C$7,0)</f>
        <v>0</v>
      </c>
      <c r="AX428" s="15" t="n">
        <f aca="false">0</f>
        <v>0</v>
      </c>
      <c r="AY428" s="15" t="n">
        <f aca="false">IF(4=Parametri_v3!$C$33,IF(BV428&lt;MIN(12,$B428-1),0,MIN(MAX(0,0)*Ipotesi!$C$94,MAX(0,(0)-(BO427)-BP428),MAX(0,BD428-Parametri_v3!$C$31))),0)</f>
        <v>0</v>
      </c>
      <c r="AZ428" s="15" t="n">
        <f aca="false">0</f>
        <v>0</v>
      </c>
      <c r="BA428" s="15" t="n">
        <f aca="false">0</f>
        <v>0</v>
      </c>
      <c r="BB428" s="15" t="n">
        <f aca="false">0</f>
        <v>0</v>
      </c>
      <c r="BC428" s="15" t="n">
        <f aca="false">0</f>
        <v>0</v>
      </c>
      <c r="BD428" s="15" t="n">
        <f aca="false">(BH427)+AC428-AF428-AI428-AS428-K428*(1+Parametri_v3!$C$26)-AL428-AQ428-O428+AW428+AX428+AZ428+BA428-BB428</f>
        <v>-6354.34315789474</v>
      </c>
      <c r="BE428" s="15" t="n">
        <f aca="false">0</f>
        <v>0</v>
      </c>
      <c r="BF428" s="15" t="n">
        <f aca="false">0</f>
        <v>0</v>
      </c>
      <c r="BG428" s="15" t="n">
        <f aca="false">0</f>
        <v>0</v>
      </c>
      <c r="BH428" s="15" t="n">
        <f aca="false">BD428+BE428-BF428-AY428</f>
        <v>-6354.34315789474</v>
      </c>
      <c r="BI428" s="15" t="n">
        <f aca="false">MAX(0,Parametri_v3!$C$31-BH428)</f>
        <v>16354.3431578947</v>
      </c>
      <c r="BJ428" s="15" t="n">
        <f aca="false">(BJ427)+K428</f>
        <v>1000</v>
      </c>
      <c r="BK428" s="15" t="n">
        <f aca="false">(BK427)+L428</f>
        <v>69.4444444444445</v>
      </c>
      <c r="BL428" s="15" t="n">
        <f aca="false">BJ428-BK428</f>
        <v>930.555555555556</v>
      </c>
      <c r="BM428" s="15" t="n">
        <f aca="false">(BM427)+Y428</f>
        <v>11762.8198538012</v>
      </c>
      <c r="BN428" s="15" t="n">
        <f aca="false">(BN427)+AW428+AX428+AZ428</f>
        <v>20000</v>
      </c>
      <c r="BO428" s="15" t="n">
        <f aca="false">(BO427)+AY428</f>
        <v>0</v>
      </c>
      <c r="BP428" s="15" t="n">
        <f aca="false">MIN(Parametri_v3!$C$36*Parametri_v3!$C$35,(BP427)+IF(4=1,MAX(0,0)*Parametri_v3!$C$34,0))</f>
        <v>0</v>
      </c>
      <c r="BQ428" s="15" t="n">
        <f aca="false">BN428+BM428-BO428</f>
        <v>31762.8198538012</v>
      </c>
      <c r="BR428" s="15" t="n">
        <f aca="false">BH428+AD428+BL428+MAX(0,-AM428)+MAX(0,-AR428)</f>
        <v>53906.7387134503</v>
      </c>
      <c r="BS428" s="15" t="n">
        <f aca="false">AJ428+AV428+MAX(0,AM428)+MAX(0,AR428)+BC428+BG428+BQ428+AG428</f>
        <v>53906.7387134503</v>
      </c>
      <c r="BT428" s="15" t="n">
        <f aca="false">BR428-BS428</f>
        <v>0</v>
      </c>
      <c r="BU428" s="15" t="n">
        <f aca="false">BH428-(BD428+BE428-BF428-AY428)</f>
        <v>0</v>
      </c>
      <c r="BV428" s="15" t="n">
        <f aca="false">IF(BH427&lt;Parametri_v3!$C$31,0,BV427+1)</f>
        <v>0</v>
      </c>
    </row>
    <row r="429" customFormat="false" ht="18" hidden="false" customHeight="true" outlineLevel="0" collapsed="false">
      <c r="A429" s="68" t="n">
        <f aca="false">8</f>
        <v>8</v>
      </c>
      <c r="B429" s="68" t="n">
        <f aca="false">5</f>
        <v>5</v>
      </c>
      <c r="C429" s="18" t="n">
        <f aca="false">Motore_Operativo!C429</f>
        <v>46508</v>
      </c>
      <c r="D429" s="68" t="n">
        <f aca="false">Motore_Operativo!D429</f>
        <v>2027</v>
      </c>
      <c r="E429" s="68" t="n">
        <f aca="false">Motore_Operativo!E429</f>
        <v>5</v>
      </c>
      <c r="F429" s="15" t="n">
        <f aca="false">Motore_Operativo!AM429</f>
        <v>16210.5263157895</v>
      </c>
      <c r="G429" s="15" t="n">
        <f aca="false">Motore_Operativo!BH429</f>
        <v>1621.05263157895</v>
      </c>
      <c r="H429" s="15" t="n">
        <f aca="false">Motore_Operativo!AM429</f>
        <v>16210.5263157895</v>
      </c>
      <c r="I429" s="15" t="n">
        <f aca="false">Motore_Operativo!CB429</f>
        <v>12114.5175438596</v>
      </c>
      <c r="J429" s="15" t="n">
        <f aca="false">Motore_Operativo!CD429</f>
        <v>4096.00877192982</v>
      </c>
      <c r="K429" s="15" t="n">
        <f aca="false">Motore_Operativo!CF429</f>
        <v>250</v>
      </c>
      <c r="L429" s="15" t="n">
        <f aca="false">SUM(INDEX($K$425:$K$484,MAX(1,5-Parametri_v3!$C$59+1)):K429)/Parametri_v3!$C$59</f>
        <v>34.7222222222222</v>
      </c>
      <c r="M429" s="15" t="n">
        <f aca="false">J429-L429</f>
        <v>4061.2865497076</v>
      </c>
      <c r="N429" s="15" t="n">
        <f aca="false">0</f>
        <v>0</v>
      </c>
      <c r="O429" s="15" t="n">
        <f aca="false">0</f>
        <v>0</v>
      </c>
      <c r="P429" s="15" t="n">
        <f aca="false">M429+N429-O429</f>
        <v>4061.2865497076</v>
      </c>
      <c r="Q429" s="15" t="n">
        <f aca="false">SUM(P425:P429)+Parametri_v3!$C$56*5/12</f>
        <v>20375.8771929825</v>
      </c>
      <c r="R429" s="15" t="n">
        <f aca="false">0</f>
        <v>0</v>
      </c>
      <c r="S429" s="15" t="n">
        <f aca="false">0</f>
        <v>0</v>
      </c>
      <c r="T429" s="15" t="n">
        <f aca="false">MIN(R429,MAX(0,Q429))</f>
        <v>0</v>
      </c>
      <c r="U429" s="15" t="n">
        <f aca="false">MIN(S429,MAX(0,Q429-T429)*Parametri_v3!$C$42)</f>
        <v>0</v>
      </c>
      <c r="V429" s="15" t="n">
        <f aca="false">MAX(0,Q429-T429-U429)*Ipotesi!$C$92</f>
        <v>4890.21052631579</v>
      </c>
      <c r="W429" s="15" t="n">
        <f aca="false">MAX(0,SUM(M425:M429)+Parametri_v3!$C$57*5/12)*Ipotesi!$C$93</f>
        <v>794.659210526316</v>
      </c>
      <c r="X429" s="15" t="n">
        <f aca="false">V429+W429-(V428+W428)</f>
        <v>1133.09894736842</v>
      </c>
      <c r="Y429" s="15" t="n">
        <f aca="false">P429-X429</f>
        <v>2928.18760233918</v>
      </c>
      <c r="Z429" s="15" t="n">
        <f aca="false">R429-T429+IF(AND(Parametri_v3!$C$40=1,D429-YEAR(Parametri_v3!$C$50)&lt;Parametri_v3!$C$41),MAX(0,-Q429),0)</f>
        <v>0</v>
      </c>
      <c r="AA429" s="15" t="n">
        <f aca="false">S429-U429+IF(AND(Parametri_v3!$C$40=1,D429-YEAR(Parametri_v3!$C$50)&lt;Parametri_v3!$C$41),0,MAX(0,-Q429))</f>
        <v>0</v>
      </c>
      <c r="AB429" s="15" t="n">
        <f aca="false">F429*(1+Parametri_v3!$C$26)</f>
        <v>19776.8421052632</v>
      </c>
      <c r="AC429" s="15" t="n">
        <f aca="false">(IF(5-(INT((Motore_Operativo!L429)/30))&lt;1,0,INDEX(Motore_Advisory!$AB$425:$AB$484,MAX(1,5-(INT((Motore_Operativo!L429)/30)))))*(1-(MOD((Motore_Operativo!L429),30)/30))+IF(5-(INT((Motore_Operativo!L429)/30))-1&lt;1,0,INDEX(Motore_Advisory!$AB$425:$AB$484,MAX(1,5-(INT((Motore_Operativo!L429)/30))-1)))*(MOD((Motore_Operativo!L429),30)/30))</f>
        <v>19776.8421052632</v>
      </c>
      <c r="AD429" s="15" t="n">
        <f aca="false">(AD428)+AB429-AC429</f>
        <v>59330.5263157895</v>
      </c>
      <c r="AE429" s="15" t="n">
        <f aca="false">Motore_Operativo!BH429*(1+Parametri_v3!$C$26)</f>
        <v>1977.68421052632</v>
      </c>
      <c r="AF429" s="15" t="n">
        <f aca="false">(IF(5-(INT((Parametri_v3!$C$29)/30))&lt;1,0,INDEX(Motore_Operativo!$BH$425:$BH$484,MAX(1,5-(INT((Parametri_v3!$C$29)/30)))))*(1-(MOD((Parametri_v3!$C$29),30)/30))+IF(5-(INT((Parametri_v3!$C$29)/30))-1&lt;1,0,INDEX(Motore_Operativo!$BH$425:$BH$484,MAX(1,5-(INT((Parametri_v3!$C$29)/30))-1)))*(MOD((Parametri_v3!$C$29),30)/30))*(1+Parametri_v3!$C$26)</f>
        <v>1977.68421052632</v>
      </c>
      <c r="AG429" s="15" t="n">
        <f aca="false">(AG428)+AE429-AF429</f>
        <v>1977.68421052632</v>
      </c>
      <c r="AH429" s="15" t="n">
        <f aca="false">(Motore_Operativo!CK429)*(1+Parametri_v3!$C$28*Parametri_v3!$C$26)</f>
        <v>6166.3147368421</v>
      </c>
      <c r="AI429" s="15" t="n">
        <f aca="false">(IF(5-(INT((Ipotesi!$C$91)/30))&lt;1,0,INDEX(Motore_Advisory!$AH$425:$AH$484,MAX(1,5-(INT((Ipotesi!$C$91)/30)))))*(1-(MOD((Ipotesi!$C$91),30)/30))+IF(5-(INT((Ipotesi!$C$91)/30))-1&lt;1,0,INDEX(Motore_Advisory!$AH$425:$AH$484,MAX(1,5-(INT((Ipotesi!$C$91)/30))-1)))*(MOD((Ipotesi!$C$91),30)/30))</f>
        <v>6166.3147368421</v>
      </c>
      <c r="AJ429" s="15" t="n">
        <f aca="false">(AJ428)+AH429-AI429</f>
        <v>12332.6294736842</v>
      </c>
      <c r="AK429" s="15" t="n">
        <f aca="false">(F429- Motore_Operativo!BH429-(Motore_Operativo!CK429)*Parametri_v3!$C$28-Motore_Operativo!CF429)*Parametri_v3!$C$26</f>
        <v>2231.83438596491</v>
      </c>
      <c r="AL429" s="15" t="n">
        <f aca="false">MAX(0,(AM428))</f>
        <v>2231.83438596491</v>
      </c>
      <c r="AM429" s="15" t="n">
        <f aca="false">(AM428)+AK429-AL429</f>
        <v>2231.83438596491</v>
      </c>
      <c r="AN429" s="15" t="n">
        <f aca="false">0</f>
        <v>0</v>
      </c>
      <c r="AO429" s="15" t="n">
        <f aca="false">0</f>
        <v>0</v>
      </c>
      <c r="AP429" s="15" t="n">
        <f aca="false">MAX(0,AN429)*IF(5=Parametri_v3!$C$43,Parametri_v3!$C$45,IF(5=Parametri_v3!$C$44,1-Parametri_v3!$C$45,0))</f>
        <v>0</v>
      </c>
      <c r="AQ429" s="15" t="n">
        <f aca="false">MAX(0,AP429+IF(5=Parametri_v3!$C$43,MAX(0,AN429-AO429),0)-MAX(0,-(AR428)))</f>
        <v>0</v>
      </c>
      <c r="AR429" s="15" t="n">
        <f aca="false">(AR428)+X429-AQ429</f>
        <v>5684.86973684211</v>
      </c>
      <c r="AS429" s="15" t="n">
        <f aca="false">Motore_Operativo!AC429-AT429+AU429</f>
        <v>4987.5</v>
      </c>
      <c r="AT429" s="15" t="n">
        <f aca="false">Motore_Operativo!CI429</f>
        <v>262.5</v>
      </c>
      <c r="AU429" s="15" t="n">
        <f aca="false">MIN(MAX(0,(AV428)+AT429),Parametri_v3!$C$61/12)</f>
        <v>0</v>
      </c>
      <c r="AV429" s="15" t="n">
        <f aca="false">(AV428)+AT429-AU429</f>
        <v>1312.5</v>
      </c>
      <c r="AW429" s="15" t="n">
        <f aca="false">IF(AND(Motore_Operativo!C429=Finanziamenti!$D$7,Finanziamenti!$F$7=1),Finanziamenti!$C$7,0)</f>
        <v>0</v>
      </c>
      <c r="AX429" s="15" t="n">
        <f aca="false">0</f>
        <v>0</v>
      </c>
      <c r="AY429" s="15" t="n">
        <f aca="false">IF(5=Parametri_v3!$C$33,IF(BV429&lt;MIN(12,$B429-1),0,MIN(MAX(0,0)*Ipotesi!$C$94,MAX(0,(0)-(BO428)-BP429),MAX(0,BD429-Parametri_v3!$C$31))),0)</f>
        <v>0</v>
      </c>
      <c r="AZ429" s="15" t="n">
        <f aca="false">0</f>
        <v>0</v>
      </c>
      <c r="BA429" s="15" t="n">
        <f aca="false">0</f>
        <v>0</v>
      </c>
      <c r="BB429" s="15" t="n">
        <f aca="false">0</f>
        <v>0</v>
      </c>
      <c r="BC429" s="15" t="n">
        <f aca="false">0</f>
        <v>0</v>
      </c>
      <c r="BD429" s="15" t="n">
        <f aca="false">(BH428)+AC429-AF429-AI429-AS429-K429*(1+Parametri_v3!$C$26)-AL429-AQ429-O429+AW429+AX429+AZ429+BA429-BB429</f>
        <v>-2245.83438596491</v>
      </c>
      <c r="BE429" s="15" t="n">
        <f aca="false">0</f>
        <v>0</v>
      </c>
      <c r="BF429" s="15" t="n">
        <f aca="false">0</f>
        <v>0</v>
      </c>
      <c r="BG429" s="15" t="n">
        <f aca="false">0</f>
        <v>0</v>
      </c>
      <c r="BH429" s="15" t="n">
        <f aca="false">BD429+BE429-BF429-AY429</f>
        <v>-2245.83438596491</v>
      </c>
      <c r="BI429" s="15" t="n">
        <f aca="false">MAX(0,Parametri_v3!$C$31-BH429)</f>
        <v>12245.8343859649</v>
      </c>
      <c r="BJ429" s="15" t="n">
        <f aca="false">(BJ428)+K429</f>
        <v>1250</v>
      </c>
      <c r="BK429" s="15" t="n">
        <f aca="false">(BK428)+L429</f>
        <v>104.166666666667</v>
      </c>
      <c r="BL429" s="15" t="n">
        <f aca="false">BJ429-BK429</f>
        <v>1145.83333333333</v>
      </c>
      <c r="BM429" s="15" t="n">
        <f aca="false">(BM428)+Y429</f>
        <v>14691.0074561403</v>
      </c>
      <c r="BN429" s="15" t="n">
        <f aca="false">(BN428)+AW429+AX429+AZ429</f>
        <v>20000</v>
      </c>
      <c r="BO429" s="15" t="n">
        <f aca="false">(BO428)+AY429</f>
        <v>0</v>
      </c>
      <c r="BP429" s="15" t="n">
        <f aca="false">MIN(Parametri_v3!$C$36*Parametri_v3!$C$35,(BP428)+IF(5=1,MAX(0,0)*Parametri_v3!$C$34,0))</f>
        <v>0</v>
      </c>
      <c r="BQ429" s="15" t="n">
        <f aca="false">BN429+BM429-BO429</f>
        <v>34691.0074561403</v>
      </c>
      <c r="BR429" s="15" t="n">
        <f aca="false">BH429+AD429+BL429+MAX(0,-AM429)+MAX(0,-AR429)</f>
        <v>58230.5252631579</v>
      </c>
      <c r="BS429" s="15" t="n">
        <f aca="false">AJ429+AV429+MAX(0,AM429)+MAX(0,AR429)+BC429+BG429+BQ429+AG429</f>
        <v>58230.5252631579</v>
      </c>
      <c r="BT429" s="15" t="n">
        <f aca="false">BR429-BS429</f>
        <v>0</v>
      </c>
      <c r="BU429" s="15" t="n">
        <f aca="false">BH429-(BD429+BE429-BF429-AY429)</f>
        <v>0</v>
      </c>
      <c r="BV429" s="15" t="n">
        <f aca="false">IF(BH428&lt;Parametri_v3!$C$31,0,BV428+1)</f>
        <v>0</v>
      </c>
    </row>
    <row r="430" customFormat="false" ht="18" hidden="false" customHeight="true" outlineLevel="0" collapsed="false">
      <c r="A430" s="68" t="n">
        <f aca="false">8</f>
        <v>8</v>
      </c>
      <c r="B430" s="68" t="n">
        <f aca="false">6</f>
        <v>6</v>
      </c>
      <c r="C430" s="18" t="n">
        <f aca="false">Motore_Operativo!C430</f>
        <v>46539</v>
      </c>
      <c r="D430" s="68" t="n">
        <f aca="false">Motore_Operativo!D430</f>
        <v>2027</v>
      </c>
      <c r="E430" s="68" t="n">
        <f aca="false">Motore_Operativo!E430</f>
        <v>6</v>
      </c>
      <c r="F430" s="15" t="n">
        <f aca="false">Motore_Operativo!AM430</f>
        <v>16210.5263157895</v>
      </c>
      <c r="G430" s="15" t="n">
        <f aca="false">Motore_Operativo!BH430</f>
        <v>1621.05263157895</v>
      </c>
      <c r="H430" s="15" t="n">
        <f aca="false">Motore_Operativo!AM430</f>
        <v>16210.5263157895</v>
      </c>
      <c r="I430" s="15" t="n">
        <f aca="false">Motore_Operativo!CB430</f>
        <v>12114.5175438596</v>
      </c>
      <c r="J430" s="15" t="n">
        <f aca="false">Motore_Operativo!CD430</f>
        <v>4096.00877192982</v>
      </c>
      <c r="K430" s="15" t="n">
        <f aca="false">Motore_Operativo!CF430</f>
        <v>250</v>
      </c>
      <c r="L430" s="15" t="n">
        <f aca="false">SUM(INDEX($K$425:$K$484,MAX(1,6-Parametri_v3!$C$59+1)):K430)/Parametri_v3!$C$59</f>
        <v>41.6666666666667</v>
      </c>
      <c r="M430" s="15" t="n">
        <f aca="false">J430-L430</f>
        <v>4054.34210526316</v>
      </c>
      <c r="N430" s="15" t="n">
        <f aca="false">0</f>
        <v>0</v>
      </c>
      <c r="O430" s="15" t="n">
        <f aca="false">0</f>
        <v>0</v>
      </c>
      <c r="P430" s="15" t="n">
        <f aca="false">M430+N430-O430</f>
        <v>4054.34210526316</v>
      </c>
      <c r="Q430" s="15" t="n">
        <f aca="false">SUM(P425:P430)+Parametri_v3!$C$56*6/12</f>
        <v>24430.2192982456</v>
      </c>
      <c r="R430" s="15" t="n">
        <f aca="false">0</f>
        <v>0</v>
      </c>
      <c r="S430" s="15" t="n">
        <f aca="false">0</f>
        <v>0</v>
      </c>
      <c r="T430" s="15" t="n">
        <f aca="false">MIN(R430,MAX(0,Q430))</f>
        <v>0</v>
      </c>
      <c r="U430" s="15" t="n">
        <f aca="false">MIN(S430,MAX(0,Q430-T430)*Parametri_v3!$C$42)</f>
        <v>0</v>
      </c>
      <c r="V430" s="15" t="n">
        <f aca="false">MAX(0,Q430-T430-U430)*Ipotesi!$C$92</f>
        <v>5863.25263157895</v>
      </c>
      <c r="W430" s="15" t="n">
        <f aca="false">MAX(0,SUM(M425:M430)+Parametri_v3!$C$57*6/12)*Ipotesi!$C$93</f>
        <v>952.778552631579</v>
      </c>
      <c r="X430" s="15" t="n">
        <f aca="false">V430+W430-(V429+W429)</f>
        <v>1131.16144736842</v>
      </c>
      <c r="Y430" s="15" t="n">
        <f aca="false">P430-X430</f>
        <v>2923.18065789474</v>
      </c>
      <c r="Z430" s="15" t="n">
        <f aca="false">R430-T430+IF(AND(Parametri_v3!$C$40=1,D430-YEAR(Parametri_v3!$C$50)&lt;Parametri_v3!$C$41),MAX(0,-Q430),0)</f>
        <v>0</v>
      </c>
      <c r="AA430" s="15" t="n">
        <f aca="false">S430-U430+IF(AND(Parametri_v3!$C$40=1,D430-YEAR(Parametri_v3!$C$50)&lt;Parametri_v3!$C$41),0,MAX(0,-Q430))</f>
        <v>0</v>
      </c>
      <c r="AB430" s="15" t="n">
        <f aca="false">F430*(1+Parametri_v3!$C$26)</f>
        <v>19776.8421052632</v>
      </c>
      <c r="AC430" s="15" t="n">
        <f aca="false">(IF(6-(INT((Motore_Operativo!L430)/30))&lt;1,0,INDEX(Motore_Advisory!$AB$425:$AB$484,MAX(1,6-(INT((Motore_Operativo!L430)/30)))))*(1-(MOD((Motore_Operativo!L430),30)/30))+IF(6-(INT((Motore_Operativo!L430)/30))-1&lt;1,0,INDEX(Motore_Advisory!$AB$425:$AB$484,MAX(1,6-(INT((Motore_Operativo!L430)/30))-1)))*(MOD((Motore_Operativo!L430),30)/30))</f>
        <v>19776.8421052632</v>
      </c>
      <c r="AD430" s="15" t="n">
        <f aca="false">(AD429)+AB430-AC430</f>
        <v>59330.5263157895</v>
      </c>
      <c r="AE430" s="15" t="n">
        <f aca="false">Motore_Operativo!BH430*(1+Parametri_v3!$C$26)</f>
        <v>1977.68421052632</v>
      </c>
      <c r="AF430" s="15" t="n">
        <f aca="false">(IF(6-(INT((Parametri_v3!$C$29)/30))&lt;1,0,INDEX(Motore_Operativo!$BH$425:$BH$484,MAX(1,6-(INT((Parametri_v3!$C$29)/30)))))*(1-(MOD((Parametri_v3!$C$29),30)/30))+IF(6-(INT((Parametri_v3!$C$29)/30))-1&lt;1,0,INDEX(Motore_Operativo!$BH$425:$BH$484,MAX(1,6-(INT((Parametri_v3!$C$29)/30))-1)))*(MOD((Parametri_v3!$C$29),30)/30))*(1+Parametri_v3!$C$26)</f>
        <v>1977.68421052632</v>
      </c>
      <c r="AG430" s="15" t="n">
        <f aca="false">(AG429)+AE430-AF430</f>
        <v>1977.68421052632</v>
      </c>
      <c r="AH430" s="15" t="n">
        <f aca="false">(Motore_Operativo!CK430)*(1+Parametri_v3!$C$28*Parametri_v3!$C$26)</f>
        <v>6166.3147368421</v>
      </c>
      <c r="AI430" s="15" t="n">
        <f aca="false">(IF(6-(INT((Ipotesi!$C$91)/30))&lt;1,0,INDEX(Motore_Advisory!$AH$425:$AH$484,MAX(1,6-(INT((Ipotesi!$C$91)/30)))))*(1-(MOD((Ipotesi!$C$91),30)/30))+IF(6-(INT((Ipotesi!$C$91)/30))-1&lt;1,0,INDEX(Motore_Advisory!$AH$425:$AH$484,MAX(1,6-(INT((Ipotesi!$C$91)/30))-1)))*(MOD((Ipotesi!$C$91),30)/30))</f>
        <v>6166.3147368421</v>
      </c>
      <c r="AJ430" s="15" t="n">
        <f aca="false">(AJ429)+AH430-AI430</f>
        <v>12332.6294736842</v>
      </c>
      <c r="AK430" s="15" t="n">
        <f aca="false">(F430- Motore_Operativo!BH430-(Motore_Operativo!CK430)*Parametri_v3!$C$28-Motore_Operativo!CF430)*Parametri_v3!$C$26</f>
        <v>2231.83438596491</v>
      </c>
      <c r="AL430" s="15" t="n">
        <f aca="false">MAX(0,(AM429))</f>
        <v>2231.83438596491</v>
      </c>
      <c r="AM430" s="15" t="n">
        <f aca="false">(AM429)+AK430-AL430</f>
        <v>2231.83438596491</v>
      </c>
      <c r="AN430" s="15" t="n">
        <f aca="false">0</f>
        <v>0</v>
      </c>
      <c r="AO430" s="15" t="n">
        <f aca="false">0</f>
        <v>0</v>
      </c>
      <c r="AP430" s="15" t="n">
        <f aca="false">MAX(0,AN430)*IF(6=Parametri_v3!$C$43,Parametri_v3!$C$45,IF(6=Parametri_v3!$C$44,1-Parametri_v3!$C$45,0))</f>
        <v>0</v>
      </c>
      <c r="AQ430" s="15" t="n">
        <f aca="false">MAX(0,AP430+IF(6=Parametri_v3!$C$43,MAX(0,AN430-AO430),0)-MAX(0,-(AR429)))</f>
        <v>0</v>
      </c>
      <c r="AR430" s="15" t="n">
        <f aca="false">(AR429)+X430-AQ430</f>
        <v>6816.03118421053</v>
      </c>
      <c r="AS430" s="15" t="n">
        <f aca="false">Motore_Operativo!AC430-AT430+AU430</f>
        <v>4987.5</v>
      </c>
      <c r="AT430" s="15" t="n">
        <f aca="false">Motore_Operativo!CI430</f>
        <v>262.5</v>
      </c>
      <c r="AU430" s="15" t="n">
        <f aca="false">MIN(MAX(0,(AV429)+AT430),Parametri_v3!$C$61/12)</f>
        <v>0</v>
      </c>
      <c r="AV430" s="15" t="n">
        <f aca="false">(AV429)+AT430-AU430</f>
        <v>1575</v>
      </c>
      <c r="AW430" s="15" t="n">
        <f aca="false">IF(AND(Motore_Operativo!C430=Finanziamenti!$D$7,Finanziamenti!$F$7=1),Finanziamenti!$C$7,0)</f>
        <v>0</v>
      </c>
      <c r="AX430" s="15" t="n">
        <f aca="false">0</f>
        <v>0</v>
      </c>
      <c r="AY430" s="15" t="n">
        <f aca="false">IF(6=Parametri_v3!$C$33,IF(BV430&lt;MIN(12,$B430-1),0,MIN(MAX(0,0)*Ipotesi!$C$94,MAX(0,(0)-(BO429)-BP430),MAX(0,BD430-Parametri_v3!$C$31))),0)</f>
        <v>0</v>
      </c>
      <c r="AZ430" s="15" t="n">
        <f aca="false">0</f>
        <v>0</v>
      </c>
      <c r="BA430" s="15" t="n">
        <f aca="false">0</f>
        <v>0</v>
      </c>
      <c r="BB430" s="15" t="n">
        <f aca="false">0</f>
        <v>0</v>
      </c>
      <c r="BC430" s="15" t="n">
        <f aca="false">0</f>
        <v>0</v>
      </c>
      <c r="BD430" s="15" t="n">
        <f aca="false">(BH429)+AC430-AF430-AI430-AS430-K430*(1+Parametri_v3!$C$26)-AL430-AQ430-O430+AW430+AX430+AZ430+BA430-BB430</f>
        <v>1862.67438596491</v>
      </c>
      <c r="BE430" s="15" t="n">
        <f aca="false">0</f>
        <v>0</v>
      </c>
      <c r="BF430" s="15" t="n">
        <f aca="false">0</f>
        <v>0</v>
      </c>
      <c r="BG430" s="15" t="n">
        <f aca="false">0</f>
        <v>0</v>
      </c>
      <c r="BH430" s="15" t="n">
        <f aca="false">BD430+BE430-BF430-AY430</f>
        <v>1862.67438596491</v>
      </c>
      <c r="BI430" s="15" t="n">
        <f aca="false">MAX(0,Parametri_v3!$C$31-BH430)</f>
        <v>8137.32561403509</v>
      </c>
      <c r="BJ430" s="15" t="n">
        <f aca="false">(BJ429)+K430</f>
        <v>1500</v>
      </c>
      <c r="BK430" s="15" t="n">
        <f aca="false">(BK429)+L430</f>
        <v>145.833333333333</v>
      </c>
      <c r="BL430" s="15" t="n">
        <f aca="false">BJ430-BK430</f>
        <v>1354.16666666667</v>
      </c>
      <c r="BM430" s="15" t="n">
        <f aca="false">(BM429)+Y430</f>
        <v>17614.1881140351</v>
      </c>
      <c r="BN430" s="15" t="n">
        <f aca="false">(BN429)+AW430+AX430+AZ430</f>
        <v>20000</v>
      </c>
      <c r="BO430" s="15" t="n">
        <f aca="false">(BO429)+AY430</f>
        <v>0</v>
      </c>
      <c r="BP430" s="15" t="n">
        <f aca="false">MIN(Parametri_v3!$C$36*Parametri_v3!$C$35,(BP429)+IF(6=1,MAX(0,0)*Parametri_v3!$C$34,0))</f>
        <v>0</v>
      </c>
      <c r="BQ430" s="15" t="n">
        <f aca="false">BN430+BM430-BO430</f>
        <v>37614.1881140351</v>
      </c>
      <c r="BR430" s="15" t="n">
        <f aca="false">BH430+AD430+BL430+MAX(0,-AM430)+MAX(0,-AR430)</f>
        <v>62547.367368421</v>
      </c>
      <c r="BS430" s="15" t="n">
        <f aca="false">AJ430+AV430+MAX(0,AM430)+MAX(0,AR430)+BC430+BG430+BQ430+AG430</f>
        <v>62547.367368421</v>
      </c>
      <c r="BT430" s="15" t="n">
        <f aca="false">BR430-BS430</f>
        <v>0</v>
      </c>
      <c r="BU430" s="15" t="n">
        <f aca="false">BH430-(BD430+BE430-BF430-AY430)</f>
        <v>0</v>
      </c>
      <c r="BV430" s="15" t="n">
        <f aca="false">IF(BH429&lt;Parametri_v3!$C$31,0,BV429+1)</f>
        <v>0</v>
      </c>
    </row>
    <row r="431" customFormat="false" ht="18" hidden="false" customHeight="true" outlineLevel="0" collapsed="false">
      <c r="A431" s="68" t="n">
        <f aca="false">8</f>
        <v>8</v>
      </c>
      <c r="B431" s="68" t="n">
        <f aca="false">7</f>
        <v>7</v>
      </c>
      <c r="C431" s="18" t="n">
        <f aca="false">Motore_Operativo!C431</f>
        <v>46569</v>
      </c>
      <c r="D431" s="68" t="n">
        <f aca="false">Motore_Operativo!D431</f>
        <v>2027</v>
      </c>
      <c r="E431" s="68" t="n">
        <f aca="false">Motore_Operativo!E431</f>
        <v>7</v>
      </c>
      <c r="F431" s="15" t="n">
        <f aca="false">Motore_Operativo!AM431</f>
        <v>16210.5263157895</v>
      </c>
      <c r="G431" s="15" t="n">
        <f aca="false">Motore_Operativo!BH431</f>
        <v>1621.05263157895</v>
      </c>
      <c r="H431" s="15" t="n">
        <f aca="false">Motore_Operativo!AM431</f>
        <v>16210.5263157895</v>
      </c>
      <c r="I431" s="15" t="n">
        <f aca="false">Motore_Operativo!CB431</f>
        <v>12114.5175438596</v>
      </c>
      <c r="J431" s="15" t="n">
        <f aca="false">Motore_Operativo!CD431</f>
        <v>4096.00877192982</v>
      </c>
      <c r="K431" s="15" t="n">
        <f aca="false">Motore_Operativo!CF431</f>
        <v>250</v>
      </c>
      <c r="L431" s="15" t="n">
        <f aca="false">SUM(INDEX($K$425:$K$484,MAX(1,7-Parametri_v3!$C$59+1)):K431)/Parametri_v3!$C$59</f>
        <v>48.6111111111111</v>
      </c>
      <c r="M431" s="15" t="n">
        <f aca="false">J431-L431</f>
        <v>4047.39766081871</v>
      </c>
      <c r="N431" s="15" t="n">
        <f aca="false">0</f>
        <v>0</v>
      </c>
      <c r="O431" s="15" t="n">
        <f aca="false">0</f>
        <v>0</v>
      </c>
      <c r="P431" s="15" t="n">
        <f aca="false">M431+N431-O431</f>
        <v>4047.39766081871</v>
      </c>
      <c r="Q431" s="15" t="n">
        <f aca="false">SUM(P425:P431)+Parametri_v3!$C$56*7/12</f>
        <v>28477.6169590643</v>
      </c>
      <c r="R431" s="15" t="n">
        <f aca="false">0</f>
        <v>0</v>
      </c>
      <c r="S431" s="15" t="n">
        <f aca="false">0</f>
        <v>0</v>
      </c>
      <c r="T431" s="15" t="n">
        <f aca="false">MIN(R431,MAX(0,Q431))</f>
        <v>0</v>
      </c>
      <c r="U431" s="15" t="n">
        <f aca="false">MIN(S431,MAX(0,Q431-T431)*Parametri_v3!$C$42)</f>
        <v>0</v>
      </c>
      <c r="V431" s="15" t="n">
        <f aca="false">MAX(0,Q431-T431-U431)*Ipotesi!$C$92</f>
        <v>6834.62807017544</v>
      </c>
      <c r="W431" s="15" t="n">
        <f aca="false">MAX(0,SUM(M425:M431)+Parametri_v3!$C$57*7/12)*Ipotesi!$C$93</f>
        <v>1110.62706140351</v>
      </c>
      <c r="X431" s="15" t="n">
        <f aca="false">V431+W431-(V430+W430)</f>
        <v>1129.22394736842</v>
      </c>
      <c r="Y431" s="15" t="n">
        <f aca="false">P431-X431</f>
        <v>2918.17371345029</v>
      </c>
      <c r="Z431" s="15" t="n">
        <f aca="false">R431-T431+IF(AND(Parametri_v3!$C$40=1,D431-YEAR(Parametri_v3!$C$50)&lt;Parametri_v3!$C$41),MAX(0,-Q431),0)</f>
        <v>0</v>
      </c>
      <c r="AA431" s="15" t="n">
        <f aca="false">S431-U431+IF(AND(Parametri_v3!$C$40=1,D431-YEAR(Parametri_v3!$C$50)&lt;Parametri_v3!$C$41),0,MAX(0,-Q431))</f>
        <v>0</v>
      </c>
      <c r="AB431" s="15" t="n">
        <f aca="false">F431*(1+Parametri_v3!$C$26)</f>
        <v>19776.8421052632</v>
      </c>
      <c r="AC431" s="15" t="n">
        <f aca="false">(IF(7-(INT((Motore_Operativo!L431)/30))&lt;1,0,INDEX(Motore_Advisory!$AB$425:$AB$484,MAX(1,7-(INT((Motore_Operativo!L431)/30)))))*(1-(MOD((Motore_Operativo!L431),30)/30))+IF(7-(INT((Motore_Operativo!L431)/30))-1&lt;1,0,INDEX(Motore_Advisory!$AB$425:$AB$484,MAX(1,7-(INT((Motore_Operativo!L431)/30))-1)))*(MOD((Motore_Operativo!L431),30)/30))</f>
        <v>19776.8421052632</v>
      </c>
      <c r="AD431" s="15" t="n">
        <f aca="false">(AD430)+AB431-AC431</f>
        <v>59330.5263157895</v>
      </c>
      <c r="AE431" s="15" t="n">
        <f aca="false">Motore_Operativo!BH431*(1+Parametri_v3!$C$26)</f>
        <v>1977.68421052632</v>
      </c>
      <c r="AF431" s="15" t="n">
        <f aca="false">(IF(7-(INT((Parametri_v3!$C$29)/30))&lt;1,0,INDEX(Motore_Operativo!$BH$425:$BH$484,MAX(1,7-(INT((Parametri_v3!$C$29)/30)))))*(1-(MOD((Parametri_v3!$C$29),30)/30))+IF(7-(INT((Parametri_v3!$C$29)/30))-1&lt;1,0,INDEX(Motore_Operativo!$BH$425:$BH$484,MAX(1,7-(INT((Parametri_v3!$C$29)/30))-1)))*(MOD((Parametri_v3!$C$29),30)/30))*(1+Parametri_v3!$C$26)</f>
        <v>1977.68421052632</v>
      </c>
      <c r="AG431" s="15" t="n">
        <f aca="false">(AG430)+AE431-AF431</f>
        <v>1977.68421052632</v>
      </c>
      <c r="AH431" s="15" t="n">
        <f aca="false">(Motore_Operativo!CK431)*(1+Parametri_v3!$C$28*Parametri_v3!$C$26)</f>
        <v>6166.3147368421</v>
      </c>
      <c r="AI431" s="15" t="n">
        <f aca="false">(IF(7-(INT((Ipotesi!$C$91)/30))&lt;1,0,INDEX(Motore_Advisory!$AH$425:$AH$484,MAX(1,7-(INT((Ipotesi!$C$91)/30)))))*(1-(MOD((Ipotesi!$C$91),30)/30))+IF(7-(INT((Ipotesi!$C$91)/30))-1&lt;1,0,INDEX(Motore_Advisory!$AH$425:$AH$484,MAX(1,7-(INT((Ipotesi!$C$91)/30))-1)))*(MOD((Ipotesi!$C$91),30)/30))</f>
        <v>6166.3147368421</v>
      </c>
      <c r="AJ431" s="15" t="n">
        <f aca="false">(AJ430)+AH431-AI431</f>
        <v>12332.6294736842</v>
      </c>
      <c r="AK431" s="15" t="n">
        <f aca="false">(F431- Motore_Operativo!BH431-(Motore_Operativo!CK431)*Parametri_v3!$C$28-Motore_Operativo!CF431)*Parametri_v3!$C$26</f>
        <v>2231.83438596491</v>
      </c>
      <c r="AL431" s="15" t="n">
        <f aca="false">MAX(0,(AM430))</f>
        <v>2231.83438596491</v>
      </c>
      <c r="AM431" s="15" t="n">
        <f aca="false">(AM430)+AK431-AL431</f>
        <v>2231.83438596491</v>
      </c>
      <c r="AN431" s="15" t="n">
        <f aca="false">0</f>
        <v>0</v>
      </c>
      <c r="AO431" s="15" t="n">
        <f aca="false">0</f>
        <v>0</v>
      </c>
      <c r="AP431" s="15" t="n">
        <f aca="false">MAX(0,AN431)*IF(7=Parametri_v3!$C$43,Parametri_v3!$C$45,IF(7=Parametri_v3!$C$44,1-Parametri_v3!$C$45,0))</f>
        <v>0</v>
      </c>
      <c r="AQ431" s="15" t="n">
        <f aca="false">MAX(0,AP431+IF(7=Parametri_v3!$C$43,MAX(0,AN431-AO431),0)-MAX(0,-(AR430)))</f>
        <v>0</v>
      </c>
      <c r="AR431" s="15" t="n">
        <f aca="false">(AR430)+X431-AQ431</f>
        <v>7945.25513157895</v>
      </c>
      <c r="AS431" s="15" t="n">
        <f aca="false">Motore_Operativo!AC431-AT431+AU431</f>
        <v>4987.5</v>
      </c>
      <c r="AT431" s="15" t="n">
        <f aca="false">Motore_Operativo!CI431</f>
        <v>262.5</v>
      </c>
      <c r="AU431" s="15" t="n">
        <f aca="false">MIN(MAX(0,(AV430)+AT431),Parametri_v3!$C$61/12)</f>
        <v>0</v>
      </c>
      <c r="AV431" s="15" t="n">
        <f aca="false">(AV430)+AT431-AU431</f>
        <v>1837.5</v>
      </c>
      <c r="AW431" s="15" t="n">
        <f aca="false">IF(AND(Motore_Operativo!C431=Finanziamenti!$D$7,Finanziamenti!$F$7=1),Finanziamenti!$C$7,0)</f>
        <v>0</v>
      </c>
      <c r="AX431" s="15" t="n">
        <f aca="false">0</f>
        <v>0</v>
      </c>
      <c r="AY431" s="15" t="n">
        <f aca="false">IF(7=Parametri_v3!$C$33,IF(BV431&lt;MIN(12,$B431-1),0,MIN(MAX(0,0)*Ipotesi!$C$94,MAX(0,(0)-(BO430)-BP431),MAX(0,BD431-Parametri_v3!$C$31))),0)</f>
        <v>0</v>
      </c>
      <c r="AZ431" s="15" t="n">
        <f aca="false">0</f>
        <v>0</v>
      </c>
      <c r="BA431" s="15" t="n">
        <f aca="false">0</f>
        <v>0</v>
      </c>
      <c r="BB431" s="15" t="n">
        <f aca="false">0</f>
        <v>0</v>
      </c>
      <c r="BC431" s="15" t="n">
        <f aca="false">0</f>
        <v>0</v>
      </c>
      <c r="BD431" s="15" t="n">
        <f aca="false">(BH430)+AC431-AF431-AI431-AS431-K431*(1+Parametri_v3!$C$26)-AL431-AQ431-O431+AW431+AX431+AZ431+BA431-BB431</f>
        <v>5971.18315789473</v>
      </c>
      <c r="BE431" s="15" t="n">
        <f aca="false">0</f>
        <v>0</v>
      </c>
      <c r="BF431" s="15" t="n">
        <f aca="false">0</f>
        <v>0</v>
      </c>
      <c r="BG431" s="15" t="n">
        <f aca="false">0</f>
        <v>0</v>
      </c>
      <c r="BH431" s="15" t="n">
        <f aca="false">BD431+BE431-BF431-AY431</f>
        <v>5971.18315789473</v>
      </c>
      <c r="BI431" s="15" t="n">
        <f aca="false">MAX(0,Parametri_v3!$C$31-BH431)</f>
        <v>4028.81684210527</v>
      </c>
      <c r="BJ431" s="15" t="n">
        <f aca="false">(BJ430)+K431</f>
        <v>1750</v>
      </c>
      <c r="BK431" s="15" t="n">
        <f aca="false">(BK430)+L431</f>
        <v>194.444444444444</v>
      </c>
      <c r="BL431" s="15" t="n">
        <f aca="false">BJ431-BK431</f>
        <v>1555.55555555556</v>
      </c>
      <c r="BM431" s="15" t="n">
        <f aca="false">(BM430)+Y431</f>
        <v>20532.3618274854</v>
      </c>
      <c r="BN431" s="15" t="n">
        <f aca="false">(BN430)+AW431+AX431+AZ431</f>
        <v>20000</v>
      </c>
      <c r="BO431" s="15" t="n">
        <f aca="false">(BO430)+AY431</f>
        <v>0</v>
      </c>
      <c r="BP431" s="15" t="n">
        <f aca="false">MIN(Parametri_v3!$C$36*Parametri_v3!$C$35,(BP430)+IF(7=1,MAX(0,0)*Parametri_v3!$C$34,0))</f>
        <v>0</v>
      </c>
      <c r="BQ431" s="15" t="n">
        <f aca="false">BN431+BM431-BO431</f>
        <v>40532.3618274854</v>
      </c>
      <c r="BR431" s="15" t="n">
        <f aca="false">BH431+AD431+BL431+MAX(0,-AM431)+MAX(0,-AR431)</f>
        <v>66857.2650292398</v>
      </c>
      <c r="BS431" s="15" t="n">
        <f aca="false">AJ431+AV431+MAX(0,AM431)+MAX(0,AR431)+BC431+BG431+BQ431+AG431</f>
        <v>66857.2650292398</v>
      </c>
      <c r="BT431" s="15" t="n">
        <f aca="false">BR431-BS431</f>
        <v>0</v>
      </c>
      <c r="BU431" s="15" t="n">
        <f aca="false">BH431-(BD431+BE431-BF431-AY431)</f>
        <v>0</v>
      </c>
      <c r="BV431" s="15" t="n">
        <f aca="false">IF(BH430&lt;Parametri_v3!$C$31,0,BV430+1)</f>
        <v>0</v>
      </c>
    </row>
    <row r="432" customFormat="false" ht="18" hidden="false" customHeight="true" outlineLevel="0" collapsed="false">
      <c r="A432" s="68" t="n">
        <f aca="false">8</f>
        <v>8</v>
      </c>
      <c r="B432" s="68" t="n">
        <f aca="false">8</f>
        <v>8</v>
      </c>
      <c r="C432" s="18" t="n">
        <f aca="false">Motore_Operativo!C432</f>
        <v>46600</v>
      </c>
      <c r="D432" s="68" t="n">
        <f aca="false">Motore_Operativo!D432</f>
        <v>2027</v>
      </c>
      <c r="E432" s="68" t="n">
        <f aca="false">Motore_Operativo!E432</f>
        <v>8</v>
      </c>
      <c r="F432" s="15" t="n">
        <f aca="false">Motore_Operativo!AM432</f>
        <v>16210.5263157895</v>
      </c>
      <c r="G432" s="15" t="n">
        <f aca="false">Motore_Operativo!BH432</f>
        <v>1621.05263157895</v>
      </c>
      <c r="H432" s="15" t="n">
        <f aca="false">Motore_Operativo!AM432</f>
        <v>16210.5263157895</v>
      </c>
      <c r="I432" s="15" t="n">
        <f aca="false">Motore_Operativo!CB432</f>
        <v>12114.5175438596</v>
      </c>
      <c r="J432" s="15" t="n">
        <f aca="false">Motore_Operativo!CD432</f>
        <v>4096.00877192982</v>
      </c>
      <c r="K432" s="15" t="n">
        <f aca="false">Motore_Operativo!CF432</f>
        <v>250</v>
      </c>
      <c r="L432" s="15" t="n">
        <f aca="false">SUM(INDEX($K$425:$K$484,MAX(1,8-Parametri_v3!$C$59+1)):K432)/Parametri_v3!$C$59</f>
        <v>55.5555555555556</v>
      </c>
      <c r="M432" s="15" t="n">
        <f aca="false">J432-L432</f>
        <v>4040.45321637427</v>
      </c>
      <c r="N432" s="15" t="n">
        <f aca="false">0</f>
        <v>0</v>
      </c>
      <c r="O432" s="15" t="n">
        <f aca="false">0</f>
        <v>0</v>
      </c>
      <c r="P432" s="15" t="n">
        <f aca="false">M432+N432-O432</f>
        <v>4040.45321637427</v>
      </c>
      <c r="Q432" s="15" t="n">
        <f aca="false">SUM(P425:P432)+Parametri_v3!$C$56*8/12</f>
        <v>32518.0701754386</v>
      </c>
      <c r="R432" s="15" t="n">
        <f aca="false">0</f>
        <v>0</v>
      </c>
      <c r="S432" s="15" t="n">
        <f aca="false">0</f>
        <v>0</v>
      </c>
      <c r="T432" s="15" t="n">
        <f aca="false">MIN(R432,MAX(0,Q432))</f>
        <v>0</v>
      </c>
      <c r="U432" s="15" t="n">
        <f aca="false">MIN(S432,MAX(0,Q432-T432)*Parametri_v3!$C$42)</f>
        <v>0</v>
      </c>
      <c r="V432" s="15" t="n">
        <f aca="false">MAX(0,Q432-T432-U432)*Ipotesi!$C$92</f>
        <v>7804.33684210526</v>
      </c>
      <c r="W432" s="15" t="n">
        <f aca="false">MAX(0,SUM(M425:M432)+Parametri_v3!$C$57*8/12)*Ipotesi!$C$93</f>
        <v>1268.20473684211</v>
      </c>
      <c r="X432" s="15" t="n">
        <f aca="false">V432+W432-(V431+W431)</f>
        <v>1127.28644736842</v>
      </c>
      <c r="Y432" s="15" t="n">
        <f aca="false">P432-X432</f>
        <v>2913.16676900585</v>
      </c>
      <c r="Z432" s="15" t="n">
        <f aca="false">R432-T432+IF(AND(Parametri_v3!$C$40=1,D432-YEAR(Parametri_v3!$C$50)&lt;Parametri_v3!$C$41),MAX(0,-Q432),0)</f>
        <v>0</v>
      </c>
      <c r="AA432" s="15" t="n">
        <f aca="false">S432-U432+IF(AND(Parametri_v3!$C$40=1,D432-YEAR(Parametri_v3!$C$50)&lt;Parametri_v3!$C$41),0,MAX(0,-Q432))</f>
        <v>0</v>
      </c>
      <c r="AB432" s="15" t="n">
        <f aca="false">F432*(1+Parametri_v3!$C$26)</f>
        <v>19776.8421052632</v>
      </c>
      <c r="AC432" s="15" t="n">
        <f aca="false">(IF(8-(INT((Motore_Operativo!L432)/30))&lt;1,0,INDEX(Motore_Advisory!$AB$425:$AB$484,MAX(1,8-(INT((Motore_Operativo!L432)/30)))))*(1-(MOD((Motore_Operativo!L432),30)/30))+IF(8-(INT((Motore_Operativo!L432)/30))-1&lt;1,0,INDEX(Motore_Advisory!$AB$425:$AB$484,MAX(1,8-(INT((Motore_Operativo!L432)/30))-1)))*(MOD((Motore_Operativo!L432),30)/30))</f>
        <v>19776.8421052632</v>
      </c>
      <c r="AD432" s="15" t="n">
        <f aca="false">(AD431)+AB432-AC432</f>
        <v>59330.5263157895</v>
      </c>
      <c r="AE432" s="15" t="n">
        <f aca="false">Motore_Operativo!BH432*(1+Parametri_v3!$C$26)</f>
        <v>1977.68421052632</v>
      </c>
      <c r="AF432" s="15" t="n">
        <f aca="false">(IF(8-(INT((Parametri_v3!$C$29)/30))&lt;1,0,INDEX(Motore_Operativo!$BH$425:$BH$484,MAX(1,8-(INT((Parametri_v3!$C$29)/30)))))*(1-(MOD((Parametri_v3!$C$29),30)/30))+IF(8-(INT((Parametri_v3!$C$29)/30))-1&lt;1,0,INDEX(Motore_Operativo!$BH$425:$BH$484,MAX(1,8-(INT((Parametri_v3!$C$29)/30))-1)))*(MOD((Parametri_v3!$C$29),30)/30))*(1+Parametri_v3!$C$26)</f>
        <v>1977.68421052632</v>
      </c>
      <c r="AG432" s="15" t="n">
        <f aca="false">(AG431)+AE432-AF432</f>
        <v>1977.68421052632</v>
      </c>
      <c r="AH432" s="15" t="n">
        <f aca="false">(Motore_Operativo!CK432)*(1+Parametri_v3!$C$28*Parametri_v3!$C$26)</f>
        <v>6166.3147368421</v>
      </c>
      <c r="AI432" s="15" t="n">
        <f aca="false">(IF(8-(INT((Ipotesi!$C$91)/30))&lt;1,0,INDEX(Motore_Advisory!$AH$425:$AH$484,MAX(1,8-(INT((Ipotesi!$C$91)/30)))))*(1-(MOD((Ipotesi!$C$91),30)/30))+IF(8-(INT((Ipotesi!$C$91)/30))-1&lt;1,0,INDEX(Motore_Advisory!$AH$425:$AH$484,MAX(1,8-(INT((Ipotesi!$C$91)/30))-1)))*(MOD((Ipotesi!$C$91),30)/30))</f>
        <v>6166.3147368421</v>
      </c>
      <c r="AJ432" s="15" t="n">
        <f aca="false">(AJ431)+AH432-AI432</f>
        <v>12332.6294736842</v>
      </c>
      <c r="AK432" s="15" t="n">
        <f aca="false">(F432- Motore_Operativo!BH432-(Motore_Operativo!CK432)*Parametri_v3!$C$28-Motore_Operativo!CF432)*Parametri_v3!$C$26</f>
        <v>2231.83438596491</v>
      </c>
      <c r="AL432" s="15" t="n">
        <f aca="false">MAX(0,(AM431))</f>
        <v>2231.83438596491</v>
      </c>
      <c r="AM432" s="15" t="n">
        <f aca="false">(AM431)+AK432-AL432</f>
        <v>2231.83438596491</v>
      </c>
      <c r="AN432" s="15" t="n">
        <f aca="false">0</f>
        <v>0</v>
      </c>
      <c r="AO432" s="15" t="n">
        <f aca="false">0</f>
        <v>0</v>
      </c>
      <c r="AP432" s="15" t="n">
        <f aca="false">MAX(0,AN432)*IF(8=Parametri_v3!$C$43,Parametri_v3!$C$45,IF(8=Parametri_v3!$C$44,1-Parametri_v3!$C$45,0))</f>
        <v>0</v>
      </c>
      <c r="AQ432" s="15" t="n">
        <f aca="false">MAX(0,AP432+IF(8=Parametri_v3!$C$43,MAX(0,AN432-AO432),0)-MAX(0,-(AR431)))</f>
        <v>0</v>
      </c>
      <c r="AR432" s="15" t="n">
        <f aca="false">(AR431)+X432-AQ432</f>
        <v>9072.54157894737</v>
      </c>
      <c r="AS432" s="15" t="n">
        <f aca="false">Motore_Operativo!AC432-AT432+AU432</f>
        <v>4987.5</v>
      </c>
      <c r="AT432" s="15" t="n">
        <f aca="false">Motore_Operativo!CI432</f>
        <v>262.5</v>
      </c>
      <c r="AU432" s="15" t="n">
        <f aca="false">MIN(MAX(0,(AV431)+AT432),Parametri_v3!$C$61/12)</f>
        <v>0</v>
      </c>
      <c r="AV432" s="15" t="n">
        <f aca="false">(AV431)+AT432-AU432</f>
        <v>2100</v>
      </c>
      <c r="AW432" s="15" t="n">
        <f aca="false">IF(AND(Motore_Operativo!C432=Finanziamenti!$D$7,Finanziamenti!$F$7=1),Finanziamenti!$C$7,0)</f>
        <v>0</v>
      </c>
      <c r="AX432" s="15" t="n">
        <f aca="false">0</f>
        <v>0</v>
      </c>
      <c r="AY432" s="15" t="n">
        <f aca="false">IF(8=Parametri_v3!$C$33,IF(BV432&lt;MIN(12,$B432-1),0,MIN(MAX(0,0)*Ipotesi!$C$94,MAX(0,(0)-(BO431)-BP432),MAX(0,BD432-Parametri_v3!$C$31))),0)</f>
        <v>0</v>
      </c>
      <c r="AZ432" s="15" t="n">
        <f aca="false">0</f>
        <v>0</v>
      </c>
      <c r="BA432" s="15" t="n">
        <f aca="false">0</f>
        <v>0</v>
      </c>
      <c r="BB432" s="15" t="n">
        <f aca="false">0</f>
        <v>0</v>
      </c>
      <c r="BC432" s="15" t="n">
        <f aca="false">0</f>
        <v>0</v>
      </c>
      <c r="BD432" s="15" t="n">
        <f aca="false">(BH431)+AC432-AF432-AI432-AS432-K432*(1+Parametri_v3!$C$26)-AL432-AQ432-O432+AW432+AX432+AZ432+BA432-BB432</f>
        <v>10079.6919298246</v>
      </c>
      <c r="BE432" s="15" t="n">
        <f aca="false">0</f>
        <v>0</v>
      </c>
      <c r="BF432" s="15" t="n">
        <f aca="false">0</f>
        <v>0</v>
      </c>
      <c r="BG432" s="15" t="n">
        <f aca="false">0</f>
        <v>0</v>
      </c>
      <c r="BH432" s="15" t="n">
        <f aca="false">BD432+BE432-BF432-AY432</f>
        <v>10079.6919298246</v>
      </c>
      <c r="BI432" s="15" t="n">
        <f aca="false">MAX(0,Parametri_v3!$C$31-BH432)</f>
        <v>0</v>
      </c>
      <c r="BJ432" s="15" t="n">
        <f aca="false">(BJ431)+K432</f>
        <v>2000</v>
      </c>
      <c r="BK432" s="15" t="n">
        <f aca="false">(BK431)+L432</f>
        <v>250</v>
      </c>
      <c r="BL432" s="15" t="n">
        <f aca="false">BJ432-BK432</f>
        <v>1750</v>
      </c>
      <c r="BM432" s="15" t="n">
        <f aca="false">(BM431)+Y432</f>
        <v>23445.5285964912</v>
      </c>
      <c r="BN432" s="15" t="n">
        <f aca="false">(BN431)+AW432+AX432+AZ432</f>
        <v>20000</v>
      </c>
      <c r="BO432" s="15" t="n">
        <f aca="false">(BO431)+AY432</f>
        <v>0</v>
      </c>
      <c r="BP432" s="15" t="n">
        <f aca="false">MIN(Parametri_v3!$C$36*Parametri_v3!$C$35,(BP431)+IF(8=1,MAX(0,0)*Parametri_v3!$C$34,0))</f>
        <v>0</v>
      </c>
      <c r="BQ432" s="15" t="n">
        <f aca="false">BN432+BM432-BO432</f>
        <v>43445.5285964912</v>
      </c>
      <c r="BR432" s="15" t="n">
        <f aca="false">BH432+AD432+BL432+MAX(0,-AM432)+MAX(0,-AR432)</f>
        <v>71160.218245614</v>
      </c>
      <c r="BS432" s="15" t="n">
        <f aca="false">AJ432+AV432+MAX(0,AM432)+MAX(0,AR432)+BC432+BG432+BQ432+AG432</f>
        <v>71160.218245614</v>
      </c>
      <c r="BT432" s="15" t="n">
        <f aca="false">BR432-BS432</f>
        <v>0</v>
      </c>
      <c r="BU432" s="15" t="n">
        <f aca="false">BH432-(BD432+BE432-BF432-AY432)</f>
        <v>0</v>
      </c>
      <c r="BV432" s="15" t="n">
        <f aca="false">IF(BH431&lt;Parametri_v3!$C$31,0,BV431+1)</f>
        <v>0</v>
      </c>
    </row>
    <row r="433" customFormat="false" ht="18" hidden="false" customHeight="true" outlineLevel="0" collapsed="false">
      <c r="A433" s="68" t="n">
        <f aca="false">8</f>
        <v>8</v>
      </c>
      <c r="B433" s="68" t="n">
        <f aca="false">9</f>
        <v>9</v>
      </c>
      <c r="C433" s="18" t="n">
        <f aca="false">Motore_Operativo!C433</f>
        <v>46631</v>
      </c>
      <c r="D433" s="68" t="n">
        <f aca="false">Motore_Operativo!D433</f>
        <v>2027</v>
      </c>
      <c r="E433" s="68" t="n">
        <f aca="false">Motore_Operativo!E433</f>
        <v>9</v>
      </c>
      <c r="F433" s="15" t="n">
        <f aca="false">Motore_Operativo!AM433</f>
        <v>16210.5263157895</v>
      </c>
      <c r="G433" s="15" t="n">
        <f aca="false">Motore_Operativo!BH433</f>
        <v>1621.05263157895</v>
      </c>
      <c r="H433" s="15" t="n">
        <f aca="false">Motore_Operativo!AM433</f>
        <v>16210.5263157895</v>
      </c>
      <c r="I433" s="15" t="n">
        <f aca="false">Motore_Operativo!CB433</f>
        <v>12114.5175438596</v>
      </c>
      <c r="J433" s="15" t="n">
        <f aca="false">Motore_Operativo!CD433</f>
        <v>4096.00877192982</v>
      </c>
      <c r="K433" s="15" t="n">
        <f aca="false">Motore_Operativo!CF433</f>
        <v>250</v>
      </c>
      <c r="L433" s="15" t="n">
        <f aca="false">SUM(INDEX($K$425:$K$484,MAX(1,9-Parametri_v3!$C$59+1)):K433)/Parametri_v3!$C$59</f>
        <v>62.5</v>
      </c>
      <c r="M433" s="15" t="n">
        <f aca="false">J433-L433</f>
        <v>4033.50877192982</v>
      </c>
      <c r="N433" s="15" t="n">
        <f aca="false">0</f>
        <v>0</v>
      </c>
      <c r="O433" s="15" t="n">
        <f aca="false">0</f>
        <v>0</v>
      </c>
      <c r="P433" s="15" t="n">
        <f aca="false">M433+N433-O433</f>
        <v>4033.50877192982</v>
      </c>
      <c r="Q433" s="15" t="n">
        <f aca="false">SUM(P425:P433)+Parametri_v3!$C$56*9/12</f>
        <v>36551.5789473684</v>
      </c>
      <c r="R433" s="15" t="n">
        <f aca="false">0</f>
        <v>0</v>
      </c>
      <c r="S433" s="15" t="n">
        <f aca="false">0</f>
        <v>0</v>
      </c>
      <c r="T433" s="15" t="n">
        <f aca="false">MIN(R433,MAX(0,Q433))</f>
        <v>0</v>
      </c>
      <c r="U433" s="15" t="n">
        <f aca="false">MIN(S433,MAX(0,Q433-T433)*Parametri_v3!$C$42)</f>
        <v>0</v>
      </c>
      <c r="V433" s="15" t="n">
        <f aca="false">MAX(0,Q433-T433-U433)*Ipotesi!$C$92</f>
        <v>8772.37894736842</v>
      </c>
      <c r="W433" s="15" t="n">
        <f aca="false">MAX(0,SUM(M425:M433)+Parametri_v3!$C$57*9/12)*Ipotesi!$C$93</f>
        <v>1425.51157894737</v>
      </c>
      <c r="X433" s="15" t="n">
        <f aca="false">V433+W433-(V432+W432)</f>
        <v>1125.34894736842</v>
      </c>
      <c r="Y433" s="15" t="n">
        <f aca="false">P433-X433</f>
        <v>2908.1598245614</v>
      </c>
      <c r="Z433" s="15" t="n">
        <f aca="false">R433-T433+IF(AND(Parametri_v3!$C$40=1,D433-YEAR(Parametri_v3!$C$50)&lt;Parametri_v3!$C$41),MAX(0,-Q433),0)</f>
        <v>0</v>
      </c>
      <c r="AA433" s="15" t="n">
        <f aca="false">S433-U433+IF(AND(Parametri_v3!$C$40=1,D433-YEAR(Parametri_v3!$C$50)&lt;Parametri_v3!$C$41),0,MAX(0,-Q433))</f>
        <v>0</v>
      </c>
      <c r="AB433" s="15" t="n">
        <f aca="false">F433*(1+Parametri_v3!$C$26)</f>
        <v>19776.8421052632</v>
      </c>
      <c r="AC433" s="15" t="n">
        <f aca="false">(IF(9-(INT((Motore_Operativo!L433)/30))&lt;1,0,INDEX(Motore_Advisory!$AB$425:$AB$484,MAX(1,9-(INT((Motore_Operativo!L433)/30)))))*(1-(MOD((Motore_Operativo!L433),30)/30))+IF(9-(INT((Motore_Operativo!L433)/30))-1&lt;1,0,INDEX(Motore_Advisory!$AB$425:$AB$484,MAX(1,9-(INT((Motore_Operativo!L433)/30))-1)))*(MOD((Motore_Operativo!L433),30)/30))</f>
        <v>19776.8421052632</v>
      </c>
      <c r="AD433" s="15" t="n">
        <f aca="false">(AD432)+AB433-AC433</f>
        <v>59330.5263157895</v>
      </c>
      <c r="AE433" s="15" t="n">
        <f aca="false">Motore_Operativo!BH433*(1+Parametri_v3!$C$26)</f>
        <v>1977.68421052632</v>
      </c>
      <c r="AF433" s="15" t="n">
        <f aca="false">(IF(9-(INT((Parametri_v3!$C$29)/30))&lt;1,0,INDEX(Motore_Operativo!$BH$425:$BH$484,MAX(1,9-(INT((Parametri_v3!$C$29)/30)))))*(1-(MOD((Parametri_v3!$C$29),30)/30))+IF(9-(INT((Parametri_v3!$C$29)/30))-1&lt;1,0,INDEX(Motore_Operativo!$BH$425:$BH$484,MAX(1,9-(INT((Parametri_v3!$C$29)/30))-1)))*(MOD((Parametri_v3!$C$29),30)/30))*(1+Parametri_v3!$C$26)</f>
        <v>1977.68421052632</v>
      </c>
      <c r="AG433" s="15" t="n">
        <f aca="false">(AG432)+AE433-AF433</f>
        <v>1977.68421052632</v>
      </c>
      <c r="AH433" s="15" t="n">
        <f aca="false">(Motore_Operativo!CK433)*(1+Parametri_v3!$C$28*Parametri_v3!$C$26)</f>
        <v>6166.3147368421</v>
      </c>
      <c r="AI433" s="15" t="n">
        <f aca="false">(IF(9-(INT((Ipotesi!$C$91)/30))&lt;1,0,INDEX(Motore_Advisory!$AH$425:$AH$484,MAX(1,9-(INT((Ipotesi!$C$91)/30)))))*(1-(MOD((Ipotesi!$C$91),30)/30))+IF(9-(INT((Ipotesi!$C$91)/30))-1&lt;1,0,INDEX(Motore_Advisory!$AH$425:$AH$484,MAX(1,9-(INT((Ipotesi!$C$91)/30))-1)))*(MOD((Ipotesi!$C$91),30)/30))</f>
        <v>6166.3147368421</v>
      </c>
      <c r="AJ433" s="15" t="n">
        <f aca="false">(AJ432)+AH433-AI433</f>
        <v>12332.6294736842</v>
      </c>
      <c r="AK433" s="15" t="n">
        <f aca="false">(F433- Motore_Operativo!BH433-(Motore_Operativo!CK433)*Parametri_v3!$C$28-Motore_Operativo!CF433)*Parametri_v3!$C$26</f>
        <v>2231.83438596491</v>
      </c>
      <c r="AL433" s="15" t="n">
        <f aca="false">MAX(0,(AM432))</f>
        <v>2231.83438596491</v>
      </c>
      <c r="AM433" s="15" t="n">
        <f aca="false">(AM432)+AK433-AL433</f>
        <v>2231.83438596491</v>
      </c>
      <c r="AN433" s="15" t="n">
        <f aca="false">0</f>
        <v>0</v>
      </c>
      <c r="AO433" s="15" t="n">
        <f aca="false">0</f>
        <v>0</v>
      </c>
      <c r="AP433" s="15" t="n">
        <f aca="false">MAX(0,AN433)*IF(9=Parametri_v3!$C$43,Parametri_v3!$C$45,IF(9=Parametri_v3!$C$44,1-Parametri_v3!$C$45,0))</f>
        <v>0</v>
      </c>
      <c r="AQ433" s="15" t="n">
        <f aca="false">MAX(0,AP433+IF(9=Parametri_v3!$C$43,MAX(0,AN433-AO433),0)-MAX(0,-(AR432)))</f>
        <v>0</v>
      </c>
      <c r="AR433" s="15" t="n">
        <f aca="false">(AR432)+X433-AQ433</f>
        <v>10197.8905263158</v>
      </c>
      <c r="AS433" s="15" t="n">
        <f aca="false">Motore_Operativo!AC433-AT433+AU433</f>
        <v>4987.5</v>
      </c>
      <c r="AT433" s="15" t="n">
        <f aca="false">Motore_Operativo!CI433</f>
        <v>262.5</v>
      </c>
      <c r="AU433" s="15" t="n">
        <f aca="false">MIN(MAX(0,(AV432)+AT433),Parametri_v3!$C$61/12)</f>
        <v>0</v>
      </c>
      <c r="AV433" s="15" t="n">
        <f aca="false">(AV432)+AT433-AU433</f>
        <v>2362.5</v>
      </c>
      <c r="AW433" s="15" t="n">
        <f aca="false">IF(AND(Motore_Operativo!C433=Finanziamenti!$D$7,Finanziamenti!$F$7=1),Finanziamenti!$C$7,0)</f>
        <v>0</v>
      </c>
      <c r="AX433" s="15" t="n">
        <f aca="false">0</f>
        <v>0</v>
      </c>
      <c r="AY433" s="15" t="n">
        <f aca="false">IF(9=Parametri_v3!$C$33,IF(BV433&lt;MIN(12,$B433-1),0,MIN(MAX(0,0)*Ipotesi!$C$94,MAX(0,(0)-(BO432)-BP433),MAX(0,BD433-Parametri_v3!$C$31))),0)</f>
        <v>0</v>
      </c>
      <c r="AZ433" s="15" t="n">
        <f aca="false">0</f>
        <v>0</v>
      </c>
      <c r="BA433" s="15" t="n">
        <f aca="false">0</f>
        <v>0</v>
      </c>
      <c r="BB433" s="15" t="n">
        <f aca="false">0</f>
        <v>0</v>
      </c>
      <c r="BC433" s="15" t="n">
        <f aca="false">0</f>
        <v>0</v>
      </c>
      <c r="BD433" s="15" t="n">
        <f aca="false">(BH432)+AC433-AF433-AI433-AS433-K433*(1+Parametri_v3!$C$26)-AL433-AQ433-O433+AW433+AX433+AZ433+BA433-BB433</f>
        <v>14188.2007017544</v>
      </c>
      <c r="BE433" s="15" t="n">
        <f aca="false">0</f>
        <v>0</v>
      </c>
      <c r="BF433" s="15" t="n">
        <f aca="false">0</f>
        <v>0</v>
      </c>
      <c r="BG433" s="15" t="n">
        <f aca="false">0</f>
        <v>0</v>
      </c>
      <c r="BH433" s="15" t="n">
        <f aca="false">BD433+BE433-BF433-AY433</f>
        <v>14188.2007017544</v>
      </c>
      <c r="BI433" s="15" t="n">
        <f aca="false">MAX(0,Parametri_v3!$C$31-BH433)</f>
        <v>0</v>
      </c>
      <c r="BJ433" s="15" t="n">
        <f aca="false">(BJ432)+K433</f>
        <v>2250</v>
      </c>
      <c r="BK433" s="15" t="n">
        <f aca="false">(BK432)+L433</f>
        <v>312.5</v>
      </c>
      <c r="BL433" s="15" t="n">
        <f aca="false">BJ433-BK433</f>
        <v>1937.5</v>
      </c>
      <c r="BM433" s="15" t="n">
        <f aca="false">(BM432)+Y433</f>
        <v>26353.6884210526</v>
      </c>
      <c r="BN433" s="15" t="n">
        <f aca="false">(BN432)+AW433+AX433+AZ433</f>
        <v>20000</v>
      </c>
      <c r="BO433" s="15" t="n">
        <f aca="false">(BO432)+AY433</f>
        <v>0</v>
      </c>
      <c r="BP433" s="15" t="n">
        <f aca="false">MIN(Parametri_v3!$C$36*Parametri_v3!$C$35,(BP432)+IF(9=1,MAX(0,0)*Parametri_v3!$C$34,0))</f>
        <v>0</v>
      </c>
      <c r="BQ433" s="15" t="n">
        <f aca="false">BN433+BM433-BO433</f>
        <v>46353.6884210526</v>
      </c>
      <c r="BR433" s="15" t="n">
        <f aca="false">BH433+AD433+BL433+MAX(0,-AM433)+MAX(0,-AR433)</f>
        <v>75456.2270175439</v>
      </c>
      <c r="BS433" s="15" t="n">
        <f aca="false">AJ433+AV433+MAX(0,AM433)+MAX(0,AR433)+BC433+BG433+BQ433+AG433</f>
        <v>75456.2270175439</v>
      </c>
      <c r="BT433" s="15" t="n">
        <f aca="false">BR433-BS433</f>
        <v>0</v>
      </c>
      <c r="BU433" s="15" t="n">
        <f aca="false">BH433-(BD433+BE433-BF433-AY433)</f>
        <v>0</v>
      </c>
      <c r="BV433" s="15" t="n">
        <f aca="false">IF(BH432&lt;Parametri_v3!$C$31,0,BV432+1)</f>
        <v>1</v>
      </c>
    </row>
    <row r="434" customFormat="false" ht="18" hidden="false" customHeight="true" outlineLevel="0" collapsed="false">
      <c r="A434" s="68" t="n">
        <f aca="false">8</f>
        <v>8</v>
      </c>
      <c r="B434" s="68" t="n">
        <f aca="false">10</f>
        <v>10</v>
      </c>
      <c r="C434" s="18" t="n">
        <f aca="false">Motore_Operativo!C434</f>
        <v>46661</v>
      </c>
      <c r="D434" s="68" t="n">
        <f aca="false">Motore_Operativo!D434</f>
        <v>2027</v>
      </c>
      <c r="E434" s="68" t="n">
        <f aca="false">Motore_Operativo!E434</f>
        <v>10</v>
      </c>
      <c r="F434" s="15" t="n">
        <f aca="false">Motore_Operativo!AM434</f>
        <v>16210.5263157895</v>
      </c>
      <c r="G434" s="15" t="n">
        <f aca="false">Motore_Operativo!BH434</f>
        <v>1621.05263157895</v>
      </c>
      <c r="H434" s="15" t="n">
        <f aca="false">Motore_Operativo!AM434</f>
        <v>16210.5263157895</v>
      </c>
      <c r="I434" s="15" t="n">
        <f aca="false">Motore_Operativo!CB434</f>
        <v>12114.5175438596</v>
      </c>
      <c r="J434" s="15" t="n">
        <f aca="false">Motore_Operativo!CD434</f>
        <v>4096.00877192982</v>
      </c>
      <c r="K434" s="15" t="n">
        <f aca="false">Motore_Operativo!CF434</f>
        <v>250</v>
      </c>
      <c r="L434" s="15" t="n">
        <f aca="false">SUM(INDEX($K$425:$K$484,MAX(1,10-Parametri_v3!$C$59+1)):K434)/Parametri_v3!$C$59</f>
        <v>69.4444444444444</v>
      </c>
      <c r="M434" s="15" t="n">
        <f aca="false">J434-L434</f>
        <v>4026.56432748538</v>
      </c>
      <c r="N434" s="15" t="n">
        <f aca="false">0</f>
        <v>0</v>
      </c>
      <c r="O434" s="15" t="n">
        <f aca="false">0</f>
        <v>0</v>
      </c>
      <c r="P434" s="15" t="n">
        <f aca="false">M434+N434-O434</f>
        <v>4026.56432748538</v>
      </c>
      <c r="Q434" s="15" t="n">
        <f aca="false">SUM(P425:P434)+Parametri_v3!$C$56*10/12</f>
        <v>40578.1432748538</v>
      </c>
      <c r="R434" s="15" t="n">
        <f aca="false">0</f>
        <v>0</v>
      </c>
      <c r="S434" s="15" t="n">
        <f aca="false">0</f>
        <v>0</v>
      </c>
      <c r="T434" s="15" t="n">
        <f aca="false">MIN(R434,MAX(0,Q434))</f>
        <v>0</v>
      </c>
      <c r="U434" s="15" t="n">
        <f aca="false">MIN(S434,MAX(0,Q434-T434)*Parametri_v3!$C$42)</f>
        <v>0</v>
      </c>
      <c r="V434" s="15" t="n">
        <f aca="false">MAX(0,Q434-T434-U434)*Ipotesi!$C$92</f>
        <v>9738.75438596491</v>
      </c>
      <c r="W434" s="15" t="n">
        <f aca="false">MAX(0,SUM(M425:M434)+Parametri_v3!$C$57*10/12)*Ipotesi!$C$93</f>
        <v>1582.5475877193</v>
      </c>
      <c r="X434" s="15" t="n">
        <f aca="false">V434+W434-(V433+W433)</f>
        <v>1123.41144736842</v>
      </c>
      <c r="Y434" s="15" t="n">
        <f aca="false">P434-X434</f>
        <v>2903.15288011696</v>
      </c>
      <c r="Z434" s="15" t="n">
        <f aca="false">R434-T434+IF(AND(Parametri_v3!$C$40=1,D434-YEAR(Parametri_v3!$C$50)&lt;Parametri_v3!$C$41),MAX(0,-Q434),0)</f>
        <v>0</v>
      </c>
      <c r="AA434" s="15" t="n">
        <f aca="false">S434-U434+IF(AND(Parametri_v3!$C$40=1,D434-YEAR(Parametri_v3!$C$50)&lt;Parametri_v3!$C$41),0,MAX(0,-Q434))</f>
        <v>0</v>
      </c>
      <c r="AB434" s="15" t="n">
        <f aca="false">F434*(1+Parametri_v3!$C$26)</f>
        <v>19776.8421052632</v>
      </c>
      <c r="AC434" s="15" t="n">
        <f aca="false">(IF(10-(INT((Motore_Operativo!L434)/30))&lt;1,0,INDEX(Motore_Advisory!$AB$425:$AB$484,MAX(1,10-(INT((Motore_Operativo!L434)/30)))))*(1-(MOD((Motore_Operativo!L434),30)/30))+IF(10-(INT((Motore_Operativo!L434)/30))-1&lt;1,0,INDEX(Motore_Advisory!$AB$425:$AB$484,MAX(1,10-(INT((Motore_Operativo!L434)/30))-1)))*(MOD((Motore_Operativo!L434),30)/30))</f>
        <v>19776.8421052632</v>
      </c>
      <c r="AD434" s="15" t="n">
        <f aca="false">(AD433)+AB434-AC434</f>
        <v>59330.5263157895</v>
      </c>
      <c r="AE434" s="15" t="n">
        <f aca="false">Motore_Operativo!BH434*(1+Parametri_v3!$C$26)</f>
        <v>1977.68421052632</v>
      </c>
      <c r="AF434" s="15" t="n">
        <f aca="false">(IF(10-(INT((Parametri_v3!$C$29)/30))&lt;1,0,INDEX(Motore_Operativo!$BH$425:$BH$484,MAX(1,10-(INT((Parametri_v3!$C$29)/30)))))*(1-(MOD((Parametri_v3!$C$29),30)/30))+IF(10-(INT((Parametri_v3!$C$29)/30))-1&lt;1,0,INDEX(Motore_Operativo!$BH$425:$BH$484,MAX(1,10-(INT((Parametri_v3!$C$29)/30))-1)))*(MOD((Parametri_v3!$C$29),30)/30))*(1+Parametri_v3!$C$26)</f>
        <v>1977.68421052632</v>
      </c>
      <c r="AG434" s="15" t="n">
        <f aca="false">(AG433)+AE434-AF434</f>
        <v>1977.68421052632</v>
      </c>
      <c r="AH434" s="15" t="n">
        <f aca="false">(Motore_Operativo!CK434)*(1+Parametri_v3!$C$28*Parametri_v3!$C$26)</f>
        <v>6166.3147368421</v>
      </c>
      <c r="AI434" s="15" t="n">
        <f aca="false">(IF(10-(INT((Ipotesi!$C$91)/30))&lt;1,0,INDEX(Motore_Advisory!$AH$425:$AH$484,MAX(1,10-(INT((Ipotesi!$C$91)/30)))))*(1-(MOD((Ipotesi!$C$91),30)/30))+IF(10-(INT((Ipotesi!$C$91)/30))-1&lt;1,0,INDEX(Motore_Advisory!$AH$425:$AH$484,MAX(1,10-(INT((Ipotesi!$C$91)/30))-1)))*(MOD((Ipotesi!$C$91),30)/30))</f>
        <v>6166.3147368421</v>
      </c>
      <c r="AJ434" s="15" t="n">
        <f aca="false">(AJ433)+AH434-AI434</f>
        <v>12332.6294736842</v>
      </c>
      <c r="AK434" s="15" t="n">
        <f aca="false">(F434- Motore_Operativo!BH434-(Motore_Operativo!CK434)*Parametri_v3!$C$28-Motore_Operativo!CF434)*Parametri_v3!$C$26</f>
        <v>2231.83438596491</v>
      </c>
      <c r="AL434" s="15" t="n">
        <f aca="false">MAX(0,(AM433))</f>
        <v>2231.83438596491</v>
      </c>
      <c r="AM434" s="15" t="n">
        <f aca="false">(AM433)+AK434-AL434</f>
        <v>2231.83438596491</v>
      </c>
      <c r="AN434" s="15" t="n">
        <f aca="false">0</f>
        <v>0</v>
      </c>
      <c r="AO434" s="15" t="n">
        <f aca="false">0</f>
        <v>0</v>
      </c>
      <c r="AP434" s="15" t="n">
        <f aca="false">MAX(0,AN434)*IF(10=Parametri_v3!$C$43,Parametri_v3!$C$45,IF(10=Parametri_v3!$C$44,1-Parametri_v3!$C$45,0))</f>
        <v>0</v>
      </c>
      <c r="AQ434" s="15" t="n">
        <f aca="false">MAX(0,AP434+IF(10=Parametri_v3!$C$43,MAX(0,AN434-AO434),0)-MAX(0,-(AR433)))</f>
        <v>0</v>
      </c>
      <c r="AR434" s="15" t="n">
        <f aca="false">(AR433)+X434-AQ434</f>
        <v>11321.3019736842</v>
      </c>
      <c r="AS434" s="15" t="n">
        <f aca="false">Motore_Operativo!AC434-AT434+AU434</f>
        <v>4987.5</v>
      </c>
      <c r="AT434" s="15" t="n">
        <f aca="false">Motore_Operativo!CI434</f>
        <v>262.5</v>
      </c>
      <c r="AU434" s="15" t="n">
        <f aca="false">MIN(MAX(0,(AV433)+AT434),Parametri_v3!$C$61/12)</f>
        <v>0</v>
      </c>
      <c r="AV434" s="15" t="n">
        <f aca="false">(AV433)+AT434-AU434</f>
        <v>2625</v>
      </c>
      <c r="AW434" s="15" t="n">
        <f aca="false">IF(AND(Motore_Operativo!C434=Finanziamenti!$D$7,Finanziamenti!$F$7=1),Finanziamenti!$C$7,0)</f>
        <v>0</v>
      </c>
      <c r="AX434" s="15" t="n">
        <f aca="false">0</f>
        <v>0</v>
      </c>
      <c r="AY434" s="15" t="n">
        <f aca="false">IF(10=Parametri_v3!$C$33,IF(BV434&lt;MIN(12,$B434-1),0,MIN(MAX(0,0)*Ipotesi!$C$94,MAX(0,(0)-(BO433)-BP434),MAX(0,BD434-Parametri_v3!$C$31))),0)</f>
        <v>0</v>
      </c>
      <c r="AZ434" s="15" t="n">
        <f aca="false">0</f>
        <v>0</v>
      </c>
      <c r="BA434" s="15" t="n">
        <f aca="false">0</f>
        <v>0</v>
      </c>
      <c r="BB434" s="15" t="n">
        <f aca="false">0</f>
        <v>0</v>
      </c>
      <c r="BC434" s="15" t="n">
        <f aca="false">0</f>
        <v>0</v>
      </c>
      <c r="BD434" s="15" t="n">
        <f aca="false">(BH433)+AC434-AF434-AI434-AS434-K434*(1+Parametri_v3!$C$26)-AL434-AQ434-O434+AW434+AX434+AZ434+BA434-BB434</f>
        <v>18296.7094736842</v>
      </c>
      <c r="BE434" s="15" t="n">
        <f aca="false">0</f>
        <v>0</v>
      </c>
      <c r="BF434" s="15" t="n">
        <f aca="false">0</f>
        <v>0</v>
      </c>
      <c r="BG434" s="15" t="n">
        <f aca="false">0</f>
        <v>0</v>
      </c>
      <c r="BH434" s="15" t="n">
        <f aca="false">BD434+BE434-BF434-AY434</f>
        <v>18296.7094736842</v>
      </c>
      <c r="BI434" s="15" t="n">
        <f aca="false">MAX(0,Parametri_v3!$C$31-BH434)</f>
        <v>0</v>
      </c>
      <c r="BJ434" s="15" t="n">
        <f aca="false">(BJ433)+K434</f>
        <v>2500</v>
      </c>
      <c r="BK434" s="15" t="n">
        <f aca="false">(BK433)+L434</f>
        <v>381.944444444444</v>
      </c>
      <c r="BL434" s="15" t="n">
        <f aca="false">BJ434-BK434</f>
        <v>2118.05555555556</v>
      </c>
      <c r="BM434" s="15" t="n">
        <f aca="false">(BM433)+Y434</f>
        <v>29256.8413011696</v>
      </c>
      <c r="BN434" s="15" t="n">
        <f aca="false">(BN433)+AW434+AX434+AZ434</f>
        <v>20000</v>
      </c>
      <c r="BO434" s="15" t="n">
        <f aca="false">(BO433)+AY434</f>
        <v>0</v>
      </c>
      <c r="BP434" s="15" t="n">
        <f aca="false">MIN(Parametri_v3!$C$36*Parametri_v3!$C$35,(BP433)+IF(10=1,MAX(0,0)*Parametri_v3!$C$34,0))</f>
        <v>0</v>
      </c>
      <c r="BQ434" s="15" t="n">
        <f aca="false">BN434+BM434-BO434</f>
        <v>49256.8413011696</v>
      </c>
      <c r="BR434" s="15" t="n">
        <f aca="false">BH434+AD434+BL434+MAX(0,-AM434)+MAX(0,-AR434)</f>
        <v>79745.2913450292</v>
      </c>
      <c r="BS434" s="15" t="n">
        <f aca="false">AJ434+AV434+MAX(0,AM434)+MAX(0,AR434)+BC434+BG434+BQ434+AG434</f>
        <v>79745.2913450292</v>
      </c>
      <c r="BT434" s="15" t="n">
        <f aca="false">BR434-BS434</f>
        <v>0</v>
      </c>
      <c r="BU434" s="15" t="n">
        <f aca="false">BH434-(BD434+BE434-BF434-AY434)</f>
        <v>0</v>
      </c>
      <c r="BV434" s="15" t="n">
        <f aca="false">IF(BH433&lt;Parametri_v3!$C$31,0,BV433+1)</f>
        <v>2</v>
      </c>
    </row>
    <row r="435" customFormat="false" ht="18" hidden="false" customHeight="true" outlineLevel="0" collapsed="false">
      <c r="A435" s="68" t="n">
        <f aca="false">8</f>
        <v>8</v>
      </c>
      <c r="B435" s="68" t="n">
        <f aca="false">11</f>
        <v>11</v>
      </c>
      <c r="C435" s="18" t="n">
        <f aca="false">Motore_Operativo!C435</f>
        <v>46692</v>
      </c>
      <c r="D435" s="68" t="n">
        <f aca="false">Motore_Operativo!D435</f>
        <v>2027</v>
      </c>
      <c r="E435" s="68" t="n">
        <f aca="false">Motore_Operativo!E435</f>
        <v>11</v>
      </c>
      <c r="F435" s="15" t="n">
        <f aca="false">Motore_Operativo!AM435</f>
        <v>16210.5263157895</v>
      </c>
      <c r="G435" s="15" t="n">
        <f aca="false">Motore_Operativo!BH435</f>
        <v>1621.05263157895</v>
      </c>
      <c r="H435" s="15" t="n">
        <f aca="false">Motore_Operativo!AM435</f>
        <v>16210.5263157895</v>
      </c>
      <c r="I435" s="15" t="n">
        <f aca="false">Motore_Operativo!CB435</f>
        <v>12114.5175438596</v>
      </c>
      <c r="J435" s="15" t="n">
        <f aca="false">Motore_Operativo!CD435</f>
        <v>4096.00877192982</v>
      </c>
      <c r="K435" s="15" t="n">
        <f aca="false">Motore_Operativo!CF435</f>
        <v>250</v>
      </c>
      <c r="L435" s="15" t="n">
        <f aca="false">SUM(INDEX($K$425:$K$484,MAX(1,11-Parametri_v3!$C$59+1)):K435)/Parametri_v3!$C$59</f>
        <v>76.3888888888889</v>
      </c>
      <c r="M435" s="15" t="n">
        <f aca="false">J435-L435</f>
        <v>4019.61988304094</v>
      </c>
      <c r="N435" s="15" t="n">
        <f aca="false">0</f>
        <v>0</v>
      </c>
      <c r="O435" s="15" t="n">
        <f aca="false">0</f>
        <v>0</v>
      </c>
      <c r="P435" s="15" t="n">
        <f aca="false">M435+N435-O435</f>
        <v>4019.61988304094</v>
      </c>
      <c r="Q435" s="15" t="n">
        <f aca="false">SUM(P425:P435)+Parametri_v3!$C$56*11/12</f>
        <v>44597.7631578947</v>
      </c>
      <c r="R435" s="15" t="n">
        <f aca="false">0</f>
        <v>0</v>
      </c>
      <c r="S435" s="15" t="n">
        <f aca="false">0</f>
        <v>0</v>
      </c>
      <c r="T435" s="15" t="n">
        <f aca="false">MIN(R435,MAX(0,Q435))</f>
        <v>0</v>
      </c>
      <c r="U435" s="15" t="n">
        <f aca="false">MIN(S435,MAX(0,Q435-T435)*Parametri_v3!$C$42)</f>
        <v>0</v>
      </c>
      <c r="V435" s="15" t="n">
        <f aca="false">MAX(0,Q435-T435-U435)*Ipotesi!$C$92</f>
        <v>10703.4631578947</v>
      </c>
      <c r="W435" s="15" t="n">
        <f aca="false">MAX(0,SUM(M425:M435)+Parametri_v3!$C$57*11/12)*Ipotesi!$C$93</f>
        <v>1739.31276315789</v>
      </c>
      <c r="X435" s="15" t="n">
        <f aca="false">V435+W435-(V434+W434)</f>
        <v>1121.47394736842</v>
      </c>
      <c r="Y435" s="15" t="n">
        <f aca="false">P435-X435</f>
        <v>2898.14593567252</v>
      </c>
      <c r="Z435" s="15" t="n">
        <f aca="false">R435-T435+IF(AND(Parametri_v3!$C$40=1,D435-YEAR(Parametri_v3!$C$50)&lt;Parametri_v3!$C$41),MAX(0,-Q435),0)</f>
        <v>0</v>
      </c>
      <c r="AA435" s="15" t="n">
        <f aca="false">S435-U435+IF(AND(Parametri_v3!$C$40=1,D435-YEAR(Parametri_v3!$C$50)&lt;Parametri_v3!$C$41),0,MAX(0,-Q435))</f>
        <v>0</v>
      </c>
      <c r="AB435" s="15" t="n">
        <f aca="false">F435*(1+Parametri_v3!$C$26)</f>
        <v>19776.8421052632</v>
      </c>
      <c r="AC435" s="15" t="n">
        <f aca="false">(IF(11-(INT((Motore_Operativo!L435)/30))&lt;1,0,INDEX(Motore_Advisory!$AB$425:$AB$484,MAX(1,11-(INT((Motore_Operativo!L435)/30)))))*(1-(MOD((Motore_Operativo!L435),30)/30))+IF(11-(INT((Motore_Operativo!L435)/30))-1&lt;1,0,INDEX(Motore_Advisory!$AB$425:$AB$484,MAX(1,11-(INT((Motore_Operativo!L435)/30))-1)))*(MOD((Motore_Operativo!L435),30)/30))</f>
        <v>19776.8421052632</v>
      </c>
      <c r="AD435" s="15" t="n">
        <f aca="false">(AD434)+AB435-AC435</f>
        <v>59330.5263157895</v>
      </c>
      <c r="AE435" s="15" t="n">
        <f aca="false">Motore_Operativo!BH435*(1+Parametri_v3!$C$26)</f>
        <v>1977.68421052632</v>
      </c>
      <c r="AF435" s="15" t="n">
        <f aca="false">(IF(11-(INT((Parametri_v3!$C$29)/30))&lt;1,0,INDEX(Motore_Operativo!$BH$425:$BH$484,MAX(1,11-(INT((Parametri_v3!$C$29)/30)))))*(1-(MOD((Parametri_v3!$C$29),30)/30))+IF(11-(INT((Parametri_v3!$C$29)/30))-1&lt;1,0,INDEX(Motore_Operativo!$BH$425:$BH$484,MAX(1,11-(INT((Parametri_v3!$C$29)/30))-1)))*(MOD((Parametri_v3!$C$29),30)/30))*(1+Parametri_v3!$C$26)</f>
        <v>1977.68421052632</v>
      </c>
      <c r="AG435" s="15" t="n">
        <f aca="false">(AG434)+AE435-AF435</f>
        <v>1977.68421052632</v>
      </c>
      <c r="AH435" s="15" t="n">
        <f aca="false">(Motore_Operativo!CK435)*(1+Parametri_v3!$C$28*Parametri_v3!$C$26)</f>
        <v>6166.3147368421</v>
      </c>
      <c r="AI435" s="15" t="n">
        <f aca="false">(IF(11-(INT((Ipotesi!$C$91)/30))&lt;1,0,INDEX(Motore_Advisory!$AH$425:$AH$484,MAX(1,11-(INT((Ipotesi!$C$91)/30)))))*(1-(MOD((Ipotesi!$C$91),30)/30))+IF(11-(INT((Ipotesi!$C$91)/30))-1&lt;1,0,INDEX(Motore_Advisory!$AH$425:$AH$484,MAX(1,11-(INT((Ipotesi!$C$91)/30))-1)))*(MOD((Ipotesi!$C$91),30)/30))</f>
        <v>6166.3147368421</v>
      </c>
      <c r="AJ435" s="15" t="n">
        <f aca="false">(AJ434)+AH435-AI435</f>
        <v>12332.6294736842</v>
      </c>
      <c r="AK435" s="15" t="n">
        <f aca="false">(F435- Motore_Operativo!BH435-(Motore_Operativo!CK435)*Parametri_v3!$C$28-Motore_Operativo!CF435)*Parametri_v3!$C$26</f>
        <v>2231.83438596491</v>
      </c>
      <c r="AL435" s="15" t="n">
        <f aca="false">MAX(0,(AM434))</f>
        <v>2231.83438596491</v>
      </c>
      <c r="AM435" s="15" t="n">
        <f aca="false">(AM434)+AK435-AL435</f>
        <v>2231.83438596491</v>
      </c>
      <c r="AN435" s="15" t="n">
        <f aca="false">0</f>
        <v>0</v>
      </c>
      <c r="AO435" s="15" t="n">
        <f aca="false">0</f>
        <v>0</v>
      </c>
      <c r="AP435" s="15" t="n">
        <f aca="false">MAX(0,AN435)*IF(11=Parametri_v3!$C$43,Parametri_v3!$C$45,IF(11=Parametri_v3!$C$44,1-Parametri_v3!$C$45,0))</f>
        <v>0</v>
      </c>
      <c r="AQ435" s="15" t="n">
        <f aca="false">MAX(0,AP435+IF(11=Parametri_v3!$C$43,MAX(0,AN435-AO435),0)-MAX(0,-(AR434)))</f>
        <v>0</v>
      </c>
      <c r="AR435" s="15" t="n">
        <f aca="false">(AR434)+X435-AQ435</f>
        <v>12442.7759210526</v>
      </c>
      <c r="AS435" s="15" t="n">
        <f aca="false">Motore_Operativo!AC435-AT435+AU435</f>
        <v>4987.5</v>
      </c>
      <c r="AT435" s="15" t="n">
        <f aca="false">Motore_Operativo!CI435</f>
        <v>262.5</v>
      </c>
      <c r="AU435" s="15" t="n">
        <f aca="false">MIN(MAX(0,(AV434)+AT435),Parametri_v3!$C$61/12)</f>
        <v>0</v>
      </c>
      <c r="AV435" s="15" t="n">
        <f aca="false">(AV434)+AT435-AU435</f>
        <v>2887.5</v>
      </c>
      <c r="AW435" s="15" t="n">
        <f aca="false">IF(AND(Motore_Operativo!C435=Finanziamenti!$D$7,Finanziamenti!$F$7=1),Finanziamenti!$C$7,0)</f>
        <v>0</v>
      </c>
      <c r="AX435" s="15" t="n">
        <f aca="false">0</f>
        <v>0</v>
      </c>
      <c r="AY435" s="15" t="n">
        <f aca="false">IF(11=Parametri_v3!$C$33,IF(BV435&lt;MIN(12,$B435-1),0,MIN(MAX(0,0)*Ipotesi!$C$94,MAX(0,(0)-(BO434)-BP435),MAX(0,BD435-Parametri_v3!$C$31))),0)</f>
        <v>0</v>
      </c>
      <c r="AZ435" s="15" t="n">
        <f aca="false">0</f>
        <v>0</v>
      </c>
      <c r="BA435" s="15" t="n">
        <f aca="false">0</f>
        <v>0</v>
      </c>
      <c r="BB435" s="15" t="n">
        <f aca="false">0</f>
        <v>0</v>
      </c>
      <c r="BC435" s="15" t="n">
        <f aca="false">0</f>
        <v>0</v>
      </c>
      <c r="BD435" s="15" t="n">
        <f aca="false">(BH434)+AC435-AF435-AI435-AS435-K435*(1+Parametri_v3!$C$26)-AL435-AQ435-O435+AW435+AX435+AZ435+BA435-BB435</f>
        <v>22405.218245614</v>
      </c>
      <c r="BE435" s="15" t="n">
        <f aca="false">0</f>
        <v>0</v>
      </c>
      <c r="BF435" s="15" t="n">
        <f aca="false">0</f>
        <v>0</v>
      </c>
      <c r="BG435" s="15" t="n">
        <f aca="false">0</f>
        <v>0</v>
      </c>
      <c r="BH435" s="15" t="n">
        <f aca="false">BD435+BE435-BF435-AY435</f>
        <v>22405.218245614</v>
      </c>
      <c r="BI435" s="15" t="n">
        <f aca="false">MAX(0,Parametri_v3!$C$31-BH435)</f>
        <v>0</v>
      </c>
      <c r="BJ435" s="15" t="n">
        <f aca="false">(BJ434)+K435</f>
        <v>2750</v>
      </c>
      <c r="BK435" s="15" t="n">
        <f aca="false">(BK434)+L435</f>
        <v>458.333333333333</v>
      </c>
      <c r="BL435" s="15" t="n">
        <f aca="false">BJ435-BK435</f>
        <v>2291.66666666667</v>
      </c>
      <c r="BM435" s="15" t="n">
        <f aca="false">(BM434)+Y435</f>
        <v>32154.9872368421</v>
      </c>
      <c r="BN435" s="15" t="n">
        <f aca="false">(BN434)+AW435+AX435+AZ435</f>
        <v>20000</v>
      </c>
      <c r="BO435" s="15" t="n">
        <f aca="false">(BO434)+AY435</f>
        <v>0</v>
      </c>
      <c r="BP435" s="15" t="n">
        <f aca="false">MIN(Parametri_v3!$C$36*Parametri_v3!$C$35,(BP434)+IF(11=1,MAX(0,0)*Parametri_v3!$C$34,0))</f>
        <v>0</v>
      </c>
      <c r="BQ435" s="15" t="n">
        <f aca="false">BN435+BM435-BO435</f>
        <v>52154.9872368421</v>
      </c>
      <c r="BR435" s="15" t="n">
        <f aca="false">BH435+AD435+BL435+MAX(0,-AM435)+MAX(0,-AR435)</f>
        <v>84027.4112280702</v>
      </c>
      <c r="BS435" s="15" t="n">
        <f aca="false">AJ435+AV435+MAX(0,AM435)+MAX(0,AR435)+BC435+BG435+BQ435+AG435</f>
        <v>84027.4112280702</v>
      </c>
      <c r="BT435" s="15" t="n">
        <f aca="false">BR435-BS435</f>
        <v>0</v>
      </c>
      <c r="BU435" s="15" t="n">
        <f aca="false">BH435-(BD435+BE435-BF435-AY435)</f>
        <v>0</v>
      </c>
      <c r="BV435" s="15" t="n">
        <f aca="false">IF(BH434&lt;Parametri_v3!$C$31,0,BV434+1)</f>
        <v>3</v>
      </c>
    </row>
    <row r="436" customFormat="false" ht="18" hidden="false" customHeight="true" outlineLevel="0" collapsed="false">
      <c r="A436" s="68" t="n">
        <f aca="false">8</f>
        <v>8</v>
      </c>
      <c r="B436" s="68" t="n">
        <f aca="false">12</f>
        <v>12</v>
      </c>
      <c r="C436" s="18" t="n">
        <f aca="false">Motore_Operativo!C436</f>
        <v>46722</v>
      </c>
      <c r="D436" s="68" t="n">
        <f aca="false">Motore_Operativo!D436</f>
        <v>2027</v>
      </c>
      <c r="E436" s="68" t="n">
        <f aca="false">Motore_Operativo!E436</f>
        <v>12</v>
      </c>
      <c r="F436" s="15" t="n">
        <f aca="false">Motore_Operativo!AM436</f>
        <v>16210.5263157895</v>
      </c>
      <c r="G436" s="15" t="n">
        <f aca="false">Motore_Operativo!BH436</f>
        <v>1621.05263157895</v>
      </c>
      <c r="H436" s="15" t="n">
        <f aca="false">Motore_Operativo!AM436</f>
        <v>16210.5263157895</v>
      </c>
      <c r="I436" s="15" t="n">
        <f aca="false">Motore_Operativo!CB436</f>
        <v>12114.5175438596</v>
      </c>
      <c r="J436" s="15" t="n">
        <f aca="false">Motore_Operativo!CD436</f>
        <v>4096.00877192982</v>
      </c>
      <c r="K436" s="15" t="n">
        <f aca="false">Motore_Operativo!CF436</f>
        <v>250</v>
      </c>
      <c r="L436" s="15" t="n">
        <f aca="false">SUM(INDEX($K$425:$K$484,MAX(1,12-Parametri_v3!$C$59+1)):K436)/Parametri_v3!$C$59</f>
        <v>83.3333333333333</v>
      </c>
      <c r="M436" s="15" t="n">
        <f aca="false">J436-L436</f>
        <v>4012.67543859649</v>
      </c>
      <c r="N436" s="15" t="n">
        <f aca="false">0</f>
        <v>0</v>
      </c>
      <c r="O436" s="15" t="n">
        <f aca="false">0</f>
        <v>0</v>
      </c>
      <c r="P436" s="15" t="n">
        <f aca="false">M436+N436-O436</f>
        <v>4012.67543859649</v>
      </c>
      <c r="Q436" s="15" t="n">
        <f aca="false">SUM(P425:P436)+Parametri_v3!$C$56*12/12</f>
        <v>48610.4385964912</v>
      </c>
      <c r="R436" s="15" t="n">
        <f aca="false">0</f>
        <v>0</v>
      </c>
      <c r="S436" s="15" t="n">
        <f aca="false">0</f>
        <v>0</v>
      </c>
      <c r="T436" s="15" t="n">
        <f aca="false">MIN(R436,MAX(0,Q436))</f>
        <v>0</v>
      </c>
      <c r="U436" s="15" t="n">
        <f aca="false">MIN(S436,MAX(0,Q436-T436)*Parametri_v3!$C$42)</f>
        <v>0</v>
      </c>
      <c r="V436" s="15" t="n">
        <f aca="false">MAX(0,Q436-T436-U436)*Ipotesi!$C$92</f>
        <v>11666.5052631579</v>
      </c>
      <c r="W436" s="15" t="n">
        <f aca="false">MAX(0,SUM(M425:M436)+Parametri_v3!$C$57*12/12)*Ipotesi!$C$93</f>
        <v>1895.80710526316</v>
      </c>
      <c r="X436" s="15" t="n">
        <f aca="false">V436+W436-(V435+W435)</f>
        <v>1119.53644736842</v>
      </c>
      <c r="Y436" s="15" t="n">
        <f aca="false">P436-X436</f>
        <v>2893.13899122807</v>
      </c>
      <c r="Z436" s="15" t="n">
        <f aca="false">R436-T436+IF(AND(Parametri_v3!$C$40=1,D436-YEAR(Parametri_v3!$C$50)&lt;Parametri_v3!$C$41),MAX(0,-Q436),0)</f>
        <v>0</v>
      </c>
      <c r="AA436" s="15" t="n">
        <f aca="false">S436-U436+IF(AND(Parametri_v3!$C$40=1,D436-YEAR(Parametri_v3!$C$50)&lt;Parametri_v3!$C$41),0,MAX(0,-Q436))</f>
        <v>0</v>
      </c>
      <c r="AB436" s="15" t="n">
        <f aca="false">F436*(1+Parametri_v3!$C$26)</f>
        <v>19776.8421052632</v>
      </c>
      <c r="AC436" s="15" t="n">
        <f aca="false">(IF(12-(INT((Motore_Operativo!L436)/30))&lt;1,0,INDEX(Motore_Advisory!$AB$425:$AB$484,MAX(1,12-(INT((Motore_Operativo!L436)/30)))))*(1-(MOD((Motore_Operativo!L436),30)/30))+IF(12-(INT((Motore_Operativo!L436)/30))-1&lt;1,0,INDEX(Motore_Advisory!$AB$425:$AB$484,MAX(1,12-(INT((Motore_Operativo!L436)/30))-1)))*(MOD((Motore_Operativo!L436),30)/30))</f>
        <v>19776.8421052632</v>
      </c>
      <c r="AD436" s="15" t="n">
        <f aca="false">(AD435)+AB436-AC436</f>
        <v>59330.5263157895</v>
      </c>
      <c r="AE436" s="15" t="n">
        <f aca="false">Motore_Operativo!BH436*(1+Parametri_v3!$C$26)</f>
        <v>1977.68421052632</v>
      </c>
      <c r="AF436" s="15" t="n">
        <f aca="false">(IF(12-(INT((Parametri_v3!$C$29)/30))&lt;1,0,INDEX(Motore_Operativo!$BH$425:$BH$484,MAX(1,12-(INT((Parametri_v3!$C$29)/30)))))*(1-(MOD((Parametri_v3!$C$29),30)/30))+IF(12-(INT((Parametri_v3!$C$29)/30))-1&lt;1,0,INDEX(Motore_Operativo!$BH$425:$BH$484,MAX(1,12-(INT((Parametri_v3!$C$29)/30))-1)))*(MOD((Parametri_v3!$C$29),30)/30))*(1+Parametri_v3!$C$26)</f>
        <v>1977.68421052632</v>
      </c>
      <c r="AG436" s="15" t="n">
        <f aca="false">(AG435)+AE436-AF436</f>
        <v>1977.68421052632</v>
      </c>
      <c r="AH436" s="15" t="n">
        <f aca="false">(Motore_Operativo!CK436)*(1+Parametri_v3!$C$28*Parametri_v3!$C$26)</f>
        <v>6166.3147368421</v>
      </c>
      <c r="AI436" s="15" t="n">
        <f aca="false">(IF(12-(INT((Ipotesi!$C$91)/30))&lt;1,0,INDEX(Motore_Advisory!$AH$425:$AH$484,MAX(1,12-(INT((Ipotesi!$C$91)/30)))))*(1-(MOD((Ipotesi!$C$91),30)/30))+IF(12-(INT((Ipotesi!$C$91)/30))-1&lt;1,0,INDEX(Motore_Advisory!$AH$425:$AH$484,MAX(1,12-(INT((Ipotesi!$C$91)/30))-1)))*(MOD((Ipotesi!$C$91),30)/30))</f>
        <v>6166.3147368421</v>
      </c>
      <c r="AJ436" s="15" t="n">
        <f aca="false">(AJ435)+AH436-AI436</f>
        <v>12332.6294736842</v>
      </c>
      <c r="AK436" s="15" t="n">
        <f aca="false">(F436- Motore_Operativo!BH436-(Motore_Operativo!CK436)*Parametri_v3!$C$28-Motore_Operativo!CF436)*Parametri_v3!$C$26</f>
        <v>2231.83438596491</v>
      </c>
      <c r="AL436" s="15" t="n">
        <f aca="false">MAX(0,(AM435))</f>
        <v>2231.83438596491</v>
      </c>
      <c r="AM436" s="15" t="n">
        <f aca="false">(AM435)+AK436-AL436</f>
        <v>2231.83438596491</v>
      </c>
      <c r="AN436" s="15" t="n">
        <f aca="false">0</f>
        <v>0</v>
      </c>
      <c r="AO436" s="15" t="n">
        <f aca="false">0</f>
        <v>0</v>
      </c>
      <c r="AP436" s="15" t="n">
        <f aca="false">MAX(0,AN436)*IF(12=Parametri_v3!$C$43,Parametri_v3!$C$45,IF(12=Parametri_v3!$C$44,1-Parametri_v3!$C$45,0))</f>
        <v>0</v>
      </c>
      <c r="AQ436" s="15" t="n">
        <f aca="false">MAX(0,AP436+IF(12=Parametri_v3!$C$43,MAX(0,AN436-AO436),0)-MAX(0,-(AR435)))</f>
        <v>0</v>
      </c>
      <c r="AR436" s="15" t="n">
        <f aca="false">(AR435)+X436-AQ436</f>
        <v>13562.3123684211</v>
      </c>
      <c r="AS436" s="15" t="n">
        <f aca="false">Motore_Operativo!AC436-AT436+AU436</f>
        <v>4987.5</v>
      </c>
      <c r="AT436" s="15" t="n">
        <f aca="false">Motore_Operativo!CI436</f>
        <v>262.5</v>
      </c>
      <c r="AU436" s="15" t="n">
        <f aca="false">MIN(MAX(0,(AV435)+AT436),Parametri_v3!$C$61/12)</f>
        <v>0</v>
      </c>
      <c r="AV436" s="15" t="n">
        <f aca="false">(AV435)+AT436-AU436</f>
        <v>3150</v>
      </c>
      <c r="AW436" s="15" t="n">
        <f aca="false">IF(AND(Motore_Operativo!C436=Finanziamenti!$D$7,Finanziamenti!$F$7=1),Finanziamenti!$C$7,0)</f>
        <v>0</v>
      </c>
      <c r="AX436" s="15" t="n">
        <f aca="false">0</f>
        <v>0</v>
      </c>
      <c r="AY436" s="15" t="n">
        <f aca="false">IF(12=Parametri_v3!$C$33,IF(BV436&lt;MIN(12,$B436-1),0,MIN(MAX(0,0)*Ipotesi!$C$94,MAX(0,(0)-(BO435)-BP436),MAX(0,BD436-Parametri_v3!$C$31))),0)</f>
        <v>0</v>
      </c>
      <c r="AZ436" s="15" t="n">
        <f aca="false">0</f>
        <v>0</v>
      </c>
      <c r="BA436" s="15" t="n">
        <f aca="false">0</f>
        <v>0</v>
      </c>
      <c r="BB436" s="15" t="n">
        <f aca="false">0</f>
        <v>0</v>
      </c>
      <c r="BC436" s="15" t="n">
        <f aca="false">0</f>
        <v>0</v>
      </c>
      <c r="BD436" s="15" t="n">
        <f aca="false">(BH435)+AC436-AF436-AI436-AS436-K436*(1+Parametri_v3!$C$26)-AL436-AQ436-O436+AW436+AX436+AZ436+BA436-BB436</f>
        <v>26513.7270175439</v>
      </c>
      <c r="BE436" s="15" t="n">
        <f aca="false">0</f>
        <v>0</v>
      </c>
      <c r="BF436" s="15" t="n">
        <f aca="false">0</f>
        <v>0</v>
      </c>
      <c r="BG436" s="15" t="n">
        <f aca="false">0</f>
        <v>0</v>
      </c>
      <c r="BH436" s="15" t="n">
        <f aca="false">BD436+BE436-BF436-AY436</f>
        <v>26513.7270175439</v>
      </c>
      <c r="BI436" s="15" t="n">
        <f aca="false">MAX(0,Parametri_v3!$C$31-BH436)</f>
        <v>0</v>
      </c>
      <c r="BJ436" s="15" t="n">
        <f aca="false">(BJ435)+K436</f>
        <v>3000</v>
      </c>
      <c r="BK436" s="15" t="n">
        <f aca="false">(BK435)+L436</f>
        <v>541.666666666667</v>
      </c>
      <c r="BL436" s="15" t="n">
        <f aca="false">BJ436-BK436</f>
        <v>2458.33333333333</v>
      </c>
      <c r="BM436" s="15" t="n">
        <f aca="false">(BM435)+Y436</f>
        <v>35048.1262280702</v>
      </c>
      <c r="BN436" s="15" t="n">
        <f aca="false">(BN435)+AW436+AX436+AZ436</f>
        <v>20000</v>
      </c>
      <c r="BO436" s="15" t="n">
        <f aca="false">(BO435)+AY436</f>
        <v>0</v>
      </c>
      <c r="BP436" s="15" t="n">
        <f aca="false">MIN(Parametri_v3!$C$36*Parametri_v3!$C$35,(BP435)+IF(12=1,MAX(0,0)*Parametri_v3!$C$34,0))</f>
        <v>0</v>
      </c>
      <c r="BQ436" s="15" t="n">
        <f aca="false">BN436+BM436-BO436</f>
        <v>55048.1262280702</v>
      </c>
      <c r="BR436" s="15" t="n">
        <f aca="false">BH436+AD436+BL436+MAX(0,-AM436)+MAX(0,-AR436)</f>
        <v>88302.5866666666</v>
      </c>
      <c r="BS436" s="15" t="n">
        <f aca="false">AJ436+AV436+MAX(0,AM436)+MAX(0,AR436)+BC436+BG436+BQ436+AG436</f>
        <v>88302.5866666667</v>
      </c>
      <c r="BT436" s="15" t="n">
        <f aca="false">BR436-BS436</f>
        <v>0</v>
      </c>
      <c r="BU436" s="15" t="n">
        <f aca="false">BH436-(BD436+BE436-BF436-AY436)</f>
        <v>0</v>
      </c>
      <c r="BV436" s="15" t="n">
        <f aca="false">IF(BH435&lt;Parametri_v3!$C$31,0,BV435+1)</f>
        <v>4</v>
      </c>
    </row>
    <row r="437" customFormat="false" ht="18" hidden="false" customHeight="true" outlineLevel="0" collapsed="false">
      <c r="A437" s="68" t="n">
        <f aca="false">8</f>
        <v>8</v>
      </c>
      <c r="B437" s="68" t="n">
        <f aca="false">13</f>
        <v>13</v>
      </c>
      <c r="C437" s="18" t="n">
        <f aca="false">Motore_Operativo!C437</f>
        <v>46753</v>
      </c>
      <c r="D437" s="68" t="n">
        <f aca="false">Motore_Operativo!D437</f>
        <v>2028</v>
      </c>
      <c r="E437" s="68" t="n">
        <f aca="false">Motore_Operativo!E437</f>
        <v>1</v>
      </c>
      <c r="F437" s="15" t="n">
        <f aca="false">Motore_Operativo!AM437</f>
        <v>33981.220657277</v>
      </c>
      <c r="G437" s="15" t="n">
        <f aca="false">Motore_Operativo!BH437</f>
        <v>3398.1220657277</v>
      </c>
      <c r="H437" s="15" t="n">
        <f aca="false">Motore_Operativo!AM437</f>
        <v>33981.220657277</v>
      </c>
      <c r="I437" s="15" t="n">
        <f aca="false">Motore_Operativo!CB437</f>
        <v>28885.3286384976</v>
      </c>
      <c r="J437" s="15" t="n">
        <f aca="false">Motore_Operativo!CD437</f>
        <v>5095.89201877934</v>
      </c>
      <c r="K437" s="15" t="n">
        <f aca="false">Motore_Operativo!CF437</f>
        <v>416.666666666667</v>
      </c>
      <c r="L437" s="15" t="n">
        <f aca="false">SUM(INDEX($K$425:$K$484,MAX(1,13-Parametri_v3!$C$59+1)):K437)/Parametri_v3!$C$59</f>
        <v>94.9074074074074</v>
      </c>
      <c r="M437" s="15" t="n">
        <f aca="false">J437-L437</f>
        <v>5000.98461137193</v>
      </c>
      <c r="N437" s="15" t="n">
        <f aca="false">0</f>
        <v>0</v>
      </c>
      <c r="O437" s="15" t="n">
        <f aca="false">0</f>
        <v>0</v>
      </c>
      <c r="P437" s="15" t="n">
        <f aca="false">M437+N437-O437</f>
        <v>5000.98461137193</v>
      </c>
      <c r="Q437" s="15" t="n">
        <f aca="false">SUM(P437)+Parametri_v3!$C$56*1/12</f>
        <v>5000.98461137193</v>
      </c>
      <c r="R437" s="15" t="n">
        <f aca="false">Z436</f>
        <v>0</v>
      </c>
      <c r="S437" s="15" t="n">
        <f aca="false">AA436</f>
        <v>0</v>
      </c>
      <c r="T437" s="15" t="n">
        <f aca="false">MIN(R437,MAX(0,Q437))</f>
        <v>0</v>
      </c>
      <c r="U437" s="15" t="n">
        <f aca="false">MIN(S437,MAX(0,Q437-T437)*Parametri_v3!$C$42)</f>
        <v>0</v>
      </c>
      <c r="V437" s="15" t="n">
        <f aca="false">MAX(0,Q437-T437-U437)*Ipotesi!$C$92</f>
        <v>1200.23630672926</v>
      </c>
      <c r="W437" s="15" t="n">
        <f aca="false">MAX(0,SUM(M437)+Parametri_v3!$C$57*1/12)*Ipotesi!$C$93</f>
        <v>195.038399843505</v>
      </c>
      <c r="X437" s="15" t="n">
        <f aca="false">V437+W437-(0)</f>
        <v>1395.27470657277</v>
      </c>
      <c r="Y437" s="15" t="n">
        <f aca="false">P437-X437</f>
        <v>3605.70990479916</v>
      </c>
      <c r="Z437" s="15" t="n">
        <f aca="false">R437-T437+IF(AND(Parametri_v3!$C$40=1,D437-YEAR(Parametri_v3!$C$50)&lt;Parametri_v3!$C$41),MAX(0,-Q437),0)</f>
        <v>0</v>
      </c>
      <c r="AA437" s="15" t="n">
        <f aca="false">S437-U437+IF(AND(Parametri_v3!$C$40=1,D437-YEAR(Parametri_v3!$C$50)&lt;Parametri_v3!$C$41),0,MAX(0,-Q437))</f>
        <v>0</v>
      </c>
      <c r="AB437" s="15" t="n">
        <f aca="false">F437*(1+Parametri_v3!$C$26)</f>
        <v>41457.0892018779</v>
      </c>
      <c r="AC437" s="15" t="n">
        <f aca="false">(IF(13-(INT((Motore_Operativo!L437)/30))&lt;1,0,INDEX(Motore_Advisory!$AB$425:$AB$484,MAX(1,13-(INT((Motore_Operativo!L437)/30)))))*(1-(MOD((Motore_Operativo!L437),30)/30))+IF(13-(INT((Motore_Operativo!L437)/30))-1&lt;1,0,INDEX(Motore_Advisory!$AB$425:$AB$484,MAX(1,13-(INT((Motore_Operativo!L437)/30))-1)))*(MOD((Motore_Operativo!L437),30)/30))</f>
        <v>19776.8421052632</v>
      </c>
      <c r="AD437" s="15" t="n">
        <f aca="false">(AD436)+AB437-AC437</f>
        <v>81010.7734124042</v>
      </c>
      <c r="AE437" s="15" t="n">
        <f aca="false">Motore_Operativo!BH437*(1+Parametri_v3!$C$26)</f>
        <v>4145.70892018779</v>
      </c>
      <c r="AF437" s="15" t="n">
        <f aca="false">(IF(13-(INT((Parametri_v3!$C$29)/30))&lt;1,0,INDEX(Motore_Operativo!$BH$425:$BH$484,MAX(1,13-(INT((Parametri_v3!$C$29)/30)))))*(1-(MOD((Parametri_v3!$C$29),30)/30))+IF(13-(INT((Parametri_v3!$C$29)/30))-1&lt;1,0,INDEX(Motore_Operativo!$BH$425:$BH$484,MAX(1,13-(INT((Parametri_v3!$C$29)/30))-1)))*(MOD((Parametri_v3!$C$29),30)/30))*(1+Parametri_v3!$C$26)</f>
        <v>1977.68421052632</v>
      </c>
      <c r="AG437" s="15" t="n">
        <f aca="false">(AG436)+AE437-AF437</f>
        <v>4145.70892018779</v>
      </c>
      <c r="AH437" s="15" t="n">
        <f aca="false">(Motore_Operativo!CK437)*(1+Parametri_v3!$C$28*Parametri_v3!$C$26)</f>
        <v>11198.1149295775</v>
      </c>
      <c r="AI437" s="15" t="n">
        <f aca="false">(IF(13-(INT((Ipotesi!$C$91)/30))&lt;1,0,INDEX(Motore_Advisory!$AH$425:$AH$484,MAX(1,13-(INT((Ipotesi!$C$91)/30)))))*(1-(MOD((Ipotesi!$C$91),30)/30))+IF(13-(INT((Ipotesi!$C$91)/30))-1&lt;1,0,INDEX(Motore_Advisory!$AH$425:$AH$484,MAX(1,13-(INT((Ipotesi!$C$91)/30))-1)))*(MOD((Ipotesi!$C$91),30)/30))</f>
        <v>6166.3147368421</v>
      </c>
      <c r="AJ437" s="15" t="n">
        <f aca="false">(AJ436)+AH437-AI437</f>
        <v>17364.4296664196</v>
      </c>
      <c r="AK437" s="15" t="n">
        <f aca="false">(F437- Motore_Operativo!BH437-(Motore_Operativo!CK437)*Parametri_v3!$C$28-Motore_Operativo!CF437)*Parametri_v3!$C$26</f>
        <v>4960.70666666667</v>
      </c>
      <c r="AL437" s="15" t="n">
        <f aca="false">MAX(0,(AM436))</f>
        <v>2231.83438596491</v>
      </c>
      <c r="AM437" s="15" t="n">
        <f aca="false">(AM436)+AK437-AL437</f>
        <v>4960.70666666667</v>
      </c>
      <c r="AN437" s="15" t="n">
        <f aca="false">SUM(X425:X436)</f>
        <v>13562.3123684211</v>
      </c>
      <c r="AO437" s="15" t="n">
        <f aca="false">SUM(AP425:AP436)</f>
        <v>0</v>
      </c>
      <c r="AP437" s="15" t="n">
        <f aca="false">MAX(0,AN437)*IF(1=Parametri_v3!$C$43,Parametri_v3!$C$45,IF(1=Parametri_v3!$C$44,1-Parametri_v3!$C$45,0))</f>
        <v>0</v>
      </c>
      <c r="AQ437" s="15" t="n">
        <f aca="false">MAX(0,AP437+IF(1=Parametri_v3!$C$43,MAX(0,AN437-AO437),0)-MAX(0,-(AR436)))</f>
        <v>0</v>
      </c>
      <c r="AR437" s="15" t="n">
        <f aca="false">(AR436)+X437-AQ437</f>
        <v>14957.5870749938</v>
      </c>
      <c r="AS437" s="15" t="n">
        <f aca="false">Motore_Operativo!AC437-AT437+AU437</f>
        <v>15166.75</v>
      </c>
      <c r="AT437" s="15" t="n">
        <f aca="false">Motore_Operativo!CI437</f>
        <v>798.25</v>
      </c>
      <c r="AU437" s="15" t="n">
        <f aca="false">MIN(MAX(0,(AV436)+AT437),Parametri_v3!$C$61/12)</f>
        <v>0</v>
      </c>
      <c r="AV437" s="15" t="n">
        <f aca="false">(AV436)+AT437-AU437</f>
        <v>3948.25</v>
      </c>
      <c r="AW437" s="15" t="n">
        <f aca="false">IF(AND(Motore_Operativo!C437=Finanziamenti!$D$7,Finanziamenti!$F$7=1),Finanziamenti!$C$7,0)</f>
        <v>0</v>
      </c>
      <c r="AX437" s="15" t="n">
        <f aca="false">0</f>
        <v>0</v>
      </c>
      <c r="AY437" s="15" t="n">
        <f aca="false">IF(1=Parametri_v3!$C$33,IF(BV437&lt;MIN(12,$B437-1),0,MIN(MAX(0,SUM(Y425:Y436))*Ipotesi!$C$94,MAX(0,(BM436)-(BO436)-BP437),MAX(0,BD437-Parametri_v3!$C$31))),0)</f>
        <v>0</v>
      </c>
      <c r="AZ437" s="15" t="n">
        <f aca="false">0</f>
        <v>0</v>
      </c>
      <c r="BA437" s="15" t="n">
        <f aca="false">0</f>
        <v>0</v>
      </c>
      <c r="BB437" s="15" t="n">
        <f aca="false">0</f>
        <v>0</v>
      </c>
      <c r="BC437" s="15" t="n">
        <f aca="false">0</f>
        <v>0</v>
      </c>
      <c r="BD437" s="15" t="n">
        <f aca="false">(BH436)+AC437-AF437-AI437-AS437-K437*(1+Parametri_v3!$C$26)-AL437-AQ437-O437+AW437+AX437+AZ437+BA437-BB437</f>
        <v>20239.6524561403</v>
      </c>
      <c r="BE437" s="15" t="n">
        <f aca="false">0</f>
        <v>0</v>
      </c>
      <c r="BF437" s="15" t="n">
        <f aca="false">0</f>
        <v>0</v>
      </c>
      <c r="BG437" s="15" t="n">
        <f aca="false">0</f>
        <v>0</v>
      </c>
      <c r="BH437" s="15" t="n">
        <f aca="false">BD437+BE437-BF437-AY437</f>
        <v>20239.6524561403</v>
      </c>
      <c r="BI437" s="15" t="n">
        <f aca="false">MAX(0,Parametri_v3!$C$31-BH437)</f>
        <v>0</v>
      </c>
      <c r="BJ437" s="15" t="n">
        <f aca="false">(BJ436)+K437</f>
        <v>3416.66666666667</v>
      </c>
      <c r="BK437" s="15" t="n">
        <f aca="false">(BK436)+L437</f>
        <v>636.574074074074</v>
      </c>
      <c r="BL437" s="15" t="n">
        <f aca="false">BJ437-BK437</f>
        <v>2780.09259259259</v>
      </c>
      <c r="BM437" s="15" t="n">
        <f aca="false">(BM436)+Y437</f>
        <v>38653.8361328693</v>
      </c>
      <c r="BN437" s="15" t="n">
        <f aca="false">(BN436)+AW437+AX437+AZ437</f>
        <v>20000</v>
      </c>
      <c r="BO437" s="15" t="n">
        <f aca="false">(BO436)+AY437</f>
        <v>0</v>
      </c>
      <c r="BP437" s="15" t="n">
        <f aca="false">MIN(Parametri_v3!$C$36*Parametri_v3!$C$35,(BP436)+IF(1=1,MAX(0,SUM(Y425:Y436))*Parametri_v3!$C$34,0))</f>
        <v>1752.40631140351</v>
      </c>
      <c r="BQ437" s="15" t="n">
        <f aca="false">BN437+BM437-BO437</f>
        <v>58653.8361328693</v>
      </c>
      <c r="BR437" s="15" t="n">
        <f aca="false">BH437+AD437+BL437+MAX(0,-AM437)+MAX(0,-AR437)</f>
        <v>104030.518461137</v>
      </c>
      <c r="BS437" s="15" t="n">
        <f aca="false">AJ437+AV437+MAX(0,AM437)+MAX(0,AR437)+BC437+BG437+BQ437+AG437</f>
        <v>104030.518461137</v>
      </c>
      <c r="BT437" s="15" t="n">
        <f aca="false">BR437-BS437</f>
        <v>0</v>
      </c>
      <c r="BU437" s="15" t="n">
        <f aca="false">BH437-(BD437+BE437-BF437-AY437)</f>
        <v>0</v>
      </c>
      <c r="BV437" s="15" t="n">
        <f aca="false">IF(BH436&lt;Parametri_v3!$C$31,0,BV436+1)</f>
        <v>5</v>
      </c>
    </row>
    <row r="438" customFormat="false" ht="18" hidden="false" customHeight="true" outlineLevel="0" collapsed="false">
      <c r="A438" s="68" t="n">
        <f aca="false">8</f>
        <v>8</v>
      </c>
      <c r="B438" s="68" t="n">
        <f aca="false">14</f>
        <v>14</v>
      </c>
      <c r="C438" s="18" t="n">
        <f aca="false">Motore_Operativo!C438</f>
        <v>46784</v>
      </c>
      <c r="D438" s="68" t="n">
        <f aca="false">Motore_Operativo!D438</f>
        <v>2028</v>
      </c>
      <c r="E438" s="68" t="n">
        <f aca="false">Motore_Operativo!E438</f>
        <v>2</v>
      </c>
      <c r="F438" s="15" t="n">
        <f aca="false">Motore_Operativo!AM438</f>
        <v>33981.220657277</v>
      </c>
      <c r="G438" s="15" t="n">
        <f aca="false">Motore_Operativo!BH438</f>
        <v>3398.1220657277</v>
      </c>
      <c r="H438" s="15" t="n">
        <f aca="false">Motore_Operativo!AM438</f>
        <v>33981.220657277</v>
      </c>
      <c r="I438" s="15" t="n">
        <f aca="false">Motore_Operativo!CB438</f>
        <v>28885.3286384976</v>
      </c>
      <c r="J438" s="15" t="n">
        <f aca="false">Motore_Operativo!CD438</f>
        <v>5095.89201877934</v>
      </c>
      <c r="K438" s="15" t="n">
        <f aca="false">Motore_Operativo!CF438</f>
        <v>416.666666666667</v>
      </c>
      <c r="L438" s="15" t="n">
        <f aca="false">SUM(INDEX($K$425:$K$484,MAX(1,14-Parametri_v3!$C$59+1)):K438)/Parametri_v3!$C$59</f>
        <v>106.481481481481</v>
      </c>
      <c r="M438" s="15" t="n">
        <f aca="false">J438-L438</f>
        <v>4989.41053729786</v>
      </c>
      <c r="N438" s="15" t="n">
        <f aca="false">0</f>
        <v>0</v>
      </c>
      <c r="O438" s="15" t="n">
        <f aca="false">0</f>
        <v>0</v>
      </c>
      <c r="P438" s="15" t="n">
        <f aca="false">M438+N438-O438</f>
        <v>4989.41053729786</v>
      </c>
      <c r="Q438" s="15" t="n">
        <f aca="false">SUM(P437:P438)+Parametri_v3!$C$56*2/12</f>
        <v>9990.39514866979</v>
      </c>
      <c r="R438" s="15" t="n">
        <f aca="false">Z436</f>
        <v>0</v>
      </c>
      <c r="S438" s="15" t="n">
        <f aca="false">AA436</f>
        <v>0</v>
      </c>
      <c r="T438" s="15" t="n">
        <f aca="false">MIN(R438,MAX(0,Q438))</f>
        <v>0</v>
      </c>
      <c r="U438" s="15" t="n">
        <f aca="false">MIN(S438,MAX(0,Q438-T438)*Parametri_v3!$C$42)</f>
        <v>0</v>
      </c>
      <c r="V438" s="15" t="n">
        <f aca="false">MAX(0,Q438-T438-U438)*Ipotesi!$C$92</f>
        <v>2397.69483568075</v>
      </c>
      <c r="W438" s="15" t="n">
        <f aca="false">MAX(0,SUM(M437:M438)+Parametri_v3!$C$57*2/12)*Ipotesi!$C$93</f>
        <v>389.625410798122</v>
      </c>
      <c r="X438" s="15" t="n">
        <f aca="false">V438+W438-(V437+W437)</f>
        <v>1392.0455399061</v>
      </c>
      <c r="Y438" s="15" t="n">
        <f aca="false">P438-X438</f>
        <v>3597.36499739176</v>
      </c>
      <c r="Z438" s="15" t="n">
        <f aca="false">R438-T438+IF(AND(Parametri_v3!$C$40=1,D438-YEAR(Parametri_v3!$C$50)&lt;Parametri_v3!$C$41),MAX(0,-Q438),0)</f>
        <v>0</v>
      </c>
      <c r="AA438" s="15" t="n">
        <f aca="false">S438-U438+IF(AND(Parametri_v3!$C$40=1,D438-YEAR(Parametri_v3!$C$50)&lt;Parametri_v3!$C$41),0,MAX(0,-Q438))</f>
        <v>0</v>
      </c>
      <c r="AB438" s="15" t="n">
        <f aca="false">F438*(1+Parametri_v3!$C$26)</f>
        <v>41457.0892018779</v>
      </c>
      <c r="AC438" s="15" t="n">
        <f aca="false">(IF(14-(INT((Motore_Operativo!L438)/30))&lt;1,0,INDEX(Motore_Advisory!$AB$425:$AB$484,MAX(1,14-(INT((Motore_Operativo!L438)/30)))))*(1-(MOD((Motore_Operativo!L438),30)/30))+IF(14-(INT((Motore_Operativo!L438)/30))-1&lt;1,0,INDEX(Motore_Advisory!$AB$425:$AB$484,MAX(1,14-(INT((Motore_Operativo!L438)/30))-1)))*(MOD((Motore_Operativo!L438),30)/30))</f>
        <v>19776.8421052632</v>
      </c>
      <c r="AD438" s="15" t="n">
        <f aca="false">(AD437)+AB438-AC438</f>
        <v>102691.020509019</v>
      </c>
      <c r="AE438" s="15" t="n">
        <f aca="false">Motore_Operativo!BH438*(1+Parametri_v3!$C$26)</f>
        <v>4145.70892018779</v>
      </c>
      <c r="AF438" s="15" t="n">
        <f aca="false">(IF(14-(INT((Parametri_v3!$C$29)/30))&lt;1,0,INDEX(Motore_Operativo!$BH$425:$BH$484,MAX(1,14-(INT((Parametri_v3!$C$29)/30)))))*(1-(MOD((Parametri_v3!$C$29),30)/30))+IF(14-(INT((Parametri_v3!$C$29)/30))-1&lt;1,0,INDEX(Motore_Operativo!$BH$425:$BH$484,MAX(1,14-(INT((Parametri_v3!$C$29)/30))-1)))*(MOD((Parametri_v3!$C$29),30)/30))*(1+Parametri_v3!$C$26)</f>
        <v>4145.70892018779</v>
      </c>
      <c r="AG438" s="15" t="n">
        <f aca="false">(AG437)+AE438-AF438</f>
        <v>4145.70892018779</v>
      </c>
      <c r="AH438" s="15" t="n">
        <f aca="false">(Motore_Operativo!CK438)*(1+Parametri_v3!$C$28*Parametri_v3!$C$26)</f>
        <v>11198.1149295775</v>
      </c>
      <c r="AI438" s="15" t="n">
        <f aca="false">(IF(14-(INT((Ipotesi!$C$91)/30))&lt;1,0,INDEX(Motore_Advisory!$AH$425:$AH$484,MAX(1,14-(INT((Ipotesi!$C$91)/30)))))*(1-(MOD((Ipotesi!$C$91),30)/30))+IF(14-(INT((Ipotesi!$C$91)/30))-1&lt;1,0,INDEX(Motore_Advisory!$AH$425:$AH$484,MAX(1,14-(INT((Ipotesi!$C$91)/30))-1)))*(MOD((Ipotesi!$C$91),30)/30))</f>
        <v>6166.3147368421</v>
      </c>
      <c r="AJ438" s="15" t="n">
        <f aca="false">(AJ437)+AH438-AI438</f>
        <v>22396.2298591549</v>
      </c>
      <c r="AK438" s="15" t="n">
        <f aca="false">(F438- Motore_Operativo!BH438-(Motore_Operativo!CK438)*Parametri_v3!$C$28-Motore_Operativo!CF438)*Parametri_v3!$C$26</f>
        <v>4960.70666666667</v>
      </c>
      <c r="AL438" s="15" t="n">
        <f aca="false">MAX(0,(AM437))</f>
        <v>4960.70666666667</v>
      </c>
      <c r="AM438" s="15" t="n">
        <f aca="false">(AM437)+AK438-AL438</f>
        <v>4960.70666666667</v>
      </c>
      <c r="AN438" s="15" t="n">
        <f aca="false">SUM(X425:X436)</f>
        <v>13562.3123684211</v>
      </c>
      <c r="AO438" s="15" t="n">
        <f aca="false">SUM(AP425:AP436)</f>
        <v>0</v>
      </c>
      <c r="AP438" s="15" t="n">
        <f aca="false">MAX(0,AN438)*IF(2=Parametri_v3!$C$43,Parametri_v3!$C$45,IF(2=Parametri_v3!$C$44,1-Parametri_v3!$C$45,0))</f>
        <v>0</v>
      </c>
      <c r="AQ438" s="15" t="n">
        <f aca="false">MAX(0,AP438+IF(2=Parametri_v3!$C$43,MAX(0,AN438-AO438),0)-MAX(0,-(AR437)))</f>
        <v>0</v>
      </c>
      <c r="AR438" s="15" t="n">
        <f aca="false">(AR437)+X438-AQ438</f>
        <v>16349.6326148999</v>
      </c>
      <c r="AS438" s="15" t="n">
        <f aca="false">Motore_Operativo!AC438-AT438+AU438</f>
        <v>15166.75</v>
      </c>
      <c r="AT438" s="15" t="n">
        <f aca="false">Motore_Operativo!CI438</f>
        <v>798.25</v>
      </c>
      <c r="AU438" s="15" t="n">
        <f aca="false">MIN(MAX(0,(AV437)+AT438),Parametri_v3!$C$61/12)</f>
        <v>0</v>
      </c>
      <c r="AV438" s="15" t="n">
        <f aca="false">(AV437)+AT438-AU438</f>
        <v>4746.5</v>
      </c>
      <c r="AW438" s="15" t="n">
        <f aca="false">IF(AND(Motore_Operativo!C438=Finanziamenti!$D$7,Finanziamenti!$F$7=1),Finanziamenti!$C$7,0)</f>
        <v>0</v>
      </c>
      <c r="AX438" s="15" t="n">
        <f aca="false">0</f>
        <v>0</v>
      </c>
      <c r="AY438" s="15" t="n">
        <f aca="false">IF(2=Parametri_v3!$C$33,IF(BV438&lt;MIN(12,$B438-1),0,MIN(MAX(0,SUM(Y425:Y436))*Ipotesi!$C$94,MAX(0,(BM436)-(BO437)-BP438),MAX(0,BD438-Parametri_v3!$C$31))),0)</f>
        <v>0</v>
      </c>
      <c r="AZ438" s="15" t="n">
        <f aca="false">0</f>
        <v>0</v>
      </c>
      <c r="BA438" s="15" t="n">
        <f aca="false">0</f>
        <v>0</v>
      </c>
      <c r="BB438" s="15" t="n">
        <f aca="false">0</f>
        <v>0</v>
      </c>
      <c r="BC438" s="15" t="n">
        <f aca="false">0</f>
        <v>0</v>
      </c>
      <c r="BD438" s="15" t="n">
        <f aca="false">(BH437)+AC438-AF438-AI438-AS438-K438*(1+Parametri_v3!$C$26)-AL438-AQ438-O438+AW438+AX438+AZ438+BA438-BB438</f>
        <v>9068.6809043736</v>
      </c>
      <c r="BE438" s="15" t="n">
        <f aca="false">0</f>
        <v>0</v>
      </c>
      <c r="BF438" s="15" t="n">
        <f aca="false">0</f>
        <v>0</v>
      </c>
      <c r="BG438" s="15" t="n">
        <f aca="false">0</f>
        <v>0</v>
      </c>
      <c r="BH438" s="15" t="n">
        <f aca="false">BD438+BE438-BF438-AY438</f>
        <v>9068.6809043736</v>
      </c>
      <c r="BI438" s="15" t="n">
        <f aca="false">MAX(0,Parametri_v3!$C$31-BH438)</f>
        <v>931.319095626399</v>
      </c>
      <c r="BJ438" s="15" t="n">
        <f aca="false">(BJ437)+K438</f>
        <v>3833.33333333333</v>
      </c>
      <c r="BK438" s="15" t="n">
        <f aca="false">(BK437)+L438</f>
        <v>743.055555555556</v>
      </c>
      <c r="BL438" s="15" t="n">
        <f aca="false">BJ438-BK438</f>
        <v>3090.27777777778</v>
      </c>
      <c r="BM438" s="15" t="n">
        <f aca="false">(BM437)+Y438</f>
        <v>42251.2011302611</v>
      </c>
      <c r="BN438" s="15" t="n">
        <f aca="false">(BN437)+AW438+AX438+AZ438</f>
        <v>20000</v>
      </c>
      <c r="BO438" s="15" t="n">
        <f aca="false">(BO437)+AY438</f>
        <v>0</v>
      </c>
      <c r="BP438" s="15" t="n">
        <f aca="false">MIN(Parametri_v3!$C$36*Parametri_v3!$C$35,(BP437)+IF(2=1,MAX(0,SUM(Y425:Y436))*Parametri_v3!$C$34,0))</f>
        <v>1752.40631140351</v>
      </c>
      <c r="BQ438" s="15" t="n">
        <f aca="false">BN438+BM438-BO438</f>
        <v>62251.2011302611</v>
      </c>
      <c r="BR438" s="15" t="n">
        <f aca="false">BH438+AD438+BL438+MAX(0,-AM438)+MAX(0,-AR438)</f>
        <v>114849.97919117</v>
      </c>
      <c r="BS438" s="15" t="n">
        <f aca="false">AJ438+AV438+MAX(0,AM438)+MAX(0,AR438)+BC438+BG438+BQ438+AG438</f>
        <v>114849.97919117</v>
      </c>
      <c r="BT438" s="15" t="n">
        <f aca="false">BR438-BS438</f>
        <v>0</v>
      </c>
      <c r="BU438" s="15" t="n">
        <f aca="false">BH438-(BD438+BE438-BF438-AY438)</f>
        <v>0</v>
      </c>
      <c r="BV438" s="15" t="n">
        <f aca="false">IF(BH437&lt;Parametri_v3!$C$31,0,BV437+1)</f>
        <v>6</v>
      </c>
    </row>
    <row r="439" customFormat="false" ht="18" hidden="false" customHeight="true" outlineLevel="0" collapsed="false">
      <c r="A439" s="68" t="n">
        <f aca="false">8</f>
        <v>8</v>
      </c>
      <c r="B439" s="68" t="n">
        <f aca="false">15</f>
        <v>15</v>
      </c>
      <c r="C439" s="18" t="n">
        <f aca="false">Motore_Operativo!C439</f>
        <v>46813</v>
      </c>
      <c r="D439" s="68" t="n">
        <f aca="false">Motore_Operativo!D439</f>
        <v>2028</v>
      </c>
      <c r="E439" s="68" t="n">
        <f aca="false">Motore_Operativo!E439</f>
        <v>3</v>
      </c>
      <c r="F439" s="15" t="n">
        <f aca="false">Motore_Operativo!AM439</f>
        <v>33981.220657277</v>
      </c>
      <c r="G439" s="15" t="n">
        <f aca="false">Motore_Operativo!BH439</f>
        <v>3398.1220657277</v>
      </c>
      <c r="H439" s="15" t="n">
        <f aca="false">Motore_Operativo!AM439</f>
        <v>33981.220657277</v>
      </c>
      <c r="I439" s="15" t="n">
        <f aca="false">Motore_Operativo!CB439</f>
        <v>28885.3286384976</v>
      </c>
      <c r="J439" s="15" t="n">
        <f aca="false">Motore_Operativo!CD439</f>
        <v>5095.89201877934</v>
      </c>
      <c r="K439" s="15" t="n">
        <f aca="false">Motore_Operativo!CF439</f>
        <v>416.666666666667</v>
      </c>
      <c r="L439" s="15" t="n">
        <f aca="false">SUM(INDEX($K$425:$K$484,MAX(1,15-Parametri_v3!$C$59+1)):K439)/Parametri_v3!$C$59</f>
        <v>118.055555555556</v>
      </c>
      <c r="M439" s="15" t="n">
        <f aca="false">J439-L439</f>
        <v>4977.83646322379</v>
      </c>
      <c r="N439" s="15" t="n">
        <f aca="false">0</f>
        <v>0</v>
      </c>
      <c r="O439" s="15" t="n">
        <f aca="false">0</f>
        <v>0</v>
      </c>
      <c r="P439" s="15" t="n">
        <f aca="false">M439+N439-O439</f>
        <v>4977.83646322379</v>
      </c>
      <c r="Q439" s="15" t="n">
        <f aca="false">SUM(P437:P439)+Parametri_v3!$C$56*3/12</f>
        <v>14968.2316118936</v>
      </c>
      <c r="R439" s="15" t="n">
        <f aca="false">Z436</f>
        <v>0</v>
      </c>
      <c r="S439" s="15" t="n">
        <f aca="false">AA436</f>
        <v>0</v>
      </c>
      <c r="T439" s="15" t="n">
        <f aca="false">MIN(R439,MAX(0,Q439))</f>
        <v>0</v>
      </c>
      <c r="U439" s="15" t="n">
        <f aca="false">MIN(S439,MAX(0,Q439-T439)*Parametri_v3!$C$42)</f>
        <v>0</v>
      </c>
      <c r="V439" s="15" t="n">
        <f aca="false">MAX(0,Q439-T439-U439)*Ipotesi!$C$92</f>
        <v>3592.37558685446</v>
      </c>
      <c r="W439" s="15" t="n">
        <f aca="false">MAX(0,SUM(M437:M439)+Parametri_v3!$C$57*3/12)*Ipotesi!$C$93</f>
        <v>583.76103286385</v>
      </c>
      <c r="X439" s="15" t="n">
        <f aca="false">V439+W439-(V438+W438)</f>
        <v>1388.81637323944</v>
      </c>
      <c r="Y439" s="15" t="n">
        <f aca="false">P439-X439</f>
        <v>3589.02008998435</v>
      </c>
      <c r="Z439" s="15" t="n">
        <f aca="false">R439-T439+IF(AND(Parametri_v3!$C$40=1,D439-YEAR(Parametri_v3!$C$50)&lt;Parametri_v3!$C$41),MAX(0,-Q439),0)</f>
        <v>0</v>
      </c>
      <c r="AA439" s="15" t="n">
        <f aca="false">S439-U439+IF(AND(Parametri_v3!$C$40=1,D439-YEAR(Parametri_v3!$C$50)&lt;Parametri_v3!$C$41),0,MAX(0,-Q439))</f>
        <v>0</v>
      </c>
      <c r="AB439" s="15" t="n">
        <f aca="false">F439*(1+Parametri_v3!$C$26)</f>
        <v>41457.0892018779</v>
      </c>
      <c r="AC439" s="15" t="n">
        <f aca="false">(IF(15-(INT((Motore_Operativo!L439)/30))&lt;1,0,INDEX(Motore_Advisory!$AB$425:$AB$484,MAX(1,15-(INT((Motore_Operativo!L439)/30)))))*(1-(MOD((Motore_Operativo!L439),30)/30))+IF(15-(INT((Motore_Operativo!L439)/30))-1&lt;1,0,INDEX(Motore_Advisory!$AB$425:$AB$484,MAX(1,15-(INT((Motore_Operativo!L439)/30))-1)))*(MOD((Motore_Operativo!L439),30)/30))</f>
        <v>19776.8421052632</v>
      </c>
      <c r="AD439" s="15" t="n">
        <f aca="false">(AD438)+AB439-AC439</f>
        <v>124371.267605634</v>
      </c>
      <c r="AE439" s="15" t="n">
        <f aca="false">Motore_Operativo!BH439*(1+Parametri_v3!$C$26)</f>
        <v>4145.70892018779</v>
      </c>
      <c r="AF439" s="15" t="n">
        <f aca="false">(IF(15-(INT((Parametri_v3!$C$29)/30))&lt;1,0,INDEX(Motore_Operativo!$BH$425:$BH$484,MAX(1,15-(INT((Parametri_v3!$C$29)/30)))))*(1-(MOD((Parametri_v3!$C$29),30)/30))+IF(15-(INT((Parametri_v3!$C$29)/30))-1&lt;1,0,INDEX(Motore_Operativo!$BH$425:$BH$484,MAX(1,15-(INT((Parametri_v3!$C$29)/30))-1)))*(MOD((Parametri_v3!$C$29),30)/30))*(1+Parametri_v3!$C$26)</f>
        <v>4145.70892018779</v>
      </c>
      <c r="AG439" s="15" t="n">
        <f aca="false">(AG438)+AE439-AF439</f>
        <v>4145.70892018779</v>
      </c>
      <c r="AH439" s="15" t="n">
        <f aca="false">(Motore_Operativo!CK439)*(1+Parametri_v3!$C$28*Parametri_v3!$C$26)</f>
        <v>11198.1149295775</v>
      </c>
      <c r="AI439" s="15" t="n">
        <f aca="false">(IF(15-(INT((Ipotesi!$C$91)/30))&lt;1,0,INDEX(Motore_Advisory!$AH$425:$AH$484,MAX(1,15-(INT((Ipotesi!$C$91)/30)))))*(1-(MOD((Ipotesi!$C$91),30)/30))+IF(15-(INT((Ipotesi!$C$91)/30))-1&lt;1,0,INDEX(Motore_Advisory!$AH$425:$AH$484,MAX(1,15-(INT((Ipotesi!$C$91)/30))-1)))*(MOD((Ipotesi!$C$91),30)/30))</f>
        <v>11198.1149295775</v>
      </c>
      <c r="AJ439" s="15" t="n">
        <f aca="false">(AJ438)+AH439-AI439</f>
        <v>22396.2298591549</v>
      </c>
      <c r="AK439" s="15" t="n">
        <f aca="false">(F439- Motore_Operativo!BH439-(Motore_Operativo!CK439)*Parametri_v3!$C$28-Motore_Operativo!CF439)*Parametri_v3!$C$26</f>
        <v>4960.70666666667</v>
      </c>
      <c r="AL439" s="15" t="n">
        <f aca="false">MAX(0,(AM438))</f>
        <v>4960.70666666667</v>
      </c>
      <c r="AM439" s="15" t="n">
        <f aca="false">(AM438)+AK439-AL439</f>
        <v>4960.70666666667</v>
      </c>
      <c r="AN439" s="15" t="n">
        <f aca="false">SUM(X425:X436)</f>
        <v>13562.3123684211</v>
      </c>
      <c r="AO439" s="15" t="n">
        <f aca="false">SUM(AP425:AP436)</f>
        <v>0</v>
      </c>
      <c r="AP439" s="15" t="n">
        <f aca="false">MAX(0,AN439)*IF(3=Parametri_v3!$C$43,Parametri_v3!$C$45,IF(3=Parametri_v3!$C$44,1-Parametri_v3!$C$45,0))</f>
        <v>0</v>
      </c>
      <c r="AQ439" s="15" t="n">
        <f aca="false">MAX(0,AP439+IF(3=Parametri_v3!$C$43,MAX(0,AN439-AO439),0)-MAX(0,-(AR438)))</f>
        <v>0</v>
      </c>
      <c r="AR439" s="15" t="n">
        <f aca="false">(AR438)+X439-AQ439</f>
        <v>17738.4489881394</v>
      </c>
      <c r="AS439" s="15" t="n">
        <f aca="false">Motore_Operativo!AC439-AT439+AU439</f>
        <v>15166.75</v>
      </c>
      <c r="AT439" s="15" t="n">
        <f aca="false">Motore_Operativo!CI439</f>
        <v>798.25</v>
      </c>
      <c r="AU439" s="15" t="n">
        <f aca="false">MIN(MAX(0,(AV438)+AT439),Parametri_v3!$C$61/12)</f>
        <v>0</v>
      </c>
      <c r="AV439" s="15" t="n">
        <f aca="false">(AV438)+AT439-AU439</f>
        <v>5544.75</v>
      </c>
      <c r="AW439" s="15" t="n">
        <f aca="false">IF(AND(Motore_Operativo!C439=Finanziamenti!$D$7,Finanziamenti!$F$7=1),Finanziamenti!$C$7,0)</f>
        <v>0</v>
      </c>
      <c r="AX439" s="15" t="n">
        <f aca="false">0</f>
        <v>0</v>
      </c>
      <c r="AY439" s="15" t="n">
        <f aca="false">IF(3=Parametri_v3!$C$33,IF(BV439&lt;MIN(12,$B439-1),0,MIN(MAX(0,SUM(Y425:Y436))*Ipotesi!$C$94,MAX(0,(BM436)-(BO438)-BP439),MAX(0,BD439-Parametri_v3!$C$31))),0)</f>
        <v>0</v>
      </c>
      <c r="AZ439" s="15" t="n">
        <f aca="false">0</f>
        <v>0</v>
      </c>
      <c r="BA439" s="15" t="n">
        <f aca="false">0</f>
        <v>0</v>
      </c>
      <c r="BB439" s="15" t="n">
        <f aca="false">0</f>
        <v>0</v>
      </c>
      <c r="BC439" s="15" t="n">
        <f aca="false">0</f>
        <v>0</v>
      </c>
      <c r="BD439" s="15" t="n">
        <f aca="false">(BH438)+AC439-AF439-AI439-AS439-K439*(1+Parametri_v3!$C$26)-AL439-AQ439-O439+AW439+AX439+AZ439+BA439-BB439</f>
        <v>-7134.09084012849</v>
      </c>
      <c r="BE439" s="15" t="n">
        <f aca="false">0</f>
        <v>0</v>
      </c>
      <c r="BF439" s="15" t="n">
        <f aca="false">0</f>
        <v>0</v>
      </c>
      <c r="BG439" s="15" t="n">
        <f aca="false">0</f>
        <v>0</v>
      </c>
      <c r="BH439" s="15" t="n">
        <f aca="false">BD439+BE439-BF439-AY439</f>
        <v>-7134.09084012849</v>
      </c>
      <c r="BI439" s="15" t="n">
        <f aca="false">MAX(0,Parametri_v3!$C$31-BH439)</f>
        <v>17134.0908401285</v>
      </c>
      <c r="BJ439" s="15" t="n">
        <f aca="false">(BJ438)+K439</f>
        <v>4250</v>
      </c>
      <c r="BK439" s="15" t="n">
        <f aca="false">(BK438)+L439</f>
        <v>861.111111111111</v>
      </c>
      <c r="BL439" s="15" t="n">
        <f aca="false">BJ439-BK439</f>
        <v>3388.88888888889</v>
      </c>
      <c r="BM439" s="15" t="n">
        <f aca="false">(BM438)+Y439</f>
        <v>45840.2212202454</v>
      </c>
      <c r="BN439" s="15" t="n">
        <f aca="false">(BN438)+AW439+AX439+AZ439</f>
        <v>20000</v>
      </c>
      <c r="BO439" s="15" t="n">
        <f aca="false">(BO438)+AY439</f>
        <v>0</v>
      </c>
      <c r="BP439" s="15" t="n">
        <f aca="false">MIN(Parametri_v3!$C$36*Parametri_v3!$C$35,(BP438)+IF(3=1,MAX(0,SUM(Y425:Y436))*Parametri_v3!$C$34,0))</f>
        <v>1752.40631140351</v>
      </c>
      <c r="BQ439" s="15" t="n">
        <f aca="false">BN439+BM439-BO439</f>
        <v>65840.2212202454</v>
      </c>
      <c r="BR439" s="15" t="n">
        <f aca="false">BH439+AD439+BL439+MAX(0,-AM439)+MAX(0,-AR439)</f>
        <v>120626.065654394</v>
      </c>
      <c r="BS439" s="15" t="n">
        <f aca="false">AJ439+AV439+MAX(0,AM439)+MAX(0,AR439)+BC439+BG439+BQ439+AG439</f>
        <v>120626.065654394</v>
      </c>
      <c r="BT439" s="15" t="n">
        <f aca="false">BR439-BS439</f>
        <v>0</v>
      </c>
      <c r="BU439" s="15" t="n">
        <f aca="false">BH439-(BD439+BE439-BF439-AY439)</f>
        <v>0</v>
      </c>
      <c r="BV439" s="15" t="n">
        <f aca="false">IF(BH438&lt;Parametri_v3!$C$31,0,BV438+1)</f>
        <v>0</v>
      </c>
    </row>
    <row r="440" customFormat="false" ht="18" hidden="false" customHeight="true" outlineLevel="0" collapsed="false">
      <c r="A440" s="68" t="n">
        <f aca="false">8</f>
        <v>8</v>
      </c>
      <c r="B440" s="68" t="n">
        <f aca="false">16</f>
        <v>16</v>
      </c>
      <c r="C440" s="18" t="n">
        <f aca="false">Motore_Operativo!C440</f>
        <v>46844</v>
      </c>
      <c r="D440" s="68" t="n">
        <f aca="false">Motore_Operativo!D440</f>
        <v>2028</v>
      </c>
      <c r="E440" s="68" t="n">
        <f aca="false">Motore_Operativo!E440</f>
        <v>4</v>
      </c>
      <c r="F440" s="15" t="n">
        <f aca="false">Motore_Operativo!AM440</f>
        <v>33981.220657277</v>
      </c>
      <c r="G440" s="15" t="n">
        <f aca="false">Motore_Operativo!BH440</f>
        <v>3398.1220657277</v>
      </c>
      <c r="H440" s="15" t="n">
        <f aca="false">Motore_Operativo!AM440</f>
        <v>33981.220657277</v>
      </c>
      <c r="I440" s="15" t="n">
        <f aca="false">Motore_Operativo!CB440</f>
        <v>28885.3286384976</v>
      </c>
      <c r="J440" s="15" t="n">
        <f aca="false">Motore_Operativo!CD440</f>
        <v>5095.89201877934</v>
      </c>
      <c r="K440" s="15" t="n">
        <f aca="false">Motore_Operativo!CF440</f>
        <v>416.666666666667</v>
      </c>
      <c r="L440" s="15" t="n">
        <f aca="false">SUM(INDEX($K$425:$K$484,MAX(1,16-Parametri_v3!$C$59+1)):K440)/Parametri_v3!$C$59</f>
        <v>129.62962962963</v>
      </c>
      <c r="M440" s="15" t="n">
        <f aca="false">J440-L440</f>
        <v>4966.26238914971</v>
      </c>
      <c r="N440" s="15" t="n">
        <f aca="false">0</f>
        <v>0</v>
      </c>
      <c r="O440" s="15" t="n">
        <f aca="false">0</f>
        <v>0</v>
      </c>
      <c r="P440" s="15" t="n">
        <f aca="false">M440+N440-O440</f>
        <v>4966.26238914971</v>
      </c>
      <c r="Q440" s="15" t="n">
        <f aca="false">SUM(P437:P440)+Parametri_v3!$C$56*4/12</f>
        <v>19934.4940010433</v>
      </c>
      <c r="R440" s="15" t="n">
        <f aca="false">Z436</f>
        <v>0</v>
      </c>
      <c r="S440" s="15" t="n">
        <f aca="false">AA436</f>
        <v>0</v>
      </c>
      <c r="T440" s="15" t="n">
        <f aca="false">MIN(R440,MAX(0,Q440))</f>
        <v>0</v>
      </c>
      <c r="U440" s="15" t="n">
        <f aca="false">MIN(S440,MAX(0,Q440-T440)*Parametri_v3!$C$42)</f>
        <v>0</v>
      </c>
      <c r="V440" s="15" t="n">
        <f aca="false">MAX(0,Q440-T440-U440)*Ipotesi!$C$92</f>
        <v>4784.27856025039</v>
      </c>
      <c r="W440" s="15" t="n">
        <f aca="false">MAX(0,SUM(M437:M440)+Parametri_v3!$C$57*4/12)*Ipotesi!$C$93</f>
        <v>777.445266040688</v>
      </c>
      <c r="X440" s="15" t="n">
        <f aca="false">V440+W440-(V439+W439)</f>
        <v>1385.58720657277</v>
      </c>
      <c r="Y440" s="15" t="n">
        <f aca="false">P440-X440</f>
        <v>3580.67518257694</v>
      </c>
      <c r="Z440" s="15" t="n">
        <f aca="false">R440-T440+IF(AND(Parametri_v3!$C$40=1,D440-YEAR(Parametri_v3!$C$50)&lt;Parametri_v3!$C$41),MAX(0,-Q440),0)</f>
        <v>0</v>
      </c>
      <c r="AA440" s="15" t="n">
        <f aca="false">S440-U440+IF(AND(Parametri_v3!$C$40=1,D440-YEAR(Parametri_v3!$C$50)&lt;Parametri_v3!$C$41),0,MAX(0,-Q440))</f>
        <v>0</v>
      </c>
      <c r="AB440" s="15" t="n">
        <f aca="false">F440*(1+Parametri_v3!$C$26)</f>
        <v>41457.0892018779</v>
      </c>
      <c r="AC440" s="15" t="n">
        <f aca="false">(IF(16-(INT((Motore_Operativo!L440)/30))&lt;1,0,INDEX(Motore_Advisory!$AB$425:$AB$484,MAX(1,16-(INT((Motore_Operativo!L440)/30)))))*(1-(MOD((Motore_Operativo!L440),30)/30))+IF(16-(INT((Motore_Operativo!L440)/30))-1&lt;1,0,INDEX(Motore_Advisory!$AB$425:$AB$484,MAX(1,16-(INT((Motore_Operativo!L440)/30))-1)))*(MOD((Motore_Operativo!L440),30)/30))</f>
        <v>41457.0892018779</v>
      </c>
      <c r="AD440" s="15" t="n">
        <f aca="false">(AD439)+AB440-AC440</f>
        <v>124371.267605634</v>
      </c>
      <c r="AE440" s="15" t="n">
        <f aca="false">Motore_Operativo!BH440*(1+Parametri_v3!$C$26)</f>
        <v>4145.70892018779</v>
      </c>
      <c r="AF440" s="15" t="n">
        <f aca="false">(IF(16-(INT((Parametri_v3!$C$29)/30))&lt;1,0,INDEX(Motore_Operativo!$BH$425:$BH$484,MAX(1,16-(INT((Parametri_v3!$C$29)/30)))))*(1-(MOD((Parametri_v3!$C$29),30)/30))+IF(16-(INT((Parametri_v3!$C$29)/30))-1&lt;1,0,INDEX(Motore_Operativo!$BH$425:$BH$484,MAX(1,16-(INT((Parametri_v3!$C$29)/30))-1)))*(MOD((Parametri_v3!$C$29),30)/30))*(1+Parametri_v3!$C$26)</f>
        <v>4145.70892018779</v>
      </c>
      <c r="AG440" s="15" t="n">
        <f aca="false">(AG439)+AE440-AF440</f>
        <v>4145.70892018779</v>
      </c>
      <c r="AH440" s="15" t="n">
        <f aca="false">(Motore_Operativo!CK440)*(1+Parametri_v3!$C$28*Parametri_v3!$C$26)</f>
        <v>11198.1149295775</v>
      </c>
      <c r="AI440" s="15" t="n">
        <f aca="false">(IF(16-(INT((Ipotesi!$C$91)/30))&lt;1,0,INDEX(Motore_Advisory!$AH$425:$AH$484,MAX(1,16-(INT((Ipotesi!$C$91)/30)))))*(1-(MOD((Ipotesi!$C$91),30)/30))+IF(16-(INT((Ipotesi!$C$91)/30))-1&lt;1,0,INDEX(Motore_Advisory!$AH$425:$AH$484,MAX(1,16-(INT((Ipotesi!$C$91)/30))-1)))*(MOD((Ipotesi!$C$91),30)/30))</f>
        <v>11198.1149295775</v>
      </c>
      <c r="AJ440" s="15" t="n">
        <f aca="false">(AJ439)+AH440-AI440</f>
        <v>22396.2298591549</v>
      </c>
      <c r="AK440" s="15" t="n">
        <f aca="false">(F440- Motore_Operativo!BH440-(Motore_Operativo!CK440)*Parametri_v3!$C$28-Motore_Operativo!CF440)*Parametri_v3!$C$26</f>
        <v>4960.70666666667</v>
      </c>
      <c r="AL440" s="15" t="n">
        <f aca="false">MAX(0,(AM439))</f>
        <v>4960.70666666667</v>
      </c>
      <c r="AM440" s="15" t="n">
        <f aca="false">(AM439)+AK440-AL440</f>
        <v>4960.70666666667</v>
      </c>
      <c r="AN440" s="15" t="n">
        <f aca="false">SUM(X425:X436)</f>
        <v>13562.3123684211</v>
      </c>
      <c r="AO440" s="15" t="n">
        <f aca="false">SUM(AP425:AP436)</f>
        <v>0</v>
      </c>
      <c r="AP440" s="15" t="n">
        <f aca="false">MAX(0,AN440)*IF(4=Parametri_v3!$C$43,Parametri_v3!$C$45,IF(4=Parametri_v3!$C$44,1-Parametri_v3!$C$45,0))</f>
        <v>0</v>
      </c>
      <c r="AQ440" s="15" t="n">
        <f aca="false">MAX(0,AP440+IF(4=Parametri_v3!$C$43,MAX(0,AN440-AO440),0)-MAX(0,-(AR439)))</f>
        <v>0</v>
      </c>
      <c r="AR440" s="15" t="n">
        <f aca="false">(AR439)+X440-AQ440</f>
        <v>19124.0361947121</v>
      </c>
      <c r="AS440" s="15" t="n">
        <f aca="false">Motore_Operativo!AC440-AT440+AU440</f>
        <v>15166.75</v>
      </c>
      <c r="AT440" s="15" t="n">
        <f aca="false">Motore_Operativo!CI440</f>
        <v>798.25</v>
      </c>
      <c r="AU440" s="15" t="n">
        <f aca="false">MIN(MAX(0,(AV439)+AT440),Parametri_v3!$C$61/12)</f>
        <v>0</v>
      </c>
      <c r="AV440" s="15" t="n">
        <f aca="false">(AV439)+AT440-AU440</f>
        <v>6343</v>
      </c>
      <c r="AW440" s="15" t="n">
        <f aca="false">IF(AND(Motore_Operativo!C440=Finanziamenti!$D$7,Finanziamenti!$F$7=1),Finanziamenti!$C$7,0)</f>
        <v>0</v>
      </c>
      <c r="AX440" s="15" t="n">
        <f aca="false">0</f>
        <v>0</v>
      </c>
      <c r="AY440" s="15" t="n">
        <f aca="false">IF(4=Parametri_v3!$C$33,IF(BV440&lt;MIN(12,$B440-1),0,MIN(MAX(0,SUM(Y425:Y436))*Ipotesi!$C$94,MAX(0,(BM436)-(BO439)-BP440),MAX(0,BD440-Parametri_v3!$C$31))),0)</f>
        <v>0</v>
      </c>
      <c r="AZ440" s="15" t="n">
        <f aca="false">0</f>
        <v>0</v>
      </c>
      <c r="BA440" s="15" t="n">
        <f aca="false">0</f>
        <v>0</v>
      </c>
      <c r="BB440" s="15" t="n">
        <f aca="false">0</f>
        <v>0</v>
      </c>
      <c r="BC440" s="15" t="n">
        <f aca="false">0</f>
        <v>0</v>
      </c>
      <c r="BD440" s="15" t="n">
        <f aca="false">(BH439)+AC440-AF440-AI440-AS440-K440*(1+Parametri_v3!$C$26)-AL440-AQ440-O440+AW440+AX440+AZ440+BA440-BB440</f>
        <v>-1656.61548801582</v>
      </c>
      <c r="BE440" s="15" t="n">
        <f aca="false">0</f>
        <v>0</v>
      </c>
      <c r="BF440" s="15" t="n">
        <f aca="false">0</f>
        <v>0</v>
      </c>
      <c r="BG440" s="15" t="n">
        <f aca="false">0</f>
        <v>0</v>
      </c>
      <c r="BH440" s="15" t="n">
        <f aca="false">BD440+BE440-BF440-AY440</f>
        <v>-1656.61548801582</v>
      </c>
      <c r="BI440" s="15" t="n">
        <f aca="false">MAX(0,Parametri_v3!$C$31-BH440)</f>
        <v>11656.6154880158</v>
      </c>
      <c r="BJ440" s="15" t="n">
        <f aca="false">(BJ439)+K440</f>
        <v>4666.66666666667</v>
      </c>
      <c r="BK440" s="15" t="n">
        <f aca="false">(BK439)+L440</f>
        <v>990.740740740741</v>
      </c>
      <c r="BL440" s="15" t="n">
        <f aca="false">BJ440-BK440</f>
        <v>3675.92592592593</v>
      </c>
      <c r="BM440" s="15" t="n">
        <f aca="false">(BM439)+Y440</f>
        <v>49420.8964028224</v>
      </c>
      <c r="BN440" s="15" t="n">
        <f aca="false">(BN439)+AW440+AX440+AZ440</f>
        <v>20000</v>
      </c>
      <c r="BO440" s="15" t="n">
        <f aca="false">(BO439)+AY440</f>
        <v>0</v>
      </c>
      <c r="BP440" s="15" t="n">
        <f aca="false">MIN(Parametri_v3!$C$36*Parametri_v3!$C$35,(BP439)+IF(4=1,MAX(0,SUM(Y425:Y436))*Parametri_v3!$C$34,0))</f>
        <v>1752.40631140351</v>
      </c>
      <c r="BQ440" s="15" t="n">
        <f aca="false">BN440+BM440-BO440</f>
        <v>69420.8964028224</v>
      </c>
      <c r="BR440" s="15" t="n">
        <f aca="false">BH440+AD440+BL440+MAX(0,-AM440)+MAX(0,-AR440)</f>
        <v>126390.578043544</v>
      </c>
      <c r="BS440" s="15" t="n">
        <f aca="false">AJ440+AV440+MAX(0,AM440)+MAX(0,AR440)+BC440+BG440+BQ440+AG440</f>
        <v>126390.578043544</v>
      </c>
      <c r="BT440" s="15" t="n">
        <f aca="false">BR440-BS440</f>
        <v>0</v>
      </c>
      <c r="BU440" s="15" t="n">
        <f aca="false">BH440-(BD440+BE440-BF440-AY440)</f>
        <v>0</v>
      </c>
      <c r="BV440" s="15" t="n">
        <f aca="false">IF(BH439&lt;Parametri_v3!$C$31,0,BV439+1)</f>
        <v>0</v>
      </c>
    </row>
    <row r="441" customFormat="false" ht="18" hidden="false" customHeight="true" outlineLevel="0" collapsed="false">
      <c r="A441" s="68" t="n">
        <f aca="false">8</f>
        <v>8</v>
      </c>
      <c r="B441" s="68" t="n">
        <f aca="false">17</f>
        <v>17</v>
      </c>
      <c r="C441" s="18" t="n">
        <f aca="false">Motore_Operativo!C441</f>
        <v>46874</v>
      </c>
      <c r="D441" s="68" t="n">
        <f aca="false">Motore_Operativo!D441</f>
        <v>2028</v>
      </c>
      <c r="E441" s="68" t="n">
        <f aca="false">Motore_Operativo!E441</f>
        <v>5</v>
      </c>
      <c r="F441" s="15" t="n">
        <f aca="false">Motore_Operativo!AM441</f>
        <v>33981.220657277</v>
      </c>
      <c r="G441" s="15" t="n">
        <f aca="false">Motore_Operativo!BH441</f>
        <v>3398.1220657277</v>
      </c>
      <c r="H441" s="15" t="n">
        <f aca="false">Motore_Operativo!AM441</f>
        <v>33981.220657277</v>
      </c>
      <c r="I441" s="15" t="n">
        <f aca="false">Motore_Operativo!CB441</f>
        <v>28885.3286384976</v>
      </c>
      <c r="J441" s="15" t="n">
        <f aca="false">Motore_Operativo!CD441</f>
        <v>5095.89201877934</v>
      </c>
      <c r="K441" s="15" t="n">
        <f aca="false">Motore_Operativo!CF441</f>
        <v>416.666666666667</v>
      </c>
      <c r="L441" s="15" t="n">
        <f aca="false">SUM(INDEX($K$425:$K$484,MAX(1,17-Parametri_v3!$C$59+1)):K441)/Parametri_v3!$C$59</f>
        <v>141.203703703704</v>
      </c>
      <c r="M441" s="15" t="n">
        <f aca="false">J441-L441</f>
        <v>4954.68831507564</v>
      </c>
      <c r="N441" s="15" t="n">
        <f aca="false">0</f>
        <v>0</v>
      </c>
      <c r="O441" s="15" t="n">
        <f aca="false">0</f>
        <v>0</v>
      </c>
      <c r="P441" s="15" t="n">
        <f aca="false">M441+N441-O441</f>
        <v>4954.68831507564</v>
      </c>
      <c r="Q441" s="15" t="n">
        <f aca="false">SUM(P437:P441)+Parametri_v3!$C$56*5/12</f>
        <v>24889.1823161189</v>
      </c>
      <c r="R441" s="15" t="n">
        <f aca="false">Z436</f>
        <v>0</v>
      </c>
      <c r="S441" s="15" t="n">
        <f aca="false">AA436</f>
        <v>0</v>
      </c>
      <c r="T441" s="15" t="n">
        <f aca="false">MIN(R441,MAX(0,Q441))</f>
        <v>0</v>
      </c>
      <c r="U441" s="15" t="n">
        <f aca="false">MIN(S441,MAX(0,Q441-T441)*Parametri_v3!$C$42)</f>
        <v>0</v>
      </c>
      <c r="V441" s="15" t="n">
        <f aca="false">MAX(0,Q441-T441-U441)*Ipotesi!$C$92</f>
        <v>5973.40375586854</v>
      </c>
      <c r="W441" s="15" t="n">
        <f aca="false">MAX(0,SUM(M437:M441)+Parametri_v3!$C$57*5/12)*Ipotesi!$C$93</f>
        <v>970.678110328638</v>
      </c>
      <c r="X441" s="15" t="n">
        <f aca="false">V441+W441-(V440+W440)</f>
        <v>1382.3580399061</v>
      </c>
      <c r="Y441" s="15" t="n">
        <f aca="false">P441-X441</f>
        <v>3572.33027516954</v>
      </c>
      <c r="Z441" s="15" t="n">
        <f aca="false">R441-T441+IF(AND(Parametri_v3!$C$40=1,D441-YEAR(Parametri_v3!$C$50)&lt;Parametri_v3!$C$41),MAX(0,-Q441),0)</f>
        <v>0</v>
      </c>
      <c r="AA441" s="15" t="n">
        <f aca="false">S441-U441+IF(AND(Parametri_v3!$C$40=1,D441-YEAR(Parametri_v3!$C$50)&lt;Parametri_v3!$C$41),0,MAX(0,-Q441))</f>
        <v>0</v>
      </c>
      <c r="AB441" s="15" t="n">
        <f aca="false">F441*(1+Parametri_v3!$C$26)</f>
        <v>41457.0892018779</v>
      </c>
      <c r="AC441" s="15" t="n">
        <f aca="false">(IF(17-(INT((Motore_Operativo!L441)/30))&lt;1,0,INDEX(Motore_Advisory!$AB$425:$AB$484,MAX(1,17-(INT((Motore_Operativo!L441)/30)))))*(1-(MOD((Motore_Operativo!L441),30)/30))+IF(17-(INT((Motore_Operativo!L441)/30))-1&lt;1,0,INDEX(Motore_Advisory!$AB$425:$AB$484,MAX(1,17-(INT((Motore_Operativo!L441)/30))-1)))*(MOD((Motore_Operativo!L441),30)/30))</f>
        <v>41457.0892018779</v>
      </c>
      <c r="AD441" s="15" t="n">
        <f aca="false">(AD440)+AB441-AC441</f>
        <v>124371.267605634</v>
      </c>
      <c r="AE441" s="15" t="n">
        <f aca="false">Motore_Operativo!BH441*(1+Parametri_v3!$C$26)</f>
        <v>4145.70892018779</v>
      </c>
      <c r="AF441" s="15" t="n">
        <f aca="false">(IF(17-(INT((Parametri_v3!$C$29)/30))&lt;1,0,INDEX(Motore_Operativo!$BH$425:$BH$484,MAX(1,17-(INT((Parametri_v3!$C$29)/30)))))*(1-(MOD((Parametri_v3!$C$29),30)/30))+IF(17-(INT((Parametri_v3!$C$29)/30))-1&lt;1,0,INDEX(Motore_Operativo!$BH$425:$BH$484,MAX(1,17-(INT((Parametri_v3!$C$29)/30))-1)))*(MOD((Parametri_v3!$C$29),30)/30))*(1+Parametri_v3!$C$26)</f>
        <v>4145.70892018779</v>
      </c>
      <c r="AG441" s="15" t="n">
        <f aca="false">(AG440)+AE441-AF441</f>
        <v>4145.70892018779</v>
      </c>
      <c r="AH441" s="15" t="n">
        <f aca="false">(Motore_Operativo!CK441)*(1+Parametri_v3!$C$28*Parametri_v3!$C$26)</f>
        <v>11198.1149295775</v>
      </c>
      <c r="AI441" s="15" t="n">
        <f aca="false">(IF(17-(INT((Ipotesi!$C$91)/30))&lt;1,0,INDEX(Motore_Advisory!$AH$425:$AH$484,MAX(1,17-(INT((Ipotesi!$C$91)/30)))))*(1-(MOD((Ipotesi!$C$91),30)/30))+IF(17-(INT((Ipotesi!$C$91)/30))-1&lt;1,0,INDEX(Motore_Advisory!$AH$425:$AH$484,MAX(1,17-(INT((Ipotesi!$C$91)/30))-1)))*(MOD((Ipotesi!$C$91),30)/30))</f>
        <v>11198.1149295775</v>
      </c>
      <c r="AJ441" s="15" t="n">
        <f aca="false">(AJ440)+AH441-AI441</f>
        <v>22396.2298591549</v>
      </c>
      <c r="AK441" s="15" t="n">
        <f aca="false">(F441- Motore_Operativo!BH441-(Motore_Operativo!CK441)*Parametri_v3!$C$28-Motore_Operativo!CF441)*Parametri_v3!$C$26</f>
        <v>4960.70666666667</v>
      </c>
      <c r="AL441" s="15" t="n">
        <f aca="false">MAX(0,(AM440))</f>
        <v>4960.70666666667</v>
      </c>
      <c r="AM441" s="15" t="n">
        <f aca="false">(AM440)+AK441-AL441</f>
        <v>4960.70666666667</v>
      </c>
      <c r="AN441" s="15" t="n">
        <f aca="false">SUM(X425:X436)</f>
        <v>13562.3123684211</v>
      </c>
      <c r="AO441" s="15" t="n">
        <f aca="false">SUM(AP425:AP436)</f>
        <v>0</v>
      </c>
      <c r="AP441" s="15" t="n">
        <f aca="false">MAX(0,AN441)*IF(5=Parametri_v3!$C$43,Parametri_v3!$C$45,IF(5=Parametri_v3!$C$44,1-Parametri_v3!$C$45,0))</f>
        <v>0</v>
      </c>
      <c r="AQ441" s="15" t="n">
        <f aca="false">MAX(0,AP441+IF(5=Parametri_v3!$C$43,MAX(0,AN441-AO441),0)-MAX(0,-(AR440)))</f>
        <v>0</v>
      </c>
      <c r="AR441" s="15" t="n">
        <f aca="false">(AR440)+X441-AQ441</f>
        <v>20506.3942346182</v>
      </c>
      <c r="AS441" s="15" t="n">
        <f aca="false">Motore_Operativo!AC441-AT441+AU441</f>
        <v>15166.75</v>
      </c>
      <c r="AT441" s="15" t="n">
        <f aca="false">Motore_Operativo!CI441</f>
        <v>798.25</v>
      </c>
      <c r="AU441" s="15" t="n">
        <f aca="false">MIN(MAX(0,(AV440)+AT441),Parametri_v3!$C$61/12)</f>
        <v>0</v>
      </c>
      <c r="AV441" s="15" t="n">
        <f aca="false">(AV440)+AT441-AU441</f>
        <v>7141.25</v>
      </c>
      <c r="AW441" s="15" t="n">
        <f aca="false">IF(AND(Motore_Operativo!C441=Finanziamenti!$D$7,Finanziamenti!$F$7=1),Finanziamenti!$C$7,0)</f>
        <v>0</v>
      </c>
      <c r="AX441" s="15" t="n">
        <f aca="false">0</f>
        <v>0</v>
      </c>
      <c r="AY441" s="15" t="n">
        <f aca="false">IF(5=Parametri_v3!$C$33,IF(BV441&lt;MIN(12,$B441-1),0,MIN(MAX(0,SUM(Y425:Y436))*Ipotesi!$C$94,MAX(0,(BM436)-(BO440)-BP441),MAX(0,BD441-Parametri_v3!$C$31))),0)</f>
        <v>0</v>
      </c>
      <c r="AZ441" s="15" t="n">
        <f aca="false">0</f>
        <v>0</v>
      </c>
      <c r="BA441" s="15" t="n">
        <f aca="false">0</f>
        <v>0</v>
      </c>
      <c r="BB441" s="15" t="n">
        <f aca="false">0</f>
        <v>0</v>
      </c>
      <c r="BC441" s="15" t="n">
        <f aca="false">0</f>
        <v>0</v>
      </c>
      <c r="BD441" s="15" t="n">
        <f aca="false">(BH440)+AC441-AF441-AI441-AS441-K441*(1+Parametri_v3!$C$26)-AL441-AQ441-O441+AW441+AX441+AZ441+BA441-BB441</f>
        <v>3820.85986409685</v>
      </c>
      <c r="BE441" s="15" t="n">
        <f aca="false">0</f>
        <v>0</v>
      </c>
      <c r="BF441" s="15" t="n">
        <f aca="false">0</f>
        <v>0</v>
      </c>
      <c r="BG441" s="15" t="n">
        <f aca="false">0</f>
        <v>0</v>
      </c>
      <c r="BH441" s="15" t="n">
        <f aca="false">BD441+BE441-BF441-AY441</f>
        <v>3820.85986409685</v>
      </c>
      <c r="BI441" s="15" t="n">
        <f aca="false">MAX(0,Parametri_v3!$C$31-BH441)</f>
        <v>6179.14013590315</v>
      </c>
      <c r="BJ441" s="15" t="n">
        <f aca="false">(BJ440)+K441</f>
        <v>5083.33333333333</v>
      </c>
      <c r="BK441" s="15" t="n">
        <f aca="false">(BK440)+L441</f>
        <v>1131.94444444444</v>
      </c>
      <c r="BL441" s="15" t="n">
        <f aca="false">BJ441-BK441</f>
        <v>3951.38888888889</v>
      </c>
      <c r="BM441" s="15" t="n">
        <f aca="false">(BM440)+Y441</f>
        <v>52993.2266779919</v>
      </c>
      <c r="BN441" s="15" t="n">
        <f aca="false">(BN440)+AW441+AX441+AZ441</f>
        <v>20000</v>
      </c>
      <c r="BO441" s="15" t="n">
        <f aca="false">(BO440)+AY441</f>
        <v>0</v>
      </c>
      <c r="BP441" s="15" t="n">
        <f aca="false">MIN(Parametri_v3!$C$36*Parametri_v3!$C$35,(BP440)+IF(5=1,MAX(0,SUM(Y425:Y436))*Parametri_v3!$C$34,0))</f>
        <v>1752.40631140351</v>
      </c>
      <c r="BQ441" s="15" t="n">
        <f aca="false">BN441+BM441-BO441</f>
        <v>72993.2266779919</v>
      </c>
      <c r="BR441" s="15" t="n">
        <f aca="false">BH441+AD441+BL441+MAX(0,-AM441)+MAX(0,-AR441)</f>
        <v>132143.51635862</v>
      </c>
      <c r="BS441" s="15" t="n">
        <f aca="false">AJ441+AV441+MAX(0,AM441)+MAX(0,AR441)+BC441+BG441+BQ441+AG441</f>
        <v>132143.51635862</v>
      </c>
      <c r="BT441" s="15" t="n">
        <f aca="false">BR441-BS441</f>
        <v>0</v>
      </c>
      <c r="BU441" s="15" t="n">
        <f aca="false">BH441-(BD441+BE441-BF441-AY441)</f>
        <v>0</v>
      </c>
      <c r="BV441" s="15" t="n">
        <f aca="false">IF(BH440&lt;Parametri_v3!$C$31,0,BV440+1)</f>
        <v>0</v>
      </c>
    </row>
    <row r="442" customFormat="false" ht="18" hidden="false" customHeight="true" outlineLevel="0" collapsed="false">
      <c r="A442" s="68" t="n">
        <f aca="false">8</f>
        <v>8</v>
      </c>
      <c r="B442" s="68" t="n">
        <f aca="false">18</f>
        <v>18</v>
      </c>
      <c r="C442" s="18" t="n">
        <f aca="false">Motore_Operativo!C442</f>
        <v>46905</v>
      </c>
      <c r="D442" s="68" t="n">
        <f aca="false">Motore_Operativo!D442</f>
        <v>2028</v>
      </c>
      <c r="E442" s="68" t="n">
        <f aca="false">Motore_Operativo!E442</f>
        <v>6</v>
      </c>
      <c r="F442" s="15" t="n">
        <f aca="false">Motore_Operativo!AM442</f>
        <v>33981.220657277</v>
      </c>
      <c r="G442" s="15" t="n">
        <f aca="false">Motore_Operativo!BH442</f>
        <v>3398.1220657277</v>
      </c>
      <c r="H442" s="15" t="n">
        <f aca="false">Motore_Operativo!AM442</f>
        <v>33981.220657277</v>
      </c>
      <c r="I442" s="15" t="n">
        <f aca="false">Motore_Operativo!CB442</f>
        <v>28885.3286384976</v>
      </c>
      <c r="J442" s="15" t="n">
        <f aca="false">Motore_Operativo!CD442</f>
        <v>5095.89201877934</v>
      </c>
      <c r="K442" s="15" t="n">
        <f aca="false">Motore_Operativo!CF442</f>
        <v>416.666666666667</v>
      </c>
      <c r="L442" s="15" t="n">
        <f aca="false">SUM(INDEX($K$425:$K$484,MAX(1,18-Parametri_v3!$C$59+1)):K442)/Parametri_v3!$C$59</f>
        <v>152.777777777778</v>
      </c>
      <c r="M442" s="15" t="n">
        <f aca="false">J442-L442</f>
        <v>4943.11424100156</v>
      </c>
      <c r="N442" s="15" t="n">
        <f aca="false">0</f>
        <v>0</v>
      </c>
      <c r="O442" s="15" t="n">
        <f aca="false">0</f>
        <v>0</v>
      </c>
      <c r="P442" s="15" t="n">
        <f aca="false">M442+N442-O442</f>
        <v>4943.11424100156</v>
      </c>
      <c r="Q442" s="15" t="n">
        <f aca="false">SUM(P437:P442)+Parametri_v3!$C$56*6/12</f>
        <v>29832.2965571205</v>
      </c>
      <c r="R442" s="15" t="n">
        <f aca="false">Z436</f>
        <v>0</v>
      </c>
      <c r="S442" s="15" t="n">
        <f aca="false">AA436</f>
        <v>0</v>
      </c>
      <c r="T442" s="15" t="n">
        <f aca="false">MIN(R442,MAX(0,Q442))</f>
        <v>0</v>
      </c>
      <c r="U442" s="15" t="n">
        <f aca="false">MIN(S442,MAX(0,Q442-T442)*Parametri_v3!$C$42)</f>
        <v>0</v>
      </c>
      <c r="V442" s="15" t="n">
        <f aca="false">MAX(0,Q442-T442-U442)*Ipotesi!$C$92</f>
        <v>7159.75117370892</v>
      </c>
      <c r="W442" s="15" t="n">
        <f aca="false">MAX(0,SUM(M437:M442)+Parametri_v3!$C$57*6/12)*Ipotesi!$C$93</f>
        <v>1163.4595657277</v>
      </c>
      <c r="X442" s="15" t="n">
        <f aca="false">V442+W442-(V441+W441)</f>
        <v>1379.12887323944</v>
      </c>
      <c r="Y442" s="15" t="n">
        <f aca="false">P442-X442</f>
        <v>3563.98536776213</v>
      </c>
      <c r="Z442" s="15" t="n">
        <f aca="false">R442-T442+IF(AND(Parametri_v3!$C$40=1,D442-YEAR(Parametri_v3!$C$50)&lt;Parametri_v3!$C$41),MAX(0,-Q442),0)</f>
        <v>0</v>
      </c>
      <c r="AA442" s="15" t="n">
        <f aca="false">S442-U442+IF(AND(Parametri_v3!$C$40=1,D442-YEAR(Parametri_v3!$C$50)&lt;Parametri_v3!$C$41),0,MAX(0,-Q442))</f>
        <v>0</v>
      </c>
      <c r="AB442" s="15" t="n">
        <f aca="false">F442*(1+Parametri_v3!$C$26)</f>
        <v>41457.0892018779</v>
      </c>
      <c r="AC442" s="15" t="n">
        <f aca="false">(IF(18-(INT((Motore_Operativo!L442)/30))&lt;1,0,INDEX(Motore_Advisory!$AB$425:$AB$484,MAX(1,18-(INT((Motore_Operativo!L442)/30)))))*(1-(MOD((Motore_Operativo!L442),30)/30))+IF(18-(INT((Motore_Operativo!L442)/30))-1&lt;1,0,INDEX(Motore_Advisory!$AB$425:$AB$484,MAX(1,18-(INT((Motore_Operativo!L442)/30))-1)))*(MOD((Motore_Operativo!L442),30)/30))</f>
        <v>41457.0892018779</v>
      </c>
      <c r="AD442" s="15" t="n">
        <f aca="false">(AD441)+AB442-AC442</f>
        <v>124371.267605634</v>
      </c>
      <c r="AE442" s="15" t="n">
        <f aca="false">Motore_Operativo!BH442*(1+Parametri_v3!$C$26)</f>
        <v>4145.70892018779</v>
      </c>
      <c r="AF442" s="15" t="n">
        <f aca="false">(IF(18-(INT((Parametri_v3!$C$29)/30))&lt;1,0,INDEX(Motore_Operativo!$BH$425:$BH$484,MAX(1,18-(INT((Parametri_v3!$C$29)/30)))))*(1-(MOD((Parametri_v3!$C$29),30)/30))+IF(18-(INT((Parametri_v3!$C$29)/30))-1&lt;1,0,INDEX(Motore_Operativo!$BH$425:$BH$484,MAX(1,18-(INT((Parametri_v3!$C$29)/30))-1)))*(MOD((Parametri_v3!$C$29),30)/30))*(1+Parametri_v3!$C$26)</f>
        <v>4145.70892018779</v>
      </c>
      <c r="AG442" s="15" t="n">
        <f aca="false">(AG441)+AE442-AF442</f>
        <v>4145.70892018779</v>
      </c>
      <c r="AH442" s="15" t="n">
        <f aca="false">(Motore_Operativo!CK442)*(1+Parametri_v3!$C$28*Parametri_v3!$C$26)</f>
        <v>11198.1149295775</v>
      </c>
      <c r="AI442" s="15" t="n">
        <f aca="false">(IF(18-(INT((Ipotesi!$C$91)/30))&lt;1,0,INDEX(Motore_Advisory!$AH$425:$AH$484,MAX(1,18-(INT((Ipotesi!$C$91)/30)))))*(1-(MOD((Ipotesi!$C$91),30)/30))+IF(18-(INT((Ipotesi!$C$91)/30))-1&lt;1,0,INDEX(Motore_Advisory!$AH$425:$AH$484,MAX(1,18-(INT((Ipotesi!$C$91)/30))-1)))*(MOD((Ipotesi!$C$91),30)/30))</f>
        <v>11198.1149295775</v>
      </c>
      <c r="AJ442" s="15" t="n">
        <f aca="false">(AJ441)+AH442-AI442</f>
        <v>22396.2298591549</v>
      </c>
      <c r="AK442" s="15" t="n">
        <f aca="false">(F442- Motore_Operativo!BH442-(Motore_Operativo!CK442)*Parametri_v3!$C$28-Motore_Operativo!CF442)*Parametri_v3!$C$26</f>
        <v>4960.70666666667</v>
      </c>
      <c r="AL442" s="15" t="n">
        <f aca="false">MAX(0,(AM441))</f>
        <v>4960.70666666667</v>
      </c>
      <c r="AM442" s="15" t="n">
        <f aca="false">(AM441)+AK442-AL442</f>
        <v>4960.70666666667</v>
      </c>
      <c r="AN442" s="15" t="n">
        <f aca="false">SUM(X425:X436)</f>
        <v>13562.3123684211</v>
      </c>
      <c r="AO442" s="15" t="n">
        <f aca="false">SUM(AP425:AP436)</f>
        <v>0</v>
      </c>
      <c r="AP442" s="15" t="n">
        <f aca="false">MAX(0,AN442)*IF(6=Parametri_v3!$C$43,Parametri_v3!$C$45,IF(6=Parametri_v3!$C$44,1-Parametri_v3!$C$45,0))</f>
        <v>5424.92494736842</v>
      </c>
      <c r="AQ442" s="15" t="n">
        <f aca="false">MAX(0,AP442+IF(6=Parametri_v3!$C$43,MAX(0,AN442-AO442),0)-MAX(0,-(AR441)))</f>
        <v>18987.2373157895</v>
      </c>
      <c r="AR442" s="15" t="n">
        <f aca="false">(AR441)+X442-AQ442</f>
        <v>2898.2857920682</v>
      </c>
      <c r="AS442" s="15" t="n">
        <f aca="false">Motore_Operativo!AC442-AT442+AU442</f>
        <v>15166.75</v>
      </c>
      <c r="AT442" s="15" t="n">
        <f aca="false">Motore_Operativo!CI442</f>
        <v>798.25</v>
      </c>
      <c r="AU442" s="15" t="n">
        <f aca="false">MIN(MAX(0,(AV441)+AT442),Parametri_v3!$C$61/12)</f>
        <v>0</v>
      </c>
      <c r="AV442" s="15" t="n">
        <f aca="false">(AV441)+AT442-AU442</f>
        <v>7939.5</v>
      </c>
      <c r="AW442" s="15" t="n">
        <f aca="false">IF(AND(Motore_Operativo!C442=Finanziamenti!$D$7,Finanziamenti!$F$7=1),Finanziamenti!$C$7,0)</f>
        <v>0</v>
      </c>
      <c r="AX442" s="15" t="n">
        <f aca="false">0</f>
        <v>0</v>
      </c>
      <c r="AY442" s="15" t="n">
        <f aca="false">IF(6=Parametri_v3!$C$33,IF(BV442&lt;MIN(12,$B442-1),0,MIN(MAX(0,SUM(Y425:Y436))*Ipotesi!$C$94,MAX(0,(BM436)-(BO441)-BP442),MAX(0,BD442-Parametri_v3!$C$31))),0)</f>
        <v>0</v>
      </c>
      <c r="AZ442" s="15" t="n">
        <f aca="false">0</f>
        <v>0</v>
      </c>
      <c r="BA442" s="15" t="n">
        <f aca="false">0</f>
        <v>0</v>
      </c>
      <c r="BB442" s="15" t="n">
        <f aca="false">0</f>
        <v>0</v>
      </c>
      <c r="BC442" s="15" t="n">
        <f aca="false">0</f>
        <v>0</v>
      </c>
      <c r="BD442" s="15" t="n">
        <f aca="false">(BH441)+AC442-AF442-AI442-AS442-K442*(1+Parametri_v3!$C$26)-AL442-AQ442-O442+AW442+AX442+AZ442+BA442-BB442</f>
        <v>-9688.90209957994</v>
      </c>
      <c r="BE442" s="15" t="n">
        <f aca="false">0</f>
        <v>0</v>
      </c>
      <c r="BF442" s="15" t="n">
        <f aca="false">0</f>
        <v>0</v>
      </c>
      <c r="BG442" s="15" t="n">
        <f aca="false">0</f>
        <v>0</v>
      </c>
      <c r="BH442" s="15" t="n">
        <f aca="false">BD442+BE442-BF442-AY442</f>
        <v>-9688.90209957994</v>
      </c>
      <c r="BI442" s="15" t="n">
        <f aca="false">MAX(0,Parametri_v3!$C$31-BH442)</f>
        <v>19688.9020995799</v>
      </c>
      <c r="BJ442" s="15" t="n">
        <f aca="false">(BJ441)+K442</f>
        <v>5500</v>
      </c>
      <c r="BK442" s="15" t="n">
        <f aca="false">(BK441)+L442</f>
        <v>1284.72222222222</v>
      </c>
      <c r="BL442" s="15" t="n">
        <f aca="false">BJ442-BK442</f>
        <v>4215.27777777778</v>
      </c>
      <c r="BM442" s="15" t="n">
        <f aca="false">(BM441)+Y442</f>
        <v>56557.212045754</v>
      </c>
      <c r="BN442" s="15" t="n">
        <f aca="false">(BN441)+AW442+AX442+AZ442</f>
        <v>20000</v>
      </c>
      <c r="BO442" s="15" t="n">
        <f aca="false">(BO441)+AY442</f>
        <v>0</v>
      </c>
      <c r="BP442" s="15" t="n">
        <f aca="false">MIN(Parametri_v3!$C$36*Parametri_v3!$C$35,(BP441)+IF(6=1,MAX(0,SUM(Y425:Y436))*Parametri_v3!$C$34,0))</f>
        <v>1752.40631140351</v>
      </c>
      <c r="BQ442" s="15" t="n">
        <f aca="false">BN442+BM442-BO442</f>
        <v>76557.212045754</v>
      </c>
      <c r="BR442" s="15" t="n">
        <f aca="false">BH442+AD442+BL442+MAX(0,-AM442)+MAX(0,-AR442)</f>
        <v>118897.643283832</v>
      </c>
      <c r="BS442" s="15" t="n">
        <f aca="false">AJ442+AV442+MAX(0,AM442)+MAX(0,AR442)+BC442+BG442+BQ442+AG442</f>
        <v>118897.643283832</v>
      </c>
      <c r="BT442" s="15" t="n">
        <f aca="false">BR442-BS442</f>
        <v>0</v>
      </c>
      <c r="BU442" s="15" t="n">
        <f aca="false">BH442-(BD442+BE442-BF442-AY442)</f>
        <v>0</v>
      </c>
      <c r="BV442" s="15" t="n">
        <f aca="false">IF(BH441&lt;Parametri_v3!$C$31,0,BV441+1)</f>
        <v>0</v>
      </c>
    </row>
    <row r="443" customFormat="false" ht="18" hidden="false" customHeight="true" outlineLevel="0" collapsed="false">
      <c r="A443" s="68" t="n">
        <f aca="false">8</f>
        <v>8</v>
      </c>
      <c r="B443" s="68" t="n">
        <f aca="false">19</f>
        <v>19</v>
      </c>
      <c r="C443" s="18" t="n">
        <f aca="false">Motore_Operativo!C443</f>
        <v>46935</v>
      </c>
      <c r="D443" s="68" t="n">
        <f aca="false">Motore_Operativo!D443</f>
        <v>2028</v>
      </c>
      <c r="E443" s="68" t="n">
        <f aca="false">Motore_Operativo!E443</f>
        <v>7</v>
      </c>
      <c r="F443" s="15" t="n">
        <f aca="false">Motore_Operativo!AM443</f>
        <v>33981.220657277</v>
      </c>
      <c r="G443" s="15" t="n">
        <f aca="false">Motore_Operativo!BH443</f>
        <v>3398.1220657277</v>
      </c>
      <c r="H443" s="15" t="n">
        <f aca="false">Motore_Operativo!AM443</f>
        <v>33981.220657277</v>
      </c>
      <c r="I443" s="15" t="n">
        <f aca="false">Motore_Operativo!CB443</f>
        <v>28885.3286384976</v>
      </c>
      <c r="J443" s="15" t="n">
        <f aca="false">Motore_Operativo!CD443</f>
        <v>5095.89201877934</v>
      </c>
      <c r="K443" s="15" t="n">
        <f aca="false">Motore_Operativo!CF443</f>
        <v>416.666666666667</v>
      </c>
      <c r="L443" s="15" t="n">
        <f aca="false">SUM(INDEX($K$425:$K$484,MAX(1,19-Parametri_v3!$C$59+1)):K443)/Parametri_v3!$C$59</f>
        <v>164.351851851852</v>
      </c>
      <c r="M443" s="15" t="n">
        <f aca="false">J443-L443</f>
        <v>4931.54016692749</v>
      </c>
      <c r="N443" s="15" t="n">
        <f aca="false">0</f>
        <v>0</v>
      </c>
      <c r="O443" s="15" t="n">
        <f aca="false">0</f>
        <v>0</v>
      </c>
      <c r="P443" s="15" t="n">
        <f aca="false">M443+N443-O443</f>
        <v>4931.54016692749</v>
      </c>
      <c r="Q443" s="15" t="n">
        <f aca="false">SUM(P437:P443)+Parametri_v3!$C$56*7/12</f>
        <v>34763.836724048</v>
      </c>
      <c r="R443" s="15" t="n">
        <f aca="false">Z436</f>
        <v>0</v>
      </c>
      <c r="S443" s="15" t="n">
        <f aca="false">AA436</f>
        <v>0</v>
      </c>
      <c r="T443" s="15" t="n">
        <f aca="false">MIN(R443,MAX(0,Q443))</f>
        <v>0</v>
      </c>
      <c r="U443" s="15" t="n">
        <f aca="false">MIN(S443,MAX(0,Q443-T443)*Parametri_v3!$C$42)</f>
        <v>0</v>
      </c>
      <c r="V443" s="15" t="n">
        <f aca="false">MAX(0,Q443-T443-U443)*Ipotesi!$C$92</f>
        <v>8343.32081377151</v>
      </c>
      <c r="W443" s="15" t="n">
        <f aca="false">MAX(0,SUM(M437:M443)+Parametri_v3!$C$57*7/12)*Ipotesi!$C$93</f>
        <v>1355.78963223787</v>
      </c>
      <c r="X443" s="15" t="n">
        <f aca="false">V443+W443-(V442+W442)</f>
        <v>1375.89970657277</v>
      </c>
      <c r="Y443" s="15" t="n">
        <f aca="false">P443-X443</f>
        <v>3555.64046035472</v>
      </c>
      <c r="Z443" s="15" t="n">
        <f aca="false">R443-T443+IF(AND(Parametri_v3!$C$40=1,D443-YEAR(Parametri_v3!$C$50)&lt;Parametri_v3!$C$41),MAX(0,-Q443),0)</f>
        <v>0</v>
      </c>
      <c r="AA443" s="15" t="n">
        <f aca="false">S443-U443+IF(AND(Parametri_v3!$C$40=1,D443-YEAR(Parametri_v3!$C$50)&lt;Parametri_v3!$C$41),0,MAX(0,-Q443))</f>
        <v>0</v>
      </c>
      <c r="AB443" s="15" t="n">
        <f aca="false">F443*(1+Parametri_v3!$C$26)</f>
        <v>41457.0892018779</v>
      </c>
      <c r="AC443" s="15" t="n">
        <f aca="false">(IF(19-(INT((Motore_Operativo!L443)/30))&lt;1,0,INDEX(Motore_Advisory!$AB$425:$AB$484,MAX(1,19-(INT((Motore_Operativo!L443)/30)))))*(1-(MOD((Motore_Operativo!L443),30)/30))+IF(19-(INT((Motore_Operativo!L443)/30))-1&lt;1,0,INDEX(Motore_Advisory!$AB$425:$AB$484,MAX(1,19-(INT((Motore_Operativo!L443)/30))-1)))*(MOD((Motore_Operativo!L443),30)/30))</f>
        <v>41457.0892018779</v>
      </c>
      <c r="AD443" s="15" t="n">
        <f aca="false">(AD442)+AB443-AC443</f>
        <v>124371.267605634</v>
      </c>
      <c r="AE443" s="15" t="n">
        <f aca="false">Motore_Operativo!BH443*(1+Parametri_v3!$C$26)</f>
        <v>4145.70892018779</v>
      </c>
      <c r="AF443" s="15" t="n">
        <f aca="false">(IF(19-(INT((Parametri_v3!$C$29)/30))&lt;1,0,INDEX(Motore_Operativo!$BH$425:$BH$484,MAX(1,19-(INT((Parametri_v3!$C$29)/30)))))*(1-(MOD((Parametri_v3!$C$29),30)/30))+IF(19-(INT((Parametri_v3!$C$29)/30))-1&lt;1,0,INDEX(Motore_Operativo!$BH$425:$BH$484,MAX(1,19-(INT((Parametri_v3!$C$29)/30))-1)))*(MOD((Parametri_v3!$C$29),30)/30))*(1+Parametri_v3!$C$26)</f>
        <v>4145.70892018779</v>
      </c>
      <c r="AG443" s="15" t="n">
        <f aca="false">(AG442)+AE443-AF443</f>
        <v>4145.70892018779</v>
      </c>
      <c r="AH443" s="15" t="n">
        <f aca="false">(Motore_Operativo!CK443)*(1+Parametri_v3!$C$28*Parametri_v3!$C$26)</f>
        <v>11198.1149295775</v>
      </c>
      <c r="AI443" s="15" t="n">
        <f aca="false">(IF(19-(INT((Ipotesi!$C$91)/30))&lt;1,0,INDEX(Motore_Advisory!$AH$425:$AH$484,MAX(1,19-(INT((Ipotesi!$C$91)/30)))))*(1-(MOD((Ipotesi!$C$91),30)/30))+IF(19-(INT((Ipotesi!$C$91)/30))-1&lt;1,0,INDEX(Motore_Advisory!$AH$425:$AH$484,MAX(1,19-(INT((Ipotesi!$C$91)/30))-1)))*(MOD((Ipotesi!$C$91),30)/30))</f>
        <v>11198.1149295775</v>
      </c>
      <c r="AJ443" s="15" t="n">
        <f aca="false">(AJ442)+AH443-AI443</f>
        <v>22396.2298591549</v>
      </c>
      <c r="AK443" s="15" t="n">
        <f aca="false">(F443- Motore_Operativo!BH443-(Motore_Operativo!CK443)*Parametri_v3!$C$28-Motore_Operativo!CF443)*Parametri_v3!$C$26</f>
        <v>4960.70666666667</v>
      </c>
      <c r="AL443" s="15" t="n">
        <f aca="false">MAX(0,(AM442))</f>
        <v>4960.70666666667</v>
      </c>
      <c r="AM443" s="15" t="n">
        <f aca="false">(AM442)+AK443-AL443</f>
        <v>4960.70666666667</v>
      </c>
      <c r="AN443" s="15" t="n">
        <f aca="false">SUM(X425:X436)</f>
        <v>13562.3123684211</v>
      </c>
      <c r="AO443" s="15" t="n">
        <f aca="false">SUM(AP425:AP436)</f>
        <v>0</v>
      </c>
      <c r="AP443" s="15" t="n">
        <f aca="false">MAX(0,AN443)*IF(7=Parametri_v3!$C$43,Parametri_v3!$C$45,IF(7=Parametri_v3!$C$44,1-Parametri_v3!$C$45,0))</f>
        <v>0</v>
      </c>
      <c r="AQ443" s="15" t="n">
        <f aca="false">MAX(0,AP443+IF(7=Parametri_v3!$C$43,MAX(0,AN443-AO443),0)-MAX(0,-(AR442)))</f>
        <v>0</v>
      </c>
      <c r="AR443" s="15" t="n">
        <f aca="false">(AR442)+X443-AQ443</f>
        <v>4274.18549864096</v>
      </c>
      <c r="AS443" s="15" t="n">
        <f aca="false">Motore_Operativo!AC443-AT443+AU443</f>
        <v>15166.75</v>
      </c>
      <c r="AT443" s="15" t="n">
        <f aca="false">Motore_Operativo!CI443</f>
        <v>798.25</v>
      </c>
      <c r="AU443" s="15" t="n">
        <f aca="false">MIN(MAX(0,(AV442)+AT443),Parametri_v3!$C$61/12)</f>
        <v>0</v>
      </c>
      <c r="AV443" s="15" t="n">
        <f aca="false">(AV442)+AT443-AU443</f>
        <v>8737.75</v>
      </c>
      <c r="AW443" s="15" t="n">
        <f aca="false">IF(AND(Motore_Operativo!C443=Finanziamenti!$D$7,Finanziamenti!$F$7=1),Finanziamenti!$C$7,0)</f>
        <v>0</v>
      </c>
      <c r="AX443" s="15" t="n">
        <f aca="false">0</f>
        <v>0</v>
      </c>
      <c r="AY443" s="15" t="n">
        <f aca="false">IF(7=Parametri_v3!$C$33,IF(BV443&lt;MIN(12,$B443-1),0,MIN(MAX(0,SUM(Y425:Y436))*Ipotesi!$C$94,MAX(0,(BM436)-(BO442)-BP443),MAX(0,BD443-Parametri_v3!$C$31))),0)</f>
        <v>0</v>
      </c>
      <c r="AZ443" s="15" t="n">
        <f aca="false">0</f>
        <v>0</v>
      </c>
      <c r="BA443" s="15" t="n">
        <f aca="false">0</f>
        <v>0</v>
      </c>
      <c r="BB443" s="15" t="n">
        <f aca="false">0</f>
        <v>0</v>
      </c>
      <c r="BC443" s="15" t="n">
        <f aca="false">0</f>
        <v>0</v>
      </c>
      <c r="BD443" s="15" t="n">
        <f aca="false">(BH442)+AC443-AF443-AI443-AS443-K443*(1+Parametri_v3!$C$26)-AL443-AQ443-O443+AW443+AX443+AZ443+BA443-BB443</f>
        <v>-4211.42674746727</v>
      </c>
      <c r="BE443" s="15" t="n">
        <f aca="false">0</f>
        <v>0</v>
      </c>
      <c r="BF443" s="15" t="n">
        <f aca="false">0</f>
        <v>0</v>
      </c>
      <c r="BG443" s="15" t="n">
        <f aca="false">0</f>
        <v>0</v>
      </c>
      <c r="BH443" s="15" t="n">
        <f aca="false">BD443+BE443-BF443-AY443</f>
        <v>-4211.42674746727</v>
      </c>
      <c r="BI443" s="15" t="n">
        <f aca="false">MAX(0,Parametri_v3!$C$31-BH443)</f>
        <v>14211.4267474673</v>
      </c>
      <c r="BJ443" s="15" t="n">
        <f aca="false">(BJ442)+K443</f>
        <v>5916.66666666667</v>
      </c>
      <c r="BK443" s="15" t="n">
        <f aca="false">(BK442)+L443</f>
        <v>1449.07407407407</v>
      </c>
      <c r="BL443" s="15" t="n">
        <f aca="false">BJ443-BK443</f>
        <v>4467.59259259259</v>
      </c>
      <c r="BM443" s="15" t="n">
        <f aca="false">(BM442)+Y443</f>
        <v>60112.8525061088</v>
      </c>
      <c r="BN443" s="15" t="n">
        <f aca="false">(BN442)+AW443+AX443+AZ443</f>
        <v>20000</v>
      </c>
      <c r="BO443" s="15" t="n">
        <f aca="false">(BO442)+AY443</f>
        <v>0</v>
      </c>
      <c r="BP443" s="15" t="n">
        <f aca="false">MIN(Parametri_v3!$C$36*Parametri_v3!$C$35,(BP442)+IF(7=1,MAX(0,SUM(Y425:Y436))*Parametri_v3!$C$34,0))</f>
        <v>1752.40631140351</v>
      </c>
      <c r="BQ443" s="15" t="n">
        <f aca="false">BN443+BM443-BO443</f>
        <v>80112.8525061088</v>
      </c>
      <c r="BR443" s="15" t="n">
        <f aca="false">BH443+AD443+BL443+MAX(0,-AM443)+MAX(0,-AR443)</f>
        <v>124627.433450759</v>
      </c>
      <c r="BS443" s="15" t="n">
        <f aca="false">AJ443+AV443+MAX(0,AM443)+MAX(0,AR443)+BC443+BG443+BQ443+AG443</f>
        <v>124627.433450759</v>
      </c>
      <c r="BT443" s="15" t="n">
        <f aca="false">BR443-BS443</f>
        <v>0</v>
      </c>
      <c r="BU443" s="15" t="n">
        <f aca="false">BH443-(BD443+BE443-BF443-AY443)</f>
        <v>0</v>
      </c>
      <c r="BV443" s="15" t="n">
        <f aca="false">IF(BH442&lt;Parametri_v3!$C$31,0,BV442+1)</f>
        <v>0</v>
      </c>
    </row>
    <row r="444" customFormat="false" ht="18" hidden="false" customHeight="true" outlineLevel="0" collapsed="false">
      <c r="A444" s="68" t="n">
        <f aca="false">8</f>
        <v>8</v>
      </c>
      <c r="B444" s="68" t="n">
        <f aca="false">20</f>
        <v>20</v>
      </c>
      <c r="C444" s="18" t="n">
        <f aca="false">Motore_Operativo!C444</f>
        <v>46966</v>
      </c>
      <c r="D444" s="68" t="n">
        <f aca="false">Motore_Operativo!D444</f>
        <v>2028</v>
      </c>
      <c r="E444" s="68" t="n">
        <f aca="false">Motore_Operativo!E444</f>
        <v>8</v>
      </c>
      <c r="F444" s="15" t="n">
        <f aca="false">Motore_Operativo!AM444</f>
        <v>33981.220657277</v>
      </c>
      <c r="G444" s="15" t="n">
        <f aca="false">Motore_Operativo!BH444</f>
        <v>3398.1220657277</v>
      </c>
      <c r="H444" s="15" t="n">
        <f aca="false">Motore_Operativo!AM444</f>
        <v>33981.220657277</v>
      </c>
      <c r="I444" s="15" t="n">
        <f aca="false">Motore_Operativo!CB444</f>
        <v>28885.3286384976</v>
      </c>
      <c r="J444" s="15" t="n">
        <f aca="false">Motore_Operativo!CD444</f>
        <v>5095.89201877934</v>
      </c>
      <c r="K444" s="15" t="n">
        <f aca="false">Motore_Operativo!CF444</f>
        <v>416.666666666667</v>
      </c>
      <c r="L444" s="15" t="n">
        <f aca="false">SUM(INDEX($K$425:$K$484,MAX(1,20-Parametri_v3!$C$59+1)):K444)/Parametri_v3!$C$59</f>
        <v>175.925925925926</v>
      </c>
      <c r="M444" s="15" t="n">
        <f aca="false">J444-L444</f>
        <v>4919.96609285342</v>
      </c>
      <c r="N444" s="15" t="n">
        <f aca="false">0</f>
        <v>0</v>
      </c>
      <c r="O444" s="15" t="n">
        <f aca="false">0</f>
        <v>0</v>
      </c>
      <c r="P444" s="15" t="n">
        <f aca="false">M444+N444-O444</f>
        <v>4919.96609285342</v>
      </c>
      <c r="Q444" s="15" t="n">
        <f aca="false">SUM(P437:P444)+Parametri_v3!$C$56*8/12</f>
        <v>39683.8028169014</v>
      </c>
      <c r="R444" s="15" t="n">
        <f aca="false">Z436</f>
        <v>0</v>
      </c>
      <c r="S444" s="15" t="n">
        <f aca="false">AA436</f>
        <v>0</v>
      </c>
      <c r="T444" s="15" t="n">
        <f aca="false">MIN(R444,MAX(0,Q444))</f>
        <v>0</v>
      </c>
      <c r="U444" s="15" t="n">
        <f aca="false">MIN(S444,MAX(0,Q444-T444)*Parametri_v3!$C$42)</f>
        <v>0</v>
      </c>
      <c r="V444" s="15" t="n">
        <f aca="false">MAX(0,Q444-T444-U444)*Ipotesi!$C$92</f>
        <v>9524.11267605633</v>
      </c>
      <c r="W444" s="15" t="n">
        <f aca="false">MAX(0,SUM(M437:M444)+Parametri_v3!$C$57*8/12)*Ipotesi!$C$93</f>
        <v>1547.66830985915</v>
      </c>
      <c r="X444" s="15" t="n">
        <f aca="false">V444+W444-(V443+W443)</f>
        <v>1372.6705399061</v>
      </c>
      <c r="Y444" s="15" t="n">
        <f aca="false">P444-X444</f>
        <v>3547.29555294731</v>
      </c>
      <c r="Z444" s="15" t="n">
        <f aca="false">R444-T444+IF(AND(Parametri_v3!$C$40=1,D444-YEAR(Parametri_v3!$C$50)&lt;Parametri_v3!$C$41),MAX(0,-Q444),0)</f>
        <v>0</v>
      </c>
      <c r="AA444" s="15" t="n">
        <f aca="false">S444-U444+IF(AND(Parametri_v3!$C$40=1,D444-YEAR(Parametri_v3!$C$50)&lt;Parametri_v3!$C$41),0,MAX(0,-Q444))</f>
        <v>0</v>
      </c>
      <c r="AB444" s="15" t="n">
        <f aca="false">F444*(1+Parametri_v3!$C$26)</f>
        <v>41457.0892018779</v>
      </c>
      <c r="AC444" s="15" t="n">
        <f aca="false">(IF(20-(INT((Motore_Operativo!L444)/30))&lt;1,0,INDEX(Motore_Advisory!$AB$425:$AB$484,MAX(1,20-(INT((Motore_Operativo!L444)/30)))))*(1-(MOD((Motore_Operativo!L444),30)/30))+IF(20-(INT((Motore_Operativo!L444)/30))-1&lt;1,0,INDEX(Motore_Advisory!$AB$425:$AB$484,MAX(1,20-(INT((Motore_Operativo!L444)/30))-1)))*(MOD((Motore_Operativo!L444),30)/30))</f>
        <v>41457.0892018779</v>
      </c>
      <c r="AD444" s="15" t="n">
        <f aca="false">(AD443)+AB444-AC444</f>
        <v>124371.267605634</v>
      </c>
      <c r="AE444" s="15" t="n">
        <f aca="false">Motore_Operativo!BH444*(1+Parametri_v3!$C$26)</f>
        <v>4145.70892018779</v>
      </c>
      <c r="AF444" s="15" t="n">
        <f aca="false">(IF(20-(INT((Parametri_v3!$C$29)/30))&lt;1,0,INDEX(Motore_Operativo!$BH$425:$BH$484,MAX(1,20-(INT((Parametri_v3!$C$29)/30)))))*(1-(MOD((Parametri_v3!$C$29),30)/30))+IF(20-(INT((Parametri_v3!$C$29)/30))-1&lt;1,0,INDEX(Motore_Operativo!$BH$425:$BH$484,MAX(1,20-(INT((Parametri_v3!$C$29)/30))-1)))*(MOD((Parametri_v3!$C$29),30)/30))*(1+Parametri_v3!$C$26)</f>
        <v>4145.70892018779</v>
      </c>
      <c r="AG444" s="15" t="n">
        <f aca="false">(AG443)+AE444-AF444</f>
        <v>4145.70892018779</v>
      </c>
      <c r="AH444" s="15" t="n">
        <f aca="false">(Motore_Operativo!CK444)*(1+Parametri_v3!$C$28*Parametri_v3!$C$26)</f>
        <v>11198.1149295775</v>
      </c>
      <c r="AI444" s="15" t="n">
        <f aca="false">(IF(20-(INT((Ipotesi!$C$91)/30))&lt;1,0,INDEX(Motore_Advisory!$AH$425:$AH$484,MAX(1,20-(INT((Ipotesi!$C$91)/30)))))*(1-(MOD((Ipotesi!$C$91),30)/30))+IF(20-(INT((Ipotesi!$C$91)/30))-1&lt;1,0,INDEX(Motore_Advisory!$AH$425:$AH$484,MAX(1,20-(INT((Ipotesi!$C$91)/30))-1)))*(MOD((Ipotesi!$C$91),30)/30))</f>
        <v>11198.1149295775</v>
      </c>
      <c r="AJ444" s="15" t="n">
        <f aca="false">(AJ443)+AH444-AI444</f>
        <v>22396.2298591549</v>
      </c>
      <c r="AK444" s="15" t="n">
        <f aca="false">(F444- Motore_Operativo!BH444-(Motore_Operativo!CK444)*Parametri_v3!$C$28-Motore_Operativo!CF444)*Parametri_v3!$C$26</f>
        <v>4960.70666666667</v>
      </c>
      <c r="AL444" s="15" t="n">
        <f aca="false">MAX(0,(AM443))</f>
        <v>4960.70666666667</v>
      </c>
      <c r="AM444" s="15" t="n">
        <f aca="false">(AM443)+AK444-AL444</f>
        <v>4960.70666666667</v>
      </c>
      <c r="AN444" s="15" t="n">
        <f aca="false">SUM(X425:X436)</f>
        <v>13562.3123684211</v>
      </c>
      <c r="AO444" s="15" t="n">
        <f aca="false">SUM(AP425:AP436)</f>
        <v>0</v>
      </c>
      <c r="AP444" s="15" t="n">
        <f aca="false">MAX(0,AN444)*IF(8=Parametri_v3!$C$43,Parametri_v3!$C$45,IF(8=Parametri_v3!$C$44,1-Parametri_v3!$C$45,0))</f>
        <v>0</v>
      </c>
      <c r="AQ444" s="15" t="n">
        <f aca="false">MAX(0,AP444+IF(8=Parametri_v3!$C$43,MAX(0,AN444-AO444),0)-MAX(0,-(AR443)))</f>
        <v>0</v>
      </c>
      <c r="AR444" s="15" t="n">
        <f aca="false">(AR443)+X444-AQ444</f>
        <v>5646.85603854707</v>
      </c>
      <c r="AS444" s="15" t="n">
        <f aca="false">Motore_Operativo!AC444-AT444+AU444</f>
        <v>15166.75</v>
      </c>
      <c r="AT444" s="15" t="n">
        <f aca="false">Motore_Operativo!CI444</f>
        <v>798.25</v>
      </c>
      <c r="AU444" s="15" t="n">
        <f aca="false">MIN(MAX(0,(AV443)+AT444),Parametri_v3!$C$61/12)</f>
        <v>0</v>
      </c>
      <c r="AV444" s="15" t="n">
        <f aca="false">(AV443)+AT444-AU444</f>
        <v>9536</v>
      </c>
      <c r="AW444" s="15" t="n">
        <f aca="false">IF(AND(Motore_Operativo!C444=Finanziamenti!$D$7,Finanziamenti!$F$7=1),Finanziamenti!$C$7,0)</f>
        <v>0</v>
      </c>
      <c r="AX444" s="15" t="n">
        <f aca="false">0</f>
        <v>0</v>
      </c>
      <c r="AY444" s="15" t="n">
        <f aca="false">IF(8=Parametri_v3!$C$33,IF(BV444&lt;MIN(12,$B444-1),0,MIN(MAX(0,SUM(Y425:Y436))*Ipotesi!$C$94,MAX(0,(BM436)-(BO443)-BP444),MAX(0,BD444-Parametri_v3!$C$31))),0)</f>
        <v>0</v>
      </c>
      <c r="AZ444" s="15" t="n">
        <f aca="false">0</f>
        <v>0</v>
      </c>
      <c r="BA444" s="15" t="n">
        <f aca="false">0</f>
        <v>0</v>
      </c>
      <c r="BB444" s="15" t="n">
        <f aca="false">0</f>
        <v>0</v>
      </c>
      <c r="BC444" s="15" t="n">
        <f aca="false">0</f>
        <v>0</v>
      </c>
      <c r="BD444" s="15" t="n">
        <f aca="false">(BH443)+AC444-AF444-AI444-AS444-K444*(1+Parametri_v3!$C$26)-AL444-AQ444-O444+AW444+AX444+AZ444+BA444-BB444</f>
        <v>1266.0486046454</v>
      </c>
      <c r="BE444" s="15" t="n">
        <f aca="false">0</f>
        <v>0</v>
      </c>
      <c r="BF444" s="15" t="n">
        <f aca="false">0</f>
        <v>0</v>
      </c>
      <c r="BG444" s="15" t="n">
        <f aca="false">0</f>
        <v>0</v>
      </c>
      <c r="BH444" s="15" t="n">
        <f aca="false">BD444+BE444-BF444-AY444</f>
        <v>1266.0486046454</v>
      </c>
      <c r="BI444" s="15" t="n">
        <f aca="false">MAX(0,Parametri_v3!$C$31-BH444)</f>
        <v>8733.9513953546</v>
      </c>
      <c r="BJ444" s="15" t="n">
        <f aca="false">(BJ443)+K444</f>
        <v>6333.33333333334</v>
      </c>
      <c r="BK444" s="15" t="n">
        <f aca="false">(BK443)+L444</f>
        <v>1625</v>
      </c>
      <c r="BL444" s="15" t="n">
        <f aca="false">BJ444-BK444</f>
        <v>4708.33333333334</v>
      </c>
      <c r="BM444" s="15" t="n">
        <f aca="false">(BM443)+Y444</f>
        <v>63660.1480590561</v>
      </c>
      <c r="BN444" s="15" t="n">
        <f aca="false">(BN443)+AW444+AX444+AZ444</f>
        <v>20000</v>
      </c>
      <c r="BO444" s="15" t="n">
        <f aca="false">(BO443)+AY444</f>
        <v>0</v>
      </c>
      <c r="BP444" s="15" t="n">
        <f aca="false">MIN(Parametri_v3!$C$36*Parametri_v3!$C$35,(BP443)+IF(8=1,MAX(0,SUM(Y425:Y436))*Parametri_v3!$C$34,0))</f>
        <v>1752.40631140351</v>
      </c>
      <c r="BQ444" s="15" t="n">
        <f aca="false">BN444+BM444-BO444</f>
        <v>83660.1480590561</v>
      </c>
      <c r="BR444" s="15" t="n">
        <f aca="false">BH444+AD444+BL444+MAX(0,-AM444)+MAX(0,-AR444)</f>
        <v>130345.649543613</v>
      </c>
      <c r="BS444" s="15" t="n">
        <f aca="false">AJ444+AV444+MAX(0,AM444)+MAX(0,AR444)+BC444+BG444+BQ444+AG444</f>
        <v>130345.649543613</v>
      </c>
      <c r="BT444" s="15" t="n">
        <f aca="false">BR444-BS444</f>
        <v>0</v>
      </c>
      <c r="BU444" s="15" t="n">
        <f aca="false">BH444-(BD444+BE444-BF444-AY444)</f>
        <v>0</v>
      </c>
      <c r="BV444" s="15" t="n">
        <f aca="false">IF(BH443&lt;Parametri_v3!$C$31,0,BV443+1)</f>
        <v>0</v>
      </c>
    </row>
    <row r="445" customFormat="false" ht="18" hidden="false" customHeight="true" outlineLevel="0" collapsed="false">
      <c r="A445" s="68" t="n">
        <f aca="false">8</f>
        <v>8</v>
      </c>
      <c r="B445" s="68" t="n">
        <f aca="false">21</f>
        <v>21</v>
      </c>
      <c r="C445" s="18" t="n">
        <f aca="false">Motore_Operativo!C445</f>
        <v>46997</v>
      </c>
      <c r="D445" s="68" t="n">
        <f aca="false">Motore_Operativo!D445</f>
        <v>2028</v>
      </c>
      <c r="E445" s="68" t="n">
        <f aca="false">Motore_Operativo!E445</f>
        <v>9</v>
      </c>
      <c r="F445" s="15" t="n">
        <f aca="false">Motore_Operativo!AM445</f>
        <v>33981.220657277</v>
      </c>
      <c r="G445" s="15" t="n">
        <f aca="false">Motore_Operativo!BH445</f>
        <v>3398.1220657277</v>
      </c>
      <c r="H445" s="15" t="n">
        <f aca="false">Motore_Operativo!AM445</f>
        <v>33981.220657277</v>
      </c>
      <c r="I445" s="15" t="n">
        <f aca="false">Motore_Operativo!CB445</f>
        <v>28885.3286384976</v>
      </c>
      <c r="J445" s="15" t="n">
        <f aca="false">Motore_Operativo!CD445</f>
        <v>5095.89201877934</v>
      </c>
      <c r="K445" s="15" t="n">
        <f aca="false">Motore_Operativo!CF445</f>
        <v>416.666666666667</v>
      </c>
      <c r="L445" s="15" t="n">
        <f aca="false">SUM(INDEX($K$425:$K$484,MAX(1,21-Parametri_v3!$C$59+1)):K445)/Parametri_v3!$C$59</f>
        <v>187.5</v>
      </c>
      <c r="M445" s="15" t="n">
        <f aca="false">J445-L445</f>
        <v>4908.39201877934</v>
      </c>
      <c r="N445" s="15" t="n">
        <f aca="false">0</f>
        <v>0</v>
      </c>
      <c r="O445" s="15" t="n">
        <f aca="false">0</f>
        <v>0</v>
      </c>
      <c r="P445" s="15" t="n">
        <f aca="false">M445+N445-O445</f>
        <v>4908.39201877934</v>
      </c>
      <c r="Q445" s="15" t="n">
        <f aca="false">SUM(P437:P445)+Parametri_v3!$C$56*9/12</f>
        <v>44592.1948356807</v>
      </c>
      <c r="R445" s="15" t="n">
        <f aca="false">Z436</f>
        <v>0</v>
      </c>
      <c r="S445" s="15" t="n">
        <f aca="false">AA436</f>
        <v>0</v>
      </c>
      <c r="T445" s="15" t="n">
        <f aca="false">MIN(R445,MAX(0,Q445))</f>
        <v>0</v>
      </c>
      <c r="U445" s="15" t="n">
        <f aca="false">MIN(S445,MAX(0,Q445-T445)*Parametri_v3!$C$42)</f>
        <v>0</v>
      </c>
      <c r="V445" s="15" t="n">
        <f aca="false">MAX(0,Q445-T445-U445)*Ipotesi!$C$92</f>
        <v>10702.1267605634</v>
      </c>
      <c r="W445" s="15" t="n">
        <f aca="false">MAX(0,SUM(M437:M445)+Parametri_v3!$C$57*9/12)*Ipotesi!$C$93</f>
        <v>1739.09559859155</v>
      </c>
      <c r="X445" s="15" t="n">
        <f aca="false">V445+W445-(V444+W444)</f>
        <v>1369.44137323944</v>
      </c>
      <c r="Y445" s="15" t="n">
        <f aca="false">P445-X445</f>
        <v>3538.95064553991</v>
      </c>
      <c r="Z445" s="15" t="n">
        <f aca="false">R445-T445+IF(AND(Parametri_v3!$C$40=1,D445-YEAR(Parametri_v3!$C$50)&lt;Parametri_v3!$C$41),MAX(0,-Q445),0)</f>
        <v>0</v>
      </c>
      <c r="AA445" s="15" t="n">
        <f aca="false">S445-U445+IF(AND(Parametri_v3!$C$40=1,D445-YEAR(Parametri_v3!$C$50)&lt;Parametri_v3!$C$41),0,MAX(0,-Q445))</f>
        <v>0</v>
      </c>
      <c r="AB445" s="15" t="n">
        <f aca="false">F445*(1+Parametri_v3!$C$26)</f>
        <v>41457.0892018779</v>
      </c>
      <c r="AC445" s="15" t="n">
        <f aca="false">(IF(21-(INT((Motore_Operativo!L445)/30))&lt;1,0,INDEX(Motore_Advisory!$AB$425:$AB$484,MAX(1,21-(INT((Motore_Operativo!L445)/30)))))*(1-(MOD((Motore_Operativo!L445),30)/30))+IF(21-(INT((Motore_Operativo!L445)/30))-1&lt;1,0,INDEX(Motore_Advisory!$AB$425:$AB$484,MAX(1,21-(INT((Motore_Operativo!L445)/30))-1)))*(MOD((Motore_Operativo!L445),30)/30))</f>
        <v>41457.0892018779</v>
      </c>
      <c r="AD445" s="15" t="n">
        <f aca="false">(AD444)+AB445-AC445</f>
        <v>124371.267605634</v>
      </c>
      <c r="AE445" s="15" t="n">
        <f aca="false">Motore_Operativo!BH445*(1+Parametri_v3!$C$26)</f>
        <v>4145.70892018779</v>
      </c>
      <c r="AF445" s="15" t="n">
        <f aca="false">(IF(21-(INT((Parametri_v3!$C$29)/30))&lt;1,0,INDEX(Motore_Operativo!$BH$425:$BH$484,MAX(1,21-(INT((Parametri_v3!$C$29)/30)))))*(1-(MOD((Parametri_v3!$C$29),30)/30))+IF(21-(INT((Parametri_v3!$C$29)/30))-1&lt;1,0,INDEX(Motore_Operativo!$BH$425:$BH$484,MAX(1,21-(INT((Parametri_v3!$C$29)/30))-1)))*(MOD((Parametri_v3!$C$29),30)/30))*(1+Parametri_v3!$C$26)</f>
        <v>4145.70892018779</v>
      </c>
      <c r="AG445" s="15" t="n">
        <f aca="false">(AG444)+AE445-AF445</f>
        <v>4145.70892018779</v>
      </c>
      <c r="AH445" s="15" t="n">
        <f aca="false">(Motore_Operativo!CK445)*(1+Parametri_v3!$C$28*Parametri_v3!$C$26)</f>
        <v>11198.1149295775</v>
      </c>
      <c r="AI445" s="15" t="n">
        <f aca="false">(IF(21-(INT((Ipotesi!$C$91)/30))&lt;1,0,INDEX(Motore_Advisory!$AH$425:$AH$484,MAX(1,21-(INT((Ipotesi!$C$91)/30)))))*(1-(MOD((Ipotesi!$C$91),30)/30))+IF(21-(INT((Ipotesi!$C$91)/30))-1&lt;1,0,INDEX(Motore_Advisory!$AH$425:$AH$484,MAX(1,21-(INT((Ipotesi!$C$91)/30))-1)))*(MOD((Ipotesi!$C$91),30)/30))</f>
        <v>11198.1149295775</v>
      </c>
      <c r="AJ445" s="15" t="n">
        <f aca="false">(AJ444)+AH445-AI445</f>
        <v>22396.2298591549</v>
      </c>
      <c r="AK445" s="15" t="n">
        <f aca="false">(F445- Motore_Operativo!BH445-(Motore_Operativo!CK445)*Parametri_v3!$C$28-Motore_Operativo!CF445)*Parametri_v3!$C$26</f>
        <v>4960.70666666667</v>
      </c>
      <c r="AL445" s="15" t="n">
        <f aca="false">MAX(0,(AM444))</f>
        <v>4960.70666666667</v>
      </c>
      <c r="AM445" s="15" t="n">
        <f aca="false">(AM444)+AK445-AL445</f>
        <v>4960.70666666667</v>
      </c>
      <c r="AN445" s="15" t="n">
        <f aca="false">SUM(X425:X436)</f>
        <v>13562.3123684211</v>
      </c>
      <c r="AO445" s="15" t="n">
        <f aca="false">SUM(AP425:AP436)</f>
        <v>0</v>
      </c>
      <c r="AP445" s="15" t="n">
        <f aca="false">MAX(0,AN445)*IF(9=Parametri_v3!$C$43,Parametri_v3!$C$45,IF(9=Parametri_v3!$C$44,1-Parametri_v3!$C$45,0))</f>
        <v>0</v>
      </c>
      <c r="AQ445" s="15" t="n">
        <f aca="false">MAX(0,AP445+IF(9=Parametri_v3!$C$43,MAX(0,AN445-AO445),0)-MAX(0,-(AR444)))</f>
        <v>0</v>
      </c>
      <c r="AR445" s="15" t="n">
        <f aca="false">(AR444)+X445-AQ445</f>
        <v>7016.2974117865</v>
      </c>
      <c r="AS445" s="15" t="n">
        <f aca="false">Motore_Operativo!AC445-AT445+AU445</f>
        <v>15166.75</v>
      </c>
      <c r="AT445" s="15" t="n">
        <f aca="false">Motore_Operativo!CI445</f>
        <v>798.25</v>
      </c>
      <c r="AU445" s="15" t="n">
        <f aca="false">MIN(MAX(0,(AV444)+AT445),Parametri_v3!$C$61/12)</f>
        <v>0</v>
      </c>
      <c r="AV445" s="15" t="n">
        <f aca="false">(AV444)+AT445-AU445</f>
        <v>10334.25</v>
      </c>
      <c r="AW445" s="15" t="n">
        <f aca="false">IF(AND(Motore_Operativo!C445=Finanziamenti!$D$7,Finanziamenti!$F$7=1),Finanziamenti!$C$7,0)</f>
        <v>0</v>
      </c>
      <c r="AX445" s="15" t="n">
        <f aca="false">0</f>
        <v>0</v>
      </c>
      <c r="AY445" s="15" t="n">
        <f aca="false">IF(9=Parametri_v3!$C$33,IF(BV445&lt;MIN(12,$B445-1),0,MIN(MAX(0,SUM(Y425:Y436))*Ipotesi!$C$94,MAX(0,(BM436)-(BO444)-BP445),MAX(0,BD445-Parametri_v3!$C$31))),0)</f>
        <v>0</v>
      </c>
      <c r="AZ445" s="15" t="n">
        <f aca="false">0</f>
        <v>0</v>
      </c>
      <c r="BA445" s="15" t="n">
        <f aca="false">0</f>
        <v>0</v>
      </c>
      <c r="BB445" s="15" t="n">
        <f aca="false">0</f>
        <v>0</v>
      </c>
      <c r="BC445" s="15" t="n">
        <f aca="false">0</f>
        <v>0</v>
      </c>
      <c r="BD445" s="15" t="n">
        <f aca="false">(BH444)+AC445-AF445-AI445-AS445-K445*(1+Parametri_v3!$C$26)-AL445-AQ445-O445+AW445+AX445+AZ445+BA445-BB445</f>
        <v>6743.52395675808</v>
      </c>
      <c r="BE445" s="15" t="n">
        <f aca="false">0</f>
        <v>0</v>
      </c>
      <c r="BF445" s="15" t="n">
        <f aca="false">0</f>
        <v>0</v>
      </c>
      <c r="BG445" s="15" t="n">
        <f aca="false">0</f>
        <v>0</v>
      </c>
      <c r="BH445" s="15" t="n">
        <f aca="false">BD445+BE445-BF445-AY445</f>
        <v>6743.52395675808</v>
      </c>
      <c r="BI445" s="15" t="n">
        <f aca="false">MAX(0,Parametri_v3!$C$31-BH445)</f>
        <v>3256.47604324192</v>
      </c>
      <c r="BJ445" s="15" t="n">
        <f aca="false">(BJ444)+K445</f>
        <v>6750</v>
      </c>
      <c r="BK445" s="15" t="n">
        <f aca="false">(BK444)+L445</f>
        <v>1812.5</v>
      </c>
      <c r="BL445" s="15" t="n">
        <f aca="false">BJ445-BK445</f>
        <v>4937.5</v>
      </c>
      <c r="BM445" s="15" t="n">
        <f aca="false">(BM444)+Y445</f>
        <v>67199.098704596</v>
      </c>
      <c r="BN445" s="15" t="n">
        <f aca="false">(BN444)+AW445+AX445+AZ445</f>
        <v>20000</v>
      </c>
      <c r="BO445" s="15" t="n">
        <f aca="false">(BO444)+AY445</f>
        <v>0</v>
      </c>
      <c r="BP445" s="15" t="n">
        <f aca="false">MIN(Parametri_v3!$C$36*Parametri_v3!$C$35,(BP444)+IF(9=1,MAX(0,SUM(Y425:Y436))*Parametri_v3!$C$34,0))</f>
        <v>1752.40631140351</v>
      </c>
      <c r="BQ445" s="15" t="n">
        <f aca="false">BN445+BM445-BO445</f>
        <v>87199.098704596</v>
      </c>
      <c r="BR445" s="15" t="n">
        <f aca="false">BH445+AD445+BL445+MAX(0,-AM445)+MAX(0,-AR445)</f>
        <v>136052.291562392</v>
      </c>
      <c r="BS445" s="15" t="n">
        <f aca="false">AJ445+AV445+MAX(0,AM445)+MAX(0,AR445)+BC445+BG445+BQ445+AG445</f>
        <v>136052.291562392</v>
      </c>
      <c r="BT445" s="15" t="n">
        <f aca="false">BR445-BS445</f>
        <v>0</v>
      </c>
      <c r="BU445" s="15" t="n">
        <f aca="false">BH445-(BD445+BE445-BF445-AY445)</f>
        <v>0</v>
      </c>
      <c r="BV445" s="15" t="n">
        <f aca="false">IF(BH444&lt;Parametri_v3!$C$31,0,BV444+1)</f>
        <v>0</v>
      </c>
    </row>
    <row r="446" customFormat="false" ht="18" hidden="false" customHeight="true" outlineLevel="0" collapsed="false">
      <c r="A446" s="68" t="n">
        <f aca="false">8</f>
        <v>8</v>
      </c>
      <c r="B446" s="68" t="n">
        <f aca="false">22</f>
        <v>22</v>
      </c>
      <c r="C446" s="18" t="n">
        <f aca="false">Motore_Operativo!C446</f>
        <v>47027</v>
      </c>
      <c r="D446" s="68" t="n">
        <f aca="false">Motore_Operativo!D446</f>
        <v>2028</v>
      </c>
      <c r="E446" s="68" t="n">
        <f aca="false">Motore_Operativo!E446</f>
        <v>10</v>
      </c>
      <c r="F446" s="15" t="n">
        <f aca="false">Motore_Operativo!AM446</f>
        <v>33981.220657277</v>
      </c>
      <c r="G446" s="15" t="n">
        <f aca="false">Motore_Operativo!BH446</f>
        <v>3398.1220657277</v>
      </c>
      <c r="H446" s="15" t="n">
        <f aca="false">Motore_Operativo!AM446</f>
        <v>33981.220657277</v>
      </c>
      <c r="I446" s="15" t="n">
        <f aca="false">Motore_Operativo!CB446</f>
        <v>28885.3286384976</v>
      </c>
      <c r="J446" s="15" t="n">
        <f aca="false">Motore_Operativo!CD446</f>
        <v>5095.89201877934</v>
      </c>
      <c r="K446" s="15" t="n">
        <f aca="false">Motore_Operativo!CF446</f>
        <v>416.666666666667</v>
      </c>
      <c r="L446" s="15" t="n">
        <f aca="false">SUM(INDEX($K$425:$K$484,MAX(1,22-Parametri_v3!$C$59+1)):K446)/Parametri_v3!$C$59</f>
        <v>199.074074074074</v>
      </c>
      <c r="M446" s="15" t="n">
        <f aca="false">J446-L446</f>
        <v>4896.81794470527</v>
      </c>
      <c r="N446" s="15" t="n">
        <f aca="false">0</f>
        <v>0</v>
      </c>
      <c r="O446" s="15" t="n">
        <f aca="false">0</f>
        <v>0</v>
      </c>
      <c r="P446" s="15" t="n">
        <f aca="false">M446+N446-O446</f>
        <v>4896.81794470527</v>
      </c>
      <c r="Q446" s="15" t="n">
        <f aca="false">SUM(P437:P446)+Parametri_v3!$C$56*10/12</f>
        <v>49489.012780386</v>
      </c>
      <c r="R446" s="15" t="n">
        <f aca="false">Z436</f>
        <v>0</v>
      </c>
      <c r="S446" s="15" t="n">
        <f aca="false">AA436</f>
        <v>0</v>
      </c>
      <c r="T446" s="15" t="n">
        <f aca="false">MIN(R446,MAX(0,Q446))</f>
        <v>0</v>
      </c>
      <c r="U446" s="15" t="n">
        <f aca="false">MIN(S446,MAX(0,Q446-T446)*Parametri_v3!$C$42)</f>
        <v>0</v>
      </c>
      <c r="V446" s="15" t="n">
        <f aca="false">MAX(0,Q446-T446-U446)*Ipotesi!$C$92</f>
        <v>11877.3630672926</v>
      </c>
      <c r="W446" s="15" t="n">
        <f aca="false">MAX(0,SUM(M437:M446)+Parametri_v3!$C$57*10/12)*Ipotesi!$C$93</f>
        <v>1930.07149843505</v>
      </c>
      <c r="X446" s="15" t="n">
        <f aca="false">V446+W446-(V445+W445)</f>
        <v>1366.21220657277</v>
      </c>
      <c r="Y446" s="15" t="n">
        <f aca="false">P446-X446</f>
        <v>3530.6057381325</v>
      </c>
      <c r="Z446" s="15" t="n">
        <f aca="false">R446-T446+IF(AND(Parametri_v3!$C$40=1,D446-YEAR(Parametri_v3!$C$50)&lt;Parametri_v3!$C$41),MAX(0,-Q446),0)</f>
        <v>0</v>
      </c>
      <c r="AA446" s="15" t="n">
        <f aca="false">S446-U446+IF(AND(Parametri_v3!$C$40=1,D446-YEAR(Parametri_v3!$C$50)&lt;Parametri_v3!$C$41),0,MAX(0,-Q446))</f>
        <v>0</v>
      </c>
      <c r="AB446" s="15" t="n">
        <f aca="false">F446*(1+Parametri_v3!$C$26)</f>
        <v>41457.0892018779</v>
      </c>
      <c r="AC446" s="15" t="n">
        <f aca="false">(IF(22-(INT((Motore_Operativo!L446)/30))&lt;1,0,INDEX(Motore_Advisory!$AB$425:$AB$484,MAX(1,22-(INT((Motore_Operativo!L446)/30)))))*(1-(MOD((Motore_Operativo!L446),30)/30))+IF(22-(INT((Motore_Operativo!L446)/30))-1&lt;1,0,INDEX(Motore_Advisory!$AB$425:$AB$484,MAX(1,22-(INT((Motore_Operativo!L446)/30))-1)))*(MOD((Motore_Operativo!L446),30)/30))</f>
        <v>41457.0892018779</v>
      </c>
      <c r="AD446" s="15" t="n">
        <f aca="false">(AD445)+AB446-AC446</f>
        <v>124371.267605634</v>
      </c>
      <c r="AE446" s="15" t="n">
        <f aca="false">Motore_Operativo!BH446*(1+Parametri_v3!$C$26)</f>
        <v>4145.70892018779</v>
      </c>
      <c r="AF446" s="15" t="n">
        <f aca="false">(IF(22-(INT((Parametri_v3!$C$29)/30))&lt;1,0,INDEX(Motore_Operativo!$BH$425:$BH$484,MAX(1,22-(INT((Parametri_v3!$C$29)/30)))))*(1-(MOD((Parametri_v3!$C$29),30)/30))+IF(22-(INT((Parametri_v3!$C$29)/30))-1&lt;1,0,INDEX(Motore_Operativo!$BH$425:$BH$484,MAX(1,22-(INT((Parametri_v3!$C$29)/30))-1)))*(MOD((Parametri_v3!$C$29),30)/30))*(1+Parametri_v3!$C$26)</f>
        <v>4145.70892018779</v>
      </c>
      <c r="AG446" s="15" t="n">
        <f aca="false">(AG445)+AE446-AF446</f>
        <v>4145.70892018779</v>
      </c>
      <c r="AH446" s="15" t="n">
        <f aca="false">(Motore_Operativo!CK446)*(1+Parametri_v3!$C$28*Parametri_v3!$C$26)</f>
        <v>11198.1149295775</v>
      </c>
      <c r="AI446" s="15" t="n">
        <f aca="false">(IF(22-(INT((Ipotesi!$C$91)/30))&lt;1,0,INDEX(Motore_Advisory!$AH$425:$AH$484,MAX(1,22-(INT((Ipotesi!$C$91)/30)))))*(1-(MOD((Ipotesi!$C$91),30)/30))+IF(22-(INT((Ipotesi!$C$91)/30))-1&lt;1,0,INDEX(Motore_Advisory!$AH$425:$AH$484,MAX(1,22-(INT((Ipotesi!$C$91)/30))-1)))*(MOD((Ipotesi!$C$91),30)/30))</f>
        <v>11198.1149295775</v>
      </c>
      <c r="AJ446" s="15" t="n">
        <f aca="false">(AJ445)+AH446-AI446</f>
        <v>22396.2298591549</v>
      </c>
      <c r="AK446" s="15" t="n">
        <f aca="false">(F446- Motore_Operativo!BH446-(Motore_Operativo!CK446)*Parametri_v3!$C$28-Motore_Operativo!CF446)*Parametri_v3!$C$26</f>
        <v>4960.70666666667</v>
      </c>
      <c r="AL446" s="15" t="n">
        <f aca="false">MAX(0,(AM445))</f>
        <v>4960.70666666667</v>
      </c>
      <c r="AM446" s="15" t="n">
        <f aca="false">(AM445)+AK446-AL446</f>
        <v>4960.70666666667</v>
      </c>
      <c r="AN446" s="15" t="n">
        <f aca="false">SUM(X425:X436)</f>
        <v>13562.3123684211</v>
      </c>
      <c r="AO446" s="15" t="n">
        <f aca="false">SUM(AP425:AP436)</f>
        <v>0</v>
      </c>
      <c r="AP446" s="15" t="n">
        <f aca="false">MAX(0,AN446)*IF(10=Parametri_v3!$C$43,Parametri_v3!$C$45,IF(10=Parametri_v3!$C$44,1-Parametri_v3!$C$45,0))</f>
        <v>0</v>
      </c>
      <c r="AQ446" s="15" t="n">
        <f aca="false">MAX(0,AP446+IF(10=Parametri_v3!$C$43,MAX(0,AN446-AO446),0)-MAX(0,-(AR445)))</f>
        <v>0</v>
      </c>
      <c r="AR446" s="15" t="n">
        <f aca="false">(AR445)+X446-AQ446</f>
        <v>8382.50961835927</v>
      </c>
      <c r="AS446" s="15" t="n">
        <f aca="false">Motore_Operativo!AC446-AT446+AU446</f>
        <v>15166.75</v>
      </c>
      <c r="AT446" s="15" t="n">
        <f aca="false">Motore_Operativo!CI446</f>
        <v>798.25</v>
      </c>
      <c r="AU446" s="15" t="n">
        <f aca="false">MIN(MAX(0,(AV445)+AT446),Parametri_v3!$C$61/12)</f>
        <v>0</v>
      </c>
      <c r="AV446" s="15" t="n">
        <f aca="false">(AV445)+AT446-AU446</f>
        <v>11132.5</v>
      </c>
      <c r="AW446" s="15" t="n">
        <f aca="false">IF(AND(Motore_Operativo!C446=Finanziamenti!$D$7,Finanziamenti!$F$7=1),Finanziamenti!$C$7,0)</f>
        <v>0</v>
      </c>
      <c r="AX446" s="15" t="n">
        <f aca="false">0</f>
        <v>0</v>
      </c>
      <c r="AY446" s="15" t="n">
        <f aca="false">IF(10=Parametri_v3!$C$33,IF(BV446&lt;MIN(12,$B446-1),0,MIN(MAX(0,SUM(Y425:Y436))*Ipotesi!$C$94,MAX(0,(BM436)-(BO445)-BP446),MAX(0,BD446-Parametri_v3!$C$31))),0)</f>
        <v>0</v>
      </c>
      <c r="AZ446" s="15" t="n">
        <f aca="false">0</f>
        <v>0</v>
      </c>
      <c r="BA446" s="15" t="n">
        <f aca="false">0</f>
        <v>0</v>
      </c>
      <c r="BB446" s="15" t="n">
        <f aca="false">0</f>
        <v>0</v>
      </c>
      <c r="BC446" s="15" t="n">
        <f aca="false">0</f>
        <v>0</v>
      </c>
      <c r="BD446" s="15" t="n">
        <f aca="false">(BH445)+AC446-AF446-AI446-AS446-K446*(1+Parametri_v3!$C$26)-AL446-AQ446-O446+AW446+AX446+AZ446+BA446-BB446</f>
        <v>12220.9993088708</v>
      </c>
      <c r="BE446" s="15" t="n">
        <f aca="false">0</f>
        <v>0</v>
      </c>
      <c r="BF446" s="15" t="n">
        <f aca="false">0</f>
        <v>0</v>
      </c>
      <c r="BG446" s="15" t="n">
        <f aca="false">0</f>
        <v>0</v>
      </c>
      <c r="BH446" s="15" t="n">
        <f aca="false">BD446+BE446-BF446-AY446</f>
        <v>12220.9993088708</v>
      </c>
      <c r="BI446" s="15" t="n">
        <f aca="false">MAX(0,Parametri_v3!$C$31-BH446)</f>
        <v>0</v>
      </c>
      <c r="BJ446" s="15" t="n">
        <f aca="false">(BJ445)+K446</f>
        <v>7166.66666666667</v>
      </c>
      <c r="BK446" s="15" t="n">
        <f aca="false">(BK445)+L446</f>
        <v>2011.57407407407</v>
      </c>
      <c r="BL446" s="15" t="n">
        <f aca="false">BJ446-BK446</f>
        <v>5155.0925925926</v>
      </c>
      <c r="BM446" s="15" t="n">
        <f aca="false">(BM445)+Y446</f>
        <v>70729.7044427285</v>
      </c>
      <c r="BN446" s="15" t="n">
        <f aca="false">(BN445)+AW446+AX446+AZ446</f>
        <v>20000</v>
      </c>
      <c r="BO446" s="15" t="n">
        <f aca="false">(BO445)+AY446</f>
        <v>0</v>
      </c>
      <c r="BP446" s="15" t="n">
        <f aca="false">MIN(Parametri_v3!$C$36*Parametri_v3!$C$35,(BP445)+IF(10=1,MAX(0,SUM(Y425:Y436))*Parametri_v3!$C$34,0))</f>
        <v>1752.40631140351</v>
      </c>
      <c r="BQ446" s="15" t="n">
        <f aca="false">BN446+BM446-BO446</f>
        <v>90729.7044427285</v>
      </c>
      <c r="BR446" s="15" t="n">
        <f aca="false">BH446+AD446+BL446+MAX(0,-AM446)+MAX(0,-AR446)</f>
        <v>141747.359507097</v>
      </c>
      <c r="BS446" s="15" t="n">
        <f aca="false">AJ446+AV446+MAX(0,AM446)+MAX(0,AR446)+BC446+BG446+BQ446+AG446</f>
        <v>141747.359507097</v>
      </c>
      <c r="BT446" s="15" t="n">
        <f aca="false">BR446-BS446</f>
        <v>0</v>
      </c>
      <c r="BU446" s="15" t="n">
        <f aca="false">BH446-(BD446+BE446-BF446-AY446)</f>
        <v>0</v>
      </c>
      <c r="BV446" s="15" t="n">
        <f aca="false">IF(BH445&lt;Parametri_v3!$C$31,0,BV445+1)</f>
        <v>0</v>
      </c>
    </row>
    <row r="447" customFormat="false" ht="18" hidden="false" customHeight="true" outlineLevel="0" collapsed="false">
      <c r="A447" s="68" t="n">
        <f aca="false">8</f>
        <v>8</v>
      </c>
      <c r="B447" s="68" t="n">
        <f aca="false">23</f>
        <v>23</v>
      </c>
      <c r="C447" s="18" t="n">
        <f aca="false">Motore_Operativo!C447</f>
        <v>47058</v>
      </c>
      <c r="D447" s="68" t="n">
        <f aca="false">Motore_Operativo!D447</f>
        <v>2028</v>
      </c>
      <c r="E447" s="68" t="n">
        <f aca="false">Motore_Operativo!E447</f>
        <v>11</v>
      </c>
      <c r="F447" s="15" t="n">
        <f aca="false">Motore_Operativo!AM447</f>
        <v>33981.220657277</v>
      </c>
      <c r="G447" s="15" t="n">
        <f aca="false">Motore_Operativo!BH447</f>
        <v>3398.1220657277</v>
      </c>
      <c r="H447" s="15" t="n">
        <f aca="false">Motore_Operativo!AM447</f>
        <v>33981.220657277</v>
      </c>
      <c r="I447" s="15" t="n">
        <f aca="false">Motore_Operativo!CB447</f>
        <v>28885.3286384976</v>
      </c>
      <c r="J447" s="15" t="n">
        <f aca="false">Motore_Operativo!CD447</f>
        <v>5095.89201877934</v>
      </c>
      <c r="K447" s="15" t="n">
        <f aca="false">Motore_Operativo!CF447</f>
        <v>416.666666666667</v>
      </c>
      <c r="L447" s="15" t="n">
        <f aca="false">SUM(INDEX($K$425:$K$484,MAX(1,23-Parametri_v3!$C$59+1)):K447)/Parametri_v3!$C$59</f>
        <v>210.648148148148</v>
      </c>
      <c r="M447" s="15" t="n">
        <f aca="false">J447-L447</f>
        <v>4885.24387063119</v>
      </c>
      <c r="N447" s="15" t="n">
        <f aca="false">0</f>
        <v>0</v>
      </c>
      <c r="O447" s="15" t="n">
        <f aca="false">0</f>
        <v>0</v>
      </c>
      <c r="P447" s="15" t="n">
        <f aca="false">M447+N447-O447</f>
        <v>4885.24387063119</v>
      </c>
      <c r="Q447" s="15" t="n">
        <f aca="false">SUM(P437:P447)+Parametri_v3!$C$56*11/12</f>
        <v>54374.2566510172</v>
      </c>
      <c r="R447" s="15" t="n">
        <f aca="false">Z436</f>
        <v>0</v>
      </c>
      <c r="S447" s="15" t="n">
        <f aca="false">AA436</f>
        <v>0</v>
      </c>
      <c r="T447" s="15" t="n">
        <f aca="false">MIN(R447,MAX(0,Q447))</f>
        <v>0</v>
      </c>
      <c r="U447" s="15" t="n">
        <f aca="false">MIN(S447,MAX(0,Q447-T447)*Parametri_v3!$C$42)</f>
        <v>0</v>
      </c>
      <c r="V447" s="15" t="n">
        <f aca="false">MAX(0,Q447-T447-U447)*Ipotesi!$C$92</f>
        <v>13049.8215962441</v>
      </c>
      <c r="W447" s="15" t="n">
        <f aca="false">MAX(0,SUM(M437:M447)+Parametri_v3!$C$57*11/12)*Ipotesi!$C$93</f>
        <v>2120.59600938967</v>
      </c>
      <c r="X447" s="15" t="n">
        <f aca="false">V447+W447-(V446+W446)</f>
        <v>1362.9830399061</v>
      </c>
      <c r="Y447" s="15" t="n">
        <f aca="false">P447-X447</f>
        <v>3522.26083072509</v>
      </c>
      <c r="Z447" s="15" t="n">
        <f aca="false">R447-T447+IF(AND(Parametri_v3!$C$40=1,D447-YEAR(Parametri_v3!$C$50)&lt;Parametri_v3!$C$41),MAX(0,-Q447),0)</f>
        <v>0</v>
      </c>
      <c r="AA447" s="15" t="n">
        <f aca="false">S447-U447+IF(AND(Parametri_v3!$C$40=1,D447-YEAR(Parametri_v3!$C$50)&lt;Parametri_v3!$C$41),0,MAX(0,-Q447))</f>
        <v>0</v>
      </c>
      <c r="AB447" s="15" t="n">
        <f aca="false">F447*(1+Parametri_v3!$C$26)</f>
        <v>41457.0892018779</v>
      </c>
      <c r="AC447" s="15" t="n">
        <f aca="false">(IF(23-(INT((Motore_Operativo!L447)/30))&lt;1,0,INDEX(Motore_Advisory!$AB$425:$AB$484,MAX(1,23-(INT((Motore_Operativo!L447)/30)))))*(1-(MOD((Motore_Operativo!L447),30)/30))+IF(23-(INT((Motore_Operativo!L447)/30))-1&lt;1,0,INDEX(Motore_Advisory!$AB$425:$AB$484,MAX(1,23-(INT((Motore_Operativo!L447)/30))-1)))*(MOD((Motore_Operativo!L447),30)/30))</f>
        <v>41457.0892018779</v>
      </c>
      <c r="AD447" s="15" t="n">
        <f aca="false">(AD446)+AB447-AC447</f>
        <v>124371.267605634</v>
      </c>
      <c r="AE447" s="15" t="n">
        <f aca="false">Motore_Operativo!BH447*(1+Parametri_v3!$C$26)</f>
        <v>4145.70892018779</v>
      </c>
      <c r="AF447" s="15" t="n">
        <f aca="false">(IF(23-(INT((Parametri_v3!$C$29)/30))&lt;1,0,INDEX(Motore_Operativo!$BH$425:$BH$484,MAX(1,23-(INT((Parametri_v3!$C$29)/30)))))*(1-(MOD((Parametri_v3!$C$29),30)/30))+IF(23-(INT((Parametri_v3!$C$29)/30))-1&lt;1,0,INDEX(Motore_Operativo!$BH$425:$BH$484,MAX(1,23-(INT((Parametri_v3!$C$29)/30))-1)))*(MOD((Parametri_v3!$C$29),30)/30))*(1+Parametri_v3!$C$26)</f>
        <v>4145.70892018779</v>
      </c>
      <c r="AG447" s="15" t="n">
        <f aca="false">(AG446)+AE447-AF447</f>
        <v>4145.70892018779</v>
      </c>
      <c r="AH447" s="15" t="n">
        <f aca="false">(Motore_Operativo!CK447)*(1+Parametri_v3!$C$28*Parametri_v3!$C$26)</f>
        <v>11198.1149295775</v>
      </c>
      <c r="AI447" s="15" t="n">
        <f aca="false">(IF(23-(INT((Ipotesi!$C$91)/30))&lt;1,0,INDEX(Motore_Advisory!$AH$425:$AH$484,MAX(1,23-(INT((Ipotesi!$C$91)/30)))))*(1-(MOD((Ipotesi!$C$91),30)/30))+IF(23-(INT((Ipotesi!$C$91)/30))-1&lt;1,0,INDEX(Motore_Advisory!$AH$425:$AH$484,MAX(1,23-(INT((Ipotesi!$C$91)/30))-1)))*(MOD((Ipotesi!$C$91),30)/30))</f>
        <v>11198.1149295775</v>
      </c>
      <c r="AJ447" s="15" t="n">
        <f aca="false">(AJ446)+AH447-AI447</f>
        <v>22396.2298591549</v>
      </c>
      <c r="AK447" s="15" t="n">
        <f aca="false">(F447- Motore_Operativo!BH447-(Motore_Operativo!CK447)*Parametri_v3!$C$28-Motore_Operativo!CF447)*Parametri_v3!$C$26</f>
        <v>4960.70666666667</v>
      </c>
      <c r="AL447" s="15" t="n">
        <f aca="false">MAX(0,(AM446))</f>
        <v>4960.70666666667</v>
      </c>
      <c r="AM447" s="15" t="n">
        <f aca="false">(AM446)+AK447-AL447</f>
        <v>4960.70666666667</v>
      </c>
      <c r="AN447" s="15" t="n">
        <f aca="false">SUM(X425:X436)</f>
        <v>13562.3123684211</v>
      </c>
      <c r="AO447" s="15" t="n">
        <f aca="false">SUM(AP425:AP436)</f>
        <v>0</v>
      </c>
      <c r="AP447" s="15" t="n">
        <f aca="false">MAX(0,AN447)*IF(11=Parametri_v3!$C$43,Parametri_v3!$C$45,IF(11=Parametri_v3!$C$44,1-Parametri_v3!$C$45,0))</f>
        <v>8137.38742105263</v>
      </c>
      <c r="AQ447" s="15" t="n">
        <f aca="false">MAX(0,AP447+IF(11=Parametri_v3!$C$43,MAX(0,AN447-AO447),0)-MAX(0,-(AR446)))</f>
        <v>8137.38742105263</v>
      </c>
      <c r="AR447" s="15" t="n">
        <f aca="false">(AR446)+X447-AQ447</f>
        <v>1608.10523721275</v>
      </c>
      <c r="AS447" s="15" t="n">
        <f aca="false">Motore_Operativo!AC447-AT447+AU447</f>
        <v>15166.75</v>
      </c>
      <c r="AT447" s="15" t="n">
        <f aca="false">Motore_Operativo!CI447</f>
        <v>798.25</v>
      </c>
      <c r="AU447" s="15" t="n">
        <f aca="false">MIN(MAX(0,(AV446)+AT447),Parametri_v3!$C$61/12)</f>
        <v>0</v>
      </c>
      <c r="AV447" s="15" t="n">
        <f aca="false">(AV446)+AT447-AU447</f>
        <v>11930.75</v>
      </c>
      <c r="AW447" s="15" t="n">
        <f aca="false">IF(AND(Motore_Operativo!C447=Finanziamenti!$D$7,Finanziamenti!$F$7=1),Finanziamenti!$C$7,0)</f>
        <v>0</v>
      </c>
      <c r="AX447" s="15" t="n">
        <f aca="false">0</f>
        <v>0</v>
      </c>
      <c r="AY447" s="15" t="n">
        <f aca="false">IF(11=Parametri_v3!$C$33,IF(BV447&lt;MIN(12,$B447-1),0,MIN(MAX(0,SUM(Y425:Y436))*Ipotesi!$C$94,MAX(0,(BM436)-(BO446)-BP447),MAX(0,BD447-Parametri_v3!$C$31))),0)</f>
        <v>0</v>
      </c>
      <c r="AZ447" s="15" t="n">
        <f aca="false">0</f>
        <v>0</v>
      </c>
      <c r="BA447" s="15" t="n">
        <f aca="false">0</f>
        <v>0</v>
      </c>
      <c r="BB447" s="15" t="n">
        <f aca="false">0</f>
        <v>0</v>
      </c>
      <c r="BC447" s="15" t="n">
        <f aca="false">0</f>
        <v>0</v>
      </c>
      <c r="BD447" s="15" t="n">
        <f aca="false">(BH446)+AC447-AF447-AI447-AS447-K447*(1+Parametri_v3!$C$26)-AL447-AQ447-O447+AW447+AX447+AZ447+BA447-BB447</f>
        <v>9561.08723993079</v>
      </c>
      <c r="BE447" s="15" t="n">
        <f aca="false">0</f>
        <v>0</v>
      </c>
      <c r="BF447" s="15" t="n">
        <f aca="false">0</f>
        <v>0</v>
      </c>
      <c r="BG447" s="15" t="n">
        <f aca="false">0</f>
        <v>0</v>
      </c>
      <c r="BH447" s="15" t="n">
        <f aca="false">BD447+BE447-BF447-AY447</f>
        <v>9561.08723993079</v>
      </c>
      <c r="BI447" s="15" t="n">
        <f aca="false">MAX(0,Parametri_v3!$C$31-BH447)</f>
        <v>438.912760069208</v>
      </c>
      <c r="BJ447" s="15" t="n">
        <f aca="false">(BJ446)+K447</f>
        <v>7583.33333333334</v>
      </c>
      <c r="BK447" s="15" t="n">
        <f aca="false">(BK446)+L447</f>
        <v>2222.22222222222</v>
      </c>
      <c r="BL447" s="15" t="n">
        <f aca="false">BJ447-BK447</f>
        <v>5361.11111111111</v>
      </c>
      <c r="BM447" s="15" t="n">
        <f aca="false">(BM446)+Y447</f>
        <v>74251.9652734536</v>
      </c>
      <c r="BN447" s="15" t="n">
        <f aca="false">(BN446)+AW447+AX447+AZ447</f>
        <v>20000</v>
      </c>
      <c r="BO447" s="15" t="n">
        <f aca="false">(BO446)+AY447</f>
        <v>0</v>
      </c>
      <c r="BP447" s="15" t="n">
        <f aca="false">MIN(Parametri_v3!$C$36*Parametri_v3!$C$35,(BP446)+IF(11=1,MAX(0,SUM(Y425:Y436))*Parametri_v3!$C$34,0))</f>
        <v>1752.40631140351</v>
      </c>
      <c r="BQ447" s="15" t="n">
        <f aca="false">BN447+BM447-BO447</f>
        <v>94251.9652734536</v>
      </c>
      <c r="BR447" s="15" t="n">
        <f aca="false">BH447+AD447+BL447+MAX(0,-AM447)+MAX(0,-AR447)</f>
        <v>139293.465956676</v>
      </c>
      <c r="BS447" s="15" t="n">
        <f aca="false">AJ447+AV447+MAX(0,AM447)+MAX(0,AR447)+BC447+BG447+BQ447+AG447</f>
        <v>139293.465956676</v>
      </c>
      <c r="BT447" s="15" t="n">
        <f aca="false">BR447-BS447</f>
        <v>0</v>
      </c>
      <c r="BU447" s="15" t="n">
        <f aca="false">BH447-(BD447+BE447-BF447-AY447)</f>
        <v>0</v>
      </c>
      <c r="BV447" s="15" t="n">
        <f aca="false">IF(BH446&lt;Parametri_v3!$C$31,0,BV446+1)</f>
        <v>1</v>
      </c>
    </row>
    <row r="448" customFormat="false" ht="18" hidden="false" customHeight="true" outlineLevel="0" collapsed="false">
      <c r="A448" s="68" t="n">
        <f aca="false">8</f>
        <v>8</v>
      </c>
      <c r="B448" s="68" t="n">
        <f aca="false">24</f>
        <v>24</v>
      </c>
      <c r="C448" s="18" t="n">
        <f aca="false">Motore_Operativo!C448</f>
        <v>47088</v>
      </c>
      <c r="D448" s="68" t="n">
        <f aca="false">Motore_Operativo!D448</f>
        <v>2028</v>
      </c>
      <c r="E448" s="68" t="n">
        <f aca="false">Motore_Operativo!E448</f>
        <v>12</v>
      </c>
      <c r="F448" s="15" t="n">
        <f aca="false">Motore_Operativo!AM448</f>
        <v>33981.220657277</v>
      </c>
      <c r="G448" s="15" t="n">
        <f aca="false">Motore_Operativo!BH448</f>
        <v>3398.1220657277</v>
      </c>
      <c r="H448" s="15" t="n">
        <f aca="false">Motore_Operativo!AM448</f>
        <v>33981.220657277</v>
      </c>
      <c r="I448" s="15" t="n">
        <f aca="false">Motore_Operativo!CB448</f>
        <v>28885.3286384976</v>
      </c>
      <c r="J448" s="15" t="n">
        <f aca="false">Motore_Operativo!CD448</f>
        <v>5095.89201877934</v>
      </c>
      <c r="K448" s="15" t="n">
        <f aca="false">Motore_Operativo!CF448</f>
        <v>416.666666666667</v>
      </c>
      <c r="L448" s="15" t="n">
        <f aca="false">SUM(INDEX($K$425:$K$484,MAX(1,24-Parametri_v3!$C$59+1)):K448)/Parametri_v3!$C$59</f>
        <v>222.222222222222</v>
      </c>
      <c r="M448" s="15" t="n">
        <f aca="false">J448-L448</f>
        <v>4873.66979655712</v>
      </c>
      <c r="N448" s="15" t="n">
        <f aca="false">0</f>
        <v>0</v>
      </c>
      <c r="O448" s="15" t="n">
        <f aca="false">0</f>
        <v>0</v>
      </c>
      <c r="P448" s="15" t="n">
        <f aca="false">M448+N448-O448</f>
        <v>4873.66979655712</v>
      </c>
      <c r="Q448" s="15" t="n">
        <f aca="false">SUM(P437:P448)+Parametri_v3!$C$56*12/12</f>
        <v>59247.9264475743</v>
      </c>
      <c r="R448" s="15" t="n">
        <f aca="false">Z436</f>
        <v>0</v>
      </c>
      <c r="S448" s="15" t="n">
        <f aca="false">AA436</f>
        <v>0</v>
      </c>
      <c r="T448" s="15" t="n">
        <f aca="false">MIN(R448,MAX(0,Q448))</f>
        <v>0</v>
      </c>
      <c r="U448" s="15" t="n">
        <f aca="false">MIN(S448,MAX(0,Q448-T448)*Parametri_v3!$C$42)</f>
        <v>0</v>
      </c>
      <c r="V448" s="15" t="n">
        <f aca="false">MAX(0,Q448-T448-U448)*Ipotesi!$C$92</f>
        <v>14219.5023474178</v>
      </c>
      <c r="W448" s="15" t="n">
        <f aca="false">MAX(0,SUM(M437:M448)+Parametri_v3!$C$57*12/12)*Ipotesi!$C$93</f>
        <v>2310.6691314554</v>
      </c>
      <c r="X448" s="15" t="n">
        <f aca="false">V448+W448-(V447+W447)</f>
        <v>1359.75387323944</v>
      </c>
      <c r="Y448" s="15" t="n">
        <f aca="false">P448-X448</f>
        <v>3513.91592331768</v>
      </c>
      <c r="Z448" s="15" t="n">
        <f aca="false">R448-T448+IF(AND(Parametri_v3!$C$40=1,D448-YEAR(Parametri_v3!$C$50)&lt;Parametri_v3!$C$41),MAX(0,-Q448),0)</f>
        <v>0</v>
      </c>
      <c r="AA448" s="15" t="n">
        <f aca="false">S448-U448+IF(AND(Parametri_v3!$C$40=1,D448-YEAR(Parametri_v3!$C$50)&lt;Parametri_v3!$C$41),0,MAX(0,-Q448))</f>
        <v>0</v>
      </c>
      <c r="AB448" s="15" t="n">
        <f aca="false">F448*(1+Parametri_v3!$C$26)</f>
        <v>41457.0892018779</v>
      </c>
      <c r="AC448" s="15" t="n">
        <f aca="false">(IF(24-(INT((Motore_Operativo!L448)/30))&lt;1,0,INDEX(Motore_Advisory!$AB$425:$AB$484,MAX(1,24-(INT((Motore_Operativo!L448)/30)))))*(1-(MOD((Motore_Operativo!L448),30)/30))+IF(24-(INT((Motore_Operativo!L448)/30))-1&lt;1,0,INDEX(Motore_Advisory!$AB$425:$AB$484,MAX(1,24-(INT((Motore_Operativo!L448)/30))-1)))*(MOD((Motore_Operativo!L448),30)/30))</f>
        <v>41457.0892018779</v>
      </c>
      <c r="AD448" s="15" t="n">
        <f aca="false">(AD447)+AB448-AC448</f>
        <v>124371.267605634</v>
      </c>
      <c r="AE448" s="15" t="n">
        <f aca="false">Motore_Operativo!BH448*(1+Parametri_v3!$C$26)</f>
        <v>4145.70892018779</v>
      </c>
      <c r="AF448" s="15" t="n">
        <f aca="false">(IF(24-(INT((Parametri_v3!$C$29)/30))&lt;1,0,INDEX(Motore_Operativo!$BH$425:$BH$484,MAX(1,24-(INT((Parametri_v3!$C$29)/30)))))*(1-(MOD((Parametri_v3!$C$29),30)/30))+IF(24-(INT((Parametri_v3!$C$29)/30))-1&lt;1,0,INDEX(Motore_Operativo!$BH$425:$BH$484,MAX(1,24-(INT((Parametri_v3!$C$29)/30))-1)))*(MOD((Parametri_v3!$C$29),30)/30))*(1+Parametri_v3!$C$26)</f>
        <v>4145.70892018779</v>
      </c>
      <c r="AG448" s="15" t="n">
        <f aca="false">(AG447)+AE448-AF448</f>
        <v>4145.70892018779</v>
      </c>
      <c r="AH448" s="15" t="n">
        <f aca="false">(Motore_Operativo!CK448)*(1+Parametri_v3!$C$28*Parametri_v3!$C$26)</f>
        <v>11198.1149295775</v>
      </c>
      <c r="AI448" s="15" t="n">
        <f aca="false">(IF(24-(INT((Ipotesi!$C$91)/30))&lt;1,0,INDEX(Motore_Advisory!$AH$425:$AH$484,MAX(1,24-(INT((Ipotesi!$C$91)/30)))))*(1-(MOD((Ipotesi!$C$91),30)/30))+IF(24-(INT((Ipotesi!$C$91)/30))-1&lt;1,0,INDEX(Motore_Advisory!$AH$425:$AH$484,MAX(1,24-(INT((Ipotesi!$C$91)/30))-1)))*(MOD((Ipotesi!$C$91),30)/30))</f>
        <v>11198.1149295775</v>
      </c>
      <c r="AJ448" s="15" t="n">
        <f aca="false">(AJ447)+AH448-AI448</f>
        <v>22396.2298591549</v>
      </c>
      <c r="AK448" s="15" t="n">
        <f aca="false">(F448- Motore_Operativo!BH448-(Motore_Operativo!CK448)*Parametri_v3!$C$28-Motore_Operativo!CF448)*Parametri_v3!$C$26</f>
        <v>4960.70666666667</v>
      </c>
      <c r="AL448" s="15" t="n">
        <f aca="false">MAX(0,(AM447))</f>
        <v>4960.70666666667</v>
      </c>
      <c r="AM448" s="15" t="n">
        <f aca="false">(AM447)+AK448-AL448</f>
        <v>4960.70666666667</v>
      </c>
      <c r="AN448" s="15" t="n">
        <f aca="false">SUM(X425:X436)</f>
        <v>13562.3123684211</v>
      </c>
      <c r="AO448" s="15" t="n">
        <f aca="false">SUM(AP425:AP436)</f>
        <v>0</v>
      </c>
      <c r="AP448" s="15" t="n">
        <f aca="false">MAX(0,AN448)*IF(12=Parametri_v3!$C$43,Parametri_v3!$C$45,IF(12=Parametri_v3!$C$44,1-Parametri_v3!$C$45,0))</f>
        <v>0</v>
      </c>
      <c r="AQ448" s="15" t="n">
        <f aca="false">MAX(0,AP448+IF(12=Parametri_v3!$C$43,MAX(0,AN448-AO448),0)-MAX(0,-(AR447)))</f>
        <v>0</v>
      </c>
      <c r="AR448" s="15" t="n">
        <f aca="false">(AR447)+X448-AQ448</f>
        <v>2967.85911045218</v>
      </c>
      <c r="AS448" s="15" t="n">
        <f aca="false">Motore_Operativo!AC448-AT448+AU448</f>
        <v>15166.75</v>
      </c>
      <c r="AT448" s="15" t="n">
        <f aca="false">Motore_Operativo!CI448</f>
        <v>798.25</v>
      </c>
      <c r="AU448" s="15" t="n">
        <f aca="false">MIN(MAX(0,(AV447)+AT448),Parametri_v3!$C$61/12)</f>
        <v>0</v>
      </c>
      <c r="AV448" s="15" t="n">
        <f aca="false">(AV447)+AT448-AU448</f>
        <v>12729</v>
      </c>
      <c r="AW448" s="15" t="n">
        <f aca="false">IF(AND(Motore_Operativo!C448=Finanziamenti!$D$7,Finanziamenti!$F$7=1),Finanziamenti!$C$7,0)</f>
        <v>0</v>
      </c>
      <c r="AX448" s="15" t="n">
        <f aca="false">0</f>
        <v>0</v>
      </c>
      <c r="AY448" s="15" t="n">
        <f aca="false">IF(12=Parametri_v3!$C$33,IF(BV448&lt;MIN(12,$B448-1),0,MIN(MAX(0,SUM(Y425:Y436))*Ipotesi!$C$94,MAX(0,(BM436)-(BO447)-BP448),MAX(0,BD448-Parametri_v3!$C$31))),0)</f>
        <v>0</v>
      </c>
      <c r="AZ448" s="15" t="n">
        <f aca="false">0</f>
        <v>0</v>
      </c>
      <c r="BA448" s="15" t="n">
        <f aca="false">0</f>
        <v>0</v>
      </c>
      <c r="BB448" s="15" t="n">
        <f aca="false">0</f>
        <v>0</v>
      </c>
      <c r="BC448" s="15" t="n">
        <f aca="false">0</f>
        <v>0</v>
      </c>
      <c r="BD448" s="15" t="n">
        <f aca="false">(BH447)+AC448-AF448-AI448-AS448-K448*(1+Parametri_v3!$C$26)-AL448-AQ448-O448+AW448+AX448+AZ448+BA448-BB448</f>
        <v>15038.5625920435</v>
      </c>
      <c r="BE448" s="15" t="n">
        <f aca="false">0</f>
        <v>0</v>
      </c>
      <c r="BF448" s="15" t="n">
        <f aca="false">0</f>
        <v>0</v>
      </c>
      <c r="BG448" s="15" t="n">
        <f aca="false">0</f>
        <v>0</v>
      </c>
      <c r="BH448" s="15" t="n">
        <f aca="false">BD448+BE448-BF448-AY448</f>
        <v>15038.5625920435</v>
      </c>
      <c r="BI448" s="15" t="n">
        <f aca="false">MAX(0,Parametri_v3!$C$31-BH448)</f>
        <v>0</v>
      </c>
      <c r="BJ448" s="15" t="n">
        <f aca="false">(BJ447)+K448</f>
        <v>8000</v>
      </c>
      <c r="BK448" s="15" t="n">
        <f aca="false">(BK447)+L448</f>
        <v>2444.44444444445</v>
      </c>
      <c r="BL448" s="15" t="n">
        <f aca="false">BJ448-BK448</f>
        <v>5555.55555555556</v>
      </c>
      <c r="BM448" s="15" t="n">
        <f aca="false">(BM447)+Y448</f>
        <v>77765.8811967713</v>
      </c>
      <c r="BN448" s="15" t="n">
        <f aca="false">(BN447)+AW448+AX448+AZ448</f>
        <v>20000</v>
      </c>
      <c r="BO448" s="15" t="n">
        <f aca="false">(BO447)+AY448</f>
        <v>0</v>
      </c>
      <c r="BP448" s="15" t="n">
        <f aca="false">MIN(Parametri_v3!$C$36*Parametri_v3!$C$35,(BP447)+IF(12=1,MAX(0,SUM(Y425:Y436))*Parametri_v3!$C$34,0))</f>
        <v>1752.40631140351</v>
      </c>
      <c r="BQ448" s="15" t="n">
        <f aca="false">BN448+BM448-BO448</f>
        <v>97765.8811967713</v>
      </c>
      <c r="BR448" s="15" t="n">
        <f aca="false">BH448+AD448+BL448+MAX(0,-AM448)+MAX(0,-AR448)</f>
        <v>144965.385753233</v>
      </c>
      <c r="BS448" s="15" t="n">
        <f aca="false">AJ448+AV448+MAX(0,AM448)+MAX(0,AR448)+BC448+BG448+BQ448+AG448</f>
        <v>144965.385753233</v>
      </c>
      <c r="BT448" s="15" t="n">
        <f aca="false">BR448-BS448</f>
        <v>0</v>
      </c>
      <c r="BU448" s="15" t="n">
        <f aca="false">BH448-(BD448+BE448-BF448-AY448)</f>
        <v>0</v>
      </c>
      <c r="BV448" s="15" t="n">
        <f aca="false">IF(BH447&lt;Parametri_v3!$C$31,0,BV447+1)</f>
        <v>0</v>
      </c>
    </row>
    <row r="449" customFormat="false" ht="18" hidden="false" customHeight="true" outlineLevel="0" collapsed="false">
      <c r="A449" s="68" t="n">
        <f aca="false">8</f>
        <v>8</v>
      </c>
      <c r="B449" s="68" t="n">
        <f aca="false">25</f>
        <v>25</v>
      </c>
      <c r="C449" s="18" t="n">
        <f aca="false">Motore_Operativo!C449</f>
        <v>47119</v>
      </c>
      <c r="D449" s="68" t="n">
        <f aca="false">Motore_Operativo!D449</f>
        <v>2029</v>
      </c>
      <c r="E449" s="68" t="n">
        <f aca="false">Motore_Operativo!E449</f>
        <v>1</v>
      </c>
      <c r="F449" s="15" t="n">
        <f aca="false">Motore_Operativo!AM449</f>
        <v>60500</v>
      </c>
      <c r="G449" s="15" t="n">
        <f aca="false">Motore_Operativo!BH449</f>
        <v>6050</v>
      </c>
      <c r="H449" s="15" t="n">
        <f aca="false">Motore_Operativo!AM449</f>
        <v>60500</v>
      </c>
      <c r="I449" s="15" t="n">
        <f aca="false">Motore_Operativo!CB449</f>
        <v>46259.8958333333</v>
      </c>
      <c r="J449" s="15" t="n">
        <f aca="false">Motore_Operativo!CD449</f>
        <v>14240.1041666667</v>
      </c>
      <c r="K449" s="15" t="n">
        <f aca="false">Motore_Operativo!CF449</f>
        <v>416.666666666667</v>
      </c>
      <c r="L449" s="15" t="n">
        <f aca="false">SUM(INDEX($K$425:$K$484,MAX(1,25-Parametri_v3!$C$59+1)):K449)/Parametri_v3!$C$59</f>
        <v>233.796296296296</v>
      </c>
      <c r="M449" s="15" t="n">
        <f aca="false">J449-L449</f>
        <v>14006.3078703704</v>
      </c>
      <c r="N449" s="15" t="n">
        <f aca="false">0</f>
        <v>0</v>
      </c>
      <c r="O449" s="15" t="n">
        <f aca="false">0</f>
        <v>0</v>
      </c>
      <c r="P449" s="15" t="n">
        <f aca="false">M449+N449-O449</f>
        <v>14006.3078703704</v>
      </c>
      <c r="Q449" s="15" t="n">
        <f aca="false">SUM(P449)+Parametri_v3!$C$56*1/12</f>
        <v>14006.3078703704</v>
      </c>
      <c r="R449" s="15" t="n">
        <f aca="false">Z448</f>
        <v>0</v>
      </c>
      <c r="S449" s="15" t="n">
        <f aca="false">AA448</f>
        <v>0</v>
      </c>
      <c r="T449" s="15" t="n">
        <f aca="false">MIN(R449,MAX(0,Q449))</f>
        <v>0</v>
      </c>
      <c r="U449" s="15" t="n">
        <f aca="false">MIN(S449,MAX(0,Q449-T449)*Parametri_v3!$C$42)</f>
        <v>0</v>
      </c>
      <c r="V449" s="15" t="n">
        <f aca="false">MAX(0,Q449-T449-U449)*Ipotesi!$C$92</f>
        <v>3361.51388888889</v>
      </c>
      <c r="W449" s="15" t="n">
        <f aca="false">MAX(0,SUM(M449)+Parametri_v3!$C$57*1/12)*Ipotesi!$C$93</f>
        <v>546.246006944445</v>
      </c>
      <c r="X449" s="15" t="n">
        <f aca="false">V449+W449-(0)</f>
        <v>3907.75989583333</v>
      </c>
      <c r="Y449" s="15" t="n">
        <f aca="false">P449-X449</f>
        <v>10098.547974537</v>
      </c>
      <c r="Z449" s="15" t="n">
        <f aca="false">R449-T449+IF(AND(Parametri_v3!$C$40=1,D449-YEAR(Parametri_v3!$C$50)&lt;Parametri_v3!$C$41),MAX(0,-Q449),0)</f>
        <v>0</v>
      </c>
      <c r="AA449" s="15" t="n">
        <f aca="false">S449-U449+IF(AND(Parametri_v3!$C$40=1,D449-YEAR(Parametri_v3!$C$50)&lt;Parametri_v3!$C$41),0,MAX(0,-Q449))</f>
        <v>0</v>
      </c>
      <c r="AB449" s="15" t="n">
        <f aca="false">F449*(1+Parametri_v3!$C$26)</f>
        <v>73810</v>
      </c>
      <c r="AC449" s="15" t="n">
        <f aca="false">(IF(25-(INT((Motore_Operativo!L449)/30))&lt;1,0,INDEX(Motore_Advisory!$AB$425:$AB$484,MAX(1,25-(INT((Motore_Operativo!L449)/30)))))*(1-(MOD((Motore_Operativo!L449),30)/30))+IF(25-(INT((Motore_Operativo!L449)/30))-1&lt;1,0,INDEX(Motore_Advisory!$AB$425:$AB$484,MAX(1,25-(INT((Motore_Operativo!L449)/30))-1)))*(MOD((Motore_Operativo!L449),30)/30))</f>
        <v>41457.0892018779</v>
      </c>
      <c r="AD449" s="15" t="n">
        <f aca="false">(AD448)+AB449-AC449</f>
        <v>156724.178403756</v>
      </c>
      <c r="AE449" s="15" t="n">
        <f aca="false">Motore_Operativo!BH449*(1+Parametri_v3!$C$26)</f>
        <v>7381</v>
      </c>
      <c r="AF449" s="15" t="n">
        <f aca="false">(IF(25-(INT((Parametri_v3!$C$29)/30))&lt;1,0,INDEX(Motore_Operativo!$BH$425:$BH$484,MAX(1,25-(INT((Parametri_v3!$C$29)/30)))))*(1-(MOD((Parametri_v3!$C$29),30)/30))+IF(25-(INT((Parametri_v3!$C$29)/30))-1&lt;1,0,INDEX(Motore_Operativo!$BH$425:$BH$484,MAX(1,25-(INT((Parametri_v3!$C$29)/30))-1)))*(MOD((Parametri_v3!$C$29),30)/30))*(1+Parametri_v3!$C$26)</f>
        <v>4145.70892018779</v>
      </c>
      <c r="AG449" s="15" t="n">
        <f aca="false">(AG448)+AE449-AF449</f>
        <v>7381</v>
      </c>
      <c r="AH449" s="15" t="n">
        <f aca="false">(Motore_Operativo!CK449)*(1+Parametri_v3!$C$28*Parametri_v3!$C$26)</f>
        <v>17395.98</v>
      </c>
      <c r="AI449" s="15" t="n">
        <f aca="false">(IF(25-(INT((Ipotesi!$C$91)/30))&lt;1,0,INDEX(Motore_Advisory!$AH$425:$AH$484,MAX(1,25-(INT((Ipotesi!$C$91)/30)))))*(1-(MOD((Ipotesi!$C$91),30)/30))+IF(25-(INT((Ipotesi!$C$91)/30))-1&lt;1,0,INDEX(Motore_Advisory!$AH$425:$AH$484,MAX(1,25-(INT((Ipotesi!$C$91)/30))-1)))*(MOD((Ipotesi!$C$91),30)/30))</f>
        <v>11198.1149295775</v>
      </c>
      <c r="AJ449" s="15" t="n">
        <f aca="false">(AJ448)+AH449-AI449</f>
        <v>28594.0949295775</v>
      </c>
      <c r="AK449" s="15" t="n">
        <f aca="false">(F449- Motore_Operativo!BH449-(Motore_Operativo!CK449)*Parametri_v3!$C$28-Motore_Operativo!CF449)*Parametri_v3!$C$26</f>
        <v>9283.85333333333</v>
      </c>
      <c r="AL449" s="15" t="n">
        <f aca="false">MAX(0,(AM448))</f>
        <v>4960.70666666667</v>
      </c>
      <c r="AM449" s="15" t="n">
        <f aca="false">(AM448)+AK449-AL449</f>
        <v>9283.85333333333</v>
      </c>
      <c r="AN449" s="15" t="n">
        <f aca="false">SUM(X437:X448)</f>
        <v>16530.1714788732</v>
      </c>
      <c r="AO449" s="15" t="n">
        <f aca="false">SUM(AP437:AP448)</f>
        <v>13562.3123684211</v>
      </c>
      <c r="AP449" s="15" t="n">
        <f aca="false">MAX(0,AN449)*IF(1=Parametri_v3!$C$43,Parametri_v3!$C$45,IF(1=Parametri_v3!$C$44,1-Parametri_v3!$C$45,0))</f>
        <v>0</v>
      </c>
      <c r="AQ449" s="15" t="n">
        <f aca="false">MAX(0,AP449+IF(1=Parametri_v3!$C$43,MAX(0,AN449-AO449),0)-MAX(0,-(AR448)))</f>
        <v>0</v>
      </c>
      <c r="AR449" s="15" t="n">
        <f aca="false">(AR448)+X449-AQ449</f>
        <v>6875.61900628552</v>
      </c>
      <c r="AS449" s="15" t="n">
        <f aca="false">Motore_Operativo!AC449-AT449+AU449</f>
        <v>24146.5260416667</v>
      </c>
      <c r="AT449" s="15" t="n">
        <f aca="false">Motore_Operativo!CI449</f>
        <v>1270.86979166667</v>
      </c>
      <c r="AU449" s="15" t="n">
        <f aca="false">MIN(MAX(0,(AV448)+AT449),Parametri_v3!$C$61/12)</f>
        <v>0</v>
      </c>
      <c r="AV449" s="15" t="n">
        <f aca="false">(AV448)+AT449-AU449</f>
        <v>13999.8697916667</v>
      </c>
      <c r="AW449" s="15" t="n">
        <f aca="false">IF(AND(Motore_Operativo!C449=Finanziamenti!$D$7,Finanziamenti!$F$7=1),Finanziamenti!$C$7,0)</f>
        <v>0</v>
      </c>
      <c r="AX449" s="15" t="n">
        <f aca="false">0</f>
        <v>0</v>
      </c>
      <c r="AY449" s="15" t="n">
        <f aca="false">IF(1=Parametri_v3!$C$33,IF(BV449&lt;MIN(12,$B449-1),0,MIN(MAX(0,SUM(Y437:Y448))*Ipotesi!$C$94,MAX(0,(BM448)-(BO448)-BP449),MAX(0,BD449-Parametri_v3!$C$31))),0)</f>
        <v>0</v>
      </c>
      <c r="AZ449" s="15" t="n">
        <f aca="false">0</f>
        <v>0</v>
      </c>
      <c r="BA449" s="15" t="n">
        <f aca="false">0</f>
        <v>0</v>
      </c>
      <c r="BB449" s="15" t="n">
        <f aca="false">0</f>
        <v>0</v>
      </c>
      <c r="BC449" s="15" t="n">
        <f aca="false">0</f>
        <v>0</v>
      </c>
      <c r="BD449" s="15" t="n">
        <f aca="false">(BH448)+AC449-AF449-AI449-AS449-K449*(1+Parametri_v3!$C$26)-AL449-AQ449-O449+AW449+AX449+AZ449+BA449-BB449</f>
        <v>11536.2619024895</v>
      </c>
      <c r="BE449" s="15" t="n">
        <f aca="false">0</f>
        <v>0</v>
      </c>
      <c r="BF449" s="15" t="n">
        <f aca="false">0</f>
        <v>0</v>
      </c>
      <c r="BG449" s="15" t="n">
        <f aca="false">0</f>
        <v>0</v>
      </c>
      <c r="BH449" s="15" t="n">
        <f aca="false">BD449+BE449-BF449-AY449</f>
        <v>11536.2619024895</v>
      </c>
      <c r="BI449" s="15" t="n">
        <f aca="false">MAX(0,Parametri_v3!$C$31-BH449)</f>
        <v>0</v>
      </c>
      <c r="BJ449" s="15" t="n">
        <f aca="false">(BJ448)+K449</f>
        <v>8416.66666666667</v>
      </c>
      <c r="BK449" s="15" t="n">
        <f aca="false">(BK448)+L449</f>
        <v>2678.24074074074</v>
      </c>
      <c r="BL449" s="15" t="n">
        <f aca="false">BJ449-BK449</f>
        <v>5738.42592592593</v>
      </c>
      <c r="BM449" s="15" t="n">
        <f aca="false">(BM448)+Y449</f>
        <v>87864.4291713083</v>
      </c>
      <c r="BN449" s="15" t="n">
        <f aca="false">(BN448)+AW449+AX449+AZ449</f>
        <v>20000</v>
      </c>
      <c r="BO449" s="15" t="n">
        <f aca="false">(BO448)+AY449</f>
        <v>0</v>
      </c>
      <c r="BP449" s="15" t="n">
        <f aca="false">MIN(Parametri_v3!$C$36*Parametri_v3!$C$35,(BP448)+IF(1=1,MAX(0,SUM(Y437:Y448))*Parametri_v3!$C$34,0))</f>
        <v>2000</v>
      </c>
      <c r="BQ449" s="15" t="n">
        <f aca="false">BN449+BM449-BO449</f>
        <v>107864.429171308</v>
      </c>
      <c r="BR449" s="15" t="n">
        <f aca="false">BH449+AD449+BL449+MAX(0,-AM449)+MAX(0,-AR449)</f>
        <v>173998.866232171</v>
      </c>
      <c r="BS449" s="15" t="n">
        <f aca="false">AJ449+AV449+MAX(0,AM449)+MAX(0,AR449)+BC449+BG449+BQ449+AG449</f>
        <v>173998.866232171</v>
      </c>
      <c r="BT449" s="15" t="n">
        <f aca="false">BR449-BS449</f>
        <v>0</v>
      </c>
      <c r="BU449" s="15" t="n">
        <f aca="false">BH449-(BD449+BE449-BF449-AY449)</f>
        <v>0</v>
      </c>
      <c r="BV449" s="15" t="n">
        <f aca="false">IF(BH448&lt;Parametri_v3!$C$31,0,BV448+1)</f>
        <v>1</v>
      </c>
    </row>
    <row r="450" customFormat="false" ht="18" hidden="false" customHeight="true" outlineLevel="0" collapsed="false">
      <c r="A450" s="68" t="n">
        <f aca="false">8</f>
        <v>8</v>
      </c>
      <c r="B450" s="68" t="n">
        <f aca="false">26</f>
        <v>26</v>
      </c>
      <c r="C450" s="18" t="n">
        <f aca="false">Motore_Operativo!C450</f>
        <v>47150</v>
      </c>
      <c r="D450" s="68" t="n">
        <f aca="false">Motore_Operativo!D450</f>
        <v>2029</v>
      </c>
      <c r="E450" s="68" t="n">
        <f aca="false">Motore_Operativo!E450</f>
        <v>2</v>
      </c>
      <c r="F450" s="15" t="n">
        <f aca="false">Motore_Operativo!AM450</f>
        <v>60500</v>
      </c>
      <c r="G450" s="15" t="n">
        <f aca="false">Motore_Operativo!BH450</f>
        <v>6050</v>
      </c>
      <c r="H450" s="15" t="n">
        <f aca="false">Motore_Operativo!AM450</f>
        <v>60500</v>
      </c>
      <c r="I450" s="15" t="n">
        <f aca="false">Motore_Operativo!CB450</f>
        <v>46259.8958333333</v>
      </c>
      <c r="J450" s="15" t="n">
        <f aca="false">Motore_Operativo!CD450</f>
        <v>14240.1041666667</v>
      </c>
      <c r="K450" s="15" t="n">
        <f aca="false">Motore_Operativo!CF450</f>
        <v>416.666666666667</v>
      </c>
      <c r="L450" s="15" t="n">
        <f aca="false">SUM(INDEX($K$425:$K$484,MAX(1,26-Parametri_v3!$C$59+1)):K450)/Parametri_v3!$C$59</f>
        <v>245.37037037037</v>
      </c>
      <c r="M450" s="15" t="n">
        <f aca="false">J450-L450</f>
        <v>13994.7337962963</v>
      </c>
      <c r="N450" s="15" t="n">
        <f aca="false">0</f>
        <v>0</v>
      </c>
      <c r="O450" s="15" t="n">
        <f aca="false">0</f>
        <v>0</v>
      </c>
      <c r="P450" s="15" t="n">
        <f aca="false">M450+N450-O450</f>
        <v>13994.7337962963</v>
      </c>
      <c r="Q450" s="15" t="n">
        <f aca="false">SUM(P449:P450)+Parametri_v3!$C$56*2/12</f>
        <v>28001.0416666667</v>
      </c>
      <c r="R450" s="15" t="n">
        <f aca="false">Z448</f>
        <v>0</v>
      </c>
      <c r="S450" s="15" t="n">
        <f aca="false">AA448</f>
        <v>0</v>
      </c>
      <c r="T450" s="15" t="n">
        <f aca="false">MIN(R450,MAX(0,Q450))</f>
        <v>0</v>
      </c>
      <c r="U450" s="15" t="n">
        <f aca="false">MIN(S450,MAX(0,Q450-T450)*Parametri_v3!$C$42)</f>
        <v>0</v>
      </c>
      <c r="V450" s="15" t="n">
        <f aca="false">MAX(0,Q450-T450-U450)*Ipotesi!$C$92</f>
        <v>6720.25</v>
      </c>
      <c r="W450" s="15" t="n">
        <f aca="false">MAX(0,SUM(M449:M450)+Parametri_v3!$C$57*2/12)*Ipotesi!$C$93</f>
        <v>1092.040625</v>
      </c>
      <c r="X450" s="15" t="n">
        <f aca="false">V450+W450-(V449+W449)</f>
        <v>3904.53072916667</v>
      </c>
      <c r="Y450" s="15" t="n">
        <f aca="false">P450-X450</f>
        <v>10090.2030671296</v>
      </c>
      <c r="Z450" s="15" t="n">
        <f aca="false">R450-T450+IF(AND(Parametri_v3!$C$40=1,D450-YEAR(Parametri_v3!$C$50)&lt;Parametri_v3!$C$41),MAX(0,-Q450),0)</f>
        <v>0</v>
      </c>
      <c r="AA450" s="15" t="n">
        <f aca="false">S450-U450+IF(AND(Parametri_v3!$C$40=1,D450-YEAR(Parametri_v3!$C$50)&lt;Parametri_v3!$C$41),0,MAX(0,-Q450))</f>
        <v>0</v>
      </c>
      <c r="AB450" s="15" t="n">
        <f aca="false">F450*(1+Parametri_v3!$C$26)</f>
        <v>73810</v>
      </c>
      <c r="AC450" s="15" t="n">
        <f aca="false">(IF(26-(INT((Motore_Operativo!L450)/30))&lt;1,0,INDEX(Motore_Advisory!$AB$425:$AB$484,MAX(1,26-(INT((Motore_Operativo!L450)/30)))))*(1-(MOD((Motore_Operativo!L450),30)/30))+IF(26-(INT((Motore_Operativo!L450)/30))-1&lt;1,0,INDEX(Motore_Advisory!$AB$425:$AB$484,MAX(1,26-(INT((Motore_Operativo!L450)/30))-1)))*(MOD((Motore_Operativo!L450),30)/30))</f>
        <v>41457.0892018779</v>
      </c>
      <c r="AD450" s="15" t="n">
        <f aca="false">(AD449)+AB450-AC450</f>
        <v>189077.089201878</v>
      </c>
      <c r="AE450" s="15" t="n">
        <f aca="false">Motore_Operativo!BH450*(1+Parametri_v3!$C$26)</f>
        <v>7381</v>
      </c>
      <c r="AF450" s="15" t="n">
        <f aca="false">(IF(26-(INT((Parametri_v3!$C$29)/30))&lt;1,0,INDEX(Motore_Operativo!$BH$425:$BH$484,MAX(1,26-(INT((Parametri_v3!$C$29)/30)))))*(1-(MOD((Parametri_v3!$C$29),30)/30))+IF(26-(INT((Parametri_v3!$C$29)/30))-1&lt;1,0,INDEX(Motore_Operativo!$BH$425:$BH$484,MAX(1,26-(INT((Parametri_v3!$C$29)/30))-1)))*(MOD((Parametri_v3!$C$29),30)/30))*(1+Parametri_v3!$C$26)</f>
        <v>7381</v>
      </c>
      <c r="AG450" s="15" t="n">
        <f aca="false">(AG449)+AE450-AF450</f>
        <v>7381</v>
      </c>
      <c r="AH450" s="15" t="n">
        <f aca="false">(Motore_Operativo!CK450)*(1+Parametri_v3!$C$28*Parametri_v3!$C$26)</f>
        <v>17395.98</v>
      </c>
      <c r="AI450" s="15" t="n">
        <f aca="false">(IF(26-(INT((Ipotesi!$C$91)/30))&lt;1,0,INDEX(Motore_Advisory!$AH$425:$AH$484,MAX(1,26-(INT((Ipotesi!$C$91)/30)))))*(1-(MOD((Ipotesi!$C$91),30)/30))+IF(26-(INT((Ipotesi!$C$91)/30))-1&lt;1,0,INDEX(Motore_Advisory!$AH$425:$AH$484,MAX(1,26-(INT((Ipotesi!$C$91)/30))-1)))*(MOD((Ipotesi!$C$91),30)/30))</f>
        <v>11198.1149295775</v>
      </c>
      <c r="AJ450" s="15" t="n">
        <f aca="false">(AJ449)+AH450-AI450</f>
        <v>34791.96</v>
      </c>
      <c r="AK450" s="15" t="n">
        <f aca="false">(F450- Motore_Operativo!BH450-(Motore_Operativo!CK450)*Parametri_v3!$C$28-Motore_Operativo!CF450)*Parametri_v3!$C$26</f>
        <v>9283.85333333333</v>
      </c>
      <c r="AL450" s="15" t="n">
        <f aca="false">MAX(0,(AM449))</f>
        <v>9283.85333333333</v>
      </c>
      <c r="AM450" s="15" t="n">
        <f aca="false">(AM449)+AK450-AL450</f>
        <v>9283.85333333333</v>
      </c>
      <c r="AN450" s="15" t="n">
        <f aca="false">SUM(X437:X448)</f>
        <v>16530.1714788732</v>
      </c>
      <c r="AO450" s="15" t="n">
        <f aca="false">SUM(AP437:AP448)</f>
        <v>13562.3123684211</v>
      </c>
      <c r="AP450" s="15" t="n">
        <f aca="false">MAX(0,AN450)*IF(2=Parametri_v3!$C$43,Parametri_v3!$C$45,IF(2=Parametri_v3!$C$44,1-Parametri_v3!$C$45,0))</f>
        <v>0</v>
      </c>
      <c r="AQ450" s="15" t="n">
        <f aca="false">MAX(0,AP450+IF(2=Parametri_v3!$C$43,MAX(0,AN450-AO450),0)-MAX(0,-(AR449)))</f>
        <v>0</v>
      </c>
      <c r="AR450" s="15" t="n">
        <f aca="false">(AR449)+X450-AQ450</f>
        <v>10780.1497354522</v>
      </c>
      <c r="AS450" s="15" t="n">
        <f aca="false">Motore_Operativo!AC450-AT450+AU450</f>
        <v>24146.5260416667</v>
      </c>
      <c r="AT450" s="15" t="n">
        <f aca="false">Motore_Operativo!CI450</f>
        <v>1270.86979166667</v>
      </c>
      <c r="AU450" s="15" t="n">
        <f aca="false">MIN(MAX(0,(AV449)+AT450),Parametri_v3!$C$61/12)</f>
        <v>0</v>
      </c>
      <c r="AV450" s="15" t="n">
        <f aca="false">(AV449)+AT450-AU450</f>
        <v>15270.7395833333</v>
      </c>
      <c r="AW450" s="15" t="n">
        <f aca="false">IF(AND(Motore_Operativo!C450=Finanziamenti!$D$7,Finanziamenti!$F$7=1),Finanziamenti!$C$7,0)</f>
        <v>0</v>
      </c>
      <c r="AX450" s="15" t="n">
        <f aca="false">0</f>
        <v>0</v>
      </c>
      <c r="AY450" s="15" t="n">
        <f aca="false">IF(2=Parametri_v3!$C$33,IF(BV450&lt;MIN(12,$B450-1),0,MIN(MAX(0,SUM(Y437:Y448))*Ipotesi!$C$94,MAX(0,(BM448)-(BO449)-BP450),MAX(0,BD450-Parametri_v3!$C$31))),0)</f>
        <v>0</v>
      </c>
      <c r="AZ450" s="15" t="n">
        <f aca="false">0</f>
        <v>0</v>
      </c>
      <c r="BA450" s="15" t="n">
        <f aca="false">0</f>
        <v>0</v>
      </c>
      <c r="BB450" s="15" t="n">
        <f aca="false">0</f>
        <v>0</v>
      </c>
      <c r="BC450" s="15" t="n">
        <f aca="false">0</f>
        <v>0</v>
      </c>
      <c r="BD450" s="15" t="n">
        <f aca="false">(BH449)+AC450-AF450-AI450-AS450-K450*(1+Parametri_v3!$C$26)-AL450-AQ450-O450+AW450+AX450+AZ450+BA450-BB450</f>
        <v>475.523466456609</v>
      </c>
      <c r="BE450" s="15" t="n">
        <f aca="false">0</f>
        <v>0</v>
      </c>
      <c r="BF450" s="15" t="n">
        <f aca="false">0</f>
        <v>0</v>
      </c>
      <c r="BG450" s="15" t="n">
        <f aca="false">0</f>
        <v>0</v>
      </c>
      <c r="BH450" s="15" t="n">
        <f aca="false">BD450+BE450-BF450-AY450</f>
        <v>475.523466456609</v>
      </c>
      <c r="BI450" s="15" t="n">
        <f aca="false">MAX(0,Parametri_v3!$C$31-BH450)</f>
        <v>9524.47653354339</v>
      </c>
      <c r="BJ450" s="15" t="n">
        <f aca="false">(BJ449)+K450</f>
        <v>8833.33333333334</v>
      </c>
      <c r="BK450" s="15" t="n">
        <f aca="false">(BK449)+L450</f>
        <v>2923.61111111111</v>
      </c>
      <c r="BL450" s="15" t="n">
        <f aca="false">BJ450-BK450</f>
        <v>5909.72222222222</v>
      </c>
      <c r="BM450" s="15" t="n">
        <f aca="false">(BM449)+Y450</f>
        <v>97954.6322384379</v>
      </c>
      <c r="BN450" s="15" t="n">
        <f aca="false">(BN449)+AW450+AX450+AZ450</f>
        <v>20000</v>
      </c>
      <c r="BO450" s="15" t="n">
        <f aca="false">(BO449)+AY450</f>
        <v>0</v>
      </c>
      <c r="BP450" s="15" t="n">
        <f aca="false">MIN(Parametri_v3!$C$36*Parametri_v3!$C$35,(BP449)+IF(2=1,MAX(0,SUM(Y437:Y448))*Parametri_v3!$C$34,0))</f>
        <v>2000</v>
      </c>
      <c r="BQ450" s="15" t="n">
        <f aca="false">BN450+BM450-BO450</f>
        <v>117954.632238438</v>
      </c>
      <c r="BR450" s="15" t="n">
        <f aca="false">BH450+AD450+BL450+MAX(0,-AM450)+MAX(0,-AR450)</f>
        <v>195462.334890557</v>
      </c>
      <c r="BS450" s="15" t="n">
        <f aca="false">AJ450+AV450+MAX(0,AM450)+MAX(0,AR450)+BC450+BG450+BQ450+AG450</f>
        <v>195462.334890557</v>
      </c>
      <c r="BT450" s="15" t="n">
        <f aca="false">BR450-BS450</f>
        <v>0</v>
      </c>
      <c r="BU450" s="15" t="n">
        <f aca="false">BH450-(BD450+BE450-BF450-AY450)</f>
        <v>0</v>
      </c>
      <c r="BV450" s="15" t="n">
        <f aca="false">IF(BH449&lt;Parametri_v3!$C$31,0,BV449+1)</f>
        <v>2</v>
      </c>
    </row>
    <row r="451" customFormat="false" ht="18" hidden="false" customHeight="true" outlineLevel="0" collapsed="false">
      <c r="A451" s="68" t="n">
        <f aca="false">8</f>
        <v>8</v>
      </c>
      <c r="B451" s="68" t="n">
        <f aca="false">27</f>
        <v>27</v>
      </c>
      <c r="C451" s="18" t="n">
        <f aca="false">Motore_Operativo!C451</f>
        <v>47178</v>
      </c>
      <c r="D451" s="68" t="n">
        <f aca="false">Motore_Operativo!D451</f>
        <v>2029</v>
      </c>
      <c r="E451" s="68" t="n">
        <f aca="false">Motore_Operativo!E451</f>
        <v>3</v>
      </c>
      <c r="F451" s="15" t="n">
        <f aca="false">Motore_Operativo!AM451</f>
        <v>60500</v>
      </c>
      <c r="G451" s="15" t="n">
        <f aca="false">Motore_Operativo!BH451</f>
        <v>6050</v>
      </c>
      <c r="H451" s="15" t="n">
        <f aca="false">Motore_Operativo!AM451</f>
        <v>60500</v>
      </c>
      <c r="I451" s="15" t="n">
        <f aca="false">Motore_Operativo!CB451</f>
        <v>46259.8958333333</v>
      </c>
      <c r="J451" s="15" t="n">
        <f aca="false">Motore_Operativo!CD451</f>
        <v>14240.1041666667</v>
      </c>
      <c r="K451" s="15" t="n">
        <f aca="false">Motore_Operativo!CF451</f>
        <v>416.666666666667</v>
      </c>
      <c r="L451" s="15" t="n">
        <f aca="false">SUM(INDEX($K$425:$K$484,MAX(1,27-Parametri_v3!$C$59+1)):K451)/Parametri_v3!$C$59</f>
        <v>256.944444444444</v>
      </c>
      <c r="M451" s="15" t="n">
        <f aca="false">J451-L451</f>
        <v>13983.1597222222</v>
      </c>
      <c r="N451" s="15" t="n">
        <f aca="false">0</f>
        <v>0</v>
      </c>
      <c r="O451" s="15" t="n">
        <f aca="false">0</f>
        <v>0</v>
      </c>
      <c r="P451" s="15" t="n">
        <f aca="false">M451+N451-O451</f>
        <v>13983.1597222222</v>
      </c>
      <c r="Q451" s="15" t="n">
        <f aca="false">SUM(P449:P451)+Parametri_v3!$C$56*3/12</f>
        <v>41984.2013888889</v>
      </c>
      <c r="R451" s="15" t="n">
        <f aca="false">Z448</f>
        <v>0</v>
      </c>
      <c r="S451" s="15" t="n">
        <f aca="false">AA448</f>
        <v>0</v>
      </c>
      <c r="T451" s="15" t="n">
        <f aca="false">MIN(R451,MAX(0,Q451))</f>
        <v>0</v>
      </c>
      <c r="U451" s="15" t="n">
        <f aca="false">MIN(S451,MAX(0,Q451-T451)*Parametri_v3!$C$42)</f>
        <v>0</v>
      </c>
      <c r="V451" s="15" t="n">
        <f aca="false">MAX(0,Q451-T451-U451)*Ipotesi!$C$92</f>
        <v>10076.2083333333</v>
      </c>
      <c r="W451" s="15" t="n">
        <f aca="false">MAX(0,SUM(M449:M451)+Parametri_v3!$C$57*3/12)*Ipotesi!$C$93</f>
        <v>1637.38385416667</v>
      </c>
      <c r="X451" s="15" t="n">
        <f aca="false">V451+W451-(V450+W450)</f>
        <v>3901.3015625</v>
      </c>
      <c r="Y451" s="15" t="n">
        <f aca="false">P451-X451</f>
        <v>10081.8581597222</v>
      </c>
      <c r="Z451" s="15" t="n">
        <f aca="false">R451-T451+IF(AND(Parametri_v3!$C$40=1,D451-YEAR(Parametri_v3!$C$50)&lt;Parametri_v3!$C$41),MAX(0,-Q451),0)</f>
        <v>0</v>
      </c>
      <c r="AA451" s="15" t="n">
        <f aca="false">S451-U451+IF(AND(Parametri_v3!$C$40=1,D451-YEAR(Parametri_v3!$C$50)&lt;Parametri_v3!$C$41),0,MAX(0,-Q451))</f>
        <v>0</v>
      </c>
      <c r="AB451" s="15" t="n">
        <f aca="false">F451*(1+Parametri_v3!$C$26)</f>
        <v>73810</v>
      </c>
      <c r="AC451" s="15" t="n">
        <f aca="false">(IF(27-(INT((Motore_Operativo!L451)/30))&lt;1,0,INDEX(Motore_Advisory!$AB$425:$AB$484,MAX(1,27-(INT((Motore_Operativo!L451)/30)))))*(1-(MOD((Motore_Operativo!L451),30)/30))+IF(27-(INT((Motore_Operativo!L451)/30))-1&lt;1,0,INDEX(Motore_Advisory!$AB$425:$AB$484,MAX(1,27-(INT((Motore_Operativo!L451)/30))-1)))*(MOD((Motore_Operativo!L451),30)/30))</f>
        <v>41457.0892018779</v>
      </c>
      <c r="AD451" s="15" t="n">
        <f aca="false">(AD450)+AB451-AC451</f>
        <v>221430</v>
      </c>
      <c r="AE451" s="15" t="n">
        <f aca="false">Motore_Operativo!BH451*(1+Parametri_v3!$C$26)</f>
        <v>7381</v>
      </c>
      <c r="AF451" s="15" t="n">
        <f aca="false">(IF(27-(INT((Parametri_v3!$C$29)/30))&lt;1,0,INDEX(Motore_Operativo!$BH$425:$BH$484,MAX(1,27-(INT((Parametri_v3!$C$29)/30)))))*(1-(MOD((Parametri_v3!$C$29),30)/30))+IF(27-(INT((Parametri_v3!$C$29)/30))-1&lt;1,0,INDEX(Motore_Operativo!$BH$425:$BH$484,MAX(1,27-(INT((Parametri_v3!$C$29)/30))-1)))*(MOD((Parametri_v3!$C$29),30)/30))*(1+Parametri_v3!$C$26)</f>
        <v>7381</v>
      </c>
      <c r="AG451" s="15" t="n">
        <f aca="false">(AG450)+AE451-AF451</f>
        <v>7381</v>
      </c>
      <c r="AH451" s="15" t="n">
        <f aca="false">(Motore_Operativo!CK451)*(1+Parametri_v3!$C$28*Parametri_v3!$C$26)</f>
        <v>17395.98</v>
      </c>
      <c r="AI451" s="15" t="n">
        <f aca="false">(IF(27-(INT((Ipotesi!$C$91)/30))&lt;1,0,INDEX(Motore_Advisory!$AH$425:$AH$484,MAX(1,27-(INT((Ipotesi!$C$91)/30)))))*(1-(MOD((Ipotesi!$C$91),30)/30))+IF(27-(INT((Ipotesi!$C$91)/30))-1&lt;1,0,INDEX(Motore_Advisory!$AH$425:$AH$484,MAX(1,27-(INT((Ipotesi!$C$91)/30))-1)))*(MOD((Ipotesi!$C$91),30)/30))</f>
        <v>17395.98</v>
      </c>
      <c r="AJ451" s="15" t="n">
        <f aca="false">(AJ450)+AH451-AI451</f>
        <v>34791.96</v>
      </c>
      <c r="AK451" s="15" t="n">
        <f aca="false">(F451- Motore_Operativo!BH451-(Motore_Operativo!CK451)*Parametri_v3!$C$28-Motore_Operativo!CF451)*Parametri_v3!$C$26</f>
        <v>9283.85333333333</v>
      </c>
      <c r="AL451" s="15" t="n">
        <f aca="false">MAX(0,(AM450))</f>
        <v>9283.85333333333</v>
      </c>
      <c r="AM451" s="15" t="n">
        <f aca="false">(AM450)+AK451-AL451</f>
        <v>9283.85333333333</v>
      </c>
      <c r="AN451" s="15" t="n">
        <f aca="false">SUM(X437:X448)</f>
        <v>16530.1714788732</v>
      </c>
      <c r="AO451" s="15" t="n">
        <f aca="false">SUM(AP437:AP448)</f>
        <v>13562.3123684211</v>
      </c>
      <c r="AP451" s="15" t="n">
        <f aca="false">MAX(0,AN451)*IF(3=Parametri_v3!$C$43,Parametri_v3!$C$45,IF(3=Parametri_v3!$C$44,1-Parametri_v3!$C$45,0))</f>
        <v>0</v>
      </c>
      <c r="AQ451" s="15" t="n">
        <f aca="false">MAX(0,AP451+IF(3=Parametri_v3!$C$43,MAX(0,AN451-AO451),0)-MAX(0,-(AR450)))</f>
        <v>0</v>
      </c>
      <c r="AR451" s="15" t="n">
        <f aca="false">(AR450)+X451-AQ451</f>
        <v>14681.4512979522</v>
      </c>
      <c r="AS451" s="15" t="n">
        <f aca="false">Motore_Operativo!AC451-AT451+AU451</f>
        <v>24146.5260416667</v>
      </c>
      <c r="AT451" s="15" t="n">
        <f aca="false">Motore_Operativo!CI451</f>
        <v>1270.86979166667</v>
      </c>
      <c r="AU451" s="15" t="n">
        <f aca="false">MIN(MAX(0,(AV450)+AT451),Parametri_v3!$C$61/12)</f>
        <v>0</v>
      </c>
      <c r="AV451" s="15" t="n">
        <f aca="false">(AV450)+AT451-AU451</f>
        <v>16541.609375</v>
      </c>
      <c r="AW451" s="15" t="n">
        <f aca="false">IF(AND(Motore_Operativo!C451=Finanziamenti!$D$7,Finanziamenti!$F$7=1),Finanziamenti!$C$7,0)</f>
        <v>0</v>
      </c>
      <c r="AX451" s="15" t="n">
        <f aca="false">0</f>
        <v>0</v>
      </c>
      <c r="AY451" s="15" t="n">
        <f aca="false">IF(3=Parametri_v3!$C$33,IF(BV451&lt;MIN(12,$B451-1),0,MIN(MAX(0,SUM(Y437:Y448))*Ipotesi!$C$94,MAX(0,(BM448)-(BO450)-BP451),MAX(0,BD451-Parametri_v3!$C$31))),0)</f>
        <v>0</v>
      </c>
      <c r="AZ451" s="15" t="n">
        <f aca="false">0</f>
        <v>0</v>
      </c>
      <c r="BA451" s="15" t="n">
        <f aca="false">0</f>
        <v>0</v>
      </c>
      <c r="BB451" s="15" t="n">
        <f aca="false">0</f>
        <v>0</v>
      </c>
      <c r="BC451" s="15" t="n">
        <f aca="false">0</f>
        <v>0</v>
      </c>
      <c r="BD451" s="15" t="n">
        <f aca="false">(BH450)+AC451-AF451-AI451-AS451-K451*(1+Parametri_v3!$C$26)-AL451-AQ451-O451+AW451+AX451+AZ451+BA451-BB451</f>
        <v>-16783.0800399988</v>
      </c>
      <c r="BE451" s="15" t="n">
        <f aca="false">0</f>
        <v>0</v>
      </c>
      <c r="BF451" s="15" t="n">
        <f aca="false">0</f>
        <v>0</v>
      </c>
      <c r="BG451" s="15" t="n">
        <f aca="false">0</f>
        <v>0</v>
      </c>
      <c r="BH451" s="15" t="n">
        <f aca="false">BD451+BE451-BF451-AY451</f>
        <v>-16783.0800399988</v>
      </c>
      <c r="BI451" s="15" t="n">
        <f aca="false">MAX(0,Parametri_v3!$C$31-BH451)</f>
        <v>26783.0800399988</v>
      </c>
      <c r="BJ451" s="15" t="n">
        <f aca="false">(BJ450)+K451</f>
        <v>9250</v>
      </c>
      <c r="BK451" s="15" t="n">
        <f aca="false">(BK450)+L451</f>
        <v>3180.55555555556</v>
      </c>
      <c r="BL451" s="15" t="n">
        <f aca="false">BJ451-BK451</f>
        <v>6069.44444444445</v>
      </c>
      <c r="BM451" s="15" t="n">
        <f aca="false">(BM450)+Y451</f>
        <v>108036.49039816</v>
      </c>
      <c r="BN451" s="15" t="n">
        <f aca="false">(BN450)+AW451+AX451+AZ451</f>
        <v>20000</v>
      </c>
      <c r="BO451" s="15" t="n">
        <f aca="false">(BO450)+AY451</f>
        <v>0</v>
      </c>
      <c r="BP451" s="15" t="n">
        <f aca="false">MIN(Parametri_v3!$C$36*Parametri_v3!$C$35,(BP450)+IF(3=1,MAX(0,SUM(Y437:Y448))*Parametri_v3!$C$34,0))</f>
        <v>2000</v>
      </c>
      <c r="BQ451" s="15" t="n">
        <f aca="false">BN451+BM451-BO451</f>
        <v>128036.49039816</v>
      </c>
      <c r="BR451" s="15" t="n">
        <f aca="false">BH451+AD451+BL451+MAX(0,-AM451)+MAX(0,-AR451)</f>
        <v>210716.364404446</v>
      </c>
      <c r="BS451" s="15" t="n">
        <f aca="false">AJ451+AV451+MAX(0,AM451)+MAX(0,AR451)+BC451+BG451+BQ451+AG451</f>
        <v>210716.364404446</v>
      </c>
      <c r="BT451" s="15" t="n">
        <f aca="false">BR451-BS451</f>
        <v>0</v>
      </c>
      <c r="BU451" s="15" t="n">
        <f aca="false">BH451-(BD451+BE451-BF451-AY451)</f>
        <v>0</v>
      </c>
      <c r="BV451" s="15" t="n">
        <f aca="false">IF(BH450&lt;Parametri_v3!$C$31,0,BV450+1)</f>
        <v>0</v>
      </c>
    </row>
    <row r="452" customFormat="false" ht="18" hidden="false" customHeight="true" outlineLevel="0" collapsed="false">
      <c r="A452" s="68" t="n">
        <f aca="false">8</f>
        <v>8</v>
      </c>
      <c r="B452" s="68" t="n">
        <f aca="false">28</f>
        <v>28</v>
      </c>
      <c r="C452" s="18" t="n">
        <f aca="false">Motore_Operativo!C452</f>
        <v>47209</v>
      </c>
      <c r="D452" s="68" t="n">
        <f aca="false">Motore_Operativo!D452</f>
        <v>2029</v>
      </c>
      <c r="E452" s="68" t="n">
        <f aca="false">Motore_Operativo!E452</f>
        <v>4</v>
      </c>
      <c r="F452" s="15" t="n">
        <f aca="false">Motore_Operativo!AM452</f>
        <v>60500</v>
      </c>
      <c r="G452" s="15" t="n">
        <f aca="false">Motore_Operativo!BH452</f>
        <v>6050</v>
      </c>
      <c r="H452" s="15" t="n">
        <f aca="false">Motore_Operativo!AM452</f>
        <v>60500</v>
      </c>
      <c r="I452" s="15" t="n">
        <f aca="false">Motore_Operativo!CB452</f>
        <v>46259.8958333333</v>
      </c>
      <c r="J452" s="15" t="n">
        <f aca="false">Motore_Operativo!CD452</f>
        <v>14240.1041666667</v>
      </c>
      <c r="K452" s="15" t="n">
        <f aca="false">Motore_Operativo!CF452</f>
        <v>416.666666666667</v>
      </c>
      <c r="L452" s="15" t="n">
        <f aca="false">SUM(INDEX($K$425:$K$484,MAX(1,28-Parametri_v3!$C$59+1)):K452)/Parametri_v3!$C$59</f>
        <v>268.518518518519</v>
      </c>
      <c r="M452" s="15" t="n">
        <f aca="false">J452-L452</f>
        <v>13971.5856481482</v>
      </c>
      <c r="N452" s="15" t="n">
        <f aca="false">0</f>
        <v>0</v>
      </c>
      <c r="O452" s="15" t="n">
        <f aca="false">0</f>
        <v>0</v>
      </c>
      <c r="P452" s="15" t="n">
        <f aca="false">M452+N452-O452</f>
        <v>13971.5856481482</v>
      </c>
      <c r="Q452" s="15" t="n">
        <f aca="false">SUM(P449:P452)+Parametri_v3!$C$56*4/12</f>
        <v>55955.7870370371</v>
      </c>
      <c r="R452" s="15" t="n">
        <f aca="false">Z448</f>
        <v>0</v>
      </c>
      <c r="S452" s="15" t="n">
        <f aca="false">AA448</f>
        <v>0</v>
      </c>
      <c r="T452" s="15" t="n">
        <f aca="false">MIN(R452,MAX(0,Q452))</f>
        <v>0</v>
      </c>
      <c r="U452" s="15" t="n">
        <f aca="false">MIN(S452,MAX(0,Q452-T452)*Parametri_v3!$C$42)</f>
        <v>0</v>
      </c>
      <c r="V452" s="15" t="n">
        <f aca="false">MAX(0,Q452-T452-U452)*Ipotesi!$C$92</f>
        <v>13429.3888888889</v>
      </c>
      <c r="W452" s="15" t="n">
        <f aca="false">MAX(0,SUM(M449:M452)+Parametri_v3!$C$57*4/12)*Ipotesi!$C$93</f>
        <v>2182.27569444445</v>
      </c>
      <c r="X452" s="15" t="n">
        <f aca="false">V452+W452-(V451+W451)</f>
        <v>3898.07239583333</v>
      </c>
      <c r="Y452" s="15" t="n">
        <f aca="false">P452-X452</f>
        <v>10073.5132523148</v>
      </c>
      <c r="Z452" s="15" t="n">
        <f aca="false">R452-T452+IF(AND(Parametri_v3!$C$40=1,D452-YEAR(Parametri_v3!$C$50)&lt;Parametri_v3!$C$41),MAX(0,-Q452),0)</f>
        <v>0</v>
      </c>
      <c r="AA452" s="15" t="n">
        <f aca="false">S452-U452+IF(AND(Parametri_v3!$C$40=1,D452-YEAR(Parametri_v3!$C$50)&lt;Parametri_v3!$C$41),0,MAX(0,-Q452))</f>
        <v>0</v>
      </c>
      <c r="AB452" s="15" t="n">
        <f aca="false">F452*(1+Parametri_v3!$C$26)</f>
        <v>73810</v>
      </c>
      <c r="AC452" s="15" t="n">
        <f aca="false">(IF(28-(INT((Motore_Operativo!L452)/30))&lt;1,0,INDEX(Motore_Advisory!$AB$425:$AB$484,MAX(1,28-(INT((Motore_Operativo!L452)/30)))))*(1-(MOD((Motore_Operativo!L452),30)/30))+IF(28-(INT((Motore_Operativo!L452)/30))-1&lt;1,0,INDEX(Motore_Advisory!$AB$425:$AB$484,MAX(1,28-(INT((Motore_Operativo!L452)/30))-1)))*(MOD((Motore_Operativo!L452),30)/30))</f>
        <v>73810</v>
      </c>
      <c r="AD452" s="15" t="n">
        <f aca="false">(AD451)+AB452-AC452</f>
        <v>221430</v>
      </c>
      <c r="AE452" s="15" t="n">
        <f aca="false">Motore_Operativo!BH452*(1+Parametri_v3!$C$26)</f>
        <v>7381</v>
      </c>
      <c r="AF452" s="15" t="n">
        <f aca="false">(IF(28-(INT((Parametri_v3!$C$29)/30))&lt;1,0,INDEX(Motore_Operativo!$BH$425:$BH$484,MAX(1,28-(INT((Parametri_v3!$C$29)/30)))))*(1-(MOD((Parametri_v3!$C$29),30)/30))+IF(28-(INT((Parametri_v3!$C$29)/30))-1&lt;1,0,INDEX(Motore_Operativo!$BH$425:$BH$484,MAX(1,28-(INT((Parametri_v3!$C$29)/30))-1)))*(MOD((Parametri_v3!$C$29),30)/30))*(1+Parametri_v3!$C$26)</f>
        <v>7381</v>
      </c>
      <c r="AG452" s="15" t="n">
        <f aca="false">(AG451)+AE452-AF452</f>
        <v>7381</v>
      </c>
      <c r="AH452" s="15" t="n">
        <f aca="false">(Motore_Operativo!CK452)*(1+Parametri_v3!$C$28*Parametri_v3!$C$26)</f>
        <v>17395.98</v>
      </c>
      <c r="AI452" s="15" t="n">
        <f aca="false">(IF(28-(INT((Ipotesi!$C$91)/30))&lt;1,0,INDEX(Motore_Advisory!$AH$425:$AH$484,MAX(1,28-(INT((Ipotesi!$C$91)/30)))))*(1-(MOD((Ipotesi!$C$91),30)/30))+IF(28-(INT((Ipotesi!$C$91)/30))-1&lt;1,0,INDEX(Motore_Advisory!$AH$425:$AH$484,MAX(1,28-(INT((Ipotesi!$C$91)/30))-1)))*(MOD((Ipotesi!$C$91),30)/30))</f>
        <v>17395.98</v>
      </c>
      <c r="AJ452" s="15" t="n">
        <f aca="false">(AJ451)+AH452-AI452</f>
        <v>34791.96</v>
      </c>
      <c r="AK452" s="15" t="n">
        <f aca="false">(F452- Motore_Operativo!BH452-(Motore_Operativo!CK452)*Parametri_v3!$C$28-Motore_Operativo!CF452)*Parametri_v3!$C$26</f>
        <v>9283.85333333333</v>
      </c>
      <c r="AL452" s="15" t="n">
        <f aca="false">MAX(0,(AM451))</f>
        <v>9283.85333333333</v>
      </c>
      <c r="AM452" s="15" t="n">
        <f aca="false">(AM451)+AK452-AL452</f>
        <v>9283.85333333333</v>
      </c>
      <c r="AN452" s="15" t="n">
        <f aca="false">SUM(X437:X448)</f>
        <v>16530.1714788732</v>
      </c>
      <c r="AO452" s="15" t="n">
        <f aca="false">SUM(AP437:AP448)</f>
        <v>13562.3123684211</v>
      </c>
      <c r="AP452" s="15" t="n">
        <f aca="false">MAX(0,AN452)*IF(4=Parametri_v3!$C$43,Parametri_v3!$C$45,IF(4=Parametri_v3!$C$44,1-Parametri_v3!$C$45,0))</f>
        <v>0</v>
      </c>
      <c r="AQ452" s="15" t="n">
        <f aca="false">MAX(0,AP452+IF(4=Parametri_v3!$C$43,MAX(0,AN452-AO452),0)-MAX(0,-(AR451)))</f>
        <v>0</v>
      </c>
      <c r="AR452" s="15" t="n">
        <f aca="false">(AR451)+X452-AQ452</f>
        <v>18579.5236937855</v>
      </c>
      <c r="AS452" s="15" t="n">
        <f aca="false">Motore_Operativo!AC452-AT452+AU452</f>
        <v>24146.5260416667</v>
      </c>
      <c r="AT452" s="15" t="n">
        <f aca="false">Motore_Operativo!CI452</f>
        <v>1270.86979166667</v>
      </c>
      <c r="AU452" s="15" t="n">
        <f aca="false">MIN(MAX(0,(AV451)+AT452),Parametri_v3!$C$61/12)</f>
        <v>0</v>
      </c>
      <c r="AV452" s="15" t="n">
        <f aca="false">(AV451)+AT452-AU452</f>
        <v>17812.4791666667</v>
      </c>
      <c r="AW452" s="15" t="n">
        <f aca="false">IF(AND(Motore_Operativo!C452=Finanziamenti!$D$7,Finanziamenti!$F$7=1),Finanziamenti!$C$7,0)</f>
        <v>0</v>
      </c>
      <c r="AX452" s="15" t="n">
        <f aca="false">0</f>
        <v>0</v>
      </c>
      <c r="AY452" s="15" t="n">
        <f aca="false">IF(4=Parametri_v3!$C$33,IF(BV452&lt;MIN(12,$B452-1),0,MIN(MAX(0,SUM(Y437:Y448))*Ipotesi!$C$94,MAX(0,(BM448)-(BO451)-BP452),MAX(0,BD452-Parametri_v3!$C$31))),0)</f>
        <v>0</v>
      </c>
      <c r="AZ452" s="15" t="n">
        <f aca="false">0</f>
        <v>0</v>
      </c>
      <c r="BA452" s="15" t="n">
        <f aca="false">0</f>
        <v>0</v>
      </c>
      <c r="BB452" s="15" t="n">
        <f aca="false">0</f>
        <v>0</v>
      </c>
      <c r="BC452" s="15" t="n">
        <f aca="false">0</f>
        <v>0</v>
      </c>
      <c r="BD452" s="15" t="n">
        <f aca="false">(BH451)+AC452-AF452-AI452-AS452-K452*(1+Parametri_v3!$C$26)-AL452-AQ452-O452+AW452+AX452+AZ452+BA452-BB452</f>
        <v>-1688.77274833214</v>
      </c>
      <c r="BE452" s="15" t="n">
        <f aca="false">0</f>
        <v>0</v>
      </c>
      <c r="BF452" s="15" t="n">
        <f aca="false">0</f>
        <v>0</v>
      </c>
      <c r="BG452" s="15" t="n">
        <f aca="false">0</f>
        <v>0</v>
      </c>
      <c r="BH452" s="15" t="n">
        <f aca="false">BD452+BE452-BF452-AY452</f>
        <v>-1688.77274833214</v>
      </c>
      <c r="BI452" s="15" t="n">
        <f aca="false">MAX(0,Parametri_v3!$C$31-BH452)</f>
        <v>11688.7727483321</v>
      </c>
      <c r="BJ452" s="15" t="n">
        <f aca="false">(BJ451)+K452</f>
        <v>9666.66666666667</v>
      </c>
      <c r="BK452" s="15" t="n">
        <f aca="false">(BK451)+L452</f>
        <v>3449.07407407407</v>
      </c>
      <c r="BL452" s="15" t="n">
        <f aca="false">BJ452-BK452</f>
        <v>6217.59259259259</v>
      </c>
      <c r="BM452" s="15" t="n">
        <f aca="false">(BM451)+Y452</f>
        <v>118110.003650475</v>
      </c>
      <c r="BN452" s="15" t="n">
        <f aca="false">(BN451)+AW452+AX452+AZ452</f>
        <v>20000</v>
      </c>
      <c r="BO452" s="15" t="n">
        <f aca="false">(BO451)+AY452</f>
        <v>0</v>
      </c>
      <c r="BP452" s="15" t="n">
        <f aca="false">MIN(Parametri_v3!$C$36*Parametri_v3!$C$35,(BP451)+IF(4=1,MAX(0,SUM(Y437:Y448))*Parametri_v3!$C$34,0))</f>
        <v>2000</v>
      </c>
      <c r="BQ452" s="15" t="n">
        <f aca="false">BN452+BM452-BO452</f>
        <v>138110.003650475</v>
      </c>
      <c r="BR452" s="15" t="n">
        <f aca="false">BH452+AD452+BL452+MAX(0,-AM452)+MAX(0,-AR452)</f>
        <v>225958.81984426</v>
      </c>
      <c r="BS452" s="15" t="n">
        <f aca="false">AJ452+AV452+MAX(0,AM452)+MAX(0,AR452)+BC452+BG452+BQ452+AG452</f>
        <v>225958.819844261</v>
      </c>
      <c r="BT452" s="15" t="n">
        <f aca="false">BR452-BS452</f>
        <v>0</v>
      </c>
      <c r="BU452" s="15" t="n">
        <f aca="false">BH452-(BD452+BE452-BF452-AY452)</f>
        <v>0</v>
      </c>
      <c r="BV452" s="15" t="n">
        <f aca="false">IF(BH451&lt;Parametri_v3!$C$31,0,BV451+1)</f>
        <v>0</v>
      </c>
    </row>
    <row r="453" customFormat="false" ht="18" hidden="false" customHeight="true" outlineLevel="0" collapsed="false">
      <c r="A453" s="68" t="n">
        <f aca="false">8</f>
        <v>8</v>
      </c>
      <c r="B453" s="68" t="n">
        <f aca="false">29</f>
        <v>29</v>
      </c>
      <c r="C453" s="18" t="n">
        <f aca="false">Motore_Operativo!C453</f>
        <v>47239</v>
      </c>
      <c r="D453" s="68" t="n">
        <f aca="false">Motore_Operativo!D453</f>
        <v>2029</v>
      </c>
      <c r="E453" s="68" t="n">
        <f aca="false">Motore_Operativo!E453</f>
        <v>5</v>
      </c>
      <c r="F453" s="15" t="n">
        <f aca="false">Motore_Operativo!AM453</f>
        <v>60500</v>
      </c>
      <c r="G453" s="15" t="n">
        <f aca="false">Motore_Operativo!BH453</f>
        <v>6050</v>
      </c>
      <c r="H453" s="15" t="n">
        <f aca="false">Motore_Operativo!AM453</f>
        <v>60500</v>
      </c>
      <c r="I453" s="15" t="n">
        <f aca="false">Motore_Operativo!CB453</f>
        <v>46259.8958333333</v>
      </c>
      <c r="J453" s="15" t="n">
        <f aca="false">Motore_Operativo!CD453</f>
        <v>14240.1041666667</v>
      </c>
      <c r="K453" s="15" t="n">
        <f aca="false">Motore_Operativo!CF453</f>
        <v>416.666666666667</v>
      </c>
      <c r="L453" s="15" t="n">
        <f aca="false">SUM(INDEX($K$425:$K$484,MAX(1,29-Parametri_v3!$C$59+1)):K453)/Parametri_v3!$C$59</f>
        <v>280.092592592593</v>
      </c>
      <c r="M453" s="15" t="n">
        <f aca="false">J453-L453</f>
        <v>13960.0115740741</v>
      </c>
      <c r="N453" s="15" t="n">
        <f aca="false">0</f>
        <v>0</v>
      </c>
      <c r="O453" s="15" t="n">
        <f aca="false">0</f>
        <v>0</v>
      </c>
      <c r="P453" s="15" t="n">
        <f aca="false">M453+N453-O453</f>
        <v>13960.0115740741</v>
      </c>
      <c r="Q453" s="15" t="n">
        <f aca="false">SUM(P449:P453)+Parametri_v3!$C$56*5/12</f>
        <v>69915.7986111111</v>
      </c>
      <c r="R453" s="15" t="n">
        <f aca="false">Z448</f>
        <v>0</v>
      </c>
      <c r="S453" s="15" t="n">
        <f aca="false">AA448</f>
        <v>0</v>
      </c>
      <c r="T453" s="15" t="n">
        <f aca="false">MIN(R453,MAX(0,Q453))</f>
        <v>0</v>
      </c>
      <c r="U453" s="15" t="n">
        <f aca="false">MIN(S453,MAX(0,Q453-T453)*Parametri_v3!$C$42)</f>
        <v>0</v>
      </c>
      <c r="V453" s="15" t="n">
        <f aca="false">MAX(0,Q453-T453-U453)*Ipotesi!$C$92</f>
        <v>16779.7916666667</v>
      </c>
      <c r="W453" s="15" t="n">
        <f aca="false">MAX(0,SUM(M449:M453)+Parametri_v3!$C$57*5/12)*Ipotesi!$C$93</f>
        <v>2726.71614583333</v>
      </c>
      <c r="X453" s="15" t="n">
        <f aca="false">V453+W453-(V452+W452)</f>
        <v>3894.84322916667</v>
      </c>
      <c r="Y453" s="15" t="n">
        <f aca="false">P453-X453</f>
        <v>10065.1683449074</v>
      </c>
      <c r="Z453" s="15" t="n">
        <f aca="false">R453-T453+IF(AND(Parametri_v3!$C$40=1,D453-YEAR(Parametri_v3!$C$50)&lt;Parametri_v3!$C$41),MAX(0,-Q453),0)</f>
        <v>0</v>
      </c>
      <c r="AA453" s="15" t="n">
        <f aca="false">S453-U453+IF(AND(Parametri_v3!$C$40=1,D453-YEAR(Parametri_v3!$C$50)&lt;Parametri_v3!$C$41),0,MAX(0,-Q453))</f>
        <v>0</v>
      </c>
      <c r="AB453" s="15" t="n">
        <f aca="false">F453*(1+Parametri_v3!$C$26)</f>
        <v>73810</v>
      </c>
      <c r="AC453" s="15" t="n">
        <f aca="false">(IF(29-(INT((Motore_Operativo!L453)/30))&lt;1,0,INDEX(Motore_Advisory!$AB$425:$AB$484,MAX(1,29-(INT((Motore_Operativo!L453)/30)))))*(1-(MOD((Motore_Operativo!L453),30)/30))+IF(29-(INT((Motore_Operativo!L453)/30))-1&lt;1,0,INDEX(Motore_Advisory!$AB$425:$AB$484,MAX(1,29-(INT((Motore_Operativo!L453)/30))-1)))*(MOD((Motore_Operativo!L453),30)/30))</f>
        <v>73810</v>
      </c>
      <c r="AD453" s="15" t="n">
        <f aca="false">(AD452)+AB453-AC453</f>
        <v>221430</v>
      </c>
      <c r="AE453" s="15" t="n">
        <f aca="false">Motore_Operativo!BH453*(1+Parametri_v3!$C$26)</f>
        <v>7381</v>
      </c>
      <c r="AF453" s="15" t="n">
        <f aca="false">(IF(29-(INT((Parametri_v3!$C$29)/30))&lt;1,0,INDEX(Motore_Operativo!$BH$425:$BH$484,MAX(1,29-(INT((Parametri_v3!$C$29)/30)))))*(1-(MOD((Parametri_v3!$C$29),30)/30))+IF(29-(INT((Parametri_v3!$C$29)/30))-1&lt;1,0,INDEX(Motore_Operativo!$BH$425:$BH$484,MAX(1,29-(INT((Parametri_v3!$C$29)/30))-1)))*(MOD((Parametri_v3!$C$29),30)/30))*(1+Parametri_v3!$C$26)</f>
        <v>7381</v>
      </c>
      <c r="AG453" s="15" t="n">
        <f aca="false">(AG452)+AE453-AF453</f>
        <v>7381</v>
      </c>
      <c r="AH453" s="15" t="n">
        <f aca="false">(Motore_Operativo!CK453)*(1+Parametri_v3!$C$28*Parametri_v3!$C$26)</f>
        <v>17395.98</v>
      </c>
      <c r="AI453" s="15" t="n">
        <f aca="false">(IF(29-(INT((Ipotesi!$C$91)/30))&lt;1,0,INDEX(Motore_Advisory!$AH$425:$AH$484,MAX(1,29-(INT((Ipotesi!$C$91)/30)))))*(1-(MOD((Ipotesi!$C$91),30)/30))+IF(29-(INT((Ipotesi!$C$91)/30))-1&lt;1,0,INDEX(Motore_Advisory!$AH$425:$AH$484,MAX(1,29-(INT((Ipotesi!$C$91)/30))-1)))*(MOD((Ipotesi!$C$91),30)/30))</f>
        <v>17395.98</v>
      </c>
      <c r="AJ453" s="15" t="n">
        <f aca="false">(AJ452)+AH453-AI453</f>
        <v>34791.96</v>
      </c>
      <c r="AK453" s="15" t="n">
        <f aca="false">(F453- Motore_Operativo!BH453-(Motore_Operativo!CK453)*Parametri_v3!$C$28-Motore_Operativo!CF453)*Parametri_v3!$C$26</f>
        <v>9283.85333333333</v>
      </c>
      <c r="AL453" s="15" t="n">
        <f aca="false">MAX(0,(AM452))</f>
        <v>9283.85333333333</v>
      </c>
      <c r="AM453" s="15" t="n">
        <f aca="false">(AM452)+AK453-AL453</f>
        <v>9283.85333333333</v>
      </c>
      <c r="AN453" s="15" t="n">
        <f aca="false">SUM(X437:X448)</f>
        <v>16530.1714788732</v>
      </c>
      <c r="AO453" s="15" t="n">
        <f aca="false">SUM(AP437:AP448)</f>
        <v>13562.3123684211</v>
      </c>
      <c r="AP453" s="15" t="n">
        <f aca="false">MAX(0,AN453)*IF(5=Parametri_v3!$C$43,Parametri_v3!$C$45,IF(5=Parametri_v3!$C$44,1-Parametri_v3!$C$45,0))</f>
        <v>0</v>
      </c>
      <c r="AQ453" s="15" t="n">
        <f aca="false">MAX(0,AP453+IF(5=Parametri_v3!$C$43,MAX(0,AN453-AO453),0)-MAX(0,-(AR452)))</f>
        <v>0</v>
      </c>
      <c r="AR453" s="15" t="n">
        <f aca="false">(AR452)+X453-AQ453</f>
        <v>22474.3669229522</v>
      </c>
      <c r="AS453" s="15" t="n">
        <f aca="false">Motore_Operativo!AC453-AT453+AU453</f>
        <v>24146.5260416667</v>
      </c>
      <c r="AT453" s="15" t="n">
        <f aca="false">Motore_Operativo!CI453</f>
        <v>1270.86979166667</v>
      </c>
      <c r="AU453" s="15" t="n">
        <f aca="false">MIN(MAX(0,(AV452)+AT453),Parametri_v3!$C$61/12)</f>
        <v>0</v>
      </c>
      <c r="AV453" s="15" t="n">
        <f aca="false">(AV452)+AT453-AU453</f>
        <v>19083.3489583333</v>
      </c>
      <c r="AW453" s="15" t="n">
        <f aca="false">IF(AND(Motore_Operativo!C453=Finanziamenti!$D$7,Finanziamenti!$F$7=1),Finanziamenti!$C$7,0)</f>
        <v>0</v>
      </c>
      <c r="AX453" s="15" t="n">
        <f aca="false">0</f>
        <v>0</v>
      </c>
      <c r="AY453" s="15" t="n">
        <f aca="false">IF(5=Parametri_v3!$C$33,IF(BV453&lt;MIN(12,$B453-1),0,MIN(MAX(0,SUM(Y437:Y448))*Ipotesi!$C$94,MAX(0,(BM448)-(BO452)-BP453),MAX(0,BD453-Parametri_v3!$C$31))),0)</f>
        <v>0</v>
      </c>
      <c r="AZ453" s="15" t="n">
        <f aca="false">0</f>
        <v>0</v>
      </c>
      <c r="BA453" s="15" t="n">
        <f aca="false">0</f>
        <v>0</v>
      </c>
      <c r="BB453" s="15" t="n">
        <f aca="false">0</f>
        <v>0</v>
      </c>
      <c r="BC453" s="15" t="n">
        <f aca="false">0</f>
        <v>0</v>
      </c>
      <c r="BD453" s="15" t="n">
        <f aca="false">(BH452)+AC453-AF453-AI453-AS453-K453*(1+Parametri_v3!$C$26)-AL453-AQ453-O453+AW453+AX453+AZ453+BA453-BB453</f>
        <v>13405.5345433345</v>
      </c>
      <c r="BE453" s="15" t="n">
        <f aca="false">0</f>
        <v>0</v>
      </c>
      <c r="BF453" s="15" t="n">
        <f aca="false">0</f>
        <v>0</v>
      </c>
      <c r="BG453" s="15" t="n">
        <f aca="false">0</f>
        <v>0</v>
      </c>
      <c r="BH453" s="15" t="n">
        <f aca="false">BD453+BE453-BF453-AY453</f>
        <v>13405.5345433345</v>
      </c>
      <c r="BI453" s="15" t="n">
        <f aca="false">MAX(0,Parametri_v3!$C$31-BH453)</f>
        <v>0</v>
      </c>
      <c r="BJ453" s="15" t="n">
        <f aca="false">(BJ452)+K453</f>
        <v>10083.3333333333</v>
      </c>
      <c r="BK453" s="15" t="n">
        <f aca="false">(BK452)+L453</f>
        <v>3729.16666666667</v>
      </c>
      <c r="BL453" s="15" t="n">
        <f aca="false">BJ453-BK453</f>
        <v>6354.16666666667</v>
      </c>
      <c r="BM453" s="15" t="n">
        <f aca="false">(BM452)+Y453</f>
        <v>128175.171995382</v>
      </c>
      <c r="BN453" s="15" t="n">
        <f aca="false">(BN452)+AW453+AX453+AZ453</f>
        <v>20000</v>
      </c>
      <c r="BO453" s="15" t="n">
        <f aca="false">(BO452)+AY453</f>
        <v>0</v>
      </c>
      <c r="BP453" s="15" t="n">
        <f aca="false">MIN(Parametri_v3!$C$36*Parametri_v3!$C$35,(BP452)+IF(5=1,MAX(0,SUM(Y437:Y448))*Parametri_v3!$C$34,0))</f>
        <v>2000</v>
      </c>
      <c r="BQ453" s="15" t="n">
        <f aca="false">BN453+BM453-BO453</f>
        <v>148175.171995382</v>
      </c>
      <c r="BR453" s="15" t="n">
        <f aca="false">BH453+AD453+BL453+MAX(0,-AM453)+MAX(0,-AR453)</f>
        <v>241189.701210001</v>
      </c>
      <c r="BS453" s="15" t="n">
        <f aca="false">AJ453+AV453+MAX(0,AM453)+MAX(0,AR453)+BC453+BG453+BQ453+AG453</f>
        <v>241189.701210001</v>
      </c>
      <c r="BT453" s="15" t="n">
        <f aca="false">BR453-BS453</f>
        <v>0</v>
      </c>
      <c r="BU453" s="15" t="n">
        <f aca="false">BH453-(BD453+BE453-BF453-AY453)</f>
        <v>0</v>
      </c>
      <c r="BV453" s="15" t="n">
        <f aca="false">IF(BH452&lt;Parametri_v3!$C$31,0,BV452+1)</f>
        <v>0</v>
      </c>
    </row>
    <row r="454" customFormat="false" ht="18" hidden="false" customHeight="true" outlineLevel="0" collapsed="false">
      <c r="A454" s="68" t="n">
        <f aca="false">8</f>
        <v>8</v>
      </c>
      <c r="B454" s="68" t="n">
        <f aca="false">30</f>
        <v>30</v>
      </c>
      <c r="C454" s="18" t="n">
        <f aca="false">Motore_Operativo!C454</f>
        <v>47270</v>
      </c>
      <c r="D454" s="68" t="n">
        <f aca="false">Motore_Operativo!D454</f>
        <v>2029</v>
      </c>
      <c r="E454" s="68" t="n">
        <f aca="false">Motore_Operativo!E454</f>
        <v>6</v>
      </c>
      <c r="F454" s="15" t="n">
        <f aca="false">Motore_Operativo!AM454</f>
        <v>60500</v>
      </c>
      <c r="G454" s="15" t="n">
        <f aca="false">Motore_Operativo!BH454</f>
        <v>6050</v>
      </c>
      <c r="H454" s="15" t="n">
        <f aca="false">Motore_Operativo!AM454</f>
        <v>60500</v>
      </c>
      <c r="I454" s="15" t="n">
        <f aca="false">Motore_Operativo!CB454</f>
        <v>46259.8958333333</v>
      </c>
      <c r="J454" s="15" t="n">
        <f aca="false">Motore_Operativo!CD454</f>
        <v>14240.1041666667</v>
      </c>
      <c r="K454" s="15" t="n">
        <f aca="false">Motore_Operativo!CF454</f>
        <v>416.666666666667</v>
      </c>
      <c r="L454" s="15" t="n">
        <f aca="false">SUM(INDEX($K$425:$K$484,MAX(1,30-Parametri_v3!$C$59+1)):K454)/Parametri_v3!$C$59</f>
        <v>291.666666666667</v>
      </c>
      <c r="M454" s="15" t="n">
        <f aca="false">J454-L454</f>
        <v>13948.4375</v>
      </c>
      <c r="N454" s="15" t="n">
        <f aca="false">0</f>
        <v>0</v>
      </c>
      <c r="O454" s="15" t="n">
        <f aca="false">0</f>
        <v>0</v>
      </c>
      <c r="P454" s="15" t="n">
        <f aca="false">M454+N454-O454</f>
        <v>13948.4375</v>
      </c>
      <c r="Q454" s="15" t="n">
        <f aca="false">SUM(P449:P454)+Parametri_v3!$C$56*6/12</f>
        <v>83864.2361111111</v>
      </c>
      <c r="R454" s="15" t="n">
        <f aca="false">Z448</f>
        <v>0</v>
      </c>
      <c r="S454" s="15" t="n">
        <f aca="false">AA448</f>
        <v>0</v>
      </c>
      <c r="T454" s="15" t="n">
        <f aca="false">MIN(R454,MAX(0,Q454))</f>
        <v>0</v>
      </c>
      <c r="U454" s="15" t="n">
        <f aca="false">MIN(S454,MAX(0,Q454-T454)*Parametri_v3!$C$42)</f>
        <v>0</v>
      </c>
      <c r="V454" s="15" t="n">
        <f aca="false">MAX(0,Q454-T454-U454)*Ipotesi!$C$92</f>
        <v>20127.4166666667</v>
      </c>
      <c r="W454" s="15" t="n">
        <f aca="false">MAX(0,SUM(M449:M454)+Parametri_v3!$C$57*6/12)*Ipotesi!$C$93</f>
        <v>3270.70520833333</v>
      </c>
      <c r="X454" s="15" t="n">
        <f aca="false">V454+W454-(V453+W453)</f>
        <v>3891.6140625</v>
      </c>
      <c r="Y454" s="15" t="n">
        <f aca="false">P454-X454</f>
        <v>10056.8234375</v>
      </c>
      <c r="Z454" s="15" t="n">
        <f aca="false">R454-T454+IF(AND(Parametri_v3!$C$40=1,D454-YEAR(Parametri_v3!$C$50)&lt;Parametri_v3!$C$41),MAX(0,-Q454),0)</f>
        <v>0</v>
      </c>
      <c r="AA454" s="15" t="n">
        <f aca="false">S454-U454+IF(AND(Parametri_v3!$C$40=1,D454-YEAR(Parametri_v3!$C$50)&lt;Parametri_v3!$C$41),0,MAX(0,-Q454))</f>
        <v>0</v>
      </c>
      <c r="AB454" s="15" t="n">
        <f aca="false">F454*(1+Parametri_v3!$C$26)</f>
        <v>73810</v>
      </c>
      <c r="AC454" s="15" t="n">
        <f aca="false">(IF(30-(INT((Motore_Operativo!L454)/30))&lt;1,0,INDEX(Motore_Advisory!$AB$425:$AB$484,MAX(1,30-(INT((Motore_Operativo!L454)/30)))))*(1-(MOD((Motore_Operativo!L454),30)/30))+IF(30-(INT((Motore_Operativo!L454)/30))-1&lt;1,0,INDEX(Motore_Advisory!$AB$425:$AB$484,MAX(1,30-(INT((Motore_Operativo!L454)/30))-1)))*(MOD((Motore_Operativo!L454),30)/30))</f>
        <v>73810</v>
      </c>
      <c r="AD454" s="15" t="n">
        <f aca="false">(AD453)+AB454-AC454</f>
        <v>221430</v>
      </c>
      <c r="AE454" s="15" t="n">
        <f aca="false">Motore_Operativo!BH454*(1+Parametri_v3!$C$26)</f>
        <v>7381</v>
      </c>
      <c r="AF454" s="15" t="n">
        <f aca="false">(IF(30-(INT((Parametri_v3!$C$29)/30))&lt;1,0,INDEX(Motore_Operativo!$BH$425:$BH$484,MAX(1,30-(INT((Parametri_v3!$C$29)/30)))))*(1-(MOD((Parametri_v3!$C$29),30)/30))+IF(30-(INT((Parametri_v3!$C$29)/30))-1&lt;1,0,INDEX(Motore_Operativo!$BH$425:$BH$484,MAX(1,30-(INT((Parametri_v3!$C$29)/30))-1)))*(MOD((Parametri_v3!$C$29),30)/30))*(1+Parametri_v3!$C$26)</f>
        <v>7381</v>
      </c>
      <c r="AG454" s="15" t="n">
        <f aca="false">(AG453)+AE454-AF454</f>
        <v>7381</v>
      </c>
      <c r="AH454" s="15" t="n">
        <f aca="false">(Motore_Operativo!CK454)*(1+Parametri_v3!$C$28*Parametri_v3!$C$26)</f>
        <v>17395.98</v>
      </c>
      <c r="AI454" s="15" t="n">
        <f aca="false">(IF(30-(INT((Ipotesi!$C$91)/30))&lt;1,0,INDEX(Motore_Advisory!$AH$425:$AH$484,MAX(1,30-(INT((Ipotesi!$C$91)/30)))))*(1-(MOD((Ipotesi!$C$91),30)/30))+IF(30-(INT((Ipotesi!$C$91)/30))-1&lt;1,0,INDEX(Motore_Advisory!$AH$425:$AH$484,MAX(1,30-(INT((Ipotesi!$C$91)/30))-1)))*(MOD((Ipotesi!$C$91),30)/30))</f>
        <v>17395.98</v>
      </c>
      <c r="AJ454" s="15" t="n">
        <f aca="false">(AJ453)+AH454-AI454</f>
        <v>34791.96</v>
      </c>
      <c r="AK454" s="15" t="n">
        <f aca="false">(F454- Motore_Operativo!BH454-(Motore_Operativo!CK454)*Parametri_v3!$C$28-Motore_Operativo!CF454)*Parametri_v3!$C$26</f>
        <v>9283.85333333333</v>
      </c>
      <c r="AL454" s="15" t="n">
        <f aca="false">MAX(0,(AM453))</f>
        <v>9283.85333333333</v>
      </c>
      <c r="AM454" s="15" t="n">
        <f aca="false">(AM453)+AK454-AL454</f>
        <v>9283.85333333333</v>
      </c>
      <c r="AN454" s="15" t="n">
        <f aca="false">SUM(X437:X448)</f>
        <v>16530.1714788732</v>
      </c>
      <c r="AO454" s="15" t="n">
        <f aca="false">SUM(AP437:AP448)</f>
        <v>13562.3123684211</v>
      </c>
      <c r="AP454" s="15" t="n">
        <f aca="false">MAX(0,AN454)*IF(6=Parametri_v3!$C$43,Parametri_v3!$C$45,IF(6=Parametri_v3!$C$44,1-Parametri_v3!$C$45,0))</f>
        <v>6612.06859154929</v>
      </c>
      <c r="AQ454" s="15" t="n">
        <f aca="false">MAX(0,AP454+IF(6=Parametri_v3!$C$43,MAX(0,AN454-AO454),0)-MAX(0,-(AR453)))</f>
        <v>9579.92770200147</v>
      </c>
      <c r="AR454" s="15" t="n">
        <f aca="false">(AR453)+X454-AQ454</f>
        <v>16786.0532834507</v>
      </c>
      <c r="AS454" s="15" t="n">
        <f aca="false">Motore_Operativo!AC454-AT454+AU454</f>
        <v>24146.5260416667</v>
      </c>
      <c r="AT454" s="15" t="n">
        <f aca="false">Motore_Operativo!CI454</f>
        <v>1270.86979166667</v>
      </c>
      <c r="AU454" s="15" t="n">
        <f aca="false">MIN(MAX(0,(AV453)+AT454),Parametri_v3!$C$61/12)</f>
        <v>0</v>
      </c>
      <c r="AV454" s="15" t="n">
        <f aca="false">(AV453)+AT454-AU454</f>
        <v>20354.21875</v>
      </c>
      <c r="AW454" s="15" t="n">
        <f aca="false">IF(AND(Motore_Operativo!C454=Finanziamenti!$D$7,Finanziamenti!$F$7=1),Finanziamenti!$C$7,0)</f>
        <v>0</v>
      </c>
      <c r="AX454" s="15" t="n">
        <f aca="false">0</f>
        <v>0</v>
      </c>
      <c r="AY454" s="15" t="n">
        <f aca="false">IF(6=Parametri_v3!$C$33,IF(BV454&lt;MIN(12,$B454-1),0,MIN(MAX(0,SUM(Y437:Y448))*Ipotesi!$C$94,MAX(0,(BM448)-(BO453)-BP454),MAX(0,BD454-Parametri_v3!$C$31))),0)</f>
        <v>0</v>
      </c>
      <c r="AZ454" s="15" t="n">
        <f aca="false">0</f>
        <v>0</v>
      </c>
      <c r="BA454" s="15" t="n">
        <f aca="false">0</f>
        <v>0</v>
      </c>
      <c r="BB454" s="15" t="n">
        <f aca="false">0</f>
        <v>0</v>
      </c>
      <c r="BC454" s="15" t="n">
        <f aca="false">0</f>
        <v>0</v>
      </c>
      <c r="BD454" s="15" t="n">
        <f aca="false">(BH453)+AC454-AF454-AI454-AS454-K454*(1+Parametri_v3!$C$26)-AL454-AQ454-O454+AW454+AX454+AZ454+BA454-BB454</f>
        <v>18919.9141329997</v>
      </c>
      <c r="BE454" s="15" t="n">
        <f aca="false">0</f>
        <v>0</v>
      </c>
      <c r="BF454" s="15" t="n">
        <f aca="false">0</f>
        <v>0</v>
      </c>
      <c r="BG454" s="15" t="n">
        <f aca="false">0</f>
        <v>0</v>
      </c>
      <c r="BH454" s="15" t="n">
        <f aca="false">BD454+BE454-BF454-AY454</f>
        <v>18919.9141329997</v>
      </c>
      <c r="BI454" s="15" t="n">
        <f aca="false">MAX(0,Parametri_v3!$C$31-BH454)</f>
        <v>0</v>
      </c>
      <c r="BJ454" s="15" t="n">
        <f aca="false">(BJ453)+K454</f>
        <v>10500</v>
      </c>
      <c r="BK454" s="15" t="n">
        <f aca="false">(BK453)+L454</f>
        <v>4020.83333333333</v>
      </c>
      <c r="BL454" s="15" t="n">
        <f aca="false">BJ454-BK454</f>
        <v>6479.16666666667</v>
      </c>
      <c r="BM454" s="15" t="n">
        <f aca="false">(BM453)+Y454</f>
        <v>138231.995432882</v>
      </c>
      <c r="BN454" s="15" t="n">
        <f aca="false">(BN453)+AW454+AX454+AZ454</f>
        <v>20000</v>
      </c>
      <c r="BO454" s="15" t="n">
        <f aca="false">(BO453)+AY454</f>
        <v>0</v>
      </c>
      <c r="BP454" s="15" t="n">
        <f aca="false">MIN(Parametri_v3!$C$36*Parametri_v3!$C$35,(BP453)+IF(6=1,MAX(0,SUM(Y437:Y448))*Parametri_v3!$C$34,0))</f>
        <v>2000</v>
      </c>
      <c r="BQ454" s="15" t="n">
        <f aca="false">BN454+BM454-BO454</f>
        <v>158231.995432882</v>
      </c>
      <c r="BR454" s="15" t="n">
        <f aca="false">BH454+AD454+BL454+MAX(0,-AM454)+MAX(0,-AR454)</f>
        <v>246829.080799666</v>
      </c>
      <c r="BS454" s="15" t="n">
        <f aca="false">AJ454+AV454+MAX(0,AM454)+MAX(0,AR454)+BC454+BG454+BQ454+AG454</f>
        <v>246829.080799666</v>
      </c>
      <c r="BT454" s="15" t="n">
        <f aca="false">BR454-BS454</f>
        <v>0</v>
      </c>
      <c r="BU454" s="15" t="n">
        <f aca="false">BH454-(BD454+BE454-BF454-AY454)</f>
        <v>0</v>
      </c>
      <c r="BV454" s="15" t="n">
        <f aca="false">IF(BH453&lt;Parametri_v3!$C$31,0,BV453+1)</f>
        <v>1</v>
      </c>
    </row>
    <row r="455" customFormat="false" ht="18" hidden="false" customHeight="true" outlineLevel="0" collapsed="false">
      <c r="A455" s="68" t="n">
        <f aca="false">8</f>
        <v>8</v>
      </c>
      <c r="B455" s="68" t="n">
        <f aca="false">31</f>
        <v>31</v>
      </c>
      <c r="C455" s="18" t="n">
        <f aca="false">Motore_Operativo!C455</f>
        <v>47300</v>
      </c>
      <c r="D455" s="68" t="n">
        <f aca="false">Motore_Operativo!D455</f>
        <v>2029</v>
      </c>
      <c r="E455" s="68" t="n">
        <f aca="false">Motore_Operativo!E455</f>
        <v>7</v>
      </c>
      <c r="F455" s="15" t="n">
        <f aca="false">Motore_Operativo!AM455</f>
        <v>60500</v>
      </c>
      <c r="G455" s="15" t="n">
        <f aca="false">Motore_Operativo!BH455</f>
        <v>6050</v>
      </c>
      <c r="H455" s="15" t="n">
        <f aca="false">Motore_Operativo!AM455</f>
        <v>60500</v>
      </c>
      <c r="I455" s="15" t="n">
        <f aca="false">Motore_Operativo!CB455</f>
        <v>46259.8958333333</v>
      </c>
      <c r="J455" s="15" t="n">
        <f aca="false">Motore_Operativo!CD455</f>
        <v>14240.1041666667</v>
      </c>
      <c r="K455" s="15" t="n">
        <f aca="false">Motore_Operativo!CF455</f>
        <v>416.666666666667</v>
      </c>
      <c r="L455" s="15" t="n">
        <f aca="false">SUM(INDEX($K$425:$K$484,MAX(1,31-Parametri_v3!$C$59+1)):K455)/Parametri_v3!$C$59</f>
        <v>303.240740740741</v>
      </c>
      <c r="M455" s="15" t="n">
        <f aca="false">J455-L455</f>
        <v>13936.8634259259</v>
      </c>
      <c r="N455" s="15" t="n">
        <f aca="false">0</f>
        <v>0</v>
      </c>
      <c r="O455" s="15" t="n">
        <f aca="false">0</f>
        <v>0</v>
      </c>
      <c r="P455" s="15" t="n">
        <f aca="false">M455+N455-O455</f>
        <v>13936.8634259259</v>
      </c>
      <c r="Q455" s="15" t="n">
        <f aca="false">SUM(P449:P455)+Parametri_v3!$C$56*7/12</f>
        <v>97801.0995370371</v>
      </c>
      <c r="R455" s="15" t="n">
        <f aca="false">Z448</f>
        <v>0</v>
      </c>
      <c r="S455" s="15" t="n">
        <f aca="false">AA448</f>
        <v>0</v>
      </c>
      <c r="T455" s="15" t="n">
        <f aca="false">MIN(R455,MAX(0,Q455))</f>
        <v>0</v>
      </c>
      <c r="U455" s="15" t="n">
        <f aca="false">MIN(S455,MAX(0,Q455-T455)*Parametri_v3!$C$42)</f>
        <v>0</v>
      </c>
      <c r="V455" s="15" t="n">
        <f aca="false">MAX(0,Q455-T455-U455)*Ipotesi!$C$92</f>
        <v>23472.2638888889</v>
      </c>
      <c r="W455" s="15" t="n">
        <f aca="false">MAX(0,SUM(M449:M455)+Parametri_v3!$C$57*7/12)*Ipotesi!$C$93</f>
        <v>3814.24288194445</v>
      </c>
      <c r="X455" s="15" t="n">
        <f aca="false">V455+W455-(V454+W454)</f>
        <v>3888.38489583334</v>
      </c>
      <c r="Y455" s="15" t="n">
        <f aca="false">P455-X455</f>
        <v>10048.4785300926</v>
      </c>
      <c r="Z455" s="15" t="n">
        <f aca="false">R455-T455+IF(AND(Parametri_v3!$C$40=1,D455-YEAR(Parametri_v3!$C$50)&lt;Parametri_v3!$C$41),MAX(0,-Q455),0)</f>
        <v>0</v>
      </c>
      <c r="AA455" s="15" t="n">
        <f aca="false">S455-U455+IF(AND(Parametri_v3!$C$40=1,D455-YEAR(Parametri_v3!$C$50)&lt;Parametri_v3!$C$41),0,MAX(0,-Q455))</f>
        <v>0</v>
      </c>
      <c r="AB455" s="15" t="n">
        <f aca="false">F455*(1+Parametri_v3!$C$26)</f>
        <v>73810</v>
      </c>
      <c r="AC455" s="15" t="n">
        <f aca="false">(IF(31-(INT((Motore_Operativo!L455)/30))&lt;1,0,INDEX(Motore_Advisory!$AB$425:$AB$484,MAX(1,31-(INT((Motore_Operativo!L455)/30)))))*(1-(MOD((Motore_Operativo!L455),30)/30))+IF(31-(INT((Motore_Operativo!L455)/30))-1&lt;1,0,INDEX(Motore_Advisory!$AB$425:$AB$484,MAX(1,31-(INT((Motore_Operativo!L455)/30))-1)))*(MOD((Motore_Operativo!L455),30)/30))</f>
        <v>73810</v>
      </c>
      <c r="AD455" s="15" t="n">
        <f aca="false">(AD454)+AB455-AC455</f>
        <v>221430</v>
      </c>
      <c r="AE455" s="15" t="n">
        <f aca="false">Motore_Operativo!BH455*(1+Parametri_v3!$C$26)</f>
        <v>7381</v>
      </c>
      <c r="AF455" s="15" t="n">
        <f aca="false">(IF(31-(INT((Parametri_v3!$C$29)/30))&lt;1,0,INDEX(Motore_Operativo!$BH$425:$BH$484,MAX(1,31-(INT((Parametri_v3!$C$29)/30)))))*(1-(MOD((Parametri_v3!$C$29),30)/30))+IF(31-(INT((Parametri_v3!$C$29)/30))-1&lt;1,0,INDEX(Motore_Operativo!$BH$425:$BH$484,MAX(1,31-(INT((Parametri_v3!$C$29)/30))-1)))*(MOD((Parametri_v3!$C$29),30)/30))*(1+Parametri_v3!$C$26)</f>
        <v>7381</v>
      </c>
      <c r="AG455" s="15" t="n">
        <f aca="false">(AG454)+AE455-AF455</f>
        <v>7381</v>
      </c>
      <c r="AH455" s="15" t="n">
        <f aca="false">(Motore_Operativo!CK455)*(1+Parametri_v3!$C$28*Parametri_v3!$C$26)</f>
        <v>17395.98</v>
      </c>
      <c r="AI455" s="15" t="n">
        <f aca="false">(IF(31-(INT((Ipotesi!$C$91)/30))&lt;1,0,INDEX(Motore_Advisory!$AH$425:$AH$484,MAX(1,31-(INT((Ipotesi!$C$91)/30)))))*(1-(MOD((Ipotesi!$C$91),30)/30))+IF(31-(INT((Ipotesi!$C$91)/30))-1&lt;1,0,INDEX(Motore_Advisory!$AH$425:$AH$484,MAX(1,31-(INT((Ipotesi!$C$91)/30))-1)))*(MOD((Ipotesi!$C$91),30)/30))</f>
        <v>17395.98</v>
      </c>
      <c r="AJ455" s="15" t="n">
        <f aca="false">(AJ454)+AH455-AI455</f>
        <v>34791.96</v>
      </c>
      <c r="AK455" s="15" t="n">
        <f aca="false">(F455- Motore_Operativo!BH455-(Motore_Operativo!CK455)*Parametri_v3!$C$28-Motore_Operativo!CF455)*Parametri_v3!$C$26</f>
        <v>9283.85333333333</v>
      </c>
      <c r="AL455" s="15" t="n">
        <f aca="false">MAX(0,(AM454))</f>
        <v>9283.85333333333</v>
      </c>
      <c r="AM455" s="15" t="n">
        <f aca="false">(AM454)+AK455-AL455</f>
        <v>9283.85333333333</v>
      </c>
      <c r="AN455" s="15" t="n">
        <f aca="false">SUM(X437:X448)</f>
        <v>16530.1714788732</v>
      </c>
      <c r="AO455" s="15" t="n">
        <f aca="false">SUM(AP437:AP448)</f>
        <v>13562.3123684211</v>
      </c>
      <c r="AP455" s="15" t="n">
        <f aca="false">MAX(0,AN455)*IF(7=Parametri_v3!$C$43,Parametri_v3!$C$45,IF(7=Parametri_v3!$C$44,1-Parametri_v3!$C$45,0))</f>
        <v>0</v>
      </c>
      <c r="AQ455" s="15" t="n">
        <f aca="false">MAX(0,AP455+IF(7=Parametri_v3!$C$43,MAX(0,AN455-AO455),0)-MAX(0,-(AR454)))</f>
        <v>0</v>
      </c>
      <c r="AR455" s="15" t="n">
        <f aca="false">(AR454)+X455-AQ455</f>
        <v>20674.438179284</v>
      </c>
      <c r="AS455" s="15" t="n">
        <f aca="false">Motore_Operativo!AC455-AT455+AU455</f>
        <v>24146.5260416667</v>
      </c>
      <c r="AT455" s="15" t="n">
        <f aca="false">Motore_Operativo!CI455</f>
        <v>1270.86979166667</v>
      </c>
      <c r="AU455" s="15" t="n">
        <f aca="false">MIN(MAX(0,(AV454)+AT455),Parametri_v3!$C$61/12)</f>
        <v>0</v>
      </c>
      <c r="AV455" s="15" t="n">
        <f aca="false">(AV454)+AT455-AU455</f>
        <v>21625.0885416667</v>
      </c>
      <c r="AW455" s="15" t="n">
        <f aca="false">IF(AND(Motore_Operativo!C455=Finanziamenti!$D$7,Finanziamenti!$F$7=1),Finanziamenti!$C$7,0)</f>
        <v>0</v>
      </c>
      <c r="AX455" s="15" t="n">
        <f aca="false">0</f>
        <v>0</v>
      </c>
      <c r="AY455" s="15" t="n">
        <f aca="false">IF(7=Parametri_v3!$C$33,IF(BV455&lt;MIN(12,$B455-1),0,MIN(MAX(0,SUM(Y437:Y448))*Ipotesi!$C$94,MAX(0,(BM448)-(BO454)-BP455),MAX(0,BD455-Parametri_v3!$C$31))),0)</f>
        <v>0</v>
      </c>
      <c r="AZ455" s="15" t="n">
        <f aca="false">0</f>
        <v>0</v>
      </c>
      <c r="BA455" s="15" t="n">
        <f aca="false">0</f>
        <v>0</v>
      </c>
      <c r="BB455" s="15" t="n">
        <f aca="false">0</f>
        <v>0</v>
      </c>
      <c r="BC455" s="15" t="n">
        <f aca="false">0</f>
        <v>0</v>
      </c>
      <c r="BD455" s="15" t="n">
        <f aca="false">(BH454)+AC455-AF455-AI455-AS455-K455*(1+Parametri_v3!$C$26)-AL455-AQ455-O455+AW455+AX455+AZ455+BA455-BB455</f>
        <v>34014.2214246664</v>
      </c>
      <c r="BE455" s="15" t="n">
        <f aca="false">0</f>
        <v>0</v>
      </c>
      <c r="BF455" s="15" t="n">
        <f aca="false">0</f>
        <v>0</v>
      </c>
      <c r="BG455" s="15" t="n">
        <f aca="false">0</f>
        <v>0</v>
      </c>
      <c r="BH455" s="15" t="n">
        <f aca="false">BD455+BE455-BF455-AY455</f>
        <v>34014.2214246664</v>
      </c>
      <c r="BI455" s="15" t="n">
        <f aca="false">MAX(0,Parametri_v3!$C$31-BH455)</f>
        <v>0</v>
      </c>
      <c r="BJ455" s="15" t="n">
        <f aca="false">(BJ454)+K455</f>
        <v>10916.6666666667</v>
      </c>
      <c r="BK455" s="15" t="n">
        <f aca="false">(BK454)+L455</f>
        <v>4324.07407407407</v>
      </c>
      <c r="BL455" s="15" t="n">
        <f aca="false">BJ455-BK455</f>
        <v>6592.59259259259</v>
      </c>
      <c r="BM455" s="15" t="n">
        <f aca="false">(BM454)+Y455</f>
        <v>148280.473962975</v>
      </c>
      <c r="BN455" s="15" t="n">
        <f aca="false">(BN454)+AW455+AX455+AZ455</f>
        <v>20000</v>
      </c>
      <c r="BO455" s="15" t="n">
        <f aca="false">(BO454)+AY455</f>
        <v>0</v>
      </c>
      <c r="BP455" s="15" t="n">
        <f aca="false">MIN(Parametri_v3!$C$36*Parametri_v3!$C$35,(BP454)+IF(7=1,MAX(0,SUM(Y437:Y448))*Parametri_v3!$C$34,0))</f>
        <v>2000</v>
      </c>
      <c r="BQ455" s="15" t="n">
        <f aca="false">BN455+BM455-BO455</f>
        <v>168280.473962975</v>
      </c>
      <c r="BR455" s="15" t="n">
        <f aca="false">BH455+AD455+BL455+MAX(0,-AM455)+MAX(0,-AR455)</f>
        <v>262036.814017259</v>
      </c>
      <c r="BS455" s="15" t="n">
        <f aca="false">AJ455+AV455+MAX(0,AM455)+MAX(0,AR455)+BC455+BG455+BQ455+AG455</f>
        <v>262036.814017259</v>
      </c>
      <c r="BT455" s="15" t="n">
        <f aca="false">BR455-BS455</f>
        <v>0</v>
      </c>
      <c r="BU455" s="15" t="n">
        <f aca="false">BH455-(BD455+BE455-BF455-AY455)</f>
        <v>0</v>
      </c>
      <c r="BV455" s="15" t="n">
        <f aca="false">IF(BH454&lt;Parametri_v3!$C$31,0,BV454+1)</f>
        <v>2</v>
      </c>
    </row>
    <row r="456" customFormat="false" ht="18" hidden="false" customHeight="true" outlineLevel="0" collapsed="false">
      <c r="A456" s="68" t="n">
        <f aca="false">8</f>
        <v>8</v>
      </c>
      <c r="B456" s="68" t="n">
        <f aca="false">32</f>
        <v>32</v>
      </c>
      <c r="C456" s="18" t="n">
        <f aca="false">Motore_Operativo!C456</f>
        <v>47331</v>
      </c>
      <c r="D456" s="68" t="n">
        <f aca="false">Motore_Operativo!D456</f>
        <v>2029</v>
      </c>
      <c r="E456" s="68" t="n">
        <f aca="false">Motore_Operativo!E456</f>
        <v>8</v>
      </c>
      <c r="F456" s="15" t="n">
        <f aca="false">Motore_Operativo!AM456</f>
        <v>60500</v>
      </c>
      <c r="G456" s="15" t="n">
        <f aca="false">Motore_Operativo!BH456</f>
        <v>6050</v>
      </c>
      <c r="H456" s="15" t="n">
        <f aca="false">Motore_Operativo!AM456</f>
        <v>60500</v>
      </c>
      <c r="I456" s="15" t="n">
        <f aca="false">Motore_Operativo!CB456</f>
        <v>46259.8958333333</v>
      </c>
      <c r="J456" s="15" t="n">
        <f aca="false">Motore_Operativo!CD456</f>
        <v>14240.1041666667</v>
      </c>
      <c r="K456" s="15" t="n">
        <f aca="false">Motore_Operativo!CF456</f>
        <v>416.666666666667</v>
      </c>
      <c r="L456" s="15" t="n">
        <f aca="false">SUM(INDEX($K$425:$K$484,MAX(1,32-Parametri_v3!$C$59+1)):K456)/Parametri_v3!$C$59</f>
        <v>314.814814814815</v>
      </c>
      <c r="M456" s="15" t="n">
        <f aca="false">J456-L456</f>
        <v>13925.2893518519</v>
      </c>
      <c r="N456" s="15" t="n">
        <f aca="false">0</f>
        <v>0</v>
      </c>
      <c r="O456" s="15" t="n">
        <f aca="false">0</f>
        <v>0</v>
      </c>
      <c r="P456" s="15" t="n">
        <f aca="false">M456+N456-O456</f>
        <v>13925.2893518519</v>
      </c>
      <c r="Q456" s="15" t="n">
        <f aca="false">SUM(P449:P456)+Parametri_v3!$C$56*8/12</f>
        <v>111726.388888889</v>
      </c>
      <c r="R456" s="15" t="n">
        <f aca="false">Z448</f>
        <v>0</v>
      </c>
      <c r="S456" s="15" t="n">
        <f aca="false">AA448</f>
        <v>0</v>
      </c>
      <c r="T456" s="15" t="n">
        <f aca="false">MIN(R456,MAX(0,Q456))</f>
        <v>0</v>
      </c>
      <c r="U456" s="15" t="n">
        <f aca="false">MIN(S456,MAX(0,Q456-T456)*Parametri_v3!$C$42)</f>
        <v>0</v>
      </c>
      <c r="V456" s="15" t="n">
        <f aca="false">MAX(0,Q456-T456-U456)*Ipotesi!$C$92</f>
        <v>26814.3333333333</v>
      </c>
      <c r="W456" s="15" t="n">
        <f aca="false">MAX(0,SUM(M449:M456)+Parametri_v3!$C$57*8/12)*Ipotesi!$C$93</f>
        <v>4357.32916666667</v>
      </c>
      <c r="X456" s="15" t="n">
        <f aca="false">V456+W456-(V455+W455)</f>
        <v>3885.15572916667</v>
      </c>
      <c r="Y456" s="15" t="n">
        <f aca="false">P456-X456</f>
        <v>10040.1336226852</v>
      </c>
      <c r="Z456" s="15" t="n">
        <f aca="false">R456-T456+IF(AND(Parametri_v3!$C$40=1,D456-YEAR(Parametri_v3!$C$50)&lt;Parametri_v3!$C$41),MAX(0,-Q456),0)</f>
        <v>0</v>
      </c>
      <c r="AA456" s="15" t="n">
        <f aca="false">S456-U456+IF(AND(Parametri_v3!$C$40=1,D456-YEAR(Parametri_v3!$C$50)&lt;Parametri_v3!$C$41),0,MAX(0,-Q456))</f>
        <v>0</v>
      </c>
      <c r="AB456" s="15" t="n">
        <f aca="false">F456*(1+Parametri_v3!$C$26)</f>
        <v>73810</v>
      </c>
      <c r="AC456" s="15" t="n">
        <f aca="false">(IF(32-(INT((Motore_Operativo!L456)/30))&lt;1,0,INDEX(Motore_Advisory!$AB$425:$AB$484,MAX(1,32-(INT((Motore_Operativo!L456)/30)))))*(1-(MOD((Motore_Operativo!L456),30)/30))+IF(32-(INT((Motore_Operativo!L456)/30))-1&lt;1,0,INDEX(Motore_Advisory!$AB$425:$AB$484,MAX(1,32-(INT((Motore_Operativo!L456)/30))-1)))*(MOD((Motore_Operativo!L456),30)/30))</f>
        <v>73810</v>
      </c>
      <c r="AD456" s="15" t="n">
        <f aca="false">(AD455)+AB456-AC456</f>
        <v>221430</v>
      </c>
      <c r="AE456" s="15" t="n">
        <f aca="false">Motore_Operativo!BH456*(1+Parametri_v3!$C$26)</f>
        <v>7381</v>
      </c>
      <c r="AF456" s="15" t="n">
        <f aca="false">(IF(32-(INT((Parametri_v3!$C$29)/30))&lt;1,0,INDEX(Motore_Operativo!$BH$425:$BH$484,MAX(1,32-(INT((Parametri_v3!$C$29)/30)))))*(1-(MOD((Parametri_v3!$C$29),30)/30))+IF(32-(INT((Parametri_v3!$C$29)/30))-1&lt;1,0,INDEX(Motore_Operativo!$BH$425:$BH$484,MAX(1,32-(INT((Parametri_v3!$C$29)/30))-1)))*(MOD((Parametri_v3!$C$29),30)/30))*(1+Parametri_v3!$C$26)</f>
        <v>7381</v>
      </c>
      <c r="AG456" s="15" t="n">
        <f aca="false">(AG455)+AE456-AF456</f>
        <v>7381</v>
      </c>
      <c r="AH456" s="15" t="n">
        <f aca="false">(Motore_Operativo!CK456)*(1+Parametri_v3!$C$28*Parametri_v3!$C$26)</f>
        <v>17395.98</v>
      </c>
      <c r="AI456" s="15" t="n">
        <f aca="false">(IF(32-(INT((Ipotesi!$C$91)/30))&lt;1,0,INDEX(Motore_Advisory!$AH$425:$AH$484,MAX(1,32-(INT((Ipotesi!$C$91)/30)))))*(1-(MOD((Ipotesi!$C$91),30)/30))+IF(32-(INT((Ipotesi!$C$91)/30))-1&lt;1,0,INDEX(Motore_Advisory!$AH$425:$AH$484,MAX(1,32-(INT((Ipotesi!$C$91)/30))-1)))*(MOD((Ipotesi!$C$91),30)/30))</f>
        <v>17395.98</v>
      </c>
      <c r="AJ456" s="15" t="n">
        <f aca="false">(AJ455)+AH456-AI456</f>
        <v>34791.96</v>
      </c>
      <c r="AK456" s="15" t="n">
        <f aca="false">(F456- Motore_Operativo!BH456-(Motore_Operativo!CK456)*Parametri_v3!$C$28-Motore_Operativo!CF456)*Parametri_v3!$C$26</f>
        <v>9283.85333333333</v>
      </c>
      <c r="AL456" s="15" t="n">
        <f aca="false">MAX(0,(AM455))</f>
        <v>9283.85333333333</v>
      </c>
      <c r="AM456" s="15" t="n">
        <f aca="false">(AM455)+AK456-AL456</f>
        <v>9283.85333333333</v>
      </c>
      <c r="AN456" s="15" t="n">
        <f aca="false">SUM(X437:X448)</f>
        <v>16530.1714788732</v>
      </c>
      <c r="AO456" s="15" t="n">
        <f aca="false">SUM(AP437:AP448)</f>
        <v>13562.3123684211</v>
      </c>
      <c r="AP456" s="15" t="n">
        <f aca="false">MAX(0,AN456)*IF(8=Parametri_v3!$C$43,Parametri_v3!$C$45,IF(8=Parametri_v3!$C$44,1-Parametri_v3!$C$45,0))</f>
        <v>0</v>
      </c>
      <c r="AQ456" s="15" t="n">
        <f aca="false">MAX(0,AP456+IF(8=Parametri_v3!$C$43,MAX(0,AN456-AO456),0)-MAX(0,-(AR455)))</f>
        <v>0</v>
      </c>
      <c r="AR456" s="15" t="n">
        <f aca="false">(AR455)+X456-AQ456</f>
        <v>24559.5939084507</v>
      </c>
      <c r="AS456" s="15" t="n">
        <f aca="false">Motore_Operativo!AC456-AT456+AU456</f>
        <v>24146.5260416667</v>
      </c>
      <c r="AT456" s="15" t="n">
        <f aca="false">Motore_Operativo!CI456</f>
        <v>1270.86979166667</v>
      </c>
      <c r="AU456" s="15" t="n">
        <f aca="false">MIN(MAX(0,(AV455)+AT456),Parametri_v3!$C$61/12)</f>
        <v>0</v>
      </c>
      <c r="AV456" s="15" t="n">
        <f aca="false">(AV455)+AT456-AU456</f>
        <v>22895.9583333333</v>
      </c>
      <c r="AW456" s="15" t="n">
        <f aca="false">IF(AND(Motore_Operativo!C456=Finanziamenti!$D$7,Finanziamenti!$F$7=1),Finanziamenti!$C$7,0)</f>
        <v>0</v>
      </c>
      <c r="AX456" s="15" t="n">
        <f aca="false">0</f>
        <v>0</v>
      </c>
      <c r="AY456" s="15" t="n">
        <f aca="false">IF(8=Parametri_v3!$C$33,IF(BV456&lt;MIN(12,$B456-1),0,MIN(MAX(0,SUM(Y437:Y448))*Ipotesi!$C$94,MAX(0,(BM448)-(BO455)-BP456),MAX(0,BD456-Parametri_v3!$C$31))),0)</f>
        <v>0</v>
      </c>
      <c r="AZ456" s="15" t="n">
        <f aca="false">0</f>
        <v>0</v>
      </c>
      <c r="BA456" s="15" t="n">
        <f aca="false">0</f>
        <v>0</v>
      </c>
      <c r="BB456" s="15" t="n">
        <f aca="false">0</f>
        <v>0</v>
      </c>
      <c r="BC456" s="15" t="n">
        <f aca="false">0</f>
        <v>0</v>
      </c>
      <c r="BD456" s="15" t="n">
        <f aca="false">(BH455)+AC456-AF456-AI456-AS456-K456*(1+Parametri_v3!$C$26)-AL456-AQ456-O456+AW456+AX456+AZ456+BA456-BB456</f>
        <v>49108.528716333</v>
      </c>
      <c r="BE456" s="15" t="n">
        <f aca="false">0</f>
        <v>0</v>
      </c>
      <c r="BF456" s="15" t="n">
        <f aca="false">0</f>
        <v>0</v>
      </c>
      <c r="BG456" s="15" t="n">
        <f aca="false">0</f>
        <v>0</v>
      </c>
      <c r="BH456" s="15" t="n">
        <f aca="false">BD456+BE456-BF456-AY456</f>
        <v>49108.528716333</v>
      </c>
      <c r="BI456" s="15" t="n">
        <f aca="false">MAX(0,Parametri_v3!$C$31-BH456)</f>
        <v>0</v>
      </c>
      <c r="BJ456" s="15" t="n">
        <f aca="false">(BJ455)+K456</f>
        <v>11333.3333333333</v>
      </c>
      <c r="BK456" s="15" t="n">
        <f aca="false">(BK455)+L456</f>
        <v>4638.88888888889</v>
      </c>
      <c r="BL456" s="15" t="n">
        <f aca="false">BJ456-BK456</f>
        <v>6694.44444444444</v>
      </c>
      <c r="BM456" s="15" t="n">
        <f aca="false">(BM455)+Y456</f>
        <v>158320.60758566</v>
      </c>
      <c r="BN456" s="15" t="n">
        <f aca="false">(BN455)+AW456+AX456+AZ456</f>
        <v>20000</v>
      </c>
      <c r="BO456" s="15" t="n">
        <f aca="false">(BO455)+AY456</f>
        <v>0</v>
      </c>
      <c r="BP456" s="15" t="n">
        <f aca="false">MIN(Parametri_v3!$C$36*Parametri_v3!$C$35,(BP455)+IF(8=1,MAX(0,SUM(Y437:Y448))*Parametri_v3!$C$34,0))</f>
        <v>2000</v>
      </c>
      <c r="BQ456" s="15" t="n">
        <f aca="false">BN456+BM456-BO456</f>
        <v>178320.60758566</v>
      </c>
      <c r="BR456" s="15" t="n">
        <f aca="false">BH456+AD456+BL456+MAX(0,-AM456)+MAX(0,-AR456)</f>
        <v>277232.973160778</v>
      </c>
      <c r="BS456" s="15" t="n">
        <f aca="false">AJ456+AV456+MAX(0,AM456)+MAX(0,AR456)+BC456+BG456+BQ456+AG456</f>
        <v>277232.973160778</v>
      </c>
      <c r="BT456" s="15" t="n">
        <f aca="false">BR456-BS456</f>
        <v>0</v>
      </c>
      <c r="BU456" s="15" t="n">
        <f aca="false">BH456-(BD456+BE456-BF456-AY456)</f>
        <v>0</v>
      </c>
      <c r="BV456" s="15" t="n">
        <f aca="false">IF(BH455&lt;Parametri_v3!$C$31,0,BV455+1)</f>
        <v>3</v>
      </c>
    </row>
    <row r="457" customFormat="false" ht="18" hidden="false" customHeight="true" outlineLevel="0" collapsed="false">
      <c r="A457" s="68" t="n">
        <f aca="false">8</f>
        <v>8</v>
      </c>
      <c r="B457" s="68" t="n">
        <f aca="false">33</f>
        <v>33</v>
      </c>
      <c r="C457" s="18" t="n">
        <f aca="false">Motore_Operativo!C457</f>
        <v>47362</v>
      </c>
      <c r="D457" s="68" t="n">
        <f aca="false">Motore_Operativo!D457</f>
        <v>2029</v>
      </c>
      <c r="E457" s="68" t="n">
        <f aca="false">Motore_Operativo!E457</f>
        <v>9</v>
      </c>
      <c r="F457" s="15" t="n">
        <f aca="false">Motore_Operativo!AM457</f>
        <v>60500</v>
      </c>
      <c r="G457" s="15" t="n">
        <f aca="false">Motore_Operativo!BH457</f>
        <v>6050</v>
      </c>
      <c r="H457" s="15" t="n">
        <f aca="false">Motore_Operativo!AM457</f>
        <v>60500</v>
      </c>
      <c r="I457" s="15" t="n">
        <f aca="false">Motore_Operativo!CB457</f>
        <v>46259.8958333333</v>
      </c>
      <c r="J457" s="15" t="n">
        <f aca="false">Motore_Operativo!CD457</f>
        <v>14240.1041666667</v>
      </c>
      <c r="K457" s="15" t="n">
        <f aca="false">Motore_Operativo!CF457</f>
        <v>416.666666666667</v>
      </c>
      <c r="L457" s="15" t="n">
        <f aca="false">SUM(INDEX($K$425:$K$484,MAX(1,33-Parametri_v3!$C$59+1)):K457)/Parametri_v3!$C$59</f>
        <v>326.388888888889</v>
      </c>
      <c r="M457" s="15" t="n">
        <f aca="false">J457-L457</f>
        <v>13913.7152777778</v>
      </c>
      <c r="N457" s="15" t="n">
        <f aca="false">0</f>
        <v>0</v>
      </c>
      <c r="O457" s="15" t="n">
        <f aca="false">0</f>
        <v>0</v>
      </c>
      <c r="P457" s="15" t="n">
        <f aca="false">M457+N457-O457</f>
        <v>13913.7152777778</v>
      </c>
      <c r="Q457" s="15" t="n">
        <f aca="false">SUM(P449:P457)+Parametri_v3!$C$56*9/12</f>
        <v>125640.104166667</v>
      </c>
      <c r="R457" s="15" t="n">
        <f aca="false">Z448</f>
        <v>0</v>
      </c>
      <c r="S457" s="15" t="n">
        <f aca="false">AA448</f>
        <v>0</v>
      </c>
      <c r="T457" s="15" t="n">
        <f aca="false">MIN(R457,MAX(0,Q457))</f>
        <v>0</v>
      </c>
      <c r="U457" s="15" t="n">
        <f aca="false">MIN(S457,MAX(0,Q457-T457)*Parametri_v3!$C$42)</f>
        <v>0</v>
      </c>
      <c r="V457" s="15" t="n">
        <f aca="false">MAX(0,Q457-T457-U457)*Ipotesi!$C$92</f>
        <v>30153.625</v>
      </c>
      <c r="W457" s="15" t="n">
        <f aca="false">MAX(0,SUM(M449:M457)+Parametri_v3!$C$57*9/12)*Ipotesi!$C$93</f>
        <v>4899.9640625</v>
      </c>
      <c r="X457" s="15" t="n">
        <f aca="false">V457+W457-(V456+W456)</f>
        <v>3881.9265625</v>
      </c>
      <c r="Y457" s="15" t="n">
        <f aca="false">P457-X457</f>
        <v>10031.7887152778</v>
      </c>
      <c r="Z457" s="15" t="n">
        <f aca="false">R457-T457+IF(AND(Parametri_v3!$C$40=1,D457-YEAR(Parametri_v3!$C$50)&lt;Parametri_v3!$C$41),MAX(0,-Q457),0)</f>
        <v>0</v>
      </c>
      <c r="AA457" s="15" t="n">
        <f aca="false">S457-U457+IF(AND(Parametri_v3!$C$40=1,D457-YEAR(Parametri_v3!$C$50)&lt;Parametri_v3!$C$41),0,MAX(0,-Q457))</f>
        <v>0</v>
      </c>
      <c r="AB457" s="15" t="n">
        <f aca="false">F457*(1+Parametri_v3!$C$26)</f>
        <v>73810</v>
      </c>
      <c r="AC457" s="15" t="n">
        <f aca="false">(IF(33-(INT((Motore_Operativo!L457)/30))&lt;1,0,INDEX(Motore_Advisory!$AB$425:$AB$484,MAX(1,33-(INT((Motore_Operativo!L457)/30)))))*(1-(MOD((Motore_Operativo!L457),30)/30))+IF(33-(INT((Motore_Operativo!L457)/30))-1&lt;1,0,INDEX(Motore_Advisory!$AB$425:$AB$484,MAX(1,33-(INT((Motore_Operativo!L457)/30))-1)))*(MOD((Motore_Operativo!L457),30)/30))</f>
        <v>73810</v>
      </c>
      <c r="AD457" s="15" t="n">
        <f aca="false">(AD456)+AB457-AC457</f>
        <v>221430</v>
      </c>
      <c r="AE457" s="15" t="n">
        <f aca="false">Motore_Operativo!BH457*(1+Parametri_v3!$C$26)</f>
        <v>7381</v>
      </c>
      <c r="AF457" s="15" t="n">
        <f aca="false">(IF(33-(INT((Parametri_v3!$C$29)/30))&lt;1,0,INDEX(Motore_Operativo!$BH$425:$BH$484,MAX(1,33-(INT((Parametri_v3!$C$29)/30)))))*(1-(MOD((Parametri_v3!$C$29),30)/30))+IF(33-(INT((Parametri_v3!$C$29)/30))-1&lt;1,0,INDEX(Motore_Operativo!$BH$425:$BH$484,MAX(1,33-(INT((Parametri_v3!$C$29)/30))-1)))*(MOD((Parametri_v3!$C$29),30)/30))*(1+Parametri_v3!$C$26)</f>
        <v>7381</v>
      </c>
      <c r="AG457" s="15" t="n">
        <f aca="false">(AG456)+AE457-AF457</f>
        <v>7381</v>
      </c>
      <c r="AH457" s="15" t="n">
        <f aca="false">(Motore_Operativo!CK457)*(1+Parametri_v3!$C$28*Parametri_v3!$C$26)</f>
        <v>17395.98</v>
      </c>
      <c r="AI457" s="15" t="n">
        <f aca="false">(IF(33-(INT((Ipotesi!$C$91)/30))&lt;1,0,INDEX(Motore_Advisory!$AH$425:$AH$484,MAX(1,33-(INT((Ipotesi!$C$91)/30)))))*(1-(MOD((Ipotesi!$C$91),30)/30))+IF(33-(INT((Ipotesi!$C$91)/30))-1&lt;1,0,INDEX(Motore_Advisory!$AH$425:$AH$484,MAX(1,33-(INT((Ipotesi!$C$91)/30))-1)))*(MOD((Ipotesi!$C$91),30)/30))</f>
        <v>17395.98</v>
      </c>
      <c r="AJ457" s="15" t="n">
        <f aca="false">(AJ456)+AH457-AI457</f>
        <v>34791.96</v>
      </c>
      <c r="AK457" s="15" t="n">
        <f aca="false">(F457- Motore_Operativo!BH457-(Motore_Operativo!CK457)*Parametri_v3!$C$28-Motore_Operativo!CF457)*Parametri_v3!$C$26</f>
        <v>9283.85333333333</v>
      </c>
      <c r="AL457" s="15" t="n">
        <f aca="false">MAX(0,(AM456))</f>
        <v>9283.85333333333</v>
      </c>
      <c r="AM457" s="15" t="n">
        <f aca="false">(AM456)+AK457-AL457</f>
        <v>9283.85333333333</v>
      </c>
      <c r="AN457" s="15" t="n">
        <f aca="false">SUM(X437:X448)</f>
        <v>16530.1714788732</v>
      </c>
      <c r="AO457" s="15" t="n">
        <f aca="false">SUM(AP437:AP448)</f>
        <v>13562.3123684211</v>
      </c>
      <c r="AP457" s="15" t="n">
        <f aca="false">MAX(0,AN457)*IF(9=Parametri_v3!$C$43,Parametri_v3!$C$45,IF(9=Parametri_v3!$C$44,1-Parametri_v3!$C$45,0))</f>
        <v>0</v>
      </c>
      <c r="AQ457" s="15" t="n">
        <f aca="false">MAX(0,AP457+IF(9=Parametri_v3!$C$43,MAX(0,AN457-AO457),0)-MAX(0,-(AR456)))</f>
        <v>0</v>
      </c>
      <c r="AR457" s="15" t="n">
        <f aca="false">(AR456)+X457-AQ457</f>
        <v>28441.5204709507</v>
      </c>
      <c r="AS457" s="15" t="n">
        <f aca="false">Motore_Operativo!AC457-AT457+AU457</f>
        <v>24146.5260416667</v>
      </c>
      <c r="AT457" s="15" t="n">
        <f aca="false">Motore_Operativo!CI457</f>
        <v>1270.86979166667</v>
      </c>
      <c r="AU457" s="15" t="n">
        <f aca="false">MIN(MAX(0,(AV456)+AT457),Parametri_v3!$C$61/12)</f>
        <v>0</v>
      </c>
      <c r="AV457" s="15" t="n">
        <f aca="false">(AV456)+AT457-AU457</f>
        <v>24166.828125</v>
      </c>
      <c r="AW457" s="15" t="n">
        <f aca="false">IF(AND(Motore_Operativo!C457=Finanziamenti!$D$7,Finanziamenti!$F$7=1),Finanziamenti!$C$7,0)</f>
        <v>0</v>
      </c>
      <c r="AX457" s="15" t="n">
        <f aca="false">0</f>
        <v>0</v>
      </c>
      <c r="AY457" s="15" t="n">
        <f aca="false">IF(9=Parametri_v3!$C$33,IF(BV457&lt;MIN(12,$B457-1),0,MIN(MAX(0,SUM(Y437:Y448))*Ipotesi!$C$94,MAX(0,(BM448)-(BO456)-BP457),MAX(0,BD457-Parametri_v3!$C$31))),0)</f>
        <v>0</v>
      </c>
      <c r="AZ457" s="15" t="n">
        <f aca="false">0</f>
        <v>0</v>
      </c>
      <c r="BA457" s="15" t="n">
        <f aca="false">0</f>
        <v>0</v>
      </c>
      <c r="BB457" s="15" t="n">
        <f aca="false">0</f>
        <v>0</v>
      </c>
      <c r="BC457" s="15" t="n">
        <f aca="false">0</f>
        <v>0</v>
      </c>
      <c r="BD457" s="15" t="n">
        <f aca="false">(BH456)+AC457-AF457-AI457-AS457-K457*(1+Parametri_v3!$C$26)-AL457-AQ457-O457+AW457+AX457+AZ457+BA457-BB457</f>
        <v>64202.8360079997</v>
      </c>
      <c r="BE457" s="15" t="n">
        <f aca="false">0</f>
        <v>0</v>
      </c>
      <c r="BF457" s="15" t="n">
        <f aca="false">0</f>
        <v>0</v>
      </c>
      <c r="BG457" s="15" t="n">
        <f aca="false">0</f>
        <v>0</v>
      </c>
      <c r="BH457" s="15" t="n">
        <f aca="false">BD457+BE457-BF457-AY457</f>
        <v>64202.8360079997</v>
      </c>
      <c r="BI457" s="15" t="n">
        <f aca="false">MAX(0,Parametri_v3!$C$31-BH457)</f>
        <v>0</v>
      </c>
      <c r="BJ457" s="15" t="n">
        <f aca="false">(BJ456)+K457</f>
        <v>11750</v>
      </c>
      <c r="BK457" s="15" t="n">
        <f aca="false">(BK456)+L457</f>
        <v>4965.27777777778</v>
      </c>
      <c r="BL457" s="15" t="n">
        <f aca="false">BJ457-BK457</f>
        <v>6784.72222222222</v>
      </c>
      <c r="BM457" s="15" t="n">
        <f aca="false">(BM456)+Y457</f>
        <v>168352.396300938</v>
      </c>
      <c r="BN457" s="15" t="n">
        <f aca="false">(BN456)+AW457+AX457+AZ457</f>
        <v>20000</v>
      </c>
      <c r="BO457" s="15" t="n">
        <f aca="false">(BO456)+AY457</f>
        <v>0</v>
      </c>
      <c r="BP457" s="15" t="n">
        <f aca="false">MIN(Parametri_v3!$C$36*Parametri_v3!$C$35,(BP456)+IF(9=1,MAX(0,SUM(Y437:Y448))*Parametri_v3!$C$34,0))</f>
        <v>2000</v>
      </c>
      <c r="BQ457" s="15" t="n">
        <f aca="false">BN457+BM457-BO457</f>
        <v>188352.396300938</v>
      </c>
      <c r="BR457" s="15" t="n">
        <f aca="false">BH457+AD457+BL457+MAX(0,-AM457)+MAX(0,-AR457)</f>
        <v>292417.558230222</v>
      </c>
      <c r="BS457" s="15" t="n">
        <f aca="false">AJ457+AV457+MAX(0,AM457)+MAX(0,AR457)+BC457+BG457+BQ457+AG457</f>
        <v>292417.558230222</v>
      </c>
      <c r="BT457" s="15" t="n">
        <f aca="false">BR457-BS457</f>
        <v>0</v>
      </c>
      <c r="BU457" s="15" t="n">
        <f aca="false">BH457-(BD457+BE457-BF457-AY457)</f>
        <v>0</v>
      </c>
      <c r="BV457" s="15" t="n">
        <f aca="false">IF(BH456&lt;Parametri_v3!$C$31,0,BV456+1)</f>
        <v>4</v>
      </c>
    </row>
    <row r="458" customFormat="false" ht="18" hidden="false" customHeight="true" outlineLevel="0" collapsed="false">
      <c r="A458" s="68" t="n">
        <f aca="false">8</f>
        <v>8</v>
      </c>
      <c r="B458" s="68" t="n">
        <f aca="false">34</f>
        <v>34</v>
      </c>
      <c r="C458" s="18" t="n">
        <f aca="false">Motore_Operativo!C458</f>
        <v>47392</v>
      </c>
      <c r="D458" s="68" t="n">
        <f aca="false">Motore_Operativo!D458</f>
        <v>2029</v>
      </c>
      <c r="E458" s="68" t="n">
        <f aca="false">Motore_Operativo!E458</f>
        <v>10</v>
      </c>
      <c r="F458" s="15" t="n">
        <f aca="false">Motore_Operativo!AM458</f>
        <v>60500</v>
      </c>
      <c r="G458" s="15" t="n">
        <f aca="false">Motore_Operativo!BH458</f>
        <v>6050</v>
      </c>
      <c r="H458" s="15" t="n">
        <f aca="false">Motore_Operativo!AM458</f>
        <v>60500</v>
      </c>
      <c r="I458" s="15" t="n">
        <f aca="false">Motore_Operativo!CB458</f>
        <v>46259.8958333333</v>
      </c>
      <c r="J458" s="15" t="n">
        <f aca="false">Motore_Operativo!CD458</f>
        <v>14240.1041666667</v>
      </c>
      <c r="K458" s="15" t="n">
        <f aca="false">Motore_Operativo!CF458</f>
        <v>416.666666666667</v>
      </c>
      <c r="L458" s="15" t="n">
        <f aca="false">SUM(INDEX($K$425:$K$484,MAX(1,34-Parametri_v3!$C$59+1)):K458)/Parametri_v3!$C$59</f>
        <v>337.962962962963</v>
      </c>
      <c r="M458" s="15" t="n">
        <f aca="false">J458-L458</f>
        <v>13902.1412037037</v>
      </c>
      <c r="N458" s="15" t="n">
        <f aca="false">0</f>
        <v>0</v>
      </c>
      <c r="O458" s="15" t="n">
        <f aca="false">0</f>
        <v>0</v>
      </c>
      <c r="P458" s="15" t="n">
        <f aca="false">M458+N458-O458</f>
        <v>13902.1412037037</v>
      </c>
      <c r="Q458" s="15" t="n">
        <f aca="false">SUM(P449:P458)+Parametri_v3!$C$56*10/12</f>
        <v>139542.24537037</v>
      </c>
      <c r="R458" s="15" t="n">
        <f aca="false">Z448</f>
        <v>0</v>
      </c>
      <c r="S458" s="15" t="n">
        <f aca="false">AA448</f>
        <v>0</v>
      </c>
      <c r="T458" s="15" t="n">
        <f aca="false">MIN(R458,MAX(0,Q458))</f>
        <v>0</v>
      </c>
      <c r="U458" s="15" t="n">
        <f aca="false">MIN(S458,MAX(0,Q458-T458)*Parametri_v3!$C$42)</f>
        <v>0</v>
      </c>
      <c r="V458" s="15" t="n">
        <f aca="false">MAX(0,Q458-T458-U458)*Ipotesi!$C$92</f>
        <v>33490.1388888889</v>
      </c>
      <c r="W458" s="15" t="n">
        <f aca="false">MAX(0,SUM(M449:M458)+Parametri_v3!$C$57*10/12)*Ipotesi!$C$93</f>
        <v>5442.14756944445</v>
      </c>
      <c r="X458" s="15" t="n">
        <f aca="false">V458+W458-(V457+W457)</f>
        <v>3878.69739583333</v>
      </c>
      <c r="Y458" s="15" t="n">
        <f aca="false">P458-X458</f>
        <v>10023.4438078704</v>
      </c>
      <c r="Z458" s="15" t="n">
        <f aca="false">R458-T458+IF(AND(Parametri_v3!$C$40=1,D458-YEAR(Parametri_v3!$C$50)&lt;Parametri_v3!$C$41),MAX(0,-Q458),0)</f>
        <v>0</v>
      </c>
      <c r="AA458" s="15" t="n">
        <f aca="false">S458-U458+IF(AND(Parametri_v3!$C$40=1,D458-YEAR(Parametri_v3!$C$50)&lt;Parametri_v3!$C$41),0,MAX(0,-Q458))</f>
        <v>0</v>
      </c>
      <c r="AB458" s="15" t="n">
        <f aca="false">F458*(1+Parametri_v3!$C$26)</f>
        <v>73810</v>
      </c>
      <c r="AC458" s="15" t="n">
        <f aca="false">(IF(34-(INT((Motore_Operativo!L458)/30))&lt;1,0,INDEX(Motore_Advisory!$AB$425:$AB$484,MAX(1,34-(INT((Motore_Operativo!L458)/30)))))*(1-(MOD((Motore_Operativo!L458),30)/30))+IF(34-(INT((Motore_Operativo!L458)/30))-1&lt;1,0,INDEX(Motore_Advisory!$AB$425:$AB$484,MAX(1,34-(INT((Motore_Operativo!L458)/30))-1)))*(MOD((Motore_Operativo!L458),30)/30))</f>
        <v>73810</v>
      </c>
      <c r="AD458" s="15" t="n">
        <f aca="false">(AD457)+AB458-AC458</f>
        <v>221430</v>
      </c>
      <c r="AE458" s="15" t="n">
        <f aca="false">Motore_Operativo!BH458*(1+Parametri_v3!$C$26)</f>
        <v>7381</v>
      </c>
      <c r="AF458" s="15" t="n">
        <f aca="false">(IF(34-(INT((Parametri_v3!$C$29)/30))&lt;1,0,INDEX(Motore_Operativo!$BH$425:$BH$484,MAX(1,34-(INT((Parametri_v3!$C$29)/30)))))*(1-(MOD((Parametri_v3!$C$29),30)/30))+IF(34-(INT((Parametri_v3!$C$29)/30))-1&lt;1,0,INDEX(Motore_Operativo!$BH$425:$BH$484,MAX(1,34-(INT((Parametri_v3!$C$29)/30))-1)))*(MOD((Parametri_v3!$C$29),30)/30))*(1+Parametri_v3!$C$26)</f>
        <v>7381</v>
      </c>
      <c r="AG458" s="15" t="n">
        <f aca="false">(AG457)+AE458-AF458</f>
        <v>7381</v>
      </c>
      <c r="AH458" s="15" t="n">
        <f aca="false">(Motore_Operativo!CK458)*(1+Parametri_v3!$C$28*Parametri_v3!$C$26)</f>
        <v>17395.98</v>
      </c>
      <c r="AI458" s="15" t="n">
        <f aca="false">(IF(34-(INT((Ipotesi!$C$91)/30))&lt;1,0,INDEX(Motore_Advisory!$AH$425:$AH$484,MAX(1,34-(INT((Ipotesi!$C$91)/30)))))*(1-(MOD((Ipotesi!$C$91),30)/30))+IF(34-(INT((Ipotesi!$C$91)/30))-1&lt;1,0,INDEX(Motore_Advisory!$AH$425:$AH$484,MAX(1,34-(INT((Ipotesi!$C$91)/30))-1)))*(MOD((Ipotesi!$C$91),30)/30))</f>
        <v>17395.98</v>
      </c>
      <c r="AJ458" s="15" t="n">
        <f aca="false">(AJ457)+AH458-AI458</f>
        <v>34791.96</v>
      </c>
      <c r="AK458" s="15" t="n">
        <f aca="false">(F458- Motore_Operativo!BH458-(Motore_Operativo!CK458)*Parametri_v3!$C$28-Motore_Operativo!CF458)*Parametri_v3!$C$26</f>
        <v>9283.85333333333</v>
      </c>
      <c r="AL458" s="15" t="n">
        <f aca="false">MAX(0,(AM457))</f>
        <v>9283.85333333333</v>
      </c>
      <c r="AM458" s="15" t="n">
        <f aca="false">(AM457)+AK458-AL458</f>
        <v>9283.85333333333</v>
      </c>
      <c r="AN458" s="15" t="n">
        <f aca="false">SUM(X437:X448)</f>
        <v>16530.1714788732</v>
      </c>
      <c r="AO458" s="15" t="n">
        <f aca="false">SUM(AP437:AP448)</f>
        <v>13562.3123684211</v>
      </c>
      <c r="AP458" s="15" t="n">
        <f aca="false">MAX(0,AN458)*IF(10=Parametri_v3!$C$43,Parametri_v3!$C$45,IF(10=Parametri_v3!$C$44,1-Parametri_v3!$C$45,0))</f>
        <v>0</v>
      </c>
      <c r="AQ458" s="15" t="n">
        <f aca="false">MAX(0,AP458+IF(10=Parametri_v3!$C$43,MAX(0,AN458-AO458),0)-MAX(0,-(AR457)))</f>
        <v>0</v>
      </c>
      <c r="AR458" s="15" t="n">
        <f aca="false">(AR457)+X458-AQ458</f>
        <v>32320.2178667841</v>
      </c>
      <c r="AS458" s="15" t="n">
        <f aca="false">Motore_Operativo!AC458-AT458+AU458</f>
        <v>24146.5260416667</v>
      </c>
      <c r="AT458" s="15" t="n">
        <f aca="false">Motore_Operativo!CI458</f>
        <v>1270.86979166667</v>
      </c>
      <c r="AU458" s="15" t="n">
        <f aca="false">MIN(MAX(0,(AV457)+AT458),Parametri_v3!$C$61/12)</f>
        <v>0</v>
      </c>
      <c r="AV458" s="15" t="n">
        <f aca="false">(AV457)+AT458-AU458</f>
        <v>25437.6979166667</v>
      </c>
      <c r="AW458" s="15" t="n">
        <f aca="false">IF(AND(Motore_Operativo!C458=Finanziamenti!$D$7,Finanziamenti!$F$7=1),Finanziamenti!$C$7,0)</f>
        <v>0</v>
      </c>
      <c r="AX458" s="15" t="n">
        <f aca="false">0</f>
        <v>0</v>
      </c>
      <c r="AY458" s="15" t="n">
        <f aca="false">IF(10=Parametri_v3!$C$33,IF(BV458&lt;MIN(12,$B458-1),0,MIN(MAX(0,SUM(Y437:Y448))*Ipotesi!$C$94,MAX(0,(BM448)-(BO457)-BP458),MAX(0,BD458-Parametri_v3!$C$31))),0)</f>
        <v>0</v>
      </c>
      <c r="AZ458" s="15" t="n">
        <f aca="false">0</f>
        <v>0</v>
      </c>
      <c r="BA458" s="15" t="n">
        <f aca="false">0</f>
        <v>0</v>
      </c>
      <c r="BB458" s="15" t="n">
        <f aca="false">0</f>
        <v>0</v>
      </c>
      <c r="BC458" s="15" t="n">
        <f aca="false">0</f>
        <v>0</v>
      </c>
      <c r="BD458" s="15" t="n">
        <f aca="false">(BH457)+AC458-AF458-AI458-AS458-K458*(1+Parametri_v3!$C$26)-AL458-AQ458-O458+AW458+AX458+AZ458+BA458-BB458</f>
        <v>79297.1432996664</v>
      </c>
      <c r="BE458" s="15" t="n">
        <f aca="false">0</f>
        <v>0</v>
      </c>
      <c r="BF458" s="15" t="n">
        <f aca="false">0</f>
        <v>0</v>
      </c>
      <c r="BG458" s="15" t="n">
        <f aca="false">0</f>
        <v>0</v>
      </c>
      <c r="BH458" s="15" t="n">
        <f aca="false">BD458+BE458-BF458-AY458</f>
        <v>79297.1432996664</v>
      </c>
      <c r="BI458" s="15" t="n">
        <f aca="false">MAX(0,Parametri_v3!$C$31-BH458)</f>
        <v>0</v>
      </c>
      <c r="BJ458" s="15" t="n">
        <f aca="false">(BJ457)+K458</f>
        <v>12166.6666666667</v>
      </c>
      <c r="BK458" s="15" t="n">
        <f aca="false">(BK457)+L458</f>
        <v>5303.24074074074</v>
      </c>
      <c r="BL458" s="15" t="n">
        <f aca="false">BJ458-BK458</f>
        <v>6863.42592592592</v>
      </c>
      <c r="BM458" s="15" t="n">
        <f aca="false">(BM457)+Y458</f>
        <v>178375.840108808</v>
      </c>
      <c r="BN458" s="15" t="n">
        <f aca="false">(BN457)+AW458+AX458+AZ458</f>
        <v>20000</v>
      </c>
      <c r="BO458" s="15" t="n">
        <f aca="false">(BO457)+AY458</f>
        <v>0</v>
      </c>
      <c r="BP458" s="15" t="n">
        <f aca="false">MIN(Parametri_v3!$C$36*Parametri_v3!$C$35,(BP457)+IF(10=1,MAX(0,SUM(Y437:Y448))*Parametri_v3!$C$34,0))</f>
        <v>2000</v>
      </c>
      <c r="BQ458" s="15" t="n">
        <f aca="false">BN458+BM458-BO458</f>
        <v>198375.840108808</v>
      </c>
      <c r="BR458" s="15" t="n">
        <f aca="false">BH458+AD458+BL458+MAX(0,-AM458)+MAX(0,-AR458)</f>
        <v>307590.569225592</v>
      </c>
      <c r="BS458" s="15" t="n">
        <f aca="false">AJ458+AV458+MAX(0,AM458)+MAX(0,AR458)+BC458+BG458+BQ458+AG458</f>
        <v>307590.569225592</v>
      </c>
      <c r="BT458" s="15" t="n">
        <f aca="false">BR458-BS458</f>
        <v>0</v>
      </c>
      <c r="BU458" s="15" t="n">
        <f aca="false">BH458-(BD458+BE458-BF458-AY458)</f>
        <v>0</v>
      </c>
      <c r="BV458" s="15" t="n">
        <f aca="false">IF(BH457&lt;Parametri_v3!$C$31,0,BV457+1)</f>
        <v>5</v>
      </c>
    </row>
    <row r="459" customFormat="false" ht="18" hidden="false" customHeight="true" outlineLevel="0" collapsed="false">
      <c r="A459" s="68" t="n">
        <f aca="false">8</f>
        <v>8</v>
      </c>
      <c r="B459" s="68" t="n">
        <f aca="false">35</f>
        <v>35</v>
      </c>
      <c r="C459" s="18" t="n">
        <f aca="false">Motore_Operativo!C459</f>
        <v>47423</v>
      </c>
      <c r="D459" s="68" t="n">
        <f aca="false">Motore_Operativo!D459</f>
        <v>2029</v>
      </c>
      <c r="E459" s="68" t="n">
        <f aca="false">Motore_Operativo!E459</f>
        <v>11</v>
      </c>
      <c r="F459" s="15" t="n">
        <f aca="false">Motore_Operativo!AM459</f>
        <v>60500</v>
      </c>
      <c r="G459" s="15" t="n">
        <f aca="false">Motore_Operativo!BH459</f>
        <v>6050</v>
      </c>
      <c r="H459" s="15" t="n">
        <f aca="false">Motore_Operativo!AM459</f>
        <v>60500</v>
      </c>
      <c r="I459" s="15" t="n">
        <f aca="false">Motore_Operativo!CB459</f>
        <v>46259.8958333333</v>
      </c>
      <c r="J459" s="15" t="n">
        <f aca="false">Motore_Operativo!CD459</f>
        <v>14240.1041666667</v>
      </c>
      <c r="K459" s="15" t="n">
        <f aca="false">Motore_Operativo!CF459</f>
        <v>416.666666666667</v>
      </c>
      <c r="L459" s="15" t="n">
        <f aca="false">SUM(INDEX($K$425:$K$484,MAX(1,35-Parametri_v3!$C$59+1)):K459)/Parametri_v3!$C$59</f>
        <v>349.537037037037</v>
      </c>
      <c r="M459" s="15" t="n">
        <f aca="false">J459-L459</f>
        <v>13890.5671296296</v>
      </c>
      <c r="N459" s="15" t="n">
        <f aca="false">0</f>
        <v>0</v>
      </c>
      <c r="O459" s="15" t="n">
        <f aca="false">0</f>
        <v>0</v>
      </c>
      <c r="P459" s="15" t="n">
        <f aca="false">M459+N459-O459</f>
        <v>13890.5671296296</v>
      </c>
      <c r="Q459" s="15" t="n">
        <f aca="false">SUM(P449:P459)+Parametri_v3!$C$56*11/12</f>
        <v>153432.8125</v>
      </c>
      <c r="R459" s="15" t="n">
        <f aca="false">Z448</f>
        <v>0</v>
      </c>
      <c r="S459" s="15" t="n">
        <f aca="false">AA448</f>
        <v>0</v>
      </c>
      <c r="T459" s="15" t="n">
        <f aca="false">MIN(R459,MAX(0,Q459))</f>
        <v>0</v>
      </c>
      <c r="U459" s="15" t="n">
        <f aca="false">MIN(S459,MAX(0,Q459-T459)*Parametri_v3!$C$42)</f>
        <v>0</v>
      </c>
      <c r="V459" s="15" t="n">
        <f aca="false">MAX(0,Q459-T459-U459)*Ipotesi!$C$92</f>
        <v>36823.875</v>
      </c>
      <c r="W459" s="15" t="n">
        <f aca="false">MAX(0,SUM(M449:M459)+Parametri_v3!$C$57*11/12)*Ipotesi!$C$93</f>
        <v>5983.8796875</v>
      </c>
      <c r="X459" s="15" t="n">
        <f aca="false">V459+W459-(V458+W458)</f>
        <v>3875.46822916668</v>
      </c>
      <c r="Y459" s="15" t="n">
        <f aca="false">P459-X459</f>
        <v>10015.098900463</v>
      </c>
      <c r="Z459" s="15" t="n">
        <f aca="false">R459-T459+IF(AND(Parametri_v3!$C$40=1,D459-YEAR(Parametri_v3!$C$50)&lt;Parametri_v3!$C$41),MAX(0,-Q459),0)</f>
        <v>0</v>
      </c>
      <c r="AA459" s="15" t="n">
        <f aca="false">S459-U459+IF(AND(Parametri_v3!$C$40=1,D459-YEAR(Parametri_v3!$C$50)&lt;Parametri_v3!$C$41),0,MAX(0,-Q459))</f>
        <v>0</v>
      </c>
      <c r="AB459" s="15" t="n">
        <f aca="false">F459*(1+Parametri_v3!$C$26)</f>
        <v>73810</v>
      </c>
      <c r="AC459" s="15" t="n">
        <f aca="false">(IF(35-(INT((Motore_Operativo!L459)/30))&lt;1,0,INDEX(Motore_Advisory!$AB$425:$AB$484,MAX(1,35-(INT((Motore_Operativo!L459)/30)))))*(1-(MOD((Motore_Operativo!L459),30)/30))+IF(35-(INT((Motore_Operativo!L459)/30))-1&lt;1,0,INDEX(Motore_Advisory!$AB$425:$AB$484,MAX(1,35-(INT((Motore_Operativo!L459)/30))-1)))*(MOD((Motore_Operativo!L459),30)/30))</f>
        <v>73810</v>
      </c>
      <c r="AD459" s="15" t="n">
        <f aca="false">(AD458)+AB459-AC459</f>
        <v>221430</v>
      </c>
      <c r="AE459" s="15" t="n">
        <f aca="false">Motore_Operativo!BH459*(1+Parametri_v3!$C$26)</f>
        <v>7381</v>
      </c>
      <c r="AF459" s="15" t="n">
        <f aca="false">(IF(35-(INT((Parametri_v3!$C$29)/30))&lt;1,0,INDEX(Motore_Operativo!$BH$425:$BH$484,MAX(1,35-(INT((Parametri_v3!$C$29)/30)))))*(1-(MOD((Parametri_v3!$C$29),30)/30))+IF(35-(INT((Parametri_v3!$C$29)/30))-1&lt;1,0,INDEX(Motore_Operativo!$BH$425:$BH$484,MAX(1,35-(INT((Parametri_v3!$C$29)/30))-1)))*(MOD((Parametri_v3!$C$29),30)/30))*(1+Parametri_v3!$C$26)</f>
        <v>7381</v>
      </c>
      <c r="AG459" s="15" t="n">
        <f aca="false">(AG458)+AE459-AF459</f>
        <v>7381</v>
      </c>
      <c r="AH459" s="15" t="n">
        <f aca="false">(Motore_Operativo!CK459)*(1+Parametri_v3!$C$28*Parametri_v3!$C$26)</f>
        <v>17395.98</v>
      </c>
      <c r="AI459" s="15" t="n">
        <f aca="false">(IF(35-(INT((Ipotesi!$C$91)/30))&lt;1,0,INDEX(Motore_Advisory!$AH$425:$AH$484,MAX(1,35-(INT((Ipotesi!$C$91)/30)))))*(1-(MOD((Ipotesi!$C$91),30)/30))+IF(35-(INT((Ipotesi!$C$91)/30))-1&lt;1,0,INDEX(Motore_Advisory!$AH$425:$AH$484,MAX(1,35-(INT((Ipotesi!$C$91)/30))-1)))*(MOD((Ipotesi!$C$91),30)/30))</f>
        <v>17395.98</v>
      </c>
      <c r="AJ459" s="15" t="n">
        <f aca="false">(AJ458)+AH459-AI459</f>
        <v>34791.96</v>
      </c>
      <c r="AK459" s="15" t="n">
        <f aca="false">(F459- Motore_Operativo!BH459-(Motore_Operativo!CK459)*Parametri_v3!$C$28-Motore_Operativo!CF459)*Parametri_v3!$C$26</f>
        <v>9283.85333333333</v>
      </c>
      <c r="AL459" s="15" t="n">
        <f aca="false">MAX(0,(AM458))</f>
        <v>9283.85333333333</v>
      </c>
      <c r="AM459" s="15" t="n">
        <f aca="false">(AM458)+AK459-AL459</f>
        <v>9283.85333333333</v>
      </c>
      <c r="AN459" s="15" t="n">
        <f aca="false">SUM(X437:X448)</f>
        <v>16530.1714788732</v>
      </c>
      <c r="AO459" s="15" t="n">
        <f aca="false">SUM(AP437:AP448)</f>
        <v>13562.3123684211</v>
      </c>
      <c r="AP459" s="15" t="n">
        <f aca="false">MAX(0,AN459)*IF(11=Parametri_v3!$C$43,Parametri_v3!$C$45,IF(11=Parametri_v3!$C$44,1-Parametri_v3!$C$45,0))</f>
        <v>9918.10288732394</v>
      </c>
      <c r="AQ459" s="15" t="n">
        <f aca="false">MAX(0,AP459+IF(11=Parametri_v3!$C$43,MAX(0,AN459-AO459),0)-MAX(0,-(AR458)))</f>
        <v>9918.10288732394</v>
      </c>
      <c r="AR459" s="15" t="n">
        <f aca="false">(AR458)+X459-AQ459</f>
        <v>26277.5832086268</v>
      </c>
      <c r="AS459" s="15" t="n">
        <f aca="false">Motore_Operativo!AC459-AT459+AU459</f>
        <v>24146.5260416667</v>
      </c>
      <c r="AT459" s="15" t="n">
        <f aca="false">Motore_Operativo!CI459</f>
        <v>1270.86979166667</v>
      </c>
      <c r="AU459" s="15" t="n">
        <f aca="false">MIN(MAX(0,(AV458)+AT459),Parametri_v3!$C$61/12)</f>
        <v>0</v>
      </c>
      <c r="AV459" s="15" t="n">
        <f aca="false">(AV458)+AT459-AU459</f>
        <v>26708.5677083333</v>
      </c>
      <c r="AW459" s="15" t="n">
        <f aca="false">IF(AND(Motore_Operativo!C459=Finanziamenti!$D$7,Finanziamenti!$F$7=1),Finanziamenti!$C$7,0)</f>
        <v>0</v>
      </c>
      <c r="AX459" s="15" t="n">
        <f aca="false">0</f>
        <v>0</v>
      </c>
      <c r="AY459" s="15" t="n">
        <f aca="false">IF(11=Parametri_v3!$C$33,IF(BV459&lt;MIN(12,$B459-1),0,MIN(MAX(0,SUM(Y437:Y448))*Ipotesi!$C$94,MAX(0,(BM448)-(BO458)-BP459),MAX(0,BD459-Parametri_v3!$C$31))),0)</f>
        <v>0</v>
      </c>
      <c r="AZ459" s="15" t="n">
        <f aca="false">0</f>
        <v>0</v>
      </c>
      <c r="BA459" s="15" t="n">
        <f aca="false">0</f>
        <v>0</v>
      </c>
      <c r="BB459" s="15" t="n">
        <f aca="false">0</f>
        <v>0</v>
      </c>
      <c r="BC459" s="15" t="n">
        <f aca="false">0</f>
        <v>0</v>
      </c>
      <c r="BD459" s="15" t="n">
        <f aca="false">(BH458)+AC459-AF459-AI459-AS459-K459*(1+Parametri_v3!$C$26)-AL459-AQ459-O459+AW459+AX459+AZ459+BA459-BB459</f>
        <v>84473.3477040091</v>
      </c>
      <c r="BE459" s="15" t="n">
        <f aca="false">0</f>
        <v>0</v>
      </c>
      <c r="BF459" s="15" t="n">
        <f aca="false">0</f>
        <v>0</v>
      </c>
      <c r="BG459" s="15" t="n">
        <f aca="false">0</f>
        <v>0</v>
      </c>
      <c r="BH459" s="15" t="n">
        <f aca="false">BD459+BE459-BF459-AY459</f>
        <v>84473.3477040091</v>
      </c>
      <c r="BI459" s="15" t="n">
        <f aca="false">MAX(0,Parametri_v3!$C$31-BH459)</f>
        <v>0</v>
      </c>
      <c r="BJ459" s="15" t="n">
        <f aca="false">(BJ458)+K459</f>
        <v>12583.3333333333</v>
      </c>
      <c r="BK459" s="15" t="n">
        <f aca="false">(BK458)+L459</f>
        <v>5652.77777777778</v>
      </c>
      <c r="BL459" s="15" t="n">
        <f aca="false">BJ459-BK459</f>
        <v>6930.55555555555</v>
      </c>
      <c r="BM459" s="15" t="n">
        <f aca="false">(BM458)+Y459</f>
        <v>188390.939009271</v>
      </c>
      <c r="BN459" s="15" t="n">
        <f aca="false">(BN458)+AW459+AX459+AZ459</f>
        <v>20000</v>
      </c>
      <c r="BO459" s="15" t="n">
        <f aca="false">(BO458)+AY459</f>
        <v>0</v>
      </c>
      <c r="BP459" s="15" t="n">
        <f aca="false">MIN(Parametri_v3!$C$36*Parametri_v3!$C$35,(BP458)+IF(11=1,MAX(0,SUM(Y437:Y448))*Parametri_v3!$C$34,0))</f>
        <v>2000</v>
      </c>
      <c r="BQ459" s="15" t="n">
        <f aca="false">BN459+BM459-BO459</f>
        <v>208390.939009271</v>
      </c>
      <c r="BR459" s="15" t="n">
        <f aca="false">BH459+AD459+BL459+MAX(0,-AM459)+MAX(0,-AR459)</f>
        <v>312833.903259565</v>
      </c>
      <c r="BS459" s="15" t="n">
        <f aca="false">AJ459+AV459+MAX(0,AM459)+MAX(0,AR459)+BC459+BG459+BQ459+AG459</f>
        <v>312833.903259565</v>
      </c>
      <c r="BT459" s="15" t="n">
        <f aca="false">BR459-BS459</f>
        <v>0</v>
      </c>
      <c r="BU459" s="15" t="n">
        <f aca="false">BH459-(BD459+BE459-BF459-AY459)</f>
        <v>0</v>
      </c>
      <c r="BV459" s="15" t="n">
        <f aca="false">IF(BH458&lt;Parametri_v3!$C$31,0,BV458+1)</f>
        <v>6</v>
      </c>
    </row>
    <row r="460" customFormat="false" ht="18" hidden="false" customHeight="true" outlineLevel="0" collapsed="false">
      <c r="A460" s="68" t="n">
        <f aca="false">8</f>
        <v>8</v>
      </c>
      <c r="B460" s="68" t="n">
        <f aca="false">36</f>
        <v>36</v>
      </c>
      <c r="C460" s="18" t="n">
        <f aca="false">Motore_Operativo!C460</f>
        <v>47453</v>
      </c>
      <c r="D460" s="68" t="n">
        <f aca="false">Motore_Operativo!D460</f>
        <v>2029</v>
      </c>
      <c r="E460" s="68" t="n">
        <f aca="false">Motore_Operativo!E460</f>
        <v>12</v>
      </c>
      <c r="F460" s="15" t="n">
        <f aca="false">Motore_Operativo!AM460</f>
        <v>60500</v>
      </c>
      <c r="G460" s="15" t="n">
        <f aca="false">Motore_Operativo!BH460</f>
        <v>6050</v>
      </c>
      <c r="H460" s="15" t="n">
        <f aca="false">Motore_Operativo!AM460</f>
        <v>60500</v>
      </c>
      <c r="I460" s="15" t="n">
        <f aca="false">Motore_Operativo!CB460</f>
        <v>46259.8958333333</v>
      </c>
      <c r="J460" s="15" t="n">
        <f aca="false">Motore_Operativo!CD460</f>
        <v>14240.1041666667</v>
      </c>
      <c r="K460" s="15" t="n">
        <f aca="false">Motore_Operativo!CF460</f>
        <v>416.666666666667</v>
      </c>
      <c r="L460" s="15" t="n">
        <f aca="false">SUM(INDEX($K$425:$K$484,MAX(1,36-Parametri_v3!$C$59+1)):K460)/Parametri_v3!$C$59</f>
        <v>361.111111111111</v>
      </c>
      <c r="M460" s="15" t="n">
        <f aca="false">J460-L460</f>
        <v>13878.9930555556</v>
      </c>
      <c r="N460" s="15" t="n">
        <f aca="false">0</f>
        <v>0</v>
      </c>
      <c r="O460" s="15" t="n">
        <f aca="false">0</f>
        <v>0</v>
      </c>
      <c r="P460" s="15" t="n">
        <f aca="false">M460+N460-O460</f>
        <v>13878.9930555556</v>
      </c>
      <c r="Q460" s="15" t="n">
        <f aca="false">SUM(P449:P460)+Parametri_v3!$C$56*12/12</f>
        <v>167311.805555556</v>
      </c>
      <c r="R460" s="15" t="n">
        <f aca="false">Z448</f>
        <v>0</v>
      </c>
      <c r="S460" s="15" t="n">
        <f aca="false">AA448</f>
        <v>0</v>
      </c>
      <c r="T460" s="15" t="n">
        <f aca="false">MIN(R460,MAX(0,Q460))</f>
        <v>0</v>
      </c>
      <c r="U460" s="15" t="n">
        <f aca="false">MIN(S460,MAX(0,Q460-T460)*Parametri_v3!$C$42)</f>
        <v>0</v>
      </c>
      <c r="V460" s="15" t="n">
        <f aca="false">MAX(0,Q460-T460-U460)*Ipotesi!$C$92</f>
        <v>40154.8333333334</v>
      </c>
      <c r="W460" s="15" t="n">
        <f aca="false">MAX(0,SUM(M449:M460)+Parametri_v3!$C$57*12/12)*Ipotesi!$C$93</f>
        <v>6525.16041666667</v>
      </c>
      <c r="X460" s="15" t="n">
        <f aca="false">V460+W460-(V459+W459)</f>
        <v>3872.2390625</v>
      </c>
      <c r="Y460" s="15" t="n">
        <f aca="false">P460-X460</f>
        <v>10006.7539930556</v>
      </c>
      <c r="Z460" s="15" t="n">
        <f aca="false">R460-T460+IF(AND(Parametri_v3!$C$40=1,D460-YEAR(Parametri_v3!$C$50)&lt;Parametri_v3!$C$41),MAX(0,-Q460),0)</f>
        <v>0</v>
      </c>
      <c r="AA460" s="15" t="n">
        <f aca="false">S460-U460+IF(AND(Parametri_v3!$C$40=1,D460-YEAR(Parametri_v3!$C$50)&lt;Parametri_v3!$C$41),0,MAX(0,-Q460))</f>
        <v>0</v>
      </c>
      <c r="AB460" s="15" t="n">
        <f aca="false">F460*(1+Parametri_v3!$C$26)</f>
        <v>73810</v>
      </c>
      <c r="AC460" s="15" t="n">
        <f aca="false">(IF(36-(INT((Motore_Operativo!L460)/30))&lt;1,0,INDEX(Motore_Advisory!$AB$425:$AB$484,MAX(1,36-(INT((Motore_Operativo!L460)/30)))))*(1-(MOD((Motore_Operativo!L460),30)/30))+IF(36-(INT((Motore_Operativo!L460)/30))-1&lt;1,0,INDEX(Motore_Advisory!$AB$425:$AB$484,MAX(1,36-(INT((Motore_Operativo!L460)/30))-1)))*(MOD((Motore_Operativo!L460),30)/30))</f>
        <v>73810</v>
      </c>
      <c r="AD460" s="15" t="n">
        <f aca="false">(AD459)+AB460-AC460</f>
        <v>221430</v>
      </c>
      <c r="AE460" s="15" t="n">
        <f aca="false">Motore_Operativo!BH460*(1+Parametri_v3!$C$26)</f>
        <v>7381</v>
      </c>
      <c r="AF460" s="15" t="n">
        <f aca="false">(IF(36-(INT((Parametri_v3!$C$29)/30))&lt;1,0,INDEX(Motore_Operativo!$BH$425:$BH$484,MAX(1,36-(INT((Parametri_v3!$C$29)/30)))))*(1-(MOD((Parametri_v3!$C$29),30)/30))+IF(36-(INT((Parametri_v3!$C$29)/30))-1&lt;1,0,INDEX(Motore_Operativo!$BH$425:$BH$484,MAX(1,36-(INT((Parametri_v3!$C$29)/30))-1)))*(MOD((Parametri_v3!$C$29),30)/30))*(1+Parametri_v3!$C$26)</f>
        <v>7381</v>
      </c>
      <c r="AG460" s="15" t="n">
        <f aca="false">(AG459)+AE460-AF460</f>
        <v>7381</v>
      </c>
      <c r="AH460" s="15" t="n">
        <f aca="false">(Motore_Operativo!CK460)*(1+Parametri_v3!$C$28*Parametri_v3!$C$26)</f>
        <v>17395.98</v>
      </c>
      <c r="AI460" s="15" t="n">
        <f aca="false">(IF(36-(INT((Ipotesi!$C$91)/30))&lt;1,0,INDEX(Motore_Advisory!$AH$425:$AH$484,MAX(1,36-(INT((Ipotesi!$C$91)/30)))))*(1-(MOD((Ipotesi!$C$91),30)/30))+IF(36-(INT((Ipotesi!$C$91)/30))-1&lt;1,0,INDEX(Motore_Advisory!$AH$425:$AH$484,MAX(1,36-(INT((Ipotesi!$C$91)/30))-1)))*(MOD((Ipotesi!$C$91),30)/30))</f>
        <v>17395.98</v>
      </c>
      <c r="AJ460" s="15" t="n">
        <f aca="false">(AJ459)+AH460-AI460</f>
        <v>34791.96</v>
      </c>
      <c r="AK460" s="15" t="n">
        <f aca="false">(F460- Motore_Operativo!BH460-(Motore_Operativo!CK460)*Parametri_v3!$C$28-Motore_Operativo!CF460)*Parametri_v3!$C$26</f>
        <v>9283.85333333333</v>
      </c>
      <c r="AL460" s="15" t="n">
        <f aca="false">MAX(0,(AM459))</f>
        <v>9283.85333333333</v>
      </c>
      <c r="AM460" s="15" t="n">
        <f aca="false">(AM459)+AK460-AL460</f>
        <v>9283.85333333333</v>
      </c>
      <c r="AN460" s="15" t="n">
        <f aca="false">SUM(X437:X448)</f>
        <v>16530.1714788732</v>
      </c>
      <c r="AO460" s="15" t="n">
        <f aca="false">SUM(AP437:AP448)</f>
        <v>13562.3123684211</v>
      </c>
      <c r="AP460" s="15" t="n">
        <f aca="false">MAX(0,AN460)*IF(12=Parametri_v3!$C$43,Parametri_v3!$C$45,IF(12=Parametri_v3!$C$44,1-Parametri_v3!$C$45,0))</f>
        <v>0</v>
      </c>
      <c r="AQ460" s="15" t="n">
        <f aca="false">MAX(0,AP460+IF(12=Parametri_v3!$C$43,MAX(0,AN460-AO460),0)-MAX(0,-(AR459)))</f>
        <v>0</v>
      </c>
      <c r="AR460" s="15" t="n">
        <f aca="false">(AR459)+X460-AQ460</f>
        <v>30149.8222711268</v>
      </c>
      <c r="AS460" s="15" t="n">
        <f aca="false">Motore_Operativo!AC460-AT460+AU460</f>
        <v>24146.5260416667</v>
      </c>
      <c r="AT460" s="15" t="n">
        <f aca="false">Motore_Operativo!CI460</f>
        <v>1270.86979166667</v>
      </c>
      <c r="AU460" s="15" t="n">
        <f aca="false">MIN(MAX(0,(AV459)+AT460),Parametri_v3!$C$61/12)</f>
        <v>0</v>
      </c>
      <c r="AV460" s="15" t="n">
        <f aca="false">(AV459)+AT460-AU460</f>
        <v>27979.4375</v>
      </c>
      <c r="AW460" s="15" t="n">
        <f aca="false">IF(AND(Motore_Operativo!C460=Finanziamenti!$D$7,Finanziamenti!$F$7=1),Finanziamenti!$C$7,0)</f>
        <v>0</v>
      </c>
      <c r="AX460" s="15" t="n">
        <f aca="false">0</f>
        <v>0</v>
      </c>
      <c r="AY460" s="15" t="n">
        <f aca="false">IF(12=Parametri_v3!$C$33,IF(BV460&lt;MIN(12,$B460-1),0,MIN(MAX(0,SUM(Y437:Y448))*Ipotesi!$C$94,MAX(0,(BM448)-(BO459)-BP460),MAX(0,BD460-Parametri_v3!$C$31))),0)</f>
        <v>0</v>
      </c>
      <c r="AZ460" s="15" t="n">
        <f aca="false">0</f>
        <v>0</v>
      </c>
      <c r="BA460" s="15" t="n">
        <f aca="false">0</f>
        <v>0</v>
      </c>
      <c r="BB460" s="15" t="n">
        <f aca="false">0</f>
        <v>0</v>
      </c>
      <c r="BC460" s="15" t="n">
        <f aca="false">0</f>
        <v>0</v>
      </c>
      <c r="BD460" s="15" t="n">
        <f aca="false">(BH459)+AC460-AF460-AI460-AS460-K460*(1+Parametri_v3!$C$26)-AL460-AQ460-O460+AW460+AX460+AZ460+BA460-BB460</f>
        <v>99567.6549956758</v>
      </c>
      <c r="BE460" s="15" t="n">
        <f aca="false">0</f>
        <v>0</v>
      </c>
      <c r="BF460" s="15" t="n">
        <f aca="false">0</f>
        <v>0</v>
      </c>
      <c r="BG460" s="15" t="n">
        <f aca="false">0</f>
        <v>0</v>
      </c>
      <c r="BH460" s="15" t="n">
        <f aca="false">BD460+BE460-BF460-AY460</f>
        <v>99567.6549956758</v>
      </c>
      <c r="BI460" s="15" t="n">
        <f aca="false">MAX(0,Parametri_v3!$C$31-BH460)</f>
        <v>0</v>
      </c>
      <c r="BJ460" s="15" t="n">
        <f aca="false">(BJ459)+K460</f>
        <v>13000</v>
      </c>
      <c r="BK460" s="15" t="n">
        <f aca="false">(BK459)+L460</f>
        <v>6013.88888888889</v>
      </c>
      <c r="BL460" s="15" t="n">
        <f aca="false">BJ460-BK460</f>
        <v>6986.11111111111</v>
      </c>
      <c r="BM460" s="15" t="n">
        <f aca="false">(BM459)+Y460</f>
        <v>198397.693002327</v>
      </c>
      <c r="BN460" s="15" t="n">
        <f aca="false">(BN459)+AW460+AX460+AZ460</f>
        <v>20000</v>
      </c>
      <c r="BO460" s="15" t="n">
        <f aca="false">(BO459)+AY460</f>
        <v>0</v>
      </c>
      <c r="BP460" s="15" t="n">
        <f aca="false">MIN(Parametri_v3!$C$36*Parametri_v3!$C$35,(BP459)+IF(12=1,MAX(0,SUM(Y437:Y448))*Parametri_v3!$C$34,0))</f>
        <v>2000</v>
      </c>
      <c r="BQ460" s="15" t="n">
        <f aca="false">BN460+BM460-BO460</f>
        <v>218397.693002327</v>
      </c>
      <c r="BR460" s="15" t="n">
        <f aca="false">BH460+AD460+BL460+MAX(0,-AM460)+MAX(0,-AR460)</f>
        <v>327983.766106787</v>
      </c>
      <c r="BS460" s="15" t="n">
        <f aca="false">AJ460+AV460+MAX(0,AM460)+MAX(0,AR460)+BC460+BG460+BQ460+AG460</f>
        <v>327983.766106787</v>
      </c>
      <c r="BT460" s="15" t="n">
        <f aca="false">BR460-BS460</f>
        <v>0</v>
      </c>
      <c r="BU460" s="15" t="n">
        <f aca="false">BH460-(BD460+BE460-BF460-AY460)</f>
        <v>0</v>
      </c>
      <c r="BV460" s="15" t="n">
        <f aca="false">IF(BH459&lt;Parametri_v3!$C$31,0,BV459+1)</f>
        <v>7</v>
      </c>
    </row>
    <row r="461" customFormat="false" ht="18" hidden="false" customHeight="true" outlineLevel="0" collapsed="false">
      <c r="A461" s="68" t="n">
        <f aca="false">8</f>
        <v>8</v>
      </c>
      <c r="B461" s="68" t="n">
        <f aca="false">37</f>
        <v>37</v>
      </c>
      <c r="C461" s="18" t="n">
        <f aca="false">Motore_Operativo!C461</f>
        <v>47484</v>
      </c>
      <c r="D461" s="68" t="n">
        <f aca="false">Motore_Operativo!D461</f>
        <v>2030</v>
      </c>
      <c r="E461" s="68" t="n">
        <f aca="false">Motore_Operativo!E461</f>
        <v>1</v>
      </c>
      <c r="F461" s="15" t="n">
        <f aca="false">Motore_Operativo!AM461</f>
        <v>90241.6666666667</v>
      </c>
      <c r="G461" s="15" t="n">
        <f aca="false">Motore_Operativo!BH461</f>
        <v>9024.16666666667</v>
      </c>
      <c r="H461" s="15" t="n">
        <f aca="false">Motore_Operativo!AM461</f>
        <v>90241.6666666667</v>
      </c>
      <c r="I461" s="15" t="n">
        <f aca="false">Motore_Operativo!CB461</f>
        <v>62580.173375</v>
      </c>
      <c r="J461" s="15" t="n">
        <f aca="false">Motore_Operativo!CD461</f>
        <v>27661.4932916667</v>
      </c>
      <c r="K461" s="15" t="n">
        <f aca="false">Motore_Operativo!CF461</f>
        <v>666.666666666667</v>
      </c>
      <c r="L461" s="15" t="n">
        <f aca="false">SUM(INDEX($K$425:$K$484,MAX(1,37-Parametri_v3!$C$59+1)):K461)/Parametri_v3!$C$59</f>
        <v>372.685185185185</v>
      </c>
      <c r="M461" s="15" t="n">
        <f aca="false">J461-L461</f>
        <v>27288.8081064815</v>
      </c>
      <c r="N461" s="15" t="n">
        <f aca="false">0</f>
        <v>0</v>
      </c>
      <c r="O461" s="15" t="n">
        <f aca="false">0</f>
        <v>0</v>
      </c>
      <c r="P461" s="15" t="n">
        <f aca="false">M461+N461-O461</f>
        <v>27288.8081064815</v>
      </c>
      <c r="Q461" s="15" t="n">
        <f aca="false">SUM(P461)+Parametri_v3!$C$56*1/12</f>
        <v>27288.8081064815</v>
      </c>
      <c r="R461" s="15" t="n">
        <f aca="false">Z460</f>
        <v>0</v>
      </c>
      <c r="S461" s="15" t="n">
        <f aca="false">AA460</f>
        <v>0</v>
      </c>
      <c r="T461" s="15" t="n">
        <f aca="false">MIN(R461,MAX(0,Q461))</f>
        <v>0</v>
      </c>
      <c r="U461" s="15" t="n">
        <f aca="false">MIN(S461,MAX(0,Q461-T461)*Parametri_v3!$C$42)</f>
        <v>0</v>
      </c>
      <c r="V461" s="15" t="n">
        <f aca="false">MAX(0,Q461-T461-U461)*Ipotesi!$C$92</f>
        <v>6549.31394555556</v>
      </c>
      <c r="W461" s="15" t="n">
        <f aca="false">MAX(0,SUM(M461)+Parametri_v3!$C$57*1/12)*Ipotesi!$C$93</f>
        <v>1064.26351615278</v>
      </c>
      <c r="X461" s="15" t="n">
        <f aca="false">V461+W461-(0)</f>
        <v>7613.57746170833</v>
      </c>
      <c r="Y461" s="15" t="n">
        <f aca="false">P461-X461</f>
        <v>19675.2306447731</v>
      </c>
      <c r="Z461" s="15" t="n">
        <f aca="false">R461-T461+IF(AND(Parametri_v3!$C$40=1,D461-YEAR(Parametri_v3!$C$50)&lt;Parametri_v3!$C$41),MAX(0,-Q461),0)</f>
        <v>0</v>
      </c>
      <c r="AA461" s="15" t="n">
        <f aca="false">S461-U461+IF(AND(Parametri_v3!$C$40=1,D461-YEAR(Parametri_v3!$C$50)&lt;Parametri_v3!$C$41),0,MAX(0,-Q461))</f>
        <v>0</v>
      </c>
      <c r="AB461" s="15" t="n">
        <f aca="false">F461*(1+Parametri_v3!$C$26)</f>
        <v>110094.833333333</v>
      </c>
      <c r="AC461" s="15" t="n">
        <f aca="false">(IF(37-(INT((Motore_Operativo!L461)/30))&lt;1,0,INDEX(Motore_Advisory!$AB$425:$AB$484,MAX(1,37-(INT((Motore_Operativo!L461)/30)))))*(1-(MOD((Motore_Operativo!L461),30)/30))+IF(37-(INT((Motore_Operativo!L461)/30))-1&lt;1,0,INDEX(Motore_Advisory!$AB$425:$AB$484,MAX(1,37-(INT((Motore_Operativo!L461)/30))-1)))*(MOD((Motore_Operativo!L461),30)/30))</f>
        <v>73810</v>
      </c>
      <c r="AD461" s="15" t="n">
        <f aca="false">(AD460)+AB461-AC461</f>
        <v>257714.833333333</v>
      </c>
      <c r="AE461" s="15" t="n">
        <f aca="false">Motore_Operativo!BH461*(1+Parametri_v3!$C$26)</f>
        <v>11009.4833333333</v>
      </c>
      <c r="AF461" s="15" t="n">
        <f aca="false">(IF(37-(INT((Parametri_v3!$C$29)/30))&lt;1,0,INDEX(Motore_Operativo!$BH$425:$BH$484,MAX(1,37-(INT((Parametri_v3!$C$29)/30)))))*(1-(MOD((Parametri_v3!$C$29),30)/30))+IF(37-(INT((Parametri_v3!$C$29)/30))-1&lt;1,0,INDEX(Motore_Operativo!$BH$425:$BH$484,MAX(1,37-(INT((Parametri_v3!$C$29)/30))-1)))*(MOD((Parametri_v3!$C$29),30)/30))*(1+Parametri_v3!$C$26)</f>
        <v>7381</v>
      </c>
      <c r="AG461" s="15" t="n">
        <f aca="false">(AG460)+AE461-AF461</f>
        <v>11009.4833333333</v>
      </c>
      <c r="AH461" s="15" t="n">
        <f aca="false">(Motore_Operativo!CK461)*(1+Parametri_v3!$C$28*Parametri_v3!$C$26)</f>
        <v>23198.952</v>
      </c>
      <c r="AI461" s="15" t="n">
        <f aca="false">(IF(37-(INT((Ipotesi!$C$91)/30))&lt;1,0,INDEX(Motore_Advisory!$AH$425:$AH$484,MAX(1,37-(INT((Ipotesi!$C$91)/30)))))*(1-(MOD((Ipotesi!$C$91),30)/30))+IF(37-(INT((Ipotesi!$C$91)/30))-1&lt;1,0,INDEX(Motore_Advisory!$AH$425:$AH$484,MAX(1,37-(INT((Ipotesi!$C$91)/30))-1)))*(MOD((Ipotesi!$C$91),30)/30))</f>
        <v>17395.98</v>
      </c>
      <c r="AJ461" s="15" t="n">
        <f aca="false">(AJ460)+AH461-AI461</f>
        <v>40594.932</v>
      </c>
      <c r="AK461" s="15" t="n">
        <f aca="false">(F461- Motore_Operativo!BH461-(Motore_Operativo!CK461)*Parametri_v3!$C$28-Motore_Operativo!CF461)*Parametri_v3!$C$26</f>
        <v>14249.2313333333</v>
      </c>
      <c r="AL461" s="15" t="n">
        <f aca="false">MAX(0,(AM460))</f>
        <v>9283.85333333333</v>
      </c>
      <c r="AM461" s="15" t="n">
        <f aca="false">(AM460)+AK461-AL461</f>
        <v>14249.2313333333</v>
      </c>
      <c r="AN461" s="15" t="n">
        <f aca="false">SUM(X449:X460)</f>
        <v>46679.99375</v>
      </c>
      <c r="AO461" s="15" t="n">
        <f aca="false">SUM(AP449:AP460)</f>
        <v>16530.1714788732</v>
      </c>
      <c r="AP461" s="15" t="n">
        <f aca="false">MAX(0,AN461)*IF(1=Parametri_v3!$C$43,Parametri_v3!$C$45,IF(1=Parametri_v3!$C$44,1-Parametri_v3!$C$45,0))</f>
        <v>0</v>
      </c>
      <c r="AQ461" s="15" t="n">
        <f aca="false">MAX(0,AP461+IF(1=Parametri_v3!$C$43,MAX(0,AN461-AO461),0)-MAX(0,-(AR460)))</f>
        <v>0</v>
      </c>
      <c r="AR461" s="15" t="n">
        <f aca="false">(AR460)+X461-AQ461</f>
        <v>37763.3997328351</v>
      </c>
      <c r="AS461" s="15" t="n">
        <f aca="false">Motore_Operativo!AC461-AT461+AU461</f>
        <v>32137.5563729167</v>
      </c>
      <c r="AT461" s="15" t="n">
        <f aca="false">Motore_Operativo!CI461</f>
        <v>1691.45033541667</v>
      </c>
      <c r="AU461" s="15" t="n">
        <f aca="false">MIN(MAX(0,(AV460)+AT461),Parametri_v3!$C$61/12)</f>
        <v>0</v>
      </c>
      <c r="AV461" s="15" t="n">
        <f aca="false">(AV460)+AT461-AU461</f>
        <v>29670.8878354167</v>
      </c>
      <c r="AW461" s="15" t="n">
        <f aca="false">IF(AND(Motore_Operativo!C461=Finanziamenti!$D$7,Finanziamenti!$F$7=1),Finanziamenti!$C$7,0)</f>
        <v>0</v>
      </c>
      <c r="AX461" s="15" t="n">
        <f aca="false">0</f>
        <v>0</v>
      </c>
      <c r="AY461" s="15" t="n">
        <f aca="false">IF(1=Parametri_v3!$C$33,IF(BV461&lt;MIN(12,$B461-1),0,MIN(MAX(0,SUM(Y449:Y460))*Ipotesi!$C$94,MAX(0,(BM460)-(BO460)-BP461),MAX(0,BD461-Parametri_v3!$C$31))),0)</f>
        <v>0</v>
      </c>
      <c r="AZ461" s="15" t="n">
        <f aca="false">0</f>
        <v>0</v>
      </c>
      <c r="BA461" s="15" t="n">
        <f aca="false">0</f>
        <v>0</v>
      </c>
      <c r="BB461" s="15" t="n">
        <f aca="false">0</f>
        <v>0</v>
      </c>
      <c r="BC461" s="15" t="n">
        <f aca="false">0</f>
        <v>0</v>
      </c>
      <c r="BD461" s="15" t="n">
        <f aca="false">(BH460)+AC461-AF461-AI461-AS461-K461*(1+Parametri_v3!$C$26)-AL461-AQ461-O461+AW461+AX461+AZ461+BA461-BB461</f>
        <v>106365.931956092</v>
      </c>
      <c r="BE461" s="15" t="n">
        <f aca="false">0</f>
        <v>0</v>
      </c>
      <c r="BF461" s="15" t="n">
        <f aca="false">0</f>
        <v>0</v>
      </c>
      <c r="BG461" s="15" t="n">
        <f aca="false">0</f>
        <v>0</v>
      </c>
      <c r="BH461" s="15" t="n">
        <f aca="false">BD461+BE461-BF461-AY461</f>
        <v>106365.931956092</v>
      </c>
      <c r="BI461" s="15" t="n">
        <f aca="false">MAX(0,Parametri_v3!$C$31-BH461)</f>
        <v>0</v>
      </c>
      <c r="BJ461" s="15" t="n">
        <f aca="false">(BJ460)+K461</f>
        <v>13666.6666666667</v>
      </c>
      <c r="BK461" s="15" t="n">
        <f aca="false">(BK460)+L461</f>
        <v>6386.57407407407</v>
      </c>
      <c r="BL461" s="15" t="n">
        <f aca="false">BJ461-BK461</f>
        <v>7280.09259259259</v>
      </c>
      <c r="BM461" s="15" t="n">
        <f aca="false">(BM460)+Y461</f>
        <v>218072.9236471</v>
      </c>
      <c r="BN461" s="15" t="n">
        <f aca="false">(BN460)+AW461+AX461+AZ461</f>
        <v>20000</v>
      </c>
      <c r="BO461" s="15" t="n">
        <f aca="false">(BO460)+AY461</f>
        <v>0</v>
      </c>
      <c r="BP461" s="15" t="n">
        <f aca="false">MIN(Parametri_v3!$C$36*Parametri_v3!$C$35,(BP460)+IF(1=1,MAX(0,SUM(Y449:Y460))*Parametri_v3!$C$34,0))</f>
        <v>2000</v>
      </c>
      <c r="BQ461" s="15" t="n">
        <f aca="false">BN461+BM461-BO461</f>
        <v>238072.9236471</v>
      </c>
      <c r="BR461" s="15" t="n">
        <f aca="false">BH461+AD461+BL461+MAX(0,-AM461)+MAX(0,-AR461)</f>
        <v>371360.857882018</v>
      </c>
      <c r="BS461" s="15" t="n">
        <f aca="false">AJ461+AV461+MAX(0,AM461)+MAX(0,AR461)+BC461+BG461+BQ461+AG461</f>
        <v>371360.857882018</v>
      </c>
      <c r="BT461" s="15" t="n">
        <f aca="false">BR461-BS461</f>
        <v>0</v>
      </c>
      <c r="BU461" s="15" t="n">
        <f aca="false">BH461-(BD461+BE461-BF461-AY461)</f>
        <v>0</v>
      </c>
      <c r="BV461" s="15" t="n">
        <f aca="false">IF(BH460&lt;Parametri_v3!$C$31,0,BV460+1)</f>
        <v>8</v>
      </c>
    </row>
    <row r="462" customFormat="false" ht="18" hidden="false" customHeight="true" outlineLevel="0" collapsed="false">
      <c r="A462" s="68" t="n">
        <f aca="false">8</f>
        <v>8</v>
      </c>
      <c r="B462" s="68" t="n">
        <f aca="false">38</f>
        <v>38</v>
      </c>
      <c r="C462" s="18" t="n">
        <f aca="false">Motore_Operativo!C462</f>
        <v>47515</v>
      </c>
      <c r="D462" s="68" t="n">
        <f aca="false">Motore_Operativo!D462</f>
        <v>2030</v>
      </c>
      <c r="E462" s="68" t="n">
        <f aca="false">Motore_Operativo!E462</f>
        <v>2</v>
      </c>
      <c r="F462" s="15" t="n">
        <f aca="false">Motore_Operativo!AM462</f>
        <v>90241.6666666667</v>
      </c>
      <c r="G462" s="15" t="n">
        <f aca="false">Motore_Operativo!BH462</f>
        <v>9024.16666666667</v>
      </c>
      <c r="H462" s="15" t="n">
        <f aca="false">Motore_Operativo!AM462</f>
        <v>90241.6666666667</v>
      </c>
      <c r="I462" s="15" t="n">
        <f aca="false">Motore_Operativo!CB462</f>
        <v>62580.173375</v>
      </c>
      <c r="J462" s="15" t="n">
        <f aca="false">Motore_Operativo!CD462</f>
        <v>27661.4932916667</v>
      </c>
      <c r="K462" s="15" t="n">
        <f aca="false">Motore_Operativo!CF462</f>
        <v>666.666666666667</v>
      </c>
      <c r="L462" s="15" t="n">
        <f aca="false">SUM(INDEX($K$425:$K$484,MAX(1,38-Parametri_v3!$C$59+1)):K462)/Parametri_v3!$C$59</f>
        <v>384.259259259259</v>
      </c>
      <c r="M462" s="15" t="n">
        <f aca="false">J462-L462</f>
        <v>27277.2340324074</v>
      </c>
      <c r="N462" s="15" t="n">
        <f aca="false">0</f>
        <v>0</v>
      </c>
      <c r="O462" s="15" t="n">
        <f aca="false">0</f>
        <v>0</v>
      </c>
      <c r="P462" s="15" t="n">
        <f aca="false">M462+N462-O462</f>
        <v>27277.2340324074</v>
      </c>
      <c r="Q462" s="15" t="n">
        <f aca="false">SUM(P461:P462)+Parametri_v3!$C$56*2/12</f>
        <v>54566.0421388889</v>
      </c>
      <c r="R462" s="15" t="n">
        <f aca="false">Z460</f>
        <v>0</v>
      </c>
      <c r="S462" s="15" t="n">
        <f aca="false">AA460</f>
        <v>0</v>
      </c>
      <c r="T462" s="15" t="n">
        <f aca="false">MIN(R462,MAX(0,Q462))</f>
        <v>0</v>
      </c>
      <c r="U462" s="15" t="n">
        <f aca="false">MIN(S462,MAX(0,Q462-T462)*Parametri_v3!$C$42)</f>
        <v>0</v>
      </c>
      <c r="V462" s="15" t="n">
        <f aca="false">MAX(0,Q462-T462-U462)*Ipotesi!$C$92</f>
        <v>13095.8501133333</v>
      </c>
      <c r="W462" s="15" t="n">
        <f aca="false">MAX(0,SUM(M461:M462)+Parametri_v3!$C$57*2/12)*Ipotesi!$C$93</f>
        <v>2128.07564341667</v>
      </c>
      <c r="X462" s="15" t="n">
        <f aca="false">V462+W462-(V461+W461)</f>
        <v>7610.34829504167</v>
      </c>
      <c r="Y462" s="15" t="n">
        <f aca="false">P462-X462</f>
        <v>19666.8857373657</v>
      </c>
      <c r="Z462" s="15" t="n">
        <f aca="false">R462-T462+IF(AND(Parametri_v3!$C$40=1,D462-YEAR(Parametri_v3!$C$50)&lt;Parametri_v3!$C$41),MAX(0,-Q462),0)</f>
        <v>0</v>
      </c>
      <c r="AA462" s="15" t="n">
        <f aca="false">S462-U462+IF(AND(Parametri_v3!$C$40=1,D462-YEAR(Parametri_v3!$C$50)&lt;Parametri_v3!$C$41),0,MAX(0,-Q462))</f>
        <v>0</v>
      </c>
      <c r="AB462" s="15" t="n">
        <f aca="false">F462*(1+Parametri_v3!$C$26)</f>
        <v>110094.833333333</v>
      </c>
      <c r="AC462" s="15" t="n">
        <f aca="false">(IF(38-(INT((Motore_Operativo!L462)/30))&lt;1,0,INDEX(Motore_Advisory!$AB$425:$AB$484,MAX(1,38-(INT((Motore_Operativo!L462)/30)))))*(1-(MOD((Motore_Operativo!L462),30)/30))+IF(38-(INT((Motore_Operativo!L462)/30))-1&lt;1,0,INDEX(Motore_Advisory!$AB$425:$AB$484,MAX(1,38-(INT((Motore_Operativo!L462)/30))-1)))*(MOD((Motore_Operativo!L462),30)/30))</f>
        <v>73810</v>
      </c>
      <c r="AD462" s="15" t="n">
        <f aca="false">(AD461)+AB462-AC462</f>
        <v>293999.666666667</v>
      </c>
      <c r="AE462" s="15" t="n">
        <f aca="false">Motore_Operativo!BH462*(1+Parametri_v3!$C$26)</f>
        <v>11009.4833333333</v>
      </c>
      <c r="AF462" s="15" t="n">
        <f aca="false">(IF(38-(INT((Parametri_v3!$C$29)/30))&lt;1,0,INDEX(Motore_Operativo!$BH$425:$BH$484,MAX(1,38-(INT((Parametri_v3!$C$29)/30)))))*(1-(MOD((Parametri_v3!$C$29),30)/30))+IF(38-(INT((Parametri_v3!$C$29)/30))-1&lt;1,0,INDEX(Motore_Operativo!$BH$425:$BH$484,MAX(1,38-(INT((Parametri_v3!$C$29)/30))-1)))*(MOD((Parametri_v3!$C$29),30)/30))*(1+Parametri_v3!$C$26)</f>
        <v>11009.4833333333</v>
      </c>
      <c r="AG462" s="15" t="n">
        <f aca="false">(AG461)+AE462-AF462</f>
        <v>11009.4833333333</v>
      </c>
      <c r="AH462" s="15" t="n">
        <f aca="false">(Motore_Operativo!CK462)*(1+Parametri_v3!$C$28*Parametri_v3!$C$26)</f>
        <v>23198.952</v>
      </c>
      <c r="AI462" s="15" t="n">
        <f aca="false">(IF(38-(INT((Ipotesi!$C$91)/30))&lt;1,0,INDEX(Motore_Advisory!$AH$425:$AH$484,MAX(1,38-(INT((Ipotesi!$C$91)/30)))))*(1-(MOD((Ipotesi!$C$91),30)/30))+IF(38-(INT((Ipotesi!$C$91)/30))-1&lt;1,0,INDEX(Motore_Advisory!$AH$425:$AH$484,MAX(1,38-(INT((Ipotesi!$C$91)/30))-1)))*(MOD((Ipotesi!$C$91),30)/30))</f>
        <v>17395.98</v>
      </c>
      <c r="AJ462" s="15" t="n">
        <f aca="false">(AJ461)+AH462-AI462</f>
        <v>46397.904</v>
      </c>
      <c r="AK462" s="15" t="n">
        <f aca="false">(F462- Motore_Operativo!BH462-(Motore_Operativo!CK462)*Parametri_v3!$C$28-Motore_Operativo!CF462)*Parametri_v3!$C$26</f>
        <v>14249.2313333333</v>
      </c>
      <c r="AL462" s="15" t="n">
        <f aca="false">MAX(0,(AM461))</f>
        <v>14249.2313333333</v>
      </c>
      <c r="AM462" s="15" t="n">
        <f aca="false">(AM461)+AK462-AL462</f>
        <v>14249.2313333333</v>
      </c>
      <c r="AN462" s="15" t="n">
        <f aca="false">SUM(X449:X460)</f>
        <v>46679.99375</v>
      </c>
      <c r="AO462" s="15" t="n">
        <f aca="false">SUM(AP449:AP460)</f>
        <v>16530.1714788732</v>
      </c>
      <c r="AP462" s="15" t="n">
        <f aca="false">MAX(0,AN462)*IF(2=Parametri_v3!$C$43,Parametri_v3!$C$45,IF(2=Parametri_v3!$C$44,1-Parametri_v3!$C$45,0))</f>
        <v>0</v>
      </c>
      <c r="AQ462" s="15" t="n">
        <f aca="false">MAX(0,AP462+IF(2=Parametri_v3!$C$43,MAX(0,AN462-AO462),0)-MAX(0,-(AR461)))</f>
        <v>0</v>
      </c>
      <c r="AR462" s="15" t="n">
        <f aca="false">(AR461)+X462-AQ462</f>
        <v>45373.7480278768</v>
      </c>
      <c r="AS462" s="15" t="n">
        <f aca="false">Motore_Operativo!AC462-AT462+AU462</f>
        <v>32137.5563729167</v>
      </c>
      <c r="AT462" s="15" t="n">
        <f aca="false">Motore_Operativo!CI462</f>
        <v>1691.45033541667</v>
      </c>
      <c r="AU462" s="15" t="n">
        <f aca="false">MIN(MAX(0,(AV461)+AT462),Parametri_v3!$C$61/12)</f>
        <v>0</v>
      </c>
      <c r="AV462" s="15" t="n">
        <f aca="false">(AV461)+AT462-AU462</f>
        <v>31362.3381708333</v>
      </c>
      <c r="AW462" s="15" t="n">
        <f aca="false">IF(AND(Motore_Operativo!C462=Finanziamenti!$D$7,Finanziamenti!$F$7=1),Finanziamenti!$C$7,0)</f>
        <v>0</v>
      </c>
      <c r="AX462" s="15" t="n">
        <f aca="false">0</f>
        <v>0</v>
      </c>
      <c r="AY462" s="15" t="n">
        <f aca="false">IF(2=Parametri_v3!$C$33,IF(BV462&lt;MIN(12,$B462-1),0,MIN(MAX(0,SUM(Y449:Y460))*Ipotesi!$C$94,MAX(0,(BM460)-(BO461)-BP462),MAX(0,BD462-Parametri_v3!$C$31))),0)</f>
        <v>0</v>
      </c>
      <c r="AZ462" s="15" t="n">
        <f aca="false">0</f>
        <v>0</v>
      </c>
      <c r="BA462" s="15" t="n">
        <f aca="false">0</f>
        <v>0</v>
      </c>
      <c r="BB462" s="15" t="n">
        <f aca="false">0</f>
        <v>0</v>
      </c>
      <c r="BC462" s="15" t="n">
        <f aca="false">0</f>
        <v>0</v>
      </c>
      <c r="BD462" s="15" t="n">
        <f aca="false">(BH461)+AC462-AF462-AI462-AS462-K462*(1+Parametri_v3!$C$26)-AL462-AQ462-O462+AW462+AX462+AZ462+BA462-BB462</f>
        <v>104570.347583176</v>
      </c>
      <c r="BE462" s="15" t="n">
        <f aca="false">0</f>
        <v>0</v>
      </c>
      <c r="BF462" s="15" t="n">
        <f aca="false">0</f>
        <v>0</v>
      </c>
      <c r="BG462" s="15" t="n">
        <f aca="false">0</f>
        <v>0</v>
      </c>
      <c r="BH462" s="15" t="n">
        <f aca="false">BD462+BE462-BF462-AY462</f>
        <v>104570.347583176</v>
      </c>
      <c r="BI462" s="15" t="n">
        <f aca="false">MAX(0,Parametri_v3!$C$31-BH462)</f>
        <v>0</v>
      </c>
      <c r="BJ462" s="15" t="n">
        <f aca="false">(BJ461)+K462</f>
        <v>14333.3333333333</v>
      </c>
      <c r="BK462" s="15" t="n">
        <f aca="false">(BK461)+L462</f>
        <v>6770.83333333333</v>
      </c>
      <c r="BL462" s="15" t="n">
        <f aca="false">BJ462-BK462</f>
        <v>7562.5</v>
      </c>
      <c r="BM462" s="15" t="n">
        <f aca="false">(BM461)+Y462</f>
        <v>237739.809384466</v>
      </c>
      <c r="BN462" s="15" t="n">
        <f aca="false">(BN461)+AW462+AX462+AZ462</f>
        <v>20000</v>
      </c>
      <c r="BO462" s="15" t="n">
        <f aca="false">(BO461)+AY462</f>
        <v>0</v>
      </c>
      <c r="BP462" s="15" t="n">
        <f aca="false">MIN(Parametri_v3!$C$36*Parametri_v3!$C$35,(BP461)+IF(2=1,MAX(0,SUM(Y449:Y460))*Parametri_v3!$C$34,0))</f>
        <v>2000</v>
      </c>
      <c r="BQ462" s="15" t="n">
        <f aca="false">BN462+BM462-BO462</f>
        <v>257739.809384466</v>
      </c>
      <c r="BR462" s="15" t="n">
        <f aca="false">BH462+AD462+BL462+MAX(0,-AM462)+MAX(0,-AR462)</f>
        <v>406132.514249842</v>
      </c>
      <c r="BS462" s="15" t="n">
        <f aca="false">AJ462+AV462+MAX(0,AM462)+MAX(0,AR462)+BC462+BG462+BQ462+AG462</f>
        <v>406132.514249843</v>
      </c>
      <c r="BT462" s="15" t="n">
        <f aca="false">BR462-BS462</f>
        <v>0</v>
      </c>
      <c r="BU462" s="15" t="n">
        <f aca="false">BH462-(BD462+BE462-BF462-AY462)</f>
        <v>0</v>
      </c>
      <c r="BV462" s="15" t="n">
        <f aca="false">IF(BH461&lt;Parametri_v3!$C$31,0,BV461+1)</f>
        <v>9</v>
      </c>
    </row>
    <row r="463" customFormat="false" ht="18" hidden="false" customHeight="true" outlineLevel="0" collapsed="false">
      <c r="A463" s="68" t="n">
        <f aca="false">8</f>
        <v>8</v>
      </c>
      <c r="B463" s="68" t="n">
        <f aca="false">39</f>
        <v>39</v>
      </c>
      <c r="C463" s="18" t="n">
        <f aca="false">Motore_Operativo!C463</f>
        <v>47543</v>
      </c>
      <c r="D463" s="68" t="n">
        <f aca="false">Motore_Operativo!D463</f>
        <v>2030</v>
      </c>
      <c r="E463" s="68" t="n">
        <f aca="false">Motore_Operativo!E463</f>
        <v>3</v>
      </c>
      <c r="F463" s="15" t="n">
        <f aca="false">Motore_Operativo!AM463</f>
        <v>90241.6666666667</v>
      </c>
      <c r="G463" s="15" t="n">
        <f aca="false">Motore_Operativo!BH463</f>
        <v>9024.16666666667</v>
      </c>
      <c r="H463" s="15" t="n">
        <f aca="false">Motore_Operativo!AM463</f>
        <v>90241.6666666667</v>
      </c>
      <c r="I463" s="15" t="n">
        <f aca="false">Motore_Operativo!CB463</f>
        <v>62580.173375</v>
      </c>
      <c r="J463" s="15" t="n">
        <f aca="false">Motore_Operativo!CD463</f>
        <v>27661.4932916667</v>
      </c>
      <c r="K463" s="15" t="n">
        <f aca="false">Motore_Operativo!CF463</f>
        <v>666.666666666667</v>
      </c>
      <c r="L463" s="15" t="n">
        <f aca="false">SUM(INDEX($K$425:$K$484,MAX(1,39-Parametri_v3!$C$59+1)):K463)/Parametri_v3!$C$59</f>
        <v>395.833333333333</v>
      </c>
      <c r="M463" s="15" t="n">
        <f aca="false">J463-L463</f>
        <v>27265.6599583333</v>
      </c>
      <c r="N463" s="15" t="n">
        <f aca="false">0</f>
        <v>0</v>
      </c>
      <c r="O463" s="15" t="n">
        <f aca="false">0</f>
        <v>0</v>
      </c>
      <c r="P463" s="15" t="n">
        <f aca="false">M463+N463-O463</f>
        <v>27265.6599583333</v>
      </c>
      <c r="Q463" s="15" t="n">
        <f aca="false">SUM(P461:P463)+Parametri_v3!$C$56*3/12</f>
        <v>81831.7020972222</v>
      </c>
      <c r="R463" s="15" t="n">
        <f aca="false">Z460</f>
        <v>0</v>
      </c>
      <c r="S463" s="15" t="n">
        <f aca="false">AA460</f>
        <v>0</v>
      </c>
      <c r="T463" s="15" t="n">
        <f aca="false">MIN(R463,MAX(0,Q463))</f>
        <v>0</v>
      </c>
      <c r="U463" s="15" t="n">
        <f aca="false">MIN(S463,MAX(0,Q463-T463)*Parametri_v3!$C$42)</f>
        <v>0</v>
      </c>
      <c r="V463" s="15" t="n">
        <f aca="false">MAX(0,Q463-T463-U463)*Ipotesi!$C$92</f>
        <v>19639.6085033333</v>
      </c>
      <c r="W463" s="15" t="n">
        <f aca="false">MAX(0,SUM(M461:M463)+Parametri_v3!$C$57*3/12)*Ipotesi!$C$93</f>
        <v>3191.43638179167</v>
      </c>
      <c r="X463" s="15" t="n">
        <f aca="false">V463+W463-(V462+W462)</f>
        <v>7607.119128375</v>
      </c>
      <c r="Y463" s="15" t="n">
        <f aca="false">P463-X463</f>
        <v>19658.5408299583</v>
      </c>
      <c r="Z463" s="15" t="n">
        <f aca="false">R463-T463+IF(AND(Parametri_v3!$C$40=1,D463-YEAR(Parametri_v3!$C$50)&lt;Parametri_v3!$C$41),MAX(0,-Q463),0)</f>
        <v>0</v>
      </c>
      <c r="AA463" s="15" t="n">
        <f aca="false">S463-U463+IF(AND(Parametri_v3!$C$40=1,D463-YEAR(Parametri_v3!$C$50)&lt;Parametri_v3!$C$41),0,MAX(0,-Q463))</f>
        <v>0</v>
      </c>
      <c r="AB463" s="15" t="n">
        <f aca="false">F463*(1+Parametri_v3!$C$26)</f>
        <v>110094.833333333</v>
      </c>
      <c r="AC463" s="15" t="n">
        <f aca="false">(IF(39-(INT((Motore_Operativo!L463)/30))&lt;1,0,INDEX(Motore_Advisory!$AB$425:$AB$484,MAX(1,39-(INT((Motore_Operativo!L463)/30)))))*(1-(MOD((Motore_Operativo!L463),30)/30))+IF(39-(INT((Motore_Operativo!L463)/30))-1&lt;1,0,INDEX(Motore_Advisory!$AB$425:$AB$484,MAX(1,39-(INT((Motore_Operativo!L463)/30))-1)))*(MOD((Motore_Operativo!L463),30)/30))</f>
        <v>73810</v>
      </c>
      <c r="AD463" s="15" t="n">
        <f aca="false">(AD462)+AB463-AC463</f>
        <v>330284.5</v>
      </c>
      <c r="AE463" s="15" t="n">
        <f aca="false">Motore_Operativo!BH463*(1+Parametri_v3!$C$26)</f>
        <v>11009.4833333333</v>
      </c>
      <c r="AF463" s="15" t="n">
        <f aca="false">(IF(39-(INT((Parametri_v3!$C$29)/30))&lt;1,0,INDEX(Motore_Operativo!$BH$425:$BH$484,MAX(1,39-(INT((Parametri_v3!$C$29)/30)))))*(1-(MOD((Parametri_v3!$C$29),30)/30))+IF(39-(INT((Parametri_v3!$C$29)/30))-1&lt;1,0,INDEX(Motore_Operativo!$BH$425:$BH$484,MAX(1,39-(INT((Parametri_v3!$C$29)/30))-1)))*(MOD((Parametri_v3!$C$29),30)/30))*(1+Parametri_v3!$C$26)</f>
        <v>11009.4833333333</v>
      </c>
      <c r="AG463" s="15" t="n">
        <f aca="false">(AG462)+AE463-AF463</f>
        <v>11009.4833333333</v>
      </c>
      <c r="AH463" s="15" t="n">
        <f aca="false">(Motore_Operativo!CK463)*(1+Parametri_v3!$C$28*Parametri_v3!$C$26)</f>
        <v>23198.952</v>
      </c>
      <c r="AI463" s="15" t="n">
        <f aca="false">(IF(39-(INT((Ipotesi!$C$91)/30))&lt;1,0,INDEX(Motore_Advisory!$AH$425:$AH$484,MAX(1,39-(INT((Ipotesi!$C$91)/30)))))*(1-(MOD((Ipotesi!$C$91),30)/30))+IF(39-(INT((Ipotesi!$C$91)/30))-1&lt;1,0,INDEX(Motore_Advisory!$AH$425:$AH$484,MAX(1,39-(INT((Ipotesi!$C$91)/30))-1)))*(MOD((Ipotesi!$C$91),30)/30))</f>
        <v>23198.952</v>
      </c>
      <c r="AJ463" s="15" t="n">
        <f aca="false">(AJ462)+AH463-AI463</f>
        <v>46397.904</v>
      </c>
      <c r="AK463" s="15" t="n">
        <f aca="false">(F463- Motore_Operativo!BH463-(Motore_Operativo!CK463)*Parametri_v3!$C$28-Motore_Operativo!CF463)*Parametri_v3!$C$26</f>
        <v>14249.2313333333</v>
      </c>
      <c r="AL463" s="15" t="n">
        <f aca="false">MAX(0,(AM462))</f>
        <v>14249.2313333333</v>
      </c>
      <c r="AM463" s="15" t="n">
        <f aca="false">(AM462)+AK463-AL463</f>
        <v>14249.2313333333</v>
      </c>
      <c r="AN463" s="15" t="n">
        <f aca="false">SUM(X449:X460)</f>
        <v>46679.99375</v>
      </c>
      <c r="AO463" s="15" t="n">
        <f aca="false">SUM(AP449:AP460)</f>
        <v>16530.1714788732</v>
      </c>
      <c r="AP463" s="15" t="n">
        <f aca="false">MAX(0,AN463)*IF(3=Parametri_v3!$C$43,Parametri_v3!$C$45,IF(3=Parametri_v3!$C$44,1-Parametri_v3!$C$45,0))</f>
        <v>0</v>
      </c>
      <c r="AQ463" s="15" t="n">
        <f aca="false">MAX(0,AP463+IF(3=Parametri_v3!$C$43,MAX(0,AN463-AO463),0)-MAX(0,-(AR462)))</f>
        <v>0</v>
      </c>
      <c r="AR463" s="15" t="n">
        <f aca="false">(AR462)+X463-AQ463</f>
        <v>52980.8671562518</v>
      </c>
      <c r="AS463" s="15" t="n">
        <f aca="false">Motore_Operativo!AC463-AT463+AU463</f>
        <v>32137.5563729167</v>
      </c>
      <c r="AT463" s="15" t="n">
        <f aca="false">Motore_Operativo!CI463</f>
        <v>1691.45033541667</v>
      </c>
      <c r="AU463" s="15" t="n">
        <f aca="false">MIN(MAX(0,(AV462)+AT463),Parametri_v3!$C$61/12)</f>
        <v>0</v>
      </c>
      <c r="AV463" s="15" t="n">
        <f aca="false">(AV462)+AT463-AU463</f>
        <v>33053.78850625</v>
      </c>
      <c r="AW463" s="15" t="n">
        <f aca="false">IF(AND(Motore_Operativo!C463=Finanziamenti!$D$7,Finanziamenti!$F$7=1),Finanziamenti!$C$7,0)</f>
        <v>0</v>
      </c>
      <c r="AX463" s="15" t="n">
        <f aca="false">0</f>
        <v>0</v>
      </c>
      <c r="AY463" s="15" t="n">
        <f aca="false">IF(3=Parametri_v3!$C$33,IF(BV463&lt;MIN(12,$B463-1),0,MIN(MAX(0,SUM(Y449:Y460))*Ipotesi!$C$94,MAX(0,(BM460)-(BO462)-BP463),MAX(0,BD463-Parametri_v3!$C$31))),0)</f>
        <v>0</v>
      </c>
      <c r="AZ463" s="15" t="n">
        <f aca="false">0</f>
        <v>0</v>
      </c>
      <c r="BA463" s="15" t="n">
        <f aca="false">0</f>
        <v>0</v>
      </c>
      <c r="BB463" s="15" t="n">
        <f aca="false">0</f>
        <v>0</v>
      </c>
      <c r="BC463" s="15" t="n">
        <f aca="false">0</f>
        <v>0</v>
      </c>
      <c r="BD463" s="15" t="n">
        <f aca="false">(BH462)+AC463-AF463-AI463-AS463-K463*(1+Parametri_v3!$C$26)-AL463-AQ463-O463+AW463+AX463+AZ463+BA463-BB463</f>
        <v>96971.7912102592</v>
      </c>
      <c r="BE463" s="15" t="n">
        <f aca="false">0</f>
        <v>0</v>
      </c>
      <c r="BF463" s="15" t="n">
        <f aca="false">0</f>
        <v>0</v>
      </c>
      <c r="BG463" s="15" t="n">
        <f aca="false">0</f>
        <v>0</v>
      </c>
      <c r="BH463" s="15" t="n">
        <f aca="false">BD463+BE463-BF463-AY463</f>
        <v>96971.7912102592</v>
      </c>
      <c r="BI463" s="15" t="n">
        <f aca="false">MAX(0,Parametri_v3!$C$31-BH463)</f>
        <v>0</v>
      </c>
      <c r="BJ463" s="15" t="n">
        <f aca="false">(BJ462)+K463</f>
        <v>15000</v>
      </c>
      <c r="BK463" s="15" t="n">
        <f aca="false">(BK462)+L463</f>
        <v>7166.66666666667</v>
      </c>
      <c r="BL463" s="15" t="n">
        <f aca="false">BJ463-BK463</f>
        <v>7833.33333333333</v>
      </c>
      <c r="BM463" s="15" t="n">
        <f aca="false">(BM462)+Y463</f>
        <v>257398.350214424</v>
      </c>
      <c r="BN463" s="15" t="n">
        <f aca="false">(BN462)+AW463+AX463+AZ463</f>
        <v>20000</v>
      </c>
      <c r="BO463" s="15" t="n">
        <f aca="false">(BO462)+AY463</f>
        <v>0</v>
      </c>
      <c r="BP463" s="15" t="n">
        <f aca="false">MIN(Parametri_v3!$C$36*Parametri_v3!$C$35,(BP462)+IF(3=1,MAX(0,SUM(Y449:Y460))*Parametri_v3!$C$34,0))</f>
        <v>2000</v>
      </c>
      <c r="BQ463" s="15" t="n">
        <f aca="false">BN463+BM463-BO463</f>
        <v>277398.350214424</v>
      </c>
      <c r="BR463" s="15" t="n">
        <f aca="false">BH463+AD463+BL463+MAX(0,-AM463)+MAX(0,-AR463)</f>
        <v>435089.624543592</v>
      </c>
      <c r="BS463" s="15" t="n">
        <f aca="false">AJ463+AV463+MAX(0,AM463)+MAX(0,AR463)+BC463+BG463+BQ463+AG463</f>
        <v>435089.624543593</v>
      </c>
      <c r="BT463" s="15" t="n">
        <f aca="false">BR463-BS463</f>
        <v>0</v>
      </c>
      <c r="BU463" s="15" t="n">
        <f aca="false">BH463-(BD463+BE463-BF463-AY463)</f>
        <v>0</v>
      </c>
      <c r="BV463" s="15" t="n">
        <f aca="false">IF(BH462&lt;Parametri_v3!$C$31,0,BV462+1)</f>
        <v>10</v>
      </c>
    </row>
    <row r="464" customFormat="false" ht="18" hidden="false" customHeight="true" outlineLevel="0" collapsed="false">
      <c r="A464" s="68" t="n">
        <f aca="false">8</f>
        <v>8</v>
      </c>
      <c r="B464" s="68" t="n">
        <f aca="false">40</f>
        <v>40</v>
      </c>
      <c r="C464" s="18" t="n">
        <f aca="false">Motore_Operativo!C464</f>
        <v>47574</v>
      </c>
      <c r="D464" s="68" t="n">
        <f aca="false">Motore_Operativo!D464</f>
        <v>2030</v>
      </c>
      <c r="E464" s="68" t="n">
        <f aca="false">Motore_Operativo!E464</f>
        <v>4</v>
      </c>
      <c r="F464" s="15" t="n">
        <f aca="false">Motore_Operativo!AM464</f>
        <v>90241.6666666667</v>
      </c>
      <c r="G464" s="15" t="n">
        <f aca="false">Motore_Operativo!BH464</f>
        <v>9024.16666666667</v>
      </c>
      <c r="H464" s="15" t="n">
        <f aca="false">Motore_Operativo!AM464</f>
        <v>90241.6666666667</v>
      </c>
      <c r="I464" s="15" t="n">
        <f aca="false">Motore_Operativo!CB464</f>
        <v>62580.173375</v>
      </c>
      <c r="J464" s="15" t="n">
        <f aca="false">Motore_Operativo!CD464</f>
        <v>27661.4932916667</v>
      </c>
      <c r="K464" s="15" t="n">
        <f aca="false">Motore_Operativo!CF464</f>
        <v>666.666666666667</v>
      </c>
      <c r="L464" s="15" t="n">
        <f aca="false">SUM(INDEX($K$425:$K$484,MAX(1,40-Parametri_v3!$C$59+1)):K464)/Parametri_v3!$C$59</f>
        <v>407.407407407407</v>
      </c>
      <c r="M464" s="15" t="n">
        <f aca="false">J464-L464</f>
        <v>27254.0858842593</v>
      </c>
      <c r="N464" s="15" t="n">
        <f aca="false">0</f>
        <v>0</v>
      </c>
      <c r="O464" s="15" t="n">
        <f aca="false">0</f>
        <v>0</v>
      </c>
      <c r="P464" s="15" t="n">
        <f aca="false">M464+N464-O464</f>
        <v>27254.0858842593</v>
      </c>
      <c r="Q464" s="15" t="n">
        <f aca="false">SUM(P461:P464)+Parametri_v3!$C$56*4/12</f>
        <v>109085.787981481</v>
      </c>
      <c r="R464" s="15" t="n">
        <f aca="false">Z460</f>
        <v>0</v>
      </c>
      <c r="S464" s="15" t="n">
        <f aca="false">AA460</f>
        <v>0</v>
      </c>
      <c r="T464" s="15" t="n">
        <f aca="false">MIN(R464,MAX(0,Q464))</f>
        <v>0</v>
      </c>
      <c r="U464" s="15" t="n">
        <f aca="false">MIN(S464,MAX(0,Q464-T464)*Parametri_v3!$C$42)</f>
        <v>0</v>
      </c>
      <c r="V464" s="15" t="n">
        <f aca="false">MAX(0,Q464-T464-U464)*Ipotesi!$C$92</f>
        <v>26180.5891155556</v>
      </c>
      <c r="W464" s="15" t="n">
        <f aca="false">MAX(0,SUM(M461:M464)+Parametri_v3!$C$57*4/12)*Ipotesi!$C$93</f>
        <v>4254.34573127778</v>
      </c>
      <c r="X464" s="15" t="n">
        <f aca="false">V464+W464-(V463+W463)</f>
        <v>7603.88996170833</v>
      </c>
      <c r="Y464" s="15" t="n">
        <f aca="false">P464-X464</f>
        <v>19650.1959225509</v>
      </c>
      <c r="Z464" s="15" t="n">
        <f aca="false">R464-T464+IF(AND(Parametri_v3!$C$40=1,D464-YEAR(Parametri_v3!$C$50)&lt;Parametri_v3!$C$41),MAX(0,-Q464),0)</f>
        <v>0</v>
      </c>
      <c r="AA464" s="15" t="n">
        <f aca="false">S464-U464+IF(AND(Parametri_v3!$C$40=1,D464-YEAR(Parametri_v3!$C$50)&lt;Parametri_v3!$C$41),0,MAX(0,-Q464))</f>
        <v>0</v>
      </c>
      <c r="AB464" s="15" t="n">
        <f aca="false">F464*(1+Parametri_v3!$C$26)</f>
        <v>110094.833333333</v>
      </c>
      <c r="AC464" s="15" t="n">
        <f aca="false">(IF(40-(INT((Motore_Operativo!L464)/30))&lt;1,0,INDEX(Motore_Advisory!$AB$425:$AB$484,MAX(1,40-(INT((Motore_Operativo!L464)/30)))))*(1-(MOD((Motore_Operativo!L464),30)/30))+IF(40-(INT((Motore_Operativo!L464)/30))-1&lt;1,0,INDEX(Motore_Advisory!$AB$425:$AB$484,MAX(1,40-(INT((Motore_Operativo!L464)/30))-1)))*(MOD((Motore_Operativo!L464),30)/30))</f>
        <v>110094.833333333</v>
      </c>
      <c r="AD464" s="15" t="n">
        <f aca="false">(AD463)+AB464-AC464</f>
        <v>330284.5</v>
      </c>
      <c r="AE464" s="15" t="n">
        <f aca="false">Motore_Operativo!BH464*(1+Parametri_v3!$C$26)</f>
        <v>11009.4833333333</v>
      </c>
      <c r="AF464" s="15" t="n">
        <f aca="false">(IF(40-(INT((Parametri_v3!$C$29)/30))&lt;1,0,INDEX(Motore_Operativo!$BH$425:$BH$484,MAX(1,40-(INT((Parametri_v3!$C$29)/30)))))*(1-(MOD((Parametri_v3!$C$29),30)/30))+IF(40-(INT((Parametri_v3!$C$29)/30))-1&lt;1,0,INDEX(Motore_Operativo!$BH$425:$BH$484,MAX(1,40-(INT((Parametri_v3!$C$29)/30))-1)))*(MOD((Parametri_v3!$C$29),30)/30))*(1+Parametri_v3!$C$26)</f>
        <v>11009.4833333333</v>
      </c>
      <c r="AG464" s="15" t="n">
        <f aca="false">(AG463)+AE464-AF464</f>
        <v>11009.4833333333</v>
      </c>
      <c r="AH464" s="15" t="n">
        <f aca="false">(Motore_Operativo!CK464)*(1+Parametri_v3!$C$28*Parametri_v3!$C$26)</f>
        <v>23198.952</v>
      </c>
      <c r="AI464" s="15" t="n">
        <f aca="false">(IF(40-(INT((Ipotesi!$C$91)/30))&lt;1,0,INDEX(Motore_Advisory!$AH$425:$AH$484,MAX(1,40-(INT((Ipotesi!$C$91)/30)))))*(1-(MOD((Ipotesi!$C$91),30)/30))+IF(40-(INT((Ipotesi!$C$91)/30))-1&lt;1,0,INDEX(Motore_Advisory!$AH$425:$AH$484,MAX(1,40-(INT((Ipotesi!$C$91)/30))-1)))*(MOD((Ipotesi!$C$91),30)/30))</f>
        <v>23198.952</v>
      </c>
      <c r="AJ464" s="15" t="n">
        <f aca="false">(AJ463)+AH464-AI464</f>
        <v>46397.904</v>
      </c>
      <c r="AK464" s="15" t="n">
        <f aca="false">(F464- Motore_Operativo!BH464-(Motore_Operativo!CK464)*Parametri_v3!$C$28-Motore_Operativo!CF464)*Parametri_v3!$C$26</f>
        <v>14249.2313333333</v>
      </c>
      <c r="AL464" s="15" t="n">
        <f aca="false">MAX(0,(AM463))</f>
        <v>14249.2313333333</v>
      </c>
      <c r="AM464" s="15" t="n">
        <f aca="false">(AM463)+AK464-AL464</f>
        <v>14249.2313333333</v>
      </c>
      <c r="AN464" s="15" t="n">
        <f aca="false">SUM(X449:X460)</f>
        <v>46679.99375</v>
      </c>
      <c r="AO464" s="15" t="n">
        <f aca="false">SUM(AP449:AP460)</f>
        <v>16530.1714788732</v>
      </c>
      <c r="AP464" s="15" t="n">
        <f aca="false">MAX(0,AN464)*IF(4=Parametri_v3!$C$43,Parametri_v3!$C$45,IF(4=Parametri_v3!$C$44,1-Parametri_v3!$C$45,0))</f>
        <v>0</v>
      </c>
      <c r="AQ464" s="15" t="n">
        <f aca="false">MAX(0,AP464+IF(4=Parametri_v3!$C$43,MAX(0,AN464-AO464),0)-MAX(0,-(AR463)))</f>
        <v>0</v>
      </c>
      <c r="AR464" s="15" t="n">
        <f aca="false">(AR463)+X464-AQ464</f>
        <v>60584.7571179601</v>
      </c>
      <c r="AS464" s="15" t="n">
        <f aca="false">Motore_Operativo!AC464-AT464+AU464</f>
        <v>32137.5563729167</v>
      </c>
      <c r="AT464" s="15" t="n">
        <f aca="false">Motore_Operativo!CI464</f>
        <v>1691.45033541667</v>
      </c>
      <c r="AU464" s="15" t="n">
        <f aca="false">MIN(MAX(0,(AV463)+AT464),Parametri_v3!$C$61/12)</f>
        <v>0</v>
      </c>
      <c r="AV464" s="15" t="n">
        <f aca="false">(AV463)+AT464-AU464</f>
        <v>34745.2388416667</v>
      </c>
      <c r="AW464" s="15" t="n">
        <f aca="false">IF(AND(Motore_Operativo!C464=Finanziamenti!$D$7,Finanziamenti!$F$7=1),Finanziamenti!$C$7,0)</f>
        <v>0</v>
      </c>
      <c r="AX464" s="15" t="n">
        <f aca="false">0</f>
        <v>0</v>
      </c>
      <c r="AY464" s="15" t="n">
        <f aca="false">IF(4=Parametri_v3!$C$33,IF(BV464&lt;MIN(12,$B464-1),0,MIN(MAX(0,SUM(Y449:Y460))*Ipotesi!$C$94,MAX(0,(BM460)-(BO463)-BP464),MAX(0,BD464-Parametri_v3!$C$31))),0)</f>
        <v>0</v>
      </c>
      <c r="AZ464" s="15" t="n">
        <f aca="false">0</f>
        <v>0</v>
      </c>
      <c r="BA464" s="15" t="n">
        <f aca="false">0</f>
        <v>0</v>
      </c>
      <c r="BB464" s="15" t="n">
        <f aca="false">0</f>
        <v>0</v>
      </c>
      <c r="BC464" s="15" t="n">
        <f aca="false">0</f>
        <v>0</v>
      </c>
      <c r="BD464" s="15" t="n">
        <f aca="false">(BH463)+AC464-AF464-AI464-AS464-K464*(1+Parametri_v3!$C$26)-AL464-AQ464-O464+AW464+AX464+AZ464+BA464-BB464</f>
        <v>125658.068170676</v>
      </c>
      <c r="BE464" s="15" t="n">
        <f aca="false">0</f>
        <v>0</v>
      </c>
      <c r="BF464" s="15" t="n">
        <f aca="false">0</f>
        <v>0</v>
      </c>
      <c r="BG464" s="15" t="n">
        <f aca="false">0</f>
        <v>0</v>
      </c>
      <c r="BH464" s="15" t="n">
        <f aca="false">BD464+BE464-BF464-AY464</f>
        <v>125658.068170676</v>
      </c>
      <c r="BI464" s="15" t="n">
        <f aca="false">MAX(0,Parametri_v3!$C$31-BH464)</f>
        <v>0</v>
      </c>
      <c r="BJ464" s="15" t="n">
        <f aca="false">(BJ463)+K464</f>
        <v>15666.6666666667</v>
      </c>
      <c r="BK464" s="15" t="n">
        <f aca="false">(BK463)+L464</f>
        <v>7574.07407407407</v>
      </c>
      <c r="BL464" s="15" t="n">
        <f aca="false">BJ464-BK464</f>
        <v>8092.59259259259</v>
      </c>
      <c r="BM464" s="15" t="n">
        <f aca="false">(BM463)+Y464</f>
        <v>277048.546136975</v>
      </c>
      <c r="BN464" s="15" t="n">
        <f aca="false">(BN463)+AW464+AX464+AZ464</f>
        <v>20000</v>
      </c>
      <c r="BO464" s="15" t="n">
        <f aca="false">(BO463)+AY464</f>
        <v>0</v>
      </c>
      <c r="BP464" s="15" t="n">
        <f aca="false">MIN(Parametri_v3!$C$36*Parametri_v3!$C$35,(BP463)+IF(4=1,MAX(0,SUM(Y449:Y460))*Parametri_v3!$C$34,0))</f>
        <v>2000</v>
      </c>
      <c r="BQ464" s="15" t="n">
        <f aca="false">BN464+BM464-BO464</f>
        <v>297048.546136975</v>
      </c>
      <c r="BR464" s="15" t="n">
        <f aca="false">BH464+AD464+BL464+MAX(0,-AM464)+MAX(0,-AR464)</f>
        <v>464035.160763268</v>
      </c>
      <c r="BS464" s="15" t="n">
        <f aca="false">AJ464+AV464+MAX(0,AM464)+MAX(0,AR464)+BC464+BG464+BQ464+AG464</f>
        <v>464035.160763268</v>
      </c>
      <c r="BT464" s="15" t="n">
        <f aca="false">BR464-BS464</f>
        <v>0</v>
      </c>
      <c r="BU464" s="15" t="n">
        <f aca="false">BH464-(BD464+BE464-BF464-AY464)</f>
        <v>0</v>
      </c>
      <c r="BV464" s="15" t="n">
        <f aca="false">IF(BH463&lt;Parametri_v3!$C$31,0,BV463+1)</f>
        <v>11</v>
      </c>
    </row>
    <row r="465" customFormat="false" ht="18" hidden="false" customHeight="true" outlineLevel="0" collapsed="false">
      <c r="A465" s="68" t="n">
        <f aca="false">8</f>
        <v>8</v>
      </c>
      <c r="B465" s="68" t="n">
        <f aca="false">41</f>
        <v>41</v>
      </c>
      <c r="C465" s="18" t="n">
        <f aca="false">Motore_Operativo!C465</f>
        <v>47604</v>
      </c>
      <c r="D465" s="68" t="n">
        <f aca="false">Motore_Operativo!D465</f>
        <v>2030</v>
      </c>
      <c r="E465" s="68" t="n">
        <f aca="false">Motore_Operativo!E465</f>
        <v>5</v>
      </c>
      <c r="F465" s="15" t="n">
        <f aca="false">Motore_Operativo!AM465</f>
        <v>90241.6666666667</v>
      </c>
      <c r="G465" s="15" t="n">
        <f aca="false">Motore_Operativo!BH465</f>
        <v>9024.16666666667</v>
      </c>
      <c r="H465" s="15" t="n">
        <f aca="false">Motore_Operativo!AM465</f>
        <v>90241.6666666667</v>
      </c>
      <c r="I465" s="15" t="n">
        <f aca="false">Motore_Operativo!CB465</f>
        <v>62580.173375</v>
      </c>
      <c r="J465" s="15" t="n">
        <f aca="false">Motore_Operativo!CD465</f>
        <v>27661.4932916667</v>
      </c>
      <c r="K465" s="15" t="n">
        <f aca="false">Motore_Operativo!CF465</f>
        <v>666.666666666667</v>
      </c>
      <c r="L465" s="15" t="n">
        <f aca="false">SUM(INDEX($K$425:$K$484,MAX(1,41-Parametri_v3!$C$59+1)):K465)/Parametri_v3!$C$59</f>
        <v>418.981481481482</v>
      </c>
      <c r="M465" s="15" t="n">
        <f aca="false">J465-L465</f>
        <v>27242.5118101852</v>
      </c>
      <c r="N465" s="15" t="n">
        <f aca="false">0</f>
        <v>0</v>
      </c>
      <c r="O465" s="15" t="n">
        <f aca="false">0</f>
        <v>0</v>
      </c>
      <c r="P465" s="15" t="n">
        <f aca="false">M465+N465-O465</f>
        <v>27242.5118101852</v>
      </c>
      <c r="Q465" s="15" t="n">
        <f aca="false">SUM(P461:P465)+Parametri_v3!$C$56*5/12</f>
        <v>136328.299791667</v>
      </c>
      <c r="R465" s="15" t="n">
        <f aca="false">Z460</f>
        <v>0</v>
      </c>
      <c r="S465" s="15" t="n">
        <f aca="false">AA460</f>
        <v>0</v>
      </c>
      <c r="T465" s="15" t="n">
        <f aca="false">MIN(R465,MAX(0,Q465))</f>
        <v>0</v>
      </c>
      <c r="U465" s="15" t="n">
        <f aca="false">MIN(S465,MAX(0,Q465-T465)*Parametri_v3!$C$42)</f>
        <v>0</v>
      </c>
      <c r="V465" s="15" t="n">
        <f aca="false">MAX(0,Q465-T465-U465)*Ipotesi!$C$92</f>
        <v>32718.79195</v>
      </c>
      <c r="W465" s="15" t="n">
        <f aca="false">MAX(0,SUM(M461:M465)+Parametri_v3!$C$57*5/12)*Ipotesi!$C$93</f>
        <v>5316.803691875</v>
      </c>
      <c r="X465" s="15" t="n">
        <f aca="false">V465+W465-(V464+W464)</f>
        <v>7600.66079504167</v>
      </c>
      <c r="Y465" s="15" t="n">
        <f aca="false">P465-X465</f>
        <v>19641.8510151435</v>
      </c>
      <c r="Z465" s="15" t="n">
        <f aca="false">R465-T465+IF(AND(Parametri_v3!$C$40=1,D465-YEAR(Parametri_v3!$C$50)&lt;Parametri_v3!$C$41),MAX(0,-Q465),0)</f>
        <v>0</v>
      </c>
      <c r="AA465" s="15" t="n">
        <f aca="false">S465-U465+IF(AND(Parametri_v3!$C$40=1,D465-YEAR(Parametri_v3!$C$50)&lt;Parametri_v3!$C$41),0,MAX(0,-Q465))</f>
        <v>0</v>
      </c>
      <c r="AB465" s="15" t="n">
        <f aca="false">F465*(1+Parametri_v3!$C$26)</f>
        <v>110094.833333333</v>
      </c>
      <c r="AC465" s="15" t="n">
        <f aca="false">(IF(41-(INT((Motore_Operativo!L465)/30))&lt;1,0,INDEX(Motore_Advisory!$AB$425:$AB$484,MAX(1,41-(INT((Motore_Operativo!L465)/30)))))*(1-(MOD((Motore_Operativo!L465),30)/30))+IF(41-(INT((Motore_Operativo!L465)/30))-1&lt;1,0,INDEX(Motore_Advisory!$AB$425:$AB$484,MAX(1,41-(INT((Motore_Operativo!L465)/30))-1)))*(MOD((Motore_Operativo!L465),30)/30))</f>
        <v>110094.833333333</v>
      </c>
      <c r="AD465" s="15" t="n">
        <f aca="false">(AD464)+AB465-AC465</f>
        <v>330284.5</v>
      </c>
      <c r="AE465" s="15" t="n">
        <f aca="false">Motore_Operativo!BH465*(1+Parametri_v3!$C$26)</f>
        <v>11009.4833333333</v>
      </c>
      <c r="AF465" s="15" t="n">
        <f aca="false">(IF(41-(INT((Parametri_v3!$C$29)/30))&lt;1,0,INDEX(Motore_Operativo!$BH$425:$BH$484,MAX(1,41-(INT((Parametri_v3!$C$29)/30)))))*(1-(MOD((Parametri_v3!$C$29),30)/30))+IF(41-(INT((Parametri_v3!$C$29)/30))-1&lt;1,0,INDEX(Motore_Operativo!$BH$425:$BH$484,MAX(1,41-(INT((Parametri_v3!$C$29)/30))-1)))*(MOD((Parametri_v3!$C$29),30)/30))*(1+Parametri_v3!$C$26)</f>
        <v>11009.4833333333</v>
      </c>
      <c r="AG465" s="15" t="n">
        <f aca="false">(AG464)+AE465-AF465</f>
        <v>11009.4833333333</v>
      </c>
      <c r="AH465" s="15" t="n">
        <f aca="false">(Motore_Operativo!CK465)*(1+Parametri_v3!$C$28*Parametri_v3!$C$26)</f>
        <v>23198.952</v>
      </c>
      <c r="AI465" s="15" t="n">
        <f aca="false">(IF(41-(INT((Ipotesi!$C$91)/30))&lt;1,0,INDEX(Motore_Advisory!$AH$425:$AH$484,MAX(1,41-(INT((Ipotesi!$C$91)/30)))))*(1-(MOD((Ipotesi!$C$91),30)/30))+IF(41-(INT((Ipotesi!$C$91)/30))-1&lt;1,0,INDEX(Motore_Advisory!$AH$425:$AH$484,MAX(1,41-(INT((Ipotesi!$C$91)/30))-1)))*(MOD((Ipotesi!$C$91),30)/30))</f>
        <v>23198.952</v>
      </c>
      <c r="AJ465" s="15" t="n">
        <f aca="false">(AJ464)+AH465-AI465</f>
        <v>46397.904</v>
      </c>
      <c r="AK465" s="15" t="n">
        <f aca="false">(F465- Motore_Operativo!BH465-(Motore_Operativo!CK465)*Parametri_v3!$C$28-Motore_Operativo!CF465)*Parametri_v3!$C$26</f>
        <v>14249.2313333333</v>
      </c>
      <c r="AL465" s="15" t="n">
        <f aca="false">MAX(0,(AM464))</f>
        <v>14249.2313333333</v>
      </c>
      <c r="AM465" s="15" t="n">
        <f aca="false">(AM464)+AK465-AL465</f>
        <v>14249.2313333333</v>
      </c>
      <c r="AN465" s="15" t="n">
        <f aca="false">SUM(X449:X460)</f>
        <v>46679.99375</v>
      </c>
      <c r="AO465" s="15" t="n">
        <f aca="false">SUM(AP449:AP460)</f>
        <v>16530.1714788732</v>
      </c>
      <c r="AP465" s="15" t="n">
        <f aca="false">MAX(0,AN465)*IF(5=Parametri_v3!$C$43,Parametri_v3!$C$45,IF(5=Parametri_v3!$C$44,1-Parametri_v3!$C$45,0))</f>
        <v>0</v>
      </c>
      <c r="AQ465" s="15" t="n">
        <f aca="false">MAX(0,AP465+IF(5=Parametri_v3!$C$43,MAX(0,AN465-AO465),0)-MAX(0,-(AR464)))</f>
        <v>0</v>
      </c>
      <c r="AR465" s="15" t="n">
        <f aca="false">(AR464)+X465-AQ465</f>
        <v>68185.4179130018</v>
      </c>
      <c r="AS465" s="15" t="n">
        <f aca="false">Motore_Operativo!AC465-AT465+AU465</f>
        <v>32137.5563729167</v>
      </c>
      <c r="AT465" s="15" t="n">
        <f aca="false">Motore_Operativo!CI465</f>
        <v>1691.45033541667</v>
      </c>
      <c r="AU465" s="15" t="n">
        <f aca="false">MIN(MAX(0,(AV464)+AT465),Parametri_v3!$C$61/12)</f>
        <v>0</v>
      </c>
      <c r="AV465" s="15" t="n">
        <f aca="false">(AV464)+AT465-AU465</f>
        <v>36436.6891770833</v>
      </c>
      <c r="AW465" s="15" t="n">
        <f aca="false">IF(AND(Motore_Operativo!C465=Finanziamenti!$D$7,Finanziamenti!$F$7=1),Finanziamenti!$C$7,0)</f>
        <v>0</v>
      </c>
      <c r="AX465" s="15" t="n">
        <f aca="false">0</f>
        <v>0</v>
      </c>
      <c r="AY465" s="15" t="n">
        <f aca="false">IF(5=Parametri_v3!$C$33,IF(BV465&lt;MIN(12,$B465-1),0,MIN(MAX(0,SUM(Y449:Y460))*Ipotesi!$C$94,MAX(0,(BM460)-(BO464)-BP465),MAX(0,BD465-Parametri_v3!$C$31))),0)</f>
        <v>0</v>
      </c>
      <c r="AZ465" s="15" t="n">
        <f aca="false">0</f>
        <v>0</v>
      </c>
      <c r="BA465" s="15" t="n">
        <f aca="false">0</f>
        <v>0</v>
      </c>
      <c r="BB465" s="15" t="n">
        <f aca="false">0</f>
        <v>0</v>
      </c>
      <c r="BC465" s="15" t="n">
        <f aca="false">0</f>
        <v>0</v>
      </c>
      <c r="BD465" s="15" t="n">
        <f aca="false">(BH464)+AC465-AF465-AI465-AS465-K465*(1+Parametri_v3!$C$26)-AL465-AQ465-O465+AW465+AX465+AZ465+BA465-BB465</f>
        <v>154344.345131092</v>
      </c>
      <c r="BE465" s="15" t="n">
        <f aca="false">0</f>
        <v>0</v>
      </c>
      <c r="BF465" s="15" t="n">
        <f aca="false">0</f>
        <v>0</v>
      </c>
      <c r="BG465" s="15" t="n">
        <f aca="false">0</f>
        <v>0</v>
      </c>
      <c r="BH465" s="15" t="n">
        <f aca="false">BD465+BE465-BF465-AY465</f>
        <v>154344.345131092</v>
      </c>
      <c r="BI465" s="15" t="n">
        <f aca="false">MAX(0,Parametri_v3!$C$31-BH465)</f>
        <v>0</v>
      </c>
      <c r="BJ465" s="15" t="n">
        <f aca="false">(BJ464)+K465</f>
        <v>16333.3333333333</v>
      </c>
      <c r="BK465" s="15" t="n">
        <f aca="false">(BK464)+L465</f>
        <v>7993.05555555556</v>
      </c>
      <c r="BL465" s="15" t="n">
        <f aca="false">BJ465-BK465</f>
        <v>8340.27777777777</v>
      </c>
      <c r="BM465" s="15" t="n">
        <f aca="false">(BM464)+Y465</f>
        <v>296690.397152119</v>
      </c>
      <c r="BN465" s="15" t="n">
        <f aca="false">(BN464)+AW465+AX465+AZ465</f>
        <v>20000</v>
      </c>
      <c r="BO465" s="15" t="n">
        <f aca="false">(BO464)+AY465</f>
        <v>0</v>
      </c>
      <c r="BP465" s="15" t="n">
        <f aca="false">MIN(Parametri_v3!$C$36*Parametri_v3!$C$35,(BP464)+IF(5=1,MAX(0,SUM(Y449:Y460))*Parametri_v3!$C$34,0))</f>
        <v>2000</v>
      </c>
      <c r="BQ465" s="15" t="n">
        <f aca="false">BN465+BM465-BO465</f>
        <v>316690.397152119</v>
      </c>
      <c r="BR465" s="15" t="n">
        <f aca="false">BH465+AD465+BL465+MAX(0,-AM465)+MAX(0,-AR465)</f>
        <v>492969.12290887</v>
      </c>
      <c r="BS465" s="15" t="n">
        <f aca="false">AJ465+AV465+MAX(0,AM465)+MAX(0,AR465)+BC465+BG465+BQ465+AG465</f>
        <v>492969.12290887</v>
      </c>
      <c r="BT465" s="15" t="n">
        <f aca="false">BR465-BS465</f>
        <v>0</v>
      </c>
      <c r="BU465" s="15" t="n">
        <f aca="false">BH465-(BD465+BE465-BF465-AY465)</f>
        <v>0</v>
      </c>
      <c r="BV465" s="15" t="n">
        <f aca="false">IF(BH464&lt;Parametri_v3!$C$31,0,BV464+1)</f>
        <v>12</v>
      </c>
    </row>
    <row r="466" customFormat="false" ht="18" hidden="false" customHeight="true" outlineLevel="0" collapsed="false">
      <c r="A466" s="68" t="n">
        <f aca="false">8</f>
        <v>8</v>
      </c>
      <c r="B466" s="68" t="n">
        <f aca="false">42</f>
        <v>42</v>
      </c>
      <c r="C466" s="18" t="n">
        <f aca="false">Motore_Operativo!C466</f>
        <v>47635</v>
      </c>
      <c r="D466" s="68" t="n">
        <f aca="false">Motore_Operativo!D466</f>
        <v>2030</v>
      </c>
      <c r="E466" s="68" t="n">
        <f aca="false">Motore_Operativo!E466</f>
        <v>6</v>
      </c>
      <c r="F466" s="15" t="n">
        <f aca="false">Motore_Operativo!AM466</f>
        <v>90241.6666666667</v>
      </c>
      <c r="G466" s="15" t="n">
        <f aca="false">Motore_Operativo!BH466</f>
        <v>9024.16666666667</v>
      </c>
      <c r="H466" s="15" t="n">
        <f aca="false">Motore_Operativo!AM466</f>
        <v>90241.6666666667</v>
      </c>
      <c r="I466" s="15" t="n">
        <f aca="false">Motore_Operativo!CB466</f>
        <v>62580.173375</v>
      </c>
      <c r="J466" s="15" t="n">
        <f aca="false">Motore_Operativo!CD466</f>
        <v>27661.4932916667</v>
      </c>
      <c r="K466" s="15" t="n">
        <f aca="false">Motore_Operativo!CF466</f>
        <v>666.666666666667</v>
      </c>
      <c r="L466" s="15" t="n">
        <f aca="false">SUM(INDEX($K$425:$K$484,MAX(1,42-Parametri_v3!$C$59+1)):K466)/Parametri_v3!$C$59</f>
        <v>430.555555555556</v>
      </c>
      <c r="M466" s="15" t="n">
        <f aca="false">J466-L466</f>
        <v>27230.9377361111</v>
      </c>
      <c r="N466" s="15" t="n">
        <f aca="false">0</f>
        <v>0</v>
      </c>
      <c r="O466" s="15" t="n">
        <f aca="false">0</f>
        <v>0</v>
      </c>
      <c r="P466" s="15" t="n">
        <f aca="false">M466+N466-O466</f>
        <v>27230.9377361111</v>
      </c>
      <c r="Q466" s="15" t="n">
        <f aca="false">SUM(P461:P466)+Parametri_v3!$C$56*6/12</f>
        <v>163559.237527778</v>
      </c>
      <c r="R466" s="15" t="n">
        <f aca="false">Z460</f>
        <v>0</v>
      </c>
      <c r="S466" s="15" t="n">
        <f aca="false">AA460</f>
        <v>0</v>
      </c>
      <c r="T466" s="15" t="n">
        <f aca="false">MIN(R466,MAX(0,Q466))</f>
        <v>0</v>
      </c>
      <c r="U466" s="15" t="n">
        <f aca="false">MIN(S466,MAX(0,Q466-T466)*Parametri_v3!$C$42)</f>
        <v>0</v>
      </c>
      <c r="V466" s="15" t="n">
        <f aca="false">MAX(0,Q466-T466-U466)*Ipotesi!$C$92</f>
        <v>39254.2170066667</v>
      </c>
      <c r="W466" s="15" t="n">
        <f aca="false">MAX(0,SUM(M461:M466)+Parametri_v3!$C$57*6/12)*Ipotesi!$C$93</f>
        <v>6378.81026358333</v>
      </c>
      <c r="X466" s="15" t="n">
        <f aca="false">V466+W466-(V465+W465)</f>
        <v>7597.43162837499</v>
      </c>
      <c r="Y466" s="15" t="n">
        <f aca="false">P466-X466</f>
        <v>19633.5061077361</v>
      </c>
      <c r="Z466" s="15" t="n">
        <f aca="false">R466-T466+IF(AND(Parametri_v3!$C$40=1,D466-YEAR(Parametri_v3!$C$50)&lt;Parametri_v3!$C$41),MAX(0,-Q466),0)</f>
        <v>0</v>
      </c>
      <c r="AA466" s="15" t="n">
        <f aca="false">S466-U466+IF(AND(Parametri_v3!$C$40=1,D466-YEAR(Parametri_v3!$C$50)&lt;Parametri_v3!$C$41),0,MAX(0,-Q466))</f>
        <v>0</v>
      </c>
      <c r="AB466" s="15" t="n">
        <f aca="false">F466*(1+Parametri_v3!$C$26)</f>
        <v>110094.833333333</v>
      </c>
      <c r="AC466" s="15" t="n">
        <f aca="false">(IF(42-(INT((Motore_Operativo!L466)/30))&lt;1,0,INDEX(Motore_Advisory!$AB$425:$AB$484,MAX(1,42-(INT((Motore_Operativo!L466)/30)))))*(1-(MOD((Motore_Operativo!L466),30)/30))+IF(42-(INT((Motore_Operativo!L466)/30))-1&lt;1,0,INDEX(Motore_Advisory!$AB$425:$AB$484,MAX(1,42-(INT((Motore_Operativo!L466)/30))-1)))*(MOD((Motore_Operativo!L466),30)/30))</f>
        <v>110094.833333333</v>
      </c>
      <c r="AD466" s="15" t="n">
        <f aca="false">(AD465)+AB466-AC466</f>
        <v>330284.5</v>
      </c>
      <c r="AE466" s="15" t="n">
        <f aca="false">Motore_Operativo!BH466*(1+Parametri_v3!$C$26)</f>
        <v>11009.4833333333</v>
      </c>
      <c r="AF466" s="15" t="n">
        <f aca="false">(IF(42-(INT((Parametri_v3!$C$29)/30))&lt;1,0,INDEX(Motore_Operativo!$BH$425:$BH$484,MAX(1,42-(INT((Parametri_v3!$C$29)/30)))))*(1-(MOD((Parametri_v3!$C$29),30)/30))+IF(42-(INT((Parametri_v3!$C$29)/30))-1&lt;1,0,INDEX(Motore_Operativo!$BH$425:$BH$484,MAX(1,42-(INT((Parametri_v3!$C$29)/30))-1)))*(MOD((Parametri_v3!$C$29),30)/30))*(1+Parametri_v3!$C$26)</f>
        <v>11009.4833333333</v>
      </c>
      <c r="AG466" s="15" t="n">
        <f aca="false">(AG465)+AE466-AF466</f>
        <v>11009.4833333333</v>
      </c>
      <c r="AH466" s="15" t="n">
        <f aca="false">(Motore_Operativo!CK466)*(1+Parametri_v3!$C$28*Parametri_v3!$C$26)</f>
        <v>23198.952</v>
      </c>
      <c r="AI466" s="15" t="n">
        <f aca="false">(IF(42-(INT((Ipotesi!$C$91)/30))&lt;1,0,INDEX(Motore_Advisory!$AH$425:$AH$484,MAX(1,42-(INT((Ipotesi!$C$91)/30)))))*(1-(MOD((Ipotesi!$C$91),30)/30))+IF(42-(INT((Ipotesi!$C$91)/30))-1&lt;1,0,INDEX(Motore_Advisory!$AH$425:$AH$484,MAX(1,42-(INT((Ipotesi!$C$91)/30))-1)))*(MOD((Ipotesi!$C$91),30)/30))</f>
        <v>23198.952</v>
      </c>
      <c r="AJ466" s="15" t="n">
        <f aca="false">(AJ465)+AH466-AI466</f>
        <v>46397.904</v>
      </c>
      <c r="AK466" s="15" t="n">
        <f aca="false">(F466- Motore_Operativo!BH466-(Motore_Operativo!CK466)*Parametri_v3!$C$28-Motore_Operativo!CF466)*Parametri_v3!$C$26</f>
        <v>14249.2313333333</v>
      </c>
      <c r="AL466" s="15" t="n">
        <f aca="false">MAX(0,(AM465))</f>
        <v>14249.2313333333</v>
      </c>
      <c r="AM466" s="15" t="n">
        <f aca="false">(AM465)+AK466-AL466</f>
        <v>14249.2313333333</v>
      </c>
      <c r="AN466" s="15" t="n">
        <f aca="false">SUM(X449:X460)</f>
        <v>46679.99375</v>
      </c>
      <c r="AO466" s="15" t="n">
        <f aca="false">SUM(AP449:AP460)</f>
        <v>16530.1714788732</v>
      </c>
      <c r="AP466" s="15" t="n">
        <f aca="false">MAX(0,AN466)*IF(6=Parametri_v3!$C$43,Parametri_v3!$C$45,IF(6=Parametri_v3!$C$44,1-Parametri_v3!$C$45,0))</f>
        <v>18671.9975</v>
      </c>
      <c r="AQ466" s="15" t="n">
        <f aca="false">MAX(0,AP466+IF(6=Parametri_v3!$C$43,MAX(0,AN466-AO466),0)-MAX(0,-(AR465)))</f>
        <v>48821.8197711268</v>
      </c>
      <c r="AR466" s="15" t="n">
        <f aca="false">(AR465)+X466-AQ466</f>
        <v>26961.02977025</v>
      </c>
      <c r="AS466" s="15" t="n">
        <f aca="false">Motore_Operativo!AC466-AT466+AU466</f>
        <v>32137.5563729167</v>
      </c>
      <c r="AT466" s="15" t="n">
        <f aca="false">Motore_Operativo!CI466</f>
        <v>1691.45033541667</v>
      </c>
      <c r="AU466" s="15" t="n">
        <f aca="false">MIN(MAX(0,(AV465)+AT466),Parametri_v3!$C$61/12)</f>
        <v>0</v>
      </c>
      <c r="AV466" s="15" t="n">
        <f aca="false">(AV465)+AT466-AU466</f>
        <v>38128.1395125</v>
      </c>
      <c r="AW466" s="15" t="n">
        <f aca="false">IF(AND(Motore_Operativo!C466=Finanziamenti!$D$7,Finanziamenti!$F$7=1),Finanziamenti!$C$7,0)</f>
        <v>0</v>
      </c>
      <c r="AX466" s="15" t="n">
        <f aca="false">0</f>
        <v>0</v>
      </c>
      <c r="AY466" s="15" t="n">
        <f aca="false">IF(6=Parametri_v3!$C$33,IF(BV466&lt;MIN(12,$B466-1),0,MIN(MAX(0,SUM(Y449:Y460))*Ipotesi!$C$94,MAX(0,(BM460)-(BO465)-BP466),MAX(0,BD466-Parametri_v3!$C$31))),0)</f>
        <v>60315.9059027778</v>
      </c>
      <c r="AZ466" s="15" t="n">
        <f aca="false">0</f>
        <v>0</v>
      </c>
      <c r="BA466" s="15" t="n">
        <f aca="false">0</f>
        <v>0</v>
      </c>
      <c r="BB466" s="15" t="n">
        <f aca="false">0</f>
        <v>0</v>
      </c>
      <c r="BC466" s="15" t="n">
        <f aca="false">0</f>
        <v>0</v>
      </c>
      <c r="BD466" s="15" t="n">
        <f aca="false">(BH465)+AC466-AF466-AI466-AS466-K466*(1+Parametri_v3!$C$26)-AL466-AQ466-O466+AW466+AX466+AZ466+BA466-BB466</f>
        <v>134208.802320382</v>
      </c>
      <c r="BE466" s="15" t="n">
        <f aca="false">0</f>
        <v>0</v>
      </c>
      <c r="BF466" s="15" t="n">
        <f aca="false">0</f>
        <v>0</v>
      </c>
      <c r="BG466" s="15" t="n">
        <f aca="false">0</f>
        <v>0</v>
      </c>
      <c r="BH466" s="15" t="n">
        <f aca="false">BD466+BE466-BF466-AY466</f>
        <v>73892.8964176045</v>
      </c>
      <c r="BI466" s="15" t="n">
        <f aca="false">MAX(0,Parametri_v3!$C$31-BH466)</f>
        <v>0</v>
      </c>
      <c r="BJ466" s="15" t="n">
        <f aca="false">(BJ465)+K466</f>
        <v>17000</v>
      </c>
      <c r="BK466" s="15" t="n">
        <f aca="false">(BK465)+L466</f>
        <v>8423.61111111111</v>
      </c>
      <c r="BL466" s="15" t="n">
        <f aca="false">BJ466-BK466</f>
        <v>8576.38888888888</v>
      </c>
      <c r="BM466" s="15" t="n">
        <f aca="false">(BM465)+Y466</f>
        <v>316323.903259855</v>
      </c>
      <c r="BN466" s="15" t="n">
        <f aca="false">(BN465)+AW466+AX466+AZ466</f>
        <v>20000</v>
      </c>
      <c r="BO466" s="15" t="n">
        <f aca="false">(BO465)+AY466</f>
        <v>60315.9059027778</v>
      </c>
      <c r="BP466" s="15" t="n">
        <f aca="false">MIN(Parametri_v3!$C$36*Parametri_v3!$C$35,(BP465)+IF(6=1,MAX(0,SUM(Y449:Y460))*Parametri_v3!$C$34,0))</f>
        <v>2000</v>
      </c>
      <c r="BQ466" s="15" t="n">
        <f aca="false">BN466+BM466-BO466</f>
        <v>276007.997357077</v>
      </c>
      <c r="BR466" s="15" t="n">
        <f aca="false">BH466+AD466+BL466+MAX(0,-AM466)+MAX(0,-AR466)</f>
        <v>412753.785306493</v>
      </c>
      <c r="BS466" s="15" t="n">
        <f aca="false">AJ466+AV466+MAX(0,AM466)+MAX(0,AR466)+BC466+BG466+BQ466+AG466</f>
        <v>412753.785306493</v>
      </c>
      <c r="BT466" s="15" t="n">
        <f aca="false">BR466-BS466</f>
        <v>0</v>
      </c>
      <c r="BU466" s="15" t="n">
        <f aca="false">BH466-(BD466+BE466-BF466-AY466)</f>
        <v>0</v>
      </c>
      <c r="BV466" s="15" t="n">
        <f aca="false">IF(BH465&lt;Parametri_v3!$C$31,0,BV465+1)</f>
        <v>13</v>
      </c>
    </row>
    <row r="467" customFormat="false" ht="18" hidden="false" customHeight="true" outlineLevel="0" collapsed="false">
      <c r="A467" s="68" t="n">
        <f aca="false">8</f>
        <v>8</v>
      </c>
      <c r="B467" s="68" t="n">
        <f aca="false">43</f>
        <v>43</v>
      </c>
      <c r="C467" s="18" t="n">
        <f aca="false">Motore_Operativo!C467</f>
        <v>47665</v>
      </c>
      <c r="D467" s="68" t="n">
        <f aca="false">Motore_Operativo!D467</f>
        <v>2030</v>
      </c>
      <c r="E467" s="68" t="n">
        <f aca="false">Motore_Operativo!E467</f>
        <v>7</v>
      </c>
      <c r="F467" s="15" t="n">
        <f aca="false">Motore_Operativo!AM467</f>
        <v>90241.6666666667</v>
      </c>
      <c r="G467" s="15" t="n">
        <f aca="false">Motore_Operativo!BH467</f>
        <v>9024.16666666667</v>
      </c>
      <c r="H467" s="15" t="n">
        <f aca="false">Motore_Operativo!AM467</f>
        <v>90241.6666666667</v>
      </c>
      <c r="I467" s="15" t="n">
        <f aca="false">Motore_Operativo!CB467</f>
        <v>62580.173375</v>
      </c>
      <c r="J467" s="15" t="n">
        <f aca="false">Motore_Operativo!CD467</f>
        <v>27661.4932916667</v>
      </c>
      <c r="K467" s="15" t="n">
        <f aca="false">Motore_Operativo!CF467</f>
        <v>666.666666666667</v>
      </c>
      <c r="L467" s="15" t="n">
        <f aca="false">SUM(INDEX($K$425:$K$484,MAX(1,43-Parametri_v3!$C$59+1)):K467)/Parametri_v3!$C$59</f>
        <v>442.12962962963</v>
      </c>
      <c r="M467" s="15" t="n">
        <f aca="false">J467-L467</f>
        <v>27219.363662037</v>
      </c>
      <c r="N467" s="15" t="n">
        <f aca="false">0</f>
        <v>0</v>
      </c>
      <c r="O467" s="15" t="n">
        <f aca="false">0</f>
        <v>0</v>
      </c>
      <c r="P467" s="15" t="n">
        <f aca="false">M467+N467-O467</f>
        <v>27219.363662037</v>
      </c>
      <c r="Q467" s="15" t="n">
        <f aca="false">SUM(P461:P467)+Parametri_v3!$C$56*7/12</f>
        <v>190778.601189815</v>
      </c>
      <c r="R467" s="15" t="n">
        <f aca="false">Z460</f>
        <v>0</v>
      </c>
      <c r="S467" s="15" t="n">
        <f aca="false">AA460</f>
        <v>0</v>
      </c>
      <c r="T467" s="15" t="n">
        <f aca="false">MIN(R467,MAX(0,Q467))</f>
        <v>0</v>
      </c>
      <c r="U467" s="15" t="n">
        <f aca="false">MIN(S467,MAX(0,Q467-T467)*Parametri_v3!$C$42)</f>
        <v>0</v>
      </c>
      <c r="V467" s="15" t="n">
        <f aca="false">MAX(0,Q467-T467-U467)*Ipotesi!$C$92</f>
        <v>45786.8642855556</v>
      </c>
      <c r="W467" s="15" t="n">
        <f aca="false">MAX(0,SUM(M461:M467)+Parametri_v3!$C$57*7/12)*Ipotesi!$C$93</f>
        <v>7440.36544640278</v>
      </c>
      <c r="X467" s="15" t="n">
        <f aca="false">V467+W467-(V466+W466)</f>
        <v>7594.20246170834</v>
      </c>
      <c r="Y467" s="15" t="n">
        <f aca="false">P467-X467</f>
        <v>19625.1612003287</v>
      </c>
      <c r="Z467" s="15" t="n">
        <f aca="false">R467-T467+IF(AND(Parametri_v3!$C$40=1,D467-YEAR(Parametri_v3!$C$50)&lt;Parametri_v3!$C$41),MAX(0,-Q467),0)</f>
        <v>0</v>
      </c>
      <c r="AA467" s="15" t="n">
        <f aca="false">S467-U467+IF(AND(Parametri_v3!$C$40=1,D467-YEAR(Parametri_v3!$C$50)&lt;Parametri_v3!$C$41),0,MAX(0,-Q467))</f>
        <v>0</v>
      </c>
      <c r="AB467" s="15" t="n">
        <f aca="false">F467*(1+Parametri_v3!$C$26)</f>
        <v>110094.833333333</v>
      </c>
      <c r="AC467" s="15" t="n">
        <f aca="false">(IF(43-(INT((Motore_Operativo!L467)/30))&lt;1,0,INDEX(Motore_Advisory!$AB$425:$AB$484,MAX(1,43-(INT((Motore_Operativo!L467)/30)))))*(1-(MOD((Motore_Operativo!L467),30)/30))+IF(43-(INT((Motore_Operativo!L467)/30))-1&lt;1,0,INDEX(Motore_Advisory!$AB$425:$AB$484,MAX(1,43-(INT((Motore_Operativo!L467)/30))-1)))*(MOD((Motore_Operativo!L467),30)/30))</f>
        <v>110094.833333333</v>
      </c>
      <c r="AD467" s="15" t="n">
        <f aca="false">(AD466)+AB467-AC467</f>
        <v>330284.5</v>
      </c>
      <c r="AE467" s="15" t="n">
        <f aca="false">Motore_Operativo!BH467*(1+Parametri_v3!$C$26)</f>
        <v>11009.4833333333</v>
      </c>
      <c r="AF467" s="15" t="n">
        <f aca="false">(IF(43-(INT((Parametri_v3!$C$29)/30))&lt;1,0,INDEX(Motore_Operativo!$BH$425:$BH$484,MAX(1,43-(INT((Parametri_v3!$C$29)/30)))))*(1-(MOD((Parametri_v3!$C$29),30)/30))+IF(43-(INT((Parametri_v3!$C$29)/30))-1&lt;1,0,INDEX(Motore_Operativo!$BH$425:$BH$484,MAX(1,43-(INT((Parametri_v3!$C$29)/30))-1)))*(MOD((Parametri_v3!$C$29),30)/30))*(1+Parametri_v3!$C$26)</f>
        <v>11009.4833333333</v>
      </c>
      <c r="AG467" s="15" t="n">
        <f aca="false">(AG466)+AE467-AF467</f>
        <v>11009.4833333333</v>
      </c>
      <c r="AH467" s="15" t="n">
        <f aca="false">(Motore_Operativo!CK467)*(1+Parametri_v3!$C$28*Parametri_v3!$C$26)</f>
        <v>23198.952</v>
      </c>
      <c r="AI467" s="15" t="n">
        <f aca="false">(IF(43-(INT((Ipotesi!$C$91)/30))&lt;1,0,INDEX(Motore_Advisory!$AH$425:$AH$484,MAX(1,43-(INT((Ipotesi!$C$91)/30)))))*(1-(MOD((Ipotesi!$C$91),30)/30))+IF(43-(INT((Ipotesi!$C$91)/30))-1&lt;1,0,INDEX(Motore_Advisory!$AH$425:$AH$484,MAX(1,43-(INT((Ipotesi!$C$91)/30))-1)))*(MOD((Ipotesi!$C$91),30)/30))</f>
        <v>23198.952</v>
      </c>
      <c r="AJ467" s="15" t="n">
        <f aca="false">(AJ466)+AH467-AI467</f>
        <v>46397.904</v>
      </c>
      <c r="AK467" s="15" t="n">
        <f aca="false">(F467- Motore_Operativo!BH467-(Motore_Operativo!CK467)*Parametri_v3!$C$28-Motore_Operativo!CF467)*Parametri_v3!$C$26</f>
        <v>14249.2313333333</v>
      </c>
      <c r="AL467" s="15" t="n">
        <f aca="false">MAX(0,(AM466))</f>
        <v>14249.2313333333</v>
      </c>
      <c r="AM467" s="15" t="n">
        <f aca="false">(AM466)+AK467-AL467</f>
        <v>14249.2313333333</v>
      </c>
      <c r="AN467" s="15" t="n">
        <f aca="false">SUM(X449:X460)</f>
        <v>46679.99375</v>
      </c>
      <c r="AO467" s="15" t="n">
        <f aca="false">SUM(AP449:AP460)</f>
        <v>16530.1714788732</v>
      </c>
      <c r="AP467" s="15" t="n">
        <f aca="false">MAX(0,AN467)*IF(7=Parametri_v3!$C$43,Parametri_v3!$C$45,IF(7=Parametri_v3!$C$44,1-Parametri_v3!$C$45,0))</f>
        <v>0</v>
      </c>
      <c r="AQ467" s="15" t="n">
        <f aca="false">MAX(0,AP467+IF(7=Parametri_v3!$C$43,MAX(0,AN467-AO467),0)-MAX(0,-(AR466)))</f>
        <v>0</v>
      </c>
      <c r="AR467" s="15" t="n">
        <f aca="false">(AR466)+X467-AQ467</f>
        <v>34555.2322319583</v>
      </c>
      <c r="AS467" s="15" t="n">
        <f aca="false">Motore_Operativo!AC467-AT467+AU467</f>
        <v>32137.5563729167</v>
      </c>
      <c r="AT467" s="15" t="n">
        <f aca="false">Motore_Operativo!CI467</f>
        <v>1691.45033541667</v>
      </c>
      <c r="AU467" s="15" t="n">
        <f aca="false">MIN(MAX(0,(AV466)+AT467),Parametri_v3!$C$61/12)</f>
        <v>0</v>
      </c>
      <c r="AV467" s="15" t="n">
        <f aca="false">(AV466)+AT467-AU467</f>
        <v>39819.5898479167</v>
      </c>
      <c r="AW467" s="15" t="n">
        <f aca="false">IF(AND(Motore_Operativo!C467=Finanziamenti!$D$7,Finanziamenti!$F$7=1),Finanziamenti!$C$7,0)</f>
        <v>0</v>
      </c>
      <c r="AX467" s="15" t="n">
        <f aca="false">0</f>
        <v>0</v>
      </c>
      <c r="AY467" s="15" t="n">
        <f aca="false">IF(7=Parametri_v3!$C$33,IF(BV467&lt;MIN(12,$B467-1),0,MIN(MAX(0,SUM(Y449:Y460))*Ipotesi!$C$94,MAX(0,(BM460)-(BO466)-BP467),MAX(0,BD467-Parametri_v3!$C$31))),0)</f>
        <v>0</v>
      </c>
      <c r="AZ467" s="15" t="n">
        <f aca="false">0</f>
        <v>0</v>
      </c>
      <c r="BA467" s="15" t="n">
        <f aca="false">0</f>
        <v>0</v>
      </c>
      <c r="BB467" s="15" t="n">
        <f aca="false">0</f>
        <v>0</v>
      </c>
      <c r="BC467" s="15" t="n">
        <f aca="false">0</f>
        <v>0</v>
      </c>
      <c r="BD467" s="15" t="n">
        <f aca="false">(BH466)+AC467-AF467-AI467-AS467-K467*(1+Parametri_v3!$C$26)-AL467-AQ467-O467+AW467+AX467+AZ467+BA467-BB467</f>
        <v>102579.173378021</v>
      </c>
      <c r="BE467" s="15" t="n">
        <f aca="false">0</f>
        <v>0</v>
      </c>
      <c r="BF467" s="15" t="n">
        <f aca="false">0</f>
        <v>0</v>
      </c>
      <c r="BG467" s="15" t="n">
        <f aca="false">0</f>
        <v>0</v>
      </c>
      <c r="BH467" s="15" t="n">
        <f aca="false">BD467+BE467-BF467-AY467</f>
        <v>102579.173378021</v>
      </c>
      <c r="BI467" s="15" t="n">
        <f aca="false">MAX(0,Parametri_v3!$C$31-BH467)</f>
        <v>0</v>
      </c>
      <c r="BJ467" s="15" t="n">
        <f aca="false">(BJ466)+K467</f>
        <v>17666.6666666667</v>
      </c>
      <c r="BK467" s="15" t="n">
        <f aca="false">(BK466)+L467</f>
        <v>8865.74074074074</v>
      </c>
      <c r="BL467" s="15" t="n">
        <f aca="false">BJ467-BK467</f>
        <v>8800.92592592592</v>
      </c>
      <c r="BM467" s="15" t="n">
        <f aca="false">(BM466)+Y467</f>
        <v>335949.064460183</v>
      </c>
      <c r="BN467" s="15" t="n">
        <f aca="false">(BN466)+AW467+AX467+AZ467</f>
        <v>20000</v>
      </c>
      <c r="BO467" s="15" t="n">
        <f aca="false">(BO466)+AY467</f>
        <v>60315.9059027778</v>
      </c>
      <c r="BP467" s="15" t="n">
        <f aca="false">MIN(Parametri_v3!$C$36*Parametri_v3!$C$35,(BP466)+IF(7=1,MAX(0,SUM(Y449:Y460))*Parametri_v3!$C$34,0))</f>
        <v>2000</v>
      </c>
      <c r="BQ467" s="15" t="n">
        <f aca="false">BN467+BM467-BO467</f>
        <v>295633.158557406</v>
      </c>
      <c r="BR467" s="15" t="n">
        <f aca="false">BH467+AD467+BL467+MAX(0,-AM467)+MAX(0,-AR467)</f>
        <v>441664.599303947</v>
      </c>
      <c r="BS467" s="15" t="n">
        <f aca="false">AJ467+AV467+MAX(0,AM467)+MAX(0,AR467)+BC467+BG467+BQ467+AG467</f>
        <v>441664.599303947</v>
      </c>
      <c r="BT467" s="15" t="n">
        <f aca="false">BR467-BS467</f>
        <v>0</v>
      </c>
      <c r="BU467" s="15" t="n">
        <f aca="false">BH467-(BD467+BE467-BF467-AY467)</f>
        <v>0</v>
      </c>
      <c r="BV467" s="15" t="n">
        <f aca="false">IF(BH466&lt;Parametri_v3!$C$31,0,BV466+1)</f>
        <v>14</v>
      </c>
    </row>
    <row r="468" customFormat="false" ht="18" hidden="false" customHeight="true" outlineLevel="0" collapsed="false">
      <c r="A468" s="68" t="n">
        <f aca="false">8</f>
        <v>8</v>
      </c>
      <c r="B468" s="68" t="n">
        <f aca="false">44</f>
        <v>44</v>
      </c>
      <c r="C468" s="18" t="n">
        <f aca="false">Motore_Operativo!C468</f>
        <v>47696</v>
      </c>
      <c r="D468" s="68" t="n">
        <f aca="false">Motore_Operativo!D468</f>
        <v>2030</v>
      </c>
      <c r="E468" s="68" t="n">
        <f aca="false">Motore_Operativo!E468</f>
        <v>8</v>
      </c>
      <c r="F468" s="15" t="n">
        <f aca="false">Motore_Operativo!AM468</f>
        <v>90241.6666666667</v>
      </c>
      <c r="G468" s="15" t="n">
        <f aca="false">Motore_Operativo!BH468</f>
        <v>9024.16666666667</v>
      </c>
      <c r="H468" s="15" t="n">
        <f aca="false">Motore_Operativo!AM468</f>
        <v>90241.6666666667</v>
      </c>
      <c r="I468" s="15" t="n">
        <f aca="false">Motore_Operativo!CB468</f>
        <v>62580.173375</v>
      </c>
      <c r="J468" s="15" t="n">
        <f aca="false">Motore_Operativo!CD468</f>
        <v>27661.4932916667</v>
      </c>
      <c r="K468" s="15" t="n">
        <f aca="false">Motore_Operativo!CF468</f>
        <v>666.666666666667</v>
      </c>
      <c r="L468" s="15" t="n">
        <f aca="false">SUM(INDEX($K$425:$K$484,MAX(1,44-Parametri_v3!$C$59+1)):K468)/Parametri_v3!$C$59</f>
        <v>453.703703703704</v>
      </c>
      <c r="M468" s="15" t="n">
        <f aca="false">J468-L468</f>
        <v>27207.789587963</v>
      </c>
      <c r="N468" s="15" t="n">
        <f aca="false">0</f>
        <v>0</v>
      </c>
      <c r="O468" s="15" t="n">
        <f aca="false">0</f>
        <v>0</v>
      </c>
      <c r="P468" s="15" t="n">
        <f aca="false">M468+N468-O468</f>
        <v>27207.789587963</v>
      </c>
      <c r="Q468" s="15" t="n">
        <f aca="false">SUM(P461:P468)+Parametri_v3!$C$56*8/12</f>
        <v>217986.390777778</v>
      </c>
      <c r="R468" s="15" t="n">
        <f aca="false">Z460</f>
        <v>0</v>
      </c>
      <c r="S468" s="15" t="n">
        <f aca="false">AA460</f>
        <v>0</v>
      </c>
      <c r="T468" s="15" t="n">
        <f aca="false">MIN(R468,MAX(0,Q468))</f>
        <v>0</v>
      </c>
      <c r="U468" s="15" t="n">
        <f aca="false">MIN(S468,MAX(0,Q468-T468)*Parametri_v3!$C$42)</f>
        <v>0</v>
      </c>
      <c r="V468" s="15" t="n">
        <f aca="false">MAX(0,Q468-T468-U468)*Ipotesi!$C$92</f>
        <v>52316.7337866667</v>
      </c>
      <c r="W468" s="15" t="n">
        <f aca="false">MAX(0,SUM(M461:M468)+Parametri_v3!$C$57*8/12)*Ipotesi!$C$93</f>
        <v>8501.46924033333</v>
      </c>
      <c r="X468" s="15" t="n">
        <f aca="false">V468+W468-(V467+W467)</f>
        <v>7590.97329504167</v>
      </c>
      <c r="Y468" s="15" t="n">
        <f aca="false">P468-X468</f>
        <v>19616.8162929213</v>
      </c>
      <c r="Z468" s="15" t="n">
        <f aca="false">R468-T468+IF(AND(Parametri_v3!$C$40=1,D468-YEAR(Parametri_v3!$C$50)&lt;Parametri_v3!$C$41),MAX(0,-Q468),0)</f>
        <v>0</v>
      </c>
      <c r="AA468" s="15" t="n">
        <f aca="false">S468-U468+IF(AND(Parametri_v3!$C$40=1,D468-YEAR(Parametri_v3!$C$50)&lt;Parametri_v3!$C$41),0,MAX(0,-Q468))</f>
        <v>0</v>
      </c>
      <c r="AB468" s="15" t="n">
        <f aca="false">F468*(1+Parametri_v3!$C$26)</f>
        <v>110094.833333333</v>
      </c>
      <c r="AC468" s="15" t="n">
        <f aca="false">(IF(44-(INT((Motore_Operativo!L468)/30))&lt;1,0,INDEX(Motore_Advisory!$AB$425:$AB$484,MAX(1,44-(INT((Motore_Operativo!L468)/30)))))*(1-(MOD((Motore_Operativo!L468),30)/30))+IF(44-(INT((Motore_Operativo!L468)/30))-1&lt;1,0,INDEX(Motore_Advisory!$AB$425:$AB$484,MAX(1,44-(INT((Motore_Operativo!L468)/30))-1)))*(MOD((Motore_Operativo!L468),30)/30))</f>
        <v>110094.833333333</v>
      </c>
      <c r="AD468" s="15" t="n">
        <f aca="false">(AD467)+AB468-AC468</f>
        <v>330284.5</v>
      </c>
      <c r="AE468" s="15" t="n">
        <f aca="false">Motore_Operativo!BH468*(1+Parametri_v3!$C$26)</f>
        <v>11009.4833333333</v>
      </c>
      <c r="AF468" s="15" t="n">
        <f aca="false">(IF(44-(INT((Parametri_v3!$C$29)/30))&lt;1,0,INDEX(Motore_Operativo!$BH$425:$BH$484,MAX(1,44-(INT((Parametri_v3!$C$29)/30)))))*(1-(MOD((Parametri_v3!$C$29),30)/30))+IF(44-(INT((Parametri_v3!$C$29)/30))-1&lt;1,0,INDEX(Motore_Operativo!$BH$425:$BH$484,MAX(1,44-(INT((Parametri_v3!$C$29)/30))-1)))*(MOD((Parametri_v3!$C$29),30)/30))*(1+Parametri_v3!$C$26)</f>
        <v>11009.4833333333</v>
      </c>
      <c r="AG468" s="15" t="n">
        <f aca="false">(AG467)+AE468-AF468</f>
        <v>11009.4833333333</v>
      </c>
      <c r="AH468" s="15" t="n">
        <f aca="false">(Motore_Operativo!CK468)*(1+Parametri_v3!$C$28*Parametri_v3!$C$26)</f>
        <v>23198.952</v>
      </c>
      <c r="AI468" s="15" t="n">
        <f aca="false">(IF(44-(INT((Ipotesi!$C$91)/30))&lt;1,0,INDEX(Motore_Advisory!$AH$425:$AH$484,MAX(1,44-(INT((Ipotesi!$C$91)/30)))))*(1-(MOD((Ipotesi!$C$91),30)/30))+IF(44-(INT((Ipotesi!$C$91)/30))-1&lt;1,0,INDEX(Motore_Advisory!$AH$425:$AH$484,MAX(1,44-(INT((Ipotesi!$C$91)/30))-1)))*(MOD((Ipotesi!$C$91),30)/30))</f>
        <v>23198.952</v>
      </c>
      <c r="AJ468" s="15" t="n">
        <f aca="false">(AJ467)+AH468-AI468</f>
        <v>46397.904</v>
      </c>
      <c r="AK468" s="15" t="n">
        <f aca="false">(F468- Motore_Operativo!BH468-(Motore_Operativo!CK468)*Parametri_v3!$C$28-Motore_Operativo!CF468)*Parametri_v3!$C$26</f>
        <v>14249.2313333333</v>
      </c>
      <c r="AL468" s="15" t="n">
        <f aca="false">MAX(0,(AM467))</f>
        <v>14249.2313333333</v>
      </c>
      <c r="AM468" s="15" t="n">
        <f aca="false">(AM467)+AK468-AL468</f>
        <v>14249.2313333333</v>
      </c>
      <c r="AN468" s="15" t="n">
        <f aca="false">SUM(X449:X460)</f>
        <v>46679.99375</v>
      </c>
      <c r="AO468" s="15" t="n">
        <f aca="false">SUM(AP449:AP460)</f>
        <v>16530.1714788732</v>
      </c>
      <c r="AP468" s="15" t="n">
        <f aca="false">MAX(0,AN468)*IF(8=Parametri_v3!$C$43,Parametri_v3!$C$45,IF(8=Parametri_v3!$C$44,1-Parametri_v3!$C$45,0))</f>
        <v>0</v>
      </c>
      <c r="AQ468" s="15" t="n">
        <f aca="false">MAX(0,AP468+IF(8=Parametri_v3!$C$43,MAX(0,AN468-AO468),0)-MAX(0,-(AR467)))</f>
        <v>0</v>
      </c>
      <c r="AR468" s="15" t="n">
        <f aca="false">(AR467)+X468-AQ468</f>
        <v>42146.205527</v>
      </c>
      <c r="AS468" s="15" t="n">
        <f aca="false">Motore_Operativo!AC468-AT468+AU468</f>
        <v>32137.5563729167</v>
      </c>
      <c r="AT468" s="15" t="n">
        <f aca="false">Motore_Operativo!CI468</f>
        <v>1691.45033541667</v>
      </c>
      <c r="AU468" s="15" t="n">
        <f aca="false">MIN(MAX(0,(AV467)+AT468),Parametri_v3!$C$61/12)</f>
        <v>0</v>
      </c>
      <c r="AV468" s="15" t="n">
        <f aca="false">(AV467)+AT468-AU468</f>
        <v>41511.0401833333</v>
      </c>
      <c r="AW468" s="15" t="n">
        <f aca="false">IF(AND(Motore_Operativo!C468=Finanziamenti!$D$7,Finanziamenti!$F$7=1),Finanziamenti!$C$7,0)</f>
        <v>0</v>
      </c>
      <c r="AX468" s="15" t="n">
        <f aca="false">0</f>
        <v>0</v>
      </c>
      <c r="AY468" s="15" t="n">
        <f aca="false">IF(8=Parametri_v3!$C$33,IF(BV468&lt;MIN(12,$B468-1),0,MIN(MAX(0,SUM(Y449:Y460))*Ipotesi!$C$94,MAX(0,(BM460)-(BO467)-BP468),MAX(0,BD468-Parametri_v3!$C$31))),0)</f>
        <v>0</v>
      </c>
      <c r="AZ468" s="15" t="n">
        <f aca="false">0</f>
        <v>0</v>
      </c>
      <c r="BA468" s="15" t="n">
        <f aca="false">0</f>
        <v>0</v>
      </c>
      <c r="BB468" s="15" t="n">
        <f aca="false">0</f>
        <v>0</v>
      </c>
      <c r="BC468" s="15" t="n">
        <f aca="false">0</f>
        <v>0</v>
      </c>
      <c r="BD468" s="15" t="n">
        <f aca="false">(BH467)+AC468-AF468-AI468-AS468-K468*(1+Parametri_v3!$C$26)-AL468-AQ468-O468+AW468+AX468+AZ468+BA468-BB468</f>
        <v>131265.450338438</v>
      </c>
      <c r="BE468" s="15" t="n">
        <f aca="false">0</f>
        <v>0</v>
      </c>
      <c r="BF468" s="15" t="n">
        <f aca="false">0</f>
        <v>0</v>
      </c>
      <c r="BG468" s="15" t="n">
        <f aca="false">0</f>
        <v>0</v>
      </c>
      <c r="BH468" s="15" t="n">
        <f aca="false">BD468+BE468-BF468-AY468</f>
        <v>131265.450338438</v>
      </c>
      <c r="BI468" s="15" t="n">
        <f aca="false">MAX(0,Parametri_v3!$C$31-BH468)</f>
        <v>0</v>
      </c>
      <c r="BJ468" s="15" t="n">
        <f aca="false">(BJ467)+K468</f>
        <v>18333.3333333333</v>
      </c>
      <c r="BK468" s="15" t="n">
        <f aca="false">(BK467)+L468</f>
        <v>9319.44444444444</v>
      </c>
      <c r="BL468" s="15" t="n">
        <f aca="false">BJ468-BK468</f>
        <v>9013.88888888889</v>
      </c>
      <c r="BM468" s="15" t="n">
        <f aca="false">(BM467)+Y468</f>
        <v>355565.880753105</v>
      </c>
      <c r="BN468" s="15" t="n">
        <f aca="false">(BN467)+AW468+AX468+AZ468</f>
        <v>20000</v>
      </c>
      <c r="BO468" s="15" t="n">
        <f aca="false">(BO467)+AY468</f>
        <v>60315.9059027778</v>
      </c>
      <c r="BP468" s="15" t="n">
        <f aca="false">MIN(Parametri_v3!$C$36*Parametri_v3!$C$35,(BP467)+IF(8=1,MAX(0,SUM(Y449:Y460))*Parametri_v3!$C$34,0))</f>
        <v>2000</v>
      </c>
      <c r="BQ468" s="15" t="n">
        <f aca="false">BN468+BM468-BO468</f>
        <v>315249.974850327</v>
      </c>
      <c r="BR468" s="15" t="n">
        <f aca="false">BH468+AD468+BL468+MAX(0,-AM468)+MAX(0,-AR468)</f>
        <v>470563.839227327</v>
      </c>
      <c r="BS468" s="15" t="n">
        <f aca="false">AJ468+AV468+MAX(0,AM468)+MAX(0,AR468)+BC468+BG468+BQ468+AG468</f>
        <v>470563.839227327</v>
      </c>
      <c r="BT468" s="15" t="n">
        <f aca="false">BR468-BS468</f>
        <v>0</v>
      </c>
      <c r="BU468" s="15" t="n">
        <f aca="false">BH468-(BD468+BE468-BF468-AY468)</f>
        <v>0</v>
      </c>
      <c r="BV468" s="15" t="n">
        <f aca="false">IF(BH467&lt;Parametri_v3!$C$31,0,BV467+1)</f>
        <v>15</v>
      </c>
    </row>
    <row r="469" customFormat="false" ht="18" hidden="false" customHeight="true" outlineLevel="0" collapsed="false">
      <c r="A469" s="68" t="n">
        <f aca="false">8</f>
        <v>8</v>
      </c>
      <c r="B469" s="68" t="n">
        <f aca="false">45</f>
        <v>45</v>
      </c>
      <c r="C469" s="18" t="n">
        <f aca="false">Motore_Operativo!C469</f>
        <v>47727</v>
      </c>
      <c r="D469" s="68" t="n">
        <f aca="false">Motore_Operativo!D469</f>
        <v>2030</v>
      </c>
      <c r="E469" s="68" t="n">
        <f aca="false">Motore_Operativo!E469</f>
        <v>9</v>
      </c>
      <c r="F469" s="15" t="n">
        <f aca="false">Motore_Operativo!AM469</f>
        <v>90241.6666666667</v>
      </c>
      <c r="G469" s="15" t="n">
        <f aca="false">Motore_Operativo!BH469</f>
        <v>9024.16666666667</v>
      </c>
      <c r="H469" s="15" t="n">
        <f aca="false">Motore_Operativo!AM469</f>
        <v>90241.6666666667</v>
      </c>
      <c r="I469" s="15" t="n">
        <f aca="false">Motore_Operativo!CB469</f>
        <v>62580.173375</v>
      </c>
      <c r="J469" s="15" t="n">
        <f aca="false">Motore_Operativo!CD469</f>
        <v>27661.4932916667</v>
      </c>
      <c r="K469" s="15" t="n">
        <f aca="false">Motore_Operativo!CF469</f>
        <v>666.666666666667</v>
      </c>
      <c r="L469" s="15" t="n">
        <f aca="false">SUM(INDEX($K$425:$K$484,MAX(1,45-Parametri_v3!$C$59+1)):K469)/Parametri_v3!$C$59</f>
        <v>465.277777777778</v>
      </c>
      <c r="M469" s="15" t="n">
        <f aca="false">J469-L469</f>
        <v>27196.2155138889</v>
      </c>
      <c r="N469" s="15" t="n">
        <f aca="false">0</f>
        <v>0</v>
      </c>
      <c r="O469" s="15" t="n">
        <f aca="false">0</f>
        <v>0</v>
      </c>
      <c r="P469" s="15" t="n">
        <f aca="false">M469+N469-O469</f>
        <v>27196.2155138889</v>
      </c>
      <c r="Q469" s="15" t="n">
        <f aca="false">SUM(P461:P469)+Parametri_v3!$C$56*9/12</f>
        <v>245182.606291667</v>
      </c>
      <c r="R469" s="15" t="n">
        <f aca="false">Z460</f>
        <v>0</v>
      </c>
      <c r="S469" s="15" t="n">
        <f aca="false">AA460</f>
        <v>0</v>
      </c>
      <c r="T469" s="15" t="n">
        <f aca="false">MIN(R469,MAX(0,Q469))</f>
        <v>0</v>
      </c>
      <c r="U469" s="15" t="n">
        <f aca="false">MIN(S469,MAX(0,Q469-T469)*Parametri_v3!$C$42)</f>
        <v>0</v>
      </c>
      <c r="V469" s="15" t="n">
        <f aca="false">MAX(0,Q469-T469-U469)*Ipotesi!$C$92</f>
        <v>58843.82551</v>
      </c>
      <c r="W469" s="15" t="n">
        <f aca="false">MAX(0,SUM(M461:M469)+Parametri_v3!$C$57*9/12)*Ipotesi!$C$93</f>
        <v>9562.121645375</v>
      </c>
      <c r="X469" s="15" t="n">
        <f aca="false">V469+W469-(V468+W468)</f>
        <v>7587.74412837499</v>
      </c>
      <c r="Y469" s="15" t="n">
        <f aca="false">P469-X469</f>
        <v>19608.4713855139</v>
      </c>
      <c r="Z469" s="15" t="n">
        <f aca="false">R469-T469+IF(AND(Parametri_v3!$C$40=1,D469-YEAR(Parametri_v3!$C$50)&lt;Parametri_v3!$C$41),MAX(0,-Q469),0)</f>
        <v>0</v>
      </c>
      <c r="AA469" s="15" t="n">
        <f aca="false">S469-U469+IF(AND(Parametri_v3!$C$40=1,D469-YEAR(Parametri_v3!$C$50)&lt;Parametri_v3!$C$41),0,MAX(0,-Q469))</f>
        <v>0</v>
      </c>
      <c r="AB469" s="15" t="n">
        <f aca="false">F469*(1+Parametri_v3!$C$26)</f>
        <v>110094.833333333</v>
      </c>
      <c r="AC469" s="15" t="n">
        <f aca="false">(IF(45-(INT((Motore_Operativo!L469)/30))&lt;1,0,INDEX(Motore_Advisory!$AB$425:$AB$484,MAX(1,45-(INT((Motore_Operativo!L469)/30)))))*(1-(MOD((Motore_Operativo!L469),30)/30))+IF(45-(INT((Motore_Operativo!L469)/30))-1&lt;1,0,INDEX(Motore_Advisory!$AB$425:$AB$484,MAX(1,45-(INT((Motore_Operativo!L469)/30))-1)))*(MOD((Motore_Operativo!L469),30)/30))</f>
        <v>110094.833333333</v>
      </c>
      <c r="AD469" s="15" t="n">
        <f aca="false">(AD468)+AB469-AC469</f>
        <v>330284.5</v>
      </c>
      <c r="AE469" s="15" t="n">
        <f aca="false">Motore_Operativo!BH469*(1+Parametri_v3!$C$26)</f>
        <v>11009.4833333333</v>
      </c>
      <c r="AF469" s="15" t="n">
        <f aca="false">(IF(45-(INT((Parametri_v3!$C$29)/30))&lt;1,0,INDEX(Motore_Operativo!$BH$425:$BH$484,MAX(1,45-(INT((Parametri_v3!$C$29)/30)))))*(1-(MOD((Parametri_v3!$C$29),30)/30))+IF(45-(INT((Parametri_v3!$C$29)/30))-1&lt;1,0,INDEX(Motore_Operativo!$BH$425:$BH$484,MAX(1,45-(INT((Parametri_v3!$C$29)/30))-1)))*(MOD((Parametri_v3!$C$29),30)/30))*(1+Parametri_v3!$C$26)</f>
        <v>11009.4833333333</v>
      </c>
      <c r="AG469" s="15" t="n">
        <f aca="false">(AG468)+AE469-AF469</f>
        <v>11009.4833333333</v>
      </c>
      <c r="AH469" s="15" t="n">
        <f aca="false">(Motore_Operativo!CK469)*(1+Parametri_v3!$C$28*Parametri_v3!$C$26)</f>
        <v>23198.952</v>
      </c>
      <c r="AI469" s="15" t="n">
        <f aca="false">(IF(45-(INT((Ipotesi!$C$91)/30))&lt;1,0,INDEX(Motore_Advisory!$AH$425:$AH$484,MAX(1,45-(INT((Ipotesi!$C$91)/30)))))*(1-(MOD((Ipotesi!$C$91),30)/30))+IF(45-(INT((Ipotesi!$C$91)/30))-1&lt;1,0,INDEX(Motore_Advisory!$AH$425:$AH$484,MAX(1,45-(INT((Ipotesi!$C$91)/30))-1)))*(MOD((Ipotesi!$C$91),30)/30))</f>
        <v>23198.952</v>
      </c>
      <c r="AJ469" s="15" t="n">
        <f aca="false">(AJ468)+AH469-AI469</f>
        <v>46397.904</v>
      </c>
      <c r="AK469" s="15" t="n">
        <f aca="false">(F469- Motore_Operativo!BH469-(Motore_Operativo!CK469)*Parametri_v3!$C$28-Motore_Operativo!CF469)*Parametri_v3!$C$26</f>
        <v>14249.2313333333</v>
      </c>
      <c r="AL469" s="15" t="n">
        <f aca="false">MAX(0,(AM468))</f>
        <v>14249.2313333333</v>
      </c>
      <c r="AM469" s="15" t="n">
        <f aca="false">(AM468)+AK469-AL469</f>
        <v>14249.2313333333</v>
      </c>
      <c r="AN469" s="15" t="n">
        <f aca="false">SUM(X449:X460)</f>
        <v>46679.99375</v>
      </c>
      <c r="AO469" s="15" t="n">
        <f aca="false">SUM(AP449:AP460)</f>
        <v>16530.1714788732</v>
      </c>
      <c r="AP469" s="15" t="n">
        <f aca="false">MAX(0,AN469)*IF(9=Parametri_v3!$C$43,Parametri_v3!$C$45,IF(9=Parametri_v3!$C$44,1-Parametri_v3!$C$45,0))</f>
        <v>0</v>
      </c>
      <c r="AQ469" s="15" t="n">
        <f aca="false">MAX(0,AP469+IF(9=Parametri_v3!$C$43,MAX(0,AN469-AO469),0)-MAX(0,-(AR468)))</f>
        <v>0</v>
      </c>
      <c r="AR469" s="15" t="n">
        <f aca="false">(AR468)+X469-AQ469</f>
        <v>49733.949655375</v>
      </c>
      <c r="AS469" s="15" t="n">
        <f aca="false">Motore_Operativo!AC469-AT469+AU469</f>
        <v>32137.5563729167</v>
      </c>
      <c r="AT469" s="15" t="n">
        <f aca="false">Motore_Operativo!CI469</f>
        <v>1691.45033541667</v>
      </c>
      <c r="AU469" s="15" t="n">
        <f aca="false">MIN(MAX(0,(AV468)+AT469),Parametri_v3!$C$61/12)</f>
        <v>0</v>
      </c>
      <c r="AV469" s="15" t="n">
        <f aca="false">(AV468)+AT469-AU469</f>
        <v>43202.49051875</v>
      </c>
      <c r="AW469" s="15" t="n">
        <f aca="false">IF(AND(Motore_Operativo!C469=Finanziamenti!$D$7,Finanziamenti!$F$7=1),Finanziamenti!$C$7,0)</f>
        <v>0</v>
      </c>
      <c r="AX469" s="15" t="n">
        <f aca="false">0</f>
        <v>0</v>
      </c>
      <c r="AY469" s="15" t="n">
        <f aca="false">IF(9=Parametri_v3!$C$33,IF(BV469&lt;MIN(12,$B469-1),0,MIN(MAX(0,SUM(Y449:Y460))*Ipotesi!$C$94,MAX(0,(BM460)-(BO468)-BP469),MAX(0,BD469-Parametri_v3!$C$31))),0)</f>
        <v>0</v>
      </c>
      <c r="AZ469" s="15" t="n">
        <f aca="false">0</f>
        <v>0</v>
      </c>
      <c r="BA469" s="15" t="n">
        <f aca="false">0</f>
        <v>0</v>
      </c>
      <c r="BB469" s="15" t="n">
        <f aca="false">0</f>
        <v>0</v>
      </c>
      <c r="BC469" s="15" t="n">
        <f aca="false">0</f>
        <v>0</v>
      </c>
      <c r="BD469" s="15" t="n">
        <f aca="false">(BH468)+AC469-AF469-AI469-AS469-K469*(1+Parametri_v3!$C$26)-AL469-AQ469-O469+AW469+AX469+AZ469+BA469-BB469</f>
        <v>159951.727298854</v>
      </c>
      <c r="BE469" s="15" t="n">
        <f aca="false">0</f>
        <v>0</v>
      </c>
      <c r="BF469" s="15" t="n">
        <f aca="false">0</f>
        <v>0</v>
      </c>
      <c r="BG469" s="15" t="n">
        <f aca="false">0</f>
        <v>0</v>
      </c>
      <c r="BH469" s="15" t="n">
        <f aca="false">BD469+BE469-BF469-AY469</f>
        <v>159951.727298854</v>
      </c>
      <c r="BI469" s="15" t="n">
        <f aca="false">MAX(0,Parametri_v3!$C$31-BH469)</f>
        <v>0</v>
      </c>
      <c r="BJ469" s="15" t="n">
        <f aca="false">(BJ468)+K469</f>
        <v>19000</v>
      </c>
      <c r="BK469" s="15" t="n">
        <f aca="false">(BK468)+L469</f>
        <v>9784.72222222222</v>
      </c>
      <c r="BL469" s="15" t="n">
        <f aca="false">BJ469-BK469</f>
        <v>9215.27777777778</v>
      </c>
      <c r="BM469" s="15" t="n">
        <f aca="false">(BM468)+Y469</f>
        <v>375174.352138619</v>
      </c>
      <c r="BN469" s="15" t="n">
        <f aca="false">(BN468)+AW469+AX469+AZ469</f>
        <v>20000</v>
      </c>
      <c r="BO469" s="15" t="n">
        <f aca="false">(BO468)+AY469</f>
        <v>60315.9059027778</v>
      </c>
      <c r="BP469" s="15" t="n">
        <f aca="false">MIN(Parametri_v3!$C$36*Parametri_v3!$C$35,(BP468)+IF(9=1,MAX(0,SUM(Y449:Y460))*Parametri_v3!$C$34,0))</f>
        <v>2000</v>
      </c>
      <c r="BQ469" s="15" t="n">
        <f aca="false">BN469+BM469-BO469</f>
        <v>334858.446235841</v>
      </c>
      <c r="BR469" s="15" t="n">
        <f aca="false">BH469+AD469+BL469+MAX(0,-AM469)+MAX(0,-AR469)</f>
        <v>499451.505076632</v>
      </c>
      <c r="BS469" s="15" t="n">
        <f aca="false">AJ469+AV469+MAX(0,AM469)+MAX(0,AR469)+BC469+BG469+BQ469+AG469</f>
        <v>499451.505076632</v>
      </c>
      <c r="BT469" s="15" t="n">
        <f aca="false">BR469-BS469</f>
        <v>0</v>
      </c>
      <c r="BU469" s="15" t="n">
        <f aca="false">BH469-(BD469+BE469-BF469-AY469)</f>
        <v>0</v>
      </c>
      <c r="BV469" s="15" t="n">
        <f aca="false">IF(BH468&lt;Parametri_v3!$C$31,0,BV468+1)</f>
        <v>16</v>
      </c>
    </row>
    <row r="470" customFormat="false" ht="18" hidden="false" customHeight="true" outlineLevel="0" collapsed="false">
      <c r="A470" s="68" t="n">
        <f aca="false">8</f>
        <v>8</v>
      </c>
      <c r="B470" s="68" t="n">
        <f aca="false">46</f>
        <v>46</v>
      </c>
      <c r="C470" s="18" t="n">
        <f aca="false">Motore_Operativo!C470</f>
        <v>47757</v>
      </c>
      <c r="D470" s="68" t="n">
        <f aca="false">Motore_Operativo!D470</f>
        <v>2030</v>
      </c>
      <c r="E470" s="68" t="n">
        <f aca="false">Motore_Operativo!E470</f>
        <v>10</v>
      </c>
      <c r="F470" s="15" t="n">
        <f aca="false">Motore_Operativo!AM470</f>
        <v>90241.6666666667</v>
      </c>
      <c r="G470" s="15" t="n">
        <f aca="false">Motore_Operativo!BH470</f>
        <v>9024.16666666667</v>
      </c>
      <c r="H470" s="15" t="n">
        <f aca="false">Motore_Operativo!AM470</f>
        <v>90241.6666666667</v>
      </c>
      <c r="I470" s="15" t="n">
        <f aca="false">Motore_Operativo!CB470</f>
        <v>62580.173375</v>
      </c>
      <c r="J470" s="15" t="n">
        <f aca="false">Motore_Operativo!CD470</f>
        <v>27661.4932916667</v>
      </c>
      <c r="K470" s="15" t="n">
        <f aca="false">Motore_Operativo!CF470</f>
        <v>666.666666666667</v>
      </c>
      <c r="L470" s="15" t="n">
        <f aca="false">SUM(INDEX($K$425:$K$484,MAX(1,46-Parametri_v3!$C$59+1)):K470)/Parametri_v3!$C$59</f>
        <v>476.851851851852</v>
      </c>
      <c r="M470" s="15" t="n">
        <f aca="false">J470-L470</f>
        <v>27184.6414398148</v>
      </c>
      <c r="N470" s="15" t="n">
        <f aca="false">0</f>
        <v>0</v>
      </c>
      <c r="O470" s="15" t="n">
        <f aca="false">0</f>
        <v>0</v>
      </c>
      <c r="P470" s="15" t="n">
        <f aca="false">M470+N470-O470</f>
        <v>27184.6414398148</v>
      </c>
      <c r="Q470" s="15" t="n">
        <f aca="false">SUM(P461:P470)+Parametri_v3!$C$56*10/12</f>
        <v>272367.247731481</v>
      </c>
      <c r="R470" s="15" t="n">
        <f aca="false">Z460</f>
        <v>0</v>
      </c>
      <c r="S470" s="15" t="n">
        <f aca="false">AA460</f>
        <v>0</v>
      </c>
      <c r="T470" s="15" t="n">
        <f aca="false">MIN(R470,MAX(0,Q470))</f>
        <v>0</v>
      </c>
      <c r="U470" s="15" t="n">
        <f aca="false">MIN(S470,MAX(0,Q470-T470)*Parametri_v3!$C$42)</f>
        <v>0</v>
      </c>
      <c r="V470" s="15" t="n">
        <f aca="false">MAX(0,Q470-T470-U470)*Ipotesi!$C$92</f>
        <v>65368.1394555555</v>
      </c>
      <c r="W470" s="15" t="n">
        <f aca="false">MAX(0,SUM(M461:M470)+Parametri_v3!$C$57*10/12)*Ipotesi!$C$93</f>
        <v>10622.3226615278</v>
      </c>
      <c r="X470" s="15" t="n">
        <f aca="false">V470+W470-(V469+W469)</f>
        <v>7584.51496170834</v>
      </c>
      <c r="Y470" s="15" t="n">
        <f aca="false">P470-X470</f>
        <v>19600.1264781065</v>
      </c>
      <c r="Z470" s="15" t="n">
        <f aca="false">R470-T470+IF(AND(Parametri_v3!$C$40=1,D470-YEAR(Parametri_v3!$C$50)&lt;Parametri_v3!$C$41),MAX(0,-Q470),0)</f>
        <v>0</v>
      </c>
      <c r="AA470" s="15" t="n">
        <f aca="false">S470-U470+IF(AND(Parametri_v3!$C$40=1,D470-YEAR(Parametri_v3!$C$50)&lt;Parametri_v3!$C$41),0,MAX(0,-Q470))</f>
        <v>0</v>
      </c>
      <c r="AB470" s="15" t="n">
        <f aca="false">F470*(1+Parametri_v3!$C$26)</f>
        <v>110094.833333333</v>
      </c>
      <c r="AC470" s="15" t="n">
        <f aca="false">(IF(46-(INT((Motore_Operativo!L470)/30))&lt;1,0,INDEX(Motore_Advisory!$AB$425:$AB$484,MAX(1,46-(INT((Motore_Operativo!L470)/30)))))*(1-(MOD((Motore_Operativo!L470),30)/30))+IF(46-(INT((Motore_Operativo!L470)/30))-1&lt;1,0,INDEX(Motore_Advisory!$AB$425:$AB$484,MAX(1,46-(INT((Motore_Operativo!L470)/30))-1)))*(MOD((Motore_Operativo!L470),30)/30))</f>
        <v>110094.833333333</v>
      </c>
      <c r="AD470" s="15" t="n">
        <f aca="false">(AD469)+AB470-AC470</f>
        <v>330284.5</v>
      </c>
      <c r="AE470" s="15" t="n">
        <f aca="false">Motore_Operativo!BH470*(1+Parametri_v3!$C$26)</f>
        <v>11009.4833333333</v>
      </c>
      <c r="AF470" s="15" t="n">
        <f aca="false">(IF(46-(INT((Parametri_v3!$C$29)/30))&lt;1,0,INDEX(Motore_Operativo!$BH$425:$BH$484,MAX(1,46-(INT((Parametri_v3!$C$29)/30)))))*(1-(MOD((Parametri_v3!$C$29),30)/30))+IF(46-(INT((Parametri_v3!$C$29)/30))-1&lt;1,0,INDEX(Motore_Operativo!$BH$425:$BH$484,MAX(1,46-(INT((Parametri_v3!$C$29)/30))-1)))*(MOD((Parametri_v3!$C$29),30)/30))*(1+Parametri_v3!$C$26)</f>
        <v>11009.4833333333</v>
      </c>
      <c r="AG470" s="15" t="n">
        <f aca="false">(AG469)+AE470-AF470</f>
        <v>11009.4833333333</v>
      </c>
      <c r="AH470" s="15" t="n">
        <f aca="false">(Motore_Operativo!CK470)*(1+Parametri_v3!$C$28*Parametri_v3!$C$26)</f>
        <v>23198.952</v>
      </c>
      <c r="AI470" s="15" t="n">
        <f aca="false">(IF(46-(INT((Ipotesi!$C$91)/30))&lt;1,0,INDEX(Motore_Advisory!$AH$425:$AH$484,MAX(1,46-(INT((Ipotesi!$C$91)/30)))))*(1-(MOD((Ipotesi!$C$91),30)/30))+IF(46-(INT((Ipotesi!$C$91)/30))-1&lt;1,0,INDEX(Motore_Advisory!$AH$425:$AH$484,MAX(1,46-(INT((Ipotesi!$C$91)/30))-1)))*(MOD((Ipotesi!$C$91),30)/30))</f>
        <v>23198.952</v>
      </c>
      <c r="AJ470" s="15" t="n">
        <f aca="false">(AJ469)+AH470-AI470</f>
        <v>46397.904</v>
      </c>
      <c r="AK470" s="15" t="n">
        <f aca="false">(F470- Motore_Operativo!BH470-(Motore_Operativo!CK470)*Parametri_v3!$C$28-Motore_Operativo!CF470)*Parametri_v3!$C$26</f>
        <v>14249.2313333333</v>
      </c>
      <c r="AL470" s="15" t="n">
        <f aca="false">MAX(0,(AM469))</f>
        <v>14249.2313333333</v>
      </c>
      <c r="AM470" s="15" t="n">
        <f aca="false">(AM469)+AK470-AL470</f>
        <v>14249.2313333333</v>
      </c>
      <c r="AN470" s="15" t="n">
        <f aca="false">SUM(X449:X460)</f>
        <v>46679.99375</v>
      </c>
      <c r="AO470" s="15" t="n">
        <f aca="false">SUM(AP449:AP460)</f>
        <v>16530.1714788732</v>
      </c>
      <c r="AP470" s="15" t="n">
        <f aca="false">MAX(0,AN470)*IF(10=Parametri_v3!$C$43,Parametri_v3!$C$45,IF(10=Parametri_v3!$C$44,1-Parametri_v3!$C$45,0))</f>
        <v>0</v>
      </c>
      <c r="AQ470" s="15" t="n">
        <f aca="false">MAX(0,AP470+IF(10=Parametri_v3!$C$43,MAX(0,AN470-AO470),0)-MAX(0,-(AR469)))</f>
        <v>0</v>
      </c>
      <c r="AR470" s="15" t="n">
        <f aca="false">(AR469)+X470-AQ470</f>
        <v>57318.4646170833</v>
      </c>
      <c r="AS470" s="15" t="n">
        <f aca="false">Motore_Operativo!AC470-AT470+AU470</f>
        <v>32137.5563729167</v>
      </c>
      <c r="AT470" s="15" t="n">
        <f aca="false">Motore_Operativo!CI470</f>
        <v>1691.45033541667</v>
      </c>
      <c r="AU470" s="15" t="n">
        <f aca="false">MIN(MAX(0,(AV469)+AT470),Parametri_v3!$C$61/12)</f>
        <v>0</v>
      </c>
      <c r="AV470" s="15" t="n">
        <f aca="false">(AV469)+AT470-AU470</f>
        <v>44893.9408541667</v>
      </c>
      <c r="AW470" s="15" t="n">
        <f aca="false">IF(AND(Motore_Operativo!C470=Finanziamenti!$D$7,Finanziamenti!$F$7=1),Finanziamenti!$C$7,0)</f>
        <v>0</v>
      </c>
      <c r="AX470" s="15" t="n">
        <f aca="false">0</f>
        <v>0</v>
      </c>
      <c r="AY470" s="15" t="n">
        <f aca="false">IF(10=Parametri_v3!$C$33,IF(BV470&lt;MIN(12,$B470-1),0,MIN(MAX(0,SUM(Y449:Y460))*Ipotesi!$C$94,MAX(0,(BM460)-(BO469)-BP470),MAX(0,BD470-Parametri_v3!$C$31))),0)</f>
        <v>0</v>
      </c>
      <c r="AZ470" s="15" t="n">
        <f aca="false">0</f>
        <v>0</v>
      </c>
      <c r="BA470" s="15" t="n">
        <f aca="false">0</f>
        <v>0</v>
      </c>
      <c r="BB470" s="15" t="n">
        <f aca="false">0</f>
        <v>0</v>
      </c>
      <c r="BC470" s="15" t="n">
        <f aca="false">0</f>
        <v>0</v>
      </c>
      <c r="BD470" s="15" t="n">
        <f aca="false">(BH469)+AC470-AF470-AI470-AS470-K470*(1+Parametri_v3!$C$26)-AL470-AQ470-O470+AW470+AX470+AZ470+BA470-BB470</f>
        <v>188638.004259271</v>
      </c>
      <c r="BE470" s="15" t="n">
        <f aca="false">0</f>
        <v>0</v>
      </c>
      <c r="BF470" s="15" t="n">
        <f aca="false">0</f>
        <v>0</v>
      </c>
      <c r="BG470" s="15" t="n">
        <f aca="false">0</f>
        <v>0</v>
      </c>
      <c r="BH470" s="15" t="n">
        <f aca="false">BD470+BE470-BF470-AY470</f>
        <v>188638.004259271</v>
      </c>
      <c r="BI470" s="15" t="n">
        <f aca="false">MAX(0,Parametri_v3!$C$31-BH470)</f>
        <v>0</v>
      </c>
      <c r="BJ470" s="15" t="n">
        <f aca="false">(BJ469)+K470</f>
        <v>19666.6666666667</v>
      </c>
      <c r="BK470" s="15" t="n">
        <f aca="false">(BK469)+L470</f>
        <v>10261.5740740741</v>
      </c>
      <c r="BL470" s="15" t="n">
        <f aca="false">BJ470-BK470</f>
        <v>9405.09259259259</v>
      </c>
      <c r="BM470" s="15" t="n">
        <f aca="false">(BM469)+Y470</f>
        <v>394774.478616725</v>
      </c>
      <c r="BN470" s="15" t="n">
        <f aca="false">(BN469)+AW470+AX470+AZ470</f>
        <v>20000</v>
      </c>
      <c r="BO470" s="15" t="n">
        <f aca="false">(BO469)+AY470</f>
        <v>60315.9059027778</v>
      </c>
      <c r="BP470" s="15" t="n">
        <f aca="false">MIN(Parametri_v3!$C$36*Parametri_v3!$C$35,(BP469)+IF(10=1,MAX(0,SUM(Y449:Y460))*Parametri_v3!$C$34,0))</f>
        <v>2000</v>
      </c>
      <c r="BQ470" s="15" t="n">
        <f aca="false">BN470+BM470-BO470</f>
        <v>354458.572713947</v>
      </c>
      <c r="BR470" s="15" t="n">
        <f aca="false">BH470+AD470+BL470+MAX(0,-AM470)+MAX(0,-AR470)</f>
        <v>528327.596851864</v>
      </c>
      <c r="BS470" s="15" t="n">
        <f aca="false">AJ470+AV470+MAX(0,AM470)+MAX(0,AR470)+BC470+BG470+BQ470+AG470</f>
        <v>528327.596851864</v>
      </c>
      <c r="BT470" s="15" t="n">
        <f aca="false">BR470-BS470</f>
        <v>0</v>
      </c>
      <c r="BU470" s="15" t="n">
        <f aca="false">BH470-(BD470+BE470-BF470-AY470)</f>
        <v>0</v>
      </c>
      <c r="BV470" s="15" t="n">
        <f aca="false">IF(BH469&lt;Parametri_v3!$C$31,0,BV469+1)</f>
        <v>17</v>
      </c>
    </row>
    <row r="471" customFormat="false" ht="18" hidden="false" customHeight="true" outlineLevel="0" collapsed="false">
      <c r="A471" s="68" t="n">
        <f aca="false">8</f>
        <v>8</v>
      </c>
      <c r="B471" s="68" t="n">
        <f aca="false">47</f>
        <v>47</v>
      </c>
      <c r="C471" s="18" t="n">
        <f aca="false">Motore_Operativo!C471</f>
        <v>47788</v>
      </c>
      <c r="D471" s="68" t="n">
        <f aca="false">Motore_Operativo!D471</f>
        <v>2030</v>
      </c>
      <c r="E471" s="68" t="n">
        <f aca="false">Motore_Operativo!E471</f>
        <v>11</v>
      </c>
      <c r="F471" s="15" t="n">
        <f aca="false">Motore_Operativo!AM471</f>
        <v>90241.6666666667</v>
      </c>
      <c r="G471" s="15" t="n">
        <f aca="false">Motore_Operativo!BH471</f>
        <v>9024.16666666667</v>
      </c>
      <c r="H471" s="15" t="n">
        <f aca="false">Motore_Operativo!AM471</f>
        <v>90241.6666666667</v>
      </c>
      <c r="I471" s="15" t="n">
        <f aca="false">Motore_Operativo!CB471</f>
        <v>62580.173375</v>
      </c>
      <c r="J471" s="15" t="n">
        <f aca="false">Motore_Operativo!CD471</f>
        <v>27661.4932916667</v>
      </c>
      <c r="K471" s="15" t="n">
        <f aca="false">Motore_Operativo!CF471</f>
        <v>666.666666666667</v>
      </c>
      <c r="L471" s="15" t="n">
        <f aca="false">SUM(INDEX($K$425:$K$484,MAX(1,47-Parametri_v3!$C$59+1)):K471)/Parametri_v3!$C$59</f>
        <v>488.425925925926</v>
      </c>
      <c r="M471" s="15" t="n">
        <f aca="false">J471-L471</f>
        <v>27173.0673657407</v>
      </c>
      <c r="N471" s="15" t="n">
        <f aca="false">0</f>
        <v>0</v>
      </c>
      <c r="O471" s="15" t="n">
        <f aca="false">0</f>
        <v>0</v>
      </c>
      <c r="P471" s="15" t="n">
        <f aca="false">M471+N471-O471</f>
        <v>27173.0673657407</v>
      </c>
      <c r="Q471" s="15" t="n">
        <f aca="false">SUM(P461:P471)+Parametri_v3!$C$56*11/12</f>
        <v>299540.315097222</v>
      </c>
      <c r="R471" s="15" t="n">
        <f aca="false">Z460</f>
        <v>0</v>
      </c>
      <c r="S471" s="15" t="n">
        <f aca="false">AA460</f>
        <v>0</v>
      </c>
      <c r="T471" s="15" t="n">
        <f aca="false">MIN(R471,MAX(0,Q471))</f>
        <v>0</v>
      </c>
      <c r="U471" s="15" t="n">
        <f aca="false">MIN(S471,MAX(0,Q471-T471)*Parametri_v3!$C$42)</f>
        <v>0</v>
      </c>
      <c r="V471" s="15" t="n">
        <f aca="false">MAX(0,Q471-T471-U471)*Ipotesi!$C$92</f>
        <v>71889.6756233333</v>
      </c>
      <c r="W471" s="15" t="n">
        <f aca="false">MAX(0,SUM(M461:M471)+Parametri_v3!$C$57*11/12)*Ipotesi!$C$93</f>
        <v>11682.0722887917</v>
      </c>
      <c r="X471" s="15" t="n">
        <f aca="false">V471+W471-(V470+W470)</f>
        <v>7581.28579504165</v>
      </c>
      <c r="Y471" s="15" t="n">
        <f aca="false">P471-X471</f>
        <v>19591.7815706991</v>
      </c>
      <c r="Z471" s="15" t="n">
        <f aca="false">R471-T471+IF(AND(Parametri_v3!$C$40=1,D471-YEAR(Parametri_v3!$C$50)&lt;Parametri_v3!$C$41),MAX(0,-Q471),0)</f>
        <v>0</v>
      </c>
      <c r="AA471" s="15" t="n">
        <f aca="false">S471-U471+IF(AND(Parametri_v3!$C$40=1,D471-YEAR(Parametri_v3!$C$50)&lt;Parametri_v3!$C$41),0,MAX(0,-Q471))</f>
        <v>0</v>
      </c>
      <c r="AB471" s="15" t="n">
        <f aca="false">F471*(1+Parametri_v3!$C$26)</f>
        <v>110094.833333333</v>
      </c>
      <c r="AC471" s="15" t="n">
        <f aca="false">(IF(47-(INT((Motore_Operativo!L471)/30))&lt;1,0,INDEX(Motore_Advisory!$AB$425:$AB$484,MAX(1,47-(INT((Motore_Operativo!L471)/30)))))*(1-(MOD((Motore_Operativo!L471),30)/30))+IF(47-(INT((Motore_Operativo!L471)/30))-1&lt;1,0,INDEX(Motore_Advisory!$AB$425:$AB$484,MAX(1,47-(INT((Motore_Operativo!L471)/30))-1)))*(MOD((Motore_Operativo!L471),30)/30))</f>
        <v>110094.833333333</v>
      </c>
      <c r="AD471" s="15" t="n">
        <f aca="false">(AD470)+AB471-AC471</f>
        <v>330284.5</v>
      </c>
      <c r="AE471" s="15" t="n">
        <f aca="false">Motore_Operativo!BH471*(1+Parametri_v3!$C$26)</f>
        <v>11009.4833333333</v>
      </c>
      <c r="AF471" s="15" t="n">
        <f aca="false">(IF(47-(INT((Parametri_v3!$C$29)/30))&lt;1,0,INDEX(Motore_Operativo!$BH$425:$BH$484,MAX(1,47-(INT((Parametri_v3!$C$29)/30)))))*(1-(MOD((Parametri_v3!$C$29),30)/30))+IF(47-(INT((Parametri_v3!$C$29)/30))-1&lt;1,0,INDEX(Motore_Operativo!$BH$425:$BH$484,MAX(1,47-(INT((Parametri_v3!$C$29)/30))-1)))*(MOD((Parametri_v3!$C$29),30)/30))*(1+Parametri_v3!$C$26)</f>
        <v>11009.4833333333</v>
      </c>
      <c r="AG471" s="15" t="n">
        <f aca="false">(AG470)+AE471-AF471</f>
        <v>11009.4833333333</v>
      </c>
      <c r="AH471" s="15" t="n">
        <f aca="false">(Motore_Operativo!CK471)*(1+Parametri_v3!$C$28*Parametri_v3!$C$26)</f>
        <v>23198.952</v>
      </c>
      <c r="AI471" s="15" t="n">
        <f aca="false">(IF(47-(INT((Ipotesi!$C$91)/30))&lt;1,0,INDEX(Motore_Advisory!$AH$425:$AH$484,MAX(1,47-(INT((Ipotesi!$C$91)/30)))))*(1-(MOD((Ipotesi!$C$91),30)/30))+IF(47-(INT((Ipotesi!$C$91)/30))-1&lt;1,0,INDEX(Motore_Advisory!$AH$425:$AH$484,MAX(1,47-(INT((Ipotesi!$C$91)/30))-1)))*(MOD((Ipotesi!$C$91),30)/30))</f>
        <v>23198.952</v>
      </c>
      <c r="AJ471" s="15" t="n">
        <f aca="false">(AJ470)+AH471-AI471</f>
        <v>46397.904</v>
      </c>
      <c r="AK471" s="15" t="n">
        <f aca="false">(F471- Motore_Operativo!BH471-(Motore_Operativo!CK471)*Parametri_v3!$C$28-Motore_Operativo!CF471)*Parametri_v3!$C$26</f>
        <v>14249.2313333333</v>
      </c>
      <c r="AL471" s="15" t="n">
        <f aca="false">MAX(0,(AM470))</f>
        <v>14249.2313333333</v>
      </c>
      <c r="AM471" s="15" t="n">
        <f aca="false">(AM470)+AK471-AL471</f>
        <v>14249.2313333333</v>
      </c>
      <c r="AN471" s="15" t="n">
        <f aca="false">SUM(X449:X460)</f>
        <v>46679.99375</v>
      </c>
      <c r="AO471" s="15" t="n">
        <f aca="false">SUM(AP449:AP460)</f>
        <v>16530.1714788732</v>
      </c>
      <c r="AP471" s="15" t="n">
        <f aca="false">MAX(0,AN471)*IF(11=Parametri_v3!$C$43,Parametri_v3!$C$45,IF(11=Parametri_v3!$C$44,1-Parametri_v3!$C$45,0))</f>
        <v>28007.99625</v>
      </c>
      <c r="AQ471" s="15" t="n">
        <f aca="false">MAX(0,AP471+IF(11=Parametri_v3!$C$43,MAX(0,AN471-AO471),0)-MAX(0,-(AR470)))</f>
        <v>28007.99625</v>
      </c>
      <c r="AR471" s="15" t="n">
        <f aca="false">(AR470)+X471-AQ471</f>
        <v>36891.754162125</v>
      </c>
      <c r="AS471" s="15" t="n">
        <f aca="false">Motore_Operativo!AC471-AT471+AU471</f>
        <v>32137.5563729167</v>
      </c>
      <c r="AT471" s="15" t="n">
        <f aca="false">Motore_Operativo!CI471</f>
        <v>1691.45033541667</v>
      </c>
      <c r="AU471" s="15" t="n">
        <f aca="false">MIN(MAX(0,(AV470)+AT471),Parametri_v3!$C$61/12)</f>
        <v>0</v>
      </c>
      <c r="AV471" s="15" t="n">
        <f aca="false">(AV470)+AT471-AU471</f>
        <v>46585.3911895833</v>
      </c>
      <c r="AW471" s="15" t="n">
        <f aca="false">IF(AND(Motore_Operativo!C471=Finanziamenti!$D$7,Finanziamenti!$F$7=1),Finanziamenti!$C$7,0)</f>
        <v>0</v>
      </c>
      <c r="AX471" s="15" t="n">
        <f aca="false">0</f>
        <v>0</v>
      </c>
      <c r="AY471" s="15" t="n">
        <f aca="false">IF(11=Parametri_v3!$C$33,IF(BV471&lt;MIN(12,$B471-1),0,MIN(MAX(0,SUM(Y449:Y460))*Ipotesi!$C$94,MAX(0,(BM460)-(BO470)-BP471),MAX(0,BD471-Parametri_v3!$C$31))),0)</f>
        <v>0</v>
      </c>
      <c r="AZ471" s="15" t="n">
        <f aca="false">0</f>
        <v>0</v>
      </c>
      <c r="BA471" s="15" t="n">
        <f aca="false">0</f>
        <v>0</v>
      </c>
      <c r="BB471" s="15" t="n">
        <f aca="false">0</f>
        <v>0</v>
      </c>
      <c r="BC471" s="15" t="n">
        <f aca="false">0</f>
        <v>0</v>
      </c>
      <c r="BD471" s="15" t="n">
        <f aca="false">(BH470)+AC471-AF471-AI471-AS471-K471*(1+Parametri_v3!$C$26)-AL471-AQ471-O471+AW471+AX471+AZ471+BA471-BB471</f>
        <v>189316.284969688</v>
      </c>
      <c r="BE471" s="15" t="n">
        <f aca="false">0</f>
        <v>0</v>
      </c>
      <c r="BF471" s="15" t="n">
        <f aca="false">0</f>
        <v>0</v>
      </c>
      <c r="BG471" s="15" t="n">
        <f aca="false">0</f>
        <v>0</v>
      </c>
      <c r="BH471" s="15" t="n">
        <f aca="false">BD471+BE471-BF471-AY471</f>
        <v>189316.284969688</v>
      </c>
      <c r="BI471" s="15" t="n">
        <f aca="false">MAX(0,Parametri_v3!$C$31-BH471)</f>
        <v>0</v>
      </c>
      <c r="BJ471" s="15" t="n">
        <f aca="false">(BJ470)+K471</f>
        <v>20333.3333333333</v>
      </c>
      <c r="BK471" s="15" t="n">
        <f aca="false">(BK470)+L471</f>
        <v>10750</v>
      </c>
      <c r="BL471" s="15" t="n">
        <f aca="false">BJ471-BK471</f>
        <v>9583.33333333333</v>
      </c>
      <c r="BM471" s="15" t="n">
        <f aca="false">(BM470)+Y471</f>
        <v>414366.260187424</v>
      </c>
      <c r="BN471" s="15" t="n">
        <f aca="false">(BN470)+AW471+AX471+AZ471</f>
        <v>20000</v>
      </c>
      <c r="BO471" s="15" t="n">
        <f aca="false">(BO470)+AY471</f>
        <v>60315.9059027778</v>
      </c>
      <c r="BP471" s="15" t="n">
        <f aca="false">MIN(Parametri_v3!$C$36*Parametri_v3!$C$35,(BP470)+IF(11=1,MAX(0,SUM(Y449:Y460))*Parametri_v3!$C$34,0))</f>
        <v>2000</v>
      </c>
      <c r="BQ471" s="15" t="n">
        <f aca="false">BN471+BM471-BO471</f>
        <v>374050.354284646</v>
      </c>
      <c r="BR471" s="15" t="n">
        <f aca="false">BH471+AD471+BL471+MAX(0,-AM471)+MAX(0,-AR471)</f>
        <v>529184.118303021</v>
      </c>
      <c r="BS471" s="15" t="n">
        <f aca="false">AJ471+AV471+MAX(0,AM471)+MAX(0,AR471)+BC471+BG471+BQ471+AG471</f>
        <v>529184.118303021</v>
      </c>
      <c r="BT471" s="15" t="n">
        <f aca="false">BR471-BS471</f>
        <v>0</v>
      </c>
      <c r="BU471" s="15" t="n">
        <f aca="false">BH471-(BD471+BE471-BF471-AY471)</f>
        <v>0</v>
      </c>
      <c r="BV471" s="15" t="n">
        <f aca="false">IF(BH470&lt;Parametri_v3!$C$31,0,BV470+1)</f>
        <v>18</v>
      </c>
    </row>
    <row r="472" customFormat="false" ht="18" hidden="false" customHeight="true" outlineLevel="0" collapsed="false">
      <c r="A472" s="68" t="n">
        <f aca="false">8</f>
        <v>8</v>
      </c>
      <c r="B472" s="68" t="n">
        <f aca="false">48</f>
        <v>48</v>
      </c>
      <c r="C472" s="18" t="n">
        <f aca="false">Motore_Operativo!C472</f>
        <v>47818</v>
      </c>
      <c r="D472" s="68" t="n">
        <f aca="false">Motore_Operativo!D472</f>
        <v>2030</v>
      </c>
      <c r="E472" s="68" t="n">
        <f aca="false">Motore_Operativo!E472</f>
        <v>12</v>
      </c>
      <c r="F472" s="15" t="n">
        <f aca="false">Motore_Operativo!AM472</f>
        <v>90241.6666666667</v>
      </c>
      <c r="G472" s="15" t="n">
        <f aca="false">Motore_Operativo!BH472</f>
        <v>9024.16666666667</v>
      </c>
      <c r="H472" s="15" t="n">
        <f aca="false">Motore_Operativo!AM472</f>
        <v>90241.6666666667</v>
      </c>
      <c r="I472" s="15" t="n">
        <f aca="false">Motore_Operativo!CB472</f>
        <v>62580.173375</v>
      </c>
      <c r="J472" s="15" t="n">
        <f aca="false">Motore_Operativo!CD472</f>
        <v>27661.4932916667</v>
      </c>
      <c r="K472" s="15" t="n">
        <f aca="false">Motore_Operativo!CF472</f>
        <v>666.666666666667</v>
      </c>
      <c r="L472" s="15" t="n">
        <f aca="false">SUM(INDEX($K$425:$K$484,MAX(1,48-Parametri_v3!$C$59+1)):K472)/Parametri_v3!$C$59</f>
        <v>500</v>
      </c>
      <c r="M472" s="15" t="n">
        <f aca="false">J472-L472</f>
        <v>27161.4932916667</v>
      </c>
      <c r="N472" s="15" t="n">
        <f aca="false">0</f>
        <v>0</v>
      </c>
      <c r="O472" s="15" t="n">
        <f aca="false">0</f>
        <v>0</v>
      </c>
      <c r="P472" s="15" t="n">
        <f aca="false">M472+N472-O472</f>
        <v>27161.4932916667</v>
      </c>
      <c r="Q472" s="15" t="n">
        <f aca="false">SUM(P461:P472)+Parametri_v3!$C$56*12/12</f>
        <v>326701.808388889</v>
      </c>
      <c r="R472" s="15" t="n">
        <f aca="false">Z460</f>
        <v>0</v>
      </c>
      <c r="S472" s="15" t="n">
        <f aca="false">AA460</f>
        <v>0</v>
      </c>
      <c r="T472" s="15" t="n">
        <f aca="false">MIN(R472,MAX(0,Q472))</f>
        <v>0</v>
      </c>
      <c r="U472" s="15" t="n">
        <f aca="false">MIN(S472,MAX(0,Q472-T472)*Parametri_v3!$C$42)</f>
        <v>0</v>
      </c>
      <c r="V472" s="15" t="n">
        <f aca="false">MAX(0,Q472-T472-U472)*Ipotesi!$C$92</f>
        <v>78408.4340133333</v>
      </c>
      <c r="W472" s="15" t="n">
        <f aca="false">MAX(0,SUM(M461:M472)+Parametri_v3!$C$57*12/12)*Ipotesi!$C$93</f>
        <v>12741.3705271667</v>
      </c>
      <c r="X472" s="15" t="n">
        <f aca="false">V472+W472-(V471+W471)</f>
        <v>7578.05662837502</v>
      </c>
      <c r="Y472" s="15" t="n">
        <f aca="false">P472-X472</f>
        <v>19583.4366632916</v>
      </c>
      <c r="Z472" s="15" t="n">
        <f aca="false">R472-T472+IF(AND(Parametri_v3!$C$40=1,D472-YEAR(Parametri_v3!$C$50)&lt;Parametri_v3!$C$41),MAX(0,-Q472),0)</f>
        <v>0</v>
      </c>
      <c r="AA472" s="15" t="n">
        <f aca="false">S472-U472+IF(AND(Parametri_v3!$C$40=1,D472-YEAR(Parametri_v3!$C$50)&lt;Parametri_v3!$C$41),0,MAX(0,-Q472))</f>
        <v>0</v>
      </c>
      <c r="AB472" s="15" t="n">
        <f aca="false">F472*(1+Parametri_v3!$C$26)</f>
        <v>110094.833333333</v>
      </c>
      <c r="AC472" s="15" t="n">
        <f aca="false">(IF(48-(INT((Motore_Operativo!L472)/30))&lt;1,0,INDEX(Motore_Advisory!$AB$425:$AB$484,MAX(1,48-(INT((Motore_Operativo!L472)/30)))))*(1-(MOD((Motore_Operativo!L472),30)/30))+IF(48-(INT((Motore_Operativo!L472)/30))-1&lt;1,0,INDEX(Motore_Advisory!$AB$425:$AB$484,MAX(1,48-(INT((Motore_Operativo!L472)/30))-1)))*(MOD((Motore_Operativo!L472),30)/30))</f>
        <v>110094.833333333</v>
      </c>
      <c r="AD472" s="15" t="n">
        <f aca="false">(AD471)+AB472-AC472</f>
        <v>330284.5</v>
      </c>
      <c r="AE472" s="15" t="n">
        <f aca="false">Motore_Operativo!BH472*(1+Parametri_v3!$C$26)</f>
        <v>11009.4833333333</v>
      </c>
      <c r="AF472" s="15" t="n">
        <f aca="false">(IF(48-(INT((Parametri_v3!$C$29)/30))&lt;1,0,INDEX(Motore_Operativo!$BH$425:$BH$484,MAX(1,48-(INT((Parametri_v3!$C$29)/30)))))*(1-(MOD((Parametri_v3!$C$29),30)/30))+IF(48-(INT((Parametri_v3!$C$29)/30))-1&lt;1,0,INDEX(Motore_Operativo!$BH$425:$BH$484,MAX(1,48-(INT((Parametri_v3!$C$29)/30))-1)))*(MOD((Parametri_v3!$C$29),30)/30))*(1+Parametri_v3!$C$26)</f>
        <v>11009.4833333333</v>
      </c>
      <c r="AG472" s="15" t="n">
        <f aca="false">(AG471)+AE472-AF472</f>
        <v>11009.4833333333</v>
      </c>
      <c r="AH472" s="15" t="n">
        <f aca="false">(Motore_Operativo!CK472)*(1+Parametri_v3!$C$28*Parametri_v3!$C$26)</f>
        <v>23198.952</v>
      </c>
      <c r="AI472" s="15" t="n">
        <f aca="false">(IF(48-(INT((Ipotesi!$C$91)/30))&lt;1,0,INDEX(Motore_Advisory!$AH$425:$AH$484,MAX(1,48-(INT((Ipotesi!$C$91)/30)))))*(1-(MOD((Ipotesi!$C$91),30)/30))+IF(48-(INT((Ipotesi!$C$91)/30))-1&lt;1,0,INDEX(Motore_Advisory!$AH$425:$AH$484,MAX(1,48-(INT((Ipotesi!$C$91)/30))-1)))*(MOD((Ipotesi!$C$91),30)/30))</f>
        <v>23198.952</v>
      </c>
      <c r="AJ472" s="15" t="n">
        <f aca="false">(AJ471)+AH472-AI472</f>
        <v>46397.904</v>
      </c>
      <c r="AK472" s="15" t="n">
        <f aca="false">(F472- Motore_Operativo!BH472-(Motore_Operativo!CK472)*Parametri_v3!$C$28-Motore_Operativo!CF472)*Parametri_v3!$C$26</f>
        <v>14249.2313333333</v>
      </c>
      <c r="AL472" s="15" t="n">
        <f aca="false">MAX(0,(AM471))</f>
        <v>14249.2313333333</v>
      </c>
      <c r="AM472" s="15" t="n">
        <f aca="false">(AM471)+AK472-AL472</f>
        <v>14249.2313333333</v>
      </c>
      <c r="AN472" s="15" t="n">
        <f aca="false">SUM(X449:X460)</f>
        <v>46679.99375</v>
      </c>
      <c r="AO472" s="15" t="n">
        <f aca="false">SUM(AP449:AP460)</f>
        <v>16530.1714788732</v>
      </c>
      <c r="AP472" s="15" t="n">
        <f aca="false">MAX(0,AN472)*IF(12=Parametri_v3!$C$43,Parametri_v3!$C$45,IF(12=Parametri_v3!$C$44,1-Parametri_v3!$C$45,0))</f>
        <v>0</v>
      </c>
      <c r="AQ472" s="15" t="n">
        <f aca="false">MAX(0,AP472+IF(12=Parametri_v3!$C$43,MAX(0,AN472-AO472),0)-MAX(0,-(AR471)))</f>
        <v>0</v>
      </c>
      <c r="AR472" s="15" t="n">
        <f aca="false">(AR471)+X472-AQ472</f>
        <v>44469.8107905</v>
      </c>
      <c r="AS472" s="15" t="n">
        <f aca="false">Motore_Operativo!AC472-AT472+AU472</f>
        <v>32137.5563729167</v>
      </c>
      <c r="AT472" s="15" t="n">
        <f aca="false">Motore_Operativo!CI472</f>
        <v>1691.45033541667</v>
      </c>
      <c r="AU472" s="15" t="n">
        <f aca="false">MIN(MAX(0,(AV471)+AT472),Parametri_v3!$C$61/12)</f>
        <v>0</v>
      </c>
      <c r="AV472" s="15" t="n">
        <f aca="false">(AV471)+AT472-AU472</f>
        <v>48276.841525</v>
      </c>
      <c r="AW472" s="15" t="n">
        <f aca="false">IF(AND(Motore_Operativo!C472=Finanziamenti!$D$7,Finanziamenti!$F$7=1),Finanziamenti!$C$7,0)</f>
        <v>0</v>
      </c>
      <c r="AX472" s="15" t="n">
        <f aca="false">0</f>
        <v>0</v>
      </c>
      <c r="AY472" s="15" t="n">
        <f aca="false">IF(12=Parametri_v3!$C$33,IF(BV472&lt;MIN(12,$B472-1),0,MIN(MAX(0,SUM(Y449:Y460))*Ipotesi!$C$94,MAX(0,(BM460)-(BO471)-BP472),MAX(0,BD472-Parametri_v3!$C$31))),0)</f>
        <v>0</v>
      </c>
      <c r="AZ472" s="15" t="n">
        <f aca="false">0</f>
        <v>0</v>
      </c>
      <c r="BA472" s="15" t="n">
        <f aca="false">0</f>
        <v>0</v>
      </c>
      <c r="BB472" s="15" t="n">
        <f aca="false">0</f>
        <v>0</v>
      </c>
      <c r="BC472" s="15" t="n">
        <f aca="false">0</f>
        <v>0</v>
      </c>
      <c r="BD472" s="15" t="n">
        <f aca="false">(BH471)+AC472-AF472-AI472-AS472-K472*(1+Parametri_v3!$C$26)-AL472-AQ472-O472+AW472+AX472+AZ472+BA472-BB472</f>
        <v>218002.561930104</v>
      </c>
      <c r="BE472" s="15" t="n">
        <f aca="false">0</f>
        <v>0</v>
      </c>
      <c r="BF472" s="15" t="n">
        <f aca="false">0</f>
        <v>0</v>
      </c>
      <c r="BG472" s="15" t="n">
        <f aca="false">0</f>
        <v>0</v>
      </c>
      <c r="BH472" s="15" t="n">
        <f aca="false">BD472+BE472-BF472-AY472</f>
        <v>218002.561930104</v>
      </c>
      <c r="BI472" s="15" t="n">
        <f aca="false">MAX(0,Parametri_v3!$C$31-BH472)</f>
        <v>0</v>
      </c>
      <c r="BJ472" s="15" t="n">
        <f aca="false">(BJ471)+K472</f>
        <v>21000</v>
      </c>
      <c r="BK472" s="15" t="n">
        <f aca="false">(BK471)+L472</f>
        <v>11250</v>
      </c>
      <c r="BL472" s="15" t="n">
        <f aca="false">BJ472-BK472</f>
        <v>9750</v>
      </c>
      <c r="BM472" s="15" t="n">
        <f aca="false">(BM471)+Y472</f>
        <v>433949.696850716</v>
      </c>
      <c r="BN472" s="15" t="n">
        <f aca="false">(BN471)+AW472+AX472+AZ472</f>
        <v>20000</v>
      </c>
      <c r="BO472" s="15" t="n">
        <f aca="false">(BO471)+AY472</f>
        <v>60315.9059027778</v>
      </c>
      <c r="BP472" s="15" t="n">
        <f aca="false">MIN(Parametri_v3!$C$36*Parametri_v3!$C$35,(BP471)+IF(12=1,MAX(0,SUM(Y449:Y460))*Parametri_v3!$C$34,0))</f>
        <v>2000</v>
      </c>
      <c r="BQ472" s="15" t="n">
        <f aca="false">BN472+BM472-BO472</f>
        <v>393633.790947938</v>
      </c>
      <c r="BR472" s="15" t="n">
        <f aca="false">BH472+AD472+BL472+MAX(0,-AM472)+MAX(0,-AR472)</f>
        <v>558037.061930104</v>
      </c>
      <c r="BS472" s="15" t="n">
        <f aca="false">AJ472+AV472+MAX(0,AM472)+MAX(0,AR472)+BC472+BG472+BQ472+AG472</f>
        <v>558037.061930105</v>
      </c>
      <c r="BT472" s="15" t="n">
        <f aca="false">BR472-BS472</f>
        <v>0</v>
      </c>
      <c r="BU472" s="15" t="n">
        <f aca="false">BH472-(BD472+BE472-BF472-AY472)</f>
        <v>0</v>
      </c>
      <c r="BV472" s="15" t="n">
        <f aca="false">IF(BH471&lt;Parametri_v3!$C$31,0,BV471+1)</f>
        <v>19</v>
      </c>
    </row>
    <row r="473" customFormat="false" ht="18" hidden="false" customHeight="true" outlineLevel="0" collapsed="false">
      <c r="A473" s="68" t="n">
        <f aca="false">8</f>
        <v>8</v>
      </c>
      <c r="B473" s="68" t="n">
        <f aca="false">49</f>
        <v>49</v>
      </c>
      <c r="C473" s="18" t="n">
        <f aca="false">Motore_Operativo!C473</f>
        <v>47849</v>
      </c>
      <c r="D473" s="68" t="n">
        <f aca="false">Motore_Operativo!D473</f>
        <v>2031</v>
      </c>
      <c r="E473" s="68" t="n">
        <f aca="false">Motore_Operativo!E473</f>
        <v>1</v>
      </c>
      <c r="F473" s="15" t="n">
        <f aca="false">Motore_Operativo!AM473</f>
        <v>115958.333333333</v>
      </c>
      <c r="G473" s="15" t="n">
        <f aca="false">Motore_Operativo!BH473</f>
        <v>11595.8333333333</v>
      </c>
      <c r="H473" s="15" t="n">
        <f aca="false">Motore_Operativo!AM473</f>
        <v>115958.333333333</v>
      </c>
      <c r="I473" s="15" t="n">
        <f aca="false">Motore_Operativo!CB473</f>
        <v>79625.4722608333</v>
      </c>
      <c r="J473" s="15" t="n">
        <f aca="false">Motore_Operativo!CD473</f>
        <v>36332.8610725</v>
      </c>
      <c r="K473" s="15" t="n">
        <f aca="false">Motore_Operativo!CF473</f>
        <v>666.666666666667</v>
      </c>
      <c r="L473" s="15" t="n">
        <f aca="false">SUM(INDEX($K$425:$K$484,MAX(1,49-Parametri_v3!$C$59+1)):K473)/Parametri_v3!$C$59</f>
        <v>506.944444444444</v>
      </c>
      <c r="M473" s="15" t="n">
        <f aca="false">J473-L473</f>
        <v>35825.9166280556</v>
      </c>
      <c r="N473" s="15" t="n">
        <f aca="false">0</f>
        <v>0</v>
      </c>
      <c r="O473" s="15" t="n">
        <f aca="false">0</f>
        <v>0</v>
      </c>
      <c r="P473" s="15" t="n">
        <f aca="false">M473+N473-O473</f>
        <v>35825.9166280556</v>
      </c>
      <c r="Q473" s="15" t="n">
        <f aca="false">SUM(P473)+Parametri_v3!$C$56*1/12</f>
        <v>35825.9166280556</v>
      </c>
      <c r="R473" s="15" t="n">
        <f aca="false">Z472</f>
        <v>0</v>
      </c>
      <c r="S473" s="15" t="n">
        <f aca="false">AA472</f>
        <v>0</v>
      </c>
      <c r="T473" s="15" t="n">
        <f aca="false">MIN(R473,MAX(0,Q473))</f>
        <v>0</v>
      </c>
      <c r="U473" s="15" t="n">
        <f aca="false">MIN(S473,MAX(0,Q473-T473)*Parametri_v3!$C$42)</f>
        <v>0</v>
      </c>
      <c r="V473" s="15" t="n">
        <f aca="false">MAX(0,Q473-T473-U473)*Ipotesi!$C$92</f>
        <v>8598.21999073333</v>
      </c>
      <c r="W473" s="15" t="n">
        <f aca="false">MAX(0,SUM(M473)+Parametri_v3!$C$57*1/12)*Ipotesi!$C$93</f>
        <v>1397.21074849417</v>
      </c>
      <c r="X473" s="15" t="n">
        <f aca="false">V473+W473-(0)</f>
        <v>9995.4307392275</v>
      </c>
      <c r="Y473" s="15" t="n">
        <f aca="false">P473-X473</f>
        <v>25830.4858888281</v>
      </c>
      <c r="Z473" s="15" t="n">
        <f aca="false">R473-T473+IF(AND(Parametri_v3!$C$40=1,D473-YEAR(Parametri_v3!$C$50)&lt;Parametri_v3!$C$41),MAX(0,-Q473),0)</f>
        <v>0</v>
      </c>
      <c r="AA473" s="15" t="n">
        <f aca="false">S473-U473+IF(AND(Parametri_v3!$C$40=1,D473-YEAR(Parametri_v3!$C$50)&lt;Parametri_v3!$C$41),0,MAX(0,-Q473))</f>
        <v>0</v>
      </c>
      <c r="AB473" s="15" t="n">
        <f aca="false">F473*(1+Parametri_v3!$C$26)</f>
        <v>141469.166666667</v>
      </c>
      <c r="AC473" s="15" t="n">
        <f aca="false">(IF(49-(INT((Motore_Operativo!L473)/30))&lt;1,0,INDEX(Motore_Advisory!$AB$425:$AB$484,MAX(1,49-(INT((Motore_Operativo!L473)/30)))))*(1-(MOD((Motore_Operativo!L473),30)/30))+IF(49-(INT((Motore_Operativo!L473)/30))-1&lt;1,0,INDEX(Motore_Advisory!$AB$425:$AB$484,MAX(1,49-(INT((Motore_Operativo!L473)/30))-1)))*(MOD((Motore_Operativo!L473),30)/30))</f>
        <v>110094.833333333</v>
      </c>
      <c r="AD473" s="15" t="n">
        <f aca="false">(AD472)+AB473-AC473</f>
        <v>361658.833333333</v>
      </c>
      <c r="AE473" s="15" t="n">
        <f aca="false">Motore_Operativo!BH473*(1+Parametri_v3!$C$26)</f>
        <v>14146.9166666667</v>
      </c>
      <c r="AF473" s="15" t="n">
        <f aca="false">(IF(49-(INT((Parametri_v3!$C$29)/30))&lt;1,0,INDEX(Motore_Operativo!$BH$425:$BH$484,MAX(1,49-(INT((Parametri_v3!$C$29)/30)))))*(1-(MOD((Parametri_v3!$C$29),30)/30))+IF(49-(INT((Parametri_v3!$C$29)/30))-1&lt;1,0,INDEX(Motore_Operativo!$BH$425:$BH$484,MAX(1,49-(INT((Parametri_v3!$C$29)/30))-1)))*(MOD((Parametri_v3!$C$29),30)/30))*(1+Parametri_v3!$C$26)</f>
        <v>11009.4833333333</v>
      </c>
      <c r="AG473" s="15" t="n">
        <f aca="false">(AG472)+AE473-AF473</f>
        <v>14146.9166666667</v>
      </c>
      <c r="AH473" s="15" t="n">
        <f aca="false">(Motore_Operativo!CK473)*(1+Parametri_v3!$C$28*Parametri_v3!$C$26)</f>
        <v>27831.02</v>
      </c>
      <c r="AI473" s="15" t="n">
        <f aca="false">(IF(49-(INT((Ipotesi!$C$91)/30))&lt;1,0,INDEX(Motore_Advisory!$AH$425:$AH$484,MAX(1,49-(INT((Ipotesi!$C$91)/30)))))*(1-(MOD((Ipotesi!$C$91),30)/30))+IF(49-(INT((Ipotesi!$C$91)/30))-1&lt;1,0,INDEX(Motore_Advisory!$AH$425:$AH$484,MAX(1,49-(INT((Ipotesi!$C$91)/30))-1)))*(MOD((Ipotesi!$C$91),30)/30))</f>
        <v>23198.952</v>
      </c>
      <c r="AJ473" s="15" t="n">
        <f aca="false">(AJ472)+AH473-AI473</f>
        <v>51029.972</v>
      </c>
      <c r="AK473" s="15" t="n">
        <f aca="false">(F473- Motore_Operativo!BH473-(Motore_Operativo!CK473)*Parametri_v3!$C$28-Motore_Operativo!CF473)*Parametri_v3!$C$26</f>
        <v>18647.8966666667</v>
      </c>
      <c r="AL473" s="15" t="n">
        <f aca="false">MAX(0,(AM472))</f>
        <v>14249.2313333333</v>
      </c>
      <c r="AM473" s="15" t="n">
        <f aca="false">(AM472)+AK473-AL473</f>
        <v>18647.8966666667</v>
      </c>
      <c r="AN473" s="15" t="n">
        <f aca="false">SUM(X461:X472)</f>
        <v>91149.8045405</v>
      </c>
      <c r="AO473" s="15" t="n">
        <f aca="false">SUM(AP461:AP472)</f>
        <v>46679.99375</v>
      </c>
      <c r="AP473" s="15" t="n">
        <f aca="false">MAX(0,AN473)*IF(1=Parametri_v3!$C$43,Parametri_v3!$C$45,IF(1=Parametri_v3!$C$44,1-Parametri_v3!$C$45,0))</f>
        <v>0</v>
      </c>
      <c r="AQ473" s="15" t="n">
        <f aca="false">MAX(0,AP473+IF(1=Parametri_v3!$C$43,MAX(0,AN473-AO473),0)-MAX(0,-(AR472)))</f>
        <v>0</v>
      </c>
      <c r="AR473" s="15" t="n">
        <f aca="false">(AR472)+X473-AQ473</f>
        <v>54465.2415297275</v>
      </c>
      <c r="AS473" s="15" t="n">
        <f aca="false">Motore_Operativo!AC473-AT473+AU473</f>
        <v>42145.6153144583</v>
      </c>
      <c r="AT473" s="15" t="n">
        <f aca="false">Motore_Operativo!CI473</f>
        <v>2218.19027970833</v>
      </c>
      <c r="AU473" s="15" t="n">
        <f aca="false">MIN(MAX(0,(AV472)+AT473),Parametri_v3!$C$61/12)</f>
        <v>0</v>
      </c>
      <c r="AV473" s="15" t="n">
        <f aca="false">(AV472)+AT473-AU473</f>
        <v>50495.0318047083</v>
      </c>
      <c r="AW473" s="15" t="n">
        <f aca="false">IF(AND(Motore_Operativo!C473=Finanziamenti!$D$7,Finanziamenti!$F$7=1),Finanziamenti!$C$7,0)</f>
        <v>0</v>
      </c>
      <c r="AX473" s="15" t="n">
        <f aca="false">0</f>
        <v>0</v>
      </c>
      <c r="AY473" s="15" t="n">
        <f aca="false">IF(1=Parametri_v3!$C$33,IF(BV473&lt;MIN(12,$B473-1),0,MIN(MAX(0,SUM(Y461:Y472))*Ipotesi!$C$94,MAX(0,(BM472)-(BO472)-BP473),MAX(0,BD473-Parametri_v3!$C$31))),0)</f>
        <v>0</v>
      </c>
      <c r="AZ473" s="15" t="n">
        <f aca="false">0</f>
        <v>0</v>
      </c>
      <c r="BA473" s="15" t="n">
        <f aca="false">0</f>
        <v>0</v>
      </c>
      <c r="BB473" s="15" t="n">
        <f aca="false">0</f>
        <v>0</v>
      </c>
      <c r="BC473" s="15" t="n">
        <f aca="false">0</f>
        <v>0</v>
      </c>
      <c r="BD473" s="15" t="n">
        <f aca="false">(BH472)+AC473-AF473-AI473-AS473-K473*(1+Parametri_v3!$C$26)-AL473-AQ473-O473+AW473+AX473+AZ473+BA473-BB473</f>
        <v>236680.779948979</v>
      </c>
      <c r="BE473" s="15" t="n">
        <f aca="false">0</f>
        <v>0</v>
      </c>
      <c r="BF473" s="15" t="n">
        <f aca="false">0</f>
        <v>0</v>
      </c>
      <c r="BG473" s="15" t="n">
        <f aca="false">0</f>
        <v>0</v>
      </c>
      <c r="BH473" s="15" t="n">
        <f aca="false">BD473+BE473-BF473-AY473</f>
        <v>236680.779948979</v>
      </c>
      <c r="BI473" s="15" t="n">
        <f aca="false">MAX(0,Parametri_v3!$C$31-BH473)</f>
        <v>0</v>
      </c>
      <c r="BJ473" s="15" t="n">
        <f aca="false">(BJ472)+K473</f>
        <v>21666.6666666667</v>
      </c>
      <c r="BK473" s="15" t="n">
        <f aca="false">(BK472)+L473</f>
        <v>11756.9444444444</v>
      </c>
      <c r="BL473" s="15" t="n">
        <f aca="false">BJ473-BK473</f>
        <v>9909.72222222222</v>
      </c>
      <c r="BM473" s="15" t="n">
        <f aca="false">(BM472)+Y473</f>
        <v>459780.182739544</v>
      </c>
      <c r="BN473" s="15" t="n">
        <f aca="false">(BN472)+AW473+AX473+AZ473</f>
        <v>20000</v>
      </c>
      <c r="BO473" s="15" t="n">
        <f aca="false">(BO472)+AY473</f>
        <v>60315.9059027778</v>
      </c>
      <c r="BP473" s="15" t="n">
        <f aca="false">MIN(Parametri_v3!$C$36*Parametri_v3!$C$35,(BP472)+IF(1=1,MAX(0,SUM(Y461:Y472))*Parametri_v3!$C$34,0))</f>
        <v>2000</v>
      </c>
      <c r="BQ473" s="15" t="n">
        <f aca="false">BN473+BM473-BO473</f>
        <v>419464.276836766</v>
      </c>
      <c r="BR473" s="15" t="n">
        <f aca="false">BH473+AD473+BL473+MAX(0,-AM473)+MAX(0,-AR473)</f>
        <v>608249.335504535</v>
      </c>
      <c r="BS473" s="15" t="n">
        <f aca="false">AJ473+AV473+MAX(0,AM473)+MAX(0,AR473)+BC473+BG473+BQ473+AG473</f>
        <v>608249.335504535</v>
      </c>
      <c r="BT473" s="15" t="n">
        <f aca="false">BR473-BS473</f>
        <v>0</v>
      </c>
      <c r="BU473" s="15" t="n">
        <f aca="false">BH473-(BD473+BE473-BF473-AY473)</f>
        <v>0</v>
      </c>
      <c r="BV473" s="15" t="n">
        <f aca="false">IF(BH472&lt;Parametri_v3!$C$31,0,BV472+1)</f>
        <v>20</v>
      </c>
    </row>
    <row r="474" customFormat="false" ht="18" hidden="false" customHeight="true" outlineLevel="0" collapsed="false">
      <c r="A474" s="68" t="n">
        <f aca="false">8</f>
        <v>8</v>
      </c>
      <c r="B474" s="68" t="n">
        <f aca="false">50</f>
        <v>50</v>
      </c>
      <c r="C474" s="18" t="n">
        <f aca="false">Motore_Operativo!C474</f>
        <v>47880</v>
      </c>
      <c r="D474" s="68" t="n">
        <f aca="false">Motore_Operativo!D474</f>
        <v>2031</v>
      </c>
      <c r="E474" s="68" t="n">
        <f aca="false">Motore_Operativo!E474</f>
        <v>2</v>
      </c>
      <c r="F474" s="15" t="n">
        <f aca="false">Motore_Operativo!AM474</f>
        <v>115958.333333333</v>
      </c>
      <c r="G474" s="15" t="n">
        <f aca="false">Motore_Operativo!BH474</f>
        <v>11595.8333333333</v>
      </c>
      <c r="H474" s="15" t="n">
        <f aca="false">Motore_Operativo!AM474</f>
        <v>115958.333333333</v>
      </c>
      <c r="I474" s="15" t="n">
        <f aca="false">Motore_Operativo!CB474</f>
        <v>79625.4722608333</v>
      </c>
      <c r="J474" s="15" t="n">
        <f aca="false">Motore_Operativo!CD474</f>
        <v>36332.8610725</v>
      </c>
      <c r="K474" s="15" t="n">
        <f aca="false">Motore_Operativo!CF474</f>
        <v>666.666666666667</v>
      </c>
      <c r="L474" s="15" t="n">
        <f aca="false">SUM(INDEX($K$425:$K$484,MAX(1,50-Parametri_v3!$C$59+1)):K474)/Parametri_v3!$C$59</f>
        <v>513.888888888889</v>
      </c>
      <c r="M474" s="15" t="n">
        <f aca="false">J474-L474</f>
        <v>35818.9721836111</v>
      </c>
      <c r="N474" s="15" t="n">
        <f aca="false">0</f>
        <v>0</v>
      </c>
      <c r="O474" s="15" t="n">
        <f aca="false">0</f>
        <v>0</v>
      </c>
      <c r="P474" s="15" t="n">
        <f aca="false">M474+N474-O474</f>
        <v>35818.9721836111</v>
      </c>
      <c r="Q474" s="15" t="n">
        <f aca="false">SUM(P473:P474)+Parametri_v3!$C$56*2/12</f>
        <v>71644.8888116667</v>
      </c>
      <c r="R474" s="15" t="n">
        <f aca="false">Z472</f>
        <v>0</v>
      </c>
      <c r="S474" s="15" t="n">
        <f aca="false">AA472</f>
        <v>0</v>
      </c>
      <c r="T474" s="15" t="n">
        <f aca="false">MIN(R474,MAX(0,Q474))</f>
        <v>0</v>
      </c>
      <c r="U474" s="15" t="n">
        <f aca="false">MIN(S474,MAX(0,Q474-T474)*Parametri_v3!$C$42)</f>
        <v>0</v>
      </c>
      <c r="V474" s="15" t="n">
        <f aca="false">MAX(0,Q474-T474-U474)*Ipotesi!$C$92</f>
        <v>17194.7733148</v>
      </c>
      <c r="W474" s="15" t="n">
        <f aca="false">MAX(0,SUM(M473:M474)+Parametri_v3!$C$57*2/12)*Ipotesi!$C$93</f>
        <v>2794.150663655</v>
      </c>
      <c r="X474" s="15" t="n">
        <f aca="false">V474+W474-(V473+W473)</f>
        <v>9993.4932392275</v>
      </c>
      <c r="Y474" s="15" t="n">
        <f aca="false">P474-X474</f>
        <v>25825.4789443836</v>
      </c>
      <c r="Z474" s="15" t="n">
        <f aca="false">R474-T474+IF(AND(Parametri_v3!$C$40=1,D474-YEAR(Parametri_v3!$C$50)&lt;Parametri_v3!$C$41),MAX(0,-Q474),0)</f>
        <v>0</v>
      </c>
      <c r="AA474" s="15" t="n">
        <f aca="false">S474-U474+IF(AND(Parametri_v3!$C$40=1,D474-YEAR(Parametri_v3!$C$50)&lt;Parametri_v3!$C$41),0,MAX(0,-Q474))</f>
        <v>0</v>
      </c>
      <c r="AB474" s="15" t="n">
        <f aca="false">F474*(1+Parametri_v3!$C$26)</f>
        <v>141469.166666667</v>
      </c>
      <c r="AC474" s="15" t="n">
        <f aca="false">(IF(50-(INT((Motore_Operativo!L474)/30))&lt;1,0,INDEX(Motore_Advisory!$AB$425:$AB$484,MAX(1,50-(INT((Motore_Operativo!L474)/30)))))*(1-(MOD((Motore_Operativo!L474),30)/30))+IF(50-(INT((Motore_Operativo!L474)/30))-1&lt;1,0,INDEX(Motore_Advisory!$AB$425:$AB$484,MAX(1,50-(INT((Motore_Operativo!L474)/30))-1)))*(MOD((Motore_Operativo!L474),30)/30))</f>
        <v>110094.833333333</v>
      </c>
      <c r="AD474" s="15" t="n">
        <f aca="false">(AD473)+AB474-AC474</f>
        <v>393033.166666667</v>
      </c>
      <c r="AE474" s="15" t="n">
        <f aca="false">Motore_Operativo!BH474*(1+Parametri_v3!$C$26)</f>
        <v>14146.9166666667</v>
      </c>
      <c r="AF474" s="15" t="n">
        <f aca="false">(IF(50-(INT((Parametri_v3!$C$29)/30))&lt;1,0,INDEX(Motore_Operativo!$BH$425:$BH$484,MAX(1,50-(INT((Parametri_v3!$C$29)/30)))))*(1-(MOD((Parametri_v3!$C$29),30)/30))+IF(50-(INT((Parametri_v3!$C$29)/30))-1&lt;1,0,INDEX(Motore_Operativo!$BH$425:$BH$484,MAX(1,50-(INT((Parametri_v3!$C$29)/30))-1)))*(MOD((Parametri_v3!$C$29),30)/30))*(1+Parametri_v3!$C$26)</f>
        <v>14146.9166666667</v>
      </c>
      <c r="AG474" s="15" t="n">
        <f aca="false">(AG473)+AE474-AF474</f>
        <v>14146.9166666667</v>
      </c>
      <c r="AH474" s="15" t="n">
        <f aca="false">(Motore_Operativo!CK474)*(1+Parametri_v3!$C$28*Parametri_v3!$C$26)</f>
        <v>27831.02</v>
      </c>
      <c r="AI474" s="15" t="n">
        <f aca="false">(IF(50-(INT((Ipotesi!$C$91)/30))&lt;1,0,INDEX(Motore_Advisory!$AH$425:$AH$484,MAX(1,50-(INT((Ipotesi!$C$91)/30)))))*(1-(MOD((Ipotesi!$C$91),30)/30))+IF(50-(INT((Ipotesi!$C$91)/30))-1&lt;1,0,INDEX(Motore_Advisory!$AH$425:$AH$484,MAX(1,50-(INT((Ipotesi!$C$91)/30))-1)))*(MOD((Ipotesi!$C$91),30)/30))</f>
        <v>23198.952</v>
      </c>
      <c r="AJ474" s="15" t="n">
        <f aca="false">(AJ473)+AH474-AI474</f>
        <v>55662.04</v>
      </c>
      <c r="AK474" s="15" t="n">
        <f aca="false">(F474- Motore_Operativo!BH474-(Motore_Operativo!CK474)*Parametri_v3!$C$28-Motore_Operativo!CF474)*Parametri_v3!$C$26</f>
        <v>18647.8966666667</v>
      </c>
      <c r="AL474" s="15" t="n">
        <f aca="false">MAX(0,(AM473))</f>
        <v>18647.8966666667</v>
      </c>
      <c r="AM474" s="15" t="n">
        <f aca="false">(AM473)+AK474-AL474</f>
        <v>18647.8966666667</v>
      </c>
      <c r="AN474" s="15" t="n">
        <f aca="false">SUM(X461:X472)</f>
        <v>91149.8045405</v>
      </c>
      <c r="AO474" s="15" t="n">
        <f aca="false">SUM(AP461:AP472)</f>
        <v>46679.99375</v>
      </c>
      <c r="AP474" s="15" t="n">
        <f aca="false">MAX(0,AN474)*IF(2=Parametri_v3!$C$43,Parametri_v3!$C$45,IF(2=Parametri_v3!$C$44,1-Parametri_v3!$C$45,0))</f>
        <v>0</v>
      </c>
      <c r="AQ474" s="15" t="n">
        <f aca="false">MAX(0,AP474+IF(2=Parametri_v3!$C$43,MAX(0,AN474-AO474),0)-MAX(0,-(AR473)))</f>
        <v>0</v>
      </c>
      <c r="AR474" s="15" t="n">
        <f aca="false">(AR473)+X474-AQ474</f>
        <v>64458.734768955</v>
      </c>
      <c r="AS474" s="15" t="n">
        <f aca="false">Motore_Operativo!AC474-AT474+AU474</f>
        <v>42145.6153144583</v>
      </c>
      <c r="AT474" s="15" t="n">
        <f aca="false">Motore_Operativo!CI474</f>
        <v>2218.19027970833</v>
      </c>
      <c r="AU474" s="15" t="n">
        <f aca="false">MIN(MAX(0,(AV473)+AT474),Parametri_v3!$C$61/12)</f>
        <v>0</v>
      </c>
      <c r="AV474" s="15" t="n">
        <f aca="false">(AV473)+AT474-AU474</f>
        <v>52713.2220844167</v>
      </c>
      <c r="AW474" s="15" t="n">
        <f aca="false">IF(AND(Motore_Operativo!C474=Finanziamenti!$D$7,Finanziamenti!$F$7=1),Finanziamenti!$C$7,0)</f>
        <v>0</v>
      </c>
      <c r="AX474" s="15" t="n">
        <f aca="false">0</f>
        <v>0</v>
      </c>
      <c r="AY474" s="15" t="n">
        <f aca="false">IF(2=Parametri_v3!$C$33,IF(BV474&lt;MIN(12,$B474-1),0,MIN(MAX(0,SUM(Y461:Y472))*Ipotesi!$C$94,MAX(0,(BM472)-(BO473)-BP474),MAX(0,BD474-Parametri_v3!$C$31))),0)</f>
        <v>0</v>
      </c>
      <c r="AZ474" s="15" t="n">
        <f aca="false">0</f>
        <v>0</v>
      </c>
      <c r="BA474" s="15" t="n">
        <f aca="false">0</f>
        <v>0</v>
      </c>
      <c r="BB474" s="15" t="n">
        <f aca="false">0</f>
        <v>0</v>
      </c>
      <c r="BC474" s="15" t="n">
        <f aca="false">0</f>
        <v>0</v>
      </c>
      <c r="BD474" s="15" t="n">
        <f aca="false">(BH473)+AC474-AF474-AI474-AS474-K474*(1+Parametri_v3!$C$26)-AL474-AQ474-O474+AW474+AX474+AZ474+BA474-BB474</f>
        <v>247822.899301188</v>
      </c>
      <c r="BE474" s="15" t="n">
        <f aca="false">0</f>
        <v>0</v>
      </c>
      <c r="BF474" s="15" t="n">
        <f aca="false">0</f>
        <v>0</v>
      </c>
      <c r="BG474" s="15" t="n">
        <f aca="false">0</f>
        <v>0</v>
      </c>
      <c r="BH474" s="15" t="n">
        <f aca="false">BD474+BE474-BF474-AY474</f>
        <v>247822.899301188</v>
      </c>
      <c r="BI474" s="15" t="n">
        <f aca="false">MAX(0,Parametri_v3!$C$31-BH474)</f>
        <v>0</v>
      </c>
      <c r="BJ474" s="15" t="n">
        <f aca="false">(BJ473)+K474</f>
        <v>22333.3333333333</v>
      </c>
      <c r="BK474" s="15" t="n">
        <f aca="false">(BK473)+L474</f>
        <v>12270.8333333333</v>
      </c>
      <c r="BL474" s="15" t="n">
        <f aca="false">BJ474-BK474</f>
        <v>10062.5</v>
      </c>
      <c r="BM474" s="15" t="n">
        <f aca="false">(BM473)+Y474</f>
        <v>485605.661683927</v>
      </c>
      <c r="BN474" s="15" t="n">
        <f aca="false">(BN473)+AW474+AX474+AZ474</f>
        <v>20000</v>
      </c>
      <c r="BO474" s="15" t="n">
        <f aca="false">(BO473)+AY474</f>
        <v>60315.9059027778</v>
      </c>
      <c r="BP474" s="15" t="n">
        <f aca="false">MIN(Parametri_v3!$C$36*Parametri_v3!$C$35,(BP473)+IF(2=1,MAX(0,SUM(Y461:Y472))*Parametri_v3!$C$34,0))</f>
        <v>2000</v>
      </c>
      <c r="BQ474" s="15" t="n">
        <f aca="false">BN474+BM474-BO474</f>
        <v>445289.75578115</v>
      </c>
      <c r="BR474" s="15" t="n">
        <f aca="false">BH474+AD474+BL474+MAX(0,-AM474)+MAX(0,-AR474)</f>
        <v>650918.565967854</v>
      </c>
      <c r="BS474" s="15" t="n">
        <f aca="false">AJ474+AV474+MAX(0,AM474)+MAX(0,AR474)+BC474+BG474+BQ474+AG474</f>
        <v>650918.565967855</v>
      </c>
      <c r="BT474" s="15" t="n">
        <f aca="false">BR474-BS474</f>
        <v>0</v>
      </c>
      <c r="BU474" s="15" t="n">
        <f aca="false">BH474-(BD474+BE474-BF474-AY474)</f>
        <v>0</v>
      </c>
      <c r="BV474" s="15" t="n">
        <f aca="false">IF(BH473&lt;Parametri_v3!$C$31,0,BV473+1)</f>
        <v>21</v>
      </c>
    </row>
    <row r="475" customFormat="false" ht="18" hidden="false" customHeight="true" outlineLevel="0" collapsed="false">
      <c r="A475" s="68" t="n">
        <f aca="false">8</f>
        <v>8</v>
      </c>
      <c r="B475" s="68" t="n">
        <f aca="false">51</f>
        <v>51</v>
      </c>
      <c r="C475" s="18" t="n">
        <f aca="false">Motore_Operativo!C475</f>
        <v>47908</v>
      </c>
      <c r="D475" s="68" t="n">
        <f aca="false">Motore_Operativo!D475</f>
        <v>2031</v>
      </c>
      <c r="E475" s="68" t="n">
        <f aca="false">Motore_Operativo!E475</f>
        <v>3</v>
      </c>
      <c r="F475" s="15" t="n">
        <f aca="false">Motore_Operativo!AM475</f>
        <v>115958.333333333</v>
      </c>
      <c r="G475" s="15" t="n">
        <f aca="false">Motore_Operativo!BH475</f>
        <v>11595.8333333333</v>
      </c>
      <c r="H475" s="15" t="n">
        <f aca="false">Motore_Operativo!AM475</f>
        <v>115958.333333333</v>
      </c>
      <c r="I475" s="15" t="n">
        <f aca="false">Motore_Operativo!CB475</f>
        <v>79625.4722608333</v>
      </c>
      <c r="J475" s="15" t="n">
        <f aca="false">Motore_Operativo!CD475</f>
        <v>36332.8610725</v>
      </c>
      <c r="K475" s="15" t="n">
        <f aca="false">Motore_Operativo!CF475</f>
        <v>666.666666666667</v>
      </c>
      <c r="L475" s="15" t="n">
        <f aca="false">SUM(INDEX($K$425:$K$484,MAX(1,51-Parametri_v3!$C$59+1)):K475)/Parametri_v3!$C$59</f>
        <v>520.833333333333</v>
      </c>
      <c r="M475" s="15" t="n">
        <f aca="false">J475-L475</f>
        <v>35812.0277391667</v>
      </c>
      <c r="N475" s="15" t="n">
        <f aca="false">0</f>
        <v>0</v>
      </c>
      <c r="O475" s="15" t="n">
        <f aca="false">0</f>
        <v>0</v>
      </c>
      <c r="P475" s="15" t="n">
        <f aca="false">M475+N475-O475</f>
        <v>35812.0277391667</v>
      </c>
      <c r="Q475" s="15" t="n">
        <f aca="false">SUM(P473:P475)+Parametri_v3!$C$56*3/12</f>
        <v>107456.916550833</v>
      </c>
      <c r="R475" s="15" t="n">
        <f aca="false">Z472</f>
        <v>0</v>
      </c>
      <c r="S475" s="15" t="n">
        <f aca="false">AA472</f>
        <v>0</v>
      </c>
      <c r="T475" s="15" t="n">
        <f aca="false">MIN(R475,MAX(0,Q475))</f>
        <v>0</v>
      </c>
      <c r="U475" s="15" t="n">
        <f aca="false">MIN(S475,MAX(0,Q475-T475)*Parametri_v3!$C$42)</f>
        <v>0</v>
      </c>
      <c r="V475" s="15" t="n">
        <f aca="false">MAX(0,Q475-T475-U475)*Ipotesi!$C$92</f>
        <v>25789.6599722</v>
      </c>
      <c r="W475" s="15" t="n">
        <f aca="false">MAX(0,SUM(M473:M475)+Parametri_v3!$C$57*3/12)*Ipotesi!$C$93</f>
        <v>4190.8197454825</v>
      </c>
      <c r="X475" s="15" t="n">
        <f aca="false">V475+W475-(V474+W474)</f>
        <v>9991.5557392275</v>
      </c>
      <c r="Y475" s="15" t="n">
        <f aca="false">P475-X475</f>
        <v>25820.4719999392</v>
      </c>
      <c r="Z475" s="15" t="n">
        <f aca="false">R475-T475+IF(AND(Parametri_v3!$C$40=1,D475-YEAR(Parametri_v3!$C$50)&lt;Parametri_v3!$C$41),MAX(0,-Q475),0)</f>
        <v>0</v>
      </c>
      <c r="AA475" s="15" t="n">
        <f aca="false">S475-U475+IF(AND(Parametri_v3!$C$40=1,D475-YEAR(Parametri_v3!$C$50)&lt;Parametri_v3!$C$41),0,MAX(0,-Q475))</f>
        <v>0</v>
      </c>
      <c r="AB475" s="15" t="n">
        <f aca="false">F475*(1+Parametri_v3!$C$26)</f>
        <v>141469.166666667</v>
      </c>
      <c r="AC475" s="15" t="n">
        <f aca="false">(IF(51-(INT((Motore_Operativo!L475)/30))&lt;1,0,INDEX(Motore_Advisory!$AB$425:$AB$484,MAX(1,51-(INT((Motore_Operativo!L475)/30)))))*(1-(MOD((Motore_Operativo!L475),30)/30))+IF(51-(INT((Motore_Operativo!L475)/30))-1&lt;1,0,INDEX(Motore_Advisory!$AB$425:$AB$484,MAX(1,51-(INT((Motore_Operativo!L475)/30))-1)))*(MOD((Motore_Operativo!L475),30)/30))</f>
        <v>110094.833333333</v>
      </c>
      <c r="AD475" s="15" t="n">
        <f aca="false">(AD474)+AB475-AC475</f>
        <v>424407.5</v>
      </c>
      <c r="AE475" s="15" t="n">
        <f aca="false">Motore_Operativo!BH475*(1+Parametri_v3!$C$26)</f>
        <v>14146.9166666667</v>
      </c>
      <c r="AF475" s="15" t="n">
        <f aca="false">(IF(51-(INT((Parametri_v3!$C$29)/30))&lt;1,0,INDEX(Motore_Operativo!$BH$425:$BH$484,MAX(1,51-(INT((Parametri_v3!$C$29)/30)))))*(1-(MOD((Parametri_v3!$C$29),30)/30))+IF(51-(INT((Parametri_v3!$C$29)/30))-1&lt;1,0,INDEX(Motore_Operativo!$BH$425:$BH$484,MAX(1,51-(INT((Parametri_v3!$C$29)/30))-1)))*(MOD((Parametri_v3!$C$29),30)/30))*(1+Parametri_v3!$C$26)</f>
        <v>14146.9166666667</v>
      </c>
      <c r="AG475" s="15" t="n">
        <f aca="false">(AG474)+AE475-AF475</f>
        <v>14146.9166666667</v>
      </c>
      <c r="AH475" s="15" t="n">
        <f aca="false">(Motore_Operativo!CK475)*(1+Parametri_v3!$C$28*Parametri_v3!$C$26)</f>
        <v>27831.02</v>
      </c>
      <c r="AI475" s="15" t="n">
        <f aca="false">(IF(51-(INT((Ipotesi!$C$91)/30))&lt;1,0,INDEX(Motore_Advisory!$AH$425:$AH$484,MAX(1,51-(INT((Ipotesi!$C$91)/30)))))*(1-(MOD((Ipotesi!$C$91),30)/30))+IF(51-(INT((Ipotesi!$C$91)/30))-1&lt;1,0,INDEX(Motore_Advisory!$AH$425:$AH$484,MAX(1,51-(INT((Ipotesi!$C$91)/30))-1)))*(MOD((Ipotesi!$C$91),30)/30))</f>
        <v>27831.02</v>
      </c>
      <c r="AJ475" s="15" t="n">
        <f aca="false">(AJ474)+AH475-AI475</f>
        <v>55662.04</v>
      </c>
      <c r="AK475" s="15" t="n">
        <f aca="false">(F475- Motore_Operativo!BH475-(Motore_Operativo!CK475)*Parametri_v3!$C$28-Motore_Operativo!CF475)*Parametri_v3!$C$26</f>
        <v>18647.8966666667</v>
      </c>
      <c r="AL475" s="15" t="n">
        <f aca="false">MAX(0,(AM474))</f>
        <v>18647.8966666667</v>
      </c>
      <c r="AM475" s="15" t="n">
        <f aca="false">(AM474)+AK475-AL475</f>
        <v>18647.8966666667</v>
      </c>
      <c r="AN475" s="15" t="n">
        <f aca="false">SUM(X461:X472)</f>
        <v>91149.8045405</v>
      </c>
      <c r="AO475" s="15" t="n">
        <f aca="false">SUM(AP461:AP472)</f>
        <v>46679.99375</v>
      </c>
      <c r="AP475" s="15" t="n">
        <f aca="false">MAX(0,AN475)*IF(3=Parametri_v3!$C$43,Parametri_v3!$C$45,IF(3=Parametri_v3!$C$44,1-Parametri_v3!$C$45,0))</f>
        <v>0</v>
      </c>
      <c r="AQ475" s="15" t="n">
        <f aca="false">MAX(0,AP475+IF(3=Parametri_v3!$C$43,MAX(0,AN475-AO475),0)-MAX(0,-(AR474)))</f>
        <v>0</v>
      </c>
      <c r="AR475" s="15" t="n">
        <f aca="false">(AR474)+X475-AQ475</f>
        <v>74450.2905081825</v>
      </c>
      <c r="AS475" s="15" t="n">
        <f aca="false">Motore_Operativo!AC475-AT475+AU475</f>
        <v>42145.6153144583</v>
      </c>
      <c r="AT475" s="15" t="n">
        <f aca="false">Motore_Operativo!CI475</f>
        <v>2218.19027970833</v>
      </c>
      <c r="AU475" s="15" t="n">
        <f aca="false">MIN(MAX(0,(AV474)+AT475),Parametri_v3!$C$61/12)</f>
        <v>0</v>
      </c>
      <c r="AV475" s="15" t="n">
        <f aca="false">(AV474)+AT475-AU475</f>
        <v>54931.412364125</v>
      </c>
      <c r="AW475" s="15" t="n">
        <f aca="false">IF(AND(Motore_Operativo!C475=Finanziamenti!$D$7,Finanziamenti!$F$7=1),Finanziamenti!$C$7,0)</f>
        <v>0</v>
      </c>
      <c r="AX475" s="15" t="n">
        <f aca="false">0</f>
        <v>0</v>
      </c>
      <c r="AY475" s="15" t="n">
        <f aca="false">IF(3=Parametri_v3!$C$33,IF(BV475&lt;MIN(12,$B475-1),0,MIN(MAX(0,SUM(Y461:Y472))*Ipotesi!$C$94,MAX(0,(BM472)-(BO474)-BP475),MAX(0,BD475-Parametri_v3!$C$31))),0)</f>
        <v>0</v>
      </c>
      <c r="AZ475" s="15" t="n">
        <f aca="false">0</f>
        <v>0</v>
      </c>
      <c r="BA475" s="15" t="n">
        <f aca="false">0</f>
        <v>0</v>
      </c>
      <c r="BB475" s="15" t="n">
        <f aca="false">0</f>
        <v>0</v>
      </c>
      <c r="BC475" s="15" t="n">
        <f aca="false">0</f>
        <v>0</v>
      </c>
      <c r="BD475" s="15" t="n">
        <f aca="false">(BH474)+AC475-AF475-AI475-AS475-K475*(1+Parametri_v3!$C$26)-AL475-AQ475-O475+AW475+AX475+AZ475+BA475-BB475</f>
        <v>254332.950653396</v>
      </c>
      <c r="BE475" s="15" t="n">
        <f aca="false">0</f>
        <v>0</v>
      </c>
      <c r="BF475" s="15" t="n">
        <f aca="false">0</f>
        <v>0</v>
      </c>
      <c r="BG475" s="15" t="n">
        <f aca="false">0</f>
        <v>0</v>
      </c>
      <c r="BH475" s="15" t="n">
        <f aca="false">BD475+BE475-BF475-AY475</f>
        <v>254332.950653396</v>
      </c>
      <c r="BI475" s="15" t="n">
        <f aca="false">MAX(0,Parametri_v3!$C$31-BH475)</f>
        <v>0</v>
      </c>
      <c r="BJ475" s="15" t="n">
        <f aca="false">(BJ474)+K475</f>
        <v>23000</v>
      </c>
      <c r="BK475" s="15" t="n">
        <f aca="false">(BK474)+L475</f>
        <v>12791.6666666667</v>
      </c>
      <c r="BL475" s="15" t="n">
        <f aca="false">BJ475-BK475</f>
        <v>10208.3333333333</v>
      </c>
      <c r="BM475" s="15" t="n">
        <f aca="false">(BM474)+Y475</f>
        <v>511426.133683867</v>
      </c>
      <c r="BN475" s="15" t="n">
        <f aca="false">(BN474)+AW475+AX475+AZ475</f>
        <v>20000</v>
      </c>
      <c r="BO475" s="15" t="n">
        <f aca="false">(BO474)+AY475</f>
        <v>60315.9059027778</v>
      </c>
      <c r="BP475" s="15" t="n">
        <f aca="false">MIN(Parametri_v3!$C$36*Parametri_v3!$C$35,(BP474)+IF(3=1,MAX(0,SUM(Y461:Y472))*Parametri_v3!$C$34,0))</f>
        <v>2000</v>
      </c>
      <c r="BQ475" s="15" t="n">
        <f aca="false">BN475+BM475-BO475</f>
        <v>471110.227781089</v>
      </c>
      <c r="BR475" s="15" t="n">
        <f aca="false">BH475+AD475+BL475+MAX(0,-AM475)+MAX(0,-AR475)</f>
        <v>688948.783986729</v>
      </c>
      <c r="BS475" s="15" t="n">
        <f aca="false">AJ475+AV475+MAX(0,AM475)+MAX(0,AR475)+BC475+BG475+BQ475+AG475</f>
        <v>688948.78398673</v>
      </c>
      <c r="BT475" s="15" t="n">
        <f aca="false">BR475-BS475</f>
        <v>0</v>
      </c>
      <c r="BU475" s="15" t="n">
        <f aca="false">BH475-(BD475+BE475-BF475-AY475)</f>
        <v>0</v>
      </c>
      <c r="BV475" s="15" t="n">
        <f aca="false">IF(BH474&lt;Parametri_v3!$C$31,0,BV474+1)</f>
        <v>22</v>
      </c>
    </row>
    <row r="476" customFormat="false" ht="18" hidden="false" customHeight="true" outlineLevel="0" collapsed="false">
      <c r="A476" s="68" t="n">
        <f aca="false">8</f>
        <v>8</v>
      </c>
      <c r="B476" s="68" t="n">
        <f aca="false">52</f>
        <v>52</v>
      </c>
      <c r="C476" s="18" t="n">
        <f aca="false">Motore_Operativo!C476</f>
        <v>47939</v>
      </c>
      <c r="D476" s="68" t="n">
        <f aca="false">Motore_Operativo!D476</f>
        <v>2031</v>
      </c>
      <c r="E476" s="68" t="n">
        <f aca="false">Motore_Operativo!E476</f>
        <v>4</v>
      </c>
      <c r="F476" s="15" t="n">
        <f aca="false">Motore_Operativo!AM476</f>
        <v>115958.333333333</v>
      </c>
      <c r="G476" s="15" t="n">
        <f aca="false">Motore_Operativo!BH476</f>
        <v>11595.8333333333</v>
      </c>
      <c r="H476" s="15" t="n">
        <f aca="false">Motore_Operativo!AM476</f>
        <v>115958.333333333</v>
      </c>
      <c r="I476" s="15" t="n">
        <f aca="false">Motore_Operativo!CB476</f>
        <v>79625.4722608333</v>
      </c>
      <c r="J476" s="15" t="n">
        <f aca="false">Motore_Operativo!CD476</f>
        <v>36332.8610725</v>
      </c>
      <c r="K476" s="15" t="n">
        <f aca="false">Motore_Operativo!CF476</f>
        <v>666.666666666667</v>
      </c>
      <c r="L476" s="15" t="n">
        <f aca="false">SUM(INDEX($K$425:$K$484,MAX(1,52-Parametri_v3!$C$59+1)):K476)/Parametri_v3!$C$59</f>
        <v>527.777777777778</v>
      </c>
      <c r="M476" s="15" t="n">
        <f aca="false">J476-L476</f>
        <v>35805.0832947222</v>
      </c>
      <c r="N476" s="15" t="n">
        <f aca="false">0</f>
        <v>0</v>
      </c>
      <c r="O476" s="15" t="n">
        <f aca="false">0</f>
        <v>0</v>
      </c>
      <c r="P476" s="15" t="n">
        <f aca="false">M476+N476-O476</f>
        <v>35805.0832947222</v>
      </c>
      <c r="Q476" s="15" t="n">
        <f aca="false">SUM(P473:P476)+Parametri_v3!$C$56*4/12</f>
        <v>143261.999845556</v>
      </c>
      <c r="R476" s="15" t="n">
        <f aca="false">Z472</f>
        <v>0</v>
      </c>
      <c r="S476" s="15" t="n">
        <f aca="false">AA472</f>
        <v>0</v>
      </c>
      <c r="T476" s="15" t="n">
        <f aca="false">MIN(R476,MAX(0,Q476))</f>
        <v>0</v>
      </c>
      <c r="U476" s="15" t="n">
        <f aca="false">MIN(S476,MAX(0,Q476-T476)*Parametri_v3!$C$42)</f>
        <v>0</v>
      </c>
      <c r="V476" s="15" t="n">
        <f aca="false">MAX(0,Q476-T476-U476)*Ipotesi!$C$92</f>
        <v>34382.8799629333</v>
      </c>
      <c r="W476" s="15" t="n">
        <f aca="false">MAX(0,SUM(M473:M476)+Parametri_v3!$C$57*4/12)*Ipotesi!$C$93</f>
        <v>5587.21799397667</v>
      </c>
      <c r="X476" s="15" t="n">
        <f aca="false">V476+W476-(V475+W475)</f>
        <v>9989.61823922751</v>
      </c>
      <c r="Y476" s="15" t="n">
        <f aca="false">P476-X476</f>
        <v>25815.4650554947</v>
      </c>
      <c r="Z476" s="15" t="n">
        <f aca="false">R476-T476+IF(AND(Parametri_v3!$C$40=1,D476-YEAR(Parametri_v3!$C$50)&lt;Parametri_v3!$C$41),MAX(0,-Q476),0)</f>
        <v>0</v>
      </c>
      <c r="AA476" s="15" t="n">
        <f aca="false">S476-U476+IF(AND(Parametri_v3!$C$40=1,D476-YEAR(Parametri_v3!$C$50)&lt;Parametri_v3!$C$41),0,MAX(0,-Q476))</f>
        <v>0</v>
      </c>
      <c r="AB476" s="15" t="n">
        <f aca="false">F476*(1+Parametri_v3!$C$26)</f>
        <v>141469.166666667</v>
      </c>
      <c r="AC476" s="15" t="n">
        <f aca="false">(IF(52-(INT((Motore_Operativo!L476)/30))&lt;1,0,INDEX(Motore_Advisory!$AB$425:$AB$484,MAX(1,52-(INT((Motore_Operativo!L476)/30)))))*(1-(MOD((Motore_Operativo!L476),30)/30))+IF(52-(INT((Motore_Operativo!L476)/30))-1&lt;1,0,INDEX(Motore_Advisory!$AB$425:$AB$484,MAX(1,52-(INT((Motore_Operativo!L476)/30))-1)))*(MOD((Motore_Operativo!L476),30)/30))</f>
        <v>141469.166666667</v>
      </c>
      <c r="AD476" s="15" t="n">
        <f aca="false">(AD475)+AB476-AC476</f>
        <v>424407.5</v>
      </c>
      <c r="AE476" s="15" t="n">
        <f aca="false">Motore_Operativo!BH476*(1+Parametri_v3!$C$26)</f>
        <v>14146.9166666667</v>
      </c>
      <c r="AF476" s="15" t="n">
        <f aca="false">(IF(52-(INT((Parametri_v3!$C$29)/30))&lt;1,0,INDEX(Motore_Operativo!$BH$425:$BH$484,MAX(1,52-(INT((Parametri_v3!$C$29)/30)))))*(1-(MOD((Parametri_v3!$C$29),30)/30))+IF(52-(INT((Parametri_v3!$C$29)/30))-1&lt;1,0,INDEX(Motore_Operativo!$BH$425:$BH$484,MAX(1,52-(INT((Parametri_v3!$C$29)/30))-1)))*(MOD((Parametri_v3!$C$29),30)/30))*(1+Parametri_v3!$C$26)</f>
        <v>14146.9166666667</v>
      </c>
      <c r="AG476" s="15" t="n">
        <f aca="false">(AG475)+AE476-AF476</f>
        <v>14146.9166666667</v>
      </c>
      <c r="AH476" s="15" t="n">
        <f aca="false">(Motore_Operativo!CK476)*(1+Parametri_v3!$C$28*Parametri_v3!$C$26)</f>
        <v>27831.02</v>
      </c>
      <c r="AI476" s="15" t="n">
        <f aca="false">(IF(52-(INT((Ipotesi!$C$91)/30))&lt;1,0,INDEX(Motore_Advisory!$AH$425:$AH$484,MAX(1,52-(INT((Ipotesi!$C$91)/30)))))*(1-(MOD((Ipotesi!$C$91),30)/30))+IF(52-(INT((Ipotesi!$C$91)/30))-1&lt;1,0,INDEX(Motore_Advisory!$AH$425:$AH$484,MAX(1,52-(INT((Ipotesi!$C$91)/30))-1)))*(MOD((Ipotesi!$C$91),30)/30))</f>
        <v>27831.02</v>
      </c>
      <c r="AJ476" s="15" t="n">
        <f aca="false">(AJ475)+AH476-AI476</f>
        <v>55662.04</v>
      </c>
      <c r="AK476" s="15" t="n">
        <f aca="false">(F476- Motore_Operativo!BH476-(Motore_Operativo!CK476)*Parametri_v3!$C$28-Motore_Operativo!CF476)*Parametri_v3!$C$26</f>
        <v>18647.8966666667</v>
      </c>
      <c r="AL476" s="15" t="n">
        <f aca="false">MAX(0,(AM475))</f>
        <v>18647.8966666667</v>
      </c>
      <c r="AM476" s="15" t="n">
        <f aca="false">(AM475)+AK476-AL476</f>
        <v>18647.8966666667</v>
      </c>
      <c r="AN476" s="15" t="n">
        <f aca="false">SUM(X461:X472)</f>
        <v>91149.8045405</v>
      </c>
      <c r="AO476" s="15" t="n">
        <f aca="false">SUM(AP461:AP472)</f>
        <v>46679.99375</v>
      </c>
      <c r="AP476" s="15" t="n">
        <f aca="false">MAX(0,AN476)*IF(4=Parametri_v3!$C$43,Parametri_v3!$C$45,IF(4=Parametri_v3!$C$44,1-Parametri_v3!$C$45,0))</f>
        <v>0</v>
      </c>
      <c r="AQ476" s="15" t="n">
        <f aca="false">MAX(0,AP476+IF(4=Parametri_v3!$C$43,MAX(0,AN476-AO476),0)-MAX(0,-(AR475)))</f>
        <v>0</v>
      </c>
      <c r="AR476" s="15" t="n">
        <f aca="false">(AR475)+X476-AQ476</f>
        <v>84439.90874741</v>
      </c>
      <c r="AS476" s="15" t="n">
        <f aca="false">Motore_Operativo!AC476-AT476+AU476</f>
        <v>42145.6153144583</v>
      </c>
      <c r="AT476" s="15" t="n">
        <f aca="false">Motore_Operativo!CI476</f>
        <v>2218.19027970833</v>
      </c>
      <c r="AU476" s="15" t="n">
        <f aca="false">MIN(MAX(0,(AV475)+AT476),Parametri_v3!$C$61/12)</f>
        <v>0</v>
      </c>
      <c r="AV476" s="15" t="n">
        <f aca="false">(AV475)+AT476-AU476</f>
        <v>57149.6026438333</v>
      </c>
      <c r="AW476" s="15" t="n">
        <f aca="false">IF(AND(Motore_Operativo!C476=Finanziamenti!$D$7,Finanziamenti!$F$7=1),Finanziamenti!$C$7,0)</f>
        <v>0</v>
      </c>
      <c r="AX476" s="15" t="n">
        <f aca="false">0</f>
        <v>0</v>
      </c>
      <c r="AY476" s="15" t="n">
        <f aca="false">IF(4=Parametri_v3!$C$33,IF(BV476&lt;MIN(12,$B476-1),0,MIN(MAX(0,SUM(Y461:Y472))*Ipotesi!$C$94,MAX(0,(BM472)-(BO475)-BP476),MAX(0,BD476-Parametri_v3!$C$31))),0)</f>
        <v>0</v>
      </c>
      <c r="AZ476" s="15" t="n">
        <f aca="false">0</f>
        <v>0</v>
      </c>
      <c r="BA476" s="15" t="n">
        <f aca="false">0</f>
        <v>0</v>
      </c>
      <c r="BB476" s="15" t="n">
        <f aca="false">0</f>
        <v>0</v>
      </c>
      <c r="BC476" s="15" t="n">
        <f aca="false">0</f>
        <v>0</v>
      </c>
      <c r="BD476" s="15" t="n">
        <f aca="false">(BH475)+AC476-AF476-AI476-AS476-K476*(1+Parametri_v3!$C$26)-AL476-AQ476-O476+AW476+AX476+AZ476+BA476-BB476</f>
        <v>292217.335338938</v>
      </c>
      <c r="BE476" s="15" t="n">
        <f aca="false">0</f>
        <v>0</v>
      </c>
      <c r="BF476" s="15" t="n">
        <f aca="false">0</f>
        <v>0</v>
      </c>
      <c r="BG476" s="15" t="n">
        <f aca="false">0</f>
        <v>0</v>
      </c>
      <c r="BH476" s="15" t="n">
        <f aca="false">BD476+BE476-BF476-AY476</f>
        <v>292217.335338938</v>
      </c>
      <c r="BI476" s="15" t="n">
        <f aca="false">MAX(0,Parametri_v3!$C$31-BH476)</f>
        <v>0</v>
      </c>
      <c r="BJ476" s="15" t="n">
        <f aca="false">(BJ475)+K476</f>
        <v>23666.6666666667</v>
      </c>
      <c r="BK476" s="15" t="n">
        <f aca="false">(BK475)+L476</f>
        <v>13319.4444444444</v>
      </c>
      <c r="BL476" s="15" t="n">
        <f aca="false">BJ476-BK476</f>
        <v>10347.2222222222</v>
      </c>
      <c r="BM476" s="15" t="n">
        <f aca="false">(BM475)+Y476</f>
        <v>537241.598739361</v>
      </c>
      <c r="BN476" s="15" t="n">
        <f aca="false">(BN475)+AW476+AX476+AZ476</f>
        <v>20000</v>
      </c>
      <c r="BO476" s="15" t="n">
        <f aca="false">(BO475)+AY476</f>
        <v>60315.9059027778</v>
      </c>
      <c r="BP476" s="15" t="n">
        <f aca="false">MIN(Parametri_v3!$C$36*Parametri_v3!$C$35,(BP475)+IF(4=1,MAX(0,SUM(Y461:Y472))*Parametri_v3!$C$34,0))</f>
        <v>2000</v>
      </c>
      <c r="BQ476" s="15" t="n">
        <f aca="false">BN476+BM476-BO476</f>
        <v>496925.692836584</v>
      </c>
      <c r="BR476" s="15" t="n">
        <f aca="false">BH476+AD476+BL476+MAX(0,-AM476)+MAX(0,-AR476)</f>
        <v>726972.05756116</v>
      </c>
      <c r="BS476" s="15" t="n">
        <f aca="false">AJ476+AV476+MAX(0,AM476)+MAX(0,AR476)+BC476+BG476+BQ476+AG476</f>
        <v>726972.05756116</v>
      </c>
      <c r="BT476" s="15" t="n">
        <f aca="false">BR476-BS476</f>
        <v>0</v>
      </c>
      <c r="BU476" s="15" t="n">
        <f aca="false">BH476-(BD476+BE476-BF476-AY476)</f>
        <v>0</v>
      </c>
      <c r="BV476" s="15" t="n">
        <f aca="false">IF(BH475&lt;Parametri_v3!$C$31,0,BV475+1)</f>
        <v>23</v>
      </c>
    </row>
    <row r="477" customFormat="false" ht="18" hidden="false" customHeight="true" outlineLevel="0" collapsed="false">
      <c r="A477" s="68" t="n">
        <f aca="false">8</f>
        <v>8</v>
      </c>
      <c r="B477" s="68" t="n">
        <f aca="false">53</f>
        <v>53</v>
      </c>
      <c r="C477" s="18" t="n">
        <f aca="false">Motore_Operativo!C477</f>
        <v>47969</v>
      </c>
      <c r="D477" s="68" t="n">
        <f aca="false">Motore_Operativo!D477</f>
        <v>2031</v>
      </c>
      <c r="E477" s="68" t="n">
        <f aca="false">Motore_Operativo!E477</f>
        <v>5</v>
      </c>
      <c r="F477" s="15" t="n">
        <f aca="false">Motore_Operativo!AM477</f>
        <v>115958.333333333</v>
      </c>
      <c r="G477" s="15" t="n">
        <f aca="false">Motore_Operativo!BH477</f>
        <v>11595.8333333333</v>
      </c>
      <c r="H477" s="15" t="n">
        <f aca="false">Motore_Operativo!AM477</f>
        <v>115958.333333333</v>
      </c>
      <c r="I477" s="15" t="n">
        <f aca="false">Motore_Operativo!CB477</f>
        <v>79625.4722608333</v>
      </c>
      <c r="J477" s="15" t="n">
        <f aca="false">Motore_Operativo!CD477</f>
        <v>36332.8610725</v>
      </c>
      <c r="K477" s="15" t="n">
        <f aca="false">Motore_Operativo!CF477</f>
        <v>666.666666666667</v>
      </c>
      <c r="L477" s="15" t="n">
        <f aca="false">SUM(INDEX($K$425:$K$484,MAX(1,53-Parametri_v3!$C$59+1)):K477)/Parametri_v3!$C$59</f>
        <v>534.722222222222</v>
      </c>
      <c r="M477" s="15" t="n">
        <f aca="false">J477-L477</f>
        <v>35798.1388502778</v>
      </c>
      <c r="N477" s="15" t="n">
        <f aca="false">0</f>
        <v>0</v>
      </c>
      <c r="O477" s="15" t="n">
        <f aca="false">0</f>
        <v>0</v>
      </c>
      <c r="P477" s="15" t="n">
        <f aca="false">M477+N477-O477</f>
        <v>35798.1388502778</v>
      </c>
      <c r="Q477" s="15" t="n">
        <f aca="false">SUM(P473:P477)+Parametri_v3!$C$56*5/12</f>
        <v>179060.138695833</v>
      </c>
      <c r="R477" s="15" t="n">
        <f aca="false">Z472</f>
        <v>0</v>
      </c>
      <c r="S477" s="15" t="n">
        <f aca="false">AA472</f>
        <v>0</v>
      </c>
      <c r="T477" s="15" t="n">
        <f aca="false">MIN(R477,MAX(0,Q477))</f>
        <v>0</v>
      </c>
      <c r="U477" s="15" t="n">
        <f aca="false">MIN(S477,MAX(0,Q477-T477)*Parametri_v3!$C$42)</f>
        <v>0</v>
      </c>
      <c r="V477" s="15" t="n">
        <f aca="false">MAX(0,Q477-T477-U477)*Ipotesi!$C$92</f>
        <v>42974.433287</v>
      </c>
      <c r="W477" s="15" t="n">
        <f aca="false">MAX(0,SUM(M473:M477)+Parametri_v3!$C$57*5/12)*Ipotesi!$C$93</f>
        <v>6983.3454091375</v>
      </c>
      <c r="X477" s="15" t="n">
        <f aca="false">V477+W477-(V476+W476)</f>
        <v>9987.68073922751</v>
      </c>
      <c r="Y477" s="15" t="n">
        <f aca="false">P477-X477</f>
        <v>25810.4581110503</v>
      </c>
      <c r="Z477" s="15" t="n">
        <f aca="false">R477-T477+IF(AND(Parametri_v3!$C$40=1,D477-YEAR(Parametri_v3!$C$50)&lt;Parametri_v3!$C$41),MAX(0,-Q477),0)</f>
        <v>0</v>
      </c>
      <c r="AA477" s="15" t="n">
        <f aca="false">S477-U477+IF(AND(Parametri_v3!$C$40=1,D477-YEAR(Parametri_v3!$C$50)&lt;Parametri_v3!$C$41),0,MAX(0,-Q477))</f>
        <v>0</v>
      </c>
      <c r="AB477" s="15" t="n">
        <f aca="false">F477*(1+Parametri_v3!$C$26)</f>
        <v>141469.166666667</v>
      </c>
      <c r="AC477" s="15" t="n">
        <f aca="false">(IF(53-(INT((Motore_Operativo!L477)/30))&lt;1,0,INDEX(Motore_Advisory!$AB$425:$AB$484,MAX(1,53-(INT((Motore_Operativo!L477)/30)))))*(1-(MOD((Motore_Operativo!L477),30)/30))+IF(53-(INT((Motore_Operativo!L477)/30))-1&lt;1,0,INDEX(Motore_Advisory!$AB$425:$AB$484,MAX(1,53-(INT((Motore_Operativo!L477)/30))-1)))*(MOD((Motore_Operativo!L477),30)/30))</f>
        <v>141469.166666667</v>
      </c>
      <c r="AD477" s="15" t="n">
        <f aca="false">(AD476)+AB477-AC477</f>
        <v>424407.5</v>
      </c>
      <c r="AE477" s="15" t="n">
        <f aca="false">Motore_Operativo!BH477*(1+Parametri_v3!$C$26)</f>
        <v>14146.9166666667</v>
      </c>
      <c r="AF477" s="15" t="n">
        <f aca="false">(IF(53-(INT((Parametri_v3!$C$29)/30))&lt;1,0,INDEX(Motore_Operativo!$BH$425:$BH$484,MAX(1,53-(INT((Parametri_v3!$C$29)/30)))))*(1-(MOD((Parametri_v3!$C$29),30)/30))+IF(53-(INT((Parametri_v3!$C$29)/30))-1&lt;1,0,INDEX(Motore_Operativo!$BH$425:$BH$484,MAX(1,53-(INT((Parametri_v3!$C$29)/30))-1)))*(MOD((Parametri_v3!$C$29),30)/30))*(1+Parametri_v3!$C$26)</f>
        <v>14146.9166666667</v>
      </c>
      <c r="AG477" s="15" t="n">
        <f aca="false">(AG476)+AE477-AF477</f>
        <v>14146.9166666667</v>
      </c>
      <c r="AH477" s="15" t="n">
        <f aca="false">(Motore_Operativo!CK477)*(1+Parametri_v3!$C$28*Parametri_v3!$C$26)</f>
        <v>27831.02</v>
      </c>
      <c r="AI477" s="15" t="n">
        <f aca="false">(IF(53-(INT((Ipotesi!$C$91)/30))&lt;1,0,INDEX(Motore_Advisory!$AH$425:$AH$484,MAX(1,53-(INT((Ipotesi!$C$91)/30)))))*(1-(MOD((Ipotesi!$C$91),30)/30))+IF(53-(INT((Ipotesi!$C$91)/30))-1&lt;1,0,INDEX(Motore_Advisory!$AH$425:$AH$484,MAX(1,53-(INT((Ipotesi!$C$91)/30))-1)))*(MOD((Ipotesi!$C$91),30)/30))</f>
        <v>27831.02</v>
      </c>
      <c r="AJ477" s="15" t="n">
        <f aca="false">(AJ476)+AH477-AI477</f>
        <v>55662.04</v>
      </c>
      <c r="AK477" s="15" t="n">
        <f aca="false">(F477- Motore_Operativo!BH477-(Motore_Operativo!CK477)*Parametri_v3!$C$28-Motore_Operativo!CF477)*Parametri_v3!$C$26</f>
        <v>18647.8966666667</v>
      </c>
      <c r="AL477" s="15" t="n">
        <f aca="false">MAX(0,(AM476))</f>
        <v>18647.8966666667</v>
      </c>
      <c r="AM477" s="15" t="n">
        <f aca="false">(AM476)+AK477-AL477</f>
        <v>18647.8966666667</v>
      </c>
      <c r="AN477" s="15" t="n">
        <f aca="false">SUM(X461:X472)</f>
        <v>91149.8045405</v>
      </c>
      <c r="AO477" s="15" t="n">
        <f aca="false">SUM(AP461:AP472)</f>
        <v>46679.99375</v>
      </c>
      <c r="AP477" s="15" t="n">
        <f aca="false">MAX(0,AN477)*IF(5=Parametri_v3!$C$43,Parametri_v3!$C$45,IF(5=Parametri_v3!$C$44,1-Parametri_v3!$C$45,0))</f>
        <v>0</v>
      </c>
      <c r="AQ477" s="15" t="n">
        <f aca="false">MAX(0,AP477+IF(5=Parametri_v3!$C$43,MAX(0,AN477-AO477),0)-MAX(0,-(AR476)))</f>
        <v>0</v>
      </c>
      <c r="AR477" s="15" t="n">
        <f aca="false">(AR476)+X477-AQ477</f>
        <v>94427.5894866375</v>
      </c>
      <c r="AS477" s="15" t="n">
        <f aca="false">Motore_Operativo!AC477-AT477+AU477</f>
        <v>42145.6153144583</v>
      </c>
      <c r="AT477" s="15" t="n">
        <f aca="false">Motore_Operativo!CI477</f>
        <v>2218.19027970833</v>
      </c>
      <c r="AU477" s="15" t="n">
        <f aca="false">MIN(MAX(0,(AV476)+AT477),Parametri_v3!$C$61/12)</f>
        <v>0</v>
      </c>
      <c r="AV477" s="15" t="n">
        <f aca="false">(AV476)+AT477-AU477</f>
        <v>59367.7929235417</v>
      </c>
      <c r="AW477" s="15" t="n">
        <f aca="false">IF(AND(Motore_Operativo!C477=Finanziamenti!$D$7,Finanziamenti!$F$7=1),Finanziamenti!$C$7,0)</f>
        <v>0</v>
      </c>
      <c r="AX477" s="15" t="n">
        <f aca="false">0</f>
        <v>0</v>
      </c>
      <c r="AY477" s="15" t="n">
        <f aca="false">IF(5=Parametri_v3!$C$33,IF(BV477&lt;MIN(12,$B477-1),0,MIN(MAX(0,SUM(Y461:Y472))*Ipotesi!$C$94,MAX(0,(BM472)-(BO476)-BP477),MAX(0,BD477-Parametri_v3!$C$31))),0)</f>
        <v>0</v>
      </c>
      <c r="AZ477" s="15" t="n">
        <f aca="false">0</f>
        <v>0</v>
      </c>
      <c r="BA477" s="15" t="n">
        <f aca="false">0</f>
        <v>0</v>
      </c>
      <c r="BB477" s="15" t="n">
        <f aca="false">0</f>
        <v>0</v>
      </c>
      <c r="BC477" s="15" t="n">
        <f aca="false">0</f>
        <v>0</v>
      </c>
      <c r="BD477" s="15" t="n">
        <f aca="false">(BH476)+AC477-AF477-AI477-AS477-K477*(1+Parametri_v3!$C$26)-AL477-AQ477-O477+AW477+AX477+AZ477+BA477-BB477</f>
        <v>330101.720024479</v>
      </c>
      <c r="BE477" s="15" t="n">
        <f aca="false">0</f>
        <v>0</v>
      </c>
      <c r="BF477" s="15" t="n">
        <f aca="false">0</f>
        <v>0</v>
      </c>
      <c r="BG477" s="15" t="n">
        <f aca="false">0</f>
        <v>0</v>
      </c>
      <c r="BH477" s="15" t="n">
        <f aca="false">BD477+BE477-BF477-AY477</f>
        <v>330101.720024479</v>
      </c>
      <c r="BI477" s="15" t="n">
        <f aca="false">MAX(0,Parametri_v3!$C$31-BH477)</f>
        <v>0</v>
      </c>
      <c r="BJ477" s="15" t="n">
        <f aca="false">(BJ476)+K477</f>
        <v>24333.3333333333</v>
      </c>
      <c r="BK477" s="15" t="n">
        <f aca="false">(BK476)+L477</f>
        <v>13854.1666666667</v>
      </c>
      <c r="BL477" s="15" t="n">
        <f aca="false">BJ477-BK477</f>
        <v>10479.1666666667</v>
      </c>
      <c r="BM477" s="15" t="n">
        <f aca="false">(BM476)+Y477</f>
        <v>563052.056850412</v>
      </c>
      <c r="BN477" s="15" t="n">
        <f aca="false">(BN476)+AW477+AX477+AZ477</f>
        <v>20000</v>
      </c>
      <c r="BO477" s="15" t="n">
        <f aca="false">(BO476)+AY477</f>
        <v>60315.9059027778</v>
      </c>
      <c r="BP477" s="15" t="n">
        <f aca="false">MIN(Parametri_v3!$C$36*Parametri_v3!$C$35,(BP476)+IF(5=1,MAX(0,SUM(Y461:Y472))*Parametri_v3!$C$34,0))</f>
        <v>2000</v>
      </c>
      <c r="BQ477" s="15" t="n">
        <f aca="false">BN477+BM477-BO477</f>
        <v>522736.150947634</v>
      </c>
      <c r="BR477" s="15" t="n">
        <f aca="false">BH477+AD477+BL477+MAX(0,-AM477)+MAX(0,-AR477)</f>
        <v>764988.386691146</v>
      </c>
      <c r="BS477" s="15" t="n">
        <f aca="false">AJ477+AV477+MAX(0,AM477)+MAX(0,AR477)+BC477+BG477+BQ477+AG477</f>
        <v>764988.386691146</v>
      </c>
      <c r="BT477" s="15" t="n">
        <f aca="false">BR477-BS477</f>
        <v>0</v>
      </c>
      <c r="BU477" s="15" t="n">
        <f aca="false">BH477-(BD477+BE477-BF477-AY477)</f>
        <v>0</v>
      </c>
      <c r="BV477" s="15" t="n">
        <f aca="false">IF(BH476&lt;Parametri_v3!$C$31,0,BV476+1)</f>
        <v>24</v>
      </c>
    </row>
    <row r="478" customFormat="false" ht="18" hidden="false" customHeight="true" outlineLevel="0" collapsed="false">
      <c r="A478" s="68" t="n">
        <f aca="false">8</f>
        <v>8</v>
      </c>
      <c r="B478" s="68" t="n">
        <f aca="false">54</f>
        <v>54</v>
      </c>
      <c r="C478" s="18" t="n">
        <f aca="false">Motore_Operativo!C478</f>
        <v>48000</v>
      </c>
      <c r="D478" s="68" t="n">
        <f aca="false">Motore_Operativo!D478</f>
        <v>2031</v>
      </c>
      <c r="E478" s="68" t="n">
        <f aca="false">Motore_Operativo!E478</f>
        <v>6</v>
      </c>
      <c r="F478" s="15" t="n">
        <f aca="false">Motore_Operativo!AM478</f>
        <v>115958.333333333</v>
      </c>
      <c r="G478" s="15" t="n">
        <f aca="false">Motore_Operativo!BH478</f>
        <v>11595.8333333333</v>
      </c>
      <c r="H478" s="15" t="n">
        <f aca="false">Motore_Operativo!AM478</f>
        <v>115958.333333333</v>
      </c>
      <c r="I478" s="15" t="n">
        <f aca="false">Motore_Operativo!CB478</f>
        <v>79625.4722608333</v>
      </c>
      <c r="J478" s="15" t="n">
        <f aca="false">Motore_Operativo!CD478</f>
        <v>36332.8610725</v>
      </c>
      <c r="K478" s="15" t="n">
        <f aca="false">Motore_Operativo!CF478</f>
        <v>666.666666666667</v>
      </c>
      <c r="L478" s="15" t="n">
        <f aca="false">SUM(INDEX($K$425:$K$484,MAX(1,54-Parametri_v3!$C$59+1)):K478)/Parametri_v3!$C$59</f>
        <v>541.666666666667</v>
      </c>
      <c r="M478" s="15" t="n">
        <f aca="false">J478-L478</f>
        <v>35791.1944058333</v>
      </c>
      <c r="N478" s="15" t="n">
        <f aca="false">0</f>
        <v>0</v>
      </c>
      <c r="O478" s="15" t="n">
        <f aca="false">0</f>
        <v>0</v>
      </c>
      <c r="P478" s="15" t="n">
        <f aca="false">M478+N478-O478</f>
        <v>35791.1944058333</v>
      </c>
      <c r="Q478" s="15" t="n">
        <f aca="false">SUM(P473:P478)+Parametri_v3!$C$56*6/12</f>
        <v>214851.333101667</v>
      </c>
      <c r="R478" s="15" t="n">
        <f aca="false">Z472</f>
        <v>0</v>
      </c>
      <c r="S478" s="15" t="n">
        <f aca="false">AA472</f>
        <v>0</v>
      </c>
      <c r="T478" s="15" t="n">
        <f aca="false">MIN(R478,MAX(0,Q478))</f>
        <v>0</v>
      </c>
      <c r="U478" s="15" t="n">
        <f aca="false">MIN(S478,MAX(0,Q478-T478)*Parametri_v3!$C$42)</f>
        <v>0</v>
      </c>
      <c r="V478" s="15" t="n">
        <f aca="false">MAX(0,Q478-T478-U478)*Ipotesi!$C$92</f>
        <v>51564.3199444</v>
      </c>
      <c r="W478" s="15" t="n">
        <f aca="false">MAX(0,SUM(M473:M478)+Parametri_v3!$C$57*6/12)*Ipotesi!$C$93</f>
        <v>8379.201990965</v>
      </c>
      <c r="X478" s="15" t="n">
        <f aca="false">V478+W478-(V477+W477)</f>
        <v>9985.74323922749</v>
      </c>
      <c r="Y478" s="15" t="n">
        <f aca="false">P478-X478</f>
        <v>25805.4511666058</v>
      </c>
      <c r="Z478" s="15" t="n">
        <f aca="false">R478-T478+IF(AND(Parametri_v3!$C$40=1,D478-YEAR(Parametri_v3!$C$50)&lt;Parametri_v3!$C$41),MAX(0,-Q478),0)</f>
        <v>0</v>
      </c>
      <c r="AA478" s="15" t="n">
        <f aca="false">S478-U478+IF(AND(Parametri_v3!$C$40=1,D478-YEAR(Parametri_v3!$C$50)&lt;Parametri_v3!$C$41),0,MAX(0,-Q478))</f>
        <v>0</v>
      </c>
      <c r="AB478" s="15" t="n">
        <f aca="false">F478*(1+Parametri_v3!$C$26)</f>
        <v>141469.166666667</v>
      </c>
      <c r="AC478" s="15" t="n">
        <f aca="false">(IF(54-(INT((Motore_Operativo!L478)/30))&lt;1,0,INDEX(Motore_Advisory!$AB$425:$AB$484,MAX(1,54-(INT((Motore_Operativo!L478)/30)))))*(1-(MOD((Motore_Operativo!L478),30)/30))+IF(54-(INT((Motore_Operativo!L478)/30))-1&lt;1,0,INDEX(Motore_Advisory!$AB$425:$AB$484,MAX(1,54-(INT((Motore_Operativo!L478)/30))-1)))*(MOD((Motore_Operativo!L478),30)/30))</f>
        <v>141469.166666667</v>
      </c>
      <c r="AD478" s="15" t="n">
        <f aca="false">(AD477)+AB478-AC478</f>
        <v>424407.5</v>
      </c>
      <c r="AE478" s="15" t="n">
        <f aca="false">Motore_Operativo!BH478*(1+Parametri_v3!$C$26)</f>
        <v>14146.9166666667</v>
      </c>
      <c r="AF478" s="15" t="n">
        <f aca="false">(IF(54-(INT((Parametri_v3!$C$29)/30))&lt;1,0,INDEX(Motore_Operativo!$BH$425:$BH$484,MAX(1,54-(INT((Parametri_v3!$C$29)/30)))))*(1-(MOD((Parametri_v3!$C$29),30)/30))+IF(54-(INT((Parametri_v3!$C$29)/30))-1&lt;1,0,INDEX(Motore_Operativo!$BH$425:$BH$484,MAX(1,54-(INT((Parametri_v3!$C$29)/30))-1)))*(MOD((Parametri_v3!$C$29),30)/30))*(1+Parametri_v3!$C$26)</f>
        <v>14146.9166666667</v>
      </c>
      <c r="AG478" s="15" t="n">
        <f aca="false">(AG477)+AE478-AF478</f>
        <v>14146.9166666667</v>
      </c>
      <c r="AH478" s="15" t="n">
        <f aca="false">(Motore_Operativo!CK478)*(1+Parametri_v3!$C$28*Parametri_v3!$C$26)</f>
        <v>27831.02</v>
      </c>
      <c r="AI478" s="15" t="n">
        <f aca="false">(IF(54-(INT((Ipotesi!$C$91)/30))&lt;1,0,INDEX(Motore_Advisory!$AH$425:$AH$484,MAX(1,54-(INT((Ipotesi!$C$91)/30)))))*(1-(MOD((Ipotesi!$C$91),30)/30))+IF(54-(INT((Ipotesi!$C$91)/30))-1&lt;1,0,INDEX(Motore_Advisory!$AH$425:$AH$484,MAX(1,54-(INT((Ipotesi!$C$91)/30))-1)))*(MOD((Ipotesi!$C$91),30)/30))</f>
        <v>27831.02</v>
      </c>
      <c r="AJ478" s="15" t="n">
        <f aca="false">(AJ477)+AH478-AI478</f>
        <v>55662.04</v>
      </c>
      <c r="AK478" s="15" t="n">
        <f aca="false">(F478- Motore_Operativo!BH478-(Motore_Operativo!CK478)*Parametri_v3!$C$28-Motore_Operativo!CF478)*Parametri_v3!$C$26</f>
        <v>18647.8966666667</v>
      </c>
      <c r="AL478" s="15" t="n">
        <f aca="false">MAX(0,(AM477))</f>
        <v>18647.8966666667</v>
      </c>
      <c r="AM478" s="15" t="n">
        <f aca="false">(AM477)+AK478-AL478</f>
        <v>18647.8966666667</v>
      </c>
      <c r="AN478" s="15" t="n">
        <f aca="false">SUM(X461:X472)</f>
        <v>91149.8045405</v>
      </c>
      <c r="AO478" s="15" t="n">
        <f aca="false">SUM(AP461:AP472)</f>
        <v>46679.99375</v>
      </c>
      <c r="AP478" s="15" t="n">
        <f aca="false">MAX(0,AN478)*IF(6=Parametri_v3!$C$43,Parametri_v3!$C$45,IF(6=Parametri_v3!$C$44,1-Parametri_v3!$C$45,0))</f>
        <v>36459.9218162</v>
      </c>
      <c r="AQ478" s="15" t="n">
        <f aca="false">MAX(0,AP478+IF(6=Parametri_v3!$C$43,MAX(0,AN478-AO478),0)-MAX(0,-(AR477)))</f>
        <v>80929.7326067</v>
      </c>
      <c r="AR478" s="15" t="n">
        <f aca="false">(AR477)+X478-AQ478</f>
        <v>23483.600119165</v>
      </c>
      <c r="AS478" s="15" t="n">
        <f aca="false">Motore_Operativo!AC478-AT478+AU478</f>
        <v>42145.6153144583</v>
      </c>
      <c r="AT478" s="15" t="n">
        <f aca="false">Motore_Operativo!CI478</f>
        <v>2218.19027970833</v>
      </c>
      <c r="AU478" s="15" t="n">
        <f aca="false">MIN(MAX(0,(AV477)+AT478),Parametri_v3!$C$61/12)</f>
        <v>0</v>
      </c>
      <c r="AV478" s="15" t="n">
        <f aca="false">(AV477)+AT478-AU478</f>
        <v>61585.98320325</v>
      </c>
      <c r="AW478" s="15" t="n">
        <f aca="false">IF(AND(Motore_Operativo!C478=Finanziamenti!$D$7,Finanziamenti!$F$7=1),Finanziamenti!$C$7,0)</f>
        <v>0</v>
      </c>
      <c r="AX478" s="15" t="n">
        <f aca="false">0</f>
        <v>0</v>
      </c>
      <c r="AY478" s="15" t="n">
        <f aca="false">IF(6=Parametri_v3!$C$33,IF(BV478&lt;MIN(12,$B478-1),0,MIN(MAX(0,SUM(Y461:Y472))*Ipotesi!$C$94,MAX(0,(BM472)-(BO477)-BP478),MAX(0,BD478-Parametri_v3!$C$31))),0)</f>
        <v>117776.001924194</v>
      </c>
      <c r="AZ478" s="15" t="n">
        <f aca="false">0</f>
        <v>0</v>
      </c>
      <c r="BA478" s="15" t="n">
        <f aca="false">0</f>
        <v>0</v>
      </c>
      <c r="BB478" s="15" t="n">
        <f aca="false">0</f>
        <v>0</v>
      </c>
      <c r="BC478" s="15" t="n">
        <f aca="false">0</f>
        <v>0</v>
      </c>
      <c r="BD478" s="15" t="n">
        <f aca="false">(BH477)+AC478-AF478-AI478-AS478-K478*(1+Parametri_v3!$C$26)-AL478-AQ478-O478+AW478+AX478+AZ478+BA478-BB478</f>
        <v>287056.372103321</v>
      </c>
      <c r="BE478" s="15" t="n">
        <f aca="false">0</f>
        <v>0</v>
      </c>
      <c r="BF478" s="15" t="n">
        <f aca="false">0</f>
        <v>0</v>
      </c>
      <c r="BG478" s="15" t="n">
        <f aca="false">0</f>
        <v>0</v>
      </c>
      <c r="BH478" s="15" t="n">
        <f aca="false">BD478+BE478-BF478-AY478</f>
        <v>169280.370179127</v>
      </c>
      <c r="BI478" s="15" t="n">
        <f aca="false">MAX(0,Parametri_v3!$C$31-BH478)</f>
        <v>0</v>
      </c>
      <c r="BJ478" s="15" t="n">
        <f aca="false">(BJ477)+K478</f>
        <v>25000</v>
      </c>
      <c r="BK478" s="15" t="n">
        <f aca="false">(BK477)+L478</f>
        <v>14395.8333333333</v>
      </c>
      <c r="BL478" s="15" t="n">
        <f aca="false">BJ478-BK478</f>
        <v>10604.1666666667</v>
      </c>
      <c r="BM478" s="15" t="n">
        <f aca="false">(BM477)+Y478</f>
        <v>588857.508017017</v>
      </c>
      <c r="BN478" s="15" t="n">
        <f aca="false">(BN477)+AW478+AX478+AZ478</f>
        <v>20000</v>
      </c>
      <c r="BO478" s="15" t="n">
        <f aca="false">(BO477)+AY478</f>
        <v>178091.907826972</v>
      </c>
      <c r="BP478" s="15" t="n">
        <f aca="false">MIN(Parametri_v3!$C$36*Parametri_v3!$C$35,(BP477)+IF(6=1,MAX(0,SUM(Y461:Y472))*Parametri_v3!$C$34,0))</f>
        <v>2000</v>
      </c>
      <c r="BQ478" s="15" t="n">
        <f aca="false">BN478+BM478-BO478</f>
        <v>430765.600190045</v>
      </c>
      <c r="BR478" s="15" t="n">
        <f aca="false">BH478+AD478+BL478+MAX(0,-AM478)+MAX(0,-AR478)</f>
        <v>604292.036845793</v>
      </c>
      <c r="BS478" s="15" t="n">
        <f aca="false">AJ478+AV478+MAX(0,AM478)+MAX(0,AR478)+BC478+BG478+BQ478+AG478</f>
        <v>604292.036845794</v>
      </c>
      <c r="BT478" s="15" t="n">
        <f aca="false">BR478-BS478</f>
        <v>0</v>
      </c>
      <c r="BU478" s="15" t="n">
        <f aca="false">BH478-(BD478+BE478-BF478-AY478)</f>
        <v>0</v>
      </c>
      <c r="BV478" s="15" t="n">
        <f aca="false">IF(BH477&lt;Parametri_v3!$C$31,0,BV477+1)</f>
        <v>25</v>
      </c>
    </row>
    <row r="479" customFormat="false" ht="18" hidden="false" customHeight="true" outlineLevel="0" collapsed="false">
      <c r="A479" s="68" t="n">
        <f aca="false">8</f>
        <v>8</v>
      </c>
      <c r="B479" s="68" t="n">
        <f aca="false">55</f>
        <v>55</v>
      </c>
      <c r="C479" s="18" t="n">
        <f aca="false">Motore_Operativo!C479</f>
        <v>48030</v>
      </c>
      <c r="D479" s="68" t="n">
        <f aca="false">Motore_Operativo!D479</f>
        <v>2031</v>
      </c>
      <c r="E479" s="68" t="n">
        <f aca="false">Motore_Operativo!E479</f>
        <v>7</v>
      </c>
      <c r="F479" s="15" t="n">
        <f aca="false">Motore_Operativo!AM479</f>
        <v>115958.333333333</v>
      </c>
      <c r="G479" s="15" t="n">
        <f aca="false">Motore_Operativo!BH479</f>
        <v>11595.8333333333</v>
      </c>
      <c r="H479" s="15" t="n">
        <f aca="false">Motore_Operativo!AM479</f>
        <v>115958.333333333</v>
      </c>
      <c r="I479" s="15" t="n">
        <f aca="false">Motore_Operativo!CB479</f>
        <v>79625.4722608333</v>
      </c>
      <c r="J479" s="15" t="n">
        <f aca="false">Motore_Operativo!CD479</f>
        <v>36332.8610725</v>
      </c>
      <c r="K479" s="15" t="n">
        <f aca="false">Motore_Operativo!CF479</f>
        <v>666.666666666667</v>
      </c>
      <c r="L479" s="15" t="n">
        <f aca="false">SUM(INDEX($K$425:$K$484,MAX(1,55-Parametri_v3!$C$59+1)):K479)/Parametri_v3!$C$59</f>
        <v>548.611111111111</v>
      </c>
      <c r="M479" s="15" t="n">
        <f aca="false">J479-L479</f>
        <v>35784.2499613889</v>
      </c>
      <c r="N479" s="15" t="n">
        <f aca="false">0</f>
        <v>0</v>
      </c>
      <c r="O479" s="15" t="n">
        <f aca="false">0</f>
        <v>0</v>
      </c>
      <c r="P479" s="15" t="n">
        <f aca="false">M479+N479-O479</f>
        <v>35784.2499613889</v>
      </c>
      <c r="Q479" s="15" t="n">
        <f aca="false">SUM(P473:P479)+Parametri_v3!$C$56*7/12</f>
        <v>250635.583063056</v>
      </c>
      <c r="R479" s="15" t="n">
        <f aca="false">Z472</f>
        <v>0</v>
      </c>
      <c r="S479" s="15" t="n">
        <f aca="false">AA472</f>
        <v>0</v>
      </c>
      <c r="T479" s="15" t="n">
        <f aca="false">MIN(R479,MAX(0,Q479))</f>
        <v>0</v>
      </c>
      <c r="U479" s="15" t="n">
        <f aca="false">MIN(S479,MAX(0,Q479-T479)*Parametri_v3!$C$42)</f>
        <v>0</v>
      </c>
      <c r="V479" s="15" t="n">
        <f aca="false">MAX(0,Q479-T479-U479)*Ipotesi!$C$92</f>
        <v>60152.5399351333</v>
      </c>
      <c r="W479" s="15" t="n">
        <f aca="false">MAX(0,SUM(M473:M479)+Parametri_v3!$C$57*7/12)*Ipotesi!$C$93</f>
        <v>9774.78773945917</v>
      </c>
      <c r="X479" s="15" t="n">
        <f aca="false">V479+W479-(V478+W478)</f>
        <v>9983.80573922751</v>
      </c>
      <c r="Y479" s="15" t="n">
        <f aca="false">P479-X479</f>
        <v>25800.4442221614</v>
      </c>
      <c r="Z479" s="15" t="n">
        <f aca="false">R479-T479+IF(AND(Parametri_v3!$C$40=1,D479-YEAR(Parametri_v3!$C$50)&lt;Parametri_v3!$C$41),MAX(0,-Q479),0)</f>
        <v>0</v>
      </c>
      <c r="AA479" s="15" t="n">
        <f aca="false">S479-U479+IF(AND(Parametri_v3!$C$40=1,D479-YEAR(Parametri_v3!$C$50)&lt;Parametri_v3!$C$41),0,MAX(0,-Q479))</f>
        <v>0</v>
      </c>
      <c r="AB479" s="15" t="n">
        <f aca="false">F479*(1+Parametri_v3!$C$26)</f>
        <v>141469.166666667</v>
      </c>
      <c r="AC479" s="15" t="n">
        <f aca="false">(IF(55-(INT((Motore_Operativo!L479)/30))&lt;1,0,INDEX(Motore_Advisory!$AB$425:$AB$484,MAX(1,55-(INT((Motore_Operativo!L479)/30)))))*(1-(MOD((Motore_Operativo!L479),30)/30))+IF(55-(INT((Motore_Operativo!L479)/30))-1&lt;1,0,INDEX(Motore_Advisory!$AB$425:$AB$484,MAX(1,55-(INT((Motore_Operativo!L479)/30))-1)))*(MOD((Motore_Operativo!L479),30)/30))</f>
        <v>141469.166666667</v>
      </c>
      <c r="AD479" s="15" t="n">
        <f aca="false">(AD478)+AB479-AC479</f>
        <v>424407.5</v>
      </c>
      <c r="AE479" s="15" t="n">
        <f aca="false">Motore_Operativo!BH479*(1+Parametri_v3!$C$26)</f>
        <v>14146.9166666667</v>
      </c>
      <c r="AF479" s="15" t="n">
        <f aca="false">(IF(55-(INT((Parametri_v3!$C$29)/30))&lt;1,0,INDEX(Motore_Operativo!$BH$425:$BH$484,MAX(1,55-(INT((Parametri_v3!$C$29)/30)))))*(1-(MOD((Parametri_v3!$C$29),30)/30))+IF(55-(INT((Parametri_v3!$C$29)/30))-1&lt;1,0,INDEX(Motore_Operativo!$BH$425:$BH$484,MAX(1,55-(INT((Parametri_v3!$C$29)/30))-1)))*(MOD((Parametri_v3!$C$29),30)/30))*(1+Parametri_v3!$C$26)</f>
        <v>14146.9166666667</v>
      </c>
      <c r="AG479" s="15" t="n">
        <f aca="false">(AG478)+AE479-AF479</f>
        <v>14146.9166666667</v>
      </c>
      <c r="AH479" s="15" t="n">
        <f aca="false">(Motore_Operativo!CK479)*(1+Parametri_v3!$C$28*Parametri_v3!$C$26)</f>
        <v>27831.02</v>
      </c>
      <c r="AI479" s="15" t="n">
        <f aca="false">(IF(55-(INT((Ipotesi!$C$91)/30))&lt;1,0,INDEX(Motore_Advisory!$AH$425:$AH$484,MAX(1,55-(INT((Ipotesi!$C$91)/30)))))*(1-(MOD((Ipotesi!$C$91),30)/30))+IF(55-(INT((Ipotesi!$C$91)/30))-1&lt;1,0,INDEX(Motore_Advisory!$AH$425:$AH$484,MAX(1,55-(INT((Ipotesi!$C$91)/30))-1)))*(MOD((Ipotesi!$C$91),30)/30))</f>
        <v>27831.02</v>
      </c>
      <c r="AJ479" s="15" t="n">
        <f aca="false">(AJ478)+AH479-AI479</f>
        <v>55662.04</v>
      </c>
      <c r="AK479" s="15" t="n">
        <f aca="false">(F479- Motore_Operativo!BH479-(Motore_Operativo!CK479)*Parametri_v3!$C$28-Motore_Operativo!CF479)*Parametri_v3!$C$26</f>
        <v>18647.8966666667</v>
      </c>
      <c r="AL479" s="15" t="n">
        <f aca="false">MAX(0,(AM478))</f>
        <v>18647.8966666667</v>
      </c>
      <c r="AM479" s="15" t="n">
        <f aca="false">(AM478)+AK479-AL479</f>
        <v>18647.8966666667</v>
      </c>
      <c r="AN479" s="15" t="n">
        <f aca="false">SUM(X461:X472)</f>
        <v>91149.8045405</v>
      </c>
      <c r="AO479" s="15" t="n">
        <f aca="false">SUM(AP461:AP472)</f>
        <v>46679.99375</v>
      </c>
      <c r="AP479" s="15" t="n">
        <f aca="false">MAX(0,AN479)*IF(7=Parametri_v3!$C$43,Parametri_v3!$C$45,IF(7=Parametri_v3!$C$44,1-Parametri_v3!$C$45,0))</f>
        <v>0</v>
      </c>
      <c r="AQ479" s="15" t="n">
        <f aca="false">MAX(0,AP479+IF(7=Parametri_v3!$C$43,MAX(0,AN479-AO479),0)-MAX(0,-(AR478)))</f>
        <v>0</v>
      </c>
      <c r="AR479" s="15" t="n">
        <f aca="false">(AR478)+X479-AQ479</f>
        <v>33467.4058583925</v>
      </c>
      <c r="AS479" s="15" t="n">
        <f aca="false">Motore_Operativo!AC479-AT479+AU479</f>
        <v>42145.6153144583</v>
      </c>
      <c r="AT479" s="15" t="n">
        <f aca="false">Motore_Operativo!CI479</f>
        <v>2218.19027970833</v>
      </c>
      <c r="AU479" s="15" t="n">
        <f aca="false">MIN(MAX(0,(AV478)+AT479),Parametri_v3!$C$61/12)</f>
        <v>0</v>
      </c>
      <c r="AV479" s="15" t="n">
        <f aca="false">(AV478)+AT479-AU479</f>
        <v>63804.1734829583</v>
      </c>
      <c r="AW479" s="15" t="n">
        <f aca="false">IF(AND(Motore_Operativo!C479=Finanziamenti!$D$7,Finanziamenti!$F$7=1),Finanziamenti!$C$7,0)</f>
        <v>0</v>
      </c>
      <c r="AX479" s="15" t="n">
        <f aca="false">0</f>
        <v>0</v>
      </c>
      <c r="AY479" s="15" t="n">
        <f aca="false">IF(7=Parametri_v3!$C$33,IF(BV479&lt;MIN(12,$B479-1),0,MIN(MAX(0,SUM(Y461:Y472))*Ipotesi!$C$94,MAX(0,(BM472)-(BO478)-BP479),MAX(0,BD479-Parametri_v3!$C$31))),0)</f>
        <v>0</v>
      </c>
      <c r="AZ479" s="15" t="n">
        <f aca="false">0</f>
        <v>0</v>
      </c>
      <c r="BA479" s="15" t="n">
        <f aca="false">0</f>
        <v>0</v>
      </c>
      <c r="BB479" s="15" t="n">
        <f aca="false">0</f>
        <v>0</v>
      </c>
      <c r="BC479" s="15" t="n">
        <f aca="false">0</f>
        <v>0</v>
      </c>
      <c r="BD479" s="15" t="n">
        <f aca="false">(BH478)+AC479-AF479-AI479-AS479-K479*(1+Parametri_v3!$C$26)-AL479-AQ479-O479+AW479+AX479+AZ479+BA479-BB479</f>
        <v>207164.754864668</v>
      </c>
      <c r="BE479" s="15" t="n">
        <f aca="false">0</f>
        <v>0</v>
      </c>
      <c r="BF479" s="15" t="n">
        <f aca="false">0</f>
        <v>0</v>
      </c>
      <c r="BG479" s="15" t="n">
        <f aca="false">0</f>
        <v>0</v>
      </c>
      <c r="BH479" s="15" t="n">
        <f aca="false">BD479+BE479-BF479-AY479</f>
        <v>207164.754864668</v>
      </c>
      <c r="BI479" s="15" t="n">
        <f aca="false">MAX(0,Parametri_v3!$C$31-BH479)</f>
        <v>0</v>
      </c>
      <c r="BJ479" s="15" t="n">
        <f aca="false">(BJ478)+K479</f>
        <v>25666.6666666667</v>
      </c>
      <c r="BK479" s="15" t="n">
        <f aca="false">(BK478)+L479</f>
        <v>14944.4444444444</v>
      </c>
      <c r="BL479" s="15" t="n">
        <f aca="false">BJ479-BK479</f>
        <v>10722.2222222222</v>
      </c>
      <c r="BM479" s="15" t="n">
        <f aca="false">(BM478)+Y479</f>
        <v>614657.952239179</v>
      </c>
      <c r="BN479" s="15" t="n">
        <f aca="false">(BN478)+AW479+AX479+AZ479</f>
        <v>20000</v>
      </c>
      <c r="BO479" s="15" t="n">
        <f aca="false">(BO478)+AY479</f>
        <v>178091.907826972</v>
      </c>
      <c r="BP479" s="15" t="n">
        <f aca="false">MIN(Parametri_v3!$C$36*Parametri_v3!$C$35,(BP478)+IF(7=1,MAX(0,SUM(Y461:Y472))*Parametri_v3!$C$34,0))</f>
        <v>2000</v>
      </c>
      <c r="BQ479" s="15" t="n">
        <f aca="false">BN479+BM479-BO479</f>
        <v>456566.044412207</v>
      </c>
      <c r="BR479" s="15" t="n">
        <f aca="false">BH479+AD479+BL479+MAX(0,-AM479)+MAX(0,-AR479)</f>
        <v>642294.477086891</v>
      </c>
      <c r="BS479" s="15" t="n">
        <f aca="false">AJ479+AV479+MAX(0,AM479)+MAX(0,AR479)+BC479+BG479+BQ479+AG479</f>
        <v>642294.477086891</v>
      </c>
      <c r="BT479" s="15" t="n">
        <f aca="false">BR479-BS479</f>
        <v>0</v>
      </c>
      <c r="BU479" s="15" t="n">
        <f aca="false">BH479-(BD479+BE479-BF479-AY479)</f>
        <v>0</v>
      </c>
      <c r="BV479" s="15" t="n">
        <f aca="false">IF(BH478&lt;Parametri_v3!$C$31,0,BV478+1)</f>
        <v>26</v>
      </c>
    </row>
    <row r="480" customFormat="false" ht="18" hidden="false" customHeight="true" outlineLevel="0" collapsed="false">
      <c r="A480" s="68" t="n">
        <f aca="false">8</f>
        <v>8</v>
      </c>
      <c r="B480" s="68" t="n">
        <f aca="false">56</f>
        <v>56</v>
      </c>
      <c r="C480" s="18" t="n">
        <f aca="false">Motore_Operativo!C480</f>
        <v>48061</v>
      </c>
      <c r="D480" s="68" t="n">
        <f aca="false">Motore_Operativo!D480</f>
        <v>2031</v>
      </c>
      <c r="E480" s="68" t="n">
        <f aca="false">Motore_Operativo!E480</f>
        <v>8</v>
      </c>
      <c r="F480" s="15" t="n">
        <f aca="false">Motore_Operativo!AM480</f>
        <v>115958.333333333</v>
      </c>
      <c r="G480" s="15" t="n">
        <f aca="false">Motore_Operativo!BH480</f>
        <v>11595.8333333333</v>
      </c>
      <c r="H480" s="15" t="n">
        <f aca="false">Motore_Operativo!AM480</f>
        <v>115958.333333333</v>
      </c>
      <c r="I480" s="15" t="n">
        <f aca="false">Motore_Operativo!CB480</f>
        <v>79625.4722608333</v>
      </c>
      <c r="J480" s="15" t="n">
        <f aca="false">Motore_Operativo!CD480</f>
        <v>36332.8610725</v>
      </c>
      <c r="K480" s="15" t="n">
        <f aca="false">Motore_Operativo!CF480</f>
        <v>666.666666666667</v>
      </c>
      <c r="L480" s="15" t="n">
        <f aca="false">SUM(INDEX($K$425:$K$484,MAX(1,56-Parametri_v3!$C$59+1)):K480)/Parametri_v3!$C$59</f>
        <v>555.555555555556</v>
      </c>
      <c r="M480" s="15" t="n">
        <f aca="false">J480-L480</f>
        <v>35777.3055169445</v>
      </c>
      <c r="N480" s="15" t="n">
        <f aca="false">0</f>
        <v>0</v>
      </c>
      <c r="O480" s="15" t="n">
        <f aca="false">0</f>
        <v>0</v>
      </c>
      <c r="P480" s="15" t="n">
        <f aca="false">M480+N480-O480</f>
        <v>35777.3055169445</v>
      </c>
      <c r="Q480" s="15" t="n">
        <f aca="false">SUM(P473:P480)+Parametri_v3!$C$56*8/12</f>
        <v>286412.88858</v>
      </c>
      <c r="R480" s="15" t="n">
        <f aca="false">Z472</f>
        <v>0</v>
      </c>
      <c r="S480" s="15" t="n">
        <f aca="false">AA472</f>
        <v>0</v>
      </c>
      <c r="T480" s="15" t="n">
        <f aca="false">MIN(R480,MAX(0,Q480))</f>
        <v>0</v>
      </c>
      <c r="U480" s="15" t="n">
        <f aca="false">MIN(S480,MAX(0,Q480-T480)*Parametri_v3!$C$42)</f>
        <v>0</v>
      </c>
      <c r="V480" s="15" t="n">
        <f aca="false">MAX(0,Q480-T480-U480)*Ipotesi!$C$92</f>
        <v>68739.0932592</v>
      </c>
      <c r="W480" s="15" t="n">
        <f aca="false">MAX(0,SUM(M473:M480)+Parametri_v3!$C$57*8/12)*Ipotesi!$C$93</f>
        <v>11170.10265462</v>
      </c>
      <c r="X480" s="15" t="n">
        <f aca="false">V480+W480-(V479+W479)</f>
        <v>9981.86823922749</v>
      </c>
      <c r="Y480" s="15" t="n">
        <f aca="false">P480-X480</f>
        <v>25795.437277717</v>
      </c>
      <c r="Z480" s="15" t="n">
        <f aca="false">R480-T480+IF(AND(Parametri_v3!$C$40=1,D480-YEAR(Parametri_v3!$C$50)&lt;Parametri_v3!$C$41),MAX(0,-Q480),0)</f>
        <v>0</v>
      </c>
      <c r="AA480" s="15" t="n">
        <f aca="false">S480-U480+IF(AND(Parametri_v3!$C$40=1,D480-YEAR(Parametri_v3!$C$50)&lt;Parametri_v3!$C$41),0,MAX(0,-Q480))</f>
        <v>0</v>
      </c>
      <c r="AB480" s="15" t="n">
        <f aca="false">F480*(1+Parametri_v3!$C$26)</f>
        <v>141469.166666667</v>
      </c>
      <c r="AC480" s="15" t="n">
        <f aca="false">(IF(56-(INT((Motore_Operativo!L480)/30))&lt;1,0,INDEX(Motore_Advisory!$AB$425:$AB$484,MAX(1,56-(INT((Motore_Operativo!L480)/30)))))*(1-(MOD((Motore_Operativo!L480),30)/30))+IF(56-(INT((Motore_Operativo!L480)/30))-1&lt;1,0,INDEX(Motore_Advisory!$AB$425:$AB$484,MAX(1,56-(INT((Motore_Operativo!L480)/30))-1)))*(MOD((Motore_Operativo!L480),30)/30))</f>
        <v>141469.166666667</v>
      </c>
      <c r="AD480" s="15" t="n">
        <f aca="false">(AD479)+AB480-AC480</f>
        <v>424407.5</v>
      </c>
      <c r="AE480" s="15" t="n">
        <f aca="false">Motore_Operativo!BH480*(1+Parametri_v3!$C$26)</f>
        <v>14146.9166666667</v>
      </c>
      <c r="AF480" s="15" t="n">
        <f aca="false">(IF(56-(INT((Parametri_v3!$C$29)/30))&lt;1,0,INDEX(Motore_Operativo!$BH$425:$BH$484,MAX(1,56-(INT((Parametri_v3!$C$29)/30)))))*(1-(MOD((Parametri_v3!$C$29),30)/30))+IF(56-(INT((Parametri_v3!$C$29)/30))-1&lt;1,0,INDEX(Motore_Operativo!$BH$425:$BH$484,MAX(1,56-(INT((Parametri_v3!$C$29)/30))-1)))*(MOD((Parametri_v3!$C$29),30)/30))*(1+Parametri_v3!$C$26)</f>
        <v>14146.9166666667</v>
      </c>
      <c r="AG480" s="15" t="n">
        <f aca="false">(AG479)+AE480-AF480</f>
        <v>14146.9166666667</v>
      </c>
      <c r="AH480" s="15" t="n">
        <f aca="false">(Motore_Operativo!CK480)*(1+Parametri_v3!$C$28*Parametri_v3!$C$26)</f>
        <v>27831.02</v>
      </c>
      <c r="AI480" s="15" t="n">
        <f aca="false">(IF(56-(INT((Ipotesi!$C$91)/30))&lt;1,0,INDEX(Motore_Advisory!$AH$425:$AH$484,MAX(1,56-(INT((Ipotesi!$C$91)/30)))))*(1-(MOD((Ipotesi!$C$91),30)/30))+IF(56-(INT((Ipotesi!$C$91)/30))-1&lt;1,0,INDEX(Motore_Advisory!$AH$425:$AH$484,MAX(1,56-(INT((Ipotesi!$C$91)/30))-1)))*(MOD((Ipotesi!$C$91),30)/30))</f>
        <v>27831.02</v>
      </c>
      <c r="AJ480" s="15" t="n">
        <f aca="false">(AJ479)+AH480-AI480</f>
        <v>55662.04</v>
      </c>
      <c r="AK480" s="15" t="n">
        <f aca="false">(F480- Motore_Operativo!BH480-(Motore_Operativo!CK480)*Parametri_v3!$C$28-Motore_Operativo!CF480)*Parametri_v3!$C$26</f>
        <v>18647.8966666667</v>
      </c>
      <c r="AL480" s="15" t="n">
        <f aca="false">MAX(0,(AM479))</f>
        <v>18647.8966666667</v>
      </c>
      <c r="AM480" s="15" t="n">
        <f aca="false">(AM479)+AK480-AL480</f>
        <v>18647.8966666667</v>
      </c>
      <c r="AN480" s="15" t="n">
        <f aca="false">SUM(X461:X472)</f>
        <v>91149.8045405</v>
      </c>
      <c r="AO480" s="15" t="n">
        <f aca="false">SUM(AP461:AP472)</f>
        <v>46679.99375</v>
      </c>
      <c r="AP480" s="15" t="n">
        <f aca="false">MAX(0,AN480)*IF(8=Parametri_v3!$C$43,Parametri_v3!$C$45,IF(8=Parametri_v3!$C$44,1-Parametri_v3!$C$45,0))</f>
        <v>0</v>
      </c>
      <c r="AQ480" s="15" t="n">
        <f aca="false">MAX(0,AP480+IF(8=Parametri_v3!$C$43,MAX(0,AN480-AO480),0)-MAX(0,-(AR479)))</f>
        <v>0</v>
      </c>
      <c r="AR480" s="15" t="n">
        <f aca="false">(AR479)+X480-AQ480</f>
        <v>43449.27409762</v>
      </c>
      <c r="AS480" s="15" t="n">
        <f aca="false">Motore_Operativo!AC480-AT480+AU480</f>
        <v>42145.6153144583</v>
      </c>
      <c r="AT480" s="15" t="n">
        <f aca="false">Motore_Operativo!CI480</f>
        <v>2218.19027970833</v>
      </c>
      <c r="AU480" s="15" t="n">
        <f aca="false">MIN(MAX(0,(AV479)+AT480),Parametri_v3!$C$61/12)</f>
        <v>0</v>
      </c>
      <c r="AV480" s="15" t="n">
        <f aca="false">(AV479)+AT480-AU480</f>
        <v>66022.3637626667</v>
      </c>
      <c r="AW480" s="15" t="n">
        <f aca="false">IF(AND(Motore_Operativo!C480=Finanziamenti!$D$7,Finanziamenti!$F$7=1),Finanziamenti!$C$7,0)</f>
        <v>0</v>
      </c>
      <c r="AX480" s="15" t="n">
        <f aca="false">0</f>
        <v>0</v>
      </c>
      <c r="AY480" s="15" t="n">
        <f aca="false">IF(8=Parametri_v3!$C$33,IF(BV480&lt;MIN(12,$B480-1),0,MIN(MAX(0,SUM(Y461:Y472))*Ipotesi!$C$94,MAX(0,(BM472)-(BO479)-BP480),MAX(0,BD480-Parametri_v3!$C$31))),0)</f>
        <v>0</v>
      </c>
      <c r="AZ480" s="15" t="n">
        <f aca="false">0</f>
        <v>0</v>
      </c>
      <c r="BA480" s="15" t="n">
        <f aca="false">0</f>
        <v>0</v>
      </c>
      <c r="BB480" s="15" t="n">
        <f aca="false">0</f>
        <v>0</v>
      </c>
      <c r="BC480" s="15" t="n">
        <f aca="false">0</f>
        <v>0</v>
      </c>
      <c r="BD480" s="15" t="n">
        <f aca="false">(BH479)+AC480-AF480-AI480-AS480-K480*(1+Parametri_v3!$C$26)-AL480-AQ480-O480+AW480+AX480+AZ480+BA480-BB480</f>
        <v>245049.13955021</v>
      </c>
      <c r="BE480" s="15" t="n">
        <f aca="false">0</f>
        <v>0</v>
      </c>
      <c r="BF480" s="15" t="n">
        <f aca="false">0</f>
        <v>0</v>
      </c>
      <c r="BG480" s="15" t="n">
        <f aca="false">0</f>
        <v>0</v>
      </c>
      <c r="BH480" s="15" t="n">
        <f aca="false">BD480+BE480-BF480-AY480</f>
        <v>245049.13955021</v>
      </c>
      <c r="BI480" s="15" t="n">
        <f aca="false">MAX(0,Parametri_v3!$C$31-BH480)</f>
        <v>0</v>
      </c>
      <c r="BJ480" s="15" t="n">
        <f aca="false">(BJ479)+K480</f>
        <v>26333.3333333333</v>
      </c>
      <c r="BK480" s="15" t="n">
        <f aca="false">(BK479)+L480</f>
        <v>15500</v>
      </c>
      <c r="BL480" s="15" t="n">
        <f aca="false">BJ480-BK480</f>
        <v>10833.3333333333</v>
      </c>
      <c r="BM480" s="15" t="n">
        <f aca="false">(BM479)+Y480</f>
        <v>640453.389516896</v>
      </c>
      <c r="BN480" s="15" t="n">
        <f aca="false">(BN479)+AW480+AX480+AZ480</f>
        <v>20000</v>
      </c>
      <c r="BO480" s="15" t="n">
        <f aca="false">(BO479)+AY480</f>
        <v>178091.907826972</v>
      </c>
      <c r="BP480" s="15" t="n">
        <f aca="false">MIN(Parametri_v3!$C$36*Parametri_v3!$C$35,(BP479)+IF(8=1,MAX(0,SUM(Y461:Y472))*Parametri_v3!$C$34,0))</f>
        <v>2000</v>
      </c>
      <c r="BQ480" s="15" t="n">
        <f aca="false">BN480+BM480-BO480</f>
        <v>482361.481689924</v>
      </c>
      <c r="BR480" s="15" t="n">
        <f aca="false">BH480+AD480+BL480+MAX(0,-AM480)+MAX(0,-AR480)</f>
        <v>680289.972883544</v>
      </c>
      <c r="BS480" s="15" t="n">
        <f aca="false">AJ480+AV480+MAX(0,AM480)+MAX(0,AR480)+BC480+BG480+BQ480+AG480</f>
        <v>680289.972883544</v>
      </c>
      <c r="BT480" s="15" t="n">
        <f aca="false">BR480-BS480</f>
        <v>0</v>
      </c>
      <c r="BU480" s="15" t="n">
        <f aca="false">BH480-(BD480+BE480-BF480-AY480)</f>
        <v>0</v>
      </c>
      <c r="BV480" s="15" t="n">
        <f aca="false">IF(BH479&lt;Parametri_v3!$C$31,0,BV479+1)</f>
        <v>27</v>
      </c>
    </row>
    <row r="481" customFormat="false" ht="18" hidden="false" customHeight="true" outlineLevel="0" collapsed="false">
      <c r="A481" s="68" t="n">
        <f aca="false">8</f>
        <v>8</v>
      </c>
      <c r="B481" s="68" t="n">
        <f aca="false">57</f>
        <v>57</v>
      </c>
      <c r="C481" s="18" t="n">
        <f aca="false">Motore_Operativo!C481</f>
        <v>48092</v>
      </c>
      <c r="D481" s="68" t="n">
        <f aca="false">Motore_Operativo!D481</f>
        <v>2031</v>
      </c>
      <c r="E481" s="68" t="n">
        <f aca="false">Motore_Operativo!E481</f>
        <v>9</v>
      </c>
      <c r="F481" s="15" t="n">
        <f aca="false">Motore_Operativo!AM481</f>
        <v>115958.333333333</v>
      </c>
      <c r="G481" s="15" t="n">
        <f aca="false">Motore_Operativo!BH481</f>
        <v>11595.8333333333</v>
      </c>
      <c r="H481" s="15" t="n">
        <f aca="false">Motore_Operativo!AM481</f>
        <v>115958.333333333</v>
      </c>
      <c r="I481" s="15" t="n">
        <f aca="false">Motore_Operativo!CB481</f>
        <v>79625.4722608333</v>
      </c>
      <c r="J481" s="15" t="n">
        <f aca="false">Motore_Operativo!CD481</f>
        <v>36332.8610725</v>
      </c>
      <c r="K481" s="15" t="n">
        <f aca="false">Motore_Operativo!CF481</f>
        <v>666.666666666667</v>
      </c>
      <c r="L481" s="15" t="n">
        <f aca="false">SUM(INDEX($K$425:$K$484,MAX(1,57-Parametri_v3!$C$59+1)):K481)/Parametri_v3!$C$59</f>
        <v>562.5</v>
      </c>
      <c r="M481" s="15" t="n">
        <f aca="false">J481-L481</f>
        <v>35770.3610725</v>
      </c>
      <c r="N481" s="15" t="n">
        <f aca="false">0</f>
        <v>0</v>
      </c>
      <c r="O481" s="15" t="n">
        <f aca="false">0</f>
        <v>0</v>
      </c>
      <c r="P481" s="15" t="n">
        <f aca="false">M481+N481-O481</f>
        <v>35770.3610725</v>
      </c>
      <c r="Q481" s="15" t="n">
        <f aca="false">SUM(P473:P481)+Parametri_v3!$C$56*9/12</f>
        <v>322183.2496525</v>
      </c>
      <c r="R481" s="15" t="n">
        <f aca="false">Z472</f>
        <v>0</v>
      </c>
      <c r="S481" s="15" t="n">
        <f aca="false">AA472</f>
        <v>0</v>
      </c>
      <c r="T481" s="15" t="n">
        <f aca="false">MIN(R481,MAX(0,Q481))</f>
        <v>0</v>
      </c>
      <c r="U481" s="15" t="n">
        <f aca="false">MIN(S481,MAX(0,Q481-T481)*Parametri_v3!$C$42)</f>
        <v>0</v>
      </c>
      <c r="V481" s="15" t="n">
        <f aca="false">MAX(0,Q481-T481-U481)*Ipotesi!$C$92</f>
        <v>77323.9799166</v>
      </c>
      <c r="W481" s="15" t="n">
        <f aca="false">MAX(0,SUM(M473:M481)+Parametri_v3!$C$57*9/12)*Ipotesi!$C$93</f>
        <v>12565.1467364475</v>
      </c>
      <c r="X481" s="15" t="n">
        <f aca="false">V481+W481-(V480+W480)</f>
        <v>9979.93073922749</v>
      </c>
      <c r="Y481" s="15" t="n">
        <f aca="false">P481-X481</f>
        <v>25790.4303332725</v>
      </c>
      <c r="Z481" s="15" t="n">
        <f aca="false">R481-T481+IF(AND(Parametri_v3!$C$40=1,D481-YEAR(Parametri_v3!$C$50)&lt;Parametri_v3!$C$41),MAX(0,-Q481),0)</f>
        <v>0</v>
      </c>
      <c r="AA481" s="15" t="n">
        <f aca="false">S481-U481+IF(AND(Parametri_v3!$C$40=1,D481-YEAR(Parametri_v3!$C$50)&lt;Parametri_v3!$C$41),0,MAX(0,-Q481))</f>
        <v>0</v>
      </c>
      <c r="AB481" s="15" t="n">
        <f aca="false">F481*(1+Parametri_v3!$C$26)</f>
        <v>141469.166666667</v>
      </c>
      <c r="AC481" s="15" t="n">
        <f aca="false">(IF(57-(INT((Motore_Operativo!L481)/30))&lt;1,0,INDEX(Motore_Advisory!$AB$425:$AB$484,MAX(1,57-(INT((Motore_Operativo!L481)/30)))))*(1-(MOD((Motore_Operativo!L481),30)/30))+IF(57-(INT((Motore_Operativo!L481)/30))-1&lt;1,0,INDEX(Motore_Advisory!$AB$425:$AB$484,MAX(1,57-(INT((Motore_Operativo!L481)/30))-1)))*(MOD((Motore_Operativo!L481),30)/30))</f>
        <v>141469.166666667</v>
      </c>
      <c r="AD481" s="15" t="n">
        <f aca="false">(AD480)+AB481-AC481</f>
        <v>424407.5</v>
      </c>
      <c r="AE481" s="15" t="n">
        <f aca="false">Motore_Operativo!BH481*(1+Parametri_v3!$C$26)</f>
        <v>14146.9166666667</v>
      </c>
      <c r="AF481" s="15" t="n">
        <f aca="false">(IF(57-(INT((Parametri_v3!$C$29)/30))&lt;1,0,INDEX(Motore_Operativo!$BH$425:$BH$484,MAX(1,57-(INT((Parametri_v3!$C$29)/30)))))*(1-(MOD((Parametri_v3!$C$29),30)/30))+IF(57-(INT((Parametri_v3!$C$29)/30))-1&lt;1,0,INDEX(Motore_Operativo!$BH$425:$BH$484,MAX(1,57-(INT((Parametri_v3!$C$29)/30))-1)))*(MOD((Parametri_v3!$C$29),30)/30))*(1+Parametri_v3!$C$26)</f>
        <v>14146.9166666667</v>
      </c>
      <c r="AG481" s="15" t="n">
        <f aca="false">(AG480)+AE481-AF481</f>
        <v>14146.9166666667</v>
      </c>
      <c r="AH481" s="15" t="n">
        <f aca="false">(Motore_Operativo!CK481)*(1+Parametri_v3!$C$28*Parametri_v3!$C$26)</f>
        <v>27831.02</v>
      </c>
      <c r="AI481" s="15" t="n">
        <f aca="false">(IF(57-(INT((Ipotesi!$C$91)/30))&lt;1,0,INDEX(Motore_Advisory!$AH$425:$AH$484,MAX(1,57-(INT((Ipotesi!$C$91)/30)))))*(1-(MOD((Ipotesi!$C$91),30)/30))+IF(57-(INT((Ipotesi!$C$91)/30))-1&lt;1,0,INDEX(Motore_Advisory!$AH$425:$AH$484,MAX(1,57-(INT((Ipotesi!$C$91)/30))-1)))*(MOD((Ipotesi!$C$91),30)/30))</f>
        <v>27831.02</v>
      </c>
      <c r="AJ481" s="15" t="n">
        <f aca="false">(AJ480)+AH481-AI481</f>
        <v>55662.04</v>
      </c>
      <c r="AK481" s="15" t="n">
        <f aca="false">(F481- Motore_Operativo!BH481-(Motore_Operativo!CK481)*Parametri_v3!$C$28-Motore_Operativo!CF481)*Parametri_v3!$C$26</f>
        <v>18647.8966666667</v>
      </c>
      <c r="AL481" s="15" t="n">
        <f aca="false">MAX(0,(AM480))</f>
        <v>18647.8966666667</v>
      </c>
      <c r="AM481" s="15" t="n">
        <f aca="false">(AM480)+AK481-AL481</f>
        <v>18647.8966666667</v>
      </c>
      <c r="AN481" s="15" t="n">
        <f aca="false">SUM(X461:X472)</f>
        <v>91149.8045405</v>
      </c>
      <c r="AO481" s="15" t="n">
        <f aca="false">SUM(AP461:AP472)</f>
        <v>46679.99375</v>
      </c>
      <c r="AP481" s="15" t="n">
        <f aca="false">MAX(0,AN481)*IF(9=Parametri_v3!$C$43,Parametri_v3!$C$45,IF(9=Parametri_v3!$C$44,1-Parametri_v3!$C$45,0))</f>
        <v>0</v>
      </c>
      <c r="AQ481" s="15" t="n">
        <f aca="false">MAX(0,AP481+IF(9=Parametri_v3!$C$43,MAX(0,AN481-AO481),0)-MAX(0,-(AR480)))</f>
        <v>0</v>
      </c>
      <c r="AR481" s="15" t="n">
        <f aca="false">(AR480)+X481-AQ481</f>
        <v>53429.2048368475</v>
      </c>
      <c r="AS481" s="15" t="n">
        <f aca="false">Motore_Operativo!AC481-AT481+AU481</f>
        <v>42145.6153144583</v>
      </c>
      <c r="AT481" s="15" t="n">
        <f aca="false">Motore_Operativo!CI481</f>
        <v>2218.19027970833</v>
      </c>
      <c r="AU481" s="15" t="n">
        <f aca="false">MIN(MAX(0,(AV480)+AT481),Parametri_v3!$C$61/12)</f>
        <v>0</v>
      </c>
      <c r="AV481" s="15" t="n">
        <f aca="false">(AV480)+AT481-AU481</f>
        <v>68240.554042375</v>
      </c>
      <c r="AW481" s="15" t="n">
        <f aca="false">IF(AND(Motore_Operativo!C481=Finanziamenti!$D$7,Finanziamenti!$F$7=1),Finanziamenti!$C$7,0)</f>
        <v>0</v>
      </c>
      <c r="AX481" s="15" t="n">
        <f aca="false">0</f>
        <v>0</v>
      </c>
      <c r="AY481" s="15" t="n">
        <f aca="false">IF(9=Parametri_v3!$C$33,IF(BV481&lt;MIN(12,$B481-1),0,MIN(MAX(0,SUM(Y461:Y472))*Ipotesi!$C$94,MAX(0,(BM472)-(BO480)-BP481),MAX(0,BD481-Parametri_v3!$C$31))),0)</f>
        <v>0</v>
      </c>
      <c r="AZ481" s="15" t="n">
        <f aca="false">0</f>
        <v>0</v>
      </c>
      <c r="BA481" s="15" t="n">
        <f aca="false">0</f>
        <v>0</v>
      </c>
      <c r="BB481" s="15" t="n">
        <f aca="false">0</f>
        <v>0</v>
      </c>
      <c r="BC481" s="15" t="n">
        <f aca="false">0</f>
        <v>0</v>
      </c>
      <c r="BD481" s="15" t="n">
        <f aca="false">(BH480)+AC481-AF481-AI481-AS481-K481*(1+Parametri_v3!$C$26)-AL481-AQ481-O481+AW481+AX481+AZ481+BA481-BB481</f>
        <v>282933.524235752</v>
      </c>
      <c r="BE481" s="15" t="n">
        <f aca="false">0</f>
        <v>0</v>
      </c>
      <c r="BF481" s="15" t="n">
        <f aca="false">0</f>
        <v>0</v>
      </c>
      <c r="BG481" s="15" t="n">
        <f aca="false">0</f>
        <v>0</v>
      </c>
      <c r="BH481" s="15" t="n">
        <f aca="false">BD481+BE481-BF481-AY481</f>
        <v>282933.524235752</v>
      </c>
      <c r="BI481" s="15" t="n">
        <f aca="false">MAX(0,Parametri_v3!$C$31-BH481)</f>
        <v>0</v>
      </c>
      <c r="BJ481" s="15" t="n">
        <f aca="false">(BJ480)+K481</f>
        <v>27000</v>
      </c>
      <c r="BK481" s="15" t="n">
        <f aca="false">(BK480)+L481</f>
        <v>16062.5</v>
      </c>
      <c r="BL481" s="15" t="n">
        <f aca="false">BJ481-BK481</f>
        <v>10937.5</v>
      </c>
      <c r="BM481" s="15" t="n">
        <f aca="false">(BM480)+Y481</f>
        <v>666243.819850168</v>
      </c>
      <c r="BN481" s="15" t="n">
        <f aca="false">(BN480)+AW481+AX481+AZ481</f>
        <v>20000</v>
      </c>
      <c r="BO481" s="15" t="n">
        <f aca="false">(BO480)+AY481</f>
        <v>178091.907826972</v>
      </c>
      <c r="BP481" s="15" t="n">
        <f aca="false">MIN(Parametri_v3!$C$36*Parametri_v3!$C$35,(BP480)+IF(9=1,MAX(0,SUM(Y461:Y472))*Parametri_v3!$C$34,0))</f>
        <v>2000</v>
      </c>
      <c r="BQ481" s="15" t="n">
        <f aca="false">BN481+BM481-BO481</f>
        <v>508151.912023196</v>
      </c>
      <c r="BR481" s="15" t="n">
        <f aca="false">BH481+AD481+BL481+MAX(0,-AM481)+MAX(0,-AR481)</f>
        <v>718278.524235752</v>
      </c>
      <c r="BS481" s="15" t="n">
        <f aca="false">AJ481+AV481+MAX(0,AM481)+MAX(0,AR481)+BC481+BG481+BQ481+AG481</f>
        <v>718278.524235752</v>
      </c>
      <c r="BT481" s="15" t="n">
        <f aca="false">BR481-BS481</f>
        <v>0</v>
      </c>
      <c r="BU481" s="15" t="n">
        <f aca="false">BH481-(BD481+BE481-BF481-AY481)</f>
        <v>0</v>
      </c>
      <c r="BV481" s="15" t="n">
        <f aca="false">IF(BH480&lt;Parametri_v3!$C$31,0,BV480+1)</f>
        <v>28</v>
      </c>
    </row>
    <row r="482" customFormat="false" ht="18" hidden="false" customHeight="true" outlineLevel="0" collapsed="false">
      <c r="A482" s="68" t="n">
        <f aca="false">8</f>
        <v>8</v>
      </c>
      <c r="B482" s="68" t="n">
        <f aca="false">58</f>
        <v>58</v>
      </c>
      <c r="C482" s="18" t="n">
        <f aca="false">Motore_Operativo!C482</f>
        <v>48122</v>
      </c>
      <c r="D482" s="68" t="n">
        <f aca="false">Motore_Operativo!D482</f>
        <v>2031</v>
      </c>
      <c r="E482" s="68" t="n">
        <f aca="false">Motore_Operativo!E482</f>
        <v>10</v>
      </c>
      <c r="F482" s="15" t="n">
        <f aca="false">Motore_Operativo!AM482</f>
        <v>115958.333333333</v>
      </c>
      <c r="G482" s="15" t="n">
        <f aca="false">Motore_Operativo!BH482</f>
        <v>11595.8333333333</v>
      </c>
      <c r="H482" s="15" t="n">
        <f aca="false">Motore_Operativo!AM482</f>
        <v>115958.333333333</v>
      </c>
      <c r="I482" s="15" t="n">
        <f aca="false">Motore_Operativo!CB482</f>
        <v>79625.4722608333</v>
      </c>
      <c r="J482" s="15" t="n">
        <f aca="false">Motore_Operativo!CD482</f>
        <v>36332.8610725</v>
      </c>
      <c r="K482" s="15" t="n">
        <f aca="false">Motore_Operativo!CF482</f>
        <v>666.666666666667</v>
      </c>
      <c r="L482" s="15" t="n">
        <f aca="false">SUM(INDEX($K$425:$K$484,MAX(1,58-Parametri_v3!$C$59+1)):K482)/Parametri_v3!$C$59</f>
        <v>569.444444444445</v>
      </c>
      <c r="M482" s="15" t="n">
        <f aca="false">J482-L482</f>
        <v>35763.4166280556</v>
      </c>
      <c r="N482" s="15" t="n">
        <f aca="false">0</f>
        <v>0</v>
      </c>
      <c r="O482" s="15" t="n">
        <f aca="false">0</f>
        <v>0</v>
      </c>
      <c r="P482" s="15" t="n">
        <f aca="false">M482+N482-O482</f>
        <v>35763.4166280556</v>
      </c>
      <c r="Q482" s="15" t="n">
        <f aca="false">SUM(P473:P482)+Parametri_v3!$C$56*10/12</f>
        <v>357946.666280556</v>
      </c>
      <c r="R482" s="15" t="n">
        <f aca="false">Z472</f>
        <v>0</v>
      </c>
      <c r="S482" s="15" t="n">
        <f aca="false">AA472</f>
        <v>0</v>
      </c>
      <c r="T482" s="15" t="n">
        <f aca="false">MIN(R482,MAX(0,Q482))</f>
        <v>0</v>
      </c>
      <c r="U482" s="15" t="n">
        <f aca="false">MIN(S482,MAX(0,Q482-T482)*Parametri_v3!$C$42)</f>
        <v>0</v>
      </c>
      <c r="V482" s="15" t="n">
        <f aca="false">MAX(0,Q482-T482-U482)*Ipotesi!$C$92</f>
        <v>85907.1999073333</v>
      </c>
      <c r="W482" s="15" t="n">
        <f aca="false">MAX(0,SUM(M473:M482)+Parametri_v3!$C$57*10/12)*Ipotesi!$C$93</f>
        <v>13959.9199849417</v>
      </c>
      <c r="X482" s="15" t="n">
        <f aca="false">V482+W482-(V481+W481)</f>
        <v>9977.99323922752</v>
      </c>
      <c r="Y482" s="15" t="n">
        <f aca="false">P482-X482</f>
        <v>25785.423388828</v>
      </c>
      <c r="Z482" s="15" t="n">
        <f aca="false">R482-T482+IF(AND(Parametri_v3!$C$40=1,D482-YEAR(Parametri_v3!$C$50)&lt;Parametri_v3!$C$41),MAX(0,-Q482),0)</f>
        <v>0</v>
      </c>
      <c r="AA482" s="15" t="n">
        <f aca="false">S482-U482+IF(AND(Parametri_v3!$C$40=1,D482-YEAR(Parametri_v3!$C$50)&lt;Parametri_v3!$C$41),0,MAX(0,-Q482))</f>
        <v>0</v>
      </c>
      <c r="AB482" s="15" t="n">
        <f aca="false">F482*(1+Parametri_v3!$C$26)</f>
        <v>141469.166666667</v>
      </c>
      <c r="AC482" s="15" t="n">
        <f aca="false">(IF(58-(INT((Motore_Operativo!L482)/30))&lt;1,0,INDEX(Motore_Advisory!$AB$425:$AB$484,MAX(1,58-(INT((Motore_Operativo!L482)/30)))))*(1-(MOD((Motore_Operativo!L482),30)/30))+IF(58-(INT((Motore_Operativo!L482)/30))-1&lt;1,0,INDEX(Motore_Advisory!$AB$425:$AB$484,MAX(1,58-(INT((Motore_Operativo!L482)/30))-1)))*(MOD((Motore_Operativo!L482),30)/30))</f>
        <v>141469.166666667</v>
      </c>
      <c r="AD482" s="15" t="n">
        <f aca="false">(AD481)+AB482-AC482</f>
        <v>424407.5</v>
      </c>
      <c r="AE482" s="15" t="n">
        <f aca="false">Motore_Operativo!BH482*(1+Parametri_v3!$C$26)</f>
        <v>14146.9166666667</v>
      </c>
      <c r="AF482" s="15" t="n">
        <f aca="false">(IF(58-(INT((Parametri_v3!$C$29)/30))&lt;1,0,INDEX(Motore_Operativo!$BH$425:$BH$484,MAX(1,58-(INT((Parametri_v3!$C$29)/30)))))*(1-(MOD((Parametri_v3!$C$29),30)/30))+IF(58-(INT((Parametri_v3!$C$29)/30))-1&lt;1,0,INDEX(Motore_Operativo!$BH$425:$BH$484,MAX(1,58-(INT((Parametri_v3!$C$29)/30))-1)))*(MOD((Parametri_v3!$C$29),30)/30))*(1+Parametri_v3!$C$26)</f>
        <v>14146.9166666667</v>
      </c>
      <c r="AG482" s="15" t="n">
        <f aca="false">(AG481)+AE482-AF482</f>
        <v>14146.9166666667</v>
      </c>
      <c r="AH482" s="15" t="n">
        <f aca="false">(Motore_Operativo!CK482)*(1+Parametri_v3!$C$28*Parametri_v3!$C$26)</f>
        <v>27831.02</v>
      </c>
      <c r="AI482" s="15" t="n">
        <f aca="false">(IF(58-(INT((Ipotesi!$C$91)/30))&lt;1,0,INDEX(Motore_Advisory!$AH$425:$AH$484,MAX(1,58-(INT((Ipotesi!$C$91)/30)))))*(1-(MOD((Ipotesi!$C$91),30)/30))+IF(58-(INT((Ipotesi!$C$91)/30))-1&lt;1,0,INDEX(Motore_Advisory!$AH$425:$AH$484,MAX(1,58-(INT((Ipotesi!$C$91)/30))-1)))*(MOD((Ipotesi!$C$91),30)/30))</f>
        <v>27831.02</v>
      </c>
      <c r="AJ482" s="15" t="n">
        <f aca="false">(AJ481)+AH482-AI482</f>
        <v>55662.04</v>
      </c>
      <c r="AK482" s="15" t="n">
        <f aca="false">(F482- Motore_Operativo!BH482-(Motore_Operativo!CK482)*Parametri_v3!$C$28-Motore_Operativo!CF482)*Parametri_v3!$C$26</f>
        <v>18647.8966666667</v>
      </c>
      <c r="AL482" s="15" t="n">
        <f aca="false">MAX(0,(AM481))</f>
        <v>18647.8966666667</v>
      </c>
      <c r="AM482" s="15" t="n">
        <f aca="false">(AM481)+AK482-AL482</f>
        <v>18647.8966666667</v>
      </c>
      <c r="AN482" s="15" t="n">
        <f aca="false">SUM(X461:X472)</f>
        <v>91149.8045405</v>
      </c>
      <c r="AO482" s="15" t="n">
        <f aca="false">SUM(AP461:AP472)</f>
        <v>46679.99375</v>
      </c>
      <c r="AP482" s="15" t="n">
        <f aca="false">MAX(0,AN482)*IF(10=Parametri_v3!$C$43,Parametri_v3!$C$45,IF(10=Parametri_v3!$C$44,1-Parametri_v3!$C$45,0))</f>
        <v>0</v>
      </c>
      <c r="AQ482" s="15" t="n">
        <f aca="false">MAX(0,AP482+IF(10=Parametri_v3!$C$43,MAX(0,AN482-AO482),0)-MAX(0,-(AR481)))</f>
        <v>0</v>
      </c>
      <c r="AR482" s="15" t="n">
        <f aca="false">(AR481)+X482-AQ482</f>
        <v>63407.198076075</v>
      </c>
      <c r="AS482" s="15" t="n">
        <f aca="false">Motore_Operativo!AC482-AT482+AU482</f>
        <v>42145.6153144583</v>
      </c>
      <c r="AT482" s="15" t="n">
        <f aca="false">Motore_Operativo!CI482</f>
        <v>2218.19027970833</v>
      </c>
      <c r="AU482" s="15" t="n">
        <f aca="false">MIN(MAX(0,(AV481)+AT482),Parametri_v3!$C$61/12)</f>
        <v>0</v>
      </c>
      <c r="AV482" s="15" t="n">
        <f aca="false">(AV481)+AT482-AU482</f>
        <v>70458.7443220833</v>
      </c>
      <c r="AW482" s="15" t="n">
        <f aca="false">IF(AND(Motore_Operativo!C482=Finanziamenti!$D$7,Finanziamenti!$F$7=1),Finanziamenti!$C$7,0)</f>
        <v>0</v>
      </c>
      <c r="AX482" s="15" t="n">
        <f aca="false">0</f>
        <v>0</v>
      </c>
      <c r="AY482" s="15" t="n">
        <f aca="false">IF(10=Parametri_v3!$C$33,IF(BV482&lt;MIN(12,$B482-1),0,MIN(MAX(0,SUM(Y461:Y472))*Ipotesi!$C$94,MAX(0,(BM472)-(BO481)-BP482),MAX(0,BD482-Parametri_v3!$C$31))),0)</f>
        <v>0</v>
      </c>
      <c r="AZ482" s="15" t="n">
        <f aca="false">0</f>
        <v>0</v>
      </c>
      <c r="BA482" s="15" t="n">
        <f aca="false">0</f>
        <v>0</v>
      </c>
      <c r="BB482" s="15" t="n">
        <f aca="false">0</f>
        <v>0</v>
      </c>
      <c r="BC482" s="15" t="n">
        <f aca="false">0</f>
        <v>0</v>
      </c>
      <c r="BD482" s="15" t="n">
        <f aca="false">(BH481)+AC482-AF482-AI482-AS482-K482*(1+Parametri_v3!$C$26)-AL482-AQ482-O482+AW482+AX482+AZ482+BA482-BB482</f>
        <v>320817.908921294</v>
      </c>
      <c r="BE482" s="15" t="n">
        <f aca="false">0</f>
        <v>0</v>
      </c>
      <c r="BF482" s="15" t="n">
        <f aca="false">0</f>
        <v>0</v>
      </c>
      <c r="BG482" s="15" t="n">
        <f aca="false">0</f>
        <v>0</v>
      </c>
      <c r="BH482" s="15" t="n">
        <f aca="false">BD482+BE482-BF482-AY482</f>
        <v>320817.908921294</v>
      </c>
      <c r="BI482" s="15" t="n">
        <f aca="false">MAX(0,Parametri_v3!$C$31-BH482)</f>
        <v>0</v>
      </c>
      <c r="BJ482" s="15" t="n">
        <f aca="false">(BJ481)+K482</f>
        <v>27666.6666666667</v>
      </c>
      <c r="BK482" s="15" t="n">
        <f aca="false">(BK481)+L482</f>
        <v>16631.9444444444</v>
      </c>
      <c r="BL482" s="15" t="n">
        <f aca="false">BJ482-BK482</f>
        <v>11034.7222222222</v>
      </c>
      <c r="BM482" s="15" t="n">
        <f aca="false">(BM481)+Y482</f>
        <v>692029.243238996</v>
      </c>
      <c r="BN482" s="15" t="n">
        <f aca="false">(BN481)+AW482+AX482+AZ482</f>
        <v>20000</v>
      </c>
      <c r="BO482" s="15" t="n">
        <f aca="false">(BO481)+AY482</f>
        <v>178091.907826972</v>
      </c>
      <c r="BP482" s="15" t="n">
        <f aca="false">MIN(Parametri_v3!$C$36*Parametri_v3!$C$35,(BP481)+IF(10=1,MAX(0,SUM(Y461:Y472))*Parametri_v3!$C$34,0))</f>
        <v>2000</v>
      </c>
      <c r="BQ482" s="15" t="n">
        <f aca="false">BN482+BM482-BO482</f>
        <v>533937.335412024</v>
      </c>
      <c r="BR482" s="15" t="n">
        <f aca="false">BH482+AD482+BL482+MAX(0,-AM482)+MAX(0,-AR482)</f>
        <v>756260.131143516</v>
      </c>
      <c r="BS482" s="15" t="n">
        <f aca="false">AJ482+AV482+MAX(0,AM482)+MAX(0,AR482)+BC482+BG482+BQ482+AG482</f>
        <v>756260.131143516</v>
      </c>
      <c r="BT482" s="15" t="n">
        <f aca="false">BR482-BS482</f>
        <v>0</v>
      </c>
      <c r="BU482" s="15" t="n">
        <f aca="false">BH482-(BD482+BE482-BF482-AY482)</f>
        <v>0</v>
      </c>
      <c r="BV482" s="15" t="n">
        <f aca="false">IF(BH481&lt;Parametri_v3!$C$31,0,BV481+1)</f>
        <v>29</v>
      </c>
    </row>
    <row r="483" customFormat="false" ht="18" hidden="false" customHeight="true" outlineLevel="0" collapsed="false">
      <c r="A483" s="68" t="n">
        <f aca="false">8</f>
        <v>8</v>
      </c>
      <c r="B483" s="68" t="n">
        <f aca="false">59</f>
        <v>59</v>
      </c>
      <c r="C483" s="18" t="n">
        <f aca="false">Motore_Operativo!C483</f>
        <v>48153</v>
      </c>
      <c r="D483" s="68" t="n">
        <f aca="false">Motore_Operativo!D483</f>
        <v>2031</v>
      </c>
      <c r="E483" s="68" t="n">
        <f aca="false">Motore_Operativo!E483</f>
        <v>11</v>
      </c>
      <c r="F483" s="15" t="n">
        <f aca="false">Motore_Operativo!AM483</f>
        <v>115958.333333333</v>
      </c>
      <c r="G483" s="15" t="n">
        <f aca="false">Motore_Operativo!BH483</f>
        <v>11595.8333333333</v>
      </c>
      <c r="H483" s="15" t="n">
        <f aca="false">Motore_Operativo!AM483</f>
        <v>115958.333333333</v>
      </c>
      <c r="I483" s="15" t="n">
        <f aca="false">Motore_Operativo!CB483</f>
        <v>79625.4722608333</v>
      </c>
      <c r="J483" s="15" t="n">
        <f aca="false">Motore_Operativo!CD483</f>
        <v>36332.8610725</v>
      </c>
      <c r="K483" s="15" t="n">
        <f aca="false">Motore_Operativo!CF483</f>
        <v>666.666666666667</v>
      </c>
      <c r="L483" s="15" t="n">
        <f aca="false">SUM(INDEX($K$425:$K$484,MAX(1,59-Parametri_v3!$C$59+1)):K483)/Parametri_v3!$C$59</f>
        <v>576.388888888889</v>
      </c>
      <c r="M483" s="15" t="n">
        <f aca="false">J483-L483</f>
        <v>35756.4721836111</v>
      </c>
      <c r="N483" s="15" t="n">
        <f aca="false">0</f>
        <v>0</v>
      </c>
      <c r="O483" s="15" t="n">
        <f aca="false">0</f>
        <v>0</v>
      </c>
      <c r="P483" s="15" t="n">
        <f aca="false">M483+N483-O483</f>
        <v>35756.4721836111</v>
      </c>
      <c r="Q483" s="15" t="n">
        <f aca="false">SUM(P473:P483)+Parametri_v3!$C$56*11/12</f>
        <v>393703.138464167</v>
      </c>
      <c r="R483" s="15" t="n">
        <f aca="false">Z472</f>
        <v>0</v>
      </c>
      <c r="S483" s="15" t="n">
        <f aca="false">AA472</f>
        <v>0</v>
      </c>
      <c r="T483" s="15" t="n">
        <f aca="false">MIN(R483,MAX(0,Q483))</f>
        <v>0</v>
      </c>
      <c r="U483" s="15" t="n">
        <f aca="false">MIN(S483,MAX(0,Q483-T483)*Parametri_v3!$C$42)</f>
        <v>0</v>
      </c>
      <c r="V483" s="15" t="n">
        <f aca="false">MAX(0,Q483-T483-U483)*Ipotesi!$C$92</f>
        <v>94488.7532314</v>
      </c>
      <c r="W483" s="15" t="n">
        <f aca="false">MAX(0,SUM(M473:M483)+Parametri_v3!$C$57*11/12)*Ipotesi!$C$93</f>
        <v>15354.4224001025</v>
      </c>
      <c r="X483" s="15" t="n">
        <f aca="false">V483+W483-(V482+W482)</f>
        <v>9976.05573922749</v>
      </c>
      <c r="Y483" s="15" t="n">
        <f aca="false">P483-X483</f>
        <v>25780.4164443836</v>
      </c>
      <c r="Z483" s="15" t="n">
        <f aca="false">R483-T483+IF(AND(Parametri_v3!$C$40=1,D483-YEAR(Parametri_v3!$C$50)&lt;Parametri_v3!$C$41),MAX(0,-Q483),0)</f>
        <v>0</v>
      </c>
      <c r="AA483" s="15" t="n">
        <f aca="false">S483-U483+IF(AND(Parametri_v3!$C$40=1,D483-YEAR(Parametri_v3!$C$50)&lt;Parametri_v3!$C$41),0,MAX(0,-Q483))</f>
        <v>0</v>
      </c>
      <c r="AB483" s="15" t="n">
        <f aca="false">F483*(1+Parametri_v3!$C$26)</f>
        <v>141469.166666667</v>
      </c>
      <c r="AC483" s="15" t="n">
        <f aca="false">(IF(59-(INT((Motore_Operativo!L483)/30))&lt;1,0,INDEX(Motore_Advisory!$AB$425:$AB$484,MAX(1,59-(INT((Motore_Operativo!L483)/30)))))*(1-(MOD((Motore_Operativo!L483),30)/30))+IF(59-(INT((Motore_Operativo!L483)/30))-1&lt;1,0,INDEX(Motore_Advisory!$AB$425:$AB$484,MAX(1,59-(INT((Motore_Operativo!L483)/30))-1)))*(MOD((Motore_Operativo!L483),30)/30))</f>
        <v>141469.166666667</v>
      </c>
      <c r="AD483" s="15" t="n">
        <f aca="false">(AD482)+AB483-AC483</f>
        <v>424407.5</v>
      </c>
      <c r="AE483" s="15" t="n">
        <f aca="false">Motore_Operativo!BH483*(1+Parametri_v3!$C$26)</f>
        <v>14146.9166666667</v>
      </c>
      <c r="AF483" s="15" t="n">
        <f aca="false">(IF(59-(INT((Parametri_v3!$C$29)/30))&lt;1,0,INDEX(Motore_Operativo!$BH$425:$BH$484,MAX(1,59-(INT((Parametri_v3!$C$29)/30)))))*(1-(MOD((Parametri_v3!$C$29),30)/30))+IF(59-(INT((Parametri_v3!$C$29)/30))-1&lt;1,0,INDEX(Motore_Operativo!$BH$425:$BH$484,MAX(1,59-(INT((Parametri_v3!$C$29)/30))-1)))*(MOD((Parametri_v3!$C$29),30)/30))*(1+Parametri_v3!$C$26)</f>
        <v>14146.9166666667</v>
      </c>
      <c r="AG483" s="15" t="n">
        <f aca="false">(AG482)+AE483-AF483</f>
        <v>14146.9166666667</v>
      </c>
      <c r="AH483" s="15" t="n">
        <f aca="false">(Motore_Operativo!CK483)*(1+Parametri_v3!$C$28*Parametri_v3!$C$26)</f>
        <v>27831.02</v>
      </c>
      <c r="AI483" s="15" t="n">
        <f aca="false">(IF(59-(INT((Ipotesi!$C$91)/30))&lt;1,0,INDEX(Motore_Advisory!$AH$425:$AH$484,MAX(1,59-(INT((Ipotesi!$C$91)/30)))))*(1-(MOD((Ipotesi!$C$91),30)/30))+IF(59-(INT((Ipotesi!$C$91)/30))-1&lt;1,0,INDEX(Motore_Advisory!$AH$425:$AH$484,MAX(1,59-(INT((Ipotesi!$C$91)/30))-1)))*(MOD((Ipotesi!$C$91),30)/30))</f>
        <v>27831.02</v>
      </c>
      <c r="AJ483" s="15" t="n">
        <f aca="false">(AJ482)+AH483-AI483</f>
        <v>55662.04</v>
      </c>
      <c r="AK483" s="15" t="n">
        <f aca="false">(F483- Motore_Operativo!BH483-(Motore_Operativo!CK483)*Parametri_v3!$C$28-Motore_Operativo!CF483)*Parametri_v3!$C$26</f>
        <v>18647.8966666667</v>
      </c>
      <c r="AL483" s="15" t="n">
        <f aca="false">MAX(0,(AM482))</f>
        <v>18647.8966666667</v>
      </c>
      <c r="AM483" s="15" t="n">
        <f aca="false">(AM482)+AK483-AL483</f>
        <v>18647.8966666667</v>
      </c>
      <c r="AN483" s="15" t="n">
        <f aca="false">SUM(X461:X472)</f>
        <v>91149.8045405</v>
      </c>
      <c r="AO483" s="15" t="n">
        <f aca="false">SUM(AP461:AP472)</f>
        <v>46679.99375</v>
      </c>
      <c r="AP483" s="15" t="n">
        <f aca="false">MAX(0,AN483)*IF(11=Parametri_v3!$C$43,Parametri_v3!$C$45,IF(11=Parametri_v3!$C$44,1-Parametri_v3!$C$45,0))</f>
        <v>54689.8827243</v>
      </c>
      <c r="AQ483" s="15" t="n">
        <f aca="false">MAX(0,AP483+IF(11=Parametri_v3!$C$43,MAX(0,AN483-AO483),0)-MAX(0,-(AR482)))</f>
        <v>54689.8827243</v>
      </c>
      <c r="AR483" s="15" t="n">
        <f aca="false">(AR482)+X483-AQ483</f>
        <v>18693.3710910025</v>
      </c>
      <c r="AS483" s="15" t="n">
        <f aca="false">Motore_Operativo!AC483-AT483+AU483</f>
        <v>42145.6153144583</v>
      </c>
      <c r="AT483" s="15" t="n">
        <f aca="false">Motore_Operativo!CI483</f>
        <v>2218.19027970833</v>
      </c>
      <c r="AU483" s="15" t="n">
        <f aca="false">MIN(MAX(0,(AV482)+AT483),Parametri_v3!$C$61/12)</f>
        <v>0</v>
      </c>
      <c r="AV483" s="15" t="n">
        <f aca="false">(AV482)+AT483-AU483</f>
        <v>72676.9346017917</v>
      </c>
      <c r="AW483" s="15" t="n">
        <f aca="false">IF(AND(Motore_Operativo!C483=Finanziamenti!$D$7,Finanziamenti!$F$7=1),Finanziamenti!$C$7,0)</f>
        <v>0</v>
      </c>
      <c r="AX483" s="15" t="n">
        <f aca="false">0</f>
        <v>0</v>
      </c>
      <c r="AY483" s="15" t="n">
        <f aca="false">IF(11=Parametri_v3!$C$33,IF(BV483&lt;MIN(12,$B483-1),0,MIN(MAX(0,SUM(Y461:Y472))*Ipotesi!$C$94,MAX(0,(BM472)-(BO482)-BP483),MAX(0,BD483-Parametri_v3!$C$31))),0)</f>
        <v>0</v>
      </c>
      <c r="AZ483" s="15" t="n">
        <f aca="false">0</f>
        <v>0</v>
      </c>
      <c r="BA483" s="15" t="n">
        <f aca="false">0</f>
        <v>0</v>
      </c>
      <c r="BB483" s="15" t="n">
        <f aca="false">0</f>
        <v>0</v>
      </c>
      <c r="BC483" s="15" t="n">
        <f aca="false">0</f>
        <v>0</v>
      </c>
      <c r="BD483" s="15" t="n">
        <f aca="false">(BH482)+AC483-AF483-AI483-AS483-K483*(1+Parametri_v3!$C$26)-AL483-AQ483-O483+AW483+AX483+AZ483+BA483-BB483</f>
        <v>304012.410882535</v>
      </c>
      <c r="BE483" s="15" t="n">
        <f aca="false">0</f>
        <v>0</v>
      </c>
      <c r="BF483" s="15" t="n">
        <f aca="false">0</f>
        <v>0</v>
      </c>
      <c r="BG483" s="15" t="n">
        <f aca="false">0</f>
        <v>0</v>
      </c>
      <c r="BH483" s="15" t="n">
        <f aca="false">BD483+BE483-BF483-AY483</f>
        <v>304012.410882535</v>
      </c>
      <c r="BI483" s="15" t="n">
        <f aca="false">MAX(0,Parametri_v3!$C$31-BH483)</f>
        <v>0</v>
      </c>
      <c r="BJ483" s="15" t="n">
        <f aca="false">(BJ482)+K483</f>
        <v>28333.3333333333</v>
      </c>
      <c r="BK483" s="15" t="n">
        <f aca="false">(BK482)+L483</f>
        <v>17208.3333333333</v>
      </c>
      <c r="BL483" s="15" t="n">
        <f aca="false">BJ483-BK483</f>
        <v>11125</v>
      </c>
      <c r="BM483" s="15" t="n">
        <f aca="false">(BM482)+Y483</f>
        <v>717809.65968338</v>
      </c>
      <c r="BN483" s="15" t="n">
        <f aca="false">(BN482)+AW483+AX483+AZ483</f>
        <v>20000</v>
      </c>
      <c r="BO483" s="15" t="n">
        <f aca="false">(BO482)+AY483</f>
        <v>178091.907826972</v>
      </c>
      <c r="BP483" s="15" t="n">
        <f aca="false">MIN(Parametri_v3!$C$36*Parametri_v3!$C$35,(BP482)+IF(11=1,MAX(0,SUM(Y461:Y472))*Parametri_v3!$C$34,0))</f>
        <v>2000</v>
      </c>
      <c r="BQ483" s="15" t="n">
        <f aca="false">BN483+BM483-BO483</f>
        <v>559717.751856408</v>
      </c>
      <c r="BR483" s="15" t="n">
        <f aca="false">BH483+AD483+BL483+MAX(0,-AM483)+MAX(0,-AR483)</f>
        <v>739544.910882535</v>
      </c>
      <c r="BS483" s="15" t="n">
        <f aca="false">AJ483+AV483+MAX(0,AM483)+MAX(0,AR483)+BC483+BG483+BQ483+AG483</f>
        <v>739544.910882535</v>
      </c>
      <c r="BT483" s="15" t="n">
        <f aca="false">BR483-BS483</f>
        <v>0</v>
      </c>
      <c r="BU483" s="15" t="n">
        <f aca="false">BH483-(BD483+BE483-BF483-AY483)</f>
        <v>0</v>
      </c>
      <c r="BV483" s="15" t="n">
        <f aca="false">IF(BH482&lt;Parametri_v3!$C$31,0,BV482+1)</f>
        <v>30</v>
      </c>
    </row>
    <row r="484" customFormat="false" ht="18" hidden="false" customHeight="true" outlineLevel="0" collapsed="false">
      <c r="A484" s="68" t="n">
        <f aca="false">8</f>
        <v>8</v>
      </c>
      <c r="B484" s="68" t="n">
        <f aca="false">60</f>
        <v>60</v>
      </c>
      <c r="C484" s="18" t="n">
        <f aca="false">Motore_Operativo!C484</f>
        <v>48183</v>
      </c>
      <c r="D484" s="68" t="n">
        <f aca="false">Motore_Operativo!D484</f>
        <v>2031</v>
      </c>
      <c r="E484" s="68" t="n">
        <f aca="false">Motore_Operativo!E484</f>
        <v>12</v>
      </c>
      <c r="F484" s="15" t="n">
        <f aca="false">Motore_Operativo!AM484</f>
        <v>115958.333333333</v>
      </c>
      <c r="G484" s="15" t="n">
        <f aca="false">Motore_Operativo!BH484</f>
        <v>11595.8333333333</v>
      </c>
      <c r="H484" s="15" t="n">
        <f aca="false">Motore_Operativo!AM484</f>
        <v>115958.333333333</v>
      </c>
      <c r="I484" s="15" t="n">
        <f aca="false">Motore_Operativo!CB484</f>
        <v>79625.4722608333</v>
      </c>
      <c r="J484" s="15" t="n">
        <f aca="false">Motore_Operativo!CD484</f>
        <v>36332.8610725</v>
      </c>
      <c r="K484" s="15" t="n">
        <f aca="false">Motore_Operativo!CF484</f>
        <v>666.666666666667</v>
      </c>
      <c r="L484" s="15" t="n">
        <f aca="false">SUM(INDEX($K$425:$K$484,MAX(1,60-Parametri_v3!$C$59+1)):K484)/Parametri_v3!$C$59</f>
        <v>583.333333333333</v>
      </c>
      <c r="M484" s="15" t="n">
        <f aca="false">J484-L484</f>
        <v>35749.5277391667</v>
      </c>
      <c r="N484" s="15" t="n">
        <f aca="false">0</f>
        <v>0</v>
      </c>
      <c r="O484" s="15" t="n">
        <f aca="false">0</f>
        <v>0</v>
      </c>
      <c r="P484" s="15" t="n">
        <f aca="false">M484+N484-O484</f>
        <v>35749.5277391667</v>
      </c>
      <c r="Q484" s="15" t="n">
        <f aca="false">SUM(P473:P484)+Parametri_v3!$C$56*12/12</f>
        <v>429452.666203333</v>
      </c>
      <c r="R484" s="15" t="n">
        <f aca="false">Z472</f>
        <v>0</v>
      </c>
      <c r="S484" s="15" t="n">
        <f aca="false">AA472</f>
        <v>0</v>
      </c>
      <c r="T484" s="15" t="n">
        <f aca="false">MIN(R484,MAX(0,Q484))</f>
        <v>0</v>
      </c>
      <c r="U484" s="15" t="n">
        <f aca="false">MIN(S484,MAX(0,Q484-T484)*Parametri_v3!$C$42)</f>
        <v>0</v>
      </c>
      <c r="V484" s="15" t="n">
        <f aca="false">MAX(0,Q484-T484-U484)*Ipotesi!$C$92</f>
        <v>103068.6398888</v>
      </c>
      <c r="W484" s="15" t="n">
        <f aca="false">MAX(0,SUM(M473:M484)+Parametri_v3!$C$57*12/12)*Ipotesi!$C$93</f>
        <v>16748.65398193</v>
      </c>
      <c r="X484" s="15" t="n">
        <f aca="false">V484+W484-(V483+W483)</f>
        <v>9974.11823922749</v>
      </c>
      <c r="Y484" s="15" t="n">
        <f aca="false">P484-X484</f>
        <v>25775.4094999392</v>
      </c>
      <c r="Z484" s="15" t="n">
        <f aca="false">R484-T484+IF(AND(Parametri_v3!$C$40=1,D484-YEAR(Parametri_v3!$C$50)&lt;Parametri_v3!$C$41),MAX(0,-Q484),0)</f>
        <v>0</v>
      </c>
      <c r="AA484" s="15" t="n">
        <f aca="false">S484-U484+IF(AND(Parametri_v3!$C$40=1,D484-YEAR(Parametri_v3!$C$50)&lt;Parametri_v3!$C$41),0,MAX(0,-Q484))</f>
        <v>0</v>
      </c>
      <c r="AB484" s="15" t="n">
        <f aca="false">F484*(1+Parametri_v3!$C$26)</f>
        <v>141469.166666667</v>
      </c>
      <c r="AC484" s="15" t="n">
        <f aca="false">(IF(60-(INT((Motore_Operativo!L484)/30))&lt;1,0,INDEX(Motore_Advisory!$AB$425:$AB$484,MAX(1,60-(INT((Motore_Operativo!L484)/30)))))*(1-(MOD((Motore_Operativo!L484),30)/30))+IF(60-(INT((Motore_Operativo!L484)/30))-1&lt;1,0,INDEX(Motore_Advisory!$AB$425:$AB$484,MAX(1,60-(INT((Motore_Operativo!L484)/30))-1)))*(MOD((Motore_Operativo!L484),30)/30))</f>
        <v>141469.166666667</v>
      </c>
      <c r="AD484" s="15" t="n">
        <f aca="false">(AD483)+AB484-AC484</f>
        <v>424407.5</v>
      </c>
      <c r="AE484" s="15" t="n">
        <f aca="false">Motore_Operativo!BH484*(1+Parametri_v3!$C$26)</f>
        <v>14146.9166666667</v>
      </c>
      <c r="AF484" s="15" t="n">
        <f aca="false">(IF(60-(INT((Parametri_v3!$C$29)/30))&lt;1,0,INDEX(Motore_Operativo!$BH$425:$BH$484,MAX(1,60-(INT((Parametri_v3!$C$29)/30)))))*(1-(MOD((Parametri_v3!$C$29),30)/30))+IF(60-(INT((Parametri_v3!$C$29)/30))-1&lt;1,0,INDEX(Motore_Operativo!$BH$425:$BH$484,MAX(1,60-(INT((Parametri_v3!$C$29)/30))-1)))*(MOD((Parametri_v3!$C$29),30)/30))*(1+Parametri_v3!$C$26)</f>
        <v>14146.9166666667</v>
      </c>
      <c r="AG484" s="15" t="n">
        <f aca="false">(AG483)+AE484-AF484</f>
        <v>14146.9166666667</v>
      </c>
      <c r="AH484" s="15" t="n">
        <f aca="false">(Motore_Operativo!CK484)*(1+Parametri_v3!$C$28*Parametri_v3!$C$26)</f>
        <v>27831.02</v>
      </c>
      <c r="AI484" s="15" t="n">
        <f aca="false">(IF(60-(INT((Ipotesi!$C$91)/30))&lt;1,0,INDEX(Motore_Advisory!$AH$425:$AH$484,MAX(1,60-(INT((Ipotesi!$C$91)/30)))))*(1-(MOD((Ipotesi!$C$91),30)/30))+IF(60-(INT((Ipotesi!$C$91)/30))-1&lt;1,0,INDEX(Motore_Advisory!$AH$425:$AH$484,MAX(1,60-(INT((Ipotesi!$C$91)/30))-1)))*(MOD((Ipotesi!$C$91),30)/30))</f>
        <v>27831.02</v>
      </c>
      <c r="AJ484" s="15" t="n">
        <f aca="false">(AJ483)+AH484-AI484</f>
        <v>55662.04</v>
      </c>
      <c r="AK484" s="15" t="n">
        <f aca="false">(F484- Motore_Operativo!BH484-(Motore_Operativo!CK484)*Parametri_v3!$C$28-Motore_Operativo!CF484)*Parametri_v3!$C$26</f>
        <v>18647.8966666667</v>
      </c>
      <c r="AL484" s="15" t="n">
        <f aca="false">MAX(0,(AM483))</f>
        <v>18647.8966666667</v>
      </c>
      <c r="AM484" s="15" t="n">
        <f aca="false">(AM483)+AK484-AL484</f>
        <v>18647.8966666667</v>
      </c>
      <c r="AN484" s="15" t="n">
        <f aca="false">SUM(X461:X472)</f>
        <v>91149.8045405</v>
      </c>
      <c r="AO484" s="15" t="n">
        <f aca="false">SUM(AP461:AP472)</f>
        <v>46679.99375</v>
      </c>
      <c r="AP484" s="15" t="n">
        <f aca="false">MAX(0,AN484)*IF(12=Parametri_v3!$C$43,Parametri_v3!$C$45,IF(12=Parametri_v3!$C$44,1-Parametri_v3!$C$45,0))</f>
        <v>0</v>
      </c>
      <c r="AQ484" s="15" t="n">
        <f aca="false">MAX(0,AP484+IF(12=Parametri_v3!$C$43,MAX(0,AN484-AO484),0)-MAX(0,-(AR483)))</f>
        <v>0</v>
      </c>
      <c r="AR484" s="15" t="n">
        <f aca="false">(AR483)+X484-AQ484</f>
        <v>28667.48933023</v>
      </c>
      <c r="AS484" s="15" t="n">
        <f aca="false">Motore_Operativo!AC484-AT484+AU484</f>
        <v>42145.6153144583</v>
      </c>
      <c r="AT484" s="15" t="n">
        <f aca="false">Motore_Operativo!CI484</f>
        <v>2218.19027970833</v>
      </c>
      <c r="AU484" s="15" t="n">
        <f aca="false">MIN(MAX(0,(AV483)+AT484),Parametri_v3!$C$61/12)</f>
        <v>0</v>
      </c>
      <c r="AV484" s="15" t="n">
        <f aca="false">(AV483)+AT484-AU484</f>
        <v>74895.1248815</v>
      </c>
      <c r="AW484" s="15" t="n">
        <f aca="false">IF(AND(Motore_Operativo!C484=Finanziamenti!$D$7,Finanziamenti!$F$7=1),Finanziamenti!$C$7,0)</f>
        <v>0</v>
      </c>
      <c r="AX484" s="15" t="n">
        <f aca="false">0</f>
        <v>0</v>
      </c>
      <c r="AY484" s="15" t="n">
        <f aca="false">IF(12=Parametri_v3!$C$33,IF(BV484&lt;MIN(12,$B484-1),0,MIN(MAX(0,SUM(Y461:Y472))*Ipotesi!$C$94,MAX(0,(BM472)-(BO483)-BP484),MAX(0,BD484-Parametri_v3!$C$31))),0)</f>
        <v>0</v>
      </c>
      <c r="AZ484" s="15" t="n">
        <f aca="false">0</f>
        <v>0</v>
      </c>
      <c r="BA484" s="15" t="n">
        <f aca="false">0</f>
        <v>0</v>
      </c>
      <c r="BB484" s="15" t="n">
        <f aca="false">0</f>
        <v>0</v>
      </c>
      <c r="BC484" s="15" t="n">
        <f aca="false">0</f>
        <v>0</v>
      </c>
      <c r="BD484" s="15" t="n">
        <f aca="false">(BH483)+AC484-AF484-AI484-AS484-K484*(1+Parametri_v3!$C$26)-AL484-AQ484-O484+AW484+AX484+AZ484+BA484-BB484</f>
        <v>341896.795568077</v>
      </c>
      <c r="BE484" s="15" t="n">
        <f aca="false">0</f>
        <v>0</v>
      </c>
      <c r="BF484" s="15" t="n">
        <f aca="false">0</f>
        <v>0</v>
      </c>
      <c r="BG484" s="15" t="n">
        <f aca="false">0</f>
        <v>0</v>
      </c>
      <c r="BH484" s="15" t="n">
        <f aca="false">BD484+BE484-BF484-AY484</f>
        <v>341896.795568077</v>
      </c>
      <c r="BI484" s="15" t="n">
        <f aca="false">MAX(0,Parametri_v3!$C$31-BH484)</f>
        <v>0</v>
      </c>
      <c r="BJ484" s="15" t="n">
        <f aca="false">(BJ483)+K484</f>
        <v>29000</v>
      </c>
      <c r="BK484" s="15" t="n">
        <f aca="false">(BK483)+L484</f>
        <v>17791.6666666667</v>
      </c>
      <c r="BL484" s="15" t="n">
        <f aca="false">BJ484-BK484</f>
        <v>11208.3333333334</v>
      </c>
      <c r="BM484" s="15" t="n">
        <f aca="false">(BM483)+Y484</f>
        <v>743585.069183319</v>
      </c>
      <c r="BN484" s="15" t="n">
        <f aca="false">(BN483)+AW484+AX484+AZ484</f>
        <v>20000</v>
      </c>
      <c r="BO484" s="15" t="n">
        <f aca="false">(BO483)+AY484</f>
        <v>178091.907826972</v>
      </c>
      <c r="BP484" s="15" t="n">
        <f aca="false">MIN(Parametri_v3!$C$36*Parametri_v3!$C$35,(BP483)+IF(12=1,MAX(0,SUM(Y461:Y472))*Parametri_v3!$C$34,0))</f>
        <v>2000</v>
      </c>
      <c r="BQ484" s="15" t="n">
        <f aca="false">BN484+BM484-BO484</f>
        <v>585493.161356347</v>
      </c>
      <c r="BR484" s="15" t="n">
        <f aca="false">BH484+AD484+BL484+MAX(0,-AM484)+MAX(0,-AR484)</f>
        <v>777512.628901411</v>
      </c>
      <c r="BS484" s="15" t="n">
        <f aca="false">AJ484+AV484+MAX(0,AM484)+MAX(0,AR484)+BC484+BG484+BQ484+AG484</f>
        <v>777512.62890141</v>
      </c>
      <c r="BT484" s="15" t="n">
        <f aca="false">BR484-BS484</f>
        <v>0</v>
      </c>
      <c r="BU484" s="15" t="n">
        <f aca="false">BH484-(BD484+BE484-BF484-AY484)</f>
        <v>0</v>
      </c>
      <c r="BV484" s="15" t="n">
        <f aca="false">IF(BH483&lt;Parametri_v3!$C$31,0,BV483+1)</f>
        <v>31</v>
      </c>
    </row>
    <row r="485" customFormat="false" ht="18" hidden="false" customHeight="true" outlineLevel="0" collapsed="false">
      <c r="A485" s="68" t="n">
        <f aca="false">9</f>
        <v>9</v>
      </c>
      <c r="B485" s="68" t="n">
        <f aca="false">1</f>
        <v>1</v>
      </c>
      <c r="C485" s="18" t="n">
        <f aca="false">Motore_Operativo!C485</f>
        <v>46388</v>
      </c>
      <c r="D485" s="68" t="n">
        <f aca="false">Motore_Operativo!D485</f>
        <v>2027</v>
      </c>
      <c r="E485" s="68" t="n">
        <f aca="false">Motore_Operativo!E485</f>
        <v>1</v>
      </c>
      <c r="F485" s="15" t="n">
        <f aca="false">Motore_Operativo!AM485</f>
        <v>16210.5263157895</v>
      </c>
      <c r="G485" s="15" t="n">
        <f aca="false">Motore_Operativo!BH485</f>
        <v>1621.05263157895</v>
      </c>
      <c r="H485" s="15" t="n">
        <f aca="false">Motore_Operativo!AM485</f>
        <v>16210.5263157895</v>
      </c>
      <c r="I485" s="15" t="n">
        <f aca="false">Motore_Operativo!CB485</f>
        <v>12114.5175438596</v>
      </c>
      <c r="J485" s="15" t="n">
        <f aca="false">Motore_Operativo!CD485</f>
        <v>4096.00877192982</v>
      </c>
      <c r="K485" s="15" t="n">
        <f aca="false">Motore_Operativo!CF485</f>
        <v>250</v>
      </c>
      <c r="L485" s="15" t="n">
        <f aca="false">SUM(INDEX($K$485:$K$544,MAX(1,1-Parametri_v3!$C$59+1)):K485)/Parametri_v3!$C$59</f>
        <v>6.94444444444445</v>
      </c>
      <c r="M485" s="15" t="n">
        <f aca="false">J485-L485</f>
        <v>4089.06432748538</v>
      </c>
      <c r="N485" s="15" t="n">
        <f aca="false">0</f>
        <v>0</v>
      </c>
      <c r="O485" s="15" t="n">
        <f aca="false">0</f>
        <v>0</v>
      </c>
      <c r="P485" s="15" t="n">
        <f aca="false">M485+N485-O485</f>
        <v>4089.06432748538</v>
      </c>
      <c r="Q485" s="15" t="n">
        <f aca="false">SUM(P485)+Parametri_v3!$C$56*1/12</f>
        <v>4089.06432748538</v>
      </c>
      <c r="R485" s="15" t="n">
        <f aca="false">0</f>
        <v>0</v>
      </c>
      <c r="S485" s="15" t="n">
        <f aca="false">0</f>
        <v>0</v>
      </c>
      <c r="T485" s="15" t="n">
        <f aca="false">MIN(R485,MAX(0,Q485))</f>
        <v>0</v>
      </c>
      <c r="U485" s="15" t="n">
        <f aca="false">MIN(S485,MAX(0,Q485-T485)*Parametri_v3!$C$42)</f>
        <v>0</v>
      </c>
      <c r="V485" s="15" t="n">
        <f aca="false">MAX(0,Q485-T485-U485)*Ipotesi!$C$92</f>
        <v>981.375438596491</v>
      </c>
      <c r="W485" s="15" t="n">
        <f aca="false">MAX(0,SUM(M485)+Parametri_v3!$C$57*1/12)*Ipotesi!$C$93</f>
        <v>159.47350877193</v>
      </c>
      <c r="X485" s="15" t="n">
        <f aca="false">V485+W485-(0)</f>
        <v>1140.84894736842</v>
      </c>
      <c r="Y485" s="15" t="n">
        <f aca="false">P485-X485</f>
        <v>2948.21538011696</v>
      </c>
      <c r="Z485" s="15" t="n">
        <f aca="false">R485-T485+IF(AND(Parametri_v3!$C$40=1,D485-YEAR(Parametri_v3!$C$50)&lt;Parametri_v3!$C$41),MAX(0,-Q485),0)</f>
        <v>0</v>
      </c>
      <c r="AA485" s="15" t="n">
        <f aca="false">S485-U485+IF(AND(Parametri_v3!$C$40=1,D485-YEAR(Parametri_v3!$C$50)&lt;Parametri_v3!$C$41),0,MAX(0,-Q485))</f>
        <v>0</v>
      </c>
      <c r="AB485" s="15" t="n">
        <f aca="false">F485*(1+Parametri_v3!$C$26)</f>
        <v>19776.8421052632</v>
      </c>
      <c r="AC485" s="15" t="n">
        <f aca="false">(IF(1-(INT((Motore_Operativo!L485)/30))&lt;1,0,INDEX(Motore_Advisory!$AB$485:$AB$544,MAX(1,1-(INT((Motore_Operativo!L485)/30)))))*(1-(MOD((Motore_Operativo!L485),30)/30))+IF(1-(INT((Motore_Operativo!L485)/30))-1&lt;1,0,INDEX(Motore_Advisory!$AB$485:$AB$544,MAX(1,1-(INT((Motore_Operativo!L485)/30))-1)))*(MOD((Motore_Operativo!L485),30)/30))</f>
        <v>0</v>
      </c>
      <c r="AD485" s="15" t="n">
        <f aca="false">(0)+AB485-AC485</f>
        <v>19776.8421052632</v>
      </c>
      <c r="AE485" s="15" t="n">
        <f aca="false">Motore_Operativo!BH485*(1+Parametri_v3!$C$26)</f>
        <v>1977.68421052632</v>
      </c>
      <c r="AF485" s="15" t="n">
        <f aca="false">(IF(1-(INT((Parametri_v3!$C$29)/30))&lt;1,0,INDEX(Motore_Operativo!$BH$485:$BH$544,MAX(1,1-(INT((Parametri_v3!$C$29)/30)))))*(1-(MOD((Parametri_v3!$C$29),30)/30))+IF(1-(INT((Parametri_v3!$C$29)/30))-1&lt;1,0,INDEX(Motore_Operativo!$BH$485:$BH$544,MAX(1,1-(INT((Parametri_v3!$C$29)/30))-1)))*(MOD((Parametri_v3!$C$29),30)/30))*(1+Parametri_v3!$C$26)</f>
        <v>0</v>
      </c>
      <c r="AG485" s="15" t="n">
        <f aca="false">(0)+AE485-AF485</f>
        <v>1977.68421052632</v>
      </c>
      <c r="AH485" s="15" t="n">
        <f aca="false">(Motore_Operativo!CK485)*(1+Parametri_v3!$C$28*Parametri_v3!$C$26)</f>
        <v>6166.3147368421</v>
      </c>
      <c r="AI485" s="15" t="n">
        <f aca="false">(IF(1-(INT((Ipotesi!$C$91)/30))&lt;1,0,INDEX(Motore_Advisory!$AH$485:$AH$544,MAX(1,1-(INT((Ipotesi!$C$91)/30)))))*(1-(MOD((Ipotesi!$C$91),30)/30))+IF(1-(INT((Ipotesi!$C$91)/30))-1&lt;1,0,INDEX(Motore_Advisory!$AH$485:$AH$544,MAX(1,1-(INT((Ipotesi!$C$91)/30))-1)))*(MOD((Ipotesi!$C$91),30)/30))</f>
        <v>0</v>
      </c>
      <c r="AJ485" s="15" t="n">
        <f aca="false">(0)+AH485-AI485</f>
        <v>6166.3147368421</v>
      </c>
      <c r="AK485" s="15" t="n">
        <f aca="false">(F485- Motore_Operativo!BH485-(Motore_Operativo!CK485)*Parametri_v3!$C$28-Motore_Operativo!CF485)*Parametri_v3!$C$26</f>
        <v>2231.83438596491</v>
      </c>
      <c r="AL485" s="15" t="n">
        <f aca="false">MAX(0,(0))</f>
        <v>0</v>
      </c>
      <c r="AM485" s="15" t="n">
        <f aca="false">(0)+AK485-AL485</f>
        <v>2231.83438596491</v>
      </c>
      <c r="AN485" s="15" t="n">
        <f aca="false">0</f>
        <v>0</v>
      </c>
      <c r="AO485" s="15" t="n">
        <f aca="false">0</f>
        <v>0</v>
      </c>
      <c r="AP485" s="15" t="n">
        <f aca="false">MAX(0,AN485)*IF(1=Parametri_v3!$C$43,Parametri_v3!$C$45,IF(1=Parametri_v3!$C$44,1-Parametri_v3!$C$45,0))</f>
        <v>0</v>
      </c>
      <c r="AQ485" s="15" t="n">
        <f aca="false">MAX(0,AP485+IF(1=Parametri_v3!$C$43,MAX(0,AN485-AO485),0)-MAX(0,-(0)))</f>
        <v>0</v>
      </c>
      <c r="AR485" s="15" t="n">
        <f aca="false">(0)+X485-AQ485</f>
        <v>1140.84894736842</v>
      </c>
      <c r="AS485" s="15" t="n">
        <f aca="false">Motore_Operativo!AC485-AT485+AU485</f>
        <v>4987.5</v>
      </c>
      <c r="AT485" s="15" t="n">
        <f aca="false">Motore_Operativo!CI485</f>
        <v>262.5</v>
      </c>
      <c r="AU485" s="15" t="n">
        <f aca="false">MIN(MAX(0,(0)+AT485),Parametri_v3!$C$61/12)</f>
        <v>0</v>
      </c>
      <c r="AV485" s="15" t="n">
        <f aca="false">(0)+AT485-AU485</f>
        <v>262.5</v>
      </c>
      <c r="AW485" s="15" t="n">
        <f aca="false">IF(AND(Motore_Operativo!C485=Finanziamenti!$D$7,Finanziamenti!$F$7=1),Finanziamenti!$C$7,0)</f>
        <v>20000</v>
      </c>
      <c r="AX485" s="15" t="n">
        <f aca="false">0</f>
        <v>0</v>
      </c>
      <c r="AY485" s="15" t="n">
        <f aca="false">IF(1=Parametri_v3!$C$33,MIN(MAX(0,0)*Ipotesi!$C$94,MAX(0,(0)-(0)-BP485),MAX(0,BD485-Parametri_v3!$C$31)),0)</f>
        <v>0</v>
      </c>
      <c r="AZ485" s="15" t="n">
        <f aca="false">0</f>
        <v>0</v>
      </c>
      <c r="BA485" s="15" t="n">
        <f aca="false">0</f>
        <v>0</v>
      </c>
      <c r="BB485" s="15" t="n">
        <f aca="false">0</f>
        <v>0</v>
      </c>
      <c r="BC485" s="15" t="n">
        <f aca="false">0</f>
        <v>0</v>
      </c>
      <c r="BD485" s="15" t="n">
        <f aca="false">(0)+AC485-AF485-AI485-AS485-K485*(1+Parametri_v3!$C$26)-AL485-AQ485-O485+AW485+AX485+AZ485+BA485-BB485</f>
        <v>14707.5</v>
      </c>
      <c r="BE485" s="15" t="n">
        <f aca="false">0</f>
        <v>0</v>
      </c>
      <c r="BF485" s="15" t="n">
        <f aca="false">0</f>
        <v>0</v>
      </c>
      <c r="BG485" s="15" t="n">
        <f aca="false">0</f>
        <v>0</v>
      </c>
      <c r="BH485" s="15" t="n">
        <f aca="false">BD485+BE485-BF485-AY485</f>
        <v>14707.5</v>
      </c>
      <c r="BI485" s="15" t="n">
        <f aca="false">MAX(0,Parametri_v3!$C$31-BH485)</f>
        <v>0</v>
      </c>
      <c r="BJ485" s="15" t="n">
        <f aca="false">(0)+K485</f>
        <v>250</v>
      </c>
      <c r="BK485" s="15" t="n">
        <f aca="false">(0)+L485</f>
        <v>6.94444444444445</v>
      </c>
      <c r="BL485" s="15" t="n">
        <f aca="false">BJ485-BK485</f>
        <v>243.055555555556</v>
      </c>
      <c r="BM485" s="15" t="n">
        <f aca="false">(0)+Y485</f>
        <v>2948.21538011696</v>
      </c>
      <c r="BN485" s="15" t="n">
        <f aca="false">(0)+AW485+AX485+AZ485</f>
        <v>20000</v>
      </c>
      <c r="BO485" s="15" t="n">
        <f aca="false">(0)+AY485</f>
        <v>0</v>
      </c>
      <c r="BP485" s="15" t="n">
        <f aca="false">MIN(Parametri_v3!$C$36*Parametri_v3!$C$35,(0)+IF(1=1,MAX(0,0)*Parametri_v3!$C$34,0))</f>
        <v>0</v>
      </c>
      <c r="BQ485" s="15" t="n">
        <f aca="false">BN485+BM485-BO485</f>
        <v>22948.215380117</v>
      </c>
      <c r="BR485" s="15" t="n">
        <f aca="false">BH485+AD485+BL485+MAX(0,-AM485)+MAX(0,-AR485)</f>
        <v>34727.3976608187</v>
      </c>
      <c r="BS485" s="15" t="n">
        <f aca="false">AJ485+AV485+MAX(0,AM485)+MAX(0,AR485)+BC485+BG485+BQ485+AG485</f>
        <v>34727.3976608187</v>
      </c>
      <c r="BT485" s="15" t="n">
        <f aca="false">BR485-BS485</f>
        <v>0</v>
      </c>
      <c r="BU485" s="15" t="n">
        <f aca="false">BH485-(BD485+BE485-BF485-AY485)</f>
        <v>0</v>
      </c>
      <c r="BV485" s="15" t="n">
        <f aca="false">0</f>
        <v>0</v>
      </c>
    </row>
    <row r="486" customFormat="false" ht="18" hidden="false" customHeight="true" outlineLevel="0" collapsed="false">
      <c r="A486" s="68" t="n">
        <f aca="false">9</f>
        <v>9</v>
      </c>
      <c r="B486" s="68" t="n">
        <f aca="false">2</f>
        <v>2</v>
      </c>
      <c r="C486" s="18" t="n">
        <f aca="false">Motore_Operativo!C486</f>
        <v>46419</v>
      </c>
      <c r="D486" s="68" t="n">
        <f aca="false">Motore_Operativo!D486</f>
        <v>2027</v>
      </c>
      <c r="E486" s="68" t="n">
        <f aca="false">Motore_Operativo!E486</f>
        <v>2</v>
      </c>
      <c r="F486" s="15" t="n">
        <f aca="false">Motore_Operativo!AM486</f>
        <v>16210.5263157895</v>
      </c>
      <c r="G486" s="15" t="n">
        <f aca="false">Motore_Operativo!BH486</f>
        <v>1621.05263157895</v>
      </c>
      <c r="H486" s="15" t="n">
        <f aca="false">Motore_Operativo!AM486</f>
        <v>16210.5263157895</v>
      </c>
      <c r="I486" s="15" t="n">
        <f aca="false">Motore_Operativo!CB486</f>
        <v>12114.5175438596</v>
      </c>
      <c r="J486" s="15" t="n">
        <f aca="false">Motore_Operativo!CD486</f>
        <v>4096.00877192982</v>
      </c>
      <c r="K486" s="15" t="n">
        <f aca="false">Motore_Operativo!CF486</f>
        <v>250</v>
      </c>
      <c r="L486" s="15" t="n">
        <f aca="false">SUM(INDEX($K$485:$K$544,MAX(1,2-Parametri_v3!$C$59+1)):K486)/Parametri_v3!$C$59</f>
        <v>13.8888888888889</v>
      </c>
      <c r="M486" s="15" t="n">
        <f aca="false">J486-L486</f>
        <v>4082.11988304094</v>
      </c>
      <c r="N486" s="15" t="n">
        <f aca="false">0</f>
        <v>0</v>
      </c>
      <c r="O486" s="15" t="n">
        <f aca="false">0</f>
        <v>0</v>
      </c>
      <c r="P486" s="15" t="n">
        <f aca="false">M486+N486-O486</f>
        <v>4082.11988304094</v>
      </c>
      <c r="Q486" s="15" t="n">
        <f aca="false">SUM(P485:P486)+Parametri_v3!$C$56*2/12</f>
        <v>8171.18421052632</v>
      </c>
      <c r="R486" s="15" t="n">
        <f aca="false">0</f>
        <v>0</v>
      </c>
      <c r="S486" s="15" t="n">
        <f aca="false">0</f>
        <v>0</v>
      </c>
      <c r="T486" s="15" t="n">
        <f aca="false">MIN(R486,MAX(0,Q486))</f>
        <v>0</v>
      </c>
      <c r="U486" s="15" t="n">
        <f aca="false">MIN(S486,MAX(0,Q486-T486)*Parametri_v3!$C$42)</f>
        <v>0</v>
      </c>
      <c r="V486" s="15" t="n">
        <f aca="false">MAX(0,Q486-T486-U486)*Ipotesi!$C$92</f>
        <v>1961.08421052632</v>
      </c>
      <c r="W486" s="15" t="n">
        <f aca="false">MAX(0,SUM(M485:M486)+Parametri_v3!$C$57*2/12)*Ipotesi!$C$93</f>
        <v>318.676184210526</v>
      </c>
      <c r="X486" s="15" t="n">
        <f aca="false">V486+W486-(V485+W485)</f>
        <v>1138.91144736842</v>
      </c>
      <c r="Y486" s="15" t="n">
        <f aca="false">P486-X486</f>
        <v>2943.20843567251</v>
      </c>
      <c r="Z486" s="15" t="n">
        <f aca="false">R486-T486+IF(AND(Parametri_v3!$C$40=1,D486-YEAR(Parametri_v3!$C$50)&lt;Parametri_v3!$C$41),MAX(0,-Q486),0)</f>
        <v>0</v>
      </c>
      <c r="AA486" s="15" t="n">
        <f aca="false">S486-U486+IF(AND(Parametri_v3!$C$40=1,D486-YEAR(Parametri_v3!$C$50)&lt;Parametri_v3!$C$41),0,MAX(0,-Q486))</f>
        <v>0</v>
      </c>
      <c r="AB486" s="15" t="n">
        <f aca="false">F486*(1+Parametri_v3!$C$26)</f>
        <v>19776.8421052632</v>
      </c>
      <c r="AC486" s="15" t="n">
        <f aca="false">(IF(2-(INT((Motore_Operativo!L486)/30))&lt;1,0,INDEX(Motore_Advisory!$AB$485:$AB$544,MAX(1,2-(INT((Motore_Operativo!L486)/30)))))*(1-(MOD((Motore_Operativo!L486),30)/30))+IF(2-(INT((Motore_Operativo!L486)/30))-1&lt;1,0,INDEX(Motore_Advisory!$AB$485:$AB$544,MAX(1,2-(INT((Motore_Operativo!L486)/30))-1)))*(MOD((Motore_Operativo!L486),30)/30))</f>
        <v>0</v>
      </c>
      <c r="AD486" s="15" t="n">
        <f aca="false">(AD485)+AB486-AC486</f>
        <v>39553.6842105263</v>
      </c>
      <c r="AE486" s="15" t="n">
        <f aca="false">Motore_Operativo!BH486*(1+Parametri_v3!$C$26)</f>
        <v>1977.68421052632</v>
      </c>
      <c r="AF486" s="15" t="n">
        <f aca="false">(IF(2-(INT((Parametri_v3!$C$29)/30))&lt;1,0,INDEX(Motore_Operativo!$BH$485:$BH$544,MAX(1,2-(INT((Parametri_v3!$C$29)/30)))))*(1-(MOD((Parametri_v3!$C$29),30)/30))+IF(2-(INT((Parametri_v3!$C$29)/30))-1&lt;1,0,INDEX(Motore_Operativo!$BH$485:$BH$544,MAX(1,2-(INT((Parametri_v3!$C$29)/30))-1)))*(MOD((Parametri_v3!$C$29),30)/30))*(1+Parametri_v3!$C$26)</f>
        <v>1977.68421052632</v>
      </c>
      <c r="AG486" s="15" t="n">
        <f aca="false">(AG485)+AE486-AF486</f>
        <v>1977.68421052632</v>
      </c>
      <c r="AH486" s="15" t="n">
        <f aca="false">(Motore_Operativo!CK486)*(1+Parametri_v3!$C$28*Parametri_v3!$C$26)</f>
        <v>6166.3147368421</v>
      </c>
      <c r="AI486" s="15" t="n">
        <f aca="false">(IF(2-(INT((Ipotesi!$C$91)/30))&lt;1,0,INDEX(Motore_Advisory!$AH$485:$AH$544,MAX(1,2-(INT((Ipotesi!$C$91)/30)))))*(1-(MOD((Ipotesi!$C$91),30)/30))+IF(2-(INT((Ipotesi!$C$91)/30))-1&lt;1,0,INDEX(Motore_Advisory!$AH$485:$AH$544,MAX(1,2-(INT((Ipotesi!$C$91)/30))-1)))*(MOD((Ipotesi!$C$91),30)/30))</f>
        <v>0</v>
      </c>
      <c r="AJ486" s="15" t="n">
        <f aca="false">(AJ485)+AH486-AI486</f>
        <v>12332.6294736842</v>
      </c>
      <c r="AK486" s="15" t="n">
        <f aca="false">(F486- Motore_Operativo!BH486-(Motore_Operativo!CK486)*Parametri_v3!$C$28-Motore_Operativo!CF486)*Parametri_v3!$C$26</f>
        <v>2231.83438596491</v>
      </c>
      <c r="AL486" s="15" t="n">
        <f aca="false">MAX(0,(AM485))</f>
        <v>2231.83438596491</v>
      </c>
      <c r="AM486" s="15" t="n">
        <f aca="false">(AM485)+AK486-AL486</f>
        <v>2231.83438596491</v>
      </c>
      <c r="AN486" s="15" t="n">
        <f aca="false">0</f>
        <v>0</v>
      </c>
      <c r="AO486" s="15" t="n">
        <f aca="false">0</f>
        <v>0</v>
      </c>
      <c r="AP486" s="15" t="n">
        <f aca="false">MAX(0,AN486)*IF(2=Parametri_v3!$C$43,Parametri_v3!$C$45,IF(2=Parametri_v3!$C$44,1-Parametri_v3!$C$45,0))</f>
        <v>0</v>
      </c>
      <c r="AQ486" s="15" t="n">
        <f aca="false">MAX(0,AP486+IF(2=Parametri_v3!$C$43,MAX(0,AN486-AO486),0)-MAX(0,-(AR485)))</f>
        <v>0</v>
      </c>
      <c r="AR486" s="15" t="n">
        <f aca="false">(AR485)+X486-AQ486</f>
        <v>2279.76039473684</v>
      </c>
      <c r="AS486" s="15" t="n">
        <f aca="false">Motore_Operativo!AC486-AT486+AU486</f>
        <v>4987.5</v>
      </c>
      <c r="AT486" s="15" t="n">
        <f aca="false">Motore_Operativo!CI486</f>
        <v>262.5</v>
      </c>
      <c r="AU486" s="15" t="n">
        <f aca="false">MIN(MAX(0,(AV485)+AT486),Parametri_v3!$C$61/12)</f>
        <v>0</v>
      </c>
      <c r="AV486" s="15" t="n">
        <f aca="false">(AV485)+AT486-AU486</f>
        <v>525</v>
      </c>
      <c r="AW486" s="15" t="n">
        <f aca="false">IF(AND(Motore_Operativo!C486=Finanziamenti!$D$7,Finanziamenti!$F$7=1),Finanziamenti!$C$7,0)</f>
        <v>0</v>
      </c>
      <c r="AX486" s="15" t="n">
        <f aca="false">0</f>
        <v>0</v>
      </c>
      <c r="AY486" s="15" t="n">
        <f aca="false">IF(2=Parametri_v3!$C$33,IF(BV486&lt;MIN(12,$B486-1),0,MIN(MAX(0,0)*Ipotesi!$C$94,MAX(0,(0)-(BO485)-BP486),MAX(0,BD486-Parametri_v3!$C$31))),0)</f>
        <v>0</v>
      </c>
      <c r="AZ486" s="15" t="n">
        <f aca="false">0</f>
        <v>0</v>
      </c>
      <c r="BA486" s="15" t="n">
        <f aca="false">0</f>
        <v>0</v>
      </c>
      <c r="BB486" s="15" t="n">
        <f aca="false">0</f>
        <v>0</v>
      </c>
      <c r="BC486" s="15" t="n">
        <f aca="false">0</f>
        <v>0</v>
      </c>
      <c r="BD486" s="15" t="n">
        <f aca="false">(BH485)+AC486-AF486-AI486-AS486-K486*(1+Parametri_v3!$C$26)-AL486-AQ486-O486+AW486+AX486+AZ486+BA486-BB486</f>
        <v>5205.48140350877</v>
      </c>
      <c r="BE486" s="15" t="n">
        <f aca="false">0</f>
        <v>0</v>
      </c>
      <c r="BF486" s="15" t="n">
        <f aca="false">0</f>
        <v>0</v>
      </c>
      <c r="BG486" s="15" t="n">
        <f aca="false">0</f>
        <v>0</v>
      </c>
      <c r="BH486" s="15" t="n">
        <f aca="false">BD486+BE486-BF486-AY486</f>
        <v>5205.48140350877</v>
      </c>
      <c r="BI486" s="15" t="n">
        <f aca="false">MAX(0,Parametri_v3!$C$31-BH486)</f>
        <v>4794.51859649123</v>
      </c>
      <c r="BJ486" s="15" t="n">
        <f aca="false">(BJ485)+K486</f>
        <v>500</v>
      </c>
      <c r="BK486" s="15" t="n">
        <f aca="false">(BK485)+L486</f>
        <v>20.8333333333333</v>
      </c>
      <c r="BL486" s="15" t="n">
        <f aca="false">BJ486-BK486</f>
        <v>479.166666666667</v>
      </c>
      <c r="BM486" s="15" t="n">
        <f aca="false">(BM485)+Y486</f>
        <v>5891.42381578947</v>
      </c>
      <c r="BN486" s="15" t="n">
        <f aca="false">(BN485)+AW486+AX486+AZ486</f>
        <v>20000</v>
      </c>
      <c r="BO486" s="15" t="n">
        <f aca="false">(BO485)+AY486</f>
        <v>0</v>
      </c>
      <c r="BP486" s="15" t="n">
        <f aca="false">MIN(Parametri_v3!$C$36*Parametri_v3!$C$35,(BP485)+IF(2=1,MAX(0,0)*Parametri_v3!$C$34,0))</f>
        <v>0</v>
      </c>
      <c r="BQ486" s="15" t="n">
        <f aca="false">BN486+BM486-BO486</f>
        <v>25891.4238157895</v>
      </c>
      <c r="BR486" s="15" t="n">
        <f aca="false">BH486+AD486+BL486+MAX(0,-AM486)+MAX(0,-AR486)</f>
        <v>45238.3322807018</v>
      </c>
      <c r="BS486" s="15" t="n">
        <f aca="false">AJ486+AV486+MAX(0,AM486)+MAX(0,AR486)+BC486+BG486+BQ486+AG486</f>
        <v>45238.3322807018</v>
      </c>
      <c r="BT486" s="15" t="n">
        <f aca="false">BR486-BS486</f>
        <v>0</v>
      </c>
      <c r="BU486" s="15" t="n">
        <f aca="false">BH486-(BD486+BE486-BF486-AY486)</f>
        <v>0</v>
      </c>
      <c r="BV486" s="15" t="n">
        <f aca="false">IF(BH485&lt;Parametri_v3!$C$31,0,BV485+1)</f>
        <v>1</v>
      </c>
    </row>
    <row r="487" customFormat="false" ht="18" hidden="false" customHeight="true" outlineLevel="0" collapsed="false">
      <c r="A487" s="68" t="n">
        <f aca="false">9</f>
        <v>9</v>
      </c>
      <c r="B487" s="68" t="n">
        <f aca="false">3</f>
        <v>3</v>
      </c>
      <c r="C487" s="18" t="n">
        <f aca="false">Motore_Operativo!C487</f>
        <v>46447</v>
      </c>
      <c r="D487" s="68" t="n">
        <f aca="false">Motore_Operativo!D487</f>
        <v>2027</v>
      </c>
      <c r="E487" s="68" t="n">
        <f aca="false">Motore_Operativo!E487</f>
        <v>3</v>
      </c>
      <c r="F487" s="15" t="n">
        <f aca="false">Motore_Operativo!AM487</f>
        <v>16210.5263157895</v>
      </c>
      <c r="G487" s="15" t="n">
        <f aca="false">Motore_Operativo!BH487</f>
        <v>1621.05263157895</v>
      </c>
      <c r="H487" s="15" t="n">
        <f aca="false">Motore_Operativo!AM487</f>
        <v>16210.5263157895</v>
      </c>
      <c r="I487" s="15" t="n">
        <f aca="false">Motore_Operativo!CB487</f>
        <v>12114.5175438596</v>
      </c>
      <c r="J487" s="15" t="n">
        <f aca="false">Motore_Operativo!CD487</f>
        <v>4096.00877192982</v>
      </c>
      <c r="K487" s="15" t="n">
        <f aca="false">Motore_Operativo!CF487</f>
        <v>250</v>
      </c>
      <c r="L487" s="15" t="n">
        <f aca="false">SUM(INDEX($K$485:$K$544,MAX(1,3-Parametri_v3!$C$59+1)):K487)/Parametri_v3!$C$59</f>
        <v>20.8333333333333</v>
      </c>
      <c r="M487" s="15" t="n">
        <f aca="false">J487-L487</f>
        <v>4075.17543859649</v>
      </c>
      <c r="N487" s="15" t="n">
        <f aca="false">0</f>
        <v>0</v>
      </c>
      <c r="O487" s="15" t="n">
        <f aca="false">0</f>
        <v>0</v>
      </c>
      <c r="P487" s="15" t="n">
        <f aca="false">M487+N487-O487</f>
        <v>4075.17543859649</v>
      </c>
      <c r="Q487" s="15" t="n">
        <f aca="false">SUM(P485:P487)+Parametri_v3!$C$56*3/12</f>
        <v>12246.3596491228</v>
      </c>
      <c r="R487" s="15" t="n">
        <f aca="false">0</f>
        <v>0</v>
      </c>
      <c r="S487" s="15" t="n">
        <f aca="false">0</f>
        <v>0</v>
      </c>
      <c r="T487" s="15" t="n">
        <f aca="false">MIN(R487,MAX(0,Q487))</f>
        <v>0</v>
      </c>
      <c r="U487" s="15" t="n">
        <f aca="false">MIN(S487,MAX(0,Q487-T487)*Parametri_v3!$C$42)</f>
        <v>0</v>
      </c>
      <c r="V487" s="15" t="n">
        <f aca="false">MAX(0,Q487-T487-U487)*Ipotesi!$C$92</f>
        <v>2939.12631578947</v>
      </c>
      <c r="W487" s="15" t="n">
        <f aca="false">MAX(0,SUM(M485:M487)+Parametri_v3!$C$57*3/12)*Ipotesi!$C$93</f>
        <v>477.608026315789</v>
      </c>
      <c r="X487" s="15" t="n">
        <f aca="false">V487+W487-(V486+W486)</f>
        <v>1136.97394736842</v>
      </c>
      <c r="Y487" s="15" t="n">
        <f aca="false">P487-X487</f>
        <v>2938.20149122807</v>
      </c>
      <c r="Z487" s="15" t="n">
        <f aca="false">R487-T487+IF(AND(Parametri_v3!$C$40=1,D487-YEAR(Parametri_v3!$C$50)&lt;Parametri_v3!$C$41),MAX(0,-Q487),0)</f>
        <v>0</v>
      </c>
      <c r="AA487" s="15" t="n">
        <f aca="false">S487-U487+IF(AND(Parametri_v3!$C$40=1,D487-YEAR(Parametri_v3!$C$50)&lt;Parametri_v3!$C$41),0,MAX(0,-Q487))</f>
        <v>0</v>
      </c>
      <c r="AB487" s="15" t="n">
        <f aca="false">F487*(1+Parametri_v3!$C$26)</f>
        <v>19776.8421052632</v>
      </c>
      <c r="AC487" s="15" t="n">
        <f aca="false">(IF(3-(INT((Motore_Operativo!L487)/30))&lt;1,0,INDEX(Motore_Advisory!$AB$485:$AB$544,MAX(1,3-(INT((Motore_Operativo!L487)/30)))))*(1-(MOD((Motore_Operativo!L487),30)/30))+IF(3-(INT((Motore_Operativo!L487)/30))-1&lt;1,0,INDEX(Motore_Advisory!$AB$485:$AB$544,MAX(1,3-(INT((Motore_Operativo!L487)/30))-1)))*(MOD((Motore_Operativo!L487),30)/30))</f>
        <v>0</v>
      </c>
      <c r="AD487" s="15" t="n">
        <f aca="false">(AD486)+AB487-AC487</f>
        <v>59330.5263157895</v>
      </c>
      <c r="AE487" s="15" t="n">
        <f aca="false">Motore_Operativo!BH487*(1+Parametri_v3!$C$26)</f>
        <v>1977.68421052632</v>
      </c>
      <c r="AF487" s="15" t="n">
        <f aca="false">(IF(3-(INT((Parametri_v3!$C$29)/30))&lt;1,0,INDEX(Motore_Operativo!$BH$485:$BH$544,MAX(1,3-(INT((Parametri_v3!$C$29)/30)))))*(1-(MOD((Parametri_v3!$C$29),30)/30))+IF(3-(INT((Parametri_v3!$C$29)/30))-1&lt;1,0,INDEX(Motore_Operativo!$BH$485:$BH$544,MAX(1,3-(INT((Parametri_v3!$C$29)/30))-1)))*(MOD((Parametri_v3!$C$29),30)/30))*(1+Parametri_v3!$C$26)</f>
        <v>1977.68421052632</v>
      </c>
      <c r="AG487" s="15" t="n">
        <f aca="false">(AG486)+AE487-AF487</f>
        <v>1977.68421052632</v>
      </c>
      <c r="AH487" s="15" t="n">
        <f aca="false">(Motore_Operativo!CK487)*(1+Parametri_v3!$C$28*Parametri_v3!$C$26)</f>
        <v>6166.3147368421</v>
      </c>
      <c r="AI487" s="15" t="n">
        <f aca="false">(IF(3-(INT((Ipotesi!$C$91)/30))&lt;1,0,INDEX(Motore_Advisory!$AH$485:$AH$544,MAX(1,3-(INT((Ipotesi!$C$91)/30)))))*(1-(MOD((Ipotesi!$C$91),30)/30))+IF(3-(INT((Ipotesi!$C$91)/30))-1&lt;1,0,INDEX(Motore_Advisory!$AH$485:$AH$544,MAX(1,3-(INT((Ipotesi!$C$91)/30))-1)))*(MOD((Ipotesi!$C$91),30)/30))</f>
        <v>6166.3147368421</v>
      </c>
      <c r="AJ487" s="15" t="n">
        <f aca="false">(AJ486)+AH487-AI487</f>
        <v>12332.6294736842</v>
      </c>
      <c r="AK487" s="15" t="n">
        <f aca="false">(F487- Motore_Operativo!BH487-(Motore_Operativo!CK487)*Parametri_v3!$C$28-Motore_Operativo!CF487)*Parametri_v3!$C$26</f>
        <v>2231.83438596491</v>
      </c>
      <c r="AL487" s="15" t="n">
        <f aca="false">MAX(0,(AM486))</f>
        <v>2231.83438596491</v>
      </c>
      <c r="AM487" s="15" t="n">
        <f aca="false">(AM486)+AK487-AL487</f>
        <v>2231.83438596491</v>
      </c>
      <c r="AN487" s="15" t="n">
        <f aca="false">0</f>
        <v>0</v>
      </c>
      <c r="AO487" s="15" t="n">
        <f aca="false">0</f>
        <v>0</v>
      </c>
      <c r="AP487" s="15" t="n">
        <f aca="false">MAX(0,AN487)*IF(3=Parametri_v3!$C$43,Parametri_v3!$C$45,IF(3=Parametri_v3!$C$44,1-Parametri_v3!$C$45,0))</f>
        <v>0</v>
      </c>
      <c r="AQ487" s="15" t="n">
        <f aca="false">MAX(0,AP487+IF(3=Parametri_v3!$C$43,MAX(0,AN487-AO487),0)-MAX(0,-(AR486)))</f>
        <v>0</v>
      </c>
      <c r="AR487" s="15" t="n">
        <f aca="false">(AR486)+X487-AQ487</f>
        <v>3416.73434210526</v>
      </c>
      <c r="AS487" s="15" t="n">
        <f aca="false">Motore_Operativo!AC487-AT487+AU487</f>
        <v>4987.5</v>
      </c>
      <c r="AT487" s="15" t="n">
        <f aca="false">Motore_Operativo!CI487</f>
        <v>262.5</v>
      </c>
      <c r="AU487" s="15" t="n">
        <f aca="false">MIN(MAX(0,(AV486)+AT487),Parametri_v3!$C$61/12)</f>
        <v>0</v>
      </c>
      <c r="AV487" s="15" t="n">
        <f aca="false">(AV486)+AT487-AU487</f>
        <v>787.5</v>
      </c>
      <c r="AW487" s="15" t="n">
        <f aca="false">IF(AND(Motore_Operativo!C487=Finanziamenti!$D$7,Finanziamenti!$F$7=1),Finanziamenti!$C$7,0)</f>
        <v>0</v>
      </c>
      <c r="AX487" s="15" t="n">
        <f aca="false">0</f>
        <v>0</v>
      </c>
      <c r="AY487" s="15" t="n">
        <f aca="false">IF(3=Parametri_v3!$C$33,IF(BV487&lt;MIN(12,$B487-1),0,MIN(MAX(0,0)*Ipotesi!$C$94,MAX(0,(0)-(BO486)-BP487),MAX(0,BD487-Parametri_v3!$C$31))),0)</f>
        <v>0</v>
      </c>
      <c r="AZ487" s="15" t="n">
        <f aca="false">0</f>
        <v>0</v>
      </c>
      <c r="BA487" s="15" t="n">
        <f aca="false">0</f>
        <v>0</v>
      </c>
      <c r="BB487" s="15" t="n">
        <f aca="false">0</f>
        <v>0</v>
      </c>
      <c r="BC487" s="15" t="n">
        <f aca="false">0</f>
        <v>0</v>
      </c>
      <c r="BD487" s="15" t="n">
        <f aca="false">(BH486)+AC487-AF487-AI487-AS487-K487*(1+Parametri_v3!$C$26)-AL487-AQ487-O487+AW487+AX487+AZ487+BA487-BB487</f>
        <v>-10462.8519298246</v>
      </c>
      <c r="BE487" s="15" t="n">
        <f aca="false">0</f>
        <v>0</v>
      </c>
      <c r="BF487" s="15" t="n">
        <f aca="false">0</f>
        <v>0</v>
      </c>
      <c r="BG487" s="15" t="n">
        <f aca="false">0</f>
        <v>0</v>
      </c>
      <c r="BH487" s="15" t="n">
        <f aca="false">BD487+BE487-BF487-AY487</f>
        <v>-10462.8519298246</v>
      </c>
      <c r="BI487" s="15" t="n">
        <f aca="false">MAX(0,Parametri_v3!$C$31-BH487)</f>
        <v>20462.8519298246</v>
      </c>
      <c r="BJ487" s="15" t="n">
        <f aca="false">(BJ486)+K487</f>
        <v>750</v>
      </c>
      <c r="BK487" s="15" t="n">
        <f aca="false">(BK486)+L487</f>
        <v>41.6666666666667</v>
      </c>
      <c r="BL487" s="15" t="n">
        <f aca="false">BJ487-BK487</f>
        <v>708.333333333333</v>
      </c>
      <c r="BM487" s="15" t="n">
        <f aca="false">(BM486)+Y487</f>
        <v>8829.62530701754</v>
      </c>
      <c r="BN487" s="15" t="n">
        <f aca="false">(BN486)+AW487+AX487+AZ487</f>
        <v>20000</v>
      </c>
      <c r="BO487" s="15" t="n">
        <f aca="false">(BO486)+AY487</f>
        <v>0</v>
      </c>
      <c r="BP487" s="15" t="n">
        <f aca="false">MIN(Parametri_v3!$C$36*Parametri_v3!$C$35,(BP486)+IF(3=1,MAX(0,0)*Parametri_v3!$C$34,0))</f>
        <v>0</v>
      </c>
      <c r="BQ487" s="15" t="n">
        <f aca="false">BN487+BM487-BO487</f>
        <v>28829.6253070175</v>
      </c>
      <c r="BR487" s="15" t="n">
        <f aca="false">BH487+AD487+BL487+MAX(0,-AM487)+MAX(0,-AR487)</f>
        <v>49576.0077192982</v>
      </c>
      <c r="BS487" s="15" t="n">
        <f aca="false">AJ487+AV487+MAX(0,AM487)+MAX(0,AR487)+BC487+BG487+BQ487+AG487</f>
        <v>49576.0077192982</v>
      </c>
      <c r="BT487" s="15" t="n">
        <f aca="false">BR487-BS487</f>
        <v>0</v>
      </c>
      <c r="BU487" s="15" t="n">
        <f aca="false">BH487-(BD487+BE487-BF487-AY487)</f>
        <v>0</v>
      </c>
      <c r="BV487" s="15" t="n">
        <f aca="false">IF(BH486&lt;Parametri_v3!$C$31,0,BV486+1)</f>
        <v>0</v>
      </c>
    </row>
    <row r="488" customFormat="false" ht="18" hidden="false" customHeight="true" outlineLevel="0" collapsed="false">
      <c r="A488" s="68" t="n">
        <f aca="false">9</f>
        <v>9</v>
      </c>
      <c r="B488" s="68" t="n">
        <f aca="false">4</f>
        <v>4</v>
      </c>
      <c r="C488" s="18" t="n">
        <f aca="false">Motore_Operativo!C488</f>
        <v>46478</v>
      </c>
      <c r="D488" s="68" t="n">
        <f aca="false">Motore_Operativo!D488</f>
        <v>2027</v>
      </c>
      <c r="E488" s="68" t="n">
        <f aca="false">Motore_Operativo!E488</f>
        <v>4</v>
      </c>
      <c r="F488" s="15" t="n">
        <f aca="false">Motore_Operativo!AM488</f>
        <v>16210.5263157895</v>
      </c>
      <c r="G488" s="15" t="n">
        <f aca="false">Motore_Operativo!BH488</f>
        <v>1621.05263157895</v>
      </c>
      <c r="H488" s="15" t="n">
        <f aca="false">Motore_Operativo!AM488</f>
        <v>16210.5263157895</v>
      </c>
      <c r="I488" s="15" t="n">
        <f aca="false">Motore_Operativo!CB488</f>
        <v>12114.5175438596</v>
      </c>
      <c r="J488" s="15" t="n">
        <f aca="false">Motore_Operativo!CD488</f>
        <v>4096.00877192982</v>
      </c>
      <c r="K488" s="15" t="n">
        <f aca="false">Motore_Operativo!CF488</f>
        <v>250</v>
      </c>
      <c r="L488" s="15" t="n">
        <f aca="false">SUM(INDEX($K$485:$K$544,MAX(1,4-Parametri_v3!$C$59+1)):K488)/Parametri_v3!$C$59</f>
        <v>27.7777777777778</v>
      </c>
      <c r="M488" s="15" t="n">
        <f aca="false">J488-L488</f>
        <v>4068.23099415205</v>
      </c>
      <c r="N488" s="15" t="n">
        <f aca="false">0</f>
        <v>0</v>
      </c>
      <c r="O488" s="15" t="n">
        <f aca="false">0</f>
        <v>0</v>
      </c>
      <c r="P488" s="15" t="n">
        <f aca="false">M488+N488-O488</f>
        <v>4068.23099415205</v>
      </c>
      <c r="Q488" s="15" t="n">
        <f aca="false">SUM(P485:P488)+Parametri_v3!$C$56*4/12</f>
        <v>16314.5906432749</v>
      </c>
      <c r="R488" s="15" t="n">
        <f aca="false">0</f>
        <v>0</v>
      </c>
      <c r="S488" s="15" t="n">
        <f aca="false">0</f>
        <v>0</v>
      </c>
      <c r="T488" s="15" t="n">
        <f aca="false">MIN(R488,MAX(0,Q488))</f>
        <v>0</v>
      </c>
      <c r="U488" s="15" t="n">
        <f aca="false">MIN(S488,MAX(0,Q488-T488)*Parametri_v3!$C$42)</f>
        <v>0</v>
      </c>
      <c r="V488" s="15" t="n">
        <f aca="false">MAX(0,Q488-T488-U488)*Ipotesi!$C$92</f>
        <v>3915.50175438597</v>
      </c>
      <c r="W488" s="15" t="n">
        <f aca="false">MAX(0,SUM(M485:M488)+Parametri_v3!$C$57*4/12)*Ipotesi!$C$93</f>
        <v>636.269035087719</v>
      </c>
      <c r="X488" s="15" t="n">
        <f aca="false">V488+W488-(V487+W487)</f>
        <v>1135.03644736842</v>
      </c>
      <c r="Y488" s="15" t="n">
        <f aca="false">P488-X488</f>
        <v>2933.19454678363</v>
      </c>
      <c r="Z488" s="15" t="n">
        <f aca="false">R488-T488+IF(AND(Parametri_v3!$C$40=1,D488-YEAR(Parametri_v3!$C$50)&lt;Parametri_v3!$C$41),MAX(0,-Q488),0)</f>
        <v>0</v>
      </c>
      <c r="AA488" s="15" t="n">
        <f aca="false">S488-U488+IF(AND(Parametri_v3!$C$40=1,D488-YEAR(Parametri_v3!$C$50)&lt;Parametri_v3!$C$41),0,MAX(0,-Q488))</f>
        <v>0</v>
      </c>
      <c r="AB488" s="15" t="n">
        <f aca="false">F488*(1+Parametri_v3!$C$26)</f>
        <v>19776.8421052632</v>
      </c>
      <c r="AC488" s="15" t="n">
        <f aca="false">(IF(4-(INT((Motore_Operativo!L488)/30))&lt;1,0,INDEX(Motore_Advisory!$AB$485:$AB$544,MAX(1,4-(INT((Motore_Operativo!L488)/30)))))*(1-(MOD((Motore_Operativo!L488),30)/30))+IF(4-(INT((Motore_Operativo!L488)/30))-1&lt;1,0,INDEX(Motore_Advisory!$AB$485:$AB$544,MAX(1,4-(INT((Motore_Operativo!L488)/30))-1)))*(MOD((Motore_Operativo!L488),30)/30))</f>
        <v>19776.8421052632</v>
      </c>
      <c r="AD488" s="15" t="n">
        <f aca="false">(AD487)+AB488-AC488</f>
        <v>59330.5263157895</v>
      </c>
      <c r="AE488" s="15" t="n">
        <f aca="false">Motore_Operativo!BH488*(1+Parametri_v3!$C$26)</f>
        <v>1977.68421052632</v>
      </c>
      <c r="AF488" s="15" t="n">
        <f aca="false">(IF(4-(INT((Parametri_v3!$C$29)/30))&lt;1,0,INDEX(Motore_Operativo!$BH$485:$BH$544,MAX(1,4-(INT((Parametri_v3!$C$29)/30)))))*(1-(MOD((Parametri_v3!$C$29),30)/30))+IF(4-(INT((Parametri_v3!$C$29)/30))-1&lt;1,0,INDEX(Motore_Operativo!$BH$485:$BH$544,MAX(1,4-(INT((Parametri_v3!$C$29)/30))-1)))*(MOD((Parametri_v3!$C$29),30)/30))*(1+Parametri_v3!$C$26)</f>
        <v>1977.68421052632</v>
      </c>
      <c r="AG488" s="15" t="n">
        <f aca="false">(AG487)+AE488-AF488</f>
        <v>1977.68421052632</v>
      </c>
      <c r="AH488" s="15" t="n">
        <f aca="false">(Motore_Operativo!CK488)*(1+Parametri_v3!$C$28*Parametri_v3!$C$26)</f>
        <v>6166.3147368421</v>
      </c>
      <c r="AI488" s="15" t="n">
        <f aca="false">(IF(4-(INT((Ipotesi!$C$91)/30))&lt;1,0,INDEX(Motore_Advisory!$AH$485:$AH$544,MAX(1,4-(INT((Ipotesi!$C$91)/30)))))*(1-(MOD((Ipotesi!$C$91),30)/30))+IF(4-(INT((Ipotesi!$C$91)/30))-1&lt;1,0,INDEX(Motore_Advisory!$AH$485:$AH$544,MAX(1,4-(INT((Ipotesi!$C$91)/30))-1)))*(MOD((Ipotesi!$C$91),30)/30))</f>
        <v>6166.3147368421</v>
      </c>
      <c r="AJ488" s="15" t="n">
        <f aca="false">(AJ487)+AH488-AI488</f>
        <v>12332.6294736842</v>
      </c>
      <c r="AK488" s="15" t="n">
        <f aca="false">(F488- Motore_Operativo!BH488-(Motore_Operativo!CK488)*Parametri_v3!$C$28-Motore_Operativo!CF488)*Parametri_v3!$C$26</f>
        <v>2231.83438596491</v>
      </c>
      <c r="AL488" s="15" t="n">
        <f aca="false">MAX(0,(AM487))</f>
        <v>2231.83438596491</v>
      </c>
      <c r="AM488" s="15" t="n">
        <f aca="false">(AM487)+AK488-AL488</f>
        <v>2231.83438596491</v>
      </c>
      <c r="AN488" s="15" t="n">
        <f aca="false">0</f>
        <v>0</v>
      </c>
      <c r="AO488" s="15" t="n">
        <f aca="false">0</f>
        <v>0</v>
      </c>
      <c r="AP488" s="15" t="n">
        <f aca="false">MAX(0,AN488)*IF(4=Parametri_v3!$C$43,Parametri_v3!$C$45,IF(4=Parametri_v3!$C$44,1-Parametri_v3!$C$45,0))</f>
        <v>0</v>
      </c>
      <c r="AQ488" s="15" t="n">
        <f aca="false">MAX(0,AP488+IF(4=Parametri_v3!$C$43,MAX(0,AN488-AO488),0)-MAX(0,-(AR487)))</f>
        <v>0</v>
      </c>
      <c r="AR488" s="15" t="n">
        <f aca="false">(AR487)+X488-AQ488</f>
        <v>4551.77078947368</v>
      </c>
      <c r="AS488" s="15" t="n">
        <f aca="false">Motore_Operativo!AC488-AT488+AU488</f>
        <v>4987.5</v>
      </c>
      <c r="AT488" s="15" t="n">
        <f aca="false">Motore_Operativo!CI488</f>
        <v>262.5</v>
      </c>
      <c r="AU488" s="15" t="n">
        <f aca="false">MIN(MAX(0,(AV487)+AT488),Parametri_v3!$C$61/12)</f>
        <v>0</v>
      </c>
      <c r="AV488" s="15" t="n">
        <f aca="false">(AV487)+AT488-AU488</f>
        <v>1050</v>
      </c>
      <c r="AW488" s="15" t="n">
        <f aca="false">IF(AND(Motore_Operativo!C488=Finanziamenti!$D$7,Finanziamenti!$F$7=1),Finanziamenti!$C$7,0)</f>
        <v>0</v>
      </c>
      <c r="AX488" s="15" t="n">
        <f aca="false">0</f>
        <v>0</v>
      </c>
      <c r="AY488" s="15" t="n">
        <f aca="false">IF(4=Parametri_v3!$C$33,IF(BV488&lt;MIN(12,$B488-1),0,MIN(MAX(0,0)*Ipotesi!$C$94,MAX(0,(0)-(BO487)-BP488),MAX(0,BD488-Parametri_v3!$C$31))),0)</f>
        <v>0</v>
      </c>
      <c r="AZ488" s="15" t="n">
        <f aca="false">0</f>
        <v>0</v>
      </c>
      <c r="BA488" s="15" t="n">
        <f aca="false">0</f>
        <v>0</v>
      </c>
      <c r="BB488" s="15" t="n">
        <f aca="false">0</f>
        <v>0</v>
      </c>
      <c r="BC488" s="15" t="n">
        <f aca="false">0</f>
        <v>0</v>
      </c>
      <c r="BD488" s="15" t="n">
        <f aca="false">(BH487)+AC488-AF488-AI488-AS488-K488*(1+Parametri_v3!$C$26)-AL488-AQ488-O488+AW488+AX488+AZ488+BA488-BB488</f>
        <v>-6354.34315789474</v>
      </c>
      <c r="BE488" s="15" t="n">
        <f aca="false">0</f>
        <v>0</v>
      </c>
      <c r="BF488" s="15" t="n">
        <f aca="false">0</f>
        <v>0</v>
      </c>
      <c r="BG488" s="15" t="n">
        <f aca="false">0</f>
        <v>0</v>
      </c>
      <c r="BH488" s="15" t="n">
        <f aca="false">BD488+BE488-BF488-AY488</f>
        <v>-6354.34315789474</v>
      </c>
      <c r="BI488" s="15" t="n">
        <f aca="false">MAX(0,Parametri_v3!$C$31-BH488)</f>
        <v>16354.3431578947</v>
      </c>
      <c r="BJ488" s="15" t="n">
        <f aca="false">(BJ487)+K488</f>
        <v>1000</v>
      </c>
      <c r="BK488" s="15" t="n">
        <f aca="false">(BK487)+L488</f>
        <v>69.4444444444445</v>
      </c>
      <c r="BL488" s="15" t="n">
        <f aca="false">BJ488-BK488</f>
        <v>930.555555555556</v>
      </c>
      <c r="BM488" s="15" t="n">
        <f aca="false">(BM487)+Y488</f>
        <v>11762.8198538012</v>
      </c>
      <c r="BN488" s="15" t="n">
        <f aca="false">(BN487)+AW488+AX488+AZ488</f>
        <v>20000</v>
      </c>
      <c r="BO488" s="15" t="n">
        <f aca="false">(BO487)+AY488</f>
        <v>0</v>
      </c>
      <c r="BP488" s="15" t="n">
        <f aca="false">MIN(Parametri_v3!$C$36*Parametri_v3!$C$35,(BP487)+IF(4=1,MAX(0,0)*Parametri_v3!$C$34,0))</f>
        <v>0</v>
      </c>
      <c r="BQ488" s="15" t="n">
        <f aca="false">BN488+BM488-BO488</f>
        <v>31762.8198538012</v>
      </c>
      <c r="BR488" s="15" t="n">
        <f aca="false">BH488+AD488+BL488+MAX(0,-AM488)+MAX(0,-AR488)</f>
        <v>53906.7387134503</v>
      </c>
      <c r="BS488" s="15" t="n">
        <f aca="false">AJ488+AV488+MAX(0,AM488)+MAX(0,AR488)+BC488+BG488+BQ488+AG488</f>
        <v>53906.7387134503</v>
      </c>
      <c r="BT488" s="15" t="n">
        <f aca="false">BR488-BS488</f>
        <v>0</v>
      </c>
      <c r="BU488" s="15" t="n">
        <f aca="false">BH488-(BD488+BE488-BF488-AY488)</f>
        <v>0</v>
      </c>
      <c r="BV488" s="15" t="n">
        <f aca="false">IF(BH487&lt;Parametri_v3!$C$31,0,BV487+1)</f>
        <v>0</v>
      </c>
    </row>
    <row r="489" customFormat="false" ht="18" hidden="false" customHeight="true" outlineLevel="0" collapsed="false">
      <c r="A489" s="68" t="n">
        <f aca="false">9</f>
        <v>9</v>
      </c>
      <c r="B489" s="68" t="n">
        <f aca="false">5</f>
        <v>5</v>
      </c>
      <c r="C489" s="18" t="n">
        <f aca="false">Motore_Operativo!C489</f>
        <v>46508</v>
      </c>
      <c r="D489" s="68" t="n">
        <f aca="false">Motore_Operativo!D489</f>
        <v>2027</v>
      </c>
      <c r="E489" s="68" t="n">
        <f aca="false">Motore_Operativo!E489</f>
        <v>5</v>
      </c>
      <c r="F489" s="15" t="n">
        <f aca="false">Motore_Operativo!AM489</f>
        <v>16210.5263157895</v>
      </c>
      <c r="G489" s="15" t="n">
        <f aca="false">Motore_Operativo!BH489</f>
        <v>1621.05263157895</v>
      </c>
      <c r="H489" s="15" t="n">
        <f aca="false">Motore_Operativo!AM489</f>
        <v>16210.5263157895</v>
      </c>
      <c r="I489" s="15" t="n">
        <f aca="false">Motore_Operativo!CB489</f>
        <v>12114.5175438596</v>
      </c>
      <c r="J489" s="15" t="n">
        <f aca="false">Motore_Operativo!CD489</f>
        <v>4096.00877192982</v>
      </c>
      <c r="K489" s="15" t="n">
        <f aca="false">Motore_Operativo!CF489</f>
        <v>250</v>
      </c>
      <c r="L489" s="15" t="n">
        <f aca="false">SUM(INDEX($K$485:$K$544,MAX(1,5-Parametri_v3!$C$59+1)):K489)/Parametri_v3!$C$59</f>
        <v>34.7222222222222</v>
      </c>
      <c r="M489" s="15" t="n">
        <f aca="false">J489-L489</f>
        <v>4061.2865497076</v>
      </c>
      <c r="N489" s="15" t="n">
        <f aca="false">0</f>
        <v>0</v>
      </c>
      <c r="O489" s="15" t="n">
        <f aca="false">0</f>
        <v>0</v>
      </c>
      <c r="P489" s="15" t="n">
        <f aca="false">M489+N489-O489</f>
        <v>4061.2865497076</v>
      </c>
      <c r="Q489" s="15" t="n">
        <f aca="false">SUM(P485:P489)+Parametri_v3!$C$56*5/12</f>
        <v>20375.8771929825</v>
      </c>
      <c r="R489" s="15" t="n">
        <f aca="false">0</f>
        <v>0</v>
      </c>
      <c r="S489" s="15" t="n">
        <f aca="false">0</f>
        <v>0</v>
      </c>
      <c r="T489" s="15" t="n">
        <f aca="false">MIN(R489,MAX(0,Q489))</f>
        <v>0</v>
      </c>
      <c r="U489" s="15" t="n">
        <f aca="false">MIN(S489,MAX(0,Q489-T489)*Parametri_v3!$C$42)</f>
        <v>0</v>
      </c>
      <c r="V489" s="15" t="n">
        <f aca="false">MAX(0,Q489-T489-U489)*Ipotesi!$C$92</f>
        <v>4890.21052631579</v>
      </c>
      <c r="W489" s="15" t="n">
        <f aca="false">MAX(0,SUM(M485:M489)+Parametri_v3!$C$57*5/12)*Ipotesi!$C$93</f>
        <v>794.659210526316</v>
      </c>
      <c r="X489" s="15" t="n">
        <f aca="false">V489+W489-(V488+W488)</f>
        <v>1133.09894736842</v>
      </c>
      <c r="Y489" s="15" t="n">
        <f aca="false">P489-X489</f>
        <v>2928.18760233918</v>
      </c>
      <c r="Z489" s="15" t="n">
        <f aca="false">R489-T489+IF(AND(Parametri_v3!$C$40=1,D489-YEAR(Parametri_v3!$C$50)&lt;Parametri_v3!$C$41),MAX(0,-Q489),0)</f>
        <v>0</v>
      </c>
      <c r="AA489" s="15" t="n">
        <f aca="false">S489-U489+IF(AND(Parametri_v3!$C$40=1,D489-YEAR(Parametri_v3!$C$50)&lt;Parametri_v3!$C$41),0,MAX(0,-Q489))</f>
        <v>0</v>
      </c>
      <c r="AB489" s="15" t="n">
        <f aca="false">F489*(1+Parametri_v3!$C$26)</f>
        <v>19776.8421052632</v>
      </c>
      <c r="AC489" s="15" t="n">
        <f aca="false">(IF(5-(INT((Motore_Operativo!L489)/30))&lt;1,0,INDEX(Motore_Advisory!$AB$485:$AB$544,MAX(1,5-(INT((Motore_Operativo!L489)/30)))))*(1-(MOD((Motore_Operativo!L489),30)/30))+IF(5-(INT((Motore_Operativo!L489)/30))-1&lt;1,0,INDEX(Motore_Advisory!$AB$485:$AB$544,MAX(1,5-(INT((Motore_Operativo!L489)/30))-1)))*(MOD((Motore_Operativo!L489),30)/30))</f>
        <v>19776.8421052632</v>
      </c>
      <c r="AD489" s="15" t="n">
        <f aca="false">(AD488)+AB489-AC489</f>
        <v>59330.5263157895</v>
      </c>
      <c r="AE489" s="15" t="n">
        <f aca="false">Motore_Operativo!BH489*(1+Parametri_v3!$C$26)</f>
        <v>1977.68421052632</v>
      </c>
      <c r="AF489" s="15" t="n">
        <f aca="false">(IF(5-(INT((Parametri_v3!$C$29)/30))&lt;1,0,INDEX(Motore_Operativo!$BH$485:$BH$544,MAX(1,5-(INT((Parametri_v3!$C$29)/30)))))*(1-(MOD((Parametri_v3!$C$29),30)/30))+IF(5-(INT((Parametri_v3!$C$29)/30))-1&lt;1,0,INDEX(Motore_Operativo!$BH$485:$BH$544,MAX(1,5-(INT((Parametri_v3!$C$29)/30))-1)))*(MOD((Parametri_v3!$C$29),30)/30))*(1+Parametri_v3!$C$26)</f>
        <v>1977.68421052632</v>
      </c>
      <c r="AG489" s="15" t="n">
        <f aca="false">(AG488)+AE489-AF489</f>
        <v>1977.68421052632</v>
      </c>
      <c r="AH489" s="15" t="n">
        <f aca="false">(Motore_Operativo!CK489)*(1+Parametri_v3!$C$28*Parametri_v3!$C$26)</f>
        <v>6166.3147368421</v>
      </c>
      <c r="AI489" s="15" t="n">
        <f aca="false">(IF(5-(INT((Ipotesi!$C$91)/30))&lt;1,0,INDEX(Motore_Advisory!$AH$485:$AH$544,MAX(1,5-(INT((Ipotesi!$C$91)/30)))))*(1-(MOD((Ipotesi!$C$91),30)/30))+IF(5-(INT((Ipotesi!$C$91)/30))-1&lt;1,0,INDEX(Motore_Advisory!$AH$485:$AH$544,MAX(1,5-(INT((Ipotesi!$C$91)/30))-1)))*(MOD((Ipotesi!$C$91),30)/30))</f>
        <v>6166.3147368421</v>
      </c>
      <c r="AJ489" s="15" t="n">
        <f aca="false">(AJ488)+AH489-AI489</f>
        <v>12332.6294736842</v>
      </c>
      <c r="AK489" s="15" t="n">
        <f aca="false">(F489- Motore_Operativo!BH489-(Motore_Operativo!CK489)*Parametri_v3!$C$28-Motore_Operativo!CF489)*Parametri_v3!$C$26</f>
        <v>2231.83438596491</v>
      </c>
      <c r="AL489" s="15" t="n">
        <f aca="false">MAX(0,(AM488))</f>
        <v>2231.83438596491</v>
      </c>
      <c r="AM489" s="15" t="n">
        <f aca="false">(AM488)+AK489-AL489</f>
        <v>2231.83438596491</v>
      </c>
      <c r="AN489" s="15" t="n">
        <f aca="false">0</f>
        <v>0</v>
      </c>
      <c r="AO489" s="15" t="n">
        <f aca="false">0</f>
        <v>0</v>
      </c>
      <c r="AP489" s="15" t="n">
        <f aca="false">MAX(0,AN489)*IF(5=Parametri_v3!$C$43,Parametri_v3!$C$45,IF(5=Parametri_v3!$C$44,1-Parametri_v3!$C$45,0))</f>
        <v>0</v>
      </c>
      <c r="AQ489" s="15" t="n">
        <f aca="false">MAX(0,AP489+IF(5=Parametri_v3!$C$43,MAX(0,AN489-AO489),0)-MAX(0,-(AR488)))</f>
        <v>0</v>
      </c>
      <c r="AR489" s="15" t="n">
        <f aca="false">(AR488)+X489-AQ489</f>
        <v>5684.86973684211</v>
      </c>
      <c r="AS489" s="15" t="n">
        <f aca="false">Motore_Operativo!AC489-AT489+AU489</f>
        <v>4987.5</v>
      </c>
      <c r="AT489" s="15" t="n">
        <f aca="false">Motore_Operativo!CI489</f>
        <v>262.5</v>
      </c>
      <c r="AU489" s="15" t="n">
        <f aca="false">MIN(MAX(0,(AV488)+AT489),Parametri_v3!$C$61/12)</f>
        <v>0</v>
      </c>
      <c r="AV489" s="15" t="n">
        <f aca="false">(AV488)+AT489-AU489</f>
        <v>1312.5</v>
      </c>
      <c r="AW489" s="15" t="n">
        <f aca="false">IF(AND(Motore_Operativo!C489=Finanziamenti!$D$7,Finanziamenti!$F$7=1),Finanziamenti!$C$7,0)</f>
        <v>0</v>
      </c>
      <c r="AX489" s="15" t="n">
        <f aca="false">0</f>
        <v>0</v>
      </c>
      <c r="AY489" s="15" t="n">
        <f aca="false">IF(5=Parametri_v3!$C$33,IF(BV489&lt;MIN(12,$B489-1),0,MIN(MAX(0,0)*Ipotesi!$C$94,MAX(0,(0)-(BO488)-BP489),MAX(0,BD489-Parametri_v3!$C$31))),0)</f>
        <v>0</v>
      </c>
      <c r="AZ489" s="15" t="n">
        <f aca="false">0</f>
        <v>0</v>
      </c>
      <c r="BA489" s="15" t="n">
        <f aca="false">0</f>
        <v>0</v>
      </c>
      <c r="BB489" s="15" t="n">
        <f aca="false">0</f>
        <v>0</v>
      </c>
      <c r="BC489" s="15" t="n">
        <f aca="false">0</f>
        <v>0</v>
      </c>
      <c r="BD489" s="15" t="n">
        <f aca="false">(BH488)+AC489-AF489-AI489-AS489-K489*(1+Parametri_v3!$C$26)-AL489-AQ489-O489+AW489+AX489+AZ489+BA489-BB489</f>
        <v>-2245.83438596491</v>
      </c>
      <c r="BE489" s="15" t="n">
        <f aca="false">0</f>
        <v>0</v>
      </c>
      <c r="BF489" s="15" t="n">
        <f aca="false">0</f>
        <v>0</v>
      </c>
      <c r="BG489" s="15" t="n">
        <f aca="false">0</f>
        <v>0</v>
      </c>
      <c r="BH489" s="15" t="n">
        <f aca="false">BD489+BE489-BF489-AY489</f>
        <v>-2245.83438596491</v>
      </c>
      <c r="BI489" s="15" t="n">
        <f aca="false">MAX(0,Parametri_v3!$C$31-BH489)</f>
        <v>12245.8343859649</v>
      </c>
      <c r="BJ489" s="15" t="n">
        <f aca="false">(BJ488)+K489</f>
        <v>1250</v>
      </c>
      <c r="BK489" s="15" t="n">
        <f aca="false">(BK488)+L489</f>
        <v>104.166666666667</v>
      </c>
      <c r="BL489" s="15" t="n">
        <f aca="false">BJ489-BK489</f>
        <v>1145.83333333333</v>
      </c>
      <c r="BM489" s="15" t="n">
        <f aca="false">(BM488)+Y489</f>
        <v>14691.0074561403</v>
      </c>
      <c r="BN489" s="15" t="n">
        <f aca="false">(BN488)+AW489+AX489+AZ489</f>
        <v>20000</v>
      </c>
      <c r="BO489" s="15" t="n">
        <f aca="false">(BO488)+AY489</f>
        <v>0</v>
      </c>
      <c r="BP489" s="15" t="n">
        <f aca="false">MIN(Parametri_v3!$C$36*Parametri_v3!$C$35,(BP488)+IF(5=1,MAX(0,0)*Parametri_v3!$C$34,0))</f>
        <v>0</v>
      </c>
      <c r="BQ489" s="15" t="n">
        <f aca="false">BN489+BM489-BO489</f>
        <v>34691.0074561403</v>
      </c>
      <c r="BR489" s="15" t="n">
        <f aca="false">BH489+AD489+BL489+MAX(0,-AM489)+MAX(0,-AR489)</f>
        <v>58230.5252631579</v>
      </c>
      <c r="BS489" s="15" t="n">
        <f aca="false">AJ489+AV489+MAX(0,AM489)+MAX(0,AR489)+BC489+BG489+BQ489+AG489</f>
        <v>58230.5252631579</v>
      </c>
      <c r="BT489" s="15" t="n">
        <f aca="false">BR489-BS489</f>
        <v>0</v>
      </c>
      <c r="BU489" s="15" t="n">
        <f aca="false">BH489-(BD489+BE489-BF489-AY489)</f>
        <v>0</v>
      </c>
      <c r="BV489" s="15" t="n">
        <f aca="false">IF(BH488&lt;Parametri_v3!$C$31,0,BV488+1)</f>
        <v>0</v>
      </c>
    </row>
    <row r="490" customFormat="false" ht="18" hidden="false" customHeight="true" outlineLevel="0" collapsed="false">
      <c r="A490" s="68" t="n">
        <f aca="false">9</f>
        <v>9</v>
      </c>
      <c r="B490" s="68" t="n">
        <f aca="false">6</f>
        <v>6</v>
      </c>
      <c r="C490" s="18" t="n">
        <f aca="false">Motore_Operativo!C490</f>
        <v>46539</v>
      </c>
      <c r="D490" s="68" t="n">
        <f aca="false">Motore_Operativo!D490</f>
        <v>2027</v>
      </c>
      <c r="E490" s="68" t="n">
        <f aca="false">Motore_Operativo!E490</f>
        <v>6</v>
      </c>
      <c r="F490" s="15" t="n">
        <f aca="false">Motore_Operativo!AM490</f>
        <v>16210.5263157895</v>
      </c>
      <c r="G490" s="15" t="n">
        <f aca="false">Motore_Operativo!BH490</f>
        <v>1621.05263157895</v>
      </c>
      <c r="H490" s="15" t="n">
        <f aca="false">Motore_Operativo!AM490</f>
        <v>16210.5263157895</v>
      </c>
      <c r="I490" s="15" t="n">
        <f aca="false">Motore_Operativo!CB490</f>
        <v>12114.5175438596</v>
      </c>
      <c r="J490" s="15" t="n">
        <f aca="false">Motore_Operativo!CD490</f>
        <v>4096.00877192982</v>
      </c>
      <c r="K490" s="15" t="n">
        <f aca="false">Motore_Operativo!CF490</f>
        <v>250</v>
      </c>
      <c r="L490" s="15" t="n">
        <f aca="false">SUM(INDEX($K$485:$K$544,MAX(1,6-Parametri_v3!$C$59+1)):K490)/Parametri_v3!$C$59</f>
        <v>41.6666666666667</v>
      </c>
      <c r="M490" s="15" t="n">
        <f aca="false">J490-L490</f>
        <v>4054.34210526316</v>
      </c>
      <c r="N490" s="15" t="n">
        <f aca="false">0</f>
        <v>0</v>
      </c>
      <c r="O490" s="15" t="n">
        <f aca="false">0</f>
        <v>0</v>
      </c>
      <c r="P490" s="15" t="n">
        <f aca="false">M490+N490-O490</f>
        <v>4054.34210526316</v>
      </c>
      <c r="Q490" s="15" t="n">
        <f aca="false">SUM(P485:P490)+Parametri_v3!$C$56*6/12</f>
        <v>24430.2192982456</v>
      </c>
      <c r="R490" s="15" t="n">
        <f aca="false">0</f>
        <v>0</v>
      </c>
      <c r="S490" s="15" t="n">
        <f aca="false">0</f>
        <v>0</v>
      </c>
      <c r="T490" s="15" t="n">
        <f aca="false">MIN(R490,MAX(0,Q490))</f>
        <v>0</v>
      </c>
      <c r="U490" s="15" t="n">
        <f aca="false">MIN(S490,MAX(0,Q490-T490)*Parametri_v3!$C$42)</f>
        <v>0</v>
      </c>
      <c r="V490" s="15" t="n">
        <f aca="false">MAX(0,Q490-T490-U490)*Ipotesi!$C$92</f>
        <v>5863.25263157895</v>
      </c>
      <c r="W490" s="15" t="n">
        <f aca="false">MAX(0,SUM(M485:M490)+Parametri_v3!$C$57*6/12)*Ipotesi!$C$93</f>
        <v>952.778552631579</v>
      </c>
      <c r="X490" s="15" t="n">
        <f aca="false">V490+W490-(V489+W489)</f>
        <v>1131.16144736842</v>
      </c>
      <c r="Y490" s="15" t="n">
        <f aca="false">P490-X490</f>
        <v>2923.18065789474</v>
      </c>
      <c r="Z490" s="15" t="n">
        <f aca="false">R490-T490+IF(AND(Parametri_v3!$C$40=1,D490-YEAR(Parametri_v3!$C$50)&lt;Parametri_v3!$C$41),MAX(0,-Q490),0)</f>
        <v>0</v>
      </c>
      <c r="AA490" s="15" t="n">
        <f aca="false">S490-U490+IF(AND(Parametri_v3!$C$40=1,D490-YEAR(Parametri_v3!$C$50)&lt;Parametri_v3!$C$41),0,MAX(0,-Q490))</f>
        <v>0</v>
      </c>
      <c r="AB490" s="15" t="n">
        <f aca="false">F490*(1+Parametri_v3!$C$26)</f>
        <v>19776.8421052632</v>
      </c>
      <c r="AC490" s="15" t="n">
        <f aca="false">(IF(6-(INT((Motore_Operativo!L490)/30))&lt;1,0,INDEX(Motore_Advisory!$AB$485:$AB$544,MAX(1,6-(INT((Motore_Operativo!L490)/30)))))*(1-(MOD((Motore_Operativo!L490),30)/30))+IF(6-(INT((Motore_Operativo!L490)/30))-1&lt;1,0,INDEX(Motore_Advisory!$AB$485:$AB$544,MAX(1,6-(INT((Motore_Operativo!L490)/30))-1)))*(MOD((Motore_Operativo!L490),30)/30))</f>
        <v>19776.8421052632</v>
      </c>
      <c r="AD490" s="15" t="n">
        <f aca="false">(AD489)+AB490-AC490</f>
        <v>59330.5263157895</v>
      </c>
      <c r="AE490" s="15" t="n">
        <f aca="false">Motore_Operativo!BH490*(1+Parametri_v3!$C$26)</f>
        <v>1977.68421052632</v>
      </c>
      <c r="AF490" s="15" t="n">
        <f aca="false">(IF(6-(INT((Parametri_v3!$C$29)/30))&lt;1,0,INDEX(Motore_Operativo!$BH$485:$BH$544,MAX(1,6-(INT((Parametri_v3!$C$29)/30)))))*(1-(MOD((Parametri_v3!$C$29),30)/30))+IF(6-(INT((Parametri_v3!$C$29)/30))-1&lt;1,0,INDEX(Motore_Operativo!$BH$485:$BH$544,MAX(1,6-(INT((Parametri_v3!$C$29)/30))-1)))*(MOD((Parametri_v3!$C$29),30)/30))*(1+Parametri_v3!$C$26)</f>
        <v>1977.68421052632</v>
      </c>
      <c r="AG490" s="15" t="n">
        <f aca="false">(AG489)+AE490-AF490</f>
        <v>1977.68421052632</v>
      </c>
      <c r="AH490" s="15" t="n">
        <f aca="false">(Motore_Operativo!CK490)*(1+Parametri_v3!$C$28*Parametri_v3!$C$26)</f>
        <v>6166.3147368421</v>
      </c>
      <c r="AI490" s="15" t="n">
        <f aca="false">(IF(6-(INT((Ipotesi!$C$91)/30))&lt;1,0,INDEX(Motore_Advisory!$AH$485:$AH$544,MAX(1,6-(INT((Ipotesi!$C$91)/30)))))*(1-(MOD((Ipotesi!$C$91),30)/30))+IF(6-(INT((Ipotesi!$C$91)/30))-1&lt;1,0,INDEX(Motore_Advisory!$AH$485:$AH$544,MAX(1,6-(INT((Ipotesi!$C$91)/30))-1)))*(MOD((Ipotesi!$C$91),30)/30))</f>
        <v>6166.3147368421</v>
      </c>
      <c r="AJ490" s="15" t="n">
        <f aca="false">(AJ489)+AH490-AI490</f>
        <v>12332.6294736842</v>
      </c>
      <c r="AK490" s="15" t="n">
        <f aca="false">(F490- Motore_Operativo!BH490-(Motore_Operativo!CK490)*Parametri_v3!$C$28-Motore_Operativo!CF490)*Parametri_v3!$C$26</f>
        <v>2231.83438596491</v>
      </c>
      <c r="AL490" s="15" t="n">
        <f aca="false">MAX(0,(AM489))</f>
        <v>2231.83438596491</v>
      </c>
      <c r="AM490" s="15" t="n">
        <f aca="false">(AM489)+AK490-AL490</f>
        <v>2231.83438596491</v>
      </c>
      <c r="AN490" s="15" t="n">
        <f aca="false">0</f>
        <v>0</v>
      </c>
      <c r="AO490" s="15" t="n">
        <f aca="false">0</f>
        <v>0</v>
      </c>
      <c r="AP490" s="15" t="n">
        <f aca="false">MAX(0,AN490)*IF(6=Parametri_v3!$C$43,Parametri_v3!$C$45,IF(6=Parametri_v3!$C$44,1-Parametri_v3!$C$45,0))</f>
        <v>0</v>
      </c>
      <c r="AQ490" s="15" t="n">
        <f aca="false">MAX(0,AP490+IF(6=Parametri_v3!$C$43,MAX(0,AN490-AO490),0)-MAX(0,-(AR489)))</f>
        <v>0</v>
      </c>
      <c r="AR490" s="15" t="n">
        <f aca="false">(AR489)+X490-AQ490</f>
        <v>6816.03118421053</v>
      </c>
      <c r="AS490" s="15" t="n">
        <f aca="false">Motore_Operativo!AC490-AT490+AU490</f>
        <v>4987.5</v>
      </c>
      <c r="AT490" s="15" t="n">
        <f aca="false">Motore_Operativo!CI490</f>
        <v>262.5</v>
      </c>
      <c r="AU490" s="15" t="n">
        <f aca="false">MIN(MAX(0,(AV489)+AT490),Parametri_v3!$C$61/12)</f>
        <v>0</v>
      </c>
      <c r="AV490" s="15" t="n">
        <f aca="false">(AV489)+AT490-AU490</f>
        <v>1575</v>
      </c>
      <c r="AW490" s="15" t="n">
        <f aca="false">IF(AND(Motore_Operativo!C490=Finanziamenti!$D$7,Finanziamenti!$F$7=1),Finanziamenti!$C$7,0)</f>
        <v>0</v>
      </c>
      <c r="AX490" s="15" t="n">
        <f aca="false">0</f>
        <v>0</v>
      </c>
      <c r="AY490" s="15" t="n">
        <f aca="false">IF(6=Parametri_v3!$C$33,IF(BV490&lt;MIN(12,$B490-1),0,MIN(MAX(0,0)*Ipotesi!$C$94,MAX(0,(0)-(BO489)-BP490),MAX(0,BD490-Parametri_v3!$C$31))),0)</f>
        <v>0</v>
      </c>
      <c r="AZ490" s="15" t="n">
        <f aca="false">0</f>
        <v>0</v>
      </c>
      <c r="BA490" s="15" t="n">
        <f aca="false">0</f>
        <v>0</v>
      </c>
      <c r="BB490" s="15" t="n">
        <f aca="false">0</f>
        <v>0</v>
      </c>
      <c r="BC490" s="15" t="n">
        <f aca="false">0</f>
        <v>0</v>
      </c>
      <c r="BD490" s="15" t="n">
        <f aca="false">(BH489)+AC490-AF490-AI490-AS490-K490*(1+Parametri_v3!$C$26)-AL490-AQ490-O490+AW490+AX490+AZ490+BA490-BB490</f>
        <v>1862.67438596491</v>
      </c>
      <c r="BE490" s="15" t="n">
        <f aca="false">0</f>
        <v>0</v>
      </c>
      <c r="BF490" s="15" t="n">
        <f aca="false">0</f>
        <v>0</v>
      </c>
      <c r="BG490" s="15" t="n">
        <f aca="false">0</f>
        <v>0</v>
      </c>
      <c r="BH490" s="15" t="n">
        <f aca="false">BD490+BE490-BF490-AY490</f>
        <v>1862.67438596491</v>
      </c>
      <c r="BI490" s="15" t="n">
        <f aca="false">MAX(0,Parametri_v3!$C$31-BH490)</f>
        <v>8137.32561403509</v>
      </c>
      <c r="BJ490" s="15" t="n">
        <f aca="false">(BJ489)+K490</f>
        <v>1500</v>
      </c>
      <c r="BK490" s="15" t="n">
        <f aca="false">(BK489)+L490</f>
        <v>145.833333333333</v>
      </c>
      <c r="BL490" s="15" t="n">
        <f aca="false">BJ490-BK490</f>
        <v>1354.16666666667</v>
      </c>
      <c r="BM490" s="15" t="n">
        <f aca="false">(BM489)+Y490</f>
        <v>17614.1881140351</v>
      </c>
      <c r="BN490" s="15" t="n">
        <f aca="false">(BN489)+AW490+AX490+AZ490</f>
        <v>20000</v>
      </c>
      <c r="BO490" s="15" t="n">
        <f aca="false">(BO489)+AY490</f>
        <v>0</v>
      </c>
      <c r="BP490" s="15" t="n">
        <f aca="false">MIN(Parametri_v3!$C$36*Parametri_v3!$C$35,(BP489)+IF(6=1,MAX(0,0)*Parametri_v3!$C$34,0))</f>
        <v>0</v>
      </c>
      <c r="BQ490" s="15" t="n">
        <f aca="false">BN490+BM490-BO490</f>
        <v>37614.1881140351</v>
      </c>
      <c r="BR490" s="15" t="n">
        <f aca="false">BH490+AD490+BL490+MAX(0,-AM490)+MAX(0,-AR490)</f>
        <v>62547.367368421</v>
      </c>
      <c r="BS490" s="15" t="n">
        <f aca="false">AJ490+AV490+MAX(0,AM490)+MAX(0,AR490)+BC490+BG490+BQ490+AG490</f>
        <v>62547.367368421</v>
      </c>
      <c r="BT490" s="15" t="n">
        <f aca="false">BR490-BS490</f>
        <v>0</v>
      </c>
      <c r="BU490" s="15" t="n">
        <f aca="false">BH490-(BD490+BE490-BF490-AY490)</f>
        <v>0</v>
      </c>
      <c r="BV490" s="15" t="n">
        <f aca="false">IF(BH489&lt;Parametri_v3!$C$31,0,BV489+1)</f>
        <v>0</v>
      </c>
    </row>
    <row r="491" customFormat="false" ht="18" hidden="false" customHeight="true" outlineLevel="0" collapsed="false">
      <c r="A491" s="68" t="n">
        <f aca="false">9</f>
        <v>9</v>
      </c>
      <c r="B491" s="68" t="n">
        <f aca="false">7</f>
        <v>7</v>
      </c>
      <c r="C491" s="18" t="n">
        <f aca="false">Motore_Operativo!C491</f>
        <v>46569</v>
      </c>
      <c r="D491" s="68" t="n">
        <f aca="false">Motore_Operativo!D491</f>
        <v>2027</v>
      </c>
      <c r="E491" s="68" t="n">
        <f aca="false">Motore_Operativo!E491</f>
        <v>7</v>
      </c>
      <c r="F491" s="15" t="n">
        <f aca="false">Motore_Operativo!AM491</f>
        <v>16210.5263157895</v>
      </c>
      <c r="G491" s="15" t="n">
        <f aca="false">Motore_Operativo!BH491</f>
        <v>1621.05263157895</v>
      </c>
      <c r="H491" s="15" t="n">
        <f aca="false">Motore_Operativo!AM491</f>
        <v>16210.5263157895</v>
      </c>
      <c r="I491" s="15" t="n">
        <f aca="false">Motore_Operativo!CB491</f>
        <v>12114.5175438596</v>
      </c>
      <c r="J491" s="15" t="n">
        <f aca="false">Motore_Operativo!CD491</f>
        <v>4096.00877192982</v>
      </c>
      <c r="K491" s="15" t="n">
        <f aca="false">Motore_Operativo!CF491</f>
        <v>250</v>
      </c>
      <c r="L491" s="15" t="n">
        <f aca="false">SUM(INDEX($K$485:$K$544,MAX(1,7-Parametri_v3!$C$59+1)):K491)/Parametri_v3!$C$59</f>
        <v>48.6111111111111</v>
      </c>
      <c r="M491" s="15" t="n">
        <f aca="false">J491-L491</f>
        <v>4047.39766081871</v>
      </c>
      <c r="N491" s="15" t="n">
        <f aca="false">0</f>
        <v>0</v>
      </c>
      <c r="O491" s="15" t="n">
        <f aca="false">0</f>
        <v>0</v>
      </c>
      <c r="P491" s="15" t="n">
        <f aca="false">M491+N491-O491</f>
        <v>4047.39766081871</v>
      </c>
      <c r="Q491" s="15" t="n">
        <f aca="false">SUM(P485:P491)+Parametri_v3!$C$56*7/12</f>
        <v>28477.6169590643</v>
      </c>
      <c r="R491" s="15" t="n">
        <f aca="false">0</f>
        <v>0</v>
      </c>
      <c r="S491" s="15" t="n">
        <f aca="false">0</f>
        <v>0</v>
      </c>
      <c r="T491" s="15" t="n">
        <f aca="false">MIN(R491,MAX(0,Q491))</f>
        <v>0</v>
      </c>
      <c r="U491" s="15" t="n">
        <f aca="false">MIN(S491,MAX(0,Q491-T491)*Parametri_v3!$C$42)</f>
        <v>0</v>
      </c>
      <c r="V491" s="15" t="n">
        <f aca="false">MAX(0,Q491-T491-U491)*Ipotesi!$C$92</f>
        <v>6834.62807017544</v>
      </c>
      <c r="W491" s="15" t="n">
        <f aca="false">MAX(0,SUM(M485:M491)+Parametri_v3!$C$57*7/12)*Ipotesi!$C$93</f>
        <v>1110.62706140351</v>
      </c>
      <c r="X491" s="15" t="n">
        <f aca="false">V491+W491-(V490+W490)</f>
        <v>1129.22394736842</v>
      </c>
      <c r="Y491" s="15" t="n">
        <f aca="false">P491-X491</f>
        <v>2918.17371345029</v>
      </c>
      <c r="Z491" s="15" t="n">
        <f aca="false">R491-T491+IF(AND(Parametri_v3!$C$40=1,D491-YEAR(Parametri_v3!$C$50)&lt;Parametri_v3!$C$41),MAX(0,-Q491),0)</f>
        <v>0</v>
      </c>
      <c r="AA491" s="15" t="n">
        <f aca="false">S491-U491+IF(AND(Parametri_v3!$C$40=1,D491-YEAR(Parametri_v3!$C$50)&lt;Parametri_v3!$C$41),0,MAX(0,-Q491))</f>
        <v>0</v>
      </c>
      <c r="AB491" s="15" t="n">
        <f aca="false">F491*(1+Parametri_v3!$C$26)</f>
        <v>19776.8421052632</v>
      </c>
      <c r="AC491" s="15" t="n">
        <f aca="false">(IF(7-(INT((Motore_Operativo!L491)/30))&lt;1,0,INDEX(Motore_Advisory!$AB$485:$AB$544,MAX(1,7-(INT((Motore_Operativo!L491)/30)))))*(1-(MOD((Motore_Operativo!L491),30)/30))+IF(7-(INT((Motore_Operativo!L491)/30))-1&lt;1,0,INDEX(Motore_Advisory!$AB$485:$AB$544,MAX(1,7-(INT((Motore_Operativo!L491)/30))-1)))*(MOD((Motore_Operativo!L491),30)/30))</f>
        <v>19776.8421052632</v>
      </c>
      <c r="AD491" s="15" t="n">
        <f aca="false">(AD490)+AB491-AC491</f>
        <v>59330.5263157895</v>
      </c>
      <c r="AE491" s="15" t="n">
        <f aca="false">Motore_Operativo!BH491*(1+Parametri_v3!$C$26)</f>
        <v>1977.68421052632</v>
      </c>
      <c r="AF491" s="15" t="n">
        <f aca="false">(IF(7-(INT((Parametri_v3!$C$29)/30))&lt;1,0,INDEX(Motore_Operativo!$BH$485:$BH$544,MAX(1,7-(INT((Parametri_v3!$C$29)/30)))))*(1-(MOD((Parametri_v3!$C$29),30)/30))+IF(7-(INT((Parametri_v3!$C$29)/30))-1&lt;1,0,INDEX(Motore_Operativo!$BH$485:$BH$544,MAX(1,7-(INT((Parametri_v3!$C$29)/30))-1)))*(MOD((Parametri_v3!$C$29),30)/30))*(1+Parametri_v3!$C$26)</f>
        <v>1977.68421052632</v>
      </c>
      <c r="AG491" s="15" t="n">
        <f aca="false">(AG490)+AE491-AF491</f>
        <v>1977.68421052632</v>
      </c>
      <c r="AH491" s="15" t="n">
        <f aca="false">(Motore_Operativo!CK491)*(1+Parametri_v3!$C$28*Parametri_v3!$C$26)</f>
        <v>6166.3147368421</v>
      </c>
      <c r="AI491" s="15" t="n">
        <f aca="false">(IF(7-(INT((Ipotesi!$C$91)/30))&lt;1,0,INDEX(Motore_Advisory!$AH$485:$AH$544,MAX(1,7-(INT((Ipotesi!$C$91)/30)))))*(1-(MOD((Ipotesi!$C$91),30)/30))+IF(7-(INT((Ipotesi!$C$91)/30))-1&lt;1,0,INDEX(Motore_Advisory!$AH$485:$AH$544,MAX(1,7-(INT((Ipotesi!$C$91)/30))-1)))*(MOD((Ipotesi!$C$91),30)/30))</f>
        <v>6166.3147368421</v>
      </c>
      <c r="AJ491" s="15" t="n">
        <f aca="false">(AJ490)+AH491-AI491</f>
        <v>12332.6294736842</v>
      </c>
      <c r="AK491" s="15" t="n">
        <f aca="false">(F491- Motore_Operativo!BH491-(Motore_Operativo!CK491)*Parametri_v3!$C$28-Motore_Operativo!CF491)*Parametri_v3!$C$26</f>
        <v>2231.83438596491</v>
      </c>
      <c r="AL491" s="15" t="n">
        <f aca="false">MAX(0,(AM490))</f>
        <v>2231.83438596491</v>
      </c>
      <c r="AM491" s="15" t="n">
        <f aca="false">(AM490)+AK491-AL491</f>
        <v>2231.83438596491</v>
      </c>
      <c r="AN491" s="15" t="n">
        <f aca="false">0</f>
        <v>0</v>
      </c>
      <c r="AO491" s="15" t="n">
        <f aca="false">0</f>
        <v>0</v>
      </c>
      <c r="AP491" s="15" t="n">
        <f aca="false">MAX(0,AN491)*IF(7=Parametri_v3!$C$43,Parametri_v3!$C$45,IF(7=Parametri_v3!$C$44,1-Parametri_v3!$C$45,0))</f>
        <v>0</v>
      </c>
      <c r="AQ491" s="15" t="n">
        <f aca="false">MAX(0,AP491+IF(7=Parametri_v3!$C$43,MAX(0,AN491-AO491),0)-MAX(0,-(AR490)))</f>
        <v>0</v>
      </c>
      <c r="AR491" s="15" t="n">
        <f aca="false">(AR490)+X491-AQ491</f>
        <v>7945.25513157895</v>
      </c>
      <c r="AS491" s="15" t="n">
        <f aca="false">Motore_Operativo!AC491-AT491+AU491</f>
        <v>4987.5</v>
      </c>
      <c r="AT491" s="15" t="n">
        <f aca="false">Motore_Operativo!CI491</f>
        <v>262.5</v>
      </c>
      <c r="AU491" s="15" t="n">
        <f aca="false">MIN(MAX(0,(AV490)+AT491),Parametri_v3!$C$61/12)</f>
        <v>0</v>
      </c>
      <c r="AV491" s="15" t="n">
        <f aca="false">(AV490)+AT491-AU491</f>
        <v>1837.5</v>
      </c>
      <c r="AW491" s="15" t="n">
        <f aca="false">IF(AND(Motore_Operativo!C491=Finanziamenti!$D$7,Finanziamenti!$F$7=1),Finanziamenti!$C$7,0)</f>
        <v>0</v>
      </c>
      <c r="AX491" s="15" t="n">
        <f aca="false">0</f>
        <v>0</v>
      </c>
      <c r="AY491" s="15" t="n">
        <f aca="false">IF(7=Parametri_v3!$C$33,IF(BV491&lt;MIN(12,$B491-1),0,MIN(MAX(0,0)*Ipotesi!$C$94,MAX(0,(0)-(BO490)-BP491),MAX(0,BD491-Parametri_v3!$C$31))),0)</f>
        <v>0</v>
      </c>
      <c r="AZ491" s="15" t="n">
        <f aca="false">0</f>
        <v>0</v>
      </c>
      <c r="BA491" s="15" t="n">
        <f aca="false">0</f>
        <v>0</v>
      </c>
      <c r="BB491" s="15" t="n">
        <f aca="false">0</f>
        <v>0</v>
      </c>
      <c r="BC491" s="15" t="n">
        <f aca="false">0</f>
        <v>0</v>
      </c>
      <c r="BD491" s="15" t="n">
        <f aca="false">(BH490)+AC491-AF491-AI491-AS491-K491*(1+Parametri_v3!$C$26)-AL491-AQ491-O491+AW491+AX491+AZ491+BA491-BB491</f>
        <v>5971.18315789473</v>
      </c>
      <c r="BE491" s="15" t="n">
        <f aca="false">0</f>
        <v>0</v>
      </c>
      <c r="BF491" s="15" t="n">
        <f aca="false">0</f>
        <v>0</v>
      </c>
      <c r="BG491" s="15" t="n">
        <f aca="false">0</f>
        <v>0</v>
      </c>
      <c r="BH491" s="15" t="n">
        <f aca="false">BD491+BE491-BF491-AY491</f>
        <v>5971.18315789473</v>
      </c>
      <c r="BI491" s="15" t="n">
        <f aca="false">MAX(0,Parametri_v3!$C$31-BH491)</f>
        <v>4028.81684210527</v>
      </c>
      <c r="BJ491" s="15" t="n">
        <f aca="false">(BJ490)+K491</f>
        <v>1750</v>
      </c>
      <c r="BK491" s="15" t="n">
        <f aca="false">(BK490)+L491</f>
        <v>194.444444444444</v>
      </c>
      <c r="BL491" s="15" t="n">
        <f aca="false">BJ491-BK491</f>
        <v>1555.55555555556</v>
      </c>
      <c r="BM491" s="15" t="n">
        <f aca="false">(BM490)+Y491</f>
        <v>20532.3618274854</v>
      </c>
      <c r="BN491" s="15" t="n">
        <f aca="false">(BN490)+AW491+AX491+AZ491</f>
        <v>20000</v>
      </c>
      <c r="BO491" s="15" t="n">
        <f aca="false">(BO490)+AY491</f>
        <v>0</v>
      </c>
      <c r="BP491" s="15" t="n">
        <f aca="false">MIN(Parametri_v3!$C$36*Parametri_v3!$C$35,(BP490)+IF(7=1,MAX(0,0)*Parametri_v3!$C$34,0))</f>
        <v>0</v>
      </c>
      <c r="BQ491" s="15" t="n">
        <f aca="false">BN491+BM491-BO491</f>
        <v>40532.3618274854</v>
      </c>
      <c r="BR491" s="15" t="n">
        <f aca="false">BH491+AD491+BL491+MAX(0,-AM491)+MAX(0,-AR491)</f>
        <v>66857.2650292398</v>
      </c>
      <c r="BS491" s="15" t="n">
        <f aca="false">AJ491+AV491+MAX(0,AM491)+MAX(0,AR491)+BC491+BG491+BQ491+AG491</f>
        <v>66857.2650292398</v>
      </c>
      <c r="BT491" s="15" t="n">
        <f aca="false">BR491-BS491</f>
        <v>0</v>
      </c>
      <c r="BU491" s="15" t="n">
        <f aca="false">BH491-(BD491+BE491-BF491-AY491)</f>
        <v>0</v>
      </c>
      <c r="BV491" s="15" t="n">
        <f aca="false">IF(BH490&lt;Parametri_v3!$C$31,0,BV490+1)</f>
        <v>0</v>
      </c>
    </row>
    <row r="492" customFormat="false" ht="18" hidden="false" customHeight="true" outlineLevel="0" collapsed="false">
      <c r="A492" s="68" t="n">
        <f aca="false">9</f>
        <v>9</v>
      </c>
      <c r="B492" s="68" t="n">
        <f aca="false">8</f>
        <v>8</v>
      </c>
      <c r="C492" s="18" t="n">
        <f aca="false">Motore_Operativo!C492</f>
        <v>46600</v>
      </c>
      <c r="D492" s="68" t="n">
        <f aca="false">Motore_Operativo!D492</f>
        <v>2027</v>
      </c>
      <c r="E492" s="68" t="n">
        <f aca="false">Motore_Operativo!E492</f>
        <v>8</v>
      </c>
      <c r="F492" s="15" t="n">
        <f aca="false">Motore_Operativo!AM492</f>
        <v>16210.5263157895</v>
      </c>
      <c r="G492" s="15" t="n">
        <f aca="false">Motore_Operativo!BH492</f>
        <v>1621.05263157895</v>
      </c>
      <c r="H492" s="15" t="n">
        <f aca="false">Motore_Operativo!AM492</f>
        <v>16210.5263157895</v>
      </c>
      <c r="I492" s="15" t="n">
        <f aca="false">Motore_Operativo!CB492</f>
        <v>12114.5175438596</v>
      </c>
      <c r="J492" s="15" t="n">
        <f aca="false">Motore_Operativo!CD492</f>
        <v>4096.00877192982</v>
      </c>
      <c r="K492" s="15" t="n">
        <f aca="false">Motore_Operativo!CF492</f>
        <v>250</v>
      </c>
      <c r="L492" s="15" t="n">
        <f aca="false">SUM(INDEX($K$485:$K$544,MAX(1,8-Parametri_v3!$C$59+1)):K492)/Parametri_v3!$C$59</f>
        <v>55.5555555555556</v>
      </c>
      <c r="M492" s="15" t="n">
        <f aca="false">J492-L492</f>
        <v>4040.45321637427</v>
      </c>
      <c r="N492" s="15" t="n">
        <f aca="false">0</f>
        <v>0</v>
      </c>
      <c r="O492" s="15" t="n">
        <f aca="false">0</f>
        <v>0</v>
      </c>
      <c r="P492" s="15" t="n">
        <f aca="false">M492+N492-O492</f>
        <v>4040.45321637427</v>
      </c>
      <c r="Q492" s="15" t="n">
        <f aca="false">SUM(P485:P492)+Parametri_v3!$C$56*8/12</f>
        <v>32518.0701754386</v>
      </c>
      <c r="R492" s="15" t="n">
        <f aca="false">0</f>
        <v>0</v>
      </c>
      <c r="S492" s="15" t="n">
        <f aca="false">0</f>
        <v>0</v>
      </c>
      <c r="T492" s="15" t="n">
        <f aca="false">MIN(R492,MAX(0,Q492))</f>
        <v>0</v>
      </c>
      <c r="U492" s="15" t="n">
        <f aca="false">MIN(S492,MAX(0,Q492-T492)*Parametri_v3!$C$42)</f>
        <v>0</v>
      </c>
      <c r="V492" s="15" t="n">
        <f aca="false">MAX(0,Q492-T492-U492)*Ipotesi!$C$92</f>
        <v>7804.33684210526</v>
      </c>
      <c r="W492" s="15" t="n">
        <f aca="false">MAX(0,SUM(M485:M492)+Parametri_v3!$C$57*8/12)*Ipotesi!$C$93</f>
        <v>1268.20473684211</v>
      </c>
      <c r="X492" s="15" t="n">
        <f aca="false">V492+W492-(V491+W491)</f>
        <v>1127.28644736842</v>
      </c>
      <c r="Y492" s="15" t="n">
        <f aca="false">P492-X492</f>
        <v>2913.16676900585</v>
      </c>
      <c r="Z492" s="15" t="n">
        <f aca="false">R492-T492+IF(AND(Parametri_v3!$C$40=1,D492-YEAR(Parametri_v3!$C$50)&lt;Parametri_v3!$C$41),MAX(0,-Q492),0)</f>
        <v>0</v>
      </c>
      <c r="AA492" s="15" t="n">
        <f aca="false">S492-U492+IF(AND(Parametri_v3!$C$40=1,D492-YEAR(Parametri_v3!$C$50)&lt;Parametri_v3!$C$41),0,MAX(0,-Q492))</f>
        <v>0</v>
      </c>
      <c r="AB492" s="15" t="n">
        <f aca="false">F492*(1+Parametri_v3!$C$26)</f>
        <v>19776.8421052632</v>
      </c>
      <c r="AC492" s="15" t="n">
        <f aca="false">(IF(8-(INT((Motore_Operativo!L492)/30))&lt;1,0,INDEX(Motore_Advisory!$AB$485:$AB$544,MAX(1,8-(INT((Motore_Operativo!L492)/30)))))*(1-(MOD((Motore_Operativo!L492),30)/30))+IF(8-(INT((Motore_Operativo!L492)/30))-1&lt;1,0,INDEX(Motore_Advisory!$AB$485:$AB$544,MAX(1,8-(INT((Motore_Operativo!L492)/30))-1)))*(MOD((Motore_Operativo!L492),30)/30))</f>
        <v>19776.8421052632</v>
      </c>
      <c r="AD492" s="15" t="n">
        <f aca="false">(AD491)+AB492-AC492</f>
        <v>59330.5263157895</v>
      </c>
      <c r="AE492" s="15" t="n">
        <f aca="false">Motore_Operativo!BH492*(1+Parametri_v3!$C$26)</f>
        <v>1977.68421052632</v>
      </c>
      <c r="AF492" s="15" t="n">
        <f aca="false">(IF(8-(INT((Parametri_v3!$C$29)/30))&lt;1,0,INDEX(Motore_Operativo!$BH$485:$BH$544,MAX(1,8-(INT((Parametri_v3!$C$29)/30)))))*(1-(MOD((Parametri_v3!$C$29),30)/30))+IF(8-(INT((Parametri_v3!$C$29)/30))-1&lt;1,0,INDEX(Motore_Operativo!$BH$485:$BH$544,MAX(1,8-(INT((Parametri_v3!$C$29)/30))-1)))*(MOD((Parametri_v3!$C$29),30)/30))*(1+Parametri_v3!$C$26)</f>
        <v>1977.68421052632</v>
      </c>
      <c r="AG492" s="15" t="n">
        <f aca="false">(AG491)+AE492-AF492</f>
        <v>1977.68421052632</v>
      </c>
      <c r="AH492" s="15" t="n">
        <f aca="false">(Motore_Operativo!CK492)*(1+Parametri_v3!$C$28*Parametri_v3!$C$26)</f>
        <v>6166.3147368421</v>
      </c>
      <c r="AI492" s="15" t="n">
        <f aca="false">(IF(8-(INT((Ipotesi!$C$91)/30))&lt;1,0,INDEX(Motore_Advisory!$AH$485:$AH$544,MAX(1,8-(INT((Ipotesi!$C$91)/30)))))*(1-(MOD((Ipotesi!$C$91),30)/30))+IF(8-(INT((Ipotesi!$C$91)/30))-1&lt;1,0,INDEX(Motore_Advisory!$AH$485:$AH$544,MAX(1,8-(INT((Ipotesi!$C$91)/30))-1)))*(MOD((Ipotesi!$C$91),30)/30))</f>
        <v>6166.3147368421</v>
      </c>
      <c r="AJ492" s="15" t="n">
        <f aca="false">(AJ491)+AH492-AI492</f>
        <v>12332.6294736842</v>
      </c>
      <c r="AK492" s="15" t="n">
        <f aca="false">(F492- Motore_Operativo!BH492-(Motore_Operativo!CK492)*Parametri_v3!$C$28-Motore_Operativo!CF492)*Parametri_v3!$C$26</f>
        <v>2231.83438596491</v>
      </c>
      <c r="AL492" s="15" t="n">
        <f aca="false">MAX(0,(AM491))</f>
        <v>2231.83438596491</v>
      </c>
      <c r="AM492" s="15" t="n">
        <f aca="false">(AM491)+AK492-AL492</f>
        <v>2231.83438596491</v>
      </c>
      <c r="AN492" s="15" t="n">
        <f aca="false">0</f>
        <v>0</v>
      </c>
      <c r="AO492" s="15" t="n">
        <f aca="false">0</f>
        <v>0</v>
      </c>
      <c r="AP492" s="15" t="n">
        <f aca="false">MAX(0,AN492)*IF(8=Parametri_v3!$C$43,Parametri_v3!$C$45,IF(8=Parametri_v3!$C$44,1-Parametri_v3!$C$45,0))</f>
        <v>0</v>
      </c>
      <c r="AQ492" s="15" t="n">
        <f aca="false">MAX(0,AP492+IF(8=Parametri_v3!$C$43,MAX(0,AN492-AO492),0)-MAX(0,-(AR491)))</f>
        <v>0</v>
      </c>
      <c r="AR492" s="15" t="n">
        <f aca="false">(AR491)+X492-AQ492</f>
        <v>9072.54157894737</v>
      </c>
      <c r="AS492" s="15" t="n">
        <f aca="false">Motore_Operativo!AC492-AT492+AU492</f>
        <v>4987.5</v>
      </c>
      <c r="AT492" s="15" t="n">
        <f aca="false">Motore_Operativo!CI492</f>
        <v>262.5</v>
      </c>
      <c r="AU492" s="15" t="n">
        <f aca="false">MIN(MAX(0,(AV491)+AT492),Parametri_v3!$C$61/12)</f>
        <v>0</v>
      </c>
      <c r="AV492" s="15" t="n">
        <f aca="false">(AV491)+AT492-AU492</f>
        <v>2100</v>
      </c>
      <c r="AW492" s="15" t="n">
        <f aca="false">IF(AND(Motore_Operativo!C492=Finanziamenti!$D$7,Finanziamenti!$F$7=1),Finanziamenti!$C$7,0)</f>
        <v>0</v>
      </c>
      <c r="AX492" s="15" t="n">
        <f aca="false">0</f>
        <v>0</v>
      </c>
      <c r="AY492" s="15" t="n">
        <f aca="false">IF(8=Parametri_v3!$C$33,IF(BV492&lt;MIN(12,$B492-1),0,MIN(MAX(0,0)*Ipotesi!$C$94,MAX(0,(0)-(BO491)-BP492),MAX(0,BD492-Parametri_v3!$C$31))),0)</f>
        <v>0</v>
      </c>
      <c r="AZ492" s="15" t="n">
        <f aca="false">0</f>
        <v>0</v>
      </c>
      <c r="BA492" s="15" t="n">
        <f aca="false">0</f>
        <v>0</v>
      </c>
      <c r="BB492" s="15" t="n">
        <f aca="false">0</f>
        <v>0</v>
      </c>
      <c r="BC492" s="15" t="n">
        <f aca="false">0</f>
        <v>0</v>
      </c>
      <c r="BD492" s="15" t="n">
        <f aca="false">(BH491)+AC492-AF492-AI492-AS492-K492*(1+Parametri_v3!$C$26)-AL492-AQ492-O492+AW492+AX492+AZ492+BA492-BB492</f>
        <v>10079.6919298246</v>
      </c>
      <c r="BE492" s="15" t="n">
        <f aca="false">0</f>
        <v>0</v>
      </c>
      <c r="BF492" s="15" t="n">
        <f aca="false">0</f>
        <v>0</v>
      </c>
      <c r="BG492" s="15" t="n">
        <f aca="false">0</f>
        <v>0</v>
      </c>
      <c r="BH492" s="15" t="n">
        <f aca="false">BD492+BE492-BF492-AY492</f>
        <v>10079.6919298246</v>
      </c>
      <c r="BI492" s="15" t="n">
        <f aca="false">MAX(0,Parametri_v3!$C$31-BH492)</f>
        <v>0</v>
      </c>
      <c r="BJ492" s="15" t="n">
        <f aca="false">(BJ491)+K492</f>
        <v>2000</v>
      </c>
      <c r="BK492" s="15" t="n">
        <f aca="false">(BK491)+L492</f>
        <v>250</v>
      </c>
      <c r="BL492" s="15" t="n">
        <f aca="false">BJ492-BK492</f>
        <v>1750</v>
      </c>
      <c r="BM492" s="15" t="n">
        <f aca="false">(BM491)+Y492</f>
        <v>23445.5285964912</v>
      </c>
      <c r="BN492" s="15" t="n">
        <f aca="false">(BN491)+AW492+AX492+AZ492</f>
        <v>20000</v>
      </c>
      <c r="BO492" s="15" t="n">
        <f aca="false">(BO491)+AY492</f>
        <v>0</v>
      </c>
      <c r="BP492" s="15" t="n">
        <f aca="false">MIN(Parametri_v3!$C$36*Parametri_v3!$C$35,(BP491)+IF(8=1,MAX(0,0)*Parametri_v3!$C$34,0))</f>
        <v>0</v>
      </c>
      <c r="BQ492" s="15" t="n">
        <f aca="false">BN492+BM492-BO492</f>
        <v>43445.5285964912</v>
      </c>
      <c r="BR492" s="15" t="n">
        <f aca="false">BH492+AD492+BL492+MAX(0,-AM492)+MAX(0,-AR492)</f>
        <v>71160.218245614</v>
      </c>
      <c r="BS492" s="15" t="n">
        <f aca="false">AJ492+AV492+MAX(0,AM492)+MAX(0,AR492)+BC492+BG492+BQ492+AG492</f>
        <v>71160.218245614</v>
      </c>
      <c r="BT492" s="15" t="n">
        <f aca="false">BR492-BS492</f>
        <v>0</v>
      </c>
      <c r="BU492" s="15" t="n">
        <f aca="false">BH492-(BD492+BE492-BF492-AY492)</f>
        <v>0</v>
      </c>
      <c r="BV492" s="15" t="n">
        <f aca="false">IF(BH491&lt;Parametri_v3!$C$31,0,BV491+1)</f>
        <v>0</v>
      </c>
    </row>
    <row r="493" customFormat="false" ht="18" hidden="false" customHeight="true" outlineLevel="0" collapsed="false">
      <c r="A493" s="68" t="n">
        <f aca="false">9</f>
        <v>9</v>
      </c>
      <c r="B493" s="68" t="n">
        <f aca="false">9</f>
        <v>9</v>
      </c>
      <c r="C493" s="18" t="n">
        <f aca="false">Motore_Operativo!C493</f>
        <v>46631</v>
      </c>
      <c r="D493" s="68" t="n">
        <f aca="false">Motore_Operativo!D493</f>
        <v>2027</v>
      </c>
      <c r="E493" s="68" t="n">
        <f aca="false">Motore_Operativo!E493</f>
        <v>9</v>
      </c>
      <c r="F493" s="15" t="n">
        <f aca="false">Motore_Operativo!AM493</f>
        <v>16210.5263157895</v>
      </c>
      <c r="G493" s="15" t="n">
        <f aca="false">Motore_Operativo!BH493</f>
        <v>1621.05263157895</v>
      </c>
      <c r="H493" s="15" t="n">
        <f aca="false">Motore_Operativo!AM493</f>
        <v>16210.5263157895</v>
      </c>
      <c r="I493" s="15" t="n">
        <f aca="false">Motore_Operativo!CB493</f>
        <v>12114.5175438596</v>
      </c>
      <c r="J493" s="15" t="n">
        <f aca="false">Motore_Operativo!CD493</f>
        <v>4096.00877192982</v>
      </c>
      <c r="K493" s="15" t="n">
        <f aca="false">Motore_Operativo!CF493</f>
        <v>250</v>
      </c>
      <c r="L493" s="15" t="n">
        <f aca="false">SUM(INDEX($K$485:$K$544,MAX(1,9-Parametri_v3!$C$59+1)):K493)/Parametri_v3!$C$59</f>
        <v>62.5</v>
      </c>
      <c r="M493" s="15" t="n">
        <f aca="false">J493-L493</f>
        <v>4033.50877192982</v>
      </c>
      <c r="N493" s="15" t="n">
        <f aca="false">0</f>
        <v>0</v>
      </c>
      <c r="O493" s="15" t="n">
        <f aca="false">0</f>
        <v>0</v>
      </c>
      <c r="P493" s="15" t="n">
        <f aca="false">M493+N493-O493</f>
        <v>4033.50877192982</v>
      </c>
      <c r="Q493" s="15" t="n">
        <f aca="false">SUM(P485:P493)+Parametri_v3!$C$56*9/12</f>
        <v>36551.5789473684</v>
      </c>
      <c r="R493" s="15" t="n">
        <f aca="false">0</f>
        <v>0</v>
      </c>
      <c r="S493" s="15" t="n">
        <f aca="false">0</f>
        <v>0</v>
      </c>
      <c r="T493" s="15" t="n">
        <f aca="false">MIN(R493,MAX(0,Q493))</f>
        <v>0</v>
      </c>
      <c r="U493" s="15" t="n">
        <f aca="false">MIN(S493,MAX(0,Q493-T493)*Parametri_v3!$C$42)</f>
        <v>0</v>
      </c>
      <c r="V493" s="15" t="n">
        <f aca="false">MAX(0,Q493-T493-U493)*Ipotesi!$C$92</f>
        <v>8772.37894736842</v>
      </c>
      <c r="W493" s="15" t="n">
        <f aca="false">MAX(0,SUM(M485:M493)+Parametri_v3!$C$57*9/12)*Ipotesi!$C$93</f>
        <v>1425.51157894737</v>
      </c>
      <c r="X493" s="15" t="n">
        <f aca="false">V493+W493-(V492+W492)</f>
        <v>1125.34894736842</v>
      </c>
      <c r="Y493" s="15" t="n">
        <f aca="false">P493-X493</f>
        <v>2908.1598245614</v>
      </c>
      <c r="Z493" s="15" t="n">
        <f aca="false">R493-T493+IF(AND(Parametri_v3!$C$40=1,D493-YEAR(Parametri_v3!$C$50)&lt;Parametri_v3!$C$41),MAX(0,-Q493),0)</f>
        <v>0</v>
      </c>
      <c r="AA493" s="15" t="n">
        <f aca="false">S493-U493+IF(AND(Parametri_v3!$C$40=1,D493-YEAR(Parametri_v3!$C$50)&lt;Parametri_v3!$C$41),0,MAX(0,-Q493))</f>
        <v>0</v>
      </c>
      <c r="AB493" s="15" t="n">
        <f aca="false">F493*(1+Parametri_v3!$C$26)</f>
        <v>19776.8421052632</v>
      </c>
      <c r="AC493" s="15" t="n">
        <f aca="false">(IF(9-(INT((Motore_Operativo!L493)/30))&lt;1,0,INDEX(Motore_Advisory!$AB$485:$AB$544,MAX(1,9-(INT((Motore_Operativo!L493)/30)))))*(1-(MOD((Motore_Operativo!L493),30)/30))+IF(9-(INT((Motore_Operativo!L493)/30))-1&lt;1,0,INDEX(Motore_Advisory!$AB$485:$AB$544,MAX(1,9-(INT((Motore_Operativo!L493)/30))-1)))*(MOD((Motore_Operativo!L493),30)/30))</f>
        <v>19776.8421052632</v>
      </c>
      <c r="AD493" s="15" t="n">
        <f aca="false">(AD492)+AB493-AC493</f>
        <v>59330.5263157895</v>
      </c>
      <c r="AE493" s="15" t="n">
        <f aca="false">Motore_Operativo!BH493*(1+Parametri_v3!$C$26)</f>
        <v>1977.68421052632</v>
      </c>
      <c r="AF493" s="15" t="n">
        <f aca="false">(IF(9-(INT((Parametri_v3!$C$29)/30))&lt;1,0,INDEX(Motore_Operativo!$BH$485:$BH$544,MAX(1,9-(INT((Parametri_v3!$C$29)/30)))))*(1-(MOD((Parametri_v3!$C$29),30)/30))+IF(9-(INT((Parametri_v3!$C$29)/30))-1&lt;1,0,INDEX(Motore_Operativo!$BH$485:$BH$544,MAX(1,9-(INT((Parametri_v3!$C$29)/30))-1)))*(MOD((Parametri_v3!$C$29),30)/30))*(1+Parametri_v3!$C$26)</f>
        <v>1977.68421052632</v>
      </c>
      <c r="AG493" s="15" t="n">
        <f aca="false">(AG492)+AE493-AF493</f>
        <v>1977.68421052632</v>
      </c>
      <c r="AH493" s="15" t="n">
        <f aca="false">(Motore_Operativo!CK493)*(1+Parametri_v3!$C$28*Parametri_v3!$C$26)</f>
        <v>6166.3147368421</v>
      </c>
      <c r="AI493" s="15" t="n">
        <f aca="false">(IF(9-(INT((Ipotesi!$C$91)/30))&lt;1,0,INDEX(Motore_Advisory!$AH$485:$AH$544,MAX(1,9-(INT((Ipotesi!$C$91)/30)))))*(1-(MOD((Ipotesi!$C$91),30)/30))+IF(9-(INT((Ipotesi!$C$91)/30))-1&lt;1,0,INDEX(Motore_Advisory!$AH$485:$AH$544,MAX(1,9-(INT((Ipotesi!$C$91)/30))-1)))*(MOD((Ipotesi!$C$91),30)/30))</f>
        <v>6166.3147368421</v>
      </c>
      <c r="AJ493" s="15" t="n">
        <f aca="false">(AJ492)+AH493-AI493</f>
        <v>12332.6294736842</v>
      </c>
      <c r="AK493" s="15" t="n">
        <f aca="false">(F493- Motore_Operativo!BH493-(Motore_Operativo!CK493)*Parametri_v3!$C$28-Motore_Operativo!CF493)*Parametri_v3!$C$26</f>
        <v>2231.83438596491</v>
      </c>
      <c r="AL493" s="15" t="n">
        <f aca="false">MAX(0,(AM492))</f>
        <v>2231.83438596491</v>
      </c>
      <c r="AM493" s="15" t="n">
        <f aca="false">(AM492)+AK493-AL493</f>
        <v>2231.83438596491</v>
      </c>
      <c r="AN493" s="15" t="n">
        <f aca="false">0</f>
        <v>0</v>
      </c>
      <c r="AO493" s="15" t="n">
        <f aca="false">0</f>
        <v>0</v>
      </c>
      <c r="AP493" s="15" t="n">
        <f aca="false">MAX(0,AN493)*IF(9=Parametri_v3!$C$43,Parametri_v3!$C$45,IF(9=Parametri_v3!$C$44,1-Parametri_v3!$C$45,0))</f>
        <v>0</v>
      </c>
      <c r="AQ493" s="15" t="n">
        <f aca="false">MAX(0,AP493+IF(9=Parametri_v3!$C$43,MAX(0,AN493-AO493),0)-MAX(0,-(AR492)))</f>
        <v>0</v>
      </c>
      <c r="AR493" s="15" t="n">
        <f aca="false">(AR492)+X493-AQ493</f>
        <v>10197.8905263158</v>
      </c>
      <c r="AS493" s="15" t="n">
        <f aca="false">Motore_Operativo!AC493-AT493+AU493</f>
        <v>4987.5</v>
      </c>
      <c r="AT493" s="15" t="n">
        <f aca="false">Motore_Operativo!CI493</f>
        <v>262.5</v>
      </c>
      <c r="AU493" s="15" t="n">
        <f aca="false">MIN(MAX(0,(AV492)+AT493),Parametri_v3!$C$61/12)</f>
        <v>0</v>
      </c>
      <c r="AV493" s="15" t="n">
        <f aca="false">(AV492)+AT493-AU493</f>
        <v>2362.5</v>
      </c>
      <c r="AW493" s="15" t="n">
        <f aca="false">IF(AND(Motore_Operativo!C493=Finanziamenti!$D$7,Finanziamenti!$F$7=1),Finanziamenti!$C$7,0)</f>
        <v>0</v>
      </c>
      <c r="AX493" s="15" t="n">
        <f aca="false">0</f>
        <v>0</v>
      </c>
      <c r="AY493" s="15" t="n">
        <f aca="false">IF(9=Parametri_v3!$C$33,IF(BV493&lt;MIN(12,$B493-1),0,MIN(MAX(0,0)*Ipotesi!$C$94,MAX(0,(0)-(BO492)-BP493),MAX(0,BD493-Parametri_v3!$C$31))),0)</f>
        <v>0</v>
      </c>
      <c r="AZ493" s="15" t="n">
        <f aca="false">0</f>
        <v>0</v>
      </c>
      <c r="BA493" s="15" t="n">
        <f aca="false">0</f>
        <v>0</v>
      </c>
      <c r="BB493" s="15" t="n">
        <f aca="false">0</f>
        <v>0</v>
      </c>
      <c r="BC493" s="15" t="n">
        <f aca="false">0</f>
        <v>0</v>
      </c>
      <c r="BD493" s="15" t="n">
        <f aca="false">(BH492)+AC493-AF493-AI493-AS493-K493*(1+Parametri_v3!$C$26)-AL493-AQ493-O493+AW493+AX493+AZ493+BA493-BB493</f>
        <v>14188.2007017544</v>
      </c>
      <c r="BE493" s="15" t="n">
        <f aca="false">0</f>
        <v>0</v>
      </c>
      <c r="BF493" s="15" t="n">
        <f aca="false">0</f>
        <v>0</v>
      </c>
      <c r="BG493" s="15" t="n">
        <f aca="false">0</f>
        <v>0</v>
      </c>
      <c r="BH493" s="15" t="n">
        <f aca="false">BD493+BE493-BF493-AY493</f>
        <v>14188.2007017544</v>
      </c>
      <c r="BI493" s="15" t="n">
        <f aca="false">MAX(0,Parametri_v3!$C$31-BH493)</f>
        <v>0</v>
      </c>
      <c r="BJ493" s="15" t="n">
        <f aca="false">(BJ492)+K493</f>
        <v>2250</v>
      </c>
      <c r="BK493" s="15" t="n">
        <f aca="false">(BK492)+L493</f>
        <v>312.5</v>
      </c>
      <c r="BL493" s="15" t="n">
        <f aca="false">BJ493-BK493</f>
        <v>1937.5</v>
      </c>
      <c r="BM493" s="15" t="n">
        <f aca="false">(BM492)+Y493</f>
        <v>26353.6884210526</v>
      </c>
      <c r="BN493" s="15" t="n">
        <f aca="false">(BN492)+AW493+AX493+AZ493</f>
        <v>20000</v>
      </c>
      <c r="BO493" s="15" t="n">
        <f aca="false">(BO492)+AY493</f>
        <v>0</v>
      </c>
      <c r="BP493" s="15" t="n">
        <f aca="false">MIN(Parametri_v3!$C$36*Parametri_v3!$C$35,(BP492)+IF(9=1,MAX(0,0)*Parametri_v3!$C$34,0))</f>
        <v>0</v>
      </c>
      <c r="BQ493" s="15" t="n">
        <f aca="false">BN493+BM493-BO493</f>
        <v>46353.6884210526</v>
      </c>
      <c r="BR493" s="15" t="n">
        <f aca="false">BH493+AD493+BL493+MAX(0,-AM493)+MAX(0,-AR493)</f>
        <v>75456.2270175439</v>
      </c>
      <c r="BS493" s="15" t="n">
        <f aca="false">AJ493+AV493+MAX(0,AM493)+MAX(0,AR493)+BC493+BG493+BQ493+AG493</f>
        <v>75456.2270175439</v>
      </c>
      <c r="BT493" s="15" t="n">
        <f aca="false">BR493-BS493</f>
        <v>0</v>
      </c>
      <c r="BU493" s="15" t="n">
        <f aca="false">BH493-(BD493+BE493-BF493-AY493)</f>
        <v>0</v>
      </c>
      <c r="BV493" s="15" t="n">
        <f aca="false">IF(BH492&lt;Parametri_v3!$C$31,0,BV492+1)</f>
        <v>1</v>
      </c>
    </row>
    <row r="494" customFormat="false" ht="18" hidden="false" customHeight="true" outlineLevel="0" collapsed="false">
      <c r="A494" s="68" t="n">
        <f aca="false">9</f>
        <v>9</v>
      </c>
      <c r="B494" s="68" t="n">
        <f aca="false">10</f>
        <v>10</v>
      </c>
      <c r="C494" s="18" t="n">
        <f aca="false">Motore_Operativo!C494</f>
        <v>46661</v>
      </c>
      <c r="D494" s="68" t="n">
        <f aca="false">Motore_Operativo!D494</f>
        <v>2027</v>
      </c>
      <c r="E494" s="68" t="n">
        <f aca="false">Motore_Operativo!E494</f>
        <v>10</v>
      </c>
      <c r="F494" s="15" t="n">
        <f aca="false">Motore_Operativo!AM494</f>
        <v>16210.5263157895</v>
      </c>
      <c r="G494" s="15" t="n">
        <f aca="false">Motore_Operativo!BH494</f>
        <v>1621.05263157895</v>
      </c>
      <c r="H494" s="15" t="n">
        <f aca="false">Motore_Operativo!AM494</f>
        <v>16210.5263157895</v>
      </c>
      <c r="I494" s="15" t="n">
        <f aca="false">Motore_Operativo!CB494</f>
        <v>12114.5175438596</v>
      </c>
      <c r="J494" s="15" t="n">
        <f aca="false">Motore_Operativo!CD494</f>
        <v>4096.00877192982</v>
      </c>
      <c r="K494" s="15" t="n">
        <f aca="false">Motore_Operativo!CF494</f>
        <v>250</v>
      </c>
      <c r="L494" s="15" t="n">
        <f aca="false">SUM(INDEX($K$485:$K$544,MAX(1,10-Parametri_v3!$C$59+1)):K494)/Parametri_v3!$C$59</f>
        <v>69.4444444444444</v>
      </c>
      <c r="M494" s="15" t="n">
        <f aca="false">J494-L494</f>
        <v>4026.56432748538</v>
      </c>
      <c r="N494" s="15" t="n">
        <f aca="false">0</f>
        <v>0</v>
      </c>
      <c r="O494" s="15" t="n">
        <f aca="false">0</f>
        <v>0</v>
      </c>
      <c r="P494" s="15" t="n">
        <f aca="false">M494+N494-O494</f>
        <v>4026.56432748538</v>
      </c>
      <c r="Q494" s="15" t="n">
        <f aca="false">SUM(P485:P494)+Parametri_v3!$C$56*10/12</f>
        <v>40578.1432748538</v>
      </c>
      <c r="R494" s="15" t="n">
        <f aca="false">0</f>
        <v>0</v>
      </c>
      <c r="S494" s="15" t="n">
        <f aca="false">0</f>
        <v>0</v>
      </c>
      <c r="T494" s="15" t="n">
        <f aca="false">MIN(R494,MAX(0,Q494))</f>
        <v>0</v>
      </c>
      <c r="U494" s="15" t="n">
        <f aca="false">MIN(S494,MAX(0,Q494-T494)*Parametri_v3!$C$42)</f>
        <v>0</v>
      </c>
      <c r="V494" s="15" t="n">
        <f aca="false">MAX(0,Q494-T494-U494)*Ipotesi!$C$92</f>
        <v>9738.75438596491</v>
      </c>
      <c r="W494" s="15" t="n">
        <f aca="false">MAX(0,SUM(M485:M494)+Parametri_v3!$C$57*10/12)*Ipotesi!$C$93</f>
        <v>1582.5475877193</v>
      </c>
      <c r="X494" s="15" t="n">
        <f aca="false">V494+W494-(V493+W493)</f>
        <v>1123.41144736842</v>
      </c>
      <c r="Y494" s="15" t="n">
        <f aca="false">P494-X494</f>
        <v>2903.15288011696</v>
      </c>
      <c r="Z494" s="15" t="n">
        <f aca="false">R494-T494+IF(AND(Parametri_v3!$C$40=1,D494-YEAR(Parametri_v3!$C$50)&lt;Parametri_v3!$C$41),MAX(0,-Q494),0)</f>
        <v>0</v>
      </c>
      <c r="AA494" s="15" t="n">
        <f aca="false">S494-U494+IF(AND(Parametri_v3!$C$40=1,D494-YEAR(Parametri_v3!$C$50)&lt;Parametri_v3!$C$41),0,MAX(0,-Q494))</f>
        <v>0</v>
      </c>
      <c r="AB494" s="15" t="n">
        <f aca="false">F494*(1+Parametri_v3!$C$26)</f>
        <v>19776.8421052632</v>
      </c>
      <c r="AC494" s="15" t="n">
        <f aca="false">(IF(10-(INT((Motore_Operativo!L494)/30))&lt;1,0,INDEX(Motore_Advisory!$AB$485:$AB$544,MAX(1,10-(INT((Motore_Operativo!L494)/30)))))*(1-(MOD((Motore_Operativo!L494),30)/30))+IF(10-(INT((Motore_Operativo!L494)/30))-1&lt;1,0,INDEX(Motore_Advisory!$AB$485:$AB$544,MAX(1,10-(INT((Motore_Operativo!L494)/30))-1)))*(MOD((Motore_Operativo!L494),30)/30))</f>
        <v>19776.8421052632</v>
      </c>
      <c r="AD494" s="15" t="n">
        <f aca="false">(AD493)+AB494-AC494</f>
        <v>59330.5263157895</v>
      </c>
      <c r="AE494" s="15" t="n">
        <f aca="false">Motore_Operativo!BH494*(1+Parametri_v3!$C$26)</f>
        <v>1977.68421052632</v>
      </c>
      <c r="AF494" s="15" t="n">
        <f aca="false">(IF(10-(INT((Parametri_v3!$C$29)/30))&lt;1,0,INDEX(Motore_Operativo!$BH$485:$BH$544,MAX(1,10-(INT((Parametri_v3!$C$29)/30)))))*(1-(MOD((Parametri_v3!$C$29),30)/30))+IF(10-(INT((Parametri_v3!$C$29)/30))-1&lt;1,0,INDEX(Motore_Operativo!$BH$485:$BH$544,MAX(1,10-(INT((Parametri_v3!$C$29)/30))-1)))*(MOD((Parametri_v3!$C$29),30)/30))*(1+Parametri_v3!$C$26)</f>
        <v>1977.68421052632</v>
      </c>
      <c r="AG494" s="15" t="n">
        <f aca="false">(AG493)+AE494-AF494</f>
        <v>1977.68421052632</v>
      </c>
      <c r="AH494" s="15" t="n">
        <f aca="false">(Motore_Operativo!CK494)*(1+Parametri_v3!$C$28*Parametri_v3!$C$26)</f>
        <v>6166.3147368421</v>
      </c>
      <c r="AI494" s="15" t="n">
        <f aca="false">(IF(10-(INT((Ipotesi!$C$91)/30))&lt;1,0,INDEX(Motore_Advisory!$AH$485:$AH$544,MAX(1,10-(INT((Ipotesi!$C$91)/30)))))*(1-(MOD((Ipotesi!$C$91),30)/30))+IF(10-(INT((Ipotesi!$C$91)/30))-1&lt;1,0,INDEX(Motore_Advisory!$AH$485:$AH$544,MAX(1,10-(INT((Ipotesi!$C$91)/30))-1)))*(MOD((Ipotesi!$C$91),30)/30))</f>
        <v>6166.3147368421</v>
      </c>
      <c r="AJ494" s="15" t="n">
        <f aca="false">(AJ493)+AH494-AI494</f>
        <v>12332.6294736842</v>
      </c>
      <c r="AK494" s="15" t="n">
        <f aca="false">(F494- Motore_Operativo!BH494-(Motore_Operativo!CK494)*Parametri_v3!$C$28-Motore_Operativo!CF494)*Parametri_v3!$C$26</f>
        <v>2231.83438596491</v>
      </c>
      <c r="AL494" s="15" t="n">
        <f aca="false">MAX(0,(AM493))</f>
        <v>2231.83438596491</v>
      </c>
      <c r="AM494" s="15" t="n">
        <f aca="false">(AM493)+AK494-AL494</f>
        <v>2231.83438596491</v>
      </c>
      <c r="AN494" s="15" t="n">
        <f aca="false">0</f>
        <v>0</v>
      </c>
      <c r="AO494" s="15" t="n">
        <f aca="false">0</f>
        <v>0</v>
      </c>
      <c r="AP494" s="15" t="n">
        <f aca="false">MAX(0,AN494)*IF(10=Parametri_v3!$C$43,Parametri_v3!$C$45,IF(10=Parametri_v3!$C$44,1-Parametri_v3!$C$45,0))</f>
        <v>0</v>
      </c>
      <c r="AQ494" s="15" t="n">
        <f aca="false">MAX(0,AP494+IF(10=Parametri_v3!$C$43,MAX(0,AN494-AO494),0)-MAX(0,-(AR493)))</f>
        <v>0</v>
      </c>
      <c r="AR494" s="15" t="n">
        <f aca="false">(AR493)+X494-AQ494</f>
        <v>11321.3019736842</v>
      </c>
      <c r="AS494" s="15" t="n">
        <f aca="false">Motore_Operativo!AC494-AT494+AU494</f>
        <v>4987.5</v>
      </c>
      <c r="AT494" s="15" t="n">
        <f aca="false">Motore_Operativo!CI494</f>
        <v>262.5</v>
      </c>
      <c r="AU494" s="15" t="n">
        <f aca="false">MIN(MAX(0,(AV493)+AT494),Parametri_v3!$C$61/12)</f>
        <v>0</v>
      </c>
      <c r="AV494" s="15" t="n">
        <f aca="false">(AV493)+AT494-AU494</f>
        <v>2625</v>
      </c>
      <c r="AW494" s="15" t="n">
        <f aca="false">IF(AND(Motore_Operativo!C494=Finanziamenti!$D$7,Finanziamenti!$F$7=1),Finanziamenti!$C$7,0)</f>
        <v>0</v>
      </c>
      <c r="AX494" s="15" t="n">
        <f aca="false">0</f>
        <v>0</v>
      </c>
      <c r="AY494" s="15" t="n">
        <f aca="false">IF(10=Parametri_v3!$C$33,IF(BV494&lt;MIN(12,$B494-1),0,MIN(MAX(0,0)*Ipotesi!$C$94,MAX(0,(0)-(BO493)-BP494),MAX(0,BD494-Parametri_v3!$C$31))),0)</f>
        <v>0</v>
      </c>
      <c r="AZ494" s="15" t="n">
        <f aca="false">0</f>
        <v>0</v>
      </c>
      <c r="BA494" s="15" t="n">
        <f aca="false">0</f>
        <v>0</v>
      </c>
      <c r="BB494" s="15" t="n">
        <f aca="false">0</f>
        <v>0</v>
      </c>
      <c r="BC494" s="15" t="n">
        <f aca="false">0</f>
        <v>0</v>
      </c>
      <c r="BD494" s="15" t="n">
        <f aca="false">(BH493)+AC494-AF494-AI494-AS494-K494*(1+Parametri_v3!$C$26)-AL494-AQ494-O494+AW494+AX494+AZ494+BA494-BB494</f>
        <v>18296.7094736842</v>
      </c>
      <c r="BE494" s="15" t="n">
        <f aca="false">0</f>
        <v>0</v>
      </c>
      <c r="BF494" s="15" t="n">
        <f aca="false">0</f>
        <v>0</v>
      </c>
      <c r="BG494" s="15" t="n">
        <f aca="false">0</f>
        <v>0</v>
      </c>
      <c r="BH494" s="15" t="n">
        <f aca="false">BD494+BE494-BF494-AY494</f>
        <v>18296.7094736842</v>
      </c>
      <c r="BI494" s="15" t="n">
        <f aca="false">MAX(0,Parametri_v3!$C$31-BH494)</f>
        <v>0</v>
      </c>
      <c r="BJ494" s="15" t="n">
        <f aca="false">(BJ493)+K494</f>
        <v>2500</v>
      </c>
      <c r="BK494" s="15" t="n">
        <f aca="false">(BK493)+L494</f>
        <v>381.944444444444</v>
      </c>
      <c r="BL494" s="15" t="n">
        <f aca="false">BJ494-BK494</f>
        <v>2118.05555555556</v>
      </c>
      <c r="BM494" s="15" t="n">
        <f aca="false">(BM493)+Y494</f>
        <v>29256.8413011696</v>
      </c>
      <c r="BN494" s="15" t="n">
        <f aca="false">(BN493)+AW494+AX494+AZ494</f>
        <v>20000</v>
      </c>
      <c r="BO494" s="15" t="n">
        <f aca="false">(BO493)+AY494</f>
        <v>0</v>
      </c>
      <c r="BP494" s="15" t="n">
        <f aca="false">MIN(Parametri_v3!$C$36*Parametri_v3!$C$35,(BP493)+IF(10=1,MAX(0,0)*Parametri_v3!$C$34,0))</f>
        <v>0</v>
      </c>
      <c r="BQ494" s="15" t="n">
        <f aca="false">BN494+BM494-BO494</f>
        <v>49256.8413011696</v>
      </c>
      <c r="BR494" s="15" t="n">
        <f aca="false">BH494+AD494+BL494+MAX(0,-AM494)+MAX(0,-AR494)</f>
        <v>79745.2913450292</v>
      </c>
      <c r="BS494" s="15" t="n">
        <f aca="false">AJ494+AV494+MAX(0,AM494)+MAX(0,AR494)+BC494+BG494+BQ494+AG494</f>
        <v>79745.2913450292</v>
      </c>
      <c r="BT494" s="15" t="n">
        <f aca="false">BR494-BS494</f>
        <v>0</v>
      </c>
      <c r="BU494" s="15" t="n">
        <f aca="false">BH494-(BD494+BE494-BF494-AY494)</f>
        <v>0</v>
      </c>
      <c r="BV494" s="15" t="n">
        <f aca="false">IF(BH493&lt;Parametri_v3!$C$31,0,BV493+1)</f>
        <v>2</v>
      </c>
    </row>
    <row r="495" customFormat="false" ht="18" hidden="false" customHeight="true" outlineLevel="0" collapsed="false">
      <c r="A495" s="68" t="n">
        <f aca="false">9</f>
        <v>9</v>
      </c>
      <c r="B495" s="68" t="n">
        <f aca="false">11</f>
        <v>11</v>
      </c>
      <c r="C495" s="18" t="n">
        <f aca="false">Motore_Operativo!C495</f>
        <v>46692</v>
      </c>
      <c r="D495" s="68" t="n">
        <f aca="false">Motore_Operativo!D495</f>
        <v>2027</v>
      </c>
      <c r="E495" s="68" t="n">
        <f aca="false">Motore_Operativo!E495</f>
        <v>11</v>
      </c>
      <c r="F495" s="15" t="n">
        <f aca="false">Motore_Operativo!AM495</f>
        <v>16210.5263157895</v>
      </c>
      <c r="G495" s="15" t="n">
        <f aca="false">Motore_Operativo!BH495</f>
        <v>1621.05263157895</v>
      </c>
      <c r="H495" s="15" t="n">
        <f aca="false">Motore_Operativo!AM495</f>
        <v>16210.5263157895</v>
      </c>
      <c r="I495" s="15" t="n">
        <f aca="false">Motore_Operativo!CB495</f>
        <v>12114.5175438596</v>
      </c>
      <c r="J495" s="15" t="n">
        <f aca="false">Motore_Operativo!CD495</f>
        <v>4096.00877192982</v>
      </c>
      <c r="K495" s="15" t="n">
        <f aca="false">Motore_Operativo!CF495</f>
        <v>250</v>
      </c>
      <c r="L495" s="15" t="n">
        <f aca="false">SUM(INDEX($K$485:$K$544,MAX(1,11-Parametri_v3!$C$59+1)):K495)/Parametri_v3!$C$59</f>
        <v>76.3888888888889</v>
      </c>
      <c r="M495" s="15" t="n">
        <f aca="false">J495-L495</f>
        <v>4019.61988304094</v>
      </c>
      <c r="N495" s="15" t="n">
        <f aca="false">0</f>
        <v>0</v>
      </c>
      <c r="O495" s="15" t="n">
        <f aca="false">0</f>
        <v>0</v>
      </c>
      <c r="P495" s="15" t="n">
        <f aca="false">M495+N495-O495</f>
        <v>4019.61988304094</v>
      </c>
      <c r="Q495" s="15" t="n">
        <f aca="false">SUM(P485:P495)+Parametri_v3!$C$56*11/12</f>
        <v>44597.7631578947</v>
      </c>
      <c r="R495" s="15" t="n">
        <f aca="false">0</f>
        <v>0</v>
      </c>
      <c r="S495" s="15" t="n">
        <f aca="false">0</f>
        <v>0</v>
      </c>
      <c r="T495" s="15" t="n">
        <f aca="false">MIN(R495,MAX(0,Q495))</f>
        <v>0</v>
      </c>
      <c r="U495" s="15" t="n">
        <f aca="false">MIN(S495,MAX(0,Q495-T495)*Parametri_v3!$C$42)</f>
        <v>0</v>
      </c>
      <c r="V495" s="15" t="n">
        <f aca="false">MAX(0,Q495-T495-U495)*Ipotesi!$C$92</f>
        <v>10703.4631578947</v>
      </c>
      <c r="W495" s="15" t="n">
        <f aca="false">MAX(0,SUM(M485:M495)+Parametri_v3!$C$57*11/12)*Ipotesi!$C$93</f>
        <v>1739.31276315789</v>
      </c>
      <c r="X495" s="15" t="n">
        <f aca="false">V495+W495-(V494+W494)</f>
        <v>1121.47394736842</v>
      </c>
      <c r="Y495" s="15" t="n">
        <f aca="false">P495-X495</f>
        <v>2898.14593567252</v>
      </c>
      <c r="Z495" s="15" t="n">
        <f aca="false">R495-T495+IF(AND(Parametri_v3!$C$40=1,D495-YEAR(Parametri_v3!$C$50)&lt;Parametri_v3!$C$41),MAX(0,-Q495),0)</f>
        <v>0</v>
      </c>
      <c r="AA495" s="15" t="n">
        <f aca="false">S495-U495+IF(AND(Parametri_v3!$C$40=1,D495-YEAR(Parametri_v3!$C$50)&lt;Parametri_v3!$C$41),0,MAX(0,-Q495))</f>
        <v>0</v>
      </c>
      <c r="AB495" s="15" t="n">
        <f aca="false">F495*(1+Parametri_v3!$C$26)</f>
        <v>19776.8421052632</v>
      </c>
      <c r="AC495" s="15" t="n">
        <f aca="false">(IF(11-(INT((Motore_Operativo!L495)/30))&lt;1,0,INDEX(Motore_Advisory!$AB$485:$AB$544,MAX(1,11-(INT((Motore_Operativo!L495)/30)))))*(1-(MOD((Motore_Operativo!L495),30)/30))+IF(11-(INT((Motore_Operativo!L495)/30))-1&lt;1,0,INDEX(Motore_Advisory!$AB$485:$AB$544,MAX(1,11-(INT((Motore_Operativo!L495)/30))-1)))*(MOD((Motore_Operativo!L495),30)/30))</f>
        <v>19776.8421052632</v>
      </c>
      <c r="AD495" s="15" t="n">
        <f aca="false">(AD494)+AB495-AC495</f>
        <v>59330.5263157895</v>
      </c>
      <c r="AE495" s="15" t="n">
        <f aca="false">Motore_Operativo!BH495*(1+Parametri_v3!$C$26)</f>
        <v>1977.68421052632</v>
      </c>
      <c r="AF495" s="15" t="n">
        <f aca="false">(IF(11-(INT((Parametri_v3!$C$29)/30))&lt;1,0,INDEX(Motore_Operativo!$BH$485:$BH$544,MAX(1,11-(INT((Parametri_v3!$C$29)/30)))))*(1-(MOD((Parametri_v3!$C$29),30)/30))+IF(11-(INT((Parametri_v3!$C$29)/30))-1&lt;1,0,INDEX(Motore_Operativo!$BH$485:$BH$544,MAX(1,11-(INT((Parametri_v3!$C$29)/30))-1)))*(MOD((Parametri_v3!$C$29),30)/30))*(1+Parametri_v3!$C$26)</f>
        <v>1977.68421052632</v>
      </c>
      <c r="AG495" s="15" t="n">
        <f aca="false">(AG494)+AE495-AF495</f>
        <v>1977.68421052632</v>
      </c>
      <c r="AH495" s="15" t="n">
        <f aca="false">(Motore_Operativo!CK495)*(1+Parametri_v3!$C$28*Parametri_v3!$C$26)</f>
        <v>6166.3147368421</v>
      </c>
      <c r="AI495" s="15" t="n">
        <f aca="false">(IF(11-(INT((Ipotesi!$C$91)/30))&lt;1,0,INDEX(Motore_Advisory!$AH$485:$AH$544,MAX(1,11-(INT((Ipotesi!$C$91)/30)))))*(1-(MOD((Ipotesi!$C$91),30)/30))+IF(11-(INT((Ipotesi!$C$91)/30))-1&lt;1,0,INDEX(Motore_Advisory!$AH$485:$AH$544,MAX(1,11-(INT((Ipotesi!$C$91)/30))-1)))*(MOD((Ipotesi!$C$91),30)/30))</f>
        <v>6166.3147368421</v>
      </c>
      <c r="AJ495" s="15" t="n">
        <f aca="false">(AJ494)+AH495-AI495</f>
        <v>12332.6294736842</v>
      </c>
      <c r="AK495" s="15" t="n">
        <f aca="false">(F495- Motore_Operativo!BH495-(Motore_Operativo!CK495)*Parametri_v3!$C$28-Motore_Operativo!CF495)*Parametri_v3!$C$26</f>
        <v>2231.83438596491</v>
      </c>
      <c r="AL495" s="15" t="n">
        <f aca="false">MAX(0,(AM494))</f>
        <v>2231.83438596491</v>
      </c>
      <c r="AM495" s="15" t="n">
        <f aca="false">(AM494)+AK495-AL495</f>
        <v>2231.83438596491</v>
      </c>
      <c r="AN495" s="15" t="n">
        <f aca="false">0</f>
        <v>0</v>
      </c>
      <c r="AO495" s="15" t="n">
        <f aca="false">0</f>
        <v>0</v>
      </c>
      <c r="AP495" s="15" t="n">
        <f aca="false">MAX(0,AN495)*IF(11=Parametri_v3!$C$43,Parametri_v3!$C$45,IF(11=Parametri_v3!$C$44,1-Parametri_v3!$C$45,0))</f>
        <v>0</v>
      </c>
      <c r="AQ495" s="15" t="n">
        <f aca="false">MAX(0,AP495+IF(11=Parametri_v3!$C$43,MAX(0,AN495-AO495),0)-MAX(0,-(AR494)))</f>
        <v>0</v>
      </c>
      <c r="AR495" s="15" t="n">
        <f aca="false">(AR494)+X495-AQ495</f>
        <v>12442.7759210526</v>
      </c>
      <c r="AS495" s="15" t="n">
        <f aca="false">Motore_Operativo!AC495-AT495+AU495</f>
        <v>4987.5</v>
      </c>
      <c r="AT495" s="15" t="n">
        <f aca="false">Motore_Operativo!CI495</f>
        <v>262.5</v>
      </c>
      <c r="AU495" s="15" t="n">
        <f aca="false">MIN(MAX(0,(AV494)+AT495),Parametri_v3!$C$61/12)</f>
        <v>0</v>
      </c>
      <c r="AV495" s="15" t="n">
        <f aca="false">(AV494)+AT495-AU495</f>
        <v>2887.5</v>
      </c>
      <c r="AW495" s="15" t="n">
        <f aca="false">IF(AND(Motore_Operativo!C495=Finanziamenti!$D$7,Finanziamenti!$F$7=1),Finanziamenti!$C$7,0)</f>
        <v>0</v>
      </c>
      <c r="AX495" s="15" t="n">
        <f aca="false">0</f>
        <v>0</v>
      </c>
      <c r="AY495" s="15" t="n">
        <f aca="false">IF(11=Parametri_v3!$C$33,IF(BV495&lt;MIN(12,$B495-1),0,MIN(MAX(0,0)*Ipotesi!$C$94,MAX(0,(0)-(BO494)-BP495),MAX(0,BD495-Parametri_v3!$C$31))),0)</f>
        <v>0</v>
      </c>
      <c r="AZ495" s="15" t="n">
        <f aca="false">0</f>
        <v>0</v>
      </c>
      <c r="BA495" s="15" t="n">
        <f aca="false">0</f>
        <v>0</v>
      </c>
      <c r="BB495" s="15" t="n">
        <f aca="false">0</f>
        <v>0</v>
      </c>
      <c r="BC495" s="15" t="n">
        <f aca="false">0</f>
        <v>0</v>
      </c>
      <c r="BD495" s="15" t="n">
        <f aca="false">(BH494)+AC495-AF495-AI495-AS495-K495*(1+Parametri_v3!$C$26)-AL495-AQ495-O495+AW495+AX495+AZ495+BA495-BB495</f>
        <v>22405.218245614</v>
      </c>
      <c r="BE495" s="15" t="n">
        <f aca="false">0</f>
        <v>0</v>
      </c>
      <c r="BF495" s="15" t="n">
        <f aca="false">0</f>
        <v>0</v>
      </c>
      <c r="BG495" s="15" t="n">
        <f aca="false">0</f>
        <v>0</v>
      </c>
      <c r="BH495" s="15" t="n">
        <f aca="false">BD495+BE495-BF495-AY495</f>
        <v>22405.218245614</v>
      </c>
      <c r="BI495" s="15" t="n">
        <f aca="false">MAX(0,Parametri_v3!$C$31-BH495)</f>
        <v>0</v>
      </c>
      <c r="BJ495" s="15" t="n">
        <f aca="false">(BJ494)+K495</f>
        <v>2750</v>
      </c>
      <c r="BK495" s="15" t="n">
        <f aca="false">(BK494)+L495</f>
        <v>458.333333333333</v>
      </c>
      <c r="BL495" s="15" t="n">
        <f aca="false">BJ495-BK495</f>
        <v>2291.66666666667</v>
      </c>
      <c r="BM495" s="15" t="n">
        <f aca="false">(BM494)+Y495</f>
        <v>32154.9872368421</v>
      </c>
      <c r="BN495" s="15" t="n">
        <f aca="false">(BN494)+AW495+AX495+AZ495</f>
        <v>20000</v>
      </c>
      <c r="BO495" s="15" t="n">
        <f aca="false">(BO494)+AY495</f>
        <v>0</v>
      </c>
      <c r="BP495" s="15" t="n">
        <f aca="false">MIN(Parametri_v3!$C$36*Parametri_v3!$C$35,(BP494)+IF(11=1,MAX(0,0)*Parametri_v3!$C$34,0))</f>
        <v>0</v>
      </c>
      <c r="BQ495" s="15" t="n">
        <f aca="false">BN495+BM495-BO495</f>
        <v>52154.9872368421</v>
      </c>
      <c r="BR495" s="15" t="n">
        <f aca="false">BH495+AD495+BL495+MAX(0,-AM495)+MAX(0,-AR495)</f>
        <v>84027.4112280702</v>
      </c>
      <c r="BS495" s="15" t="n">
        <f aca="false">AJ495+AV495+MAX(0,AM495)+MAX(0,AR495)+BC495+BG495+BQ495+AG495</f>
        <v>84027.4112280702</v>
      </c>
      <c r="BT495" s="15" t="n">
        <f aca="false">BR495-BS495</f>
        <v>0</v>
      </c>
      <c r="BU495" s="15" t="n">
        <f aca="false">BH495-(BD495+BE495-BF495-AY495)</f>
        <v>0</v>
      </c>
      <c r="BV495" s="15" t="n">
        <f aca="false">IF(BH494&lt;Parametri_v3!$C$31,0,BV494+1)</f>
        <v>3</v>
      </c>
    </row>
    <row r="496" customFormat="false" ht="18" hidden="false" customHeight="true" outlineLevel="0" collapsed="false">
      <c r="A496" s="68" t="n">
        <f aca="false">9</f>
        <v>9</v>
      </c>
      <c r="B496" s="68" t="n">
        <f aca="false">12</f>
        <v>12</v>
      </c>
      <c r="C496" s="18" t="n">
        <f aca="false">Motore_Operativo!C496</f>
        <v>46722</v>
      </c>
      <c r="D496" s="68" t="n">
        <f aca="false">Motore_Operativo!D496</f>
        <v>2027</v>
      </c>
      <c r="E496" s="68" t="n">
        <f aca="false">Motore_Operativo!E496</f>
        <v>12</v>
      </c>
      <c r="F496" s="15" t="n">
        <f aca="false">Motore_Operativo!AM496</f>
        <v>16210.5263157895</v>
      </c>
      <c r="G496" s="15" t="n">
        <f aca="false">Motore_Operativo!BH496</f>
        <v>1621.05263157895</v>
      </c>
      <c r="H496" s="15" t="n">
        <f aca="false">Motore_Operativo!AM496</f>
        <v>16210.5263157895</v>
      </c>
      <c r="I496" s="15" t="n">
        <f aca="false">Motore_Operativo!CB496</f>
        <v>12114.5175438596</v>
      </c>
      <c r="J496" s="15" t="n">
        <f aca="false">Motore_Operativo!CD496</f>
        <v>4096.00877192982</v>
      </c>
      <c r="K496" s="15" t="n">
        <f aca="false">Motore_Operativo!CF496</f>
        <v>250</v>
      </c>
      <c r="L496" s="15" t="n">
        <f aca="false">SUM(INDEX($K$485:$K$544,MAX(1,12-Parametri_v3!$C$59+1)):K496)/Parametri_v3!$C$59</f>
        <v>83.3333333333333</v>
      </c>
      <c r="M496" s="15" t="n">
        <f aca="false">J496-L496</f>
        <v>4012.67543859649</v>
      </c>
      <c r="N496" s="15" t="n">
        <f aca="false">0</f>
        <v>0</v>
      </c>
      <c r="O496" s="15" t="n">
        <f aca="false">0</f>
        <v>0</v>
      </c>
      <c r="P496" s="15" t="n">
        <f aca="false">M496+N496-O496</f>
        <v>4012.67543859649</v>
      </c>
      <c r="Q496" s="15" t="n">
        <f aca="false">SUM(P485:P496)+Parametri_v3!$C$56*12/12</f>
        <v>48610.4385964912</v>
      </c>
      <c r="R496" s="15" t="n">
        <f aca="false">0</f>
        <v>0</v>
      </c>
      <c r="S496" s="15" t="n">
        <f aca="false">0</f>
        <v>0</v>
      </c>
      <c r="T496" s="15" t="n">
        <f aca="false">MIN(R496,MAX(0,Q496))</f>
        <v>0</v>
      </c>
      <c r="U496" s="15" t="n">
        <f aca="false">MIN(S496,MAX(0,Q496-T496)*Parametri_v3!$C$42)</f>
        <v>0</v>
      </c>
      <c r="V496" s="15" t="n">
        <f aca="false">MAX(0,Q496-T496-U496)*Ipotesi!$C$92</f>
        <v>11666.5052631579</v>
      </c>
      <c r="W496" s="15" t="n">
        <f aca="false">MAX(0,SUM(M485:M496)+Parametri_v3!$C$57*12/12)*Ipotesi!$C$93</f>
        <v>1895.80710526316</v>
      </c>
      <c r="X496" s="15" t="n">
        <f aca="false">V496+W496-(V495+W495)</f>
        <v>1119.53644736842</v>
      </c>
      <c r="Y496" s="15" t="n">
        <f aca="false">P496-X496</f>
        <v>2893.13899122807</v>
      </c>
      <c r="Z496" s="15" t="n">
        <f aca="false">R496-T496+IF(AND(Parametri_v3!$C$40=1,D496-YEAR(Parametri_v3!$C$50)&lt;Parametri_v3!$C$41),MAX(0,-Q496),0)</f>
        <v>0</v>
      </c>
      <c r="AA496" s="15" t="n">
        <f aca="false">S496-U496+IF(AND(Parametri_v3!$C$40=1,D496-YEAR(Parametri_v3!$C$50)&lt;Parametri_v3!$C$41),0,MAX(0,-Q496))</f>
        <v>0</v>
      </c>
      <c r="AB496" s="15" t="n">
        <f aca="false">F496*(1+Parametri_v3!$C$26)</f>
        <v>19776.8421052632</v>
      </c>
      <c r="AC496" s="15" t="n">
        <f aca="false">(IF(12-(INT((Motore_Operativo!L496)/30))&lt;1,0,INDEX(Motore_Advisory!$AB$485:$AB$544,MAX(1,12-(INT((Motore_Operativo!L496)/30)))))*(1-(MOD((Motore_Operativo!L496),30)/30))+IF(12-(INT((Motore_Operativo!L496)/30))-1&lt;1,0,INDEX(Motore_Advisory!$AB$485:$AB$544,MAX(1,12-(INT((Motore_Operativo!L496)/30))-1)))*(MOD((Motore_Operativo!L496),30)/30))</f>
        <v>19776.8421052632</v>
      </c>
      <c r="AD496" s="15" t="n">
        <f aca="false">(AD495)+AB496-AC496</f>
        <v>59330.5263157895</v>
      </c>
      <c r="AE496" s="15" t="n">
        <f aca="false">Motore_Operativo!BH496*(1+Parametri_v3!$C$26)</f>
        <v>1977.68421052632</v>
      </c>
      <c r="AF496" s="15" t="n">
        <f aca="false">(IF(12-(INT((Parametri_v3!$C$29)/30))&lt;1,0,INDEX(Motore_Operativo!$BH$485:$BH$544,MAX(1,12-(INT((Parametri_v3!$C$29)/30)))))*(1-(MOD((Parametri_v3!$C$29),30)/30))+IF(12-(INT((Parametri_v3!$C$29)/30))-1&lt;1,0,INDEX(Motore_Operativo!$BH$485:$BH$544,MAX(1,12-(INT((Parametri_v3!$C$29)/30))-1)))*(MOD((Parametri_v3!$C$29),30)/30))*(1+Parametri_v3!$C$26)</f>
        <v>1977.68421052632</v>
      </c>
      <c r="AG496" s="15" t="n">
        <f aca="false">(AG495)+AE496-AF496</f>
        <v>1977.68421052632</v>
      </c>
      <c r="AH496" s="15" t="n">
        <f aca="false">(Motore_Operativo!CK496)*(1+Parametri_v3!$C$28*Parametri_v3!$C$26)</f>
        <v>6166.3147368421</v>
      </c>
      <c r="AI496" s="15" t="n">
        <f aca="false">(IF(12-(INT((Ipotesi!$C$91)/30))&lt;1,0,INDEX(Motore_Advisory!$AH$485:$AH$544,MAX(1,12-(INT((Ipotesi!$C$91)/30)))))*(1-(MOD((Ipotesi!$C$91),30)/30))+IF(12-(INT((Ipotesi!$C$91)/30))-1&lt;1,0,INDEX(Motore_Advisory!$AH$485:$AH$544,MAX(1,12-(INT((Ipotesi!$C$91)/30))-1)))*(MOD((Ipotesi!$C$91),30)/30))</f>
        <v>6166.3147368421</v>
      </c>
      <c r="AJ496" s="15" t="n">
        <f aca="false">(AJ495)+AH496-AI496</f>
        <v>12332.6294736842</v>
      </c>
      <c r="AK496" s="15" t="n">
        <f aca="false">(F496- Motore_Operativo!BH496-(Motore_Operativo!CK496)*Parametri_v3!$C$28-Motore_Operativo!CF496)*Parametri_v3!$C$26</f>
        <v>2231.83438596491</v>
      </c>
      <c r="AL496" s="15" t="n">
        <f aca="false">MAX(0,(AM495))</f>
        <v>2231.83438596491</v>
      </c>
      <c r="AM496" s="15" t="n">
        <f aca="false">(AM495)+AK496-AL496</f>
        <v>2231.83438596491</v>
      </c>
      <c r="AN496" s="15" t="n">
        <f aca="false">0</f>
        <v>0</v>
      </c>
      <c r="AO496" s="15" t="n">
        <f aca="false">0</f>
        <v>0</v>
      </c>
      <c r="AP496" s="15" t="n">
        <f aca="false">MAX(0,AN496)*IF(12=Parametri_v3!$C$43,Parametri_v3!$C$45,IF(12=Parametri_v3!$C$44,1-Parametri_v3!$C$45,0))</f>
        <v>0</v>
      </c>
      <c r="AQ496" s="15" t="n">
        <f aca="false">MAX(0,AP496+IF(12=Parametri_v3!$C$43,MAX(0,AN496-AO496),0)-MAX(0,-(AR495)))</f>
        <v>0</v>
      </c>
      <c r="AR496" s="15" t="n">
        <f aca="false">(AR495)+X496-AQ496</f>
        <v>13562.3123684211</v>
      </c>
      <c r="AS496" s="15" t="n">
        <f aca="false">Motore_Operativo!AC496-AT496+AU496</f>
        <v>4987.5</v>
      </c>
      <c r="AT496" s="15" t="n">
        <f aca="false">Motore_Operativo!CI496</f>
        <v>262.5</v>
      </c>
      <c r="AU496" s="15" t="n">
        <f aca="false">MIN(MAX(0,(AV495)+AT496),Parametri_v3!$C$61/12)</f>
        <v>0</v>
      </c>
      <c r="AV496" s="15" t="n">
        <f aca="false">(AV495)+AT496-AU496</f>
        <v>3150</v>
      </c>
      <c r="AW496" s="15" t="n">
        <f aca="false">IF(AND(Motore_Operativo!C496=Finanziamenti!$D$7,Finanziamenti!$F$7=1),Finanziamenti!$C$7,0)</f>
        <v>0</v>
      </c>
      <c r="AX496" s="15" t="n">
        <f aca="false">0</f>
        <v>0</v>
      </c>
      <c r="AY496" s="15" t="n">
        <f aca="false">IF(12=Parametri_v3!$C$33,IF(BV496&lt;MIN(12,$B496-1),0,MIN(MAX(0,0)*Ipotesi!$C$94,MAX(0,(0)-(BO495)-BP496),MAX(0,BD496-Parametri_v3!$C$31))),0)</f>
        <v>0</v>
      </c>
      <c r="AZ496" s="15" t="n">
        <f aca="false">0</f>
        <v>0</v>
      </c>
      <c r="BA496" s="15" t="n">
        <f aca="false">0</f>
        <v>0</v>
      </c>
      <c r="BB496" s="15" t="n">
        <f aca="false">0</f>
        <v>0</v>
      </c>
      <c r="BC496" s="15" t="n">
        <f aca="false">0</f>
        <v>0</v>
      </c>
      <c r="BD496" s="15" t="n">
        <f aca="false">(BH495)+AC496-AF496-AI496-AS496-K496*(1+Parametri_v3!$C$26)-AL496-AQ496-O496+AW496+AX496+AZ496+BA496-BB496</f>
        <v>26513.7270175439</v>
      </c>
      <c r="BE496" s="15" t="n">
        <f aca="false">0</f>
        <v>0</v>
      </c>
      <c r="BF496" s="15" t="n">
        <f aca="false">0</f>
        <v>0</v>
      </c>
      <c r="BG496" s="15" t="n">
        <f aca="false">0</f>
        <v>0</v>
      </c>
      <c r="BH496" s="15" t="n">
        <f aca="false">BD496+BE496-BF496-AY496</f>
        <v>26513.7270175439</v>
      </c>
      <c r="BI496" s="15" t="n">
        <f aca="false">MAX(0,Parametri_v3!$C$31-BH496)</f>
        <v>0</v>
      </c>
      <c r="BJ496" s="15" t="n">
        <f aca="false">(BJ495)+K496</f>
        <v>3000</v>
      </c>
      <c r="BK496" s="15" t="n">
        <f aca="false">(BK495)+L496</f>
        <v>541.666666666667</v>
      </c>
      <c r="BL496" s="15" t="n">
        <f aca="false">BJ496-BK496</f>
        <v>2458.33333333333</v>
      </c>
      <c r="BM496" s="15" t="n">
        <f aca="false">(BM495)+Y496</f>
        <v>35048.1262280702</v>
      </c>
      <c r="BN496" s="15" t="n">
        <f aca="false">(BN495)+AW496+AX496+AZ496</f>
        <v>20000</v>
      </c>
      <c r="BO496" s="15" t="n">
        <f aca="false">(BO495)+AY496</f>
        <v>0</v>
      </c>
      <c r="BP496" s="15" t="n">
        <f aca="false">MIN(Parametri_v3!$C$36*Parametri_v3!$C$35,(BP495)+IF(12=1,MAX(0,0)*Parametri_v3!$C$34,0))</f>
        <v>0</v>
      </c>
      <c r="BQ496" s="15" t="n">
        <f aca="false">BN496+BM496-BO496</f>
        <v>55048.1262280702</v>
      </c>
      <c r="BR496" s="15" t="n">
        <f aca="false">BH496+AD496+BL496+MAX(0,-AM496)+MAX(0,-AR496)</f>
        <v>88302.5866666666</v>
      </c>
      <c r="BS496" s="15" t="n">
        <f aca="false">AJ496+AV496+MAX(0,AM496)+MAX(0,AR496)+BC496+BG496+BQ496+AG496</f>
        <v>88302.5866666667</v>
      </c>
      <c r="BT496" s="15" t="n">
        <f aca="false">BR496-BS496</f>
        <v>0</v>
      </c>
      <c r="BU496" s="15" t="n">
        <f aca="false">BH496-(BD496+BE496-BF496-AY496)</f>
        <v>0</v>
      </c>
      <c r="BV496" s="15" t="n">
        <f aca="false">IF(BH495&lt;Parametri_v3!$C$31,0,BV495+1)</f>
        <v>4</v>
      </c>
    </row>
    <row r="497" customFormat="false" ht="18" hidden="false" customHeight="true" outlineLevel="0" collapsed="false">
      <c r="A497" s="68" t="n">
        <f aca="false">9</f>
        <v>9</v>
      </c>
      <c r="B497" s="68" t="n">
        <f aca="false">13</f>
        <v>13</v>
      </c>
      <c r="C497" s="18" t="n">
        <f aca="false">Motore_Operativo!C497</f>
        <v>46753</v>
      </c>
      <c r="D497" s="68" t="n">
        <f aca="false">Motore_Operativo!D497</f>
        <v>2028</v>
      </c>
      <c r="E497" s="68" t="n">
        <f aca="false">Motore_Operativo!E497</f>
        <v>1</v>
      </c>
      <c r="F497" s="15" t="n">
        <f aca="false">Motore_Operativo!AM497</f>
        <v>33981.220657277</v>
      </c>
      <c r="G497" s="15" t="n">
        <f aca="false">Motore_Operativo!BH497</f>
        <v>3398.1220657277</v>
      </c>
      <c r="H497" s="15" t="n">
        <f aca="false">Motore_Operativo!AM497</f>
        <v>33981.220657277</v>
      </c>
      <c r="I497" s="15" t="n">
        <f aca="false">Motore_Operativo!CB497</f>
        <v>28885.3286384976</v>
      </c>
      <c r="J497" s="15" t="n">
        <f aca="false">Motore_Operativo!CD497</f>
        <v>5095.89201877934</v>
      </c>
      <c r="K497" s="15" t="n">
        <f aca="false">Motore_Operativo!CF497</f>
        <v>416.666666666667</v>
      </c>
      <c r="L497" s="15" t="n">
        <f aca="false">SUM(INDEX($K$485:$K$544,MAX(1,13-Parametri_v3!$C$59+1)):K497)/Parametri_v3!$C$59</f>
        <v>94.9074074074074</v>
      </c>
      <c r="M497" s="15" t="n">
        <f aca="false">J497-L497</f>
        <v>5000.98461137193</v>
      </c>
      <c r="N497" s="15" t="n">
        <f aca="false">0</f>
        <v>0</v>
      </c>
      <c r="O497" s="15" t="n">
        <f aca="false">0</f>
        <v>0</v>
      </c>
      <c r="P497" s="15" t="n">
        <f aca="false">M497+N497-O497</f>
        <v>5000.98461137193</v>
      </c>
      <c r="Q497" s="15" t="n">
        <f aca="false">SUM(P497)+Parametri_v3!$C$56*1/12</f>
        <v>5000.98461137193</v>
      </c>
      <c r="R497" s="15" t="n">
        <f aca="false">Z496</f>
        <v>0</v>
      </c>
      <c r="S497" s="15" t="n">
        <f aca="false">AA496</f>
        <v>0</v>
      </c>
      <c r="T497" s="15" t="n">
        <f aca="false">MIN(R497,MAX(0,Q497))</f>
        <v>0</v>
      </c>
      <c r="U497" s="15" t="n">
        <f aca="false">MIN(S497,MAX(0,Q497-T497)*Parametri_v3!$C$42)</f>
        <v>0</v>
      </c>
      <c r="V497" s="15" t="n">
        <f aca="false">MAX(0,Q497-T497-U497)*Ipotesi!$C$92</f>
        <v>1200.23630672926</v>
      </c>
      <c r="W497" s="15" t="n">
        <f aca="false">MAX(0,SUM(M497)+Parametri_v3!$C$57*1/12)*Ipotesi!$C$93</f>
        <v>195.038399843505</v>
      </c>
      <c r="X497" s="15" t="n">
        <f aca="false">V497+W497-(0)</f>
        <v>1395.27470657277</v>
      </c>
      <c r="Y497" s="15" t="n">
        <f aca="false">P497-X497</f>
        <v>3605.70990479916</v>
      </c>
      <c r="Z497" s="15" t="n">
        <f aca="false">R497-T497+IF(AND(Parametri_v3!$C$40=1,D497-YEAR(Parametri_v3!$C$50)&lt;Parametri_v3!$C$41),MAX(0,-Q497),0)</f>
        <v>0</v>
      </c>
      <c r="AA497" s="15" t="n">
        <f aca="false">S497-U497+IF(AND(Parametri_v3!$C$40=1,D497-YEAR(Parametri_v3!$C$50)&lt;Parametri_v3!$C$41),0,MAX(0,-Q497))</f>
        <v>0</v>
      </c>
      <c r="AB497" s="15" t="n">
        <f aca="false">F497*(1+Parametri_v3!$C$26)</f>
        <v>41457.0892018779</v>
      </c>
      <c r="AC497" s="15" t="n">
        <f aca="false">(IF(13-(INT((Motore_Operativo!L497)/30))&lt;1,0,INDEX(Motore_Advisory!$AB$485:$AB$544,MAX(1,13-(INT((Motore_Operativo!L497)/30)))))*(1-(MOD((Motore_Operativo!L497),30)/30))+IF(13-(INT((Motore_Operativo!L497)/30))-1&lt;1,0,INDEX(Motore_Advisory!$AB$485:$AB$544,MAX(1,13-(INT((Motore_Operativo!L497)/30))-1)))*(MOD((Motore_Operativo!L497),30)/30))</f>
        <v>19776.8421052632</v>
      </c>
      <c r="AD497" s="15" t="n">
        <f aca="false">(AD496)+AB497-AC497</f>
        <v>81010.7734124042</v>
      </c>
      <c r="AE497" s="15" t="n">
        <f aca="false">Motore_Operativo!BH497*(1+Parametri_v3!$C$26)</f>
        <v>4145.70892018779</v>
      </c>
      <c r="AF497" s="15" t="n">
        <f aca="false">(IF(13-(INT((Parametri_v3!$C$29)/30))&lt;1,0,INDEX(Motore_Operativo!$BH$485:$BH$544,MAX(1,13-(INT((Parametri_v3!$C$29)/30)))))*(1-(MOD((Parametri_v3!$C$29),30)/30))+IF(13-(INT((Parametri_v3!$C$29)/30))-1&lt;1,0,INDEX(Motore_Operativo!$BH$485:$BH$544,MAX(1,13-(INT((Parametri_v3!$C$29)/30))-1)))*(MOD((Parametri_v3!$C$29),30)/30))*(1+Parametri_v3!$C$26)</f>
        <v>1977.68421052632</v>
      </c>
      <c r="AG497" s="15" t="n">
        <f aca="false">(AG496)+AE497-AF497</f>
        <v>4145.70892018779</v>
      </c>
      <c r="AH497" s="15" t="n">
        <f aca="false">(Motore_Operativo!CK497)*(1+Parametri_v3!$C$28*Parametri_v3!$C$26)</f>
        <v>11198.1149295775</v>
      </c>
      <c r="AI497" s="15" t="n">
        <f aca="false">(IF(13-(INT((Ipotesi!$C$91)/30))&lt;1,0,INDEX(Motore_Advisory!$AH$485:$AH$544,MAX(1,13-(INT((Ipotesi!$C$91)/30)))))*(1-(MOD((Ipotesi!$C$91),30)/30))+IF(13-(INT((Ipotesi!$C$91)/30))-1&lt;1,0,INDEX(Motore_Advisory!$AH$485:$AH$544,MAX(1,13-(INT((Ipotesi!$C$91)/30))-1)))*(MOD((Ipotesi!$C$91),30)/30))</f>
        <v>6166.3147368421</v>
      </c>
      <c r="AJ497" s="15" t="n">
        <f aca="false">(AJ496)+AH497-AI497</f>
        <v>17364.4296664196</v>
      </c>
      <c r="AK497" s="15" t="n">
        <f aca="false">(F497- Motore_Operativo!BH497-(Motore_Operativo!CK497)*Parametri_v3!$C$28-Motore_Operativo!CF497)*Parametri_v3!$C$26</f>
        <v>4960.70666666667</v>
      </c>
      <c r="AL497" s="15" t="n">
        <f aca="false">MAX(0,(AM496))</f>
        <v>2231.83438596491</v>
      </c>
      <c r="AM497" s="15" t="n">
        <f aca="false">(AM496)+AK497-AL497</f>
        <v>4960.70666666667</v>
      </c>
      <c r="AN497" s="15" t="n">
        <f aca="false">SUM(X485:X496)</f>
        <v>13562.3123684211</v>
      </c>
      <c r="AO497" s="15" t="n">
        <f aca="false">SUM(AP485:AP496)</f>
        <v>0</v>
      </c>
      <c r="AP497" s="15" t="n">
        <f aca="false">MAX(0,AN497)*IF(1=Parametri_v3!$C$43,Parametri_v3!$C$45,IF(1=Parametri_v3!$C$44,1-Parametri_v3!$C$45,0))</f>
        <v>0</v>
      </c>
      <c r="AQ497" s="15" t="n">
        <f aca="false">MAX(0,AP497+IF(1=Parametri_v3!$C$43,MAX(0,AN497-AO497),0)-MAX(0,-(AR496)))</f>
        <v>0</v>
      </c>
      <c r="AR497" s="15" t="n">
        <f aca="false">(AR496)+X497-AQ497</f>
        <v>14957.5870749938</v>
      </c>
      <c r="AS497" s="15" t="n">
        <f aca="false">Motore_Operativo!AC497-AT497+AU497</f>
        <v>15166.75</v>
      </c>
      <c r="AT497" s="15" t="n">
        <f aca="false">Motore_Operativo!CI497</f>
        <v>798.25</v>
      </c>
      <c r="AU497" s="15" t="n">
        <f aca="false">MIN(MAX(0,(AV496)+AT497),Parametri_v3!$C$61/12)</f>
        <v>0</v>
      </c>
      <c r="AV497" s="15" t="n">
        <f aca="false">(AV496)+AT497-AU497</f>
        <v>3948.25</v>
      </c>
      <c r="AW497" s="15" t="n">
        <f aca="false">IF(AND(Motore_Operativo!C497=Finanziamenti!$D$7,Finanziamenti!$F$7=1),Finanziamenti!$C$7,0)</f>
        <v>0</v>
      </c>
      <c r="AX497" s="15" t="n">
        <f aca="false">0</f>
        <v>0</v>
      </c>
      <c r="AY497" s="15" t="n">
        <f aca="false">IF(1=Parametri_v3!$C$33,IF(BV497&lt;MIN(12,$B497-1),0,MIN(MAX(0,SUM(Y485:Y496))*Ipotesi!$C$94,MAX(0,(BM496)-(BO496)-BP497),MAX(0,BD497-Parametri_v3!$C$31))),0)</f>
        <v>0</v>
      </c>
      <c r="AZ497" s="15" t="n">
        <f aca="false">0</f>
        <v>0</v>
      </c>
      <c r="BA497" s="15" t="n">
        <f aca="false">0</f>
        <v>0</v>
      </c>
      <c r="BB497" s="15" t="n">
        <f aca="false">0</f>
        <v>0</v>
      </c>
      <c r="BC497" s="15" t="n">
        <f aca="false">0</f>
        <v>0</v>
      </c>
      <c r="BD497" s="15" t="n">
        <f aca="false">(BH496)+AC497-AF497-AI497-AS497-K497*(1+Parametri_v3!$C$26)-AL497-AQ497-O497+AW497+AX497+AZ497+BA497-BB497</f>
        <v>20239.6524561403</v>
      </c>
      <c r="BE497" s="15" t="n">
        <f aca="false">0</f>
        <v>0</v>
      </c>
      <c r="BF497" s="15" t="n">
        <f aca="false">0</f>
        <v>0</v>
      </c>
      <c r="BG497" s="15" t="n">
        <f aca="false">0</f>
        <v>0</v>
      </c>
      <c r="BH497" s="15" t="n">
        <f aca="false">BD497+BE497-BF497-AY497</f>
        <v>20239.6524561403</v>
      </c>
      <c r="BI497" s="15" t="n">
        <f aca="false">MAX(0,Parametri_v3!$C$31-BH497)</f>
        <v>0</v>
      </c>
      <c r="BJ497" s="15" t="n">
        <f aca="false">(BJ496)+K497</f>
        <v>3416.66666666667</v>
      </c>
      <c r="BK497" s="15" t="n">
        <f aca="false">(BK496)+L497</f>
        <v>636.574074074074</v>
      </c>
      <c r="BL497" s="15" t="n">
        <f aca="false">BJ497-BK497</f>
        <v>2780.09259259259</v>
      </c>
      <c r="BM497" s="15" t="n">
        <f aca="false">(BM496)+Y497</f>
        <v>38653.8361328693</v>
      </c>
      <c r="BN497" s="15" t="n">
        <f aca="false">(BN496)+AW497+AX497+AZ497</f>
        <v>20000</v>
      </c>
      <c r="BO497" s="15" t="n">
        <f aca="false">(BO496)+AY497</f>
        <v>0</v>
      </c>
      <c r="BP497" s="15" t="n">
        <f aca="false">MIN(Parametri_v3!$C$36*Parametri_v3!$C$35,(BP496)+IF(1=1,MAX(0,SUM(Y485:Y496))*Parametri_v3!$C$34,0))</f>
        <v>1752.40631140351</v>
      </c>
      <c r="BQ497" s="15" t="n">
        <f aca="false">BN497+BM497-BO497</f>
        <v>58653.8361328693</v>
      </c>
      <c r="BR497" s="15" t="n">
        <f aca="false">BH497+AD497+BL497+MAX(0,-AM497)+MAX(0,-AR497)</f>
        <v>104030.518461137</v>
      </c>
      <c r="BS497" s="15" t="n">
        <f aca="false">AJ497+AV497+MAX(0,AM497)+MAX(0,AR497)+BC497+BG497+BQ497+AG497</f>
        <v>104030.518461137</v>
      </c>
      <c r="BT497" s="15" t="n">
        <f aca="false">BR497-BS497</f>
        <v>0</v>
      </c>
      <c r="BU497" s="15" t="n">
        <f aca="false">BH497-(BD497+BE497-BF497-AY497)</f>
        <v>0</v>
      </c>
      <c r="BV497" s="15" t="n">
        <f aca="false">IF(BH496&lt;Parametri_v3!$C$31,0,BV496+1)</f>
        <v>5</v>
      </c>
    </row>
    <row r="498" customFormat="false" ht="18" hidden="false" customHeight="true" outlineLevel="0" collapsed="false">
      <c r="A498" s="68" t="n">
        <f aca="false">9</f>
        <v>9</v>
      </c>
      <c r="B498" s="68" t="n">
        <f aca="false">14</f>
        <v>14</v>
      </c>
      <c r="C498" s="18" t="n">
        <f aca="false">Motore_Operativo!C498</f>
        <v>46784</v>
      </c>
      <c r="D498" s="68" t="n">
        <f aca="false">Motore_Operativo!D498</f>
        <v>2028</v>
      </c>
      <c r="E498" s="68" t="n">
        <f aca="false">Motore_Operativo!E498</f>
        <v>2</v>
      </c>
      <c r="F498" s="15" t="n">
        <f aca="false">Motore_Operativo!AM498</f>
        <v>33981.220657277</v>
      </c>
      <c r="G498" s="15" t="n">
        <f aca="false">Motore_Operativo!BH498</f>
        <v>3398.1220657277</v>
      </c>
      <c r="H498" s="15" t="n">
        <f aca="false">Motore_Operativo!AM498</f>
        <v>33981.220657277</v>
      </c>
      <c r="I498" s="15" t="n">
        <f aca="false">Motore_Operativo!CB498</f>
        <v>28885.3286384976</v>
      </c>
      <c r="J498" s="15" t="n">
        <f aca="false">Motore_Operativo!CD498</f>
        <v>5095.89201877934</v>
      </c>
      <c r="K498" s="15" t="n">
        <f aca="false">Motore_Operativo!CF498</f>
        <v>416.666666666667</v>
      </c>
      <c r="L498" s="15" t="n">
        <f aca="false">SUM(INDEX($K$485:$K$544,MAX(1,14-Parametri_v3!$C$59+1)):K498)/Parametri_v3!$C$59</f>
        <v>106.481481481481</v>
      </c>
      <c r="M498" s="15" t="n">
        <f aca="false">J498-L498</f>
        <v>4989.41053729786</v>
      </c>
      <c r="N498" s="15" t="n">
        <f aca="false">0</f>
        <v>0</v>
      </c>
      <c r="O498" s="15" t="n">
        <f aca="false">0</f>
        <v>0</v>
      </c>
      <c r="P498" s="15" t="n">
        <f aca="false">M498+N498-O498</f>
        <v>4989.41053729786</v>
      </c>
      <c r="Q498" s="15" t="n">
        <f aca="false">SUM(P497:P498)+Parametri_v3!$C$56*2/12</f>
        <v>9990.39514866979</v>
      </c>
      <c r="R498" s="15" t="n">
        <f aca="false">Z496</f>
        <v>0</v>
      </c>
      <c r="S498" s="15" t="n">
        <f aca="false">AA496</f>
        <v>0</v>
      </c>
      <c r="T498" s="15" t="n">
        <f aca="false">MIN(R498,MAX(0,Q498))</f>
        <v>0</v>
      </c>
      <c r="U498" s="15" t="n">
        <f aca="false">MIN(S498,MAX(0,Q498-T498)*Parametri_v3!$C$42)</f>
        <v>0</v>
      </c>
      <c r="V498" s="15" t="n">
        <f aca="false">MAX(0,Q498-T498-U498)*Ipotesi!$C$92</f>
        <v>2397.69483568075</v>
      </c>
      <c r="W498" s="15" t="n">
        <f aca="false">MAX(0,SUM(M497:M498)+Parametri_v3!$C$57*2/12)*Ipotesi!$C$93</f>
        <v>389.625410798122</v>
      </c>
      <c r="X498" s="15" t="n">
        <f aca="false">V498+W498-(V497+W497)</f>
        <v>1392.0455399061</v>
      </c>
      <c r="Y498" s="15" t="n">
        <f aca="false">P498-X498</f>
        <v>3597.36499739176</v>
      </c>
      <c r="Z498" s="15" t="n">
        <f aca="false">R498-T498+IF(AND(Parametri_v3!$C$40=1,D498-YEAR(Parametri_v3!$C$50)&lt;Parametri_v3!$C$41),MAX(0,-Q498),0)</f>
        <v>0</v>
      </c>
      <c r="AA498" s="15" t="n">
        <f aca="false">S498-U498+IF(AND(Parametri_v3!$C$40=1,D498-YEAR(Parametri_v3!$C$50)&lt;Parametri_v3!$C$41),0,MAX(0,-Q498))</f>
        <v>0</v>
      </c>
      <c r="AB498" s="15" t="n">
        <f aca="false">F498*(1+Parametri_v3!$C$26)</f>
        <v>41457.0892018779</v>
      </c>
      <c r="AC498" s="15" t="n">
        <f aca="false">(IF(14-(INT((Motore_Operativo!L498)/30))&lt;1,0,INDEX(Motore_Advisory!$AB$485:$AB$544,MAX(1,14-(INT((Motore_Operativo!L498)/30)))))*(1-(MOD((Motore_Operativo!L498),30)/30))+IF(14-(INT((Motore_Operativo!L498)/30))-1&lt;1,0,INDEX(Motore_Advisory!$AB$485:$AB$544,MAX(1,14-(INT((Motore_Operativo!L498)/30))-1)))*(MOD((Motore_Operativo!L498),30)/30))</f>
        <v>19776.8421052632</v>
      </c>
      <c r="AD498" s="15" t="n">
        <f aca="false">(AD497)+AB498-AC498</f>
        <v>102691.020509019</v>
      </c>
      <c r="AE498" s="15" t="n">
        <f aca="false">Motore_Operativo!BH498*(1+Parametri_v3!$C$26)</f>
        <v>4145.70892018779</v>
      </c>
      <c r="AF498" s="15" t="n">
        <f aca="false">(IF(14-(INT((Parametri_v3!$C$29)/30))&lt;1,0,INDEX(Motore_Operativo!$BH$485:$BH$544,MAX(1,14-(INT((Parametri_v3!$C$29)/30)))))*(1-(MOD((Parametri_v3!$C$29),30)/30))+IF(14-(INT((Parametri_v3!$C$29)/30))-1&lt;1,0,INDEX(Motore_Operativo!$BH$485:$BH$544,MAX(1,14-(INT((Parametri_v3!$C$29)/30))-1)))*(MOD((Parametri_v3!$C$29),30)/30))*(1+Parametri_v3!$C$26)</f>
        <v>4145.70892018779</v>
      </c>
      <c r="AG498" s="15" t="n">
        <f aca="false">(AG497)+AE498-AF498</f>
        <v>4145.70892018779</v>
      </c>
      <c r="AH498" s="15" t="n">
        <f aca="false">(Motore_Operativo!CK498)*(1+Parametri_v3!$C$28*Parametri_v3!$C$26)</f>
        <v>11198.1149295775</v>
      </c>
      <c r="AI498" s="15" t="n">
        <f aca="false">(IF(14-(INT((Ipotesi!$C$91)/30))&lt;1,0,INDEX(Motore_Advisory!$AH$485:$AH$544,MAX(1,14-(INT((Ipotesi!$C$91)/30)))))*(1-(MOD((Ipotesi!$C$91),30)/30))+IF(14-(INT((Ipotesi!$C$91)/30))-1&lt;1,0,INDEX(Motore_Advisory!$AH$485:$AH$544,MAX(1,14-(INT((Ipotesi!$C$91)/30))-1)))*(MOD((Ipotesi!$C$91),30)/30))</f>
        <v>6166.3147368421</v>
      </c>
      <c r="AJ498" s="15" t="n">
        <f aca="false">(AJ497)+AH498-AI498</f>
        <v>22396.2298591549</v>
      </c>
      <c r="AK498" s="15" t="n">
        <f aca="false">(F498- Motore_Operativo!BH498-(Motore_Operativo!CK498)*Parametri_v3!$C$28-Motore_Operativo!CF498)*Parametri_v3!$C$26</f>
        <v>4960.70666666667</v>
      </c>
      <c r="AL498" s="15" t="n">
        <f aca="false">MAX(0,(AM497))</f>
        <v>4960.70666666667</v>
      </c>
      <c r="AM498" s="15" t="n">
        <f aca="false">(AM497)+AK498-AL498</f>
        <v>4960.70666666667</v>
      </c>
      <c r="AN498" s="15" t="n">
        <f aca="false">SUM(X485:X496)</f>
        <v>13562.3123684211</v>
      </c>
      <c r="AO498" s="15" t="n">
        <f aca="false">SUM(AP485:AP496)</f>
        <v>0</v>
      </c>
      <c r="AP498" s="15" t="n">
        <f aca="false">MAX(0,AN498)*IF(2=Parametri_v3!$C$43,Parametri_v3!$C$45,IF(2=Parametri_v3!$C$44,1-Parametri_v3!$C$45,0))</f>
        <v>0</v>
      </c>
      <c r="AQ498" s="15" t="n">
        <f aca="false">MAX(0,AP498+IF(2=Parametri_v3!$C$43,MAX(0,AN498-AO498),0)-MAX(0,-(AR497)))</f>
        <v>0</v>
      </c>
      <c r="AR498" s="15" t="n">
        <f aca="false">(AR497)+X498-AQ498</f>
        <v>16349.6326148999</v>
      </c>
      <c r="AS498" s="15" t="n">
        <f aca="false">Motore_Operativo!AC498-AT498+AU498</f>
        <v>15166.75</v>
      </c>
      <c r="AT498" s="15" t="n">
        <f aca="false">Motore_Operativo!CI498</f>
        <v>798.25</v>
      </c>
      <c r="AU498" s="15" t="n">
        <f aca="false">MIN(MAX(0,(AV497)+AT498),Parametri_v3!$C$61/12)</f>
        <v>0</v>
      </c>
      <c r="AV498" s="15" t="n">
        <f aca="false">(AV497)+AT498-AU498</f>
        <v>4746.5</v>
      </c>
      <c r="AW498" s="15" t="n">
        <f aca="false">IF(AND(Motore_Operativo!C498=Finanziamenti!$D$7,Finanziamenti!$F$7=1),Finanziamenti!$C$7,0)</f>
        <v>0</v>
      </c>
      <c r="AX498" s="15" t="n">
        <f aca="false">0</f>
        <v>0</v>
      </c>
      <c r="AY498" s="15" t="n">
        <f aca="false">IF(2=Parametri_v3!$C$33,IF(BV498&lt;MIN(12,$B498-1),0,MIN(MAX(0,SUM(Y485:Y496))*Ipotesi!$C$94,MAX(0,(BM496)-(BO497)-BP498),MAX(0,BD498-Parametri_v3!$C$31))),0)</f>
        <v>0</v>
      </c>
      <c r="AZ498" s="15" t="n">
        <f aca="false">0</f>
        <v>0</v>
      </c>
      <c r="BA498" s="15" t="n">
        <f aca="false">0</f>
        <v>0</v>
      </c>
      <c r="BB498" s="15" t="n">
        <f aca="false">0</f>
        <v>0</v>
      </c>
      <c r="BC498" s="15" t="n">
        <f aca="false">0</f>
        <v>0</v>
      </c>
      <c r="BD498" s="15" t="n">
        <f aca="false">(BH497)+AC498-AF498-AI498-AS498-K498*(1+Parametri_v3!$C$26)-AL498-AQ498-O498+AW498+AX498+AZ498+BA498-BB498</f>
        <v>9068.6809043736</v>
      </c>
      <c r="BE498" s="15" t="n">
        <f aca="false">0</f>
        <v>0</v>
      </c>
      <c r="BF498" s="15" t="n">
        <f aca="false">0</f>
        <v>0</v>
      </c>
      <c r="BG498" s="15" t="n">
        <f aca="false">0</f>
        <v>0</v>
      </c>
      <c r="BH498" s="15" t="n">
        <f aca="false">BD498+BE498-BF498-AY498</f>
        <v>9068.6809043736</v>
      </c>
      <c r="BI498" s="15" t="n">
        <f aca="false">MAX(0,Parametri_v3!$C$31-BH498)</f>
        <v>931.319095626399</v>
      </c>
      <c r="BJ498" s="15" t="n">
        <f aca="false">(BJ497)+K498</f>
        <v>3833.33333333333</v>
      </c>
      <c r="BK498" s="15" t="n">
        <f aca="false">(BK497)+L498</f>
        <v>743.055555555556</v>
      </c>
      <c r="BL498" s="15" t="n">
        <f aca="false">BJ498-BK498</f>
        <v>3090.27777777778</v>
      </c>
      <c r="BM498" s="15" t="n">
        <f aca="false">(BM497)+Y498</f>
        <v>42251.2011302611</v>
      </c>
      <c r="BN498" s="15" t="n">
        <f aca="false">(BN497)+AW498+AX498+AZ498</f>
        <v>20000</v>
      </c>
      <c r="BO498" s="15" t="n">
        <f aca="false">(BO497)+AY498</f>
        <v>0</v>
      </c>
      <c r="BP498" s="15" t="n">
        <f aca="false">MIN(Parametri_v3!$C$36*Parametri_v3!$C$35,(BP497)+IF(2=1,MAX(0,SUM(Y485:Y496))*Parametri_v3!$C$34,0))</f>
        <v>1752.40631140351</v>
      </c>
      <c r="BQ498" s="15" t="n">
        <f aca="false">BN498+BM498-BO498</f>
        <v>62251.2011302611</v>
      </c>
      <c r="BR498" s="15" t="n">
        <f aca="false">BH498+AD498+BL498+MAX(0,-AM498)+MAX(0,-AR498)</f>
        <v>114849.97919117</v>
      </c>
      <c r="BS498" s="15" t="n">
        <f aca="false">AJ498+AV498+MAX(0,AM498)+MAX(0,AR498)+BC498+BG498+BQ498+AG498</f>
        <v>114849.97919117</v>
      </c>
      <c r="BT498" s="15" t="n">
        <f aca="false">BR498-BS498</f>
        <v>0</v>
      </c>
      <c r="BU498" s="15" t="n">
        <f aca="false">BH498-(BD498+BE498-BF498-AY498)</f>
        <v>0</v>
      </c>
      <c r="BV498" s="15" t="n">
        <f aca="false">IF(BH497&lt;Parametri_v3!$C$31,0,BV497+1)</f>
        <v>6</v>
      </c>
    </row>
    <row r="499" customFormat="false" ht="18" hidden="false" customHeight="true" outlineLevel="0" collapsed="false">
      <c r="A499" s="68" t="n">
        <f aca="false">9</f>
        <v>9</v>
      </c>
      <c r="B499" s="68" t="n">
        <f aca="false">15</f>
        <v>15</v>
      </c>
      <c r="C499" s="18" t="n">
        <f aca="false">Motore_Operativo!C499</f>
        <v>46813</v>
      </c>
      <c r="D499" s="68" t="n">
        <f aca="false">Motore_Operativo!D499</f>
        <v>2028</v>
      </c>
      <c r="E499" s="68" t="n">
        <f aca="false">Motore_Operativo!E499</f>
        <v>3</v>
      </c>
      <c r="F499" s="15" t="n">
        <f aca="false">Motore_Operativo!AM499</f>
        <v>33981.220657277</v>
      </c>
      <c r="G499" s="15" t="n">
        <f aca="false">Motore_Operativo!BH499</f>
        <v>3398.1220657277</v>
      </c>
      <c r="H499" s="15" t="n">
        <f aca="false">Motore_Operativo!AM499</f>
        <v>33981.220657277</v>
      </c>
      <c r="I499" s="15" t="n">
        <f aca="false">Motore_Operativo!CB499</f>
        <v>28885.3286384976</v>
      </c>
      <c r="J499" s="15" t="n">
        <f aca="false">Motore_Operativo!CD499</f>
        <v>5095.89201877934</v>
      </c>
      <c r="K499" s="15" t="n">
        <f aca="false">Motore_Operativo!CF499</f>
        <v>416.666666666667</v>
      </c>
      <c r="L499" s="15" t="n">
        <f aca="false">SUM(INDEX($K$485:$K$544,MAX(1,15-Parametri_v3!$C$59+1)):K499)/Parametri_v3!$C$59</f>
        <v>118.055555555556</v>
      </c>
      <c r="M499" s="15" t="n">
        <f aca="false">J499-L499</f>
        <v>4977.83646322379</v>
      </c>
      <c r="N499" s="15" t="n">
        <f aca="false">0</f>
        <v>0</v>
      </c>
      <c r="O499" s="15" t="n">
        <f aca="false">0</f>
        <v>0</v>
      </c>
      <c r="P499" s="15" t="n">
        <f aca="false">M499+N499-O499</f>
        <v>4977.83646322379</v>
      </c>
      <c r="Q499" s="15" t="n">
        <f aca="false">SUM(P497:P499)+Parametri_v3!$C$56*3/12</f>
        <v>14968.2316118936</v>
      </c>
      <c r="R499" s="15" t="n">
        <f aca="false">Z496</f>
        <v>0</v>
      </c>
      <c r="S499" s="15" t="n">
        <f aca="false">AA496</f>
        <v>0</v>
      </c>
      <c r="T499" s="15" t="n">
        <f aca="false">MIN(R499,MAX(0,Q499))</f>
        <v>0</v>
      </c>
      <c r="U499" s="15" t="n">
        <f aca="false">MIN(S499,MAX(0,Q499-T499)*Parametri_v3!$C$42)</f>
        <v>0</v>
      </c>
      <c r="V499" s="15" t="n">
        <f aca="false">MAX(0,Q499-T499-U499)*Ipotesi!$C$92</f>
        <v>3592.37558685446</v>
      </c>
      <c r="W499" s="15" t="n">
        <f aca="false">MAX(0,SUM(M497:M499)+Parametri_v3!$C$57*3/12)*Ipotesi!$C$93</f>
        <v>583.76103286385</v>
      </c>
      <c r="X499" s="15" t="n">
        <f aca="false">V499+W499-(V498+W498)</f>
        <v>1388.81637323944</v>
      </c>
      <c r="Y499" s="15" t="n">
        <f aca="false">P499-X499</f>
        <v>3589.02008998435</v>
      </c>
      <c r="Z499" s="15" t="n">
        <f aca="false">R499-T499+IF(AND(Parametri_v3!$C$40=1,D499-YEAR(Parametri_v3!$C$50)&lt;Parametri_v3!$C$41),MAX(0,-Q499),0)</f>
        <v>0</v>
      </c>
      <c r="AA499" s="15" t="n">
        <f aca="false">S499-U499+IF(AND(Parametri_v3!$C$40=1,D499-YEAR(Parametri_v3!$C$50)&lt;Parametri_v3!$C$41),0,MAX(0,-Q499))</f>
        <v>0</v>
      </c>
      <c r="AB499" s="15" t="n">
        <f aca="false">F499*(1+Parametri_v3!$C$26)</f>
        <v>41457.0892018779</v>
      </c>
      <c r="AC499" s="15" t="n">
        <f aca="false">(IF(15-(INT((Motore_Operativo!L499)/30))&lt;1,0,INDEX(Motore_Advisory!$AB$485:$AB$544,MAX(1,15-(INT((Motore_Operativo!L499)/30)))))*(1-(MOD((Motore_Operativo!L499),30)/30))+IF(15-(INT((Motore_Operativo!L499)/30))-1&lt;1,0,INDEX(Motore_Advisory!$AB$485:$AB$544,MAX(1,15-(INT((Motore_Operativo!L499)/30))-1)))*(MOD((Motore_Operativo!L499),30)/30))</f>
        <v>19776.8421052632</v>
      </c>
      <c r="AD499" s="15" t="n">
        <f aca="false">(AD498)+AB499-AC499</f>
        <v>124371.267605634</v>
      </c>
      <c r="AE499" s="15" t="n">
        <f aca="false">Motore_Operativo!BH499*(1+Parametri_v3!$C$26)</f>
        <v>4145.70892018779</v>
      </c>
      <c r="AF499" s="15" t="n">
        <f aca="false">(IF(15-(INT((Parametri_v3!$C$29)/30))&lt;1,0,INDEX(Motore_Operativo!$BH$485:$BH$544,MAX(1,15-(INT((Parametri_v3!$C$29)/30)))))*(1-(MOD((Parametri_v3!$C$29),30)/30))+IF(15-(INT((Parametri_v3!$C$29)/30))-1&lt;1,0,INDEX(Motore_Operativo!$BH$485:$BH$544,MAX(1,15-(INT((Parametri_v3!$C$29)/30))-1)))*(MOD((Parametri_v3!$C$29),30)/30))*(1+Parametri_v3!$C$26)</f>
        <v>4145.70892018779</v>
      </c>
      <c r="AG499" s="15" t="n">
        <f aca="false">(AG498)+AE499-AF499</f>
        <v>4145.70892018779</v>
      </c>
      <c r="AH499" s="15" t="n">
        <f aca="false">(Motore_Operativo!CK499)*(1+Parametri_v3!$C$28*Parametri_v3!$C$26)</f>
        <v>11198.1149295775</v>
      </c>
      <c r="AI499" s="15" t="n">
        <f aca="false">(IF(15-(INT((Ipotesi!$C$91)/30))&lt;1,0,INDEX(Motore_Advisory!$AH$485:$AH$544,MAX(1,15-(INT((Ipotesi!$C$91)/30)))))*(1-(MOD((Ipotesi!$C$91),30)/30))+IF(15-(INT((Ipotesi!$C$91)/30))-1&lt;1,0,INDEX(Motore_Advisory!$AH$485:$AH$544,MAX(1,15-(INT((Ipotesi!$C$91)/30))-1)))*(MOD((Ipotesi!$C$91),30)/30))</f>
        <v>11198.1149295775</v>
      </c>
      <c r="AJ499" s="15" t="n">
        <f aca="false">(AJ498)+AH499-AI499</f>
        <v>22396.2298591549</v>
      </c>
      <c r="AK499" s="15" t="n">
        <f aca="false">(F499- Motore_Operativo!BH499-(Motore_Operativo!CK499)*Parametri_v3!$C$28-Motore_Operativo!CF499)*Parametri_v3!$C$26</f>
        <v>4960.70666666667</v>
      </c>
      <c r="AL499" s="15" t="n">
        <f aca="false">MAX(0,(AM498))</f>
        <v>4960.70666666667</v>
      </c>
      <c r="AM499" s="15" t="n">
        <f aca="false">(AM498)+AK499-AL499</f>
        <v>4960.70666666667</v>
      </c>
      <c r="AN499" s="15" t="n">
        <f aca="false">SUM(X485:X496)</f>
        <v>13562.3123684211</v>
      </c>
      <c r="AO499" s="15" t="n">
        <f aca="false">SUM(AP485:AP496)</f>
        <v>0</v>
      </c>
      <c r="AP499" s="15" t="n">
        <f aca="false">MAX(0,AN499)*IF(3=Parametri_v3!$C$43,Parametri_v3!$C$45,IF(3=Parametri_v3!$C$44,1-Parametri_v3!$C$45,0))</f>
        <v>0</v>
      </c>
      <c r="AQ499" s="15" t="n">
        <f aca="false">MAX(0,AP499+IF(3=Parametri_v3!$C$43,MAX(0,AN499-AO499),0)-MAX(0,-(AR498)))</f>
        <v>0</v>
      </c>
      <c r="AR499" s="15" t="n">
        <f aca="false">(AR498)+X499-AQ499</f>
        <v>17738.4489881394</v>
      </c>
      <c r="AS499" s="15" t="n">
        <f aca="false">Motore_Operativo!AC499-AT499+AU499</f>
        <v>15166.75</v>
      </c>
      <c r="AT499" s="15" t="n">
        <f aca="false">Motore_Operativo!CI499</f>
        <v>798.25</v>
      </c>
      <c r="AU499" s="15" t="n">
        <f aca="false">MIN(MAX(0,(AV498)+AT499),Parametri_v3!$C$61/12)</f>
        <v>0</v>
      </c>
      <c r="AV499" s="15" t="n">
        <f aca="false">(AV498)+AT499-AU499</f>
        <v>5544.75</v>
      </c>
      <c r="AW499" s="15" t="n">
        <f aca="false">IF(AND(Motore_Operativo!C499=Finanziamenti!$D$7,Finanziamenti!$F$7=1),Finanziamenti!$C$7,0)</f>
        <v>0</v>
      </c>
      <c r="AX499" s="15" t="n">
        <f aca="false">0</f>
        <v>0</v>
      </c>
      <c r="AY499" s="15" t="n">
        <f aca="false">IF(3=Parametri_v3!$C$33,IF(BV499&lt;MIN(12,$B499-1),0,MIN(MAX(0,SUM(Y485:Y496))*Ipotesi!$C$94,MAX(0,(BM496)-(BO498)-BP499),MAX(0,BD499-Parametri_v3!$C$31))),0)</f>
        <v>0</v>
      </c>
      <c r="AZ499" s="15" t="n">
        <f aca="false">0</f>
        <v>0</v>
      </c>
      <c r="BA499" s="15" t="n">
        <f aca="false">0</f>
        <v>0</v>
      </c>
      <c r="BB499" s="15" t="n">
        <f aca="false">0</f>
        <v>0</v>
      </c>
      <c r="BC499" s="15" t="n">
        <f aca="false">0</f>
        <v>0</v>
      </c>
      <c r="BD499" s="15" t="n">
        <f aca="false">(BH498)+AC499-AF499-AI499-AS499-K499*(1+Parametri_v3!$C$26)-AL499-AQ499-O499+AW499+AX499+AZ499+BA499-BB499</f>
        <v>-7134.09084012849</v>
      </c>
      <c r="BE499" s="15" t="n">
        <f aca="false">0</f>
        <v>0</v>
      </c>
      <c r="BF499" s="15" t="n">
        <f aca="false">0</f>
        <v>0</v>
      </c>
      <c r="BG499" s="15" t="n">
        <f aca="false">0</f>
        <v>0</v>
      </c>
      <c r="BH499" s="15" t="n">
        <f aca="false">BD499+BE499-BF499-AY499</f>
        <v>-7134.09084012849</v>
      </c>
      <c r="BI499" s="15" t="n">
        <f aca="false">MAX(0,Parametri_v3!$C$31-BH499)</f>
        <v>17134.0908401285</v>
      </c>
      <c r="BJ499" s="15" t="n">
        <f aca="false">(BJ498)+K499</f>
        <v>4250</v>
      </c>
      <c r="BK499" s="15" t="n">
        <f aca="false">(BK498)+L499</f>
        <v>861.111111111111</v>
      </c>
      <c r="BL499" s="15" t="n">
        <f aca="false">BJ499-BK499</f>
        <v>3388.88888888889</v>
      </c>
      <c r="BM499" s="15" t="n">
        <f aca="false">(BM498)+Y499</f>
        <v>45840.2212202454</v>
      </c>
      <c r="BN499" s="15" t="n">
        <f aca="false">(BN498)+AW499+AX499+AZ499</f>
        <v>20000</v>
      </c>
      <c r="BO499" s="15" t="n">
        <f aca="false">(BO498)+AY499</f>
        <v>0</v>
      </c>
      <c r="BP499" s="15" t="n">
        <f aca="false">MIN(Parametri_v3!$C$36*Parametri_v3!$C$35,(BP498)+IF(3=1,MAX(0,SUM(Y485:Y496))*Parametri_v3!$C$34,0))</f>
        <v>1752.40631140351</v>
      </c>
      <c r="BQ499" s="15" t="n">
        <f aca="false">BN499+BM499-BO499</f>
        <v>65840.2212202454</v>
      </c>
      <c r="BR499" s="15" t="n">
        <f aca="false">BH499+AD499+BL499+MAX(0,-AM499)+MAX(0,-AR499)</f>
        <v>120626.065654394</v>
      </c>
      <c r="BS499" s="15" t="n">
        <f aca="false">AJ499+AV499+MAX(0,AM499)+MAX(0,AR499)+BC499+BG499+BQ499+AG499</f>
        <v>120626.065654394</v>
      </c>
      <c r="BT499" s="15" t="n">
        <f aca="false">BR499-BS499</f>
        <v>0</v>
      </c>
      <c r="BU499" s="15" t="n">
        <f aca="false">BH499-(BD499+BE499-BF499-AY499)</f>
        <v>0</v>
      </c>
      <c r="BV499" s="15" t="n">
        <f aca="false">IF(BH498&lt;Parametri_v3!$C$31,0,BV498+1)</f>
        <v>0</v>
      </c>
    </row>
    <row r="500" customFormat="false" ht="18" hidden="false" customHeight="true" outlineLevel="0" collapsed="false">
      <c r="A500" s="68" t="n">
        <f aca="false">9</f>
        <v>9</v>
      </c>
      <c r="B500" s="68" t="n">
        <f aca="false">16</f>
        <v>16</v>
      </c>
      <c r="C500" s="18" t="n">
        <f aca="false">Motore_Operativo!C500</f>
        <v>46844</v>
      </c>
      <c r="D500" s="68" t="n">
        <f aca="false">Motore_Operativo!D500</f>
        <v>2028</v>
      </c>
      <c r="E500" s="68" t="n">
        <f aca="false">Motore_Operativo!E500</f>
        <v>4</v>
      </c>
      <c r="F500" s="15" t="n">
        <f aca="false">Motore_Operativo!AM500</f>
        <v>33981.220657277</v>
      </c>
      <c r="G500" s="15" t="n">
        <f aca="false">Motore_Operativo!BH500</f>
        <v>3398.1220657277</v>
      </c>
      <c r="H500" s="15" t="n">
        <f aca="false">Motore_Operativo!AM500</f>
        <v>33981.220657277</v>
      </c>
      <c r="I500" s="15" t="n">
        <f aca="false">Motore_Operativo!CB500</f>
        <v>28885.3286384976</v>
      </c>
      <c r="J500" s="15" t="n">
        <f aca="false">Motore_Operativo!CD500</f>
        <v>5095.89201877934</v>
      </c>
      <c r="K500" s="15" t="n">
        <f aca="false">Motore_Operativo!CF500</f>
        <v>416.666666666667</v>
      </c>
      <c r="L500" s="15" t="n">
        <f aca="false">SUM(INDEX($K$485:$K$544,MAX(1,16-Parametri_v3!$C$59+1)):K500)/Parametri_v3!$C$59</f>
        <v>129.62962962963</v>
      </c>
      <c r="M500" s="15" t="n">
        <f aca="false">J500-L500</f>
        <v>4966.26238914971</v>
      </c>
      <c r="N500" s="15" t="n">
        <f aca="false">0</f>
        <v>0</v>
      </c>
      <c r="O500" s="15" t="n">
        <f aca="false">0</f>
        <v>0</v>
      </c>
      <c r="P500" s="15" t="n">
        <f aca="false">M500+N500-O500</f>
        <v>4966.26238914971</v>
      </c>
      <c r="Q500" s="15" t="n">
        <f aca="false">SUM(P497:P500)+Parametri_v3!$C$56*4/12</f>
        <v>19934.4940010433</v>
      </c>
      <c r="R500" s="15" t="n">
        <f aca="false">Z496</f>
        <v>0</v>
      </c>
      <c r="S500" s="15" t="n">
        <f aca="false">AA496</f>
        <v>0</v>
      </c>
      <c r="T500" s="15" t="n">
        <f aca="false">MIN(R500,MAX(0,Q500))</f>
        <v>0</v>
      </c>
      <c r="U500" s="15" t="n">
        <f aca="false">MIN(S500,MAX(0,Q500-T500)*Parametri_v3!$C$42)</f>
        <v>0</v>
      </c>
      <c r="V500" s="15" t="n">
        <f aca="false">MAX(0,Q500-T500-U500)*Ipotesi!$C$92</f>
        <v>4784.27856025039</v>
      </c>
      <c r="W500" s="15" t="n">
        <f aca="false">MAX(0,SUM(M497:M500)+Parametri_v3!$C$57*4/12)*Ipotesi!$C$93</f>
        <v>777.445266040688</v>
      </c>
      <c r="X500" s="15" t="n">
        <f aca="false">V500+W500-(V499+W499)</f>
        <v>1385.58720657277</v>
      </c>
      <c r="Y500" s="15" t="n">
        <f aca="false">P500-X500</f>
        <v>3580.67518257694</v>
      </c>
      <c r="Z500" s="15" t="n">
        <f aca="false">R500-T500+IF(AND(Parametri_v3!$C$40=1,D500-YEAR(Parametri_v3!$C$50)&lt;Parametri_v3!$C$41),MAX(0,-Q500),0)</f>
        <v>0</v>
      </c>
      <c r="AA500" s="15" t="n">
        <f aca="false">S500-U500+IF(AND(Parametri_v3!$C$40=1,D500-YEAR(Parametri_v3!$C$50)&lt;Parametri_v3!$C$41),0,MAX(0,-Q500))</f>
        <v>0</v>
      </c>
      <c r="AB500" s="15" t="n">
        <f aca="false">F500*(1+Parametri_v3!$C$26)</f>
        <v>41457.0892018779</v>
      </c>
      <c r="AC500" s="15" t="n">
        <f aca="false">(IF(16-(INT((Motore_Operativo!L500)/30))&lt;1,0,INDEX(Motore_Advisory!$AB$485:$AB$544,MAX(1,16-(INT((Motore_Operativo!L500)/30)))))*(1-(MOD((Motore_Operativo!L500),30)/30))+IF(16-(INT((Motore_Operativo!L500)/30))-1&lt;1,0,INDEX(Motore_Advisory!$AB$485:$AB$544,MAX(1,16-(INT((Motore_Operativo!L500)/30))-1)))*(MOD((Motore_Operativo!L500),30)/30))</f>
        <v>41457.0892018779</v>
      </c>
      <c r="AD500" s="15" t="n">
        <f aca="false">(AD499)+AB500-AC500</f>
        <v>124371.267605634</v>
      </c>
      <c r="AE500" s="15" t="n">
        <f aca="false">Motore_Operativo!BH500*(1+Parametri_v3!$C$26)</f>
        <v>4145.70892018779</v>
      </c>
      <c r="AF500" s="15" t="n">
        <f aca="false">(IF(16-(INT((Parametri_v3!$C$29)/30))&lt;1,0,INDEX(Motore_Operativo!$BH$485:$BH$544,MAX(1,16-(INT((Parametri_v3!$C$29)/30)))))*(1-(MOD((Parametri_v3!$C$29),30)/30))+IF(16-(INT((Parametri_v3!$C$29)/30))-1&lt;1,0,INDEX(Motore_Operativo!$BH$485:$BH$544,MAX(1,16-(INT((Parametri_v3!$C$29)/30))-1)))*(MOD((Parametri_v3!$C$29),30)/30))*(1+Parametri_v3!$C$26)</f>
        <v>4145.70892018779</v>
      </c>
      <c r="AG500" s="15" t="n">
        <f aca="false">(AG499)+AE500-AF500</f>
        <v>4145.70892018779</v>
      </c>
      <c r="AH500" s="15" t="n">
        <f aca="false">(Motore_Operativo!CK500)*(1+Parametri_v3!$C$28*Parametri_v3!$C$26)</f>
        <v>11198.1149295775</v>
      </c>
      <c r="AI500" s="15" t="n">
        <f aca="false">(IF(16-(INT((Ipotesi!$C$91)/30))&lt;1,0,INDEX(Motore_Advisory!$AH$485:$AH$544,MAX(1,16-(INT((Ipotesi!$C$91)/30)))))*(1-(MOD((Ipotesi!$C$91),30)/30))+IF(16-(INT((Ipotesi!$C$91)/30))-1&lt;1,0,INDEX(Motore_Advisory!$AH$485:$AH$544,MAX(1,16-(INT((Ipotesi!$C$91)/30))-1)))*(MOD((Ipotesi!$C$91),30)/30))</f>
        <v>11198.1149295775</v>
      </c>
      <c r="AJ500" s="15" t="n">
        <f aca="false">(AJ499)+AH500-AI500</f>
        <v>22396.2298591549</v>
      </c>
      <c r="AK500" s="15" t="n">
        <f aca="false">(F500- Motore_Operativo!BH500-(Motore_Operativo!CK500)*Parametri_v3!$C$28-Motore_Operativo!CF500)*Parametri_v3!$C$26</f>
        <v>4960.70666666667</v>
      </c>
      <c r="AL500" s="15" t="n">
        <f aca="false">MAX(0,(AM499))</f>
        <v>4960.70666666667</v>
      </c>
      <c r="AM500" s="15" t="n">
        <f aca="false">(AM499)+AK500-AL500</f>
        <v>4960.70666666667</v>
      </c>
      <c r="AN500" s="15" t="n">
        <f aca="false">SUM(X485:X496)</f>
        <v>13562.3123684211</v>
      </c>
      <c r="AO500" s="15" t="n">
        <f aca="false">SUM(AP485:AP496)</f>
        <v>0</v>
      </c>
      <c r="AP500" s="15" t="n">
        <f aca="false">MAX(0,AN500)*IF(4=Parametri_v3!$C$43,Parametri_v3!$C$45,IF(4=Parametri_v3!$C$44,1-Parametri_v3!$C$45,0))</f>
        <v>0</v>
      </c>
      <c r="AQ500" s="15" t="n">
        <f aca="false">MAX(0,AP500+IF(4=Parametri_v3!$C$43,MAX(0,AN500-AO500),0)-MAX(0,-(AR499)))</f>
        <v>0</v>
      </c>
      <c r="AR500" s="15" t="n">
        <f aca="false">(AR499)+X500-AQ500</f>
        <v>19124.0361947121</v>
      </c>
      <c r="AS500" s="15" t="n">
        <f aca="false">Motore_Operativo!AC500-AT500+AU500</f>
        <v>15166.75</v>
      </c>
      <c r="AT500" s="15" t="n">
        <f aca="false">Motore_Operativo!CI500</f>
        <v>798.25</v>
      </c>
      <c r="AU500" s="15" t="n">
        <f aca="false">MIN(MAX(0,(AV499)+AT500),Parametri_v3!$C$61/12)</f>
        <v>0</v>
      </c>
      <c r="AV500" s="15" t="n">
        <f aca="false">(AV499)+AT500-AU500</f>
        <v>6343</v>
      </c>
      <c r="AW500" s="15" t="n">
        <f aca="false">IF(AND(Motore_Operativo!C500=Finanziamenti!$D$7,Finanziamenti!$F$7=1),Finanziamenti!$C$7,0)</f>
        <v>0</v>
      </c>
      <c r="AX500" s="15" t="n">
        <f aca="false">0</f>
        <v>0</v>
      </c>
      <c r="AY500" s="15" t="n">
        <f aca="false">IF(4=Parametri_v3!$C$33,IF(BV500&lt;MIN(12,$B500-1),0,MIN(MAX(0,SUM(Y485:Y496))*Ipotesi!$C$94,MAX(0,(BM496)-(BO499)-BP500),MAX(0,BD500-Parametri_v3!$C$31))),0)</f>
        <v>0</v>
      </c>
      <c r="AZ500" s="15" t="n">
        <f aca="false">0</f>
        <v>0</v>
      </c>
      <c r="BA500" s="15" t="n">
        <f aca="false">0</f>
        <v>0</v>
      </c>
      <c r="BB500" s="15" t="n">
        <f aca="false">0</f>
        <v>0</v>
      </c>
      <c r="BC500" s="15" t="n">
        <f aca="false">0</f>
        <v>0</v>
      </c>
      <c r="BD500" s="15" t="n">
        <f aca="false">(BH499)+AC500-AF500-AI500-AS500-K500*(1+Parametri_v3!$C$26)-AL500-AQ500-O500+AW500+AX500+AZ500+BA500-BB500</f>
        <v>-1656.61548801582</v>
      </c>
      <c r="BE500" s="15" t="n">
        <f aca="false">0</f>
        <v>0</v>
      </c>
      <c r="BF500" s="15" t="n">
        <f aca="false">0</f>
        <v>0</v>
      </c>
      <c r="BG500" s="15" t="n">
        <f aca="false">0</f>
        <v>0</v>
      </c>
      <c r="BH500" s="15" t="n">
        <f aca="false">BD500+BE500-BF500-AY500</f>
        <v>-1656.61548801582</v>
      </c>
      <c r="BI500" s="15" t="n">
        <f aca="false">MAX(0,Parametri_v3!$C$31-BH500)</f>
        <v>11656.6154880158</v>
      </c>
      <c r="BJ500" s="15" t="n">
        <f aca="false">(BJ499)+K500</f>
        <v>4666.66666666667</v>
      </c>
      <c r="BK500" s="15" t="n">
        <f aca="false">(BK499)+L500</f>
        <v>990.740740740741</v>
      </c>
      <c r="BL500" s="15" t="n">
        <f aca="false">BJ500-BK500</f>
        <v>3675.92592592593</v>
      </c>
      <c r="BM500" s="15" t="n">
        <f aca="false">(BM499)+Y500</f>
        <v>49420.8964028224</v>
      </c>
      <c r="BN500" s="15" t="n">
        <f aca="false">(BN499)+AW500+AX500+AZ500</f>
        <v>20000</v>
      </c>
      <c r="BO500" s="15" t="n">
        <f aca="false">(BO499)+AY500</f>
        <v>0</v>
      </c>
      <c r="BP500" s="15" t="n">
        <f aca="false">MIN(Parametri_v3!$C$36*Parametri_v3!$C$35,(BP499)+IF(4=1,MAX(0,SUM(Y485:Y496))*Parametri_v3!$C$34,0))</f>
        <v>1752.40631140351</v>
      </c>
      <c r="BQ500" s="15" t="n">
        <f aca="false">BN500+BM500-BO500</f>
        <v>69420.8964028224</v>
      </c>
      <c r="BR500" s="15" t="n">
        <f aca="false">BH500+AD500+BL500+MAX(0,-AM500)+MAX(0,-AR500)</f>
        <v>126390.578043544</v>
      </c>
      <c r="BS500" s="15" t="n">
        <f aca="false">AJ500+AV500+MAX(0,AM500)+MAX(0,AR500)+BC500+BG500+BQ500+AG500</f>
        <v>126390.578043544</v>
      </c>
      <c r="BT500" s="15" t="n">
        <f aca="false">BR500-BS500</f>
        <v>0</v>
      </c>
      <c r="BU500" s="15" t="n">
        <f aca="false">BH500-(BD500+BE500-BF500-AY500)</f>
        <v>0</v>
      </c>
      <c r="BV500" s="15" t="n">
        <f aca="false">IF(BH499&lt;Parametri_v3!$C$31,0,BV499+1)</f>
        <v>0</v>
      </c>
    </row>
    <row r="501" customFormat="false" ht="18" hidden="false" customHeight="true" outlineLevel="0" collapsed="false">
      <c r="A501" s="68" t="n">
        <f aca="false">9</f>
        <v>9</v>
      </c>
      <c r="B501" s="68" t="n">
        <f aca="false">17</f>
        <v>17</v>
      </c>
      <c r="C501" s="18" t="n">
        <f aca="false">Motore_Operativo!C501</f>
        <v>46874</v>
      </c>
      <c r="D501" s="68" t="n">
        <f aca="false">Motore_Operativo!D501</f>
        <v>2028</v>
      </c>
      <c r="E501" s="68" t="n">
        <f aca="false">Motore_Operativo!E501</f>
        <v>5</v>
      </c>
      <c r="F501" s="15" t="n">
        <f aca="false">Motore_Operativo!AM501</f>
        <v>33981.220657277</v>
      </c>
      <c r="G501" s="15" t="n">
        <f aca="false">Motore_Operativo!BH501</f>
        <v>3398.1220657277</v>
      </c>
      <c r="H501" s="15" t="n">
        <f aca="false">Motore_Operativo!AM501</f>
        <v>33981.220657277</v>
      </c>
      <c r="I501" s="15" t="n">
        <f aca="false">Motore_Operativo!CB501</f>
        <v>28885.3286384976</v>
      </c>
      <c r="J501" s="15" t="n">
        <f aca="false">Motore_Operativo!CD501</f>
        <v>5095.89201877934</v>
      </c>
      <c r="K501" s="15" t="n">
        <f aca="false">Motore_Operativo!CF501</f>
        <v>416.666666666667</v>
      </c>
      <c r="L501" s="15" t="n">
        <f aca="false">SUM(INDEX($K$485:$K$544,MAX(1,17-Parametri_v3!$C$59+1)):K501)/Parametri_v3!$C$59</f>
        <v>141.203703703704</v>
      </c>
      <c r="M501" s="15" t="n">
        <f aca="false">J501-L501</f>
        <v>4954.68831507564</v>
      </c>
      <c r="N501" s="15" t="n">
        <f aca="false">0</f>
        <v>0</v>
      </c>
      <c r="O501" s="15" t="n">
        <f aca="false">0</f>
        <v>0</v>
      </c>
      <c r="P501" s="15" t="n">
        <f aca="false">M501+N501-O501</f>
        <v>4954.68831507564</v>
      </c>
      <c r="Q501" s="15" t="n">
        <f aca="false">SUM(P497:P501)+Parametri_v3!$C$56*5/12</f>
        <v>24889.1823161189</v>
      </c>
      <c r="R501" s="15" t="n">
        <f aca="false">Z496</f>
        <v>0</v>
      </c>
      <c r="S501" s="15" t="n">
        <f aca="false">AA496</f>
        <v>0</v>
      </c>
      <c r="T501" s="15" t="n">
        <f aca="false">MIN(R501,MAX(0,Q501))</f>
        <v>0</v>
      </c>
      <c r="U501" s="15" t="n">
        <f aca="false">MIN(S501,MAX(0,Q501-T501)*Parametri_v3!$C$42)</f>
        <v>0</v>
      </c>
      <c r="V501" s="15" t="n">
        <f aca="false">MAX(0,Q501-T501-U501)*Ipotesi!$C$92</f>
        <v>5973.40375586854</v>
      </c>
      <c r="W501" s="15" t="n">
        <f aca="false">MAX(0,SUM(M497:M501)+Parametri_v3!$C$57*5/12)*Ipotesi!$C$93</f>
        <v>970.678110328638</v>
      </c>
      <c r="X501" s="15" t="n">
        <f aca="false">V501+W501-(V500+W500)</f>
        <v>1382.3580399061</v>
      </c>
      <c r="Y501" s="15" t="n">
        <f aca="false">P501-X501</f>
        <v>3572.33027516954</v>
      </c>
      <c r="Z501" s="15" t="n">
        <f aca="false">R501-T501+IF(AND(Parametri_v3!$C$40=1,D501-YEAR(Parametri_v3!$C$50)&lt;Parametri_v3!$C$41),MAX(0,-Q501),0)</f>
        <v>0</v>
      </c>
      <c r="AA501" s="15" t="n">
        <f aca="false">S501-U501+IF(AND(Parametri_v3!$C$40=1,D501-YEAR(Parametri_v3!$C$50)&lt;Parametri_v3!$C$41),0,MAX(0,-Q501))</f>
        <v>0</v>
      </c>
      <c r="AB501" s="15" t="n">
        <f aca="false">F501*(1+Parametri_v3!$C$26)</f>
        <v>41457.0892018779</v>
      </c>
      <c r="AC501" s="15" t="n">
        <f aca="false">(IF(17-(INT((Motore_Operativo!L501)/30))&lt;1,0,INDEX(Motore_Advisory!$AB$485:$AB$544,MAX(1,17-(INT((Motore_Operativo!L501)/30)))))*(1-(MOD((Motore_Operativo!L501),30)/30))+IF(17-(INT((Motore_Operativo!L501)/30))-1&lt;1,0,INDEX(Motore_Advisory!$AB$485:$AB$544,MAX(1,17-(INT((Motore_Operativo!L501)/30))-1)))*(MOD((Motore_Operativo!L501),30)/30))</f>
        <v>41457.0892018779</v>
      </c>
      <c r="AD501" s="15" t="n">
        <f aca="false">(AD500)+AB501-AC501</f>
        <v>124371.267605634</v>
      </c>
      <c r="AE501" s="15" t="n">
        <f aca="false">Motore_Operativo!BH501*(1+Parametri_v3!$C$26)</f>
        <v>4145.70892018779</v>
      </c>
      <c r="AF501" s="15" t="n">
        <f aca="false">(IF(17-(INT((Parametri_v3!$C$29)/30))&lt;1,0,INDEX(Motore_Operativo!$BH$485:$BH$544,MAX(1,17-(INT((Parametri_v3!$C$29)/30)))))*(1-(MOD((Parametri_v3!$C$29),30)/30))+IF(17-(INT((Parametri_v3!$C$29)/30))-1&lt;1,0,INDEX(Motore_Operativo!$BH$485:$BH$544,MAX(1,17-(INT((Parametri_v3!$C$29)/30))-1)))*(MOD((Parametri_v3!$C$29),30)/30))*(1+Parametri_v3!$C$26)</f>
        <v>4145.70892018779</v>
      </c>
      <c r="AG501" s="15" t="n">
        <f aca="false">(AG500)+AE501-AF501</f>
        <v>4145.70892018779</v>
      </c>
      <c r="AH501" s="15" t="n">
        <f aca="false">(Motore_Operativo!CK501)*(1+Parametri_v3!$C$28*Parametri_v3!$C$26)</f>
        <v>11198.1149295775</v>
      </c>
      <c r="AI501" s="15" t="n">
        <f aca="false">(IF(17-(INT((Ipotesi!$C$91)/30))&lt;1,0,INDEX(Motore_Advisory!$AH$485:$AH$544,MAX(1,17-(INT((Ipotesi!$C$91)/30)))))*(1-(MOD((Ipotesi!$C$91),30)/30))+IF(17-(INT((Ipotesi!$C$91)/30))-1&lt;1,0,INDEX(Motore_Advisory!$AH$485:$AH$544,MAX(1,17-(INT((Ipotesi!$C$91)/30))-1)))*(MOD((Ipotesi!$C$91),30)/30))</f>
        <v>11198.1149295775</v>
      </c>
      <c r="AJ501" s="15" t="n">
        <f aca="false">(AJ500)+AH501-AI501</f>
        <v>22396.2298591549</v>
      </c>
      <c r="AK501" s="15" t="n">
        <f aca="false">(F501- Motore_Operativo!BH501-(Motore_Operativo!CK501)*Parametri_v3!$C$28-Motore_Operativo!CF501)*Parametri_v3!$C$26</f>
        <v>4960.70666666667</v>
      </c>
      <c r="AL501" s="15" t="n">
        <f aca="false">MAX(0,(AM500))</f>
        <v>4960.70666666667</v>
      </c>
      <c r="AM501" s="15" t="n">
        <f aca="false">(AM500)+AK501-AL501</f>
        <v>4960.70666666667</v>
      </c>
      <c r="AN501" s="15" t="n">
        <f aca="false">SUM(X485:X496)</f>
        <v>13562.3123684211</v>
      </c>
      <c r="AO501" s="15" t="n">
        <f aca="false">SUM(AP485:AP496)</f>
        <v>0</v>
      </c>
      <c r="AP501" s="15" t="n">
        <f aca="false">MAX(0,AN501)*IF(5=Parametri_v3!$C$43,Parametri_v3!$C$45,IF(5=Parametri_v3!$C$44,1-Parametri_v3!$C$45,0))</f>
        <v>0</v>
      </c>
      <c r="AQ501" s="15" t="n">
        <f aca="false">MAX(0,AP501+IF(5=Parametri_v3!$C$43,MAX(0,AN501-AO501),0)-MAX(0,-(AR500)))</f>
        <v>0</v>
      </c>
      <c r="AR501" s="15" t="n">
        <f aca="false">(AR500)+X501-AQ501</f>
        <v>20506.3942346182</v>
      </c>
      <c r="AS501" s="15" t="n">
        <f aca="false">Motore_Operativo!AC501-AT501+AU501</f>
        <v>15166.75</v>
      </c>
      <c r="AT501" s="15" t="n">
        <f aca="false">Motore_Operativo!CI501</f>
        <v>798.25</v>
      </c>
      <c r="AU501" s="15" t="n">
        <f aca="false">MIN(MAX(0,(AV500)+AT501),Parametri_v3!$C$61/12)</f>
        <v>0</v>
      </c>
      <c r="AV501" s="15" t="n">
        <f aca="false">(AV500)+AT501-AU501</f>
        <v>7141.25</v>
      </c>
      <c r="AW501" s="15" t="n">
        <f aca="false">IF(AND(Motore_Operativo!C501=Finanziamenti!$D$7,Finanziamenti!$F$7=1),Finanziamenti!$C$7,0)</f>
        <v>0</v>
      </c>
      <c r="AX501" s="15" t="n">
        <f aca="false">0</f>
        <v>0</v>
      </c>
      <c r="AY501" s="15" t="n">
        <f aca="false">IF(5=Parametri_v3!$C$33,IF(BV501&lt;MIN(12,$B501-1),0,MIN(MAX(0,SUM(Y485:Y496))*Ipotesi!$C$94,MAX(0,(BM496)-(BO500)-BP501),MAX(0,BD501-Parametri_v3!$C$31))),0)</f>
        <v>0</v>
      </c>
      <c r="AZ501" s="15" t="n">
        <f aca="false">0</f>
        <v>0</v>
      </c>
      <c r="BA501" s="15" t="n">
        <f aca="false">0</f>
        <v>0</v>
      </c>
      <c r="BB501" s="15" t="n">
        <f aca="false">0</f>
        <v>0</v>
      </c>
      <c r="BC501" s="15" t="n">
        <f aca="false">0</f>
        <v>0</v>
      </c>
      <c r="BD501" s="15" t="n">
        <f aca="false">(BH500)+AC501-AF501-AI501-AS501-K501*(1+Parametri_v3!$C$26)-AL501-AQ501-O501+AW501+AX501+AZ501+BA501-BB501</f>
        <v>3820.85986409685</v>
      </c>
      <c r="BE501" s="15" t="n">
        <f aca="false">0</f>
        <v>0</v>
      </c>
      <c r="BF501" s="15" t="n">
        <f aca="false">0</f>
        <v>0</v>
      </c>
      <c r="BG501" s="15" t="n">
        <f aca="false">0</f>
        <v>0</v>
      </c>
      <c r="BH501" s="15" t="n">
        <f aca="false">BD501+BE501-BF501-AY501</f>
        <v>3820.85986409685</v>
      </c>
      <c r="BI501" s="15" t="n">
        <f aca="false">MAX(0,Parametri_v3!$C$31-BH501)</f>
        <v>6179.14013590315</v>
      </c>
      <c r="BJ501" s="15" t="n">
        <f aca="false">(BJ500)+K501</f>
        <v>5083.33333333333</v>
      </c>
      <c r="BK501" s="15" t="n">
        <f aca="false">(BK500)+L501</f>
        <v>1131.94444444444</v>
      </c>
      <c r="BL501" s="15" t="n">
        <f aca="false">BJ501-BK501</f>
        <v>3951.38888888889</v>
      </c>
      <c r="BM501" s="15" t="n">
        <f aca="false">(BM500)+Y501</f>
        <v>52993.2266779919</v>
      </c>
      <c r="BN501" s="15" t="n">
        <f aca="false">(BN500)+AW501+AX501+AZ501</f>
        <v>20000</v>
      </c>
      <c r="BO501" s="15" t="n">
        <f aca="false">(BO500)+AY501</f>
        <v>0</v>
      </c>
      <c r="BP501" s="15" t="n">
        <f aca="false">MIN(Parametri_v3!$C$36*Parametri_v3!$C$35,(BP500)+IF(5=1,MAX(0,SUM(Y485:Y496))*Parametri_v3!$C$34,0))</f>
        <v>1752.40631140351</v>
      </c>
      <c r="BQ501" s="15" t="n">
        <f aca="false">BN501+BM501-BO501</f>
        <v>72993.2266779919</v>
      </c>
      <c r="BR501" s="15" t="n">
        <f aca="false">BH501+AD501+BL501+MAX(0,-AM501)+MAX(0,-AR501)</f>
        <v>132143.51635862</v>
      </c>
      <c r="BS501" s="15" t="n">
        <f aca="false">AJ501+AV501+MAX(0,AM501)+MAX(0,AR501)+BC501+BG501+BQ501+AG501</f>
        <v>132143.51635862</v>
      </c>
      <c r="BT501" s="15" t="n">
        <f aca="false">BR501-BS501</f>
        <v>0</v>
      </c>
      <c r="BU501" s="15" t="n">
        <f aca="false">BH501-(BD501+BE501-BF501-AY501)</f>
        <v>0</v>
      </c>
      <c r="BV501" s="15" t="n">
        <f aca="false">IF(BH500&lt;Parametri_v3!$C$31,0,BV500+1)</f>
        <v>0</v>
      </c>
    </row>
    <row r="502" customFormat="false" ht="18" hidden="false" customHeight="true" outlineLevel="0" collapsed="false">
      <c r="A502" s="68" t="n">
        <f aca="false">9</f>
        <v>9</v>
      </c>
      <c r="B502" s="68" t="n">
        <f aca="false">18</f>
        <v>18</v>
      </c>
      <c r="C502" s="18" t="n">
        <f aca="false">Motore_Operativo!C502</f>
        <v>46905</v>
      </c>
      <c r="D502" s="68" t="n">
        <f aca="false">Motore_Operativo!D502</f>
        <v>2028</v>
      </c>
      <c r="E502" s="68" t="n">
        <f aca="false">Motore_Operativo!E502</f>
        <v>6</v>
      </c>
      <c r="F502" s="15" t="n">
        <f aca="false">Motore_Operativo!AM502</f>
        <v>33981.220657277</v>
      </c>
      <c r="G502" s="15" t="n">
        <f aca="false">Motore_Operativo!BH502</f>
        <v>3398.1220657277</v>
      </c>
      <c r="H502" s="15" t="n">
        <f aca="false">Motore_Operativo!AM502</f>
        <v>33981.220657277</v>
      </c>
      <c r="I502" s="15" t="n">
        <f aca="false">Motore_Operativo!CB502</f>
        <v>28885.3286384976</v>
      </c>
      <c r="J502" s="15" t="n">
        <f aca="false">Motore_Operativo!CD502</f>
        <v>5095.89201877934</v>
      </c>
      <c r="K502" s="15" t="n">
        <f aca="false">Motore_Operativo!CF502</f>
        <v>416.666666666667</v>
      </c>
      <c r="L502" s="15" t="n">
        <f aca="false">SUM(INDEX($K$485:$K$544,MAX(1,18-Parametri_v3!$C$59+1)):K502)/Parametri_v3!$C$59</f>
        <v>152.777777777778</v>
      </c>
      <c r="M502" s="15" t="n">
        <f aca="false">J502-L502</f>
        <v>4943.11424100156</v>
      </c>
      <c r="N502" s="15" t="n">
        <f aca="false">0</f>
        <v>0</v>
      </c>
      <c r="O502" s="15" t="n">
        <f aca="false">0</f>
        <v>0</v>
      </c>
      <c r="P502" s="15" t="n">
        <f aca="false">M502+N502-O502</f>
        <v>4943.11424100156</v>
      </c>
      <c r="Q502" s="15" t="n">
        <f aca="false">SUM(P497:P502)+Parametri_v3!$C$56*6/12</f>
        <v>29832.2965571205</v>
      </c>
      <c r="R502" s="15" t="n">
        <f aca="false">Z496</f>
        <v>0</v>
      </c>
      <c r="S502" s="15" t="n">
        <f aca="false">AA496</f>
        <v>0</v>
      </c>
      <c r="T502" s="15" t="n">
        <f aca="false">MIN(R502,MAX(0,Q502))</f>
        <v>0</v>
      </c>
      <c r="U502" s="15" t="n">
        <f aca="false">MIN(S502,MAX(0,Q502-T502)*Parametri_v3!$C$42)</f>
        <v>0</v>
      </c>
      <c r="V502" s="15" t="n">
        <f aca="false">MAX(0,Q502-T502-U502)*Ipotesi!$C$92</f>
        <v>7159.75117370892</v>
      </c>
      <c r="W502" s="15" t="n">
        <f aca="false">MAX(0,SUM(M497:M502)+Parametri_v3!$C$57*6/12)*Ipotesi!$C$93</f>
        <v>1163.4595657277</v>
      </c>
      <c r="X502" s="15" t="n">
        <f aca="false">V502+W502-(V501+W501)</f>
        <v>1379.12887323944</v>
      </c>
      <c r="Y502" s="15" t="n">
        <f aca="false">P502-X502</f>
        <v>3563.98536776213</v>
      </c>
      <c r="Z502" s="15" t="n">
        <f aca="false">R502-T502+IF(AND(Parametri_v3!$C$40=1,D502-YEAR(Parametri_v3!$C$50)&lt;Parametri_v3!$C$41),MAX(0,-Q502),0)</f>
        <v>0</v>
      </c>
      <c r="AA502" s="15" t="n">
        <f aca="false">S502-U502+IF(AND(Parametri_v3!$C$40=1,D502-YEAR(Parametri_v3!$C$50)&lt;Parametri_v3!$C$41),0,MAX(0,-Q502))</f>
        <v>0</v>
      </c>
      <c r="AB502" s="15" t="n">
        <f aca="false">F502*(1+Parametri_v3!$C$26)</f>
        <v>41457.0892018779</v>
      </c>
      <c r="AC502" s="15" t="n">
        <f aca="false">(IF(18-(INT((Motore_Operativo!L502)/30))&lt;1,0,INDEX(Motore_Advisory!$AB$485:$AB$544,MAX(1,18-(INT((Motore_Operativo!L502)/30)))))*(1-(MOD((Motore_Operativo!L502),30)/30))+IF(18-(INT((Motore_Operativo!L502)/30))-1&lt;1,0,INDEX(Motore_Advisory!$AB$485:$AB$544,MAX(1,18-(INT((Motore_Operativo!L502)/30))-1)))*(MOD((Motore_Operativo!L502),30)/30))</f>
        <v>41457.0892018779</v>
      </c>
      <c r="AD502" s="15" t="n">
        <f aca="false">(AD501)+AB502-AC502</f>
        <v>124371.267605634</v>
      </c>
      <c r="AE502" s="15" t="n">
        <f aca="false">Motore_Operativo!BH502*(1+Parametri_v3!$C$26)</f>
        <v>4145.70892018779</v>
      </c>
      <c r="AF502" s="15" t="n">
        <f aca="false">(IF(18-(INT((Parametri_v3!$C$29)/30))&lt;1,0,INDEX(Motore_Operativo!$BH$485:$BH$544,MAX(1,18-(INT((Parametri_v3!$C$29)/30)))))*(1-(MOD((Parametri_v3!$C$29),30)/30))+IF(18-(INT((Parametri_v3!$C$29)/30))-1&lt;1,0,INDEX(Motore_Operativo!$BH$485:$BH$544,MAX(1,18-(INT((Parametri_v3!$C$29)/30))-1)))*(MOD((Parametri_v3!$C$29),30)/30))*(1+Parametri_v3!$C$26)</f>
        <v>4145.70892018779</v>
      </c>
      <c r="AG502" s="15" t="n">
        <f aca="false">(AG501)+AE502-AF502</f>
        <v>4145.70892018779</v>
      </c>
      <c r="AH502" s="15" t="n">
        <f aca="false">(Motore_Operativo!CK502)*(1+Parametri_v3!$C$28*Parametri_v3!$C$26)</f>
        <v>11198.1149295775</v>
      </c>
      <c r="AI502" s="15" t="n">
        <f aca="false">(IF(18-(INT((Ipotesi!$C$91)/30))&lt;1,0,INDEX(Motore_Advisory!$AH$485:$AH$544,MAX(1,18-(INT((Ipotesi!$C$91)/30)))))*(1-(MOD((Ipotesi!$C$91),30)/30))+IF(18-(INT((Ipotesi!$C$91)/30))-1&lt;1,0,INDEX(Motore_Advisory!$AH$485:$AH$544,MAX(1,18-(INT((Ipotesi!$C$91)/30))-1)))*(MOD((Ipotesi!$C$91),30)/30))</f>
        <v>11198.1149295775</v>
      </c>
      <c r="AJ502" s="15" t="n">
        <f aca="false">(AJ501)+AH502-AI502</f>
        <v>22396.2298591549</v>
      </c>
      <c r="AK502" s="15" t="n">
        <f aca="false">(F502- Motore_Operativo!BH502-(Motore_Operativo!CK502)*Parametri_v3!$C$28-Motore_Operativo!CF502)*Parametri_v3!$C$26</f>
        <v>4960.70666666667</v>
      </c>
      <c r="AL502" s="15" t="n">
        <f aca="false">MAX(0,(AM501))</f>
        <v>4960.70666666667</v>
      </c>
      <c r="AM502" s="15" t="n">
        <f aca="false">(AM501)+AK502-AL502</f>
        <v>4960.70666666667</v>
      </c>
      <c r="AN502" s="15" t="n">
        <f aca="false">SUM(X485:X496)</f>
        <v>13562.3123684211</v>
      </c>
      <c r="AO502" s="15" t="n">
        <f aca="false">SUM(AP485:AP496)</f>
        <v>0</v>
      </c>
      <c r="AP502" s="15" t="n">
        <f aca="false">MAX(0,AN502)*IF(6=Parametri_v3!$C$43,Parametri_v3!$C$45,IF(6=Parametri_v3!$C$44,1-Parametri_v3!$C$45,0))</f>
        <v>5424.92494736842</v>
      </c>
      <c r="AQ502" s="15" t="n">
        <f aca="false">MAX(0,AP502+IF(6=Parametri_v3!$C$43,MAX(0,AN502-AO502),0)-MAX(0,-(AR501)))</f>
        <v>18987.2373157895</v>
      </c>
      <c r="AR502" s="15" t="n">
        <f aca="false">(AR501)+X502-AQ502</f>
        <v>2898.2857920682</v>
      </c>
      <c r="AS502" s="15" t="n">
        <f aca="false">Motore_Operativo!AC502-AT502+AU502</f>
        <v>15166.75</v>
      </c>
      <c r="AT502" s="15" t="n">
        <f aca="false">Motore_Operativo!CI502</f>
        <v>798.25</v>
      </c>
      <c r="AU502" s="15" t="n">
        <f aca="false">MIN(MAX(0,(AV501)+AT502),Parametri_v3!$C$61/12)</f>
        <v>0</v>
      </c>
      <c r="AV502" s="15" t="n">
        <f aca="false">(AV501)+AT502-AU502</f>
        <v>7939.5</v>
      </c>
      <c r="AW502" s="15" t="n">
        <f aca="false">IF(AND(Motore_Operativo!C502=Finanziamenti!$D$7,Finanziamenti!$F$7=1),Finanziamenti!$C$7,0)</f>
        <v>0</v>
      </c>
      <c r="AX502" s="15" t="n">
        <f aca="false">0</f>
        <v>0</v>
      </c>
      <c r="AY502" s="15" t="n">
        <f aca="false">IF(6=Parametri_v3!$C$33,IF(BV502&lt;MIN(12,$B502-1),0,MIN(MAX(0,SUM(Y485:Y496))*Ipotesi!$C$94,MAX(0,(BM496)-(BO501)-BP502),MAX(0,BD502-Parametri_v3!$C$31))),0)</f>
        <v>0</v>
      </c>
      <c r="AZ502" s="15" t="n">
        <f aca="false">0</f>
        <v>0</v>
      </c>
      <c r="BA502" s="15" t="n">
        <f aca="false">0</f>
        <v>0</v>
      </c>
      <c r="BB502" s="15" t="n">
        <f aca="false">0</f>
        <v>0</v>
      </c>
      <c r="BC502" s="15" t="n">
        <f aca="false">0</f>
        <v>0</v>
      </c>
      <c r="BD502" s="15" t="n">
        <f aca="false">(BH501)+AC502-AF502-AI502-AS502-K502*(1+Parametri_v3!$C$26)-AL502-AQ502-O502+AW502+AX502+AZ502+BA502-BB502</f>
        <v>-9688.90209957994</v>
      </c>
      <c r="BE502" s="15" t="n">
        <f aca="false">0</f>
        <v>0</v>
      </c>
      <c r="BF502" s="15" t="n">
        <f aca="false">0</f>
        <v>0</v>
      </c>
      <c r="BG502" s="15" t="n">
        <f aca="false">0</f>
        <v>0</v>
      </c>
      <c r="BH502" s="15" t="n">
        <f aca="false">BD502+BE502-BF502-AY502</f>
        <v>-9688.90209957994</v>
      </c>
      <c r="BI502" s="15" t="n">
        <f aca="false">MAX(0,Parametri_v3!$C$31-BH502)</f>
        <v>19688.9020995799</v>
      </c>
      <c r="BJ502" s="15" t="n">
        <f aca="false">(BJ501)+K502</f>
        <v>5500</v>
      </c>
      <c r="BK502" s="15" t="n">
        <f aca="false">(BK501)+L502</f>
        <v>1284.72222222222</v>
      </c>
      <c r="BL502" s="15" t="n">
        <f aca="false">BJ502-BK502</f>
        <v>4215.27777777778</v>
      </c>
      <c r="BM502" s="15" t="n">
        <f aca="false">(BM501)+Y502</f>
        <v>56557.212045754</v>
      </c>
      <c r="BN502" s="15" t="n">
        <f aca="false">(BN501)+AW502+AX502+AZ502</f>
        <v>20000</v>
      </c>
      <c r="BO502" s="15" t="n">
        <f aca="false">(BO501)+AY502</f>
        <v>0</v>
      </c>
      <c r="BP502" s="15" t="n">
        <f aca="false">MIN(Parametri_v3!$C$36*Parametri_v3!$C$35,(BP501)+IF(6=1,MAX(0,SUM(Y485:Y496))*Parametri_v3!$C$34,0))</f>
        <v>1752.40631140351</v>
      </c>
      <c r="BQ502" s="15" t="n">
        <f aca="false">BN502+BM502-BO502</f>
        <v>76557.212045754</v>
      </c>
      <c r="BR502" s="15" t="n">
        <f aca="false">BH502+AD502+BL502+MAX(0,-AM502)+MAX(0,-AR502)</f>
        <v>118897.643283832</v>
      </c>
      <c r="BS502" s="15" t="n">
        <f aca="false">AJ502+AV502+MAX(0,AM502)+MAX(0,AR502)+BC502+BG502+BQ502+AG502</f>
        <v>118897.643283832</v>
      </c>
      <c r="BT502" s="15" t="n">
        <f aca="false">BR502-BS502</f>
        <v>0</v>
      </c>
      <c r="BU502" s="15" t="n">
        <f aca="false">BH502-(BD502+BE502-BF502-AY502)</f>
        <v>0</v>
      </c>
      <c r="BV502" s="15" t="n">
        <f aca="false">IF(BH501&lt;Parametri_v3!$C$31,0,BV501+1)</f>
        <v>0</v>
      </c>
    </row>
    <row r="503" customFormat="false" ht="18" hidden="false" customHeight="true" outlineLevel="0" collapsed="false">
      <c r="A503" s="68" t="n">
        <f aca="false">9</f>
        <v>9</v>
      </c>
      <c r="B503" s="68" t="n">
        <f aca="false">19</f>
        <v>19</v>
      </c>
      <c r="C503" s="18" t="n">
        <f aca="false">Motore_Operativo!C503</f>
        <v>46935</v>
      </c>
      <c r="D503" s="68" t="n">
        <f aca="false">Motore_Operativo!D503</f>
        <v>2028</v>
      </c>
      <c r="E503" s="68" t="n">
        <f aca="false">Motore_Operativo!E503</f>
        <v>7</v>
      </c>
      <c r="F503" s="15" t="n">
        <f aca="false">Motore_Operativo!AM503</f>
        <v>33981.220657277</v>
      </c>
      <c r="G503" s="15" t="n">
        <f aca="false">Motore_Operativo!BH503</f>
        <v>3398.1220657277</v>
      </c>
      <c r="H503" s="15" t="n">
        <f aca="false">Motore_Operativo!AM503</f>
        <v>33981.220657277</v>
      </c>
      <c r="I503" s="15" t="n">
        <f aca="false">Motore_Operativo!CB503</f>
        <v>28885.3286384976</v>
      </c>
      <c r="J503" s="15" t="n">
        <f aca="false">Motore_Operativo!CD503</f>
        <v>5095.89201877934</v>
      </c>
      <c r="K503" s="15" t="n">
        <f aca="false">Motore_Operativo!CF503</f>
        <v>416.666666666667</v>
      </c>
      <c r="L503" s="15" t="n">
        <f aca="false">SUM(INDEX($K$485:$K$544,MAX(1,19-Parametri_v3!$C$59+1)):K503)/Parametri_v3!$C$59</f>
        <v>164.351851851852</v>
      </c>
      <c r="M503" s="15" t="n">
        <f aca="false">J503-L503</f>
        <v>4931.54016692749</v>
      </c>
      <c r="N503" s="15" t="n">
        <f aca="false">0</f>
        <v>0</v>
      </c>
      <c r="O503" s="15" t="n">
        <f aca="false">0</f>
        <v>0</v>
      </c>
      <c r="P503" s="15" t="n">
        <f aca="false">M503+N503-O503</f>
        <v>4931.54016692749</v>
      </c>
      <c r="Q503" s="15" t="n">
        <f aca="false">SUM(P497:P503)+Parametri_v3!$C$56*7/12</f>
        <v>34763.836724048</v>
      </c>
      <c r="R503" s="15" t="n">
        <f aca="false">Z496</f>
        <v>0</v>
      </c>
      <c r="S503" s="15" t="n">
        <f aca="false">AA496</f>
        <v>0</v>
      </c>
      <c r="T503" s="15" t="n">
        <f aca="false">MIN(R503,MAX(0,Q503))</f>
        <v>0</v>
      </c>
      <c r="U503" s="15" t="n">
        <f aca="false">MIN(S503,MAX(0,Q503-T503)*Parametri_v3!$C$42)</f>
        <v>0</v>
      </c>
      <c r="V503" s="15" t="n">
        <f aca="false">MAX(0,Q503-T503-U503)*Ipotesi!$C$92</f>
        <v>8343.32081377151</v>
      </c>
      <c r="W503" s="15" t="n">
        <f aca="false">MAX(0,SUM(M497:M503)+Parametri_v3!$C$57*7/12)*Ipotesi!$C$93</f>
        <v>1355.78963223787</v>
      </c>
      <c r="X503" s="15" t="n">
        <f aca="false">V503+W503-(V502+W502)</f>
        <v>1375.89970657277</v>
      </c>
      <c r="Y503" s="15" t="n">
        <f aca="false">P503-X503</f>
        <v>3555.64046035472</v>
      </c>
      <c r="Z503" s="15" t="n">
        <f aca="false">R503-T503+IF(AND(Parametri_v3!$C$40=1,D503-YEAR(Parametri_v3!$C$50)&lt;Parametri_v3!$C$41),MAX(0,-Q503),0)</f>
        <v>0</v>
      </c>
      <c r="AA503" s="15" t="n">
        <f aca="false">S503-U503+IF(AND(Parametri_v3!$C$40=1,D503-YEAR(Parametri_v3!$C$50)&lt;Parametri_v3!$C$41),0,MAX(0,-Q503))</f>
        <v>0</v>
      </c>
      <c r="AB503" s="15" t="n">
        <f aca="false">F503*(1+Parametri_v3!$C$26)</f>
        <v>41457.0892018779</v>
      </c>
      <c r="AC503" s="15" t="n">
        <f aca="false">(IF(19-(INT((Motore_Operativo!L503)/30))&lt;1,0,INDEX(Motore_Advisory!$AB$485:$AB$544,MAX(1,19-(INT((Motore_Operativo!L503)/30)))))*(1-(MOD((Motore_Operativo!L503),30)/30))+IF(19-(INT((Motore_Operativo!L503)/30))-1&lt;1,0,INDEX(Motore_Advisory!$AB$485:$AB$544,MAX(1,19-(INT((Motore_Operativo!L503)/30))-1)))*(MOD((Motore_Operativo!L503),30)/30))</f>
        <v>41457.0892018779</v>
      </c>
      <c r="AD503" s="15" t="n">
        <f aca="false">(AD502)+AB503-AC503</f>
        <v>124371.267605634</v>
      </c>
      <c r="AE503" s="15" t="n">
        <f aca="false">Motore_Operativo!BH503*(1+Parametri_v3!$C$26)</f>
        <v>4145.70892018779</v>
      </c>
      <c r="AF503" s="15" t="n">
        <f aca="false">(IF(19-(INT((Parametri_v3!$C$29)/30))&lt;1,0,INDEX(Motore_Operativo!$BH$485:$BH$544,MAX(1,19-(INT((Parametri_v3!$C$29)/30)))))*(1-(MOD((Parametri_v3!$C$29),30)/30))+IF(19-(INT((Parametri_v3!$C$29)/30))-1&lt;1,0,INDEX(Motore_Operativo!$BH$485:$BH$544,MAX(1,19-(INT((Parametri_v3!$C$29)/30))-1)))*(MOD((Parametri_v3!$C$29),30)/30))*(1+Parametri_v3!$C$26)</f>
        <v>4145.70892018779</v>
      </c>
      <c r="AG503" s="15" t="n">
        <f aca="false">(AG502)+AE503-AF503</f>
        <v>4145.70892018779</v>
      </c>
      <c r="AH503" s="15" t="n">
        <f aca="false">(Motore_Operativo!CK503)*(1+Parametri_v3!$C$28*Parametri_v3!$C$26)</f>
        <v>11198.1149295775</v>
      </c>
      <c r="AI503" s="15" t="n">
        <f aca="false">(IF(19-(INT((Ipotesi!$C$91)/30))&lt;1,0,INDEX(Motore_Advisory!$AH$485:$AH$544,MAX(1,19-(INT((Ipotesi!$C$91)/30)))))*(1-(MOD((Ipotesi!$C$91),30)/30))+IF(19-(INT((Ipotesi!$C$91)/30))-1&lt;1,0,INDEX(Motore_Advisory!$AH$485:$AH$544,MAX(1,19-(INT((Ipotesi!$C$91)/30))-1)))*(MOD((Ipotesi!$C$91),30)/30))</f>
        <v>11198.1149295775</v>
      </c>
      <c r="AJ503" s="15" t="n">
        <f aca="false">(AJ502)+AH503-AI503</f>
        <v>22396.2298591549</v>
      </c>
      <c r="AK503" s="15" t="n">
        <f aca="false">(F503- Motore_Operativo!BH503-(Motore_Operativo!CK503)*Parametri_v3!$C$28-Motore_Operativo!CF503)*Parametri_v3!$C$26</f>
        <v>4960.70666666667</v>
      </c>
      <c r="AL503" s="15" t="n">
        <f aca="false">MAX(0,(AM502))</f>
        <v>4960.70666666667</v>
      </c>
      <c r="AM503" s="15" t="n">
        <f aca="false">(AM502)+AK503-AL503</f>
        <v>4960.70666666667</v>
      </c>
      <c r="AN503" s="15" t="n">
        <f aca="false">SUM(X485:X496)</f>
        <v>13562.3123684211</v>
      </c>
      <c r="AO503" s="15" t="n">
        <f aca="false">SUM(AP485:AP496)</f>
        <v>0</v>
      </c>
      <c r="AP503" s="15" t="n">
        <f aca="false">MAX(0,AN503)*IF(7=Parametri_v3!$C$43,Parametri_v3!$C$45,IF(7=Parametri_v3!$C$44,1-Parametri_v3!$C$45,0))</f>
        <v>0</v>
      </c>
      <c r="AQ503" s="15" t="n">
        <f aca="false">MAX(0,AP503+IF(7=Parametri_v3!$C$43,MAX(0,AN503-AO503),0)-MAX(0,-(AR502)))</f>
        <v>0</v>
      </c>
      <c r="AR503" s="15" t="n">
        <f aca="false">(AR502)+X503-AQ503</f>
        <v>4274.18549864096</v>
      </c>
      <c r="AS503" s="15" t="n">
        <f aca="false">Motore_Operativo!AC503-AT503+AU503</f>
        <v>15166.75</v>
      </c>
      <c r="AT503" s="15" t="n">
        <f aca="false">Motore_Operativo!CI503</f>
        <v>798.25</v>
      </c>
      <c r="AU503" s="15" t="n">
        <f aca="false">MIN(MAX(0,(AV502)+AT503),Parametri_v3!$C$61/12)</f>
        <v>0</v>
      </c>
      <c r="AV503" s="15" t="n">
        <f aca="false">(AV502)+AT503-AU503</f>
        <v>8737.75</v>
      </c>
      <c r="AW503" s="15" t="n">
        <f aca="false">IF(AND(Motore_Operativo!C503=Finanziamenti!$D$7,Finanziamenti!$F$7=1),Finanziamenti!$C$7,0)</f>
        <v>0</v>
      </c>
      <c r="AX503" s="15" t="n">
        <f aca="false">0</f>
        <v>0</v>
      </c>
      <c r="AY503" s="15" t="n">
        <f aca="false">IF(7=Parametri_v3!$C$33,IF(BV503&lt;MIN(12,$B503-1),0,MIN(MAX(0,SUM(Y485:Y496))*Ipotesi!$C$94,MAX(0,(BM496)-(BO502)-BP503),MAX(0,BD503-Parametri_v3!$C$31))),0)</f>
        <v>0</v>
      </c>
      <c r="AZ503" s="15" t="n">
        <f aca="false">0</f>
        <v>0</v>
      </c>
      <c r="BA503" s="15" t="n">
        <f aca="false">0</f>
        <v>0</v>
      </c>
      <c r="BB503" s="15" t="n">
        <f aca="false">0</f>
        <v>0</v>
      </c>
      <c r="BC503" s="15" t="n">
        <f aca="false">0</f>
        <v>0</v>
      </c>
      <c r="BD503" s="15" t="n">
        <f aca="false">(BH502)+AC503-AF503-AI503-AS503-K503*(1+Parametri_v3!$C$26)-AL503-AQ503-O503+AW503+AX503+AZ503+BA503-BB503</f>
        <v>-4211.42674746727</v>
      </c>
      <c r="BE503" s="15" t="n">
        <f aca="false">0</f>
        <v>0</v>
      </c>
      <c r="BF503" s="15" t="n">
        <f aca="false">0</f>
        <v>0</v>
      </c>
      <c r="BG503" s="15" t="n">
        <f aca="false">0</f>
        <v>0</v>
      </c>
      <c r="BH503" s="15" t="n">
        <f aca="false">BD503+BE503-BF503-AY503</f>
        <v>-4211.42674746727</v>
      </c>
      <c r="BI503" s="15" t="n">
        <f aca="false">MAX(0,Parametri_v3!$C$31-BH503)</f>
        <v>14211.4267474673</v>
      </c>
      <c r="BJ503" s="15" t="n">
        <f aca="false">(BJ502)+K503</f>
        <v>5916.66666666667</v>
      </c>
      <c r="BK503" s="15" t="n">
        <f aca="false">(BK502)+L503</f>
        <v>1449.07407407407</v>
      </c>
      <c r="BL503" s="15" t="n">
        <f aca="false">BJ503-BK503</f>
        <v>4467.59259259259</v>
      </c>
      <c r="BM503" s="15" t="n">
        <f aca="false">(BM502)+Y503</f>
        <v>60112.8525061088</v>
      </c>
      <c r="BN503" s="15" t="n">
        <f aca="false">(BN502)+AW503+AX503+AZ503</f>
        <v>20000</v>
      </c>
      <c r="BO503" s="15" t="n">
        <f aca="false">(BO502)+AY503</f>
        <v>0</v>
      </c>
      <c r="BP503" s="15" t="n">
        <f aca="false">MIN(Parametri_v3!$C$36*Parametri_v3!$C$35,(BP502)+IF(7=1,MAX(0,SUM(Y485:Y496))*Parametri_v3!$C$34,0))</f>
        <v>1752.40631140351</v>
      </c>
      <c r="BQ503" s="15" t="n">
        <f aca="false">BN503+BM503-BO503</f>
        <v>80112.8525061088</v>
      </c>
      <c r="BR503" s="15" t="n">
        <f aca="false">BH503+AD503+BL503+MAX(0,-AM503)+MAX(0,-AR503)</f>
        <v>124627.433450759</v>
      </c>
      <c r="BS503" s="15" t="n">
        <f aca="false">AJ503+AV503+MAX(0,AM503)+MAX(0,AR503)+BC503+BG503+BQ503+AG503</f>
        <v>124627.433450759</v>
      </c>
      <c r="BT503" s="15" t="n">
        <f aca="false">BR503-BS503</f>
        <v>0</v>
      </c>
      <c r="BU503" s="15" t="n">
        <f aca="false">BH503-(BD503+BE503-BF503-AY503)</f>
        <v>0</v>
      </c>
      <c r="BV503" s="15" t="n">
        <f aca="false">IF(BH502&lt;Parametri_v3!$C$31,0,BV502+1)</f>
        <v>0</v>
      </c>
    </row>
    <row r="504" customFormat="false" ht="18" hidden="false" customHeight="true" outlineLevel="0" collapsed="false">
      <c r="A504" s="68" t="n">
        <f aca="false">9</f>
        <v>9</v>
      </c>
      <c r="B504" s="68" t="n">
        <f aca="false">20</f>
        <v>20</v>
      </c>
      <c r="C504" s="18" t="n">
        <f aca="false">Motore_Operativo!C504</f>
        <v>46966</v>
      </c>
      <c r="D504" s="68" t="n">
        <f aca="false">Motore_Operativo!D504</f>
        <v>2028</v>
      </c>
      <c r="E504" s="68" t="n">
        <f aca="false">Motore_Operativo!E504</f>
        <v>8</v>
      </c>
      <c r="F504" s="15" t="n">
        <f aca="false">Motore_Operativo!AM504</f>
        <v>33981.220657277</v>
      </c>
      <c r="G504" s="15" t="n">
        <f aca="false">Motore_Operativo!BH504</f>
        <v>3398.1220657277</v>
      </c>
      <c r="H504" s="15" t="n">
        <f aca="false">Motore_Operativo!AM504</f>
        <v>33981.220657277</v>
      </c>
      <c r="I504" s="15" t="n">
        <f aca="false">Motore_Operativo!CB504</f>
        <v>28885.3286384976</v>
      </c>
      <c r="J504" s="15" t="n">
        <f aca="false">Motore_Operativo!CD504</f>
        <v>5095.89201877934</v>
      </c>
      <c r="K504" s="15" t="n">
        <f aca="false">Motore_Operativo!CF504</f>
        <v>416.666666666667</v>
      </c>
      <c r="L504" s="15" t="n">
        <f aca="false">SUM(INDEX($K$485:$K$544,MAX(1,20-Parametri_v3!$C$59+1)):K504)/Parametri_v3!$C$59</f>
        <v>175.925925925926</v>
      </c>
      <c r="M504" s="15" t="n">
        <f aca="false">J504-L504</f>
        <v>4919.96609285342</v>
      </c>
      <c r="N504" s="15" t="n">
        <f aca="false">0</f>
        <v>0</v>
      </c>
      <c r="O504" s="15" t="n">
        <f aca="false">0</f>
        <v>0</v>
      </c>
      <c r="P504" s="15" t="n">
        <f aca="false">M504+N504-O504</f>
        <v>4919.96609285342</v>
      </c>
      <c r="Q504" s="15" t="n">
        <f aca="false">SUM(P497:P504)+Parametri_v3!$C$56*8/12</f>
        <v>39683.8028169014</v>
      </c>
      <c r="R504" s="15" t="n">
        <f aca="false">Z496</f>
        <v>0</v>
      </c>
      <c r="S504" s="15" t="n">
        <f aca="false">AA496</f>
        <v>0</v>
      </c>
      <c r="T504" s="15" t="n">
        <f aca="false">MIN(R504,MAX(0,Q504))</f>
        <v>0</v>
      </c>
      <c r="U504" s="15" t="n">
        <f aca="false">MIN(S504,MAX(0,Q504-T504)*Parametri_v3!$C$42)</f>
        <v>0</v>
      </c>
      <c r="V504" s="15" t="n">
        <f aca="false">MAX(0,Q504-T504-U504)*Ipotesi!$C$92</f>
        <v>9524.11267605633</v>
      </c>
      <c r="W504" s="15" t="n">
        <f aca="false">MAX(0,SUM(M497:M504)+Parametri_v3!$C$57*8/12)*Ipotesi!$C$93</f>
        <v>1547.66830985915</v>
      </c>
      <c r="X504" s="15" t="n">
        <f aca="false">V504+W504-(V503+W503)</f>
        <v>1372.6705399061</v>
      </c>
      <c r="Y504" s="15" t="n">
        <f aca="false">P504-X504</f>
        <v>3547.29555294731</v>
      </c>
      <c r="Z504" s="15" t="n">
        <f aca="false">R504-T504+IF(AND(Parametri_v3!$C$40=1,D504-YEAR(Parametri_v3!$C$50)&lt;Parametri_v3!$C$41),MAX(0,-Q504),0)</f>
        <v>0</v>
      </c>
      <c r="AA504" s="15" t="n">
        <f aca="false">S504-U504+IF(AND(Parametri_v3!$C$40=1,D504-YEAR(Parametri_v3!$C$50)&lt;Parametri_v3!$C$41),0,MAX(0,-Q504))</f>
        <v>0</v>
      </c>
      <c r="AB504" s="15" t="n">
        <f aca="false">F504*(1+Parametri_v3!$C$26)</f>
        <v>41457.0892018779</v>
      </c>
      <c r="AC504" s="15" t="n">
        <f aca="false">(IF(20-(INT((Motore_Operativo!L504)/30))&lt;1,0,INDEX(Motore_Advisory!$AB$485:$AB$544,MAX(1,20-(INT((Motore_Operativo!L504)/30)))))*(1-(MOD((Motore_Operativo!L504),30)/30))+IF(20-(INT((Motore_Operativo!L504)/30))-1&lt;1,0,INDEX(Motore_Advisory!$AB$485:$AB$544,MAX(1,20-(INT((Motore_Operativo!L504)/30))-1)))*(MOD((Motore_Operativo!L504),30)/30))</f>
        <v>41457.0892018779</v>
      </c>
      <c r="AD504" s="15" t="n">
        <f aca="false">(AD503)+AB504-AC504</f>
        <v>124371.267605634</v>
      </c>
      <c r="AE504" s="15" t="n">
        <f aca="false">Motore_Operativo!BH504*(1+Parametri_v3!$C$26)</f>
        <v>4145.70892018779</v>
      </c>
      <c r="AF504" s="15" t="n">
        <f aca="false">(IF(20-(INT((Parametri_v3!$C$29)/30))&lt;1,0,INDEX(Motore_Operativo!$BH$485:$BH$544,MAX(1,20-(INT((Parametri_v3!$C$29)/30)))))*(1-(MOD((Parametri_v3!$C$29),30)/30))+IF(20-(INT((Parametri_v3!$C$29)/30))-1&lt;1,0,INDEX(Motore_Operativo!$BH$485:$BH$544,MAX(1,20-(INT((Parametri_v3!$C$29)/30))-1)))*(MOD((Parametri_v3!$C$29),30)/30))*(1+Parametri_v3!$C$26)</f>
        <v>4145.70892018779</v>
      </c>
      <c r="AG504" s="15" t="n">
        <f aca="false">(AG503)+AE504-AF504</f>
        <v>4145.70892018779</v>
      </c>
      <c r="AH504" s="15" t="n">
        <f aca="false">(Motore_Operativo!CK504)*(1+Parametri_v3!$C$28*Parametri_v3!$C$26)</f>
        <v>11198.1149295775</v>
      </c>
      <c r="AI504" s="15" t="n">
        <f aca="false">(IF(20-(INT((Ipotesi!$C$91)/30))&lt;1,0,INDEX(Motore_Advisory!$AH$485:$AH$544,MAX(1,20-(INT((Ipotesi!$C$91)/30)))))*(1-(MOD((Ipotesi!$C$91),30)/30))+IF(20-(INT((Ipotesi!$C$91)/30))-1&lt;1,0,INDEX(Motore_Advisory!$AH$485:$AH$544,MAX(1,20-(INT((Ipotesi!$C$91)/30))-1)))*(MOD((Ipotesi!$C$91),30)/30))</f>
        <v>11198.1149295775</v>
      </c>
      <c r="AJ504" s="15" t="n">
        <f aca="false">(AJ503)+AH504-AI504</f>
        <v>22396.2298591549</v>
      </c>
      <c r="AK504" s="15" t="n">
        <f aca="false">(F504- Motore_Operativo!BH504-(Motore_Operativo!CK504)*Parametri_v3!$C$28-Motore_Operativo!CF504)*Parametri_v3!$C$26</f>
        <v>4960.70666666667</v>
      </c>
      <c r="AL504" s="15" t="n">
        <f aca="false">MAX(0,(AM503))</f>
        <v>4960.70666666667</v>
      </c>
      <c r="AM504" s="15" t="n">
        <f aca="false">(AM503)+AK504-AL504</f>
        <v>4960.70666666667</v>
      </c>
      <c r="AN504" s="15" t="n">
        <f aca="false">SUM(X485:X496)</f>
        <v>13562.3123684211</v>
      </c>
      <c r="AO504" s="15" t="n">
        <f aca="false">SUM(AP485:AP496)</f>
        <v>0</v>
      </c>
      <c r="AP504" s="15" t="n">
        <f aca="false">MAX(0,AN504)*IF(8=Parametri_v3!$C$43,Parametri_v3!$C$45,IF(8=Parametri_v3!$C$44,1-Parametri_v3!$C$45,0))</f>
        <v>0</v>
      </c>
      <c r="AQ504" s="15" t="n">
        <f aca="false">MAX(0,AP504+IF(8=Parametri_v3!$C$43,MAX(0,AN504-AO504),0)-MAX(0,-(AR503)))</f>
        <v>0</v>
      </c>
      <c r="AR504" s="15" t="n">
        <f aca="false">(AR503)+X504-AQ504</f>
        <v>5646.85603854707</v>
      </c>
      <c r="AS504" s="15" t="n">
        <f aca="false">Motore_Operativo!AC504-AT504+AU504</f>
        <v>15166.75</v>
      </c>
      <c r="AT504" s="15" t="n">
        <f aca="false">Motore_Operativo!CI504</f>
        <v>798.25</v>
      </c>
      <c r="AU504" s="15" t="n">
        <f aca="false">MIN(MAX(0,(AV503)+AT504),Parametri_v3!$C$61/12)</f>
        <v>0</v>
      </c>
      <c r="AV504" s="15" t="n">
        <f aca="false">(AV503)+AT504-AU504</f>
        <v>9536</v>
      </c>
      <c r="AW504" s="15" t="n">
        <f aca="false">IF(AND(Motore_Operativo!C504=Finanziamenti!$D$7,Finanziamenti!$F$7=1),Finanziamenti!$C$7,0)</f>
        <v>0</v>
      </c>
      <c r="AX504" s="15" t="n">
        <f aca="false">0</f>
        <v>0</v>
      </c>
      <c r="AY504" s="15" t="n">
        <f aca="false">IF(8=Parametri_v3!$C$33,IF(BV504&lt;MIN(12,$B504-1),0,MIN(MAX(0,SUM(Y485:Y496))*Ipotesi!$C$94,MAX(0,(BM496)-(BO503)-BP504),MAX(0,BD504-Parametri_v3!$C$31))),0)</f>
        <v>0</v>
      </c>
      <c r="AZ504" s="15" t="n">
        <f aca="false">0</f>
        <v>0</v>
      </c>
      <c r="BA504" s="15" t="n">
        <f aca="false">0</f>
        <v>0</v>
      </c>
      <c r="BB504" s="15" t="n">
        <f aca="false">0</f>
        <v>0</v>
      </c>
      <c r="BC504" s="15" t="n">
        <f aca="false">0</f>
        <v>0</v>
      </c>
      <c r="BD504" s="15" t="n">
        <f aca="false">(BH503)+AC504-AF504-AI504-AS504-K504*(1+Parametri_v3!$C$26)-AL504-AQ504-O504+AW504+AX504+AZ504+BA504-BB504</f>
        <v>1266.0486046454</v>
      </c>
      <c r="BE504" s="15" t="n">
        <f aca="false">0</f>
        <v>0</v>
      </c>
      <c r="BF504" s="15" t="n">
        <f aca="false">0</f>
        <v>0</v>
      </c>
      <c r="BG504" s="15" t="n">
        <f aca="false">0</f>
        <v>0</v>
      </c>
      <c r="BH504" s="15" t="n">
        <f aca="false">BD504+BE504-BF504-AY504</f>
        <v>1266.0486046454</v>
      </c>
      <c r="BI504" s="15" t="n">
        <f aca="false">MAX(0,Parametri_v3!$C$31-BH504)</f>
        <v>8733.9513953546</v>
      </c>
      <c r="BJ504" s="15" t="n">
        <f aca="false">(BJ503)+K504</f>
        <v>6333.33333333334</v>
      </c>
      <c r="BK504" s="15" t="n">
        <f aca="false">(BK503)+L504</f>
        <v>1625</v>
      </c>
      <c r="BL504" s="15" t="n">
        <f aca="false">BJ504-BK504</f>
        <v>4708.33333333334</v>
      </c>
      <c r="BM504" s="15" t="n">
        <f aca="false">(BM503)+Y504</f>
        <v>63660.1480590561</v>
      </c>
      <c r="BN504" s="15" t="n">
        <f aca="false">(BN503)+AW504+AX504+AZ504</f>
        <v>20000</v>
      </c>
      <c r="BO504" s="15" t="n">
        <f aca="false">(BO503)+AY504</f>
        <v>0</v>
      </c>
      <c r="BP504" s="15" t="n">
        <f aca="false">MIN(Parametri_v3!$C$36*Parametri_v3!$C$35,(BP503)+IF(8=1,MAX(0,SUM(Y485:Y496))*Parametri_v3!$C$34,0))</f>
        <v>1752.40631140351</v>
      </c>
      <c r="BQ504" s="15" t="n">
        <f aca="false">BN504+BM504-BO504</f>
        <v>83660.1480590561</v>
      </c>
      <c r="BR504" s="15" t="n">
        <f aca="false">BH504+AD504+BL504+MAX(0,-AM504)+MAX(0,-AR504)</f>
        <v>130345.649543613</v>
      </c>
      <c r="BS504" s="15" t="n">
        <f aca="false">AJ504+AV504+MAX(0,AM504)+MAX(0,AR504)+BC504+BG504+BQ504+AG504</f>
        <v>130345.649543613</v>
      </c>
      <c r="BT504" s="15" t="n">
        <f aca="false">BR504-BS504</f>
        <v>0</v>
      </c>
      <c r="BU504" s="15" t="n">
        <f aca="false">BH504-(BD504+BE504-BF504-AY504)</f>
        <v>0</v>
      </c>
      <c r="BV504" s="15" t="n">
        <f aca="false">IF(BH503&lt;Parametri_v3!$C$31,0,BV503+1)</f>
        <v>0</v>
      </c>
    </row>
    <row r="505" customFormat="false" ht="18" hidden="false" customHeight="true" outlineLevel="0" collapsed="false">
      <c r="A505" s="68" t="n">
        <f aca="false">9</f>
        <v>9</v>
      </c>
      <c r="B505" s="68" t="n">
        <f aca="false">21</f>
        <v>21</v>
      </c>
      <c r="C505" s="18" t="n">
        <f aca="false">Motore_Operativo!C505</f>
        <v>46997</v>
      </c>
      <c r="D505" s="68" t="n">
        <f aca="false">Motore_Operativo!D505</f>
        <v>2028</v>
      </c>
      <c r="E505" s="68" t="n">
        <f aca="false">Motore_Operativo!E505</f>
        <v>9</v>
      </c>
      <c r="F505" s="15" t="n">
        <f aca="false">Motore_Operativo!AM505</f>
        <v>33981.220657277</v>
      </c>
      <c r="G505" s="15" t="n">
        <f aca="false">Motore_Operativo!BH505</f>
        <v>3398.1220657277</v>
      </c>
      <c r="H505" s="15" t="n">
        <f aca="false">Motore_Operativo!AM505</f>
        <v>33981.220657277</v>
      </c>
      <c r="I505" s="15" t="n">
        <f aca="false">Motore_Operativo!CB505</f>
        <v>28885.3286384976</v>
      </c>
      <c r="J505" s="15" t="n">
        <f aca="false">Motore_Operativo!CD505</f>
        <v>5095.89201877934</v>
      </c>
      <c r="K505" s="15" t="n">
        <f aca="false">Motore_Operativo!CF505</f>
        <v>416.666666666667</v>
      </c>
      <c r="L505" s="15" t="n">
        <f aca="false">SUM(INDEX($K$485:$K$544,MAX(1,21-Parametri_v3!$C$59+1)):K505)/Parametri_v3!$C$59</f>
        <v>187.5</v>
      </c>
      <c r="M505" s="15" t="n">
        <f aca="false">J505-L505</f>
        <v>4908.39201877934</v>
      </c>
      <c r="N505" s="15" t="n">
        <f aca="false">0</f>
        <v>0</v>
      </c>
      <c r="O505" s="15" t="n">
        <f aca="false">0</f>
        <v>0</v>
      </c>
      <c r="P505" s="15" t="n">
        <f aca="false">M505+N505-O505</f>
        <v>4908.39201877934</v>
      </c>
      <c r="Q505" s="15" t="n">
        <f aca="false">SUM(P497:P505)+Parametri_v3!$C$56*9/12</f>
        <v>44592.1948356807</v>
      </c>
      <c r="R505" s="15" t="n">
        <f aca="false">Z496</f>
        <v>0</v>
      </c>
      <c r="S505" s="15" t="n">
        <f aca="false">AA496</f>
        <v>0</v>
      </c>
      <c r="T505" s="15" t="n">
        <f aca="false">MIN(R505,MAX(0,Q505))</f>
        <v>0</v>
      </c>
      <c r="U505" s="15" t="n">
        <f aca="false">MIN(S505,MAX(0,Q505-T505)*Parametri_v3!$C$42)</f>
        <v>0</v>
      </c>
      <c r="V505" s="15" t="n">
        <f aca="false">MAX(0,Q505-T505-U505)*Ipotesi!$C$92</f>
        <v>10702.1267605634</v>
      </c>
      <c r="W505" s="15" t="n">
        <f aca="false">MAX(0,SUM(M497:M505)+Parametri_v3!$C$57*9/12)*Ipotesi!$C$93</f>
        <v>1739.09559859155</v>
      </c>
      <c r="X505" s="15" t="n">
        <f aca="false">V505+W505-(V504+W504)</f>
        <v>1369.44137323944</v>
      </c>
      <c r="Y505" s="15" t="n">
        <f aca="false">P505-X505</f>
        <v>3538.95064553991</v>
      </c>
      <c r="Z505" s="15" t="n">
        <f aca="false">R505-T505+IF(AND(Parametri_v3!$C$40=1,D505-YEAR(Parametri_v3!$C$50)&lt;Parametri_v3!$C$41),MAX(0,-Q505),0)</f>
        <v>0</v>
      </c>
      <c r="AA505" s="15" t="n">
        <f aca="false">S505-U505+IF(AND(Parametri_v3!$C$40=1,D505-YEAR(Parametri_v3!$C$50)&lt;Parametri_v3!$C$41),0,MAX(0,-Q505))</f>
        <v>0</v>
      </c>
      <c r="AB505" s="15" t="n">
        <f aca="false">F505*(1+Parametri_v3!$C$26)</f>
        <v>41457.0892018779</v>
      </c>
      <c r="AC505" s="15" t="n">
        <f aca="false">(IF(21-(INT((Motore_Operativo!L505)/30))&lt;1,0,INDEX(Motore_Advisory!$AB$485:$AB$544,MAX(1,21-(INT((Motore_Operativo!L505)/30)))))*(1-(MOD((Motore_Operativo!L505),30)/30))+IF(21-(INT((Motore_Operativo!L505)/30))-1&lt;1,0,INDEX(Motore_Advisory!$AB$485:$AB$544,MAX(1,21-(INT((Motore_Operativo!L505)/30))-1)))*(MOD((Motore_Operativo!L505),30)/30))</f>
        <v>41457.0892018779</v>
      </c>
      <c r="AD505" s="15" t="n">
        <f aca="false">(AD504)+AB505-AC505</f>
        <v>124371.267605634</v>
      </c>
      <c r="AE505" s="15" t="n">
        <f aca="false">Motore_Operativo!BH505*(1+Parametri_v3!$C$26)</f>
        <v>4145.70892018779</v>
      </c>
      <c r="AF505" s="15" t="n">
        <f aca="false">(IF(21-(INT((Parametri_v3!$C$29)/30))&lt;1,0,INDEX(Motore_Operativo!$BH$485:$BH$544,MAX(1,21-(INT((Parametri_v3!$C$29)/30)))))*(1-(MOD((Parametri_v3!$C$29),30)/30))+IF(21-(INT((Parametri_v3!$C$29)/30))-1&lt;1,0,INDEX(Motore_Operativo!$BH$485:$BH$544,MAX(1,21-(INT((Parametri_v3!$C$29)/30))-1)))*(MOD((Parametri_v3!$C$29),30)/30))*(1+Parametri_v3!$C$26)</f>
        <v>4145.70892018779</v>
      </c>
      <c r="AG505" s="15" t="n">
        <f aca="false">(AG504)+AE505-AF505</f>
        <v>4145.70892018779</v>
      </c>
      <c r="AH505" s="15" t="n">
        <f aca="false">(Motore_Operativo!CK505)*(1+Parametri_v3!$C$28*Parametri_v3!$C$26)</f>
        <v>11198.1149295775</v>
      </c>
      <c r="AI505" s="15" t="n">
        <f aca="false">(IF(21-(INT((Ipotesi!$C$91)/30))&lt;1,0,INDEX(Motore_Advisory!$AH$485:$AH$544,MAX(1,21-(INT((Ipotesi!$C$91)/30)))))*(1-(MOD((Ipotesi!$C$91),30)/30))+IF(21-(INT((Ipotesi!$C$91)/30))-1&lt;1,0,INDEX(Motore_Advisory!$AH$485:$AH$544,MAX(1,21-(INT((Ipotesi!$C$91)/30))-1)))*(MOD((Ipotesi!$C$91),30)/30))</f>
        <v>11198.1149295775</v>
      </c>
      <c r="AJ505" s="15" t="n">
        <f aca="false">(AJ504)+AH505-AI505</f>
        <v>22396.2298591549</v>
      </c>
      <c r="AK505" s="15" t="n">
        <f aca="false">(F505- Motore_Operativo!BH505-(Motore_Operativo!CK505)*Parametri_v3!$C$28-Motore_Operativo!CF505)*Parametri_v3!$C$26</f>
        <v>4960.70666666667</v>
      </c>
      <c r="AL505" s="15" t="n">
        <f aca="false">MAX(0,(AM504))</f>
        <v>4960.70666666667</v>
      </c>
      <c r="AM505" s="15" t="n">
        <f aca="false">(AM504)+AK505-AL505</f>
        <v>4960.70666666667</v>
      </c>
      <c r="AN505" s="15" t="n">
        <f aca="false">SUM(X485:X496)</f>
        <v>13562.3123684211</v>
      </c>
      <c r="AO505" s="15" t="n">
        <f aca="false">SUM(AP485:AP496)</f>
        <v>0</v>
      </c>
      <c r="AP505" s="15" t="n">
        <f aca="false">MAX(0,AN505)*IF(9=Parametri_v3!$C$43,Parametri_v3!$C$45,IF(9=Parametri_v3!$C$44,1-Parametri_v3!$C$45,0))</f>
        <v>0</v>
      </c>
      <c r="AQ505" s="15" t="n">
        <f aca="false">MAX(0,AP505+IF(9=Parametri_v3!$C$43,MAX(0,AN505-AO505),0)-MAX(0,-(AR504)))</f>
        <v>0</v>
      </c>
      <c r="AR505" s="15" t="n">
        <f aca="false">(AR504)+X505-AQ505</f>
        <v>7016.2974117865</v>
      </c>
      <c r="AS505" s="15" t="n">
        <f aca="false">Motore_Operativo!AC505-AT505+AU505</f>
        <v>15166.75</v>
      </c>
      <c r="AT505" s="15" t="n">
        <f aca="false">Motore_Operativo!CI505</f>
        <v>798.25</v>
      </c>
      <c r="AU505" s="15" t="n">
        <f aca="false">MIN(MAX(0,(AV504)+AT505),Parametri_v3!$C$61/12)</f>
        <v>0</v>
      </c>
      <c r="AV505" s="15" t="n">
        <f aca="false">(AV504)+AT505-AU505</f>
        <v>10334.25</v>
      </c>
      <c r="AW505" s="15" t="n">
        <f aca="false">IF(AND(Motore_Operativo!C505=Finanziamenti!$D$7,Finanziamenti!$F$7=1),Finanziamenti!$C$7,0)</f>
        <v>0</v>
      </c>
      <c r="AX505" s="15" t="n">
        <f aca="false">0</f>
        <v>0</v>
      </c>
      <c r="AY505" s="15" t="n">
        <f aca="false">IF(9=Parametri_v3!$C$33,IF(BV505&lt;MIN(12,$B505-1),0,MIN(MAX(0,SUM(Y485:Y496))*Ipotesi!$C$94,MAX(0,(BM496)-(BO504)-BP505),MAX(0,BD505-Parametri_v3!$C$31))),0)</f>
        <v>0</v>
      </c>
      <c r="AZ505" s="15" t="n">
        <f aca="false">0</f>
        <v>0</v>
      </c>
      <c r="BA505" s="15" t="n">
        <f aca="false">0</f>
        <v>0</v>
      </c>
      <c r="BB505" s="15" t="n">
        <f aca="false">0</f>
        <v>0</v>
      </c>
      <c r="BC505" s="15" t="n">
        <f aca="false">0</f>
        <v>0</v>
      </c>
      <c r="BD505" s="15" t="n">
        <f aca="false">(BH504)+AC505-AF505-AI505-AS505-K505*(1+Parametri_v3!$C$26)-AL505-AQ505-O505+AW505+AX505+AZ505+BA505-BB505</f>
        <v>6743.52395675808</v>
      </c>
      <c r="BE505" s="15" t="n">
        <f aca="false">0</f>
        <v>0</v>
      </c>
      <c r="BF505" s="15" t="n">
        <f aca="false">0</f>
        <v>0</v>
      </c>
      <c r="BG505" s="15" t="n">
        <f aca="false">0</f>
        <v>0</v>
      </c>
      <c r="BH505" s="15" t="n">
        <f aca="false">BD505+BE505-BF505-AY505</f>
        <v>6743.52395675808</v>
      </c>
      <c r="BI505" s="15" t="n">
        <f aca="false">MAX(0,Parametri_v3!$C$31-BH505)</f>
        <v>3256.47604324192</v>
      </c>
      <c r="BJ505" s="15" t="n">
        <f aca="false">(BJ504)+K505</f>
        <v>6750</v>
      </c>
      <c r="BK505" s="15" t="n">
        <f aca="false">(BK504)+L505</f>
        <v>1812.5</v>
      </c>
      <c r="BL505" s="15" t="n">
        <f aca="false">BJ505-BK505</f>
        <v>4937.5</v>
      </c>
      <c r="BM505" s="15" t="n">
        <f aca="false">(BM504)+Y505</f>
        <v>67199.098704596</v>
      </c>
      <c r="BN505" s="15" t="n">
        <f aca="false">(BN504)+AW505+AX505+AZ505</f>
        <v>20000</v>
      </c>
      <c r="BO505" s="15" t="n">
        <f aca="false">(BO504)+AY505</f>
        <v>0</v>
      </c>
      <c r="BP505" s="15" t="n">
        <f aca="false">MIN(Parametri_v3!$C$36*Parametri_v3!$C$35,(BP504)+IF(9=1,MAX(0,SUM(Y485:Y496))*Parametri_v3!$C$34,0))</f>
        <v>1752.40631140351</v>
      </c>
      <c r="BQ505" s="15" t="n">
        <f aca="false">BN505+BM505-BO505</f>
        <v>87199.098704596</v>
      </c>
      <c r="BR505" s="15" t="n">
        <f aca="false">BH505+AD505+BL505+MAX(0,-AM505)+MAX(0,-AR505)</f>
        <v>136052.291562392</v>
      </c>
      <c r="BS505" s="15" t="n">
        <f aca="false">AJ505+AV505+MAX(0,AM505)+MAX(0,AR505)+BC505+BG505+BQ505+AG505</f>
        <v>136052.291562392</v>
      </c>
      <c r="BT505" s="15" t="n">
        <f aca="false">BR505-BS505</f>
        <v>0</v>
      </c>
      <c r="BU505" s="15" t="n">
        <f aca="false">BH505-(BD505+BE505-BF505-AY505)</f>
        <v>0</v>
      </c>
      <c r="BV505" s="15" t="n">
        <f aca="false">IF(BH504&lt;Parametri_v3!$C$31,0,BV504+1)</f>
        <v>0</v>
      </c>
    </row>
    <row r="506" customFormat="false" ht="18" hidden="false" customHeight="true" outlineLevel="0" collapsed="false">
      <c r="A506" s="68" t="n">
        <f aca="false">9</f>
        <v>9</v>
      </c>
      <c r="B506" s="68" t="n">
        <f aca="false">22</f>
        <v>22</v>
      </c>
      <c r="C506" s="18" t="n">
        <f aca="false">Motore_Operativo!C506</f>
        <v>47027</v>
      </c>
      <c r="D506" s="68" t="n">
        <f aca="false">Motore_Operativo!D506</f>
        <v>2028</v>
      </c>
      <c r="E506" s="68" t="n">
        <f aca="false">Motore_Operativo!E506</f>
        <v>10</v>
      </c>
      <c r="F506" s="15" t="n">
        <f aca="false">Motore_Operativo!AM506</f>
        <v>33981.220657277</v>
      </c>
      <c r="G506" s="15" t="n">
        <f aca="false">Motore_Operativo!BH506</f>
        <v>3398.1220657277</v>
      </c>
      <c r="H506" s="15" t="n">
        <f aca="false">Motore_Operativo!AM506</f>
        <v>33981.220657277</v>
      </c>
      <c r="I506" s="15" t="n">
        <f aca="false">Motore_Operativo!CB506</f>
        <v>28885.3286384976</v>
      </c>
      <c r="J506" s="15" t="n">
        <f aca="false">Motore_Operativo!CD506</f>
        <v>5095.89201877934</v>
      </c>
      <c r="K506" s="15" t="n">
        <f aca="false">Motore_Operativo!CF506</f>
        <v>416.666666666667</v>
      </c>
      <c r="L506" s="15" t="n">
        <f aca="false">SUM(INDEX($K$485:$K$544,MAX(1,22-Parametri_v3!$C$59+1)):K506)/Parametri_v3!$C$59</f>
        <v>199.074074074074</v>
      </c>
      <c r="M506" s="15" t="n">
        <f aca="false">J506-L506</f>
        <v>4896.81794470527</v>
      </c>
      <c r="N506" s="15" t="n">
        <f aca="false">0</f>
        <v>0</v>
      </c>
      <c r="O506" s="15" t="n">
        <f aca="false">0</f>
        <v>0</v>
      </c>
      <c r="P506" s="15" t="n">
        <f aca="false">M506+N506-O506</f>
        <v>4896.81794470527</v>
      </c>
      <c r="Q506" s="15" t="n">
        <f aca="false">SUM(P497:P506)+Parametri_v3!$C$56*10/12</f>
        <v>49489.012780386</v>
      </c>
      <c r="R506" s="15" t="n">
        <f aca="false">Z496</f>
        <v>0</v>
      </c>
      <c r="S506" s="15" t="n">
        <f aca="false">AA496</f>
        <v>0</v>
      </c>
      <c r="T506" s="15" t="n">
        <f aca="false">MIN(R506,MAX(0,Q506))</f>
        <v>0</v>
      </c>
      <c r="U506" s="15" t="n">
        <f aca="false">MIN(S506,MAX(0,Q506-T506)*Parametri_v3!$C$42)</f>
        <v>0</v>
      </c>
      <c r="V506" s="15" t="n">
        <f aca="false">MAX(0,Q506-T506-U506)*Ipotesi!$C$92</f>
        <v>11877.3630672926</v>
      </c>
      <c r="W506" s="15" t="n">
        <f aca="false">MAX(0,SUM(M497:M506)+Parametri_v3!$C$57*10/12)*Ipotesi!$C$93</f>
        <v>1930.07149843505</v>
      </c>
      <c r="X506" s="15" t="n">
        <f aca="false">V506+W506-(V505+W505)</f>
        <v>1366.21220657277</v>
      </c>
      <c r="Y506" s="15" t="n">
        <f aca="false">P506-X506</f>
        <v>3530.6057381325</v>
      </c>
      <c r="Z506" s="15" t="n">
        <f aca="false">R506-T506+IF(AND(Parametri_v3!$C$40=1,D506-YEAR(Parametri_v3!$C$50)&lt;Parametri_v3!$C$41),MAX(0,-Q506),0)</f>
        <v>0</v>
      </c>
      <c r="AA506" s="15" t="n">
        <f aca="false">S506-U506+IF(AND(Parametri_v3!$C$40=1,D506-YEAR(Parametri_v3!$C$50)&lt;Parametri_v3!$C$41),0,MAX(0,-Q506))</f>
        <v>0</v>
      </c>
      <c r="AB506" s="15" t="n">
        <f aca="false">F506*(1+Parametri_v3!$C$26)</f>
        <v>41457.0892018779</v>
      </c>
      <c r="AC506" s="15" t="n">
        <f aca="false">(IF(22-(INT((Motore_Operativo!L506)/30))&lt;1,0,INDEX(Motore_Advisory!$AB$485:$AB$544,MAX(1,22-(INT((Motore_Operativo!L506)/30)))))*(1-(MOD((Motore_Operativo!L506),30)/30))+IF(22-(INT((Motore_Operativo!L506)/30))-1&lt;1,0,INDEX(Motore_Advisory!$AB$485:$AB$544,MAX(1,22-(INT((Motore_Operativo!L506)/30))-1)))*(MOD((Motore_Operativo!L506),30)/30))</f>
        <v>41457.0892018779</v>
      </c>
      <c r="AD506" s="15" t="n">
        <f aca="false">(AD505)+AB506-AC506</f>
        <v>124371.267605634</v>
      </c>
      <c r="AE506" s="15" t="n">
        <f aca="false">Motore_Operativo!BH506*(1+Parametri_v3!$C$26)</f>
        <v>4145.70892018779</v>
      </c>
      <c r="AF506" s="15" t="n">
        <f aca="false">(IF(22-(INT((Parametri_v3!$C$29)/30))&lt;1,0,INDEX(Motore_Operativo!$BH$485:$BH$544,MAX(1,22-(INT((Parametri_v3!$C$29)/30)))))*(1-(MOD((Parametri_v3!$C$29),30)/30))+IF(22-(INT((Parametri_v3!$C$29)/30))-1&lt;1,0,INDEX(Motore_Operativo!$BH$485:$BH$544,MAX(1,22-(INT((Parametri_v3!$C$29)/30))-1)))*(MOD((Parametri_v3!$C$29),30)/30))*(1+Parametri_v3!$C$26)</f>
        <v>4145.70892018779</v>
      </c>
      <c r="AG506" s="15" t="n">
        <f aca="false">(AG505)+AE506-AF506</f>
        <v>4145.70892018779</v>
      </c>
      <c r="AH506" s="15" t="n">
        <f aca="false">(Motore_Operativo!CK506)*(1+Parametri_v3!$C$28*Parametri_v3!$C$26)</f>
        <v>11198.1149295775</v>
      </c>
      <c r="AI506" s="15" t="n">
        <f aca="false">(IF(22-(INT((Ipotesi!$C$91)/30))&lt;1,0,INDEX(Motore_Advisory!$AH$485:$AH$544,MAX(1,22-(INT((Ipotesi!$C$91)/30)))))*(1-(MOD((Ipotesi!$C$91),30)/30))+IF(22-(INT((Ipotesi!$C$91)/30))-1&lt;1,0,INDEX(Motore_Advisory!$AH$485:$AH$544,MAX(1,22-(INT((Ipotesi!$C$91)/30))-1)))*(MOD((Ipotesi!$C$91),30)/30))</f>
        <v>11198.1149295775</v>
      </c>
      <c r="AJ506" s="15" t="n">
        <f aca="false">(AJ505)+AH506-AI506</f>
        <v>22396.2298591549</v>
      </c>
      <c r="AK506" s="15" t="n">
        <f aca="false">(F506- Motore_Operativo!BH506-(Motore_Operativo!CK506)*Parametri_v3!$C$28-Motore_Operativo!CF506)*Parametri_v3!$C$26</f>
        <v>4960.70666666667</v>
      </c>
      <c r="AL506" s="15" t="n">
        <f aca="false">MAX(0,(AM505))</f>
        <v>4960.70666666667</v>
      </c>
      <c r="AM506" s="15" t="n">
        <f aca="false">(AM505)+AK506-AL506</f>
        <v>4960.70666666667</v>
      </c>
      <c r="AN506" s="15" t="n">
        <f aca="false">SUM(X485:X496)</f>
        <v>13562.3123684211</v>
      </c>
      <c r="AO506" s="15" t="n">
        <f aca="false">SUM(AP485:AP496)</f>
        <v>0</v>
      </c>
      <c r="AP506" s="15" t="n">
        <f aca="false">MAX(0,AN506)*IF(10=Parametri_v3!$C$43,Parametri_v3!$C$45,IF(10=Parametri_v3!$C$44,1-Parametri_v3!$C$45,0))</f>
        <v>0</v>
      </c>
      <c r="AQ506" s="15" t="n">
        <f aca="false">MAX(0,AP506+IF(10=Parametri_v3!$C$43,MAX(0,AN506-AO506),0)-MAX(0,-(AR505)))</f>
        <v>0</v>
      </c>
      <c r="AR506" s="15" t="n">
        <f aca="false">(AR505)+X506-AQ506</f>
        <v>8382.50961835927</v>
      </c>
      <c r="AS506" s="15" t="n">
        <f aca="false">Motore_Operativo!AC506-AT506+AU506</f>
        <v>15166.75</v>
      </c>
      <c r="AT506" s="15" t="n">
        <f aca="false">Motore_Operativo!CI506</f>
        <v>798.25</v>
      </c>
      <c r="AU506" s="15" t="n">
        <f aca="false">MIN(MAX(0,(AV505)+AT506),Parametri_v3!$C$61/12)</f>
        <v>0</v>
      </c>
      <c r="AV506" s="15" t="n">
        <f aca="false">(AV505)+AT506-AU506</f>
        <v>11132.5</v>
      </c>
      <c r="AW506" s="15" t="n">
        <f aca="false">IF(AND(Motore_Operativo!C506=Finanziamenti!$D$7,Finanziamenti!$F$7=1),Finanziamenti!$C$7,0)</f>
        <v>0</v>
      </c>
      <c r="AX506" s="15" t="n">
        <f aca="false">0</f>
        <v>0</v>
      </c>
      <c r="AY506" s="15" t="n">
        <f aca="false">IF(10=Parametri_v3!$C$33,IF(BV506&lt;MIN(12,$B506-1),0,MIN(MAX(0,SUM(Y485:Y496))*Ipotesi!$C$94,MAX(0,(BM496)-(BO505)-BP506),MAX(0,BD506-Parametri_v3!$C$31))),0)</f>
        <v>0</v>
      </c>
      <c r="AZ506" s="15" t="n">
        <f aca="false">0</f>
        <v>0</v>
      </c>
      <c r="BA506" s="15" t="n">
        <f aca="false">0</f>
        <v>0</v>
      </c>
      <c r="BB506" s="15" t="n">
        <f aca="false">0</f>
        <v>0</v>
      </c>
      <c r="BC506" s="15" t="n">
        <f aca="false">0</f>
        <v>0</v>
      </c>
      <c r="BD506" s="15" t="n">
        <f aca="false">(BH505)+AC506-AF506-AI506-AS506-K506*(1+Parametri_v3!$C$26)-AL506-AQ506-O506+AW506+AX506+AZ506+BA506-BB506</f>
        <v>12220.9993088708</v>
      </c>
      <c r="BE506" s="15" t="n">
        <f aca="false">0</f>
        <v>0</v>
      </c>
      <c r="BF506" s="15" t="n">
        <f aca="false">0</f>
        <v>0</v>
      </c>
      <c r="BG506" s="15" t="n">
        <f aca="false">0</f>
        <v>0</v>
      </c>
      <c r="BH506" s="15" t="n">
        <f aca="false">BD506+BE506-BF506-AY506</f>
        <v>12220.9993088708</v>
      </c>
      <c r="BI506" s="15" t="n">
        <f aca="false">MAX(0,Parametri_v3!$C$31-BH506)</f>
        <v>0</v>
      </c>
      <c r="BJ506" s="15" t="n">
        <f aca="false">(BJ505)+K506</f>
        <v>7166.66666666667</v>
      </c>
      <c r="BK506" s="15" t="n">
        <f aca="false">(BK505)+L506</f>
        <v>2011.57407407407</v>
      </c>
      <c r="BL506" s="15" t="n">
        <f aca="false">BJ506-BK506</f>
        <v>5155.0925925926</v>
      </c>
      <c r="BM506" s="15" t="n">
        <f aca="false">(BM505)+Y506</f>
        <v>70729.7044427285</v>
      </c>
      <c r="BN506" s="15" t="n">
        <f aca="false">(BN505)+AW506+AX506+AZ506</f>
        <v>20000</v>
      </c>
      <c r="BO506" s="15" t="n">
        <f aca="false">(BO505)+AY506</f>
        <v>0</v>
      </c>
      <c r="BP506" s="15" t="n">
        <f aca="false">MIN(Parametri_v3!$C$36*Parametri_v3!$C$35,(BP505)+IF(10=1,MAX(0,SUM(Y485:Y496))*Parametri_v3!$C$34,0))</f>
        <v>1752.40631140351</v>
      </c>
      <c r="BQ506" s="15" t="n">
        <f aca="false">BN506+BM506-BO506</f>
        <v>90729.7044427285</v>
      </c>
      <c r="BR506" s="15" t="n">
        <f aca="false">BH506+AD506+BL506+MAX(0,-AM506)+MAX(0,-AR506)</f>
        <v>141747.359507097</v>
      </c>
      <c r="BS506" s="15" t="n">
        <f aca="false">AJ506+AV506+MAX(0,AM506)+MAX(0,AR506)+BC506+BG506+BQ506+AG506</f>
        <v>141747.359507097</v>
      </c>
      <c r="BT506" s="15" t="n">
        <f aca="false">BR506-BS506</f>
        <v>0</v>
      </c>
      <c r="BU506" s="15" t="n">
        <f aca="false">BH506-(BD506+BE506-BF506-AY506)</f>
        <v>0</v>
      </c>
      <c r="BV506" s="15" t="n">
        <f aca="false">IF(BH505&lt;Parametri_v3!$C$31,0,BV505+1)</f>
        <v>0</v>
      </c>
    </row>
    <row r="507" customFormat="false" ht="18" hidden="false" customHeight="true" outlineLevel="0" collapsed="false">
      <c r="A507" s="68" t="n">
        <f aca="false">9</f>
        <v>9</v>
      </c>
      <c r="B507" s="68" t="n">
        <f aca="false">23</f>
        <v>23</v>
      </c>
      <c r="C507" s="18" t="n">
        <f aca="false">Motore_Operativo!C507</f>
        <v>47058</v>
      </c>
      <c r="D507" s="68" t="n">
        <f aca="false">Motore_Operativo!D507</f>
        <v>2028</v>
      </c>
      <c r="E507" s="68" t="n">
        <f aca="false">Motore_Operativo!E507</f>
        <v>11</v>
      </c>
      <c r="F507" s="15" t="n">
        <f aca="false">Motore_Operativo!AM507</f>
        <v>33981.220657277</v>
      </c>
      <c r="G507" s="15" t="n">
        <f aca="false">Motore_Operativo!BH507</f>
        <v>3398.1220657277</v>
      </c>
      <c r="H507" s="15" t="n">
        <f aca="false">Motore_Operativo!AM507</f>
        <v>33981.220657277</v>
      </c>
      <c r="I507" s="15" t="n">
        <f aca="false">Motore_Operativo!CB507</f>
        <v>28885.3286384976</v>
      </c>
      <c r="J507" s="15" t="n">
        <f aca="false">Motore_Operativo!CD507</f>
        <v>5095.89201877934</v>
      </c>
      <c r="K507" s="15" t="n">
        <f aca="false">Motore_Operativo!CF507</f>
        <v>416.666666666667</v>
      </c>
      <c r="L507" s="15" t="n">
        <f aca="false">SUM(INDEX($K$485:$K$544,MAX(1,23-Parametri_v3!$C$59+1)):K507)/Parametri_v3!$C$59</f>
        <v>210.648148148148</v>
      </c>
      <c r="M507" s="15" t="n">
        <f aca="false">J507-L507</f>
        <v>4885.24387063119</v>
      </c>
      <c r="N507" s="15" t="n">
        <f aca="false">0</f>
        <v>0</v>
      </c>
      <c r="O507" s="15" t="n">
        <f aca="false">0</f>
        <v>0</v>
      </c>
      <c r="P507" s="15" t="n">
        <f aca="false">M507+N507-O507</f>
        <v>4885.24387063119</v>
      </c>
      <c r="Q507" s="15" t="n">
        <f aca="false">SUM(P497:P507)+Parametri_v3!$C$56*11/12</f>
        <v>54374.2566510172</v>
      </c>
      <c r="R507" s="15" t="n">
        <f aca="false">Z496</f>
        <v>0</v>
      </c>
      <c r="S507" s="15" t="n">
        <f aca="false">AA496</f>
        <v>0</v>
      </c>
      <c r="T507" s="15" t="n">
        <f aca="false">MIN(R507,MAX(0,Q507))</f>
        <v>0</v>
      </c>
      <c r="U507" s="15" t="n">
        <f aca="false">MIN(S507,MAX(0,Q507-T507)*Parametri_v3!$C$42)</f>
        <v>0</v>
      </c>
      <c r="V507" s="15" t="n">
        <f aca="false">MAX(0,Q507-T507-U507)*Ipotesi!$C$92</f>
        <v>13049.8215962441</v>
      </c>
      <c r="W507" s="15" t="n">
        <f aca="false">MAX(0,SUM(M497:M507)+Parametri_v3!$C$57*11/12)*Ipotesi!$C$93</f>
        <v>2120.59600938967</v>
      </c>
      <c r="X507" s="15" t="n">
        <f aca="false">V507+W507-(V506+W506)</f>
        <v>1362.9830399061</v>
      </c>
      <c r="Y507" s="15" t="n">
        <f aca="false">P507-X507</f>
        <v>3522.26083072509</v>
      </c>
      <c r="Z507" s="15" t="n">
        <f aca="false">R507-T507+IF(AND(Parametri_v3!$C$40=1,D507-YEAR(Parametri_v3!$C$50)&lt;Parametri_v3!$C$41),MAX(0,-Q507),0)</f>
        <v>0</v>
      </c>
      <c r="AA507" s="15" t="n">
        <f aca="false">S507-U507+IF(AND(Parametri_v3!$C$40=1,D507-YEAR(Parametri_v3!$C$50)&lt;Parametri_v3!$C$41),0,MAX(0,-Q507))</f>
        <v>0</v>
      </c>
      <c r="AB507" s="15" t="n">
        <f aca="false">F507*(1+Parametri_v3!$C$26)</f>
        <v>41457.0892018779</v>
      </c>
      <c r="AC507" s="15" t="n">
        <f aca="false">(IF(23-(INT((Motore_Operativo!L507)/30))&lt;1,0,INDEX(Motore_Advisory!$AB$485:$AB$544,MAX(1,23-(INT((Motore_Operativo!L507)/30)))))*(1-(MOD((Motore_Operativo!L507),30)/30))+IF(23-(INT((Motore_Operativo!L507)/30))-1&lt;1,0,INDEX(Motore_Advisory!$AB$485:$AB$544,MAX(1,23-(INT((Motore_Operativo!L507)/30))-1)))*(MOD((Motore_Operativo!L507),30)/30))</f>
        <v>41457.0892018779</v>
      </c>
      <c r="AD507" s="15" t="n">
        <f aca="false">(AD506)+AB507-AC507</f>
        <v>124371.267605634</v>
      </c>
      <c r="AE507" s="15" t="n">
        <f aca="false">Motore_Operativo!BH507*(1+Parametri_v3!$C$26)</f>
        <v>4145.70892018779</v>
      </c>
      <c r="AF507" s="15" t="n">
        <f aca="false">(IF(23-(INT((Parametri_v3!$C$29)/30))&lt;1,0,INDEX(Motore_Operativo!$BH$485:$BH$544,MAX(1,23-(INT((Parametri_v3!$C$29)/30)))))*(1-(MOD((Parametri_v3!$C$29),30)/30))+IF(23-(INT((Parametri_v3!$C$29)/30))-1&lt;1,0,INDEX(Motore_Operativo!$BH$485:$BH$544,MAX(1,23-(INT((Parametri_v3!$C$29)/30))-1)))*(MOD((Parametri_v3!$C$29),30)/30))*(1+Parametri_v3!$C$26)</f>
        <v>4145.70892018779</v>
      </c>
      <c r="AG507" s="15" t="n">
        <f aca="false">(AG506)+AE507-AF507</f>
        <v>4145.70892018779</v>
      </c>
      <c r="AH507" s="15" t="n">
        <f aca="false">(Motore_Operativo!CK507)*(1+Parametri_v3!$C$28*Parametri_v3!$C$26)</f>
        <v>11198.1149295775</v>
      </c>
      <c r="AI507" s="15" t="n">
        <f aca="false">(IF(23-(INT((Ipotesi!$C$91)/30))&lt;1,0,INDEX(Motore_Advisory!$AH$485:$AH$544,MAX(1,23-(INT((Ipotesi!$C$91)/30)))))*(1-(MOD((Ipotesi!$C$91),30)/30))+IF(23-(INT((Ipotesi!$C$91)/30))-1&lt;1,0,INDEX(Motore_Advisory!$AH$485:$AH$544,MAX(1,23-(INT((Ipotesi!$C$91)/30))-1)))*(MOD((Ipotesi!$C$91),30)/30))</f>
        <v>11198.1149295775</v>
      </c>
      <c r="AJ507" s="15" t="n">
        <f aca="false">(AJ506)+AH507-AI507</f>
        <v>22396.2298591549</v>
      </c>
      <c r="AK507" s="15" t="n">
        <f aca="false">(F507- Motore_Operativo!BH507-(Motore_Operativo!CK507)*Parametri_v3!$C$28-Motore_Operativo!CF507)*Parametri_v3!$C$26</f>
        <v>4960.70666666667</v>
      </c>
      <c r="AL507" s="15" t="n">
        <f aca="false">MAX(0,(AM506))</f>
        <v>4960.70666666667</v>
      </c>
      <c r="AM507" s="15" t="n">
        <f aca="false">(AM506)+AK507-AL507</f>
        <v>4960.70666666667</v>
      </c>
      <c r="AN507" s="15" t="n">
        <f aca="false">SUM(X485:X496)</f>
        <v>13562.3123684211</v>
      </c>
      <c r="AO507" s="15" t="n">
        <f aca="false">SUM(AP485:AP496)</f>
        <v>0</v>
      </c>
      <c r="AP507" s="15" t="n">
        <f aca="false">MAX(0,AN507)*IF(11=Parametri_v3!$C$43,Parametri_v3!$C$45,IF(11=Parametri_v3!$C$44,1-Parametri_v3!$C$45,0))</f>
        <v>8137.38742105263</v>
      </c>
      <c r="AQ507" s="15" t="n">
        <f aca="false">MAX(0,AP507+IF(11=Parametri_v3!$C$43,MAX(0,AN507-AO507),0)-MAX(0,-(AR506)))</f>
        <v>8137.38742105263</v>
      </c>
      <c r="AR507" s="15" t="n">
        <f aca="false">(AR506)+X507-AQ507</f>
        <v>1608.10523721275</v>
      </c>
      <c r="AS507" s="15" t="n">
        <f aca="false">Motore_Operativo!AC507-AT507+AU507</f>
        <v>15166.75</v>
      </c>
      <c r="AT507" s="15" t="n">
        <f aca="false">Motore_Operativo!CI507</f>
        <v>798.25</v>
      </c>
      <c r="AU507" s="15" t="n">
        <f aca="false">MIN(MAX(0,(AV506)+AT507),Parametri_v3!$C$61/12)</f>
        <v>0</v>
      </c>
      <c r="AV507" s="15" t="n">
        <f aca="false">(AV506)+AT507-AU507</f>
        <v>11930.75</v>
      </c>
      <c r="AW507" s="15" t="n">
        <f aca="false">IF(AND(Motore_Operativo!C507=Finanziamenti!$D$7,Finanziamenti!$F$7=1),Finanziamenti!$C$7,0)</f>
        <v>0</v>
      </c>
      <c r="AX507" s="15" t="n">
        <f aca="false">0</f>
        <v>0</v>
      </c>
      <c r="AY507" s="15" t="n">
        <f aca="false">IF(11=Parametri_v3!$C$33,IF(BV507&lt;MIN(12,$B507-1),0,MIN(MAX(0,SUM(Y485:Y496))*Ipotesi!$C$94,MAX(0,(BM496)-(BO506)-BP507),MAX(0,BD507-Parametri_v3!$C$31))),0)</f>
        <v>0</v>
      </c>
      <c r="AZ507" s="15" t="n">
        <f aca="false">0</f>
        <v>0</v>
      </c>
      <c r="BA507" s="15" t="n">
        <f aca="false">0</f>
        <v>0</v>
      </c>
      <c r="BB507" s="15" t="n">
        <f aca="false">0</f>
        <v>0</v>
      </c>
      <c r="BC507" s="15" t="n">
        <f aca="false">0</f>
        <v>0</v>
      </c>
      <c r="BD507" s="15" t="n">
        <f aca="false">(BH506)+AC507-AF507-AI507-AS507-K507*(1+Parametri_v3!$C$26)-AL507-AQ507-O507+AW507+AX507+AZ507+BA507-BB507</f>
        <v>9561.08723993079</v>
      </c>
      <c r="BE507" s="15" t="n">
        <f aca="false">0</f>
        <v>0</v>
      </c>
      <c r="BF507" s="15" t="n">
        <f aca="false">0</f>
        <v>0</v>
      </c>
      <c r="BG507" s="15" t="n">
        <f aca="false">0</f>
        <v>0</v>
      </c>
      <c r="BH507" s="15" t="n">
        <f aca="false">BD507+BE507-BF507-AY507</f>
        <v>9561.08723993079</v>
      </c>
      <c r="BI507" s="15" t="n">
        <f aca="false">MAX(0,Parametri_v3!$C$31-BH507)</f>
        <v>438.912760069208</v>
      </c>
      <c r="BJ507" s="15" t="n">
        <f aca="false">(BJ506)+K507</f>
        <v>7583.33333333334</v>
      </c>
      <c r="BK507" s="15" t="n">
        <f aca="false">(BK506)+L507</f>
        <v>2222.22222222222</v>
      </c>
      <c r="BL507" s="15" t="n">
        <f aca="false">BJ507-BK507</f>
        <v>5361.11111111111</v>
      </c>
      <c r="BM507" s="15" t="n">
        <f aca="false">(BM506)+Y507</f>
        <v>74251.9652734536</v>
      </c>
      <c r="BN507" s="15" t="n">
        <f aca="false">(BN506)+AW507+AX507+AZ507</f>
        <v>20000</v>
      </c>
      <c r="BO507" s="15" t="n">
        <f aca="false">(BO506)+AY507</f>
        <v>0</v>
      </c>
      <c r="BP507" s="15" t="n">
        <f aca="false">MIN(Parametri_v3!$C$36*Parametri_v3!$C$35,(BP506)+IF(11=1,MAX(0,SUM(Y485:Y496))*Parametri_v3!$C$34,0))</f>
        <v>1752.40631140351</v>
      </c>
      <c r="BQ507" s="15" t="n">
        <f aca="false">BN507+BM507-BO507</f>
        <v>94251.9652734536</v>
      </c>
      <c r="BR507" s="15" t="n">
        <f aca="false">BH507+AD507+BL507+MAX(0,-AM507)+MAX(0,-AR507)</f>
        <v>139293.465956676</v>
      </c>
      <c r="BS507" s="15" t="n">
        <f aca="false">AJ507+AV507+MAX(0,AM507)+MAX(0,AR507)+BC507+BG507+BQ507+AG507</f>
        <v>139293.465956676</v>
      </c>
      <c r="BT507" s="15" t="n">
        <f aca="false">BR507-BS507</f>
        <v>0</v>
      </c>
      <c r="BU507" s="15" t="n">
        <f aca="false">BH507-(BD507+BE507-BF507-AY507)</f>
        <v>0</v>
      </c>
      <c r="BV507" s="15" t="n">
        <f aca="false">IF(BH506&lt;Parametri_v3!$C$31,0,BV506+1)</f>
        <v>1</v>
      </c>
    </row>
    <row r="508" customFormat="false" ht="18" hidden="false" customHeight="true" outlineLevel="0" collapsed="false">
      <c r="A508" s="68" t="n">
        <f aca="false">9</f>
        <v>9</v>
      </c>
      <c r="B508" s="68" t="n">
        <f aca="false">24</f>
        <v>24</v>
      </c>
      <c r="C508" s="18" t="n">
        <f aca="false">Motore_Operativo!C508</f>
        <v>47088</v>
      </c>
      <c r="D508" s="68" t="n">
        <f aca="false">Motore_Operativo!D508</f>
        <v>2028</v>
      </c>
      <c r="E508" s="68" t="n">
        <f aca="false">Motore_Operativo!E508</f>
        <v>12</v>
      </c>
      <c r="F508" s="15" t="n">
        <f aca="false">Motore_Operativo!AM508</f>
        <v>33981.220657277</v>
      </c>
      <c r="G508" s="15" t="n">
        <f aca="false">Motore_Operativo!BH508</f>
        <v>3398.1220657277</v>
      </c>
      <c r="H508" s="15" t="n">
        <f aca="false">Motore_Operativo!AM508</f>
        <v>33981.220657277</v>
      </c>
      <c r="I508" s="15" t="n">
        <f aca="false">Motore_Operativo!CB508</f>
        <v>28885.3286384976</v>
      </c>
      <c r="J508" s="15" t="n">
        <f aca="false">Motore_Operativo!CD508</f>
        <v>5095.89201877934</v>
      </c>
      <c r="K508" s="15" t="n">
        <f aca="false">Motore_Operativo!CF508</f>
        <v>416.666666666667</v>
      </c>
      <c r="L508" s="15" t="n">
        <f aca="false">SUM(INDEX($K$485:$K$544,MAX(1,24-Parametri_v3!$C$59+1)):K508)/Parametri_v3!$C$59</f>
        <v>222.222222222222</v>
      </c>
      <c r="M508" s="15" t="n">
        <f aca="false">J508-L508</f>
        <v>4873.66979655712</v>
      </c>
      <c r="N508" s="15" t="n">
        <f aca="false">0</f>
        <v>0</v>
      </c>
      <c r="O508" s="15" t="n">
        <f aca="false">0</f>
        <v>0</v>
      </c>
      <c r="P508" s="15" t="n">
        <f aca="false">M508+N508-O508</f>
        <v>4873.66979655712</v>
      </c>
      <c r="Q508" s="15" t="n">
        <f aca="false">SUM(P497:P508)+Parametri_v3!$C$56*12/12</f>
        <v>59247.9264475743</v>
      </c>
      <c r="R508" s="15" t="n">
        <f aca="false">Z496</f>
        <v>0</v>
      </c>
      <c r="S508" s="15" t="n">
        <f aca="false">AA496</f>
        <v>0</v>
      </c>
      <c r="T508" s="15" t="n">
        <f aca="false">MIN(R508,MAX(0,Q508))</f>
        <v>0</v>
      </c>
      <c r="U508" s="15" t="n">
        <f aca="false">MIN(S508,MAX(0,Q508-T508)*Parametri_v3!$C$42)</f>
        <v>0</v>
      </c>
      <c r="V508" s="15" t="n">
        <f aca="false">MAX(0,Q508-T508-U508)*Ipotesi!$C$92</f>
        <v>14219.5023474178</v>
      </c>
      <c r="W508" s="15" t="n">
        <f aca="false">MAX(0,SUM(M497:M508)+Parametri_v3!$C$57*12/12)*Ipotesi!$C$93</f>
        <v>2310.6691314554</v>
      </c>
      <c r="X508" s="15" t="n">
        <f aca="false">V508+W508-(V507+W507)</f>
        <v>1359.75387323944</v>
      </c>
      <c r="Y508" s="15" t="n">
        <f aca="false">P508-X508</f>
        <v>3513.91592331768</v>
      </c>
      <c r="Z508" s="15" t="n">
        <f aca="false">R508-T508+IF(AND(Parametri_v3!$C$40=1,D508-YEAR(Parametri_v3!$C$50)&lt;Parametri_v3!$C$41),MAX(0,-Q508),0)</f>
        <v>0</v>
      </c>
      <c r="AA508" s="15" t="n">
        <f aca="false">S508-U508+IF(AND(Parametri_v3!$C$40=1,D508-YEAR(Parametri_v3!$C$50)&lt;Parametri_v3!$C$41),0,MAX(0,-Q508))</f>
        <v>0</v>
      </c>
      <c r="AB508" s="15" t="n">
        <f aca="false">F508*(1+Parametri_v3!$C$26)</f>
        <v>41457.0892018779</v>
      </c>
      <c r="AC508" s="15" t="n">
        <f aca="false">(IF(24-(INT((Motore_Operativo!L508)/30))&lt;1,0,INDEX(Motore_Advisory!$AB$485:$AB$544,MAX(1,24-(INT((Motore_Operativo!L508)/30)))))*(1-(MOD((Motore_Operativo!L508),30)/30))+IF(24-(INT((Motore_Operativo!L508)/30))-1&lt;1,0,INDEX(Motore_Advisory!$AB$485:$AB$544,MAX(1,24-(INT((Motore_Operativo!L508)/30))-1)))*(MOD((Motore_Operativo!L508),30)/30))</f>
        <v>41457.0892018779</v>
      </c>
      <c r="AD508" s="15" t="n">
        <f aca="false">(AD507)+AB508-AC508</f>
        <v>124371.267605634</v>
      </c>
      <c r="AE508" s="15" t="n">
        <f aca="false">Motore_Operativo!BH508*(1+Parametri_v3!$C$26)</f>
        <v>4145.70892018779</v>
      </c>
      <c r="AF508" s="15" t="n">
        <f aca="false">(IF(24-(INT((Parametri_v3!$C$29)/30))&lt;1,0,INDEX(Motore_Operativo!$BH$485:$BH$544,MAX(1,24-(INT((Parametri_v3!$C$29)/30)))))*(1-(MOD((Parametri_v3!$C$29),30)/30))+IF(24-(INT((Parametri_v3!$C$29)/30))-1&lt;1,0,INDEX(Motore_Operativo!$BH$485:$BH$544,MAX(1,24-(INT((Parametri_v3!$C$29)/30))-1)))*(MOD((Parametri_v3!$C$29),30)/30))*(1+Parametri_v3!$C$26)</f>
        <v>4145.70892018779</v>
      </c>
      <c r="AG508" s="15" t="n">
        <f aca="false">(AG507)+AE508-AF508</f>
        <v>4145.70892018779</v>
      </c>
      <c r="AH508" s="15" t="n">
        <f aca="false">(Motore_Operativo!CK508)*(1+Parametri_v3!$C$28*Parametri_v3!$C$26)</f>
        <v>11198.1149295775</v>
      </c>
      <c r="AI508" s="15" t="n">
        <f aca="false">(IF(24-(INT((Ipotesi!$C$91)/30))&lt;1,0,INDEX(Motore_Advisory!$AH$485:$AH$544,MAX(1,24-(INT((Ipotesi!$C$91)/30)))))*(1-(MOD((Ipotesi!$C$91),30)/30))+IF(24-(INT((Ipotesi!$C$91)/30))-1&lt;1,0,INDEX(Motore_Advisory!$AH$485:$AH$544,MAX(1,24-(INT((Ipotesi!$C$91)/30))-1)))*(MOD((Ipotesi!$C$91),30)/30))</f>
        <v>11198.1149295775</v>
      </c>
      <c r="AJ508" s="15" t="n">
        <f aca="false">(AJ507)+AH508-AI508</f>
        <v>22396.2298591549</v>
      </c>
      <c r="AK508" s="15" t="n">
        <f aca="false">(F508- Motore_Operativo!BH508-(Motore_Operativo!CK508)*Parametri_v3!$C$28-Motore_Operativo!CF508)*Parametri_v3!$C$26</f>
        <v>4960.70666666667</v>
      </c>
      <c r="AL508" s="15" t="n">
        <f aca="false">MAX(0,(AM507))</f>
        <v>4960.70666666667</v>
      </c>
      <c r="AM508" s="15" t="n">
        <f aca="false">(AM507)+AK508-AL508</f>
        <v>4960.70666666667</v>
      </c>
      <c r="AN508" s="15" t="n">
        <f aca="false">SUM(X485:X496)</f>
        <v>13562.3123684211</v>
      </c>
      <c r="AO508" s="15" t="n">
        <f aca="false">SUM(AP485:AP496)</f>
        <v>0</v>
      </c>
      <c r="AP508" s="15" t="n">
        <f aca="false">MAX(0,AN508)*IF(12=Parametri_v3!$C$43,Parametri_v3!$C$45,IF(12=Parametri_v3!$C$44,1-Parametri_v3!$C$45,0))</f>
        <v>0</v>
      </c>
      <c r="AQ508" s="15" t="n">
        <f aca="false">MAX(0,AP508+IF(12=Parametri_v3!$C$43,MAX(0,AN508-AO508),0)-MAX(0,-(AR507)))</f>
        <v>0</v>
      </c>
      <c r="AR508" s="15" t="n">
        <f aca="false">(AR507)+X508-AQ508</f>
        <v>2967.85911045218</v>
      </c>
      <c r="AS508" s="15" t="n">
        <f aca="false">Motore_Operativo!AC508-AT508+AU508</f>
        <v>15166.75</v>
      </c>
      <c r="AT508" s="15" t="n">
        <f aca="false">Motore_Operativo!CI508</f>
        <v>798.25</v>
      </c>
      <c r="AU508" s="15" t="n">
        <f aca="false">MIN(MAX(0,(AV507)+AT508),Parametri_v3!$C$61/12)</f>
        <v>0</v>
      </c>
      <c r="AV508" s="15" t="n">
        <f aca="false">(AV507)+AT508-AU508</f>
        <v>12729</v>
      </c>
      <c r="AW508" s="15" t="n">
        <f aca="false">IF(AND(Motore_Operativo!C508=Finanziamenti!$D$7,Finanziamenti!$F$7=1),Finanziamenti!$C$7,0)</f>
        <v>0</v>
      </c>
      <c r="AX508" s="15" t="n">
        <f aca="false">0</f>
        <v>0</v>
      </c>
      <c r="AY508" s="15" t="n">
        <f aca="false">IF(12=Parametri_v3!$C$33,IF(BV508&lt;MIN(12,$B508-1),0,MIN(MAX(0,SUM(Y485:Y496))*Ipotesi!$C$94,MAX(0,(BM496)-(BO507)-BP508),MAX(0,BD508-Parametri_v3!$C$31))),0)</f>
        <v>0</v>
      </c>
      <c r="AZ508" s="15" t="n">
        <f aca="false">0</f>
        <v>0</v>
      </c>
      <c r="BA508" s="15" t="n">
        <f aca="false">0</f>
        <v>0</v>
      </c>
      <c r="BB508" s="15" t="n">
        <f aca="false">0</f>
        <v>0</v>
      </c>
      <c r="BC508" s="15" t="n">
        <f aca="false">0</f>
        <v>0</v>
      </c>
      <c r="BD508" s="15" t="n">
        <f aca="false">(BH507)+AC508-AF508-AI508-AS508-K508*(1+Parametri_v3!$C$26)-AL508-AQ508-O508+AW508+AX508+AZ508+BA508-BB508</f>
        <v>15038.5625920435</v>
      </c>
      <c r="BE508" s="15" t="n">
        <f aca="false">0</f>
        <v>0</v>
      </c>
      <c r="BF508" s="15" t="n">
        <f aca="false">0</f>
        <v>0</v>
      </c>
      <c r="BG508" s="15" t="n">
        <f aca="false">0</f>
        <v>0</v>
      </c>
      <c r="BH508" s="15" t="n">
        <f aca="false">BD508+BE508-BF508-AY508</f>
        <v>15038.5625920435</v>
      </c>
      <c r="BI508" s="15" t="n">
        <f aca="false">MAX(0,Parametri_v3!$C$31-BH508)</f>
        <v>0</v>
      </c>
      <c r="BJ508" s="15" t="n">
        <f aca="false">(BJ507)+K508</f>
        <v>8000</v>
      </c>
      <c r="BK508" s="15" t="n">
        <f aca="false">(BK507)+L508</f>
        <v>2444.44444444445</v>
      </c>
      <c r="BL508" s="15" t="n">
        <f aca="false">BJ508-BK508</f>
        <v>5555.55555555556</v>
      </c>
      <c r="BM508" s="15" t="n">
        <f aca="false">(BM507)+Y508</f>
        <v>77765.8811967713</v>
      </c>
      <c r="BN508" s="15" t="n">
        <f aca="false">(BN507)+AW508+AX508+AZ508</f>
        <v>20000</v>
      </c>
      <c r="BO508" s="15" t="n">
        <f aca="false">(BO507)+AY508</f>
        <v>0</v>
      </c>
      <c r="BP508" s="15" t="n">
        <f aca="false">MIN(Parametri_v3!$C$36*Parametri_v3!$C$35,(BP507)+IF(12=1,MAX(0,SUM(Y485:Y496))*Parametri_v3!$C$34,0))</f>
        <v>1752.40631140351</v>
      </c>
      <c r="BQ508" s="15" t="n">
        <f aca="false">BN508+BM508-BO508</f>
        <v>97765.8811967713</v>
      </c>
      <c r="BR508" s="15" t="n">
        <f aca="false">BH508+AD508+BL508+MAX(0,-AM508)+MAX(0,-AR508)</f>
        <v>144965.385753233</v>
      </c>
      <c r="BS508" s="15" t="n">
        <f aca="false">AJ508+AV508+MAX(0,AM508)+MAX(0,AR508)+BC508+BG508+BQ508+AG508</f>
        <v>144965.385753233</v>
      </c>
      <c r="BT508" s="15" t="n">
        <f aca="false">BR508-BS508</f>
        <v>0</v>
      </c>
      <c r="BU508" s="15" t="n">
        <f aca="false">BH508-(BD508+BE508-BF508-AY508)</f>
        <v>0</v>
      </c>
      <c r="BV508" s="15" t="n">
        <f aca="false">IF(BH507&lt;Parametri_v3!$C$31,0,BV507+1)</f>
        <v>0</v>
      </c>
    </row>
    <row r="509" customFormat="false" ht="18" hidden="false" customHeight="true" outlineLevel="0" collapsed="false">
      <c r="A509" s="68" t="n">
        <f aca="false">9</f>
        <v>9</v>
      </c>
      <c r="B509" s="68" t="n">
        <f aca="false">25</f>
        <v>25</v>
      </c>
      <c r="C509" s="18" t="n">
        <f aca="false">Motore_Operativo!C509</f>
        <v>47119</v>
      </c>
      <c r="D509" s="68" t="n">
        <f aca="false">Motore_Operativo!D509</f>
        <v>2029</v>
      </c>
      <c r="E509" s="68" t="n">
        <f aca="false">Motore_Operativo!E509</f>
        <v>1</v>
      </c>
      <c r="F509" s="15" t="n">
        <f aca="false">Motore_Operativo!AM509</f>
        <v>60500</v>
      </c>
      <c r="G509" s="15" t="n">
        <f aca="false">Motore_Operativo!BH509</f>
        <v>6050</v>
      </c>
      <c r="H509" s="15" t="n">
        <f aca="false">Motore_Operativo!AM509</f>
        <v>60500</v>
      </c>
      <c r="I509" s="15" t="n">
        <f aca="false">Motore_Operativo!CB509</f>
        <v>46259.8958333333</v>
      </c>
      <c r="J509" s="15" t="n">
        <f aca="false">Motore_Operativo!CD509</f>
        <v>14240.1041666667</v>
      </c>
      <c r="K509" s="15" t="n">
        <f aca="false">Motore_Operativo!CF509</f>
        <v>416.666666666667</v>
      </c>
      <c r="L509" s="15" t="n">
        <f aca="false">SUM(INDEX($K$485:$K$544,MAX(1,25-Parametri_v3!$C$59+1)):K509)/Parametri_v3!$C$59</f>
        <v>233.796296296296</v>
      </c>
      <c r="M509" s="15" t="n">
        <f aca="false">J509-L509</f>
        <v>14006.3078703704</v>
      </c>
      <c r="N509" s="15" t="n">
        <f aca="false">0</f>
        <v>0</v>
      </c>
      <c r="O509" s="15" t="n">
        <f aca="false">0</f>
        <v>0</v>
      </c>
      <c r="P509" s="15" t="n">
        <f aca="false">M509+N509-O509</f>
        <v>14006.3078703704</v>
      </c>
      <c r="Q509" s="15" t="n">
        <f aca="false">SUM(P509)+Parametri_v3!$C$56*1/12</f>
        <v>14006.3078703704</v>
      </c>
      <c r="R509" s="15" t="n">
        <f aca="false">Z508</f>
        <v>0</v>
      </c>
      <c r="S509" s="15" t="n">
        <f aca="false">AA508</f>
        <v>0</v>
      </c>
      <c r="T509" s="15" t="n">
        <f aca="false">MIN(R509,MAX(0,Q509))</f>
        <v>0</v>
      </c>
      <c r="U509" s="15" t="n">
        <f aca="false">MIN(S509,MAX(0,Q509-T509)*Parametri_v3!$C$42)</f>
        <v>0</v>
      </c>
      <c r="V509" s="15" t="n">
        <f aca="false">MAX(0,Q509-T509-U509)*Ipotesi!$C$92</f>
        <v>3361.51388888889</v>
      </c>
      <c r="W509" s="15" t="n">
        <f aca="false">MAX(0,SUM(M509)+Parametri_v3!$C$57*1/12)*Ipotesi!$C$93</f>
        <v>546.246006944445</v>
      </c>
      <c r="X509" s="15" t="n">
        <f aca="false">V509+W509-(0)</f>
        <v>3907.75989583333</v>
      </c>
      <c r="Y509" s="15" t="n">
        <f aca="false">P509-X509</f>
        <v>10098.547974537</v>
      </c>
      <c r="Z509" s="15" t="n">
        <f aca="false">R509-T509+IF(AND(Parametri_v3!$C$40=1,D509-YEAR(Parametri_v3!$C$50)&lt;Parametri_v3!$C$41),MAX(0,-Q509),0)</f>
        <v>0</v>
      </c>
      <c r="AA509" s="15" t="n">
        <f aca="false">S509-U509+IF(AND(Parametri_v3!$C$40=1,D509-YEAR(Parametri_v3!$C$50)&lt;Parametri_v3!$C$41),0,MAX(0,-Q509))</f>
        <v>0</v>
      </c>
      <c r="AB509" s="15" t="n">
        <f aca="false">F509*(1+Parametri_v3!$C$26)</f>
        <v>73810</v>
      </c>
      <c r="AC509" s="15" t="n">
        <f aca="false">(IF(25-(INT((Motore_Operativo!L509)/30))&lt;1,0,INDEX(Motore_Advisory!$AB$485:$AB$544,MAX(1,25-(INT((Motore_Operativo!L509)/30)))))*(1-(MOD((Motore_Operativo!L509),30)/30))+IF(25-(INT((Motore_Operativo!L509)/30))-1&lt;1,0,INDEX(Motore_Advisory!$AB$485:$AB$544,MAX(1,25-(INT((Motore_Operativo!L509)/30))-1)))*(MOD((Motore_Operativo!L509),30)/30))</f>
        <v>41457.0892018779</v>
      </c>
      <c r="AD509" s="15" t="n">
        <f aca="false">(AD508)+AB509-AC509</f>
        <v>156724.178403756</v>
      </c>
      <c r="AE509" s="15" t="n">
        <f aca="false">Motore_Operativo!BH509*(1+Parametri_v3!$C$26)</f>
        <v>7381</v>
      </c>
      <c r="AF509" s="15" t="n">
        <f aca="false">(IF(25-(INT((Parametri_v3!$C$29)/30))&lt;1,0,INDEX(Motore_Operativo!$BH$485:$BH$544,MAX(1,25-(INT((Parametri_v3!$C$29)/30)))))*(1-(MOD((Parametri_v3!$C$29),30)/30))+IF(25-(INT((Parametri_v3!$C$29)/30))-1&lt;1,0,INDEX(Motore_Operativo!$BH$485:$BH$544,MAX(1,25-(INT((Parametri_v3!$C$29)/30))-1)))*(MOD((Parametri_v3!$C$29),30)/30))*(1+Parametri_v3!$C$26)</f>
        <v>4145.70892018779</v>
      </c>
      <c r="AG509" s="15" t="n">
        <f aca="false">(AG508)+AE509-AF509</f>
        <v>7381</v>
      </c>
      <c r="AH509" s="15" t="n">
        <f aca="false">(Motore_Operativo!CK509)*(1+Parametri_v3!$C$28*Parametri_v3!$C$26)</f>
        <v>17395.98</v>
      </c>
      <c r="AI509" s="15" t="n">
        <f aca="false">(IF(25-(INT((Ipotesi!$C$91)/30))&lt;1,0,INDEX(Motore_Advisory!$AH$485:$AH$544,MAX(1,25-(INT((Ipotesi!$C$91)/30)))))*(1-(MOD((Ipotesi!$C$91),30)/30))+IF(25-(INT((Ipotesi!$C$91)/30))-1&lt;1,0,INDEX(Motore_Advisory!$AH$485:$AH$544,MAX(1,25-(INT((Ipotesi!$C$91)/30))-1)))*(MOD((Ipotesi!$C$91),30)/30))</f>
        <v>11198.1149295775</v>
      </c>
      <c r="AJ509" s="15" t="n">
        <f aca="false">(AJ508)+AH509-AI509</f>
        <v>28594.0949295775</v>
      </c>
      <c r="AK509" s="15" t="n">
        <f aca="false">(F509- Motore_Operativo!BH509-(Motore_Operativo!CK509)*Parametri_v3!$C$28-Motore_Operativo!CF509)*Parametri_v3!$C$26</f>
        <v>9283.85333333333</v>
      </c>
      <c r="AL509" s="15" t="n">
        <f aca="false">MAX(0,(AM508))</f>
        <v>4960.70666666667</v>
      </c>
      <c r="AM509" s="15" t="n">
        <f aca="false">(AM508)+AK509-AL509</f>
        <v>9283.85333333333</v>
      </c>
      <c r="AN509" s="15" t="n">
        <f aca="false">SUM(X497:X508)</f>
        <v>16530.1714788732</v>
      </c>
      <c r="AO509" s="15" t="n">
        <f aca="false">SUM(AP497:AP508)</f>
        <v>13562.3123684211</v>
      </c>
      <c r="AP509" s="15" t="n">
        <f aca="false">MAX(0,AN509)*IF(1=Parametri_v3!$C$43,Parametri_v3!$C$45,IF(1=Parametri_v3!$C$44,1-Parametri_v3!$C$45,0))</f>
        <v>0</v>
      </c>
      <c r="AQ509" s="15" t="n">
        <f aca="false">MAX(0,AP509+IF(1=Parametri_v3!$C$43,MAX(0,AN509-AO509),0)-MAX(0,-(AR508)))</f>
        <v>0</v>
      </c>
      <c r="AR509" s="15" t="n">
        <f aca="false">(AR508)+X509-AQ509</f>
        <v>6875.61900628552</v>
      </c>
      <c r="AS509" s="15" t="n">
        <f aca="false">Motore_Operativo!AC509-AT509+AU509</f>
        <v>24146.5260416667</v>
      </c>
      <c r="AT509" s="15" t="n">
        <f aca="false">Motore_Operativo!CI509</f>
        <v>1270.86979166667</v>
      </c>
      <c r="AU509" s="15" t="n">
        <f aca="false">MIN(MAX(0,(AV508)+AT509),Parametri_v3!$C$61/12)</f>
        <v>0</v>
      </c>
      <c r="AV509" s="15" t="n">
        <f aca="false">(AV508)+AT509-AU509</f>
        <v>13999.8697916667</v>
      </c>
      <c r="AW509" s="15" t="n">
        <f aca="false">IF(AND(Motore_Operativo!C509=Finanziamenti!$D$7,Finanziamenti!$F$7=1),Finanziamenti!$C$7,0)</f>
        <v>0</v>
      </c>
      <c r="AX509" s="15" t="n">
        <f aca="false">0</f>
        <v>0</v>
      </c>
      <c r="AY509" s="15" t="n">
        <f aca="false">IF(1=Parametri_v3!$C$33,IF(BV509&lt;MIN(12,$B509-1),0,MIN(MAX(0,SUM(Y497:Y508))*Ipotesi!$C$94,MAX(0,(BM508)-(BO508)-BP509),MAX(0,BD509-Parametri_v3!$C$31))),0)</f>
        <v>0</v>
      </c>
      <c r="AZ509" s="15" t="n">
        <f aca="false">0</f>
        <v>0</v>
      </c>
      <c r="BA509" s="15" t="n">
        <f aca="false">0</f>
        <v>0</v>
      </c>
      <c r="BB509" s="15" t="n">
        <f aca="false">0</f>
        <v>0</v>
      </c>
      <c r="BC509" s="15" t="n">
        <f aca="false">0</f>
        <v>0</v>
      </c>
      <c r="BD509" s="15" t="n">
        <f aca="false">(BH508)+AC509-AF509-AI509-AS509-K509*(1+Parametri_v3!$C$26)-AL509-AQ509-O509+AW509+AX509+AZ509+BA509-BB509</f>
        <v>11536.2619024895</v>
      </c>
      <c r="BE509" s="15" t="n">
        <f aca="false">0</f>
        <v>0</v>
      </c>
      <c r="BF509" s="15" t="n">
        <f aca="false">0</f>
        <v>0</v>
      </c>
      <c r="BG509" s="15" t="n">
        <f aca="false">0</f>
        <v>0</v>
      </c>
      <c r="BH509" s="15" t="n">
        <f aca="false">BD509+BE509-BF509-AY509</f>
        <v>11536.2619024895</v>
      </c>
      <c r="BI509" s="15" t="n">
        <f aca="false">MAX(0,Parametri_v3!$C$31-BH509)</f>
        <v>0</v>
      </c>
      <c r="BJ509" s="15" t="n">
        <f aca="false">(BJ508)+K509</f>
        <v>8416.66666666667</v>
      </c>
      <c r="BK509" s="15" t="n">
        <f aca="false">(BK508)+L509</f>
        <v>2678.24074074074</v>
      </c>
      <c r="BL509" s="15" t="n">
        <f aca="false">BJ509-BK509</f>
        <v>5738.42592592593</v>
      </c>
      <c r="BM509" s="15" t="n">
        <f aca="false">(BM508)+Y509</f>
        <v>87864.4291713083</v>
      </c>
      <c r="BN509" s="15" t="n">
        <f aca="false">(BN508)+AW509+AX509+AZ509</f>
        <v>20000</v>
      </c>
      <c r="BO509" s="15" t="n">
        <f aca="false">(BO508)+AY509</f>
        <v>0</v>
      </c>
      <c r="BP509" s="15" t="n">
        <f aca="false">MIN(Parametri_v3!$C$36*Parametri_v3!$C$35,(BP508)+IF(1=1,MAX(0,SUM(Y497:Y508))*Parametri_v3!$C$34,0))</f>
        <v>2000</v>
      </c>
      <c r="BQ509" s="15" t="n">
        <f aca="false">BN509+BM509-BO509</f>
        <v>107864.429171308</v>
      </c>
      <c r="BR509" s="15" t="n">
        <f aca="false">BH509+AD509+BL509+MAX(0,-AM509)+MAX(0,-AR509)</f>
        <v>173998.866232171</v>
      </c>
      <c r="BS509" s="15" t="n">
        <f aca="false">AJ509+AV509+MAX(0,AM509)+MAX(0,AR509)+BC509+BG509+BQ509+AG509</f>
        <v>173998.866232171</v>
      </c>
      <c r="BT509" s="15" t="n">
        <f aca="false">BR509-BS509</f>
        <v>0</v>
      </c>
      <c r="BU509" s="15" t="n">
        <f aca="false">BH509-(BD509+BE509-BF509-AY509)</f>
        <v>0</v>
      </c>
      <c r="BV509" s="15" t="n">
        <f aca="false">IF(BH508&lt;Parametri_v3!$C$31,0,BV508+1)</f>
        <v>1</v>
      </c>
    </row>
    <row r="510" customFormat="false" ht="18" hidden="false" customHeight="true" outlineLevel="0" collapsed="false">
      <c r="A510" s="68" t="n">
        <f aca="false">9</f>
        <v>9</v>
      </c>
      <c r="B510" s="68" t="n">
        <f aca="false">26</f>
        <v>26</v>
      </c>
      <c r="C510" s="18" t="n">
        <f aca="false">Motore_Operativo!C510</f>
        <v>47150</v>
      </c>
      <c r="D510" s="68" t="n">
        <f aca="false">Motore_Operativo!D510</f>
        <v>2029</v>
      </c>
      <c r="E510" s="68" t="n">
        <f aca="false">Motore_Operativo!E510</f>
        <v>2</v>
      </c>
      <c r="F510" s="15" t="n">
        <f aca="false">Motore_Operativo!AM510</f>
        <v>60500</v>
      </c>
      <c r="G510" s="15" t="n">
        <f aca="false">Motore_Operativo!BH510</f>
        <v>6050</v>
      </c>
      <c r="H510" s="15" t="n">
        <f aca="false">Motore_Operativo!AM510</f>
        <v>60500</v>
      </c>
      <c r="I510" s="15" t="n">
        <f aca="false">Motore_Operativo!CB510</f>
        <v>46259.8958333333</v>
      </c>
      <c r="J510" s="15" t="n">
        <f aca="false">Motore_Operativo!CD510</f>
        <v>14240.1041666667</v>
      </c>
      <c r="K510" s="15" t="n">
        <f aca="false">Motore_Operativo!CF510</f>
        <v>416.666666666667</v>
      </c>
      <c r="L510" s="15" t="n">
        <f aca="false">SUM(INDEX($K$485:$K$544,MAX(1,26-Parametri_v3!$C$59+1)):K510)/Parametri_v3!$C$59</f>
        <v>245.37037037037</v>
      </c>
      <c r="M510" s="15" t="n">
        <f aca="false">J510-L510</f>
        <v>13994.7337962963</v>
      </c>
      <c r="N510" s="15" t="n">
        <f aca="false">0</f>
        <v>0</v>
      </c>
      <c r="O510" s="15" t="n">
        <f aca="false">0</f>
        <v>0</v>
      </c>
      <c r="P510" s="15" t="n">
        <f aca="false">M510+N510-O510</f>
        <v>13994.7337962963</v>
      </c>
      <c r="Q510" s="15" t="n">
        <f aca="false">SUM(P509:P510)+Parametri_v3!$C$56*2/12</f>
        <v>28001.0416666667</v>
      </c>
      <c r="R510" s="15" t="n">
        <f aca="false">Z508</f>
        <v>0</v>
      </c>
      <c r="S510" s="15" t="n">
        <f aca="false">AA508</f>
        <v>0</v>
      </c>
      <c r="T510" s="15" t="n">
        <f aca="false">MIN(R510,MAX(0,Q510))</f>
        <v>0</v>
      </c>
      <c r="U510" s="15" t="n">
        <f aca="false">MIN(S510,MAX(0,Q510-T510)*Parametri_v3!$C$42)</f>
        <v>0</v>
      </c>
      <c r="V510" s="15" t="n">
        <f aca="false">MAX(0,Q510-T510-U510)*Ipotesi!$C$92</f>
        <v>6720.25</v>
      </c>
      <c r="W510" s="15" t="n">
        <f aca="false">MAX(0,SUM(M509:M510)+Parametri_v3!$C$57*2/12)*Ipotesi!$C$93</f>
        <v>1092.040625</v>
      </c>
      <c r="X510" s="15" t="n">
        <f aca="false">V510+W510-(V509+W509)</f>
        <v>3904.53072916667</v>
      </c>
      <c r="Y510" s="15" t="n">
        <f aca="false">P510-X510</f>
        <v>10090.2030671296</v>
      </c>
      <c r="Z510" s="15" t="n">
        <f aca="false">R510-T510+IF(AND(Parametri_v3!$C$40=1,D510-YEAR(Parametri_v3!$C$50)&lt;Parametri_v3!$C$41),MAX(0,-Q510),0)</f>
        <v>0</v>
      </c>
      <c r="AA510" s="15" t="n">
        <f aca="false">S510-U510+IF(AND(Parametri_v3!$C$40=1,D510-YEAR(Parametri_v3!$C$50)&lt;Parametri_v3!$C$41),0,MAX(0,-Q510))</f>
        <v>0</v>
      </c>
      <c r="AB510" s="15" t="n">
        <f aca="false">F510*(1+Parametri_v3!$C$26)</f>
        <v>73810</v>
      </c>
      <c r="AC510" s="15" t="n">
        <f aca="false">(IF(26-(INT((Motore_Operativo!L510)/30))&lt;1,0,INDEX(Motore_Advisory!$AB$485:$AB$544,MAX(1,26-(INT((Motore_Operativo!L510)/30)))))*(1-(MOD((Motore_Operativo!L510),30)/30))+IF(26-(INT((Motore_Operativo!L510)/30))-1&lt;1,0,INDEX(Motore_Advisory!$AB$485:$AB$544,MAX(1,26-(INT((Motore_Operativo!L510)/30))-1)))*(MOD((Motore_Operativo!L510),30)/30))</f>
        <v>41457.0892018779</v>
      </c>
      <c r="AD510" s="15" t="n">
        <f aca="false">(AD509)+AB510-AC510</f>
        <v>189077.089201878</v>
      </c>
      <c r="AE510" s="15" t="n">
        <f aca="false">Motore_Operativo!BH510*(1+Parametri_v3!$C$26)</f>
        <v>7381</v>
      </c>
      <c r="AF510" s="15" t="n">
        <f aca="false">(IF(26-(INT((Parametri_v3!$C$29)/30))&lt;1,0,INDEX(Motore_Operativo!$BH$485:$BH$544,MAX(1,26-(INT((Parametri_v3!$C$29)/30)))))*(1-(MOD((Parametri_v3!$C$29),30)/30))+IF(26-(INT((Parametri_v3!$C$29)/30))-1&lt;1,0,INDEX(Motore_Operativo!$BH$485:$BH$544,MAX(1,26-(INT((Parametri_v3!$C$29)/30))-1)))*(MOD((Parametri_v3!$C$29),30)/30))*(1+Parametri_v3!$C$26)</f>
        <v>7381</v>
      </c>
      <c r="AG510" s="15" t="n">
        <f aca="false">(AG509)+AE510-AF510</f>
        <v>7381</v>
      </c>
      <c r="AH510" s="15" t="n">
        <f aca="false">(Motore_Operativo!CK510)*(1+Parametri_v3!$C$28*Parametri_v3!$C$26)</f>
        <v>17395.98</v>
      </c>
      <c r="AI510" s="15" t="n">
        <f aca="false">(IF(26-(INT((Ipotesi!$C$91)/30))&lt;1,0,INDEX(Motore_Advisory!$AH$485:$AH$544,MAX(1,26-(INT((Ipotesi!$C$91)/30)))))*(1-(MOD((Ipotesi!$C$91),30)/30))+IF(26-(INT((Ipotesi!$C$91)/30))-1&lt;1,0,INDEX(Motore_Advisory!$AH$485:$AH$544,MAX(1,26-(INT((Ipotesi!$C$91)/30))-1)))*(MOD((Ipotesi!$C$91),30)/30))</f>
        <v>11198.1149295775</v>
      </c>
      <c r="AJ510" s="15" t="n">
        <f aca="false">(AJ509)+AH510-AI510</f>
        <v>34791.96</v>
      </c>
      <c r="AK510" s="15" t="n">
        <f aca="false">(F510- Motore_Operativo!BH510-(Motore_Operativo!CK510)*Parametri_v3!$C$28-Motore_Operativo!CF510)*Parametri_v3!$C$26</f>
        <v>9283.85333333333</v>
      </c>
      <c r="AL510" s="15" t="n">
        <f aca="false">MAX(0,(AM509))</f>
        <v>9283.85333333333</v>
      </c>
      <c r="AM510" s="15" t="n">
        <f aca="false">(AM509)+AK510-AL510</f>
        <v>9283.85333333333</v>
      </c>
      <c r="AN510" s="15" t="n">
        <f aca="false">SUM(X497:X508)</f>
        <v>16530.1714788732</v>
      </c>
      <c r="AO510" s="15" t="n">
        <f aca="false">SUM(AP497:AP508)</f>
        <v>13562.3123684211</v>
      </c>
      <c r="AP510" s="15" t="n">
        <f aca="false">MAX(0,AN510)*IF(2=Parametri_v3!$C$43,Parametri_v3!$C$45,IF(2=Parametri_v3!$C$44,1-Parametri_v3!$C$45,0))</f>
        <v>0</v>
      </c>
      <c r="AQ510" s="15" t="n">
        <f aca="false">MAX(0,AP510+IF(2=Parametri_v3!$C$43,MAX(0,AN510-AO510),0)-MAX(0,-(AR509)))</f>
        <v>0</v>
      </c>
      <c r="AR510" s="15" t="n">
        <f aca="false">(AR509)+X510-AQ510</f>
        <v>10780.1497354522</v>
      </c>
      <c r="AS510" s="15" t="n">
        <f aca="false">Motore_Operativo!AC510-AT510+AU510</f>
        <v>24146.5260416667</v>
      </c>
      <c r="AT510" s="15" t="n">
        <f aca="false">Motore_Operativo!CI510</f>
        <v>1270.86979166667</v>
      </c>
      <c r="AU510" s="15" t="n">
        <f aca="false">MIN(MAX(0,(AV509)+AT510),Parametri_v3!$C$61/12)</f>
        <v>0</v>
      </c>
      <c r="AV510" s="15" t="n">
        <f aca="false">(AV509)+AT510-AU510</f>
        <v>15270.7395833333</v>
      </c>
      <c r="AW510" s="15" t="n">
        <f aca="false">IF(AND(Motore_Operativo!C510=Finanziamenti!$D$7,Finanziamenti!$F$7=1),Finanziamenti!$C$7,0)</f>
        <v>0</v>
      </c>
      <c r="AX510" s="15" t="n">
        <f aca="false">0</f>
        <v>0</v>
      </c>
      <c r="AY510" s="15" t="n">
        <f aca="false">IF(2=Parametri_v3!$C$33,IF(BV510&lt;MIN(12,$B510-1),0,MIN(MAX(0,SUM(Y497:Y508))*Ipotesi!$C$94,MAX(0,(BM508)-(BO509)-BP510),MAX(0,BD510-Parametri_v3!$C$31))),0)</f>
        <v>0</v>
      </c>
      <c r="AZ510" s="15" t="n">
        <f aca="false">0</f>
        <v>0</v>
      </c>
      <c r="BA510" s="15" t="n">
        <f aca="false">0</f>
        <v>0</v>
      </c>
      <c r="BB510" s="15" t="n">
        <f aca="false">0</f>
        <v>0</v>
      </c>
      <c r="BC510" s="15" t="n">
        <f aca="false">0</f>
        <v>0</v>
      </c>
      <c r="BD510" s="15" t="n">
        <f aca="false">(BH509)+AC510-AF510-AI510-AS510-K510*(1+Parametri_v3!$C$26)-AL510-AQ510-O510+AW510+AX510+AZ510+BA510-BB510</f>
        <v>475.523466456609</v>
      </c>
      <c r="BE510" s="15" t="n">
        <f aca="false">0</f>
        <v>0</v>
      </c>
      <c r="BF510" s="15" t="n">
        <f aca="false">0</f>
        <v>0</v>
      </c>
      <c r="BG510" s="15" t="n">
        <f aca="false">0</f>
        <v>0</v>
      </c>
      <c r="BH510" s="15" t="n">
        <f aca="false">BD510+BE510-BF510-AY510</f>
        <v>475.523466456609</v>
      </c>
      <c r="BI510" s="15" t="n">
        <f aca="false">MAX(0,Parametri_v3!$C$31-BH510)</f>
        <v>9524.47653354339</v>
      </c>
      <c r="BJ510" s="15" t="n">
        <f aca="false">(BJ509)+K510</f>
        <v>8833.33333333334</v>
      </c>
      <c r="BK510" s="15" t="n">
        <f aca="false">(BK509)+L510</f>
        <v>2923.61111111111</v>
      </c>
      <c r="BL510" s="15" t="n">
        <f aca="false">BJ510-BK510</f>
        <v>5909.72222222222</v>
      </c>
      <c r="BM510" s="15" t="n">
        <f aca="false">(BM509)+Y510</f>
        <v>97954.6322384379</v>
      </c>
      <c r="BN510" s="15" t="n">
        <f aca="false">(BN509)+AW510+AX510+AZ510</f>
        <v>20000</v>
      </c>
      <c r="BO510" s="15" t="n">
        <f aca="false">(BO509)+AY510</f>
        <v>0</v>
      </c>
      <c r="BP510" s="15" t="n">
        <f aca="false">MIN(Parametri_v3!$C$36*Parametri_v3!$C$35,(BP509)+IF(2=1,MAX(0,SUM(Y497:Y508))*Parametri_v3!$C$34,0))</f>
        <v>2000</v>
      </c>
      <c r="BQ510" s="15" t="n">
        <f aca="false">BN510+BM510-BO510</f>
        <v>117954.632238438</v>
      </c>
      <c r="BR510" s="15" t="n">
        <f aca="false">BH510+AD510+BL510+MAX(0,-AM510)+MAX(0,-AR510)</f>
        <v>195462.334890557</v>
      </c>
      <c r="BS510" s="15" t="n">
        <f aca="false">AJ510+AV510+MAX(0,AM510)+MAX(0,AR510)+BC510+BG510+BQ510+AG510</f>
        <v>195462.334890557</v>
      </c>
      <c r="BT510" s="15" t="n">
        <f aca="false">BR510-BS510</f>
        <v>0</v>
      </c>
      <c r="BU510" s="15" t="n">
        <f aca="false">BH510-(BD510+BE510-BF510-AY510)</f>
        <v>0</v>
      </c>
      <c r="BV510" s="15" t="n">
        <f aca="false">IF(BH509&lt;Parametri_v3!$C$31,0,BV509+1)</f>
        <v>2</v>
      </c>
    </row>
    <row r="511" customFormat="false" ht="18" hidden="false" customHeight="true" outlineLevel="0" collapsed="false">
      <c r="A511" s="68" t="n">
        <f aca="false">9</f>
        <v>9</v>
      </c>
      <c r="B511" s="68" t="n">
        <f aca="false">27</f>
        <v>27</v>
      </c>
      <c r="C511" s="18" t="n">
        <f aca="false">Motore_Operativo!C511</f>
        <v>47178</v>
      </c>
      <c r="D511" s="68" t="n">
        <f aca="false">Motore_Operativo!D511</f>
        <v>2029</v>
      </c>
      <c r="E511" s="68" t="n">
        <f aca="false">Motore_Operativo!E511</f>
        <v>3</v>
      </c>
      <c r="F511" s="15" t="n">
        <f aca="false">Motore_Operativo!AM511</f>
        <v>60500</v>
      </c>
      <c r="G511" s="15" t="n">
        <f aca="false">Motore_Operativo!BH511</f>
        <v>6050</v>
      </c>
      <c r="H511" s="15" t="n">
        <f aca="false">Motore_Operativo!AM511</f>
        <v>60500</v>
      </c>
      <c r="I511" s="15" t="n">
        <f aca="false">Motore_Operativo!CB511</f>
        <v>46259.8958333333</v>
      </c>
      <c r="J511" s="15" t="n">
        <f aca="false">Motore_Operativo!CD511</f>
        <v>14240.1041666667</v>
      </c>
      <c r="K511" s="15" t="n">
        <f aca="false">Motore_Operativo!CF511</f>
        <v>416.666666666667</v>
      </c>
      <c r="L511" s="15" t="n">
        <f aca="false">SUM(INDEX($K$485:$K$544,MAX(1,27-Parametri_v3!$C$59+1)):K511)/Parametri_v3!$C$59</f>
        <v>256.944444444444</v>
      </c>
      <c r="M511" s="15" t="n">
        <f aca="false">J511-L511</f>
        <v>13983.1597222222</v>
      </c>
      <c r="N511" s="15" t="n">
        <f aca="false">0</f>
        <v>0</v>
      </c>
      <c r="O511" s="15" t="n">
        <f aca="false">0</f>
        <v>0</v>
      </c>
      <c r="P511" s="15" t="n">
        <f aca="false">M511+N511-O511</f>
        <v>13983.1597222222</v>
      </c>
      <c r="Q511" s="15" t="n">
        <f aca="false">SUM(P509:P511)+Parametri_v3!$C$56*3/12</f>
        <v>41984.2013888889</v>
      </c>
      <c r="R511" s="15" t="n">
        <f aca="false">Z508</f>
        <v>0</v>
      </c>
      <c r="S511" s="15" t="n">
        <f aca="false">AA508</f>
        <v>0</v>
      </c>
      <c r="T511" s="15" t="n">
        <f aca="false">MIN(R511,MAX(0,Q511))</f>
        <v>0</v>
      </c>
      <c r="U511" s="15" t="n">
        <f aca="false">MIN(S511,MAX(0,Q511-T511)*Parametri_v3!$C$42)</f>
        <v>0</v>
      </c>
      <c r="V511" s="15" t="n">
        <f aca="false">MAX(0,Q511-T511-U511)*Ipotesi!$C$92</f>
        <v>10076.2083333333</v>
      </c>
      <c r="W511" s="15" t="n">
        <f aca="false">MAX(0,SUM(M509:M511)+Parametri_v3!$C$57*3/12)*Ipotesi!$C$93</f>
        <v>1637.38385416667</v>
      </c>
      <c r="X511" s="15" t="n">
        <f aca="false">V511+W511-(V510+W510)</f>
        <v>3901.3015625</v>
      </c>
      <c r="Y511" s="15" t="n">
        <f aca="false">P511-X511</f>
        <v>10081.8581597222</v>
      </c>
      <c r="Z511" s="15" t="n">
        <f aca="false">R511-T511+IF(AND(Parametri_v3!$C$40=1,D511-YEAR(Parametri_v3!$C$50)&lt;Parametri_v3!$C$41),MAX(0,-Q511),0)</f>
        <v>0</v>
      </c>
      <c r="AA511" s="15" t="n">
        <f aca="false">S511-U511+IF(AND(Parametri_v3!$C$40=1,D511-YEAR(Parametri_v3!$C$50)&lt;Parametri_v3!$C$41),0,MAX(0,-Q511))</f>
        <v>0</v>
      </c>
      <c r="AB511" s="15" t="n">
        <f aca="false">F511*(1+Parametri_v3!$C$26)</f>
        <v>73810</v>
      </c>
      <c r="AC511" s="15" t="n">
        <f aca="false">(IF(27-(INT((Motore_Operativo!L511)/30))&lt;1,0,INDEX(Motore_Advisory!$AB$485:$AB$544,MAX(1,27-(INT((Motore_Operativo!L511)/30)))))*(1-(MOD((Motore_Operativo!L511),30)/30))+IF(27-(INT((Motore_Operativo!L511)/30))-1&lt;1,0,INDEX(Motore_Advisory!$AB$485:$AB$544,MAX(1,27-(INT((Motore_Operativo!L511)/30))-1)))*(MOD((Motore_Operativo!L511),30)/30))</f>
        <v>41457.0892018779</v>
      </c>
      <c r="AD511" s="15" t="n">
        <f aca="false">(AD510)+AB511-AC511</f>
        <v>221430</v>
      </c>
      <c r="AE511" s="15" t="n">
        <f aca="false">Motore_Operativo!BH511*(1+Parametri_v3!$C$26)</f>
        <v>7381</v>
      </c>
      <c r="AF511" s="15" t="n">
        <f aca="false">(IF(27-(INT((Parametri_v3!$C$29)/30))&lt;1,0,INDEX(Motore_Operativo!$BH$485:$BH$544,MAX(1,27-(INT((Parametri_v3!$C$29)/30)))))*(1-(MOD((Parametri_v3!$C$29),30)/30))+IF(27-(INT((Parametri_v3!$C$29)/30))-1&lt;1,0,INDEX(Motore_Operativo!$BH$485:$BH$544,MAX(1,27-(INT((Parametri_v3!$C$29)/30))-1)))*(MOD((Parametri_v3!$C$29),30)/30))*(1+Parametri_v3!$C$26)</f>
        <v>7381</v>
      </c>
      <c r="AG511" s="15" t="n">
        <f aca="false">(AG510)+AE511-AF511</f>
        <v>7381</v>
      </c>
      <c r="AH511" s="15" t="n">
        <f aca="false">(Motore_Operativo!CK511)*(1+Parametri_v3!$C$28*Parametri_v3!$C$26)</f>
        <v>17395.98</v>
      </c>
      <c r="AI511" s="15" t="n">
        <f aca="false">(IF(27-(INT((Ipotesi!$C$91)/30))&lt;1,0,INDEX(Motore_Advisory!$AH$485:$AH$544,MAX(1,27-(INT((Ipotesi!$C$91)/30)))))*(1-(MOD((Ipotesi!$C$91),30)/30))+IF(27-(INT((Ipotesi!$C$91)/30))-1&lt;1,0,INDEX(Motore_Advisory!$AH$485:$AH$544,MAX(1,27-(INT((Ipotesi!$C$91)/30))-1)))*(MOD((Ipotesi!$C$91),30)/30))</f>
        <v>17395.98</v>
      </c>
      <c r="AJ511" s="15" t="n">
        <f aca="false">(AJ510)+AH511-AI511</f>
        <v>34791.96</v>
      </c>
      <c r="AK511" s="15" t="n">
        <f aca="false">(F511- Motore_Operativo!BH511-(Motore_Operativo!CK511)*Parametri_v3!$C$28-Motore_Operativo!CF511)*Parametri_v3!$C$26</f>
        <v>9283.85333333333</v>
      </c>
      <c r="AL511" s="15" t="n">
        <f aca="false">MAX(0,(AM510))</f>
        <v>9283.85333333333</v>
      </c>
      <c r="AM511" s="15" t="n">
        <f aca="false">(AM510)+AK511-AL511</f>
        <v>9283.85333333333</v>
      </c>
      <c r="AN511" s="15" t="n">
        <f aca="false">SUM(X497:X508)</f>
        <v>16530.1714788732</v>
      </c>
      <c r="AO511" s="15" t="n">
        <f aca="false">SUM(AP497:AP508)</f>
        <v>13562.3123684211</v>
      </c>
      <c r="AP511" s="15" t="n">
        <f aca="false">MAX(0,AN511)*IF(3=Parametri_v3!$C$43,Parametri_v3!$C$45,IF(3=Parametri_v3!$C$44,1-Parametri_v3!$C$45,0))</f>
        <v>0</v>
      </c>
      <c r="AQ511" s="15" t="n">
        <f aca="false">MAX(0,AP511+IF(3=Parametri_v3!$C$43,MAX(0,AN511-AO511),0)-MAX(0,-(AR510)))</f>
        <v>0</v>
      </c>
      <c r="AR511" s="15" t="n">
        <f aca="false">(AR510)+X511-AQ511</f>
        <v>14681.4512979522</v>
      </c>
      <c r="AS511" s="15" t="n">
        <f aca="false">Motore_Operativo!AC511-AT511+AU511</f>
        <v>24146.5260416667</v>
      </c>
      <c r="AT511" s="15" t="n">
        <f aca="false">Motore_Operativo!CI511</f>
        <v>1270.86979166667</v>
      </c>
      <c r="AU511" s="15" t="n">
        <f aca="false">MIN(MAX(0,(AV510)+AT511),Parametri_v3!$C$61/12)</f>
        <v>0</v>
      </c>
      <c r="AV511" s="15" t="n">
        <f aca="false">(AV510)+AT511-AU511</f>
        <v>16541.609375</v>
      </c>
      <c r="AW511" s="15" t="n">
        <f aca="false">IF(AND(Motore_Operativo!C511=Finanziamenti!$D$7,Finanziamenti!$F$7=1),Finanziamenti!$C$7,0)</f>
        <v>0</v>
      </c>
      <c r="AX511" s="15" t="n">
        <f aca="false">0</f>
        <v>0</v>
      </c>
      <c r="AY511" s="15" t="n">
        <f aca="false">IF(3=Parametri_v3!$C$33,IF(BV511&lt;MIN(12,$B511-1),0,MIN(MAX(0,SUM(Y497:Y508))*Ipotesi!$C$94,MAX(0,(BM508)-(BO510)-BP511),MAX(0,BD511-Parametri_v3!$C$31))),0)</f>
        <v>0</v>
      </c>
      <c r="AZ511" s="15" t="n">
        <f aca="false">0</f>
        <v>0</v>
      </c>
      <c r="BA511" s="15" t="n">
        <f aca="false">0</f>
        <v>0</v>
      </c>
      <c r="BB511" s="15" t="n">
        <f aca="false">0</f>
        <v>0</v>
      </c>
      <c r="BC511" s="15" t="n">
        <f aca="false">0</f>
        <v>0</v>
      </c>
      <c r="BD511" s="15" t="n">
        <f aca="false">(BH510)+AC511-AF511-AI511-AS511-K511*(1+Parametri_v3!$C$26)-AL511-AQ511-O511+AW511+AX511+AZ511+BA511-BB511</f>
        <v>-16783.0800399988</v>
      </c>
      <c r="BE511" s="15" t="n">
        <f aca="false">0</f>
        <v>0</v>
      </c>
      <c r="BF511" s="15" t="n">
        <f aca="false">0</f>
        <v>0</v>
      </c>
      <c r="BG511" s="15" t="n">
        <f aca="false">0</f>
        <v>0</v>
      </c>
      <c r="BH511" s="15" t="n">
        <f aca="false">BD511+BE511-BF511-AY511</f>
        <v>-16783.0800399988</v>
      </c>
      <c r="BI511" s="15" t="n">
        <f aca="false">MAX(0,Parametri_v3!$C$31-BH511)</f>
        <v>26783.0800399988</v>
      </c>
      <c r="BJ511" s="15" t="n">
        <f aca="false">(BJ510)+K511</f>
        <v>9250</v>
      </c>
      <c r="BK511" s="15" t="n">
        <f aca="false">(BK510)+L511</f>
        <v>3180.55555555556</v>
      </c>
      <c r="BL511" s="15" t="n">
        <f aca="false">BJ511-BK511</f>
        <v>6069.44444444445</v>
      </c>
      <c r="BM511" s="15" t="n">
        <f aca="false">(BM510)+Y511</f>
        <v>108036.49039816</v>
      </c>
      <c r="BN511" s="15" t="n">
        <f aca="false">(BN510)+AW511+AX511+AZ511</f>
        <v>20000</v>
      </c>
      <c r="BO511" s="15" t="n">
        <f aca="false">(BO510)+AY511</f>
        <v>0</v>
      </c>
      <c r="BP511" s="15" t="n">
        <f aca="false">MIN(Parametri_v3!$C$36*Parametri_v3!$C$35,(BP510)+IF(3=1,MAX(0,SUM(Y497:Y508))*Parametri_v3!$C$34,0))</f>
        <v>2000</v>
      </c>
      <c r="BQ511" s="15" t="n">
        <f aca="false">BN511+BM511-BO511</f>
        <v>128036.49039816</v>
      </c>
      <c r="BR511" s="15" t="n">
        <f aca="false">BH511+AD511+BL511+MAX(0,-AM511)+MAX(0,-AR511)</f>
        <v>210716.364404446</v>
      </c>
      <c r="BS511" s="15" t="n">
        <f aca="false">AJ511+AV511+MAX(0,AM511)+MAX(0,AR511)+BC511+BG511+BQ511+AG511</f>
        <v>210716.364404446</v>
      </c>
      <c r="BT511" s="15" t="n">
        <f aca="false">BR511-BS511</f>
        <v>0</v>
      </c>
      <c r="BU511" s="15" t="n">
        <f aca="false">BH511-(BD511+BE511-BF511-AY511)</f>
        <v>0</v>
      </c>
      <c r="BV511" s="15" t="n">
        <f aca="false">IF(BH510&lt;Parametri_v3!$C$31,0,BV510+1)</f>
        <v>0</v>
      </c>
    </row>
    <row r="512" customFormat="false" ht="18" hidden="false" customHeight="true" outlineLevel="0" collapsed="false">
      <c r="A512" s="68" t="n">
        <f aca="false">9</f>
        <v>9</v>
      </c>
      <c r="B512" s="68" t="n">
        <f aca="false">28</f>
        <v>28</v>
      </c>
      <c r="C512" s="18" t="n">
        <f aca="false">Motore_Operativo!C512</f>
        <v>47209</v>
      </c>
      <c r="D512" s="68" t="n">
        <f aca="false">Motore_Operativo!D512</f>
        <v>2029</v>
      </c>
      <c r="E512" s="68" t="n">
        <f aca="false">Motore_Operativo!E512</f>
        <v>4</v>
      </c>
      <c r="F512" s="15" t="n">
        <f aca="false">Motore_Operativo!AM512</f>
        <v>60500</v>
      </c>
      <c r="G512" s="15" t="n">
        <f aca="false">Motore_Operativo!BH512</f>
        <v>6050</v>
      </c>
      <c r="H512" s="15" t="n">
        <f aca="false">Motore_Operativo!AM512</f>
        <v>60500</v>
      </c>
      <c r="I512" s="15" t="n">
        <f aca="false">Motore_Operativo!CB512</f>
        <v>46259.8958333333</v>
      </c>
      <c r="J512" s="15" t="n">
        <f aca="false">Motore_Operativo!CD512</f>
        <v>14240.1041666667</v>
      </c>
      <c r="K512" s="15" t="n">
        <f aca="false">Motore_Operativo!CF512</f>
        <v>416.666666666667</v>
      </c>
      <c r="L512" s="15" t="n">
        <f aca="false">SUM(INDEX($K$485:$K$544,MAX(1,28-Parametri_v3!$C$59+1)):K512)/Parametri_v3!$C$59</f>
        <v>268.518518518519</v>
      </c>
      <c r="M512" s="15" t="n">
        <f aca="false">J512-L512</f>
        <v>13971.5856481482</v>
      </c>
      <c r="N512" s="15" t="n">
        <f aca="false">0</f>
        <v>0</v>
      </c>
      <c r="O512" s="15" t="n">
        <f aca="false">0</f>
        <v>0</v>
      </c>
      <c r="P512" s="15" t="n">
        <f aca="false">M512+N512-O512</f>
        <v>13971.5856481482</v>
      </c>
      <c r="Q512" s="15" t="n">
        <f aca="false">SUM(P509:P512)+Parametri_v3!$C$56*4/12</f>
        <v>55955.7870370371</v>
      </c>
      <c r="R512" s="15" t="n">
        <f aca="false">Z508</f>
        <v>0</v>
      </c>
      <c r="S512" s="15" t="n">
        <f aca="false">AA508</f>
        <v>0</v>
      </c>
      <c r="T512" s="15" t="n">
        <f aca="false">MIN(R512,MAX(0,Q512))</f>
        <v>0</v>
      </c>
      <c r="U512" s="15" t="n">
        <f aca="false">MIN(S512,MAX(0,Q512-T512)*Parametri_v3!$C$42)</f>
        <v>0</v>
      </c>
      <c r="V512" s="15" t="n">
        <f aca="false">MAX(0,Q512-T512-U512)*Ipotesi!$C$92</f>
        <v>13429.3888888889</v>
      </c>
      <c r="W512" s="15" t="n">
        <f aca="false">MAX(0,SUM(M509:M512)+Parametri_v3!$C$57*4/12)*Ipotesi!$C$93</f>
        <v>2182.27569444445</v>
      </c>
      <c r="X512" s="15" t="n">
        <f aca="false">V512+W512-(V511+W511)</f>
        <v>3898.07239583333</v>
      </c>
      <c r="Y512" s="15" t="n">
        <f aca="false">P512-X512</f>
        <v>10073.5132523148</v>
      </c>
      <c r="Z512" s="15" t="n">
        <f aca="false">R512-T512+IF(AND(Parametri_v3!$C$40=1,D512-YEAR(Parametri_v3!$C$50)&lt;Parametri_v3!$C$41),MAX(0,-Q512),0)</f>
        <v>0</v>
      </c>
      <c r="AA512" s="15" t="n">
        <f aca="false">S512-U512+IF(AND(Parametri_v3!$C$40=1,D512-YEAR(Parametri_v3!$C$50)&lt;Parametri_v3!$C$41),0,MAX(0,-Q512))</f>
        <v>0</v>
      </c>
      <c r="AB512" s="15" t="n">
        <f aca="false">F512*(1+Parametri_v3!$C$26)</f>
        <v>73810</v>
      </c>
      <c r="AC512" s="15" t="n">
        <f aca="false">(IF(28-(INT((Motore_Operativo!L512)/30))&lt;1,0,INDEX(Motore_Advisory!$AB$485:$AB$544,MAX(1,28-(INT((Motore_Operativo!L512)/30)))))*(1-(MOD((Motore_Operativo!L512),30)/30))+IF(28-(INT((Motore_Operativo!L512)/30))-1&lt;1,0,INDEX(Motore_Advisory!$AB$485:$AB$544,MAX(1,28-(INT((Motore_Operativo!L512)/30))-1)))*(MOD((Motore_Operativo!L512),30)/30))</f>
        <v>73810</v>
      </c>
      <c r="AD512" s="15" t="n">
        <f aca="false">(AD511)+AB512-AC512</f>
        <v>221430</v>
      </c>
      <c r="AE512" s="15" t="n">
        <f aca="false">Motore_Operativo!BH512*(1+Parametri_v3!$C$26)</f>
        <v>7381</v>
      </c>
      <c r="AF512" s="15" t="n">
        <f aca="false">(IF(28-(INT((Parametri_v3!$C$29)/30))&lt;1,0,INDEX(Motore_Operativo!$BH$485:$BH$544,MAX(1,28-(INT((Parametri_v3!$C$29)/30)))))*(1-(MOD((Parametri_v3!$C$29),30)/30))+IF(28-(INT((Parametri_v3!$C$29)/30))-1&lt;1,0,INDEX(Motore_Operativo!$BH$485:$BH$544,MAX(1,28-(INT((Parametri_v3!$C$29)/30))-1)))*(MOD((Parametri_v3!$C$29),30)/30))*(1+Parametri_v3!$C$26)</f>
        <v>7381</v>
      </c>
      <c r="AG512" s="15" t="n">
        <f aca="false">(AG511)+AE512-AF512</f>
        <v>7381</v>
      </c>
      <c r="AH512" s="15" t="n">
        <f aca="false">(Motore_Operativo!CK512)*(1+Parametri_v3!$C$28*Parametri_v3!$C$26)</f>
        <v>17395.98</v>
      </c>
      <c r="AI512" s="15" t="n">
        <f aca="false">(IF(28-(INT((Ipotesi!$C$91)/30))&lt;1,0,INDEX(Motore_Advisory!$AH$485:$AH$544,MAX(1,28-(INT((Ipotesi!$C$91)/30)))))*(1-(MOD((Ipotesi!$C$91),30)/30))+IF(28-(INT((Ipotesi!$C$91)/30))-1&lt;1,0,INDEX(Motore_Advisory!$AH$485:$AH$544,MAX(1,28-(INT((Ipotesi!$C$91)/30))-1)))*(MOD((Ipotesi!$C$91),30)/30))</f>
        <v>17395.98</v>
      </c>
      <c r="AJ512" s="15" t="n">
        <f aca="false">(AJ511)+AH512-AI512</f>
        <v>34791.96</v>
      </c>
      <c r="AK512" s="15" t="n">
        <f aca="false">(F512- Motore_Operativo!BH512-(Motore_Operativo!CK512)*Parametri_v3!$C$28-Motore_Operativo!CF512)*Parametri_v3!$C$26</f>
        <v>9283.85333333333</v>
      </c>
      <c r="AL512" s="15" t="n">
        <f aca="false">MAX(0,(AM511))</f>
        <v>9283.85333333333</v>
      </c>
      <c r="AM512" s="15" t="n">
        <f aca="false">(AM511)+AK512-AL512</f>
        <v>9283.85333333333</v>
      </c>
      <c r="AN512" s="15" t="n">
        <f aca="false">SUM(X497:X508)</f>
        <v>16530.1714788732</v>
      </c>
      <c r="AO512" s="15" t="n">
        <f aca="false">SUM(AP497:AP508)</f>
        <v>13562.3123684211</v>
      </c>
      <c r="AP512" s="15" t="n">
        <f aca="false">MAX(0,AN512)*IF(4=Parametri_v3!$C$43,Parametri_v3!$C$45,IF(4=Parametri_v3!$C$44,1-Parametri_v3!$C$45,0))</f>
        <v>0</v>
      </c>
      <c r="AQ512" s="15" t="n">
        <f aca="false">MAX(0,AP512+IF(4=Parametri_v3!$C$43,MAX(0,AN512-AO512),0)-MAX(0,-(AR511)))</f>
        <v>0</v>
      </c>
      <c r="AR512" s="15" t="n">
        <f aca="false">(AR511)+X512-AQ512</f>
        <v>18579.5236937855</v>
      </c>
      <c r="AS512" s="15" t="n">
        <f aca="false">Motore_Operativo!AC512-AT512+AU512</f>
        <v>24146.5260416667</v>
      </c>
      <c r="AT512" s="15" t="n">
        <f aca="false">Motore_Operativo!CI512</f>
        <v>1270.86979166667</v>
      </c>
      <c r="AU512" s="15" t="n">
        <f aca="false">MIN(MAX(0,(AV511)+AT512),Parametri_v3!$C$61/12)</f>
        <v>0</v>
      </c>
      <c r="AV512" s="15" t="n">
        <f aca="false">(AV511)+AT512-AU512</f>
        <v>17812.4791666667</v>
      </c>
      <c r="AW512" s="15" t="n">
        <f aca="false">IF(AND(Motore_Operativo!C512=Finanziamenti!$D$7,Finanziamenti!$F$7=1),Finanziamenti!$C$7,0)</f>
        <v>0</v>
      </c>
      <c r="AX512" s="15" t="n">
        <f aca="false">0</f>
        <v>0</v>
      </c>
      <c r="AY512" s="15" t="n">
        <f aca="false">IF(4=Parametri_v3!$C$33,IF(BV512&lt;MIN(12,$B512-1),0,MIN(MAX(0,SUM(Y497:Y508))*Ipotesi!$C$94,MAX(0,(BM508)-(BO511)-BP512),MAX(0,BD512-Parametri_v3!$C$31))),0)</f>
        <v>0</v>
      </c>
      <c r="AZ512" s="15" t="n">
        <f aca="false">0</f>
        <v>0</v>
      </c>
      <c r="BA512" s="15" t="n">
        <f aca="false">0</f>
        <v>0</v>
      </c>
      <c r="BB512" s="15" t="n">
        <f aca="false">0</f>
        <v>0</v>
      </c>
      <c r="BC512" s="15" t="n">
        <f aca="false">0</f>
        <v>0</v>
      </c>
      <c r="BD512" s="15" t="n">
        <f aca="false">(BH511)+AC512-AF512-AI512-AS512-K512*(1+Parametri_v3!$C$26)-AL512-AQ512-O512+AW512+AX512+AZ512+BA512-BB512</f>
        <v>-1688.77274833214</v>
      </c>
      <c r="BE512" s="15" t="n">
        <f aca="false">0</f>
        <v>0</v>
      </c>
      <c r="BF512" s="15" t="n">
        <f aca="false">0</f>
        <v>0</v>
      </c>
      <c r="BG512" s="15" t="n">
        <f aca="false">0</f>
        <v>0</v>
      </c>
      <c r="BH512" s="15" t="n">
        <f aca="false">BD512+BE512-BF512-AY512</f>
        <v>-1688.77274833214</v>
      </c>
      <c r="BI512" s="15" t="n">
        <f aca="false">MAX(0,Parametri_v3!$C$31-BH512)</f>
        <v>11688.7727483321</v>
      </c>
      <c r="BJ512" s="15" t="n">
        <f aca="false">(BJ511)+K512</f>
        <v>9666.66666666667</v>
      </c>
      <c r="BK512" s="15" t="n">
        <f aca="false">(BK511)+L512</f>
        <v>3449.07407407407</v>
      </c>
      <c r="BL512" s="15" t="n">
        <f aca="false">BJ512-BK512</f>
        <v>6217.59259259259</v>
      </c>
      <c r="BM512" s="15" t="n">
        <f aca="false">(BM511)+Y512</f>
        <v>118110.003650475</v>
      </c>
      <c r="BN512" s="15" t="n">
        <f aca="false">(BN511)+AW512+AX512+AZ512</f>
        <v>20000</v>
      </c>
      <c r="BO512" s="15" t="n">
        <f aca="false">(BO511)+AY512</f>
        <v>0</v>
      </c>
      <c r="BP512" s="15" t="n">
        <f aca="false">MIN(Parametri_v3!$C$36*Parametri_v3!$C$35,(BP511)+IF(4=1,MAX(0,SUM(Y497:Y508))*Parametri_v3!$C$34,0))</f>
        <v>2000</v>
      </c>
      <c r="BQ512" s="15" t="n">
        <f aca="false">BN512+BM512-BO512</f>
        <v>138110.003650475</v>
      </c>
      <c r="BR512" s="15" t="n">
        <f aca="false">BH512+AD512+BL512+MAX(0,-AM512)+MAX(0,-AR512)</f>
        <v>225958.81984426</v>
      </c>
      <c r="BS512" s="15" t="n">
        <f aca="false">AJ512+AV512+MAX(0,AM512)+MAX(0,AR512)+BC512+BG512+BQ512+AG512</f>
        <v>225958.819844261</v>
      </c>
      <c r="BT512" s="15" t="n">
        <f aca="false">BR512-BS512</f>
        <v>0</v>
      </c>
      <c r="BU512" s="15" t="n">
        <f aca="false">BH512-(BD512+BE512-BF512-AY512)</f>
        <v>0</v>
      </c>
      <c r="BV512" s="15" t="n">
        <f aca="false">IF(BH511&lt;Parametri_v3!$C$31,0,BV511+1)</f>
        <v>0</v>
      </c>
    </row>
    <row r="513" customFormat="false" ht="18" hidden="false" customHeight="true" outlineLevel="0" collapsed="false">
      <c r="A513" s="68" t="n">
        <f aca="false">9</f>
        <v>9</v>
      </c>
      <c r="B513" s="68" t="n">
        <f aca="false">29</f>
        <v>29</v>
      </c>
      <c r="C513" s="18" t="n">
        <f aca="false">Motore_Operativo!C513</f>
        <v>47239</v>
      </c>
      <c r="D513" s="68" t="n">
        <f aca="false">Motore_Operativo!D513</f>
        <v>2029</v>
      </c>
      <c r="E513" s="68" t="n">
        <f aca="false">Motore_Operativo!E513</f>
        <v>5</v>
      </c>
      <c r="F513" s="15" t="n">
        <f aca="false">Motore_Operativo!AM513</f>
        <v>60500</v>
      </c>
      <c r="G513" s="15" t="n">
        <f aca="false">Motore_Operativo!BH513</f>
        <v>6050</v>
      </c>
      <c r="H513" s="15" t="n">
        <f aca="false">Motore_Operativo!AM513</f>
        <v>60500</v>
      </c>
      <c r="I513" s="15" t="n">
        <f aca="false">Motore_Operativo!CB513</f>
        <v>46259.8958333333</v>
      </c>
      <c r="J513" s="15" t="n">
        <f aca="false">Motore_Operativo!CD513</f>
        <v>14240.1041666667</v>
      </c>
      <c r="K513" s="15" t="n">
        <f aca="false">Motore_Operativo!CF513</f>
        <v>416.666666666667</v>
      </c>
      <c r="L513" s="15" t="n">
        <f aca="false">SUM(INDEX($K$485:$K$544,MAX(1,29-Parametri_v3!$C$59+1)):K513)/Parametri_v3!$C$59</f>
        <v>280.092592592593</v>
      </c>
      <c r="M513" s="15" t="n">
        <f aca="false">J513-L513</f>
        <v>13960.0115740741</v>
      </c>
      <c r="N513" s="15" t="n">
        <f aca="false">0</f>
        <v>0</v>
      </c>
      <c r="O513" s="15" t="n">
        <f aca="false">0</f>
        <v>0</v>
      </c>
      <c r="P513" s="15" t="n">
        <f aca="false">M513+N513-O513</f>
        <v>13960.0115740741</v>
      </c>
      <c r="Q513" s="15" t="n">
        <f aca="false">SUM(P509:P513)+Parametri_v3!$C$56*5/12</f>
        <v>69915.7986111111</v>
      </c>
      <c r="R513" s="15" t="n">
        <f aca="false">Z508</f>
        <v>0</v>
      </c>
      <c r="S513" s="15" t="n">
        <f aca="false">AA508</f>
        <v>0</v>
      </c>
      <c r="T513" s="15" t="n">
        <f aca="false">MIN(R513,MAX(0,Q513))</f>
        <v>0</v>
      </c>
      <c r="U513" s="15" t="n">
        <f aca="false">MIN(S513,MAX(0,Q513-T513)*Parametri_v3!$C$42)</f>
        <v>0</v>
      </c>
      <c r="V513" s="15" t="n">
        <f aca="false">MAX(0,Q513-T513-U513)*Ipotesi!$C$92</f>
        <v>16779.7916666667</v>
      </c>
      <c r="W513" s="15" t="n">
        <f aca="false">MAX(0,SUM(M509:M513)+Parametri_v3!$C$57*5/12)*Ipotesi!$C$93</f>
        <v>2726.71614583333</v>
      </c>
      <c r="X513" s="15" t="n">
        <f aca="false">V513+W513-(V512+W512)</f>
        <v>3894.84322916667</v>
      </c>
      <c r="Y513" s="15" t="n">
        <f aca="false">P513-X513</f>
        <v>10065.1683449074</v>
      </c>
      <c r="Z513" s="15" t="n">
        <f aca="false">R513-T513+IF(AND(Parametri_v3!$C$40=1,D513-YEAR(Parametri_v3!$C$50)&lt;Parametri_v3!$C$41),MAX(0,-Q513),0)</f>
        <v>0</v>
      </c>
      <c r="AA513" s="15" t="n">
        <f aca="false">S513-U513+IF(AND(Parametri_v3!$C$40=1,D513-YEAR(Parametri_v3!$C$50)&lt;Parametri_v3!$C$41),0,MAX(0,-Q513))</f>
        <v>0</v>
      </c>
      <c r="AB513" s="15" t="n">
        <f aca="false">F513*(1+Parametri_v3!$C$26)</f>
        <v>73810</v>
      </c>
      <c r="AC513" s="15" t="n">
        <f aca="false">(IF(29-(INT((Motore_Operativo!L513)/30))&lt;1,0,INDEX(Motore_Advisory!$AB$485:$AB$544,MAX(1,29-(INT((Motore_Operativo!L513)/30)))))*(1-(MOD((Motore_Operativo!L513),30)/30))+IF(29-(INT((Motore_Operativo!L513)/30))-1&lt;1,0,INDEX(Motore_Advisory!$AB$485:$AB$544,MAX(1,29-(INT((Motore_Operativo!L513)/30))-1)))*(MOD((Motore_Operativo!L513),30)/30))</f>
        <v>73810</v>
      </c>
      <c r="AD513" s="15" t="n">
        <f aca="false">(AD512)+AB513-AC513</f>
        <v>221430</v>
      </c>
      <c r="AE513" s="15" t="n">
        <f aca="false">Motore_Operativo!BH513*(1+Parametri_v3!$C$26)</f>
        <v>7381</v>
      </c>
      <c r="AF513" s="15" t="n">
        <f aca="false">(IF(29-(INT((Parametri_v3!$C$29)/30))&lt;1,0,INDEX(Motore_Operativo!$BH$485:$BH$544,MAX(1,29-(INT((Parametri_v3!$C$29)/30)))))*(1-(MOD((Parametri_v3!$C$29),30)/30))+IF(29-(INT((Parametri_v3!$C$29)/30))-1&lt;1,0,INDEX(Motore_Operativo!$BH$485:$BH$544,MAX(1,29-(INT((Parametri_v3!$C$29)/30))-1)))*(MOD((Parametri_v3!$C$29),30)/30))*(1+Parametri_v3!$C$26)</f>
        <v>7381</v>
      </c>
      <c r="AG513" s="15" t="n">
        <f aca="false">(AG512)+AE513-AF513</f>
        <v>7381</v>
      </c>
      <c r="AH513" s="15" t="n">
        <f aca="false">(Motore_Operativo!CK513)*(1+Parametri_v3!$C$28*Parametri_v3!$C$26)</f>
        <v>17395.98</v>
      </c>
      <c r="AI513" s="15" t="n">
        <f aca="false">(IF(29-(INT((Ipotesi!$C$91)/30))&lt;1,0,INDEX(Motore_Advisory!$AH$485:$AH$544,MAX(1,29-(INT((Ipotesi!$C$91)/30)))))*(1-(MOD((Ipotesi!$C$91),30)/30))+IF(29-(INT((Ipotesi!$C$91)/30))-1&lt;1,0,INDEX(Motore_Advisory!$AH$485:$AH$544,MAX(1,29-(INT((Ipotesi!$C$91)/30))-1)))*(MOD((Ipotesi!$C$91),30)/30))</f>
        <v>17395.98</v>
      </c>
      <c r="AJ513" s="15" t="n">
        <f aca="false">(AJ512)+AH513-AI513</f>
        <v>34791.96</v>
      </c>
      <c r="AK513" s="15" t="n">
        <f aca="false">(F513- Motore_Operativo!BH513-(Motore_Operativo!CK513)*Parametri_v3!$C$28-Motore_Operativo!CF513)*Parametri_v3!$C$26</f>
        <v>9283.85333333333</v>
      </c>
      <c r="AL513" s="15" t="n">
        <f aca="false">MAX(0,(AM512))</f>
        <v>9283.85333333333</v>
      </c>
      <c r="AM513" s="15" t="n">
        <f aca="false">(AM512)+AK513-AL513</f>
        <v>9283.85333333333</v>
      </c>
      <c r="AN513" s="15" t="n">
        <f aca="false">SUM(X497:X508)</f>
        <v>16530.1714788732</v>
      </c>
      <c r="AO513" s="15" t="n">
        <f aca="false">SUM(AP497:AP508)</f>
        <v>13562.3123684211</v>
      </c>
      <c r="AP513" s="15" t="n">
        <f aca="false">MAX(0,AN513)*IF(5=Parametri_v3!$C$43,Parametri_v3!$C$45,IF(5=Parametri_v3!$C$44,1-Parametri_v3!$C$45,0))</f>
        <v>0</v>
      </c>
      <c r="AQ513" s="15" t="n">
        <f aca="false">MAX(0,AP513+IF(5=Parametri_v3!$C$43,MAX(0,AN513-AO513),0)-MAX(0,-(AR512)))</f>
        <v>0</v>
      </c>
      <c r="AR513" s="15" t="n">
        <f aca="false">(AR512)+X513-AQ513</f>
        <v>22474.3669229522</v>
      </c>
      <c r="AS513" s="15" t="n">
        <f aca="false">Motore_Operativo!AC513-AT513+AU513</f>
        <v>24146.5260416667</v>
      </c>
      <c r="AT513" s="15" t="n">
        <f aca="false">Motore_Operativo!CI513</f>
        <v>1270.86979166667</v>
      </c>
      <c r="AU513" s="15" t="n">
        <f aca="false">MIN(MAX(0,(AV512)+AT513),Parametri_v3!$C$61/12)</f>
        <v>0</v>
      </c>
      <c r="AV513" s="15" t="n">
        <f aca="false">(AV512)+AT513-AU513</f>
        <v>19083.3489583333</v>
      </c>
      <c r="AW513" s="15" t="n">
        <f aca="false">IF(AND(Motore_Operativo!C513=Finanziamenti!$D$7,Finanziamenti!$F$7=1),Finanziamenti!$C$7,0)</f>
        <v>0</v>
      </c>
      <c r="AX513" s="15" t="n">
        <f aca="false">0</f>
        <v>0</v>
      </c>
      <c r="AY513" s="15" t="n">
        <f aca="false">IF(5=Parametri_v3!$C$33,IF(BV513&lt;MIN(12,$B513-1),0,MIN(MAX(0,SUM(Y497:Y508))*Ipotesi!$C$94,MAX(0,(BM508)-(BO512)-BP513),MAX(0,BD513-Parametri_v3!$C$31))),0)</f>
        <v>0</v>
      </c>
      <c r="AZ513" s="15" t="n">
        <f aca="false">0</f>
        <v>0</v>
      </c>
      <c r="BA513" s="15" t="n">
        <f aca="false">0</f>
        <v>0</v>
      </c>
      <c r="BB513" s="15" t="n">
        <f aca="false">0</f>
        <v>0</v>
      </c>
      <c r="BC513" s="15" t="n">
        <f aca="false">0</f>
        <v>0</v>
      </c>
      <c r="BD513" s="15" t="n">
        <f aca="false">(BH512)+AC513-AF513-AI513-AS513-K513*(1+Parametri_v3!$C$26)-AL513-AQ513-O513+AW513+AX513+AZ513+BA513-BB513</f>
        <v>13405.5345433345</v>
      </c>
      <c r="BE513" s="15" t="n">
        <f aca="false">0</f>
        <v>0</v>
      </c>
      <c r="BF513" s="15" t="n">
        <f aca="false">0</f>
        <v>0</v>
      </c>
      <c r="BG513" s="15" t="n">
        <f aca="false">0</f>
        <v>0</v>
      </c>
      <c r="BH513" s="15" t="n">
        <f aca="false">BD513+BE513-BF513-AY513</f>
        <v>13405.5345433345</v>
      </c>
      <c r="BI513" s="15" t="n">
        <f aca="false">MAX(0,Parametri_v3!$C$31-BH513)</f>
        <v>0</v>
      </c>
      <c r="BJ513" s="15" t="n">
        <f aca="false">(BJ512)+K513</f>
        <v>10083.3333333333</v>
      </c>
      <c r="BK513" s="15" t="n">
        <f aca="false">(BK512)+L513</f>
        <v>3729.16666666667</v>
      </c>
      <c r="BL513" s="15" t="n">
        <f aca="false">BJ513-BK513</f>
        <v>6354.16666666667</v>
      </c>
      <c r="BM513" s="15" t="n">
        <f aca="false">(BM512)+Y513</f>
        <v>128175.171995382</v>
      </c>
      <c r="BN513" s="15" t="n">
        <f aca="false">(BN512)+AW513+AX513+AZ513</f>
        <v>20000</v>
      </c>
      <c r="BO513" s="15" t="n">
        <f aca="false">(BO512)+AY513</f>
        <v>0</v>
      </c>
      <c r="BP513" s="15" t="n">
        <f aca="false">MIN(Parametri_v3!$C$36*Parametri_v3!$C$35,(BP512)+IF(5=1,MAX(0,SUM(Y497:Y508))*Parametri_v3!$C$34,0))</f>
        <v>2000</v>
      </c>
      <c r="BQ513" s="15" t="n">
        <f aca="false">BN513+BM513-BO513</f>
        <v>148175.171995382</v>
      </c>
      <c r="BR513" s="15" t="n">
        <f aca="false">BH513+AD513+BL513+MAX(0,-AM513)+MAX(0,-AR513)</f>
        <v>241189.701210001</v>
      </c>
      <c r="BS513" s="15" t="n">
        <f aca="false">AJ513+AV513+MAX(0,AM513)+MAX(0,AR513)+BC513+BG513+BQ513+AG513</f>
        <v>241189.701210001</v>
      </c>
      <c r="BT513" s="15" t="n">
        <f aca="false">BR513-BS513</f>
        <v>0</v>
      </c>
      <c r="BU513" s="15" t="n">
        <f aca="false">BH513-(BD513+BE513-BF513-AY513)</f>
        <v>0</v>
      </c>
      <c r="BV513" s="15" t="n">
        <f aca="false">IF(BH512&lt;Parametri_v3!$C$31,0,BV512+1)</f>
        <v>0</v>
      </c>
    </row>
    <row r="514" customFormat="false" ht="18" hidden="false" customHeight="true" outlineLevel="0" collapsed="false">
      <c r="A514" s="68" t="n">
        <f aca="false">9</f>
        <v>9</v>
      </c>
      <c r="B514" s="68" t="n">
        <f aca="false">30</f>
        <v>30</v>
      </c>
      <c r="C514" s="18" t="n">
        <f aca="false">Motore_Operativo!C514</f>
        <v>47270</v>
      </c>
      <c r="D514" s="68" t="n">
        <f aca="false">Motore_Operativo!D514</f>
        <v>2029</v>
      </c>
      <c r="E514" s="68" t="n">
        <f aca="false">Motore_Operativo!E514</f>
        <v>6</v>
      </c>
      <c r="F514" s="15" t="n">
        <f aca="false">Motore_Operativo!AM514</f>
        <v>60500</v>
      </c>
      <c r="G514" s="15" t="n">
        <f aca="false">Motore_Operativo!BH514</f>
        <v>6050</v>
      </c>
      <c r="H514" s="15" t="n">
        <f aca="false">Motore_Operativo!AM514</f>
        <v>60500</v>
      </c>
      <c r="I514" s="15" t="n">
        <f aca="false">Motore_Operativo!CB514</f>
        <v>46259.8958333333</v>
      </c>
      <c r="J514" s="15" t="n">
        <f aca="false">Motore_Operativo!CD514</f>
        <v>14240.1041666667</v>
      </c>
      <c r="K514" s="15" t="n">
        <f aca="false">Motore_Operativo!CF514</f>
        <v>416.666666666667</v>
      </c>
      <c r="L514" s="15" t="n">
        <f aca="false">SUM(INDEX($K$485:$K$544,MAX(1,30-Parametri_v3!$C$59+1)):K514)/Parametri_v3!$C$59</f>
        <v>291.666666666667</v>
      </c>
      <c r="M514" s="15" t="n">
        <f aca="false">J514-L514</f>
        <v>13948.4375</v>
      </c>
      <c r="N514" s="15" t="n">
        <f aca="false">0</f>
        <v>0</v>
      </c>
      <c r="O514" s="15" t="n">
        <f aca="false">0</f>
        <v>0</v>
      </c>
      <c r="P514" s="15" t="n">
        <f aca="false">M514+N514-O514</f>
        <v>13948.4375</v>
      </c>
      <c r="Q514" s="15" t="n">
        <f aca="false">SUM(P509:P514)+Parametri_v3!$C$56*6/12</f>
        <v>83864.2361111111</v>
      </c>
      <c r="R514" s="15" t="n">
        <f aca="false">Z508</f>
        <v>0</v>
      </c>
      <c r="S514" s="15" t="n">
        <f aca="false">AA508</f>
        <v>0</v>
      </c>
      <c r="T514" s="15" t="n">
        <f aca="false">MIN(R514,MAX(0,Q514))</f>
        <v>0</v>
      </c>
      <c r="U514" s="15" t="n">
        <f aca="false">MIN(S514,MAX(0,Q514-T514)*Parametri_v3!$C$42)</f>
        <v>0</v>
      </c>
      <c r="V514" s="15" t="n">
        <f aca="false">MAX(0,Q514-T514-U514)*Ipotesi!$C$92</f>
        <v>20127.4166666667</v>
      </c>
      <c r="W514" s="15" t="n">
        <f aca="false">MAX(0,SUM(M509:M514)+Parametri_v3!$C$57*6/12)*Ipotesi!$C$93</f>
        <v>3270.70520833333</v>
      </c>
      <c r="X514" s="15" t="n">
        <f aca="false">V514+W514-(V513+W513)</f>
        <v>3891.6140625</v>
      </c>
      <c r="Y514" s="15" t="n">
        <f aca="false">P514-X514</f>
        <v>10056.8234375</v>
      </c>
      <c r="Z514" s="15" t="n">
        <f aca="false">R514-T514+IF(AND(Parametri_v3!$C$40=1,D514-YEAR(Parametri_v3!$C$50)&lt;Parametri_v3!$C$41),MAX(0,-Q514),0)</f>
        <v>0</v>
      </c>
      <c r="AA514" s="15" t="n">
        <f aca="false">S514-U514+IF(AND(Parametri_v3!$C$40=1,D514-YEAR(Parametri_v3!$C$50)&lt;Parametri_v3!$C$41),0,MAX(0,-Q514))</f>
        <v>0</v>
      </c>
      <c r="AB514" s="15" t="n">
        <f aca="false">F514*(1+Parametri_v3!$C$26)</f>
        <v>73810</v>
      </c>
      <c r="AC514" s="15" t="n">
        <f aca="false">(IF(30-(INT((Motore_Operativo!L514)/30))&lt;1,0,INDEX(Motore_Advisory!$AB$485:$AB$544,MAX(1,30-(INT((Motore_Operativo!L514)/30)))))*(1-(MOD((Motore_Operativo!L514),30)/30))+IF(30-(INT((Motore_Operativo!L514)/30))-1&lt;1,0,INDEX(Motore_Advisory!$AB$485:$AB$544,MAX(1,30-(INT((Motore_Operativo!L514)/30))-1)))*(MOD((Motore_Operativo!L514),30)/30))</f>
        <v>73810</v>
      </c>
      <c r="AD514" s="15" t="n">
        <f aca="false">(AD513)+AB514-AC514</f>
        <v>221430</v>
      </c>
      <c r="AE514" s="15" t="n">
        <f aca="false">Motore_Operativo!BH514*(1+Parametri_v3!$C$26)</f>
        <v>7381</v>
      </c>
      <c r="AF514" s="15" t="n">
        <f aca="false">(IF(30-(INT((Parametri_v3!$C$29)/30))&lt;1,0,INDEX(Motore_Operativo!$BH$485:$BH$544,MAX(1,30-(INT((Parametri_v3!$C$29)/30)))))*(1-(MOD((Parametri_v3!$C$29),30)/30))+IF(30-(INT((Parametri_v3!$C$29)/30))-1&lt;1,0,INDEX(Motore_Operativo!$BH$485:$BH$544,MAX(1,30-(INT((Parametri_v3!$C$29)/30))-1)))*(MOD((Parametri_v3!$C$29),30)/30))*(1+Parametri_v3!$C$26)</f>
        <v>7381</v>
      </c>
      <c r="AG514" s="15" t="n">
        <f aca="false">(AG513)+AE514-AF514</f>
        <v>7381</v>
      </c>
      <c r="AH514" s="15" t="n">
        <f aca="false">(Motore_Operativo!CK514)*(1+Parametri_v3!$C$28*Parametri_v3!$C$26)</f>
        <v>17395.98</v>
      </c>
      <c r="AI514" s="15" t="n">
        <f aca="false">(IF(30-(INT((Ipotesi!$C$91)/30))&lt;1,0,INDEX(Motore_Advisory!$AH$485:$AH$544,MAX(1,30-(INT((Ipotesi!$C$91)/30)))))*(1-(MOD((Ipotesi!$C$91),30)/30))+IF(30-(INT((Ipotesi!$C$91)/30))-1&lt;1,0,INDEX(Motore_Advisory!$AH$485:$AH$544,MAX(1,30-(INT((Ipotesi!$C$91)/30))-1)))*(MOD((Ipotesi!$C$91),30)/30))</f>
        <v>17395.98</v>
      </c>
      <c r="AJ514" s="15" t="n">
        <f aca="false">(AJ513)+AH514-AI514</f>
        <v>34791.96</v>
      </c>
      <c r="AK514" s="15" t="n">
        <f aca="false">(F514- Motore_Operativo!BH514-(Motore_Operativo!CK514)*Parametri_v3!$C$28-Motore_Operativo!CF514)*Parametri_v3!$C$26</f>
        <v>9283.85333333333</v>
      </c>
      <c r="AL514" s="15" t="n">
        <f aca="false">MAX(0,(AM513))</f>
        <v>9283.85333333333</v>
      </c>
      <c r="AM514" s="15" t="n">
        <f aca="false">(AM513)+AK514-AL514</f>
        <v>9283.85333333333</v>
      </c>
      <c r="AN514" s="15" t="n">
        <f aca="false">SUM(X497:X508)</f>
        <v>16530.1714788732</v>
      </c>
      <c r="AO514" s="15" t="n">
        <f aca="false">SUM(AP497:AP508)</f>
        <v>13562.3123684211</v>
      </c>
      <c r="AP514" s="15" t="n">
        <f aca="false">MAX(0,AN514)*IF(6=Parametri_v3!$C$43,Parametri_v3!$C$45,IF(6=Parametri_v3!$C$44,1-Parametri_v3!$C$45,0))</f>
        <v>6612.06859154929</v>
      </c>
      <c r="AQ514" s="15" t="n">
        <f aca="false">MAX(0,AP514+IF(6=Parametri_v3!$C$43,MAX(0,AN514-AO514),0)-MAX(0,-(AR513)))</f>
        <v>9579.92770200147</v>
      </c>
      <c r="AR514" s="15" t="n">
        <f aca="false">(AR513)+X514-AQ514</f>
        <v>16786.0532834507</v>
      </c>
      <c r="AS514" s="15" t="n">
        <f aca="false">Motore_Operativo!AC514-AT514+AU514</f>
        <v>24146.5260416667</v>
      </c>
      <c r="AT514" s="15" t="n">
        <f aca="false">Motore_Operativo!CI514</f>
        <v>1270.86979166667</v>
      </c>
      <c r="AU514" s="15" t="n">
        <f aca="false">MIN(MAX(0,(AV513)+AT514),Parametri_v3!$C$61/12)</f>
        <v>0</v>
      </c>
      <c r="AV514" s="15" t="n">
        <f aca="false">(AV513)+AT514-AU514</f>
        <v>20354.21875</v>
      </c>
      <c r="AW514" s="15" t="n">
        <f aca="false">IF(AND(Motore_Operativo!C514=Finanziamenti!$D$7,Finanziamenti!$F$7=1),Finanziamenti!$C$7,0)</f>
        <v>0</v>
      </c>
      <c r="AX514" s="15" t="n">
        <f aca="false">0</f>
        <v>0</v>
      </c>
      <c r="AY514" s="15" t="n">
        <f aca="false">IF(6=Parametri_v3!$C$33,IF(BV514&lt;MIN(12,$B514-1),0,MIN(MAX(0,SUM(Y497:Y508))*Ipotesi!$C$94,MAX(0,(BM508)-(BO513)-BP514),MAX(0,BD514-Parametri_v3!$C$31))),0)</f>
        <v>0</v>
      </c>
      <c r="AZ514" s="15" t="n">
        <f aca="false">0</f>
        <v>0</v>
      </c>
      <c r="BA514" s="15" t="n">
        <f aca="false">0</f>
        <v>0</v>
      </c>
      <c r="BB514" s="15" t="n">
        <f aca="false">0</f>
        <v>0</v>
      </c>
      <c r="BC514" s="15" t="n">
        <f aca="false">0</f>
        <v>0</v>
      </c>
      <c r="BD514" s="15" t="n">
        <f aca="false">(BH513)+AC514-AF514-AI514-AS514-K514*(1+Parametri_v3!$C$26)-AL514-AQ514-O514+AW514+AX514+AZ514+BA514-BB514</f>
        <v>18919.9141329997</v>
      </c>
      <c r="BE514" s="15" t="n">
        <f aca="false">0</f>
        <v>0</v>
      </c>
      <c r="BF514" s="15" t="n">
        <f aca="false">0</f>
        <v>0</v>
      </c>
      <c r="BG514" s="15" t="n">
        <f aca="false">0</f>
        <v>0</v>
      </c>
      <c r="BH514" s="15" t="n">
        <f aca="false">BD514+BE514-BF514-AY514</f>
        <v>18919.9141329997</v>
      </c>
      <c r="BI514" s="15" t="n">
        <f aca="false">MAX(0,Parametri_v3!$C$31-BH514)</f>
        <v>0</v>
      </c>
      <c r="BJ514" s="15" t="n">
        <f aca="false">(BJ513)+K514</f>
        <v>10500</v>
      </c>
      <c r="BK514" s="15" t="n">
        <f aca="false">(BK513)+L514</f>
        <v>4020.83333333333</v>
      </c>
      <c r="BL514" s="15" t="n">
        <f aca="false">BJ514-BK514</f>
        <v>6479.16666666667</v>
      </c>
      <c r="BM514" s="15" t="n">
        <f aca="false">(BM513)+Y514</f>
        <v>138231.995432882</v>
      </c>
      <c r="BN514" s="15" t="n">
        <f aca="false">(BN513)+AW514+AX514+AZ514</f>
        <v>20000</v>
      </c>
      <c r="BO514" s="15" t="n">
        <f aca="false">(BO513)+AY514</f>
        <v>0</v>
      </c>
      <c r="BP514" s="15" t="n">
        <f aca="false">MIN(Parametri_v3!$C$36*Parametri_v3!$C$35,(BP513)+IF(6=1,MAX(0,SUM(Y497:Y508))*Parametri_v3!$C$34,0))</f>
        <v>2000</v>
      </c>
      <c r="BQ514" s="15" t="n">
        <f aca="false">BN514+BM514-BO514</f>
        <v>158231.995432882</v>
      </c>
      <c r="BR514" s="15" t="n">
        <f aca="false">BH514+AD514+BL514+MAX(0,-AM514)+MAX(0,-AR514)</f>
        <v>246829.080799666</v>
      </c>
      <c r="BS514" s="15" t="n">
        <f aca="false">AJ514+AV514+MAX(0,AM514)+MAX(0,AR514)+BC514+BG514+BQ514+AG514</f>
        <v>246829.080799666</v>
      </c>
      <c r="BT514" s="15" t="n">
        <f aca="false">BR514-BS514</f>
        <v>0</v>
      </c>
      <c r="BU514" s="15" t="n">
        <f aca="false">BH514-(BD514+BE514-BF514-AY514)</f>
        <v>0</v>
      </c>
      <c r="BV514" s="15" t="n">
        <f aca="false">IF(BH513&lt;Parametri_v3!$C$31,0,BV513+1)</f>
        <v>1</v>
      </c>
    </row>
    <row r="515" customFormat="false" ht="18" hidden="false" customHeight="true" outlineLevel="0" collapsed="false">
      <c r="A515" s="68" t="n">
        <f aca="false">9</f>
        <v>9</v>
      </c>
      <c r="B515" s="68" t="n">
        <f aca="false">31</f>
        <v>31</v>
      </c>
      <c r="C515" s="18" t="n">
        <f aca="false">Motore_Operativo!C515</f>
        <v>47300</v>
      </c>
      <c r="D515" s="68" t="n">
        <f aca="false">Motore_Operativo!D515</f>
        <v>2029</v>
      </c>
      <c r="E515" s="68" t="n">
        <f aca="false">Motore_Operativo!E515</f>
        <v>7</v>
      </c>
      <c r="F515" s="15" t="n">
        <f aca="false">Motore_Operativo!AM515</f>
        <v>60500</v>
      </c>
      <c r="G515" s="15" t="n">
        <f aca="false">Motore_Operativo!BH515</f>
        <v>6050</v>
      </c>
      <c r="H515" s="15" t="n">
        <f aca="false">Motore_Operativo!AM515</f>
        <v>60500</v>
      </c>
      <c r="I515" s="15" t="n">
        <f aca="false">Motore_Operativo!CB515</f>
        <v>46259.8958333333</v>
      </c>
      <c r="J515" s="15" t="n">
        <f aca="false">Motore_Operativo!CD515</f>
        <v>14240.1041666667</v>
      </c>
      <c r="K515" s="15" t="n">
        <f aca="false">Motore_Operativo!CF515</f>
        <v>416.666666666667</v>
      </c>
      <c r="L515" s="15" t="n">
        <f aca="false">SUM(INDEX($K$485:$K$544,MAX(1,31-Parametri_v3!$C$59+1)):K515)/Parametri_v3!$C$59</f>
        <v>303.240740740741</v>
      </c>
      <c r="M515" s="15" t="n">
        <f aca="false">J515-L515</f>
        <v>13936.8634259259</v>
      </c>
      <c r="N515" s="15" t="n">
        <f aca="false">0</f>
        <v>0</v>
      </c>
      <c r="O515" s="15" t="n">
        <f aca="false">0</f>
        <v>0</v>
      </c>
      <c r="P515" s="15" t="n">
        <f aca="false">M515+N515-O515</f>
        <v>13936.8634259259</v>
      </c>
      <c r="Q515" s="15" t="n">
        <f aca="false">SUM(P509:P515)+Parametri_v3!$C$56*7/12</f>
        <v>97801.0995370371</v>
      </c>
      <c r="R515" s="15" t="n">
        <f aca="false">Z508</f>
        <v>0</v>
      </c>
      <c r="S515" s="15" t="n">
        <f aca="false">AA508</f>
        <v>0</v>
      </c>
      <c r="T515" s="15" t="n">
        <f aca="false">MIN(R515,MAX(0,Q515))</f>
        <v>0</v>
      </c>
      <c r="U515" s="15" t="n">
        <f aca="false">MIN(S515,MAX(0,Q515-T515)*Parametri_v3!$C$42)</f>
        <v>0</v>
      </c>
      <c r="V515" s="15" t="n">
        <f aca="false">MAX(0,Q515-T515-U515)*Ipotesi!$C$92</f>
        <v>23472.2638888889</v>
      </c>
      <c r="W515" s="15" t="n">
        <f aca="false">MAX(0,SUM(M509:M515)+Parametri_v3!$C$57*7/12)*Ipotesi!$C$93</f>
        <v>3814.24288194445</v>
      </c>
      <c r="X515" s="15" t="n">
        <f aca="false">V515+W515-(V514+W514)</f>
        <v>3888.38489583334</v>
      </c>
      <c r="Y515" s="15" t="n">
        <f aca="false">P515-X515</f>
        <v>10048.4785300926</v>
      </c>
      <c r="Z515" s="15" t="n">
        <f aca="false">R515-T515+IF(AND(Parametri_v3!$C$40=1,D515-YEAR(Parametri_v3!$C$50)&lt;Parametri_v3!$C$41),MAX(0,-Q515),0)</f>
        <v>0</v>
      </c>
      <c r="AA515" s="15" t="n">
        <f aca="false">S515-U515+IF(AND(Parametri_v3!$C$40=1,D515-YEAR(Parametri_v3!$C$50)&lt;Parametri_v3!$C$41),0,MAX(0,-Q515))</f>
        <v>0</v>
      </c>
      <c r="AB515" s="15" t="n">
        <f aca="false">F515*(1+Parametri_v3!$C$26)</f>
        <v>73810</v>
      </c>
      <c r="AC515" s="15" t="n">
        <f aca="false">(IF(31-(INT((Motore_Operativo!L515)/30))&lt;1,0,INDEX(Motore_Advisory!$AB$485:$AB$544,MAX(1,31-(INT((Motore_Operativo!L515)/30)))))*(1-(MOD((Motore_Operativo!L515),30)/30))+IF(31-(INT((Motore_Operativo!L515)/30))-1&lt;1,0,INDEX(Motore_Advisory!$AB$485:$AB$544,MAX(1,31-(INT((Motore_Operativo!L515)/30))-1)))*(MOD((Motore_Operativo!L515),30)/30))</f>
        <v>73810</v>
      </c>
      <c r="AD515" s="15" t="n">
        <f aca="false">(AD514)+AB515-AC515</f>
        <v>221430</v>
      </c>
      <c r="AE515" s="15" t="n">
        <f aca="false">Motore_Operativo!BH515*(1+Parametri_v3!$C$26)</f>
        <v>7381</v>
      </c>
      <c r="AF515" s="15" t="n">
        <f aca="false">(IF(31-(INT((Parametri_v3!$C$29)/30))&lt;1,0,INDEX(Motore_Operativo!$BH$485:$BH$544,MAX(1,31-(INT((Parametri_v3!$C$29)/30)))))*(1-(MOD((Parametri_v3!$C$29),30)/30))+IF(31-(INT((Parametri_v3!$C$29)/30))-1&lt;1,0,INDEX(Motore_Operativo!$BH$485:$BH$544,MAX(1,31-(INT((Parametri_v3!$C$29)/30))-1)))*(MOD((Parametri_v3!$C$29),30)/30))*(1+Parametri_v3!$C$26)</f>
        <v>7381</v>
      </c>
      <c r="AG515" s="15" t="n">
        <f aca="false">(AG514)+AE515-AF515</f>
        <v>7381</v>
      </c>
      <c r="AH515" s="15" t="n">
        <f aca="false">(Motore_Operativo!CK515)*(1+Parametri_v3!$C$28*Parametri_v3!$C$26)</f>
        <v>17395.98</v>
      </c>
      <c r="AI515" s="15" t="n">
        <f aca="false">(IF(31-(INT((Ipotesi!$C$91)/30))&lt;1,0,INDEX(Motore_Advisory!$AH$485:$AH$544,MAX(1,31-(INT((Ipotesi!$C$91)/30)))))*(1-(MOD((Ipotesi!$C$91),30)/30))+IF(31-(INT((Ipotesi!$C$91)/30))-1&lt;1,0,INDEX(Motore_Advisory!$AH$485:$AH$544,MAX(1,31-(INT((Ipotesi!$C$91)/30))-1)))*(MOD((Ipotesi!$C$91),30)/30))</f>
        <v>17395.98</v>
      </c>
      <c r="AJ515" s="15" t="n">
        <f aca="false">(AJ514)+AH515-AI515</f>
        <v>34791.96</v>
      </c>
      <c r="AK515" s="15" t="n">
        <f aca="false">(F515- Motore_Operativo!BH515-(Motore_Operativo!CK515)*Parametri_v3!$C$28-Motore_Operativo!CF515)*Parametri_v3!$C$26</f>
        <v>9283.85333333333</v>
      </c>
      <c r="AL515" s="15" t="n">
        <f aca="false">MAX(0,(AM514))</f>
        <v>9283.85333333333</v>
      </c>
      <c r="AM515" s="15" t="n">
        <f aca="false">(AM514)+AK515-AL515</f>
        <v>9283.85333333333</v>
      </c>
      <c r="AN515" s="15" t="n">
        <f aca="false">SUM(X497:X508)</f>
        <v>16530.1714788732</v>
      </c>
      <c r="AO515" s="15" t="n">
        <f aca="false">SUM(AP497:AP508)</f>
        <v>13562.3123684211</v>
      </c>
      <c r="AP515" s="15" t="n">
        <f aca="false">MAX(0,AN515)*IF(7=Parametri_v3!$C$43,Parametri_v3!$C$45,IF(7=Parametri_v3!$C$44,1-Parametri_v3!$C$45,0))</f>
        <v>0</v>
      </c>
      <c r="AQ515" s="15" t="n">
        <f aca="false">MAX(0,AP515+IF(7=Parametri_v3!$C$43,MAX(0,AN515-AO515),0)-MAX(0,-(AR514)))</f>
        <v>0</v>
      </c>
      <c r="AR515" s="15" t="n">
        <f aca="false">(AR514)+X515-AQ515</f>
        <v>20674.438179284</v>
      </c>
      <c r="AS515" s="15" t="n">
        <f aca="false">Motore_Operativo!AC515-AT515+AU515</f>
        <v>24146.5260416667</v>
      </c>
      <c r="AT515" s="15" t="n">
        <f aca="false">Motore_Operativo!CI515</f>
        <v>1270.86979166667</v>
      </c>
      <c r="AU515" s="15" t="n">
        <f aca="false">MIN(MAX(0,(AV514)+AT515),Parametri_v3!$C$61/12)</f>
        <v>0</v>
      </c>
      <c r="AV515" s="15" t="n">
        <f aca="false">(AV514)+AT515-AU515</f>
        <v>21625.0885416667</v>
      </c>
      <c r="AW515" s="15" t="n">
        <f aca="false">IF(AND(Motore_Operativo!C515=Finanziamenti!$D$7,Finanziamenti!$F$7=1),Finanziamenti!$C$7,0)</f>
        <v>0</v>
      </c>
      <c r="AX515" s="15" t="n">
        <f aca="false">0</f>
        <v>0</v>
      </c>
      <c r="AY515" s="15" t="n">
        <f aca="false">IF(7=Parametri_v3!$C$33,IF(BV515&lt;MIN(12,$B515-1),0,MIN(MAX(0,SUM(Y497:Y508))*Ipotesi!$C$94,MAX(0,(BM508)-(BO514)-BP515),MAX(0,BD515-Parametri_v3!$C$31))),0)</f>
        <v>0</v>
      </c>
      <c r="AZ515" s="15" t="n">
        <f aca="false">0</f>
        <v>0</v>
      </c>
      <c r="BA515" s="15" t="n">
        <f aca="false">0</f>
        <v>0</v>
      </c>
      <c r="BB515" s="15" t="n">
        <f aca="false">0</f>
        <v>0</v>
      </c>
      <c r="BC515" s="15" t="n">
        <f aca="false">0</f>
        <v>0</v>
      </c>
      <c r="BD515" s="15" t="n">
        <f aca="false">(BH514)+AC515-AF515-AI515-AS515-K515*(1+Parametri_v3!$C$26)-AL515-AQ515-O515+AW515+AX515+AZ515+BA515-BB515</f>
        <v>34014.2214246664</v>
      </c>
      <c r="BE515" s="15" t="n">
        <f aca="false">0</f>
        <v>0</v>
      </c>
      <c r="BF515" s="15" t="n">
        <f aca="false">0</f>
        <v>0</v>
      </c>
      <c r="BG515" s="15" t="n">
        <f aca="false">0</f>
        <v>0</v>
      </c>
      <c r="BH515" s="15" t="n">
        <f aca="false">BD515+BE515-BF515-AY515</f>
        <v>34014.2214246664</v>
      </c>
      <c r="BI515" s="15" t="n">
        <f aca="false">MAX(0,Parametri_v3!$C$31-BH515)</f>
        <v>0</v>
      </c>
      <c r="BJ515" s="15" t="n">
        <f aca="false">(BJ514)+K515</f>
        <v>10916.6666666667</v>
      </c>
      <c r="BK515" s="15" t="n">
        <f aca="false">(BK514)+L515</f>
        <v>4324.07407407407</v>
      </c>
      <c r="BL515" s="15" t="n">
        <f aca="false">BJ515-BK515</f>
        <v>6592.59259259259</v>
      </c>
      <c r="BM515" s="15" t="n">
        <f aca="false">(BM514)+Y515</f>
        <v>148280.473962975</v>
      </c>
      <c r="BN515" s="15" t="n">
        <f aca="false">(BN514)+AW515+AX515+AZ515</f>
        <v>20000</v>
      </c>
      <c r="BO515" s="15" t="n">
        <f aca="false">(BO514)+AY515</f>
        <v>0</v>
      </c>
      <c r="BP515" s="15" t="n">
        <f aca="false">MIN(Parametri_v3!$C$36*Parametri_v3!$C$35,(BP514)+IF(7=1,MAX(0,SUM(Y497:Y508))*Parametri_v3!$C$34,0))</f>
        <v>2000</v>
      </c>
      <c r="BQ515" s="15" t="n">
        <f aca="false">BN515+BM515-BO515</f>
        <v>168280.473962975</v>
      </c>
      <c r="BR515" s="15" t="n">
        <f aca="false">BH515+AD515+BL515+MAX(0,-AM515)+MAX(0,-AR515)</f>
        <v>262036.814017259</v>
      </c>
      <c r="BS515" s="15" t="n">
        <f aca="false">AJ515+AV515+MAX(0,AM515)+MAX(0,AR515)+BC515+BG515+BQ515+AG515</f>
        <v>262036.814017259</v>
      </c>
      <c r="BT515" s="15" t="n">
        <f aca="false">BR515-BS515</f>
        <v>0</v>
      </c>
      <c r="BU515" s="15" t="n">
        <f aca="false">BH515-(BD515+BE515-BF515-AY515)</f>
        <v>0</v>
      </c>
      <c r="BV515" s="15" t="n">
        <f aca="false">IF(BH514&lt;Parametri_v3!$C$31,0,BV514+1)</f>
        <v>2</v>
      </c>
    </row>
    <row r="516" customFormat="false" ht="18" hidden="false" customHeight="true" outlineLevel="0" collapsed="false">
      <c r="A516" s="68" t="n">
        <f aca="false">9</f>
        <v>9</v>
      </c>
      <c r="B516" s="68" t="n">
        <f aca="false">32</f>
        <v>32</v>
      </c>
      <c r="C516" s="18" t="n">
        <f aca="false">Motore_Operativo!C516</f>
        <v>47331</v>
      </c>
      <c r="D516" s="68" t="n">
        <f aca="false">Motore_Operativo!D516</f>
        <v>2029</v>
      </c>
      <c r="E516" s="68" t="n">
        <f aca="false">Motore_Operativo!E516</f>
        <v>8</v>
      </c>
      <c r="F516" s="15" t="n">
        <f aca="false">Motore_Operativo!AM516</f>
        <v>60500</v>
      </c>
      <c r="G516" s="15" t="n">
        <f aca="false">Motore_Operativo!BH516</f>
        <v>6050</v>
      </c>
      <c r="H516" s="15" t="n">
        <f aca="false">Motore_Operativo!AM516</f>
        <v>60500</v>
      </c>
      <c r="I516" s="15" t="n">
        <f aca="false">Motore_Operativo!CB516</f>
        <v>46259.8958333333</v>
      </c>
      <c r="J516" s="15" t="n">
        <f aca="false">Motore_Operativo!CD516</f>
        <v>14240.1041666667</v>
      </c>
      <c r="K516" s="15" t="n">
        <f aca="false">Motore_Operativo!CF516</f>
        <v>416.666666666667</v>
      </c>
      <c r="L516" s="15" t="n">
        <f aca="false">SUM(INDEX($K$485:$K$544,MAX(1,32-Parametri_v3!$C$59+1)):K516)/Parametri_v3!$C$59</f>
        <v>314.814814814815</v>
      </c>
      <c r="M516" s="15" t="n">
        <f aca="false">J516-L516</f>
        <v>13925.2893518519</v>
      </c>
      <c r="N516" s="15" t="n">
        <f aca="false">0</f>
        <v>0</v>
      </c>
      <c r="O516" s="15" t="n">
        <f aca="false">0</f>
        <v>0</v>
      </c>
      <c r="P516" s="15" t="n">
        <f aca="false">M516+N516-O516</f>
        <v>13925.2893518519</v>
      </c>
      <c r="Q516" s="15" t="n">
        <f aca="false">SUM(P509:P516)+Parametri_v3!$C$56*8/12</f>
        <v>111726.388888889</v>
      </c>
      <c r="R516" s="15" t="n">
        <f aca="false">Z508</f>
        <v>0</v>
      </c>
      <c r="S516" s="15" t="n">
        <f aca="false">AA508</f>
        <v>0</v>
      </c>
      <c r="T516" s="15" t="n">
        <f aca="false">MIN(R516,MAX(0,Q516))</f>
        <v>0</v>
      </c>
      <c r="U516" s="15" t="n">
        <f aca="false">MIN(S516,MAX(0,Q516-T516)*Parametri_v3!$C$42)</f>
        <v>0</v>
      </c>
      <c r="V516" s="15" t="n">
        <f aca="false">MAX(0,Q516-T516-U516)*Ipotesi!$C$92</f>
        <v>26814.3333333333</v>
      </c>
      <c r="W516" s="15" t="n">
        <f aca="false">MAX(0,SUM(M509:M516)+Parametri_v3!$C$57*8/12)*Ipotesi!$C$93</f>
        <v>4357.32916666667</v>
      </c>
      <c r="X516" s="15" t="n">
        <f aca="false">V516+W516-(V515+W515)</f>
        <v>3885.15572916667</v>
      </c>
      <c r="Y516" s="15" t="n">
        <f aca="false">P516-X516</f>
        <v>10040.1336226852</v>
      </c>
      <c r="Z516" s="15" t="n">
        <f aca="false">R516-T516+IF(AND(Parametri_v3!$C$40=1,D516-YEAR(Parametri_v3!$C$50)&lt;Parametri_v3!$C$41),MAX(0,-Q516),0)</f>
        <v>0</v>
      </c>
      <c r="AA516" s="15" t="n">
        <f aca="false">S516-U516+IF(AND(Parametri_v3!$C$40=1,D516-YEAR(Parametri_v3!$C$50)&lt;Parametri_v3!$C$41),0,MAX(0,-Q516))</f>
        <v>0</v>
      </c>
      <c r="AB516" s="15" t="n">
        <f aca="false">F516*(1+Parametri_v3!$C$26)</f>
        <v>73810</v>
      </c>
      <c r="AC516" s="15" t="n">
        <f aca="false">(IF(32-(INT((Motore_Operativo!L516)/30))&lt;1,0,INDEX(Motore_Advisory!$AB$485:$AB$544,MAX(1,32-(INT((Motore_Operativo!L516)/30)))))*(1-(MOD((Motore_Operativo!L516),30)/30))+IF(32-(INT((Motore_Operativo!L516)/30))-1&lt;1,0,INDEX(Motore_Advisory!$AB$485:$AB$544,MAX(1,32-(INT((Motore_Operativo!L516)/30))-1)))*(MOD((Motore_Operativo!L516),30)/30))</f>
        <v>73810</v>
      </c>
      <c r="AD516" s="15" t="n">
        <f aca="false">(AD515)+AB516-AC516</f>
        <v>221430</v>
      </c>
      <c r="AE516" s="15" t="n">
        <f aca="false">Motore_Operativo!BH516*(1+Parametri_v3!$C$26)</f>
        <v>7381</v>
      </c>
      <c r="AF516" s="15" t="n">
        <f aca="false">(IF(32-(INT((Parametri_v3!$C$29)/30))&lt;1,0,INDEX(Motore_Operativo!$BH$485:$BH$544,MAX(1,32-(INT((Parametri_v3!$C$29)/30)))))*(1-(MOD((Parametri_v3!$C$29),30)/30))+IF(32-(INT((Parametri_v3!$C$29)/30))-1&lt;1,0,INDEX(Motore_Operativo!$BH$485:$BH$544,MAX(1,32-(INT((Parametri_v3!$C$29)/30))-1)))*(MOD((Parametri_v3!$C$29),30)/30))*(1+Parametri_v3!$C$26)</f>
        <v>7381</v>
      </c>
      <c r="AG516" s="15" t="n">
        <f aca="false">(AG515)+AE516-AF516</f>
        <v>7381</v>
      </c>
      <c r="AH516" s="15" t="n">
        <f aca="false">(Motore_Operativo!CK516)*(1+Parametri_v3!$C$28*Parametri_v3!$C$26)</f>
        <v>17395.98</v>
      </c>
      <c r="AI516" s="15" t="n">
        <f aca="false">(IF(32-(INT((Ipotesi!$C$91)/30))&lt;1,0,INDEX(Motore_Advisory!$AH$485:$AH$544,MAX(1,32-(INT((Ipotesi!$C$91)/30)))))*(1-(MOD((Ipotesi!$C$91),30)/30))+IF(32-(INT((Ipotesi!$C$91)/30))-1&lt;1,0,INDEX(Motore_Advisory!$AH$485:$AH$544,MAX(1,32-(INT((Ipotesi!$C$91)/30))-1)))*(MOD((Ipotesi!$C$91),30)/30))</f>
        <v>17395.98</v>
      </c>
      <c r="AJ516" s="15" t="n">
        <f aca="false">(AJ515)+AH516-AI516</f>
        <v>34791.96</v>
      </c>
      <c r="AK516" s="15" t="n">
        <f aca="false">(F516- Motore_Operativo!BH516-(Motore_Operativo!CK516)*Parametri_v3!$C$28-Motore_Operativo!CF516)*Parametri_v3!$C$26</f>
        <v>9283.85333333333</v>
      </c>
      <c r="AL516" s="15" t="n">
        <f aca="false">MAX(0,(AM515))</f>
        <v>9283.85333333333</v>
      </c>
      <c r="AM516" s="15" t="n">
        <f aca="false">(AM515)+AK516-AL516</f>
        <v>9283.85333333333</v>
      </c>
      <c r="AN516" s="15" t="n">
        <f aca="false">SUM(X497:X508)</f>
        <v>16530.1714788732</v>
      </c>
      <c r="AO516" s="15" t="n">
        <f aca="false">SUM(AP497:AP508)</f>
        <v>13562.3123684211</v>
      </c>
      <c r="AP516" s="15" t="n">
        <f aca="false">MAX(0,AN516)*IF(8=Parametri_v3!$C$43,Parametri_v3!$C$45,IF(8=Parametri_v3!$C$44,1-Parametri_v3!$C$45,0))</f>
        <v>0</v>
      </c>
      <c r="AQ516" s="15" t="n">
        <f aca="false">MAX(0,AP516+IF(8=Parametri_v3!$C$43,MAX(0,AN516-AO516),0)-MAX(0,-(AR515)))</f>
        <v>0</v>
      </c>
      <c r="AR516" s="15" t="n">
        <f aca="false">(AR515)+X516-AQ516</f>
        <v>24559.5939084507</v>
      </c>
      <c r="AS516" s="15" t="n">
        <f aca="false">Motore_Operativo!AC516-AT516+AU516</f>
        <v>24146.5260416667</v>
      </c>
      <c r="AT516" s="15" t="n">
        <f aca="false">Motore_Operativo!CI516</f>
        <v>1270.86979166667</v>
      </c>
      <c r="AU516" s="15" t="n">
        <f aca="false">MIN(MAX(0,(AV515)+AT516),Parametri_v3!$C$61/12)</f>
        <v>0</v>
      </c>
      <c r="AV516" s="15" t="n">
        <f aca="false">(AV515)+AT516-AU516</f>
        <v>22895.9583333333</v>
      </c>
      <c r="AW516" s="15" t="n">
        <f aca="false">IF(AND(Motore_Operativo!C516=Finanziamenti!$D$7,Finanziamenti!$F$7=1),Finanziamenti!$C$7,0)</f>
        <v>0</v>
      </c>
      <c r="AX516" s="15" t="n">
        <f aca="false">0</f>
        <v>0</v>
      </c>
      <c r="AY516" s="15" t="n">
        <f aca="false">IF(8=Parametri_v3!$C$33,IF(BV516&lt;MIN(12,$B516-1),0,MIN(MAX(0,SUM(Y497:Y508))*Ipotesi!$C$94,MAX(0,(BM508)-(BO515)-BP516),MAX(0,BD516-Parametri_v3!$C$31))),0)</f>
        <v>0</v>
      </c>
      <c r="AZ516" s="15" t="n">
        <f aca="false">0</f>
        <v>0</v>
      </c>
      <c r="BA516" s="15" t="n">
        <f aca="false">0</f>
        <v>0</v>
      </c>
      <c r="BB516" s="15" t="n">
        <f aca="false">0</f>
        <v>0</v>
      </c>
      <c r="BC516" s="15" t="n">
        <f aca="false">0</f>
        <v>0</v>
      </c>
      <c r="BD516" s="15" t="n">
        <f aca="false">(BH515)+AC516-AF516-AI516-AS516-K516*(1+Parametri_v3!$C$26)-AL516-AQ516-O516+AW516+AX516+AZ516+BA516-BB516</f>
        <v>49108.528716333</v>
      </c>
      <c r="BE516" s="15" t="n">
        <f aca="false">0</f>
        <v>0</v>
      </c>
      <c r="BF516" s="15" t="n">
        <f aca="false">0</f>
        <v>0</v>
      </c>
      <c r="BG516" s="15" t="n">
        <f aca="false">0</f>
        <v>0</v>
      </c>
      <c r="BH516" s="15" t="n">
        <f aca="false">BD516+BE516-BF516-AY516</f>
        <v>49108.528716333</v>
      </c>
      <c r="BI516" s="15" t="n">
        <f aca="false">MAX(0,Parametri_v3!$C$31-BH516)</f>
        <v>0</v>
      </c>
      <c r="BJ516" s="15" t="n">
        <f aca="false">(BJ515)+K516</f>
        <v>11333.3333333333</v>
      </c>
      <c r="BK516" s="15" t="n">
        <f aca="false">(BK515)+L516</f>
        <v>4638.88888888889</v>
      </c>
      <c r="BL516" s="15" t="n">
        <f aca="false">BJ516-BK516</f>
        <v>6694.44444444444</v>
      </c>
      <c r="BM516" s="15" t="n">
        <f aca="false">(BM515)+Y516</f>
        <v>158320.60758566</v>
      </c>
      <c r="BN516" s="15" t="n">
        <f aca="false">(BN515)+AW516+AX516+AZ516</f>
        <v>20000</v>
      </c>
      <c r="BO516" s="15" t="n">
        <f aca="false">(BO515)+AY516</f>
        <v>0</v>
      </c>
      <c r="BP516" s="15" t="n">
        <f aca="false">MIN(Parametri_v3!$C$36*Parametri_v3!$C$35,(BP515)+IF(8=1,MAX(0,SUM(Y497:Y508))*Parametri_v3!$C$34,0))</f>
        <v>2000</v>
      </c>
      <c r="BQ516" s="15" t="n">
        <f aca="false">BN516+BM516-BO516</f>
        <v>178320.60758566</v>
      </c>
      <c r="BR516" s="15" t="n">
        <f aca="false">BH516+AD516+BL516+MAX(0,-AM516)+MAX(0,-AR516)</f>
        <v>277232.973160778</v>
      </c>
      <c r="BS516" s="15" t="n">
        <f aca="false">AJ516+AV516+MAX(0,AM516)+MAX(0,AR516)+BC516+BG516+BQ516+AG516</f>
        <v>277232.973160778</v>
      </c>
      <c r="BT516" s="15" t="n">
        <f aca="false">BR516-BS516</f>
        <v>0</v>
      </c>
      <c r="BU516" s="15" t="n">
        <f aca="false">BH516-(BD516+BE516-BF516-AY516)</f>
        <v>0</v>
      </c>
      <c r="BV516" s="15" t="n">
        <f aca="false">IF(BH515&lt;Parametri_v3!$C$31,0,BV515+1)</f>
        <v>3</v>
      </c>
    </row>
    <row r="517" customFormat="false" ht="18" hidden="false" customHeight="true" outlineLevel="0" collapsed="false">
      <c r="A517" s="68" t="n">
        <f aca="false">9</f>
        <v>9</v>
      </c>
      <c r="B517" s="68" t="n">
        <f aca="false">33</f>
        <v>33</v>
      </c>
      <c r="C517" s="18" t="n">
        <f aca="false">Motore_Operativo!C517</f>
        <v>47362</v>
      </c>
      <c r="D517" s="68" t="n">
        <f aca="false">Motore_Operativo!D517</f>
        <v>2029</v>
      </c>
      <c r="E517" s="68" t="n">
        <f aca="false">Motore_Operativo!E517</f>
        <v>9</v>
      </c>
      <c r="F517" s="15" t="n">
        <f aca="false">Motore_Operativo!AM517</f>
        <v>60500</v>
      </c>
      <c r="G517" s="15" t="n">
        <f aca="false">Motore_Operativo!BH517</f>
        <v>6050</v>
      </c>
      <c r="H517" s="15" t="n">
        <f aca="false">Motore_Operativo!AM517</f>
        <v>60500</v>
      </c>
      <c r="I517" s="15" t="n">
        <f aca="false">Motore_Operativo!CB517</f>
        <v>46259.8958333333</v>
      </c>
      <c r="J517" s="15" t="n">
        <f aca="false">Motore_Operativo!CD517</f>
        <v>14240.1041666667</v>
      </c>
      <c r="K517" s="15" t="n">
        <f aca="false">Motore_Operativo!CF517</f>
        <v>416.666666666667</v>
      </c>
      <c r="L517" s="15" t="n">
        <f aca="false">SUM(INDEX($K$485:$K$544,MAX(1,33-Parametri_v3!$C$59+1)):K517)/Parametri_v3!$C$59</f>
        <v>326.388888888889</v>
      </c>
      <c r="M517" s="15" t="n">
        <f aca="false">J517-L517</f>
        <v>13913.7152777778</v>
      </c>
      <c r="N517" s="15" t="n">
        <f aca="false">0</f>
        <v>0</v>
      </c>
      <c r="O517" s="15" t="n">
        <f aca="false">0</f>
        <v>0</v>
      </c>
      <c r="P517" s="15" t="n">
        <f aca="false">M517+N517-O517</f>
        <v>13913.7152777778</v>
      </c>
      <c r="Q517" s="15" t="n">
        <f aca="false">SUM(P509:P517)+Parametri_v3!$C$56*9/12</f>
        <v>125640.104166667</v>
      </c>
      <c r="R517" s="15" t="n">
        <f aca="false">Z508</f>
        <v>0</v>
      </c>
      <c r="S517" s="15" t="n">
        <f aca="false">AA508</f>
        <v>0</v>
      </c>
      <c r="T517" s="15" t="n">
        <f aca="false">MIN(R517,MAX(0,Q517))</f>
        <v>0</v>
      </c>
      <c r="U517" s="15" t="n">
        <f aca="false">MIN(S517,MAX(0,Q517-T517)*Parametri_v3!$C$42)</f>
        <v>0</v>
      </c>
      <c r="V517" s="15" t="n">
        <f aca="false">MAX(0,Q517-T517-U517)*Ipotesi!$C$92</f>
        <v>30153.625</v>
      </c>
      <c r="W517" s="15" t="n">
        <f aca="false">MAX(0,SUM(M509:M517)+Parametri_v3!$C$57*9/12)*Ipotesi!$C$93</f>
        <v>4899.9640625</v>
      </c>
      <c r="X517" s="15" t="n">
        <f aca="false">V517+W517-(V516+W516)</f>
        <v>3881.9265625</v>
      </c>
      <c r="Y517" s="15" t="n">
        <f aca="false">P517-X517</f>
        <v>10031.7887152778</v>
      </c>
      <c r="Z517" s="15" t="n">
        <f aca="false">R517-T517+IF(AND(Parametri_v3!$C$40=1,D517-YEAR(Parametri_v3!$C$50)&lt;Parametri_v3!$C$41),MAX(0,-Q517),0)</f>
        <v>0</v>
      </c>
      <c r="AA517" s="15" t="n">
        <f aca="false">S517-U517+IF(AND(Parametri_v3!$C$40=1,D517-YEAR(Parametri_v3!$C$50)&lt;Parametri_v3!$C$41),0,MAX(0,-Q517))</f>
        <v>0</v>
      </c>
      <c r="AB517" s="15" t="n">
        <f aca="false">F517*(1+Parametri_v3!$C$26)</f>
        <v>73810</v>
      </c>
      <c r="AC517" s="15" t="n">
        <f aca="false">(IF(33-(INT((Motore_Operativo!L517)/30))&lt;1,0,INDEX(Motore_Advisory!$AB$485:$AB$544,MAX(1,33-(INT((Motore_Operativo!L517)/30)))))*(1-(MOD((Motore_Operativo!L517),30)/30))+IF(33-(INT((Motore_Operativo!L517)/30))-1&lt;1,0,INDEX(Motore_Advisory!$AB$485:$AB$544,MAX(1,33-(INT((Motore_Operativo!L517)/30))-1)))*(MOD((Motore_Operativo!L517),30)/30))</f>
        <v>73810</v>
      </c>
      <c r="AD517" s="15" t="n">
        <f aca="false">(AD516)+AB517-AC517</f>
        <v>221430</v>
      </c>
      <c r="AE517" s="15" t="n">
        <f aca="false">Motore_Operativo!BH517*(1+Parametri_v3!$C$26)</f>
        <v>7381</v>
      </c>
      <c r="AF517" s="15" t="n">
        <f aca="false">(IF(33-(INT((Parametri_v3!$C$29)/30))&lt;1,0,INDEX(Motore_Operativo!$BH$485:$BH$544,MAX(1,33-(INT((Parametri_v3!$C$29)/30)))))*(1-(MOD((Parametri_v3!$C$29),30)/30))+IF(33-(INT((Parametri_v3!$C$29)/30))-1&lt;1,0,INDEX(Motore_Operativo!$BH$485:$BH$544,MAX(1,33-(INT((Parametri_v3!$C$29)/30))-1)))*(MOD((Parametri_v3!$C$29),30)/30))*(1+Parametri_v3!$C$26)</f>
        <v>7381</v>
      </c>
      <c r="AG517" s="15" t="n">
        <f aca="false">(AG516)+AE517-AF517</f>
        <v>7381</v>
      </c>
      <c r="AH517" s="15" t="n">
        <f aca="false">(Motore_Operativo!CK517)*(1+Parametri_v3!$C$28*Parametri_v3!$C$26)</f>
        <v>17395.98</v>
      </c>
      <c r="AI517" s="15" t="n">
        <f aca="false">(IF(33-(INT((Ipotesi!$C$91)/30))&lt;1,0,INDEX(Motore_Advisory!$AH$485:$AH$544,MAX(1,33-(INT((Ipotesi!$C$91)/30)))))*(1-(MOD((Ipotesi!$C$91),30)/30))+IF(33-(INT((Ipotesi!$C$91)/30))-1&lt;1,0,INDEX(Motore_Advisory!$AH$485:$AH$544,MAX(1,33-(INT((Ipotesi!$C$91)/30))-1)))*(MOD((Ipotesi!$C$91),30)/30))</f>
        <v>17395.98</v>
      </c>
      <c r="AJ517" s="15" t="n">
        <f aca="false">(AJ516)+AH517-AI517</f>
        <v>34791.96</v>
      </c>
      <c r="AK517" s="15" t="n">
        <f aca="false">(F517- Motore_Operativo!BH517-(Motore_Operativo!CK517)*Parametri_v3!$C$28-Motore_Operativo!CF517)*Parametri_v3!$C$26</f>
        <v>9283.85333333333</v>
      </c>
      <c r="AL517" s="15" t="n">
        <f aca="false">MAX(0,(AM516))</f>
        <v>9283.85333333333</v>
      </c>
      <c r="AM517" s="15" t="n">
        <f aca="false">(AM516)+AK517-AL517</f>
        <v>9283.85333333333</v>
      </c>
      <c r="AN517" s="15" t="n">
        <f aca="false">SUM(X497:X508)</f>
        <v>16530.1714788732</v>
      </c>
      <c r="AO517" s="15" t="n">
        <f aca="false">SUM(AP497:AP508)</f>
        <v>13562.3123684211</v>
      </c>
      <c r="AP517" s="15" t="n">
        <f aca="false">MAX(0,AN517)*IF(9=Parametri_v3!$C$43,Parametri_v3!$C$45,IF(9=Parametri_v3!$C$44,1-Parametri_v3!$C$45,0))</f>
        <v>0</v>
      </c>
      <c r="AQ517" s="15" t="n">
        <f aca="false">MAX(0,AP517+IF(9=Parametri_v3!$C$43,MAX(0,AN517-AO517),0)-MAX(0,-(AR516)))</f>
        <v>0</v>
      </c>
      <c r="AR517" s="15" t="n">
        <f aca="false">(AR516)+X517-AQ517</f>
        <v>28441.5204709507</v>
      </c>
      <c r="AS517" s="15" t="n">
        <f aca="false">Motore_Operativo!AC517-AT517+AU517</f>
        <v>24146.5260416667</v>
      </c>
      <c r="AT517" s="15" t="n">
        <f aca="false">Motore_Operativo!CI517</f>
        <v>1270.86979166667</v>
      </c>
      <c r="AU517" s="15" t="n">
        <f aca="false">MIN(MAX(0,(AV516)+AT517),Parametri_v3!$C$61/12)</f>
        <v>0</v>
      </c>
      <c r="AV517" s="15" t="n">
        <f aca="false">(AV516)+AT517-AU517</f>
        <v>24166.828125</v>
      </c>
      <c r="AW517" s="15" t="n">
        <f aca="false">IF(AND(Motore_Operativo!C517=Finanziamenti!$D$7,Finanziamenti!$F$7=1),Finanziamenti!$C$7,0)</f>
        <v>0</v>
      </c>
      <c r="AX517" s="15" t="n">
        <f aca="false">0</f>
        <v>0</v>
      </c>
      <c r="AY517" s="15" t="n">
        <f aca="false">IF(9=Parametri_v3!$C$33,IF(BV517&lt;MIN(12,$B517-1),0,MIN(MAX(0,SUM(Y497:Y508))*Ipotesi!$C$94,MAX(0,(BM508)-(BO516)-BP517),MAX(0,BD517-Parametri_v3!$C$31))),0)</f>
        <v>0</v>
      </c>
      <c r="AZ517" s="15" t="n">
        <f aca="false">0</f>
        <v>0</v>
      </c>
      <c r="BA517" s="15" t="n">
        <f aca="false">0</f>
        <v>0</v>
      </c>
      <c r="BB517" s="15" t="n">
        <f aca="false">0</f>
        <v>0</v>
      </c>
      <c r="BC517" s="15" t="n">
        <f aca="false">0</f>
        <v>0</v>
      </c>
      <c r="BD517" s="15" t="n">
        <f aca="false">(BH516)+AC517-AF517-AI517-AS517-K517*(1+Parametri_v3!$C$26)-AL517-AQ517-O517+AW517+AX517+AZ517+BA517-BB517</f>
        <v>64202.8360079997</v>
      </c>
      <c r="BE517" s="15" t="n">
        <f aca="false">0</f>
        <v>0</v>
      </c>
      <c r="BF517" s="15" t="n">
        <f aca="false">0</f>
        <v>0</v>
      </c>
      <c r="BG517" s="15" t="n">
        <f aca="false">0</f>
        <v>0</v>
      </c>
      <c r="BH517" s="15" t="n">
        <f aca="false">BD517+BE517-BF517-AY517</f>
        <v>64202.8360079997</v>
      </c>
      <c r="BI517" s="15" t="n">
        <f aca="false">MAX(0,Parametri_v3!$C$31-BH517)</f>
        <v>0</v>
      </c>
      <c r="BJ517" s="15" t="n">
        <f aca="false">(BJ516)+K517</f>
        <v>11750</v>
      </c>
      <c r="BK517" s="15" t="n">
        <f aca="false">(BK516)+L517</f>
        <v>4965.27777777778</v>
      </c>
      <c r="BL517" s="15" t="n">
        <f aca="false">BJ517-BK517</f>
        <v>6784.72222222222</v>
      </c>
      <c r="BM517" s="15" t="n">
        <f aca="false">(BM516)+Y517</f>
        <v>168352.396300938</v>
      </c>
      <c r="BN517" s="15" t="n">
        <f aca="false">(BN516)+AW517+AX517+AZ517</f>
        <v>20000</v>
      </c>
      <c r="BO517" s="15" t="n">
        <f aca="false">(BO516)+AY517</f>
        <v>0</v>
      </c>
      <c r="BP517" s="15" t="n">
        <f aca="false">MIN(Parametri_v3!$C$36*Parametri_v3!$C$35,(BP516)+IF(9=1,MAX(0,SUM(Y497:Y508))*Parametri_v3!$C$34,0))</f>
        <v>2000</v>
      </c>
      <c r="BQ517" s="15" t="n">
        <f aca="false">BN517+BM517-BO517</f>
        <v>188352.396300938</v>
      </c>
      <c r="BR517" s="15" t="n">
        <f aca="false">BH517+AD517+BL517+MAX(0,-AM517)+MAX(0,-AR517)</f>
        <v>292417.558230222</v>
      </c>
      <c r="BS517" s="15" t="n">
        <f aca="false">AJ517+AV517+MAX(0,AM517)+MAX(0,AR517)+BC517+BG517+BQ517+AG517</f>
        <v>292417.558230222</v>
      </c>
      <c r="BT517" s="15" t="n">
        <f aca="false">BR517-BS517</f>
        <v>0</v>
      </c>
      <c r="BU517" s="15" t="n">
        <f aca="false">BH517-(BD517+BE517-BF517-AY517)</f>
        <v>0</v>
      </c>
      <c r="BV517" s="15" t="n">
        <f aca="false">IF(BH516&lt;Parametri_v3!$C$31,0,BV516+1)</f>
        <v>4</v>
      </c>
    </row>
    <row r="518" customFormat="false" ht="18" hidden="false" customHeight="true" outlineLevel="0" collapsed="false">
      <c r="A518" s="68" t="n">
        <f aca="false">9</f>
        <v>9</v>
      </c>
      <c r="B518" s="68" t="n">
        <f aca="false">34</f>
        <v>34</v>
      </c>
      <c r="C518" s="18" t="n">
        <f aca="false">Motore_Operativo!C518</f>
        <v>47392</v>
      </c>
      <c r="D518" s="68" t="n">
        <f aca="false">Motore_Operativo!D518</f>
        <v>2029</v>
      </c>
      <c r="E518" s="68" t="n">
        <f aca="false">Motore_Operativo!E518</f>
        <v>10</v>
      </c>
      <c r="F518" s="15" t="n">
        <f aca="false">Motore_Operativo!AM518</f>
        <v>60500</v>
      </c>
      <c r="G518" s="15" t="n">
        <f aca="false">Motore_Operativo!BH518</f>
        <v>6050</v>
      </c>
      <c r="H518" s="15" t="n">
        <f aca="false">Motore_Operativo!AM518</f>
        <v>60500</v>
      </c>
      <c r="I518" s="15" t="n">
        <f aca="false">Motore_Operativo!CB518</f>
        <v>46259.8958333333</v>
      </c>
      <c r="J518" s="15" t="n">
        <f aca="false">Motore_Operativo!CD518</f>
        <v>14240.1041666667</v>
      </c>
      <c r="K518" s="15" t="n">
        <f aca="false">Motore_Operativo!CF518</f>
        <v>416.666666666667</v>
      </c>
      <c r="L518" s="15" t="n">
        <f aca="false">SUM(INDEX($K$485:$K$544,MAX(1,34-Parametri_v3!$C$59+1)):K518)/Parametri_v3!$C$59</f>
        <v>337.962962962963</v>
      </c>
      <c r="M518" s="15" t="n">
        <f aca="false">J518-L518</f>
        <v>13902.1412037037</v>
      </c>
      <c r="N518" s="15" t="n">
        <f aca="false">0</f>
        <v>0</v>
      </c>
      <c r="O518" s="15" t="n">
        <f aca="false">0</f>
        <v>0</v>
      </c>
      <c r="P518" s="15" t="n">
        <f aca="false">M518+N518-O518</f>
        <v>13902.1412037037</v>
      </c>
      <c r="Q518" s="15" t="n">
        <f aca="false">SUM(P509:P518)+Parametri_v3!$C$56*10/12</f>
        <v>139542.24537037</v>
      </c>
      <c r="R518" s="15" t="n">
        <f aca="false">Z508</f>
        <v>0</v>
      </c>
      <c r="S518" s="15" t="n">
        <f aca="false">AA508</f>
        <v>0</v>
      </c>
      <c r="T518" s="15" t="n">
        <f aca="false">MIN(R518,MAX(0,Q518))</f>
        <v>0</v>
      </c>
      <c r="U518" s="15" t="n">
        <f aca="false">MIN(S518,MAX(0,Q518-T518)*Parametri_v3!$C$42)</f>
        <v>0</v>
      </c>
      <c r="V518" s="15" t="n">
        <f aca="false">MAX(0,Q518-T518-U518)*Ipotesi!$C$92</f>
        <v>33490.1388888889</v>
      </c>
      <c r="W518" s="15" t="n">
        <f aca="false">MAX(0,SUM(M509:M518)+Parametri_v3!$C$57*10/12)*Ipotesi!$C$93</f>
        <v>5442.14756944445</v>
      </c>
      <c r="X518" s="15" t="n">
        <f aca="false">V518+W518-(V517+W517)</f>
        <v>3878.69739583333</v>
      </c>
      <c r="Y518" s="15" t="n">
        <f aca="false">P518-X518</f>
        <v>10023.4438078704</v>
      </c>
      <c r="Z518" s="15" t="n">
        <f aca="false">R518-T518+IF(AND(Parametri_v3!$C$40=1,D518-YEAR(Parametri_v3!$C$50)&lt;Parametri_v3!$C$41),MAX(0,-Q518),0)</f>
        <v>0</v>
      </c>
      <c r="AA518" s="15" t="n">
        <f aca="false">S518-U518+IF(AND(Parametri_v3!$C$40=1,D518-YEAR(Parametri_v3!$C$50)&lt;Parametri_v3!$C$41),0,MAX(0,-Q518))</f>
        <v>0</v>
      </c>
      <c r="AB518" s="15" t="n">
        <f aca="false">F518*(1+Parametri_v3!$C$26)</f>
        <v>73810</v>
      </c>
      <c r="AC518" s="15" t="n">
        <f aca="false">(IF(34-(INT((Motore_Operativo!L518)/30))&lt;1,0,INDEX(Motore_Advisory!$AB$485:$AB$544,MAX(1,34-(INT((Motore_Operativo!L518)/30)))))*(1-(MOD((Motore_Operativo!L518),30)/30))+IF(34-(INT((Motore_Operativo!L518)/30))-1&lt;1,0,INDEX(Motore_Advisory!$AB$485:$AB$544,MAX(1,34-(INT((Motore_Operativo!L518)/30))-1)))*(MOD((Motore_Operativo!L518),30)/30))</f>
        <v>73810</v>
      </c>
      <c r="AD518" s="15" t="n">
        <f aca="false">(AD517)+AB518-AC518</f>
        <v>221430</v>
      </c>
      <c r="AE518" s="15" t="n">
        <f aca="false">Motore_Operativo!BH518*(1+Parametri_v3!$C$26)</f>
        <v>7381</v>
      </c>
      <c r="AF518" s="15" t="n">
        <f aca="false">(IF(34-(INT((Parametri_v3!$C$29)/30))&lt;1,0,INDEX(Motore_Operativo!$BH$485:$BH$544,MAX(1,34-(INT((Parametri_v3!$C$29)/30)))))*(1-(MOD((Parametri_v3!$C$29),30)/30))+IF(34-(INT((Parametri_v3!$C$29)/30))-1&lt;1,0,INDEX(Motore_Operativo!$BH$485:$BH$544,MAX(1,34-(INT((Parametri_v3!$C$29)/30))-1)))*(MOD((Parametri_v3!$C$29),30)/30))*(1+Parametri_v3!$C$26)</f>
        <v>7381</v>
      </c>
      <c r="AG518" s="15" t="n">
        <f aca="false">(AG517)+AE518-AF518</f>
        <v>7381</v>
      </c>
      <c r="AH518" s="15" t="n">
        <f aca="false">(Motore_Operativo!CK518)*(1+Parametri_v3!$C$28*Parametri_v3!$C$26)</f>
        <v>17395.98</v>
      </c>
      <c r="AI518" s="15" t="n">
        <f aca="false">(IF(34-(INT((Ipotesi!$C$91)/30))&lt;1,0,INDEX(Motore_Advisory!$AH$485:$AH$544,MAX(1,34-(INT((Ipotesi!$C$91)/30)))))*(1-(MOD((Ipotesi!$C$91),30)/30))+IF(34-(INT((Ipotesi!$C$91)/30))-1&lt;1,0,INDEX(Motore_Advisory!$AH$485:$AH$544,MAX(1,34-(INT((Ipotesi!$C$91)/30))-1)))*(MOD((Ipotesi!$C$91),30)/30))</f>
        <v>17395.98</v>
      </c>
      <c r="AJ518" s="15" t="n">
        <f aca="false">(AJ517)+AH518-AI518</f>
        <v>34791.96</v>
      </c>
      <c r="AK518" s="15" t="n">
        <f aca="false">(F518- Motore_Operativo!BH518-(Motore_Operativo!CK518)*Parametri_v3!$C$28-Motore_Operativo!CF518)*Parametri_v3!$C$26</f>
        <v>9283.85333333333</v>
      </c>
      <c r="AL518" s="15" t="n">
        <f aca="false">MAX(0,(AM517))</f>
        <v>9283.85333333333</v>
      </c>
      <c r="AM518" s="15" t="n">
        <f aca="false">(AM517)+AK518-AL518</f>
        <v>9283.85333333333</v>
      </c>
      <c r="AN518" s="15" t="n">
        <f aca="false">SUM(X497:X508)</f>
        <v>16530.1714788732</v>
      </c>
      <c r="AO518" s="15" t="n">
        <f aca="false">SUM(AP497:AP508)</f>
        <v>13562.3123684211</v>
      </c>
      <c r="AP518" s="15" t="n">
        <f aca="false">MAX(0,AN518)*IF(10=Parametri_v3!$C$43,Parametri_v3!$C$45,IF(10=Parametri_v3!$C$44,1-Parametri_v3!$C$45,0))</f>
        <v>0</v>
      </c>
      <c r="AQ518" s="15" t="n">
        <f aca="false">MAX(0,AP518+IF(10=Parametri_v3!$C$43,MAX(0,AN518-AO518),0)-MAX(0,-(AR517)))</f>
        <v>0</v>
      </c>
      <c r="AR518" s="15" t="n">
        <f aca="false">(AR517)+X518-AQ518</f>
        <v>32320.2178667841</v>
      </c>
      <c r="AS518" s="15" t="n">
        <f aca="false">Motore_Operativo!AC518-AT518+AU518</f>
        <v>24146.5260416667</v>
      </c>
      <c r="AT518" s="15" t="n">
        <f aca="false">Motore_Operativo!CI518</f>
        <v>1270.86979166667</v>
      </c>
      <c r="AU518" s="15" t="n">
        <f aca="false">MIN(MAX(0,(AV517)+AT518),Parametri_v3!$C$61/12)</f>
        <v>0</v>
      </c>
      <c r="AV518" s="15" t="n">
        <f aca="false">(AV517)+AT518-AU518</f>
        <v>25437.6979166667</v>
      </c>
      <c r="AW518" s="15" t="n">
        <f aca="false">IF(AND(Motore_Operativo!C518=Finanziamenti!$D$7,Finanziamenti!$F$7=1),Finanziamenti!$C$7,0)</f>
        <v>0</v>
      </c>
      <c r="AX518" s="15" t="n">
        <f aca="false">0</f>
        <v>0</v>
      </c>
      <c r="AY518" s="15" t="n">
        <f aca="false">IF(10=Parametri_v3!$C$33,IF(BV518&lt;MIN(12,$B518-1),0,MIN(MAX(0,SUM(Y497:Y508))*Ipotesi!$C$94,MAX(0,(BM508)-(BO517)-BP518),MAX(0,BD518-Parametri_v3!$C$31))),0)</f>
        <v>0</v>
      </c>
      <c r="AZ518" s="15" t="n">
        <f aca="false">0</f>
        <v>0</v>
      </c>
      <c r="BA518" s="15" t="n">
        <f aca="false">0</f>
        <v>0</v>
      </c>
      <c r="BB518" s="15" t="n">
        <f aca="false">0</f>
        <v>0</v>
      </c>
      <c r="BC518" s="15" t="n">
        <f aca="false">0</f>
        <v>0</v>
      </c>
      <c r="BD518" s="15" t="n">
        <f aca="false">(BH517)+AC518-AF518-AI518-AS518-K518*(1+Parametri_v3!$C$26)-AL518-AQ518-O518+AW518+AX518+AZ518+BA518-BB518</f>
        <v>79297.1432996664</v>
      </c>
      <c r="BE518" s="15" t="n">
        <f aca="false">0</f>
        <v>0</v>
      </c>
      <c r="BF518" s="15" t="n">
        <f aca="false">0</f>
        <v>0</v>
      </c>
      <c r="BG518" s="15" t="n">
        <f aca="false">0</f>
        <v>0</v>
      </c>
      <c r="BH518" s="15" t="n">
        <f aca="false">BD518+BE518-BF518-AY518</f>
        <v>79297.1432996664</v>
      </c>
      <c r="BI518" s="15" t="n">
        <f aca="false">MAX(0,Parametri_v3!$C$31-BH518)</f>
        <v>0</v>
      </c>
      <c r="BJ518" s="15" t="n">
        <f aca="false">(BJ517)+K518</f>
        <v>12166.6666666667</v>
      </c>
      <c r="BK518" s="15" t="n">
        <f aca="false">(BK517)+L518</f>
        <v>5303.24074074074</v>
      </c>
      <c r="BL518" s="15" t="n">
        <f aca="false">BJ518-BK518</f>
        <v>6863.42592592592</v>
      </c>
      <c r="BM518" s="15" t="n">
        <f aca="false">(BM517)+Y518</f>
        <v>178375.840108808</v>
      </c>
      <c r="BN518" s="15" t="n">
        <f aca="false">(BN517)+AW518+AX518+AZ518</f>
        <v>20000</v>
      </c>
      <c r="BO518" s="15" t="n">
        <f aca="false">(BO517)+AY518</f>
        <v>0</v>
      </c>
      <c r="BP518" s="15" t="n">
        <f aca="false">MIN(Parametri_v3!$C$36*Parametri_v3!$C$35,(BP517)+IF(10=1,MAX(0,SUM(Y497:Y508))*Parametri_v3!$C$34,0))</f>
        <v>2000</v>
      </c>
      <c r="BQ518" s="15" t="n">
        <f aca="false">BN518+BM518-BO518</f>
        <v>198375.840108808</v>
      </c>
      <c r="BR518" s="15" t="n">
        <f aca="false">BH518+AD518+BL518+MAX(0,-AM518)+MAX(0,-AR518)</f>
        <v>307590.569225592</v>
      </c>
      <c r="BS518" s="15" t="n">
        <f aca="false">AJ518+AV518+MAX(0,AM518)+MAX(0,AR518)+BC518+BG518+BQ518+AG518</f>
        <v>307590.569225592</v>
      </c>
      <c r="BT518" s="15" t="n">
        <f aca="false">BR518-BS518</f>
        <v>0</v>
      </c>
      <c r="BU518" s="15" t="n">
        <f aca="false">BH518-(BD518+BE518-BF518-AY518)</f>
        <v>0</v>
      </c>
      <c r="BV518" s="15" t="n">
        <f aca="false">IF(BH517&lt;Parametri_v3!$C$31,0,BV517+1)</f>
        <v>5</v>
      </c>
    </row>
    <row r="519" customFormat="false" ht="18" hidden="false" customHeight="true" outlineLevel="0" collapsed="false">
      <c r="A519" s="68" t="n">
        <f aca="false">9</f>
        <v>9</v>
      </c>
      <c r="B519" s="68" t="n">
        <f aca="false">35</f>
        <v>35</v>
      </c>
      <c r="C519" s="18" t="n">
        <f aca="false">Motore_Operativo!C519</f>
        <v>47423</v>
      </c>
      <c r="D519" s="68" t="n">
        <f aca="false">Motore_Operativo!D519</f>
        <v>2029</v>
      </c>
      <c r="E519" s="68" t="n">
        <f aca="false">Motore_Operativo!E519</f>
        <v>11</v>
      </c>
      <c r="F519" s="15" t="n">
        <f aca="false">Motore_Operativo!AM519</f>
        <v>60500</v>
      </c>
      <c r="G519" s="15" t="n">
        <f aca="false">Motore_Operativo!BH519</f>
        <v>6050</v>
      </c>
      <c r="H519" s="15" t="n">
        <f aca="false">Motore_Operativo!AM519</f>
        <v>60500</v>
      </c>
      <c r="I519" s="15" t="n">
        <f aca="false">Motore_Operativo!CB519</f>
        <v>46259.8958333333</v>
      </c>
      <c r="J519" s="15" t="n">
        <f aca="false">Motore_Operativo!CD519</f>
        <v>14240.1041666667</v>
      </c>
      <c r="K519" s="15" t="n">
        <f aca="false">Motore_Operativo!CF519</f>
        <v>416.666666666667</v>
      </c>
      <c r="L519" s="15" t="n">
        <f aca="false">SUM(INDEX($K$485:$K$544,MAX(1,35-Parametri_v3!$C$59+1)):K519)/Parametri_v3!$C$59</f>
        <v>349.537037037037</v>
      </c>
      <c r="M519" s="15" t="n">
        <f aca="false">J519-L519</f>
        <v>13890.5671296296</v>
      </c>
      <c r="N519" s="15" t="n">
        <f aca="false">0</f>
        <v>0</v>
      </c>
      <c r="O519" s="15" t="n">
        <f aca="false">0</f>
        <v>0</v>
      </c>
      <c r="P519" s="15" t="n">
        <f aca="false">M519+N519-O519</f>
        <v>13890.5671296296</v>
      </c>
      <c r="Q519" s="15" t="n">
        <f aca="false">SUM(P509:P519)+Parametri_v3!$C$56*11/12</f>
        <v>153432.8125</v>
      </c>
      <c r="R519" s="15" t="n">
        <f aca="false">Z508</f>
        <v>0</v>
      </c>
      <c r="S519" s="15" t="n">
        <f aca="false">AA508</f>
        <v>0</v>
      </c>
      <c r="T519" s="15" t="n">
        <f aca="false">MIN(R519,MAX(0,Q519))</f>
        <v>0</v>
      </c>
      <c r="U519" s="15" t="n">
        <f aca="false">MIN(S519,MAX(0,Q519-T519)*Parametri_v3!$C$42)</f>
        <v>0</v>
      </c>
      <c r="V519" s="15" t="n">
        <f aca="false">MAX(0,Q519-T519-U519)*Ipotesi!$C$92</f>
        <v>36823.875</v>
      </c>
      <c r="W519" s="15" t="n">
        <f aca="false">MAX(0,SUM(M509:M519)+Parametri_v3!$C$57*11/12)*Ipotesi!$C$93</f>
        <v>5983.8796875</v>
      </c>
      <c r="X519" s="15" t="n">
        <f aca="false">V519+W519-(V518+W518)</f>
        <v>3875.46822916668</v>
      </c>
      <c r="Y519" s="15" t="n">
        <f aca="false">P519-X519</f>
        <v>10015.098900463</v>
      </c>
      <c r="Z519" s="15" t="n">
        <f aca="false">R519-T519+IF(AND(Parametri_v3!$C$40=1,D519-YEAR(Parametri_v3!$C$50)&lt;Parametri_v3!$C$41),MAX(0,-Q519),0)</f>
        <v>0</v>
      </c>
      <c r="AA519" s="15" t="n">
        <f aca="false">S519-U519+IF(AND(Parametri_v3!$C$40=1,D519-YEAR(Parametri_v3!$C$50)&lt;Parametri_v3!$C$41),0,MAX(0,-Q519))</f>
        <v>0</v>
      </c>
      <c r="AB519" s="15" t="n">
        <f aca="false">F519*(1+Parametri_v3!$C$26)</f>
        <v>73810</v>
      </c>
      <c r="AC519" s="15" t="n">
        <f aca="false">(IF(35-(INT((Motore_Operativo!L519)/30))&lt;1,0,INDEX(Motore_Advisory!$AB$485:$AB$544,MAX(1,35-(INT((Motore_Operativo!L519)/30)))))*(1-(MOD((Motore_Operativo!L519),30)/30))+IF(35-(INT((Motore_Operativo!L519)/30))-1&lt;1,0,INDEX(Motore_Advisory!$AB$485:$AB$544,MAX(1,35-(INT((Motore_Operativo!L519)/30))-1)))*(MOD((Motore_Operativo!L519),30)/30))</f>
        <v>73810</v>
      </c>
      <c r="AD519" s="15" t="n">
        <f aca="false">(AD518)+AB519-AC519</f>
        <v>221430</v>
      </c>
      <c r="AE519" s="15" t="n">
        <f aca="false">Motore_Operativo!BH519*(1+Parametri_v3!$C$26)</f>
        <v>7381</v>
      </c>
      <c r="AF519" s="15" t="n">
        <f aca="false">(IF(35-(INT((Parametri_v3!$C$29)/30))&lt;1,0,INDEX(Motore_Operativo!$BH$485:$BH$544,MAX(1,35-(INT((Parametri_v3!$C$29)/30)))))*(1-(MOD((Parametri_v3!$C$29),30)/30))+IF(35-(INT((Parametri_v3!$C$29)/30))-1&lt;1,0,INDEX(Motore_Operativo!$BH$485:$BH$544,MAX(1,35-(INT((Parametri_v3!$C$29)/30))-1)))*(MOD((Parametri_v3!$C$29),30)/30))*(1+Parametri_v3!$C$26)</f>
        <v>7381</v>
      </c>
      <c r="AG519" s="15" t="n">
        <f aca="false">(AG518)+AE519-AF519</f>
        <v>7381</v>
      </c>
      <c r="AH519" s="15" t="n">
        <f aca="false">(Motore_Operativo!CK519)*(1+Parametri_v3!$C$28*Parametri_v3!$C$26)</f>
        <v>17395.98</v>
      </c>
      <c r="AI519" s="15" t="n">
        <f aca="false">(IF(35-(INT((Ipotesi!$C$91)/30))&lt;1,0,INDEX(Motore_Advisory!$AH$485:$AH$544,MAX(1,35-(INT((Ipotesi!$C$91)/30)))))*(1-(MOD((Ipotesi!$C$91),30)/30))+IF(35-(INT((Ipotesi!$C$91)/30))-1&lt;1,0,INDEX(Motore_Advisory!$AH$485:$AH$544,MAX(1,35-(INT((Ipotesi!$C$91)/30))-1)))*(MOD((Ipotesi!$C$91),30)/30))</f>
        <v>17395.98</v>
      </c>
      <c r="AJ519" s="15" t="n">
        <f aca="false">(AJ518)+AH519-AI519</f>
        <v>34791.96</v>
      </c>
      <c r="AK519" s="15" t="n">
        <f aca="false">(F519- Motore_Operativo!BH519-(Motore_Operativo!CK519)*Parametri_v3!$C$28-Motore_Operativo!CF519)*Parametri_v3!$C$26</f>
        <v>9283.85333333333</v>
      </c>
      <c r="AL519" s="15" t="n">
        <f aca="false">MAX(0,(AM518))</f>
        <v>9283.85333333333</v>
      </c>
      <c r="AM519" s="15" t="n">
        <f aca="false">(AM518)+AK519-AL519</f>
        <v>9283.85333333333</v>
      </c>
      <c r="AN519" s="15" t="n">
        <f aca="false">SUM(X497:X508)</f>
        <v>16530.1714788732</v>
      </c>
      <c r="AO519" s="15" t="n">
        <f aca="false">SUM(AP497:AP508)</f>
        <v>13562.3123684211</v>
      </c>
      <c r="AP519" s="15" t="n">
        <f aca="false">MAX(0,AN519)*IF(11=Parametri_v3!$C$43,Parametri_v3!$C$45,IF(11=Parametri_v3!$C$44,1-Parametri_v3!$C$45,0))</f>
        <v>9918.10288732394</v>
      </c>
      <c r="AQ519" s="15" t="n">
        <f aca="false">MAX(0,AP519+IF(11=Parametri_v3!$C$43,MAX(0,AN519-AO519),0)-MAX(0,-(AR518)))</f>
        <v>9918.10288732394</v>
      </c>
      <c r="AR519" s="15" t="n">
        <f aca="false">(AR518)+X519-AQ519</f>
        <v>26277.5832086268</v>
      </c>
      <c r="AS519" s="15" t="n">
        <f aca="false">Motore_Operativo!AC519-AT519+AU519</f>
        <v>24146.5260416667</v>
      </c>
      <c r="AT519" s="15" t="n">
        <f aca="false">Motore_Operativo!CI519</f>
        <v>1270.86979166667</v>
      </c>
      <c r="AU519" s="15" t="n">
        <f aca="false">MIN(MAX(0,(AV518)+AT519),Parametri_v3!$C$61/12)</f>
        <v>0</v>
      </c>
      <c r="AV519" s="15" t="n">
        <f aca="false">(AV518)+AT519-AU519</f>
        <v>26708.5677083333</v>
      </c>
      <c r="AW519" s="15" t="n">
        <f aca="false">IF(AND(Motore_Operativo!C519=Finanziamenti!$D$7,Finanziamenti!$F$7=1),Finanziamenti!$C$7,0)</f>
        <v>0</v>
      </c>
      <c r="AX519" s="15" t="n">
        <f aca="false">0</f>
        <v>0</v>
      </c>
      <c r="AY519" s="15" t="n">
        <f aca="false">IF(11=Parametri_v3!$C$33,IF(BV519&lt;MIN(12,$B519-1),0,MIN(MAX(0,SUM(Y497:Y508))*Ipotesi!$C$94,MAX(0,(BM508)-(BO518)-BP519),MAX(0,BD519-Parametri_v3!$C$31))),0)</f>
        <v>0</v>
      </c>
      <c r="AZ519" s="15" t="n">
        <f aca="false">0</f>
        <v>0</v>
      </c>
      <c r="BA519" s="15" t="n">
        <f aca="false">0</f>
        <v>0</v>
      </c>
      <c r="BB519" s="15" t="n">
        <f aca="false">0</f>
        <v>0</v>
      </c>
      <c r="BC519" s="15" t="n">
        <f aca="false">0</f>
        <v>0</v>
      </c>
      <c r="BD519" s="15" t="n">
        <f aca="false">(BH518)+AC519-AF519-AI519-AS519-K519*(1+Parametri_v3!$C$26)-AL519-AQ519-O519+AW519+AX519+AZ519+BA519-BB519</f>
        <v>84473.3477040091</v>
      </c>
      <c r="BE519" s="15" t="n">
        <f aca="false">0</f>
        <v>0</v>
      </c>
      <c r="BF519" s="15" t="n">
        <f aca="false">0</f>
        <v>0</v>
      </c>
      <c r="BG519" s="15" t="n">
        <f aca="false">0</f>
        <v>0</v>
      </c>
      <c r="BH519" s="15" t="n">
        <f aca="false">BD519+BE519-BF519-AY519</f>
        <v>84473.3477040091</v>
      </c>
      <c r="BI519" s="15" t="n">
        <f aca="false">MAX(0,Parametri_v3!$C$31-BH519)</f>
        <v>0</v>
      </c>
      <c r="BJ519" s="15" t="n">
        <f aca="false">(BJ518)+K519</f>
        <v>12583.3333333333</v>
      </c>
      <c r="BK519" s="15" t="n">
        <f aca="false">(BK518)+L519</f>
        <v>5652.77777777778</v>
      </c>
      <c r="BL519" s="15" t="n">
        <f aca="false">BJ519-BK519</f>
        <v>6930.55555555555</v>
      </c>
      <c r="BM519" s="15" t="n">
        <f aca="false">(BM518)+Y519</f>
        <v>188390.939009271</v>
      </c>
      <c r="BN519" s="15" t="n">
        <f aca="false">(BN518)+AW519+AX519+AZ519</f>
        <v>20000</v>
      </c>
      <c r="BO519" s="15" t="n">
        <f aca="false">(BO518)+AY519</f>
        <v>0</v>
      </c>
      <c r="BP519" s="15" t="n">
        <f aca="false">MIN(Parametri_v3!$C$36*Parametri_v3!$C$35,(BP518)+IF(11=1,MAX(0,SUM(Y497:Y508))*Parametri_v3!$C$34,0))</f>
        <v>2000</v>
      </c>
      <c r="BQ519" s="15" t="n">
        <f aca="false">BN519+BM519-BO519</f>
        <v>208390.939009271</v>
      </c>
      <c r="BR519" s="15" t="n">
        <f aca="false">BH519+AD519+BL519+MAX(0,-AM519)+MAX(0,-AR519)</f>
        <v>312833.903259565</v>
      </c>
      <c r="BS519" s="15" t="n">
        <f aca="false">AJ519+AV519+MAX(0,AM519)+MAX(0,AR519)+BC519+BG519+BQ519+AG519</f>
        <v>312833.903259565</v>
      </c>
      <c r="BT519" s="15" t="n">
        <f aca="false">BR519-BS519</f>
        <v>0</v>
      </c>
      <c r="BU519" s="15" t="n">
        <f aca="false">BH519-(BD519+BE519-BF519-AY519)</f>
        <v>0</v>
      </c>
      <c r="BV519" s="15" t="n">
        <f aca="false">IF(BH518&lt;Parametri_v3!$C$31,0,BV518+1)</f>
        <v>6</v>
      </c>
    </row>
    <row r="520" customFormat="false" ht="18" hidden="false" customHeight="true" outlineLevel="0" collapsed="false">
      <c r="A520" s="68" t="n">
        <f aca="false">9</f>
        <v>9</v>
      </c>
      <c r="B520" s="68" t="n">
        <f aca="false">36</f>
        <v>36</v>
      </c>
      <c r="C520" s="18" t="n">
        <f aca="false">Motore_Operativo!C520</f>
        <v>47453</v>
      </c>
      <c r="D520" s="68" t="n">
        <f aca="false">Motore_Operativo!D520</f>
        <v>2029</v>
      </c>
      <c r="E520" s="68" t="n">
        <f aca="false">Motore_Operativo!E520</f>
        <v>12</v>
      </c>
      <c r="F520" s="15" t="n">
        <f aca="false">Motore_Operativo!AM520</f>
        <v>60500</v>
      </c>
      <c r="G520" s="15" t="n">
        <f aca="false">Motore_Operativo!BH520</f>
        <v>6050</v>
      </c>
      <c r="H520" s="15" t="n">
        <f aca="false">Motore_Operativo!AM520</f>
        <v>60500</v>
      </c>
      <c r="I520" s="15" t="n">
        <f aca="false">Motore_Operativo!CB520</f>
        <v>46259.8958333333</v>
      </c>
      <c r="J520" s="15" t="n">
        <f aca="false">Motore_Operativo!CD520</f>
        <v>14240.1041666667</v>
      </c>
      <c r="K520" s="15" t="n">
        <f aca="false">Motore_Operativo!CF520</f>
        <v>416.666666666667</v>
      </c>
      <c r="L520" s="15" t="n">
        <f aca="false">SUM(INDEX($K$485:$K$544,MAX(1,36-Parametri_v3!$C$59+1)):K520)/Parametri_v3!$C$59</f>
        <v>361.111111111111</v>
      </c>
      <c r="M520" s="15" t="n">
        <f aca="false">J520-L520</f>
        <v>13878.9930555556</v>
      </c>
      <c r="N520" s="15" t="n">
        <f aca="false">0</f>
        <v>0</v>
      </c>
      <c r="O520" s="15" t="n">
        <f aca="false">0</f>
        <v>0</v>
      </c>
      <c r="P520" s="15" t="n">
        <f aca="false">M520+N520-O520</f>
        <v>13878.9930555556</v>
      </c>
      <c r="Q520" s="15" t="n">
        <f aca="false">SUM(P509:P520)+Parametri_v3!$C$56*12/12</f>
        <v>167311.805555556</v>
      </c>
      <c r="R520" s="15" t="n">
        <f aca="false">Z508</f>
        <v>0</v>
      </c>
      <c r="S520" s="15" t="n">
        <f aca="false">AA508</f>
        <v>0</v>
      </c>
      <c r="T520" s="15" t="n">
        <f aca="false">MIN(R520,MAX(0,Q520))</f>
        <v>0</v>
      </c>
      <c r="U520" s="15" t="n">
        <f aca="false">MIN(S520,MAX(0,Q520-T520)*Parametri_v3!$C$42)</f>
        <v>0</v>
      </c>
      <c r="V520" s="15" t="n">
        <f aca="false">MAX(0,Q520-T520-U520)*Ipotesi!$C$92</f>
        <v>40154.8333333334</v>
      </c>
      <c r="W520" s="15" t="n">
        <f aca="false">MAX(0,SUM(M509:M520)+Parametri_v3!$C$57*12/12)*Ipotesi!$C$93</f>
        <v>6525.16041666667</v>
      </c>
      <c r="X520" s="15" t="n">
        <f aca="false">V520+W520-(V519+W519)</f>
        <v>3872.2390625</v>
      </c>
      <c r="Y520" s="15" t="n">
        <f aca="false">P520-X520</f>
        <v>10006.7539930556</v>
      </c>
      <c r="Z520" s="15" t="n">
        <f aca="false">R520-T520+IF(AND(Parametri_v3!$C$40=1,D520-YEAR(Parametri_v3!$C$50)&lt;Parametri_v3!$C$41),MAX(0,-Q520),0)</f>
        <v>0</v>
      </c>
      <c r="AA520" s="15" t="n">
        <f aca="false">S520-U520+IF(AND(Parametri_v3!$C$40=1,D520-YEAR(Parametri_v3!$C$50)&lt;Parametri_v3!$C$41),0,MAX(0,-Q520))</f>
        <v>0</v>
      </c>
      <c r="AB520" s="15" t="n">
        <f aca="false">F520*(1+Parametri_v3!$C$26)</f>
        <v>73810</v>
      </c>
      <c r="AC520" s="15" t="n">
        <f aca="false">(IF(36-(INT((Motore_Operativo!L520)/30))&lt;1,0,INDEX(Motore_Advisory!$AB$485:$AB$544,MAX(1,36-(INT((Motore_Operativo!L520)/30)))))*(1-(MOD((Motore_Operativo!L520),30)/30))+IF(36-(INT((Motore_Operativo!L520)/30))-1&lt;1,0,INDEX(Motore_Advisory!$AB$485:$AB$544,MAX(1,36-(INT((Motore_Operativo!L520)/30))-1)))*(MOD((Motore_Operativo!L520),30)/30))</f>
        <v>73810</v>
      </c>
      <c r="AD520" s="15" t="n">
        <f aca="false">(AD519)+AB520-AC520</f>
        <v>221430</v>
      </c>
      <c r="AE520" s="15" t="n">
        <f aca="false">Motore_Operativo!BH520*(1+Parametri_v3!$C$26)</f>
        <v>7381</v>
      </c>
      <c r="AF520" s="15" t="n">
        <f aca="false">(IF(36-(INT((Parametri_v3!$C$29)/30))&lt;1,0,INDEX(Motore_Operativo!$BH$485:$BH$544,MAX(1,36-(INT((Parametri_v3!$C$29)/30)))))*(1-(MOD((Parametri_v3!$C$29),30)/30))+IF(36-(INT((Parametri_v3!$C$29)/30))-1&lt;1,0,INDEX(Motore_Operativo!$BH$485:$BH$544,MAX(1,36-(INT((Parametri_v3!$C$29)/30))-1)))*(MOD((Parametri_v3!$C$29),30)/30))*(1+Parametri_v3!$C$26)</f>
        <v>7381</v>
      </c>
      <c r="AG520" s="15" t="n">
        <f aca="false">(AG519)+AE520-AF520</f>
        <v>7381</v>
      </c>
      <c r="AH520" s="15" t="n">
        <f aca="false">(Motore_Operativo!CK520)*(1+Parametri_v3!$C$28*Parametri_v3!$C$26)</f>
        <v>17395.98</v>
      </c>
      <c r="AI520" s="15" t="n">
        <f aca="false">(IF(36-(INT((Ipotesi!$C$91)/30))&lt;1,0,INDEX(Motore_Advisory!$AH$485:$AH$544,MAX(1,36-(INT((Ipotesi!$C$91)/30)))))*(1-(MOD((Ipotesi!$C$91),30)/30))+IF(36-(INT((Ipotesi!$C$91)/30))-1&lt;1,0,INDEX(Motore_Advisory!$AH$485:$AH$544,MAX(1,36-(INT((Ipotesi!$C$91)/30))-1)))*(MOD((Ipotesi!$C$91),30)/30))</f>
        <v>17395.98</v>
      </c>
      <c r="AJ520" s="15" t="n">
        <f aca="false">(AJ519)+AH520-AI520</f>
        <v>34791.96</v>
      </c>
      <c r="AK520" s="15" t="n">
        <f aca="false">(F520- Motore_Operativo!BH520-(Motore_Operativo!CK520)*Parametri_v3!$C$28-Motore_Operativo!CF520)*Parametri_v3!$C$26</f>
        <v>9283.85333333333</v>
      </c>
      <c r="AL520" s="15" t="n">
        <f aca="false">MAX(0,(AM519))</f>
        <v>9283.85333333333</v>
      </c>
      <c r="AM520" s="15" t="n">
        <f aca="false">(AM519)+AK520-AL520</f>
        <v>9283.85333333333</v>
      </c>
      <c r="AN520" s="15" t="n">
        <f aca="false">SUM(X497:X508)</f>
        <v>16530.1714788732</v>
      </c>
      <c r="AO520" s="15" t="n">
        <f aca="false">SUM(AP497:AP508)</f>
        <v>13562.3123684211</v>
      </c>
      <c r="AP520" s="15" t="n">
        <f aca="false">MAX(0,AN520)*IF(12=Parametri_v3!$C$43,Parametri_v3!$C$45,IF(12=Parametri_v3!$C$44,1-Parametri_v3!$C$45,0))</f>
        <v>0</v>
      </c>
      <c r="AQ520" s="15" t="n">
        <f aca="false">MAX(0,AP520+IF(12=Parametri_v3!$C$43,MAX(0,AN520-AO520),0)-MAX(0,-(AR519)))</f>
        <v>0</v>
      </c>
      <c r="AR520" s="15" t="n">
        <f aca="false">(AR519)+X520-AQ520</f>
        <v>30149.8222711268</v>
      </c>
      <c r="AS520" s="15" t="n">
        <f aca="false">Motore_Operativo!AC520-AT520+AU520</f>
        <v>24146.5260416667</v>
      </c>
      <c r="AT520" s="15" t="n">
        <f aca="false">Motore_Operativo!CI520</f>
        <v>1270.86979166667</v>
      </c>
      <c r="AU520" s="15" t="n">
        <f aca="false">MIN(MAX(0,(AV519)+AT520),Parametri_v3!$C$61/12)</f>
        <v>0</v>
      </c>
      <c r="AV520" s="15" t="n">
        <f aca="false">(AV519)+AT520-AU520</f>
        <v>27979.4375</v>
      </c>
      <c r="AW520" s="15" t="n">
        <f aca="false">IF(AND(Motore_Operativo!C520=Finanziamenti!$D$7,Finanziamenti!$F$7=1),Finanziamenti!$C$7,0)</f>
        <v>0</v>
      </c>
      <c r="AX520" s="15" t="n">
        <f aca="false">0</f>
        <v>0</v>
      </c>
      <c r="AY520" s="15" t="n">
        <f aca="false">IF(12=Parametri_v3!$C$33,IF(BV520&lt;MIN(12,$B520-1),0,MIN(MAX(0,SUM(Y497:Y508))*Ipotesi!$C$94,MAX(0,(BM508)-(BO519)-BP520),MAX(0,BD520-Parametri_v3!$C$31))),0)</f>
        <v>0</v>
      </c>
      <c r="AZ520" s="15" t="n">
        <f aca="false">0</f>
        <v>0</v>
      </c>
      <c r="BA520" s="15" t="n">
        <f aca="false">0</f>
        <v>0</v>
      </c>
      <c r="BB520" s="15" t="n">
        <f aca="false">0</f>
        <v>0</v>
      </c>
      <c r="BC520" s="15" t="n">
        <f aca="false">0</f>
        <v>0</v>
      </c>
      <c r="BD520" s="15" t="n">
        <f aca="false">(BH519)+AC520-AF520-AI520-AS520-K520*(1+Parametri_v3!$C$26)-AL520-AQ520-O520+AW520+AX520+AZ520+BA520-BB520</f>
        <v>99567.6549956758</v>
      </c>
      <c r="BE520" s="15" t="n">
        <f aca="false">0</f>
        <v>0</v>
      </c>
      <c r="BF520" s="15" t="n">
        <f aca="false">0</f>
        <v>0</v>
      </c>
      <c r="BG520" s="15" t="n">
        <f aca="false">0</f>
        <v>0</v>
      </c>
      <c r="BH520" s="15" t="n">
        <f aca="false">BD520+BE520-BF520-AY520</f>
        <v>99567.6549956758</v>
      </c>
      <c r="BI520" s="15" t="n">
        <f aca="false">MAX(0,Parametri_v3!$C$31-BH520)</f>
        <v>0</v>
      </c>
      <c r="BJ520" s="15" t="n">
        <f aca="false">(BJ519)+K520</f>
        <v>13000</v>
      </c>
      <c r="BK520" s="15" t="n">
        <f aca="false">(BK519)+L520</f>
        <v>6013.88888888889</v>
      </c>
      <c r="BL520" s="15" t="n">
        <f aca="false">BJ520-BK520</f>
        <v>6986.11111111111</v>
      </c>
      <c r="BM520" s="15" t="n">
        <f aca="false">(BM519)+Y520</f>
        <v>198397.693002327</v>
      </c>
      <c r="BN520" s="15" t="n">
        <f aca="false">(BN519)+AW520+AX520+AZ520</f>
        <v>20000</v>
      </c>
      <c r="BO520" s="15" t="n">
        <f aca="false">(BO519)+AY520</f>
        <v>0</v>
      </c>
      <c r="BP520" s="15" t="n">
        <f aca="false">MIN(Parametri_v3!$C$36*Parametri_v3!$C$35,(BP519)+IF(12=1,MAX(0,SUM(Y497:Y508))*Parametri_v3!$C$34,0))</f>
        <v>2000</v>
      </c>
      <c r="BQ520" s="15" t="n">
        <f aca="false">BN520+BM520-BO520</f>
        <v>218397.693002327</v>
      </c>
      <c r="BR520" s="15" t="n">
        <f aca="false">BH520+AD520+BL520+MAX(0,-AM520)+MAX(0,-AR520)</f>
        <v>327983.766106787</v>
      </c>
      <c r="BS520" s="15" t="n">
        <f aca="false">AJ520+AV520+MAX(0,AM520)+MAX(0,AR520)+BC520+BG520+BQ520+AG520</f>
        <v>327983.766106787</v>
      </c>
      <c r="BT520" s="15" t="n">
        <f aca="false">BR520-BS520</f>
        <v>0</v>
      </c>
      <c r="BU520" s="15" t="n">
        <f aca="false">BH520-(BD520+BE520-BF520-AY520)</f>
        <v>0</v>
      </c>
      <c r="BV520" s="15" t="n">
        <f aca="false">IF(BH519&lt;Parametri_v3!$C$31,0,BV519+1)</f>
        <v>7</v>
      </c>
    </row>
    <row r="521" customFormat="false" ht="18" hidden="false" customHeight="true" outlineLevel="0" collapsed="false">
      <c r="A521" s="68" t="n">
        <f aca="false">9</f>
        <v>9</v>
      </c>
      <c r="B521" s="68" t="n">
        <f aca="false">37</f>
        <v>37</v>
      </c>
      <c r="C521" s="18" t="n">
        <f aca="false">Motore_Operativo!C521</f>
        <v>47484</v>
      </c>
      <c r="D521" s="68" t="n">
        <f aca="false">Motore_Operativo!D521</f>
        <v>2030</v>
      </c>
      <c r="E521" s="68" t="n">
        <f aca="false">Motore_Operativo!E521</f>
        <v>1</v>
      </c>
      <c r="F521" s="15" t="n">
        <f aca="false">Motore_Operativo!AM521</f>
        <v>90241.6666666667</v>
      </c>
      <c r="G521" s="15" t="n">
        <f aca="false">Motore_Operativo!BH521</f>
        <v>9024.16666666667</v>
      </c>
      <c r="H521" s="15" t="n">
        <f aca="false">Motore_Operativo!AM521</f>
        <v>90241.6666666667</v>
      </c>
      <c r="I521" s="15" t="n">
        <f aca="false">Motore_Operativo!CB521</f>
        <v>62580.173375</v>
      </c>
      <c r="J521" s="15" t="n">
        <f aca="false">Motore_Operativo!CD521</f>
        <v>27661.4932916667</v>
      </c>
      <c r="K521" s="15" t="n">
        <f aca="false">Motore_Operativo!CF521</f>
        <v>666.666666666667</v>
      </c>
      <c r="L521" s="15" t="n">
        <f aca="false">SUM(INDEX($K$485:$K$544,MAX(1,37-Parametri_v3!$C$59+1)):K521)/Parametri_v3!$C$59</f>
        <v>372.685185185185</v>
      </c>
      <c r="M521" s="15" t="n">
        <f aca="false">J521-L521</f>
        <v>27288.8081064815</v>
      </c>
      <c r="N521" s="15" t="n">
        <f aca="false">0</f>
        <v>0</v>
      </c>
      <c r="O521" s="15" t="n">
        <f aca="false">0</f>
        <v>0</v>
      </c>
      <c r="P521" s="15" t="n">
        <f aca="false">M521+N521-O521</f>
        <v>27288.8081064815</v>
      </c>
      <c r="Q521" s="15" t="n">
        <f aca="false">SUM(P521)+Parametri_v3!$C$56*1/12</f>
        <v>27288.8081064815</v>
      </c>
      <c r="R521" s="15" t="n">
        <f aca="false">Z520</f>
        <v>0</v>
      </c>
      <c r="S521" s="15" t="n">
        <f aca="false">AA520</f>
        <v>0</v>
      </c>
      <c r="T521" s="15" t="n">
        <f aca="false">MIN(R521,MAX(0,Q521))</f>
        <v>0</v>
      </c>
      <c r="U521" s="15" t="n">
        <f aca="false">MIN(S521,MAX(0,Q521-T521)*Parametri_v3!$C$42)</f>
        <v>0</v>
      </c>
      <c r="V521" s="15" t="n">
        <f aca="false">MAX(0,Q521-T521-U521)*Ipotesi!$C$92</f>
        <v>6549.31394555556</v>
      </c>
      <c r="W521" s="15" t="n">
        <f aca="false">MAX(0,SUM(M521)+Parametri_v3!$C$57*1/12)*Ipotesi!$C$93</f>
        <v>1064.26351615278</v>
      </c>
      <c r="X521" s="15" t="n">
        <f aca="false">V521+W521-(0)</f>
        <v>7613.57746170833</v>
      </c>
      <c r="Y521" s="15" t="n">
        <f aca="false">P521-X521</f>
        <v>19675.2306447731</v>
      </c>
      <c r="Z521" s="15" t="n">
        <f aca="false">R521-T521+IF(AND(Parametri_v3!$C$40=1,D521-YEAR(Parametri_v3!$C$50)&lt;Parametri_v3!$C$41),MAX(0,-Q521),0)</f>
        <v>0</v>
      </c>
      <c r="AA521" s="15" t="n">
        <f aca="false">S521-U521+IF(AND(Parametri_v3!$C$40=1,D521-YEAR(Parametri_v3!$C$50)&lt;Parametri_v3!$C$41),0,MAX(0,-Q521))</f>
        <v>0</v>
      </c>
      <c r="AB521" s="15" t="n">
        <f aca="false">F521*(1+Parametri_v3!$C$26)</f>
        <v>110094.833333333</v>
      </c>
      <c r="AC521" s="15" t="n">
        <f aca="false">(IF(37-(INT((Motore_Operativo!L521)/30))&lt;1,0,INDEX(Motore_Advisory!$AB$485:$AB$544,MAX(1,37-(INT((Motore_Operativo!L521)/30)))))*(1-(MOD((Motore_Operativo!L521),30)/30))+IF(37-(INT((Motore_Operativo!L521)/30))-1&lt;1,0,INDEX(Motore_Advisory!$AB$485:$AB$544,MAX(1,37-(INT((Motore_Operativo!L521)/30))-1)))*(MOD((Motore_Operativo!L521),30)/30))</f>
        <v>73810</v>
      </c>
      <c r="AD521" s="15" t="n">
        <f aca="false">(AD520)+AB521-AC521</f>
        <v>257714.833333333</v>
      </c>
      <c r="AE521" s="15" t="n">
        <f aca="false">Motore_Operativo!BH521*(1+Parametri_v3!$C$26)</f>
        <v>11009.4833333333</v>
      </c>
      <c r="AF521" s="15" t="n">
        <f aca="false">(IF(37-(INT((Parametri_v3!$C$29)/30))&lt;1,0,INDEX(Motore_Operativo!$BH$485:$BH$544,MAX(1,37-(INT((Parametri_v3!$C$29)/30)))))*(1-(MOD((Parametri_v3!$C$29),30)/30))+IF(37-(INT((Parametri_v3!$C$29)/30))-1&lt;1,0,INDEX(Motore_Operativo!$BH$485:$BH$544,MAX(1,37-(INT((Parametri_v3!$C$29)/30))-1)))*(MOD((Parametri_v3!$C$29),30)/30))*(1+Parametri_v3!$C$26)</f>
        <v>7381</v>
      </c>
      <c r="AG521" s="15" t="n">
        <f aca="false">(AG520)+AE521-AF521</f>
        <v>11009.4833333333</v>
      </c>
      <c r="AH521" s="15" t="n">
        <f aca="false">(Motore_Operativo!CK521)*(1+Parametri_v3!$C$28*Parametri_v3!$C$26)</f>
        <v>23198.952</v>
      </c>
      <c r="AI521" s="15" t="n">
        <f aca="false">(IF(37-(INT((Ipotesi!$C$91)/30))&lt;1,0,INDEX(Motore_Advisory!$AH$485:$AH$544,MAX(1,37-(INT((Ipotesi!$C$91)/30)))))*(1-(MOD((Ipotesi!$C$91),30)/30))+IF(37-(INT((Ipotesi!$C$91)/30))-1&lt;1,0,INDEX(Motore_Advisory!$AH$485:$AH$544,MAX(1,37-(INT((Ipotesi!$C$91)/30))-1)))*(MOD((Ipotesi!$C$91),30)/30))</f>
        <v>17395.98</v>
      </c>
      <c r="AJ521" s="15" t="n">
        <f aca="false">(AJ520)+AH521-AI521</f>
        <v>40594.932</v>
      </c>
      <c r="AK521" s="15" t="n">
        <f aca="false">(F521- Motore_Operativo!BH521-(Motore_Operativo!CK521)*Parametri_v3!$C$28-Motore_Operativo!CF521)*Parametri_v3!$C$26</f>
        <v>14249.2313333333</v>
      </c>
      <c r="AL521" s="15" t="n">
        <f aca="false">MAX(0,(AM520))</f>
        <v>9283.85333333333</v>
      </c>
      <c r="AM521" s="15" t="n">
        <f aca="false">(AM520)+AK521-AL521</f>
        <v>14249.2313333333</v>
      </c>
      <c r="AN521" s="15" t="n">
        <f aca="false">SUM(X509:X520)</f>
        <v>46679.99375</v>
      </c>
      <c r="AO521" s="15" t="n">
        <f aca="false">SUM(AP509:AP520)</f>
        <v>16530.1714788732</v>
      </c>
      <c r="AP521" s="15" t="n">
        <f aca="false">MAX(0,AN521)*IF(1=Parametri_v3!$C$43,Parametri_v3!$C$45,IF(1=Parametri_v3!$C$44,1-Parametri_v3!$C$45,0))</f>
        <v>0</v>
      </c>
      <c r="AQ521" s="15" t="n">
        <f aca="false">MAX(0,AP521+IF(1=Parametri_v3!$C$43,MAX(0,AN521-AO521),0)-MAX(0,-(AR520)))</f>
        <v>0</v>
      </c>
      <c r="AR521" s="15" t="n">
        <f aca="false">(AR520)+X521-AQ521</f>
        <v>37763.3997328351</v>
      </c>
      <c r="AS521" s="15" t="n">
        <f aca="false">Motore_Operativo!AC521-AT521+AU521</f>
        <v>32137.5563729167</v>
      </c>
      <c r="AT521" s="15" t="n">
        <f aca="false">Motore_Operativo!CI521</f>
        <v>1691.45033541667</v>
      </c>
      <c r="AU521" s="15" t="n">
        <f aca="false">MIN(MAX(0,(AV520)+AT521),Parametri_v3!$C$61/12)</f>
        <v>0</v>
      </c>
      <c r="AV521" s="15" t="n">
        <f aca="false">(AV520)+AT521-AU521</f>
        <v>29670.8878354167</v>
      </c>
      <c r="AW521" s="15" t="n">
        <f aca="false">IF(AND(Motore_Operativo!C521=Finanziamenti!$D$7,Finanziamenti!$F$7=1),Finanziamenti!$C$7,0)</f>
        <v>0</v>
      </c>
      <c r="AX521" s="15" t="n">
        <f aca="false">0</f>
        <v>0</v>
      </c>
      <c r="AY521" s="15" t="n">
        <f aca="false">IF(1=Parametri_v3!$C$33,IF(BV521&lt;MIN(12,$B521-1),0,MIN(MAX(0,SUM(Y509:Y520))*Ipotesi!$C$94,MAX(0,(BM520)-(BO520)-BP521),MAX(0,BD521-Parametri_v3!$C$31))),0)</f>
        <v>0</v>
      </c>
      <c r="AZ521" s="15" t="n">
        <f aca="false">0</f>
        <v>0</v>
      </c>
      <c r="BA521" s="15" t="n">
        <f aca="false">0</f>
        <v>0</v>
      </c>
      <c r="BB521" s="15" t="n">
        <f aca="false">0</f>
        <v>0</v>
      </c>
      <c r="BC521" s="15" t="n">
        <f aca="false">0</f>
        <v>0</v>
      </c>
      <c r="BD521" s="15" t="n">
        <f aca="false">(BH520)+AC521-AF521-AI521-AS521-K521*(1+Parametri_v3!$C$26)-AL521-AQ521-O521+AW521+AX521+AZ521+BA521-BB521</f>
        <v>106365.931956092</v>
      </c>
      <c r="BE521" s="15" t="n">
        <f aca="false">0</f>
        <v>0</v>
      </c>
      <c r="BF521" s="15" t="n">
        <f aca="false">0</f>
        <v>0</v>
      </c>
      <c r="BG521" s="15" t="n">
        <f aca="false">0</f>
        <v>0</v>
      </c>
      <c r="BH521" s="15" t="n">
        <f aca="false">BD521+BE521-BF521-AY521</f>
        <v>106365.931956092</v>
      </c>
      <c r="BI521" s="15" t="n">
        <f aca="false">MAX(0,Parametri_v3!$C$31-BH521)</f>
        <v>0</v>
      </c>
      <c r="BJ521" s="15" t="n">
        <f aca="false">(BJ520)+K521</f>
        <v>13666.6666666667</v>
      </c>
      <c r="BK521" s="15" t="n">
        <f aca="false">(BK520)+L521</f>
        <v>6386.57407407407</v>
      </c>
      <c r="BL521" s="15" t="n">
        <f aca="false">BJ521-BK521</f>
        <v>7280.09259259259</v>
      </c>
      <c r="BM521" s="15" t="n">
        <f aca="false">(BM520)+Y521</f>
        <v>218072.9236471</v>
      </c>
      <c r="BN521" s="15" t="n">
        <f aca="false">(BN520)+AW521+AX521+AZ521</f>
        <v>20000</v>
      </c>
      <c r="BO521" s="15" t="n">
        <f aca="false">(BO520)+AY521</f>
        <v>0</v>
      </c>
      <c r="BP521" s="15" t="n">
        <f aca="false">MIN(Parametri_v3!$C$36*Parametri_v3!$C$35,(BP520)+IF(1=1,MAX(0,SUM(Y509:Y520))*Parametri_v3!$C$34,0))</f>
        <v>2000</v>
      </c>
      <c r="BQ521" s="15" t="n">
        <f aca="false">BN521+BM521-BO521</f>
        <v>238072.9236471</v>
      </c>
      <c r="BR521" s="15" t="n">
        <f aca="false">BH521+AD521+BL521+MAX(0,-AM521)+MAX(0,-AR521)</f>
        <v>371360.857882018</v>
      </c>
      <c r="BS521" s="15" t="n">
        <f aca="false">AJ521+AV521+MAX(0,AM521)+MAX(0,AR521)+BC521+BG521+BQ521+AG521</f>
        <v>371360.857882018</v>
      </c>
      <c r="BT521" s="15" t="n">
        <f aca="false">BR521-BS521</f>
        <v>0</v>
      </c>
      <c r="BU521" s="15" t="n">
        <f aca="false">BH521-(BD521+BE521-BF521-AY521)</f>
        <v>0</v>
      </c>
      <c r="BV521" s="15" t="n">
        <f aca="false">IF(BH520&lt;Parametri_v3!$C$31,0,BV520+1)</f>
        <v>8</v>
      </c>
    </row>
    <row r="522" customFormat="false" ht="18" hidden="false" customHeight="true" outlineLevel="0" collapsed="false">
      <c r="A522" s="68" t="n">
        <f aca="false">9</f>
        <v>9</v>
      </c>
      <c r="B522" s="68" t="n">
        <f aca="false">38</f>
        <v>38</v>
      </c>
      <c r="C522" s="18" t="n">
        <f aca="false">Motore_Operativo!C522</f>
        <v>47515</v>
      </c>
      <c r="D522" s="68" t="n">
        <f aca="false">Motore_Operativo!D522</f>
        <v>2030</v>
      </c>
      <c r="E522" s="68" t="n">
        <f aca="false">Motore_Operativo!E522</f>
        <v>2</v>
      </c>
      <c r="F522" s="15" t="n">
        <f aca="false">Motore_Operativo!AM522</f>
        <v>90241.6666666667</v>
      </c>
      <c r="G522" s="15" t="n">
        <f aca="false">Motore_Operativo!BH522</f>
        <v>9024.16666666667</v>
      </c>
      <c r="H522" s="15" t="n">
        <f aca="false">Motore_Operativo!AM522</f>
        <v>90241.6666666667</v>
      </c>
      <c r="I522" s="15" t="n">
        <f aca="false">Motore_Operativo!CB522</f>
        <v>62580.173375</v>
      </c>
      <c r="J522" s="15" t="n">
        <f aca="false">Motore_Operativo!CD522</f>
        <v>27661.4932916667</v>
      </c>
      <c r="K522" s="15" t="n">
        <f aca="false">Motore_Operativo!CF522</f>
        <v>666.666666666667</v>
      </c>
      <c r="L522" s="15" t="n">
        <f aca="false">SUM(INDEX($K$485:$K$544,MAX(1,38-Parametri_v3!$C$59+1)):K522)/Parametri_v3!$C$59</f>
        <v>384.259259259259</v>
      </c>
      <c r="M522" s="15" t="n">
        <f aca="false">J522-L522</f>
        <v>27277.2340324074</v>
      </c>
      <c r="N522" s="15" t="n">
        <f aca="false">0</f>
        <v>0</v>
      </c>
      <c r="O522" s="15" t="n">
        <f aca="false">0</f>
        <v>0</v>
      </c>
      <c r="P522" s="15" t="n">
        <f aca="false">M522+N522-O522</f>
        <v>27277.2340324074</v>
      </c>
      <c r="Q522" s="15" t="n">
        <f aca="false">SUM(P521:P522)+Parametri_v3!$C$56*2/12</f>
        <v>54566.0421388889</v>
      </c>
      <c r="R522" s="15" t="n">
        <f aca="false">Z520</f>
        <v>0</v>
      </c>
      <c r="S522" s="15" t="n">
        <f aca="false">AA520</f>
        <v>0</v>
      </c>
      <c r="T522" s="15" t="n">
        <f aca="false">MIN(R522,MAX(0,Q522))</f>
        <v>0</v>
      </c>
      <c r="U522" s="15" t="n">
        <f aca="false">MIN(S522,MAX(0,Q522-T522)*Parametri_v3!$C$42)</f>
        <v>0</v>
      </c>
      <c r="V522" s="15" t="n">
        <f aca="false">MAX(0,Q522-T522-U522)*Ipotesi!$C$92</f>
        <v>13095.8501133333</v>
      </c>
      <c r="W522" s="15" t="n">
        <f aca="false">MAX(0,SUM(M521:M522)+Parametri_v3!$C$57*2/12)*Ipotesi!$C$93</f>
        <v>2128.07564341667</v>
      </c>
      <c r="X522" s="15" t="n">
        <f aca="false">V522+W522-(V521+W521)</f>
        <v>7610.34829504167</v>
      </c>
      <c r="Y522" s="15" t="n">
        <f aca="false">P522-X522</f>
        <v>19666.8857373657</v>
      </c>
      <c r="Z522" s="15" t="n">
        <f aca="false">R522-T522+IF(AND(Parametri_v3!$C$40=1,D522-YEAR(Parametri_v3!$C$50)&lt;Parametri_v3!$C$41),MAX(0,-Q522),0)</f>
        <v>0</v>
      </c>
      <c r="AA522" s="15" t="n">
        <f aca="false">S522-U522+IF(AND(Parametri_v3!$C$40=1,D522-YEAR(Parametri_v3!$C$50)&lt;Parametri_v3!$C$41),0,MAX(0,-Q522))</f>
        <v>0</v>
      </c>
      <c r="AB522" s="15" t="n">
        <f aca="false">F522*(1+Parametri_v3!$C$26)</f>
        <v>110094.833333333</v>
      </c>
      <c r="AC522" s="15" t="n">
        <f aca="false">(IF(38-(INT((Motore_Operativo!L522)/30))&lt;1,0,INDEX(Motore_Advisory!$AB$485:$AB$544,MAX(1,38-(INT((Motore_Operativo!L522)/30)))))*(1-(MOD((Motore_Operativo!L522),30)/30))+IF(38-(INT((Motore_Operativo!L522)/30))-1&lt;1,0,INDEX(Motore_Advisory!$AB$485:$AB$544,MAX(1,38-(INT((Motore_Operativo!L522)/30))-1)))*(MOD((Motore_Operativo!L522),30)/30))</f>
        <v>73810</v>
      </c>
      <c r="AD522" s="15" t="n">
        <f aca="false">(AD521)+AB522-AC522</f>
        <v>293999.666666667</v>
      </c>
      <c r="AE522" s="15" t="n">
        <f aca="false">Motore_Operativo!BH522*(1+Parametri_v3!$C$26)</f>
        <v>11009.4833333333</v>
      </c>
      <c r="AF522" s="15" t="n">
        <f aca="false">(IF(38-(INT((Parametri_v3!$C$29)/30))&lt;1,0,INDEX(Motore_Operativo!$BH$485:$BH$544,MAX(1,38-(INT((Parametri_v3!$C$29)/30)))))*(1-(MOD((Parametri_v3!$C$29),30)/30))+IF(38-(INT((Parametri_v3!$C$29)/30))-1&lt;1,0,INDEX(Motore_Operativo!$BH$485:$BH$544,MAX(1,38-(INT((Parametri_v3!$C$29)/30))-1)))*(MOD((Parametri_v3!$C$29),30)/30))*(1+Parametri_v3!$C$26)</f>
        <v>11009.4833333333</v>
      </c>
      <c r="AG522" s="15" t="n">
        <f aca="false">(AG521)+AE522-AF522</f>
        <v>11009.4833333333</v>
      </c>
      <c r="AH522" s="15" t="n">
        <f aca="false">(Motore_Operativo!CK522)*(1+Parametri_v3!$C$28*Parametri_v3!$C$26)</f>
        <v>23198.952</v>
      </c>
      <c r="AI522" s="15" t="n">
        <f aca="false">(IF(38-(INT((Ipotesi!$C$91)/30))&lt;1,0,INDEX(Motore_Advisory!$AH$485:$AH$544,MAX(1,38-(INT((Ipotesi!$C$91)/30)))))*(1-(MOD((Ipotesi!$C$91),30)/30))+IF(38-(INT((Ipotesi!$C$91)/30))-1&lt;1,0,INDEX(Motore_Advisory!$AH$485:$AH$544,MAX(1,38-(INT((Ipotesi!$C$91)/30))-1)))*(MOD((Ipotesi!$C$91),30)/30))</f>
        <v>17395.98</v>
      </c>
      <c r="AJ522" s="15" t="n">
        <f aca="false">(AJ521)+AH522-AI522</f>
        <v>46397.904</v>
      </c>
      <c r="AK522" s="15" t="n">
        <f aca="false">(F522- Motore_Operativo!BH522-(Motore_Operativo!CK522)*Parametri_v3!$C$28-Motore_Operativo!CF522)*Parametri_v3!$C$26</f>
        <v>14249.2313333333</v>
      </c>
      <c r="AL522" s="15" t="n">
        <f aca="false">MAX(0,(AM521))</f>
        <v>14249.2313333333</v>
      </c>
      <c r="AM522" s="15" t="n">
        <f aca="false">(AM521)+AK522-AL522</f>
        <v>14249.2313333333</v>
      </c>
      <c r="AN522" s="15" t="n">
        <f aca="false">SUM(X509:X520)</f>
        <v>46679.99375</v>
      </c>
      <c r="AO522" s="15" t="n">
        <f aca="false">SUM(AP509:AP520)</f>
        <v>16530.1714788732</v>
      </c>
      <c r="AP522" s="15" t="n">
        <f aca="false">MAX(0,AN522)*IF(2=Parametri_v3!$C$43,Parametri_v3!$C$45,IF(2=Parametri_v3!$C$44,1-Parametri_v3!$C$45,0))</f>
        <v>0</v>
      </c>
      <c r="AQ522" s="15" t="n">
        <f aca="false">MAX(0,AP522+IF(2=Parametri_v3!$C$43,MAX(0,AN522-AO522),0)-MAX(0,-(AR521)))</f>
        <v>0</v>
      </c>
      <c r="AR522" s="15" t="n">
        <f aca="false">(AR521)+X522-AQ522</f>
        <v>45373.7480278768</v>
      </c>
      <c r="AS522" s="15" t="n">
        <f aca="false">Motore_Operativo!AC522-AT522+AU522</f>
        <v>32137.5563729167</v>
      </c>
      <c r="AT522" s="15" t="n">
        <f aca="false">Motore_Operativo!CI522</f>
        <v>1691.45033541667</v>
      </c>
      <c r="AU522" s="15" t="n">
        <f aca="false">MIN(MAX(0,(AV521)+AT522),Parametri_v3!$C$61/12)</f>
        <v>0</v>
      </c>
      <c r="AV522" s="15" t="n">
        <f aca="false">(AV521)+AT522-AU522</f>
        <v>31362.3381708333</v>
      </c>
      <c r="AW522" s="15" t="n">
        <f aca="false">IF(AND(Motore_Operativo!C522=Finanziamenti!$D$7,Finanziamenti!$F$7=1),Finanziamenti!$C$7,0)</f>
        <v>0</v>
      </c>
      <c r="AX522" s="15" t="n">
        <f aca="false">0</f>
        <v>0</v>
      </c>
      <c r="AY522" s="15" t="n">
        <f aca="false">IF(2=Parametri_v3!$C$33,IF(BV522&lt;MIN(12,$B522-1),0,MIN(MAX(0,SUM(Y509:Y520))*Ipotesi!$C$94,MAX(0,(BM520)-(BO521)-BP522),MAX(0,BD522-Parametri_v3!$C$31))),0)</f>
        <v>0</v>
      </c>
      <c r="AZ522" s="15" t="n">
        <f aca="false">0</f>
        <v>0</v>
      </c>
      <c r="BA522" s="15" t="n">
        <f aca="false">0</f>
        <v>0</v>
      </c>
      <c r="BB522" s="15" t="n">
        <f aca="false">0</f>
        <v>0</v>
      </c>
      <c r="BC522" s="15" t="n">
        <f aca="false">0</f>
        <v>0</v>
      </c>
      <c r="BD522" s="15" t="n">
        <f aca="false">(BH521)+AC522-AF522-AI522-AS522-K522*(1+Parametri_v3!$C$26)-AL522-AQ522-O522+AW522+AX522+AZ522+BA522-BB522</f>
        <v>104570.347583176</v>
      </c>
      <c r="BE522" s="15" t="n">
        <f aca="false">0</f>
        <v>0</v>
      </c>
      <c r="BF522" s="15" t="n">
        <f aca="false">0</f>
        <v>0</v>
      </c>
      <c r="BG522" s="15" t="n">
        <f aca="false">0</f>
        <v>0</v>
      </c>
      <c r="BH522" s="15" t="n">
        <f aca="false">BD522+BE522-BF522-AY522</f>
        <v>104570.347583176</v>
      </c>
      <c r="BI522" s="15" t="n">
        <f aca="false">MAX(0,Parametri_v3!$C$31-BH522)</f>
        <v>0</v>
      </c>
      <c r="BJ522" s="15" t="n">
        <f aca="false">(BJ521)+K522</f>
        <v>14333.3333333333</v>
      </c>
      <c r="BK522" s="15" t="n">
        <f aca="false">(BK521)+L522</f>
        <v>6770.83333333333</v>
      </c>
      <c r="BL522" s="15" t="n">
        <f aca="false">BJ522-BK522</f>
        <v>7562.5</v>
      </c>
      <c r="BM522" s="15" t="n">
        <f aca="false">(BM521)+Y522</f>
        <v>237739.809384466</v>
      </c>
      <c r="BN522" s="15" t="n">
        <f aca="false">(BN521)+AW522+AX522+AZ522</f>
        <v>20000</v>
      </c>
      <c r="BO522" s="15" t="n">
        <f aca="false">(BO521)+AY522</f>
        <v>0</v>
      </c>
      <c r="BP522" s="15" t="n">
        <f aca="false">MIN(Parametri_v3!$C$36*Parametri_v3!$C$35,(BP521)+IF(2=1,MAX(0,SUM(Y509:Y520))*Parametri_v3!$C$34,0))</f>
        <v>2000</v>
      </c>
      <c r="BQ522" s="15" t="n">
        <f aca="false">BN522+BM522-BO522</f>
        <v>257739.809384466</v>
      </c>
      <c r="BR522" s="15" t="n">
        <f aca="false">BH522+AD522+BL522+MAX(0,-AM522)+MAX(0,-AR522)</f>
        <v>406132.514249842</v>
      </c>
      <c r="BS522" s="15" t="n">
        <f aca="false">AJ522+AV522+MAX(0,AM522)+MAX(0,AR522)+BC522+BG522+BQ522+AG522</f>
        <v>406132.514249843</v>
      </c>
      <c r="BT522" s="15" t="n">
        <f aca="false">BR522-BS522</f>
        <v>0</v>
      </c>
      <c r="BU522" s="15" t="n">
        <f aca="false">BH522-(BD522+BE522-BF522-AY522)</f>
        <v>0</v>
      </c>
      <c r="BV522" s="15" t="n">
        <f aca="false">IF(BH521&lt;Parametri_v3!$C$31,0,BV521+1)</f>
        <v>9</v>
      </c>
    </row>
    <row r="523" customFormat="false" ht="18" hidden="false" customHeight="true" outlineLevel="0" collapsed="false">
      <c r="A523" s="68" t="n">
        <f aca="false">9</f>
        <v>9</v>
      </c>
      <c r="B523" s="68" t="n">
        <f aca="false">39</f>
        <v>39</v>
      </c>
      <c r="C523" s="18" t="n">
        <f aca="false">Motore_Operativo!C523</f>
        <v>47543</v>
      </c>
      <c r="D523" s="68" t="n">
        <f aca="false">Motore_Operativo!D523</f>
        <v>2030</v>
      </c>
      <c r="E523" s="68" t="n">
        <f aca="false">Motore_Operativo!E523</f>
        <v>3</v>
      </c>
      <c r="F523" s="15" t="n">
        <f aca="false">Motore_Operativo!AM523</f>
        <v>90241.6666666667</v>
      </c>
      <c r="G523" s="15" t="n">
        <f aca="false">Motore_Operativo!BH523</f>
        <v>9024.16666666667</v>
      </c>
      <c r="H523" s="15" t="n">
        <f aca="false">Motore_Operativo!AM523</f>
        <v>90241.6666666667</v>
      </c>
      <c r="I523" s="15" t="n">
        <f aca="false">Motore_Operativo!CB523</f>
        <v>62580.173375</v>
      </c>
      <c r="J523" s="15" t="n">
        <f aca="false">Motore_Operativo!CD523</f>
        <v>27661.4932916667</v>
      </c>
      <c r="K523" s="15" t="n">
        <f aca="false">Motore_Operativo!CF523</f>
        <v>666.666666666667</v>
      </c>
      <c r="L523" s="15" t="n">
        <f aca="false">SUM(INDEX($K$485:$K$544,MAX(1,39-Parametri_v3!$C$59+1)):K523)/Parametri_v3!$C$59</f>
        <v>395.833333333333</v>
      </c>
      <c r="M523" s="15" t="n">
        <f aca="false">J523-L523</f>
        <v>27265.6599583333</v>
      </c>
      <c r="N523" s="15" t="n">
        <f aca="false">0</f>
        <v>0</v>
      </c>
      <c r="O523" s="15" t="n">
        <f aca="false">0</f>
        <v>0</v>
      </c>
      <c r="P523" s="15" t="n">
        <f aca="false">M523+N523-O523</f>
        <v>27265.6599583333</v>
      </c>
      <c r="Q523" s="15" t="n">
        <f aca="false">SUM(P521:P523)+Parametri_v3!$C$56*3/12</f>
        <v>81831.7020972222</v>
      </c>
      <c r="R523" s="15" t="n">
        <f aca="false">Z520</f>
        <v>0</v>
      </c>
      <c r="S523" s="15" t="n">
        <f aca="false">AA520</f>
        <v>0</v>
      </c>
      <c r="T523" s="15" t="n">
        <f aca="false">MIN(R523,MAX(0,Q523))</f>
        <v>0</v>
      </c>
      <c r="U523" s="15" t="n">
        <f aca="false">MIN(S523,MAX(0,Q523-T523)*Parametri_v3!$C$42)</f>
        <v>0</v>
      </c>
      <c r="V523" s="15" t="n">
        <f aca="false">MAX(0,Q523-T523-U523)*Ipotesi!$C$92</f>
        <v>19639.6085033333</v>
      </c>
      <c r="W523" s="15" t="n">
        <f aca="false">MAX(0,SUM(M521:M523)+Parametri_v3!$C$57*3/12)*Ipotesi!$C$93</f>
        <v>3191.43638179167</v>
      </c>
      <c r="X523" s="15" t="n">
        <f aca="false">V523+W523-(V522+W522)</f>
        <v>7607.119128375</v>
      </c>
      <c r="Y523" s="15" t="n">
        <f aca="false">P523-X523</f>
        <v>19658.5408299583</v>
      </c>
      <c r="Z523" s="15" t="n">
        <f aca="false">R523-T523+IF(AND(Parametri_v3!$C$40=1,D523-YEAR(Parametri_v3!$C$50)&lt;Parametri_v3!$C$41),MAX(0,-Q523),0)</f>
        <v>0</v>
      </c>
      <c r="AA523" s="15" t="n">
        <f aca="false">S523-U523+IF(AND(Parametri_v3!$C$40=1,D523-YEAR(Parametri_v3!$C$50)&lt;Parametri_v3!$C$41),0,MAX(0,-Q523))</f>
        <v>0</v>
      </c>
      <c r="AB523" s="15" t="n">
        <f aca="false">F523*(1+Parametri_v3!$C$26)</f>
        <v>110094.833333333</v>
      </c>
      <c r="AC523" s="15" t="n">
        <f aca="false">(IF(39-(INT((Motore_Operativo!L523)/30))&lt;1,0,INDEX(Motore_Advisory!$AB$485:$AB$544,MAX(1,39-(INT((Motore_Operativo!L523)/30)))))*(1-(MOD((Motore_Operativo!L523),30)/30))+IF(39-(INT((Motore_Operativo!L523)/30))-1&lt;1,0,INDEX(Motore_Advisory!$AB$485:$AB$544,MAX(1,39-(INT((Motore_Operativo!L523)/30))-1)))*(MOD((Motore_Operativo!L523),30)/30))</f>
        <v>73810</v>
      </c>
      <c r="AD523" s="15" t="n">
        <f aca="false">(AD522)+AB523-AC523</f>
        <v>330284.5</v>
      </c>
      <c r="AE523" s="15" t="n">
        <f aca="false">Motore_Operativo!BH523*(1+Parametri_v3!$C$26)</f>
        <v>11009.4833333333</v>
      </c>
      <c r="AF523" s="15" t="n">
        <f aca="false">(IF(39-(INT((Parametri_v3!$C$29)/30))&lt;1,0,INDEX(Motore_Operativo!$BH$485:$BH$544,MAX(1,39-(INT((Parametri_v3!$C$29)/30)))))*(1-(MOD((Parametri_v3!$C$29),30)/30))+IF(39-(INT((Parametri_v3!$C$29)/30))-1&lt;1,0,INDEX(Motore_Operativo!$BH$485:$BH$544,MAX(1,39-(INT((Parametri_v3!$C$29)/30))-1)))*(MOD((Parametri_v3!$C$29),30)/30))*(1+Parametri_v3!$C$26)</f>
        <v>11009.4833333333</v>
      </c>
      <c r="AG523" s="15" t="n">
        <f aca="false">(AG522)+AE523-AF523</f>
        <v>11009.4833333333</v>
      </c>
      <c r="AH523" s="15" t="n">
        <f aca="false">(Motore_Operativo!CK523)*(1+Parametri_v3!$C$28*Parametri_v3!$C$26)</f>
        <v>23198.952</v>
      </c>
      <c r="AI523" s="15" t="n">
        <f aca="false">(IF(39-(INT((Ipotesi!$C$91)/30))&lt;1,0,INDEX(Motore_Advisory!$AH$485:$AH$544,MAX(1,39-(INT((Ipotesi!$C$91)/30)))))*(1-(MOD((Ipotesi!$C$91),30)/30))+IF(39-(INT((Ipotesi!$C$91)/30))-1&lt;1,0,INDEX(Motore_Advisory!$AH$485:$AH$544,MAX(1,39-(INT((Ipotesi!$C$91)/30))-1)))*(MOD((Ipotesi!$C$91),30)/30))</f>
        <v>23198.952</v>
      </c>
      <c r="AJ523" s="15" t="n">
        <f aca="false">(AJ522)+AH523-AI523</f>
        <v>46397.904</v>
      </c>
      <c r="AK523" s="15" t="n">
        <f aca="false">(F523- Motore_Operativo!BH523-(Motore_Operativo!CK523)*Parametri_v3!$C$28-Motore_Operativo!CF523)*Parametri_v3!$C$26</f>
        <v>14249.2313333333</v>
      </c>
      <c r="AL523" s="15" t="n">
        <f aca="false">MAX(0,(AM522))</f>
        <v>14249.2313333333</v>
      </c>
      <c r="AM523" s="15" t="n">
        <f aca="false">(AM522)+AK523-AL523</f>
        <v>14249.2313333333</v>
      </c>
      <c r="AN523" s="15" t="n">
        <f aca="false">SUM(X509:X520)</f>
        <v>46679.99375</v>
      </c>
      <c r="AO523" s="15" t="n">
        <f aca="false">SUM(AP509:AP520)</f>
        <v>16530.1714788732</v>
      </c>
      <c r="AP523" s="15" t="n">
        <f aca="false">MAX(0,AN523)*IF(3=Parametri_v3!$C$43,Parametri_v3!$C$45,IF(3=Parametri_v3!$C$44,1-Parametri_v3!$C$45,0))</f>
        <v>0</v>
      </c>
      <c r="AQ523" s="15" t="n">
        <f aca="false">MAX(0,AP523+IF(3=Parametri_v3!$C$43,MAX(0,AN523-AO523),0)-MAX(0,-(AR522)))</f>
        <v>0</v>
      </c>
      <c r="AR523" s="15" t="n">
        <f aca="false">(AR522)+X523-AQ523</f>
        <v>52980.8671562518</v>
      </c>
      <c r="AS523" s="15" t="n">
        <f aca="false">Motore_Operativo!AC523-AT523+AU523</f>
        <v>32137.5563729167</v>
      </c>
      <c r="AT523" s="15" t="n">
        <f aca="false">Motore_Operativo!CI523</f>
        <v>1691.45033541667</v>
      </c>
      <c r="AU523" s="15" t="n">
        <f aca="false">MIN(MAX(0,(AV522)+AT523),Parametri_v3!$C$61/12)</f>
        <v>0</v>
      </c>
      <c r="AV523" s="15" t="n">
        <f aca="false">(AV522)+AT523-AU523</f>
        <v>33053.78850625</v>
      </c>
      <c r="AW523" s="15" t="n">
        <f aca="false">IF(AND(Motore_Operativo!C523=Finanziamenti!$D$7,Finanziamenti!$F$7=1),Finanziamenti!$C$7,0)</f>
        <v>0</v>
      </c>
      <c r="AX523" s="15" t="n">
        <f aca="false">0</f>
        <v>0</v>
      </c>
      <c r="AY523" s="15" t="n">
        <f aca="false">IF(3=Parametri_v3!$C$33,IF(BV523&lt;MIN(12,$B523-1),0,MIN(MAX(0,SUM(Y509:Y520))*Ipotesi!$C$94,MAX(0,(BM520)-(BO522)-BP523),MAX(0,BD523-Parametri_v3!$C$31))),0)</f>
        <v>0</v>
      </c>
      <c r="AZ523" s="15" t="n">
        <f aca="false">0</f>
        <v>0</v>
      </c>
      <c r="BA523" s="15" t="n">
        <f aca="false">0</f>
        <v>0</v>
      </c>
      <c r="BB523" s="15" t="n">
        <f aca="false">0</f>
        <v>0</v>
      </c>
      <c r="BC523" s="15" t="n">
        <f aca="false">0</f>
        <v>0</v>
      </c>
      <c r="BD523" s="15" t="n">
        <f aca="false">(BH522)+AC523-AF523-AI523-AS523-K523*(1+Parametri_v3!$C$26)-AL523-AQ523-O523+AW523+AX523+AZ523+BA523-BB523</f>
        <v>96971.7912102592</v>
      </c>
      <c r="BE523" s="15" t="n">
        <f aca="false">0</f>
        <v>0</v>
      </c>
      <c r="BF523" s="15" t="n">
        <f aca="false">0</f>
        <v>0</v>
      </c>
      <c r="BG523" s="15" t="n">
        <f aca="false">0</f>
        <v>0</v>
      </c>
      <c r="BH523" s="15" t="n">
        <f aca="false">BD523+BE523-BF523-AY523</f>
        <v>96971.7912102592</v>
      </c>
      <c r="BI523" s="15" t="n">
        <f aca="false">MAX(0,Parametri_v3!$C$31-BH523)</f>
        <v>0</v>
      </c>
      <c r="BJ523" s="15" t="n">
        <f aca="false">(BJ522)+K523</f>
        <v>15000</v>
      </c>
      <c r="BK523" s="15" t="n">
        <f aca="false">(BK522)+L523</f>
        <v>7166.66666666667</v>
      </c>
      <c r="BL523" s="15" t="n">
        <f aca="false">BJ523-BK523</f>
        <v>7833.33333333333</v>
      </c>
      <c r="BM523" s="15" t="n">
        <f aca="false">(BM522)+Y523</f>
        <v>257398.350214424</v>
      </c>
      <c r="BN523" s="15" t="n">
        <f aca="false">(BN522)+AW523+AX523+AZ523</f>
        <v>20000</v>
      </c>
      <c r="BO523" s="15" t="n">
        <f aca="false">(BO522)+AY523</f>
        <v>0</v>
      </c>
      <c r="BP523" s="15" t="n">
        <f aca="false">MIN(Parametri_v3!$C$36*Parametri_v3!$C$35,(BP522)+IF(3=1,MAX(0,SUM(Y509:Y520))*Parametri_v3!$C$34,0))</f>
        <v>2000</v>
      </c>
      <c r="BQ523" s="15" t="n">
        <f aca="false">BN523+BM523-BO523</f>
        <v>277398.350214424</v>
      </c>
      <c r="BR523" s="15" t="n">
        <f aca="false">BH523+AD523+BL523+MAX(0,-AM523)+MAX(0,-AR523)</f>
        <v>435089.624543592</v>
      </c>
      <c r="BS523" s="15" t="n">
        <f aca="false">AJ523+AV523+MAX(0,AM523)+MAX(0,AR523)+BC523+BG523+BQ523+AG523</f>
        <v>435089.624543593</v>
      </c>
      <c r="BT523" s="15" t="n">
        <f aca="false">BR523-BS523</f>
        <v>0</v>
      </c>
      <c r="BU523" s="15" t="n">
        <f aca="false">BH523-(BD523+BE523-BF523-AY523)</f>
        <v>0</v>
      </c>
      <c r="BV523" s="15" t="n">
        <f aca="false">IF(BH522&lt;Parametri_v3!$C$31,0,BV522+1)</f>
        <v>10</v>
      </c>
    </row>
    <row r="524" customFormat="false" ht="18" hidden="false" customHeight="true" outlineLevel="0" collapsed="false">
      <c r="A524" s="68" t="n">
        <f aca="false">9</f>
        <v>9</v>
      </c>
      <c r="B524" s="68" t="n">
        <f aca="false">40</f>
        <v>40</v>
      </c>
      <c r="C524" s="18" t="n">
        <f aca="false">Motore_Operativo!C524</f>
        <v>47574</v>
      </c>
      <c r="D524" s="68" t="n">
        <f aca="false">Motore_Operativo!D524</f>
        <v>2030</v>
      </c>
      <c r="E524" s="68" t="n">
        <f aca="false">Motore_Operativo!E524</f>
        <v>4</v>
      </c>
      <c r="F524" s="15" t="n">
        <f aca="false">Motore_Operativo!AM524</f>
        <v>90241.6666666667</v>
      </c>
      <c r="G524" s="15" t="n">
        <f aca="false">Motore_Operativo!BH524</f>
        <v>9024.16666666667</v>
      </c>
      <c r="H524" s="15" t="n">
        <f aca="false">Motore_Operativo!AM524</f>
        <v>90241.6666666667</v>
      </c>
      <c r="I524" s="15" t="n">
        <f aca="false">Motore_Operativo!CB524</f>
        <v>62580.173375</v>
      </c>
      <c r="J524" s="15" t="n">
        <f aca="false">Motore_Operativo!CD524</f>
        <v>27661.4932916667</v>
      </c>
      <c r="K524" s="15" t="n">
        <f aca="false">Motore_Operativo!CF524</f>
        <v>666.666666666667</v>
      </c>
      <c r="L524" s="15" t="n">
        <f aca="false">SUM(INDEX($K$485:$K$544,MAX(1,40-Parametri_v3!$C$59+1)):K524)/Parametri_v3!$C$59</f>
        <v>407.407407407407</v>
      </c>
      <c r="M524" s="15" t="n">
        <f aca="false">J524-L524</f>
        <v>27254.0858842593</v>
      </c>
      <c r="N524" s="15" t="n">
        <f aca="false">0</f>
        <v>0</v>
      </c>
      <c r="O524" s="15" t="n">
        <f aca="false">0</f>
        <v>0</v>
      </c>
      <c r="P524" s="15" t="n">
        <f aca="false">M524+N524-O524</f>
        <v>27254.0858842593</v>
      </c>
      <c r="Q524" s="15" t="n">
        <f aca="false">SUM(P521:P524)+Parametri_v3!$C$56*4/12</f>
        <v>109085.787981481</v>
      </c>
      <c r="R524" s="15" t="n">
        <f aca="false">Z520</f>
        <v>0</v>
      </c>
      <c r="S524" s="15" t="n">
        <f aca="false">AA520</f>
        <v>0</v>
      </c>
      <c r="T524" s="15" t="n">
        <f aca="false">MIN(R524,MAX(0,Q524))</f>
        <v>0</v>
      </c>
      <c r="U524" s="15" t="n">
        <f aca="false">MIN(S524,MAX(0,Q524-T524)*Parametri_v3!$C$42)</f>
        <v>0</v>
      </c>
      <c r="V524" s="15" t="n">
        <f aca="false">MAX(0,Q524-T524-U524)*Ipotesi!$C$92</f>
        <v>26180.5891155556</v>
      </c>
      <c r="W524" s="15" t="n">
        <f aca="false">MAX(0,SUM(M521:M524)+Parametri_v3!$C$57*4/12)*Ipotesi!$C$93</f>
        <v>4254.34573127778</v>
      </c>
      <c r="X524" s="15" t="n">
        <f aca="false">V524+W524-(V523+W523)</f>
        <v>7603.88996170833</v>
      </c>
      <c r="Y524" s="15" t="n">
        <f aca="false">P524-X524</f>
        <v>19650.1959225509</v>
      </c>
      <c r="Z524" s="15" t="n">
        <f aca="false">R524-T524+IF(AND(Parametri_v3!$C$40=1,D524-YEAR(Parametri_v3!$C$50)&lt;Parametri_v3!$C$41),MAX(0,-Q524),0)</f>
        <v>0</v>
      </c>
      <c r="AA524" s="15" t="n">
        <f aca="false">S524-U524+IF(AND(Parametri_v3!$C$40=1,D524-YEAR(Parametri_v3!$C$50)&lt;Parametri_v3!$C$41),0,MAX(0,-Q524))</f>
        <v>0</v>
      </c>
      <c r="AB524" s="15" t="n">
        <f aca="false">F524*(1+Parametri_v3!$C$26)</f>
        <v>110094.833333333</v>
      </c>
      <c r="AC524" s="15" t="n">
        <f aca="false">(IF(40-(INT((Motore_Operativo!L524)/30))&lt;1,0,INDEX(Motore_Advisory!$AB$485:$AB$544,MAX(1,40-(INT((Motore_Operativo!L524)/30)))))*(1-(MOD((Motore_Operativo!L524),30)/30))+IF(40-(INT((Motore_Operativo!L524)/30))-1&lt;1,0,INDEX(Motore_Advisory!$AB$485:$AB$544,MAX(1,40-(INT((Motore_Operativo!L524)/30))-1)))*(MOD((Motore_Operativo!L524),30)/30))</f>
        <v>110094.833333333</v>
      </c>
      <c r="AD524" s="15" t="n">
        <f aca="false">(AD523)+AB524-AC524</f>
        <v>330284.5</v>
      </c>
      <c r="AE524" s="15" t="n">
        <f aca="false">Motore_Operativo!BH524*(1+Parametri_v3!$C$26)</f>
        <v>11009.4833333333</v>
      </c>
      <c r="AF524" s="15" t="n">
        <f aca="false">(IF(40-(INT((Parametri_v3!$C$29)/30))&lt;1,0,INDEX(Motore_Operativo!$BH$485:$BH$544,MAX(1,40-(INT((Parametri_v3!$C$29)/30)))))*(1-(MOD((Parametri_v3!$C$29),30)/30))+IF(40-(INT((Parametri_v3!$C$29)/30))-1&lt;1,0,INDEX(Motore_Operativo!$BH$485:$BH$544,MAX(1,40-(INT((Parametri_v3!$C$29)/30))-1)))*(MOD((Parametri_v3!$C$29),30)/30))*(1+Parametri_v3!$C$26)</f>
        <v>11009.4833333333</v>
      </c>
      <c r="AG524" s="15" t="n">
        <f aca="false">(AG523)+AE524-AF524</f>
        <v>11009.4833333333</v>
      </c>
      <c r="AH524" s="15" t="n">
        <f aca="false">(Motore_Operativo!CK524)*(1+Parametri_v3!$C$28*Parametri_v3!$C$26)</f>
        <v>23198.952</v>
      </c>
      <c r="AI524" s="15" t="n">
        <f aca="false">(IF(40-(INT((Ipotesi!$C$91)/30))&lt;1,0,INDEX(Motore_Advisory!$AH$485:$AH$544,MAX(1,40-(INT((Ipotesi!$C$91)/30)))))*(1-(MOD((Ipotesi!$C$91),30)/30))+IF(40-(INT((Ipotesi!$C$91)/30))-1&lt;1,0,INDEX(Motore_Advisory!$AH$485:$AH$544,MAX(1,40-(INT((Ipotesi!$C$91)/30))-1)))*(MOD((Ipotesi!$C$91),30)/30))</f>
        <v>23198.952</v>
      </c>
      <c r="AJ524" s="15" t="n">
        <f aca="false">(AJ523)+AH524-AI524</f>
        <v>46397.904</v>
      </c>
      <c r="AK524" s="15" t="n">
        <f aca="false">(F524- Motore_Operativo!BH524-(Motore_Operativo!CK524)*Parametri_v3!$C$28-Motore_Operativo!CF524)*Parametri_v3!$C$26</f>
        <v>14249.2313333333</v>
      </c>
      <c r="AL524" s="15" t="n">
        <f aca="false">MAX(0,(AM523))</f>
        <v>14249.2313333333</v>
      </c>
      <c r="AM524" s="15" t="n">
        <f aca="false">(AM523)+AK524-AL524</f>
        <v>14249.2313333333</v>
      </c>
      <c r="AN524" s="15" t="n">
        <f aca="false">SUM(X509:X520)</f>
        <v>46679.99375</v>
      </c>
      <c r="AO524" s="15" t="n">
        <f aca="false">SUM(AP509:AP520)</f>
        <v>16530.1714788732</v>
      </c>
      <c r="AP524" s="15" t="n">
        <f aca="false">MAX(0,AN524)*IF(4=Parametri_v3!$C$43,Parametri_v3!$C$45,IF(4=Parametri_v3!$C$44,1-Parametri_v3!$C$45,0))</f>
        <v>0</v>
      </c>
      <c r="AQ524" s="15" t="n">
        <f aca="false">MAX(0,AP524+IF(4=Parametri_v3!$C$43,MAX(0,AN524-AO524),0)-MAX(0,-(AR523)))</f>
        <v>0</v>
      </c>
      <c r="AR524" s="15" t="n">
        <f aca="false">(AR523)+X524-AQ524</f>
        <v>60584.7571179601</v>
      </c>
      <c r="AS524" s="15" t="n">
        <f aca="false">Motore_Operativo!AC524-AT524+AU524</f>
        <v>32137.5563729167</v>
      </c>
      <c r="AT524" s="15" t="n">
        <f aca="false">Motore_Operativo!CI524</f>
        <v>1691.45033541667</v>
      </c>
      <c r="AU524" s="15" t="n">
        <f aca="false">MIN(MAX(0,(AV523)+AT524),Parametri_v3!$C$61/12)</f>
        <v>0</v>
      </c>
      <c r="AV524" s="15" t="n">
        <f aca="false">(AV523)+AT524-AU524</f>
        <v>34745.2388416667</v>
      </c>
      <c r="AW524" s="15" t="n">
        <f aca="false">IF(AND(Motore_Operativo!C524=Finanziamenti!$D$7,Finanziamenti!$F$7=1),Finanziamenti!$C$7,0)</f>
        <v>0</v>
      </c>
      <c r="AX524" s="15" t="n">
        <f aca="false">0</f>
        <v>0</v>
      </c>
      <c r="AY524" s="15" t="n">
        <f aca="false">IF(4=Parametri_v3!$C$33,IF(BV524&lt;MIN(12,$B524-1),0,MIN(MAX(0,SUM(Y509:Y520))*Ipotesi!$C$94,MAX(0,(BM520)-(BO523)-BP524),MAX(0,BD524-Parametri_v3!$C$31))),0)</f>
        <v>0</v>
      </c>
      <c r="AZ524" s="15" t="n">
        <f aca="false">0</f>
        <v>0</v>
      </c>
      <c r="BA524" s="15" t="n">
        <f aca="false">0</f>
        <v>0</v>
      </c>
      <c r="BB524" s="15" t="n">
        <f aca="false">0</f>
        <v>0</v>
      </c>
      <c r="BC524" s="15" t="n">
        <f aca="false">0</f>
        <v>0</v>
      </c>
      <c r="BD524" s="15" t="n">
        <f aca="false">(BH523)+AC524-AF524-AI524-AS524-K524*(1+Parametri_v3!$C$26)-AL524-AQ524-O524+AW524+AX524+AZ524+BA524-BB524</f>
        <v>125658.068170676</v>
      </c>
      <c r="BE524" s="15" t="n">
        <f aca="false">0</f>
        <v>0</v>
      </c>
      <c r="BF524" s="15" t="n">
        <f aca="false">0</f>
        <v>0</v>
      </c>
      <c r="BG524" s="15" t="n">
        <f aca="false">0</f>
        <v>0</v>
      </c>
      <c r="BH524" s="15" t="n">
        <f aca="false">BD524+BE524-BF524-AY524</f>
        <v>125658.068170676</v>
      </c>
      <c r="BI524" s="15" t="n">
        <f aca="false">MAX(0,Parametri_v3!$C$31-BH524)</f>
        <v>0</v>
      </c>
      <c r="BJ524" s="15" t="n">
        <f aca="false">(BJ523)+K524</f>
        <v>15666.6666666667</v>
      </c>
      <c r="BK524" s="15" t="n">
        <f aca="false">(BK523)+L524</f>
        <v>7574.07407407407</v>
      </c>
      <c r="BL524" s="15" t="n">
        <f aca="false">BJ524-BK524</f>
        <v>8092.59259259259</v>
      </c>
      <c r="BM524" s="15" t="n">
        <f aca="false">(BM523)+Y524</f>
        <v>277048.546136975</v>
      </c>
      <c r="BN524" s="15" t="n">
        <f aca="false">(BN523)+AW524+AX524+AZ524</f>
        <v>20000</v>
      </c>
      <c r="BO524" s="15" t="n">
        <f aca="false">(BO523)+AY524</f>
        <v>0</v>
      </c>
      <c r="BP524" s="15" t="n">
        <f aca="false">MIN(Parametri_v3!$C$36*Parametri_v3!$C$35,(BP523)+IF(4=1,MAX(0,SUM(Y509:Y520))*Parametri_v3!$C$34,0))</f>
        <v>2000</v>
      </c>
      <c r="BQ524" s="15" t="n">
        <f aca="false">BN524+BM524-BO524</f>
        <v>297048.546136975</v>
      </c>
      <c r="BR524" s="15" t="n">
        <f aca="false">BH524+AD524+BL524+MAX(0,-AM524)+MAX(0,-AR524)</f>
        <v>464035.160763268</v>
      </c>
      <c r="BS524" s="15" t="n">
        <f aca="false">AJ524+AV524+MAX(0,AM524)+MAX(0,AR524)+BC524+BG524+BQ524+AG524</f>
        <v>464035.160763268</v>
      </c>
      <c r="BT524" s="15" t="n">
        <f aca="false">BR524-BS524</f>
        <v>0</v>
      </c>
      <c r="BU524" s="15" t="n">
        <f aca="false">BH524-(BD524+BE524-BF524-AY524)</f>
        <v>0</v>
      </c>
      <c r="BV524" s="15" t="n">
        <f aca="false">IF(BH523&lt;Parametri_v3!$C$31,0,BV523+1)</f>
        <v>11</v>
      </c>
    </row>
    <row r="525" customFormat="false" ht="18" hidden="false" customHeight="true" outlineLevel="0" collapsed="false">
      <c r="A525" s="68" t="n">
        <f aca="false">9</f>
        <v>9</v>
      </c>
      <c r="B525" s="68" t="n">
        <f aca="false">41</f>
        <v>41</v>
      </c>
      <c r="C525" s="18" t="n">
        <f aca="false">Motore_Operativo!C525</f>
        <v>47604</v>
      </c>
      <c r="D525" s="68" t="n">
        <f aca="false">Motore_Operativo!D525</f>
        <v>2030</v>
      </c>
      <c r="E525" s="68" t="n">
        <f aca="false">Motore_Operativo!E525</f>
        <v>5</v>
      </c>
      <c r="F525" s="15" t="n">
        <f aca="false">Motore_Operativo!AM525</f>
        <v>90241.6666666667</v>
      </c>
      <c r="G525" s="15" t="n">
        <f aca="false">Motore_Operativo!BH525</f>
        <v>9024.16666666667</v>
      </c>
      <c r="H525" s="15" t="n">
        <f aca="false">Motore_Operativo!AM525</f>
        <v>90241.6666666667</v>
      </c>
      <c r="I525" s="15" t="n">
        <f aca="false">Motore_Operativo!CB525</f>
        <v>62580.173375</v>
      </c>
      <c r="J525" s="15" t="n">
        <f aca="false">Motore_Operativo!CD525</f>
        <v>27661.4932916667</v>
      </c>
      <c r="K525" s="15" t="n">
        <f aca="false">Motore_Operativo!CF525</f>
        <v>666.666666666667</v>
      </c>
      <c r="L525" s="15" t="n">
        <f aca="false">SUM(INDEX($K$485:$K$544,MAX(1,41-Parametri_v3!$C$59+1)):K525)/Parametri_v3!$C$59</f>
        <v>418.981481481482</v>
      </c>
      <c r="M525" s="15" t="n">
        <f aca="false">J525-L525</f>
        <v>27242.5118101852</v>
      </c>
      <c r="N525" s="15" t="n">
        <f aca="false">0</f>
        <v>0</v>
      </c>
      <c r="O525" s="15" t="n">
        <f aca="false">0</f>
        <v>0</v>
      </c>
      <c r="P525" s="15" t="n">
        <f aca="false">M525+N525-O525</f>
        <v>27242.5118101852</v>
      </c>
      <c r="Q525" s="15" t="n">
        <f aca="false">SUM(P521:P525)+Parametri_v3!$C$56*5/12</f>
        <v>136328.299791667</v>
      </c>
      <c r="R525" s="15" t="n">
        <f aca="false">Z520</f>
        <v>0</v>
      </c>
      <c r="S525" s="15" t="n">
        <f aca="false">AA520</f>
        <v>0</v>
      </c>
      <c r="T525" s="15" t="n">
        <f aca="false">MIN(R525,MAX(0,Q525))</f>
        <v>0</v>
      </c>
      <c r="U525" s="15" t="n">
        <f aca="false">MIN(S525,MAX(0,Q525-T525)*Parametri_v3!$C$42)</f>
        <v>0</v>
      </c>
      <c r="V525" s="15" t="n">
        <f aca="false">MAX(0,Q525-T525-U525)*Ipotesi!$C$92</f>
        <v>32718.79195</v>
      </c>
      <c r="W525" s="15" t="n">
        <f aca="false">MAX(0,SUM(M521:M525)+Parametri_v3!$C$57*5/12)*Ipotesi!$C$93</f>
        <v>5316.803691875</v>
      </c>
      <c r="X525" s="15" t="n">
        <f aca="false">V525+W525-(V524+W524)</f>
        <v>7600.66079504167</v>
      </c>
      <c r="Y525" s="15" t="n">
        <f aca="false">P525-X525</f>
        <v>19641.8510151435</v>
      </c>
      <c r="Z525" s="15" t="n">
        <f aca="false">R525-T525+IF(AND(Parametri_v3!$C$40=1,D525-YEAR(Parametri_v3!$C$50)&lt;Parametri_v3!$C$41),MAX(0,-Q525),0)</f>
        <v>0</v>
      </c>
      <c r="AA525" s="15" t="n">
        <f aca="false">S525-U525+IF(AND(Parametri_v3!$C$40=1,D525-YEAR(Parametri_v3!$C$50)&lt;Parametri_v3!$C$41),0,MAX(0,-Q525))</f>
        <v>0</v>
      </c>
      <c r="AB525" s="15" t="n">
        <f aca="false">F525*(1+Parametri_v3!$C$26)</f>
        <v>110094.833333333</v>
      </c>
      <c r="AC525" s="15" t="n">
        <f aca="false">(IF(41-(INT((Motore_Operativo!L525)/30))&lt;1,0,INDEX(Motore_Advisory!$AB$485:$AB$544,MAX(1,41-(INT((Motore_Operativo!L525)/30)))))*(1-(MOD((Motore_Operativo!L525),30)/30))+IF(41-(INT((Motore_Operativo!L525)/30))-1&lt;1,0,INDEX(Motore_Advisory!$AB$485:$AB$544,MAX(1,41-(INT((Motore_Operativo!L525)/30))-1)))*(MOD((Motore_Operativo!L525),30)/30))</f>
        <v>110094.833333333</v>
      </c>
      <c r="AD525" s="15" t="n">
        <f aca="false">(AD524)+AB525-AC525</f>
        <v>330284.5</v>
      </c>
      <c r="AE525" s="15" t="n">
        <f aca="false">Motore_Operativo!BH525*(1+Parametri_v3!$C$26)</f>
        <v>11009.4833333333</v>
      </c>
      <c r="AF525" s="15" t="n">
        <f aca="false">(IF(41-(INT((Parametri_v3!$C$29)/30))&lt;1,0,INDEX(Motore_Operativo!$BH$485:$BH$544,MAX(1,41-(INT((Parametri_v3!$C$29)/30)))))*(1-(MOD((Parametri_v3!$C$29),30)/30))+IF(41-(INT((Parametri_v3!$C$29)/30))-1&lt;1,0,INDEX(Motore_Operativo!$BH$485:$BH$544,MAX(1,41-(INT((Parametri_v3!$C$29)/30))-1)))*(MOD((Parametri_v3!$C$29),30)/30))*(1+Parametri_v3!$C$26)</f>
        <v>11009.4833333333</v>
      </c>
      <c r="AG525" s="15" t="n">
        <f aca="false">(AG524)+AE525-AF525</f>
        <v>11009.4833333333</v>
      </c>
      <c r="AH525" s="15" t="n">
        <f aca="false">(Motore_Operativo!CK525)*(1+Parametri_v3!$C$28*Parametri_v3!$C$26)</f>
        <v>23198.952</v>
      </c>
      <c r="AI525" s="15" t="n">
        <f aca="false">(IF(41-(INT((Ipotesi!$C$91)/30))&lt;1,0,INDEX(Motore_Advisory!$AH$485:$AH$544,MAX(1,41-(INT((Ipotesi!$C$91)/30)))))*(1-(MOD((Ipotesi!$C$91),30)/30))+IF(41-(INT((Ipotesi!$C$91)/30))-1&lt;1,0,INDEX(Motore_Advisory!$AH$485:$AH$544,MAX(1,41-(INT((Ipotesi!$C$91)/30))-1)))*(MOD((Ipotesi!$C$91),30)/30))</f>
        <v>23198.952</v>
      </c>
      <c r="AJ525" s="15" t="n">
        <f aca="false">(AJ524)+AH525-AI525</f>
        <v>46397.904</v>
      </c>
      <c r="AK525" s="15" t="n">
        <f aca="false">(F525- Motore_Operativo!BH525-(Motore_Operativo!CK525)*Parametri_v3!$C$28-Motore_Operativo!CF525)*Parametri_v3!$C$26</f>
        <v>14249.2313333333</v>
      </c>
      <c r="AL525" s="15" t="n">
        <f aca="false">MAX(0,(AM524))</f>
        <v>14249.2313333333</v>
      </c>
      <c r="AM525" s="15" t="n">
        <f aca="false">(AM524)+AK525-AL525</f>
        <v>14249.2313333333</v>
      </c>
      <c r="AN525" s="15" t="n">
        <f aca="false">SUM(X509:X520)</f>
        <v>46679.99375</v>
      </c>
      <c r="AO525" s="15" t="n">
        <f aca="false">SUM(AP509:AP520)</f>
        <v>16530.1714788732</v>
      </c>
      <c r="AP525" s="15" t="n">
        <f aca="false">MAX(0,AN525)*IF(5=Parametri_v3!$C$43,Parametri_v3!$C$45,IF(5=Parametri_v3!$C$44,1-Parametri_v3!$C$45,0))</f>
        <v>0</v>
      </c>
      <c r="AQ525" s="15" t="n">
        <f aca="false">MAX(0,AP525+IF(5=Parametri_v3!$C$43,MAX(0,AN525-AO525),0)-MAX(0,-(AR524)))</f>
        <v>0</v>
      </c>
      <c r="AR525" s="15" t="n">
        <f aca="false">(AR524)+X525-AQ525</f>
        <v>68185.4179130018</v>
      </c>
      <c r="AS525" s="15" t="n">
        <f aca="false">Motore_Operativo!AC525-AT525+AU525</f>
        <v>32137.5563729167</v>
      </c>
      <c r="AT525" s="15" t="n">
        <f aca="false">Motore_Operativo!CI525</f>
        <v>1691.45033541667</v>
      </c>
      <c r="AU525" s="15" t="n">
        <f aca="false">MIN(MAX(0,(AV524)+AT525),Parametri_v3!$C$61/12)</f>
        <v>0</v>
      </c>
      <c r="AV525" s="15" t="n">
        <f aca="false">(AV524)+AT525-AU525</f>
        <v>36436.6891770833</v>
      </c>
      <c r="AW525" s="15" t="n">
        <f aca="false">IF(AND(Motore_Operativo!C525=Finanziamenti!$D$7,Finanziamenti!$F$7=1),Finanziamenti!$C$7,0)</f>
        <v>0</v>
      </c>
      <c r="AX525" s="15" t="n">
        <f aca="false">0</f>
        <v>0</v>
      </c>
      <c r="AY525" s="15" t="n">
        <f aca="false">IF(5=Parametri_v3!$C$33,IF(BV525&lt;MIN(12,$B525-1),0,MIN(MAX(0,SUM(Y509:Y520))*Ipotesi!$C$94,MAX(0,(BM520)-(BO524)-BP525),MAX(0,BD525-Parametri_v3!$C$31))),0)</f>
        <v>0</v>
      </c>
      <c r="AZ525" s="15" t="n">
        <f aca="false">0</f>
        <v>0</v>
      </c>
      <c r="BA525" s="15" t="n">
        <f aca="false">0</f>
        <v>0</v>
      </c>
      <c r="BB525" s="15" t="n">
        <f aca="false">0</f>
        <v>0</v>
      </c>
      <c r="BC525" s="15" t="n">
        <f aca="false">0</f>
        <v>0</v>
      </c>
      <c r="BD525" s="15" t="n">
        <f aca="false">(BH524)+AC525-AF525-AI525-AS525-K525*(1+Parametri_v3!$C$26)-AL525-AQ525-O525+AW525+AX525+AZ525+BA525-BB525</f>
        <v>154344.345131092</v>
      </c>
      <c r="BE525" s="15" t="n">
        <f aca="false">0</f>
        <v>0</v>
      </c>
      <c r="BF525" s="15" t="n">
        <f aca="false">0</f>
        <v>0</v>
      </c>
      <c r="BG525" s="15" t="n">
        <f aca="false">0</f>
        <v>0</v>
      </c>
      <c r="BH525" s="15" t="n">
        <f aca="false">BD525+BE525-BF525-AY525</f>
        <v>154344.345131092</v>
      </c>
      <c r="BI525" s="15" t="n">
        <f aca="false">MAX(0,Parametri_v3!$C$31-BH525)</f>
        <v>0</v>
      </c>
      <c r="BJ525" s="15" t="n">
        <f aca="false">(BJ524)+K525</f>
        <v>16333.3333333333</v>
      </c>
      <c r="BK525" s="15" t="n">
        <f aca="false">(BK524)+L525</f>
        <v>7993.05555555556</v>
      </c>
      <c r="BL525" s="15" t="n">
        <f aca="false">BJ525-BK525</f>
        <v>8340.27777777777</v>
      </c>
      <c r="BM525" s="15" t="n">
        <f aca="false">(BM524)+Y525</f>
        <v>296690.397152119</v>
      </c>
      <c r="BN525" s="15" t="n">
        <f aca="false">(BN524)+AW525+AX525+AZ525</f>
        <v>20000</v>
      </c>
      <c r="BO525" s="15" t="n">
        <f aca="false">(BO524)+AY525</f>
        <v>0</v>
      </c>
      <c r="BP525" s="15" t="n">
        <f aca="false">MIN(Parametri_v3!$C$36*Parametri_v3!$C$35,(BP524)+IF(5=1,MAX(0,SUM(Y509:Y520))*Parametri_v3!$C$34,0))</f>
        <v>2000</v>
      </c>
      <c r="BQ525" s="15" t="n">
        <f aca="false">BN525+BM525-BO525</f>
        <v>316690.397152119</v>
      </c>
      <c r="BR525" s="15" t="n">
        <f aca="false">BH525+AD525+BL525+MAX(0,-AM525)+MAX(0,-AR525)</f>
        <v>492969.12290887</v>
      </c>
      <c r="BS525" s="15" t="n">
        <f aca="false">AJ525+AV525+MAX(0,AM525)+MAX(0,AR525)+BC525+BG525+BQ525+AG525</f>
        <v>492969.12290887</v>
      </c>
      <c r="BT525" s="15" t="n">
        <f aca="false">BR525-BS525</f>
        <v>0</v>
      </c>
      <c r="BU525" s="15" t="n">
        <f aca="false">BH525-(BD525+BE525-BF525-AY525)</f>
        <v>0</v>
      </c>
      <c r="BV525" s="15" t="n">
        <f aca="false">IF(BH524&lt;Parametri_v3!$C$31,0,BV524+1)</f>
        <v>12</v>
      </c>
    </row>
    <row r="526" customFormat="false" ht="18" hidden="false" customHeight="true" outlineLevel="0" collapsed="false">
      <c r="A526" s="68" t="n">
        <f aca="false">9</f>
        <v>9</v>
      </c>
      <c r="B526" s="68" t="n">
        <f aca="false">42</f>
        <v>42</v>
      </c>
      <c r="C526" s="18" t="n">
        <f aca="false">Motore_Operativo!C526</f>
        <v>47635</v>
      </c>
      <c r="D526" s="68" t="n">
        <f aca="false">Motore_Operativo!D526</f>
        <v>2030</v>
      </c>
      <c r="E526" s="68" t="n">
        <f aca="false">Motore_Operativo!E526</f>
        <v>6</v>
      </c>
      <c r="F526" s="15" t="n">
        <f aca="false">Motore_Operativo!AM526</f>
        <v>90241.6666666667</v>
      </c>
      <c r="G526" s="15" t="n">
        <f aca="false">Motore_Operativo!BH526</f>
        <v>9024.16666666667</v>
      </c>
      <c r="H526" s="15" t="n">
        <f aca="false">Motore_Operativo!AM526</f>
        <v>90241.6666666667</v>
      </c>
      <c r="I526" s="15" t="n">
        <f aca="false">Motore_Operativo!CB526</f>
        <v>62580.173375</v>
      </c>
      <c r="J526" s="15" t="n">
        <f aca="false">Motore_Operativo!CD526</f>
        <v>27661.4932916667</v>
      </c>
      <c r="K526" s="15" t="n">
        <f aca="false">Motore_Operativo!CF526</f>
        <v>666.666666666667</v>
      </c>
      <c r="L526" s="15" t="n">
        <f aca="false">SUM(INDEX($K$485:$K$544,MAX(1,42-Parametri_v3!$C$59+1)):K526)/Parametri_v3!$C$59</f>
        <v>430.555555555556</v>
      </c>
      <c r="M526" s="15" t="n">
        <f aca="false">J526-L526</f>
        <v>27230.9377361111</v>
      </c>
      <c r="N526" s="15" t="n">
        <f aca="false">0</f>
        <v>0</v>
      </c>
      <c r="O526" s="15" t="n">
        <f aca="false">0</f>
        <v>0</v>
      </c>
      <c r="P526" s="15" t="n">
        <f aca="false">M526+N526-O526</f>
        <v>27230.9377361111</v>
      </c>
      <c r="Q526" s="15" t="n">
        <f aca="false">SUM(P521:P526)+Parametri_v3!$C$56*6/12</f>
        <v>163559.237527778</v>
      </c>
      <c r="R526" s="15" t="n">
        <f aca="false">Z520</f>
        <v>0</v>
      </c>
      <c r="S526" s="15" t="n">
        <f aca="false">AA520</f>
        <v>0</v>
      </c>
      <c r="T526" s="15" t="n">
        <f aca="false">MIN(R526,MAX(0,Q526))</f>
        <v>0</v>
      </c>
      <c r="U526" s="15" t="n">
        <f aca="false">MIN(S526,MAX(0,Q526-T526)*Parametri_v3!$C$42)</f>
        <v>0</v>
      </c>
      <c r="V526" s="15" t="n">
        <f aca="false">MAX(0,Q526-T526-U526)*Ipotesi!$C$92</f>
        <v>39254.2170066667</v>
      </c>
      <c r="W526" s="15" t="n">
        <f aca="false">MAX(0,SUM(M521:M526)+Parametri_v3!$C$57*6/12)*Ipotesi!$C$93</f>
        <v>6378.81026358333</v>
      </c>
      <c r="X526" s="15" t="n">
        <f aca="false">V526+W526-(V525+W525)</f>
        <v>7597.43162837499</v>
      </c>
      <c r="Y526" s="15" t="n">
        <f aca="false">P526-X526</f>
        <v>19633.5061077361</v>
      </c>
      <c r="Z526" s="15" t="n">
        <f aca="false">R526-T526+IF(AND(Parametri_v3!$C$40=1,D526-YEAR(Parametri_v3!$C$50)&lt;Parametri_v3!$C$41),MAX(0,-Q526),0)</f>
        <v>0</v>
      </c>
      <c r="AA526" s="15" t="n">
        <f aca="false">S526-U526+IF(AND(Parametri_v3!$C$40=1,D526-YEAR(Parametri_v3!$C$50)&lt;Parametri_v3!$C$41),0,MAX(0,-Q526))</f>
        <v>0</v>
      </c>
      <c r="AB526" s="15" t="n">
        <f aca="false">F526*(1+Parametri_v3!$C$26)</f>
        <v>110094.833333333</v>
      </c>
      <c r="AC526" s="15" t="n">
        <f aca="false">(IF(42-(INT((Motore_Operativo!L526)/30))&lt;1,0,INDEX(Motore_Advisory!$AB$485:$AB$544,MAX(1,42-(INT((Motore_Operativo!L526)/30)))))*(1-(MOD((Motore_Operativo!L526),30)/30))+IF(42-(INT((Motore_Operativo!L526)/30))-1&lt;1,0,INDEX(Motore_Advisory!$AB$485:$AB$544,MAX(1,42-(INT((Motore_Operativo!L526)/30))-1)))*(MOD((Motore_Operativo!L526),30)/30))</f>
        <v>110094.833333333</v>
      </c>
      <c r="AD526" s="15" t="n">
        <f aca="false">(AD525)+AB526-AC526</f>
        <v>330284.5</v>
      </c>
      <c r="AE526" s="15" t="n">
        <f aca="false">Motore_Operativo!BH526*(1+Parametri_v3!$C$26)</f>
        <v>11009.4833333333</v>
      </c>
      <c r="AF526" s="15" t="n">
        <f aca="false">(IF(42-(INT((Parametri_v3!$C$29)/30))&lt;1,0,INDEX(Motore_Operativo!$BH$485:$BH$544,MAX(1,42-(INT((Parametri_v3!$C$29)/30)))))*(1-(MOD((Parametri_v3!$C$29),30)/30))+IF(42-(INT((Parametri_v3!$C$29)/30))-1&lt;1,0,INDEX(Motore_Operativo!$BH$485:$BH$544,MAX(1,42-(INT((Parametri_v3!$C$29)/30))-1)))*(MOD((Parametri_v3!$C$29),30)/30))*(1+Parametri_v3!$C$26)</f>
        <v>11009.4833333333</v>
      </c>
      <c r="AG526" s="15" t="n">
        <f aca="false">(AG525)+AE526-AF526</f>
        <v>11009.4833333333</v>
      </c>
      <c r="AH526" s="15" t="n">
        <f aca="false">(Motore_Operativo!CK526)*(1+Parametri_v3!$C$28*Parametri_v3!$C$26)</f>
        <v>23198.952</v>
      </c>
      <c r="AI526" s="15" t="n">
        <f aca="false">(IF(42-(INT((Ipotesi!$C$91)/30))&lt;1,0,INDEX(Motore_Advisory!$AH$485:$AH$544,MAX(1,42-(INT((Ipotesi!$C$91)/30)))))*(1-(MOD((Ipotesi!$C$91),30)/30))+IF(42-(INT((Ipotesi!$C$91)/30))-1&lt;1,0,INDEX(Motore_Advisory!$AH$485:$AH$544,MAX(1,42-(INT((Ipotesi!$C$91)/30))-1)))*(MOD((Ipotesi!$C$91),30)/30))</f>
        <v>23198.952</v>
      </c>
      <c r="AJ526" s="15" t="n">
        <f aca="false">(AJ525)+AH526-AI526</f>
        <v>46397.904</v>
      </c>
      <c r="AK526" s="15" t="n">
        <f aca="false">(F526- Motore_Operativo!BH526-(Motore_Operativo!CK526)*Parametri_v3!$C$28-Motore_Operativo!CF526)*Parametri_v3!$C$26</f>
        <v>14249.2313333333</v>
      </c>
      <c r="AL526" s="15" t="n">
        <f aca="false">MAX(0,(AM525))</f>
        <v>14249.2313333333</v>
      </c>
      <c r="AM526" s="15" t="n">
        <f aca="false">(AM525)+AK526-AL526</f>
        <v>14249.2313333333</v>
      </c>
      <c r="AN526" s="15" t="n">
        <f aca="false">SUM(X509:X520)</f>
        <v>46679.99375</v>
      </c>
      <c r="AO526" s="15" t="n">
        <f aca="false">SUM(AP509:AP520)</f>
        <v>16530.1714788732</v>
      </c>
      <c r="AP526" s="15" t="n">
        <f aca="false">MAX(0,AN526)*IF(6=Parametri_v3!$C$43,Parametri_v3!$C$45,IF(6=Parametri_v3!$C$44,1-Parametri_v3!$C$45,0))</f>
        <v>18671.9975</v>
      </c>
      <c r="AQ526" s="15" t="n">
        <f aca="false">MAX(0,AP526+IF(6=Parametri_v3!$C$43,MAX(0,AN526-AO526),0)-MAX(0,-(AR525)))</f>
        <v>48821.8197711268</v>
      </c>
      <c r="AR526" s="15" t="n">
        <f aca="false">(AR525)+X526-AQ526</f>
        <v>26961.02977025</v>
      </c>
      <c r="AS526" s="15" t="n">
        <f aca="false">Motore_Operativo!AC526-AT526+AU526</f>
        <v>32137.5563729167</v>
      </c>
      <c r="AT526" s="15" t="n">
        <f aca="false">Motore_Operativo!CI526</f>
        <v>1691.45033541667</v>
      </c>
      <c r="AU526" s="15" t="n">
        <f aca="false">MIN(MAX(0,(AV525)+AT526),Parametri_v3!$C$61/12)</f>
        <v>0</v>
      </c>
      <c r="AV526" s="15" t="n">
        <f aca="false">(AV525)+AT526-AU526</f>
        <v>38128.1395125</v>
      </c>
      <c r="AW526" s="15" t="n">
        <f aca="false">IF(AND(Motore_Operativo!C526=Finanziamenti!$D$7,Finanziamenti!$F$7=1),Finanziamenti!$C$7,0)</f>
        <v>0</v>
      </c>
      <c r="AX526" s="15" t="n">
        <f aca="false">0</f>
        <v>0</v>
      </c>
      <c r="AY526" s="15" t="n">
        <f aca="false">IF(6=Parametri_v3!$C$33,IF(BV526&lt;MIN(12,$B526-1),0,MIN(MAX(0,SUM(Y509:Y520))*Ipotesi!$C$94,MAX(0,(BM520)-(BO525)-BP526),MAX(0,BD526-Parametri_v3!$C$31))),0)</f>
        <v>60315.9059027778</v>
      </c>
      <c r="AZ526" s="15" t="n">
        <f aca="false">0</f>
        <v>0</v>
      </c>
      <c r="BA526" s="15" t="n">
        <f aca="false">0</f>
        <v>0</v>
      </c>
      <c r="BB526" s="15" t="n">
        <f aca="false">0</f>
        <v>0</v>
      </c>
      <c r="BC526" s="15" t="n">
        <f aca="false">0</f>
        <v>0</v>
      </c>
      <c r="BD526" s="15" t="n">
        <f aca="false">(BH525)+AC526-AF526-AI526-AS526-K526*(1+Parametri_v3!$C$26)-AL526-AQ526-O526+AW526+AX526+AZ526+BA526-BB526</f>
        <v>134208.802320382</v>
      </c>
      <c r="BE526" s="15" t="n">
        <f aca="false">0</f>
        <v>0</v>
      </c>
      <c r="BF526" s="15" t="n">
        <f aca="false">0</f>
        <v>0</v>
      </c>
      <c r="BG526" s="15" t="n">
        <f aca="false">0</f>
        <v>0</v>
      </c>
      <c r="BH526" s="15" t="n">
        <f aca="false">BD526+BE526-BF526-AY526</f>
        <v>73892.8964176045</v>
      </c>
      <c r="BI526" s="15" t="n">
        <f aca="false">MAX(0,Parametri_v3!$C$31-BH526)</f>
        <v>0</v>
      </c>
      <c r="BJ526" s="15" t="n">
        <f aca="false">(BJ525)+K526</f>
        <v>17000</v>
      </c>
      <c r="BK526" s="15" t="n">
        <f aca="false">(BK525)+L526</f>
        <v>8423.61111111111</v>
      </c>
      <c r="BL526" s="15" t="n">
        <f aca="false">BJ526-BK526</f>
        <v>8576.38888888888</v>
      </c>
      <c r="BM526" s="15" t="n">
        <f aca="false">(BM525)+Y526</f>
        <v>316323.903259855</v>
      </c>
      <c r="BN526" s="15" t="n">
        <f aca="false">(BN525)+AW526+AX526+AZ526</f>
        <v>20000</v>
      </c>
      <c r="BO526" s="15" t="n">
        <f aca="false">(BO525)+AY526</f>
        <v>60315.9059027778</v>
      </c>
      <c r="BP526" s="15" t="n">
        <f aca="false">MIN(Parametri_v3!$C$36*Parametri_v3!$C$35,(BP525)+IF(6=1,MAX(0,SUM(Y509:Y520))*Parametri_v3!$C$34,0))</f>
        <v>2000</v>
      </c>
      <c r="BQ526" s="15" t="n">
        <f aca="false">BN526+BM526-BO526</f>
        <v>276007.997357077</v>
      </c>
      <c r="BR526" s="15" t="n">
        <f aca="false">BH526+AD526+BL526+MAX(0,-AM526)+MAX(0,-AR526)</f>
        <v>412753.785306493</v>
      </c>
      <c r="BS526" s="15" t="n">
        <f aca="false">AJ526+AV526+MAX(0,AM526)+MAX(0,AR526)+BC526+BG526+BQ526+AG526</f>
        <v>412753.785306493</v>
      </c>
      <c r="BT526" s="15" t="n">
        <f aca="false">BR526-BS526</f>
        <v>0</v>
      </c>
      <c r="BU526" s="15" t="n">
        <f aca="false">BH526-(BD526+BE526-BF526-AY526)</f>
        <v>0</v>
      </c>
      <c r="BV526" s="15" t="n">
        <f aca="false">IF(BH525&lt;Parametri_v3!$C$31,0,BV525+1)</f>
        <v>13</v>
      </c>
    </row>
    <row r="527" customFormat="false" ht="18" hidden="false" customHeight="true" outlineLevel="0" collapsed="false">
      <c r="A527" s="68" t="n">
        <f aca="false">9</f>
        <v>9</v>
      </c>
      <c r="B527" s="68" t="n">
        <f aca="false">43</f>
        <v>43</v>
      </c>
      <c r="C527" s="18" t="n">
        <f aca="false">Motore_Operativo!C527</f>
        <v>47665</v>
      </c>
      <c r="D527" s="68" t="n">
        <f aca="false">Motore_Operativo!D527</f>
        <v>2030</v>
      </c>
      <c r="E527" s="68" t="n">
        <f aca="false">Motore_Operativo!E527</f>
        <v>7</v>
      </c>
      <c r="F527" s="15" t="n">
        <f aca="false">Motore_Operativo!AM527</f>
        <v>90241.6666666667</v>
      </c>
      <c r="G527" s="15" t="n">
        <f aca="false">Motore_Operativo!BH527</f>
        <v>9024.16666666667</v>
      </c>
      <c r="H527" s="15" t="n">
        <f aca="false">Motore_Operativo!AM527</f>
        <v>90241.6666666667</v>
      </c>
      <c r="I527" s="15" t="n">
        <f aca="false">Motore_Operativo!CB527</f>
        <v>62580.173375</v>
      </c>
      <c r="J527" s="15" t="n">
        <f aca="false">Motore_Operativo!CD527</f>
        <v>27661.4932916667</v>
      </c>
      <c r="K527" s="15" t="n">
        <f aca="false">Motore_Operativo!CF527</f>
        <v>666.666666666667</v>
      </c>
      <c r="L527" s="15" t="n">
        <f aca="false">SUM(INDEX($K$485:$K$544,MAX(1,43-Parametri_v3!$C$59+1)):K527)/Parametri_v3!$C$59</f>
        <v>442.12962962963</v>
      </c>
      <c r="M527" s="15" t="n">
        <f aca="false">J527-L527</f>
        <v>27219.363662037</v>
      </c>
      <c r="N527" s="15" t="n">
        <f aca="false">0</f>
        <v>0</v>
      </c>
      <c r="O527" s="15" t="n">
        <f aca="false">0</f>
        <v>0</v>
      </c>
      <c r="P527" s="15" t="n">
        <f aca="false">M527+N527-O527</f>
        <v>27219.363662037</v>
      </c>
      <c r="Q527" s="15" t="n">
        <f aca="false">SUM(P521:P527)+Parametri_v3!$C$56*7/12</f>
        <v>190778.601189815</v>
      </c>
      <c r="R527" s="15" t="n">
        <f aca="false">Z520</f>
        <v>0</v>
      </c>
      <c r="S527" s="15" t="n">
        <f aca="false">AA520</f>
        <v>0</v>
      </c>
      <c r="T527" s="15" t="n">
        <f aca="false">MIN(R527,MAX(0,Q527))</f>
        <v>0</v>
      </c>
      <c r="U527" s="15" t="n">
        <f aca="false">MIN(S527,MAX(0,Q527-T527)*Parametri_v3!$C$42)</f>
        <v>0</v>
      </c>
      <c r="V527" s="15" t="n">
        <f aca="false">MAX(0,Q527-T527-U527)*Ipotesi!$C$92</f>
        <v>45786.8642855556</v>
      </c>
      <c r="W527" s="15" t="n">
        <f aca="false">MAX(0,SUM(M521:M527)+Parametri_v3!$C$57*7/12)*Ipotesi!$C$93</f>
        <v>7440.36544640278</v>
      </c>
      <c r="X527" s="15" t="n">
        <f aca="false">V527+W527-(V526+W526)</f>
        <v>7594.20246170834</v>
      </c>
      <c r="Y527" s="15" t="n">
        <f aca="false">P527-X527</f>
        <v>19625.1612003287</v>
      </c>
      <c r="Z527" s="15" t="n">
        <f aca="false">R527-T527+IF(AND(Parametri_v3!$C$40=1,D527-YEAR(Parametri_v3!$C$50)&lt;Parametri_v3!$C$41),MAX(0,-Q527),0)</f>
        <v>0</v>
      </c>
      <c r="AA527" s="15" t="n">
        <f aca="false">S527-U527+IF(AND(Parametri_v3!$C$40=1,D527-YEAR(Parametri_v3!$C$50)&lt;Parametri_v3!$C$41),0,MAX(0,-Q527))</f>
        <v>0</v>
      </c>
      <c r="AB527" s="15" t="n">
        <f aca="false">F527*(1+Parametri_v3!$C$26)</f>
        <v>110094.833333333</v>
      </c>
      <c r="AC527" s="15" t="n">
        <f aca="false">(IF(43-(INT((Motore_Operativo!L527)/30))&lt;1,0,INDEX(Motore_Advisory!$AB$485:$AB$544,MAX(1,43-(INT((Motore_Operativo!L527)/30)))))*(1-(MOD((Motore_Operativo!L527),30)/30))+IF(43-(INT((Motore_Operativo!L527)/30))-1&lt;1,0,INDEX(Motore_Advisory!$AB$485:$AB$544,MAX(1,43-(INT((Motore_Operativo!L527)/30))-1)))*(MOD((Motore_Operativo!L527),30)/30))</f>
        <v>110094.833333333</v>
      </c>
      <c r="AD527" s="15" t="n">
        <f aca="false">(AD526)+AB527-AC527</f>
        <v>330284.5</v>
      </c>
      <c r="AE527" s="15" t="n">
        <f aca="false">Motore_Operativo!BH527*(1+Parametri_v3!$C$26)</f>
        <v>11009.4833333333</v>
      </c>
      <c r="AF527" s="15" t="n">
        <f aca="false">(IF(43-(INT((Parametri_v3!$C$29)/30))&lt;1,0,INDEX(Motore_Operativo!$BH$485:$BH$544,MAX(1,43-(INT((Parametri_v3!$C$29)/30)))))*(1-(MOD((Parametri_v3!$C$29),30)/30))+IF(43-(INT((Parametri_v3!$C$29)/30))-1&lt;1,0,INDEX(Motore_Operativo!$BH$485:$BH$544,MAX(1,43-(INT((Parametri_v3!$C$29)/30))-1)))*(MOD((Parametri_v3!$C$29),30)/30))*(1+Parametri_v3!$C$26)</f>
        <v>11009.4833333333</v>
      </c>
      <c r="AG527" s="15" t="n">
        <f aca="false">(AG526)+AE527-AF527</f>
        <v>11009.4833333333</v>
      </c>
      <c r="AH527" s="15" t="n">
        <f aca="false">(Motore_Operativo!CK527)*(1+Parametri_v3!$C$28*Parametri_v3!$C$26)</f>
        <v>23198.952</v>
      </c>
      <c r="AI527" s="15" t="n">
        <f aca="false">(IF(43-(INT((Ipotesi!$C$91)/30))&lt;1,0,INDEX(Motore_Advisory!$AH$485:$AH$544,MAX(1,43-(INT((Ipotesi!$C$91)/30)))))*(1-(MOD((Ipotesi!$C$91),30)/30))+IF(43-(INT((Ipotesi!$C$91)/30))-1&lt;1,0,INDEX(Motore_Advisory!$AH$485:$AH$544,MAX(1,43-(INT((Ipotesi!$C$91)/30))-1)))*(MOD((Ipotesi!$C$91),30)/30))</f>
        <v>23198.952</v>
      </c>
      <c r="AJ527" s="15" t="n">
        <f aca="false">(AJ526)+AH527-AI527</f>
        <v>46397.904</v>
      </c>
      <c r="AK527" s="15" t="n">
        <f aca="false">(F527- Motore_Operativo!BH527-(Motore_Operativo!CK527)*Parametri_v3!$C$28-Motore_Operativo!CF527)*Parametri_v3!$C$26</f>
        <v>14249.2313333333</v>
      </c>
      <c r="AL527" s="15" t="n">
        <f aca="false">MAX(0,(AM526))</f>
        <v>14249.2313333333</v>
      </c>
      <c r="AM527" s="15" t="n">
        <f aca="false">(AM526)+AK527-AL527</f>
        <v>14249.2313333333</v>
      </c>
      <c r="AN527" s="15" t="n">
        <f aca="false">SUM(X509:X520)</f>
        <v>46679.99375</v>
      </c>
      <c r="AO527" s="15" t="n">
        <f aca="false">SUM(AP509:AP520)</f>
        <v>16530.1714788732</v>
      </c>
      <c r="AP527" s="15" t="n">
        <f aca="false">MAX(0,AN527)*IF(7=Parametri_v3!$C$43,Parametri_v3!$C$45,IF(7=Parametri_v3!$C$44,1-Parametri_v3!$C$45,0))</f>
        <v>0</v>
      </c>
      <c r="AQ527" s="15" t="n">
        <f aca="false">MAX(0,AP527+IF(7=Parametri_v3!$C$43,MAX(0,AN527-AO527),0)-MAX(0,-(AR526)))</f>
        <v>0</v>
      </c>
      <c r="AR527" s="15" t="n">
        <f aca="false">(AR526)+X527-AQ527</f>
        <v>34555.2322319583</v>
      </c>
      <c r="AS527" s="15" t="n">
        <f aca="false">Motore_Operativo!AC527-AT527+AU527</f>
        <v>32137.5563729167</v>
      </c>
      <c r="AT527" s="15" t="n">
        <f aca="false">Motore_Operativo!CI527</f>
        <v>1691.45033541667</v>
      </c>
      <c r="AU527" s="15" t="n">
        <f aca="false">MIN(MAX(0,(AV526)+AT527),Parametri_v3!$C$61/12)</f>
        <v>0</v>
      </c>
      <c r="AV527" s="15" t="n">
        <f aca="false">(AV526)+AT527-AU527</f>
        <v>39819.5898479167</v>
      </c>
      <c r="AW527" s="15" t="n">
        <f aca="false">IF(AND(Motore_Operativo!C527=Finanziamenti!$D$7,Finanziamenti!$F$7=1),Finanziamenti!$C$7,0)</f>
        <v>0</v>
      </c>
      <c r="AX527" s="15" t="n">
        <f aca="false">0</f>
        <v>0</v>
      </c>
      <c r="AY527" s="15" t="n">
        <f aca="false">IF(7=Parametri_v3!$C$33,IF(BV527&lt;MIN(12,$B527-1),0,MIN(MAX(0,SUM(Y509:Y520))*Ipotesi!$C$94,MAX(0,(BM520)-(BO526)-BP527),MAX(0,BD527-Parametri_v3!$C$31))),0)</f>
        <v>0</v>
      </c>
      <c r="AZ527" s="15" t="n">
        <f aca="false">0</f>
        <v>0</v>
      </c>
      <c r="BA527" s="15" t="n">
        <f aca="false">0</f>
        <v>0</v>
      </c>
      <c r="BB527" s="15" t="n">
        <f aca="false">0</f>
        <v>0</v>
      </c>
      <c r="BC527" s="15" t="n">
        <f aca="false">0</f>
        <v>0</v>
      </c>
      <c r="BD527" s="15" t="n">
        <f aca="false">(BH526)+AC527-AF527-AI527-AS527-K527*(1+Parametri_v3!$C$26)-AL527-AQ527-O527+AW527+AX527+AZ527+BA527-BB527</f>
        <v>102579.173378021</v>
      </c>
      <c r="BE527" s="15" t="n">
        <f aca="false">0</f>
        <v>0</v>
      </c>
      <c r="BF527" s="15" t="n">
        <f aca="false">0</f>
        <v>0</v>
      </c>
      <c r="BG527" s="15" t="n">
        <f aca="false">0</f>
        <v>0</v>
      </c>
      <c r="BH527" s="15" t="n">
        <f aca="false">BD527+BE527-BF527-AY527</f>
        <v>102579.173378021</v>
      </c>
      <c r="BI527" s="15" t="n">
        <f aca="false">MAX(0,Parametri_v3!$C$31-BH527)</f>
        <v>0</v>
      </c>
      <c r="BJ527" s="15" t="n">
        <f aca="false">(BJ526)+K527</f>
        <v>17666.6666666667</v>
      </c>
      <c r="BK527" s="15" t="n">
        <f aca="false">(BK526)+L527</f>
        <v>8865.74074074074</v>
      </c>
      <c r="BL527" s="15" t="n">
        <f aca="false">BJ527-BK527</f>
        <v>8800.92592592592</v>
      </c>
      <c r="BM527" s="15" t="n">
        <f aca="false">(BM526)+Y527</f>
        <v>335949.064460183</v>
      </c>
      <c r="BN527" s="15" t="n">
        <f aca="false">(BN526)+AW527+AX527+AZ527</f>
        <v>20000</v>
      </c>
      <c r="BO527" s="15" t="n">
        <f aca="false">(BO526)+AY527</f>
        <v>60315.9059027778</v>
      </c>
      <c r="BP527" s="15" t="n">
        <f aca="false">MIN(Parametri_v3!$C$36*Parametri_v3!$C$35,(BP526)+IF(7=1,MAX(0,SUM(Y509:Y520))*Parametri_v3!$C$34,0))</f>
        <v>2000</v>
      </c>
      <c r="BQ527" s="15" t="n">
        <f aca="false">BN527+BM527-BO527</f>
        <v>295633.158557406</v>
      </c>
      <c r="BR527" s="15" t="n">
        <f aca="false">BH527+AD527+BL527+MAX(0,-AM527)+MAX(0,-AR527)</f>
        <v>441664.599303947</v>
      </c>
      <c r="BS527" s="15" t="n">
        <f aca="false">AJ527+AV527+MAX(0,AM527)+MAX(0,AR527)+BC527+BG527+BQ527+AG527</f>
        <v>441664.599303947</v>
      </c>
      <c r="BT527" s="15" t="n">
        <f aca="false">BR527-BS527</f>
        <v>0</v>
      </c>
      <c r="BU527" s="15" t="n">
        <f aca="false">BH527-(BD527+BE527-BF527-AY527)</f>
        <v>0</v>
      </c>
      <c r="BV527" s="15" t="n">
        <f aca="false">IF(BH526&lt;Parametri_v3!$C$31,0,BV526+1)</f>
        <v>14</v>
      </c>
    </row>
    <row r="528" customFormat="false" ht="18" hidden="false" customHeight="true" outlineLevel="0" collapsed="false">
      <c r="A528" s="68" t="n">
        <f aca="false">9</f>
        <v>9</v>
      </c>
      <c r="B528" s="68" t="n">
        <f aca="false">44</f>
        <v>44</v>
      </c>
      <c r="C528" s="18" t="n">
        <f aca="false">Motore_Operativo!C528</f>
        <v>47696</v>
      </c>
      <c r="D528" s="68" t="n">
        <f aca="false">Motore_Operativo!D528</f>
        <v>2030</v>
      </c>
      <c r="E528" s="68" t="n">
        <f aca="false">Motore_Operativo!E528</f>
        <v>8</v>
      </c>
      <c r="F528" s="15" t="n">
        <f aca="false">Motore_Operativo!AM528</f>
        <v>90241.6666666667</v>
      </c>
      <c r="G528" s="15" t="n">
        <f aca="false">Motore_Operativo!BH528</f>
        <v>9024.16666666667</v>
      </c>
      <c r="H528" s="15" t="n">
        <f aca="false">Motore_Operativo!AM528</f>
        <v>90241.6666666667</v>
      </c>
      <c r="I528" s="15" t="n">
        <f aca="false">Motore_Operativo!CB528</f>
        <v>62580.173375</v>
      </c>
      <c r="J528" s="15" t="n">
        <f aca="false">Motore_Operativo!CD528</f>
        <v>27661.4932916667</v>
      </c>
      <c r="K528" s="15" t="n">
        <f aca="false">Motore_Operativo!CF528</f>
        <v>666.666666666667</v>
      </c>
      <c r="L528" s="15" t="n">
        <f aca="false">SUM(INDEX($K$485:$K$544,MAX(1,44-Parametri_v3!$C$59+1)):K528)/Parametri_v3!$C$59</f>
        <v>453.703703703704</v>
      </c>
      <c r="M528" s="15" t="n">
        <f aca="false">J528-L528</f>
        <v>27207.789587963</v>
      </c>
      <c r="N528" s="15" t="n">
        <f aca="false">0</f>
        <v>0</v>
      </c>
      <c r="O528" s="15" t="n">
        <f aca="false">0</f>
        <v>0</v>
      </c>
      <c r="P528" s="15" t="n">
        <f aca="false">M528+N528-O528</f>
        <v>27207.789587963</v>
      </c>
      <c r="Q528" s="15" t="n">
        <f aca="false">SUM(P521:P528)+Parametri_v3!$C$56*8/12</f>
        <v>217986.390777778</v>
      </c>
      <c r="R528" s="15" t="n">
        <f aca="false">Z520</f>
        <v>0</v>
      </c>
      <c r="S528" s="15" t="n">
        <f aca="false">AA520</f>
        <v>0</v>
      </c>
      <c r="T528" s="15" t="n">
        <f aca="false">MIN(R528,MAX(0,Q528))</f>
        <v>0</v>
      </c>
      <c r="U528" s="15" t="n">
        <f aca="false">MIN(S528,MAX(0,Q528-T528)*Parametri_v3!$C$42)</f>
        <v>0</v>
      </c>
      <c r="V528" s="15" t="n">
        <f aca="false">MAX(0,Q528-T528-U528)*Ipotesi!$C$92</f>
        <v>52316.7337866667</v>
      </c>
      <c r="W528" s="15" t="n">
        <f aca="false">MAX(0,SUM(M521:M528)+Parametri_v3!$C$57*8/12)*Ipotesi!$C$93</f>
        <v>8501.46924033333</v>
      </c>
      <c r="X528" s="15" t="n">
        <f aca="false">V528+W528-(V527+W527)</f>
        <v>7590.97329504167</v>
      </c>
      <c r="Y528" s="15" t="n">
        <f aca="false">P528-X528</f>
        <v>19616.8162929213</v>
      </c>
      <c r="Z528" s="15" t="n">
        <f aca="false">R528-T528+IF(AND(Parametri_v3!$C$40=1,D528-YEAR(Parametri_v3!$C$50)&lt;Parametri_v3!$C$41),MAX(0,-Q528),0)</f>
        <v>0</v>
      </c>
      <c r="AA528" s="15" t="n">
        <f aca="false">S528-U528+IF(AND(Parametri_v3!$C$40=1,D528-YEAR(Parametri_v3!$C$50)&lt;Parametri_v3!$C$41),0,MAX(0,-Q528))</f>
        <v>0</v>
      </c>
      <c r="AB528" s="15" t="n">
        <f aca="false">F528*(1+Parametri_v3!$C$26)</f>
        <v>110094.833333333</v>
      </c>
      <c r="AC528" s="15" t="n">
        <f aca="false">(IF(44-(INT((Motore_Operativo!L528)/30))&lt;1,0,INDEX(Motore_Advisory!$AB$485:$AB$544,MAX(1,44-(INT((Motore_Operativo!L528)/30)))))*(1-(MOD((Motore_Operativo!L528),30)/30))+IF(44-(INT((Motore_Operativo!L528)/30))-1&lt;1,0,INDEX(Motore_Advisory!$AB$485:$AB$544,MAX(1,44-(INT((Motore_Operativo!L528)/30))-1)))*(MOD((Motore_Operativo!L528),30)/30))</f>
        <v>110094.833333333</v>
      </c>
      <c r="AD528" s="15" t="n">
        <f aca="false">(AD527)+AB528-AC528</f>
        <v>330284.5</v>
      </c>
      <c r="AE528" s="15" t="n">
        <f aca="false">Motore_Operativo!BH528*(1+Parametri_v3!$C$26)</f>
        <v>11009.4833333333</v>
      </c>
      <c r="AF528" s="15" t="n">
        <f aca="false">(IF(44-(INT((Parametri_v3!$C$29)/30))&lt;1,0,INDEX(Motore_Operativo!$BH$485:$BH$544,MAX(1,44-(INT((Parametri_v3!$C$29)/30)))))*(1-(MOD((Parametri_v3!$C$29),30)/30))+IF(44-(INT((Parametri_v3!$C$29)/30))-1&lt;1,0,INDEX(Motore_Operativo!$BH$485:$BH$544,MAX(1,44-(INT((Parametri_v3!$C$29)/30))-1)))*(MOD((Parametri_v3!$C$29),30)/30))*(1+Parametri_v3!$C$26)</f>
        <v>11009.4833333333</v>
      </c>
      <c r="AG528" s="15" t="n">
        <f aca="false">(AG527)+AE528-AF528</f>
        <v>11009.4833333333</v>
      </c>
      <c r="AH528" s="15" t="n">
        <f aca="false">(Motore_Operativo!CK528)*(1+Parametri_v3!$C$28*Parametri_v3!$C$26)</f>
        <v>23198.952</v>
      </c>
      <c r="AI528" s="15" t="n">
        <f aca="false">(IF(44-(INT((Ipotesi!$C$91)/30))&lt;1,0,INDEX(Motore_Advisory!$AH$485:$AH$544,MAX(1,44-(INT((Ipotesi!$C$91)/30)))))*(1-(MOD((Ipotesi!$C$91),30)/30))+IF(44-(INT((Ipotesi!$C$91)/30))-1&lt;1,0,INDEX(Motore_Advisory!$AH$485:$AH$544,MAX(1,44-(INT((Ipotesi!$C$91)/30))-1)))*(MOD((Ipotesi!$C$91),30)/30))</f>
        <v>23198.952</v>
      </c>
      <c r="AJ528" s="15" t="n">
        <f aca="false">(AJ527)+AH528-AI528</f>
        <v>46397.904</v>
      </c>
      <c r="AK528" s="15" t="n">
        <f aca="false">(F528- Motore_Operativo!BH528-(Motore_Operativo!CK528)*Parametri_v3!$C$28-Motore_Operativo!CF528)*Parametri_v3!$C$26</f>
        <v>14249.2313333333</v>
      </c>
      <c r="AL528" s="15" t="n">
        <f aca="false">MAX(0,(AM527))</f>
        <v>14249.2313333333</v>
      </c>
      <c r="AM528" s="15" t="n">
        <f aca="false">(AM527)+AK528-AL528</f>
        <v>14249.2313333333</v>
      </c>
      <c r="AN528" s="15" t="n">
        <f aca="false">SUM(X509:X520)</f>
        <v>46679.99375</v>
      </c>
      <c r="AO528" s="15" t="n">
        <f aca="false">SUM(AP509:AP520)</f>
        <v>16530.1714788732</v>
      </c>
      <c r="AP528" s="15" t="n">
        <f aca="false">MAX(0,AN528)*IF(8=Parametri_v3!$C$43,Parametri_v3!$C$45,IF(8=Parametri_v3!$C$44,1-Parametri_v3!$C$45,0))</f>
        <v>0</v>
      </c>
      <c r="AQ528" s="15" t="n">
        <f aca="false">MAX(0,AP528+IF(8=Parametri_v3!$C$43,MAX(0,AN528-AO528),0)-MAX(0,-(AR527)))</f>
        <v>0</v>
      </c>
      <c r="AR528" s="15" t="n">
        <f aca="false">(AR527)+X528-AQ528</f>
        <v>42146.205527</v>
      </c>
      <c r="AS528" s="15" t="n">
        <f aca="false">Motore_Operativo!AC528-AT528+AU528</f>
        <v>32137.5563729167</v>
      </c>
      <c r="AT528" s="15" t="n">
        <f aca="false">Motore_Operativo!CI528</f>
        <v>1691.45033541667</v>
      </c>
      <c r="AU528" s="15" t="n">
        <f aca="false">MIN(MAX(0,(AV527)+AT528),Parametri_v3!$C$61/12)</f>
        <v>0</v>
      </c>
      <c r="AV528" s="15" t="n">
        <f aca="false">(AV527)+AT528-AU528</f>
        <v>41511.0401833333</v>
      </c>
      <c r="AW528" s="15" t="n">
        <f aca="false">IF(AND(Motore_Operativo!C528=Finanziamenti!$D$7,Finanziamenti!$F$7=1),Finanziamenti!$C$7,0)</f>
        <v>0</v>
      </c>
      <c r="AX528" s="15" t="n">
        <f aca="false">0</f>
        <v>0</v>
      </c>
      <c r="AY528" s="15" t="n">
        <f aca="false">IF(8=Parametri_v3!$C$33,IF(BV528&lt;MIN(12,$B528-1),0,MIN(MAX(0,SUM(Y509:Y520))*Ipotesi!$C$94,MAX(0,(BM520)-(BO527)-BP528),MAX(0,BD528-Parametri_v3!$C$31))),0)</f>
        <v>0</v>
      </c>
      <c r="AZ528" s="15" t="n">
        <f aca="false">0</f>
        <v>0</v>
      </c>
      <c r="BA528" s="15" t="n">
        <f aca="false">0</f>
        <v>0</v>
      </c>
      <c r="BB528" s="15" t="n">
        <f aca="false">0</f>
        <v>0</v>
      </c>
      <c r="BC528" s="15" t="n">
        <f aca="false">0</f>
        <v>0</v>
      </c>
      <c r="BD528" s="15" t="n">
        <f aca="false">(BH527)+AC528-AF528-AI528-AS528-K528*(1+Parametri_v3!$C$26)-AL528-AQ528-O528+AW528+AX528+AZ528+BA528-BB528</f>
        <v>131265.450338438</v>
      </c>
      <c r="BE528" s="15" t="n">
        <f aca="false">0</f>
        <v>0</v>
      </c>
      <c r="BF528" s="15" t="n">
        <f aca="false">0</f>
        <v>0</v>
      </c>
      <c r="BG528" s="15" t="n">
        <f aca="false">0</f>
        <v>0</v>
      </c>
      <c r="BH528" s="15" t="n">
        <f aca="false">BD528+BE528-BF528-AY528</f>
        <v>131265.450338438</v>
      </c>
      <c r="BI528" s="15" t="n">
        <f aca="false">MAX(0,Parametri_v3!$C$31-BH528)</f>
        <v>0</v>
      </c>
      <c r="BJ528" s="15" t="n">
        <f aca="false">(BJ527)+K528</f>
        <v>18333.3333333333</v>
      </c>
      <c r="BK528" s="15" t="n">
        <f aca="false">(BK527)+L528</f>
        <v>9319.44444444444</v>
      </c>
      <c r="BL528" s="15" t="n">
        <f aca="false">BJ528-BK528</f>
        <v>9013.88888888889</v>
      </c>
      <c r="BM528" s="15" t="n">
        <f aca="false">(BM527)+Y528</f>
        <v>355565.880753105</v>
      </c>
      <c r="BN528" s="15" t="n">
        <f aca="false">(BN527)+AW528+AX528+AZ528</f>
        <v>20000</v>
      </c>
      <c r="BO528" s="15" t="n">
        <f aca="false">(BO527)+AY528</f>
        <v>60315.9059027778</v>
      </c>
      <c r="BP528" s="15" t="n">
        <f aca="false">MIN(Parametri_v3!$C$36*Parametri_v3!$C$35,(BP527)+IF(8=1,MAX(0,SUM(Y509:Y520))*Parametri_v3!$C$34,0))</f>
        <v>2000</v>
      </c>
      <c r="BQ528" s="15" t="n">
        <f aca="false">BN528+BM528-BO528</f>
        <v>315249.974850327</v>
      </c>
      <c r="BR528" s="15" t="n">
        <f aca="false">BH528+AD528+BL528+MAX(0,-AM528)+MAX(0,-AR528)</f>
        <v>470563.839227327</v>
      </c>
      <c r="BS528" s="15" t="n">
        <f aca="false">AJ528+AV528+MAX(0,AM528)+MAX(0,AR528)+BC528+BG528+BQ528+AG528</f>
        <v>470563.839227327</v>
      </c>
      <c r="BT528" s="15" t="n">
        <f aca="false">BR528-BS528</f>
        <v>0</v>
      </c>
      <c r="BU528" s="15" t="n">
        <f aca="false">BH528-(BD528+BE528-BF528-AY528)</f>
        <v>0</v>
      </c>
      <c r="BV528" s="15" t="n">
        <f aca="false">IF(BH527&lt;Parametri_v3!$C$31,0,BV527+1)</f>
        <v>15</v>
      </c>
    </row>
    <row r="529" customFormat="false" ht="18" hidden="false" customHeight="true" outlineLevel="0" collapsed="false">
      <c r="A529" s="68" t="n">
        <f aca="false">9</f>
        <v>9</v>
      </c>
      <c r="B529" s="68" t="n">
        <f aca="false">45</f>
        <v>45</v>
      </c>
      <c r="C529" s="18" t="n">
        <f aca="false">Motore_Operativo!C529</f>
        <v>47727</v>
      </c>
      <c r="D529" s="68" t="n">
        <f aca="false">Motore_Operativo!D529</f>
        <v>2030</v>
      </c>
      <c r="E529" s="68" t="n">
        <f aca="false">Motore_Operativo!E529</f>
        <v>9</v>
      </c>
      <c r="F529" s="15" t="n">
        <f aca="false">Motore_Operativo!AM529</f>
        <v>90241.6666666667</v>
      </c>
      <c r="G529" s="15" t="n">
        <f aca="false">Motore_Operativo!BH529</f>
        <v>9024.16666666667</v>
      </c>
      <c r="H529" s="15" t="n">
        <f aca="false">Motore_Operativo!AM529</f>
        <v>90241.6666666667</v>
      </c>
      <c r="I529" s="15" t="n">
        <f aca="false">Motore_Operativo!CB529</f>
        <v>62580.173375</v>
      </c>
      <c r="J529" s="15" t="n">
        <f aca="false">Motore_Operativo!CD529</f>
        <v>27661.4932916667</v>
      </c>
      <c r="K529" s="15" t="n">
        <f aca="false">Motore_Operativo!CF529</f>
        <v>666.666666666667</v>
      </c>
      <c r="L529" s="15" t="n">
        <f aca="false">SUM(INDEX($K$485:$K$544,MAX(1,45-Parametri_v3!$C$59+1)):K529)/Parametri_v3!$C$59</f>
        <v>465.277777777778</v>
      </c>
      <c r="M529" s="15" t="n">
        <f aca="false">J529-L529</f>
        <v>27196.2155138889</v>
      </c>
      <c r="N529" s="15" t="n">
        <f aca="false">0</f>
        <v>0</v>
      </c>
      <c r="O529" s="15" t="n">
        <f aca="false">0</f>
        <v>0</v>
      </c>
      <c r="P529" s="15" t="n">
        <f aca="false">M529+N529-O529</f>
        <v>27196.2155138889</v>
      </c>
      <c r="Q529" s="15" t="n">
        <f aca="false">SUM(P521:P529)+Parametri_v3!$C$56*9/12</f>
        <v>245182.606291667</v>
      </c>
      <c r="R529" s="15" t="n">
        <f aca="false">Z520</f>
        <v>0</v>
      </c>
      <c r="S529" s="15" t="n">
        <f aca="false">AA520</f>
        <v>0</v>
      </c>
      <c r="T529" s="15" t="n">
        <f aca="false">MIN(R529,MAX(0,Q529))</f>
        <v>0</v>
      </c>
      <c r="U529" s="15" t="n">
        <f aca="false">MIN(S529,MAX(0,Q529-T529)*Parametri_v3!$C$42)</f>
        <v>0</v>
      </c>
      <c r="V529" s="15" t="n">
        <f aca="false">MAX(0,Q529-T529-U529)*Ipotesi!$C$92</f>
        <v>58843.82551</v>
      </c>
      <c r="W529" s="15" t="n">
        <f aca="false">MAX(0,SUM(M521:M529)+Parametri_v3!$C$57*9/12)*Ipotesi!$C$93</f>
        <v>9562.121645375</v>
      </c>
      <c r="X529" s="15" t="n">
        <f aca="false">V529+W529-(V528+W528)</f>
        <v>7587.74412837499</v>
      </c>
      <c r="Y529" s="15" t="n">
        <f aca="false">P529-X529</f>
        <v>19608.4713855139</v>
      </c>
      <c r="Z529" s="15" t="n">
        <f aca="false">R529-T529+IF(AND(Parametri_v3!$C$40=1,D529-YEAR(Parametri_v3!$C$50)&lt;Parametri_v3!$C$41),MAX(0,-Q529),0)</f>
        <v>0</v>
      </c>
      <c r="AA529" s="15" t="n">
        <f aca="false">S529-U529+IF(AND(Parametri_v3!$C$40=1,D529-YEAR(Parametri_v3!$C$50)&lt;Parametri_v3!$C$41),0,MAX(0,-Q529))</f>
        <v>0</v>
      </c>
      <c r="AB529" s="15" t="n">
        <f aca="false">F529*(1+Parametri_v3!$C$26)</f>
        <v>110094.833333333</v>
      </c>
      <c r="AC529" s="15" t="n">
        <f aca="false">(IF(45-(INT((Motore_Operativo!L529)/30))&lt;1,0,INDEX(Motore_Advisory!$AB$485:$AB$544,MAX(1,45-(INT((Motore_Operativo!L529)/30)))))*(1-(MOD((Motore_Operativo!L529),30)/30))+IF(45-(INT((Motore_Operativo!L529)/30))-1&lt;1,0,INDEX(Motore_Advisory!$AB$485:$AB$544,MAX(1,45-(INT((Motore_Operativo!L529)/30))-1)))*(MOD((Motore_Operativo!L529),30)/30))</f>
        <v>110094.833333333</v>
      </c>
      <c r="AD529" s="15" t="n">
        <f aca="false">(AD528)+AB529-AC529</f>
        <v>330284.5</v>
      </c>
      <c r="AE529" s="15" t="n">
        <f aca="false">Motore_Operativo!BH529*(1+Parametri_v3!$C$26)</f>
        <v>11009.4833333333</v>
      </c>
      <c r="AF529" s="15" t="n">
        <f aca="false">(IF(45-(INT((Parametri_v3!$C$29)/30))&lt;1,0,INDEX(Motore_Operativo!$BH$485:$BH$544,MAX(1,45-(INT((Parametri_v3!$C$29)/30)))))*(1-(MOD((Parametri_v3!$C$29),30)/30))+IF(45-(INT((Parametri_v3!$C$29)/30))-1&lt;1,0,INDEX(Motore_Operativo!$BH$485:$BH$544,MAX(1,45-(INT((Parametri_v3!$C$29)/30))-1)))*(MOD((Parametri_v3!$C$29),30)/30))*(1+Parametri_v3!$C$26)</f>
        <v>11009.4833333333</v>
      </c>
      <c r="AG529" s="15" t="n">
        <f aca="false">(AG528)+AE529-AF529</f>
        <v>11009.4833333333</v>
      </c>
      <c r="AH529" s="15" t="n">
        <f aca="false">(Motore_Operativo!CK529)*(1+Parametri_v3!$C$28*Parametri_v3!$C$26)</f>
        <v>23198.952</v>
      </c>
      <c r="AI529" s="15" t="n">
        <f aca="false">(IF(45-(INT((Ipotesi!$C$91)/30))&lt;1,0,INDEX(Motore_Advisory!$AH$485:$AH$544,MAX(1,45-(INT((Ipotesi!$C$91)/30)))))*(1-(MOD((Ipotesi!$C$91),30)/30))+IF(45-(INT((Ipotesi!$C$91)/30))-1&lt;1,0,INDEX(Motore_Advisory!$AH$485:$AH$544,MAX(1,45-(INT((Ipotesi!$C$91)/30))-1)))*(MOD((Ipotesi!$C$91),30)/30))</f>
        <v>23198.952</v>
      </c>
      <c r="AJ529" s="15" t="n">
        <f aca="false">(AJ528)+AH529-AI529</f>
        <v>46397.904</v>
      </c>
      <c r="AK529" s="15" t="n">
        <f aca="false">(F529- Motore_Operativo!BH529-(Motore_Operativo!CK529)*Parametri_v3!$C$28-Motore_Operativo!CF529)*Parametri_v3!$C$26</f>
        <v>14249.2313333333</v>
      </c>
      <c r="AL529" s="15" t="n">
        <f aca="false">MAX(0,(AM528))</f>
        <v>14249.2313333333</v>
      </c>
      <c r="AM529" s="15" t="n">
        <f aca="false">(AM528)+AK529-AL529</f>
        <v>14249.2313333333</v>
      </c>
      <c r="AN529" s="15" t="n">
        <f aca="false">SUM(X509:X520)</f>
        <v>46679.99375</v>
      </c>
      <c r="AO529" s="15" t="n">
        <f aca="false">SUM(AP509:AP520)</f>
        <v>16530.1714788732</v>
      </c>
      <c r="AP529" s="15" t="n">
        <f aca="false">MAX(0,AN529)*IF(9=Parametri_v3!$C$43,Parametri_v3!$C$45,IF(9=Parametri_v3!$C$44,1-Parametri_v3!$C$45,0))</f>
        <v>0</v>
      </c>
      <c r="AQ529" s="15" t="n">
        <f aca="false">MAX(0,AP529+IF(9=Parametri_v3!$C$43,MAX(0,AN529-AO529),0)-MAX(0,-(AR528)))</f>
        <v>0</v>
      </c>
      <c r="AR529" s="15" t="n">
        <f aca="false">(AR528)+X529-AQ529</f>
        <v>49733.949655375</v>
      </c>
      <c r="AS529" s="15" t="n">
        <f aca="false">Motore_Operativo!AC529-AT529+AU529</f>
        <v>32137.5563729167</v>
      </c>
      <c r="AT529" s="15" t="n">
        <f aca="false">Motore_Operativo!CI529</f>
        <v>1691.45033541667</v>
      </c>
      <c r="AU529" s="15" t="n">
        <f aca="false">MIN(MAX(0,(AV528)+AT529),Parametri_v3!$C$61/12)</f>
        <v>0</v>
      </c>
      <c r="AV529" s="15" t="n">
        <f aca="false">(AV528)+AT529-AU529</f>
        <v>43202.49051875</v>
      </c>
      <c r="AW529" s="15" t="n">
        <f aca="false">IF(AND(Motore_Operativo!C529=Finanziamenti!$D$7,Finanziamenti!$F$7=1),Finanziamenti!$C$7,0)</f>
        <v>0</v>
      </c>
      <c r="AX529" s="15" t="n">
        <f aca="false">0</f>
        <v>0</v>
      </c>
      <c r="AY529" s="15" t="n">
        <f aca="false">IF(9=Parametri_v3!$C$33,IF(BV529&lt;MIN(12,$B529-1),0,MIN(MAX(0,SUM(Y509:Y520))*Ipotesi!$C$94,MAX(0,(BM520)-(BO528)-BP529),MAX(0,BD529-Parametri_v3!$C$31))),0)</f>
        <v>0</v>
      </c>
      <c r="AZ529" s="15" t="n">
        <f aca="false">0</f>
        <v>0</v>
      </c>
      <c r="BA529" s="15" t="n">
        <f aca="false">0</f>
        <v>0</v>
      </c>
      <c r="BB529" s="15" t="n">
        <f aca="false">0</f>
        <v>0</v>
      </c>
      <c r="BC529" s="15" t="n">
        <f aca="false">0</f>
        <v>0</v>
      </c>
      <c r="BD529" s="15" t="n">
        <f aca="false">(BH528)+AC529-AF529-AI529-AS529-K529*(1+Parametri_v3!$C$26)-AL529-AQ529-O529+AW529+AX529+AZ529+BA529-BB529</f>
        <v>159951.727298854</v>
      </c>
      <c r="BE529" s="15" t="n">
        <f aca="false">0</f>
        <v>0</v>
      </c>
      <c r="BF529" s="15" t="n">
        <f aca="false">0</f>
        <v>0</v>
      </c>
      <c r="BG529" s="15" t="n">
        <f aca="false">0</f>
        <v>0</v>
      </c>
      <c r="BH529" s="15" t="n">
        <f aca="false">BD529+BE529-BF529-AY529</f>
        <v>159951.727298854</v>
      </c>
      <c r="BI529" s="15" t="n">
        <f aca="false">MAX(0,Parametri_v3!$C$31-BH529)</f>
        <v>0</v>
      </c>
      <c r="BJ529" s="15" t="n">
        <f aca="false">(BJ528)+K529</f>
        <v>19000</v>
      </c>
      <c r="BK529" s="15" t="n">
        <f aca="false">(BK528)+L529</f>
        <v>9784.72222222222</v>
      </c>
      <c r="BL529" s="15" t="n">
        <f aca="false">BJ529-BK529</f>
        <v>9215.27777777778</v>
      </c>
      <c r="BM529" s="15" t="n">
        <f aca="false">(BM528)+Y529</f>
        <v>375174.352138619</v>
      </c>
      <c r="BN529" s="15" t="n">
        <f aca="false">(BN528)+AW529+AX529+AZ529</f>
        <v>20000</v>
      </c>
      <c r="BO529" s="15" t="n">
        <f aca="false">(BO528)+AY529</f>
        <v>60315.9059027778</v>
      </c>
      <c r="BP529" s="15" t="n">
        <f aca="false">MIN(Parametri_v3!$C$36*Parametri_v3!$C$35,(BP528)+IF(9=1,MAX(0,SUM(Y509:Y520))*Parametri_v3!$C$34,0))</f>
        <v>2000</v>
      </c>
      <c r="BQ529" s="15" t="n">
        <f aca="false">BN529+BM529-BO529</f>
        <v>334858.446235841</v>
      </c>
      <c r="BR529" s="15" t="n">
        <f aca="false">BH529+AD529+BL529+MAX(0,-AM529)+MAX(0,-AR529)</f>
        <v>499451.505076632</v>
      </c>
      <c r="BS529" s="15" t="n">
        <f aca="false">AJ529+AV529+MAX(0,AM529)+MAX(0,AR529)+BC529+BG529+BQ529+AG529</f>
        <v>499451.505076632</v>
      </c>
      <c r="BT529" s="15" t="n">
        <f aca="false">BR529-BS529</f>
        <v>0</v>
      </c>
      <c r="BU529" s="15" t="n">
        <f aca="false">BH529-(BD529+BE529-BF529-AY529)</f>
        <v>0</v>
      </c>
      <c r="BV529" s="15" t="n">
        <f aca="false">IF(BH528&lt;Parametri_v3!$C$31,0,BV528+1)</f>
        <v>16</v>
      </c>
    </row>
    <row r="530" customFormat="false" ht="18" hidden="false" customHeight="true" outlineLevel="0" collapsed="false">
      <c r="A530" s="68" t="n">
        <f aca="false">9</f>
        <v>9</v>
      </c>
      <c r="B530" s="68" t="n">
        <f aca="false">46</f>
        <v>46</v>
      </c>
      <c r="C530" s="18" t="n">
        <f aca="false">Motore_Operativo!C530</f>
        <v>47757</v>
      </c>
      <c r="D530" s="68" t="n">
        <f aca="false">Motore_Operativo!D530</f>
        <v>2030</v>
      </c>
      <c r="E530" s="68" t="n">
        <f aca="false">Motore_Operativo!E530</f>
        <v>10</v>
      </c>
      <c r="F530" s="15" t="n">
        <f aca="false">Motore_Operativo!AM530</f>
        <v>90241.6666666667</v>
      </c>
      <c r="G530" s="15" t="n">
        <f aca="false">Motore_Operativo!BH530</f>
        <v>9024.16666666667</v>
      </c>
      <c r="H530" s="15" t="n">
        <f aca="false">Motore_Operativo!AM530</f>
        <v>90241.6666666667</v>
      </c>
      <c r="I530" s="15" t="n">
        <f aca="false">Motore_Operativo!CB530</f>
        <v>62580.173375</v>
      </c>
      <c r="J530" s="15" t="n">
        <f aca="false">Motore_Operativo!CD530</f>
        <v>27661.4932916667</v>
      </c>
      <c r="K530" s="15" t="n">
        <f aca="false">Motore_Operativo!CF530</f>
        <v>666.666666666667</v>
      </c>
      <c r="L530" s="15" t="n">
        <f aca="false">SUM(INDEX($K$485:$K$544,MAX(1,46-Parametri_v3!$C$59+1)):K530)/Parametri_v3!$C$59</f>
        <v>476.851851851852</v>
      </c>
      <c r="M530" s="15" t="n">
        <f aca="false">J530-L530</f>
        <v>27184.6414398148</v>
      </c>
      <c r="N530" s="15" t="n">
        <f aca="false">0</f>
        <v>0</v>
      </c>
      <c r="O530" s="15" t="n">
        <f aca="false">0</f>
        <v>0</v>
      </c>
      <c r="P530" s="15" t="n">
        <f aca="false">M530+N530-O530</f>
        <v>27184.6414398148</v>
      </c>
      <c r="Q530" s="15" t="n">
        <f aca="false">SUM(P521:P530)+Parametri_v3!$C$56*10/12</f>
        <v>272367.247731481</v>
      </c>
      <c r="R530" s="15" t="n">
        <f aca="false">Z520</f>
        <v>0</v>
      </c>
      <c r="S530" s="15" t="n">
        <f aca="false">AA520</f>
        <v>0</v>
      </c>
      <c r="T530" s="15" t="n">
        <f aca="false">MIN(R530,MAX(0,Q530))</f>
        <v>0</v>
      </c>
      <c r="U530" s="15" t="n">
        <f aca="false">MIN(S530,MAX(0,Q530-T530)*Parametri_v3!$C$42)</f>
        <v>0</v>
      </c>
      <c r="V530" s="15" t="n">
        <f aca="false">MAX(0,Q530-T530-U530)*Ipotesi!$C$92</f>
        <v>65368.1394555555</v>
      </c>
      <c r="W530" s="15" t="n">
        <f aca="false">MAX(0,SUM(M521:M530)+Parametri_v3!$C$57*10/12)*Ipotesi!$C$93</f>
        <v>10622.3226615278</v>
      </c>
      <c r="X530" s="15" t="n">
        <f aca="false">V530+W530-(V529+W529)</f>
        <v>7584.51496170834</v>
      </c>
      <c r="Y530" s="15" t="n">
        <f aca="false">P530-X530</f>
        <v>19600.1264781065</v>
      </c>
      <c r="Z530" s="15" t="n">
        <f aca="false">R530-T530+IF(AND(Parametri_v3!$C$40=1,D530-YEAR(Parametri_v3!$C$50)&lt;Parametri_v3!$C$41),MAX(0,-Q530),0)</f>
        <v>0</v>
      </c>
      <c r="AA530" s="15" t="n">
        <f aca="false">S530-U530+IF(AND(Parametri_v3!$C$40=1,D530-YEAR(Parametri_v3!$C$50)&lt;Parametri_v3!$C$41),0,MAX(0,-Q530))</f>
        <v>0</v>
      </c>
      <c r="AB530" s="15" t="n">
        <f aca="false">F530*(1+Parametri_v3!$C$26)</f>
        <v>110094.833333333</v>
      </c>
      <c r="AC530" s="15" t="n">
        <f aca="false">(IF(46-(INT((Motore_Operativo!L530)/30))&lt;1,0,INDEX(Motore_Advisory!$AB$485:$AB$544,MAX(1,46-(INT((Motore_Operativo!L530)/30)))))*(1-(MOD((Motore_Operativo!L530),30)/30))+IF(46-(INT((Motore_Operativo!L530)/30))-1&lt;1,0,INDEX(Motore_Advisory!$AB$485:$AB$544,MAX(1,46-(INT((Motore_Operativo!L530)/30))-1)))*(MOD((Motore_Operativo!L530),30)/30))</f>
        <v>110094.833333333</v>
      </c>
      <c r="AD530" s="15" t="n">
        <f aca="false">(AD529)+AB530-AC530</f>
        <v>330284.5</v>
      </c>
      <c r="AE530" s="15" t="n">
        <f aca="false">Motore_Operativo!BH530*(1+Parametri_v3!$C$26)</f>
        <v>11009.4833333333</v>
      </c>
      <c r="AF530" s="15" t="n">
        <f aca="false">(IF(46-(INT((Parametri_v3!$C$29)/30))&lt;1,0,INDEX(Motore_Operativo!$BH$485:$BH$544,MAX(1,46-(INT((Parametri_v3!$C$29)/30)))))*(1-(MOD((Parametri_v3!$C$29),30)/30))+IF(46-(INT((Parametri_v3!$C$29)/30))-1&lt;1,0,INDEX(Motore_Operativo!$BH$485:$BH$544,MAX(1,46-(INT((Parametri_v3!$C$29)/30))-1)))*(MOD((Parametri_v3!$C$29),30)/30))*(1+Parametri_v3!$C$26)</f>
        <v>11009.4833333333</v>
      </c>
      <c r="AG530" s="15" t="n">
        <f aca="false">(AG529)+AE530-AF530</f>
        <v>11009.4833333333</v>
      </c>
      <c r="AH530" s="15" t="n">
        <f aca="false">(Motore_Operativo!CK530)*(1+Parametri_v3!$C$28*Parametri_v3!$C$26)</f>
        <v>23198.952</v>
      </c>
      <c r="AI530" s="15" t="n">
        <f aca="false">(IF(46-(INT((Ipotesi!$C$91)/30))&lt;1,0,INDEX(Motore_Advisory!$AH$485:$AH$544,MAX(1,46-(INT((Ipotesi!$C$91)/30)))))*(1-(MOD((Ipotesi!$C$91),30)/30))+IF(46-(INT((Ipotesi!$C$91)/30))-1&lt;1,0,INDEX(Motore_Advisory!$AH$485:$AH$544,MAX(1,46-(INT((Ipotesi!$C$91)/30))-1)))*(MOD((Ipotesi!$C$91),30)/30))</f>
        <v>23198.952</v>
      </c>
      <c r="AJ530" s="15" t="n">
        <f aca="false">(AJ529)+AH530-AI530</f>
        <v>46397.904</v>
      </c>
      <c r="AK530" s="15" t="n">
        <f aca="false">(F530- Motore_Operativo!BH530-(Motore_Operativo!CK530)*Parametri_v3!$C$28-Motore_Operativo!CF530)*Parametri_v3!$C$26</f>
        <v>14249.2313333333</v>
      </c>
      <c r="AL530" s="15" t="n">
        <f aca="false">MAX(0,(AM529))</f>
        <v>14249.2313333333</v>
      </c>
      <c r="AM530" s="15" t="n">
        <f aca="false">(AM529)+AK530-AL530</f>
        <v>14249.2313333333</v>
      </c>
      <c r="AN530" s="15" t="n">
        <f aca="false">SUM(X509:X520)</f>
        <v>46679.99375</v>
      </c>
      <c r="AO530" s="15" t="n">
        <f aca="false">SUM(AP509:AP520)</f>
        <v>16530.1714788732</v>
      </c>
      <c r="AP530" s="15" t="n">
        <f aca="false">MAX(0,AN530)*IF(10=Parametri_v3!$C$43,Parametri_v3!$C$45,IF(10=Parametri_v3!$C$44,1-Parametri_v3!$C$45,0))</f>
        <v>0</v>
      </c>
      <c r="AQ530" s="15" t="n">
        <f aca="false">MAX(0,AP530+IF(10=Parametri_v3!$C$43,MAX(0,AN530-AO530),0)-MAX(0,-(AR529)))</f>
        <v>0</v>
      </c>
      <c r="AR530" s="15" t="n">
        <f aca="false">(AR529)+X530-AQ530</f>
        <v>57318.4646170833</v>
      </c>
      <c r="AS530" s="15" t="n">
        <f aca="false">Motore_Operativo!AC530-AT530+AU530</f>
        <v>32137.5563729167</v>
      </c>
      <c r="AT530" s="15" t="n">
        <f aca="false">Motore_Operativo!CI530</f>
        <v>1691.45033541667</v>
      </c>
      <c r="AU530" s="15" t="n">
        <f aca="false">MIN(MAX(0,(AV529)+AT530),Parametri_v3!$C$61/12)</f>
        <v>0</v>
      </c>
      <c r="AV530" s="15" t="n">
        <f aca="false">(AV529)+AT530-AU530</f>
        <v>44893.9408541667</v>
      </c>
      <c r="AW530" s="15" t="n">
        <f aca="false">IF(AND(Motore_Operativo!C530=Finanziamenti!$D$7,Finanziamenti!$F$7=1),Finanziamenti!$C$7,0)</f>
        <v>0</v>
      </c>
      <c r="AX530" s="15" t="n">
        <f aca="false">0</f>
        <v>0</v>
      </c>
      <c r="AY530" s="15" t="n">
        <f aca="false">IF(10=Parametri_v3!$C$33,IF(BV530&lt;MIN(12,$B530-1),0,MIN(MAX(0,SUM(Y509:Y520))*Ipotesi!$C$94,MAX(0,(BM520)-(BO529)-BP530),MAX(0,BD530-Parametri_v3!$C$31))),0)</f>
        <v>0</v>
      </c>
      <c r="AZ530" s="15" t="n">
        <f aca="false">0</f>
        <v>0</v>
      </c>
      <c r="BA530" s="15" t="n">
        <f aca="false">0</f>
        <v>0</v>
      </c>
      <c r="BB530" s="15" t="n">
        <f aca="false">0</f>
        <v>0</v>
      </c>
      <c r="BC530" s="15" t="n">
        <f aca="false">0</f>
        <v>0</v>
      </c>
      <c r="BD530" s="15" t="n">
        <f aca="false">(BH529)+AC530-AF530-AI530-AS530-K530*(1+Parametri_v3!$C$26)-AL530-AQ530-O530+AW530+AX530+AZ530+BA530-BB530</f>
        <v>188638.004259271</v>
      </c>
      <c r="BE530" s="15" t="n">
        <f aca="false">0</f>
        <v>0</v>
      </c>
      <c r="BF530" s="15" t="n">
        <f aca="false">0</f>
        <v>0</v>
      </c>
      <c r="BG530" s="15" t="n">
        <f aca="false">0</f>
        <v>0</v>
      </c>
      <c r="BH530" s="15" t="n">
        <f aca="false">BD530+BE530-BF530-AY530</f>
        <v>188638.004259271</v>
      </c>
      <c r="BI530" s="15" t="n">
        <f aca="false">MAX(0,Parametri_v3!$C$31-BH530)</f>
        <v>0</v>
      </c>
      <c r="BJ530" s="15" t="n">
        <f aca="false">(BJ529)+K530</f>
        <v>19666.6666666667</v>
      </c>
      <c r="BK530" s="15" t="n">
        <f aca="false">(BK529)+L530</f>
        <v>10261.5740740741</v>
      </c>
      <c r="BL530" s="15" t="n">
        <f aca="false">BJ530-BK530</f>
        <v>9405.09259259259</v>
      </c>
      <c r="BM530" s="15" t="n">
        <f aca="false">(BM529)+Y530</f>
        <v>394774.478616725</v>
      </c>
      <c r="BN530" s="15" t="n">
        <f aca="false">(BN529)+AW530+AX530+AZ530</f>
        <v>20000</v>
      </c>
      <c r="BO530" s="15" t="n">
        <f aca="false">(BO529)+AY530</f>
        <v>60315.9059027778</v>
      </c>
      <c r="BP530" s="15" t="n">
        <f aca="false">MIN(Parametri_v3!$C$36*Parametri_v3!$C$35,(BP529)+IF(10=1,MAX(0,SUM(Y509:Y520))*Parametri_v3!$C$34,0))</f>
        <v>2000</v>
      </c>
      <c r="BQ530" s="15" t="n">
        <f aca="false">BN530+BM530-BO530</f>
        <v>354458.572713947</v>
      </c>
      <c r="BR530" s="15" t="n">
        <f aca="false">BH530+AD530+BL530+MAX(0,-AM530)+MAX(0,-AR530)</f>
        <v>528327.596851864</v>
      </c>
      <c r="BS530" s="15" t="n">
        <f aca="false">AJ530+AV530+MAX(0,AM530)+MAX(0,AR530)+BC530+BG530+BQ530+AG530</f>
        <v>528327.596851864</v>
      </c>
      <c r="BT530" s="15" t="n">
        <f aca="false">BR530-BS530</f>
        <v>0</v>
      </c>
      <c r="BU530" s="15" t="n">
        <f aca="false">BH530-(BD530+BE530-BF530-AY530)</f>
        <v>0</v>
      </c>
      <c r="BV530" s="15" t="n">
        <f aca="false">IF(BH529&lt;Parametri_v3!$C$31,0,BV529+1)</f>
        <v>17</v>
      </c>
    </row>
    <row r="531" customFormat="false" ht="18" hidden="false" customHeight="true" outlineLevel="0" collapsed="false">
      <c r="A531" s="68" t="n">
        <f aca="false">9</f>
        <v>9</v>
      </c>
      <c r="B531" s="68" t="n">
        <f aca="false">47</f>
        <v>47</v>
      </c>
      <c r="C531" s="18" t="n">
        <f aca="false">Motore_Operativo!C531</f>
        <v>47788</v>
      </c>
      <c r="D531" s="68" t="n">
        <f aca="false">Motore_Operativo!D531</f>
        <v>2030</v>
      </c>
      <c r="E531" s="68" t="n">
        <f aca="false">Motore_Operativo!E531</f>
        <v>11</v>
      </c>
      <c r="F531" s="15" t="n">
        <f aca="false">Motore_Operativo!AM531</f>
        <v>90241.6666666667</v>
      </c>
      <c r="G531" s="15" t="n">
        <f aca="false">Motore_Operativo!BH531</f>
        <v>9024.16666666667</v>
      </c>
      <c r="H531" s="15" t="n">
        <f aca="false">Motore_Operativo!AM531</f>
        <v>90241.6666666667</v>
      </c>
      <c r="I531" s="15" t="n">
        <f aca="false">Motore_Operativo!CB531</f>
        <v>62580.173375</v>
      </c>
      <c r="J531" s="15" t="n">
        <f aca="false">Motore_Operativo!CD531</f>
        <v>27661.4932916667</v>
      </c>
      <c r="K531" s="15" t="n">
        <f aca="false">Motore_Operativo!CF531</f>
        <v>666.666666666667</v>
      </c>
      <c r="L531" s="15" t="n">
        <f aca="false">SUM(INDEX($K$485:$K$544,MAX(1,47-Parametri_v3!$C$59+1)):K531)/Parametri_v3!$C$59</f>
        <v>488.425925925926</v>
      </c>
      <c r="M531" s="15" t="n">
        <f aca="false">J531-L531</f>
        <v>27173.0673657407</v>
      </c>
      <c r="N531" s="15" t="n">
        <f aca="false">0</f>
        <v>0</v>
      </c>
      <c r="O531" s="15" t="n">
        <f aca="false">0</f>
        <v>0</v>
      </c>
      <c r="P531" s="15" t="n">
        <f aca="false">M531+N531-O531</f>
        <v>27173.0673657407</v>
      </c>
      <c r="Q531" s="15" t="n">
        <f aca="false">SUM(P521:P531)+Parametri_v3!$C$56*11/12</f>
        <v>299540.315097222</v>
      </c>
      <c r="R531" s="15" t="n">
        <f aca="false">Z520</f>
        <v>0</v>
      </c>
      <c r="S531" s="15" t="n">
        <f aca="false">AA520</f>
        <v>0</v>
      </c>
      <c r="T531" s="15" t="n">
        <f aca="false">MIN(R531,MAX(0,Q531))</f>
        <v>0</v>
      </c>
      <c r="U531" s="15" t="n">
        <f aca="false">MIN(S531,MAX(0,Q531-T531)*Parametri_v3!$C$42)</f>
        <v>0</v>
      </c>
      <c r="V531" s="15" t="n">
        <f aca="false">MAX(0,Q531-T531-U531)*Ipotesi!$C$92</f>
        <v>71889.6756233333</v>
      </c>
      <c r="W531" s="15" t="n">
        <f aca="false">MAX(0,SUM(M521:M531)+Parametri_v3!$C$57*11/12)*Ipotesi!$C$93</f>
        <v>11682.0722887917</v>
      </c>
      <c r="X531" s="15" t="n">
        <f aca="false">V531+W531-(V530+W530)</f>
        <v>7581.28579504165</v>
      </c>
      <c r="Y531" s="15" t="n">
        <f aca="false">P531-X531</f>
        <v>19591.7815706991</v>
      </c>
      <c r="Z531" s="15" t="n">
        <f aca="false">R531-T531+IF(AND(Parametri_v3!$C$40=1,D531-YEAR(Parametri_v3!$C$50)&lt;Parametri_v3!$C$41),MAX(0,-Q531),0)</f>
        <v>0</v>
      </c>
      <c r="AA531" s="15" t="n">
        <f aca="false">S531-U531+IF(AND(Parametri_v3!$C$40=1,D531-YEAR(Parametri_v3!$C$50)&lt;Parametri_v3!$C$41),0,MAX(0,-Q531))</f>
        <v>0</v>
      </c>
      <c r="AB531" s="15" t="n">
        <f aca="false">F531*(1+Parametri_v3!$C$26)</f>
        <v>110094.833333333</v>
      </c>
      <c r="AC531" s="15" t="n">
        <f aca="false">(IF(47-(INT((Motore_Operativo!L531)/30))&lt;1,0,INDEX(Motore_Advisory!$AB$485:$AB$544,MAX(1,47-(INT((Motore_Operativo!L531)/30)))))*(1-(MOD((Motore_Operativo!L531),30)/30))+IF(47-(INT((Motore_Operativo!L531)/30))-1&lt;1,0,INDEX(Motore_Advisory!$AB$485:$AB$544,MAX(1,47-(INT((Motore_Operativo!L531)/30))-1)))*(MOD((Motore_Operativo!L531),30)/30))</f>
        <v>110094.833333333</v>
      </c>
      <c r="AD531" s="15" t="n">
        <f aca="false">(AD530)+AB531-AC531</f>
        <v>330284.5</v>
      </c>
      <c r="AE531" s="15" t="n">
        <f aca="false">Motore_Operativo!BH531*(1+Parametri_v3!$C$26)</f>
        <v>11009.4833333333</v>
      </c>
      <c r="AF531" s="15" t="n">
        <f aca="false">(IF(47-(INT((Parametri_v3!$C$29)/30))&lt;1,0,INDEX(Motore_Operativo!$BH$485:$BH$544,MAX(1,47-(INT((Parametri_v3!$C$29)/30)))))*(1-(MOD((Parametri_v3!$C$29),30)/30))+IF(47-(INT((Parametri_v3!$C$29)/30))-1&lt;1,0,INDEX(Motore_Operativo!$BH$485:$BH$544,MAX(1,47-(INT((Parametri_v3!$C$29)/30))-1)))*(MOD((Parametri_v3!$C$29),30)/30))*(1+Parametri_v3!$C$26)</f>
        <v>11009.4833333333</v>
      </c>
      <c r="AG531" s="15" t="n">
        <f aca="false">(AG530)+AE531-AF531</f>
        <v>11009.4833333333</v>
      </c>
      <c r="AH531" s="15" t="n">
        <f aca="false">(Motore_Operativo!CK531)*(1+Parametri_v3!$C$28*Parametri_v3!$C$26)</f>
        <v>23198.952</v>
      </c>
      <c r="AI531" s="15" t="n">
        <f aca="false">(IF(47-(INT((Ipotesi!$C$91)/30))&lt;1,0,INDEX(Motore_Advisory!$AH$485:$AH$544,MAX(1,47-(INT((Ipotesi!$C$91)/30)))))*(1-(MOD((Ipotesi!$C$91),30)/30))+IF(47-(INT((Ipotesi!$C$91)/30))-1&lt;1,0,INDEX(Motore_Advisory!$AH$485:$AH$544,MAX(1,47-(INT((Ipotesi!$C$91)/30))-1)))*(MOD((Ipotesi!$C$91),30)/30))</f>
        <v>23198.952</v>
      </c>
      <c r="AJ531" s="15" t="n">
        <f aca="false">(AJ530)+AH531-AI531</f>
        <v>46397.904</v>
      </c>
      <c r="AK531" s="15" t="n">
        <f aca="false">(F531- Motore_Operativo!BH531-(Motore_Operativo!CK531)*Parametri_v3!$C$28-Motore_Operativo!CF531)*Parametri_v3!$C$26</f>
        <v>14249.2313333333</v>
      </c>
      <c r="AL531" s="15" t="n">
        <f aca="false">MAX(0,(AM530))</f>
        <v>14249.2313333333</v>
      </c>
      <c r="AM531" s="15" t="n">
        <f aca="false">(AM530)+AK531-AL531</f>
        <v>14249.2313333333</v>
      </c>
      <c r="AN531" s="15" t="n">
        <f aca="false">SUM(X509:X520)</f>
        <v>46679.99375</v>
      </c>
      <c r="AO531" s="15" t="n">
        <f aca="false">SUM(AP509:AP520)</f>
        <v>16530.1714788732</v>
      </c>
      <c r="AP531" s="15" t="n">
        <f aca="false">MAX(0,AN531)*IF(11=Parametri_v3!$C$43,Parametri_v3!$C$45,IF(11=Parametri_v3!$C$44,1-Parametri_v3!$C$45,0))</f>
        <v>28007.99625</v>
      </c>
      <c r="AQ531" s="15" t="n">
        <f aca="false">MAX(0,AP531+IF(11=Parametri_v3!$C$43,MAX(0,AN531-AO531),0)-MAX(0,-(AR530)))</f>
        <v>28007.99625</v>
      </c>
      <c r="AR531" s="15" t="n">
        <f aca="false">(AR530)+X531-AQ531</f>
        <v>36891.754162125</v>
      </c>
      <c r="AS531" s="15" t="n">
        <f aca="false">Motore_Operativo!AC531-AT531+AU531</f>
        <v>32137.5563729167</v>
      </c>
      <c r="AT531" s="15" t="n">
        <f aca="false">Motore_Operativo!CI531</f>
        <v>1691.45033541667</v>
      </c>
      <c r="AU531" s="15" t="n">
        <f aca="false">MIN(MAX(0,(AV530)+AT531),Parametri_v3!$C$61/12)</f>
        <v>0</v>
      </c>
      <c r="AV531" s="15" t="n">
        <f aca="false">(AV530)+AT531-AU531</f>
        <v>46585.3911895833</v>
      </c>
      <c r="AW531" s="15" t="n">
        <f aca="false">IF(AND(Motore_Operativo!C531=Finanziamenti!$D$7,Finanziamenti!$F$7=1),Finanziamenti!$C$7,0)</f>
        <v>0</v>
      </c>
      <c r="AX531" s="15" t="n">
        <f aca="false">0</f>
        <v>0</v>
      </c>
      <c r="AY531" s="15" t="n">
        <f aca="false">IF(11=Parametri_v3!$C$33,IF(BV531&lt;MIN(12,$B531-1),0,MIN(MAX(0,SUM(Y509:Y520))*Ipotesi!$C$94,MAX(0,(BM520)-(BO530)-BP531),MAX(0,BD531-Parametri_v3!$C$31))),0)</f>
        <v>0</v>
      </c>
      <c r="AZ531" s="15" t="n">
        <f aca="false">0</f>
        <v>0</v>
      </c>
      <c r="BA531" s="15" t="n">
        <f aca="false">0</f>
        <v>0</v>
      </c>
      <c r="BB531" s="15" t="n">
        <f aca="false">0</f>
        <v>0</v>
      </c>
      <c r="BC531" s="15" t="n">
        <f aca="false">0</f>
        <v>0</v>
      </c>
      <c r="BD531" s="15" t="n">
        <f aca="false">(BH530)+AC531-AF531-AI531-AS531-K531*(1+Parametri_v3!$C$26)-AL531-AQ531-O531+AW531+AX531+AZ531+BA531-BB531</f>
        <v>189316.284969688</v>
      </c>
      <c r="BE531" s="15" t="n">
        <f aca="false">0</f>
        <v>0</v>
      </c>
      <c r="BF531" s="15" t="n">
        <f aca="false">0</f>
        <v>0</v>
      </c>
      <c r="BG531" s="15" t="n">
        <f aca="false">0</f>
        <v>0</v>
      </c>
      <c r="BH531" s="15" t="n">
        <f aca="false">BD531+BE531-BF531-AY531</f>
        <v>189316.284969688</v>
      </c>
      <c r="BI531" s="15" t="n">
        <f aca="false">MAX(0,Parametri_v3!$C$31-BH531)</f>
        <v>0</v>
      </c>
      <c r="BJ531" s="15" t="n">
        <f aca="false">(BJ530)+K531</f>
        <v>20333.3333333333</v>
      </c>
      <c r="BK531" s="15" t="n">
        <f aca="false">(BK530)+L531</f>
        <v>10750</v>
      </c>
      <c r="BL531" s="15" t="n">
        <f aca="false">BJ531-BK531</f>
        <v>9583.33333333333</v>
      </c>
      <c r="BM531" s="15" t="n">
        <f aca="false">(BM530)+Y531</f>
        <v>414366.260187424</v>
      </c>
      <c r="BN531" s="15" t="n">
        <f aca="false">(BN530)+AW531+AX531+AZ531</f>
        <v>20000</v>
      </c>
      <c r="BO531" s="15" t="n">
        <f aca="false">(BO530)+AY531</f>
        <v>60315.9059027778</v>
      </c>
      <c r="BP531" s="15" t="n">
        <f aca="false">MIN(Parametri_v3!$C$36*Parametri_v3!$C$35,(BP530)+IF(11=1,MAX(0,SUM(Y509:Y520))*Parametri_v3!$C$34,0))</f>
        <v>2000</v>
      </c>
      <c r="BQ531" s="15" t="n">
        <f aca="false">BN531+BM531-BO531</f>
        <v>374050.354284646</v>
      </c>
      <c r="BR531" s="15" t="n">
        <f aca="false">BH531+AD531+BL531+MAX(0,-AM531)+MAX(0,-AR531)</f>
        <v>529184.118303021</v>
      </c>
      <c r="BS531" s="15" t="n">
        <f aca="false">AJ531+AV531+MAX(0,AM531)+MAX(0,AR531)+BC531+BG531+BQ531+AG531</f>
        <v>529184.118303021</v>
      </c>
      <c r="BT531" s="15" t="n">
        <f aca="false">BR531-BS531</f>
        <v>0</v>
      </c>
      <c r="BU531" s="15" t="n">
        <f aca="false">BH531-(BD531+BE531-BF531-AY531)</f>
        <v>0</v>
      </c>
      <c r="BV531" s="15" t="n">
        <f aca="false">IF(BH530&lt;Parametri_v3!$C$31,0,BV530+1)</f>
        <v>18</v>
      </c>
    </row>
    <row r="532" customFormat="false" ht="18" hidden="false" customHeight="true" outlineLevel="0" collapsed="false">
      <c r="A532" s="68" t="n">
        <f aca="false">9</f>
        <v>9</v>
      </c>
      <c r="B532" s="68" t="n">
        <f aca="false">48</f>
        <v>48</v>
      </c>
      <c r="C532" s="18" t="n">
        <f aca="false">Motore_Operativo!C532</f>
        <v>47818</v>
      </c>
      <c r="D532" s="68" t="n">
        <f aca="false">Motore_Operativo!D532</f>
        <v>2030</v>
      </c>
      <c r="E532" s="68" t="n">
        <f aca="false">Motore_Operativo!E532</f>
        <v>12</v>
      </c>
      <c r="F532" s="15" t="n">
        <f aca="false">Motore_Operativo!AM532</f>
        <v>90241.6666666667</v>
      </c>
      <c r="G532" s="15" t="n">
        <f aca="false">Motore_Operativo!BH532</f>
        <v>9024.16666666667</v>
      </c>
      <c r="H532" s="15" t="n">
        <f aca="false">Motore_Operativo!AM532</f>
        <v>90241.6666666667</v>
      </c>
      <c r="I532" s="15" t="n">
        <f aca="false">Motore_Operativo!CB532</f>
        <v>62580.173375</v>
      </c>
      <c r="J532" s="15" t="n">
        <f aca="false">Motore_Operativo!CD532</f>
        <v>27661.4932916667</v>
      </c>
      <c r="K532" s="15" t="n">
        <f aca="false">Motore_Operativo!CF532</f>
        <v>666.666666666667</v>
      </c>
      <c r="L532" s="15" t="n">
        <f aca="false">SUM(INDEX($K$485:$K$544,MAX(1,48-Parametri_v3!$C$59+1)):K532)/Parametri_v3!$C$59</f>
        <v>500</v>
      </c>
      <c r="M532" s="15" t="n">
        <f aca="false">J532-L532</f>
        <v>27161.4932916667</v>
      </c>
      <c r="N532" s="15" t="n">
        <f aca="false">0</f>
        <v>0</v>
      </c>
      <c r="O532" s="15" t="n">
        <f aca="false">0</f>
        <v>0</v>
      </c>
      <c r="P532" s="15" t="n">
        <f aca="false">M532+N532-O532</f>
        <v>27161.4932916667</v>
      </c>
      <c r="Q532" s="15" t="n">
        <f aca="false">SUM(P521:P532)+Parametri_v3!$C$56*12/12</f>
        <v>326701.808388889</v>
      </c>
      <c r="R532" s="15" t="n">
        <f aca="false">Z520</f>
        <v>0</v>
      </c>
      <c r="S532" s="15" t="n">
        <f aca="false">AA520</f>
        <v>0</v>
      </c>
      <c r="T532" s="15" t="n">
        <f aca="false">MIN(R532,MAX(0,Q532))</f>
        <v>0</v>
      </c>
      <c r="U532" s="15" t="n">
        <f aca="false">MIN(S532,MAX(0,Q532-T532)*Parametri_v3!$C$42)</f>
        <v>0</v>
      </c>
      <c r="V532" s="15" t="n">
        <f aca="false">MAX(0,Q532-T532-U532)*Ipotesi!$C$92</f>
        <v>78408.4340133333</v>
      </c>
      <c r="W532" s="15" t="n">
        <f aca="false">MAX(0,SUM(M521:M532)+Parametri_v3!$C$57*12/12)*Ipotesi!$C$93</f>
        <v>12741.3705271667</v>
      </c>
      <c r="X532" s="15" t="n">
        <f aca="false">V532+W532-(V531+W531)</f>
        <v>7578.05662837502</v>
      </c>
      <c r="Y532" s="15" t="n">
        <f aca="false">P532-X532</f>
        <v>19583.4366632916</v>
      </c>
      <c r="Z532" s="15" t="n">
        <f aca="false">R532-T532+IF(AND(Parametri_v3!$C$40=1,D532-YEAR(Parametri_v3!$C$50)&lt;Parametri_v3!$C$41),MAX(0,-Q532),0)</f>
        <v>0</v>
      </c>
      <c r="AA532" s="15" t="n">
        <f aca="false">S532-U532+IF(AND(Parametri_v3!$C$40=1,D532-YEAR(Parametri_v3!$C$50)&lt;Parametri_v3!$C$41),0,MAX(0,-Q532))</f>
        <v>0</v>
      </c>
      <c r="AB532" s="15" t="n">
        <f aca="false">F532*(1+Parametri_v3!$C$26)</f>
        <v>110094.833333333</v>
      </c>
      <c r="AC532" s="15" t="n">
        <f aca="false">(IF(48-(INT((Motore_Operativo!L532)/30))&lt;1,0,INDEX(Motore_Advisory!$AB$485:$AB$544,MAX(1,48-(INT((Motore_Operativo!L532)/30)))))*(1-(MOD((Motore_Operativo!L532),30)/30))+IF(48-(INT((Motore_Operativo!L532)/30))-1&lt;1,0,INDEX(Motore_Advisory!$AB$485:$AB$544,MAX(1,48-(INT((Motore_Operativo!L532)/30))-1)))*(MOD((Motore_Operativo!L532),30)/30))</f>
        <v>110094.833333333</v>
      </c>
      <c r="AD532" s="15" t="n">
        <f aca="false">(AD531)+AB532-AC532</f>
        <v>330284.5</v>
      </c>
      <c r="AE532" s="15" t="n">
        <f aca="false">Motore_Operativo!BH532*(1+Parametri_v3!$C$26)</f>
        <v>11009.4833333333</v>
      </c>
      <c r="AF532" s="15" t="n">
        <f aca="false">(IF(48-(INT((Parametri_v3!$C$29)/30))&lt;1,0,INDEX(Motore_Operativo!$BH$485:$BH$544,MAX(1,48-(INT((Parametri_v3!$C$29)/30)))))*(1-(MOD((Parametri_v3!$C$29),30)/30))+IF(48-(INT((Parametri_v3!$C$29)/30))-1&lt;1,0,INDEX(Motore_Operativo!$BH$485:$BH$544,MAX(1,48-(INT((Parametri_v3!$C$29)/30))-1)))*(MOD((Parametri_v3!$C$29),30)/30))*(1+Parametri_v3!$C$26)</f>
        <v>11009.4833333333</v>
      </c>
      <c r="AG532" s="15" t="n">
        <f aca="false">(AG531)+AE532-AF532</f>
        <v>11009.4833333333</v>
      </c>
      <c r="AH532" s="15" t="n">
        <f aca="false">(Motore_Operativo!CK532)*(1+Parametri_v3!$C$28*Parametri_v3!$C$26)</f>
        <v>23198.952</v>
      </c>
      <c r="AI532" s="15" t="n">
        <f aca="false">(IF(48-(INT((Ipotesi!$C$91)/30))&lt;1,0,INDEX(Motore_Advisory!$AH$485:$AH$544,MAX(1,48-(INT((Ipotesi!$C$91)/30)))))*(1-(MOD((Ipotesi!$C$91),30)/30))+IF(48-(INT((Ipotesi!$C$91)/30))-1&lt;1,0,INDEX(Motore_Advisory!$AH$485:$AH$544,MAX(1,48-(INT((Ipotesi!$C$91)/30))-1)))*(MOD((Ipotesi!$C$91),30)/30))</f>
        <v>23198.952</v>
      </c>
      <c r="AJ532" s="15" t="n">
        <f aca="false">(AJ531)+AH532-AI532</f>
        <v>46397.904</v>
      </c>
      <c r="AK532" s="15" t="n">
        <f aca="false">(F532- Motore_Operativo!BH532-(Motore_Operativo!CK532)*Parametri_v3!$C$28-Motore_Operativo!CF532)*Parametri_v3!$C$26</f>
        <v>14249.2313333333</v>
      </c>
      <c r="AL532" s="15" t="n">
        <f aca="false">MAX(0,(AM531))</f>
        <v>14249.2313333333</v>
      </c>
      <c r="AM532" s="15" t="n">
        <f aca="false">(AM531)+AK532-AL532</f>
        <v>14249.2313333333</v>
      </c>
      <c r="AN532" s="15" t="n">
        <f aca="false">SUM(X509:X520)</f>
        <v>46679.99375</v>
      </c>
      <c r="AO532" s="15" t="n">
        <f aca="false">SUM(AP509:AP520)</f>
        <v>16530.1714788732</v>
      </c>
      <c r="AP532" s="15" t="n">
        <f aca="false">MAX(0,AN532)*IF(12=Parametri_v3!$C$43,Parametri_v3!$C$45,IF(12=Parametri_v3!$C$44,1-Parametri_v3!$C$45,0))</f>
        <v>0</v>
      </c>
      <c r="AQ532" s="15" t="n">
        <f aca="false">MAX(0,AP532+IF(12=Parametri_v3!$C$43,MAX(0,AN532-AO532),0)-MAX(0,-(AR531)))</f>
        <v>0</v>
      </c>
      <c r="AR532" s="15" t="n">
        <f aca="false">(AR531)+X532-AQ532</f>
        <v>44469.8107905</v>
      </c>
      <c r="AS532" s="15" t="n">
        <f aca="false">Motore_Operativo!AC532-AT532+AU532</f>
        <v>32137.5563729167</v>
      </c>
      <c r="AT532" s="15" t="n">
        <f aca="false">Motore_Operativo!CI532</f>
        <v>1691.45033541667</v>
      </c>
      <c r="AU532" s="15" t="n">
        <f aca="false">MIN(MAX(0,(AV531)+AT532),Parametri_v3!$C$61/12)</f>
        <v>0</v>
      </c>
      <c r="AV532" s="15" t="n">
        <f aca="false">(AV531)+AT532-AU532</f>
        <v>48276.841525</v>
      </c>
      <c r="AW532" s="15" t="n">
        <f aca="false">IF(AND(Motore_Operativo!C532=Finanziamenti!$D$7,Finanziamenti!$F$7=1),Finanziamenti!$C$7,0)</f>
        <v>0</v>
      </c>
      <c r="AX532" s="15" t="n">
        <f aca="false">0</f>
        <v>0</v>
      </c>
      <c r="AY532" s="15" t="n">
        <f aca="false">IF(12=Parametri_v3!$C$33,IF(BV532&lt;MIN(12,$B532-1),0,MIN(MAX(0,SUM(Y509:Y520))*Ipotesi!$C$94,MAX(0,(BM520)-(BO531)-BP532),MAX(0,BD532-Parametri_v3!$C$31))),0)</f>
        <v>0</v>
      </c>
      <c r="AZ532" s="15" t="n">
        <f aca="false">0</f>
        <v>0</v>
      </c>
      <c r="BA532" s="15" t="n">
        <f aca="false">0</f>
        <v>0</v>
      </c>
      <c r="BB532" s="15" t="n">
        <f aca="false">0</f>
        <v>0</v>
      </c>
      <c r="BC532" s="15" t="n">
        <f aca="false">0</f>
        <v>0</v>
      </c>
      <c r="BD532" s="15" t="n">
        <f aca="false">(BH531)+AC532-AF532-AI532-AS532-K532*(1+Parametri_v3!$C$26)-AL532-AQ532-O532+AW532+AX532+AZ532+BA532-BB532</f>
        <v>218002.561930104</v>
      </c>
      <c r="BE532" s="15" t="n">
        <f aca="false">0</f>
        <v>0</v>
      </c>
      <c r="BF532" s="15" t="n">
        <f aca="false">0</f>
        <v>0</v>
      </c>
      <c r="BG532" s="15" t="n">
        <f aca="false">0</f>
        <v>0</v>
      </c>
      <c r="BH532" s="15" t="n">
        <f aca="false">BD532+BE532-BF532-AY532</f>
        <v>218002.561930104</v>
      </c>
      <c r="BI532" s="15" t="n">
        <f aca="false">MAX(0,Parametri_v3!$C$31-BH532)</f>
        <v>0</v>
      </c>
      <c r="BJ532" s="15" t="n">
        <f aca="false">(BJ531)+K532</f>
        <v>21000</v>
      </c>
      <c r="BK532" s="15" t="n">
        <f aca="false">(BK531)+L532</f>
        <v>11250</v>
      </c>
      <c r="BL532" s="15" t="n">
        <f aca="false">BJ532-BK532</f>
        <v>9750</v>
      </c>
      <c r="BM532" s="15" t="n">
        <f aca="false">(BM531)+Y532</f>
        <v>433949.696850716</v>
      </c>
      <c r="BN532" s="15" t="n">
        <f aca="false">(BN531)+AW532+AX532+AZ532</f>
        <v>20000</v>
      </c>
      <c r="BO532" s="15" t="n">
        <f aca="false">(BO531)+AY532</f>
        <v>60315.9059027778</v>
      </c>
      <c r="BP532" s="15" t="n">
        <f aca="false">MIN(Parametri_v3!$C$36*Parametri_v3!$C$35,(BP531)+IF(12=1,MAX(0,SUM(Y509:Y520))*Parametri_v3!$C$34,0))</f>
        <v>2000</v>
      </c>
      <c r="BQ532" s="15" t="n">
        <f aca="false">BN532+BM532-BO532</f>
        <v>393633.790947938</v>
      </c>
      <c r="BR532" s="15" t="n">
        <f aca="false">BH532+AD532+BL532+MAX(0,-AM532)+MAX(0,-AR532)</f>
        <v>558037.061930104</v>
      </c>
      <c r="BS532" s="15" t="n">
        <f aca="false">AJ532+AV532+MAX(0,AM532)+MAX(0,AR532)+BC532+BG532+BQ532+AG532</f>
        <v>558037.061930105</v>
      </c>
      <c r="BT532" s="15" t="n">
        <f aca="false">BR532-BS532</f>
        <v>0</v>
      </c>
      <c r="BU532" s="15" t="n">
        <f aca="false">BH532-(BD532+BE532-BF532-AY532)</f>
        <v>0</v>
      </c>
      <c r="BV532" s="15" t="n">
        <f aca="false">IF(BH531&lt;Parametri_v3!$C$31,0,BV531+1)</f>
        <v>19</v>
      </c>
    </row>
    <row r="533" customFormat="false" ht="18" hidden="false" customHeight="true" outlineLevel="0" collapsed="false">
      <c r="A533" s="68" t="n">
        <f aca="false">9</f>
        <v>9</v>
      </c>
      <c r="B533" s="68" t="n">
        <f aca="false">49</f>
        <v>49</v>
      </c>
      <c r="C533" s="18" t="n">
        <f aca="false">Motore_Operativo!C533</f>
        <v>47849</v>
      </c>
      <c r="D533" s="68" t="n">
        <f aca="false">Motore_Operativo!D533</f>
        <v>2031</v>
      </c>
      <c r="E533" s="68" t="n">
        <f aca="false">Motore_Operativo!E533</f>
        <v>1</v>
      </c>
      <c r="F533" s="15" t="n">
        <f aca="false">Motore_Operativo!AM533</f>
        <v>115958.333333333</v>
      </c>
      <c r="G533" s="15" t="n">
        <f aca="false">Motore_Operativo!BH533</f>
        <v>11595.8333333333</v>
      </c>
      <c r="H533" s="15" t="n">
        <f aca="false">Motore_Operativo!AM533</f>
        <v>115958.333333333</v>
      </c>
      <c r="I533" s="15" t="n">
        <f aca="false">Motore_Operativo!CB533</f>
        <v>79625.4722608333</v>
      </c>
      <c r="J533" s="15" t="n">
        <f aca="false">Motore_Operativo!CD533</f>
        <v>36332.8610725</v>
      </c>
      <c r="K533" s="15" t="n">
        <f aca="false">Motore_Operativo!CF533</f>
        <v>666.666666666667</v>
      </c>
      <c r="L533" s="15" t="n">
        <f aca="false">SUM(INDEX($K$485:$K$544,MAX(1,49-Parametri_v3!$C$59+1)):K533)/Parametri_v3!$C$59</f>
        <v>506.944444444444</v>
      </c>
      <c r="M533" s="15" t="n">
        <f aca="false">J533-L533</f>
        <v>35825.9166280556</v>
      </c>
      <c r="N533" s="15" t="n">
        <f aca="false">0</f>
        <v>0</v>
      </c>
      <c r="O533" s="15" t="n">
        <f aca="false">0</f>
        <v>0</v>
      </c>
      <c r="P533" s="15" t="n">
        <f aca="false">M533+N533-O533</f>
        <v>35825.9166280556</v>
      </c>
      <c r="Q533" s="15" t="n">
        <f aca="false">SUM(P533)+Parametri_v3!$C$56*1/12</f>
        <v>35825.9166280556</v>
      </c>
      <c r="R533" s="15" t="n">
        <f aca="false">Z532</f>
        <v>0</v>
      </c>
      <c r="S533" s="15" t="n">
        <f aca="false">AA532</f>
        <v>0</v>
      </c>
      <c r="T533" s="15" t="n">
        <f aca="false">MIN(R533,MAX(0,Q533))</f>
        <v>0</v>
      </c>
      <c r="U533" s="15" t="n">
        <f aca="false">MIN(S533,MAX(0,Q533-T533)*Parametri_v3!$C$42)</f>
        <v>0</v>
      </c>
      <c r="V533" s="15" t="n">
        <f aca="false">MAX(0,Q533-T533-U533)*Ipotesi!$C$92</f>
        <v>8598.21999073333</v>
      </c>
      <c r="W533" s="15" t="n">
        <f aca="false">MAX(0,SUM(M533)+Parametri_v3!$C$57*1/12)*Ipotesi!$C$93</f>
        <v>1397.21074849417</v>
      </c>
      <c r="X533" s="15" t="n">
        <f aca="false">V533+W533-(0)</f>
        <v>9995.4307392275</v>
      </c>
      <c r="Y533" s="15" t="n">
        <f aca="false">P533-X533</f>
        <v>25830.4858888281</v>
      </c>
      <c r="Z533" s="15" t="n">
        <f aca="false">R533-T533+IF(AND(Parametri_v3!$C$40=1,D533-YEAR(Parametri_v3!$C$50)&lt;Parametri_v3!$C$41),MAX(0,-Q533),0)</f>
        <v>0</v>
      </c>
      <c r="AA533" s="15" t="n">
        <f aca="false">S533-U533+IF(AND(Parametri_v3!$C$40=1,D533-YEAR(Parametri_v3!$C$50)&lt;Parametri_v3!$C$41),0,MAX(0,-Q533))</f>
        <v>0</v>
      </c>
      <c r="AB533" s="15" t="n">
        <f aca="false">F533*(1+Parametri_v3!$C$26)</f>
        <v>141469.166666667</v>
      </c>
      <c r="AC533" s="15" t="n">
        <f aca="false">(IF(49-(INT((Motore_Operativo!L533)/30))&lt;1,0,INDEX(Motore_Advisory!$AB$485:$AB$544,MAX(1,49-(INT((Motore_Operativo!L533)/30)))))*(1-(MOD((Motore_Operativo!L533),30)/30))+IF(49-(INT((Motore_Operativo!L533)/30))-1&lt;1,0,INDEX(Motore_Advisory!$AB$485:$AB$544,MAX(1,49-(INT((Motore_Operativo!L533)/30))-1)))*(MOD((Motore_Operativo!L533),30)/30))</f>
        <v>110094.833333333</v>
      </c>
      <c r="AD533" s="15" t="n">
        <f aca="false">(AD532)+AB533-AC533</f>
        <v>361658.833333333</v>
      </c>
      <c r="AE533" s="15" t="n">
        <f aca="false">Motore_Operativo!BH533*(1+Parametri_v3!$C$26)</f>
        <v>14146.9166666667</v>
      </c>
      <c r="AF533" s="15" t="n">
        <f aca="false">(IF(49-(INT((Parametri_v3!$C$29)/30))&lt;1,0,INDEX(Motore_Operativo!$BH$485:$BH$544,MAX(1,49-(INT((Parametri_v3!$C$29)/30)))))*(1-(MOD((Parametri_v3!$C$29),30)/30))+IF(49-(INT((Parametri_v3!$C$29)/30))-1&lt;1,0,INDEX(Motore_Operativo!$BH$485:$BH$544,MAX(1,49-(INT((Parametri_v3!$C$29)/30))-1)))*(MOD((Parametri_v3!$C$29),30)/30))*(1+Parametri_v3!$C$26)</f>
        <v>11009.4833333333</v>
      </c>
      <c r="AG533" s="15" t="n">
        <f aca="false">(AG532)+AE533-AF533</f>
        <v>14146.9166666667</v>
      </c>
      <c r="AH533" s="15" t="n">
        <f aca="false">(Motore_Operativo!CK533)*(1+Parametri_v3!$C$28*Parametri_v3!$C$26)</f>
        <v>27831.02</v>
      </c>
      <c r="AI533" s="15" t="n">
        <f aca="false">(IF(49-(INT((Ipotesi!$C$91)/30))&lt;1,0,INDEX(Motore_Advisory!$AH$485:$AH$544,MAX(1,49-(INT((Ipotesi!$C$91)/30)))))*(1-(MOD((Ipotesi!$C$91),30)/30))+IF(49-(INT((Ipotesi!$C$91)/30))-1&lt;1,0,INDEX(Motore_Advisory!$AH$485:$AH$544,MAX(1,49-(INT((Ipotesi!$C$91)/30))-1)))*(MOD((Ipotesi!$C$91),30)/30))</f>
        <v>23198.952</v>
      </c>
      <c r="AJ533" s="15" t="n">
        <f aca="false">(AJ532)+AH533-AI533</f>
        <v>51029.972</v>
      </c>
      <c r="AK533" s="15" t="n">
        <f aca="false">(F533- Motore_Operativo!BH533-(Motore_Operativo!CK533)*Parametri_v3!$C$28-Motore_Operativo!CF533)*Parametri_v3!$C$26</f>
        <v>18647.8966666667</v>
      </c>
      <c r="AL533" s="15" t="n">
        <f aca="false">MAX(0,(AM532))</f>
        <v>14249.2313333333</v>
      </c>
      <c r="AM533" s="15" t="n">
        <f aca="false">(AM532)+AK533-AL533</f>
        <v>18647.8966666667</v>
      </c>
      <c r="AN533" s="15" t="n">
        <f aca="false">SUM(X521:X532)</f>
        <v>91149.8045405</v>
      </c>
      <c r="AO533" s="15" t="n">
        <f aca="false">SUM(AP521:AP532)</f>
        <v>46679.99375</v>
      </c>
      <c r="AP533" s="15" t="n">
        <f aca="false">MAX(0,AN533)*IF(1=Parametri_v3!$C$43,Parametri_v3!$C$45,IF(1=Parametri_v3!$C$44,1-Parametri_v3!$C$45,0))</f>
        <v>0</v>
      </c>
      <c r="AQ533" s="15" t="n">
        <f aca="false">MAX(0,AP533+IF(1=Parametri_v3!$C$43,MAX(0,AN533-AO533),0)-MAX(0,-(AR532)))</f>
        <v>0</v>
      </c>
      <c r="AR533" s="15" t="n">
        <f aca="false">(AR532)+X533-AQ533</f>
        <v>54465.2415297275</v>
      </c>
      <c r="AS533" s="15" t="n">
        <f aca="false">Motore_Operativo!AC533-AT533+AU533</f>
        <v>42145.6153144583</v>
      </c>
      <c r="AT533" s="15" t="n">
        <f aca="false">Motore_Operativo!CI533</f>
        <v>2218.19027970833</v>
      </c>
      <c r="AU533" s="15" t="n">
        <f aca="false">MIN(MAX(0,(AV532)+AT533),Parametri_v3!$C$61/12)</f>
        <v>0</v>
      </c>
      <c r="AV533" s="15" t="n">
        <f aca="false">(AV532)+AT533-AU533</f>
        <v>50495.0318047083</v>
      </c>
      <c r="AW533" s="15" t="n">
        <f aca="false">IF(AND(Motore_Operativo!C533=Finanziamenti!$D$7,Finanziamenti!$F$7=1),Finanziamenti!$C$7,0)</f>
        <v>0</v>
      </c>
      <c r="AX533" s="15" t="n">
        <f aca="false">0</f>
        <v>0</v>
      </c>
      <c r="AY533" s="15" t="n">
        <f aca="false">IF(1=Parametri_v3!$C$33,IF(BV533&lt;MIN(12,$B533-1),0,MIN(MAX(0,SUM(Y521:Y532))*Ipotesi!$C$94,MAX(0,(BM532)-(BO532)-BP533),MAX(0,BD533-Parametri_v3!$C$31))),0)</f>
        <v>0</v>
      </c>
      <c r="AZ533" s="15" t="n">
        <f aca="false">0</f>
        <v>0</v>
      </c>
      <c r="BA533" s="15" t="n">
        <f aca="false">0</f>
        <v>0</v>
      </c>
      <c r="BB533" s="15" t="n">
        <f aca="false">0</f>
        <v>0</v>
      </c>
      <c r="BC533" s="15" t="n">
        <f aca="false">0</f>
        <v>0</v>
      </c>
      <c r="BD533" s="15" t="n">
        <f aca="false">(BH532)+AC533-AF533-AI533-AS533-K533*(1+Parametri_v3!$C$26)-AL533-AQ533-O533+AW533+AX533+AZ533+BA533-BB533</f>
        <v>236680.779948979</v>
      </c>
      <c r="BE533" s="15" t="n">
        <f aca="false">0</f>
        <v>0</v>
      </c>
      <c r="BF533" s="15" t="n">
        <f aca="false">0</f>
        <v>0</v>
      </c>
      <c r="BG533" s="15" t="n">
        <f aca="false">0</f>
        <v>0</v>
      </c>
      <c r="BH533" s="15" t="n">
        <f aca="false">BD533+BE533-BF533-AY533</f>
        <v>236680.779948979</v>
      </c>
      <c r="BI533" s="15" t="n">
        <f aca="false">MAX(0,Parametri_v3!$C$31-BH533)</f>
        <v>0</v>
      </c>
      <c r="BJ533" s="15" t="n">
        <f aca="false">(BJ532)+K533</f>
        <v>21666.6666666667</v>
      </c>
      <c r="BK533" s="15" t="n">
        <f aca="false">(BK532)+L533</f>
        <v>11756.9444444444</v>
      </c>
      <c r="BL533" s="15" t="n">
        <f aca="false">BJ533-BK533</f>
        <v>9909.72222222222</v>
      </c>
      <c r="BM533" s="15" t="n">
        <f aca="false">(BM532)+Y533</f>
        <v>459780.182739544</v>
      </c>
      <c r="BN533" s="15" t="n">
        <f aca="false">(BN532)+AW533+AX533+AZ533</f>
        <v>20000</v>
      </c>
      <c r="BO533" s="15" t="n">
        <f aca="false">(BO532)+AY533</f>
        <v>60315.9059027778</v>
      </c>
      <c r="BP533" s="15" t="n">
        <f aca="false">MIN(Parametri_v3!$C$36*Parametri_v3!$C$35,(BP532)+IF(1=1,MAX(0,SUM(Y521:Y532))*Parametri_v3!$C$34,0))</f>
        <v>2000</v>
      </c>
      <c r="BQ533" s="15" t="n">
        <f aca="false">BN533+BM533-BO533</f>
        <v>419464.276836766</v>
      </c>
      <c r="BR533" s="15" t="n">
        <f aca="false">BH533+AD533+BL533+MAX(0,-AM533)+MAX(0,-AR533)</f>
        <v>608249.335504535</v>
      </c>
      <c r="BS533" s="15" t="n">
        <f aca="false">AJ533+AV533+MAX(0,AM533)+MAX(0,AR533)+BC533+BG533+BQ533+AG533</f>
        <v>608249.335504535</v>
      </c>
      <c r="BT533" s="15" t="n">
        <f aca="false">BR533-BS533</f>
        <v>0</v>
      </c>
      <c r="BU533" s="15" t="n">
        <f aca="false">BH533-(BD533+BE533-BF533-AY533)</f>
        <v>0</v>
      </c>
      <c r="BV533" s="15" t="n">
        <f aca="false">IF(BH532&lt;Parametri_v3!$C$31,0,BV532+1)</f>
        <v>20</v>
      </c>
    </row>
    <row r="534" customFormat="false" ht="18" hidden="false" customHeight="true" outlineLevel="0" collapsed="false">
      <c r="A534" s="68" t="n">
        <f aca="false">9</f>
        <v>9</v>
      </c>
      <c r="B534" s="68" t="n">
        <f aca="false">50</f>
        <v>50</v>
      </c>
      <c r="C534" s="18" t="n">
        <f aca="false">Motore_Operativo!C534</f>
        <v>47880</v>
      </c>
      <c r="D534" s="68" t="n">
        <f aca="false">Motore_Operativo!D534</f>
        <v>2031</v>
      </c>
      <c r="E534" s="68" t="n">
        <f aca="false">Motore_Operativo!E534</f>
        <v>2</v>
      </c>
      <c r="F534" s="15" t="n">
        <f aca="false">Motore_Operativo!AM534</f>
        <v>115958.333333333</v>
      </c>
      <c r="G534" s="15" t="n">
        <f aca="false">Motore_Operativo!BH534</f>
        <v>11595.8333333333</v>
      </c>
      <c r="H534" s="15" t="n">
        <f aca="false">Motore_Operativo!AM534</f>
        <v>115958.333333333</v>
      </c>
      <c r="I534" s="15" t="n">
        <f aca="false">Motore_Operativo!CB534</f>
        <v>79625.4722608333</v>
      </c>
      <c r="J534" s="15" t="n">
        <f aca="false">Motore_Operativo!CD534</f>
        <v>36332.8610725</v>
      </c>
      <c r="K534" s="15" t="n">
        <f aca="false">Motore_Operativo!CF534</f>
        <v>666.666666666667</v>
      </c>
      <c r="L534" s="15" t="n">
        <f aca="false">SUM(INDEX($K$485:$K$544,MAX(1,50-Parametri_v3!$C$59+1)):K534)/Parametri_v3!$C$59</f>
        <v>513.888888888889</v>
      </c>
      <c r="M534" s="15" t="n">
        <f aca="false">J534-L534</f>
        <v>35818.9721836111</v>
      </c>
      <c r="N534" s="15" t="n">
        <f aca="false">0</f>
        <v>0</v>
      </c>
      <c r="O534" s="15" t="n">
        <f aca="false">0</f>
        <v>0</v>
      </c>
      <c r="P534" s="15" t="n">
        <f aca="false">M534+N534-O534</f>
        <v>35818.9721836111</v>
      </c>
      <c r="Q534" s="15" t="n">
        <f aca="false">SUM(P533:P534)+Parametri_v3!$C$56*2/12</f>
        <v>71644.8888116667</v>
      </c>
      <c r="R534" s="15" t="n">
        <f aca="false">Z532</f>
        <v>0</v>
      </c>
      <c r="S534" s="15" t="n">
        <f aca="false">AA532</f>
        <v>0</v>
      </c>
      <c r="T534" s="15" t="n">
        <f aca="false">MIN(R534,MAX(0,Q534))</f>
        <v>0</v>
      </c>
      <c r="U534" s="15" t="n">
        <f aca="false">MIN(S534,MAX(0,Q534-T534)*Parametri_v3!$C$42)</f>
        <v>0</v>
      </c>
      <c r="V534" s="15" t="n">
        <f aca="false">MAX(0,Q534-T534-U534)*Ipotesi!$C$92</f>
        <v>17194.7733148</v>
      </c>
      <c r="W534" s="15" t="n">
        <f aca="false">MAX(0,SUM(M533:M534)+Parametri_v3!$C$57*2/12)*Ipotesi!$C$93</f>
        <v>2794.150663655</v>
      </c>
      <c r="X534" s="15" t="n">
        <f aca="false">V534+W534-(V533+W533)</f>
        <v>9993.4932392275</v>
      </c>
      <c r="Y534" s="15" t="n">
        <f aca="false">P534-X534</f>
        <v>25825.4789443836</v>
      </c>
      <c r="Z534" s="15" t="n">
        <f aca="false">R534-T534+IF(AND(Parametri_v3!$C$40=1,D534-YEAR(Parametri_v3!$C$50)&lt;Parametri_v3!$C$41),MAX(0,-Q534),0)</f>
        <v>0</v>
      </c>
      <c r="AA534" s="15" t="n">
        <f aca="false">S534-U534+IF(AND(Parametri_v3!$C$40=1,D534-YEAR(Parametri_v3!$C$50)&lt;Parametri_v3!$C$41),0,MAX(0,-Q534))</f>
        <v>0</v>
      </c>
      <c r="AB534" s="15" t="n">
        <f aca="false">F534*(1+Parametri_v3!$C$26)</f>
        <v>141469.166666667</v>
      </c>
      <c r="AC534" s="15" t="n">
        <f aca="false">(IF(50-(INT((Motore_Operativo!L534)/30))&lt;1,0,INDEX(Motore_Advisory!$AB$485:$AB$544,MAX(1,50-(INT((Motore_Operativo!L534)/30)))))*(1-(MOD((Motore_Operativo!L534),30)/30))+IF(50-(INT((Motore_Operativo!L534)/30))-1&lt;1,0,INDEX(Motore_Advisory!$AB$485:$AB$544,MAX(1,50-(INT((Motore_Operativo!L534)/30))-1)))*(MOD((Motore_Operativo!L534),30)/30))</f>
        <v>110094.833333333</v>
      </c>
      <c r="AD534" s="15" t="n">
        <f aca="false">(AD533)+AB534-AC534</f>
        <v>393033.166666667</v>
      </c>
      <c r="AE534" s="15" t="n">
        <f aca="false">Motore_Operativo!BH534*(1+Parametri_v3!$C$26)</f>
        <v>14146.9166666667</v>
      </c>
      <c r="AF534" s="15" t="n">
        <f aca="false">(IF(50-(INT((Parametri_v3!$C$29)/30))&lt;1,0,INDEX(Motore_Operativo!$BH$485:$BH$544,MAX(1,50-(INT((Parametri_v3!$C$29)/30)))))*(1-(MOD((Parametri_v3!$C$29),30)/30))+IF(50-(INT((Parametri_v3!$C$29)/30))-1&lt;1,0,INDEX(Motore_Operativo!$BH$485:$BH$544,MAX(1,50-(INT((Parametri_v3!$C$29)/30))-1)))*(MOD((Parametri_v3!$C$29),30)/30))*(1+Parametri_v3!$C$26)</f>
        <v>14146.9166666667</v>
      </c>
      <c r="AG534" s="15" t="n">
        <f aca="false">(AG533)+AE534-AF534</f>
        <v>14146.9166666667</v>
      </c>
      <c r="AH534" s="15" t="n">
        <f aca="false">(Motore_Operativo!CK534)*(1+Parametri_v3!$C$28*Parametri_v3!$C$26)</f>
        <v>27831.02</v>
      </c>
      <c r="AI534" s="15" t="n">
        <f aca="false">(IF(50-(INT((Ipotesi!$C$91)/30))&lt;1,0,INDEX(Motore_Advisory!$AH$485:$AH$544,MAX(1,50-(INT((Ipotesi!$C$91)/30)))))*(1-(MOD((Ipotesi!$C$91),30)/30))+IF(50-(INT((Ipotesi!$C$91)/30))-1&lt;1,0,INDEX(Motore_Advisory!$AH$485:$AH$544,MAX(1,50-(INT((Ipotesi!$C$91)/30))-1)))*(MOD((Ipotesi!$C$91),30)/30))</f>
        <v>23198.952</v>
      </c>
      <c r="AJ534" s="15" t="n">
        <f aca="false">(AJ533)+AH534-AI534</f>
        <v>55662.04</v>
      </c>
      <c r="AK534" s="15" t="n">
        <f aca="false">(F534- Motore_Operativo!BH534-(Motore_Operativo!CK534)*Parametri_v3!$C$28-Motore_Operativo!CF534)*Parametri_v3!$C$26</f>
        <v>18647.8966666667</v>
      </c>
      <c r="AL534" s="15" t="n">
        <f aca="false">MAX(0,(AM533))</f>
        <v>18647.8966666667</v>
      </c>
      <c r="AM534" s="15" t="n">
        <f aca="false">(AM533)+AK534-AL534</f>
        <v>18647.8966666667</v>
      </c>
      <c r="AN534" s="15" t="n">
        <f aca="false">SUM(X521:X532)</f>
        <v>91149.8045405</v>
      </c>
      <c r="AO534" s="15" t="n">
        <f aca="false">SUM(AP521:AP532)</f>
        <v>46679.99375</v>
      </c>
      <c r="AP534" s="15" t="n">
        <f aca="false">MAX(0,AN534)*IF(2=Parametri_v3!$C$43,Parametri_v3!$C$45,IF(2=Parametri_v3!$C$44,1-Parametri_v3!$C$45,0))</f>
        <v>0</v>
      </c>
      <c r="AQ534" s="15" t="n">
        <f aca="false">MAX(0,AP534+IF(2=Parametri_v3!$C$43,MAX(0,AN534-AO534),0)-MAX(0,-(AR533)))</f>
        <v>0</v>
      </c>
      <c r="AR534" s="15" t="n">
        <f aca="false">(AR533)+X534-AQ534</f>
        <v>64458.734768955</v>
      </c>
      <c r="AS534" s="15" t="n">
        <f aca="false">Motore_Operativo!AC534-AT534+AU534</f>
        <v>42145.6153144583</v>
      </c>
      <c r="AT534" s="15" t="n">
        <f aca="false">Motore_Operativo!CI534</f>
        <v>2218.19027970833</v>
      </c>
      <c r="AU534" s="15" t="n">
        <f aca="false">MIN(MAX(0,(AV533)+AT534),Parametri_v3!$C$61/12)</f>
        <v>0</v>
      </c>
      <c r="AV534" s="15" t="n">
        <f aca="false">(AV533)+AT534-AU534</f>
        <v>52713.2220844167</v>
      </c>
      <c r="AW534" s="15" t="n">
        <f aca="false">IF(AND(Motore_Operativo!C534=Finanziamenti!$D$7,Finanziamenti!$F$7=1),Finanziamenti!$C$7,0)</f>
        <v>0</v>
      </c>
      <c r="AX534" s="15" t="n">
        <f aca="false">0</f>
        <v>0</v>
      </c>
      <c r="AY534" s="15" t="n">
        <f aca="false">IF(2=Parametri_v3!$C$33,IF(BV534&lt;MIN(12,$B534-1),0,MIN(MAX(0,SUM(Y521:Y532))*Ipotesi!$C$94,MAX(0,(BM532)-(BO533)-BP534),MAX(0,BD534-Parametri_v3!$C$31))),0)</f>
        <v>0</v>
      </c>
      <c r="AZ534" s="15" t="n">
        <f aca="false">0</f>
        <v>0</v>
      </c>
      <c r="BA534" s="15" t="n">
        <f aca="false">0</f>
        <v>0</v>
      </c>
      <c r="BB534" s="15" t="n">
        <f aca="false">0</f>
        <v>0</v>
      </c>
      <c r="BC534" s="15" t="n">
        <f aca="false">0</f>
        <v>0</v>
      </c>
      <c r="BD534" s="15" t="n">
        <f aca="false">(BH533)+AC534-AF534-AI534-AS534-K534*(1+Parametri_v3!$C$26)-AL534-AQ534-O534+AW534+AX534+AZ534+BA534-BB534</f>
        <v>247822.899301188</v>
      </c>
      <c r="BE534" s="15" t="n">
        <f aca="false">0</f>
        <v>0</v>
      </c>
      <c r="BF534" s="15" t="n">
        <f aca="false">0</f>
        <v>0</v>
      </c>
      <c r="BG534" s="15" t="n">
        <f aca="false">0</f>
        <v>0</v>
      </c>
      <c r="BH534" s="15" t="n">
        <f aca="false">BD534+BE534-BF534-AY534</f>
        <v>247822.899301188</v>
      </c>
      <c r="BI534" s="15" t="n">
        <f aca="false">MAX(0,Parametri_v3!$C$31-BH534)</f>
        <v>0</v>
      </c>
      <c r="BJ534" s="15" t="n">
        <f aca="false">(BJ533)+K534</f>
        <v>22333.3333333333</v>
      </c>
      <c r="BK534" s="15" t="n">
        <f aca="false">(BK533)+L534</f>
        <v>12270.8333333333</v>
      </c>
      <c r="BL534" s="15" t="n">
        <f aca="false">BJ534-BK534</f>
        <v>10062.5</v>
      </c>
      <c r="BM534" s="15" t="n">
        <f aca="false">(BM533)+Y534</f>
        <v>485605.661683927</v>
      </c>
      <c r="BN534" s="15" t="n">
        <f aca="false">(BN533)+AW534+AX534+AZ534</f>
        <v>20000</v>
      </c>
      <c r="BO534" s="15" t="n">
        <f aca="false">(BO533)+AY534</f>
        <v>60315.9059027778</v>
      </c>
      <c r="BP534" s="15" t="n">
        <f aca="false">MIN(Parametri_v3!$C$36*Parametri_v3!$C$35,(BP533)+IF(2=1,MAX(0,SUM(Y521:Y532))*Parametri_v3!$C$34,0))</f>
        <v>2000</v>
      </c>
      <c r="BQ534" s="15" t="n">
        <f aca="false">BN534+BM534-BO534</f>
        <v>445289.75578115</v>
      </c>
      <c r="BR534" s="15" t="n">
        <f aca="false">BH534+AD534+BL534+MAX(0,-AM534)+MAX(0,-AR534)</f>
        <v>650918.565967854</v>
      </c>
      <c r="BS534" s="15" t="n">
        <f aca="false">AJ534+AV534+MAX(0,AM534)+MAX(0,AR534)+BC534+BG534+BQ534+AG534</f>
        <v>650918.565967855</v>
      </c>
      <c r="BT534" s="15" t="n">
        <f aca="false">BR534-BS534</f>
        <v>0</v>
      </c>
      <c r="BU534" s="15" t="n">
        <f aca="false">BH534-(BD534+BE534-BF534-AY534)</f>
        <v>0</v>
      </c>
      <c r="BV534" s="15" t="n">
        <f aca="false">IF(BH533&lt;Parametri_v3!$C$31,0,BV533+1)</f>
        <v>21</v>
      </c>
    </row>
    <row r="535" customFormat="false" ht="18" hidden="false" customHeight="true" outlineLevel="0" collapsed="false">
      <c r="A535" s="68" t="n">
        <f aca="false">9</f>
        <v>9</v>
      </c>
      <c r="B535" s="68" t="n">
        <f aca="false">51</f>
        <v>51</v>
      </c>
      <c r="C535" s="18" t="n">
        <f aca="false">Motore_Operativo!C535</f>
        <v>47908</v>
      </c>
      <c r="D535" s="68" t="n">
        <f aca="false">Motore_Operativo!D535</f>
        <v>2031</v>
      </c>
      <c r="E535" s="68" t="n">
        <f aca="false">Motore_Operativo!E535</f>
        <v>3</v>
      </c>
      <c r="F535" s="15" t="n">
        <f aca="false">Motore_Operativo!AM535</f>
        <v>115958.333333333</v>
      </c>
      <c r="G535" s="15" t="n">
        <f aca="false">Motore_Operativo!BH535</f>
        <v>11595.8333333333</v>
      </c>
      <c r="H535" s="15" t="n">
        <f aca="false">Motore_Operativo!AM535</f>
        <v>115958.333333333</v>
      </c>
      <c r="I535" s="15" t="n">
        <f aca="false">Motore_Operativo!CB535</f>
        <v>79625.4722608333</v>
      </c>
      <c r="J535" s="15" t="n">
        <f aca="false">Motore_Operativo!CD535</f>
        <v>36332.8610725</v>
      </c>
      <c r="K535" s="15" t="n">
        <f aca="false">Motore_Operativo!CF535</f>
        <v>666.666666666667</v>
      </c>
      <c r="L535" s="15" t="n">
        <f aca="false">SUM(INDEX($K$485:$K$544,MAX(1,51-Parametri_v3!$C$59+1)):K535)/Parametri_v3!$C$59</f>
        <v>520.833333333333</v>
      </c>
      <c r="M535" s="15" t="n">
        <f aca="false">J535-L535</f>
        <v>35812.0277391667</v>
      </c>
      <c r="N535" s="15" t="n">
        <f aca="false">0</f>
        <v>0</v>
      </c>
      <c r="O535" s="15" t="n">
        <f aca="false">0</f>
        <v>0</v>
      </c>
      <c r="P535" s="15" t="n">
        <f aca="false">M535+N535-O535</f>
        <v>35812.0277391667</v>
      </c>
      <c r="Q535" s="15" t="n">
        <f aca="false">SUM(P533:P535)+Parametri_v3!$C$56*3/12</f>
        <v>107456.916550833</v>
      </c>
      <c r="R535" s="15" t="n">
        <f aca="false">Z532</f>
        <v>0</v>
      </c>
      <c r="S535" s="15" t="n">
        <f aca="false">AA532</f>
        <v>0</v>
      </c>
      <c r="T535" s="15" t="n">
        <f aca="false">MIN(R535,MAX(0,Q535))</f>
        <v>0</v>
      </c>
      <c r="U535" s="15" t="n">
        <f aca="false">MIN(S535,MAX(0,Q535-T535)*Parametri_v3!$C$42)</f>
        <v>0</v>
      </c>
      <c r="V535" s="15" t="n">
        <f aca="false">MAX(0,Q535-T535-U535)*Ipotesi!$C$92</f>
        <v>25789.6599722</v>
      </c>
      <c r="W535" s="15" t="n">
        <f aca="false">MAX(0,SUM(M533:M535)+Parametri_v3!$C$57*3/12)*Ipotesi!$C$93</f>
        <v>4190.8197454825</v>
      </c>
      <c r="X535" s="15" t="n">
        <f aca="false">V535+W535-(V534+W534)</f>
        <v>9991.5557392275</v>
      </c>
      <c r="Y535" s="15" t="n">
        <f aca="false">P535-X535</f>
        <v>25820.4719999392</v>
      </c>
      <c r="Z535" s="15" t="n">
        <f aca="false">R535-T535+IF(AND(Parametri_v3!$C$40=1,D535-YEAR(Parametri_v3!$C$50)&lt;Parametri_v3!$C$41),MAX(0,-Q535),0)</f>
        <v>0</v>
      </c>
      <c r="AA535" s="15" t="n">
        <f aca="false">S535-U535+IF(AND(Parametri_v3!$C$40=1,D535-YEAR(Parametri_v3!$C$50)&lt;Parametri_v3!$C$41),0,MAX(0,-Q535))</f>
        <v>0</v>
      </c>
      <c r="AB535" s="15" t="n">
        <f aca="false">F535*(1+Parametri_v3!$C$26)</f>
        <v>141469.166666667</v>
      </c>
      <c r="AC535" s="15" t="n">
        <f aca="false">(IF(51-(INT((Motore_Operativo!L535)/30))&lt;1,0,INDEX(Motore_Advisory!$AB$485:$AB$544,MAX(1,51-(INT((Motore_Operativo!L535)/30)))))*(1-(MOD((Motore_Operativo!L535),30)/30))+IF(51-(INT((Motore_Operativo!L535)/30))-1&lt;1,0,INDEX(Motore_Advisory!$AB$485:$AB$544,MAX(1,51-(INT((Motore_Operativo!L535)/30))-1)))*(MOD((Motore_Operativo!L535),30)/30))</f>
        <v>110094.833333333</v>
      </c>
      <c r="AD535" s="15" t="n">
        <f aca="false">(AD534)+AB535-AC535</f>
        <v>424407.5</v>
      </c>
      <c r="AE535" s="15" t="n">
        <f aca="false">Motore_Operativo!BH535*(1+Parametri_v3!$C$26)</f>
        <v>14146.9166666667</v>
      </c>
      <c r="AF535" s="15" t="n">
        <f aca="false">(IF(51-(INT((Parametri_v3!$C$29)/30))&lt;1,0,INDEX(Motore_Operativo!$BH$485:$BH$544,MAX(1,51-(INT((Parametri_v3!$C$29)/30)))))*(1-(MOD((Parametri_v3!$C$29),30)/30))+IF(51-(INT((Parametri_v3!$C$29)/30))-1&lt;1,0,INDEX(Motore_Operativo!$BH$485:$BH$544,MAX(1,51-(INT((Parametri_v3!$C$29)/30))-1)))*(MOD((Parametri_v3!$C$29),30)/30))*(1+Parametri_v3!$C$26)</f>
        <v>14146.9166666667</v>
      </c>
      <c r="AG535" s="15" t="n">
        <f aca="false">(AG534)+AE535-AF535</f>
        <v>14146.9166666667</v>
      </c>
      <c r="AH535" s="15" t="n">
        <f aca="false">(Motore_Operativo!CK535)*(1+Parametri_v3!$C$28*Parametri_v3!$C$26)</f>
        <v>27831.02</v>
      </c>
      <c r="AI535" s="15" t="n">
        <f aca="false">(IF(51-(INT((Ipotesi!$C$91)/30))&lt;1,0,INDEX(Motore_Advisory!$AH$485:$AH$544,MAX(1,51-(INT((Ipotesi!$C$91)/30)))))*(1-(MOD((Ipotesi!$C$91),30)/30))+IF(51-(INT((Ipotesi!$C$91)/30))-1&lt;1,0,INDEX(Motore_Advisory!$AH$485:$AH$544,MAX(1,51-(INT((Ipotesi!$C$91)/30))-1)))*(MOD((Ipotesi!$C$91),30)/30))</f>
        <v>27831.02</v>
      </c>
      <c r="AJ535" s="15" t="n">
        <f aca="false">(AJ534)+AH535-AI535</f>
        <v>55662.04</v>
      </c>
      <c r="AK535" s="15" t="n">
        <f aca="false">(F535- Motore_Operativo!BH535-(Motore_Operativo!CK535)*Parametri_v3!$C$28-Motore_Operativo!CF535)*Parametri_v3!$C$26</f>
        <v>18647.8966666667</v>
      </c>
      <c r="AL535" s="15" t="n">
        <f aca="false">MAX(0,(AM534))</f>
        <v>18647.8966666667</v>
      </c>
      <c r="AM535" s="15" t="n">
        <f aca="false">(AM534)+AK535-AL535</f>
        <v>18647.8966666667</v>
      </c>
      <c r="AN535" s="15" t="n">
        <f aca="false">SUM(X521:X532)</f>
        <v>91149.8045405</v>
      </c>
      <c r="AO535" s="15" t="n">
        <f aca="false">SUM(AP521:AP532)</f>
        <v>46679.99375</v>
      </c>
      <c r="AP535" s="15" t="n">
        <f aca="false">MAX(0,AN535)*IF(3=Parametri_v3!$C$43,Parametri_v3!$C$45,IF(3=Parametri_v3!$C$44,1-Parametri_v3!$C$45,0))</f>
        <v>0</v>
      </c>
      <c r="AQ535" s="15" t="n">
        <f aca="false">MAX(0,AP535+IF(3=Parametri_v3!$C$43,MAX(0,AN535-AO535),0)-MAX(0,-(AR534)))</f>
        <v>0</v>
      </c>
      <c r="AR535" s="15" t="n">
        <f aca="false">(AR534)+X535-AQ535</f>
        <v>74450.2905081825</v>
      </c>
      <c r="AS535" s="15" t="n">
        <f aca="false">Motore_Operativo!AC535-AT535+AU535</f>
        <v>42145.6153144583</v>
      </c>
      <c r="AT535" s="15" t="n">
        <f aca="false">Motore_Operativo!CI535</f>
        <v>2218.19027970833</v>
      </c>
      <c r="AU535" s="15" t="n">
        <f aca="false">MIN(MAX(0,(AV534)+AT535),Parametri_v3!$C$61/12)</f>
        <v>0</v>
      </c>
      <c r="AV535" s="15" t="n">
        <f aca="false">(AV534)+AT535-AU535</f>
        <v>54931.412364125</v>
      </c>
      <c r="AW535" s="15" t="n">
        <f aca="false">IF(AND(Motore_Operativo!C535=Finanziamenti!$D$7,Finanziamenti!$F$7=1),Finanziamenti!$C$7,0)</f>
        <v>0</v>
      </c>
      <c r="AX535" s="15" t="n">
        <f aca="false">0</f>
        <v>0</v>
      </c>
      <c r="AY535" s="15" t="n">
        <f aca="false">IF(3=Parametri_v3!$C$33,IF(BV535&lt;MIN(12,$B535-1),0,MIN(MAX(0,SUM(Y521:Y532))*Ipotesi!$C$94,MAX(0,(BM532)-(BO534)-BP535),MAX(0,BD535-Parametri_v3!$C$31))),0)</f>
        <v>0</v>
      </c>
      <c r="AZ535" s="15" t="n">
        <f aca="false">0</f>
        <v>0</v>
      </c>
      <c r="BA535" s="15" t="n">
        <f aca="false">0</f>
        <v>0</v>
      </c>
      <c r="BB535" s="15" t="n">
        <f aca="false">0</f>
        <v>0</v>
      </c>
      <c r="BC535" s="15" t="n">
        <f aca="false">0</f>
        <v>0</v>
      </c>
      <c r="BD535" s="15" t="n">
        <f aca="false">(BH534)+AC535-AF535-AI535-AS535-K535*(1+Parametri_v3!$C$26)-AL535-AQ535-O535+AW535+AX535+AZ535+BA535-BB535</f>
        <v>254332.950653396</v>
      </c>
      <c r="BE535" s="15" t="n">
        <f aca="false">0</f>
        <v>0</v>
      </c>
      <c r="BF535" s="15" t="n">
        <f aca="false">0</f>
        <v>0</v>
      </c>
      <c r="BG535" s="15" t="n">
        <f aca="false">0</f>
        <v>0</v>
      </c>
      <c r="BH535" s="15" t="n">
        <f aca="false">BD535+BE535-BF535-AY535</f>
        <v>254332.950653396</v>
      </c>
      <c r="BI535" s="15" t="n">
        <f aca="false">MAX(0,Parametri_v3!$C$31-BH535)</f>
        <v>0</v>
      </c>
      <c r="BJ535" s="15" t="n">
        <f aca="false">(BJ534)+K535</f>
        <v>23000</v>
      </c>
      <c r="BK535" s="15" t="n">
        <f aca="false">(BK534)+L535</f>
        <v>12791.6666666667</v>
      </c>
      <c r="BL535" s="15" t="n">
        <f aca="false">BJ535-BK535</f>
        <v>10208.3333333333</v>
      </c>
      <c r="BM535" s="15" t="n">
        <f aca="false">(BM534)+Y535</f>
        <v>511426.133683867</v>
      </c>
      <c r="BN535" s="15" t="n">
        <f aca="false">(BN534)+AW535+AX535+AZ535</f>
        <v>20000</v>
      </c>
      <c r="BO535" s="15" t="n">
        <f aca="false">(BO534)+AY535</f>
        <v>60315.9059027778</v>
      </c>
      <c r="BP535" s="15" t="n">
        <f aca="false">MIN(Parametri_v3!$C$36*Parametri_v3!$C$35,(BP534)+IF(3=1,MAX(0,SUM(Y521:Y532))*Parametri_v3!$C$34,0))</f>
        <v>2000</v>
      </c>
      <c r="BQ535" s="15" t="n">
        <f aca="false">BN535+BM535-BO535</f>
        <v>471110.227781089</v>
      </c>
      <c r="BR535" s="15" t="n">
        <f aca="false">BH535+AD535+BL535+MAX(0,-AM535)+MAX(0,-AR535)</f>
        <v>688948.783986729</v>
      </c>
      <c r="BS535" s="15" t="n">
        <f aca="false">AJ535+AV535+MAX(0,AM535)+MAX(0,AR535)+BC535+BG535+BQ535+AG535</f>
        <v>688948.78398673</v>
      </c>
      <c r="BT535" s="15" t="n">
        <f aca="false">BR535-BS535</f>
        <v>0</v>
      </c>
      <c r="BU535" s="15" t="n">
        <f aca="false">BH535-(BD535+BE535-BF535-AY535)</f>
        <v>0</v>
      </c>
      <c r="BV535" s="15" t="n">
        <f aca="false">IF(BH534&lt;Parametri_v3!$C$31,0,BV534+1)</f>
        <v>22</v>
      </c>
    </row>
    <row r="536" customFormat="false" ht="18" hidden="false" customHeight="true" outlineLevel="0" collapsed="false">
      <c r="A536" s="68" t="n">
        <f aca="false">9</f>
        <v>9</v>
      </c>
      <c r="B536" s="68" t="n">
        <f aca="false">52</f>
        <v>52</v>
      </c>
      <c r="C536" s="18" t="n">
        <f aca="false">Motore_Operativo!C536</f>
        <v>47939</v>
      </c>
      <c r="D536" s="68" t="n">
        <f aca="false">Motore_Operativo!D536</f>
        <v>2031</v>
      </c>
      <c r="E536" s="68" t="n">
        <f aca="false">Motore_Operativo!E536</f>
        <v>4</v>
      </c>
      <c r="F536" s="15" t="n">
        <f aca="false">Motore_Operativo!AM536</f>
        <v>115958.333333333</v>
      </c>
      <c r="G536" s="15" t="n">
        <f aca="false">Motore_Operativo!BH536</f>
        <v>11595.8333333333</v>
      </c>
      <c r="H536" s="15" t="n">
        <f aca="false">Motore_Operativo!AM536</f>
        <v>115958.333333333</v>
      </c>
      <c r="I536" s="15" t="n">
        <f aca="false">Motore_Operativo!CB536</f>
        <v>79625.4722608333</v>
      </c>
      <c r="J536" s="15" t="n">
        <f aca="false">Motore_Operativo!CD536</f>
        <v>36332.8610725</v>
      </c>
      <c r="K536" s="15" t="n">
        <f aca="false">Motore_Operativo!CF536</f>
        <v>666.666666666667</v>
      </c>
      <c r="L536" s="15" t="n">
        <f aca="false">SUM(INDEX($K$485:$K$544,MAX(1,52-Parametri_v3!$C$59+1)):K536)/Parametri_v3!$C$59</f>
        <v>527.777777777778</v>
      </c>
      <c r="M536" s="15" t="n">
        <f aca="false">J536-L536</f>
        <v>35805.0832947222</v>
      </c>
      <c r="N536" s="15" t="n">
        <f aca="false">0</f>
        <v>0</v>
      </c>
      <c r="O536" s="15" t="n">
        <f aca="false">0</f>
        <v>0</v>
      </c>
      <c r="P536" s="15" t="n">
        <f aca="false">M536+N536-O536</f>
        <v>35805.0832947222</v>
      </c>
      <c r="Q536" s="15" t="n">
        <f aca="false">SUM(P533:P536)+Parametri_v3!$C$56*4/12</f>
        <v>143261.999845556</v>
      </c>
      <c r="R536" s="15" t="n">
        <f aca="false">Z532</f>
        <v>0</v>
      </c>
      <c r="S536" s="15" t="n">
        <f aca="false">AA532</f>
        <v>0</v>
      </c>
      <c r="T536" s="15" t="n">
        <f aca="false">MIN(R536,MAX(0,Q536))</f>
        <v>0</v>
      </c>
      <c r="U536" s="15" t="n">
        <f aca="false">MIN(S536,MAX(0,Q536-T536)*Parametri_v3!$C$42)</f>
        <v>0</v>
      </c>
      <c r="V536" s="15" t="n">
        <f aca="false">MAX(0,Q536-T536-U536)*Ipotesi!$C$92</f>
        <v>34382.8799629333</v>
      </c>
      <c r="W536" s="15" t="n">
        <f aca="false">MAX(0,SUM(M533:M536)+Parametri_v3!$C$57*4/12)*Ipotesi!$C$93</f>
        <v>5587.21799397667</v>
      </c>
      <c r="X536" s="15" t="n">
        <f aca="false">V536+W536-(V535+W535)</f>
        <v>9989.61823922751</v>
      </c>
      <c r="Y536" s="15" t="n">
        <f aca="false">P536-X536</f>
        <v>25815.4650554947</v>
      </c>
      <c r="Z536" s="15" t="n">
        <f aca="false">R536-T536+IF(AND(Parametri_v3!$C$40=1,D536-YEAR(Parametri_v3!$C$50)&lt;Parametri_v3!$C$41),MAX(0,-Q536),0)</f>
        <v>0</v>
      </c>
      <c r="AA536" s="15" t="n">
        <f aca="false">S536-U536+IF(AND(Parametri_v3!$C$40=1,D536-YEAR(Parametri_v3!$C$50)&lt;Parametri_v3!$C$41),0,MAX(0,-Q536))</f>
        <v>0</v>
      </c>
      <c r="AB536" s="15" t="n">
        <f aca="false">F536*(1+Parametri_v3!$C$26)</f>
        <v>141469.166666667</v>
      </c>
      <c r="AC536" s="15" t="n">
        <f aca="false">(IF(52-(INT((Motore_Operativo!L536)/30))&lt;1,0,INDEX(Motore_Advisory!$AB$485:$AB$544,MAX(1,52-(INT((Motore_Operativo!L536)/30)))))*(1-(MOD((Motore_Operativo!L536),30)/30))+IF(52-(INT((Motore_Operativo!L536)/30))-1&lt;1,0,INDEX(Motore_Advisory!$AB$485:$AB$544,MAX(1,52-(INT((Motore_Operativo!L536)/30))-1)))*(MOD((Motore_Operativo!L536),30)/30))</f>
        <v>141469.166666667</v>
      </c>
      <c r="AD536" s="15" t="n">
        <f aca="false">(AD535)+AB536-AC536</f>
        <v>424407.5</v>
      </c>
      <c r="AE536" s="15" t="n">
        <f aca="false">Motore_Operativo!BH536*(1+Parametri_v3!$C$26)</f>
        <v>14146.9166666667</v>
      </c>
      <c r="AF536" s="15" t="n">
        <f aca="false">(IF(52-(INT((Parametri_v3!$C$29)/30))&lt;1,0,INDEX(Motore_Operativo!$BH$485:$BH$544,MAX(1,52-(INT((Parametri_v3!$C$29)/30)))))*(1-(MOD((Parametri_v3!$C$29),30)/30))+IF(52-(INT((Parametri_v3!$C$29)/30))-1&lt;1,0,INDEX(Motore_Operativo!$BH$485:$BH$544,MAX(1,52-(INT((Parametri_v3!$C$29)/30))-1)))*(MOD((Parametri_v3!$C$29),30)/30))*(1+Parametri_v3!$C$26)</f>
        <v>14146.9166666667</v>
      </c>
      <c r="AG536" s="15" t="n">
        <f aca="false">(AG535)+AE536-AF536</f>
        <v>14146.9166666667</v>
      </c>
      <c r="AH536" s="15" t="n">
        <f aca="false">(Motore_Operativo!CK536)*(1+Parametri_v3!$C$28*Parametri_v3!$C$26)</f>
        <v>27831.02</v>
      </c>
      <c r="AI536" s="15" t="n">
        <f aca="false">(IF(52-(INT((Ipotesi!$C$91)/30))&lt;1,0,INDEX(Motore_Advisory!$AH$485:$AH$544,MAX(1,52-(INT((Ipotesi!$C$91)/30)))))*(1-(MOD((Ipotesi!$C$91),30)/30))+IF(52-(INT((Ipotesi!$C$91)/30))-1&lt;1,0,INDEX(Motore_Advisory!$AH$485:$AH$544,MAX(1,52-(INT((Ipotesi!$C$91)/30))-1)))*(MOD((Ipotesi!$C$91),30)/30))</f>
        <v>27831.02</v>
      </c>
      <c r="AJ536" s="15" t="n">
        <f aca="false">(AJ535)+AH536-AI536</f>
        <v>55662.04</v>
      </c>
      <c r="AK536" s="15" t="n">
        <f aca="false">(F536- Motore_Operativo!BH536-(Motore_Operativo!CK536)*Parametri_v3!$C$28-Motore_Operativo!CF536)*Parametri_v3!$C$26</f>
        <v>18647.8966666667</v>
      </c>
      <c r="AL536" s="15" t="n">
        <f aca="false">MAX(0,(AM535))</f>
        <v>18647.8966666667</v>
      </c>
      <c r="AM536" s="15" t="n">
        <f aca="false">(AM535)+AK536-AL536</f>
        <v>18647.8966666667</v>
      </c>
      <c r="AN536" s="15" t="n">
        <f aca="false">SUM(X521:X532)</f>
        <v>91149.8045405</v>
      </c>
      <c r="AO536" s="15" t="n">
        <f aca="false">SUM(AP521:AP532)</f>
        <v>46679.99375</v>
      </c>
      <c r="AP536" s="15" t="n">
        <f aca="false">MAX(0,AN536)*IF(4=Parametri_v3!$C$43,Parametri_v3!$C$45,IF(4=Parametri_v3!$C$44,1-Parametri_v3!$C$45,0))</f>
        <v>0</v>
      </c>
      <c r="AQ536" s="15" t="n">
        <f aca="false">MAX(0,AP536+IF(4=Parametri_v3!$C$43,MAX(0,AN536-AO536),0)-MAX(0,-(AR535)))</f>
        <v>0</v>
      </c>
      <c r="AR536" s="15" t="n">
        <f aca="false">(AR535)+X536-AQ536</f>
        <v>84439.90874741</v>
      </c>
      <c r="AS536" s="15" t="n">
        <f aca="false">Motore_Operativo!AC536-AT536+AU536</f>
        <v>42145.6153144583</v>
      </c>
      <c r="AT536" s="15" t="n">
        <f aca="false">Motore_Operativo!CI536</f>
        <v>2218.19027970833</v>
      </c>
      <c r="AU536" s="15" t="n">
        <f aca="false">MIN(MAX(0,(AV535)+AT536),Parametri_v3!$C$61/12)</f>
        <v>0</v>
      </c>
      <c r="AV536" s="15" t="n">
        <f aca="false">(AV535)+AT536-AU536</f>
        <v>57149.6026438333</v>
      </c>
      <c r="AW536" s="15" t="n">
        <f aca="false">IF(AND(Motore_Operativo!C536=Finanziamenti!$D$7,Finanziamenti!$F$7=1),Finanziamenti!$C$7,0)</f>
        <v>0</v>
      </c>
      <c r="AX536" s="15" t="n">
        <f aca="false">0</f>
        <v>0</v>
      </c>
      <c r="AY536" s="15" t="n">
        <f aca="false">IF(4=Parametri_v3!$C$33,IF(BV536&lt;MIN(12,$B536-1),0,MIN(MAX(0,SUM(Y521:Y532))*Ipotesi!$C$94,MAX(0,(BM532)-(BO535)-BP536),MAX(0,BD536-Parametri_v3!$C$31))),0)</f>
        <v>0</v>
      </c>
      <c r="AZ536" s="15" t="n">
        <f aca="false">0</f>
        <v>0</v>
      </c>
      <c r="BA536" s="15" t="n">
        <f aca="false">0</f>
        <v>0</v>
      </c>
      <c r="BB536" s="15" t="n">
        <f aca="false">0</f>
        <v>0</v>
      </c>
      <c r="BC536" s="15" t="n">
        <f aca="false">0</f>
        <v>0</v>
      </c>
      <c r="BD536" s="15" t="n">
        <f aca="false">(BH535)+AC536-AF536-AI536-AS536-K536*(1+Parametri_v3!$C$26)-AL536-AQ536-O536+AW536+AX536+AZ536+BA536-BB536</f>
        <v>292217.335338938</v>
      </c>
      <c r="BE536" s="15" t="n">
        <f aca="false">0</f>
        <v>0</v>
      </c>
      <c r="BF536" s="15" t="n">
        <f aca="false">0</f>
        <v>0</v>
      </c>
      <c r="BG536" s="15" t="n">
        <f aca="false">0</f>
        <v>0</v>
      </c>
      <c r="BH536" s="15" t="n">
        <f aca="false">BD536+BE536-BF536-AY536</f>
        <v>292217.335338938</v>
      </c>
      <c r="BI536" s="15" t="n">
        <f aca="false">MAX(0,Parametri_v3!$C$31-BH536)</f>
        <v>0</v>
      </c>
      <c r="BJ536" s="15" t="n">
        <f aca="false">(BJ535)+K536</f>
        <v>23666.6666666667</v>
      </c>
      <c r="BK536" s="15" t="n">
        <f aca="false">(BK535)+L536</f>
        <v>13319.4444444444</v>
      </c>
      <c r="BL536" s="15" t="n">
        <f aca="false">BJ536-BK536</f>
        <v>10347.2222222222</v>
      </c>
      <c r="BM536" s="15" t="n">
        <f aca="false">(BM535)+Y536</f>
        <v>537241.598739361</v>
      </c>
      <c r="BN536" s="15" t="n">
        <f aca="false">(BN535)+AW536+AX536+AZ536</f>
        <v>20000</v>
      </c>
      <c r="BO536" s="15" t="n">
        <f aca="false">(BO535)+AY536</f>
        <v>60315.9059027778</v>
      </c>
      <c r="BP536" s="15" t="n">
        <f aca="false">MIN(Parametri_v3!$C$36*Parametri_v3!$C$35,(BP535)+IF(4=1,MAX(0,SUM(Y521:Y532))*Parametri_v3!$C$34,0))</f>
        <v>2000</v>
      </c>
      <c r="BQ536" s="15" t="n">
        <f aca="false">BN536+BM536-BO536</f>
        <v>496925.692836584</v>
      </c>
      <c r="BR536" s="15" t="n">
        <f aca="false">BH536+AD536+BL536+MAX(0,-AM536)+MAX(0,-AR536)</f>
        <v>726972.05756116</v>
      </c>
      <c r="BS536" s="15" t="n">
        <f aca="false">AJ536+AV536+MAX(0,AM536)+MAX(0,AR536)+BC536+BG536+BQ536+AG536</f>
        <v>726972.05756116</v>
      </c>
      <c r="BT536" s="15" t="n">
        <f aca="false">BR536-BS536</f>
        <v>0</v>
      </c>
      <c r="BU536" s="15" t="n">
        <f aca="false">BH536-(BD536+BE536-BF536-AY536)</f>
        <v>0</v>
      </c>
      <c r="BV536" s="15" t="n">
        <f aca="false">IF(BH535&lt;Parametri_v3!$C$31,0,BV535+1)</f>
        <v>23</v>
      </c>
    </row>
    <row r="537" customFormat="false" ht="18" hidden="false" customHeight="true" outlineLevel="0" collapsed="false">
      <c r="A537" s="68" t="n">
        <f aca="false">9</f>
        <v>9</v>
      </c>
      <c r="B537" s="68" t="n">
        <f aca="false">53</f>
        <v>53</v>
      </c>
      <c r="C537" s="18" t="n">
        <f aca="false">Motore_Operativo!C537</f>
        <v>47969</v>
      </c>
      <c r="D537" s="68" t="n">
        <f aca="false">Motore_Operativo!D537</f>
        <v>2031</v>
      </c>
      <c r="E537" s="68" t="n">
        <f aca="false">Motore_Operativo!E537</f>
        <v>5</v>
      </c>
      <c r="F537" s="15" t="n">
        <f aca="false">Motore_Operativo!AM537</f>
        <v>115958.333333333</v>
      </c>
      <c r="G537" s="15" t="n">
        <f aca="false">Motore_Operativo!BH537</f>
        <v>11595.8333333333</v>
      </c>
      <c r="H537" s="15" t="n">
        <f aca="false">Motore_Operativo!AM537</f>
        <v>115958.333333333</v>
      </c>
      <c r="I537" s="15" t="n">
        <f aca="false">Motore_Operativo!CB537</f>
        <v>79625.4722608333</v>
      </c>
      <c r="J537" s="15" t="n">
        <f aca="false">Motore_Operativo!CD537</f>
        <v>36332.8610725</v>
      </c>
      <c r="K537" s="15" t="n">
        <f aca="false">Motore_Operativo!CF537</f>
        <v>666.666666666667</v>
      </c>
      <c r="L537" s="15" t="n">
        <f aca="false">SUM(INDEX($K$485:$K$544,MAX(1,53-Parametri_v3!$C$59+1)):K537)/Parametri_v3!$C$59</f>
        <v>534.722222222222</v>
      </c>
      <c r="M537" s="15" t="n">
        <f aca="false">J537-L537</f>
        <v>35798.1388502778</v>
      </c>
      <c r="N537" s="15" t="n">
        <f aca="false">0</f>
        <v>0</v>
      </c>
      <c r="O537" s="15" t="n">
        <f aca="false">0</f>
        <v>0</v>
      </c>
      <c r="P537" s="15" t="n">
        <f aca="false">M537+N537-O537</f>
        <v>35798.1388502778</v>
      </c>
      <c r="Q537" s="15" t="n">
        <f aca="false">SUM(P533:P537)+Parametri_v3!$C$56*5/12</f>
        <v>179060.138695833</v>
      </c>
      <c r="R537" s="15" t="n">
        <f aca="false">Z532</f>
        <v>0</v>
      </c>
      <c r="S537" s="15" t="n">
        <f aca="false">AA532</f>
        <v>0</v>
      </c>
      <c r="T537" s="15" t="n">
        <f aca="false">MIN(R537,MAX(0,Q537))</f>
        <v>0</v>
      </c>
      <c r="U537" s="15" t="n">
        <f aca="false">MIN(S537,MAX(0,Q537-T537)*Parametri_v3!$C$42)</f>
        <v>0</v>
      </c>
      <c r="V537" s="15" t="n">
        <f aca="false">MAX(0,Q537-T537-U537)*Ipotesi!$C$92</f>
        <v>42974.433287</v>
      </c>
      <c r="W537" s="15" t="n">
        <f aca="false">MAX(0,SUM(M533:M537)+Parametri_v3!$C$57*5/12)*Ipotesi!$C$93</f>
        <v>6983.3454091375</v>
      </c>
      <c r="X537" s="15" t="n">
        <f aca="false">V537+W537-(V536+W536)</f>
        <v>9987.68073922751</v>
      </c>
      <c r="Y537" s="15" t="n">
        <f aca="false">P537-X537</f>
        <v>25810.4581110503</v>
      </c>
      <c r="Z537" s="15" t="n">
        <f aca="false">R537-T537+IF(AND(Parametri_v3!$C$40=1,D537-YEAR(Parametri_v3!$C$50)&lt;Parametri_v3!$C$41),MAX(0,-Q537),0)</f>
        <v>0</v>
      </c>
      <c r="AA537" s="15" t="n">
        <f aca="false">S537-U537+IF(AND(Parametri_v3!$C$40=1,D537-YEAR(Parametri_v3!$C$50)&lt;Parametri_v3!$C$41),0,MAX(0,-Q537))</f>
        <v>0</v>
      </c>
      <c r="AB537" s="15" t="n">
        <f aca="false">F537*(1+Parametri_v3!$C$26)</f>
        <v>141469.166666667</v>
      </c>
      <c r="AC537" s="15" t="n">
        <f aca="false">(IF(53-(INT((Motore_Operativo!L537)/30))&lt;1,0,INDEX(Motore_Advisory!$AB$485:$AB$544,MAX(1,53-(INT((Motore_Operativo!L537)/30)))))*(1-(MOD((Motore_Operativo!L537),30)/30))+IF(53-(INT((Motore_Operativo!L537)/30))-1&lt;1,0,INDEX(Motore_Advisory!$AB$485:$AB$544,MAX(1,53-(INT((Motore_Operativo!L537)/30))-1)))*(MOD((Motore_Operativo!L537),30)/30))</f>
        <v>141469.166666667</v>
      </c>
      <c r="AD537" s="15" t="n">
        <f aca="false">(AD536)+AB537-AC537</f>
        <v>424407.5</v>
      </c>
      <c r="AE537" s="15" t="n">
        <f aca="false">Motore_Operativo!BH537*(1+Parametri_v3!$C$26)</f>
        <v>14146.9166666667</v>
      </c>
      <c r="AF537" s="15" t="n">
        <f aca="false">(IF(53-(INT((Parametri_v3!$C$29)/30))&lt;1,0,INDEX(Motore_Operativo!$BH$485:$BH$544,MAX(1,53-(INT((Parametri_v3!$C$29)/30)))))*(1-(MOD((Parametri_v3!$C$29),30)/30))+IF(53-(INT((Parametri_v3!$C$29)/30))-1&lt;1,0,INDEX(Motore_Operativo!$BH$485:$BH$544,MAX(1,53-(INT((Parametri_v3!$C$29)/30))-1)))*(MOD((Parametri_v3!$C$29),30)/30))*(1+Parametri_v3!$C$26)</f>
        <v>14146.9166666667</v>
      </c>
      <c r="AG537" s="15" t="n">
        <f aca="false">(AG536)+AE537-AF537</f>
        <v>14146.9166666667</v>
      </c>
      <c r="AH537" s="15" t="n">
        <f aca="false">(Motore_Operativo!CK537)*(1+Parametri_v3!$C$28*Parametri_v3!$C$26)</f>
        <v>27831.02</v>
      </c>
      <c r="AI537" s="15" t="n">
        <f aca="false">(IF(53-(INT((Ipotesi!$C$91)/30))&lt;1,0,INDEX(Motore_Advisory!$AH$485:$AH$544,MAX(1,53-(INT((Ipotesi!$C$91)/30)))))*(1-(MOD((Ipotesi!$C$91),30)/30))+IF(53-(INT((Ipotesi!$C$91)/30))-1&lt;1,0,INDEX(Motore_Advisory!$AH$485:$AH$544,MAX(1,53-(INT((Ipotesi!$C$91)/30))-1)))*(MOD((Ipotesi!$C$91),30)/30))</f>
        <v>27831.02</v>
      </c>
      <c r="AJ537" s="15" t="n">
        <f aca="false">(AJ536)+AH537-AI537</f>
        <v>55662.04</v>
      </c>
      <c r="AK537" s="15" t="n">
        <f aca="false">(F537- Motore_Operativo!BH537-(Motore_Operativo!CK537)*Parametri_v3!$C$28-Motore_Operativo!CF537)*Parametri_v3!$C$26</f>
        <v>18647.8966666667</v>
      </c>
      <c r="AL537" s="15" t="n">
        <f aca="false">MAX(0,(AM536))</f>
        <v>18647.8966666667</v>
      </c>
      <c r="AM537" s="15" t="n">
        <f aca="false">(AM536)+AK537-AL537</f>
        <v>18647.8966666667</v>
      </c>
      <c r="AN537" s="15" t="n">
        <f aca="false">SUM(X521:X532)</f>
        <v>91149.8045405</v>
      </c>
      <c r="AO537" s="15" t="n">
        <f aca="false">SUM(AP521:AP532)</f>
        <v>46679.99375</v>
      </c>
      <c r="AP537" s="15" t="n">
        <f aca="false">MAX(0,AN537)*IF(5=Parametri_v3!$C$43,Parametri_v3!$C$45,IF(5=Parametri_v3!$C$44,1-Parametri_v3!$C$45,0))</f>
        <v>0</v>
      </c>
      <c r="AQ537" s="15" t="n">
        <f aca="false">MAX(0,AP537+IF(5=Parametri_v3!$C$43,MAX(0,AN537-AO537),0)-MAX(0,-(AR536)))</f>
        <v>0</v>
      </c>
      <c r="AR537" s="15" t="n">
        <f aca="false">(AR536)+X537-AQ537</f>
        <v>94427.5894866375</v>
      </c>
      <c r="AS537" s="15" t="n">
        <f aca="false">Motore_Operativo!AC537-AT537+AU537</f>
        <v>42145.6153144583</v>
      </c>
      <c r="AT537" s="15" t="n">
        <f aca="false">Motore_Operativo!CI537</f>
        <v>2218.19027970833</v>
      </c>
      <c r="AU537" s="15" t="n">
        <f aca="false">MIN(MAX(0,(AV536)+AT537),Parametri_v3!$C$61/12)</f>
        <v>0</v>
      </c>
      <c r="AV537" s="15" t="n">
        <f aca="false">(AV536)+AT537-AU537</f>
        <v>59367.7929235417</v>
      </c>
      <c r="AW537" s="15" t="n">
        <f aca="false">IF(AND(Motore_Operativo!C537=Finanziamenti!$D$7,Finanziamenti!$F$7=1),Finanziamenti!$C$7,0)</f>
        <v>0</v>
      </c>
      <c r="AX537" s="15" t="n">
        <f aca="false">0</f>
        <v>0</v>
      </c>
      <c r="AY537" s="15" t="n">
        <f aca="false">IF(5=Parametri_v3!$C$33,IF(BV537&lt;MIN(12,$B537-1),0,MIN(MAX(0,SUM(Y521:Y532))*Ipotesi!$C$94,MAX(0,(BM532)-(BO536)-BP537),MAX(0,BD537-Parametri_v3!$C$31))),0)</f>
        <v>0</v>
      </c>
      <c r="AZ537" s="15" t="n">
        <f aca="false">0</f>
        <v>0</v>
      </c>
      <c r="BA537" s="15" t="n">
        <f aca="false">0</f>
        <v>0</v>
      </c>
      <c r="BB537" s="15" t="n">
        <f aca="false">0</f>
        <v>0</v>
      </c>
      <c r="BC537" s="15" t="n">
        <f aca="false">0</f>
        <v>0</v>
      </c>
      <c r="BD537" s="15" t="n">
        <f aca="false">(BH536)+AC537-AF537-AI537-AS537-K537*(1+Parametri_v3!$C$26)-AL537-AQ537-O537+AW537+AX537+AZ537+BA537-BB537</f>
        <v>330101.720024479</v>
      </c>
      <c r="BE537" s="15" t="n">
        <f aca="false">0</f>
        <v>0</v>
      </c>
      <c r="BF537" s="15" t="n">
        <f aca="false">0</f>
        <v>0</v>
      </c>
      <c r="BG537" s="15" t="n">
        <f aca="false">0</f>
        <v>0</v>
      </c>
      <c r="BH537" s="15" t="n">
        <f aca="false">BD537+BE537-BF537-AY537</f>
        <v>330101.720024479</v>
      </c>
      <c r="BI537" s="15" t="n">
        <f aca="false">MAX(0,Parametri_v3!$C$31-BH537)</f>
        <v>0</v>
      </c>
      <c r="BJ537" s="15" t="n">
        <f aca="false">(BJ536)+K537</f>
        <v>24333.3333333333</v>
      </c>
      <c r="BK537" s="15" t="n">
        <f aca="false">(BK536)+L537</f>
        <v>13854.1666666667</v>
      </c>
      <c r="BL537" s="15" t="n">
        <f aca="false">BJ537-BK537</f>
        <v>10479.1666666667</v>
      </c>
      <c r="BM537" s="15" t="n">
        <f aca="false">(BM536)+Y537</f>
        <v>563052.056850412</v>
      </c>
      <c r="BN537" s="15" t="n">
        <f aca="false">(BN536)+AW537+AX537+AZ537</f>
        <v>20000</v>
      </c>
      <c r="BO537" s="15" t="n">
        <f aca="false">(BO536)+AY537</f>
        <v>60315.9059027778</v>
      </c>
      <c r="BP537" s="15" t="n">
        <f aca="false">MIN(Parametri_v3!$C$36*Parametri_v3!$C$35,(BP536)+IF(5=1,MAX(0,SUM(Y521:Y532))*Parametri_v3!$C$34,0))</f>
        <v>2000</v>
      </c>
      <c r="BQ537" s="15" t="n">
        <f aca="false">BN537+BM537-BO537</f>
        <v>522736.150947634</v>
      </c>
      <c r="BR537" s="15" t="n">
        <f aca="false">BH537+AD537+BL537+MAX(0,-AM537)+MAX(0,-AR537)</f>
        <v>764988.386691146</v>
      </c>
      <c r="BS537" s="15" t="n">
        <f aca="false">AJ537+AV537+MAX(0,AM537)+MAX(0,AR537)+BC537+BG537+BQ537+AG537</f>
        <v>764988.386691146</v>
      </c>
      <c r="BT537" s="15" t="n">
        <f aca="false">BR537-BS537</f>
        <v>0</v>
      </c>
      <c r="BU537" s="15" t="n">
        <f aca="false">BH537-(BD537+BE537-BF537-AY537)</f>
        <v>0</v>
      </c>
      <c r="BV537" s="15" t="n">
        <f aca="false">IF(BH536&lt;Parametri_v3!$C$31,0,BV536+1)</f>
        <v>24</v>
      </c>
    </row>
    <row r="538" customFormat="false" ht="18" hidden="false" customHeight="true" outlineLevel="0" collapsed="false">
      <c r="A538" s="68" t="n">
        <f aca="false">9</f>
        <v>9</v>
      </c>
      <c r="B538" s="68" t="n">
        <f aca="false">54</f>
        <v>54</v>
      </c>
      <c r="C538" s="18" t="n">
        <f aca="false">Motore_Operativo!C538</f>
        <v>48000</v>
      </c>
      <c r="D538" s="68" t="n">
        <f aca="false">Motore_Operativo!D538</f>
        <v>2031</v>
      </c>
      <c r="E538" s="68" t="n">
        <f aca="false">Motore_Operativo!E538</f>
        <v>6</v>
      </c>
      <c r="F538" s="15" t="n">
        <f aca="false">Motore_Operativo!AM538</f>
        <v>115958.333333333</v>
      </c>
      <c r="G538" s="15" t="n">
        <f aca="false">Motore_Operativo!BH538</f>
        <v>11595.8333333333</v>
      </c>
      <c r="H538" s="15" t="n">
        <f aca="false">Motore_Operativo!AM538</f>
        <v>115958.333333333</v>
      </c>
      <c r="I538" s="15" t="n">
        <f aca="false">Motore_Operativo!CB538</f>
        <v>79625.4722608333</v>
      </c>
      <c r="J538" s="15" t="n">
        <f aca="false">Motore_Operativo!CD538</f>
        <v>36332.8610725</v>
      </c>
      <c r="K538" s="15" t="n">
        <f aca="false">Motore_Operativo!CF538</f>
        <v>666.666666666667</v>
      </c>
      <c r="L538" s="15" t="n">
        <f aca="false">SUM(INDEX($K$485:$K$544,MAX(1,54-Parametri_v3!$C$59+1)):K538)/Parametri_v3!$C$59</f>
        <v>541.666666666667</v>
      </c>
      <c r="M538" s="15" t="n">
        <f aca="false">J538-L538</f>
        <v>35791.1944058333</v>
      </c>
      <c r="N538" s="15" t="n">
        <f aca="false">0</f>
        <v>0</v>
      </c>
      <c r="O538" s="15" t="n">
        <f aca="false">0</f>
        <v>0</v>
      </c>
      <c r="P538" s="15" t="n">
        <f aca="false">M538+N538-O538</f>
        <v>35791.1944058333</v>
      </c>
      <c r="Q538" s="15" t="n">
        <f aca="false">SUM(P533:P538)+Parametri_v3!$C$56*6/12</f>
        <v>214851.333101667</v>
      </c>
      <c r="R538" s="15" t="n">
        <f aca="false">Z532</f>
        <v>0</v>
      </c>
      <c r="S538" s="15" t="n">
        <f aca="false">AA532</f>
        <v>0</v>
      </c>
      <c r="T538" s="15" t="n">
        <f aca="false">MIN(R538,MAX(0,Q538))</f>
        <v>0</v>
      </c>
      <c r="U538" s="15" t="n">
        <f aca="false">MIN(S538,MAX(0,Q538-T538)*Parametri_v3!$C$42)</f>
        <v>0</v>
      </c>
      <c r="V538" s="15" t="n">
        <f aca="false">MAX(0,Q538-T538-U538)*Ipotesi!$C$92</f>
        <v>51564.3199444</v>
      </c>
      <c r="W538" s="15" t="n">
        <f aca="false">MAX(0,SUM(M533:M538)+Parametri_v3!$C$57*6/12)*Ipotesi!$C$93</f>
        <v>8379.201990965</v>
      </c>
      <c r="X538" s="15" t="n">
        <f aca="false">V538+W538-(V537+W537)</f>
        <v>9985.74323922749</v>
      </c>
      <c r="Y538" s="15" t="n">
        <f aca="false">P538-X538</f>
        <v>25805.4511666058</v>
      </c>
      <c r="Z538" s="15" t="n">
        <f aca="false">R538-T538+IF(AND(Parametri_v3!$C$40=1,D538-YEAR(Parametri_v3!$C$50)&lt;Parametri_v3!$C$41),MAX(0,-Q538),0)</f>
        <v>0</v>
      </c>
      <c r="AA538" s="15" t="n">
        <f aca="false">S538-U538+IF(AND(Parametri_v3!$C$40=1,D538-YEAR(Parametri_v3!$C$50)&lt;Parametri_v3!$C$41),0,MAX(0,-Q538))</f>
        <v>0</v>
      </c>
      <c r="AB538" s="15" t="n">
        <f aca="false">F538*(1+Parametri_v3!$C$26)</f>
        <v>141469.166666667</v>
      </c>
      <c r="AC538" s="15" t="n">
        <f aca="false">(IF(54-(INT((Motore_Operativo!L538)/30))&lt;1,0,INDEX(Motore_Advisory!$AB$485:$AB$544,MAX(1,54-(INT((Motore_Operativo!L538)/30)))))*(1-(MOD((Motore_Operativo!L538),30)/30))+IF(54-(INT((Motore_Operativo!L538)/30))-1&lt;1,0,INDEX(Motore_Advisory!$AB$485:$AB$544,MAX(1,54-(INT((Motore_Operativo!L538)/30))-1)))*(MOD((Motore_Operativo!L538),30)/30))</f>
        <v>141469.166666667</v>
      </c>
      <c r="AD538" s="15" t="n">
        <f aca="false">(AD537)+AB538-AC538</f>
        <v>424407.5</v>
      </c>
      <c r="AE538" s="15" t="n">
        <f aca="false">Motore_Operativo!BH538*(1+Parametri_v3!$C$26)</f>
        <v>14146.9166666667</v>
      </c>
      <c r="AF538" s="15" t="n">
        <f aca="false">(IF(54-(INT((Parametri_v3!$C$29)/30))&lt;1,0,INDEX(Motore_Operativo!$BH$485:$BH$544,MAX(1,54-(INT((Parametri_v3!$C$29)/30)))))*(1-(MOD((Parametri_v3!$C$29),30)/30))+IF(54-(INT((Parametri_v3!$C$29)/30))-1&lt;1,0,INDEX(Motore_Operativo!$BH$485:$BH$544,MAX(1,54-(INT((Parametri_v3!$C$29)/30))-1)))*(MOD((Parametri_v3!$C$29),30)/30))*(1+Parametri_v3!$C$26)</f>
        <v>14146.9166666667</v>
      </c>
      <c r="AG538" s="15" t="n">
        <f aca="false">(AG537)+AE538-AF538</f>
        <v>14146.9166666667</v>
      </c>
      <c r="AH538" s="15" t="n">
        <f aca="false">(Motore_Operativo!CK538)*(1+Parametri_v3!$C$28*Parametri_v3!$C$26)</f>
        <v>27831.02</v>
      </c>
      <c r="AI538" s="15" t="n">
        <f aca="false">(IF(54-(INT((Ipotesi!$C$91)/30))&lt;1,0,INDEX(Motore_Advisory!$AH$485:$AH$544,MAX(1,54-(INT((Ipotesi!$C$91)/30)))))*(1-(MOD((Ipotesi!$C$91),30)/30))+IF(54-(INT((Ipotesi!$C$91)/30))-1&lt;1,0,INDEX(Motore_Advisory!$AH$485:$AH$544,MAX(1,54-(INT((Ipotesi!$C$91)/30))-1)))*(MOD((Ipotesi!$C$91),30)/30))</f>
        <v>27831.02</v>
      </c>
      <c r="AJ538" s="15" t="n">
        <f aca="false">(AJ537)+AH538-AI538</f>
        <v>55662.04</v>
      </c>
      <c r="AK538" s="15" t="n">
        <f aca="false">(F538- Motore_Operativo!BH538-(Motore_Operativo!CK538)*Parametri_v3!$C$28-Motore_Operativo!CF538)*Parametri_v3!$C$26</f>
        <v>18647.8966666667</v>
      </c>
      <c r="AL538" s="15" t="n">
        <f aca="false">MAX(0,(AM537))</f>
        <v>18647.8966666667</v>
      </c>
      <c r="AM538" s="15" t="n">
        <f aca="false">(AM537)+AK538-AL538</f>
        <v>18647.8966666667</v>
      </c>
      <c r="AN538" s="15" t="n">
        <f aca="false">SUM(X521:X532)</f>
        <v>91149.8045405</v>
      </c>
      <c r="AO538" s="15" t="n">
        <f aca="false">SUM(AP521:AP532)</f>
        <v>46679.99375</v>
      </c>
      <c r="AP538" s="15" t="n">
        <f aca="false">MAX(0,AN538)*IF(6=Parametri_v3!$C$43,Parametri_v3!$C$45,IF(6=Parametri_v3!$C$44,1-Parametri_v3!$C$45,0))</f>
        <v>36459.9218162</v>
      </c>
      <c r="AQ538" s="15" t="n">
        <f aca="false">MAX(0,AP538+IF(6=Parametri_v3!$C$43,MAX(0,AN538-AO538),0)-MAX(0,-(AR537)))</f>
        <v>80929.7326067</v>
      </c>
      <c r="AR538" s="15" t="n">
        <f aca="false">(AR537)+X538-AQ538</f>
        <v>23483.600119165</v>
      </c>
      <c r="AS538" s="15" t="n">
        <f aca="false">Motore_Operativo!AC538-AT538+AU538</f>
        <v>42145.6153144583</v>
      </c>
      <c r="AT538" s="15" t="n">
        <f aca="false">Motore_Operativo!CI538</f>
        <v>2218.19027970833</v>
      </c>
      <c r="AU538" s="15" t="n">
        <f aca="false">MIN(MAX(0,(AV537)+AT538),Parametri_v3!$C$61/12)</f>
        <v>0</v>
      </c>
      <c r="AV538" s="15" t="n">
        <f aca="false">(AV537)+AT538-AU538</f>
        <v>61585.98320325</v>
      </c>
      <c r="AW538" s="15" t="n">
        <f aca="false">IF(AND(Motore_Operativo!C538=Finanziamenti!$D$7,Finanziamenti!$F$7=1),Finanziamenti!$C$7,0)</f>
        <v>0</v>
      </c>
      <c r="AX538" s="15" t="n">
        <f aca="false">0</f>
        <v>0</v>
      </c>
      <c r="AY538" s="15" t="n">
        <f aca="false">IF(6=Parametri_v3!$C$33,IF(BV538&lt;MIN(12,$B538-1),0,MIN(MAX(0,SUM(Y521:Y532))*Ipotesi!$C$94,MAX(0,(BM532)-(BO537)-BP538),MAX(0,BD538-Parametri_v3!$C$31))),0)</f>
        <v>117776.001924194</v>
      </c>
      <c r="AZ538" s="15" t="n">
        <f aca="false">0</f>
        <v>0</v>
      </c>
      <c r="BA538" s="15" t="n">
        <f aca="false">0</f>
        <v>0</v>
      </c>
      <c r="BB538" s="15" t="n">
        <f aca="false">0</f>
        <v>0</v>
      </c>
      <c r="BC538" s="15" t="n">
        <f aca="false">0</f>
        <v>0</v>
      </c>
      <c r="BD538" s="15" t="n">
        <f aca="false">(BH537)+AC538-AF538-AI538-AS538-K538*(1+Parametri_v3!$C$26)-AL538-AQ538-O538+AW538+AX538+AZ538+BA538-BB538</f>
        <v>287056.372103321</v>
      </c>
      <c r="BE538" s="15" t="n">
        <f aca="false">0</f>
        <v>0</v>
      </c>
      <c r="BF538" s="15" t="n">
        <f aca="false">0</f>
        <v>0</v>
      </c>
      <c r="BG538" s="15" t="n">
        <f aca="false">0</f>
        <v>0</v>
      </c>
      <c r="BH538" s="15" t="n">
        <f aca="false">BD538+BE538-BF538-AY538</f>
        <v>169280.370179127</v>
      </c>
      <c r="BI538" s="15" t="n">
        <f aca="false">MAX(0,Parametri_v3!$C$31-BH538)</f>
        <v>0</v>
      </c>
      <c r="BJ538" s="15" t="n">
        <f aca="false">(BJ537)+K538</f>
        <v>25000</v>
      </c>
      <c r="BK538" s="15" t="n">
        <f aca="false">(BK537)+L538</f>
        <v>14395.8333333333</v>
      </c>
      <c r="BL538" s="15" t="n">
        <f aca="false">BJ538-BK538</f>
        <v>10604.1666666667</v>
      </c>
      <c r="BM538" s="15" t="n">
        <f aca="false">(BM537)+Y538</f>
        <v>588857.508017017</v>
      </c>
      <c r="BN538" s="15" t="n">
        <f aca="false">(BN537)+AW538+AX538+AZ538</f>
        <v>20000</v>
      </c>
      <c r="BO538" s="15" t="n">
        <f aca="false">(BO537)+AY538</f>
        <v>178091.907826972</v>
      </c>
      <c r="BP538" s="15" t="n">
        <f aca="false">MIN(Parametri_v3!$C$36*Parametri_v3!$C$35,(BP537)+IF(6=1,MAX(0,SUM(Y521:Y532))*Parametri_v3!$C$34,0))</f>
        <v>2000</v>
      </c>
      <c r="BQ538" s="15" t="n">
        <f aca="false">BN538+BM538-BO538</f>
        <v>430765.600190045</v>
      </c>
      <c r="BR538" s="15" t="n">
        <f aca="false">BH538+AD538+BL538+MAX(0,-AM538)+MAX(0,-AR538)</f>
        <v>604292.036845793</v>
      </c>
      <c r="BS538" s="15" t="n">
        <f aca="false">AJ538+AV538+MAX(0,AM538)+MAX(0,AR538)+BC538+BG538+BQ538+AG538</f>
        <v>604292.036845794</v>
      </c>
      <c r="BT538" s="15" t="n">
        <f aca="false">BR538-BS538</f>
        <v>0</v>
      </c>
      <c r="BU538" s="15" t="n">
        <f aca="false">BH538-(BD538+BE538-BF538-AY538)</f>
        <v>0</v>
      </c>
      <c r="BV538" s="15" t="n">
        <f aca="false">IF(BH537&lt;Parametri_v3!$C$31,0,BV537+1)</f>
        <v>25</v>
      </c>
    </row>
    <row r="539" customFormat="false" ht="18" hidden="false" customHeight="true" outlineLevel="0" collapsed="false">
      <c r="A539" s="68" t="n">
        <f aca="false">9</f>
        <v>9</v>
      </c>
      <c r="B539" s="68" t="n">
        <f aca="false">55</f>
        <v>55</v>
      </c>
      <c r="C539" s="18" t="n">
        <f aca="false">Motore_Operativo!C539</f>
        <v>48030</v>
      </c>
      <c r="D539" s="68" t="n">
        <f aca="false">Motore_Operativo!D539</f>
        <v>2031</v>
      </c>
      <c r="E539" s="68" t="n">
        <f aca="false">Motore_Operativo!E539</f>
        <v>7</v>
      </c>
      <c r="F539" s="15" t="n">
        <f aca="false">Motore_Operativo!AM539</f>
        <v>115958.333333333</v>
      </c>
      <c r="G539" s="15" t="n">
        <f aca="false">Motore_Operativo!BH539</f>
        <v>11595.8333333333</v>
      </c>
      <c r="H539" s="15" t="n">
        <f aca="false">Motore_Operativo!AM539</f>
        <v>115958.333333333</v>
      </c>
      <c r="I539" s="15" t="n">
        <f aca="false">Motore_Operativo!CB539</f>
        <v>79625.4722608333</v>
      </c>
      <c r="J539" s="15" t="n">
        <f aca="false">Motore_Operativo!CD539</f>
        <v>36332.8610725</v>
      </c>
      <c r="K539" s="15" t="n">
        <f aca="false">Motore_Operativo!CF539</f>
        <v>666.666666666667</v>
      </c>
      <c r="L539" s="15" t="n">
        <f aca="false">SUM(INDEX($K$485:$K$544,MAX(1,55-Parametri_v3!$C$59+1)):K539)/Parametri_v3!$C$59</f>
        <v>548.611111111111</v>
      </c>
      <c r="M539" s="15" t="n">
        <f aca="false">J539-L539</f>
        <v>35784.2499613889</v>
      </c>
      <c r="N539" s="15" t="n">
        <f aca="false">0</f>
        <v>0</v>
      </c>
      <c r="O539" s="15" t="n">
        <f aca="false">0</f>
        <v>0</v>
      </c>
      <c r="P539" s="15" t="n">
        <f aca="false">M539+N539-O539</f>
        <v>35784.2499613889</v>
      </c>
      <c r="Q539" s="15" t="n">
        <f aca="false">SUM(P533:P539)+Parametri_v3!$C$56*7/12</f>
        <v>250635.583063056</v>
      </c>
      <c r="R539" s="15" t="n">
        <f aca="false">Z532</f>
        <v>0</v>
      </c>
      <c r="S539" s="15" t="n">
        <f aca="false">AA532</f>
        <v>0</v>
      </c>
      <c r="T539" s="15" t="n">
        <f aca="false">MIN(R539,MAX(0,Q539))</f>
        <v>0</v>
      </c>
      <c r="U539" s="15" t="n">
        <f aca="false">MIN(S539,MAX(0,Q539-T539)*Parametri_v3!$C$42)</f>
        <v>0</v>
      </c>
      <c r="V539" s="15" t="n">
        <f aca="false">MAX(0,Q539-T539-U539)*Ipotesi!$C$92</f>
        <v>60152.5399351333</v>
      </c>
      <c r="W539" s="15" t="n">
        <f aca="false">MAX(0,SUM(M533:M539)+Parametri_v3!$C$57*7/12)*Ipotesi!$C$93</f>
        <v>9774.78773945917</v>
      </c>
      <c r="X539" s="15" t="n">
        <f aca="false">V539+W539-(V538+W538)</f>
        <v>9983.80573922751</v>
      </c>
      <c r="Y539" s="15" t="n">
        <f aca="false">P539-X539</f>
        <v>25800.4442221614</v>
      </c>
      <c r="Z539" s="15" t="n">
        <f aca="false">R539-T539+IF(AND(Parametri_v3!$C$40=1,D539-YEAR(Parametri_v3!$C$50)&lt;Parametri_v3!$C$41),MAX(0,-Q539),0)</f>
        <v>0</v>
      </c>
      <c r="AA539" s="15" t="n">
        <f aca="false">S539-U539+IF(AND(Parametri_v3!$C$40=1,D539-YEAR(Parametri_v3!$C$50)&lt;Parametri_v3!$C$41),0,MAX(0,-Q539))</f>
        <v>0</v>
      </c>
      <c r="AB539" s="15" t="n">
        <f aca="false">F539*(1+Parametri_v3!$C$26)</f>
        <v>141469.166666667</v>
      </c>
      <c r="AC539" s="15" t="n">
        <f aca="false">(IF(55-(INT((Motore_Operativo!L539)/30))&lt;1,0,INDEX(Motore_Advisory!$AB$485:$AB$544,MAX(1,55-(INT((Motore_Operativo!L539)/30)))))*(1-(MOD((Motore_Operativo!L539),30)/30))+IF(55-(INT((Motore_Operativo!L539)/30))-1&lt;1,0,INDEX(Motore_Advisory!$AB$485:$AB$544,MAX(1,55-(INT((Motore_Operativo!L539)/30))-1)))*(MOD((Motore_Operativo!L539),30)/30))</f>
        <v>141469.166666667</v>
      </c>
      <c r="AD539" s="15" t="n">
        <f aca="false">(AD538)+AB539-AC539</f>
        <v>424407.5</v>
      </c>
      <c r="AE539" s="15" t="n">
        <f aca="false">Motore_Operativo!BH539*(1+Parametri_v3!$C$26)</f>
        <v>14146.9166666667</v>
      </c>
      <c r="AF539" s="15" t="n">
        <f aca="false">(IF(55-(INT((Parametri_v3!$C$29)/30))&lt;1,0,INDEX(Motore_Operativo!$BH$485:$BH$544,MAX(1,55-(INT((Parametri_v3!$C$29)/30)))))*(1-(MOD((Parametri_v3!$C$29),30)/30))+IF(55-(INT((Parametri_v3!$C$29)/30))-1&lt;1,0,INDEX(Motore_Operativo!$BH$485:$BH$544,MAX(1,55-(INT((Parametri_v3!$C$29)/30))-1)))*(MOD((Parametri_v3!$C$29),30)/30))*(1+Parametri_v3!$C$26)</f>
        <v>14146.9166666667</v>
      </c>
      <c r="AG539" s="15" t="n">
        <f aca="false">(AG538)+AE539-AF539</f>
        <v>14146.9166666667</v>
      </c>
      <c r="AH539" s="15" t="n">
        <f aca="false">(Motore_Operativo!CK539)*(1+Parametri_v3!$C$28*Parametri_v3!$C$26)</f>
        <v>27831.02</v>
      </c>
      <c r="AI539" s="15" t="n">
        <f aca="false">(IF(55-(INT((Ipotesi!$C$91)/30))&lt;1,0,INDEX(Motore_Advisory!$AH$485:$AH$544,MAX(1,55-(INT((Ipotesi!$C$91)/30)))))*(1-(MOD((Ipotesi!$C$91),30)/30))+IF(55-(INT((Ipotesi!$C$91)/30))-1&lt;1,0,INDEX(Motore_Advisory!$AH$485:$AH$544,MAX(1,55-(INT((Ipotesi!$C$91)/30))-1)))*(MOD((Ipotesi!$C$91),30)/30))</f>
        <v>27831.02</v>
      </c>
      <c r="AJ539" s="15" t="n">
        <f aca="false">(AJ538)+AH539-AI539</f>
        <v>55662.04</v>
      </c>
      <c r="AK539" s="15" t="n">
        <f aca="false">(F539- Motore_Operativo!BH539-(Motore_Operativo!CK539)*Parametri_v3!$C$28-Motore_Operativo!CF539)*Parametri_v3!$C$26</f>
        <v>18647.8966666667</v>
      </c>
      <c r="AL539" s="15" t="n">
        <f aca="false">MAX(0,(AM538))</f>
        <v>18647.8966666667</v>
      </c>
      <c r="AM539" s="15" t="n">
        <f aca="false">(AM538)+AK539-AL539</f>
        <v>18647.8966666667</v>
      </c>
      <c r="AN539" s="15" t="n">
        <f aca="false">SUM(X521:X532)</f>
        <v>91149.8045405</v>
      </c>
      <c r="AO539" s="15" t="n">
        <f aca="false">SUM(AP521:AP532)</f>
        <v>46679.99375</v>
      </c>
      <c r="AP539" s="15" t="n">
        <f aca="false">MAX(0,AN539)*IF(7=Parametri_v3!$C$43,Parametri_v3!$C$45,IF(7=Parametri_v3!$C$44,1-Parametri_v3!$C$45,0))</f>
        <v>0</v>
      </c>
      <c r="AQ539" s="15" t="n">
        <f aca="false">MAX(0,AP539+IF(7=Parametri_v3!$C$43,MAX(0,AN539-AO539),0)-MAX(0,-(AR538)))</f>
        <v>0</v>
      </c>
      <c r="AR539" s="15" t="n">
        <f aca="false">(AR538)+X539-AQ539</f>
        <v>33467.4058583925</v>
      </c>
      <c r="AS539" s="15" t="n">
        <f aca="false">Motore_Operativo!AC539-AT539+AU539</f>
        <v>42145.6153144583</v>
      </c>
      <c r="AT539" s="15" t="n">
        <f aca="false">Motore_Operativo!CI539</f>
        <v>2218.19027970833</v>
      </c>
      <c r="AU539" s="15" t="n">
        <f aca="false">MIN(MAX(0,(AV538)+AT539),Parametri_v3!$C$61/12)</f>
        <v>0</v>
      </c>
      <c r="AV539" s="15" t="n">
        <f aca="false">(AV538)+AT539-AU539</f>
        <v>63804.1734829583</v>
      </c>
      <c r="AW539" s="15" t="n">
        <f aca="false">IF(AND(Motore_Operativo!C539=Finanziamenti!$D$7,Finanziamenti!$F$7=1),Finanziamenti!$C$7,0)</f>
        <v>0</v>
      </c>
      <c r="AX539" s="15" t="n">
        <f aca="false">0</f>
        <v>0</v>
      </c>
      <c r="AY539" s="15" t="n">
        <f aca="false">IF(7=Parametri_v3!$C$33,IF(BV539&lt;MIN(12,$B539-1),0,MIN(MAX(0,SUM(Y521:Y532))*Ipotesi!$C$94,MAX(0,(BM532)-(BO538)-BP539),MAX(0,BD539-Parametri_v3!$C$31))),0)</f>
        <v>0</v>
      </c>
      <c r="AZ539" s="15" t="n">
        <f aca="false">0</f>
        <v>0</v>
      </c>
      <c r="BA539" s="15" t="n">
        <f aca="false">0</f>
        <v>0</v>
      </c>
      <c r="BB539" s="15" t="n">
        <f aca="false">0</f>
        <v>0</v>
      </c>
      <c r="BC539" s="15" t="n">
        <f aca="false">0</f>
        <v>0</v>
      </c>
      <c r="BD539" s="15" t="n">
        <f aca="false">(BH538)+AC539-AF539-AI539-AS539-K539*(1+Parametri_v3!$C$26)-AL539-AQ539-O539+AW539+AX539+AZ539+BA539-BB539</f>
        <v>207164.754864668</v>
      </c>
      <c r="BE539" s="15" t="n">
        <f aca="false">0</f>
        <v>0</v>
      </c>
      <c r="BF539" s="15" t="n">
        <f aca="false">0</f>
        <v>0</v>
      </c>
      <c r="BG539" s="15" t="n">
        <f aca="false">0</f>
        <v>0</v>
      </c>
      <c r="BH539" s="15" t="n">
        <f aca="false">BD539+BE539-BF539-AY539</f>
        <v>207164.754864668</v>
      </c>
      <c r="BI539" s="15" t="n">
        <f aca="false">MAX(0,Parametri_v3!$C$31-BH539)</f>
        <v>0</v>
      </c>
      <c r="BJ539" s="15" t="n">
        <f aca="false">(BJ538)+K539</f>
        <v>25666.6666666667</v>
      </c>
      <c r="BK539" s="15" t="n">
        <f aca="false">(BK538)+L539</f>
        <v>14944.4444444444</v>
      </c>
      <c r="BL539" s="15" t="n">
        <f aca="false">BJ539-BK539</f>
        <v>10722.2222222222</v>
      </c>
      <c r="BM539" s="15" t="n">
        <f aca="false">(BM538)+Y539</f>
        <v>614657.952239179</v>
      </c>
      <c r="BN539" s="15" t="n">
        <f aca="false">(BN538)+AW539+AX539+AZ539</f>
        <v>20000</v>
      </c>
      <c r="BO539" s="15" t="n">
        <f aca="false">(BO538)+AY539</f>
        <v>178091.907826972</v>
      </c>
      <c r="BP539" s="15" t="n">
        <f aca="false">MIN(Parametri_v3!$C$36*Parametri_v3!$C$35,(BP538)+IF(7=1,MAX(0,SUM(Y521:Y532))*Parametri_v3!$C$34,0))</f>
        <v>2000</v>
      </c>
      <c r="BQ539" s="15" t="n">
        <f aca="false">BN539+BM539-BO539</f>
        <v>456566.044412207</v>
      </c>
      <c r="BR539" s="15" t="n">
        <f aca="false">BH539+AD539+BL539+MAX(0,-AM539)+MAX(0,-AR539)</f>
        <v>642294.477086891</v>
      </c>
      <c r="BS539" s="15" t="n">
        <f aca="false">AJ539+AV539+MAX(0,AM539)+MAX(0,AR539)+BC539+BG539+BQ539+AG539</f>
        <v>642294.477086891</v>
      </c>
      <c r="BT539" s="15" t="n">
        <f aca="false">BR539-BS539</f>
        <v>0</v>
      </c>
      <c r="BU539" s="15" t="n">
        <f aca="false">BH539-(BD539+BE539-BF539-AY539)</f>
        <v>0</v>
      </c>
      <c r="BV539" s="15" t="n">
        <f aca="false">IF(BH538&lt;Parametri_v3!$C$31,0,BV538+1)</f>
        <v>26</v>
      </c>
    </row>
    <row r="540" customFormat="false" ht="18" hidden="false" customHeight="true" outlineLevel="0" collapsed="false">
      <c r="A540" s="68" t="n">
        <f aca="false">9</f>
        <v>9</v>
      </c>
      <c r="B540" s="68" t="n">
        <f aca="false">56</f>
        <v>56</v>
      </c>
      <c r="C540" s="18" t="n">
        <f aca="false">Motore_Operativo!C540</f>
        <v>48061</v>
      </c>
      <c r="D540" s="68" t="n">
        <f aca="false">Motore_Operativo!D540</f>
        <v>2031</v>
      </c>
      <c r="E540" s="68" t="n">
        <f aca="false">Motore_Operativo!E540</f>
        <v>8</v>
      </c>
      <c r="F540" s="15" t="n">
        <f aca="false">Motore_Operativo!AM540</f>
        <v>115958.333333333</v>
      </c>
      <c r="G540" s="15" t="n">
        <f aca="false">Motore_Operativo!BH540</f>
        <v>11595.8333333333</v>
      </c>
      <c r="H540" s="15" t="n">
        <f aca="false">Motore_Operativo!AM540</f>
        <v>115958.333333333</v>
      </c>
      <c r="I540" s="15" t="n">
        <f aca="false">Motore_Operativo!CB540</f>
        <v>79625.4722608333</v>
      </c>
      <c r="J540" s="15" t="n">
        <f aca="false">Motore_Operativo!CD540</f>
        <v>36332.8610725</v>
      </c>
      <c r="K540" s="15" t="n">
        <f aca="false">Motore_Operativo!CF540</f>
        <v>666.666666666667</v>
      </c>
      <c r="L540" s="15" t="n">
        <f aca="false">SUM(INDEX($K$485:$K$544,MAX(1,56-Parametri_v3!$C$59+1)):K540)/Parametri_v3!$C$59</f>
        <v>555.555555555556</v>
      </c>
      <c r="M540" s="15" t="n">
        <f aca="false">J540-L540</f>
        <v>35777.3055169445</v>
      </c>
      <c r="N540" s="15" t="n">
        <f aca="false">0</f>
        <v>0</v>
      </c>
      <c r="O540" s="15" t="n">
        <f aca="false">0</f>
        <v>0</v>
      </c>
      <c r="P540" s="15" t="n">
        <f aca="false">M540+N540-O540</f>
        <v>35777.3055169445</v>
      </c>
      <c r="Q540" s="15" t="n">
        <f aca="false">SUM(P533:P540)+Parametri_v3!$C$56*8/12</f>
        <v>286412.88858</v>
      </c>
      <c r="R540" s="15" t="n">
        <f aca="false">Z532</f>
        <v>0</v>
      </c>
      <c r="S540" s="15" t="n">
        <f aca="false">AA532</f>
        <v>0</v>
      </c>
      <c r="T540" s="15" t="n">
        <f aca="false">MIN(R540,MAX(0,Q540))</f>
        <v>0</v>
      </c>
      <c r="U540" s="15" t="n">
        <f aca="false">MIN(S540,MAX(0,Q540-T540)*Parametri_v3!$C$42)</f>
        <v>0</v>
      </c>
      <c r="V540" s="15" t="n">
        <f aca="false">MAX(0,Q540-T540-U540)*Ipotesi!$C$92</f>
        <v>68739.0932592</v>
      </c>
      <c r="W540" s="15" t="n">
        <f aca="false">MAX(0,SUM(M533:M540)+Parametri_v3!$C$57*8/12)*Ipotesi!$C$93</f>
        <v>11170.10265462</v>
      </c>
      <c r="X540" s="15" t="n">
        <f aca="false">V540+W540-(V539+W539)</f>
        <v>9981.86823922749</v>
      </c>
      <c r="Y540" s="15" t="n">
        <f aca="false">P540-X540</f>
        <v>25795.437277717</v>
      </c>
      <c r="Z540" s="15" t="n">
        <f aca="false">R540-T540+IF(AND(Parametri_v3!$C$40=1,D540-YEAR(Parametri_v3!$C$50)&lt;Parametri_v3!$C$41),MAX(0,-Q540),0)</f>
        <v>0</v>
      </c>
      <c r="AA540" s="15" t="n">
        <f aca="false">S540-U540+IF(AND(Parametri_v3!$C$40=1,D540-YEAR(Parametri_v3!$C$50)&lt;Parametri_v3!$C$41),0,MAX(0,-Q540))</f>
        <v>0</v>
      </c>
      <c r="AB540" s="15" t="n">
        <f aca="false">F540*(1+Parametri_v3!$C$26)</f>
        <v>141469.166666667</v>
      </c>
      <c r="AC540" s="15" t="n">
        <f aca="false">(IF(56-(INT((Motore_Operativo!L540)/30))&lt;1,0,INDEX(Motore_Advisory!$AB$485:$AB$544,MAX(1,56-(INT((Motore_Operativo!L540)/30)))))*(1-(MOD((Motore_Operativo!L540),30)/30))+IF(56-(INT((Motore_Operativo!L540)/30))-1&lt;1,0,INDEX(Motore_Advisory!$AB$485:$AB$544,MAX(1,56-(INT((Motore_Operativo!L540)/30))-1)))*(MOD((Motore_Operativo!L540),30)/30))</f>
        <v>141469.166666667</v>
      </c>
      <c r="AD540" s="15" t="n">
        <f aca="false">(AD539)+AB540-AC540</f>
        <v>424407.5</v>
      </c>
      <c r="AE540" s="15" t="n">
        <f aca="false">Motore_Operativo!BH540*(1+Parametri_v3!$C$26)</f>
        <v>14146.9166666667</v>
      </c>
      <c r="AF540" s="15" t="n">
        <f aca="false">(IF(56-(INT((Parametri_v3!$C$29)/30))&lt;1,0,INDEX(Motore_Operativo!$BH$485:$BH$544,MAX(1,56-(INT((Parametri_v3!$C$29)/30)))))*(1-(MOD((Parametri_v3!$C$29),30)/30))+IF(56-(INT((Parametri_v3!$C$29)/30))-1&lt;1,0,INDEX(Motore_Operativo!$BH$485:$BH$544,MAX(1,56-(INT((Parametri_v3!$C$29)/30))-1)))*(MOD((Parametri_v3!$C$29),30)/30))*(1+Parametri_v3!$C$26)</f>
        <v>14146.9166666667</v>
      </c>
      <c r="AG540" s="15" t="n">
        <f aca="false">(AG539)+AE540-AF540</f>
        <v>14146.9166666667</v>
      </c>
      <c r="AH540" s="15" t="n">
        <f aca="false">(Motore_Operativo!CK540)*(1+Parametri_v3!$C$28*Parametri_v3!$C$26)</f>
        <v>27831.02</v>
      </c>
      <c r="AI540" s="15" t="n">
        <f aca="false">(IF(56-(INT((Ipotesi!$C$91)/30))&lt;1,0,INDEX(Motore_Advisory!$AH$485:$AH$544,MAX(1,56-(INT((Ipotesi!$C$91)/30)))))*(1-(MOD((Ipotesi!$C$91),30)/30))+IF(56-(INT((Ipotesi!$C$91)/30))-1&lt;1,0,INDEX(Motore_Advisory!$AH$485:$AH$544,MAX(1,56-(INT((Ipotesi!$C$91)/30))-1)))*(MOD((Ipotesi!$C$91),30)/30))</f>
        <v>27831.02</v>
      </c>
      <c r="AJ540" s="15" t="n">
        <f aca="false">(AJ539)+AH540-AI540</f>
        <v>55662.04</v>
      </c>
      <c r="AK540" s="15" t="n">
        <f aca="false">(F540- Motore_Operativo!BH540-(Motore_Operativo!CK540)*Parametri_v3!$C$28-Motore_Operativo!CF540)*Parametri_v3!$C$26</f>
        <v>18647.8966666667</v>
      </c>
      <c r="AL540" s="15" t="n">
        <f aca="false">MAX(0,(AM539))</f>
        <v>18647.8966666667</v>
      </c>
      <c r="AM540" s="15" t="n">
        <f aca="false">(AM539)+AK540-AL540</f>
        <v>18647.8966666667</v>
      </c>
      <c r="AN540" s="15" t="n">
        <f aca="false">SUM(X521:X532)</f>
        <v>91149.8045405</v>
      </c>
      <c r="AO540" s="15" t="n">
        <f aca="false">SUM(AP521:AP532)</f>
        <v>46679.99375</v>
      </c>
      <c r="AP540" s="15" t="n">
        <f aca="false">MAX(0,AN540)*IF(8=Parametri_v3!$C$43,Parametri_v3!$C$45,IF(8=Parametri_v3!$C$44,1-Parametri_v3!$C$45,0))</f>
        <v>0</v>
      </c>
      <c r="AQ540" s="15" t="n">
        <f aca="false">MAX(0,AP540+IF(8=Parametri_v3!$C$43,MAX(0,AN540-AO540),0)-MAX(0,-(AR539)))</f>
        <v>0</v>
      </c>
      <c r="AR540" s="15" t="n">
        <f aca="false">(AR539)+X540-AQ540</f>
        <v>43449.27409762</v>
      </c>
      <c r="AS540" s="15" t="n">
        <f aca="false">Motore_Operativo!AC540-AT540+AU540</f>
        <v>42145.6153144583</v>
      </c>
      <c r="AT540" s="15" t="n">
        <f aca="false">Motore_Operativo!CI540</f>
        <v>2218.19027970833</v>
      </c>
      <c r="AU540" s="15" t="n">
        <f aca="false">MIN(MAX(0,(AV539)+AT540),Parametri_v3!$C$61/12)</f>
        <v>0</v>
      </c>
      <c r="AV540" s="15" t="n">
        <f aca="false">(AV539)+AT540-AU540</f>
        <v>66022.3637626667</v>
      </c>
      <c r="AW540" s="15" t="n">
        <f aca="false">IF(AND(Motore_Operativo!C540=Finanziamenti!$D$7,Finanziamenti!$F$7=1),Finanziamenti!$C$7,0)</f>
        <v>0</v>
      </c>
      <c r="AX540" s="15" t="n">
        <f aca="false">0</f>
        <v>0</v>
      </c>
      <c r="AY540" s="15" t="n">
        <f aca="false">IF(8=Parametri_v3!$C$33,IF(BV540&lt;MIN(12,$B540-1),0,MIN(MAX(0,SUM(Y521:Y532))*Ipotesi!$C$94,MAX(0,(BM532)-(BO539)-BP540),MAX(0,BD540-Parametri_v3!$C$31))),0)</f>
        <v>0</v>
      </c>
      <c r="AZ540" s="15" t="n">
        <f aca="false">0</f>
        <v>0</v>
      </c>
      <c r="BA540" s="15" t="n">
        <f aca="false">0</f>
        <v>0</v>
      </c>
      <c r="BB540" s="15" t="n">
        <f aca="false">0</f>
        <v>0</v>
      </c>
      <c r="BC540" s="15" t="n">
        <f aca="false">0</f>
        <v>0</v>
      </c>
      <c r="BD540" s="15" t="n">
        <f aca="false">(BH539)+AC540-AF540-AI540-AS540-K540*(1+Parametri_v3!$C$26)-AL540-AQ540-O540+AW540+AX540+AZ540+BA540-BB540</f>
        <v>245049.13955021</v>
      </c>
      <c r="BE540" s="15" t="n">
        <f aca="false">0</f>
        <v>0</v>
      </c>
      <c r="BF540" s="15" t="n">
        <f aca="false">0</f>
        <v>0</v>
      </c>
      <c r="BG540" s="15" t="n">
        <f aca="false">0</f>
        <v>0</v>
      </c>
      <c r="BH540" s="15" t="n">
        <f aca="false">BD540+BE540-BF540-AY540</f>
        <v>245049.13955021</v>
      </c>
      <c r="BI540" s="15" t="n">
        <f aca="false">MAX(0,Parametri_v3!$C$31-BH540)</f>
        <v>0</v>
      </c>
      <c r="BJ540" s="15" t="n">
        <f aca="false">(BJ539)+K540</f>
        <v>26333.3333333333</v>
      </c>
      <c r="BK540" s="15" t="n">
        <f aca="false">(BK539)+L540</f>
        <v>15500</v>
      </c>
      <c r="BL540" s="15" t="n">
        <f aca="false">BJ540-BK540</f>
        <v>10833.3333333333</v>
      </c>
      <c r="BM540" s="15" t="n">
        <f aca="false">(BM539)+Y540</f>
        <v>640453.389516896</v>
      </c>
      <c r="BN540" s="15" t="n">
        <f aca="false">(BN539)+AW540+AX540+AZ540</f>
        <v>20000</v>
      </c>
      <c r="BO540" s="15" t="n">
        <f aca="false">(BO539)+AY540</f>
        <v>178091.907826972</v>
      </c>
      <c r="BP540" s="15" t="n">
        <f aca="false">MIN(Parametri_v3!$C$36*Parametri_v3!$C$35,(BP539)+IF(8=1,MAX(0,SUM(Y521:Y532))*Parametri_v3!$C$34,0))</f>
        <v>2000</v>
      </c>
      <c r="BQ540" s="15" t="n">
        <f aca="false">BN540+BM540-BO540</f>
        <v>482361.481689924</v>
      </c>
      <c r="BR540" s="15" t="n">
        <f aca="false">BH540+AD540+BL540+MAX(0,-AM540)+MAX(0,-AR540)</f>
        <v>680289.972883544</v>
      </c>
      <c r="BS540" s="15" t="n">
        <f aca="false">AJ540+AV540+MAX(0,AM540)+MAX(0,AR540)+BC540+BG540+BQ540+AG540</f>
        <v>680289.972883544</v>
      </c>
      <c r="BT540" s="15" t="n">
        <f aca="false">BR540-BS540</f>
        <v>0</v>
      </c>
      <c r="BU540" s="15" t="n">
        <f aca="false">BH540-(BD540+BE540-BF540-AY540)</f>
        <v>0</v>
      </c>
      <c r="BV540" s="15" t="n">
        <f aca="false">IF(BH539&lt;Parametri_v3!$C$31,0,BV539+1)</f>
        <v>27</v>
      </c>
    </row>
    <row r="541" customFormat="false" ht="18" hidden="false" customHeight="true" outlineLevel="0" collapsed="false">
      <c r="A541" s="68" t="n">
        <f aca="false">9</f>
        <v>9</v>
      </c>
      <c r="B541" s="68" t="n">
        <f aca="false">57</f>
        <v>57</v>
      </c>
      <c r="C541" s="18" t="n">
        <f aca="false">Motore_Operativo!C541</f>
        <v>48092</v>
      </c>
      <c r="D541" s="68" t="n">
        <f aca="false">Motore_Operativo!D541</f>
        <v>2031</v>
      </c>
      <c r="E541" s="68" t="n">
        <f aca="false">Motore_Operativo!E541</f>
        <v>9</v>
      </c>
      <c r="F541" s="15" t="n">
        <f aca="false">Motore_Operativo!AM541</f>
        <v>115958.333333333</v>
      </c>
      <c r="G541" s="15" t="n">
        <f aca="false">Motore_Operativo!BH541</f>
        <v>11595.8333333333</v>
      </c>
      <c r="H541" s="15" t="n">
        <f aca="false">Motore_Operativo!AM541</f>
        <v>115958.333333333</v>
      </c>
      <c r="I541" s="15" t="n">
        <f aca="false">Motore_Operativo!CB541</f>
        <v>79625.4722608333</v>
      </c>
      <c r="J541" s="15" t="n">
        <f aca="false">Motore_Operativo!CD541</f>
        <v>36332.8610725</v>
      </c>
      <c r="K541" s="15" t="n">
        <f aca="false">Motore_Operativo!CF541</f>
        <v>666.666666666667</v>
      </c>
      <c r="L541" s="15" t="n">
        <f aca="false">SUM(INDEX($K$485:$K$544,MAX(1,57-Parametri_v3!$C$59+1)):K541)/Parametri_v3!$C$59</f>
        <v>562.5</v>
      </c>
      <c r="M541" s="15" t="n">
        <f aca="false">J541-L541</f>
        <v>35770.3610725</v>
      </c>
      <c r="N541" s="15" t="n">
        <f aca="false">0</f>
        <v>0</v>
      </c>
      <c r="O541" s="15" t="n">
        <f aca="false">0</f>
        <v>0</v>
      </c>
      <c r="P541" s="15" t="n">
        <f aca="false">M541+N541-O541</f>
        <v>35770.3610725</v>
      </c>
      <c r="Q541" s="15" t="n">
        <f aca="false">SUM(P533:P541)+Parametri_v3!$C$56*9/12</f>
        <v>322183.2496525</v>
      </c>
      <c r="R541" s="15" t="n">
        <f aca="false">Z532</f>
        <v>0</v>
      </c>
      <c r="S541" s="15" t="n">
        <f aca="false">AA532</f>
        <v>0</v>
      </c>
      <c r="T541" s="15" t="n">
        <f aca="false">MIN(R541,MAX(0,Q541))</f>
        <v>0</v>
      </c>
      <c r="U541" s="15" t="n">
        <f aca="false">MIN(S541,MAX(0,Q541-T541)*Parametri_v3!$C$42)</f>
        <v>0</v>
      </c>
      <c r="V541" s="15" t="n">
        <f aca="false">MAX(0,Q541-T541-U541)*Ipotesi!$C$92</f>
        <v>77323.9799166</v>
      </c>
      <c r="W541" s="15" t="n">
        <f aca="false">MAX(0,SUM(M533:M541)+Parametri_v3!$C$57*9/12)*Ipotesi!$C$93</f>
        <v>12565.1467364475</v>
      </c>
      <c r="X541" s="15" t="n">
        <f aca="false">V541+W541-(V540+W540)</f>
        <v>9979.93073922749</v>
      </c>
      <c r="Y541" s="15" t="n">
        <f aca="false">P541-X541</f>
        <v>25790.4303332725</v>
      </c>
      <c r="Z541" s="15" t="n">
        <f aca="false">R541-T541+IF(AND(Parametri_v3!$C$40=1,D541-YEAR(Parametri_v3!$C$50)&lt;Parametri_v3!$C$41),MAX(0,-Q541),0)</f>
        <v>0</v>
      </c>
      <c r="AA541" s="15" t="n">
        <f aca="false">S541-U541+IF(AND(Parametri_v3!$C$40=1,D541-YEAR(Parametri_v3!$C$50)&lt;Parametri_v3!$C$41),0,MAX(0,-Q541))</f>
        <v>0</v>
      </c>
      <c r="AB541" s="15" t="n">
        <f aca="false">F541*(1+Parametri_v3!$C$26)</f>
        <v>141469.166666667</v>
      </c>
      <c r="AC541" s="15" t="n">
        <f aca="false">(IF(57-(INT((Motore_Operativo!L541)/30))&lt;1,0,INDEX(Motore_Advisory!$AB$485:$AB$544,MAX(1,57-(INT((Motore_Operativo!L541)/30)))))*(1-(MOD((Motore_Operativo!L541),30)/30))+IF(57-(INT((Motore_Operativo!L541)/30))-1&lt;1,0,INDEX(Motore_Advisory!$AB$485:$AB$544,MAX(1,57-(INT((Motore_Operativo!L541)/30))-1)))*(MOD((Motore_Operativo!L541),30)/30))</f>
        <v>141469.166666667</v>
      </c>
      <c r="AD541" s="15" t="n">
        <f aca="false">(AD540)+AB541-AC541</f>
        <v>424407.5</v>
      </c>
      <c r="AE541" s="15" t="n">
        <f aca="false">Motore_Operativo!BH541*(1+Parametri_v3!$C$26)</f>
        <v>14146.9166666667</v>
      </c>
      <c r="AF541" s="15" t="n">
        <f aca="false">(IF(57-(INT((Parametri_v3!$C$29)/30))&lt;1,0,INDEX(Motore_Operativo!$BH$485:$BH$544,MAX(1,57-(INT((Parametri_v3!$C$29)/30)))))*(1-(MOD((Parametri_v3!$C$29),30)/30))+IF(57-(INT((Parametri_v3!$C$29)/30))-1&lt;1,0,INDEX(Motore_Operativo!$BH$485:$BH$544,MAX(1,57-(INT((Parametri_v3!$C$29)/30))-1)))*(MOD((Parametri_v3!$C$29),30)/30))*(1+Parametri_v3!$C$26)</f>
        <v>14146.9166666667</v>
      </c>
      <c r="AG541" s="15" t="n">
        <f aca="false">(AG540)+AE541-AF541</f>
        <v>14146.9166666667</v>
      </c>
      <c r="AH541" s="15" t="n">
        <f aca="false">(Motore_Operativo!CK541)*(1+Parametri_v3!$C$28*Parametri_v3!$C$26)</f>
        <v>27831.02</v>
      </c>
      <c r="AI541" s="15" t="n">
        <f aca="false">(IF(57-(INT((Ipotesi!$C$91)/30))&lt;1,0,INDEX(Motore_Advisory!$AH$485:$AH$544,MAX(1,57-(INT((Ipotesi!$C$91)/30)))))*(1-(MOD((Ipotesi!$C$91),30)/30))+IF(57-(INT((Ipotesi!$C$91)/30))-1&lt;1,0,INDEX(Motore_Advisory!$AH$485:$AH$544,MAX(1,57-(INT((Ipotesi!$C$91)/30))-1)))*(MOD((Ipotesi!$C$91),30)/30))</f>
        <v>27831.02</v>
      </c>
      <c r="AJ541" s="15" t="n">
        <f aca="false">(AJ540)+AH541-AI541</f>
        <v>55662.04</v>
      </c>
      <c r="AK541" s="15" t="n">
        <f aca="false">(F541- Motore_Operativo!BH541-(Motore_Operativo!CK541)*Parametri_v3!$C$28-Motore_Operativo!CF541)*Parametri_v3!$C$26</f>
        <v>18647.8966666667</v>
      </c>
      <c r="AL541" s="15" t="n">
        <f aca="false">MAX(0,(AM540))</f>
        <v>18647.8966666667</v>
      </c>
      <c r="AM541" s="15" t="n">
        <f aca="false">(AM540)+AK541-AL541</f>
        <v>18647.8966666667</v>
      </c>
      <c r="AN541" s="15" t="n">
        <f aca="false">SUM(X521:X532)</f>
        <v>91149.8045405</v>
      </c>
      <c r="AO541" s="15" t="n">
        <f aca="false">SUM(AP521:AP532)</f>
        <v>46679.99375</v>
      </c>
      <c r="AP541" s="15" t="n">
        <f aca="false">MAX(0,AN541)*IF(9=Parametri_v3!$C$43,Parametri_v3!$C$45,IF(9=Parametri_v3!$C$44,1-Parametri_v3!$C$45,0))</f>
        <v>0</v>
      </c>
      <c r="AQ541" s="15" t="n">
        <f aca="false">MAX(0,AP541+IF(9=Parametri_v3!$C$43,MAX(0,AN541-AO541),0)-MAX(0,-(AR540)))</f>
        <v>0</v>
      </c>
      <c r="AR541" s="15" t="n">
        <f aca="false">(AR540)+X541-AQ541</f>
        <v>53429.2048368475</v>
      </c>
      <c r="AS541" s="15" t="n">
        <f aca="false">Motore_Operativo!AC541-AT541+AU541</f>
        <v>42145.6153144583</v>
      </c>
      <c r="AT541" s="15" t="n">
        <f aca="false">Motore_Operativo!CI541</f>
        <v>2218.19027970833</v>
      </c>
      <c r="AU541" s="15" t="n">
        <f aca="false">MIN(MAX(0,(AV540)+AT541),Parametri_v3!$C$61/12)</f>
        <v>0</v>
      </c>
      <c r="AV541" s="15" t="n">
        <f aca="false">(AV540)+AT541-AU541</f>
        <v>68240.554042375</v>
      </c>
      <c r="AW541" s="15" t="n">
        <f aca="false">IF(AND(Motore_Operativo!C541=Finanziamenti!$D$7,Finanziamenti!$F$7=1),Finanziamenti!$C$7,0)</f>
        <v>0</v>
      </c>
      <c r="AX541" s="15" t="n">
        <f aca="false">0</f>
        <v>0</v>
      </c>
      <c r="AY541" s="15" t="n">
        <f aca="false">IF(9=Parametri_v3!$C$33,IF(BV541&lt;MIN(12,$B541-1),0,MIN(MAX(0,SUM(Y521:Y532))*Ipotesi!$C$94,MAX(0,(BM532)-(BO540)-BP541),MAX(0,BD541-Parametri_v3!$C$31))),0)</f>
        <v>0</v>
      </c>
      <c r="AZ541" s="15" t="n">
        <f aca="false">0</f>
        <v>0</v>
      </c>
      <c r="BA541" s="15" t="n">
        <f aca="false">0</f>
        <v>0</v>
      </c>
      <c r="BB541" s="15" t="n">
        <f aca="false">0</f>
        <v>0</v>
      </c>
      <c r="BC541" s="15" t="n">
        <f aca="false">0</f>
        <v>0</v>
      </c>
      <c r="BD541" s="15" t="n">
        <f aca="false">(BH540)+AC541-AF541-AI541-AS541-K541*(1+Parametri_v3!$C$26)-AL541-AQ541-O541+AW541+AX541+AZ541+BA541-BB541</f>
        <v>282933.524235752</v>
      </c>
      <c r="BE541" s="15" t="n">
        <f aca="false">0</f>
        <v>0</v>
      </c>
      <c r="BF541" s="15" t="n">
        <f aca="false">0</f>
        <v>0</v>
      </c>
      <c r="BG541" s="15" t="n">
        <f aca="false">0</f>
        <v>0</v>
      </c>
      <c r="BH541" s="15" t="n">
        <f aca="false">BD541+BE541-BF541-AY541</f>
        <v>282933.524235752</v>
      </c>
      <c r="BI541" s="15" t="n">
        <f aca="false">MAX(0,Parametri_v3!$C$31-BH541)</f>
        <v>0</v>
      </c>
      <c r="BJ541" s="15" t="n">
        <f aca="false">(BJ540)+K541</f>
        <v>27000</v>
      </c>
      <c r="BK541" s="15" t="n">
        <f aca="false">(BK540)+L541</f>
        <v>16062.5</v>
      </c>
      <c r="BL541" s="15" t="n">
        <f aca="false">BJ541-BK541</f>
        <v>10937.5</v>
      </c>
      <c r="BM541" s="15" t="n">
        <f aca="false">(BM540)+Y541</f>
        <v>666243.819850168</v>
      </c>
      <c r="BN541" s="15" t="n">
        <f aca="false">(BN540)+AW541+AX541+AZ541</f>
        <v>20000</v>
      </c>
      <c r="BO541" s="15" t="n">
        <f aca="false">(BO540)+AY541</f>
        <v>178091.907826972</v>
      </c>
      <c r="BP541" s="15" t="n">
        <f aca="false">MIN(Parametri_v3!$C$36*Parametri_v3!$C$35,(BP540)+IF(9=1,MAX(0,SUM(Y521:Y532))*Parametri_v3!$C$34,0))</f>
        <v>2000</v>
      </c>
      <c r="BQ541" s="15" t="n">
        <f aca="false">BN541+BM541-BO541</f>
        <v>508151.912023196</v>
      </c>
      <c r="BR541" s="15" t="n">
        <f aca="false">BH541+AD541+BL541+MAX(0,-AM541)+MAX(0,-AR541)</f>
        <v>718278.524235752</v>
      </c>
      <c r="BS541" s="15" t="n">
        <f aca="false">AJ541+AV541+MAX(0,AM541)+MAX(0,AR541)+BC541+BG541+BQ541+AG541</f>
        <v>718278.524235752</v>
      </c>
      <c r="BT541" s="15" t="n">
        <f aca="false">BR541-BS541</f>
        <v>0</v>
      </c>
      <c r="BU541" s="15" t="n">
        <f aca="false">BH541-(BD541+BE541-BF541-AY541)</f>
        <v>0</v>
      </c>
      <c r="BV541" s="15" t="n">
        <f aca="false">IF(BH540&lt;Parametri_v3!$C$31,0,BV540+1)</f>
        <v>28</v>
      </c>
    </row>
    <row r="542" customFormat="false" ht="18" hidden="false" customHeight="true" outlineLevel="0" collapsed="false">
      <c r="A542" s="68" t="n">
        <f aca="false">9</f>
        <v>9</v>
      </c>
      <c r="B542" s="68" t="n">
        <f aca="false">58</f>
        <v>58</v>
      </c>
      <c r="C542" s="18" t="n">
        <f aca="false">Motore_Operativo!C542</f>
        <v>48122</v>
      </c>
      <c r="D542" s="68" t="n">
        <f aca="false">Motore_Operativo!D542</f>
        <v>2031</v>
      </c>
      <c r="E542" s="68" t="n">
        <f aca="false">Motore_Operativo!E542</f>
        <v>10</v>
      </c>
      <c r="F542" s="15" t="n">
        <f aca="false">Motore_Operativo!AM542</f>
        <v>115958.333333333</v>
      </c>
      <c r="G542" s="15" t="n">
        <f aca="false">Motore_Operativo!BH542</f>
        <v>11595.8333333333</v>
      </c>
      <c r="H542" s="15" t="n">
        <f aca="false">Motore_Operativo!AM542</f>
        <v>115958.333333333</v>
      </c>
      <c r="I542" s="15" t="n">
        <f aca="false">Motore_Operativo!CB542</f>
        <v>79625.4722608333</v>
      </c>
      <c r="J542" s="15" t="n">
        <f aca="false">Motore_Operativo!CD542</f>
        <v>36332.8610725</v>
      </c>
      <c r="K542" s="15" t="n">
        <f aca="false">Motore_Operativo!CF542</f>
        <v>666.666666666667</v>
      </c>
      <c r="L542" s="15" t="n">
        <f aca="false">SUM(INDEX($K$485:$K$544,MAX(1,58-Parametri_v3!$C$59+1)):K542)/Parametri_v3!$C$59</f>
        <v>569.444444444445</v>
      </c>
      <c r="M542" s="15" t="n">
        <f aca="false">J542-L542</f>
        <v>35763.4166280556</v>
      </c>
      <c r="N542" s="15" t="n">
        <f aca="false">0</f>
        <v>0</v>
      </c>
      <c r="O542" s="15" t="n">
        <f aca="false">0</f>
        <v>0</v>
      </c>
      <c r="P542" s="15" t="n">
        <f aca="false">M542+N542-O542</f>
        <v>35763.4166280556</v>
      </c>
      <c r="Q542" s="15" t="n">
        <f aca="false">SUM(P533:P542)+Parametri_v3!$C$56*10/12</f>
        <v>357946.666280556</v>
      </c>
      <c r="R542" s="15" t="n">
        <f aca="false">Z532</f>
        <v>0</v>
      </c>
      <c r="S542" s="15" t="n">
        <f aca="false">AA532</f>
        <v>0</v>
      </c>
      <c r="T542" s="15" t="n">
        <f aca="false">MIN(R542,MAX(0,Q542))</f>
        <v>0</v>
      </c>
      <c r="U542" s="15" t="n">
        <f aca="false">MIN(S542,MAX(0,Q542-T542)*Parametri_v3!$C$42)</f>
        <v>0</v>
      </c>
      <c r="V542" s="15" t="n">
        <f aca="false">MAX(0,Q542-T542-U542)*Ipotesi!$C$92</f>
        <v>85907.1999073333</v>
      </c>
      <c r="W542" s="15" t="n">
        <f aca="false">MAX(0,SUM(M533:M542)+Parametri_v3!$C$57*10/12)*Ipotesi!$C$93</f>
        <v>13959.9199849417</v>
      </c>
      <c r="X542" s="15" t="n">
        <f aca="false">V542+W542-(V541+W541)</f>
        <v>9977.99323922752</v>
      </c>
      <c r="Y542" s="15" t="n">
        <f aca="false">P542-X542</f>
        <v>25785.423388828</v>
      </c>
      <c r="Z542" s="15" t="n">
        <f aca="false">R542-T542+IF(AND(Parametri_v3!$C$40=1,D542-YEAR(Parametri_v3!$C$50)&lt;Parametri_v3!$C$41),MAX(0,-Q542),0)</f>
        <v>0</v>
      </c>
      <c r="AA542" s="15" t="n">
        <f aca="false">S542-U542+IF(AND(Parametri_v3!$C$40=1,D542-YEAR(Parametri_v3!$C$50)&lt;Parametri_v3!$C$41),0,MAX(0,-Q542))</f>
        <v>0</v>
      </c>
      <c r="AB542" s="15" t="n">
        <f aca="false">F542*(1+Parametri_v3!$C$26)</f>
        <v>141469.166666667</v>
      </c>
      <c r="AC542" s="15" t="n">
        <f aca="false">(IF(58-(INT((Motore_Operativo!L542)/30))&lt;1,0,INDEX(Motore_Advisory!$AB$485:$AB$544,MAX(1,58-(INT((Motore_Operativo!L542)/30)))))*(1-(MOD((Motore_Operativo!L542),30)/30))+IF(58-(INT((Motore_Operativo!L542)/30))-1&lt;1,0,INDEX(Motore_Advisory!$AB$485:$AB$544,MAX(1,58-(INT((Motore_Operativo!L542)/30))-1)))*(MOD((Motore_Operativo!L542),30)/30))</f>
        <v>141469.166666667</v>
      </c>
      <c r="AD542" s="15" t="n">
        <f aca="false">(AD541)+AB542-AC542</f>
        <v>424407.5</v>
      </c>
      <c r="AE542" s="15" t="n">
        <f aca="false">Motore_Operativo!BH542*(1+Parametri_v3!$C$26)</f>
        <v>14146.9166666667</v>
      </c>
      <c r="AF542" s="15" t="n">
        <f aca="false">(IF(58-(INT((Parametri_v3!$C$29)/30))&lt;1,0,INDEX(Motore_Operativo!$BH$485:$BH$544,MAX(1,58-(INT((Parametri_v3!$C$29)/30)))))*(1-(MOD((Parametri_v3!$C$29),30)/30))+IF(58-(INT((Parametri_v3!$C$29)/30))-1&lt;1,0,INDEX(Motore_Operativo!$BH$485:$BH$544,MAX(1,58-(INT((Parametri_v3!$C$29)/30))-1)))*(MOD((Parametri_v3!$C$29),30)/30))*(1+Parametri_v3!$C$26)</f>
        <v>14146.9166666667</v>
      </c>
      <c r="AG542" s="15" t="n">
        <f aca="false">(AG541)+AE542-AF542</f>
        <v>14146.9166666667</v>
      </c>
      <c r="AH542" s="15" t="n">
        <f aca="false">(Motore_Operativo!CK542)*(1+Parametri_v3!$C$28*Parametri_v3!$C$26)</f>
        <v>27831.02</v>
      </c>
      <c r="AI542" s="15" t="n">
        <f aca="false">(IF(58-(INT((Ipotesi!$C$91)/30))&lt;1,0,INDEX(Motore_Advisory!$AH$485:$AH$544,MAX(1,58-(INT((Ipotesi!$C$91)/30)))))*(1-(MOD((Ipotesi!$C$91),30)/30))+IF(58-(INT((Ipotesi!$C$91)/30))-1&lt;1,0,INDEX(Motore_Advisory!$AH$485:$AH$544,MAX(1,58-(INT((Ipotesi!$C$91)/30))-1)))*(MOD((Ipotesi!$C$91),30)/30))</f>
        <v>27831.02</v>
      </c>
      <c r="AJ542" s="15" t="n">
        <f aca="false">(AJ541)+AH542-AI542</f>
        <v>55662.04</v>
      </c>
      <c r="AK542" s="15" t="n">
        <f aca="false">(F542- Motore_Operativo!BH542-(Motore_Operativo!CK542)*Parametri_v3!$C$28-Motore_Operativo!CF542)*Parametri_v3!$C$26</f>
        <v>18647.8966666667</v>
      </c>
      <c r="AL542" s="15" t="n">
        <f aca="false">MAX(0,(AM541))</f>
        <v>18647.8966666667</v>
      </c>
      <c r="AM542" s="15" t="n">
        <f aca="false">(AM541)+AK542-AL542</f>
        <v>18647.8966666667</v>
      </c>
      <c r="AN542" s="15" t="n">
        <f aca="false">SUM(X521:X532)</f>
        <v>91149.8045405</v>
      </c>
      <c r="AO542" s="15" t="n">
        <f aca="false">SUM(AP521:AP532)</f>
        <v>46679.99375</v>
      </c>
      <c r="AP542" s="15" t="n">
        <f aca="false">MAX(0,AN542)*IF(10=Parametri_v3!$C$43,Parametri_v3!$C$45,IF(10=Parametri_v3!$C$44,1-Parametri_v3!$C$45,0))</f>
        <v>0</v>
      </c>
      <c r="AQ542" s="15" t="n">
        <f aca="false">MAX(0,AP542+IF(10=Parametri_v3!$C$43,MAX(0,AN542-AO542),0)-MAX(0,-(AR541)))</f>
        <v>0</v>
      </c>
      <c r="AR542" s="15" t="n">
        <f aca="false">(AR541)+X542-AQ542</f>
        <v>63407.198076075</v>
      </c>
      <c r="AS542" s="15" t="n">
        <f aca="false">Motore_Operativo!AC542-AT542+AU542</f>
        <v>42145.6153144583</v>
      </c>
      <c r="AT542" s="15" t="n">
        <f aca="false">Motore_Operativo!CI542</f>
        <v>2218.19027970833</v>
      </c>
      <c r="AU542" s="15" t="n">
        <f aca="false">MIN(MAX(0,(AV541)+AT542),Parametri_v3!$C$61/12)</f>
        <v>0</v>
      </c>
      <c r="AV542" s="15" t="n">
        <f aca="false">(AV541)+AT542-AU542</f>
        <v>70458.7443220833</v>
      </c>
      <c r="AW542" s="15" t="n">
        <f aca="false">IF(AND(Motore_Operativo!C542=Finanziamenti!$D$7,Finanziamenti!$F$7=1),Finanziamenti!$C$7,0)</f>
        <v>0</v>
      </c>
      <c r="AX542" s="15" t="n">
        <f aca="false">0</f>
        <v>0</v>
      </c>
      <c r="AY542" s="15" t="n">
        <f aca="false">IF(10=Parametri_v3!$C$33,IF(BV542&lt;MIN(12,$B542-1),0,MIN(MAX(0,SUM(Y521:Y532))*Ipotesi!$C$94,MAX(0,(BM532)-(BO541)-BP542),MAX(0,BD542-Parametri_v3!$C$31))),0)</f>
        <v>0</v>
      </c>
      <c r="AZ542" s="15" t="n">
        <f aca="false">0</f>
        <v>0</v>
      </c>
      <c r="BA542" s="15" t="n">
        <f aca="false">0</f>
        <v>0</v>
      </c>
      <c r="BB542" s="15" t="n">
        <f aca="false">0</f>
        <v>0</v>
      </c>
      <c r="BC542" s="15" t="n">
        <f aca="false">0</f>
        <v>0</v>
      </c>
      <c r="BD542" s="15" t="n">
        <f aca="false">(BH541)+AC542-AF542-AI542-AS542-K542*(1+Parametri_v3!$C$26)-AL542-AQ542-O542+AW542+AX542+AZ542+BA542-BB542</f>
        <v>320817.908921294</v>
      </c>
      <c r="BE542" s="15" t="n">
        <f aca="false">0</f>
        <v>0</v>
      </c>
      <c r="BF542" s="15" t="n">
        <f aca="false">0</f>
        <v>0</v>
      </c>
      <c r="BG542" s="15" t="n">
        <f aca="false">0</f>
        <v>0</v>
      </c>
      <c r="BH542" s="15" t="n">
        <f aca="false">BD542+BE542-BF542-AY542</f>
        <v>320817.908921294</v>
      </c>
      <c r="BI542" s="15" t="n">
        <f aca="false">MAX(0,Parametri_v3!$C$31-BH542)</f>
        <v>0</v>
      </c>
      <c r="BJ542" s="15" t="n">
        <f aca="false">(BJ541)+K542</f>
        <v>27666.6666666667</v>
      </c>
      <c r="BK542" s="15" t="n">
        <f aca="false">(BK541)+L542</f>
        <v>16631.9444444444</v>
      </c>
      <c r="BL542" s="15" t="n">
        <f aca="false">BJ542-BK542</f>
        <v>11034.7222222222</v>
      </c>
      <c r="BM542" s="15" t="n">
        <f aca="false">(BM541)+Y542</f>
        <v>692029.243238996</v>
      </c>
      <c r="BN542" s="15" t="n">
        <f aca="false">(BN541)+AW542+AX542+AZ542</f>
        <v>20000</v>
      </c>
      <c r="BO542" s="15" t="n">
        <f aca="false">(BO541)+AY542</f>
        <v>178091.907826972</v>
      </c>
      <c r="BP542" s="15" t="n">
        <f aca="false">MIN(Parametri_v3!$C$36*Parametri_v3!$C$35,(BP541)+IF(10=1,MAX(0,SUM(Y521:Y532))*Parametri_v3!$C$34,0))</f>
        <v>2000</v>
      </c>
      <c r="BQ542" s="15" t="n">
        <f aca="false">BN542+BM542-BO542</f>
        <v>533937.335412024</v>
      </c>
      <c r="BR542" s="15" t="n">
        <f aca="false">BH542+AD542+BL542+MAX(0,-AM542)+MAX(0,-AR542)</f>
        <v>756260.131143516</v>
      </c>
      <c r="BS542" s="15" t="n">
        <f aca="false">AJ542+AV542+MAX(0,AM542)+MAX(0,AR542)+BC542+BG542+BQ542+AG542</f>
        <v>756260.131143516</v>
      </c>
      <c r="BT542" s="15" t="n">
        <f aca="false">BR542-BS542</f>
        <v>0</v>
      </c>
      <c r="BU542" s="15" t="n">
        <f aca="false">BH542-(BD542+BE542-BF542-AY542)</f>
        <v>0</v>
      </c>
      <c r="BV542" s="15" t="n">
        <f aca="false">IF(BH541&lt;Parametri_v3!$C$31,0,BV541+1)</f>
        <v>29</v>
      </c>
    </row>
    <row r="543" customFormat="false" ht="18" hidden="false" customHeight="true" outlineLevel="0" collapsed="false">
      <c r="A543" s="68" t="n">
        <f aca="false">9</f>
        <v>9</v>
      </c>
      <c r="B543" s="68" t="n">
        <f aca="false">59</f>
        <v>59</v>
      </c>
      <c r="C543" s="18" t="n">
        <f aca="false">Motore_Operativo!C543</f>
        <v>48153</v>
      </c>
      <c r="D543" s="68" t="n">
        <f aca="false">Motore_Operativo!D543</f>
        <v>2031</v>
      </c>
      <c r="E543" s="68" t="n">
        <f aca="false">Motore_Operativo!E543</f>
        <v>11</v>
      </c>
      <c r="F543" s="15" t="n">
        <f aca="false">Motore_Operativo!AM543</f>
        <v>115958.333333333</v>
      </c>
      <c r="G543" s="15" t="n">
        <f aca="false">Motore_Operativo!BH543</f>
        <v>11595.8333333333</v>
      </c>
      <c r="H543" s="15" t="n">
        <f aca="false">Motore_Operativo!AM543</f>
        <v>115958.333333333</v>
      </c>
      <c r="I543" s="15" t="n">
        <f aca="false">Motore_Operativo!CB543</f>
        <v>79625.4722608333</v>
      </c>
      <c r="J543" s="15" t="n">
        <f aca="false">Motore_Operativo!CD543</f>
        <v>36332.8610725</v>
      </c>
      <c r="K543" s="15" t="n">
        <f aca="false">Motore_Operativo!CF543</f>
        <v>666.666666666667</v>
      </c>
      <c r="L543" s="15" t="n">
        <f aca="false">SUM(INDEX($K$485:$K$544,MAX(1,59-Parametri_v3!$C$59+1)):K543)/Parametri_v3!$C$59</f>
        <v>576.388888888889</v>
      </c>
      <c r="M543" s="15" t="n">
        <f aca="false">J543-L543</f>
        <v>35756.4721836111</v>
      </c>
      <c r="N543" s="15" t="n">
        <f aca="false">0</f>
        <v>0</v>
      </c>
      <c r="O543" s="15" t="n">
        <f aca="false">0</f>
        <v>0</v>
      </c>
      <c r="P543" s="15" t="n">
        <f aca="false">M543+N543-O543</f>
        <v>35756.4721836111</v>
      </c>
      <c r="Q543" s="15" t="n">
        <f aca="false">SUM(P533:P543)+Parametri_v3!$C$56*11/12</f>
        <v>393703.138464167</v>
      </c>
      <c r="R543" s="15" t="n">
        <f aca="false">Z532</f>
        <v>0</v>
      </c>
      <c r="S543" s="15" t="n">
        <f aca="false">AA532</f>
        <v>0</v>
      </c>
      <c r="T543" s="15" t="n">
        <f aca="false">MIN(R543,MAX(0,Q543))</f>
        <v>0</v>
      </c>
      <c r="U543" s="15" t="n">
        <f aca="false">MIN(S543,MAX(0,Q543-T543)*Parametri_v3!$C$42)</f>
        <v>0</v>
      </c>
      <c r="V543" s="15" t="n">
        <f aca="false">MAX(0,Q543-T543-U543)*Ipotesi!$C$92</f>
        <v>94488.7532314</v>
      </c>
      <c r="W543" s="15" t="n">
        <f aca="false">MAX(0,SUM(M533:M543)+Parametri_v3!$C$57*11/12)*Ipotesi!$C$93</f>
        <v>15354.4224001025</v>
      </c>
      <c r="X543" s="15" t="n">
        <f aca="false">V543+W543-(V542+W542)</f>
        <v>9976.05573922749</v>
      </c>
      <c r="Y543" s="15" t="n">
        <f aca="false">P543-X543</f>
        <v>25780.4164443836</v>
      </c>
      <c r="Z543" s="15" t="n">
        <f aca="false">R543-T543+IF(AND(Parametri_v3!$C$40=1,D543-YEAR(Parametri_v3!$C$50)&lt;Parametri_v3!$C$41),MAX(0,-Q543),0)</f>
        <v>0</v>
      </c>
      <c r="AA543" s="15" t="n">
        <f aca="false">S543-U543+IF(AND(Parametri_v3!$C$40=1,D543-YEAR(Parametri_v3!$C$50)&lt;Parametri_v3!$C$41),0,MAX(0,-Q543))</f>
        <v>0</v>
      </c>
      <c r="AB543" s="15" t="n">
        <f aca="false">F543*(1+Parametri_v3!$C$26)</f>
        <v>141469.166666667</v>
      </c>
      <c r="AC543" s="15" t="n">
        <f aca="false">(IF(59-(INT((Motore_Operativo!L543)/30))&lt;1,0,INDEX(Motore_Advisory!$AB$485:$AB$544,MAX(1,59-(INT((Motore_Operativo!L543)/30)))))*(1-(MOD((Motore_Operativo!L543),30)/30))+IF(59-(INT((Motore_Operativo!L543)/30))-1&lt;1,0,INDEX(Motore_Advisory!$AB$485:$AB$544,MAX(1,59-(INT((Motore_Operativo!L543)/30))-1)))*(MOD((Motore_Operativo!L543),30)/30))</f>
        <v>141469.166666667</v>
      </c>
      <c r="AD543" s="15" t="n">
        <f aca="false">(AD542)+AB543-AC543</f>
        <v>424407.5</v>
      </c>
      <c r="AE543" s="15" t="n">
        <f aca="false">Motore_Operativo!BH543*(1+Parametri_v3!$C$26)</f>
        <v>14146.9166666667</v>
      </c>
      <c r="AF543" s="15" t="n">
        <f aca="false">(IF(59-(INT((Parametri_v3!$C$29)/30))&lt;1,0,INDEX(Motore_Operativo!$BH$485:$BH$544,MAX(1,59-(INT((Parametri_v3!$C$29)/30)))))*(1-(MOD((Parametri_v3!$C$29),30)/30))+IF(59-(INT((Parametri_v3!$C$29)/30))-1&lt;1,0,INDEX(Motore_Operativo!$BH$485:$BH$544,MAX(1,59-(INT((Parametri_v3!$C$29)/30))-1)))*(MOD((Parametri_v3!$C$29),30)/30))*(1+Parametri_v3!$C$26)</f>
        <v>14146.9166666667</v>
      </c>
      <c r="AG543" s="15" t="n">
        <f aca="false">(AG542)+AE543-AF543</f>
        <v>14146.9166666667</v>
      </c>
      <c r="AH543" s="15" t="n">
        <f aca="false">(Motore_Operativo!CK543)*(1+Parametri_v3!$C$28*Parametri_v3!$C$26)</f>
        <v>27831.02</v>
      </c>
      <c r="AI543" s="15" t="n">
        <f aca="false">(IF(59-(INT((Ipotesi!$C$91)/30))&lt;1,0,INDEX(Motore_Advisory!$AH$485:$AH$544,MAX(1,59-(INT((Ipotesi!$C$91)/30)))))*(1-(MOD((Ipotesi!$C$91),30)/30))+IF(59-(INT((Ipotesi!$C$91)/30))-1&lt;1,0,INDEX(Motore_Advisory!$AH$485:$AH$544,MAX(1,59-(INT((Ipotesi!$C$91)/30))-1)))*(MOD((Ipotesi!$C$91),30)/30))</f>
        <v>27831.02</v>
      </c>
      <c r="AJ543" s="15" t="n">
        <f aca="false">(AJ542)+AH543-AI543</f>
        <v>55662.04</v>
      </c>
      <c r="AK543" s="15" t="n">
        <f aca="false">(F543- Motore_Operativo!BH543-(Motore_Operativo!CK543)*Parametri_v3!$C$28-Motore_Operativo!CF543)*Parametri_v3!$C$26</f>
        <v>18647.8966666667</v>
      </c>
      <c r="AL543" s="15" t="n">
        <f aca="false">MAX(0,(AM542))</f>
        <v>18647.8966666667</v>
      </c>
      <c r="AM543" s="15" t="n">
        <f aca="false">(AM542)+AK543-AL543</f>
        <v>18647.8966666667</v>
      </c>
      <c r="AN543" s="15" t="n">
        <f aca="false">SUM(X521:X532)</f>
        <v>91149.8045405</v>
      </c>
      <c r="AO543" s="15" t="n">
        <f aca="false">SUM(AP521:AP532)</f>
        <v>46679.99375</v>
      </c>
      <c r="AP543" s="15" t="n">
        <f aca="false">MAX(0,AN543)*IF(11=Parametri_v3!$C$43,Parametri_v3!$C$45,IF(11=Parametri_v3!$C$44,1-Parametri_v3!$C$45,0))</f>
        <v>54689.8827243</v>
      </c>
      <c r="AQ543" s="15" t="n">
        <f aca="false">MAX(0,AP543+IF(11=Parametri_v3!$C$43,MAX(0,AN543-AO543),0)-MAX(0,-(AR542)))</f>
        <v>54689.8827243</v>
      </c>
      <c r="AR543" s="15" t="n">
        <f aca="false">(AR542)+X543-AQ543</f>
        <v>18693.3710910025</v>
      </c>
      <c r="AS543" s="15" t="n">
        <f aca="false">Motore_Operativo!AC543-AT543+AU543</f>
        <v>42145.6153144583</v>
      </c>
      <c r="AT543" s="15" t="n">
        <f aca="false">Motore_Operativo!CI543</f>
        <v>2218.19027970833</v>
      </c>
      <c r="AU543" s="15" t="n">
        <f aca="false">MIN(MAX(0,(AV542)+AT543),Parametri_v3!$C$61/12)</f>
        <v>0</v>
      </c>
      <c r="AV543" s="15" t="n">
        <f aca="false">(AV542)+AT543-AU543</f>
        <v>72676.9346017917</v>
      </c>
      <c r="AW543" s="15" t="n">
        <f aca="false">IF(AND(Motore_Operativo!C543=Finanziamenti!$D$7,Finanziamenti!$F$7=1),Finanziamenti!$C$7,0)</f>
        <v>0</v>
      </c>
      <c r="AX543" s="15" t="n">
        <f aca="false">0</f>
        <v>0</v>
      </c>
      <c r="AY543" s="15" t="n">
        <f aca="false">IF(11=Parametri_v3!$C$33,IF(BV543&lt;MIN(12,$B543-1),0,MIN(MAX(0,SUM(Y521:Y532))*Ipotesi!$C$94,MAX(0,(BM532)-(BO542)-BP543),MAX(0,BD543-Parametri_v3!$C$31))),0)</f>
        <v>0</v>
      </c>
      <c r="AZ543" s="15" t="n">
        <f aca="false">0</f>
        <v>0</v>
      </c>
      <c r="BA543" s="15" t="n">
        <f aca="false">0</f>
        <v>0</v>
      </c>
      <c r="BB543" s="15" t="n">
        <f aca="false">0</f>
        <v>0</v>
      </c>
      <c r="BC543" s="15" t="n">
        <f aca="false">0</f>
        <v>0</v>
      </c>
      <c r="BD543" s="15" t="n">
        <f aca="false">(BH542)+AC543-AF543-AI543-AS543-K543*(1+Parametri_v3!$C$26)-AL543-AQ543-O543+AW543+AX543+AZ543+BA543-BB543</f>
        <v>304012.410882535</v>
      </c>
      <c r="BE543" s="15" t="n">
        <f aca="false">0</f>
        <v>0</v>
      </c>
      <c r="BF543" s="15" t="n">
        <f aca="false">0</f>
        <v>0</v>
      </c>
      <c r="BG543" s="15" t="n">
        <f aca="false">0</f>
        <v>0</v>
      </c>
      <c r="BH543" s="15" t="n">
        <f aca="false">BD543+BE543-BF543-AY543</f>
        <v>304012.410882535</v>
      </c>
      <c r="BI543" s="15" t="n">
        <f aca="false">MAX(0,Parametri_v3!$C$31-BH543)</f>
        <v>0</v>
      </c>
      <c r="BJ543" s="15" t="n">
        <f aca="false">(BJ542)+K543</f>
        <v>28333.3333333333</v>
      </c>
      <c r="BK543" s="15" t="n">
        <f aca="false">(BK542)+L543</f>
        <v>17208.3333333333</v>
      </c>
      <c r="BL543" s="15" t="n">
        <f aca="false">BJ543-BK543</f>
        <v>11125</v>
      </c>
      <c r="BM543" s="15" t="n">
        <f aca="false">(BM542)+Y543</f>
        <v>717809.65968338</v>
      </c>
      <c r="BN543" s="15" t="n">
        <f aca="false">(BN542)+AW543+AX543+AZ543</f>
        <v>20000</v>
      </c>
      <c r="BO543" s="15" t="n">
        <f aca="false">(BO542)+AY543</f>
        <v>178091.907826972</v>
      </c>
      <c r="BP543" s="15" t="n">
        <f aca="false">MIN(Parametri_v3!$C$36*Parametri_v3!$C$35,(BP542)+IF(11=1,MAX(0,SUM(Y521:Y532))*Parametri_v3!$C$34,0))</f>
        <v>2000</v>
      </c>
      <c r="BQ543" s="15" t="n">
        <f aca="false">BN543+BM543-BO543</f>
        <v>559717.751856408</v>
      </c>
      <c r="BR543" s="15" t="n">
        <f aca="false">BH543+AD543+BL543+MAX(0,-AM543)+MAX(0,-AR543)</f>
        <v>739544.910882535</v>
      </c>
      <c r="BS543" s="15" t="n">
        <f aca="false">AJ543+AV543+MAX(0,AM543)+MAX(0,AR543)+BC543+BG543+BQ543+AG543</f>
        <v>739544.910882535</v>
      </c>
      <c r="BT543" s="15" t="n">
        <f aca="false">BR543-BS543</f>
        <v>0</v>
      </c>
      <c r="BU543" s="15" t="n">
        <f aca="false">BH543-(BD543+BE543-BF543-AY543)</f>
        <v>0</v>
      </c>
      <c r="BV543" s="15" t="n">
        <f aca="false">IF(BH542&lt;Parametri_v3!$C$31,0,BV542+1)</f>
        <v>30</v>
      </c>
    </row>
    <row r="544" customFormat="false" ht="18" hidden="false" customHeight="true" outlineLevel="0" collapsed="false">
      <c r="A544" s="68" t="n">
        <f aca="false">9</f>
        <v>9</v>
      </c>
      <c r="B544" s="68" t="n">
        <f aca="false">60</f>
        <v>60</v>
      </c>
      <c r="C544" s="18" t="n">
        <f aca="false">Motore_Operativo!C544</f>
        <v>48183</v>
      </c>
      <c r="D544" s="68" t="n">
        <f aca="false">Motore_Operativo!D544</f>
        <v>2031</v>
      </c>
      <c r="E544" s="68" t="n">
        <f aca="false">Motore_Operativo!E544</f>
        <v>12</v>
      </c>
      <c r="F544" s="15" t="n">
        <f aca="false">Motore_Operativo!AM544</f>
        <v>115958.333333333</v>
      </c>
      <c r="G544" s="15" t="n">
        <f aca="false">Motore_Operativo!BH544</f>
        <v>11595.8333333333</v>
      </c>
      <c r="H544" s="15" t="n">
        <f aca="false">Motore_Operativo!AM544</f>
        <v>115958.333333333</v>
      </c>
      <c r="I544" s="15" t="n">
        <f aca="false">Motore_Operativo!CB544</f>
        <v>79625.4722608333</v>
      </c>
      <c r="J544" s="15" t="n">
        <f aca="false">Motore_Operativo!CD544</f>
        <v>36332.8610725</v>
      </c>
      <c r="K544" s="15" t="n">
        <f aca="false">Motore_Operativo!CF544</f>
        <v>666.666666666667</v>
      </c>
      <c r="L544" s="15" t="n">
        <f aca="false">SUM(INDEX($K$485:$K$544,MAX(1,60-Parametri_v3!$C$59+1)):K544)/Parametri_v3!$C$59</f>
        <v>583.333333333333</v>
      </c>
      <c r="M544" s="15" t="n">
        <f aca="false">J544-L544</f>
        <v>35749.5277391667</v>
      </c>
      <c r="N544" s="15" t="n">
        <f aca="false">0</f>
        <v>0</v>
      </c>
      <c r="O544" s="15" t="n">
        <f aca="false">0</f>
        <v>0</v>
      </c>
      <c r="P544" s="15" t="n">
        <f aca="false">M544+N544-O544</f>
        <v>35749.5277391667</v>
      </c>
      <c r="Q544" s="15" t="n">
        <f aca="false">SUM(P533:P544)+Parametri_v3!$C$56*12/12</f>
        <v>429452.666203333</v>
      </c>
      <c r="R544" s="15" t="n">
        <f aca="false">Z532</f>
        <v>0</v>
      </c>
      <c r="S544" s="15" t="n">
        <f aca="false">AA532</f>
        <v>0</v>
      </c>
      <c r="T544" s="15" t="n">
        <f aca="false">MIN(R544,MAX(0,Q544))</f>
        <v>0</v>
      </c>
      <c r="U544" s="15" t="n">
        <f aca="false">MIN(S544,MAX(0,Q544-T544)*Parametri_v3!$C$42)</f>
        <v>0</v>
      </c>
      <c r="V544" s="15" t="n">
        <f aca="false">MAX(0,Q544-T544-U544)*Ipotesi!$C$92</f>
        <v>103068.6398888</v>
      </c>
      <c r="W544" s="15" t="n">
        <f aca="false">MAX(0,SUM(M533:M544)+Parametri_v3!$C$57*12/12)*Ipotesi!$C$93</f>
        <v>16748.65398193</v>
      </c>
      <c r="X544" s="15" t="n">
        <f aca="false">V544+W544-(V543+W543)</f>
        <v>9974.11823922749</v>
      </c>
      <c r="Y544" s="15" t="n">
        <f aca="false">P544-X544</f>
        <v>25775.4094999392</v>
      </c>
      <c r="Z544" s="15" t="n">
        <f aca="false">R544-T544+IF(AND(Parametri_v3!$C$40=1,D544-YEAR(Parametri_v3!$C$50)&lt;Parametri_v3!$C$41),MAX(0,-Q544),0)</f>
        <v>0</v>
      </c>
      <c r="AA544" s="15" t="n">
        <f aca="false">S544-U544+IF(AND(Parametri_v3!$C$40=1,D544-YEAR(Parametri_v3!$C$50)&lt;Parametri_v3!$C$41),0,MAX(0,-Q544))</f>
        <v>0</v>
      </c>
      <c r="AB544" s="15" t="n">
        <f aca="false">F544*(1+Parametri_v3!$C$26)</f>
        <v>141469.166666667</v>
      </c>
      <c r="AC544" s="15" t="n">
        <f aca="false">(IF(60-(INT((Motore_Operativo!L544)/30))&lt;1,0,INDEX(Motore_Advisory!$AB$485:$AB$544,MAX(1,60-(INT((Motore_Operativo!L544)/30)))))*(1-(MOD((Motore_Operativo!L544),30)/30))+IF(60-(INT((Motore_Operativo!L544)/30))-1&lt;1,0,INDEX(Motore_Advisory!$AB$485:$AB$544,MAX(1,60-(INT((Motore_Operativo!L544)/30))-1)))*(MOD((Motore_Operativo!L544),30)/30))</f>
        <v>141469.166666667</v>
      </c>
      <c r="AD544" s="15" t="n">
        <f aca="false">(AD543)+AB544-AC544</f>
        <v>424407.5</v>
      </c>
      <c r="AE544" s="15" t="n">
        <f aca="false">Motore_Operativo!BH544*(1+Parametri_v3!$C$26)</f>
        <v>14146.9166666667</v>
      </c>
      <c r="AF544" s="15" t="n">
        <f aca="false">(IF(60-(INT((Parametri_v3!$C$29)/30))&lt;1,0,INDEX(Motore_Operativo!$BH$485:$BH$544,MAX(1,60-(INT((Parametri_v3!$C$29)/30)))))*(1-(MOD((Parametri_v3!$C$29),30)/30))+IF(60-(INT((Parametri_v3!$C$29)/30))-1&lt;1,0,INDEX(Motore_Operativo!$BH$485:$BH$544,MAX(1,60-(INT((Parametri_v3!$C$29)/30))-1)))*(MOD((Parametri_v3!$C$29),30)/30))*(1+Parametri_v3!$C$26)</f>
        <v>14146.9166666667</v>
      </c>
      <c r="AG544" s="15" t="n">
        <f aca="false">(AG543)+AE544-AF544</f>
        <v>14146.9166666667</v>
      </c>
      <c r="AH544" s="15" t="n">
        <f aca="false">(Motore_Operativo!CK544)*(1+Parametri_v3!$C$28*Parametri_v3!$C$26)</f>
        <v>27831.02</v>
      </c>
      <c r="AI544" s="15" t="n">
        <f aca="false">(IF(60-(INT((Ipotesi!$C$91)/30))&lt;1,0,INDEX(Motore_Advisory!$AH$485:$AH$544,MAX(1,60-(INT((Ipotesi!$C$91)/30)))))*(1-(MOD((Ipotesi!$C$91),30)/30))+IF(60-(INT((Ipotesi!$C$91)/30))-1&lt;1,0,INDEX(Motore_Advisory!$AH$485:$AH$544,MAX(1,60-(INT((Ipotesi!$C$91)/30))-1)))*(MOD((Ipotesi!$C$91),30)/30))</f>
        <v>27831.02</v>
      </c>
      <c r="AJ544" s="15" t="n">
        <f aca="false">(AJ543)+AH544-AI544</f>
        <v>55662.04</v>
      </c>
      <c r="AK544" s="15" t="n">
        <f aca="false">(F544- Motore_Operativo!BH544-(Motore_Operativo!CK544)*Parametri_v3!$C$28-Motore_Operativo!CF544)*Parametri_v3!$C$26</f>
        <v>18647.8966666667</v>
      </c>
      <c r="AL544" s="15" t="n">
        <f aca="false">MAX(0,(AM543))</f>
        <v>18647.8966666667</v>
      </c>
      <c r="AM544" s="15" t="n">
        <f aca="false">(AM543)+AK544-AL544</f>
        <v>18647.8966666667</v>
      </c>
      <c r="AN544" s="15" t="n">
        <f aca="false">SUM(X521:X532)</f>
        <v>91149.8045405</v>
      </c>
      <c r="AO544" s="15" t="n">
        <f aca="false">SUM(AP521:AP532)</f>
        <v>46679.99375</v>
      </c>
      <c r="AP544" s="15" t="n">
        <f aca="false">MAX(0,AN544)*IF(12=Parametri_v3!$C$43,Parametri_v3!$C$45,IF(12=Parametri_v3!$C$44,1-Parametri_v3!$C$45,0))</f>
        <v>0</v>
      </c>
      <c r="AQ544" s="15" t="n">
        <f aca="false">MAX(0,AP544+IF(12=Parametri_v3!$C$43,MAX(0,AN544-AO544),0)-MAX(0,-(AR543)))</f>
        <v>0</v>
      </c>
      <c r="AR544" s="15" t="n">
        <f aca="false">(AR543)+X544-AQ544</f>
        <v>28667.48933023</v>
      </c>
      <c r="AS544" s="15" t="n">
        <f aca="false">Motore_Operativo!AC544-AT544+AU544</f>
        <v>42145.6153144583</v>
      </c>
      <c r="AT544" s="15" t="n">
        <f aca="false">Motore_Operativo!CI544</f>
        <v>2218.19027970833</v>
      </c>
      <c r="AU544" s="15" t="n">
        <f aca="false">MIN(MAX(0,(AV543)+AT544),Parametri_v3!$C$61/12)</f>
        <v>0</v>
      </c>
      <c r="AV544" s="15" t="n">
        <f aca="false">(AV543)+AT544-AU544</f>
        <v>74895.1248815</v>
      </c>
      <c r="AW544" s="15" t="n">
        <f aca="false">IF(AND(Motore_Operativo!C544=Finanziamenti!$D$7,Finanziamenti!$F$7=1),Finanziamenti!$C$7,0)</f>
        <v>0</v>
      </c>
      <c r="AX544" s="15" t="n">
        <f aca="false">0</f>
        <v>0</v>
      </c>
      <c r="AY544" s="15" t="n">
        <f aca="false">IF(12=Parametri_v3!$C$33,IF(BV544&lt;MIN(12,$B544-1),0,MIN(MAX(0,SUM(Y521:Y532))*Ipotesi!$C$94,MAX(0,(BM532)-(BO543)-BP544),MAX(0,BD544-Parametri_v3!$C$31))),0)</f>
        <v>0</v>
      </c>
      <c r="AZ544" s="15" t="n">
        <f aca="false">0</f>
        <v>0</v>
      </c>
      <c r="BA544" s="15" t="n">
        <f aca="false">0</f>
        <v>0</v>
      </c>
      <c r="BB544" s="15" t="n">
        <f aca="false">0</f>
        <v>0</v>
      </c>
      <c r="BC544" s="15" t="n">
        <f aca="false">0</f>
        <v>0</v>
      </c>
      <c r="BD544" s="15" t="n">
        <f aca="false">(BH543)+AC544-AF544-AI544-AS544-K544*(1+Parametri_v3!$C$26)-AL544-AQ544-O544+AW544+AX544+AZ544+BA544-BB544</f>
        <v>341896.795568077</v>
      </c>
      <c r="BE544" s="15" t="n">
        <f aca="false">0</f>
        <v>0</v>
      </c>
      <c r="BF544" s="15" t="n">
        <f aca="false">0</f>
        <v>0</v>
      </c>
      <c r="BG544" s="15" t="n">
        <f aca="false">0</f>
        <v>0</v>
      </c>
      <c r="BH544" s="15" t="n">
        <f aca="false">BD544+BE544-BF544-AY544</f>
        <v>341896.795568077</v>
      </c>
      <c r="BI544" s="15" t="n">
        <f aca="false">MAX(0,Parametri_v3!$C$31-BH544)</f>
        <v>0</v>
      </c>
      <c r="BJ544" s="15" t="n">
        <f aca="false">(BJ543)+K544</f>
        <v>29000</v>
      </c>
      <c r="BK544" s="15" t="n">
        <f aca="false">(BK543)+L544</f>
        <v>17791.6666666667</v>
      </c>
      <c r="BL544" s="15" t="n">
        <f aca="false">BJ544-BK544</f>
        <v>11208.3333333334</v>
      </c>
      <c r="BM544" s="15" t="n">
        <f aca="false">(BM543)+Y544</f>
        <v>743585.069183319</v>
      </c>
      <c r="BN544" s="15" t="n">
        <f aca="false">(BN543)+AW544+AX544+AZ544</f>
        <v>20000</v>
      </c>
      <c r="BO544" s="15" t="n">
        <f aca="false">(BO543)+AY544</f>
        <v>178091.907826972</v>
      </c>
      <c r="BP544" s="15" t="n">
        <f aca="false">MIN(Parametri_v3!$C$36*Parametri_v3!$C$35,(BP543)+IF(12=1,MAX(0,SUM(Y521:Y532))*Parametri_v3!$C$34,0))</f>
        <v>2000</v>
      </c>
      <c r="BQ544" s="15" t="n">
        <f aca="false">BN544+BM544-BO544</f>
        <v>585493.161356347</v>
      </c>
      <c r="BR544" s="15" t="n">
        <f aca="false">BH544+AD544+BL544+MAX(0,-AM544)+MAX(0,-AR544)</f>
        <v>777512.628901411</v>
      </c>
      <c r="BS544" s="15" t="n">
        <f aca="false">AJ544+AV544+MAX(0,AM544)+MAX(0,AR544)+BC544+BG544+BQ544+AG544</f>
        <v>777512.62890141</v>
      </c>
      <c r="BT544" s="15" t="n">
        <f aca="false">BR544-BS544</f>
        <v>0</v>
      </c>
      <c r="BU544" s="15" t="n">
        <f aca="false">BH544-(BD544+BE544-BF544-AY544)</f>
        <v>0</v>
      </c>
      <c r="BV544" s="15" t="n">
        <f aca="false">IF(BH543&lt;Parametri_v3!$C$31,0,BV543+1)</f>
        <v>31</v>
      </c>
    </row>
  </sheetData>
  <autoFilter ref="A4:BU544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&amp;CLexShield v3 | Proiezioni condizionate, non bilanci certificati&amp;RPagina &amp;P / &amp;N</oddFooter>
  </headerFooter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7"/>
    <col collapsed="false" customWidth="true" hidden="false" outlineLevel="0" max="3" min="3" style="1" width="95"/>
  </cols>
  <sheetData>
    <row r="1" customFormat="false" ht="30" hidden="false" customHeight="true" outlineLevel="0" collapsed="false">
      <c r="A1" s="5" t="s">
        <v>878</v>
      </c>
      <c r="B1" s="5"/>
      <c r="C1" s="5"/>
    </row>
    <row r="2" customFormat="false" ht="30" hidden="false" customHeight="true" outlineLevel="0" collapsed="false">
      <c r="A2" s="6" t="s">
        <v>879</v>
      </c>
      <c r="B2" s="6"/>
      <c r="C2" s="6"/>
    </row>
    <row r="3" customFormat="false" ht="30" hidden="false" customHeight="true" outlineLevel="0" collapsed="false">
      <c r="A3" s="6" t="s">
        <v>880</v>
      </c>
      <c r="B3" s="6"/>
      <c r="C3" s="6"/>
    </row>
    <row r="4" customFormat="false" ht="30" hidden="false" customHeight="true" outlineLevel="0" collapsed="false">
      <c r="A4" s="5" t="s">
        <v>881</v>
      </c>
      <c r="B4" s="5" t="s">
        <v>882</v>
      </c>
      <c r="C4" s="5" t="s">
        <v>883</v>
      </c>
    </row>
    <row r="5" customFormat="false" ht="30" hidden="false" customHeight="true" outlineLevel="0" collapsed="false">
      <c r="A5" s="6" t="s">
        <v>884</v>
      </c>
      <c r="B5" s="6" t="s">
        <v>885</v>
      </c>
      <c r="C5" s="6" t="s">
        <v>886</v>
      </c>
    </row>
    <row r="6" customFormat="false" ht="30" hidden="false" customHeight="true" outlineLevel="0" collapsed="false">
      <c r="A6" s="6" t="s">
        <v>887</v>
      </c>
      <c r="B6" s="6" t="s">
        <v>885</v>
      </c>
      <c r="C6" s="6" t="s">
        <v>888</v>
      </c>
    </row>
    <row r="7" customFormat="false" ht="30" hidden="false" customHeight="true" outlineLevel="0" collapsed="false">
      <c r="A7" s="6" t="s">
        <v>889</v>
      </c>
      <c r="B7" s="6" t="s">
        <v>885</v>
      </c>
      <c r="C7" s="6" t="s">
        <v>890</v>
      </c>
    </row>
    <row r="8" customFormat="false" ht="30" hidden="false" customHeight="true" outlineLevel="0" collapsed="false">
      <c r="A8" s="6" t="s">
        <v>891</v>
      </c>
      <c r="B8" s="6" t="s">
        <v>885</v>
      </c>
      <c r="C8" s="6" t="s">
        <v>892</v>
      </c>
    </row>
    <row r="9" customFormat="false" ht="30" hidden="false" customHeight="true" outlineLevel="0" collapsed="false">
      <c r="A9" s="6" t="s">
        <v>893</v>
      </c>
      <c r="B9" s="6" t="s">
        <v>885</v>
      </c>
      <c r="C9" s="6" t="s">
        <v>894</v>
      </c>
    </row>
    <row r="10" customFormat="false" ht="30" hidden="false" customHeight="true" outlineLevel="0" collapsed="false">
      <c r="A10" s="6" t="s">
        <v>895</v>
      </c>
      <c r="B10" s="6" t="s">
        <v>885</v>
      </c>
      <c r="C10" s="6" t="s">
        <v>896</v>
      </c>
    </row>
    <row r="11" customFormat="false" ht="30" hidden="false" customHeight="true" outlineLevel="0" collapsed="false">
      <c r="A11" s="6" t="s">
        <v>897</v>
      </c>
      <c r="B11" s="6" t="s">
        <v>885</v>
      </c>
      <c r="C11" s="6" t="s">
        <v>890</v>
      </c>
    </row>
    <row r="12" customFormat="false" ht="30" hidden="false" customHeight="true" outlineLevel="0" collapsed="false">
      <c r="A12" s="6" t="s">
        <v>898</v>
      </c>
      <c r="B12" s="6" t="s">
        <v>885</v>
      </c>
      <c r="C12" s="6" t="s">
        <v>892</v>
      </c>
    </row>
    <row r="13" customFormat="false" ht="30" hidden="false" customHeight="true" outlineLevel="0" collapsed="false">
      <c r="A13" s="6" t="s">
        <v>899</v>
      </c>
      <c r="B13" s="6" t="s">
        <v>885</v>
      </c>
      <c r="C13" s="6" t="s">
        <v>894</v>
      </c>
    </row>
    <row r="14" customFormat="false" ht="30" hidden="false" customHeight="true" outlineLevel="0" collapsed="false">
      <c r="A14" s="6" t="s">
        <v>900</v>
      </c>
      <c r="B14" s="6" t="s">
        <v>885</v>
      </c>
      <c r="C14" s="6" t="s">
        <v>901</v>
      </c>
    </row>
    <row r="15" customFormat="false" ht="30" hidden="false" customHeight="true" outlineLevel="0" collapsed="false">
      <c r="A15" s="6" t="s">
        <v>902</v>
      </c>
      <c r="B15" s="6" t="s">
        <v>885</v>
      </c>
      <c r="C15" s="6" t="s">
        <v>890</v>
      </c>
    </row>
    <row r="16" customFormat="false" ht="30" hidden="false" customHeight="true" outlineLevel="0" collapsed="false">
      <c r="A16" s="6" t="s">
        <v>903</v>
      </c>
      <c r="B16" s="6" t="s">
        <v>885</v>
      </c>
      <c r="C16" s="6" t="s">
        <v>892</v>
      </c>
    </row>
    <row r="17" customFormat="false" ht="30" hidden="false" customHeight="true" outlineLevel="0" collapsed="false">
      <c r="A17" s="6" t="s">
        <v>904</v>
      </c>
      <c r="B17" s="6" t="s">
        <v>885</v>
      </c>
      <c r="C17" s="6" t="s">
        <v>894</v>
      </c>
    </row>
    <row r="18" customFormat="false" ht="30" hidden="false" customHeight="true" outlineLevel="0" collapsed="false">
      <c r="A18" s="6" t="s">
        <v>905</v>
      </c>
      <c r="B18" s="6" t="s">
        <v>885</v>
      </c>
      <c r="C18" s="6" t="s">
        <v>906</v>
      </c>
    </row>
    <row r="19" customFormat="false" ht="30" hidden="false" customHeight="true" outlineLevel="0" collapsed="false">
      <c r="A19" s="6" t="s">
        <v>907</v>
      </c>
      <c r="B19" s="6" t="s">
        <v>885</v>
      </c>
      <c r="C19" s="6" t="s">
        <v>890</v>
      </c>
    </row>
    <row r="20" customFormat="false" ht="30" hidden="false" customHeight="true" outlineLevel="0" collapsed="false">
      <c r="A20" s="6" t="s">
        <v>908</v>
      </c>
      <c r="B20" s="6" t="s">
        <v>885</v>
      </c>
      <c r="C20" s="6" t="s">
        <v>892</v>
      </c>
    </row>
    <row r="21" customFormat="false" ht="30" hidden="false" customHeight="true" outlineLevel="0" collapsed="false">
      <c r="A21" s="6" t="s">
        <v>909</v>
      </c>
      <c r="B21" s="6" t="s">
        <v>885</v>
      </c>
      <c r="C21" s="6" t="s">
        <v>894</v>
      </c>
    </row>
    <row r="22" customFormat="false" ht="30" hidden="false" customHeight="true" outlineLevel="0" collapsed="false">
      <c r="A22" s="6" t="s">
        <v>910</v>
      </c>
      <c r="B22" s="6" t="s">
        <v>885</v>
      </c>
      <c r="C22" s="6" t="s">
        <v>911</v>
      </c>
    </row>
    <row r="23" customFormat="false" ht="30" hidden="false" customHeight="true" outlineLevel="0" collapsed="false">
      <c r="A23" s="6" t="s">
        <v>912</v>
      </c>
      <c r="B23" s="6" t="s">
        <v>885</v>
      </c>
      <c r="C23" s="6" t="s">
        <v>890</v>
      </c>
    </row>
    <row r="24" customFormat="false" ht="30" hidden="false" customHeight="true" outlineLevel="0" collapsed="false">
      <c r="A24" s="6" t="s">
        <v>913</v>
      </c>
      <c r="B24" s="6" t="s">
        <v>885</v>
      </c>
      <c r="C24" s="6" t="s">
        <v>892</v>
      </c>
    </row>
    <row r="25" customFormat="false" ht="30" hidden="false" customHeight="true" outlineLevel="0" collapsed="false">
      <c r="A25" s="6" t="s">
        <v>914</v>
      </c>
      <c r="B25" s="6" t="s">
        <v>885</v>
      </c>
      <c r="C25" s="6" t="s">
        <v>894</v>
      </c>
    </row>
    <row r="26" customFormat="false" ht="30" hidden="false" customHeight="true" outlineLevel="0" collapsed="false">
      <c r="A26" s="6" t="s">
        <v>915</v>
      </c>
      <c r="B26" s="6" t="s">
        <v>885</v>
      </c>
      <c r="C26" s="6" t="s">
        <v>916</v>
      </c>
    </row>
    <row r="27" customFormat="false" ht="30" hidden="false" customHeight="true" outlineLevel="0" collapsed="false">
      <c r="A27" s="6" t="s">
        <v>917</v>
      </c>
      <c r="B27" s="6" t="s">
        <v>885</v>
      </c>
      <c r="C27" s="6" t="s">
        <v>890</v>
      </c>
    </row>
    <row r="28" customFormat="false" ht="30" hidden="false" customHeight="true" outlineLevel="0" collapsed="false">
      <c r="A28" s="6" t="s">
        <v>918</v>
      </c>
      <c r="B28" s="6" t="s">
        <v>885</v>
      </c>
      <c r="C28" s="6" t="s">
        <v>892</v>
      </c>
    </row>
    <row r="29" customFormat="false" ht="30" hidden="false" customHeight="true" outlineLevel="0" collapsed="false">
      <c r="A29" s="6" t="s">
        <v>919</v>
      </c>
      <c r="B29" s="6" t="s">
        <v>885</v>
      </c>
      <c r="C29" s="6" t="s">
        <v>894</v>
      </c>
    </row>
    <row r="30" customFormat="false" ht="30" hidden="false" customHeight="true" outlineLevel="0" collapsed="false">
      <c r="A30" s="6" t="s">
        <v>920</v>
      </c>
      <c r="B30" s="6" t="s">
        <v>885</v>
      </c>
      <c r="C30" s="6" t="s">
        <v>921</v>
      </c>
    </row>
    <row r="31" customFormat="false" ht="30" hidden="false" customHeight="true" outlineLevel="0" collapsed="false">
      <c r="A31" s="6" t="s">
        <v>922</v>
      </c>
      <c r="B31" s="6" t="s">
        <v>885</v>
      </c>
      <c r="C31" s="6" t="s">
        <v>923</v>
      </c>
    </row>
    <row r="32" customFormat="false" ht="30" hidden="false" customHeight="true" outlineLevel="0" collapsed="false">
      <c r="A32" s="6" t="s">
        <v>924</v>
      </c>
      <c r="B32" s="6" t="s">
        <v>885</v>
      </c>
      <c r="C32" s="6" t="s">
        <v>890</v>
      </c>
    </row>
    <row r="33" customFormat="false" ht="30" hidden="false" customHeight="true" outlineLevel="0" collapsed="false">
      <c r="A33" s="6" t="s">
        <v>925</v>
      </c>
      <c r="B33" s="6" t="s">
        <v>885</v>
      </c>
      <c r="C33" s="6" t="s">
        <v>892</v>
      </c>
    </row>
    <row r="34" customFormat="false" ht="30" hidden="false" customHeight="true" outlineLevel="0" collapsed="false">
      <c r="A34" s="6" t="s">
        <v>926</v>
      </c>
      <c r="B34" s="6" t="s">
        <v>885</v>
      </c>
      <c r="C34" s="6" t="s">
        <v>894</v>
      </c>
    </row>
    <row r="35" customFormat="false" ht="30" hidden="false" customHeight="true" outlineLevel="0" collapsed="false">
      <c r="A35" s="6" t="s">
        <v>927</v>
      </c>
      <c r="B35" s="6" t="s">
        <v>885</v>
      </c>
      <c r="C35" s="6" t="s">
        <v>928</v>
      </c>
    </row>
    <row r="36" customFormat="false" ht="30" hidden="false" customHeight="true" outlineLevel="0" collapsed="false">
      <c r="A36" s="6" t="s">
        <v>929</v>
      </c>
      <c r="B36" s="6" t="s">
        <v>885</v>
      </c>
      <c r="C36" s="6" t="s">
        <v>930</v>
      </c>
    </row>
    <row r="37" customFormat="false" ht="30" hidden="false" customHeight="true" outlineLevel="0" collapsed="false">
      <c r="A37" s="6" t="s">
        <v>931</v>
      </c>
      <c r="B37" s="6" t="s">
        <v>885</v>
      </c>
      <c r="C37" s="6" t="s">
        <v>890</v>
      </c>
    </row>
    <row r="38" customFormat="false" ht="30" hidden="false" customHeight="true" outlineLevel="0" collapsed="false">
      <c r="A38" s="6" t="s">
        <v>932</v>
      </c>
      <c r="B38" s="6" t="s">
        <v>885</v>
      </c>
      <c r="C38" s="6" t="s">
        <v>892</v>
      </c>
    </row>
    <row r="39" customFormat="false" ht="30" hidden="false" customHeight="true" outlineLevel="0" collapsed="false">
      <c r="A39" s="6" t="s">
        <v>933</v>
      </c>
      <c r="B39" s="6" t="s">
        <v>885</v>
      </c>
      <c r="C39" s="6" t="s">
        <v>894</v>
      </c>
    </row>
    <row r="40" customFormat="false" ht="30" hidden="false" customHeight="true" outlineLevel="0" collapsed="false">
      <c r="A40" s="6" t="s">
        <v>934</v>
      </c>
      <c r="B40" s="6" t="s">
        <v>885</v>
      </c>
      <c r="C40" s="6" t="s">
        <v>935</v>
      </c>
    </row>
    <row r="41" customFormat="false" ht="30" hidden="false" customHeight="true" outlineLevel="0" collapsed="false">
      <c r="A41" s="6" t="s">
        <v>936</v>
      </c>
      <c r="B41" s="6" t="s">
        <v>885</v>
      </c>
      <c r="C41" s="6" t="s">
        <v>930</v>
      </c>
    </row>
    <row r="42" customFormat="false" ht="30" hidden="false" customHeight="true" outlineLevel="0" collapsed="false">
      <c r="A42" s="6" t="s">
        <v>937</v>
      </c>
      <c r="B42" s="6" t="s">
        <v>885</v>
      </c>
      <c r="C42" s="6" t="s">
        <v>890</v>
      </c>
    </row>
    <row r="43" customFormat="false" ht="30" hidden="false" customHeight="true" outlineLevel="0" collapsed="false">
      <c r="A43" s="6" t="s">
        <v>938</v>
      </c>
      <c r="B43" s="6" t="s">
        <v>885</v>
      </c>
      <c r="C43" s="6" t="s">
        <v>892</v>
      </c>
    </row>
    <row r="44" customFormat="false" ht="30" hidden="false" customHeight="true" outlineLevel="0" collapsed="false">
      <c r="A44" s="6" t="s">
        <v>939</v>
      </c>
      <c r="B44" s="6" t="s">
        <v>885</v>
      </c>
      <c r="C44" s="6" t="s">
        <v>894</v>
      </c>
    </row>
    <row r="45" customFormat="false" ht="30" hidden="false" customHeight="true" outlineLevel="0" collapsed="false">
      <c r="A45" s="6" t="s">
        <v>940</v>
      </c>
      <c r="B45" s="6" t="s">
        <v>885</v>
      </c>
      <c r="C45" s="6" t="s">
        <v>921</v>
      </c>
    </row>
    <row r="46" customFormat="false" ht="30" hidden="false" customHeight="true" outlineLevel="0" collapsed="false">
      <c r="A46" s="6" t="s">
        <v>941</v>
      </c>
      <c r="B46" s="6" t="s">
        <v>885</v>
      </c>
      <c r="C46" s="6" t="s">
        <v>928</v>
      </c>
    </row>
    <row r="47" customFormat="false" ht="30" hidden="false" customHeight="true" outlineLevel="0" collapsed="false">
      <c r="A47" s="6" t="s">
        <v>942</v>
      </c>
      <c r="B47" s="6" t="s">
        <v>885</v>
      </c>
      <c r="C47" s="6" t="s">
        <v>935</v>
      </c>
    </row>
    <row r="48" customFormat="false" ht="30" hidden="false" customHeight="true" outlineLevel="0" collapsed="false">
      <c r="A48" s="6" t="s">
        <v>943</v>
      </c>
      <c r="B48" s="6" t="s">
        <v>885</v>
      </c>
      <c r="C48" s="6" t="s">
        <v>944</v>
      </c>
    </row>
    <row r="49" customFormat="false" ht="30" hidden="false" customHeight="true" outlineLevel="0" collapsed="false">
      <c r="A49" s="6" t="s">
        <v>945</v>
      </c>
      <c r="B49" s="6" t="s">
        <v>885</v>
      </c>
      <c r="C49" s="6" t="s">
        <v>946</v>
      </c>
    </row>
    <row r="50" customFormat="false" ht="30" hidden="false" customHeight="true" outlineLevel="0" collapsed="false">
      <c r="A50" s="6" t="s">
        <v>947</v>
      </c>
      <c r="B50" s="6" t="s">
        <v>885</v>
      </c>
      <c r="C50" s="6" t="s">
        <v>948</v>
      </c>
    </row>
    <row r="51" customFormat="false" ht="30" hidden="false" customHeight="true" outlineLevel="0" collapsed="false">
      <c r="A51" s="6" t="s">
        <v>949</v>
      </c>
      <c r="B51" s="6" t="s">
        <v>885</v>
      </c>
      <c r="C51" s="6" t="s">
        <v>944</v>
      </c>
    </row>
    <row r="52" customFormat="false" ht="30" hidden="false" customHeight="true" outlineLevel="0" collapsed="false">
      <c r="A52" s="6" t="s">
        <v>950</v>
      </c>
      <c r="B52" s="6" t="s">
        <v>885</v>
      </c>
      <c r="C52" s="6" t="s">
        <v>946</v>
      </c>
    </row>
    <row r="53" customFormat="false" ht="30" hidden="false" customHeight="true" outlineLevel="0" collapsed="false">
      <c r="A53" s="6" t="s">
        <v>951</v>
      </c>
      <c r="B53" s="6" t="s">
        <v>885</v>
      </c>
      <c r="C53" s="6" t="s">
        <v>952</v>
      </c>
    </row>
    <row r="54" customFormat="false" ht="30" hidden="false" customHeight="true" outlineLevel="0" collapsed="false">
      <c r="A54" s="6" t="s">
        <v>953</v>
      </c>
      <c r="B54" s="6" t="s">
        <v>885</v>
      </c>
      <c r="C54" s="6" t="s">
        <v>944</v>
      </c>
    </row>
    <row r="55" customFormat="false" ht="30" hidden="false" customHeight="true" outlineLevel="0" collapsed="false">
      <c r="A55" s="6" t="s">
        <v>954</v>
      </c>
      <c r="B55" s="6" t="s">
        <v>885</v>
      </c>
      <c r="C55" s="6" t="s">
        <v>946</v>
      </c>
    </row>
    <row r="56" customFormat="false" ht="30" hidden="false" customHeight="true" outlineLevel="0" collapsed="false">
      <c r="A56" s="6" t="s">
        <v>955</v>
      </c>
      <c r="B56" s="6" t="s">
        <v>885</v>
      </c>
      <c r="C56" s="6" t="s">
        <v>956</v>
      </c>
    </row>
    <row r="57" customFormat="false" ht="30" hidden="false" customHeight="true" outlineLevel="0" collapsed="false">
      <c r="A57" s="6" t="s">
        <v>957</v>
      </c>
      <c r="B57" s="6" t="s">
        <v>885</v>
      </c>
      <c r="C57" s="6" t="s">
        <v>944</v>
      </c>
    </row>
    <row r="58" customFormat="false" ht="30" hidden="false" customHeight="true" outlineLevel="0" collapsed="false">
      <c r="A58" s="6" t="s">
        <v>958</v>
      </c>
      <c r="B58" s="6" t="s">
        <v>885</v>
      </c>
      <c r="C58" s="6" t="s">
        <v>946</v>
      </c>
    </row>
    <row r="59" customFormat="false" ht="30" hidden="false" customHeight="true" outlineLevel="0" collapsed="false">
      <c r="A59" s="6" t="s">
        <v>959</v>
      </c>
      <c r="B59" s="6" t="s">
        <v>885</v>
      </c>
      <c r="C59" s="6" t="s">
        <v>960</v>
      </c>
    </row>
    <row r="60" customFormat="false" ht="30" hidden="false" customHeight="true" outlineLevel="0" collapsed="false">
      <c r="A60" s="6" t="s">
        <v>961</v>
      </c>
      <c r="B60" s="6" t="s">
        <v>885</v>
      </c>
      <c r="C60" s="6" t="s">
        <v>962</v>
      </c>
    </row>
    <row r="61" customFormat="false" ht="30" hidden="false" customHeight="true" outlineLevel="0" collapsed="false">
      <c r="A61" s="6" t="s">
        <v>963</v>
      </c>
      <c r="B61" s="6" t="s">
        <v>885</v>
      </c>
      <c r="C61" s="6" t="s">
        <v>964</v>
      </c>
    </row>
    <row r="62" customFormat="false" ht="30" hidden="false" customHeight="true" outlineLevel="0" collapsed="false">
      <c r="A62" s="6" t="s">
        <v>965</v>
      </c>
      <c r="B62" s="6" t="s">
        <v>885</v>
      </c>
      <c r="C62" s="6" t="s">
        <v>944</v>
      </c>
    </row>
    <row r="63" customFormat="false" ht="30" hidden="false" customHeight="true" outlineLevel="0" collapsed="false">
      <c r="A63" s="6" t="s">
        <v>966</v>
      </c>
      <c r="B63" s="6" t="s">
        <v>885</v>
      </c>
      <c r="C63" s="6" t="s">
        <v>946</v>
      </c>
    </row>
    <row r="64" customFormat="false" ht="30" hidden="false" customHeight="true" outlineLevel="0" collapsed="false">
      <c r="A64" s="6" t="s">
        <v>967</v>
      </c>
      <c r="B64" s="6" t="s">
        <v>885</v>
      </c>
      <c r="C64" s="6" t="s">
        <v>968</v>
      </c>
    </row>
    <row r="65" customFormat="false" ht="30" hidden="false" customHeight="true" outlineLevel="0" collapsed="false">
      <c r="A65" s="6" t="s">
        <v>969</v>
      </c>
      <c r="B65" s="6" t="s">
        <v>885</v>
      </c>
      <c r="C65" s="6" t="s">
        <v>970</v>
      </c>
    </row>
    <row r="66" customFormat="false" ht="30" hidden="false" customHeight="true" outlineLevel="0" collapsed="false">
      <c r="A66" s="6" t="s">
        <v>971</v>
      </c>
      <c r="B66" s="6" t="s">
        <v>885</v>
      </c>
      <c r="C66" s="6" t="s">
        <v>972</v>
      </c>
    </row>
    <row r="68" customFormat="false" ht="15" hidden="false" customHeight="false" outlineLevel="0" collapsed="false">
      <c r="A68" s="5" t="s">
        <v>973</v>
      </c>
      <c r="B68" s="5" t="s">
        <v>882</v>
      </c>
      <c r="C68" s="5" t="s">
        <v>883</v>
      </c>
    </row>
    <row r="69" customFormat="false" ht="15" hidden="false" customHeight="false" outlineLevel="0" collapsed="false">
      <c r="A69" s="6" t="s">
        <v>974</v>
      </c>
      <c r="B69" s="6" t="s">
        <v>885</v>
      </c>
      <c r="C69" s="6" t="s">
        <v>975</v>
      </c>
    </row>
    <row r="70" customFormat="false" ht="15" hidden="false" customHeight="false" outlineLevel="0" collapsed="false">
      <c r="A70" s="6" t="s">
        <v>976</v>
      </c>
      <c r="B70" s="6" t="s">
        <v>885</v>
      </c>
      <c r="C70" s="6" t="s">
        <v>977</v>
      </c>
    </row>
    <row r="71" customFormat="false" ht="15" hidden="false" customHeight="false" outlineLevel="0" collapsed="false">
      <c r="A71" s="6" t="s">
        <v>978</v>
      </c>
      <c r="B71" s="6" t="s">
        <v>885</v>
      </c>
      <c r="C71" s="6" t="s">
        <v>979</v>
      </c>
    </row>
    <row r="72" customFormat="false" ht="15" hidden="false" customHeight="false" outlineLevel="0" collapsed="false">
      <c r="A72" s="6" t="s">
        <v>980</v>
      </c>
      <c r="B72" s="6" t="s">
        <v>885</v>
      </c>
      <c r="C72" s="6" t="s">
        <v>981</v>
      </c>
    </row>
    <row r="73" customFormat="false" ht="15" hidden="false" customHeight="false" outlineLevel="0" collapsed="false">
      <c r="A73" s="6" t="s">
        <v>982</v>
      </c>
      <c r="B73" s="6" t="s">
        <v>885</v>
      </c>
      <c r="C73" s="6" t="s">
        <v>896</v>
      </c>
    </row>
    <row r="74" customFormat="false" ht="15" hidden="false" customHeight="false" outlineLevel="0" collapsed="false">
      <c r="A74" s="6" t="s">
        <v>983</v>
      </c>
      <c r="B74" s="6" t="s">
        <v>885</v>
      </c>
      <c r="C74" s="6" t="s">
        <v>984</v>
      </c>
    </row>
    <row r="75" customFormat="false" ht="15" hidden="false" customHeight="false" outlineLevel="0" collapsed="false">
      <c r="A75" s="6" t="s">
        <v>985</v>
      </c>
      <c r="B75" s="6" t="s">
        <v>885</v>
      </c>
      <c r="C75" s="6" t="s">
        <v>896</v>
      </c>
    </row>
    <row r="76" customFormat="false" ht="15" hidden="false" customHeight="false" outlineLevel="0" collapsed="false">
      <c r="A76" s="6" t="s">
        <v>986</v>
      </c>
      <c r="B76" s="6" t="s">
        <v>885</v>
      </c>
      <c r="C76" s="6" t="s">
        <v>984</v>
      </c>
    </row>
    <row r="77" customFormat="false" ht="15" hidden="false" customHeight="false" outlineLevel="0" collapsed="false">
      <c r="A77" s="6" t="s">
        <v>987</v>
      </c>
      <c r="B77" s="6" t="s">
        <v>885</v>
      </c>
      <c r="C77" s="6" t="s">
        <v>906</v>
      </c>
    </row>
    <row r="78" customFormat="false" ht="15" hidden="false" customHeight="false" outlineLevel="0" collapsed="false">
      <c r="A78" s="6" t="s">
        <v>988</v>
      </c>
      <c r="B78" s="6" t="s">
        <v>885</v>
      </c>
      <c r="C78" s="6" t="s">
        <v>981</v>
      </c>
    </row>
    <row r="79" customFormat="false" ht="15" hidden="false" customHeight="false" outlineLevel="0" collapsed="false">
      <c r="A79" s="6" t="s">
        <v>989</v>
      </c>
      <c r="B79" s="6" t="s">
        <v>885</v>
      </c>
      <c r="C79" s="6" t="s">
        <v>990</v>
      </c>
    </row>
    <row r="80" customFormat="false" ht="15" hidden="false" customHeight="false" outlineLevel="0" collapsed="false">
      <c r="A80" s="6" t="s">
        <v>991</v>
      </c>
      <c r="B80" s="6" t="s">
        <v>885</v>
      </c>
      <c r="C80" s="6" t="s">
        <v>981</v>
      </c>
    </row>
    <row r="81" customFormat="false" ht="15" hidden="false" customHeight="false" outlineLevel="0" collapsed="false">
      <c r="A81" s="6" t="s">
        <v>992</v>
      </c>
      <c r="B81" s="6" t="s">
        <v>885</v>
      </c>
      <c r="C81" s="6" t="s">
        <v>993</v>
      </c>
    </row>
    <row r="82" customFormat="false" ht="15" hidden="false" customHeight="false" outlineLevel="0" collapsed="false">
      <c r="A82" s="6" t="s">
        <v>994</v>
      </c>
      <c r="B82" s="6" t="s">
        <v>885</v>
      </c>
      <c r="C82" s="6" t="s">
        <v>984</v>
      </c>
    </row>
    <row r="83" customFormat="false" ht="15" hidden="false" customHeight="false" outlineLevel="0" collapsed="false">
      <c r="A83" s="6" t="s">
        <v>995</v>
      </c>
      <c r="B83" s="6" t="s">
        <v>885</v>
      </c>
      <c r="C83" s="6" t="s">
        <v>996</v>
      </c>
    </row>
    <row r="84" customFormat="false" ht="15" hidden="false" customHeight="false" outlineLevel="0" collapsed="false">
      <c r="A84" s="6" t="s">
        <v>997</v>
      </c>
      <c r="B84" s="6" t="s">
        <v>885</v>
      </c>
      <c r="C84" s="6" t="s">
        <v>984</v>
      </c>
    </row>
    <row r="85" customFormat="false" ht="15" hidden="false" customHeight="false" outlineLevel="0" collapsed="false">
      <c r="A85" s="6" t="s">
        <v>998</v>
      </c>
      <c r="B85" s="6" t="s">
        <v>885</v>
      </c>
      <c r="C85" s="6" t="s">
        <v>930</v>
      </c>
    </row>
    <row r="86" customFormat="false" ht="15" hidden="false" customHeight="false" outlineLevel="0" collapsed="false">
      <c r="A86" s="6" t="s">
        <v>999</v>
      </c>
      <c r="B86" s="6" t="s">
        <v>885</v>
      </c>
      <c r="C86" s="6" t="s">
        <v>984</v>
      </c>
    </row>
    <row r="87" customFormat="false" ht="15" hidden="false" customHeight="false" outlineLevel="0" collapsed="false">
      <c r="A87" s="6" t="s">
        <v>1000</v>
      </c>
      <c r="B87" s="6" t="s">
        <v>885</v>
      </c>
      <c r="C87" s="6" t="s">
        <v>930</v>
      </c>
    </row>
    <row r="88" customFormat="false" ht="15" hidden="false" customHeight="false" outlineLevel="0" collapsed="false">
      <c r="A88" s="6" t="s">
        <v>1001</v>
      </c>
      <c r="B88" s="6" t="s">
        <v>885</v>
      </c>
      <c r="C88" s="6" t="s">
        <v>984</v>
      </c>
    </row>
    <row r="89" customFormat="false" ht="15" hidden="false" customHeight="false" outlineLevel="0" collapsed="false">
      <c r="A89" s="6" t="s">
        <v>1002</v>
      </c>
      <c r="B89" s="6" t="s">
        <v>885</v>
      </c>
      <c r="C89" s="6" t="s">
        <v>1003</v>
      </c>
    </row>
    <row r="90" customFormat="false" ht="15" hidden="false" customHeight="false" outlineLevel="0" collapsed="false">
      <c r="A90" s="6" t="s">
        <v>1004</v>
      </c>
      <c r="B90" s="6" t="s">
        <v>885</v>
      </c>
      <c r="C90" s="6" t="s">
        <v>1005</v>
      </c>
    </row>
    <row r="91" customFormat="false" ht="15" hidden="false" customHeight="false" outlineLevel="0" collapsed="false">
      <c r="A91" s="6" t="s">
        <v>1006</v>
      </c>
      <c r="B91" s="6" t="s">
        <v>885</v>
      </c>
      <c r="C91" s="6" t="s">
        <v>1007</v>
      </c>
    </row>
    <row r="92" customFormat="false" ht="15" hidden="false" customHeight="false" outlineLevel="0" collapsed="false">
      <c r="A92" s="6" t="s">
        <v>1008</v>
      </c>
      <c r="B92" s="6" t="s">
        <v>1009</v>
      </c>
      <c r="C92" s="6" t="s">
        <v>1010</v>
      </c>
    </row>
    <row r="93" customFormat="false" ht="15" hidden="false" customHeight="false" outlineLevel="0" collapsed="false">
      <c r="A93" s="6" t="s">
        <v>1011</v>
      </c>
      <c r="B93" s="6" t="s">
        <v>885</v>
      </c>
      <c r="C93" s="6" t="s">
        <v>1012</v>
      </c>
    </row>
    <row r="94" customFormat="false" ht="28.35" hidden="false" customHeight="false" outlineLevel="0" collapsed="false">
      <c r="A94" s="6" t="s">
        <v>1013</v>
      </c>
      <c r="B94" s="6" t="s">
        <v>1014</v>
      </c>
      <c r="C94" s="6" t="s">
        <v>1015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2026-10-05T09:29:13Z</dcterms:created>
  <dc:creator>Perplexity Computer</dc:creator>
  <dc:description/>
  <dc:language>en-US</dc:language>
  <cp:lastModifiedBy/>
  <dcterms:modified xsi:type="dcterms:W3CDTF">2026-10-07T07:29:05Z</dcterms:modified>
  <cp:revision>11</cp:revision>
  <dc:subject>Revisione del modello: motore mensile, nove scenari, cassa e controlli</dc:subject>
  <dc:title>LexShield | Modello finanziario v3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